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/>
  <mc:AlternateContent xmlns:mc="http://schemas.openxmlformats.org/markup-compatibility/2006">
    <mc:Choice Requires="x15">
      <x15ac:absPath xmlns:x15ac="http://schemas.microsoft.com/office/spreadsheetml/2010/11/ac" url="/Users/Matt/Downloads/"/>
    </mc:Choice>
  </mc:AlternateContent>
  <xr:revisionPtr revIDLastSave="0" documentId="8_{8872B95F-F60E-684C-B63E-25974D7484B4}" xr6:coauthVersionLast="47" xr6:coauthVersionMax="47" xr10:uidLastSave="{00000000-0000-0000-0000-000000000000}"/>
  <bookViews>
    <workbookView xWindow="6860" yWindow="4380" windowWidth="27640" windowHeight="16680" xr2:uid="{4BBCC621-FB09-D244-909E-4088CDD2595C}"/>
  </bookViews>
  <sheets>
    <sheet name="ES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" l="1"/>
  <c r="C2" i="1"/>
  <c r="B3" i="1"/>
  <c r="N2" i="1" s="1" a="1"/>
  <c r="C3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448" i="1"/>
  <c r="C448" i="1"/>
  <c r="B449" i="1"/>
  <c r="C449" i="1"/>
  <c r="B450" i="1"/>
  <c r="C450" i="1"/>
  <c r="B451" i="1"/>
  <c r="C451" i="1"/>
  <c r="B452" i="1"/>
  <c r="C452" i="1"/>
  <c r="B453" i="1"/>
  <c r="C453" i="1"/>
  <c r="B454" i="1"/>
  <c r="C454" i="1"/>
  <c r="B455" i="1"/>
  <c r="C455" i="1"/>
  <c r="B456" i="1"/>
  <c r="C456" i="1"/>
  <c r="B457" i="1"/>
  <c r="C457" i="1"/>
  <c r="B458" i="1"/>
  <c r="C458" i="1"/>
  <c r="B459" i="1"/>
  <c r="C459" i="1"/>
  <c r="B460" i="1"/>
  <c r="C460" i="1"/>
  <c r="B461" i="1"/>
  <c r="C461" i="1"/>
  <c r="B462" i="1"/>
  <c r="C462" i="1"/>
  <c r="B463" i="1"/>
  <c r="C463" i="1"/>
  <c r="B464" i="1"/>
  <c r="C464" i="1"/>
  <c r="B465" i="1"/>
  <c r="C465" i="1"/>
  <c r="B466" i="1"/>
  <c r="C466" i="1"/>
  <c r="B467" i="1"/>
  <c r="C467" i="1"/>
  <c r="B468" i="1"/>
  <c r="C468" i="1"/>
  <c r="B469" i="1"/>
  <c r="C469" i="1"/>
  <c r="B470" i="1"/>
  <c r="C470" i="1"/>
  <c r="B471" i="1"/>
  <c r="C471" i="1"/>
  <c r="B472" i="1"/>
  <c r="C472" i="1"/>
  <c r="B473" i="1"/>
  <c r="C473" i="1"/>
  <c r="B474" i="1"/>
  <c r="C474" i="1"/>
  <c r="B475" i="1"/>
  <c r="C475" i="1"/>
  <c r="B476" i="1"/>
  <c r="C476" i="1"/>
  <c r="B477" i="1"/>
  <c r="C477" i="1"/>
  <c r="B478" i="1"/>
  <c r="C478" i="1"/>
  <c r="B479" i="1"/>
  <c r="C479" i="1"/>
  <c r="B480" i="1"/>
  <c r="C480" i="1"/>
  <c r="B481" i="1"/>
  <c r="C481" i="1"/>
  <c r="B482" i="1"/>
  <c r="C482" i="1"/>
  <c r="B483" i="1"/>
  <c r="C483" i="1"/>
  <c r="B484" i="1"/>
  <c r="C484" i="1"/>
  <c r="B485" i="1"/>
  <c r="C485" i="1"/>
  <c r="B486" i="1"/>
  <c r="C486" i="1"/>
  <c r="B487" i="1"/>
  <c r="C487" i="1"/>
  <c r="B488" i="1"/>
  <c r="C488" i="1"/>
  <c r="B489" i="1"/>
  <c r="C489" i="1"/>
  <c r="B490" i="1"/>
  <c r="C490" i="1"/>
  <c r="B491" i="1"/>
  <c r="C491" i="1"/>
  <c r="B492" i="1"/>
  <c r="C492" i="1"/>
  <c r="B493" i="1"/>
  <c r="C493" i="1"/>
  <c r="B494" i="1"/>
  <c r="C494" i="1"/>
  <c r="B495" i="1"/>
  <c r="C495" i="1"/>
  <c r="B496" i="1"/>
  <c r="C496" i="1"/>
  <c r="B497" i="1"/>
  <c r="C497" i="1"/>
  <c r="B498" i="1"/>
  <c r="C498" i="1"/>
  <c r="B499" i="1"/>
  <c r="C499" i="1"/>
  <c r="B500" i="1"/>
  <c r="C500" i="1"/>
  <c r="B501" i="1"/>
  <c r="C501" i="1"/>
  <c r="B502" i="1"/>
  <c r="C502" i="1"/>
  <c r="B503" i="1"/>
  <c r="C503" i="1"/>
  <c r="B504" i="1"/>
  <c r="C504" i="1"/>
  <c r="B505" i="1"/>
  <c r="C505" i="1"/>
  <c r="B506" i="1"/>
  <c r="C506" i="1"/>
  <c r="B507" i="1"/>
  <c r="C507" i="1"/>
  <c r="B508" i="1"/>
  <c r="C508" i="1"/>
  <c r="B509" i="1"/>
  <c r="C509" i="1"/>
  <c r="B510" i="1"/>
  <c r="C510" i="1"/>
  <c r="B511" i="1"/>
  <c r="C511" i="1"/>
  <c r="B512" i="1"/>
  <c r="C512" i="1"/>
  <c r="B513" i="1"/>
  <c r="C513" i="1"/>
  <c r="B514" i="1"/>
  <c r="C514" i="1"/>
  <c r="B515" i="1"/>
  <c r="C515" i="1"/>
  <c r="B516" i="1"/>
  <c r="C516" i="1"/>
  <c r="B517" i="1"/>
  <c r="C517" i="1"/>
  <c r="B518" i="1"/>
  <c r="C518" i="1"/>
  <c r="B519" i="1"/>
  <c r="C519" i="1"/>
  <c r="B520" i="1"/>
  <c r="C520" i="1"/>
  <c r="B521" i="1"/>
  <c r="C521" i="1"/>
  <c r="B522" i="1"/>
  <c r="C522" i="1"/>
  <c r="B523" i="1"/>
  <c r="C523" i="1"/>
  <c r="B524" i="1"/>
  <c r="C524" i="1"/>
  <c r="B525" i="1"/>
  <c r="C525" i="1"/>
  <c r="B526" i="1"/>
  <c r="C526" i="1"/>
  <c r="B527" i="1"/>
  <c r="C527" i="1"/>
  <c r="B528" i="1"/>
  <c r="C528" i="1"/>
  <c r="B529" i="1"/>
  <c r="C529" i="1"/>
  <c r="B530" i="1"/>
  <c r="C530" i="1"/>
  <c r="B531" i="1"/>
  <c r="C531" i="1"/>
  <c r="B532" i="1"/>
  <c r="C532" i="1"/>
  <c r="B533" i="1"/>
  <c r="C533" i="1"/>
  <c r="B534" i="1"/>
  <c r="C534" i="1"/>
  <c r="B535" i="1"/>
  <c r="C535" i="1"/>
  <c r="B536" i="1"/>
  <c r="C536" i="1"/>
  <c r="B537" i="1"/>
  <c r="C537" i="1"/>
  <c r="B538" i="1"/>
  <c r="C538" i="1"/>
  <c r="B539" i="1"/>
  <c r="C539" i="1"/>
  <c r="B540" i="1"/>
  <c r="C540" i="1"/>
  <c r="B541" i="1"/>
  <c r="C541" i="1"/>
  <c r="B542" i="1"/>
  <c r="C542" i="1"/>
  <c r="B543" i="1"/>
  <c r="C543" i="1"/>
  <c r="B544" i="1"/>
  <c r="C544" i="1"/>
  <c r="B545" i="1"/>
  <c r="C545" i="1"/>
  <c r="B546" i="1"/>
  <c r="C546" i="1"/>
  <c r="B547" i="1"/>
  <c r="C547" i="1"/>
  <c r="B548" i="1"/>
  <c r="C548" i="1"/>
  <c r="B549" i="1"/>
  <c r="C549" i="1"/>
  <c r="B550" i="1"/>
  <c r="C550" i="1"/>
  <c r="B551" i="1"/>
  <c r="C551" i="1"/>
  <c r="B552" i="1"/>
  <c r="C552" i="1"/>
  <c r="B553" i="1"/>
  <c r="C553" i="1"/>
  <c r="B554" i="1"/>
  <c r="C554" i="1"/>
  <c r="B555" i="1"/>
  <c r="C555" i="1"/>
  <c r="B556" i="1"/>
  <c r="C556" i="1"/>
  <c r="B557" i="1"/>
  <c r="C557" i="1"/>
  <c r="B558" i="1"/>
  <c r="C558" i="1"/>
  <c r="B559" i="1"/>
  <c r="C559" i="1"/>
  <c r="B560" i="1"/>
  <c r="C560" i="1"/>
  <c r="B561" i="1"/>
  <c r="C561" i="1"/>
  <c r="B562" i="1"/>
  <c r="C562" i="1"/>
  <c r="B563" i="1"/>
  <c r="C563" i="1"/>
  <c r="B564" i="1"/>
  <c r="C564" i="1"/>
  <c r="B565" i="1"/>
  <c r="C565" i="1"/>
  <c r="B566" i="1"/>
  <c r="C566" i="1"/>
  <c r="B567" i="1"/>
  <c r="C567" i="1"/>
  <c r="B568" i="1"/>
  <c r="C568" i="1"/>
  <c r="B569" i="1"/>
  <c r="C569" i="1"/>
  <c r="B570" i="1"/>
  <c r="C570" i="1"/>
  <c r="B571" i="1"/>
  <c r="C571" i="1"/>
  <c r="B572" i="1"/>
  <c r="C572" i="1"/>
  <c r="B573" i="1"/>
  <c r="C573" i="1"/>
  <c r="B574" i="1"/>
  <c r="C574" i="1"/>
  <c r="B575" i="1"/>
  <c r="C575" i="1"/>
  <c r="B576" i="1"/>
  <c r="C576" i="1"/>
  <c r="B577" i="1"/>
  <c r="C577" i="1"/>
  <c r="B578" i="1"/>
  <c r="C578" i="1"/>
  <c r="B579" i="1"/>
  <c r="C579" i="1"/>
  <c r="B580" i="1"/>
  <c r="C580" i="1"/>
  <c r="B581" i="1"/>
  <c r="C581" i="1"/>
  <c r="B582" i="1"/>
  <c r="C582" i="1"/>
  <c r="B583" i="1"/>
  <c r="C583" i="1"/>
  <c r="B584" i="1"/>
  <c r="C584" i="1"/>
  <c r="B585" i="1"/>
  <c r="C585" i="1"/>
  <c r="B586" i="1"/>
  <c r="C586" i="1"/>
  <c r="B587" i="1"/>
  <c r="C587" i="1"/>
  <c r="B588" i="1"/>
  <c r="C588" i="1"/>
  <c r="B589" i="1"/>
  <c r="C589" i="1"/>
  <c r="B590" i="1"/>
  <c r="C590" i="1"/>
  <c r="B591" i="1"/>
  <c r="C591" i="1"/>
  <c r="B592" i="1"/>
  <c r="C592" i="1"/>
  <c r="B593" i="1"/>
  <c r="C593" i="1"/>
  <c r="B594" i="1"/>
  <c r="C594" i="1"/>
  <c r="B595" i="1"/>
  <c r="C595" i="1"/>
  <c r="B596" i="1"/>
  <c r="C596" i="1"/>
  <c r="B597" i="1"/>
  <c r="C597" i="1"/>
  <c r="B598" i="1"/>
  <c r="C598" i="1"/>
  <c r="B599" i="1"/>
  <c r="C599" i="1"/>
  <c r="B600" i="1"/>
  <c r="C600" i="1"/>
  <c r="B601" i="1"/>
  <c r="C601" i="1"/>
  <c r="B602" i="1"/>
  <c r="C602" i="1"/>
  <c r="B603" i="1"/>
  <c r="C603" i="1"/>
  <c r="B604" i="1"/>
  <c r="C604" i="1"/>
  <c r="B605" i="1"/>
  <c r="C605" i="1"/>
  <c r="B606" i="1"/>
  <c r="C606" i="1"/>
  <c r="B607" i="1"/>
  <c r="C607" i="1"/>
  <c r="B608" i="1"/>
  <c r="C608" i="1"/>
  <c r="B609" i="1"/>
  <c r="C609" i="1"/>
  <c r="B610" i="1"/>
  <c r="C610" i="1"/>
  <c r="B611" i="1"/>
  <c r="C611" i="1"/>
  <c r="B612" i="1"/>
  <c r="C612" i="1"/>
  <c r="B613" i="1"/>
  <c r="C613" i="1"/>
  <c r="B614" i="1"/>
  <c r="C614" i="1"/>
  <c r="B615" i="1"/>
  <c r="C615" i="1"/>
  <c r="B616" i="1"/>
  <c r="C616" i="1"/>
  <c r="B617" i="1"/>
  <c r="C617" i="1"/>
  <c r="B618" i="1"/>
  <c r="C618" i="1"/>
  <c r="B619" i="1"/>
  <c r="C619" i="1"/>
  <c r="B620" i="1"/>
  <c r="C620" i="1"/>
  <c r="B621" i="1"/>
  <c r="C621" i="1"/>
  <c r="B622" i="1"/>
  <c r="C622" i="1"/>
  <c r="B623" i="1"/>
  <c r="C623" i="1"/>
  <c r="B624" i="1"/>
  <c r="C624" i="1"/>
  <c r="B625" i="1"/>
  <c r="C625" i="1"/>
  <c r="B626" i="1"/>
  <c r="C626" i="1"/>
  <c r="B627" i="1"/>
  <c r="C627" i="1"/>
  <c r="B628" i="1"/>
  <c r="C628" i="1"/>
  <c r="B629" i="1"/>
  <c r="C629" i="1"/>
  <c r="B630" i="1"/>
  <c r="C630" i="1"/>
  <c r="B631" i="1"/>
  <c r="C631" i="1"/>
  <c r="B632" i="1"/>
  <c r="C632" i="1"/>
  <c r="B633" i="1"/>
  <c r="C633" i="1"/>
  <c r="B634" i="1"/>
  <c r="C634" i="1"/>
  <c r="B635" i="1"/>
  <c r="C635" i="1"/>
  <c r="B636" i="1"/>
  <c r="C636" i="1"/>
  <c r="B637" i="1"/>
  <c r="C637" i="1"/>
  <c r="B638" i="1"/>
  <c r="C638" i="1"/>
  <c r="B639" i="1"/>
  <c r="C639" i="1"/>
  <c r="B640" i="1"/>
  <c r="C640" i="1"/>
  <c r="B641" i="1"/>
  <c r="C641" i="1"/>
  <c r="B642" i="1"/>
  <c r="C642" i="1"/>
  <c r="B643" i="1"/>
  <c r="C643" i="1"/>
  <c r="B644" i="1"/>
  <c r="C644" i="1"/>
  <c r="B645" i="1"/>
  <c r="C645" i="1"/>
  <c r="B646" i="1"/>
  <c r="C646" i="1"/>
  <c r="B647" i="1"/>
  <c r="C647" i="1"/>
  <c r="B648" i="1"/>
  <c r="C648" i="1"/>
  <c r="B649" i="1"/>
  <c r="C649" i="1"/>
  <c r="B650" i="1"/>
  <c r="C650" i="1"/>
  <c r="B651" i="1"/>
  <c r="C651" i="1"/>
  <c r="B652" i="1"/>
  <c r="C652" i="1"/>
  <c r="B653" i="1"/>
  <c r="C653" i="1"/>
  <c r="B654" i="1"/>
  <c r="C654" i="1"/>
  <c r="B655" i="1"/>
  <c r="C655" i="1"/>
  <c r="B656" i="1"/>
  <c r="C656" i="1"/>
  <c r="B657" i="1"/>
  <c r="C657" i="1"/>
  <c r="B658" i="1"/>
  <c r="C658" i="1"/>
  <c r="B659" i="1"/>
  <c r="C659" i="1"/>
  <c r="B660" i="1"/>
  <c r="C660" i="1"/>
  <c r="B661" i="1"/>
  <c r="C661" i="1"/>
  <c r="B662" i="1"/>
  <c r="C662" i="1"/>
  <c r="B663" i="1"/>
  <c r="C663" i="1"/>
  <c r="B664" i="1"/>
  <c r="C664" i="1"/>
  <c r="B665" i="1"/>
  <c r="C665" i="1"/>
  <c r="B666" i="1"/>
  <c r="C666" i="1"/>
  <c r="B667" i="1"/>
  <c r="C667" i="1"/>
  <c r="B668" i="1"/>
  <c r="C668" i="1"/>
  <c r="B669" i="1"/>
  <c r="C669" i="1"/>
  <c r="B670" i="1"/>
  <c r="C670" i="1"/>
  <c r="B671" i="1"/>
  <c r="C671" i="1"/>
  <c r="B672" i="1"/>
  <c r="C672" i="1"/>
  <c r="B673" i="1"/>
  <c r="C673" i="1"/>
  <c r="B674" i="1"/>
  <c r="C674" i="1"/>
  <c r="B675" i="1"/>
  <c r="C675" i="1"/>
  <c r="B676" i="1"/>
  <c r="C676" i="1"/>
  <c r="B677" i="1"/>
  <c r="C677" i="1"/>
  <c r="B678" i="1"/>
  <c r="C678" i="1"/>
  <c r="B679" i="1"/>
  <c r="C679" i="1"/>
  <c r="B680" i="1"/>
  <c r="C680" i="1"/>
  <c r="B681" i="1"/>
  <c r="C681" i="1"/>
  <c r="B682" i="1"/>
  <c r="C682" i="1"/>
  <c r="B683" i="1"/>
  <c r="C683" i="1"/>
  <c r="B684" i="1"/>
  <c r="C684" i="1"/>
  <c r="B685" i="1"/>
  <c r="C685" i="1"/>
  <c r="B686" i="1"/>
  <c r="C686" i="1"/>
  <c r="B687" i="1"/>
  <c r="C687" i="1"/>
  <c r="B688" i="1"/>
  <c r="C688" i="1"/>
  <c r="B689" i="1"/>
  <c r="C689" i="1"/>
  <c r="B690" i="1"/>
  <c r="C690" i="1"/>
  <c r="B691" i="1"/>
  <c r="C691" i="1"/>
  <c r="B692" i="1"/>
  <c r="C692" i="1"/>
  <c r="B693" i="1"/>
  <c r="C693" i="1"/>
  <c r="B694" i="1"/>
  <c r="C694" i="1"/>
  <c r="B695" i="1"/>
  <c r="C695" i="1"/>
  <c r="B696" i="1"/>
  <c r="C696" i="1"/>
  <c r="B697" i="1"/>
  <c r="C697" i="1"/>
  <c r="B698" i="1"/>
  <c r="C698" i="1"/>
  <c r="B699" i="1"/>
  <c r="C699" i="1"/>
  <c r="B700" i="1"/>
  <c r="C700" i="1"/>
  <c r="B701" i="1"/>
  <c r="C701" i="1"/>
  <c r="B702" i="1"/>
  <c r="C702" i="1"/>
  <c r="B703" i="1"/>
  <c r="C703" i="1"/>
  <c r="B704" i="1"/>
  <c r="C704" i="1"/>
  <c r="B705" i="1"/>
  <c r="C705" i="1"/>
  <c r="B706" i="1"/>
  <c r="C706" i="1"/>
  <c r="B707" i="1"/>
  <c r="C707" i="1"/>
  <c r="B708" i="1"/>
  <c r="C708" i="1"/>
  <c r="B709" i="1"/>
  <c r="C709" i="1"/>
  <c r="B710" i="1"/>
  <c r="C710" i="1"/>
  <c r="B711" i="1"/>
  <c r="C711" i="1"/>
  <c r="B712" i="1"/>
  <c r="C712" i="1"/>
  <c r="B713" i="1"/>
  <c r="C713" i="1"/>
  <c r="B714" i="1"/>
  <c r="C714" i="1"/>
  <c r="B715" i="1"/>
  <c r="C715" i="1"/>
  <c r="B716" i="1"/>
  <c r="C716" i="1"/>
  <c r="B717" i="1"/>
  <c r="C717" i="1"/>
  <c r="B718" i="1"/>
  <c r="C718" i="1"/>
  <c r="B719" i="1"/>
  <c r="C719" i="1"/>
  <c r="B720" i="1"/>
  <c r="C720" i="1"/>
  <c r="B721" i="1"/>
  <c r="C721" i="1"/>
  <c r="B722" i="1"/>
  <c r="C722" i="1"/>
  <c r="B723" i="1"/>
  <c r="C723" i="1"/>
  <c r="B724" i="1"/>
  <c r="C724" i="1"/>
  <c r="B725" i="1"/>
  <c r="C725" i="1"/>
  <c r="B726" i="1"/>
  <c r="C726" i="1"/>
  <c r="B727" i="1"/>
  <c r="C727" i="1"/>
  <c r="B728" i="1"/>
  <c r="C728" i="1"/>
  <c r="B729" i="1"/>
  <c r="C729" i="1"/>
  <c r="B730" i="1"/>
  <c r="C730" i="1"/>
  <c r="B731" i="1"/>
  <c r="C731" i="1"/>
  <c r="B732" i="1"/>
  <c r="C732" i="1"/>
  <c r="B733" i="1"/>
  <c r="C733" i="1"/>
  <c r="B734" i="1"/>
  <c r="C734" i="1"/>
  <c r="B735" i="1"/>
  <c r="C735" i="1"/>
  <c r="B736" i="1"/>
  <c r="C736" i="1"/>
  <c r="B737" i="1"/>
  <c r="C737" i="1"/>
  <c r="B738" i="1"/>
  <c r="C738" i="1"/>
  <c r="B739" i="1"/>
  <c r="C739" i="1"/>
  <c r="B740" i="1"/>
  <c r="C740" i="1"/>
  <c r="B741" i="1"/>
  <c r="C741" i="1"/>
  <c r="B742" i="1"/>
  <c r="C742" i="1"/>
  <c r="B743" i="1"/>
  <c r="C743" i="1"/>
  <c r="B744" i="1"/>
  <c r="C744" i="1"/>
  <c r="B745" i="1"/>
  <c r="C745" i="1"/>
  <c r="B746" i="1"/>
  <c r="C746" i="1"/>
  <c r="B747" i="1"/>
  <c r="C747" i="1"/>
  <c r="B748" i="1"/>
  <c r="C748" i="1"/>
  <c r="B749" i="1"/>
  <c r="C749" i="1"/>
  <c r="B750" i="1"/>
  <c r="C750" i="1"/>
  <c r="B751" i="1"/>
  <c r="C751" i="1"/>
  <c r="B752" i="1"/>
  <c r="C752" i="1"/>
  <c r="B753" i="1"/>
  <c r="C753" i="1"/>
  <c r="B754" i="1"/>
  <c r="C754" i="1"/>
  <c r="B755" i="1"/>
  <c r="C755" i="1"/>
  <c r="B756" i="1"/>
  <c r="C756" i="1"/>
  <c r="B757" i="1"/>
  <c r="C757" i="1"/>
  <c r="B758" i="1"/>
  <c r="C758" i="1"/>
  <c r="B759" i="1"/>
  <c r="C759" i="1"/>
  <c r="B760" i="1"/>
  <c r="C760" i="1"/>
  <c r="B761" i="1"/>
  <c r="C761" i="1"/>
  <c r="B762" i="1"/>
  <c r="C762" i="1"/>
  <c r="B763" i="1"/>
  <c r="C763" i="1"/>
  <c r="B764" i="1"/>
  <c r="C764" i="1"/>
  <c r="B765" i="1"/>
  <c r="C765" i="1"/>
  <c r="B766" i="1"/>
  <c r="C766" i="1"/>
  <c r="B767" i="1"/>
  <c r="C767" i="1"/>
  <c r="B768" i="1"/>
  <c r="C768" i="1"/>
  <c r="B769" i="1"/>
  <c r="C769" i="1"/>
  <c r="B770" i="1"/>
  <c r="C770" i="1"/>
  <c r="B771" i="1"/>
  <c r="C771" i="1"/>
  <c r="B772" i="1"/>
  <c r="C772" i="1"/>
  <c r="B773" i="1"/>
  <c r="C773" i="1"/>
  <c r="B774" i="1"/>
  <c r="C774" i="1"/>
  <c r="B775" i="1"/>
  <c r="C775" i="1"/>
  <c r="B776" i="1"/>
  <c r="C776" i="1"/>
  <c r="B777" i="1"/>
  <c r="C777" i="1"/>
  <c r="B778" i="1"/>
  <c r="C778" i="1"/>
  <c r="B779" i="1"/>
  <c r="C779" i="1"/>
  <c r="B780" i="1"/>
  <c r="C780" i="1"/>
  <c r="B781" i="1"/>
  <c r="C781" i="1"/>
  <c r="B782" i="1"/>
  <c r="C782" i="1"/>
  <c r="B783" i="1"/>
  <c r="C783" i="1"/>
  <c r="B784" i="1"/>
  <c r="C784" i="1"/>
  <c r="B785" i="1"/>
  <c r="C785" i="1"/>
  <c r="B786" i="1"/>
  <c r="C786" i="1"/>
  <c r="B787" i="1"/>
  <c r="C787" i="1"/>
  <c r="B788" i="1"/>
  <c r="C788" i="1"/>
  <c r="B789" i="1"/>
  <c r="C789" i="1"/>
  <c r="B790" i="1"/>
  <c r="C790" i="1"/>
  <c r="B791" i="1"/>
  <c r="C791" i="1"/>
  <c r="B792" i="1"/>
  <c r="C792" i="1"/>
  <c r="B793" i="1"/>
  <c r="C793" i="1"/>
  <c r="B794" i="1"/>
  <c r="C794" i="1"/>
  <c r="B795" i="1"/>
  <c r="C795" i="1"/>
  <c r="B796" i="1"/>
  <c r="C796" i="1"/>
  <c r="B797" i="1"/>
  <c r="C797" i="1"/>
  <c r="B798" i="1"/>
  <c r="C798" i="1"/>
  <c r="B799" i="1"/>
  <c r="C799" i="1"/>
  <c r="B800" i="1"/>
  <c r="C800" i="1"/>
  <c r="B801" i="1"/>
  <c r="C801" i="1"/>
  <c r="B802" i="1"/>
  <c r="C802" i="1"/>
  <c r="B803" i="1"/>
  <c r="C803" i="1"/>
  <c r="B804" i="1"/>
  <c r="C804" i="1"/>
  <c r="B805" i="1"/>
  <c r="C805" i="1"/>
  <c r="B806" i="1"/>
  <c r="C806" i="1"/>
  <c r="B807" i="1"/>
  <c r="C807" i="1"/>
  <c r="B808" i="1"/>
  <c r="C808" i="1"/>
  <c r="B809" i="1"/>
  <c r="C809" i="1"/>
  <c r="B810" i="1"/>
  <c r="C810" i="1"/>
  <c r="B811" i="1"/>
  <c r="C811" i="1"/>
  <c r="B812" i="1"/>
  <c r="C812" i="1"/>
  <c r="B813" i="1"/>
  <c r="C813" i="1"/>
  <c r="B814" i="1"/>
  <c r="C814" i="1"/>
  <c r="B815" i="1"/>
  <c r="C815" i="1"/>
  <c r="B816" i="1"/>
  <c r="C816" i="1"/>
  <c r="B817" i="1"/>
  <c r="C817" i="1"/>
  <c r="B818" i="1"/>
  <c r="C818" i="1"/>
  <c r="B819" i="1"/>
  <c r="C819" i="1"/>
  <c r="B820" i="1"/>
  <c r="C820" i="1"/>
  <c r="B821" i="1"/>
  <c r="C821" i="1"/>
  <c r="B822" i="1"/>
  <c r="C822" i="1"/>
  <c r="B823" i="1"/>
  <c r="C823" i="1"/>
  <c r="B824" i="1"/>
  <c r="C824" i="1"/>
  <c r="B825" i="1"/>
  <c r="C825" i="1"/>
  <c r="B826" i="1"/>
  <c r="C826" i="1"/>
  <c r="B827" i="1"/>
  <c r="C827" i="1"/>
  <c r="B828" i="1"/>
  <c r="C828" i="1"/>
  <c r="B829" i="1"/>
  <c r="C829" i="1"/>
  <c r="B830" i="1"/>
  <c r="C830" i="1"/>
  <c r="B831" i="1"/>
  <c r="C831" i="1"/>
  <c r="B832" i="1"/>
  <c r="C832" i="1"/>
  <c r="B833" i="1"/>
  <c r="C833" i="1"/>
  <c r="B834" i="1"/>
  <c r="C834" i="1"/>
  <c r="B835" i="1"/>
  <c r="C835" i="1"/>
  <c r="B836" i="1"/>
  <c r="C836" i="1"/>
  <c r="B837" i="1"/>
  <c r="C837" i="1"/>
  <c r="B838" i="1"/>
  <c r="C838" i="1"/>
  <c r="B839" i="1"/>
  <c r="C839" i="1"/>
  <c r="B840" i="1"/>
  <c r="C840" i="1"/>
  <c r="B841" i="1"/>
  <c r="C841" i="1"/>
  <c r="B842" i="1"/>
  <c r="C842" i="1"/>
  <c r="B843" i="1"/>
  <c r="C843" i="1"/>
  <c r="B844" i="1"/>
  <c r="C844" i="1"/>
  <c r="B845" i="1"/>
  <c r="C845" i="1"/>
  <c r="B846" i="1"/>
  <c r="C846" i="1"/>
  <c r="B847" i="1"/>
  <c r="C847" i="1"/>
  <c r="B848" i="1"/>
  <c r="C848" i="1"/>
  <c r="B849" i="1"/>
  <c r="C849" i="1"/>
  <c r="B850" i="1"/>
  <c r="C850" i="1"/>
  <c r="B851" i="1"/>
  <c r="C851" i="1"/>
  <c r="B852" i="1"/>
  <c r="C852" i="1"/>
  <c r="B853" i="1"/>
  <c r="C853" i="1"/>
  <c r="B854" i="1"/>
  <c r="C854" i="1"/>
  <c r="B855" i="1"/>
  <c r="C855" i="1"/>
  <c r="B856" i="1"/>
  <c r="C856" i="1"/>
  <c r="B857" i="1"/>
  <c r="C857" i="1"/>
  <c r="B858" i="1"/>
  <c r="C858" i="1"/>
  <c r="B859" i="1"/>
  <c r="C859" i="1"/>
  <c r="B860" i="1"/>
  <c r="C860" i="1"/>
  <c r="B861" i="1"/>
  <c r="C861" i="1"/>
  <c r="B862" i="1"/>
  <c r="C862" i="1"/>
  <c r="B863" i="1"/>
  <c r="C863" i="1"/>
  <c r="B864" i="1"/>
  <c r="C864" i="1"/>
  <c r="B865" i="1"/>
  <c r="C865" i="1"/>
  <c r="B866" i="1"/>
  <c r="C866" i="1"/>
  <c r="B867" i="1"/>
  <c r="C867" i="1"/>
  <c r="B868" i="1"/>
  <c r="C868" i="1"/>
  <c r="B869" i="1"/>
  <c r="C869" i="1"/>
  <c r="B870" i="1"/>
  <c r="C870" i="1"/>
  <c r="B871" i="1"/>
  <c r="C871" i="1"/>
  <c r="B872" i="1"/>
  <c r="C872" i="1"/>
  <c r="B873" i="1"/>
  <c r="C873" i="1"/>
  <c r="B874" i="1"/>
  <c r="C874" i="1"/>
  <c r="B875" i="1"/>
  <c r="C875" i="1"/>
  <c r="B876" i="1"/>
  <c r="C876" i="1"/>
  <c r="B877" i="1"/>
  <c r="C877" i="1"/>
  <c r="B878" i="1"/>
  <c r="C878" i="1"/>
  <c r="B879" i="1"/>
  <c r="C879" i="1"/>
  <c r="B880" i="1"/>
  <c r="C880" i="1"/>
  <c r="B881" i="1"/>
  <c r="C881" i="1"/>
  <c r="B882" i="1"/>
  <c r="C882" i="1"/>
  <c r="B883" i="1"/>
  <c r="C883" i="1"/>
  <c r="B884" i="1"/>
  <c r="C884" i="1"/>
  <c r="B885" i="1"/>
  <c r="C885" i="1"/>
  <c r="B886" i="1"/>
  <c r="C886" i="1"/>
  <c r="B887" i="1"/>
  <c r="C887" i="1"/>
  <c r="B888" i="1"/>
  <c r="C888" i="1"/>
  <c r="B889" i="1"/>
  <c r="C889" i="1"/>
  <c r="B890" i="1"/>
  <c r="C890" i="1"/>
  <c r="B891" i="1"/>
  <c r="C891" i="1"/>
  <c r="B892" i="1"/>
  <c r="C892" i="1"/>
  <c r="B893" i="1"/>
  <c r="C893" i="1"/>
  <c r="B894" i="1"/>
  <c r="C894" i="1"/>
  <c r="B895" i="1"/>
  <c r="C895" i="1"/>
  <c r="B896" i="1"/>
  <c r="C896" i="1"/>
  <c r="B897" i="1"/>
  <c r="C897" i="1"/>
  <c r="B898" i="1"/>
  <c r="C898" i="1"/>
  <c r="B899" i="1"/>
  <c r="C899" i="1"/>
  <c r="B900" i="1"/>
  <c r="C900" i="1"/>
  <c r="B901" i="1"/>
  <c r="C901" i="1"/>
  <c r="B902" i="1"/>
  <c r="C902" i="1"/>
  <c r="B903" i="1"/>
  <c r="C903" i="1"/>
  <c r="B904" i="1"/>
  <c r="C904" i="1"/>
  <c r="B905" i="1"/>
  <c r="C905" i="1"/>
  <c r="B906" i="1"/>
  <c r="C906" i="1"/>
  <c r="B907" i="1"/>
  <c r="C907" i="1"/>
  <c r="B908" i="1"/>
  <c r="C908" i="1"/>
  <c r="B909" i="1"/>
  <c r="C909" i="1"/>
  <c r="B910" i="1"/>
  <c r="C910" i="1"/>
  <c r="B911" i="1"/>
  <c r="C911" i="1"/>
  <c r="B912" i="1"/>
  <c r="C912" i="1"/>
  <c r="B913" i="1"/>
  <c r="C913" i="1"/>
  <c r="B914" i="1"/>
  <c r="C914" i="1"/>
  <c r="B915" i="1"/>
  <c r="C915" i="1"/>
  <c r="B916" i="1"/>
  <c r="C916" i="1"/>
  <c r="B917" i="1"/>
  <c r="C917" i="1"/>
  <c r="B918" i="1"/>
  <c r="C918" i="1"/>
  <c r="B919" i="1"/>
  <c r="C919" i="1"/>
  <c r="B920" i="1"/>
  <c r="C920" i="1"/>
  <c r="B921" i="1"/>
  <c r="C921" i="1"/>
  <c r="B922" i="1"/>
  <c r="C922" i="1"/>
  <c r="B923" i="1"/>
  <c r="C923" i="1"/>
  <c r="B924" i="1"/>
  <c r="C924" i="1"/>
  <c r="B925" i="1"/>
  <c r="C925" i="1"/>
  <c r="B926" i="1"/>
  <c r="C926" i="1"/>
  <c r="B927" i="1"/>
  <c r="C927" i="1"/>
  <c r="B928" i="1"/>
  <c r="C928" i="1"/>
  <c r="B929" i="1"/>
  <c r="C929" i="1"/>
  <c r="B930" i="1"/>
  <c r="C930" i="1"/>
  <c r="B931" i="1"/>
  <c r="C931" i="1"/>
  <c r="B932" i="1"/>
  <c r="C932" i="1"/>
  <c r="B933" i="1"/>
  <c r="C933" i="1"/>
  <c r="B934" i="1"/>
  <c r="C934" i="1"/>
  <c r="B935" i="1"/>
  <c r="C935" i="1"/>
  <c r="B936" i="1"/>
  <c r="C936" i="1"/>
  <c r="B937" i="1"/>
  <c r="C937" i="1"/>
  <c r="B938" i="1"/>
  <c r="C938" i="1"/>
  <c r="B939" i="1"/>
  <c r="C939" i="1"/>
  <c r="B940" i="1"/>
  <c r="C940" i="1"/>
  <c r="B941" i="1"/>
  <c r="C941" i="1"/>
  <c r="B942" i="1"/>
  <c r="C942" i="1"/>
  <c r="B943" i="1"/>
  <c r="C943" i="1"/>
  <c r="B944" i="1"/>
  <c r="C944" i="1"/>
  <c r="B945" i="1"/>
  <c r="C945" i="1"/>
  <c r="B946" i="1"/>
  <c r="C946" i="1"/>
  <c r="B947" i="1"/>
  <c r="C947" i="1"/>
  <c r="B948" i="1"/>
  <c r="C948" i="1"/>
  <c r="B949" i="1"/>
  <c r="C949" i="1"/>
  <c r="B950" i="1"/>
  <c r="C950" i="1"/>
  <c r="B951" i="1"/>
  <c r="C951" i="1"/>
  <c r="B952" i="1"/>
  <c r="C952" i="1"/>
  <c r="B953" i="1"/>
  <c r="C953" i="1"/>
  <c r="B954" i="1"/>
  <c r="C954" i="1"/>
  <c r="B955" i="1"/>
  <c r="C955" i="1"/>
  <c r="B956" i="1"/>
  <c r="C956" i="1"/>
  <c r="B957" i="1"/>
  <c r="C957" i="1"/>
  <c r="B958" i="1"/>
  <c r="C958" i="1"/>
  <c r="B959" i="1"/>
  <c r="C959" i="1"/>
  <c r="B960" i="1"/>
  <c r="C960" i="1"/>
  <c r="B961" i="1"/>
  <c r="C961" i="1"/>
  <c r="B962" i="1"/>
  <c r="C962" i="1"/>
  <c r="B963" i="1"/>
  <c r="C963" i="1"/>
  <c r="B964" i="1"/>
  <c r="C964" i="1"/>
  <c r="B965" i="1"/>
  <c r="C965" i="1"/>
  <c r="B966" i="1"/>
  <c r="C966" i="1"/>
  <c r="B967" i="1"/>
  <c r="C967" i="1"/>
  <c r="B968" i="1"/>
  <c r="C968" i="1"/>
  <c r="B969" i="1"/>
  <c r="C969" i="1"/>
  <c r="B970" i="1"/>
  <c r="C970" i="1"/>
  <c r="B971" i="1"/>
  <c r="C971" i="1"/>
  <c r="B972" i="1"/>
  <c r="C972" i="1"/>
  <c r="B973" i="1"/>
  <c r="C973" i="1"/>
  <c r="B974" i="1"/>
  <c r="C974" i="1"/>
  <c r="B975" i="1"/>
  <c r="C975" i="1"/>
  <c r="B976" i="1"/>
  <c r="C976" i="1"/>
  <c r="B977" i="1"/>
  <c r="C977" i="1"/>
  <c r="B978" i="1"/>
  <c r="C978" i="1"/>
  <c r="B979" i="1"/>
  <c r="C979" i="1"/>
  <c r="B980" i="1"/>
  <c r="C980" i="1"/>
  <c r="B981" i="1"/>
  <c r="C981" i="1"/>
  <c r="B982" i="1"/>
  <c r="C982" i="1"/>
  <c r="B983" i="1"/>
  <c r="C983" i="1"/>
  <c r="B984" i="1"/>
  <c r="C984" i="1"/>
  <c r="B985" i="1"/>
  <c r="C985" i="1"/>
  <c r="B986" i="1"/>
  <c r="C986" i="1"/>
  <c r="B987" i="1"/>
  <c r="C987" i="1"/>
  <c r="B988" i="1"/>
  <c r="C988" i="1"/>
  <c r="B989" i="1"/>
  <c r="C989" i="1"/>
  <c r="B990" i="1"/>
  <c r="C990" i="1"/>
  <c r="B991" i="1"/>
  <c r="C991" i="1"/>
  <c r="B992" i="1"/>
  <c r="C992" i="1"/>
  <c r="B993" i="1"/>
  <c r="C993" i="1"/>
  <c r="B994" i="1"/>
  <c r="C994" i="1"/>
  <c r="B995" i="1"/>
  <c r="C995" i="1"/>
  <c r="B996" i="1"/>
  <c r="C996" i="1"/>
  <c r="B997" i="1"/>
  <c r="C997" i="1"/>
  <c r="B998" i="1"/>
  <c r="C998" i="1"/>
  <c r="B999" i="1"/>
  <c r="C999" i="1"/>
  <c r="B1000" i="1"/>
  <c r="C1000" i="1"/>
  <c r="B1001" i="1"/>
  <c r="C1001" i="1"/>
  <c r="B1002" i="1"/>
  <c r="C1002" i="1"/>
  <c r="B1003" i="1"/>
  <c r="C1003" i="1"/>
  <c r="B1004" i="1"/>
  <c r="C1004" i="1"/>
  <c r="B1005" i="1"/>
  <c r="C1005" i="1"/>
  <c r="B1006" i="1"/>
  <c r="C1006" i="1"/>
  <c r="B1007" i="1"/>
  <c r="C1007" i="1"/>
  <c r="B1008" i="1"/>
  <c r="C1008" i="1"/>
  <c r="B1009" i="1"/>
  <c r="C1009" i="1"/>
  <c r="B1010" i="1"/>
  <c r="C1010" i="1"/>
  <c r="B1011" i="1"/>
  <c r="C1011" i="1"/>
  <c r="B1012" i="1"/>
  <c r="C1012" i="1"/>
  <c r="B1013" i="1"/>
  <c r="C1013" i="1"/>
  <c r="B1014" i="1"/>
  <c r="C1014" i="1"/>
  <c r="B1015" i="1"/>
  <c r="C1015" i="1"/>
  <c r="B1016" i="1"/>
  <c r="C1016" i="1"/>
  <c r="B1017" i="1"/>
  <c r="C1017" i="1"/>
  <c r="B1018" i="1"/>
  <c r="C1018" i="1"/>
  <c r="B1019" i="1"/>
  <c r="C1019" i="1"/>
  <c r="B1020" i="1"/>
  <c r="C1020" i="1"/>
  <c r="B1021" i="1"/>
  <c r="C1021" i="1"/>
  <c r="B1022" i="1"/>
  <c r="C1022" i="1"/>
  <c r="B1023" i="1"/>
  <c r="C1023" i="1"/>
  <c r="B1024" i="1"/>
  <c r="C1024" i="1"/>
  <c r="B1025" i="1"/>
  <c r="C1025" i="1"/>
  <c r="B1026" i="1"/>
  <c r="C1026" i="1"/>
  <c r="B1027" i="1"/>
  <c r="C1027" i="1"/>
  <c r="B1028" i="1"/>
  <c r="C1028" i="1"/>
  <c r="B1029" i="1"/>
  <c r="C1029" i="1"/>
  <c r="B1030" i="1"/>
  <c r="C1030" i="1"/>
  <c r="B1031" i="1"/>
  <c r="C1031" i="1"/>
  <c r="B1032" i="1"/>
  <c r="C1032" i="1"/>
  <c r="B1033" i="1"/>
  <c r="C1033" i="1"/>
  <c r="B1034" i="1"/>
  <c r="C1034" i="1"/>
  <c r="B1035" i="1"/>
  <c r="C1035" i="1"/>
  <c r="B1036" i="1"/>
  <c r="C1036" i="1"/>
  <c r="B1037" i="1"/>
  <c r="C1037" i="1"/>
  <c r="B1038" i="1"/>
  <c r="C1038" i="1"/>
  <c r="B1039" i="1"/>
  <c r="C1039" i="1"/>
  <c r="B1040" i="1"/>
  <c r="C1040" i="1"/>
  <c r="B1041" i="1"/>
  <c r="C1041" i="1"/>
  <c r="B1042" i="1"/>
  <c r="C1042" i="1"/>
  <c r="B1043" i="1"/>
  <c r="C1043" i="1"/>
  <c r="B1044" i="1"/>
  <c r="C1044" i="1"/>
  <c r="B1045" i="1"/>
  <c r="C1045" i="1"/>
  <c r="B1046" i="1"/>
  <c r="C1046" i="1"/>
  <c r="B1047" i="1"/>
  <c r="C1047" i="1"/>
  <c r="B1048" i="1"/>
  <c r="C1048" i="1"/>
  <c r="B1049" i="1"/>
  <c r="C1049" i="1"/>
  <c r="B1050" i="1"/>
  <c r="C1050" i="1"/>
  <c r="B1051" i="1"/>
  <c r="C1051" i="1"/>
  <c r="B1052" i="1"/>
  <c r="C1052" i="1"/>
  <c r="B1053" i="1"/>
  <c r="C1053" i="1"/>
  <c r="B1054" i="1"/>
  <c r="C1054" i="1"/>
  <c r="B1055" i="1"/>
  <c r="C1055" i="1"/>
  <c r="B1056" i="1"/>
  <c r="C1056" i="1"/>
  <c r="B1057" i="1"/>
  <c r="C1057" i="1"/>
  <c r="B1058" i="1"/>
  <c r="C1058" i="1"/>
  <c r="B1059" i="1"/>
  <c r="C1059" i="1"/>
  <c r="B1060" i="1"/>
  <c r="C1060" i="1"/>
  <c r="B1061" i="1"/>
  <c r="C1061" i="1"/>
  <c r="B1062" i="1"/>
  <c r="C1062" i="1"/>
  <c r="B1063" i="1"/>
  <c r="C1063" i="1"/>
  <c r="B1064" i="1"/>
  <c r="C1064" i="1"/>
  <c r="B1065" i="1"/>
  <c r="C1065" i="1"/>
  <c r="B1066" i="1"/>
  <c r="C1066" i="1"/>
  <c r="B1067" i="1"/>
  <c r="C1067" i="1"/>
  <c r="B1068" i="1"/>
  <c r="C1068" i="1"/>
  <c r="B1069" i="1"/>
  <c r="C1069" i="1"/>
  <c r="B1070" i="1"/>
  <c r="C1070" i="1"/>
  <c r="B1071" i="1"/>
  <c r="C1071" i="1"/>
  <c r="B1072" i="1"/>
  <c r="C1072" i="1"/>
  <c r="B1073" i="1"/>
  <c r="C1073" i="1"/>
  <c r="B1074" i="1"/>
  <c r="C1074" i="1"/>
  <c r="B1075" i="1"/>
  <c r="C1075" i="1"/>
  <c r="B1076" i="1"/>
  <c r="C1076" i="1"/>
  <c r="B1077" i="1"/>
  <c r="C1077" i="1"/>
  <c r="B1078" i="1"/>
  <c r="C1078" i="1"/>
  <c r="B1079" i="1"/>
  <c r="C1079" i="1"/>
  <c r="B1080" i="1"/>
  <c r="C1080" i="1"/>
  <c r="B1081" i="1"/>
  <c r="C1081" i="1"/>
  <c r="B1082" i="1"/>
  <c r="C1082" i="1"/>
  <c r="B1083" i="1"/>
  <c r="C1083" i="1"/>
  <c r="B1084" i="1"/>
  <c r="C1084" i="1"/>
  <c r="B1085" i="1"/>
  <c r="C1085" i="1"/>
  <c r="B1086" i="1"/>
  <c r="C1086" i="1"/>
  <c r="B1087" i="1"/>
  <c r="C1087" i="1"/>
  <c r="B1088" i="1"/>
  <c r="C1088" i="1"/>
  <c r="B1089" i="1"/>
  <c r="C1089" i="1"/>
  <c r="B1090" i="1"/>
  <c r="C1090" i="1"/>
  <c r="B1091" i="1"/>
  <c r="C1091" i="1"/>
  <c r="B1092" i="1"/>
  <c r="C1092" i="1"/>
  <c r="B1093" i="1"/>
  <c r="C1093" i="1"/>
  <c r="B1094" i="1"/>
  <c r="C1094" i="1"/>
  <c r="B1095" i="1"/>
  <c r="C1095" i="1"/>
  <c r="B1096" i="1"/>
  <c r="C1096" i="1"/>
  <c r="B1097" i="1"/>
  <c r="C1097" i="1"/>
  <c r="B1098" i="1"/>
  <c r="C1098" i="1"/>
  <c r="B1099" i="1"/>
  <c r="C1099" i="1"/>
  <c r="B1100" i="1"/>
  <c r="C1100" i="1"/>
  <c r="B1101" i="1"/>
  <c r="C1101" i="1"/>
  <c r="B1102" i="1"/>
  <c r="C1102" i="1"/>
  <c r="B1103" i="1"/>
  <c r="C1103" i="1"/>
  <c r="B1104" i="1"/>
  <c r="C1104" i="1"/>
  <c r="B1105" i="1"/>
  <c r="C1105" i="1"/>
  <c r="B1106" i="1"/>
  <c r="C1106" i="1"/>
  <c r="B1107" i="1"/>
  <c r="C1107" i="1"/>
  <c r="B1108" i="1"/>
  <c r="C1108" i="1"/>
  <c r="B1109" i="1"/>
  <c r="C1109" i="1"/>
  <c r="B1110" i="1"/>
  <c r="C1110" i="1"/>
  <c r="B1111" i="1"/>
  <c r="C1111" i="1"/>
  <c r="B1112" i="1"/>
  <c r="C1112" i="1"/>
  <c r="B1113" i="1"/>
  <c r="C1113" i="1"/>
  <c r="B1114" i="1"/>
  <c r="C1114" i="1"/>
  <c r="B1115" i="1"/>
  <c r="C1115" i="1"/>
  <c r="B1116" i="1"/>
  <c r="C1116" i="1"/>
  <c r="B1117" i="1"/>
  <c r="C1117" i="1"/>
  <c r="B1118" i="1"/>
  <c r="C1118" i="1"/>
  <c r="B1119" i="1"/>
  <c r="C1119" i="1"/>
  <c r="B1120" i="1"/>
  <c r="C1120" i="1"/>
  <c r="B1121" i="1"/>
  <c r="C1121" i="1"/>
  <c r="B1122" i="1"/>
  <c r="C1122" i="1"/>
  <c r="B1123" i="1"/>
  <c r="C1123" i="1"/>
  <c r="B1124" i="1"/>
  <c r="C1124" i="1"/>
  <c r="B1125" i="1"/>
  <c r="C1125" i="1"/>
  <c r="B1126" i="1"/>
  <c r="C1126" i="1"/>
  <c r="B1127" i="1"/>
  <c r="C1127" i="1"/>
  <c r="B1128" i="1"/>
  <c r="C1128" i="1"/>
  <c r="B1129" i="1"/>
  <c r="C1129" i="1"/>
  <c r="B1130" i="1"/>
  <c r="C1130" i="1"/>
  <c r="B1131" i="1"/>
  <c r="C1131" i="1"/>
  <c r="B1132" i="1"/>
  <c r="C1132" i="1"/>
  <c r="B1133" i="1"/>
  <c r="C1133" i="1"/>
  <c r="B1134" i="1"/>
  <c r="C1134" i="1"/>
  <c r="B1135" i="1"/>
  <c r="C1135" i="1"/>
  <c r="B1136" i="1"/>
  <c r="C1136" i="1"/>
  <c r="B1137" i="1"/>
  <c r="C1137" i="1"/>
  <c r="B1138" i="1"/>
  <c r="C1138" i="1"/>
  <c r="B1139" i="1"/>
  <c r="C1139" i="1"/>
  <c r="B1140" i="1"/>
  <c r="C1140" i="1"/>
  <c r="B1141" i="1"/>
  <c r="C1141" i="1"/>
  <c r="B1142" i="1"/>
  <c r="C1142" i="1"/>
  <c r="B1143" i="1"/>
  <c r="C1143" i="1"/>
  <c r="B1144" i="1"/>
  <c r="C1144" i="1"/>
  <c r="B1145" i="1"/>
  <c r="C1145" i="1"/>
  <c r="B1146" i="1"/>
  <c r="C1146" i="1"/>
  <c r="B1147" i="1"/>
  <c r="C1147" i="1"/>
  <c r="B1148" i="1"/>
  <c r="C1148" i="1"/>
  <c r="B1149" i="1"/>
  <c r="C1149" i="1"/>
  <c r="B1150" i="1"/>
  <c r="C1150" i="1"/>
  <c r="B1151" i="1"/>
  <c r="C1151" i="1"/>
  <c r="B1152" i="1"/>
  <c r="C1152" i="1"/>
  <c r="B1153" i="1"/>
  <c r="C1153" i="1"/>
  <c r="B1154" i="1"/>
  <c r="C1154" i="1"/>
  <c r="B1155" i="1"/>
  <c r="C1155" i="1"/>
  <c r="B1156" i="1"/>
  <c r="C1156" i="1"/>
  <c r="B1157" i="1"/>
  <c r="C1157" i="1"/>
  <c r="B1158" i="1"/>
  <c r="C1158" i="1"/>
  <c r="B1159" i="1"/>
  <c r="C1159" i="1"/>
  <c r="B1160" i="1"/>
  <c r="C1160" i="1"/>
  <c r="B1161" i="1"/>
  <c r="C1161" i="1"/>
  <c r="B1162" i="1"/>
  <c r="C1162" i="1"/>
  <c r="B1163" i="1"/>
  <c r="C1163" i="1"/>
  <c r="B1164" i="1"/>
  <c r="C1164" i="1"/>
  <c r="B1165" i="1"/>
  <c r="C1165" i="1"/>
  <c r="B1166" i="1"/>
  <c r="C1166" i="1"/>
  <c r="B1167" i="1"/>
  <c r="C1167" i="1"/>
  <c r="B1168" i="1"/>
  <c r="C1168" i="1"/>
  <c r="B1169" i="1"/>
  <c r="C1169" i="1"/>
  <c r="B1170" i="1"/>
  <c r="C1170" i="1"/>
  <c r="B1171" i="1"/>
  <c r="C1171" i="1"/>
  <c r="B1172" i="1"/>
  <c r="C1172" i="1"/>
  <c r="B1173" i="1"/>
  <c r="C1173" i="1"/>
  <c r="B1174" i="1"/>
  <c r="C1174" i="1"/>
  <c r="B1175" i="1"/>
  <c r="C1175" i="1"/>
  <c r="B1176" i="1"/>
  <c r="C1176" i="1"/>
  <c r="B1177" i="1"/>
  <c r="C1177" i="1"/>
  <c r="B1178" i="1"/>
  <c r="C1178" i="1"/>
  <c r="B1179" i="1"/>
  <c r="C1179" i="1"/>
  <c r="B1180" i="1"/>
  <c r="C1180" i="1"/>
  <c r="B1181" i="1"/>
  <c r="C1181" i="1"/>
  <c r="B1182" i="1"/>
  <c r="C1182" i="1"/>
  <c r="B1183" i="1"/>
  <c r="C1183" i="1"/>
  <c r="B1184" i="1"/>
  <c r="C1184" i="1"/>
  <c r="B1185" i="1"/>
  <c r="C1185" i="1"/>
  <c r="B1186" i="1"/>
  <c r="C1186" i="1"/>
  <c r="B1187" i="1"/>
  <c r="C1187" i="1"/>
  <c r="B1188" i="1"/>
  <c r="C1188" i="1"/>
  <c r="B1189" i="1"/>
  <c r="C1189" i="1"/>
  <c r="B1190" i="1"/>
  <c r="C1190" i="1"/>
  <c r="B1191" i="1"/>
  <c r="C1191" i="1"/>
  <c r="B1192" i="1"/>
  <c r="C1192" i="1"/>
  <c r="B1193" i="1"/>
  <c r="C1193" i="1"/>
  <c r="B1194" i="1"/>
  <c r="C1194" i="1"/>
  <c r="B1195" i="1"/>
  <c r="C1195" i="1"/>
  <c r="B1196" i="1"/>
  <c r="C1196" i="1"/>
  <c r="B1197" i="1"/>
  <c r="C1197" i="1"/>
  <c r="B1198" i="1"/>
  <c r="C1198" i="1"/>
  <c r="B1199" i="1"/>
  <c r="C1199" i="1"/>
  <c r="B1200" i="1"/>
  <c r="C1200" i="1"/>
  <c r="B1201" i="1"/>
  <c r="C1201" i="1"/>
  <c r="B1202" i="1"/>
  <c r="C1202" i="1"/>
  <c r="B1203" i="1"/>
  <c r="C1203" i="1"/>
  <c r="B1204" i="1"/>
  <c r="C1204" i="1"/>
  <c r="B1205" i="1"/>
  <c r="C1205" i="1"/>
  <c r="B1206" i="1"/>
  <c r="C1206" i="1"/>
  <c r="B1207" i="1"/>
  <c r="C1207" i="1"/>
  <c r="B1208" i="1"/>
  <c r="C1208" i="1"/>
  <c r="B1209" i="1"/>
  <c r="C1209" i="1"/>
  <c r="B1210" i="1"/>
  <c r="C1210" i="1"/>
  <c r="B1211" i="1"/>
  <c r="C1211" i="1"/>
  <c r="B1212" i="1"/>
  <c r="C1212" i="1"/>
  <c r="B1213" i="1"/>
  <c r="C1213" i="1"/>
  <c r="B1214" i="1"/>
  <c r="C1214" i="1"/>
  <c r="B1215" i="1"/>
  <c r="C1215" i="1"/>
  <c r="B1216" i="1"/>
  <c r="C1216" i="1"/>
  <c r="B1217" i="1"/>
  <c r="C1217" i="1"/>
  <c r="B1218" i="1"/>
  <c r="C1218" i="1"/>
  <c r="B1219" i="1"/>
  <c r="C1219" i="1"/>
  <c r="B1220" i="1"/>
  <c r="C1220" i="1"/>
  <c r="B1221" i="1"/>
  <c r="C1221" i="1"/>
  <c r="B1222" i="1"/>
  <c r="C1222" i="1"/>
  <c r="B1223" i="1"/>
  <c r="C1223" i="1"/>
  <c r="B1224" i="1"/>
  <c r="C1224" i="1"/>
  <c r="B1225" i="1"/>
  <c r="C1225" i="1"/>
  <c r="B1226" i="1"/>
  <c r="C1226" i="1"/>
  <c r="B1227" i="1"/>
  <c r="C1227" i="1"/>
  <c r="B1228" i="1"/>
  <c r="C1228" i="1"/>
  <c r="B1229" i="1"/>
  <c r="C1229" i="1"/>
  <c r="B1230" i="1"/>
  <c r="C1230" i="1"/>
  <c r="B1231" i="1"/>
  <c r="C1231" i="1"/>
  <c r="B1232" i="1"/>
  <c r="C1232" i="1"/>
  <c r="B1233" i="1"/>
  <c r="C1233" i="1"/>
  <c r="B1234" i="1"/>
  <c r="C1234" i="1"/>
  <c r="B1235" i="1"/>
  <c r="C1235" i="1"/>
  <c r="B1236" i="1"/>
  <c r="C1236" i="1"/>
  <c r="B1237" i="1"/>
  <c r="C1237" i="1"/>
  <c r="B1238" i="1"/>
  <c r="C1238" i="1"/>
  <c r="B1239" i="1"/>
  <c r="C1239" i="1"/>
  <c r="B1240" i="1"/>
  <c r="C1240" i="1"/>
  <c r="B1241" i="1"/>
  <c r="C1241" i="1"/>
  <c r="B1242" i="1"/>
  <c r="C1242" i="1"/>
  <c r="B1243" i="1"/>
  <c r="C1243" i="1"/>
  <c r="B1244" i="1"/>
  <c r="C1244" i="1"/>
  <c r="B1245" i="1"/>
  <c r="C1245" i="1"/>
  <c r="B1246" i="1"/>
  <c r="C1246" i="1"/>
  <c r="B1247" i="1"/>
  <c r="C1247" i="1"/>
  <c r="B1248" i="1"/>
  <c r="C1248" i="1"/>
  <c r="B1249" i="1"/>
  <c r="C1249" i="1"/>
  <c r="B1250" i="1"/>
  <c r="C1250" i="1"/>
  <c r="B1251" i="1"/>
  <c r="C1251" i="1"/>
  <c r="B1252" i="1"/>
  <c r="C1252" i="1"/>
  <c r="B1253" i="1"/>
  <c r="C1253" i="1"/>
  <c r="B1254" i="1"/>
  <c r="C1254" i="1"/>
  <c r="B1255" i="1"/>
  <c r="C1255" i="1"/>
  <c r="B1256" i="1"/>
  <c r="C1256" i="1"/>
  <c r="B1257" i="1"/>
  <c r="C1257" i="1"/>
  <c r="B1258" i="1"/>
  <c r="C1258" i="1"/>
  <c r="B1259" i="1"/>
  <c r="C1259" i="1"/>
  <c r="B1260" i="1"/>
  <c r="C1260" i="1"/>
  <c r="B1261" i="1"/>
  <c r="C1261" i="1"/>
  <c r="B1262" i="1"/>
  <c r="C1262" i="1"/>
  <c r="B1263" i="1"/>
  <c r="C1263" i="1"/>
  <c r="B1264" i="1"/>
  <c r="C1264" i="1"/>
  <c r="B1265" i="1"/>
  <c r="C1265" i="1"/>
  <c r="B1266" i="1"/>
  <c r="C1266" i="1"/>
  <c r="B1267" i="1"/>
  <c r="C1267" i="1"/>
  <c r="B1268" i="1"/>
  <c r="C1268" i="1"/>
  <c r="B1269" i="1"/>
  <c r="C1269" i="1"/>
  <c r="B1270" i="1"/>
  <c r="C1270" i="1"/>
  <c r="B1271" i="1"/>
  <c r="C1271" i="1"/>
  <c r="B1272" i="1"/>
  <c r="C1272" i="1"/>
  <c r="B1273" i="1"/>
  <c r="C1273" i="1"/>
  <c r="B1274" i="1"/>
  <c r="C1274" i="1"/>
  <c r="B1275" i="1"/>
  <c r="C1275" i="1"/>
  <c r="B1276" i="1"/>
  <c r="C1276" i="1"/>
  <c r="B1277" i="1"/>
  <c r="C1277" i="1"/>
  <c r="B1278" i="1"/>
  <c r="C1278" i="1"/>
  <c r="B1279" i="1"/>
  <c r="C1279" i="1"/>
  <c r="B1280" i="1"/>
  <c r="C1280" i="1"/>
  <c r="B1281" i="1"/>
  <c r="C1281" i="1"/>
  <c r="B1282" i="1"/>
  <c r="C1282" i="1"/>
  <c r="B1283" i="1"/>
  <c r="C1283" i="1"/>
  <c r="B1284" i="1"/>
  <c r="C1284" i="1"/>
  <c r="B1285" i="1"/>
  <c r="C1285" i="1"/>
  <c r="B1286" i="1"/>
  <c r="C1286" i="1"/>
  <c r="B1287" i="1"/>
  <c r="C1287" i="1"/>
  <c r="B1288" i="1"/>
  <c r="C1288" i="1"/>
  <c r="B1289" i="1"/>
  <c r="C1289" i="1"/>
  <c r="B1290" i="1"/>
  <c r="C1290" i="1"/>
  <c r="B1291" i="1"/>
  <c r="C1291" i="1"/>
  <c r="B1292" i="1"/>
  <c r="C1292" i="1"/>
  <c r="B1293" i="1"/>
  <c r="C1293" i="1"/>
  <c r="B1294" i="1"/>
  <c r="C1294" i="1"/>
  <c r="B1295" i="1"/>
  <c r="C1295" i="1"/>
  <c r="B1296" i="1"/>
  <c r="C1296" i="1"/>
  <c r="B1297" i="1"/>
  <c r="C1297" i="1"/>
  <c r="B1298" i="1"/>
  <c r="C1298" i="1"/>
  <c r="B1299" i="1"/>
  <c r="C1299" i="1"/>
  <c r="B1300" i="1"/>
  <c r="C1300" i="1"/>
  <c r="B1301" i="1"/>
  <c r="C1301" i="1"/>
  <c r="B1302" i="1"/>
  <c r="C1302" i="1"/>
  <c r="B1303" i="1"/>
  <c r="C1303" i="1"/>
  <c r="B1304" i="1"/>
  <c r="C1304" i="1"/>
  <c r="B1305" i="1"/>
  <c r="C1305" i="1"/>
  <c r="B1306" i="1"/>
  <c r="C1306" i="1"/>
  <c r="B1307" i="1"/>
  <c r="C1307" i="1"/>
  <c r="B1308" i="1"/>
  <c r="C1308" i="1"/>
  <c r="B1309" i="1"/>
  <c r="C1309" i="1"/>
  <c r="B1310" i="1"/>
  <c r="C1310" i="1"/>
  <c r="B1311" i="1"/>
  <c r="C1311" i="1"/>
  <c r="B1312" i="1"/>
  <c r="C1312" i="1"/>
  <c r="B1313" i="1"/>
  <c r="C1313" i="1"/>
  <c r="B1314" i="1"/>
  <c r="C1314" i="1"/>
  <c r="B1315" i="1"/>
  <c r="C1315" i="1"/>
  <c r="B1316" i="1"/>
  <c r="C1316" i="1"/>
  <c r="B1317" i="1"/>
  <c r="C1317" i="1"/>
  <c r="B1318" i="1"/>
  <c r="C1318" i="1"/>
  <c r="B1319" i="1"/>
  <c r="C1319" i="1"/>
  <c r="B1320" i="1"/>
  <c r="C1320" i="1"/>
  <c r="B1321" i="1"/>
  <c r="C1321" i="1"/>
  <c r="B1322" i="1"/>
  <c r="C1322" i="1"/>
  <c r="B1323" i="1"/>
  <c r="C1323" i="1"/>
  <c r="B1324" i="1"/>
  <c r="C1324" i="1"/>
  <c r="B1325" i="1"/>
  <c r="C1325" i="1"/>
  <c r="B1326" i="1"/>
  <c r="C1326" i="1"/>
  <c r="B1327" i="1"/>
  <c r="C1327" i="1"/>
  <c r="B1328" i="1"/>
  <c r="C1328" i="1"/>
  <c r="B1329" i="1"/>
  <c r="C1329" i="1"/>
  <c r="B1330" i="1"/>
  <c r="C1330" i="1"/>
  <c r="B1331" i="1"/>
  <c r="C1331" i="1"/>
  <c r="B1332" i="1"/>
  <c r="C1332" i="1"/>
  <c r="B1333" i="1"/>
  <c r="C1333" i="1"/>
  <c r="B1334" i="1"/>
  <c r="C1334" i="1"/>
  <c r="B1335" i="1"/>
  <c r="C1335" i="1"/>
  <c r="B1336" i="1"/>
  <c r="C1336" i="1"/>
  <c r="B1337" i="1"/>
  <c r="C1337" i="1"/>
  <c r="B1338" i="1"/>
  <c r="C1338" i="1"/>
  <c r="B1339" i="1"/>
  <c r="C1339" i="1"/>
  <c r="B1340" i="1"/>
  <c r="C1340" i="1"/>
  <c r="B1341" i="1"/>
  <c r="C1341" i="1"/>
  <c r="B1342" i="1"/>
  <c r="C1342" i="1"/>
  <c r="B1343" i="1"/>
  <c r="C1343" i="1"/>
  <c r="B1344" i="1"/>
  <c r="C1344" i="1"/>
  <c r="B1345" i="1"/>
  <c r="C1345" i="1"/>
  <c r="B1346" i="1"/>
  <c r="C1346" i="1"/>
  <c r="B1347" i="1"/>
  <c r="C1347" i="1"/>
  <c r="B1348" i="1"/>
  <c r="C1348" i="1"/>
  <c r="B1349" i="1"/>
  <c r="C1349" i="1"/>
  <c r="B1350" i="1"/>
  <c r="C1350" i="1"/>
  <c r="B1351" i="1"/>
  <c r="C1351" i="1"/>
  <c r="B1352" i="1"/>
  <c r="C1352" i="1"/>
  <c r="B1353" i="1"/>
  <c r="C1353" i="1"/>
  <c r="B1354" i="1"/>
  <c r="C1354" i="1"/>
  <c r="B1355" i="1"/>
  <c r="C1355" i="1"/>
  <c r="B1356" i="1"/>
  <c r="C1356" i="1"/>
  <c r="B1357" i="1"/>
  <c r="C1357" i="1"/>
  <c r="B1358" i="1"/>
  <c r="C1358" i="1"/>
  <c r="B1359" i="1"/>
  <c r="C1359" i="1"/>
  <c r="B1360" i="1"/>
  <c r="C1360" i="1"/>
  <c r="B1361" i="1"/>
  <c r="C1361" i="1"/>
  <c r="B1362" i="1"/>
  <c r="C1362" i="1"/>
  <c r="B1363" i="1"/>
  <c r="C1363" i="1"/>
  <c r="B1364" i="1"/>
  <c r="C1364" i="1"/>
  <c r="B1365" i="1"/>
  <c r="C1365" i="1"/>
  <c r="B1366" i="1"/>
  <c r="C1366" i="1"/>
  <c r="B1367" i="1"/>
  <c r="C1367" i="1"/>
  <c r="B1368" i="1"/>
  <c r="C1368" i="1"/>
  <c r="B1369" i="1"/>
  <c r="C1369" i="1"/>
  <c r="B1370" i="1"/>
  <c r="C1370" i="1"/>
  <c r="B1371" i="1"/>
  <c r="C1371" i="1"/>
  <c r="B1372" i="1"/>
  <c r="C1372" i="1"/>
  <c r="B1373" i="1"/>
  <c r="C1373" i="1"/>
  <c r="B1374" i="1"/>
  <c r="C1374" i="1"/>
  <c r="B1375" i="1"/>
  <c r="C1375" i="1"/>
  <c r="B1376" i="1"/>
  <c r="C1376" i="1"/>
  <c r="B1377" i="1"/>
  <c r="C1377" i="1"/>
  <c r="B1378" i="1"/>
  <c r="C1378" i="1"/>
  <c r="B1379" i="1"/>
  <c r="C1379" i="1"/>
  <c r="B1380" i="1"/>
  <c r="C1380" i="1"/>
  <c r="B1381" i="1"/>
  <c r="C1381" i="1"/>
  <c r="B1382" i="1"/>
  <c r="C1382" i="1"/>
  <c r="B1383" i="1"/>
  <c r="C1383" i="1"/>
  <c r="B1384" i="1"/>
  <c r="C1384" i="1"/>
  <c r="B1385" i="1"/>
  <c r="C1385" i="1"/>
  <c r="B1386" i="1"/>
  <c r="C1386" i="1"/>
  <c r="B1387" i="1"/>
  <c r="C1387" i="1"/>
  <c r="B1388" i="1"/>
  <c r="C1388" i="1"/>
  <c r="B1389" i="1"/>
  <c r="C1389" i="1"/>
  <c r="B1390" i="1"/>
  <c r="C1390" i="1"/>
  <c r="B1391" i="1"/>
  <c r="C1391" i="1"/>
  <c r="B1392" i="1"/>
  <c r="C1392" i="1"/>
  <c r="B1393" i="1"/>
  <c r="C1393" i="1"/>
  <c r="B1394" i="1"/>
  <c r="C1394" i="1"/>
  <c r="B1395" i="1"/>
  <c r="C1395" i="1"/>
  <c r="B1396" i="1"/>
  <c r="C1396" i="1"/>
  <c r="B1397" i="1"/>
  <c r="C1397" i="1"/>
  <c r="B1398" i="1"/>
  <c r="C1398" i="1"/>
  <c r="B1399" i="1"/>
  <c r="C1399" i="1"/>
  <c r="B1400" i="1"/>
  <c r="C1400" i="1"/>
  <c r="B1401" i="1"/>
  <c r="C1401" i="1"/>
  <c r="B1402" i="1"/>
  <c r="C1402" i="1"/>
  <c r="B1403" i="1"/>
  <c r="C1403" i="1"/>
  <c r="B1404" i="1"/>
  <c r="C1404" i="1"/>
  <c r="B1405" i="1"/>
  <c r="C1405" i="1"/>
  <c r="B1406" i="1"/>
  <c r="C1406" i="1"/>
  <c r="B1407" i="1"/>
  <c r="C1407" i="1"/>
  <c r="B1408" i="1"/>
  <c r="C1408" i="1"/>
  <c r="B1409" i="1"/>
  <c r="C1409" i="1"/>
  <c r="B1410" i="1"/>
  <c r="C1410" i="1"/>
  <c r="B1411" i="1"/>
  <c r="C1411" i="1"/>
  <c r="B1412" i="1"/>
  <c r="C1412" i="1"/>
  <c r="B1413" i="1"/>
  <c r="C1413" i="1"/>
  <c r="B1414" i="1"/>
  <c r="C1414" i="1"/>
  <c r="B1415" i="1"/>
  <c r="C1415" i="1"/>
  <c r="B1416" i="1"/>
  <c r="C1416" i="1"/>
  <c r="B1417" i="1"/>
  <c r="C1417" i="1"/>
  <c r="B1418" i="1"/>
  <c r="C1418" i="1"/>
  <c r="B1419" i="1"/>
  <c r="C1419" i="1"/>
  <c r="B1420" i="1"/>
  <c r="C1420" i="1"/>
  <c r="B1421" i="1"/>
  <c r="C1421" i="1"/>
  <c r="B1422" i="1"/>
  <c r="C1422" i="1"/>
  <c r="B1423" i="1"/>
  <c r="C1423" i="1"/>
  <c r="B1424" i="1"/>
  <c r="C1424" i="1"/>
  <c r="B1425" i="1"/>
  <c r="C1425" i="1"/>
  <c r="B1426" i="1"/>
  <c r="C1426" i="1"/>
  <c r="B1427" i="1"/>
  <c r="C1427" i="1"/>
  <c r="B1428" i="1"/>
  <c r="C1428" i="1"/>
  <c r="B1429" i="1"/>
  <c r="C1429" i="1"/>
  <c r="B1430" i="1"/>
  <c r="C1430" i="1"/>
  <c r="B1431" i="1"/>
  <c r="C1431" i="1"/>
  <c r="B1432" i="1"/>
  <c r="C1432" i="1"/>
  <c r="B1433" i="1"/>
  <c r="C1433" i="1"/>
  <c r="B1434" i="1"/>
  <c r="C1434" i="1"/>
  <c r="B1435" i="1"/>
  <c r="C1435" i="1"/>
  <c r="B1436" i="1"/>
  <c r="C1436" i="1"/>
  <c r="B1437" i="1"/>
  <c r="C1437" i="1"/>
  <c r="B1438" i="1"/>
  <c r="C1438" i="1"/>
  <c r="B1439" i="1"/>
  <c r="C1439" i="1"/>
  <c r="B1440" i="1"/>
  <c r="C1440" i="1"/>
  <c r="B1441" i="1"/>
  <c r="C1441" i="1"/>
  <c r="B1442" i="1"/>
  <c r="C1442" i="1"/>
  <c r="B1443" i="1"/>
  <c r="C1443" i="1"/>
  <c r="B1444" i="1"/>
  <c r="C1444" i="1"/>
  <c r="B1445" i="1"/>
  <c r="C1445" i="1"/>
  <c r="B1446" i="1"/>
  <c r="C1446" i="1"/>
  <c r="B1447" i="1"/>
  <c r="C1447" i="1"/>
  <c r="B1448" i="1"/>
  <c r="C1448" i="1"/>
  <c r="B1449" i="1"/>
  <c r="C1449" i="1"/>
  <c r="B1450" i="1"/>
  <c r="C1450" i="1"/>
  <c r="B1451" i="1"/>
  <c r="C1451" i="1"/>
  <c r="B1452" i="1"/>
  <c r="C1452" i="1"/>
  <c r="B1453" i="1"/>
  <c r="C1453" i="1"/>
  <c r="B1454" i="1"/>
  <c r="C1454" i="1"/>
  <c r="B1455" i="1"/>
  <c r="C1455" i="1"/>
  <c r="B1456" i="1"/>
  <c r="C1456" i="1"/>
  <c r="B1457" i="1"/>
  <c r="C1457" i="1"/>
  <c r="B1458" i="1"/>
  <c r="C1458" i="1"/>
  <c r="B1459" i="1"/>
  <c r="C1459" i="1"/>
  <c r="B1460" i="1"/>
  <c r="C1460" i="1"/>
  <c r="B1461" i="1"/>
  <c r="C1461" i="1"/>
  <c r="B1462" i="1"/>
  <c r="C1462" i="1"/>
  <c r="B1463" i="1"/>
  <c r="C1463" i="1"/>
  <c r="B1464" i="1"/>
  <c r="C1464" i="1"/>
  <c r="B1465" i="1"/>
  <c r="C1465" i="1"/>
  <c r="B1466" i="1"/>
  <c r="C1466" i="1"/>
  <c r="B1467" i="1"/>
  <c r="C1467" i="1"/>
  <c r="B1468" i="1"/>
  <c r="C1468" i="1"/>
  <c r="B1469" i="1"/>
  <c r="C1469" i="1"/>
  <c r="B1470" i="1"/>
  <c r="C1470" i="1"/>
  <c r="B1471" i="1"/>
  <c r="C1471" i="1"/>
  <c r="B1472" i="1"/>
  <c r="C1472" i="1"/>
  <c r="B1473" i="1"/>
  <c r="C1473" i="1"/>
  <c r="B1474" i="1"/>
  <c r="C1474" i="1"/>
  <c r="B1475" i="1"/>
  <c r="C1475" i="1"/>
  <c r="B1476" i="1"/>
  <c r="C1476" i="1"/>
  <c r="B1477" i="1"/>
  <c r="C1477" i="1"/>
  <c r="B1478" i="1"/>
  <c r="C1478" i="1"/>
  <c r="B1479" i="1"/>
  <c r="C1479" i="1"/>
  <c r="B1480" i="1"/>
  <c r="C1480" i="1"/>
  <c r="B1481" i="1"/>
  <c r="C1481" i="1"/>
  <c r="B1482" i="1"/>
  <c r="C1482" i="1"/>
  <c r="B1483" i="1"/>
  <c r="C1483" i="1"/>
  <c r="B1484" i="1"/>
  <c r="C1484" i="1"/>
  <c r="B1485" i="1"/>
  <c r="C1485" i="1"/>
  <c r="B1486" i="1"/>
  <c r="C1486" i="1"/>
  <c r="B1487" i="1"/>
  <c r="C1487" i="1"/>
  <c r="B1488" i="1"/>
  <c r="C1488" i="1"/>
  <c r="B1489" i="1"/>
  <c r="C1489" i="1"/>
  <c r="B1490" i="1"/>
  <c r="C1490" i="1"/>
  <c r="B1491" i="1"/>
  <c r="C1491" i="1"/>
  <c r="B1492" i="1"/>
  <c r="C1492" i="1"/>
  <c r="B1493" i="1"/>
  <c r="C1493" i="1"/>
  <c r="B1494" i="1"/>
  <c r="C1494" i="1"/>
  <c r="B1495" i="1"/>
  <c r="C1495" i="1"/>
  <c r="B1496" i="1"/>
  <c r="C1496" i="1"/>
  <c r="B1497" i="1"/>
  <c r="C1497" i="1"/>
  <c r="B1498" i="1"/>
  <c r="C1498" i="1"/>
  <c r="B1499" i="1"/>
  <c r="C1499" i="1"/>
  <c r="B1500" i="1"/>
  <c r="C1500" i="1"/>
  <c r="B1501" i="1"/>
  <c r="C1501" i="1"/>
  <c r="B1502" i="1"/>
  <c r="C1502" i="1"/>
  <c r="B1503" i="1"/>
  <c r="C1503" i="1"/>
  <c r="B1504" i="1"/>
  <c r="C1504" i="1"/>
  <c r="B1505" i="1"/>
  <c r="C1505" i="1"/>
  <c r="B1506" i="1"/>
  <c r="C1506" i="1"/>
  <c r="B1507" i="1"/>
  <c r="C1507" i="1"/>
  <c r="B1508" i="1"/>
  <c r="C1508" i="1"/>
  <c r="B1509" i="1"/>
  <c r="C1509" i="1"/>
  <c r="B1510" i="1"/>
  <c r="C1510" i="1"/>
  <c r="B1511" i="1"/>
  <c r="C1511" i="1"/>
  <c r="B1512" i="1"/>
  <c r="C1512" i="1"/>
  <c r="B1513" i="1"/>
  <c r="C1513" i="1"/>
  <c r="B1514" i="1"/>
  <c r="C1514" i="1"/>
  <c r="B1515" i="1"/>
  <c r="C1515" i="1"/>
  <c r="B1516" i="1"/>
  <c r="C1516" i="1"/>
  <c r="B1517" i="1"/>
  <c r="C1517" i="1"/>
  <c r="B1518" i="1"/>
  <c r="C1518" i="1"/>
  <c r="B1519" i="1"/>
  <c r="C1519" i="1"/>
  <c r="B1520" i="1"/>
  <c r="C1520" i="1"/>
  <c r="B1521" i="1"/>
  <c r="C1521" i="1"/>
  <c r="B1522" i="1"/>
  <c r="C1522" i="1"/>
  <c r="B1523" i="1"/>
  <c r="C1523" i="1"/>
  <c r="B1524" i="1"/>
  <c r="C1524" i="1"/>
  <c r="B1525" i="1"/>
  <c r="C1525" i="1"/>
  <c r="B1526" i="1"/>
  <c r="C1526" i="1"/>
  <c r="B1527" i="1"/>
  <c r="C1527" i="1"/>
  <c r="B1528" i="1"/>
  <c r="C1528" i="1"/>
  <c r="B1529" i="1"/>
  <c r="C1529" i="1"/>
  <c r="B1530" i="1"/>
  <c r="C1530" i="1"/>
  <c r="B1531" i="1"/>
  <c r="C1531" i="1"/>
  <c r="B1532" i="1"/>
  <c r="C1532" i="1"/>
  <c r="B1533" i="1"/>
  <c r="C1533" i="1"/>
  <c r="B1534" i="1"/>
  <c r="C1534" i="1"/>
  <c r="B1535" i="1"/>
  <c r="C1535" i="1"/>
  <c r="B1536" i="1"/>
  <c r="C1536" i="1"/>
  <c r="B1537" i="1"/>
  <c r="C1537" i="1"/>
  <c r="B1538" i="1"/>
  <c r="C1538" i="1"/>
  <c r="B1539" i="1"/>
  <c r="C1539" i="1"/>
  <c r="B1540" i="1"/>
  <c r="C1540" i="1"/>
  <c r="B1541" i="1"/>
  <c r="C1541" i="1"/>
  <c r="B1542" i="1"/>
  <c r="C1542" i="1"/>
  <c r="B1543" i="1"/>
  <c r="C1543" i="1"/>
  <c r="B1544" i="1"/>
  <c r="C1544" i="1"/>
  <c r="B1545" i="1"/>
  <c r="C1545" i="1"/>
  <c r="B1546" i="1"/>
  <c r="C1546" i="1"/>
  <c r="B1547" i="1"/>
  <c r="C1547" i="1"/>
  <c r="B1548" i="1"/>
  <c r="C1548" i="1"/>
  <c r="B1549" i="1"/>
  <c r="C1549" i="1"/>
  <c r="B1550" i="1"/>
  <c r="C1550" i="1"/>
  <c r="B1551" i="1"/>
  <c r="C1551" i="1"/>
  <c r="B1552" i="1"/>
  <c r="C1552" i="1"/>
  <c r="B1553" i="1"/>
  <c r="C1553" i="1"/>
  <c r="B1554" i="1"/>
  <c r="C1554" i="1"/>
  <c r="B1555" i="1"/>
  <c r="C1555" i="1"/>
  <c r="B1556" i="1"/>
  <c r="C1556" i="1"/>
  <c r="B1557" i="1"/>
  <c r="C1557" i="1"/>
  <c r="B1558" i="1"/>
  <c r="C1558" i="1"/>
  <c r="B1559" i="1"/>
  <c r="C1559" i="1"/>
  <c r="B1560" i="1"/>
  <c r="C1560" i="1"/>
  <c r="B1561" i="1"/>
  <c r="C1561" i="1"/>
  <c r="B1562" i="1"/>
  <c r="C1562" i="1"/>
  <c r="B1563" i="1"/>
  <c r="C1563" i="1"/>
  <c r="B1564" i="1"/>
  <c r="C1564" i="1"/>
  <c r="B1565" i="1"/>
  <c r="C1565" i="1"/>
  <c r="B1566" i="1"/>
  <c r="C1566" i="1"/>
  <c r="B1567" i="1"/>
  <c r="C1567" i="1"/>
  <c r="B1568" i="1"/>
  <c r="C1568" i="1"/>
  <c r="B1569" i="1"/>
  <c r="C1569" i="1"/>
  <c r="B1570" i="1"/>
  <c r="C1570" i="1"/>
  <c r="B1571" i="1"/>
  <c r="C1571" i="1"/>
  <c r="B1572" i="1"/>
  <c r="C1572" i="1"/>
  <c r="B1573" i="1"/>
  <c r="C1573" i="1"/>
  <c r="B1574" i="1"/>
  <c r="C1574" i="1"/>
  <c r="B1575" i="1"/>
  <c r="C1575" i="1"/>
  <c r="B1576" i="1"/>
  <c r="C1576" i="1"/>
  <c r="B1577" i="1"/>
  <c r="C1577" i="1"/>
  <c r="B1578" i="1"/>
  <c r="C1578" i="1"/>
  <c r="B1579" i="1"/>
  <c r="C1579" i="1"/>
  <c r="B1580" i="1"/>
  <c r="C1580" i="1"/>
  <c r="B1581" i="1"/>
  <c r="C1581" i="1"/>
  <c r="B1582" i="1"/>
  <c r="C1582" i="1"/>
  <c r="B1583" i="1"/>
  <c r="C1583" i="1"/>
  <c r="B1584" i="1"/>
  <c r="C1584" i="1"/>
  <c r="B1585" i="1"/>
  <c r="C1585" i="1"/>
  <c r="B1586" i="1"/>
  <c r="C1586" i="1"/>
  <c r="B1587" i="1"/>
  <c r="C1587" i="1"/>
  <c r="B1588" i="1"/>
  <c r="C1588" i="1"/>
  <c r="B1589" i="1"/>
  <c r="C1589" i="1"/>
  <c r="B1590" i="1"/>
  <c r="C1590" i="1"/>
  <c r="B1591" i="1"/>
  <c r="C1591" i="1"/>
  <c r="B1592" i="1"/>
  <c r="C1592" i="1"/>
  <c r="B1593" i="1"/>
  <c r="C1593" i="1"/>
  <c r="B1594" i="1"/>
  <c r="C1594" i="1"/>
  <c r="B1595" i="1"/>
  <c r="C1595" i="1"/>
  <c r="B1596" i="1"/>
  <c r="C1596" i="1"/>
  <c r="B1597" i="1"/>
  <c r="C1597" i="1"/>
  <c r="B1598" i="1"/>
  <c r="C1598" i="1"/>
  <c r="B1599" i="1"/>
  <c r="C1599" i="1"/>
  <c r="B1600" i="1"/>
  <c r="C1600" i="1"/>
  <c r="B1601" i="1"/>
  <c r="C1601" i="1"/>
  <c r="B1602" i="1"/>
  <c r="C1602" i="1"/>
  <c r="B1603" i="1"/>
  <c r="C1603" i="1"/>
  <c r="B1604" i="1"/>
  <c r="C1604" i="1"/>
  <c r="B1605" i="1"/>
  <c r="C1605" i="1"/>
  <c r="B1606" i="1"/>
  <c r="C1606" i="1"/>
  <c r="B1607" i="1"/>
  <c r="C1607" i="1"/>
  <c r="B1608" i="1"/>
  <c r="C1608" i="1"/>
  <c r="B1609" i="1"/>
  <c r="C1609" i="1"/>
  <c r="B1610" i="1"/>
  <c r="C1610" i="1"/>
  <c r="B1611" i="1"/>
  <c r="C1611" i="1"/>
  <c r="B1612" i="1"/>
  <c r="C1612" i="1"/>
  <c r="B1613" i="1"/>
  <c r="C1613" i="1"/>
  <c r="B1614" i="1"/>
  <c r="C1614" i="1"/>
  <c r="B1615" i="1"/>
  <c r="C1615" i="1"/>
  <c r="B1616" i="1"/>
  <c r="C1616" i="1"/>
  <c r="B1617" i="1"/>
  <c r="C1617" i="1"/>
  <c r="B1618" i="1"/>
  <c r="C1618" i="1"/>
  <c r="B1619" i="1"/>
  <c r="C1619" i="1"/>
  <c r="B1620" i="1"/>
  <c r="C1620" i="1"/>
  <c r="B1621" i="1"/>
  <c r="C1621" i="1"/>
  <c r="B1622" i="1"/>
  <c r="C1622" i="1"/>
  <c r="B1623" i="1"/>
  <c r="C1623" i="1"/>
  <c r="B1624" i="1"/>
  <c r="C1624" i="1"/>
  <c r="B1625" i="1"/>
  <c r="C1625" i="1"/>
  <c r="B1626" i="1"/>
  <c r="C1626" i="1"/>
  <c r="B1627" i="1"/>
  <c r="C1627" i="1"/>
  <c r="B1628" i="1"/>
  <c r="C1628" i="1"/>
  <c r="B1629" i="1"/>
  <c r="C1629" i="1"/>
  <c r="B1630" i="1"/>
  <c r="C1630" i="1"/>
  <c r="B1631" i="1"/>
  <c r="C1631" i="1"/>
  <c r="B1632" i="1"/>
  <c r="C1632" i="1"/>
  <c r="B1633" i="1"/>
  <c r="C1633" i="1"/>
  <c r="B1634" i="1"/>
  <c r="C1634" i="1"/>
  <c r="B1635" i="1"/>
  <c r="C1635" i="1"/>
  <c r="B1636" i="1"/>
  <c r="C1636" i="1"/>
  <c r="B1637" i="1"/>
  <c r="C1637" i="1"/>
  <c r="B1638" i="1"/>
  <c r="C1638" i="1"/>
  <c r="B1639" i="1"/>
  <c r="C1639" i="1"/>
  <c r="B1640" i="1"/>
  <c r="C1640" i="1"/>
  <c r="B1641" i="1"/>
  <c r="C1641" i="1"/>
  <c r="B1642" i="1"/>
  <c r="C1642" i="1"/>
  <c r="B1643" i="1"/>
  <c r="C1643" i="1"/>
  <c r="B1644" i="1"/>
  <c r="C1644" i="1"/>
  <c r="B1645" i="1"/>
  <c r="C1645" i="1"/>
  <c r="B1646" i="1"/>
  <c r="C1646" i="1"/>
  <c r="B1647" i="1"/>
  <c r="C1647" i="1"/>
  <c r="B1648" i="1"/>
  <c r="C1648" i="1"/>
  <c r="B1649" i="1"/>
  <c r="C1649" i="1"/>
  <c r="B1650" i="1"/>
  <c r="C1650" i="1"/>
  <c r="B1651" i="1"/>
  <c r="C1651" i="1"/>
  <c r="B1652" i="1"/>
  <c r="C1652" i="1"/>
  <c r="B1653" i="1"/>
  <c r="C1653" i="1"/>
  <c r="B1654" i="1"/>
  <c r="C1654" i="1"/>
  <c r="B1655" i="1"/>
  <c r="C1655" i="1"/>
  <c r="B1656" i="1"/>
  <c r="C1656" i="1"/>
  <c r="B1657" i="1"/>
  <c r="C1657" i="1"/>
  <c r="B1658" i="1"/>
  <c r="C1658" i="1"/>
  <c r="B1659" i="1"/>
  <c r="C1659" i="1"/>
  <c r="B1660" i="1"/>
  <c r="C1660" i="1"/>
  <c r="B1661" i="1"/>
  <c r="C1661" i="1"/>
  <c r="B1662" i="1"/>
  <c r="C1662" i="1"/>
  <c r="B1663" i="1"/>
  <c r="C1663" i="1"/>
  <c r="B1664" i="1"/>
  <c r="C1664" i="1"/>
  <c r="B1665" i="1"/>
  <c r="C1665" i="1"/>
  <c r="B1666" i="1"/>
  <c r="C1666" i="1"/>
  <c r="B1667" i="1"/>
  <c r="C1667" i="1"/>
  <c r="B1668" i="1"/>
  <c r="C1668" i="1"/>
  <c r="B1669" i="1"/>
  <c r="C1669" i="1"/>
  <c r="B1670" i="1"/>
  <c r="C1670" i="1"/>
  <c r="B1671" i="1"/>
  <c r="C1671" i="1"/>
  <c r="B1672" i="1"/>
  <c r="C1672" i="1"/>
  <c r="B1673" i="1"/>
  <c r="C1673" i="1"/>
  <c r="B1674" i="1"/>
  <c r="C1674" i="1"/>
  <c r="B1675" i="1"/>
  <c r="C1675" i="1"/>
  <c r="B1676" i="1"/>
  <c r="C1676" i="1"/>
  <c r="B1677" i="1"/>
  <c r="C1677" i="1"/>
  <c r="B1678" i="1"/>
  <c r="C1678" i="1"/>
  <c r="B1679" i="1"/>
  <c r="C1679" i="1"/>
  <c r="B1680" i="1"/>
  <c r="C1680" i="1"/>
  <c r="B1681" i="1"/>
  <c r="C1681" i="1"/>
  <c r="B1682" i="1"/>
  <c r="C1682" i="1"/>
  <c r="B1683" i="1"/>
  <c r="C1683" i="1"/>
  <c r="B1684" i="1"/>
  <c r="C1684" i="1"/>
  <c r="B1685" i="1"/>
  <c r="C1685" i="1"/>
  <c r="B1686" i="1"/>
  <c r="C1686" i="1"/>
  <c r="B1687" i="1"/>
  <c r="C1687" i="1"/>
  <c r="B1688" i="1"/>
  <c r="C1688" i="1"/>
  <c r="B1689" i="1"/>
  <c r="C1689" i="1"/>
  <c r="B1690" i="1"/>
  <c r="C1690" i="1"/>
  <c r="B1691" i="1"/>
  <c r="C1691" i="1"/>
  <c r="B1692" i="1"/>
  <c r="C1692" i="1"/>
  <c r="B1693" i="1"/>
  <c r="C1693" i="1"/>
  <c r="B1694" i="1"/>
  <c r="C1694" i="1"/>
  <c r="B1695" i="1"/>
  <c r="C1695" i="1"/>
  <c r="B1696" i="1"/>
  <c r="C1696" i="1"/>
  <c r="B1697" i="1"/>
  <c r="C1697" i="1"/>
  <c r="B1698" i="1"/>
  <c r="C1698" i="1"/>
  <c r="B1699" i="1"/>
  <c r="C1699" i="1"/>
  <c r="B1700" i="1"/>
  <c r="C1700" i="1"/>
  <c r="B1701" i="1"/>
  <c r="C1701" i="1"/>
  <c r="B1702" i="1"/>
  <c r="C1702" i="1"/>
  <c r="B1703" i="1"/>
  <c r="C1703" i="1"/>
  <c r="B1704" i="1"/>
  <c r="C1704" i="1"/>
  <c r="B1705" i="1"/>
  <c r="C1705" i="1"/>
  <c r="B1706" i="1"/>
  <c r="C1706" i="1"/>
  <c r="B1707" i="1"/>
  <c r="C1707" i="1"/>
  <c r="B1708" i="1"/>
  <c r="C1708" i="1"/>
  <c r="B1709" i="1"/>
  <c r="C1709" i="1"/>
  <c r="B1710" i="1"/>
  <c r="C1710" i="1"/>
  <c r="B1711" i="1"/>
  <c r="C1711" i="1"/>
  <c r="B1712" i="1"/>
  <c r="C1712" i="1"/>
  <c r="B1713" i="1"/>
  <c r="C1713" i="1"/>
  <c r="B1714" i="1"/>
  <c r="C1714" i="1"/>
  <c r="B1715" i="1"/>
  <c r="C1715" i="1"/>
  <c r="B1716" i="1"/>
  <c r="C1716" i="1"/>
  <c r="B1717" i="1"/>
  <c r="C1717" i="1"/>
  <c r="B1718" i="1"/>
  <c r="C1718" i="1"/>
  <c r="B1719" i="1"/>
  <c r="C1719" i="1"/>
  <c r="B1720" i="1"/>
  <c r="C1720" i="1"/>
  <c r="B1721" i="1"/>
  <c r="C1721" i="1"/>
  <c r="B1722" i="1"/>
  <c r="C1722" i="1"/>
  <c r="B1723" i="1"/>
  <c r="C1723" i="1"/>
  <c r="B1724" i="1"/>
  <c r="C1724" i="1"/>
  <c r="B1725" i="1"/>
  <c r="C1725" i="1"/>
  <c r="B1726" i="1"/>
  <c r="C1726" i="1"/>
  <c r="B1727" i="1"/>
  <c r="C1727" i="1"/>
  <c r="B1728" i="1"/>
  <c r="C1728" i="1"/>
  <c r="B1729" i="1"/>
  <c r="C1729" i="1"/>
  <c r="B1730" i="1"/>
  <c r="C1730" i="1"/>
  <c r="B1731" i="1"/>
  <c r="C1731" i="1"/>
  <c r="B1732" i="1"/>
  <c r="C1732" i="1"/>
  <c r="B1733" i="1"/>
  <c r="C1733" i="1"/>
  <c r="B1734" i="1"/>
  <c r="C1734" i="1"/>
  <c r="B1735" i="1"/>
  <c r="C1735" i="1"/>
  <c r="B1736" i="1"/>
  <c r="C1736" i="1"/>
  <c r="B1737" i="1"/>
  <c r="C1737" i="1"/>
  <c r="B1738" i="1"/>
  <c r="C1738" i="1"/>
  <c r="B1739" i="1"/>
  <c r="C1739" i="1"/>
  <c r="B1740" i="1"/>
  <c r="C1740" i="1"/>
  <c r="B1741" i="1"/>
  <c r="C1741" i="1"/>
  <c r="B1742" i="1"/>
  <c r="C1742" i="1"/>
  <c r="B1743" i="1"/>
  <c r="C1743" i="1"/>
  <c r="B1744" i="1"/>
  <c r="C1744" i="1"/>
  <c r="B1745" i="1"/>
  <c r="C1745" i="1"/>
  <c r="B1746" i="1"/>
  <c r="C1746" i="1"/>
  <c r="B1747" i="1"/>
  <c r="C1747" i="1"/>
  <c r="B1748" i="1"/>
  <c r="C1748" i="1"/>
  <c r="B1749" i="1"/>
  <c r="C1749" i="1"/>
  <c r="B1750" i="1"/>
  <c r="C1750" i="1"/>
  <c r="B1751" i="1"/>
  <c r="C1751" i="1"/>
  <c r="B1752" i="1"/>
  <c r="C1752" i="1"/>
  <c r="B1753" i="1"/>
  <c r="C1753" i="1"/>
  <c r="B1754" i="1"/>
  <c r="C1754" i="1"/>
  <c r="B1755" i="1"/>
  <c r="C1755" i="1"/>
  <c r="B1756" i="1"/>
  <c r="C1756" i="1"/>
  <c r="B1757" i="1"/>
  <c r="C1757" i="1"/>
  <c r="B1758" i="1"/>
  <c r="C1758" i="1"/>
  <c r="B1759" i="1"/>
  <c r="C1759" i="1"/>
  <c r="B1760" i="1"/>
  <c r="C1760" i="1"/>
  <c r="B1761" i="1"/>
  <c r="C1761" i="1"/>
  <c r="B1762" i="1"/>
  <c r="C1762" i="1"/>
  <c r="B1763" i="1"/>
  <c r="C1763" i="1"/>
  <c r="B1764" i="1"/>
  <c r="C1764" i="1"/>
  <c r="B1765" i="1"/>
  <c r="C1765" i="1"/>
  <c r="B1766" i="1"/>
  <c r="C1766" i="1"/>
  <c r="B1767" i="1"/>
  <c r="C1767" i="1"/>
  <c r="B1768" i="1"/>
  <c r="C1768" i="1"/>
  <c r="B1769" i="1"/>
  <c r="C1769" i="1"/>
  <c r="B1770" i="1"/>
  <c r="C1770" i="1"/>
  <c r="B1771" i="1"/>
  <c r="C1771" i="1"/>
  <c r="B1772" i="1"/>
  <c r="C1772" i="1"/>
  <c r="B1773" i="1"/>
  <c r="C1773" i="1"/>
  <c r="B1774" i="1"/>
  <c r="C1774" i="1"/>
  <c r="B1775" i="1"/>
  <c r="C1775" i="1"/>
  <c r="B1776" i="1"/>
  <c r="C1776" i="1"/>
  <c r="B1777" i="1"/>
  <c r="C1777" i="1"/>
  <c r="B1778" i="1"/>
  <c r="C1778" i="1"/>
  <c r="B1779" i="1"/>
  <c r="C1779" i="1"/>
  <c r="B1780" i="1"/>
  <c r="C1780" i="1"/>
  <c r="B1781" i="1"/>
  <c r="C1781" i="1"/>
  <c r="B1782" i="1"/>
  <c r="C1782" i="1"/>
  <c r="B1783" i="1"/>
  <c r="C1783" i="1"/>
  <c r="B1784" i="1"/>
  <c r="C1784" i="1"/>
  <c r="B1785" i="1"/>
  <c r="C1785" i="1"/>
  <c r="B1786" i="1"/>
  <c r="C1786" i="1"/>
  <c r="B1787" i="1"/>
  <c r="C1787" i="1"/>
  <c r="B1788" i="1"/>
  <c r="C1788" i="1"/>
  <c r="B1789" i="1"/>
  <c r="C1789" i="1"/>
  <c r="B1790" i="1"/>
  <c r="C1790" i="1"/>
  <c r="B1791" i="1"/>
  <c r="C1791" i="1"/>
  <c r="B1792" i="1"/>
  <c r="C1792" i="1"/>
  <c r="B1793" i="1"/>
  <c r="C1793" i="1"/>
  <c r="B1794" i="1"/>
  <c r="C1794" i="1"/>
  <c r="B1795" i="1"/>
  <c r="C1795" i="1"/>
  <c r="B1796" i="1"/>
  <c r="C1796" i="1"/>
  <c r="B1797" i="1"/>
  <c r="C1797" i="1"/>
  <c r="B1798" i="1"/>
  <c r="C1798" i="1"/>
  <c r="B1799" i="1"/>
  <c r="C1799" i="1"/>
  <c r="B1800" i="1"/>
  <c r="C1800" i="1"/>
  <c r="B1801" i="1"/>
  <c r="C1801" i="1"/>
  <c r="B1802" i="1"/>
  <c r="C1802" i="1"/>
  <c r="B1803" i="1"/>
  <c r="C1803" i="1"/>
  <c r="B1804" i="1"/>
  <c r="C1804" i="1"/>
  <c r="B1805" i="1"/>
  <c r="C1805" i="1"/>
  <c r="B1806" i="1"/>
  <c r="C1806" i="1"/>
  <c r="B1807" i="1"/>
  <c r="C1807" i="1"/>
  <c r="B1808" i="1"/>
  <c r="C1808" i="1"/>
  <c r="B1809" i="1"/>
  <c r="C1809" i="1"/>
  <c r="B1810" i="1"/>
  <c r="C1810" i="1"/>
  <c r="B1811" i="1"/>
  <c r="C1811" i="1"/>
  <c r="B1812" i="1"/>
  <c r="C1812" i="1"/>
  <c r="B1813" i="1"/>
  <c r="C1813" i="1"/>
  <c r="B1814" i="1"/>
  <c r="C1814" i="1"/>
  <c r="B1815" i="1"/>
  <c r="C1815" i="1"/>
  <c r="B1816" i="1"/>
  <c r="C1816" i="1"/>
  <c r="B1817" i="1"/>
  <c r="C1817" i="1"/>
  <c r="B1818" i="1"/>
  <c r="C1818" i="1"/>
  <c r="B1819" i="1"/>
  <c r="C1819" i="1"/>
  <c r="B1820" i="1"/>
  <c r="C1820" i="1"/>
  <c r="B1821" i="1"/>
  <c r="C1821" i="1"/>
  <c r="B1822" i="1"/>
  <c r="C1822" i="1"/>
  <c r="B1823" i="1"/>
  <c r="C1823" i="1"/>
  <c r="B1824" i="1"/>
  <c r="C1824" i="1"/>
  <c r="B1825" i="1"/>
  <c r="C1825" i="1"/>
  <c r="B1826" i="1"/>
  <c r="C1826" i="1"/>
  <c r="B1827" i="1"/>
  <c r="C1827" i="1"/>
  <c r="B1828" i="1"/>
  <c r="C1828" i="1"/>
  <c r="B1829" i="1"/>
  <c r="C1829" i="1"/>
  <c r="B1830" i="1"/>
  <c r="C1830" i="1"/>
  <c r="B1831" i="1"/>
  <c r="C1831" i="1"/>
  <c r="B1832" i="1"/>
  <c r="C1832" i="1"/>
  <c r="B1833" i="1"/>
  <c r="C1833" i="1"/>
  <c r="B1834" i="1"/>
  <c r="C1834" i="1"/>
  <c r="B1835" i="1"/>
  <c r="C1835" i="1"/>
  <c r="B1836" i="1"/>
  <c r="C1836" i="1"/>
  <c r="B1837" i="1"/>
  <c r="C1837" i="1"/>
  <c r="B1838" i="1"/>
  <c r="C1838" i="1"/>
  <c r="B1839" i="1"/>
  <c r="C1839" i="1"/>
  <c r="B1840" i="1"/>
  <c r="C1840" i="1"/>
  <c r="B1841" i="1"/>
  <c r="C1841" i="1"/>
  <c r="B1842" i="1"/>
  <c r="C1842" i="1"/>
  <c r="B1843" i="1"/>
  <c r="C1843" i="1"/>
  <c r="B1844" i="1"/>
  <c r="C1844" i="1"/>
  <c r="B1845" i="1"/>
  <c r="C1845" i="1"/>
  <c r="B1846" i="1"/>
  <c r="C1846" i="1"/>
  <c r="B1847" i="1"/>
  <c r="C1847" i="1"/>
  <c r="B1848" i="1"/>
  <c r="C1848" i="1"/>
  <c r="B1849" i="1"/>
  <c r="C1849" i="1"/>
  <c r="B1850" i="1"/>
  <c r="C1850" i="1"/>
  <c r="B1851" i="1"/>
  <c r="C1851" i="1"/>
  <c r="B1852" i="1"/>
  <c r="C1852" i="1"/>
  <c r="B1853" i="1"/>
  <c r="C1853" i="1"/>
  <c r="B1854" i="1"/>
  <c r="C1854" i="1"/>
  <c r="B1855" i="1"/>
  <c r="C1855" i="1"/>
  <c r="B1856" i="1"/>
  <c r="C1856" i="1"/>
  <c r="B1857" i="1"/>
  <c r="C1857" i="1"/>
  <c r="B1858" i="1"/>
  <c r="C1858" i="1"/>
  <c r="B1859" i="1"/>
  <c r="C1859" i="1"/>
  <c r="B1860" i="1"/>
  <c r="C1860" i="1"/>
  <c r="B1861" i="1"/>
  <c r="C1861" i="1"/>
  <c r="B1862" i="1"/>
  <c r="C1862" i="1"/>
  <c r="B1863" i="1"/>
  <c r="C1863" i="1"/>
  <c r="B1864" i="1"/>
  <c r="C1864" i="1"/>
  <c r="B1865" i="1"/>
  <c r="C1865" i="1"/>
  <c r="B1866" i="1"/>
  <c r="C1866" i="1"/>
  <c r="B1867" i="1"/>
  <c r="C1867" i="1"/>
  <c r="B1868" i="1"/>
  <c r="C1868" i="1"/>
  <c r="B1869" i="1"/>
  <c r="C1869" i="1"/>
  <c r="B1870" i="1"/>
  <c r="C1870" i="1"/>
  <c r="B1871" i="1"/>
  <c r="C1871" i="1"/>
  <c r="B1872" i="1"/>
  <c r="C1872" i="1"/>
  <c r="B1873" i="1"/>
  <c r="C1873" i="1"/>
  <c r="B1874" i="1"/>
  <c r="C1874" i="1"/>
  <c r="B1875" i="1"/>
  <c r="C1875" i="1"/>
  <c r="B1876" i="1"/>
  <c r="C1876" i="1"/>
  <c r="B1877" i="1"/>
  <c r="C1877" i="1"/>
  <c r="B1878" i="1"/>
  <c r="C1878" i="1"/>
  <c r="B1879" i="1"/>
  <c r="C1879" i="1"/>
  <c r="B1880" i="1"/>
  <c r="C1880" i="1"/>
  <c r="B1881" i="1"/>
  <c r="C1881" i="1"/>
  <c r="B1882" i="1"/>
  <c r="C1882" i="1"/>
  <c r="B1883" i="1"/>
  <c r="C1883" i="1"/>
  <c r="B1884" i="1"/>
  <c r="C1884" i="1"/>
  <c r="B1885" i="1"/>
  <c r="C1885" i="1"/>
  <c r="B1886" i="1"/>
  <c r="C1886" i="1"/>
  <c r="B1887" i="1"/>
  <c r="C1887" i="1"/>
  <c r="B1888" i="1"/>
  <c r="C1888" i="1"/>
  <c r="B1889" i="1"/>
  <c r="C1889" i="1"/>
  <c r="B1890" i="1"/>
  <c r="C1890" i="1"/>
  <c r="B1891" i="1"/>
  <c r="C1891" i="1"/>
  <c r="B1892" i="1"/>
  <c r="C1892" i="1"/>
  <c r="B1893" i="1"/>
  <c r="C1893" i="1"/>
  <c r="B1894" i="1"/>
  <c r="C1894" i="1"/>
  <c r="B1895" i="1"/>
  <c r="C1895" i="1"/>
  <c r="B1896" i="1"/>
  <c r="C1896" i="1"/>
  <c r="B1897" i="1"/>
  <c r="C1897" i="1"/>
  <c r="B1898" i="1"/>
  <c r="C1898" i="1"/>
  <c r="B1899" i="1"/>
  <c r="C1899" i="1"/>
  <c r="B1900" i="1"/>
  <c r="C1900" i="1"/>
  <c r="B1901" i="1"/>
  <c r="C1901" i="1"/>
  <c r="B1902" i="1"/>
  <c r="C1902" i="1"/>
  <c r="B1903" i="1"/>
  <c r="C1903" i="1"/>
  <c r="B1904" i="1"/>
  <c r="C1904" i="1"/>
  <c r="B1905" i="1"/>
  <c r="C1905" i="1"/>
  <c r="B1906" i="1"/>
  <c r="C1906" i="1"/>
  <c r="B1907" i="1"/>
  <c r="C1907" i="1"/>
  <c r="B1908" i="1"/>
  <c r="C1908" i="1"/>
  <c r="B1909" i="1"/>
  <c r="C1909" i="1"/>
  <c r="B1910" i="1"/>
  <c r="C1910" i="1"/>
  <c r="B1911" i="1"/>
  <c r="C1911" i="1"/>
  <c r="B1912" i="1"/>
  <c r="C1912" i="1"/>
  <c r="B1913" i="1"/>
  <c r="C1913" i="1"/>
  <c r="B1914" i="1"/>
  <c r="C1914" i="1"/>
  <c r="B1915" i="1"/>
  <c r="C1915" i="1"/>
  <c r="B1916" i="1"/>
  <c r="C1916" i="1"/>
  <c r="B1917" i="1"/>
  <c r="C1917" i="1"/>
  <c r="B1918" i="1"/>
  <c r="C1918" i="1"/>
  <c r="B1919" i="1"/>
  <c r="C1919" i="1"/>
  <c r="B1920" i="1"/>
  <c r="C1920" i="1"/>
  <c r="B1921" i="1"/>
  <c r="C1921" i="1"/>
  <c r="B1922" i="1"/>
  <c r="C1922" i="1"/>
  <c r="B1923" i="1"/>
  <c r="C1923" i="1"/>
  <c r="B1924" i="1"/>
  <c r="C1924" i="1"/>
  <c r="B1925" i="1"/>
  <c r="C1925" i="1"/>
  <c r="B1926" i="1"/>
  <c r="C1926" i="1"/>
  <c r="B1927" i="1"/>
  <c r="C1927" i="1"/>
  <c r="B1928" i="1"/>
  <c r="C1928" i="1"/>
  <c r="B1929" i="1"/>
  <c r="C1929" i="1"/>
  <c r="B1930" i="1"/>
  <c r="C1930" i="1"/>
  <c r="B1931" i="1"/>
  <c r="C1931" i="1"/>
  <c r="B1932" i="1"/>
  <c r="C1932" i="1"/>
  <c r="B1933" i="1"/>
  <c r="C1933" i="1"/>
  <c r="B1934" i="1"/>
  <c r="C1934" i="1"/>
  <c r="B1935" i="1"/>
  <c r="C1935" i="1"/>
  <c r="B1936" i="1"/>
  <c r="C1936" i="1"/>
  <c r="B1937" i="1"/>
  <c r="C1937" i="1"/>
  <c r="B1938" i="1"/>
  <c r="C1938" i="1"/>
  <c r="B1939" i="1"/>
  <c r="C1939" i="1"/>
  <c r="B1940" i="1"/>
  <c r="C1940" i="1"/>
  <c r="B1941" i="1"/>
  <c r="C1941" i="1"/>
  <c r="B1942" i="1"/>
  <c r="C1942" i="1"/>
  <c r="B1943" i="1"/>
  <c r="C1943" i="1"/>
  <c r="B1944" i="1"/>
  <c r="C1944" i="1"/>
  <c r="B1945" i="1"/>
  <c r="C1945" i="1"/>
  <c r="B1946" i="1"/>
  <c r="C1946" i="1"/>
  <c r="B1947" i="1"/>
  <c r="C1947" i="1"/>
  <c r="B1948" i="1"/>
  <c r="C1948" i="1"/>
  <c r="B1949" i="1"/>
  <c r="C1949" i="1"/>
  <c r="B1950" i="1"/>
  <c r="C1950" i="1"/>
  <c r="B1951" i="1"/>
  <c r="C1951" i="1"/>
  <c r="B1952" i="1"/>
  <c r="C1952" i="1"/>
  <c r="B1953" i="1"/>
  <c r="C1953" i="1"/>
  <c r="B1954" i="1"/>
  <c r="C1954" i="1"/>
  <c r="B1955" i="1"/>
  <c r="C1955" i="1"/>
  <c r="B1956" i="1"/>
  <c r="C1956" i="1"/>
  <c r="B1957" i="1"/>
  <c r="C1957" i="1"/>
  <c r="B1958" i="1"/>
  <c r="C1958" i="1"/>
  <c r="B1959" i="1"/>
  <c r="C1959" i="1"/>
  <c r="B1960" i="1"/>
  <c r="C1960" i="1"/>
  <c r="B1961" i="1"/>
  <c r="C1961" i="1"/>
  <c r="B1962" i="1"/>
  <c r="C1962" i="1"/>
  <c r="B1963" i="1"/>
  <c r="C1963" i="1"/>
  <c r="B1964" i="1"/>
  <c r="C1964" i="1"/>
  <c r="B1965" i="1"/>
  <c r="C1965" i="1"/>
  <c r="B1966" i="1"/>
  <c r="C1966" i="1"/>
  <c r="B1967" i="1"/>
  <c r="C1967" i="1"/>
  <c r="B1968" i="1"/>
  <c r="C1968" i="1"/>
  <c r="B1969" i="1"/>
  <c r="C1969" i="1"/>
  <c r="B1970" i="1"/>
  <c r="C1970" i="1"/>
  <c r="B1971" i="1"/>
  <c r="C1971" i="1"/>
  <c r="B1972" i="1"/>
  <c r="C1972" i="1"/>
  <c r="B1973" i="1"/>
  <c r="C1973" i="1"/>
  <c r="B1974" i="1"/>
  <c r="C1974" i="1"/>
  <c r="B1975" i="1"/>
  <c r="C1975" i="1"/>
  <c r="B1976" i="1"/>
  <c r="C1976" i="1"/>
  <c r="B1977" i="1"/>
  <c r="C1977" i="1"/>
  <c r="B1978" i="1"/>
  <c r="C1978" i="1"/>
  <c r="B1979" i="1"/>
  <c r="C1979" i="1"/>
  <c r="B1980" i="1"/>
  <c r="C1980" i="1"/>
  <c r="B1981" i="1"/>
  <c r="C1981" i="1"/>
  <c r="B1982" i="1"/>
  <c r="C1982" i="1"/>
  <c r="B1983" i="1"/>
  <c r="C1983" i="1"/>
  <c r="B1984" i="1"/>
  <c r="C1984" i="1"/>
  <c r="B1985" i="1"/>
  <c r="C1985" i="1"/>
  <c r="B1986" i="1"/>
  <c r="C1986" i="1"/>
  <c r="B1987" i="1"/>
  <c r="C1987" i="1"/>
  <c r="B1988" i="1"/>
  <c r="C1988" i="1"/>
  <c r="B1989" i="1"/>
  <c r="C1989" i="1"/>
  <c r="B1990" i="1"/>
  <c r="C1990" i="1"/>
  <c r="B1991" i="1"/>
  <c r="C1991" i="1"/>
  <c r="B1992" i="1"/>
  <c r="C1992" i="1"/>
  <c r="B1993" i="1"/>
  <c r="C1993" i="1"/>
  <c r="B1994" i="1"/>
  <c r="C1994" i="1"/>
  <c r="B1995" i="1"/>
  <c r="C1995" i="1"/>
  <c r="B1996" i="1"/>
  <c r="C1996" i="1"/>
  <c r="B1997" i="1"/>
  <c r="C1997" i="1"/>
  <c r="B1998" i="1"/>
  <c r="C1998" i="1"/>
  <c r="B1999" i="1"/>
  <c r="C1999" i="1"/>
  <c r="B2000" i="1"/>
  <c r="C2000" i="1"/>
  <c r="B2001" i="1"/>
  <c r="C2001" i="1"/>
  <c r="B2002" i="1"/>
  <c r="C2002" i="1"/>
  <c r="B2003" i="1"/>
  <c r="C2003" i="1"/>
  <c r="B2004" i="1"/>
  <c r="C2004" i="1"/>
  <c r="B2005" i="1"/>
  <c r="C2005" i="1"/>
  <c r="B2006" i="1"/>
  <c r="C2006" i="1"/>
  <c r="B2007" i="1"/>
  <c r="C2007" i="1"/>
  <c r="B2008" i="1"/>
  <c r="C2008" i="1"/>
  <c r="B2009" i="1"/>
  <c r="C2009" i="1"/>
  <c r="B2010" i="1"/>
  <c r="C2010" i="1"/>
  <c r="B2011" i="1"/>
  <c r="C2011" i="1"/>
  <c r="B2012" i="1"/>
  <c r="C2012" i="1"/>
  <c r="B2013" i="1"/>
  <c r="C2013" i="1"/>
  <c r="B2014" i="1"/>
  <c r="C2014" i="1"/>
  <c r="B2015" i="1"/>
  <c r="C2015" i="1"/>
  <c r="B2016" i="1"/>
  <c r="C2016" i="1"/>
  <c r="B2017" i="1"/>
  <c r="C2017" i="1"/>
  <c r="B2018" i="1"/>
  <c r="C2018" i="1"/>
  <c r="B2019" i="1"/>
  <c r="C2019" i="1"/>
  <c r="B2020" i="1"/>
  <c r="C2020" i="1"/>
  <c r="B2021" i="1"/>
  <c r="C2021" i="1"/>
  <c r="B2022" i="1"/>
  <c r="C2022" i="1"/>
  <c r="B2023" i="1"/>
  <c r="C2023" i="1"/>
  <c r="B2024" i="1"/>
  <c r="C2024" i="1"/>
  <c r="B2025" i="1"/>
  <c r="C2025" i="1"/>
  <c r="B2026" i="1"/>
  <c r="C2026" i="1"/>
  <c r="B2027" i="1"/>
  <c r="C2027" i="1"/>
  <c r="B2028" i="1"/>
  <c r="C2028" i="1"/>
  <c r="B2029" i="1"/>
  <c r="C2029" i="1"/>
  <c r="B2030" i="1"/>
  <c r="C2030" i="1"/>
  <c r="B2031" i="1"/>
  <c r="C2031" i="1"/>
  <c r="B2032" i="1"/>
  <c r="C2032" i="1"/>
  <c r="B2033" i="1"/>
  <c r="C2033" i="1"/>
  <c r="B2034" i="1"/>
  <c r="C2034" i="1"/>
  <c r="B2035" i="1"/>
  <c r="C2035" i="1"/>
  <c r="B2036" i="1"/>
  <c r="C2036" i="1"/>
  <c r="B2037" i="1"/>
  <c r="C2037" i="1"/>
  <c r="B2038" i="1"/>
  <c r="C2038" i="1"/>
  <c r="B2039" i="1"/>
  <c r="C2039" i="1"/>
  <c r="B2040" i="1"/>
  <c r="C2040" i="1"/>
  <c r="B2041" i="1"/>
  <c r="C2041" i="1"/>
  <c r="B2042" i="1"/>
  <c r="C2042" i="1"/>
  <c r="B2043" i="1"/>
  <c r="C2043" i="1"/>
  <c r="B2044" i="1"/>
  <c r="C2044" i="1"/>
  <c r="B2045" i="1"/>
  <c r="C2045" i="1"/>
  <c r="B2046" i="1"/>
  <c r="C2046" i="1"/>
  <c r="B2047" i="1"/>
  <c r="C2047" i="1"/>
  <c r="B2048" i="1"/>
  <c r="C2048" i="1"/>
  <c r="B2049" i="1"/>
  <c r="C2049" i="1"/>
  <c r="B2050" i="1"/>
  <c r="C2050" i="1"/>
  <c r="B2051" i="1"/>
  <c r="C2051" i="1"/>
  <c r="B2052" i="1"/>
  <c r="C2052" i="1"/>
  <c r="B2053" i="1"/>
  <c r="C2053" i="1"/>
  <c r="B2054" i="1"/>
  <c r="C2054" i="1"/>
  <c r="B2055" i="1"/>
  <c r="C2055" i="1"/>
  <c r="B2056" i="1"/>
  <c r="C2056" i="1"/>
  <c r="B2057" i="1"/>
  <c r="C2057" i="1"/>
  <c r="B2058" i="1"/>
  <c r="C2058" i="1"/>
  <c r="B2059" i="1"/>
  <c r="C2059" i="1"/>
  <c r="B2060" i="1"/>
  <c r="C2060" i="1"/>
  <c r="B2061" i="1"/>
  <c r="C2061" i="1"/>
  <c r="B2062" i="1"/>
  <c r="C2062" i="1"/>
  <c r="B2063" i="1"/>
  <c r="C2063" i="1"/>
  <c r="B2064" i="1"/>
  <c r="C2064" i="1"/>
  <c r="B2065" i="1"/>
  <c r="C2065" i="1"/>
  <c r="B2066" i="1"/>
  <c r="C2066" i="1"/>
  <c r="B2067" i="1"/>
  <c r="C2067" i="1"/>
  <c r="B2068" i="1"/>
  <c r="C2068" i="1"/>
  <c r="B2069" i="1"/>
  <c r="C2069" i="1"/>
  <c r="B2070" i="1"/>
  <c r="C2070" i="1"/>
  <c r="B2071" i="1"/>
  <c r="C2071" i="1"/>
  <c r="B2072" i="1"/>
  <c r="C2072" i="1"/>
  <c r="B2073" i="1"/>
  <c r="C2073" i="1"/>
  <c r="B2074" i="1"/>
  <c r="C2074" i="1"/>
  <c r="B2075" i="1"/>
  <c r="C2075" i="1"/>
  <c r="B2076" i="1"/>
  <c r="C2076" i="1"/>
  <c r="B2077" i="1"/>
  <c r="C2077" i="1"/>
  <c r="B2078" i="1"/>
  <c r="C2078" i="1"/>
  <c r="B2079" i="1"/>
  <c r="C2079" i="1"/>
  <c r="B2080" i="1"/>
  <c r="C2080" i="1"/>
  <c r="B2081" i="1"/>
  <c r="C2081" i="1"/>
  <c r="B2082" i="1"/>
  <c r="C2082" i="1"/>
  <c r="B2083" i="1"/>
  <c r="C2083" i="1"/>
  <c r="B2084" i="1"/>
  <c r="C2084" i="1"/>
  <c r="B2085" i="1"/>
  <c r="C2085" i="1"/>
  <c r="B2086" i="1"/>
  <c r="C2086" i="1"/>
  <c r="B2087" i="1"/>
  <c r="C2087" i="1"/>
  <c r="B2088" i="1"/>
  <c r="C2088" i="1"/>
  <c r="B2089" i="1"/>
  <c r="C2089" i="1"/>
  <c r="B2090" i="1"/>
  <c r="C2090" i="1"/>
  <c r="B2091" i="1"/>
  <c r="C2091" i="1"/>
  <c r="B2092" i="1"/>
  <c r="C2092" i="1"/>
  <c r="B2093" i="1"/>
  <c r="C2093" i="1"/>
  <c r="B2094" i="1"/>
  <c r="C2094" i="1"/>
  <c r="B2095" i="1"/>
  <c r="C2095" i="1"/>
  <c r="B2096" i="1"/>
  <c r="C2096" i="1"/>
  <c r="B2097" i="1"/>
  <c r="C2097" i="1"/>
  <c r="B2098" i="1"/>
  <c r="C2098" i="1"/>
  <c r="B2099" i="1"/>
  <c r="C2099" i="1"/>
  <c r="B2100" i="1"/>
  <c r="C2100" i="1"/>
  <c r="B2101" i="1"/>
  <c r="C2101" i="1"/>
  <c r="B2102" i="1"/>
  <c r="C2102" i="1"/>
  <c r="B2103" i="1"/>
  <c r="C2103" i="1"/>
  <c r="B2104" i="1"/>
  <c r="C2104" i="1"/>
  <c r="B2105" i="1"/>
  <c r="C2105" i="1"/>
  <c r="B2106" i="1"/>
  <c r="C2106" i="1"/>
  <c r="B2107" i="1"/>
  <c r="C2107" i="1"/>
  <c r="B2108" i="1"/>
  <c r="C2108" i="1"/>
  <c r="B2109" i="1"/>
  <c r="C2109" i="1"/>
  <c r="B2110" i="1"/>
  <c r="C2110" i="1"/>
  <c r="B2111" i="1"/>
  <c r="C2111" i="1"/>
  <c r="B2112" i="1"/>
  <c r="C2112" i="1"/>
  <c r="B2113" i="1"/>
  <c r="C2113" i="1"/>
  <c r="B2114" i="1"/>
  <c r="C2114" i="1"/>
  <c r="B2115" i="1"/>
  <c r="C2115" i="1"/>
  <c r="B2116" i="1"/>
  <c r="C2116" i="1"/>
  <c r="B2117" i="1"/>
  <c r="C2117" i="1"/>
  <c r="B2118" i="1"/>
  <c r="C2118" i="1"/>
  <c r="B2119" i="1"/>
  <c r="C2119" i="1"/>
  <c r="B2120" i="1"/>
  <c r="C2120" i="1"/>
  <c r="B2121" i="1"/>
  <c r="C2121" i="1"/>
  <c r="B2122" i="1"/>
  <c r="C2122" i="1"/>
  <c r="B2123" i="1"/>
  <c r="C2123" i="1"/>
  <c r="B2124" i="1"/>
  <c r="C2124" i="1"/>
  <c r="B2125" i="1"/>
  <c r="C2125" i="1"/>
  <c r="B2126" i="1"/>
  <c r="C2126" i="1"/>
  <c r="B2127" i="1"/>
  <c r="C2127" i="1"/>
  <c r="B2128" i="1"/>
  <c r="C2128" i="1"/>
  <c r="B2129" i="1"/>
  <c r="C2129" i="1"/>
  <c r="B2130" i="1"/>
  <c r="C2130" i="1"/>
  <c r="B2131" i="1"/>
  <c r="C2131" i="1"/>
  <c r="B2132" i="1"/>
  <c r="C2132" i="1"/>
  <c r="B2133" i="1"/>
  <c r="C2133" i="1"/>
  <c r="B2134" i="1"/>
  <c r="C2134" i="1"/>
  <c r="B2135" i="1"/>
  <c r="C2135" i="1"/>
  <c r="B2136" i="1"/>
  <c r="C2136" i="1"/>
  <c r="B2137" i="1"/>
  <c r="C2137" i="1"/>
  <c r="B2138" i="1"/>
  <c r="C2138" i="1"/>
  <c r="B2139" i="1"/>
  <c r="C2139" i="1"/>
  <c r="B2140" i="1"/>
  <c r="C2140" i="1"/>
  <c r="B2141" i="1"/>
  <c r="C2141" i="1"/>
  <c r="B2142" i="1"/>
  <c r="C2142" i="1"/>
  <c r="B2143" i="1"/>
  <c r="C2143" i="1"/>
  <c r="B2144" i="1"/>
  <c r="C2144" i="1"/>
  <c r="B2145" i="1"/>
  <c r="C2145" i="1"/>
  <c r="B2146" i="1"/>
  <c r="C2146" i="1"/>
  <c r="B2147" i="1"/>
  <c r="C2147" i="1"/>
  <c r="B2148" i="1"/>
  <c r="C2148" i="1"/>
  <c r="B2149" i="1"/>
  <c r="C2149" i="1"/>
  <c r="B2150" i="1"/>
  <c r="C2150" i="1"/>
  <c r="B2151" i="1"/>
  <c r="C2151" i="1"/>
  <c r="B2152" i="1"/>
  <c r="C2152" i="1"/>
  <c r="B2153" i="1"/>
  <c r="C2153" i="1"/>
  <c r="B2154" i="1"/>
  <c r="C2154" i="1"/>
  <c r="B2155" i="1"/>
  <c r="C2155" i="1"/>
  <c r="B2156" i="1"/>
  <c r="C2156" i="1"/>
  <c r="B2157" i="1"/>
  <c r="C2157" i="1"/>
  <c r="B2158" i="1"/>
  <c r="C2158" i="1"/>
  <c r="B2159" i="1"/>
  <c r="C2159" i="1"/>
  <c r="B2160" i="1"/>
  <c r="C2160" i="1"/>
  <c r="B2161" i="1"/>
  <c r="C2161" i="1"/>
  <c r="B2162" i="1"/>
  <c r="C2162" i="1"/>
  <c r="B2163" i="1"/>
  <c r="C2163" i="1"/>
  <c r="B2164" i="1"/>
  <c r="C2164" i="1"/>
  <c r="B2165" i="1"/>
  <c r="C2165" i="1"/>
  <c r="B2166" i="1"/>
  <c r="C2166" i="1"/>
  <c r="B2167" i="1"/>
  <c r="C2167" i="1"/>
  <c r="B2168" i="1"/>
  <c r="C2168" i="1"/>
  <c r="B2169" i="1"/>
  <c r="C2169" i="1"/>
  <c r="B2170" i="1"/>
  <c r="C2170" i="1"/>
  <c r="B2171" i="1"/>
  <c r="C2171" i="1"/>
  <c r="B2172" i="1"/>
  <c r="C2172" i="1"/>
  <c r="B2173" i="1"/>
  <c r="C2173" i="1"/>
  <c r="B2174" i="1"/>
  <c r="C2174" i="1"/>
  <c r="B2175" i="1"/>
  <c r="C2175" i="1"/>
  <c r="B2176" i="1"/>
  <c r="C2176" i="1"/>
  <c r="B2177" i="1"/>
  <c r="C2177" i="1"/>
  <c r="B2178" i="1"/>
  <c r="C2178" i="1"/>
  <c r="B2179" i="1"/>
  <c r="C2179" i="1"/>
  <c r="B2180" i="1"/>
  <c r="C2180" i="1"/>
  <c r="B2181" i="1"/>
  <c r="C2181" i="1"/>
  <c r="B2182" i="1"/>
  <c r="C2182" i="1"/>
  <c r="B2183" i="1"/>
  <c r="C2183" i="1"/>
  <c r="B2184" i="1"/>
  <c r="C2184" i="1"/>
  <c r="B2185" i="1"/>
  <c r="C2185" i="1"/>
  <c r="B2186" i="1"/>
  <c r="C2186" i="1"/>
  <c r="B2187" i="1"/>
  <c r="C2187" i="1"/>
  <c r="B2188" i="1"/>
  <c r="C2188" i="1"/>
  <c r="B2189" i="1"/>
  <c r="C2189" i="1"/>
  <c r="B2190" i="1"/>
  <c r="C2190" i="1"/>
  <c r="B2191" i="1"/>
  <c r="C2191" i="1"/>
  <c r="B2192" i="1"/>
  <c r="C2192" i="1"/>
  <c r="B2193" i="1"/>
  <c r="C2193" i="1"/>
  <c r="B2194" i="1"/>
  <c r="C2194" i="1"/>
  <c r="B2195" i="1"/>
  <c r="C2195" i="1"/>
  <c r="B2196" i="1"/>
  <c r="C2196" i="1"/>
  <c r="B2197" i="1"/>
  <c r="C2197" i="1"/>
  <c r="B2198" i="1"/>
  <c r="C2198" i="1"/>
  <c r="B2199" i="1"/>
  <c r="C2199" i="1"/>
  <c r="B2200" i="1"/>
  <c r="C2200" i="1"/>
  <c r="B2201" i="1"/>
  <c r="C2201" i="1"/>
  <c r="B2202" i="1"/>
  <c r="C2202" i="1"/>
  <c r="B2203" i="1"/>
  <c r="C2203" i="1"/>
  <c r="B2204" i="1"/>
  <c r="C2204" i="1"/>
  <c r="B2205" i="1"/>
  <c r="C2205" i="1"/>
  <c r="B2206" i="1"/>
  <c r="C2206" i="1"/>
  <c r="B2207" i="1"/>
  <c r="C2207" i="1"/>
  <c r="B2208" i="1"/>
  <c r="C2208" i="1"/>
  <c r="B2209" i="1"/>
  <c r="C2209" i="1"/>
  <c r="B2210" i="1"/>
  <c r="C2210" i="1"/>
  <c r="B2211" i="1"/>
  <c r="C2211" i="1"/>
  <c r="B2212" i="1"/>
  <c r="C2212" i="1"/>
  <c r="B2213" i="1"/>
  <c r="C2213" i="1"/>
  <c r="B2214" i="1"/>
  <c r="C2214" i="1"/>
  <c r="B2215" i="1"/>
  <c r="C2215" i="1"/>
  <c r="B2216" i="1"/>
  <c r="C2216" i="1"/>
  <c r="B2217" i="1"/>
  <c r="C2217" i="1"/>
  <c r="B2218" i="1"/>
  <c r="C2218" i="1"/>
  <c r="B2219" i="1"/>
  <c r="C2219" i="1"/>
  <c r="B2220" i="1"/>
  <c r="C2220" i="1"/>
  <c r="B2221" i="1"/>
  <c r="C2221" i="1"/>
  <c r="B2222" i="1"/>
  <c r="C2222" i="1"/>
  <c r="B2223" i="1"/>
  <c r="C2223" i="1"/>
  <c r="B2224" i="1"/>
  <c r="C2224" i="1"/>
  <c r="B2225" i="1"/>
  <c r="C2225" i="1"/>
  <c r="B2226" i="1"/>
  <c r="C2226" i="1"/>
  <c r="B2227" i="1"/>
  <c r="C2227" i="1"/>
  <c r="B2228" i="1"/>
  <c r="C2228" i="1"/>
  <c r="B2229" i="1"/>
  <c r="C2229" i="1"/>
  <c r="B2230" i="1"/>
  <c r="C2230" i="1"/>
  <c r="B2231" i="1"/>
  <c r="C2231" i="1"/>
  <c r="B2232" i="1"/>
  <c r="C2232" i="1"/>
  <c r="B2233" i="1"/>
  <c r="C2233" i="1"/>
  <c r="B2234" i="1"/>
  <c r="C2234" i="1"/>
  <c r="B2235" i="1"/>
  <c r="C2235" i="1"/>
  <c r="B2236" i="1"/>
  <c r="C2236" i="1"/>
  <c r="B2237" i="1"/>
  <c r="C2237" i="1"/>
  <c r="B2238" i="1"/>
  <c r="C2238" i="1"/>
  <c r="B2239" i="1"/>
  <c r="C2239" i="1"/>
  <c r="B2240" i="1"/>
  <c r="C2240" i="1"/>
  <c r="B2241" i="1"/>
  <c r="C2241" i="1"/>
  <c r="B2242" i="1"/>
  <c r="C2242" i="1"/>
  <c r="B2243" i="1"/>
  <c r="C2243" i="1"/>
  <c r="B2244" i="1"/>
  <c r="C2244" i="1"/>
  <c r="B2245" i="1"/>
  <c r="C2245" i="1"/>
  <c r="B2246" i="1"/>
  <c r="C2246" i="1"/>
  <c r="B2247" i="1"/>
  <c r="C2247" i="1"/>
  <c r="B2248" i="1"/>
  <c r="C2248" i="1"/>
  <c r="B2249" i="1"/>
  <c r="C2249" i="1"/>
  <c r="B2250" i="1"/>
  <c r="C2250" i="1"/>
  <c r="B2251" i="1"/>
  <c r="C2251" i="1"/>
  <c r="B2252" i="1"/>
  <c r="C2252" i="1"/>
  <c r="B2253" i="1"/>
  <c r="C2253" i="1"/>
  <c r="B2254" i="1"/>
  <c r="C2254" i="1"/>
  <c r="B2255" i="1"/>
  <c r="C2255" i="1"/>
  <c r="B2256" i="1"/>
  <c r="C2256" i="1"/>
  <c r="B2257" i="1"/>
  <c r="C2257" i="1"/>
  <c r="B2258" i="1"/>
  <c r="C2258" i="1"/>
  <c r="B2259" i="1"/>
  <c r="C2259" i="1"/>
  <c r="B2260" i="1"/>
  <c r="C2260" i="1"/>
  <c r="B2261" i="1"/>
  <c r="C2261" i="1"/>
  <c r="B2262" i="1"/>
  <c r="C2262" i="1"/>
  <c r="B2263" i="1"/>
  <c r="C2263" i="1"/>
  <c r="B2264" i="1"/>
  <c r="C2264" i="1"/>
  <c r="B2265" i="1"/>
  <c r="C2265" i="1"/>
  <c r="B2266" i="1"/>
  <c r="C2266" i="1"/>
  <c r="B2267" i="1"/>
  <c r="C2267" i="1"/>
  <c r="B2268" i="1"/>
  <c r="C2268" i="1"/>
  <c r="B2269" i="1"/>
  <c r="C2269" i="1"/>
  <c r="B2270" i="1"/>
  <c r="C2270" i="1"/>
  <c r="B2271" i="1"/>
  <c r="C2271" i="1"/>
  <c r="B2272" i="1"/>
  <c r="C2272" i="1"/>
  <c r="B2273" i="1"/>
  <c r="C2273" i="1"/>
  <c r="B2274" i="1"/>
  <c r="C2274" i="1"/>
  <c r="B2275" i="1"/>
  <c r="C2275" i="1"/>
  <c r="B2276" i="1"/>
  <c r="C2276" i="1"/>
  <c r="B2277" i="1"/>
  <c r="C2277" i="1"/>
  <c r="B2278" i="1"/>
  <c r="C2278" i="1"/>
  <c r="B2279" i="1"/>
  <c r="C2279" i="1"/>
  <c r="B2280" i="1"/>
  <c r="C2280" i="1"/>
  <c r="B2281" i="1"/>
  <c r="C2281" i="1"/>
  <c r="B2282" i="1"/>
  <c r="C2282" i="1"/>
  <c r="B2283" i="1"/>
  <c r="C2283" i="1"/>
  <c r="B2284" i="1"/>
  <c r="C2284" i="1"/>
  <c r="B2285" i="1"/>
  <c r="C2285" i="1"/>
  <c r="B2286" i="1"/>
  <c r="C2286" i="1"/>
  <c r="B2287" i="1"/>
  <c r="C2287" i="1"/>
  <c r="B2288" i="1"/>
  <c r="C2288" i="1"/>
  <c r="B2289" i="1"/>
  <c r="C2289" i="1"/>
  <c r="B2290" i="1"/>
  <c r="C2290" i="1"/>
  <c r="B2291" i="1"/>
  <c r="C2291" i="1"/>
  <c r="B2292" i="1"/>
  <c r="C2292" i="1"/>
  <c r="B2293" i="1"/>
  <c r="C2293" i="1"/>
  <c r="B2294" i="1"/>
  <c r="C2294" i="1"/>
  <c r="B2295" i="1"/>
  <c r="C2295" i="1"/>
  <c r="B2296" i="1"/>
  <c r="C2296" i="1"/>
  <c r="B2297" i="1"/>
  <c r="C2297" i="1"/>
  <c r="B2298" i="1"/>
  <c r="C2298" i="1"/>
  <c r="B2299" i="1"/>
  <c r="C2299" i="1"/>
  <c r="B2300" i="1"/>
  <c r="C2300" i="1"/>
  <c r="B2301" i="1"/>
  <c r="C2301" i="1"/>
  <c r="B2302" i="1"/>
  <c r="C2302" i="1"/>
  <c r="B2303" i="1"/>
  <c r="C2303" i="1"/>
  <c r="B2304" i="1"/>
  <c r="C2304" i="1"/>
  <c r="B2305" i="1"/>
  <c r="C2305" i="1"/>
  <c r="B2306" i="1"/>
  <c r="C2306" i="1"/>
  <c r="B2307" i="1"/>
  <c r="C2307" i="1"/>
  <c r="B2308" i="1"/>
  <c r="C2308" i="1"/>
  <c r="B2309" i="1"/>
  <c r="C2309" i="1"/>
  <c r="B2310" i="1"/>
  <c r="C2310" i="1"/>
  <c r="B2311" i="1"/>
  <c r="C2311" i="1"/>
  <c r="B2312" i="1"/>
  <c r="C2312" i="1"/>
  <c r="B2313" i="1"/>
  <c r="C2313" i="1"/>
  <c r="B2314" i="1"/>
  <c r="C2314" i="1"/>
  <c r="B2315" i="1"/>
  <c r="C2315" i="1"/>
  <c r="B2316" i="1"/>
  <c r="C2316" i="1"/>
  <c r="B2317" i="1"/>
  <c r="C2317" i="1"/>
  <c r="B2318" i="1"/>
  <c r="C2318" i="1"/>
  <c r="B2319" i="1"/>
  <c r="C2319" i="1"/>
  <c r="B2320" i="1"/>
  <c r="C2320" i="1"/>
  <c r="B2321" i="1"/>
  <c r="C2321" i="1"/>
  <c r="B2322" i="1"/>
  <c r="C2322" i="1"/>
  <c r="B2323" i="1"/>
  <c r="C2323" i="1"/>
  <c r="B2324" i="1"/>
  <c r="C2324" i="1"/>
  <c r="B2325" i="1"/>
  <c r="C2325" i="1"/>
  <c r="B2326" i="1"/>
  <c r="C2326" i="1"/>
  <c r="B2327" i="1"/>
  <c r="C2327" i="1"/>
  <c r="B2328" i="1"/>
  <c r="C2328" i="1"/>
  <c r="B2329" i="1"/>
  <c r="C2329" i="1"/>
  <c r="B2330" i="1"/>
  <c r="C2330" i="1"/>
  <c r="B2331" i="1"/>
  <c r="C2331" i="1"/>
  <c r="B2332" i="1"/>
  <c r="C2332" i="1"/>
  <c r="B2333" i="1"/>
  <c r="C2333" i="1"/>
  <c r="B2334" i="1"/>
  <c r="C2334" i="1"/>
  <c r="B2335" i="1"/>
  <c r="C2335" i="1"/>
  <c r="B2336" i="1"/>
  <c r="C2336" i="1"/>
  <c r="B2337" i="1"/>
  <c r="C2337" i="1"/>
  <c r="B2338" i="1"/>
  <c r="C2338" i="1"/>
  <c r="B2339" i="1"/>
  <c r="C2339" i="1"/>
  <c r="B2340" i="1"/>
  <c r="C2340" i="1"/>
  <c r="B2341" i="1"/>
  <c r="C2341" i="1"/>
  <c r="B2342" i="1"/>
  <c r="C2342" i="1"/>
  <c r="B2343" i="1"/>
  <c r="C2343" i="1"/>
  <c r="B2344" i="1"/>
  <c r="C2344" i="1"/>
  <c r="B2345" i="1"/>
  <c r="C2345" i="1"/>
  <c r="B2346" i="1"/>
  <c r="C2346" i="1"/>
  <c r="B2347" i="1"/>
  <c r="C2347" i="1"/>
  <c r="B2348" i="1"/>
  <c r="C2348" i="1"/>
  <c r="B2349" i="1"/>
  <c r="C2349" i="1"/>
  <c r="B2350" i="1"/>
  <c r="C2350" i="1"/>
  <c r="B2351" i="1"/>
  <c r="C2351" i="1"/>
  <c r="B2352" i="1"/>
  <c r="C2352" i="1"/>
  <c r="B2353" i="1"/>
  <c r="C2353" i="1"/>
  <c r="B2354" i="1"/>
  <c r="C2354" i="1"/>
  <c r="B2355" i="1"/>
  <c r="C2355" i="1"/>
  <c r="B2356" i="1"/>
  <c r="C2356" i="1"/>
  <c r="B2357" i="1"/>
  <c r="C2357" i="1"/>
  <c r="B2358" i="1"/>
  <c r="C2358" i="1"/>
  <c r="B2359" i="1"/>
  <c r="C2359" i="1"/>
  <c r="B2360" i="1"/>
  <c r="C2360" i="1"/>
  <c r="B2361" i="1"/>
  <c r="C2361" i="1"/>
  <c r="B2362" i="1"/>
  <c r="C2362" i="1"/>
  <c r="B2363" i="1"/>
  <c r="C2363" i="1"/>
  <c r="B2364" i="1"/>
  <c r="C2364" i="1"/>
  <c r="B2365" i="1"/>
  <c r="C2365" i="1"/>
  <c r="B2366" i="1"/>
  <c r="C2366" i="1"/>
  <c r="B2367" i="1"/>
  <c r="C2367" i="1"/>
  <c r="B2368" i="1"/>
  <c r="C2368" i="1"/>
  <c r="B2369" i="1"/>
  <c r="C2369" i="1"/>
  <c r="B2370" i="1"/>
  <c r="C2370" i="1"/>
  <c r="B2371" i="1"/>
  <c r="C2371" i="1"/>
  <c r="B2372" i="1"/>
  <c r="C2372" i="1"/>
  <c r="B2373" i="1"/>
  <c r="C2373" i="1"/>
  <c r="B2374" i="1"/>
  <c r="C2374" i="1"/>
  <c r="B2375" i="1"/>
  <c r="C2375" i="1"/>
  <c r="B2376" i="1"/>
  <c r="C2376" i="1"/>
  <c r="B2377" i="1"/>
  <c r="C2377" i="1"/>
  <c r="B2378" i="1"/>
  <c r="C2378" i="1"/>
  <c r="B2379" i="1"/>
  <c r="C2379" i="1"/>
  <c r="B2380" i="1"/>
  <c r="C2380" i="1"/>
  <c r="B2381" i="1"/>
  <c r="C2381" i="1"/>
  <c r="B2382" i="1"/>
  <c r="C2382" i="1"/>
  <c r="B2383" i="1"/>
  <c r="C2383" i="1"/>
  <c r="B2384" i="1"/>
  <c r="C2384" i="1"/>
  <c r="B2385" i="1"/>
  <c r="C2385" i="1"/>
  <c r="B2386" i="1"/>
  <c r="C2386" i="1"/>
  <c r="B2387" i="1"/>
  <c r="C2387" i="1"/>
  <c r="B2388" i="1"/>
  <c r="C2388" i="1"/>
  <c r="B2389" i="1"/>
  <c r="C2389" i="1"/>
  <c r="B2390" i="1"/>
  <c r="C2390" i="1"/>
  <c r="B2391" i="1"/>
  <c r="C2391" i="1"/>
  <c r="B2392" i="1"/>
  <c r="C2392" i="1"/>
  <c r="B2393" i="1"/>
  <c r="C2393" i="1"/>
  <c r="B2394" i="1"/>
  <c r="C2394" i="1"/>
  <c r="B2395" i="1"/>
  <c r="C2395" i="1"/>
  <c r="B2396" i="1"/>
  <c r="C2396" i="1"/>
  <c r="B2397" i="1"/>
  <c r="C2397" i="1"/>
  <c r="B2398" i="1"/>
  <c r="C2398" i="1"/>
  <c r="B2399" i="1"/>
  <c r="C2399" i="1"/>
  <c r="B2400" i="1"/>
  <c r="C2400" i="1"/>
  <c r="B2401" i="1"/>
  <c r="C2401" i="1"/>
  <c r="B2402" i="1"/>
  <c r="C2402" i="1"/>
  <c r="B2403" i="1"/>
  <c r="C2403" i="1"/>
  <c r="B2404" i="1"/>
  <c r="C2404" i="1"/>
  <c r="B2405" i="1"/>
  <c r="C2405" i="1"/>
  <c r="B2406" i="1"/>
  <c r="C2406" i="1"/>
  <c r="B2407" i="1"/>
  <c r="C2407" i="1"/>
  <c r="B2408" i="1"/>
  <c r="C2408" i="1"/>
  <c r="B2409" i="1"/>
  <c r="C2409" i="1"/>
  <c r="B2410" i="1"/>
  <c r="C2410" i="1"/>
  <c r="B2411" i="1"/>
  <c r="C2411" i="1"/>
  <c r="B2412" i="1"/>
  <c r="C2412" i="1"/>
  <c r="B2413" i="1"/>
  <c r="C2413" i="1"/>
  <c r="B2414" i="1"/>
  <c r="C2414" i="1"/>
  <c r="B2415" i="1"/>
  <c r="C2415" i="1"/>
  <c r="B2416" i="1"/>
  <c r="C2416" i="1"/>
  <c r="B2417" i="1"/>
  <c r="C2417" i="1"/>
  <c r="B2418" i="1"/>
  <c r="C2418" i="1"/>
  <c r="B2419" i="1"/>
  <c r="C2419" i="1"/>
  <c r="B2420" i="1"/>
  <c r="C2420" i="1"/>
  <c r="B2421" i="1"/>
  <c r="C2421" i="1"/>
  <c r="B2422" i="1"/>
  <c r="C2422" i="1"/>
  <c r="B2423" i="1"/>
  <c r="C2423" i="1"/>
  <c r="B2424" i="1"/>
  <c r="C2424" i="1"/>
  <c r="B2425" i="1"/>
  <c r="C2425" i="1"/>
  <c r="B2426" i="1"/>
  <c r="C2426" i="1"/>
  <c r="B2427" i="1"/>
  <c r="C2427" i="1"/>
  <c r="B2428" i="1"/>
  <c r="C2428" i="1"/>
  <c r="B2429" i="1"/>
  <c r="C2429" i="1"/>
  <c r="B2430" i="1"/>
  <c r="C2430" i="1"/>
  <c r="B2431" i="1"/>
  <c r="C2431" i="1"/>
  <c r="B2432" i="1"/>
  <c r="C2432" i="1"/>
  <c r="B2433" i="1"/>
  <c r="C2433" i="1"/>
  <c r="B2434" i="1"/>
  <c r="C2434" i="1"/>
  <c r="B2435" i="1"/>
  <c r="C2435" i="1"/>
  <c r="B2436" i="1"/>
  <c r="C2436" i="1"/>
  <c r="B2437" i="1"/>
  <c r="C2437" i="1"/>
  <c r="B2438" i="1"/>
  <c r="C2438" i="1"/>
  <c r="B2439" i="1"/>
  <c r="C2439" i="1"/>
  <c r="B2440" i="1"/>
  <c r="C2440" i="1"/>
  <c r="B2441" i="1"/>
  <c r="C2441" i="1"/>
  <c r="B2442" i="1"/>
  <c r="C2442" i="1"/>
  <c r="B2443" i="1"/>
  <c r="C2443" i="1"/>
  <c r="B2444" i="1"/>
  <c r="C2444" i="1"/>
  <c r="B2445" i="1"/>
  <c r="C2445" i="1"/>
  <c r="B2446" i="1"/>
  <c r="C2446" i="1"/>
  <c r="B2447" i="1"/>
  <c r="C2447" i="1"/>
  <c r="B2448" i="1"/>
  <c r="C2448" i="1"/>
  <c r="B2449" i="1"/>
  <c r="C2449" i="1"/>
  <c r="B2450" i="1"/>
  <c r="C2450" i="1"/>
  <c r="B2451" i="1"/>
  <c r="C2451" i="1"/>
  <c r="B2452" i="1"/>
  <c r="C2452" i="1"/>
  <c r="B2453" i="1"/>
  <c r="C2453" i="1"/>
  <c r="B2454" i="1"/>
  <c r="C2454" i="1"/>
  <c r="B2455" i="1"/>
  <c r="C2455" i="1"/>
  <c r="B2456" i="1"/>
  <c r="C2456" i="1"/>
  <c r="B2457" i="1"/>
  <c r="C2457" i="1"/>
  <c r="B2458" i="1"/>
  <c r="C2458" i="1"/>
  <c r="B2459" i="1"/>
  <c r="C2459" i="1"/>
  <c r="B2460" i="1"/>
  <c r="C2460" i="1"/>
  <c r="B2461" i="1"/>
  <c r="C2461" i="1"/>
  <c r="B2462" i="1"/>
  <c r="C2462" i="1"/>
  <c r="B2463" i="1"/>
  <c r="C2463" i="1"/>
  <c r="B2464" i="1"/>
  <c r="C2464" i="1"/>
  <c r="B2465" i="1"/>
  <c r="C2465" i="1"/>
  <c r="B2466" i="1"/>
  <c r="C2466" i="1"/>
  <c r="B2467" i="1"/>
  <c r="C2467" i="1"/>
  <c r="B2468" i="1"/>
  <c r="C2468" i="1"/>
  <c r="B2469" i="1"/>
  <c r="C2469" i="1"/>
  <c r="B2470" i="1"/>
  <c r="C2470" i="1"/>
  <c r="B2471" i="1"/>
  <c r="C2471" i="1"/>
  <c r="B2472" i="1"/>
  <c r="C2472" i="1"/>
  <c r="B2473" i="1"/>
  <c r="C2473" i="1"/>
  <c r="B2474" i="1"/>
  <c r="C2474" i="1"/>
  <c r="B2475" i="1"/>
  <c r="C2475" i="1"/>
  <c r="B2476" i="1"/>
  <c r="C2476" i="1"/>
  <c r="B2477" i="1"/>
  <c r="C2477" i="1"/>
  <c r="B2478" i="1"/>
  <c r="C2478" i="1"/>
  <c r="B2479" i="1"/>
  <c r="C2479" i="1"/>
  <c r="B2480" i="1"/>
  <c r="C2480" i="1"/>
  <c r="B2481" i="1"/>
  <c r="C2481" i="1"/>
  <c r="B2482" i="1"/>
  <c r="C2482" i="1"/>
  <c r="B2483" i="1"/>
  <c r="C2483" i="1"/>
  <c r="B2484" i="1"/>
  <c r="C2484" i="1"/>
  <c r="B2485" i="1"/>
  <c r="C2485" i="1"/>
  <c r="B2486" i="1"/>
  <c r="C2486" i="1"/>
  <c r="B2487" i="1"/>
  <c r="C2487" i="1"/>
  <c r="B2488" i="1"/>
  <c r="C2488" i="1"/>
  <c r="B2489" i="1"/>
  <c r="C2489" i="1"/>
  <c r="B2490" i="1"/>
  <c r="C2490" i="1"/>
  <c r="B2491" i="1"/>
  <c r="C2491" i="1"/>
  <c r="B2492" i="1"/>
  <c r="C2492" i="1"/>
  <c r="B2493" i="1"/>
  <c r="C2493" i="1"/>
  <c r="B2494" i="1"/>
  <c r="C2494" i="1"/>
  <c r="B2495" i="1"/>
  <c r="C2495" i="1"/>
  <c r="B2496" i="1"/>
  <c r="C2496" i="1"/>
  <c r="B2497" i="1"/>
  <c r="C2497" i="1"/>
  <c r="B2498" i="1"/>
  <c r="C2498" i="1"/>
  <c r="B2499" i="1"/>
  <c r="C2499" i="1"/>
  <c r="B2500" i="1"/>
  <c r="C2500" i="1"/>
  <c r="B2501" i="1"/>
  <c r="C2501" i="1"/>
  <c r="B2502" i="1"/>
  <c r="C2502" i="1"/>
  <c r="B2503" i="1"/>
  <c r="C2503" i="1"/>
  <c r="B2504" i="1"/>
  <c r="C2504" i="1"/>
  <c r="B2505" i="1"/>
  <c r="C2505" i="1"/>
  <c r="B2506" i="1"/>
  <c r="C2506" i="1"/>
  <c r="B2507" i="1"/>
  <c r="C2507" i="1"/>
  <c r="B2508" i="1"/>
  <c r="C2508" i="1"/>
  <c r="B2509" i="1"/>
  <c r="C2509" i="1"/>
  <c r="B2510" i="1"/>
  <c r="C2510" i="1"/>
  <c r="B2511" i="1"/>
  <c r="C2511" i="1"/>
  <c r="B2512" i="1"/>
  <c r="C2512" i="1"/>
  <c r="B2513" i="1"/>
  <c r="C2513" i="1"/>
  <c r="B2514" i="1"/>
  <c r="C2514" i="1"/>
  <c r="B2515" i="1"/>
  <c r="C2515" i="1"/>
  <c r="B2516" i="1"/>
  <c r="C2516" i="1"/>
  <c r="B2517" i="1"/>
  <c r="C2517" i="1"/>
  <c r="B2518" i="1"/>
  <c r="C2518" i="1"/>
  <c r="B2519" i="1"/>
  <c r="C2519" i="1"/>
  <c r="B2520" i="1"/>
  <c r="C2520" i="1"/>
  <c r="B2521" i="1"/>
  <c r="C2521" i="1"/>
  <c r="B2522" i="1"/>
  <c r="C2522" i="1"/>
  <c r="B2523" i="1"/>
  <c r="C2523" i="1"/>
  <c r="B2524" i="1"/>
  <c r="C2524" i="1"/>
  <c r="B2525" i="1"/>
  <c r="C2525" i="1"/>
  <c r="B2526" i="1"/>
  <c r="C2526" i="1"/>
  <c r="B2527" i="1"/>
  <c r="C2527" i="1"/>
  <c r="B2528" i="1"/>
  <c r="C2528" i="1"/>
  <c r="B2529" i="1"/>
  <c r="C2529" i="1"/>
  <c r="B2530" i="1"/>
  <c r="C2530" i="1"/>
  <c r="B2531" i="1"/>
  <c r="C2531" i="1"/>
  <c r="B2532" i="1"/>
  <c r="C2532" i="1"/>
  <c r="B2533" i="1"/>
  <c r="C2533" i="1"/>
  <c r="B2534" i="1"/>
  <c r="C2534" i="1"/>
  <c r="B2535" i="1"/>
  <c r="C2535" i="1"/>
  <c r="B2536" i="1"/>
  <c r="C2536" i="1"/>
  <c r="B2537" i="1"/>
  <c r="C2537" i="1"/>
  <c r="B2538" i="1"/>
  <c r="C2538" i="1"/>
  <c r="B2539" i="1"/>
  <c r="C2539" i="1"/>
  <c r="B2540" i="1"/>
  <c r="C2540" i="1"/>
  <c r="B2541" i="1"/>
  <c r="C2541" i="1"/>
  <c r="B2542" i="1"/>
  <c r="C2542" i="1"/>
  <c r="B2543" i="1"/>
  <c r="C2543" i="1"/>
  <c r="B2544" i="1"/>
  <c r="C2544" i="1"/>
  <c r="B2545" i="1"/>
  <c r="C2545" i="1"/>
  <c r="B2546" i="1"/>
  <c r="C2546" i="1"/>
  <c r="B2547" i="1"/>
  <c r="C2547" i="1"/>
  <c r="B2548" i="1"/>
  <c r="C2548" i="1"/>
  <c r="B2549" i="1"/>
  <c r="C2549" i="1"/>
  <c r="B2550" i="1"/>
  <c r="C2550" i="1"/>
  <c r="B2551" i="1"/>
  <c r="C2551" i="1"/>
  <c r="B2552" i="1"/>
  <c r="C2552" i="1"/>
  <c r="B2553" i="1"/>
  <c r="C2553" i="1"/>
  <c r="B2554" i="1"/>
  <c r="C2554" i="1"/>
  <c r="B2555" i="1"/>
  <c r="C2555" i="1"/>
  <c r="B2556" i="1"/>
  <c r="C2556" i="1"/>
  <c r="B2557" i="1"/>
  <c r="C2557" i="1"/>
  <c r="B2558" i="1"/>
  <c r="C2558" i="1"/>
  <c r="B2559" i="1"/>
  <c r="C2559" i="1"/>
  <c r="B2560" i="1"/>
  <c r="C2560" i="1"/>
  <c r="B2561" i="1"/>
  <c r="C2561" i="1"/>
  <c r="B2562" i="1"/>
  <c r="C2562" i="1"/>
  <c r="B2563" i="1"/>
  <c r="C2563" i="1"/>
  <c r="B2564" i="1"/>
  <c r="C2564" i="1"/>
  <c r="B2565" i="1"/>
  <c r="C2565" i="1"/>
  <c r="B2566" i="1"/>
  <c r="C2566" i="1"/>
  <c r="B2567" i="1"/>
  <c r="C2567" i="1"/>
  <c r="B2568" i="1"/>
  <c r="C2568" i="1"/>
  <c r="B2569" i="1"/>
  <c r="C2569" i="1"/>
  <c r="B2570" i="1"/>
  <c r="C2570" i="1"/>
  <c r="B2571" i="1"/>
  <c r="C2571" i="1"/>
  <c r="B2572" i="1"/>
  <c r="C2572" i="1"/>
  <c r="B2573" i="1"/>
  <c r="C2573" i="1"/>
  <c r="B2574" i="1"/>
  <c r="C2574" i="1"/>
  <c r="B2575" i="1"/>
  <c r="C2575" i="1"/>
  <c r="B2576" i="1"/>
  <c r="C2576" i="1"/>
  <c r="B2577" i="1"/>
  <c r="C2577" i="1"/>
  <c r="B2578" i="1"/>
  <c r="C2578" i="1"/>
  <c r="B2579" i="1"/>
  <c r="C2579" i="1"/>
  <c r="B2580" i="1"/>
  <c r="C2580" i="1"/>
  <c r="B2581" i="1"/>
  <c r="C2581" i="1"/>
  <c r="B2582" i="1"/>
  <c r="C2582" i="1"/>
  <c r="B2583" i="1"/>
  <c r="C2583" i="1"/>
  <c r="B2584" i="1"/>
  <c r="C2584" i="1"/>
  <c r="B2585" i="1"/>
  <c r="C2585" i="1"/>
  <c r="B2586" i="1"/>
  <c r="C2586" i="1"/>
  <c r="B2587" i="1"/>
  <c r="C2587" i="1"/>
  <c r="B2588" i="1"/>
  <c r="C2588" i="1"/>
  <c r="B2589" i="1"/>
  <c r="C2589" i="1"/>
  <c r="B2590" i="1"/>
  <c r="C2590" i="1"/>
  <c r="B2591" i="1"/>
  <c r="C2591" i="1"/>
  <c r="B2592" i="1"/>
  <c r="C2592" i="1"/>
  <c r="B2593" i="1"/>
  <c r="C2593" i="1"/>
  <c r="B2594" i="1"/>
  <c r="C2594" i="1"/>
  <c r="B2595" i="1"/>
  <c r="C2595" i="1"/>
  <c r="B2596" i="1"/>
  <c r="C2596" i="1"/>
  <c r="B2597" i="1"/>
  <c r="C2597" i="1"/>
  <c r="B2598" i="1"/>
  <c r="C2598" i="1"/>
  <c r="B2599" i="1"/>
  <c r="C2599" i="1"/>
  <c r="B2600" i="1"/>
  <c r="C2600" i="1"/>
  <c r="B2601" i="1"/>
  <c r="C2601" i="1"/>
  <c r="B2602" i="1"/>
  <c r="C2602" i="1"/>
  <c r="B2603" i="1"/>
  <c r="C2603" i="1"/>
  <c r="B2604" i="1"/>
  <c r="C2604" i="1"/>
  <c r="B2605" i="1"/>
  <c r="C2605" i="1"/>
  <c r="B2606" i="1"/>
  <c r="C2606" i="1"/>
  <c r="B2607" i="1"/>
  <c r="C2607" i="1"/>
  <c r="B2608" i="1"/>
  <c r="C2608" i="1"/>
  <c r="B2609" i="1"/>
  <c r="C2609" i="1"/>
  <c r="B2610" i="1"/>
  <c r="C2610" i="1"/>
  <c r="B2611" i="1"/>
  <c r="C2611" i="1"/>
  <c r="B2612" i="1"/>
  <c r="C2612" i="1"/>
  <c r="B2613" i="1"/>
  <c r="C2613" i="1"/>
  <c r="B2614" i="1"/>
  <c r="C2614" i="1"/>
  <c r="B2615" i="1"/>
  <c r="C2615" i="1"/>
  <c r="B2616" i="1"/>
  <c r="C2616" i="1"/>
  <c r="B2617" i="1"/>
  <c r="C2617" i="1"/>
  <c r="B2618" i="1"/>
  <c r="C2618" i="1"/>
  <c r="B2619" i="1"/>
  <c r="C2619" i="1"/>
  <c r="B2620" i="1"/>
  <c r="C2620" i="1"/>
  <c r="B2621" i="1"/>
  <c r="C2621" i="1"/>
  <c r="B2622" i="1"/>
  <c r="C2622" i="1"/>
  <c r="B2623" i="1"/>
  <c r="C2623" i="1"/>
  <c r="B2624" i="1"/>
  <c r="C2624" i="1"/>
  <c r="B2625" i="1"/>
  <c r="C2625" i="1"/>
  <c r="B2626" i="1"/>
  <c r="C2626" i="1"/>
  <c r="B2627" i="1"/>
  <c r="C2627" i="1"/>
  <c r="B2628" i="1"/>
  <c r="C2628" i="1"/>
  <c r="B2629" i="1"/>
  <c r="C2629" i="1"/>
  <c r="B2630" i="1"/>
  <c r="C2630" i="1"/>
  <c r="B2631" i="1"/>
  <c r="C2631" i="1"/>
  <c r="B2632" i="1"/>
  <c r="C2632" i="1"/>
  <c r="B2633" i="1"/>
  <c r="C2633" i="1"/>
  <c r="B2634" i="1"/>
  <c r="C2634" i="1"/>
  <c r="B2635" i="1"/>
  <c r="C2635" i="1"/>
  <c r="B2636" i="1"/>
  <c r="C2636" i="1"/>
  <c r="B2637" i="1"/>
  <c r="C2637" i="1"/>
  <c r="B2638" i="1"/>
  <c r="C2638" i="1"/>
  <c r="B2639" i="1"/>
  <c r="C2639" i="1"/>
  <c r="B2640" i="1"/>
  <c r="C2640" i="1"/>
  <c r="B2641" i="1"/>
  <c r="C2641" i="1"/>
  <c r="B2642" i="1"/>
  <c r="C2642" i="1"/>
  <c r="B2643" i="1"/>
  <c r="C2643" i="1"/>
  <c r="B2644" i="1"/>
  <c r="C2644" i="1"/>
  <c r="B2645" i="1"/>
  <c r="C2645" i="1"/>
  <c r="B2646" i="1"/>
  <c r="C2646" i="1"/>
  <c r="B2647" i="1"/>
  <c r="C2647" i="1"/>
  <c r="B2648" i="1"/>
  <c r="C2648" i="1"/>
  <c r="B2649" i="1"/>
  <c r="C2649" i="1"/>
  <c r="B2650" i="1"/>
  <c r="C2650" i="1"/>
  <c r="B2651" i="1"/>
  <c r="C2651" i="1"/>
  <c r="B2652" i="1"/>
  <c r="C2652" i="1"/>
  <c r="B2653" i="1"/>
  <c r="C2653" i="1"/>
  <c r="B2654" i="1"/>
  <c r="C2654" i="1"/>
  <c r="B2655" i="1"/>
  <c r="C2655" i="1"/>
  <c r="B2656" i="1"/>
  <c r="C2656" i="1"/>
  <c r="B2657" i="1"/>
  <c r="C2657" i="1"/>
  <c r="B2658" i="1"/>
  <c r="C2658" i="1"/>
  <c r="B2659" i="1"/>
  <c r="C2659" i="1"/>
  <c r="B2660" i="1"/>
  <c r="C2660" i="1"/>
  <c r="B2661" i="1"/>
  <c r="C2661" i="1"/>
  <c r="B2662" i="1"/>
  <c r="C2662" i="1"/>
  <c r="B2663" i="1"/>
  <c r="C2663" i="1"/>
  <c r="B2664" i="1"/>
  <c r="C2664" i="1"/>
  <c r="B2665" i="1"/>
  <c r="C2665" i="1"/>
  <c r="B2666" i="1"/>
  <c r="C2666" i="1"/>
  <c r="B2667" i="1"/>
  <c r="C2667" i="1"/>
  <c r="B2668" i="1"/>
  <c r="C2668" i="1"/>
  <c r="B2669" i="1"/>
  <c r="C2669" i="1"/>
  <c r="B2670" i="1"/>
  <c r="C2670" i="1"/>
  <c r="B2671" i="1"/>
  <c r="C2671" i="1"/>
  <c r="B2672" i="1"/>
  <c r="C2672" i="1"/>
  <c r="B2673" i="1"/>
  <c r="C2673" i="1"/>
  <c r="B2674" i="1"/>
  <c r="C2674" i="1"/>
  <c r="B2675" i="1"/>
  <c r="C2675" i="1"/>
  <c r="B2676" i="1"/>
  <c r="C2676" i="1"/>
  <c r="B2677" i="1"/>
  <c r="C2677" i="1"/>
  <c r="B2678" i="1"/>
  <c r="C2678" i="1"/>
  <c r="B2679" i="1"/>
  <c r="C2679" i="1"/>
  <c r="B2680" i="1"/>
  <c r="C2680" i="1"/>
  <c r="B2681" i="1"/>
  <c r="C2681" i="1"/>
  <c r="B2682" i="1"/>
  <c r="C2682" i="1"/>
  <c r="B2683" i="1"/>
  <c r="C2683" i="1"/>
  <c r="B2684" i="1"/>
  <c r="C2684" i="1"/>
  <c r="B2685" i="1"/>
  <c r="C2685" i="1"/>
  <c r="B2686" i="1"/>
  <c r="C2686" i="1"/>
  <c r="B2687" i="1"/>
  <c r="C2687" i="1"/>
  <c r="B2688" i="1"/>
  <c r="C2688" i="1"/>
  <c r="B2689" i="1"/>
  <c r="C2689" i="1"/>
  <c r="B2690" i="1"/>
  <c r="C2690" i="1"/>
  <c r="B2691" i="1"/>
  <c r="C2691" i="1"/>
  <c r="B2692" i="1"/>
  <c r="C2692" i="1"/>
  <c r="B2693" i="1"/>
  <c r="C2693" i="1"/>
  <c r="B2694" i="1"/>
  <c r="C2694" i="1"/>
  <c r="B2695" i="1"/>
  <c r="C2695" i="1"/>
  <c r="B2696" i="1"/>
  <c r="C2696" i="1"/>
  <c r="B2697" i="1"/>
  <c r="C2697" i="1"/>
  <c r="B2698" i="1"/>
  <c r="C2698" i="1"/>
  <c r="B2699" i="1"/>
  <c r="C2699" i="1"/>
  <c r="B2700" i="1"/>
  <c r="C2700" i="1"/>
  <c r="B2701" i="1"/>
  <c r="C2701" i="1"/>
  <c r="B2702" i="1"/>
  <c r="C2702" i="1"/>
  <c r="B2703" i="1"/>
  <c r="C2703" i="1"/>
  <c r="B2704" i="1"/>
  <c r="C2704" i="1"/>
  <c r="B2705" i="1"/>
  <c r="C2705" i="1"/>
  <c r="B2706" i="1"/>
  <c r="C2706" i="1"/>
  <c r="B2707" i="1"/>
  <c r="C2707" i="1"/>
  <c r="B2708" i="1"/>
  <c r="C2708" i="1"/>
  <c r="B2709" i="1"/>
  <c r="C2709" i="1"/>
  <c r="B2710" i="1"/>
  <c r="C2710" i="1"/>
  <c r="B2711" i="1"/>
  <c r="C2711" i="1"/>
  <c r="B2712" i="1"/>
  <c r="C2712" i="1"/>
  <c r="B2713" i="1"/>
  <c r="C2713" i="1"/>
  <c r="B2714" i="1"/>
  <c r="C2714" i="1"/>
  <c r="B2715" i="1"/>
  <c r="C2715" i="1"/>
  <c r="B2716" i="1"/>
  <c r="C2716" i="1"/>
  <c r="B2717" i="1"/>
  <c r="C2717" i="1"/>
  <c r="B2718" i="1"/>
  <c r="C2718" i="1"/>
  <c r="B2719" i="1"/>
  <c r="C2719" i="1"/>
  <c r="B2720" i="1"/>
  <c r="C2720" i="1"/>
  <c r="B2721" i="1"/>
  <c r="C2721" i="1"/>
  <c r="B2722" i="1"/>
  <c r="C2722" i="1"/>
  <c r="B2723" i="1"/>
  <c r="C2723" i="1"/>
  <c r="B2724" i="1"/>
  <c r="C2724" i="1"/>
  <c r="B2725" i="1"/>
  <c r="C2725" i="1"/>
  <c r="B2726" i="1"/>
  <c r="C2726" i="1"/>
  <c r="B2727" i="1"/>
  <c r="C2727" i="1"/>
  <c r="B2728" i="1"/>
  <c r="C2728" i="1"/>
  <c r="B2729" i="1"/>
  <c r="C2729" i="1"/>
  <c r="B2730" i="1"/>
  <c r="C2730" i="1"/>
  <c r="B2731" i="1"/>
  <c r="C2731" i="1"/>
  <c r="B2732" i="1"/>
  <c r="C2732" i="1"/>
  <c r="B2733" i="1"/>
  <c r="C2733" i="1"/>
  <c r="B2734" i="1"/>
  <c r="C2734" i="1"/>
  <c r="B2735" i="1"/>
  <c r="C2735" i="1"/>
  <c r="B2736" i="1"/>
  <c r="C2736" i="1"/>
  <c r="B2737" i="1"/>
  <c r="C2737" i="1"/>
  <c r="B2738" i="1"/>
  <c r="C2738" i="1"/>
  <c r="B2739" i="1"/>
  <c r="C2739" i="1"/>
  <c r="B2740" i="1"/>
  <c r="C2740" i="1"/>
  <c r="B2741" i="1"/>
  <c r="C2741" i="1"/>
  <c r="B2742" i="1"/>
  <c r="C2742" i="1"/>
  <c r="B2743" i="1"/>
  <c r="C2743" i="1"/>
  <c r="B2744" i="1"/>
  <c r="C2744" i="1"/>
  <c r="B2745" i="1"/>
  <c r="C2745" i="1"/>
  <c r="B2746" i="1"/>
  <c r="C2746" i="1"/>
  <c r="B2747" i="1"/>
  <c r="C2747" i="1"/>
  <c r="B2748" i="1"/>
  <c r="C2748" i="1"/>
  <c r="B2749" i="1"/>
  <c r="C2749" i="1"/>
  <c r="B2750" i="1"/>
  <c r="C2750" i="1"/>
  <c r="B2751" i="1"/>
  <c r="C2751" i="1"/>
  <c r="B2752" i="1"/>
  <c r="C2752" i="1"/>
  <c r="B2753" i="1"/>
  <c r="C2753" i="1"/>
  <c r="B2754" i="1"/>
  <c r="C2754" i="1"/>
  <c r="B2755" i="1"/>
  <c r="C2755" i="1"/>
  <c r="B2756" i="1"/>
  <c r="C2756" i="1"/>
  <c r="B2757" i="1"/>
  <c r="C2757" i="1"/>
  <c r="B2758" i="1"/>
  <c r="C2758" i="1"/>
  <c r="B2759" i="1"/>
  <c r="C2759" i="1"/>
  <c r="B2760" i="1"/>
  <c r="C2760" i="1"/>
  <c r="B2761" i="1"/>
  <c r="C2761" i="1"/>
  <c r="B2762" i="1"/>
  <c r="C2762" i="1"/>
  <c r="B2763" i="1"/>
  <c r="C2763" i="1"/>
  <c r="B2764" i="1"/>
  <c r="C2764" i="1"/>
  <c r="B2765" i="1"/>
  <c r="C2765" i="1"/>
  <c r="B2766" i="1"/>
  <c r="C2766" i="1"/>
  <c r="B2767" i="1"/>
  <c r="C2767" i="1"/>
  <c r="B2768" i="1"/>
  <c r="C2768" i="1"/>
  <c r="B2769" i="1"/>
  <c r="C2769" i="1"/>
  <c r="B2770" i="1"/>
  <c r="C2770" i="1"/>
  <c r="B2771" i="1"/>
  <c r="C2771" i="1"/>
  <c r="B2772" i="1"/>
  <c r="C2772" i="1"/>
  <c r="B2773" i="1"/>
  <c r="C2773" i="1"/>
  <c r="B2774" i="1"/>
  <c r="C2774" i="1"/>
  <c r="B2775" i="1"/>
  <c r="C2775" i="1"/>
  <c r="B2776" i="1"/>
  <c r="C2776" i="1"/>
  <c r="B2777" i="1"/>
  <c r="C2777" i="1"/>
  <c r="B2778" i="1"/>
  <c r="C2778" i="1"/>
  <c r="B2779" i="1"/>
  <c r="C2779" i="1"/>
  <c r="B2780" i="1"/>
  <c r="C2780" i="1"/>
  <c r="B2781" i="1"/>
  <c r="C2781" i="1"/>
  <c r="B2782" i="1"/>
  <c r="C2782" i="1"/>
  <c r="B2783" i="1"/>
  <c r="C2783" i="1"/>
  <c r="B2784" i="1"/>
  <c r="C2784" i="1"/>
  <c r="B2785" i="1"/>
  <c r="C2785" i="1"/>
  <c r="B2786" i="1"/>
  <c r="C2786" i="1"/>
  <c r="B2787" i="1"/>
  <c r="C2787" i="1"/>
  <c r="B2788" i="1"/>
  <c r="C2788" i="1"/>
  <c r="B2789" i="1"/>
  <c r="C2789" i="1"/>
  <c r="B2790" i="1"/>
  <c r="C2790" i="1"/>
  <c r="B2791" i="1"/>
  <c r="C2791" i="1"/>
  <c r="B2792" i="1"/>
  <c r="C2792" i="1"/>
  <c r="B2793" i="1"/>
  <c r="C2793" i="1"/>
  <c r="B2794" i="1"/>
  <c r="C2794" i="1"/>
  <c r="B2795" i="1"/>
  <c r="C2795" i="1"/>
  <c r="B2796" i="1"/>
  <c r="C2796" i="1"/>
  <c r="B2797" i="1"/>
  <c r="C2797" i="1"/>
  <c r="B2798" i="1"/>
  <c r="C2798" i="1"/>
  <c r="B2799" i="1"/>
  <c r="C2799" i="1"/>
  <c r="B2800" i="1"/>
  <c r="C2800" i="1"/>
  <c r="B2801" i="1"/>
  <c r="C2801" i="1"/>
  <c r="B2802" i="1"/>
  <c r="C2802" i="1"/>
  <c r="B2803" i="1"/>
  <c r="C2803" i="1"/>
  <c r="B2804" i="1"/>
  <c r="C2804" i="1"/>
  <c r="B2805" i="1"/>
  <c r="C2805" i="1"/>
  <c r="B2806" i="1"/>
  <c r="C2806" i="1"/>
  <c r="B2807" i="1"/>
  <c r="C2807" i="1"/>
  <c r="B2808" i="1"/>
  <c r="C2808" i="1"/>
  <c r="B2809" i="1"/>
  <c r="C2809" i="1"/>
  <c r="B2810" i="1"/>
  <c r="C2810" i="1"/>
  <c r="B2811" i="1"/>
  <c r="C2811" i="1"/>
  <c r="B2812" i="1"/>
  <c r="C2812" i="1"/>
  <c r="B2813" i="1"/>
  <c r="C2813" i="1"/>
  <c r="B2814" i="1"/>
  <c r="C2814" i="1"/>
  <c r="B2815" i="1"/>
  <c r="C2815" i="1"/>
  <c r="B2816" i="1"/>
  <c r="C2816" i="1"/>
  <c r="B2817" i="1"/>
  <c r="C2817" i="1"/>
  <c r="B2818" i="1"/>
  <c r="C2818" i="1"/>
  <c r="B2819" i="1"/>
  <c r="C2819" i="1"/>
  <c r="B2820" i="1"/>
  <c r="C2820" i="1"/>
  <c r="B2821" i="1"/>
  <c r="C2821" i="1"/>
  <c r="B2822" i="1"/>
  <c r="C2822" i="1"/>
  <c r="B2823" i="1"/>
  <c r="C2823" i="1"/>
  <c r="B2824" i="1"/>
  <c r="C2824" i="1"/>
  <c r="B2825" i="1"/>
  <c r="C2825" i="1"/>
  <c r="B2826" i="1"/>
  <c r="C2826" i="1"/>
  <c r="B2827" i="1"/>
  <c r="C2827" i="1"/>
  <c r="B2828" i="1"/>
  <c r="C2828" i="1"/>
  <c r="B2829" i="1"/>
  <c r="C2829" i="1"/>
  <c r="B2830" i="1"/>
  <c r="C2830" i="1"/>
  <c r="B2831" i="1"/>
  <c r="C2831" i="1"/>
  <c r="B2832" i="1"/>
  <c r="C2832" i="1"/>
  <c r="B2833" i="1"/>
  <c r="C2833" i="1"/>
  <c r="B2834" i="1"/>
  <c r="C2834" i="1"/>
  <c r="B2835" i="1"/>
  <c r="C2835" i="1"/>
  <c r="B2836" i="1"/>
  <c r="C2836" i="1"/>
  <c r="B2837" i="1"/>
  <c r="C2837" i="1"/>
  <c r="B2838" i="1"/>
  <c r="C2838" i="1"/>
  <c r="B2839" i="1"/>
  <c r="C2839" i="1"/>
  <c r="B2840" i="1"/>
  <c r="C2840" i="1"/>
  <c r="B2841" i="1"/>
  <c r="C2841" i="1"/>
  <c r="B2842" i="1"/>
  <c r="C2842" i="1"/>
  <c r="B2843" i="1"/>
  <c r="C2843" i="1"/>
  <c r="B2844" i="1"/>
  <c r="C2844" i="1"/>
  <c r="B2845" i="1"/>
  <c r="C2845" i="1"/>
  <c r="B2846" i="1"/>
  <c r="C2846" i="1"/>
  <c r="B2847" i="1"/>
  <c r="C2847" i="1"/>
  <c r="B2848" i="1"/>
  <c r="C2848" i="1"/>
  <c r="B2849" i="1"/>
  <c r="C2849" i="1"/>
  <c r="B2850" i="1"/>
  <c r="C2850" i="1"/>
  <c r="B2851" i="1"/>
  <c r="C2851" i="1"/>
  <c r="B2852" i="1"/>
  <c r="C2852" i="1"/>
  <c r="B2853" i="1"/>
  <c r="C2853" i="1"/>
  <c r="B2854" i="1"/>
  <c r="C2854" i="1"/>
  <c r="B2855" i="1"/>
  <c r="C2855" i="1"/>
  <c r="B2856" i="1"/>
  <c r="C2856" i="1"/>
  <c r="B2857" i="1"/>
  <c r="C2857" i="1"/>
  <c r="B2858" i="1"/>
  <c r="C2858" i="1"/>
  <c r="B2859" i="1"/>
  <c r="C2859" i="1"/>
  <c r="B2860" i="1"/>
  <c r="C2860" i="1"/>
  <c r="B2861" i="1"/>
  <c r="C2861" i="1"/>
  <c r="B2862" i="1"/>
  <c r="C2862" i="1"/>
  <c r="B2863" i="1"/>
  <c r="C2863" i="1"/>
  <c r="B2864" i="1"/>
  <c r="C2864" i="1"/>
  <c r="B2865" i="1"/>
  <c r="C2865" i="1"/>
  <c r="B2866" i="1"/>
  <c r="C2866" i="1"/>
  <c r="B2867" i="1"/>
  <c r="C2867" i="1"/>
  <c r="B2868" i="1"/>
  <c r="C2868" i="1"/>
  <c r="B2869" i="1"/>
  <c r="C2869" i="1"/>
  <c r="B2870" i="1"/>
  <c r="C2870" i="1"/>
  <c r="B2871" i="1"/>
  <c r="C2871" i="1"/>
  <c r="B2872" i="1"/>
  <c r="C2872" i="1"/>
  <c r="B2873" i="1"/>
  <c r="C2873" i="1"/>
  <c r="B2874" i="1"/>
  <c r="C2874" i="1"/>
  <c r="B2875" i="1"/>
  <c r="C2875" i="1"/>
  <c r="B2876" i="1"/>
  <c r="C2876" i="1"/>
  <c r="B2877" i="1"/>
  <c r="C2877" i="1"/>
  <c r="B2878" i="1"/>
  <c r="C2878" i="1"/>
  <c r="B2879" i="1"/>
  <c r="C2879" i="1"/>
  <c r="B2880" i="1"/>
  <c r="C2880" i="1"/>
  <c r="B2881" i="1"/>
  <c r="C2881" i="1"/>
  <c r="B2882" i="1"/>
  <c r="C2882" i="1"/>
  <c r="B2883" i="1"/>
  <c r="C2883" i="1"/>
  <c r="B2884" i="1"/>
  <c r="C2884" i="1"/>
  <c r="B2885" i="1"/>
  <c r="C2885" i="1"/>
  <c r="B2886" i="1"/>
  <c r="C2886" i="1"/>
  <c r="B2887" i="1"/>
  <c r="C2887" i="1"/>
  <c r="B2888" i="1"/>
  <c r="C2888" i="1"/>
  <c r="B2889" i="1"/>
  <c r="C2889" i="1"/>
  <c r="B2890" i="1"/>
  <c r="C2890" i="1"/>
  <c r="B2891" i="1"/>
  <c r="C2891" i="1"/>
  <c r="B2892" i="1"/>
  <c r="C2892" i="1"/>
  <c r="B2893" i="1"/>
  <c r="C2893" i="1"/>
  <c r="B2894" i="1"/>
  <c r="C2894" i="1"/>
  <c r="B2895" i="1"/>
  <c r="C2895" i="1"/>
  <c r="B2896" i="1"/>
  <c r="C2896" i="1"/>
  <c r="B2897" i="1"/>
  <c r="C2897" i="1"/>
  <c r="B2898" i="1"/>
  <c r="C2898" i="1"/>
  <c r="B2899" i="1"/>
  <c r="C2899" i="1"/>
  <c r="B2900" i="1"/>
  <c r="C2900" i="1"/>
  <c r="B2901" i="1"/>
  <c r="C2901" i="1"/>
  <c r="B2902" i="1"/>
  <c r="C2902" i="1"/>
  <c r="B2903" i="1"/>
  <c r="C2903" i="1"/>
  <c r="B2904" i="1"/>
  <c r="C2904" i="1"/>
  <c r="B2905" i="1"/>
  <c r="C2905" i="1"/>
  <c r="B2906" i="1"/>
  <c r="C2906" i="1"/>
  <c r="B2907" i="1"/>
  <c r="C2907" i="1"/>
  <c r="B2908" i="1"/>
  <c r="C2908" i="1"/>
  <c r="B2909" i="1"/>
  <c r="C2909" i="1"/>
  <c r="B2910" i="1"/>
  <c r="C2910" i="1"/>
  <c r="B2911" i="1"/>
  <c r="C2911" i="1"/>
  <c r="B2912" i="1"/>
  <c r="C2912" i="1"/>
  <c r="B2913" i="1"/>
  <c r="C2913" i="1"/>
  <c r="B2914" i="1"/>
  <c r="C2914" i="1"/>
  <c r="B2915" i="1"/>
  <c r="C2915" i="1"/>
  <c r="B2916" i="1"/>
  <c r="C2916" i="1"/>
  <c r="B2917" i="1"/>
  <c r="C2917" i="1"/>
  <c r="B2918" i="1"/>
  <c r="C2918" i="1"/>
  <c r="B2919" i="1"/>
  <c r="C2919" i="1"/>
  <c r="B2920" i="1"/>
  <c r="C2920" i="1"/>
  <c r="B2921" i="1"/>
  <c r="C2921" i="1"/>
  <c r="B2922" i="1"/>
  <c r="C2922" i="1"/>
  <c r="B2923" i="1"/>
  <c r="C2923" i="1"/>
  <c r="B2924" i="1"/>
  <c r="C2924" i="1"/>
  <c r="B2925" i="1"/>
  <c r="C2925" i="1"/>
  <c r="B2926" i="1"/>
  <c r="C2926" i="1"/>
  <c r="B2927" i="1"/>
  <c r="C2927" i="1"/>
  <c r="B2928" i="1"/>
  <c r="C2928" i="1"/>
  <c r="B2929" i="1"/>
  <c r="C2929" i="1"/>
  <c r="B2930" i="1"/>
  <c r="C2930" i="1"/>
  <c r="B2931" i="1"/>
  <c r="C2931" i="1"/>
  <c r="B2932" i="1"/>
  <c r="C2932" i="1"/>
  <c r="B2933" i="1"/>
  <c r="C2933" i="1"/>
  <c r="B2934" i="1"/>
  <c r="C2934" i="1"/>
  <c r="B2935" i="1"/>
  <c r="C2935" i="1"/>
  <c r="B2936" i="1"/>
  <c r="C2936" i="1"/>
  <c r="B2937" i="1"/>
  <c r="C2937" i="1"/>
  <c r="B2938" i="1"/>
  <c r="C2938" i="1"/>
  <c r="B2939" i="1"/>
  <c r="C2939" i="1"/>
  <c r="B2940" i="1"/>
  <c r="C2940" i="1"/>
  <c r="B2941" i="1"/>
  <c r="C2941" i="1"/>
  <c r="B2942" i="1"/>
  <c r="C2942" i="1"/>
  <c r="B2943" i="1"/>
  <c r="C2943" i="1"/>
  <c r="B2944" i="1"/>
  <c r="C2944" i="1"/>
  <c r="B2945" i="1"/>
  <c r="C2945" i="1"/>
  <c r="B2946" i="1"/>
  <c r="C2946" i="1"/>
  <c r="B2947" i="1"/>
  <c r="C2947" i="1"/>
  <c r="B2948" i="1"/>
  <c r="C2948" i="1"/>
  <c r="B2949" i="1"/>
  <c r="C2949" i="1"/>
  <c r="B2950" i="1"/>
  <c r="C2950" i="1"/>
  <c r="B2951" i="1"/>
  <c r="C2951" i="1"/>
  <c r="B2952" i="1"/>
  <c r="C2952" i="1"/>
  <c r="B2953" i="1"/>
  <c r="C2953" i="1"/>
  <c r="B2954" i="1"/>
  <c r="C2954" i="1"/>
  <c r="B2955" i="1"/>
  <c r="C2955" i="1"/>
  <c r="B2956" i="1"/>
  <c r="C2956" i="1"/>
  <c r="B2957" i="1"/>
  <c r="C2957" i="1"/>
  <c r="B2958" i="1"/>
  <c r="C2958" i="1"/>
  <c r="B2959" i="1"/>
  <c r="C2959" i="1"/>
  <c r="B2960" i="1"/>
  <c r="C2960" i="1"/>
  <c r="B2961" i="1"/>
  <c r="C2961" i="1"/>
  <c r="B2962" i="1"/>
  <c r="C2962" i="1"/>
  <c r="B2963" i="1"/>
  <c r="C2963" i="1"/>
  <c r="B2964" i="1"/>
  <c r="C2964" i="1"/>
  <c r="B2965" i="1"/>
  <c r="C2965" i="1"/>
  <c r="B2966" i="1"/>
  <c r="C2966" i="1"/>
  <c r="B2967" i="1"/>
  <c r="C2967" i="1"/>
  <c r="B2968" i="1"/>
  <c r="C2968" i="1"/>
  <c r="B2969" i="1"/>
  <c r="C2969" i="1"/>
  <c r="B2970" i="1"/>
  <c r="C2970" i="1"/>
  <c r="B2971" i="1"/>
  <c r="C2971" i="1"/>
  <c r="B2972" i="1"/>
  <c r="C2972" i="1"/>
  <c r="B2973" i="1"/>
  <c r="C2973" i="1"/>
  <c r="B2974" i="1"/>
  <c r="C2974" i="1"/>
  <c r="B2975" i="1"/>
  <c r="C2975" i="1"/>
  <c r="B2976" i="1"/>
  <c r="C2976" i="1"/>
  <c r="B2977" i="1"/>
  <c r="C2977" i="1"/>
  <c r="B2978" i="1"/>
  <c r="C2978" i="1"/>
  <c r="B2979" i="1"/>
  <c r="C2979" i="1"/>
  <c r="B2980" i="1"/>
  <c r="C2980" i="1"/>
  <c r="B2981" i="1"/>
  <c r="C2981" i="1"/>
  <c r="B2982" i="1"/>
  <c r="C2982" i="1"/>
  <c r="B2983" i="1"/>
  <c r="C2983" i="1"/>
  <c r="B2984" i="1"/>
  <c r="C2984" i="1"/>
  <c r="B2985" i="1"/>
  <c r="C2985" i="1"/>
  <c r="B2986" i="1"/>
  <c r="C2986" i="1"/>
  <c r="B2987" i="1"/>
  <c r="C2987" i="1"/>
  <c r="B2988" i="1"/>
  <c r="C2988" i="1"/>
  <c r="B2989" i="1"/>
  <c r="C2989" i="1"/>
  <c r="B2990" i="1"/>
  <c r="C2990" i="1"/>
  <c r="B2991" i="1"/>
  <c r="C2991" i="1"/>
  <c r="B2992" i="1"/>
  <c r="C2992" i="1"/>
  <c r="B2993" i="1"/>
  <c r="C2993" i="1"/>
  <c r="B2994" i="1"/>
  <c r="C2994" i="1"/>
  <c r="B2995" i="1"/>
  <c r="C2995" i="1"/>
  <c r="B2996" i="1"/>
  <c r="C2996" i="1"/>
  <c r="B2997" i="1"/>
  <c r="C2997" i="1"/>
  <c r="B2998" i="1"/>
  <c r="C2998" i="1"/>
  <c r="B2999" i="1"/>
  <c r="C2999" i="1"/>
  <c r="B3000" i="1"/>
  <c r="C3000" i="1"/>
  <c r="B3001" i="1"/>
  <c r="C3001" i="1"/>
  <c r="B3002" i="1"/>
  <c r="C3002" i="1"/>
  <c r="B3003" i="1"/>
  <c r="C3003" i="1"/>
  <c r="B3004" i="1"/>
  <c r="C3004" i="1"/>
  <c r="B3005" i="1"/>
  <c r="C3005" i="1"/>
  <c r="B3006" i="1"/>
  <c r="C3006" i="1"/>
  <c r="B3007" i="1"/>
  <c r="C3007" i="1"/>
  <c r="B3008" i="1"/>
  <c r="C3008" i="1"/>
  <c r="B3009" i="1"/>
  <c r="C3009" i="1"/>
  <c r="B3010" i="1"/>
  <c r="C3010" i="1"/>
  <c r="B3011" i="1"/>
  <c r="C3011" i="1"/>
  <c r="B3012" i="1"/>
  <c r="C3012" i="1"/>
  <c r="B3013" i="1"/>
  <c r="C3013" i="1"/>
  <c r="B3014" i="1"/>
  <c r="C3014" i="1"/>
  <c r="B3015" i="1"/>
  <c r="C3015" i="1"/>
  <c r="B3016" i="1"/>
  <c r="C3016" i="1"/>
  <c r="B3017" i="1"/>
  <c r="C3017" i="1"/>
  <c r="B3018" i="1"/>
  <c r="C3018" i="1"/>
  <c r="B3019" i="1"/>
  <c r="C3019" i="1"/>
  <c r="B3020" i="1"/>
  <c r="C3020" i="1"/>
  <c r="B3021" i="1"/>
  <c r="C3021" i="1"/>
  <c r="B3022" i="1"/>
  <c r="C3022" i="1"/>
  <c r="B3023" i="1"/>
  <c r="C3023" i="1"/>
  <c r="B3024" i="1"/>
  <c r="C3024" i="1"/>
  <c r="B3025" i="1"/>
  <c r="C3025" i="1"/>
  <c r="B3026" i="1"/>
  <c r="C3026" i="1"/>
  <c r="B3027" i="1"/>
  <c r="C3027" i="1"/>
  <c r="B3028" i="1"/>
  <c r="C3028" i="1"/>
  <c r="B3029" i="1"/>
  <c r="C3029" i="1"/>
  <c r="B3030" i="1"/>
  <c r="C3030" i="1"/>
  <c r="B3031" i="1"/>
  <c r="C3031" i="1"/>
  <c r="B3032" i="1"/>
  <c r="C3032" i="1"/>
  <c r="B3033" i="1"/>
  <c r="C3033" i="1"/>
  <c r="B3034" i="1"/>
  <c r="C3034" i="1"/>
  <c r="B3035" i="1"/>
  <c r="C3035" i="1"/>
  <c r="B3036" i="1"/>
  <c r="C3036" i="1"/>
  <c r="B3037" i="1"/>
  <c r="C3037" i="1"/>
  <c r="B3038" i="1"/>
  <c r="C3038" i="1"/>
  <c r="B3039" i="1"/>
  <c r="C3039" i="1"/>
  <c r="B3040" i="1"/>
  <c r="C3040" i="1"/>
  <c r="B3041" i="1"/>
  <c r="C3041" i="1"/>
  <c r="B3042" i="1"/>
  <c r="C3042" i="1"/>
  <c r="B3043" i="1"/>
  <c r="C3043" i="1"/>
  <c r="B3044" i="1"/>
  <c r="C3044" i="1"/>
  <c r="B3045" i="1"/>
  <c r="C3045" i="1"/>
  <c r="B3046" i="1"/>
  <c r="C3046" i="1"/>
  <c r="B3047" i="1"/>
  <c r="C3047" i="1"/>
  <c r="B3048" i="1"/>
  <c r="C3048" i="1"/>
  <c r="B3049" i="1"/>
  <c r="C3049" i="1"/>
  <c r="B3050" i="1"/>
  <c r="C3050" i="1"/>
  <c r="B3051" i="1"/>
  <c r="C3051" i="1"/>
  <c r="B3052" i="1"/>
  <c r="C3052" i="1"/>
  <c r="B3053" i="1"/>
  <c r="C3053" i="1"/>
  <c r="B3054" i="1"/>
  <c r="C3054" i="1"/>
  <c r="B3055" i="1"/>
  <c r="C3055" i="1"/>
  <c r="B3056" i="1"/>
  <c r="C3056" i="1"/>
  <c r="B3057" i="1"/>
  <c r="C3057" i="1"/>
  <c r="B3058" i="1"/>
  <c r="C3058" i="1"/>
  <c r="B3059" i="1"/>
  <c r="C3059" i="1"/>
  <c r="B3060" i="1"/>
  <c r="C3060" i="1"/>
  <c r="B3061" i="1"/>
  <c r="C3061" i="1"/>
  <c r="B3062" i="1"/>
  <c r="C3062" i="1"/>
  <c r="B3063" i="1"/>
  <c r="C3063" i="1"/>
  <c r="B3064" i="1"/>
  <c r="C3064" i="1"/>
  <c r="B3065" i="1"/>
  <c r="C3065" i="1"/>
  <c r="B3066" i="1"/>
  <c r="C3066" i="1"/>
  <c r="B3067" i="1"/>
  <c r="C3067" i="1"/>
  <c r="B3068" i="1"/>
  <c r="C3068" i="1"/>
  <c r="B3069" i="1"/>
  <c r="C3069" i="1"/>
  <c r="B3070" i="1"/>
  <c r="C3070" i="1"/>
  <c r="B3071" i="1"/>
  <c r="C3071" i="1"/>
  <c r="B3072" i="1"/>
  <c r="C3072" i="1"/>
  <c r="B3073" i="1"/>
  <c r="C3073" i="1"/>
  <c r="B3074" i="1"/>
  <c r="C3074" i="1"/>
  <c r="B3075" i="1"/>
  <c r="C3075" i="1"/>
  <c r="B3076" i="1"/>
  <c r="C3076" i="1"/>
  <c r="B3077" i="1"/>
  <c r="C3077" i="1"/>
  <c r="B3078" i="1"/>
  <c r="C3078" i="1"/>
  <c r="B3079" i="1"/>
  <c r="C3079" i="1"/>
  <c r="B3080" i="1"/>
  <c r="C3080" i="1"/>
  <c r="B3081" i="1"/>
  <c r="C3081" i="1"/>
  <c r="B3082" i="1"/>
  <c r="C3082" i="1"/>
  <c r="B3083" i="1"/>
  <c r="C3083" i="1"/>
  <c r="B3084" i="1"/>
  <c r="C3084" i="1"/>
  <c r="B3085" i="1"/>
  <c r="C3085" i="1"/>
  <c r="B3086" i="1"/>
  <c r="C3086" i="1"/>
  <c r="B3087" i="1"/>
  <c r="C3087" i="1"/>
  <c r="B3088" i="1"/>
  <c r="C3088" i="1"/>
  <c r="B3089" i="1"/>
  <c r="C3089" i="1"/>
  <c r="B3090" i="1"/>
  <c r="C3090" i="1"/>
  <c r="B3091" i="1"/>
  <c r="C3091" i="1"/>
  <c r="B3092" i="1"/>
  <c r="C3092" i="1"/>
  <c r="B3093" i="1"/>
  <c r="C3093" i="1"/>
  <c r="B3094" i="1"/>
  <c r="C3094" i="1"/>
  <c r="B3095" i="1"/>
  <c r="C3095" i="1"/>
  <c r="B3096" i="1"/>
  <c r="C3096" i="1"/>
  <c r="B3097" i="1"/>
  <c r="C3097" i="1"/>
  <c r="B3098" i="1"/>
  <c r="C3098" i="1"/>
  <c r="B3099" i="1"/>
  <c r="C3099" i="1"/>
  <c r="B3100" i="1"/>
  <c r="C3100" i="1"/>
  <c r="B3101" i="1"/>
  <c r="C3101" i="1"/>
  <c r="B3102" i="1"/>
  <c r="C3102" i="1"/>
  <c r="B3103" i="1"/>
  <c r="C3103" i="1"/>
  <c r="B3104" i="1"/>
  <c r="C3104" i="1"/>
  <c r="B3105" i="1"/>
  <c r="C3105" i="1"/>
  <c r="B3106" i="1"/>
  <c r="C3106" i="1"/>
  <c r="B3107" i="1"/>
  <c r="C3107" i="1"/>
  <c r="B3108" i="1"/>
  <c r="C3108" i="1"/>
  <c r="B3109" i="1"/>
  <c r="C3109" i="1"/>
  <c r="B3110" i="1"/>
  <c r="C3110" i="1"/>
  <c r="B3111" i="1"/>
  <c r="C3111" i="1"/>
  <c r="B3112" i="1"/>
  <c r="C3112" i="1"/>
  <c r="B3113" i="1"/>
  <c r="C3113" i="1"/>
  <c r="B3114" i="1"/>
  <c r="C3114" i="1"/>
  <c r="B3115" i="1"/>
  <c r="C3115" i="1"/>
  <c r="B3116" i="1"/>
  <c r="C3116" i="1"/>
  <c r="B3117" i="1"/>
  <c r="C3117" i="1"/>
  <c r="B3118" i="1"/>
  <c r="C3118" i="1"/>
  <c r="B3119" i="1"/>
  <c r="C3119" i="1"/>
  <c r="B3120" i="1"/>
  <c r="C3120" i="1"/>
  <c r="B3121" i="1"/>
  <c r="C3121" i="1"/>
  <c r="B3122" i="1"/>
  <c r="C3122" i="1"/>
  <c r="B3123" i="1"/>
  <c r="C3123" i="1"/>
  <c r="B3124" i="1"/>
  <c r="C3124" i="1"/>
  <c r="B3125" i="1"/>
  <c r="C3125" i="1"/>
  <c r="B3126" i="1"/>
  <c r="C3126" i="1"/>
  <c r="B3127" i="1"/>
  <c r="C3127" i="1"/>
  <c r="B3128" i="1"/>
  <c r="C3128" i="1"/>
  <c r="B3129" i="1"/>
  <c r="C3129" i="1"/>
  <c r="B3130" i="1"/>
  <c r="C3130" i="1"/>
  <c r="B3131" i="1"/>
  <c r="C3131" i="1"/>
  <c r="B3132" i="1"/>
  <c r="C3132" i="1"/>
  <c r="B3133" i="1"/>
  <c r="C3133" i="1"/>
  <c r="B3134" i="1"/>
  <c r="C3134" i="1"/>
  <c r="B3135" i="1"/>
  <c r="C3135" i="1"/>
  <c r="B3136" i="1"/>
  <c r="C3136" i="1"/>
  <c r="B3137" i="1"/>
  <c r="C3137" i="1"/>
  <c r="B3138" i="1"/>
  <c r="C3138" i="1"/>
  <c r="B3139" i="1"/>
  <c r="C3139" i="1"/>
  <c r="B3140" i="1"/>
  <c r="C3140" i="1"/>
  <c r="B3141" i="1"/>
  <c r="C3141" i="1"/>
  <c r="B3142" i="1"/>
  <c r="C3142" i="1"/>
  <c r="B3143" i="1"/>
  <c r="C3143" i="1"/>
  <c r="B3144" i="1"/>
  <c r="C3144" i="1"/>
  <c r="B3145" i="1"/>
  <c r="C3145" i="1"/>
  <c r="B3146" i="1"/>
  <c r="C3146" i="1"/>
  <c r="B3147" i="1"/>
  <c r="C3147" i="1"/>
  <c r="B3148" i="1"/>
  <c r="C3148" i="1"/>
  <c r="B3149" i="1"/>
  <c r="C3149" i="1"/>
  <c r="B3150" i="1"/>
  <c r="C3150" i="1"/>
  <c r="B3151" i="1"/>
  <c r="C3151" i="1"/>
  <c r="B3152" i="1"/>
  <c r="C3152" i="1"/>
  <c r="B3153" i="1"/>
  <c r="C3153" i="1"/>
  <c r="B3154" i="1"/>
  <c r="C3154" i="1"/>
  <c r="B3155" i="1"/>
  <c r="C3155" i="1"/>
  <c r="B3156" i="1"/>
  <c r="C3156" i="1"/>
  <c r="B3157" i="1"/>
  <c r="C3157" i="1"/>
  <c r="B3158" i="1"/>
  <c r="C3158" i="1"/>
  <c r="B3159" i="1"/>
  <c r="C3159" i="1"/>
  <c r="B3160" i="1"/>
  <c r="C3160" i="1"/>
  <c r="B3161" i="1"/>
  <c r="C3161" i="1"/>
  <c r="B3162" i="1"/>
  <c r="C3162" i="1"/>
  <c r="B3163" i="1"/>
  <c r="C3163" i="1"/>
  <c r="B3164" i="1"/>
  <c r="C3164" i="1"/>
  <c r="B3165" i="1"/>
  <c r="C3165" i="1"/>
  <c r="B3166" i="1"/>
  <c r="C3166" i="1"/>
  <c r="B3167" i="1"/>
  <c r="C3167" i="1"/>
  <c r="B3168" i="1"/>
  <c r="C3168" i="1"/>
  <c r="B3169" i="1"/>
  <c r="C3169" i="1"/>
  <c r="B3170" i="1"/>
  <c r="C3170" i="1"/>
  <c r="B3171" i="1"/>
  <c r="C3171" i="1"/>
  <c r="B3172" i="1"/>
  <c r="C3172" i="1"/>
  <c r="B3173" i="1"/>
  <c r="C3173" i="1"/>
  <c r="B3174" i="1"/>
  <c r="C3174" i="1"/>
  <c r="B3175" i="1"/>
  <c r="C3175" i="1"/>
  <c r="B3176" i="1"/>
  <c r="C3176" i="1"/>
  <c r="B3177" i="1"/>
  <c r="C3177" i="1"/>
  <c r="B3178" i="1"/>
  <c r="C3178" i="1"/>
  <c r="B3179" i="1"/>
  <c r="C3179" i="1"/>
  <c r="B3180" i="1"/>
  <c r="C3180" i="1"/>
  <c r="B3181" i="1"/>
  <c r="C3181" i="1"/>
  <c r="B3182" i="1"/>
  <c r="C3182" i="1"/>
  <c r="B3183" i="1"/>
  <c r="C3183" i="1"/>
  <c r="B3184" i="1"/>
  <c r="C3184" i="1"/>
  <c r="B3185" i="1"/>
  <c r="C3185" i="1"/>
  <c r="B3186" i="1"/>
  <c r="C3186" i="1"/>
  <c r="B3187" i="1"/>
  <c r="C3187" i="1"/>
  <c r="B3188" i="1"/>
  <c r="C3188" i="1"/>
  <c r="B3189" i="1"/>
  <c r="C3189" i="1"/>
  <c r="B3190" i="1"/>
  <c r="C3190" i="1"/>
  <c r="B3191" i="1"/>
  <c r="C3191" i="1"/>
  <c r="B3192" i="1"/>
  <c r="C3192" i="1"/>
  <c r="B3193" i="1"/>
  <c r="C3193" i="1"/>
  <c r="B3194" i="1"/>
  <c r="C3194" i="1"/>
  <c r="B3195" i="1"/>
  <c r="C3195" i="1"/>
  <c r="B3196" i="1"/>
  <c r="C3196" i="1"/>
  <c r="B3197" i="1"/>
  <c r="C3197" i="1"/>
  <c r="B3198" i="1"/>
  <c r="C3198" i="1"/>
  <c r="B3199" i="1"/>
  <c r="C3199" i="1"/>
  <c r="B3200" i="1"/>
  <c r="C3200" i="1"/>
  <c r="B3201" i="1"/>
  <c r="C3201" i="1"/>
  <c r="B3202" i="1"/>
  <c r="C3202" i="1"/>
  <c r="B3203" i="1"/>
  <c r="C3203" i="1"/>
  <c r="B3204" i="1"/>
  <c r="C3204" i="1"/>
  <c r="B3205" i="1"/>
  <c r="C3205" i="1"/>
  <c r="B3206" i="1"/>
  <c r="C3206" i="1"/>
  <c r="B3207" i="1"/>
  <c r="C3207" i="1"/>
  <c r="B3208" i="1"/>
  <c r="C3208" i="1"/>
  <c r="B3209" i="1"/>
  <c r="C3209" i="1"/>
  <c r="B3210" i="1"/>
  <c r="C3210" i="1"/>
  <c r="B3211" i="1"/>
  <c r="C3211" i="1"/>
  <c r="B3212" i="1"/>
  <c r="C3212" i="1"/>
  <c r="B3213" i="1"/>
  <c r="C3213" i="1"/>
  <c r="B3214" i="1"/>
  <c r="C3214" i="1"/>
  <c r="B3215" i="1"/>
  <c r="C3215" i="1"/>
  <c r="B3216" i="1"/>
  <c r="C3216" i="1"/>
  <c r="B3217" i="1"/>
  <c r="C3217" i="1"/>
  <c r="B3218" i="1"/>
  <c r="C3218" i="1"/>
  <c r="B3219" i="1"/>
  <c r="C3219" i="1"/>
  <c r="B3220" i="1"/>
  <c r="C3220" i="1"/>
  <c r="B3221" i="1"/>
  <c r="C3221" i="1"/>
  <c r="B3222" i="1"/>
  <c r="C3222" i="1"/>
  <c r="B3223" i="1"/>
  <c r="C3223" i="1"/>
  <c r="B3224" i="1"/>
  <c r="C3224" i="1"/>
  <c r="B3225" i="1"/>
  <c r="C3225" i="1"/>
  <c r="B3226" i="1"/>
  <c r="C3226" i="1"/>
  <c r="B3227" i="1"/>
  <c r="C3227" i="1"/>
  <c r="B3228" i="1"/>
  <c r="C3228" i="1"/>
  <c r="B3229" i="1"/>
  <c r="C3229" i="1"/>
  <c r="B3230" i="1"/>
  <c r="C3230" i="1"/>
  <c r="B3231" i="1"/>
  <c r="C3231" i="1"/>
  <c r="B3232" i="1"/>
  <c r="C3232" i="1"/>
  <c r="B3233" i="1"/>
  <c r="C3233" i="1"/>
  <c r="B3234" i="1"/>
  <c r="C3234" i="1"/>
  <c r="B3235" i="1"/>
  <c r="C3235" i="1"/>
  <c r="B3236" i="1"/>
  <c r="C3236" i="1"/>
  <c r="B3237" i="1"/>
  <c r="C3237" i="1"/>
  <c r="B3238" i="1"/>
  <c r="C3238" i="1"/>
  <c r="B3239" i="1"/>
  <c r="C3239" i="1"/>
  <c r="B3240" i="1"/>
  <c r="C3240" i="1"/>
  <c r="B3241" i="1"/>
  <c r="C3241" i="1"/>
  <c r="B3242" i="1"/>
  <c r="C3242" i="1"/>
  <c r="B3243" i="1"/>
  <c r="C3243" i="1"/>
  <c r="B3244" i="1"/>
  <c r="C3244" i="1"/>
  <c r="B3245" i="1"/>
  <c r="C3245" i="1"/>
  <c r="B3246" i="1"/>
  <c r="C3246" i="1"/>
  <c r="B3247" i="1"/>
  <c r="C3247" i="1"/>
  <c r="B3248" i="1"/>
  <c r="C3248" i="1"/>
  <c r="B3249" i="1"/>
  <c r="C3249" i="1"/>
  <c r="B3250" i="1"/>
  <c r="C3250" i="1"/>
  <c r="B3251" i="1"/>
  <c r="C3251" i="1"/>
  <c r="B3252" i="1"/>
  <c r="C3252" i="1"/>
  <c r="B3253" i="1"/>
  <c r="C3253" i="1"/>
  <c r="B3254" i="1"/>
  <c r="C3254" i="1"/>
  <c r="B3255" i="1"/>
  <c r="C3255" i="1"/>
  <c r="B3256" i="1"/>
  <c r="C3256" i="1"/>
  <c r="B3257" i="1"/>
  <c r="C3257" i="1"/>
  <c r="B3258" i="1"/>
  <c r="C3258" i="1"/>
  <c r="B3259" i="1"/>
  <c r="C3259" i="1"/>
  <c r="B3260" i="1"/>
  <c r="C3260" i="1"/>
  <c r="B3261" i="1"/>
  <c r="C3261" i="1"/>
  <c r="B3262" i="1"/>
  <c r="C3262" i="1"/>
  <c r="B3263" i="1"/>
  <c r="C3263" i="1"/>
  <c r="B3264" i="1"/>
  <c r="C3264" i="1"/>
  <c r="B3265" i="1"/>
  <c r="C3265" i="1"/>
  <c r="B3266" i="1"/>
  <c r="C3266" i="1"/>
  <c r="B3267" i="1"/>
  <c r="C3267" i="1"/>
  <c r="B3268" i="1"/>
  <c r="C3268" i="1"/>
  <c r="B3269" i="1"/>
  <c r="C3269" i="1"/>
  <c r="B3270" i="1"/>
  <c r="C3270" i="1"/>
  <c r="B3271" i="1"/>
  <c r="C3271" i="1"/>
  <c r="B3272" i="1"/>
  <c r="C3272" i="1"/>
  <c r="B3273" i="1"/>
  <c r="C3273" i="1"/>
  <c r="B3274" i="1"/>
  <c r="C3274" i="1"/>
  <c r="B3275" i="1"/>
  <c r="C3275" i="1"/>
  <c r="B3276" i="1"/>
  <c r="C3276" i="1"/>
  <c r="B3277" i="1"/>
  <c r="C3277" i="1"/>
  <c r="B3278" i="1"/>
  <c r="C3278" i="1"/>
  <c r="B3279" i="1"/>
  <c r="C3279" i="1"/>
  <c r="B3280" i="1"/>
  <c r="C3280" i="1"/>
  <c r="B3281" i="1"/>
  <c r="C3281" i="1"/>
  <c r="B3282" i="1"/>
  <c r="C3282" i="1"/>
  <c r="B3283" i="1"/>
  <c r="C3283" i="1"/>
  <c r="B3284" i="1"/>
  <c r="C3284" i="1"/>
  <c r="B3285" i="1"/>
  <c r="C3285" i="1"/>
  <c r="B3286" i="1"/>
  <c r="C3286" i="1"/>
  <c r="B3287" i="1"/>
  <c r="C3287" i="1"/>
  <c r="B3288" i="1"/>
  <c r="C3288" i="1"/>
  <c r="B3289" i="1"/>
  <c r="C3289" i="1"/>
  <c r="B3290" i="1"/>
  <c r="C3290" i="1"/>
  <c r="B3291" i="1"/>
  <c r="C3291" i="1"/>
  <c r="B3292" i="1"/>
  <c r="C3292" i="1"/>
  <c r="B3293" i="1"/>
  <c r="C3293" i="1"/>
  <c r="B3294" i="1"/>
  <c r="C3294" i="1"/>
  <c r="B3295" i="1"/>
  <c r="C3295" i="1"/>
  <c r="B3296" i="1"/>
  <c r="C3296" i="1"/>
  <c r="B3297" i="1"/>
  <c r="C3297" i="1"/>
  <c r="B3298" i="1"/>
  <c r="C3298" i="1"/>
  <c r="B3299" i="1"/>
  <c r="C3299" i="1"/>
  <c r="B3300" i="1"/>
  <c r="C3300" i="1"/>
  <c r="B3301" i="1"/>
  <c r="C3301" i="1"/>
  <c r="B3302" i="1"/>
  <c r="C3302" i="1"/>
  <c r="B3303" i="1"/>
  <c r="C3303" i="1"/>
  <c r="B3304" i="1"/>
  <c r="C3304" i="1"/>
  <c r="B3305" i="1"/>
  <c r="C3305" i="1"/>
  <c r="B3306" i="1"/>
  <c r="C3306" i="1"/>
  <c r="B3307" i="1"/>
  <c r="C3307" i="1"/>
  <c r="B3308" i="1"/>
  <c r="C3308" i="1"/>
  <c r="B3309" i="1"/>
  <c r="C3309" i="1"/>
  <c r="B3310" i="1"/>
  <c r="C3310" i="1"/>
  <c r="B3311" i="1"/>
  <c r="C3311" i="1"/>
  <c r="B3312" i="1"/>
  <c r="C3312" i="1"/>
  <c r="B3313" i="1"/>
  <c r="C3313" i="1"/>
  <c r="B3314" i="1"/>
  <c r="C3314" i="1"/>
  <c r="B3315" i="1"/>
  <c r="C3315" i="1"/>
  <c r="B3316" i="1"/>
  <c r="C3316" i="1"/>
  <c r="B3317" i="1"/>
  <c r="C3317" i="1"/>
  <c r="B3318" i="1"/>
  <c r="C3318" i="1"/>
  <c r="B3319" i="1"/>
  <c r="C3319" i="1"/>
  <c r="B3320" i="1"/>
  <c r="C3320" i="1"/>
  <c r="B3321" i="1"/>
  <c r="C3321" i="1"/>
  <c r="B3322" i="1"/>
  <c r="C3322" i="1"/>
  <c r="B3323" i="1"/>
  <c r="C3323" i="1"/>
  <c r="B3324" i="1"/>
  <c r="C3324" i="1"/>
  <c r="B3325" i="1"/>
  <c r="C3325" i="1"/>
  <c r="B3326" i="1"/>
  <c r="C3326" i="1"/>
  <c r="B3327" i="1"/>
  <c r="C3327" i="1"/>
  <c r="B3328" i="1"/>
  <c r="C3328" i="1"/>
  <c r="B3329" i="1"/>
  <c r="C3329" i="1"/>
  <c r="B3330" i="1"/>
  <c r="C3330" i="1"/>
  <c r="B3331" i="1"/>
  <c r="C3331" i="1"/>
  <c r="B3332" i="1"/>
  <c r="C3332" i="1"/>
  <c r="B3333" i="1"/>
  <c r="C3333" i="1"/>
  <c r="B3334" i="1"/>
  <c r="C3334" i="1"/>
  <c r="B3335" i="1"/>
  <c r="C3335" i="1"/>
  <c r="B3336" i="1"/>
  <c r="C3336" i="1"/>
  <c r="B3337" i="1"/>
  <c r="C3337" i="1"/>
  <c r="B3338" i="1"/>
  <c r="C3338" i="1"/>
  <c r="B3339" i="1"/>
  <c r="C3339" i="1"/>
  <c r="B3340" i="1"/>
  <c r="C3340" i="1"/>
  <c r="B3341" i="1"/>
  <c r="C3341" i="1"/>
  <c r="B3342" i="1"/>
  <c r="C3342" i="1"/>
  <c r="B3343" i="1"/>
  <c r="C3343" i="1"/>
  <c r="B3344" i="1"/>
  <c r="C3344" i="1"/>
  <c r="B3345" i="1"/>
  <c r="C3345" i="1"/>
  <c r="B3346" i="1"/>
  <c r="C3346" i="1"/>
  <c r="B3347" i="1"/>
  <c r="C3347" i="1"/>
  <c r="B3348" i="1"/>
  <c r="C3348" i="1"/>
  <c r="B3349" i="1"/>
  <c r="C3349" i="1"/>
  <c r="B3350" i="1"/>
  <c r="C3350" i="1"/>
  <c r="B3351" i="1"/>
  <c r="C3351" i="1"/>
  <c r="B3352" i="1"/>
  <c r="C3352" i="1"/>
  <c r="B3353" i="1"/>
  <c r="C3353" i="1"/>
  <c r="B3354" i="1"/>
  <c r="C3354" i="1"/>
  <c r="B3355" i="1"/>
  <c r="C3355" i="1"/>
  <c r="B3356" i="1"/>
  <c r="C3356" i="1"/>
  <c r="B3357" i="1"/>
  <c r="C3357" i="1"/>
  <c r="B3358" i="1"/>
  <c r="C3358" i="1"/>
  <c r="B3359" i="1"/>
  <c r="C3359" i="1"/>
  <c r="B3360" i="1"/>
  <c r="C3360" i="1"/>
  <c r="B3361" i="1"/>
  <c r="C3361" i="1"/>
  <c r="B3362" i="1"/>
  <c r="C3362" i="1"/>
  <c r="B3363" i="1"/>
  <c r="C3363" i="1"/>
  <c r="B3364" i="1"/>
  <c r="C3364" i="1"/>
  <c r="B3365" i="1"/>
  <c r="C3365" i="1"/>
  <c r="B3366" i="1"/>
  <c r="C3366" i="1"/>
  <c r="B3367" i="1"/>
  <c r="C3367" i="1"/>
  <c r="B3368" i="1"/>
  <c r="C3368" i="1"/>
  <c r="B3369" i="1"/>
  <c r="C3369" i="1"/>
  <c r="B3370" i="1"/>
  <c r="C3370" i="1"/>
  <c r="B3371" i="1"/>
  <c r="C3371" i="1"/>
  <c r="B3372" i="1"/>
  <c r="C3372" i="1"/>
  <c r="B3373" i="1"/>
  <c r="C3373" i="1"/>
  <c r="B3374" i="1"/>
  <c r="C3374" i="1"/>
  <c r="B3375" i="1"/>
  <c r="C3375" i="1"/>
  <c r="B3376" i="1"/>
  <c r="C3376" i="1"/>
  <c r="B3377" i="1"/>
  <c r="C3377" i="1"/>
  <c r="B3378" i="1"/>
  <c r="C3378" i="1"/>
  <c r="B3379" i="1"/>
  <c r="C3379" i="1"/>
  <c r="B3380" i="1"/>
  <c r="C3380" i="1"/>
  <c r="B3381" i="1"/>
  <c r="C3381" i="1"/>
  <c r="B3382" i="1"/>
  <c r="C3382" i="1"/>
  <c r="B3383" i="1"/>
  <c r="C3383" i="1"/>
  <c r="B3384" i="1"/>
  <c r="C3384" i="1"/>
  <c r="B3385" i="1"/>
  <c r="C3385" i="1"/>
  <c r="B3386" i="1"/>
  <c r="C3386" i="1"/>
  <c r="B3387" i="1"/>
  <c r="C3387" i="1"/>
  <c r="B3388" i="1"/>
  <c r="C3388" i="1"/>
  <c r="B3389" i="1"/>
  <c r="C3389" i="1"/>
  <c r="B3390" i="1"/>
  <c r="C3390" i="1"/>
  <c r="B3391" i="1"/>
  <c r="C3391" i="1"/>
  <c r="B3392" i="1"/>
  <c r="C3392" i="1"/>
  <c r="B3393" i="1"/>
  <c r="C3393" i="1"/>
  <c r="B3394" i="1"/>
  <c r="C3394" i="1"/>
  <c r="B3395" i="1"/>
  <c r="C3395" i="1"/>
  <c r="B3396" i="1"/>
  <c r="C3396" i="1"/>
  <c r="B3397" i="1"/>
  <c r="C3397" i="1"/>
  <c r="B3398" i="1"/>
  <c r="C3398" i="1"/>
  <c r="B3399" i="1"/>
  <c r="C3399" i="1"/>
  <c r="B3400" i="1"/>
  <c r="C3400" i="1"/>
  <c r="B3401" i="1"/>
  <c r="C3401" i="1"/>
  <c r="B3402" i="1"/>
  <c r="C3402" i="1"/>
  <c r="B3403" i="1"/>
  <c r="C3403" i="1"/>
  <c r="B3404" i="1"/>
  <c r="C3404" i="1"/>
  <c r="B3405" i="1"/>
  <c r="C3405" i="1"/>
  <c r="B3406" i="1"/>
  <c r="C3406" i="1"/>
  <c r="B3407" i="1"/>
  <c r="C3407" i="1"/>
  <c r="B3408" i="1"/>
  <c r="C3408" i="1"/>
  <c r="B3409" i="1"/>
  <c r="C3409" i="1"/>
  <c r="B3410" i="1"/>
  <c r="C3410" i="1"/>
  <c r="B3411" i="1"/>
  <c r="C3411" i="1"/>
  <c r="B3412" i="1"/>
  <c r="C3412" i="1"/>
  <c r="B3413" i="1"/>
  <c r="C3413" i="1"/>
  <c r="B3414" i="1"/>
  <c r="C3414" i="1"/>
  <c r="B3415" i="1"/>
  <c r="C3415" i="1"/>
  <c r="B3416" i="1"/>
  <c r="C3416" i="1"/>
  <c r="B3417" i="1"/>
  <c r="C3417" i="1"/>
  <c r="B3418" i="1"/>
  <c r="C3418" i="1"/>
  <c r="B3419" i="1"/>
  <c r="C3419" i="1"/>
  <c r="B3420" i="1"/>
  <c r="C3420" i="1"/>
  <c r="B3421" i="1"/>
  <c r="C3421" i="1"/>
  <c r="B3422" i="1"/>
  <c r="C3422" i="1"/>
  <c r="B3423" i="1"/>
  <c r="C3423" i="1"/>
  <c r="B3424" i="1"/>
  <c r="C3424" i="1"/>
  <c r="B3425" i="1"/>
  <c r="C3425" i="1"/>
  <c r="B3426" i="1"/>
  <c r="C3426" i="1"/>
  <c r="B3427" i="1"/>
  <c r="C3427" i="1"/>
  <c r="B3428" i="1"/>
  <c r="C3428" i="1"/>
  <c r="B3429" i="1"/>
  <c r="C3429" i="1"/>
  <c r="B3430" i="1"/>
  <c r="C3430" i="1"/>
  <c r="B3431" i="1"/>
  <c r="C3431" i="1"/>
  <c r="B3432" i="1"/>
  <c r="C3432" i="1"/>
  <c r="B3433" i="1"/>
  <c r="C3433" i="1"/>
  <c r="B3434" i="1"/>
  <c r="C3434" i="1"/>
  <c r="B3435" i="1"/>
  <c r="C3435" i="1"/>
  <c r="B3436" i="1"/>
  <c r="C3436" i="1"/>
  <c r="B3437" i="1"/>
  <c r="C3437" i="1"/>
  <c r="B3438" i="1"/>
  <c r="C3438" i="1"/>
  <c r="B3439" i="1"/>
  <c r="C3439" i="1"/>
  <c r="B3440" i="1"/>
  <c r="C3440" i="1"/>
  <c r="B3441" i="1"/>
  <c r="C3441" i="1"/>
  <c r="B3442" i="1"/>
  <c r="C3442" i="1"/>
  <c r="B3443" i="1"/>
  <c r="C3443" i="1"/>
  <c r="B3444" i="1"/>
  <c r="C3444" i="1"/>
  <c r="B3445" i="1"/>
  <c r="C3445" i="1"/>
  <c r="B3446" i="1"/>
  <c r="C3446" i="1"/>
  <c r="B3447" i="1"/>
  <c r="C3447" i="1"/>
  <c r="B3448" i="1"/>
  <c r="C3448" i="1"/>
  <c r="B3449" i="1"/>
  <c r="C3449" i="1"/>
  <c r="B3450" i="1"/>
  <c r="C3450" i="1"/>
  <c r="B3451" i="1"/>
  <c r="C3451" i="1"/>
  <c r="B3452" i="1"/>
  <c r="C3452" i="1"/>
  <c r="B3453" i="1"/>
  <c r="C3453" i="1"/>
  <c r="B3454" i="1"/>
  <c r="C3454" i="1"/>
  <c r="B3455" i="1"/>
  <c r="C3455" i="1"/>
  <c r="B3456" i="1"/>
  <c r="C3456" i="1"/>
  <c r="B3457" i="1"/>
  <c r="C3457" i="1"/>
  <c r="B3458" i="1"/>
  <c r="C3458" i="1"/>
  <c r="B3459" i="1"/>
  <c r="C3459" i="1"/>
  <c r="B3460" i="1"/>
  <c r="C3460" i="1"/>
  <c r="B3461" i="1"/>
  <c r="C3461" i="1"/>
  <c r="B3462" i="1"/>
  <c r="C3462" i="1"/>
  <c r="B3463" i="1"/>
  <c r="C3463" i="1"/>
  <c r="B3464" i="1"/>
  <c r="C3464" i="1"/>
  <c r="B3465" i="1"/>
  <c r="C3465" i="1"/>
  <c r="B3466" i="1"/>
  <c r="C3466" i="1"/>
  <c r="B3467" i="1"/>
  <c r="C3467" i="1"/>
  <c r="B3468" i="1"/>
  <c r="C3468" i="1"/>
  <c r="B3469" i="1"/>
  <c r="C3469" i="1"/>
  <c r="B3470" i="1"/>
  <c r="C3470" i="1"/>
  <c r="B3471" i="1"/>
  <c r="C3471" i="1"/>
  <c r="B3472" i="1"/>
  <c r="C3472" i="1"/>
  <c r="B3473" i="1"/>
  <c r="C3473" i="1"/>
  <c r="B3474" i="1"/>
  <c r="C3474" i="1"/>
  <c r="B3475" i="1"/>
  <c r="C3475" i="1"/>
  <c r="B3476" i="1"/>
  <c r="C3476" i="1"/>
  <c r="B3477" i="1"/>
  <c r="C3477" i="1"/>
  <c r="B3478" i="1"/>
  <c r="C3478" i="1"/>
  <c r="B3479" i="1"/>
  <c r="C3479" i="1"/>
  <c r="B3480" i="1"/>
  <c r="C3480" i="1"/>
  <c r="B3481" i="1"/>
  <c r="C3481" i="1"/>
  <c r="B3482" i="1"/>
  <c r="C3482" i="1"/>
  <c r="B3483" i="1"/>
  <c r="C3483" i="1"/>
  <c r="B3484" i="1"/>
  <c r="C3484" i="1"/>
  <c r="B3485" i="1"/>
  <c r="C3485" i="1"/>
  <c r="B3486" i="1"/>
  <c r="C3486" i="1"/>
  <c r="B3487" i="1"/>
  <c r="C3487" i="1"/>
  <c r="B3488" i="1"/>
  <c r="C3488" i="1"/>
  <c r="B3489" i="1"/>
  <c r="C3489" i="1"/>
  <c r="B3490" i="1"/>
  <c r="C3490" i="1"/>
  <c r="B3491" i="1"/>
  <c r="C3491" i="1"/>
  <c r="B3492" i="1"/>
  <c r="C3492" i="1"/>
  <c r="B3493" i="1"/>
  <c r="C3493" i="1"/>
  <c r="B3494" i="1"/>
  <c r="C3494" i="1"/>
  <c r="B3495" i="1"/>
  <c r="C3495" i="1"/>
  <c r="B3496" i="1"/>
  <c r="C3496" i="1"/>
  <c r="B3497" i="1"/>
  <c r="C3497" i="1"/>
  <c r="B3498" i="1"/>
  <c r="C3498" i="1"/>
  <c r="B3499" i="1"/>
  <c r="C3499" i="1"/>
  <c r="B3500" i="1"/>
  <c r="C3500" i="1"/>
  <c r="B3501" i="1"/>
  <c r="C3501" i="1"/>
  <c r="B3502" i="1"/>
  <c r="C3502" i="1"/>
  <c r="B3503" i="1"/>
  <c r="C3503" i="1"/>
  <c r="B3504" i="1"/>
  <c r="C3504" i="1"/>
  <c r="B3505" i="1"/>
  <c r="C3505" i="1"/>
  <c r="B3506" i="1"/>
  <c r="C3506" i="1"/>
  <c r="B3507" i="1"/>
  <c r="C3507" i="1"/>
  <c r="B3508" i="1"/>
  <c r="C3508" i="1"/>
  <c r="B3509" i="1"/>
  <c r="C3509" i="1"/>
  <c r="B3510" i="1"/>
  <c r="C3510" i="1"/>
  <c r="B3511" i="1"/>
  <c r="C3511" i="1"/>
  <c r="B3512" i="1"/>
  <c r="C3512" i="1"/>
  <c r="B3513" i="1"/>
  <c r="C3513" i="1"/>
  <c r="B3514" i="1"/>
  <c r="C3514" i="1"/>
  <c r="B3515" i="1"/>
  <c r="C3515" i="1"/>
  <c r="B3516" i="1"/>
  <c r="C3516" i="1"/>
  <c r="B3517" i="1"/>
  <c r="C3517" i="1"/>
  <c r="B3518" i="1"/>
  <c r="C3518" i="1"/>
  <c r="B3519" i="1"/>
  <c r="C3519" i="1"/>
  <c r="B3520" i="1"/>
  <c r="C3520" i="1"/>
  <c r="B3521" i="1"/>
  <c r="C3521" i="1"/>
  <c r="B3522" i="1"/>
  <c r="C3522" i="1"/>
  <c r="B3523" i="1"/>
  <c r="C3523" i="1"/>
  <c r="B3524" i="1"/>
  <c r="C3524" i="1"/>
  <c r="B3525" i="1"/>
  <c r="C3525" i="1"/>
  <c r="B3526" i="1"/>
  <c r="C3526" i="1"/>
  <c r="B3527" i="1"/>
  <c r="C3527" i="1"/>
  <c r="B3528" i="1"/>
  <c r="C3528" i="1"/>
  <c r="B3529" i="1"/>
  <c r="C3529" i="1"/>
  <c r="B3530" i="1"/>
  <c r="C3530" i="1"/>
  <c r="B3531" i="1"/>
  <c r="C3531" i="1"/>
  <c r="B3532" i="1"/>
  <c r="C3532" i="1"/>
  <c r="B3533" i="1"/>
  <c r="C3533" i="1"/>
  <c r="B3534" i="1"/>
  <c r="C3534" i="1"/>
  <c r="B3535" i="1"/>
  <c r="C3535" i="1"/>
  <c r="B3536" i="1"/>
  <c r="C3536" i="1"/>
  <c r="B3537" i="1"/>
  <c r="C3537" i="1"/>
  <c r="B3538" i="1"/>
  <c r="C3538" i="1"/>
  <c r="B3539" i="1"/>
  <c r="C3539" i="1"/>
  <c r="B3540" i="1"/>
  <c r="C3540" i="1"/>
  <c r="B3541" i="1"/>
  <c r="C3541" i="1"/>
  <c r="B3542" i="1"/>
  <c r="C3542" i="1"/>
  <c r="B3543" i="1"/>
  <c r="C3543" i="1"/>
  <c r="B3544" i="1"/>
  <c r="C3544" i="1"/>
  <c r="B3545" i="1"/>
  <c r="C3545" i="1"/>
  <c r="B3546" i="1"/>
  <c r="C3546" i="1"/>
  <c r="B3547" i="1"/>
  <c r="C3547" i="1"/>
  <c r="B3548" i="1"/>
  <c r="C3548" i="1"/>
  <c r="B3549" i="1"/>
  <c r="C3549" i="1"/>
  <c r="B3550" i="1"/>
  <c r="C3550" i="1"/>
  <c r="B3551" i="1"/>
  <c r="C3551" i="1"/>
  <c r="B3552" i="1"/>
  <c r="C3552" i="1"/>
  <c r="B3553" i="1"/>
  <c r="C3553" i="1"/>
  <c r="B3554" i="1"/>
  <c r="C3554" i="1"/>
  <c r="B3555" i="1"/>
  <c r="C3555" i="1"/>
  <c r="B3556" i="1"/>
  <c r="C3556" i="1"/>
  <c r="B3557" i="1"/>
  <c r="C3557" i="1"/>
  <c r="B3558" i="1"/>
  <c r="C3558" i="1"/>
  <c r="B3559" i="1"/>
  <c r="C3559" i="1"/>
  <c r="B3560" i="1"/>
  <c r="C3560" i="1"/>
  <c r="B3561" i="1"/>
  <c r="C3561" i="1"/>
  <c r="B3562" i="1"/>
  <c r="C3562" i="1"/>
  <c r="B3563" i="1"/>
  <c r="C3563" i="1"/>
  <c r="B3564" i="1"/>
  <c r="C3564" i="1"/>
  <c r="B3565" i="1"/>
  <c r="C3565" i="1"/>
  <c r="B3566" i="1"/>
  <c r="C3566" i="1"/>
  <c r="B3567" i="1"/>
  <c r="C3567" i="1"/>
  <c r="B3568" i="1"/>
  <c r="C3568" i="1"/>
  <c r="B3569" i="1"/>
  <c r="C3569" i="1"/>
  <c r="B3570" i="1"/>
  <c r="C3570" i="1"/>
  <c r="B3571" i="1"/>
  <c r="C3571" i="1"/>
  <c r="B3572" i="1"/>
  <c r="C3572" i="1"/>
  <c r="B3573" i="1"/>
  <c r="C3573" i="1"/>
  <c r="B3574" i="1"/>
  <c r="C3574" i="1"/>
  <c r="B3575" i="1"/>
  <c r="C3575" i="1"/>
  <c r="B3576" i="1"/>
  <c r="C3576" i="1"/>
  <c r="B3577" i="1"/>
  <c r="C3577" i="1"/>
  <c r="B3578" i="1"/>
  <c r="C3578" i="1"/>
  <c r="B3579" i="1"/>
  <c r="C3579" i="1"/>
  <c r="B3580" i="1"/>
  <c r="C3580" i="1"/>
  <c r="B3581" i="1"/>
  <c r="C3581" i="1"/>
  <c r="B3582" i="1"/>
  <c r="C3582" i="1"/>
  <c r="B3583" i="1"/>
  <c r="C3583" i="1"/>
  <c r="B3584" i="1"/>
  <c r="C3584" i="1"/>
  <c r="B3585" i="1"/>
  <c r="C3585" i="1"/>
  <c r="B3586" i="1"/>
  <c r="C3586" i="1"/>
  <c r="B3587" i="1"/>
  <c r="C3587" i="1"/>
  <c r="B3588" i="1"/>
  <c r="C3588" i="1"/>
  <c r="B3589" i="1"/>
  <c r="C3589" i="1"/>
  <c r="B3590" i="1"/>
  <c r="C3590" i="1"/>
  <c r="B3591" i="1"/>
  <c r="C3591" i="1"/>
  <c r="B3592" i="1"/>
  <c r="C3592" i="1"/>
  <c r="B3593" i="1"/>
  <c r="C3593" i="1"/>
  <c r="B3594" i="1"/>
  <c r="C3594" i="1"/>
  <c r="B3595" i="1"/>
  <c r="C3595" i="1"/>
  <c r="B3596" i="1"/>
  <c r="C3596" i="1"/>
  <c r="B3597" i="1"/>
  <c r="C3597" i="1"/>
  <c r="B3598" i="1"/>
  <c r="C3598" i="1"/>
  <c r="B3599" i="1"/>
  <c r="C3599" i="1"/>
  <c r="B3600" i="1"/>
  <c r="C3600" i="1"/>
  <c r="B3601" i="1"/>
  <c r="C3601" i="1"/>
  <c r="B3602" i="1"/>
  <c r="C3602" i="1"/>
  <c r="B3603" i="1"/>
  <c r="C3603" i="1"/>
  <c r="B3604" i="1"/>
  <c r="C3604" i="1"/>
  <c r="B3605" i="1"/>
  <c r="C3605" i="1"/>
  <c r="B3606" i="1"/>
  <c r="C3606" i="1"/>
  <c r="B3607" i="1"/>
  <c r="C3607" i="1"/>
  <c r="B3608" i="1"/>
  <c r="C3608" i="1"/>
  <c r="B3609" i="1"/>
  <c r="C3609" i="1"/>
  <c r="B3610" i="1"/>
  <c r="C3610" i="1"/>
  <c r="B3611" i="1"/>
  <c r="C3611" i="1"/>
  <c r="B3612" i="1"/>
  <c r="C3612" i="1"/>
  <c r="B3613" i="1"/>
  <c r="C3613" i="1"/>
  <c r="B3614" i="1"/>
  <c r="C3614" i="1"/>
  <c r="B3615" i="1"/>
  <c r="C3615" i="1"/>
  <c r="B3616" i="1"/>
  <c r="C3616" i="1"/>
  <c r="B3617" i="1"/>
  <c r="C3617" i="1"/>
  <c r="B3618" i="1"/>
  <c r="C3618" i="1"/>
  <c r="B3619" i="1"/>
  <c r="C3619" i="1"/>
  <c r="B3620" i="1"/>
  <c r="C3620" i="1"/>
  <c r="B3621" i="1"/>
  <c r="C3621" i="1"/>
  <c r="B3622" i="1"/>
  <c r="C3622" i="1"/>
  <c r="B3623" i="1"/>
  <c r="C3623" i="1"/>
  <c r="B3624" i="1"/>
  <c r="C3624" i="1"/>
  <c r="B3625" i="1"/>
  <c r="C3625" i="1"/>
  <c r="B3626" i="1"/>
  <c r="C3626" i="1"/>
  <c r="B3627" i="1"/>
  <c r="C3627" i="1"/>
  <c r="B3628" i="1"/>
  <c r="C3628" i="1"/>
  <c r="B3629" i="1"/>
  <c r="C3629" i="1"/>
  <c r="B3630" i="1"/>
  <c r="C3630" i="1"/>
  <c r="B3631" i="1"/>
  <c r="C3631" i="1"/>
  <c r="B3632" i="1"/>
  <c r="C3632" i="1"/>
  <c r="B3633" i="1"/>
  <c r="C3633" i="1"/>
  <c r="B3634" i="1"/>
  <c r="C3634" i="1"/>
  <c r="B3635" i="1"/>
  <c r="C3635" i="1"/>
  <c r="B3636" i="1"/>
  <c r="C3636" i="1"/>
  <c r="B3637" i="1"/>
  <c r="C3637" i="1"/>
  <c r="B3638" i="1"/>
  <c r="C3638" i="1"/>
  <c r="B3639" i="1"/>
  <c r="C3639" i="1"/>
  <c r="B3640" i="1"/>
  <c r="C3640" i="1"/>
  <c r="B3641" i="1"/>
  <c r="C3641" i="1"/>
  <c r="B3642" i="1"/>
  <c r="C3642" i="1"/>
  <c r="B3643" i="1"/>
  <c r="C3643" i="1"/>
  <c r="B3644" i="1"/>
  <c r="C3644" i="1"/>
  <c r="B3645" i="1"/>
  <c r="C3645" i="1"/>
  <c r="B3646" i="1"/>
  <c r="C3646" i="1"/>
  <c r="B3647" i="1"/>
  <c r="C3647" i="1"/>
  <c r="B3648" i="1"/>
  <c r="C3648" i="1"/>
  <c r="B3649" i="1"/>
  <c r="C3649" i="1"/>
  <c r="B3650" i="1"/>
  <c r="C3650" i="1"/>
  <c r="B3651" i="1"/>
  <c r="C3651" i="1"/>
  <c r="B3652" i="1"/>
  <c r="C3652" i="1"/>
  <c r="B3653" i="1"/>
  <c r="C3653" i="1"/>
  <c r="B3654" i="1"/>
  <c r="C3654" i="1"/>
  <c r="B3655" i="1"/>
  <c r="C3655" i="1"/>
  <c r="B3656" i="1"/>
  <c r="C3656" i="1"/>
  <c r="B3657" i="1"/>
  <c r="C3657" i="1"/>
  <c r="B3658" i="1"/>
  <c r="C3658" i="1"/>
  <c r="B3659" i="1"/>
  <c r="C3659" i="1"/>
  <c r="B3660" i="1"/>
  <c r="C3660" i="1"/>
  <c r="B3661" i="1"/>
  <c r="C3661" i="1"/>
  <c r="B3662" i="1"/>
  <c r="C3662" i="1"/>
  <c r="B3663" i="1"/>
  <c r="C3663" i="1"/>
  <c r="B3664" i="1"/>
  <c r="C3664" i="1"/>
  <c r="B3665" i="1"/>
  <c r="C3665" i="1"/>
  <c r="B3666" i="1"/>
  <c r="C3666" i="1"/>
  <c r="B3667" i="1"/>
  <c r="C3667" i="1"/>
  <c r="B3668" i="1"/>
  <c r="C3668" i="1"/>
  <c r="B3669" i="1"/>
  <c r="C3669" i="1"/>
  <c r="B3670" i="1"/>
  <c r="C3670" i="1"/>
  <c r="B3671" i="1"/>
  <c r="C3671" i="1"/>
  <c r="B3672" i="1"/>
  <c r="C3672" i="1"/>
  <c r="B3673" i="1"/>
  <c r="C3673" i="1"/>
  <c r="B3674" i="1"/>
  <c r="C3674" i="1"/>
  <c r="B3675" i="1"/>
  <c r="C3675" i="1"/>
  <c r="B3676" i="1"/>
  <c r="C3676" i="1"/>
  <c r="B3677" i="1"/>
  <c r="C3677" i="1"/>
  <c r="B3678" i="1"/>
  <c r="C3678" i="1"/>
  <c r="B3679" i="1"/>
  <c r="C3679" i="1"/>
  <c r="B3680" i="1"/>
  <c r="C3680" i="1"/>
  <c r="B3681" i="1"/>
  <c r="C3681" i="1"/>
  <c r="B3682" i="1"/>
  <c r="C3682" i="1"/>
  <c r="B3683" i="1"/>
  <c r="C3683" i="1"/>
  <c r="B3684" i="1"/>
  <c r="C3684" i="1"/>
  <c r="B3685" i="1"/>
  <c r="C3685" i="1"/>
  <c r="B3686" i="1"/>
  <c r="C3686" i="1"/>
  <c r="B3687" i="1"/>
  <c r="C3687" i="1"/>
  <c r="B3688" i="1"/>
  <c r="C3688" i="1"/>
  <c r="B3689" i="1"/>
  <c r="C3689" i="1"/>
  <c r="B3690" i="1"/>
  <c r="C3690" i="1"/>
  <c r="B3691" i="1"/>
  <c r="C3691" i="1"/>
  <c r="B3692" i="1"/>
  <c r="C3692" i="1"/>
  <c r="B3693" i="1"/>
  <c r="C3693" i="1"/>
  <c r="B3694" i="1"/>
  <c r="C3694" i="1"/>
  <c r="B3695" i="1"/>
  <c r="C3695" i="1"/>
  <c r="B3696" i="1"/>
  <c r="C3696" i="1"/>
  <c r="B3697" i="1"/>
  <c r="C3697" i="1"/>
  <c r="B3698" i="1"/>
  <c r="C3698" i="1"/>
  <c r="B3699" i="1"/>
  <c r="C3699" i="1"/>
  <c r="B3700" i="1"/>
  <c r="C3700" i="1"/>
  <c r="B3701" i="1"/>
  <c r="C3701" i="1"/>
  <c r="B3702" i="1"/>
  <c r="C3702" i="1"/>
  <c r="B3703" i="1"/>
  <c r="C3703" i="1"/>
  <c r="B3704" i="1"/>
  <c r="C3704" i="1"/>
  <c r="B3705" i="1"/>
  <c r="C3705" i="1"/>
  <c r="B3706" i="1"/>
  <c r="C3706" i="1"/>
  <c r="B3707" i="1"/>
  <c r="C3707" i="1"/>
  <c r="B3708" i="1"/>
  <c r="C3708" i="1"/>
  <c r="B3709" i="1"/>
  <c r="C3709" i="1"/>
  <c r="B3710" i="1"/>
  <c r="C3710" i="1"/>
  <c r="B3711" i="1"/>
  <c r="C3711" i="1"/>
  <c r="B3712" i="1"/>
  <c r="C3712" i="1"/>
  <c r="B3713" i="1"/>
  <c r="C3713" i="1"/>
  <c r="B3714" i="1"/>
  <c r="C3714" i="1"/>
  <c r="B3715" i="1"/>
  <c r="C3715" i="1"/>
  <c r="B3716" i="1"/>
  <c r="C3716" i="1"/>
  <c r="B3717" i="1"/>
  <c r="C3717" i="1"/>
  <c r="B3718" i="1"/>
  <c r="C3718" i="1"/>
  <c r="B3719" i="1"/>
  <c r="C3719" i="1"/>
  <c r="B3720" i="1"/>
  <c r="C3720" i="1"/>
  <c r="B3721" i="1"/>
  <c r="C3721" i="1"/>
  <c r="B3722" i="1"/>
  <c r="C3722" i="1"/>
  <c r="B3723" i="1"/>
  <c r="C3723" i="1"/>
  <c r="B3724" i="1"/>
  <c r="C3724" i="1"/>
  <c r="B3725" i="1"/>
  <c r="C3725" i="1"/>
  <c r="B3726" i="1"/>
  <c r="C3726" i="1"/>
  <c r="B3727" i="1"/>
  <c r="C3727" i="1"/>
  <c r="B3728" i="1"/>
  <c r="C3728" i="1"/>
  <c r="B3729" i="1"/>
  <c r="C3729" i="1"/>
  <c r="B3730" i="1"/>
  <c r="C3730" i="1"/>
  <c r="B3731" i="1"/>
  <c r="C3731" i="1"/>
  <c r="B3732" i="1"/>
  <c r="C3732" i="1"/>
  <c r="B3733" i="1"/>
  <c r="C3733" i="1"/>
  <c r="B3734" i="1"/>
  <c r="C3734" i="1"/>
  <c r="B3735" i="1"/>
  <c r="C3735" i="1"/>
  <c r="B3736" i="1"/>
  <c r="C3736" i="1"/>
  <c r="B3737" i="1"/>
  <c r="C3737" i="1"/>
  <c r="B3738" i="1"/>
  <c r="C3738" i="1"/>
  <c r="B3739" i="1"/>
  <c r="C3739" i="1"/>
  <c r="B3740" i="1"/>
  <c r="C3740" i="1"/>
  <c r="B3741" i="1"/>
  <c r="C3741" i="1"/>
  <c r="B3742" i="1"/>
  <c r="C3742" i="1"/>
  <c r="B3743" i="1"/>
  <c r="C3743" i="1"/>
  <c r="B3744" i="1"/>
  <c r="C3744" i="1"/>
  <c r="B3745" i="1"/>
  <c r="C3745" i="1"/>
  <c r="B3746" i="1"/>
  <c r="C3746" i="1"/>
  <c r="B3747" i="1"/>
  <c r="C3747" i="1"/>
  <c r="B3748" i="1"/>
  <c r="C3748" i="1"/>
  <c r="B3749" i="1"/>
  <c r="C3749" i="1"/>
  <c r="B3750" i="1"/>
  <c r="C3750" i="1"/>
  <c r="B3751" i="1"/>
  <c r="C3751" i="1"/>
  <c r="B3752" i="1"/>
  <c r="C3752" i="1"/>
  <c r="B3753" i="1"/>
  <c r="C3753" i="1"/>
  <c r="B3754" i="1"/>
  <c r="C3754" i="1"/>
  <c r="B3755" i="1"/>
  <c r="C3755" i="1"/>
  <c r="B3756" i="1"/>
  <c r="C3756" i="1"/>
  <c r="B3757" i="1"/>
  <c r="C3757" i="1"/>
  <c r="B3758" i="1"/>
  <c r="C3758" i="1"/>
  <c r="B3759" i="1"/>
  <c r="C3759" i="1"/>
  <c r="B3760" i="1"/>
  <c r="C3760" i="1"/>
  <c r="B3761" i="1"/>
  <c r="C3761" i="1"/>
  <c r="B3762" i="1"/>
  <c r="C3762" i="1"/>
  <c r="B3763" i="1"/>
  <c r="C3763" i="1"/>
  <c r="B3764" i="1"/>
  <c r="C3764" i="1"/>
  <c r="B3765" i="1"/>
  <c r="C3765" i="1"/>
  <c r="B3766" i="1"/>
  <c r="C3766" i="1"/>
  <c r="B3767" i="1"/>
  <c r="C3767" i="1"/>
  <c r="B3768" i="1"/>
  <c r="C3768" i="1"/>
  <c r="B3769" i="1"/>
  <c r="C3769" i="1"/>
  <c r="B3770" i="1"/>
  <c r="C3770" i="1"/>
  <c r="B3771" i="1"/>
  <c r="C3771" i="1"/>
  <c r="B3772" i="1"/>
  <c r="C3772" i="1"/>
  <c r="B3773" i="1"/>
  <c r="C3773" i="1"/>
  <c r="B3774" i="1"/>
  <c r="C3774" i="1"/>
  <c r="B3775" i="1"/>
  <c r="C3775" i="1"/>
  <c r="B3776" i="1"/>
  <c r="C3776" i="1"/>
  <c r="B3777" i="1"/>
  <c r="C3777" i="1"/>
  <c r="B3778" i="1"/>
  <c r="C3778" i="1"/>
  <c r="B3779" i="1"/>
  <c r="C3779" i="1"/>
  <c r="B3780" i="1"/>
  <c r="C3780" i="1"/>
  <c r="B3781" i="1"/>
  <c r="C3781" i="1"/>
  <c r="B3782" i="1"/>
  <c r="C3782" i="1"/>
  <c r="B3783" i="1"/>
  <c r="C3783" i="1"/>
  <c r="B3784" i="1"/>
  <c r="C3784" i="1"/>
  <c r="B3785" i="1"/>
  <c r="C3785" i="1"/>
  <c r="B3786" i="1"/>
  <c r="C3786" i="1"/>
  <c r="B3787" i="1"/>
  <c r="C3787" i="1"/>
  <c r="B3788" i="1"/>
  <c r="C3788" i="1"/>
  <c r="B3789" i="1"/>
  <c r="C3789" i="1"/>
  <c r="B3790" i="1"/>
  <c r="C3790" i="1"/>
  <c r="B3791" i="1"/>
  <c r="C3791" i="1"/>
  <c r="B3792" i="1"/>
  <c r="C3792" i="1"/>
  <c r="B3793" i="1"/>
  <c r="C3793" i="1"/>
  <c r="B3794" i="1"/>
  <c r="C3794" i="1"/>
  <c r="B3795" i="1"/>
  <c r="C3795" i="1"/>
  <c r="B3796" i="1"/>
  <c r="C3796" i="1"/>
  <c r="B3797" i="1"/>
  <c r="C3797" i="1"/>
  <c r="B3798" i="1"/>
  <c r="C3798" i="1"/>
  <c r="B3799" i="1"/>
  <c r="C3799" i="1"/>
  <c r="B3800" i="1"/>
  <c r="C3800" i="1"/>
  <c r="B3801" i="1"/>
  <c r="C3801" i="1"/>
  <c r="B3802" i="1"/>
  <c r="C3802" i="1"/>
  <c r="B3803" i="1"/>
  <c r="C3803" i="1"/>
  <c r="B3804" i="1"/>
  <c r="C3804" i="1"/>
  <c r="B3805" i="1"/>
  <c r="C3805" i="1"/>
  <c r="B3806" i="1"/>
  <c r="C3806" i="1"/>
  <c r="B3807" i="1"/>
  <c r="C3807" i="1"/>
  <c r="B3808" i="1"/>
  <c r="C3808" i="1"/>
  <c r="B3809" i="1"/>
  <c r="C3809" i="1"/>
  <c r="B3810" i="1"/>
  <c r="C3810" i="1"/>
  <c r="B3811" i="1"/>
  <c r="C3811" i="1"/>
  <c r="B3812" i="1"/>
  <c r="C3812" i="1"/>
  <c r="B3813" i="1"/>
  <c r="C3813" i="1"/>
  <c r="B3814" i="1"/>
  <c r="C3814" i="1"/>
  <c r="B3815" i="1"/>
  <c r="C3815" i="1"/>
  <c r="B3816" i="1"/>
  <c r="C3816" i="1"/>
  <c r="B3817" i="1"/>
  <c r="C3817" i="1"/>
  <c r="B3818" i="1"/>
  <c r="C3818" i="1"/>
  <c r="B3819" i="1"/>
  <c r="C3819" i="1"/>
  <c r="B3820" i="1"/>
  <c r="C3820" i="1"/>
  <c r="B3821" i="1"/>
  <c r="C3821" i="1"/>
  <c r="B3822" i="1"/>
  <c r="C3822" i="1"/>
  <c r="B3823" i="1"/>
  <c r="C3823" i="1"/>
  <c r="B3824" i="1"/>
  <c r="C3824" i="1"/>
  <c r="B3825" i="1"/>
  <c r="C3825" i="1"/>
  <c r="B3826" i="1"/>
  <c r="C3826" i="1"/>
  <c r="B3827" i="1"/>
  <c r="C3827" i="1"/>
  <c r="B3828" i="1"/>
  <c r="C3828" i="1"/>
  <c r="B3829" i="1"/>
  <c r="C3829" i="1"/>
  <c r="B3830" i="1"/>
  <c r="C3830" i="1"/>
  <c r="B3831" i="1"/>
  <c r="C3831" i="1"/>
  <c r="B3832" i="1"/>
  <c r="C3832" i="1"/>
  <c r="B3833" i="1"/>
  <c r="C3833" i="1"/>
  <c r="B3834" i="1"/>
  <c r="C3834" i="1"/>
  <c r="B3835" i="1"/>
  <c r="C3835" i="1"/>
  <c r="B3836" i="1"/>
  <c r="C3836" i="1"/>
  <c r="B3837" i="1"/>
  <c r="C3837" i="1"/>
  <c r="B3838" i="1"/>
  <c r="C3838" i="1"/>
  <c r="B3839" i="1"/>
  <c r="C3839" i="1"/>
  <c r="B3840" i="1"/>
  <c r="C3840" i="1"/>
  <c r="B3841" i="1"/>
  <c r="C3841" i="1"/>
  <c r="B3842" i="1"/>
  <c r="C3842" i="1"/>
  <c r="B3843" i="1"/>
  <c r="C3843" i="1"/>
  <c r="B3844" i="1"/>
  <c r="C3844" i="1"/>
  <c r="B3845" i="1"/>
  <c r="C3845" i="1"/>
  <c r="B3846" i="1"/>
  <c r="C3846" i="1"/>
  <c r="B3847" i="1"/>
  <c r="C3847" i="1"/>
  <c r="B3848" i="1"/>
  <c r="C3848" i="1"/>
  <c r="B3849" i="1"/>
  <c r="C3849" i="1"/>
  <c r="B3850" i="1"/>
  <c r="C3850" i="1"/>
  <c r="B3851" i="1"/>
  <c r="C3851" i="1"/>
  <c r="B3852" i="1"/>
  <c r="C3852" i="1"/>
  <c r="B3853" i="1"/>
  <c r="C3853" i="1"/>
  <c r="B3854" i="1"/>
  <c r="C3854" i="1"/>
  <c r="B3855" i="1"/>
  <c r="C3855" i="1"/>
  <c r="B3856" i="1"/>
  <c r="C3856" i="1"/>
  <c r="B3857" i="1"/>
  <c r="C3857" i="1"/>
  <c r="B3858" i="1"/>
  <c r="C3858" i="1"/>
  <c r="B3859" i="1"/>
  <c r="C3859" i="1"/>
  <c r="B3860" i="1"/>
  <c r="C3860" i="1"/>
  <c r="B3861" i="1"/>
  <c r="C3861" i="1"/>
  <c r="B3862" i="1"/>
  <c r="C3862" i="1"/>
  <c r="B3863" i="1"/>
  <c r="C3863" i="1"/>
  <c r="B3864" i="1"/>
  <c r="C3864" i="1"/>
  <c r="B3865" i="1"/>
  <c r="C3865" i="1"/>
  <c r="B3866" i="1"/>
  <c r="C3866" i="1"/>
  <c r="B3867" i="1"/>
  <c r="C3867" i="1"/>
  <c r="B3868" i="1"/>
  <c r="C3868" i="1"/>
  <c r="B3869" i="1"/>
  <c r="C3869" i="1"/>
  <c r="B3870" i="1"/>
  <c r="C3870" i="1"/>
  <c r="B3871" i="1"/>
  <c r="C3871" i="1"/>
  <c r="B3872" i="1"/>
  <c r="C3872" i="1"/>
  <c r="B3873" i="1"/>
  <c r="C3873" i="1"/>
  <c r="B3874" i="1"/>
  <c r="C3874" i="1"/>
  <c r="B3875" i="1"/>
  <c r="C3875" i="1"/>
  <c r="B3876" i="1"/>
  <c r="C3876" i="1"/>
  <c r="B3877" i="1"/>
  <c r="C3877" i="1"/>
  <c r="B3878" i="1"/>
  <c r="C3878" i="1"/>
  <c r="B3879" i="1"/>
  <c r="C3879" i="1"/>
  <c r="B3880" i="1"/>
  <c r="C3880" i="1"/>
  <c r="B3881" i="1"/>
  <c r="C3881" i="1"/>
  <c r="B3882" i="1"/>
  <c r="C3882" i="1"/>
  <c r="B3883" i="1"/>
  <c r="C3883" i="1"/>
  <c r="B3884" i="1"/>
  <c r="C3884" i="1"/>
  <c r="B3885" i="1"/>
  <c r="C3885" i="1"/>
  <c r="B3886" i="1"/>
  <c r="C3886" i="1"/>
  <c r="B3887" i="1"/>
  <c r="C3887" i="1"/>
  <c r="B3888" i="1"/>
  <c r="C3888" i="1"/>
  <c r="B3889" i="1"/>
  <c r="C3889" i="1"/>
  <c r="B3890" i="1"/>
  <c r="C3890" i="1"/>
  <c r="B3891" i="1"/>
  <c r="C3891" i="1"/>
  <c r="B3892" i="1"/>
  <c r="C3892" i="1"/>
  <c r="B3893" i="1"/>
  <c r="C3893" i="1"/>
  <c r="B3894" i="1"/>
  <c r="C3894" i="1"/>
  <c r="B3895" i="1"/>
  <c r="C3895" i="1"/>
  <c r="B3896" i="1"/>
  <c r="C3896" i="1"/>
  <c r="B3897" i="1"/>
  <c r="C3897" i="1"/>
  <c r="B3898" i="1"/>
  <c r="C3898" i="1"/>
  <c r="B3899" i="1"/>
  <c r="C3899" i="1"/>
  <c r="B3900" i="1"/>
  <c r="C3900" i="1"/>
  <c r="B3901" i="1"/>
  <c r="C3901" i="1"/>
  <c r="B3902" i="1"/>
  <c r="C3902" i="1"/>
  <c r="B3903" i="1"/>
  <c r="C3903" i="1"/>
  <c r="B3904" i="1"/>
  <c r="C3904" i="1"/>
  <c r="B3905" i="1"/>
  <c r="C3905" i="1"/>
  <c r="B3906" i="1"/>
  <c r="C3906" i="1"/>
  <c r="B3907" i="1"/>
  <c r="C3907" i="1"/>
  <c r="B3908" i="1"/>
  <c r="C3908" i="1"/>
  <c r="B3909" i="1"/>
  <c r="C3909" i="1"/>
  <c r="B3910" i="1"/>
  <c r="C3910" i="1"/>
  <c r="B3911" i="1"/>
  <c r="C3911" i="1"/>
  <c r="B3912" i="1"/>
  <c r="C3912" i="1"/>
  <c r="B3913" i="1"/>
  <c r="C3913" i="1"/>
  <c r="B3914" i="1"/>
  <c r="C3914" i="1"/>
  <c r="B3915" i="1"/>
  <c r="C3915" i="1"/>
  <c r="B3916" i="1"/>
  <c r="C3916" i="1"/>
  <c r="B3917" i="1"/>
  <c r="C3917" i="1"/>
  <c r="B3918" i="1"/>
  <c r="C3918" i="1"/>
  <c r="B3919" i="1"/>
  <c r="C3919" i="1"/>
  <c r="B3920" i="1"/>
  <c r="C3920" i="1"/>
  <c r="B3921" i="1"/>
  <c r="C3921" i="1"/>
  <c r="B3922" i="1"/>
  <c r="C3922" i="1"/>
  <c r="B3923" i="1"/>
  <c r="C3923" i="1"/>
  <c r="B3924" i="1"/>
  <c r="C3924" i="1"/>
  <c r="B3925" i="1"/>
  <c r="C3925" i="1"/>
  <c r="B3926" i="1"/>
  <c r="C3926" i="1"/>
  <c r="B3927" i="1"/>
  <c r="C3927" i="1"/>
  <c r="B3928" i="1"/>
  <c r="C3928" i="1"/>
  <c r="B3929" i="1"/>
  <c r="C3929" i="1"/>
  <c r="B3930" i="1"/>
  <c r="C3930" i="1"/>
  <c r="B3931" i="1"/>
  <c r="C3931" i="1"/>
  <c r="B3932" i="1"/>
  <c r="C3932" i="1"/>
  <c r="B3933" i="1"/>
  <c r="C3933" i="1"/>
  <c r="B3934" i="1"/>
  <c r="C3934" i="1"/>
  <c r="B3935" i="1"/>
  <c r="C3935" i="1"/>
  <c r="B3936" i="1"/>
  <c r="C3936" i="1"/>
  <c r="B3937" i="1"/>
  <c r="C3937" i="1"/>
  <c r="B3938" i="1"/>
  <c r="C3938" i="1"/>
  <c r="B3939" i="1"/>
  <c r="C3939" i="1"/>
  <c r="B3940" i="1"/>
  <c r="C3940" i="1"/>
  <c r="B3941" i="1"/>
  <c r="C3941" i="1"/>
  <c r="B3942" i="1"/>
  <c r="C3942" i="1"/>
  <c r="B3943" i="1"/>
  <c r="C3943" i="1"/>
  <c r="B3944" i="1"/>
  <c r="C3944" i="1"/>
  <c r="B3945" i="1"/>
  <c r="C3945" i="1"/>
  <c r="B3946" i="1"/>
  <c r="C3946" i="1"/>
  <c r="B3947" i="1"/>
  <c r="C3947" i="1"/>
  <c r="B3948" i="1"/>
  <c r="C3948" i="1"/>
  <c r="B3949" i="1"/>
  <c r="C3949" i="1"/>
  <c r="B3950" i="1"/>
  <c r="C3950" i="1"/>
  <c r="B3951" i="1"/>
  <c r="C3951" i="1"/>
  <c r="B3952" i="1"/>
  <c r="C3952" i="1"/>
  <c r="B3953" i="1"/>
  <c r="C3953" i="1"/>
  <c r="B3954" i="1"/>
  <c r="C3954" i="1"/>
  <c r="B3955" i="1"/>
  <c r="C3955" i="1"/>
  <c r="B3956" i="1"/>
  <c r="C3956" i="1"/>
  <c r="B3957" i="1"/>
  <c r="C3957" i="1"/>
  <c r="B3958" i="1"/>
  <c r="C3958" i="1"/>
  <c r="B3959" i="1"/>
  <c r="C3959" i="1"/>
  <c r="B3960" i="1"/>
  <c r="C3960" i="1"/>
  <c r="B3961" i="1"/>
  <c r="C3961" i="1"/>
  <c r="B3962" i="1"/>
  <c r="C3962" i="1"/>
  <c r="B3963" i="1"/>
  <c r="C3963" i="1"/>
  <c r="B3964" i="1"/>
  <c r="C3964" i="1"/>
  <c r="B3965" i="1"/>
  <c r="C3965" i="1"/>
  <c r="B3966" i="1"/>
  <c r="C3966" i="1"/>
  <c r="B3967" i="1"/>
  <c r="C3967" i="1"/>
  <c r="B3968" i="1"/>
  <c r="C3968" i="1"/>
  <c r="B3969" i="1"/>
  <c r="C3969" i="1"/>
  <c r="B3970" i="1"/>
  <c r="C3970" i="1"/>
  <c r="B3971" i="1"/>
  <c r="C3971" i="1"/>
  <c r="B3972" i="1"/>
  <c r="C3972" i="1"/>
  <c r="B3973" i="1"/>
  <c r="C3973" i="1"/>
  <c r="B3974" i="1"/>
  <c r="C3974" i="1"/>
  <c r="B3975" i="1"/>
  <c r="C3975" i="1"/>
  <c r="B3976" i="1"/>
  <c r="C3976" i="1"/>
  <c r="B3977" i="1"/>
  <c r="C3977" i="1"/>
  <c r="B3978" i="1"/>
  <c r="C3978" i="1"/>
  <c r="B3979" i="1"/>
  <c r="C3979" i="1"/>
  <c r="B3980" i="1"/>
  <c r="C3980" i="1"/>
  <c r="B3981" i="1"/>
  <c r="C3981" i="1"/>
  <c r="B3982" i="1"/>
  <c r="C3982" i="1"/>
  <c r="B3983" i="1"/>
  <c r="C3983" i="1"/>
  <c r="B3984" i="1"/>
  <c r="C3984" i="1"/>
  <c r="B3985" i="1"/>
  <c r="C3985" i="1"/>
  <c r="B3986" i="1"/>
  <c r="C3986" i="1"/>
  <c r="B3987" i="1"/>
  <c r="C3987" i="1"/>
  <c r="B3988" i="1"/>
  <c r="C3988" i="1"/>
  <c r="B3989" i="1"/>
  <c r="C3989" i="1"/>
  <c r="B3990" i="1"/>
  <c r="C3990" i="1"/>
  <c r="B3991" i="1"/>
  <c r="C3991" i="1"/>
  <c r="B3992" i="1"/>
  <c r="C3992" i="1"/>
  <c r="B3993" i="1"/>
  <c r="C3993" i="1"/>
  <c r="B3994" i="1"/>
  <c r="C3994" i="1"/>
  <c r="B3995" i="1"/>
  <c r="C3995" i="1"/>
  <c r="B3996" i="1"/>
  <c r="C3996" i="1"/>
  <c r="B3997" i="1"/>
  <c r="C3997" i="1"/>
  <c r="B3998" i="1"/>
  <c r="C3998" i="1"/>
  <c r="B3999" i="1"/>
  <c r="C3999" i="1"/>
  <c r="B4000" i="1"/>
  <c r="C4000" i="1"/>
  <c r="B4001" i="1"/>
  <c r="C4001" i="1"/>
  <c r="B4002" i="1"/>
  <c r="C4002" i="1"/>
  <c r="B4003" i="1"/>
  <c r="C4003" i="1"/>
  <c r="B4004" i="1"/>
  <c r="C4004" i="1"/>
  <c r="B4005" i="1"/>
  <c r="C4005" i="1"/>
  <c r="B4006" i="1"/>
  <c r="C4006" i="1"/>
  <c r="B4007" i="1"/>
  <c r="C4007" i="1"/>
  <c r="B4008" i="1"/>
  <c r="C4008" i="1"/>
  <c r="B4009" i="1"/>
  <c r="C4009" i="1"/>
  <c r="B4010" i="1"/>
  <c r="C4010" i="1"/>
  <c r="B4011" i="1"/>
  <c r="C4011" i="1"/>
  <c r="B4012" i="1"/>
  <c r="C4012" i="1"/>
  <c r="B4013" i="1"/>
  <c r="C4013" i="1"/>
  <c r="B4014" i="1"/>
  <c r="C4014" i="1"/>
  <c r="B4015" i="1"/>
  <c r="C4015" i="1"/>
  <c r="B4016" i="1"/>
  <c r="C4016" i="1"/>
  <c r="B4017" i="1"/>
  <c r="C4017" i="1"/>
  <c r="B4018" i="1"/>
  <c r="C4018" i="1"/>
  <c r="B4019" i="1"/>
  <c r="C4019" i="1"/>
  <c r="B4020" i="1"/>
  <c r="C4020" i="1"/>
  <c r="B4021" i="1"/>
  <c r="C4021" i="1"/>
  <c r="B4022" i="1"/>
  <c r="C4022" i="1"/>
  <c r="B4023" i="1"/>
  <c r="C4023" i="1"/>
  <c r="B4024" i="1"/>
  <c r="C4024" i="1"/>
  <c r="B4025" i="1"/>
  <c r="C4025" i="1"/>
  <c r="B4026" i="1"/>
  <c r="C4026" i="1"/>
  <c r="B4027" i="1"/>
  <c r="C4027" i="1"/>
  <c r="B4028" i="1"/>
  <c r="C4028" i="1"/>
  <c r="B4029" i="1"/>
  <c r="C4029" i="1"/>
  <c r="B4030" i="1"/>
  <c r="C4030" i="1"/>
  <c r="B4031" i="1"/>
  <c r="C4031" i="1"/>
  <c r="B4032" i="1"/>
  <c r="C4032" i="1"/>
  <c r="B4033" i="1"/>
  <c r="C4033" i="1"/>
  <c r="B4034" i="1"/>
  <c r="C4034" i="1"/>
  <c r="B4035" i="1"/>
  <c r="C4035" i="1"/>
  <c r="B4036" i="1"/>
  <c r="C4036" i="1"/>
  <c r="B4037" i="1"/>
  <c r="C4037" i="1"/>
  <c r="B4038" i="1"/>
  <c r="C4038" i="1"/>
  <c r="B4039" i="1"/>
  <c r="C4039" i="1"/>
  <c r="B4040" i="1"/>
  <c r="C4040" i="1"/>
  <c r="B4041" i="1"/>
  <c r="C4041" i="1"/>
  <c r="B4042" i="1"/>
  <c r="C4042" i="1"/>
  <c r="B4043" i="1"/>
  <c r="C4043" i="1"/>
  <c r="B4044" i="1"/>
  <c r="C4044" i="1"/>
  <c r="B4045" i="1"/>
  <c r="C4045" i="1"/>
  <c r="B4046" i="1"/>
  <c r="C4046" i="1"/>
  <c r="B4047" i="1"/>
  <c r="C4047" i="1"/>
  <c r="B4048" i="1"/>
  <c r="C4048" i="1"/>
  <c r="B4049" i="1"/>
  <c r="C4049" i="1"/>
  <c r="B4050" i="1"/>
  <c r="C4050" i="1"/>
  <c r="B4051" i="1"/>
  <c r="C4051" i="1"/>
  <c r="B4052" i="1"/>
  <c r="C4052" i="1"/>
  <c r="B4053" i="1"/>
  <c r="C4053" i="1"/>
  <c r="B4054" i="1"/>
  <c r="C4054" i="1"/>
  <c r="B4055" i="1"/>
  <c r="C4055" i="1"/>
  <c r="B4056" i="1"/>
  <c r="C4056" i="1"/>
  <c r="B4057" i="1"/>
  <c r="C4057" i="1"/>
  <c r="B4058" i="1"/>
  <c r="C4058" i="1"/>
  <c r="B4059" i="1"/>
  <c r="C4059" i="1"/>
  <c r="B4060" i="1"/>
  <c r="C4060" i="1"/>
  <c r="B4061" i="1"/>
  <c r="C4061" i="1"/>
  <c r="B4062" i="1"/>
  <c r="C4062" i="1"/>
  <c r="B4063" i="1"/>
  <c r="C4063" i="1"/>
  <c r="B4064" i="1"/>
  <c r="C4064" i="1"/>
  <c r="B4065" i="1"/>
  <c r="C4065" i="1"/>
  <c r="B4066" i="1"/>
  <c r="C4066" i="1"/>
  <c r="B4067" i="1"/>
  <c r="C4067" i="1"/>
  <c r="B4068" i="1"/>
  <c r="C4068" i="1"/>
  <c r="B4069" i="1"/>
  <c r="C4069" i="1"/>
  <c r="B4070" i="1"/>
  <c r="C4070" i="1"/>
  <c r="B4071" i="1"/>
  <c r="C4071" i="1"/>
  <c r="B4072" i="1"/>
  <c r="C4072" i="1"/>
  <c r="B4073" i="1"/>
  <c r="C4073" i="1"/>
  <c r="B4074" i="1"/>
  <c r="C4074" i="1"/>
  <c r="B4075" i="1"/>
  <c r="C4075" i="1"/>
  <c r="B4076" i="1"/>
  <c r="C4076" i="1"/>
  <c r="B4077" i="1"/>
  <c r="C4077" i="1"/>
  <c r="B4078" i="1"/>
  <c r="C4078" i="1"/>
  <c r="B4079" i="1"/>
  <c r="C4079" i="1"/>
  <c r="B4080" i="1"/>
  <c r="C4080" i="1"/>
  <c r="B4081" i="1"/>
  <c r="C4081" i="1"/>
  <c r="B4082" i="1"/>
  <c r="C4082" i="1"/>
  <c r="B4083" i="1"/>
  <c r="C4083" i="1"/>
  <c r="B4084" i="1"/>
  <c r="C4084" i="1"/>
  <c r="B4085" i="1"/>
  <c r="C4085" i="1"/>
  <c r="B4086" i="1"/>
  <c r="C4086" i="1"/>
  <c r="B4087" i="1"/>
  <c r="C4087" i="1"/>
  <c r="B4088" i="1"/>
  <c r="C4088" i="1"/>
  <c r="B4089" i="1"/>
  <c r="C4089" i="1"/>
  <c r="B4090" i="1"/>
  <c r="C4090" i="1"/>
  <c r="B4091" i="1"/>
  <c r="C4091" i="1"/>
  <c r="B4092" i="1"/>
  <c r="C4092" i="1"/>
  <c r="B4093" i="1"/>
  <c r="C4093" i="1"/>
  <c r="B4094" i="1"/>
  <c r="C4094" i="1"/>
  <c r="B4095" i="1"/>
  <c r="C4095" i="1"/>
  <c r="B4096" i="1"/>
  <c r="C4096" i="1"/>
  <c r="B4097" i="1"/>
  <c r="C4097" i="1"/>
  <c r="B4098" i="1"/>
  <c r="C4098" i="1"/>
  <c r="B4099" i="1"/>
  <c r="C4099" i="1"/>
  <c r="B4100" i="1"/>
  <c r="C4100" i="1"/>
  <c r="B4101" i="1"/>
  <c r="C4101" i="1"/>
  <c r="B4102" i="1"/>
  <c r="C4102" i="1"/>
  <c r="B4103" i="1"/>
  <c r="C4103" i="1"/>
  <c r="B4104" i="1"/>
  <c r="C4104" i="1"/>
  <c r="B4105" i="1"/>
  <c r="C4105" i="1"/>
  <c r="B4106" i="1"/>
  <c r="C4106" i="1"/>
  <c r="B4107" i="1"/>
  <c r="C4107" i="1"/>
  <c r="B4108" i="1"/>
  <c r="C4108" i="1"/>
  <c r="B4109" i="1"/>
  <c r="C4109" i="1"/>
  <c r="B4110" i="1"/>
  <c r="C4110" i="1"/>
  <c r="B4111" i="1"/>
  <c r="C4111" i="1"/>
  <c r="B4112" i="1"/>
  <c r="C4112" i="1"/>
  <c r="B4113" i="1"/>
  <c r="C4113" i="1"/>
  <c r="B4114" i="1"/>
  <c r="C4114" i="1"/>
  <c r="B4115" i="1"/>
  <c r="C4115" i="1"/>
  <c r="B4116" i="1"/>
  <c r="C4116" i="1"/>
  <c r="B4117" i="1"/>
  <c r="C4117" i="1"/>
  <c r="B4118" i="1"/>
  <c r="C4118" i="1"/>
  <c r="B4119" i="1"/>
  <c r="C4119" i="1"/>
  <c r="B4120" i="1"/>
  <c r="C4120" i="1"/>
  <c r="B4121" i="1"/>
  <c r="C4121" i="1"/>
  <c r="B4122" i="1"/>
  <c r="C4122" i="1"/>
  <c r="B4123" i="1"/>
  <c r="C4123" i="1"/>
  <c r="B4124" i="1"/>
  <c r="C4124" i="1"/>
  <c r="B4125" i="1"/>
  <c r="C4125" i="1"/>
  <c r="B4126" i="1"/>
  <c r="C4126" i="1"/>
  <c r="B4127" i="1"/>
  <c r="C4127" i="1"/>
  <c r="B4128" i="1"/>
  <c r="C4128" i="1"/>
  <c r="B4129" i="1"/>
  <c r="C4129" i="1"/>
  <c r="B4130" i="1"/>
  <c r="C4130" i="1"/>
  <c r="B4131" i="1"/>
  <c r="C4131" i="1"/>
  <c r="B4132" i="1"/>
  <c r="C4132" i="1"/>
  <c r="B4133" i="1"/>
  <c r="C4133" i="1"/>
  <c r="B4134" i="1"/>
  <c r="C4134" i="1"/>
  <c r="B4135" i="1"/>
  <c r="C4135" i="1"/>
  <c r="B4136" i="1"/>
  <c r="C4136" i="1"/>
  <c r="B4137" i="1"/>
  <c r="C4137" i="1"/>
  <c r="B4138" i="1"/>
  <c r="C4138" i="1"/>
  <c r="B4139" i="1"/>
  <c r="C4139" i="1"/>
  <c r="B4140" i="1"/>
  <c r="C4140" i="1"/>
  <c r="B4141" i="1"/>
  <c r="C4141" i="1"/>
  <c r="B4142" i="1"/>
  <c r="C4142" i="1"/>
  <c r="B4143" i="1"/>
  <c r="C4143" i="1"/>
  <c r="B4144" i="1"/>
  <c r="C4144" i="1"/>
  <c r="B4145" i="1"/>
  <c r="C4145" i="1"/>
  <c r="B4146" i="1"/>
  <c r="C4146" i="1"/>
  <c r="B4147" i="1"/>
  <c r="C4147" i="1"/>
  <c r="B4148" i="1"/>
  <c r="C4148" i="1"/>
  <c r="B4149" i="1"/>
  <c r="C4149" i="1"/>
  <c r="B4150" i="1"/>
  <c r="C4150" i="1"/>
  <c r="B4151" i="1"/>
  <c r="C4151" i="1"/>
  <c r="B4152" i="1"/>
  <c r="C4152" i="1"/>
  <c r="B4153" i="1"/>
  <c r="C4153" i="1"/>
  <c r="B4154" i="1"/>
  <c r="C4154" i="1"/>
  <c r="B4155" i="1"/>
  <c r="C4155" i="1"/>
  <c r="B4156" i="1"/>
  <c r="C4156" i="1"/>
  <c r="B4157" i="1"/>
  <c r="C4157" i="1"/>
  <c r="B4158" i="1"/>
  <c r="C4158" i="1"/>
  <c r="B4159" i="1"/>
  <c r="C4159" i="1"/>
  <c r="B4160" i="1"/>
  <c r="C4160" i="1"/>
  <c r="B4161" i="1"/>
  <c r="C4161" i="1"/>
  <c r="B4162" i="1"/>
  <c r="C4162" i="1"/>
  <c r="B4163" i="1"/>
  <c r="C4163" i="1"/>
  <c r="B4164" i="1"/>
  <c r="C4164" i="1"/>
  <c r="B4165" i="1"/>
  <c r="C4165" i="1"/>
  <c r="B4166" i="1"/>
  <c r="C4166" i="1"/>
  <c r="B4167" i="1"/>
  <c r="C4167" i="1"/>
  <c r="B4168" i="1"/>
  <c r="C4168" i="1"/>
  <c r="B4169" i="1"/>
  <c r="C4169" i="1"/>
  <c r="B4170" i="1"/>
  <c r="C4170" i="1"/>
  <c r="B4171" i="1"/>
  <c r="C4171" i="1"/>
  <c r="B4172" i="1"/>
  <c r="C4172" i="1"/>
  <c r="B4173" i="1"/>
  <c r="C4173" i="1"/>
  <c r="B4174" i="1"/>
  <c r="C4174" i="1"/>
  <c r="B4175" i="1"/>
  <c r="C4175" i="1"/>
  <c r="B4176" i="1"/>
  <c r="C4176" i="1"/>
  <c r="B4177" i="1"/>
  <c r="C4177" i="1"/>
  <c r="B4178" i="1"/>
  <c r="C4178" i="1"/>
  <c r="B4179" i="1"/>
  <c r="C4179" i="1"/>
  <c r="B4180" i="1"/>
  <c r="C4180" i="1"/>
  <c r="B4181" i="1"/>
  <c r="C4181" i="1"/>
  <c r="B4182" i="1"/>
  <c r="C4182" i="1"/>
  <c r="B4183" i="1"/>
  <c r="C4183" i="1"/>
  <c r="B4184" i="1"/>
  <c r="C4184" i="1"/>
  <c r="B4185" i="1"/>
  <c r="C4185" i="1"/>
  <c r="B4186" i="1"/>
  <c r="C4186" i="1"/>
  <c r="B4187" i="1"/>
  <c r="C4187" i="1"/>
  <c r="B4188" i="1"/>
  <c r="C4188" i="1"/>
  <c r="B4189" i="1"/>
  <c r="C4189" i="1"/>
  <c r="B4190" i="1"/>
  <c r="C4190" i="1"/>
  <c r="B4191" i="1"/>
  <c r="C4191" i="1"/>
  <c r="B4192" i="1"/>
  <c r="C4192" i="1"/>
  <c r="B4193" i="1"/>
  <c r="C4193" i="1"/>
  <c r="B4194" i="1"/>
  <c r="C4194" i="1"/>
  <c r="B4195" i="1"/>
  <c r="C4195" i="1"/>
  <c r="B4196" i="1"/>
  <c r="C4196" i="1"/>
  <c r="B4197" i="1"/>
  <c r="C4197" i="1"/>
  <c r="B4198" i="1"/>
  <c r="C4198" i="1"/>
  <c r="B4199" i="1"/>
  <c r="C4199" i="1"/>
  <c r="B4200" i="1"/>
  <c r="C4200" i="1"/>
  <c r="B4201" i="1"/>
  <c r="C4201" i="1"/>
  <c r="B4202" i="1"/>
  <c r="C4202" i="1"/>
  <c r="B4203" i="1"/>
  <c r="C4203" i="1"/>
  <c r="B4204" i="1"/>
  <c r="C4204" i="1"/>
  <c r="B4205" i="1"/>
  <c r="C4205" i="1"/>
  <c r="B4206" i="1"/>
  <c r="C4206" i="1"/>
  <c r="B4207" i="1"/>
  <c r="C4207" i="1"/>
  <c r="B4208" i="1"/>
  <c r="C4208" i="1"/>
  <c r="B4209" i="1"/>
  <c r="C4209" i="1"/>
  <c r="B4210" i="1"/>
  <c r="C4210" i="1"/>
  <c r="B4211" i="1"/>
  <c r="C4211" i="1"/>
  <c r="B4212" i="1"/>
  <c r="C4212" i="1"/>
  <c r="B4213" i="1"/>
  <c r="C4213" i="1"/>
  <c r="B4214" i="1"/>
  <c r="C4214" i="1"/>
  <c r="B4215" i="1"/>
  <c r="C4215" i="1"/>
  <c r="B4216" i="1"/>
  <c r="C4216" i="1"/>
  <c r="B4217" i="1"/>
  <c r="C4217" i="1"/>
  <c r="B4218" i="1"/>
  <c r="C4218" i="1"/>
  <c r="B4219" i="1"/>
  <c r="C4219" i="1"/>
  <c r="B4220" i="1"/>
  <c r="C4220" i="1"/>
  <c r="B4221" i="1"/>
  <c r="C4221" i="1"/>
  <c r="B4222" i="1"/>
  <c r="C4222" i="1"/>
  <c r="B4223" i="1"/>
  <c r="C4223" i="1"/>
  <c r="B4224" i="1"/>
  <c r="C4224" i="1"/>
  <c r="B4225" i="1"/>
  <c r="C4225" i="1"/>
  <c r="B4226" i="1"/>
  <c r="C4226" i="1"/>
  <c r="B4227" i="1"/>
  <c r="C4227" i="1"/>
  <c r="B4228" i="1"/>
  <c r="C4228" i="1"/>
  <c r="B4229" i="1"/>
  <c r="C4229" i="1"/>
  <c r="B4230" i="1"/>
  <c r="C4230" i="1"/>
  <c r="B4231" i="1"/>
  <c r="C4231" i="1"/>
  <c r="B4232" i="1"/>
  <c r="C4232" i="1"/>
  <c r="B4233" i="1"/>
  <c r="C4233" i="1"/>
  <c r="B4234" i="1"/>
  <c r="C4234" i="1"/>
  <c r="B4235" i="1"/>
  <c r="C4235" i="1"/>
  <c r="B4236" i="1"/>
  <c r="C4236" i="1"/>
  <c r="B4237" i="1"/>
  <c r="C4237" i="1"/>
  <c r="B4238" i="1"/>
  <c r="C4238" i="1"/>
  <c r="B4239" i="1"/>
  <c r="C4239" i="1"/>
  <c r="B4240" i="1"/>
  <c r="C4240" i="1"/>
  <c r="B4241" i="1"/>
  <c r="C4241" i="1"/>
  <c r="B4242" i="1"/>
  <c r="C4242" i="1"/>
  <c r="B4243" i="1"/>
  <c r="C4243" i="1"/>
  <c r="B4244" i="1"/>
  <c r="C4244" i="1"/>
  <c r="B4245" i="1"/>
  <c r="C4245" i="1"/>
  <c r="B4246" i="1"/>
  <c r="C4246" i="1"/>
  <c r="B4247" i="1"/>
  <c r="C4247" i="1"/>
  <c r="B4248" i="1"/>
  <c r="C4248" i="1"/>
  <c r="B4249" i="1"/>
  <c r="C4249" i="1"/>
  <c r="B4250" i="1"/>
  <c r="C4250" i="1"/>
  <c r="B4251" i="1"/>
  <c r="C4251" i="1"/>
  <c r="B4252" i="1"/>
  <c r="C4252" i="1"/>
  <c r="B4253" i="1"/>
  <c r="C4253" i="1"/>
  <c r="B4254" i="1"/>
  <c r="C4254" i="1"/>
  <c r="B4255" i="1"/>
  <c r="C4255" i="1"/>
  <c r="B4256" i="1"/>
  <c r="C4256" i="1"/>
  <c r="B4257" i="1"/>
  <c r="C4257" i="1"/>
  <c r="B4258" i="1"/>
  <c r="C4258" i="1"/>
  <c r="B4259" i="1"/>
  <c r="C4259" i="1"/>
  <c r="B4260" i="1"/>
  <c r="C4260" i="1"/>
  <c r="B4261" i="1"/>
  <c r="C4261" i="1"/>
  <c r="B4262" i="1"/>
  <c r="C4262" i="1"/>
  <c r="B4263" i="1"/>
  <c r="C4263" i="1"/>
  <c r="B4264" i="1"/>
  <c r="C4264" i="1"/>
  <c r="B4265" i="1"/>
  <c r="C4265" i="1"/>
  <c r="B4266" i="1"/>
  <c r="C4266" i="1"/>
  <c r="B4267" i="1"/>
  <c r="C4267" i="1"/>
  <c r="B4268" i="1"/>
  <c r="C4268" i="1"/>
  <c r="B4269" i="1"/>
  <c r="C4269" i="1"/>
  <c r="B4270" i="1"/>
  <c r="C4270" i="1"/>
  <c r="B4271" i="1"/>
  <c r="C4271" i="1"/>
  <c r="B4272" i="1"/>
  <c r="C4272" i="1"/>
  <c r="B4273" i="1"/>
  <c r="C4273" i="1"/>
  <c r="B4274" i="1"/>
  <c r="C4274" i="1"/>
  <c r="B4275" i="1"/>
  <c r="C4275" i="1"/>
  <c r="B4276" i="1"/>
  <c r="C4276" i="1"/>
  <c r="B4277" i="1"/>
  <c r="C4277" i="1"/>
  <c r="B4278" i="1"/>
  <c r="C4278" i="1"/>
  <c r="B4279" i="1"/>
  <c r="C4279" i="1"/>
  <c r="B4280" i="1"/>
  <c r="C4280" i="1"/>
  <c r="B4281" i="1"/>
  <c r="C4281" i="1"/>
  <c r="B4282" i="1"/>
  <c r="C4282" i="1"/>
  <c r="B4283" i="1"/>
  <c r="C4283" i="1"/>
  <c r="B4284" i="1"/>
  <c r="C4284" i="1"/>
  <c r="B4285" i="1"/>
  <c r="C4285" i="1"/>
  <c r="B4286" i="1"/>
  <c r="C4286" i="1"/>
  <c r="B4287" i="1"/>
  <c r="C4287" i="1"/>
  <c r="B4288" i="1"/>
  <c r="C4288" i="1"/>
  <c r="B4289" i="1"/>
  <c r="C4289" i="1"/>
  <c r="B4290" i="1"/>
  <c r="C4290" i="1"/>
  <c r="B4291" i="1"/>
  <c r="C4291" i="1"/>
  <c r="B4292" i="1"/>
  <c r="C4292" i="1"/>
  <c r="B4293" i="1"/>
  <c r="C4293" i="1"/>
  <c r="B4294" i="1"/>
  <c r="C4294" i="1"/>
  <c r="B4295" i="1"/>
  <c r="C4295" i="1"/>
  <c r="B4296" i="1"/>
  <c r="C4296" i="1"/>
  <c r="B4297" i="1"/>
  <c r="C4297" i="1"/>
  <c r="B4298" i="1"/>
  <c r="C4298" i="1"/>
  <c r="B4299" i="1"/>
  <c r="C4299" i="1"/>
  <c r="B4300" i="1"/>
  <c r="C4300" i="1"/>
  <c r="B4301" i="1"/>
  <c r="C4301" i="1"/>
  <c r="B4302" i="1"/>
  <c r="C4302" i="1"/>
  <c r="B4303" i="1"/>
  <c r="C4303" i="1"/>
  <c r="B4304" i="1"/>
  <c r="C4304" i="1"/>
  <c r="B4305" i="1"/>
  <c r="C4305" i="1"/>
  <c r="B4306" i="1"/>
  <c r="C4306" i="1"/>
  <c r="B4307" i="1"/>
  <c r="C4307" i="1"/>
  <c r="B4308" i="1"/>
  <c r="C4308" i="1"/>
  <c r="B4309" i="1"/>
  <c r="C4309" i="1"/>
  <c r="B4310" i="1"/>
  <c r="C4310" i="1"/>
  <c r="B4311" i="1"/>
  <c r="C4311" i="1"/>
  <c r="B4312" i="1"/>
  <c r="C4312" i="1"/>
  <c r="B4313" i="1"/>
  <c r="C4313" i="1"/>
  <c r="B4314" i="1"/>
  <c r="C4314" i="1"/>
  <c r="B4315" i="1"/>
  <c r="C4315" i="1"/>
  <c r="B4316" i="1"/>
  <c r="C4316" i="1"/>
  <c r="B4317" i="1"/>
  <c r="C4317" i="1"/>
  <c r="B4318" i="1"/>
  <c r="C4318" i="1"/>
  <c r="B4319" i="1"/>
  <c r="C4319" i="1"/>
  <c r="B4320" i="1"/>
  <c r="C4320" i="1"/>
  <c r="B4321" i="1"/>
  <c r="C4321" i="1"/>
  <c r="B4322" i="1"/>
  <c r="C4322" i="1"/>
  <c r="B4323" i="1"/>
  <c r="C4323" i="1"/>
  <c r="B4324" i="1"/>
  <c r="C4324" i="1"/>
  <c r="B4325" i="1"/>
  <c r="C4325" i="1"/>
  <c r="B4326" i="1"/>
  <c r="C4326" i="1"/>
  <c r="B4327" i="1"/>
  <c r="C4327" i="1"/>
  <c r="B4328" i="1"/>
  <c r="C4328" i="1"/>
  <c r="B4329" i="1"/>
  <c r="C4329" i="1"/>
  <c r="B4330" i="1"/>
  <c r="C4330" i="1"/>
  <c r="B4331" i="1"/>
  <c r="C4331" i="1"/>
  <c r="B4332" i="1"/>
  <c r="C4332" i="1"/>
  <c r="B4333" i="1"/>
  <c r="C4333" i="1"/>
  <c r="B4334" i="1"/>
  <c r="C4334" i="1"/>
  <c r="B4335" i="1"/>
  <c r="C4335" i="1"/>
  <c r="B4336" i="1"/>
  <c r="C4336" i="1"/>
  <c r="B4337" i="1"/>
  <c r="C4337" i="1"/>
  <c r="B4338" i="1"/>
  <c r="C4338" i="1"/>
  <c r="B4339" i="1"/>
  <c r="C4339" i="1"/>
  <c r="B4340" i="1"/>
  <c r="C4340" i="1"/>
  <c r="B4341" i="1"/>
  <c r="C4341" i="1"/>
  <c r="B4342" i="1"/>
  <c r="C4342" i="1"/>
  <c r="B4343" i="1"/>
  <c r="C4343" i="1"/>
  <c r="B4344" i="1"/>
  <c r="C4344" i="1"/>
  <c r="B4345" i="1"/>
  <c r="C4345" i="1"/>
  <c r="B4346" i="1"/>
  <c r="C4346" i="1"/>
  <c r="B4347" i="1"/>
  <c r="C4347" i="1"/>
  <c r="B4348" i="1"/>
  <c r="C4348" i="1"/>
  <c r="B4349" i="1"/>
  <c r="C4349" i="1"/>
  <c r="B4350" i="1"/>
  <c r="C4350" i="1"/>
  <c r="B4351" i="1"/>
  <c r="C4351" i="1"/>
  <c r="B4352" i="1"/>
  <c r="C4352" i="1"/>
  <c r="B4353" i="1"/>
  <c r="C4353" i="1"/>
  <c r="B4354" i="1"/>
  <c r="C4354" i="1"/>
  <c r="B4355" i="1"/>
  <c r="C4355" i="1"/>
  <c r="B4356" i="1"/>
  <c r="C4356" i="1"/>
  <c r="B4357" i="1"/>
  <c r="C4357" i="1"/>
  <c r="B4358" i="1"/>
  <c r="C4358" i="1"/>
  <c r="B4359" i="1"/>
  <c r="C4359" i="1"/>
  <c r="B4360" i="1"/>
  <c r="C4360" i="1"/>
  <c r="B4361" i="1"/>
  <c r="C4361" i="1"/>
  <c r="B4362" i="1"/>
  <c r="C4362" i="1"/>
  <c r="B4363" i="1"/>
  <c r="C4363" i="1"/>
  <c r="B4364" i="1"/>
  <c r="C4364" i="1"/>
  <c r="B4365" i="1"/>
  <c r="C4365" i="1"/>
  <c r="B4366" i="1"/>
  <c r="C4366" i="1"/>
  <c r="B4367" i="1"/>
  <c r="C4367" i="1"/>
  <c r="B4368" i="1"/>
  <c r="C4368" i="1"/>
  <c r="B4369" i="1"/>
  <c r="C4369" i="1"/>
  <c r="B4370" i="1"/>
  <c r="C4370" i="1"/>
  <c r="B4371" i="1"/>
  <c r="C4371" i="1"/>
  <c r="B4372" i="1"/>
  <c r="C4372" i="1"/>
  <c r="B4373" i="1"/>
  <c r="C4373" i="1"/>
  <c r="B4374" i="1"/>
  <c r="C4374" i="1"/>
  <c r="B4375" i="1"/>
  <c r="C4375" i="1"/>
  <c r="B4376" i="1"/>
  <c r="C4376" i="1"/>
  <c r="B4377" i="1"/>
  <c r="C4377" i="1"/>
  <c r="B4378" i="1"/>
  <c r="C4378" i="1"/>
  <c r="B4379" i="1"/>
  <c r="C4379" i="1"/>
  <c r="B4380" i="1"/>
  <c r="C4380" i="1"/>
  <c r="B4381" i="1"/>
  <c r="C4381" i="1"/>
  <c r="B4382" i="1"/>
  <c r="C4382" i="1"/>
  <c r="B4383" i="1"/>
  <c r="C4383" i="1"/>
  <c r="B4384" i="1"/>
  <c r="C4384" i="1"/>
  <c r="B4385" i="1"/>
  <c r="C4385" i="1"/>
  <c r="B4386" i="1"/>
  <c r="C4386" i="1"/>
  <c r="B4387" i="1"/>
  <c r="C4387" i="1"/>
  <c r="B4388" i="1"/>
  <c r="C4388" i="1"/>
  <c r="B4389" i="1"/>
  <c r="C4389" i="1"/>
  <c r="B4390" i="1"/>
  <c r="C4390" i="1"/>
  <c r="B4391" i="1"/>
  <c r="C4391" i="1"/>
  <c r="B4392" i="1"/>
  <c r="C4392" i="1"/>
  <c r="B4393" i="1"/>
  <c r="C4393" i="1"/>
  <c r="B4394" i="1"/>
  <c r="C4394" i="1"/>
  <c r="B4395" i="1"/>
  <c r="C4395" i="1"/>
  <c r="B4396" i="1"/>
  <c r="C4396" i="1"/>
  <c r="B4397" i="1"/>
  <c r="C4397" i="1"/>
  <c r="B4398" i="1"/>
  <c r="C4398" i="1"/>
  <c r="B4399" i="1"/>
  <c r="C4399" i="1"/>
  <c r="B4400" i="1"/>
  <c r="C4400" i="1"/>
  <c r="B4401" i="1"/>
  <c r="C4401" i="1"/>
  <c r="B4402" i="1"/>
  <c r="C4402" i="1"/>
  <c r="B4403" i="1"/>
  <c r="C4403" i="1"/>
  <c r="B4404" i="1"/>
  <c r="C4404" i="1"/>
  <c r="B4405" i="1"/>
  <c r="C4405" i="1"/>
  <c r="B4406" i="1"/>
  <c r="C4406" i="1"/>
  <c r="B4407" i="1"/>
  <c r="C4407" i="1"/>
  <c r="B4408" i="1"/>
  <c r="C4408" i="1"/>
  <c r="B4409" i="1"/>
  <c r="C4409" i="1"/>
  <c r="B4410" i="1"/>
  <c r="C4410" i="1"/>
  <c r="B4411" i="1"/>
  <c r="C4411" i="1"/>
  <c r="B4412" i="1"/>
  <c r="C4412" i="1"/>
  <c r="B4413" i="1"/>
  <c r="C4413" i="1"/>
  <c r="B4414" i="1"/>
  <c r="C4414" i="1"/>
  <c r="B4415" i="1"/>
  <c r="C4415" i="1"/>
  <c r="B4416" i="1"/>
  <c r="C4416" i="1"/>
  <c r="B4417" i="1"/>
  <c r="C4417" i="1"/>
  <c r="B4418" i="1"/>
  <c r="C4418" i="1"/>
  <c r="B4419" i="1"/>
  <c r="C4419" i="1"/>
  <c r="B4420" i="1"/>
  <c r="C4420" i="1"/>
  <c r="B4421" i="1"/>
  <c r="C4421" i="1"/>
  <c r="B4422" i="1"/>
  <c r="C4422" i="1"/>
  <c r="B4423" i="1"/>
  <c r="C4423" i="1"/>
  <c r="B4424" i="1"/>
  <c r="C4424" i="1"/>
  <c r="B4425" i="1"/>
  <c r="C4425" i="1"/>
  <c r="B4426" i="1"/>
  <c r="C4426" i="1"/>
  <c r="B4427" i="1"/>
  <c r="C4427" i="1"/>
  <c r="B4428" i="1"/>
  <c r="C4428" i="1"/>
  <c r="B4429" i="1"/>
  <c r="C4429" i="1"/>
  <c r="B4430" i="1"/>
  <c r="C4430" i="1"/>
  <c r="B4431" i="1"/>
  <c r="C4431" i="1"/>
  <c r="B4432" i="1"/>
  <c r="C4432" i="1"/>
  <c r="B4433" i="1"/>
  <c r="C4433" i="1"/>
  <c r="B4434" i="1"/>
  <c r="C4434" i="1"/>
  <c r="B4435" i="1"/>
  <c r="C4435" i="1"/>
  <c r="B4436" i="1"/>
  <c r="C4436" i="1"/>
  <c r="B4437" i="1"/>
  <c r="C4437" i="1"/>
  <c r="B4438" i="1"/>
  <c r="C4438" i="1"/>
  <c r="B4439" i="1"/>
  <c r="C4439" i="1"/>
  <c r="B4440" i="1"/>
  <c r="C4440" i="1"/>
  <c r="B4441" i="1"/>
  <c r="C4441" i="1"/>
  <c r="B4442" i="1"/>
  <c r="C4442" i="1"/>
  <c r="B4443" i="1"/>
  <c r="C4443" i="1"/>
  <c r="B4444" i="1"/>
  <c r="C4444" i="1"/>
  <c r="B4445" i="1"/>
  <c r="C4445" i="1"/>
  <c r="B4446" i="1"/>
  <c r="C4446" i="1"/>
  <c r="B4447" i="1"/>
  <c r="C4447" i="1"/>
  <c r="B4448" i="1"/>
  <c r="C4448" i="1"/>
  <c r="B4449" i="1"/>
  <c r="C4449" i="1"/>
  <c r="B4450" i="1"/>
  <c r="C4450" i="1"/>
  <c r="B4451" i="1"/>
  <c r="C4451" i="1"/>
  <c r="B4452" i="1"/>
  <c r="C4452" i="1"/>
  <c r="B4453" i="1"/>
  <c r="C4453" i="1"/>
  <c r="B4454" i="1"/>
  <c r="C4454" i="1"/>
  <c r="B4455" i="1"/>
  <c r="C4455" i="1"/>
  <c r="B4456" i="1"/>
  <c r="C4456" i="1"/>
  <c r="B4457" i="1"/>
  <c r="C4457" i="1"/>
  <c r="B4458" i="1"/>
  <c r="C4458" i="1"/>
  <c r="B4459" i="1"/>
  <c r="C4459" i="1"/>
  <c r="B4460" i="1"/>
  <c r="C4460" i="1"/>
  <c r="B4461" i="1"/>
  <c r="C4461" i="1"/>
  <c r="B4462" i="1"/>
  <c r="C4462" i="1"/>
  <c r="B4463" i="1"/>
  <c r="C4463" i="1"/>
  <c r="B4464" i="1"/>
  <c r="C4464" i="1"/>
  <c r="B4465" i="1"/>
  <c r="C4465" i="1"/>
  <c r="B4466" i="1"/>
  <c r="C4466" i="1"/>
  <c r="B4467" i="1"/>
  <c r="C4467" i="1"/>
  <c r="B4468" i="1"/>
  <c r="C4468" i="1"/>
  <c r="B4469" i="1"/>
  <c r="C4469" i="1"/>
  <c r="B4470" i="1"/>
  <c r="C4470" i="1"/>
  <c r="B4471" i="1"/>
  <c r="C4471" i="1"/>
  <c r="B4472" i="1"/>
  <c r="C4472" i="1"/>
  <c r="B4473" i="1"/>
  <c r="C4473" i="1"/>
  <c r="B4474" i="1"/>
  <c r="C4474" i="1"/>
  <c r="B4475" i="1"/>
  <c r="C4475" i="1"/>
  <c r="B4476" i="1"/>
  <c r="C4476" i="1"/>
  <c r="B4477" i="1"/>
  <c r="C4477" i="1"/>
  <c r="B4478" i="1"/>
  <c r="C4478" i="1"/>
  <c r="B4479" i="1"/>
  <c r="C4479" i="1"/>
  <c r="B4480" i="1"/>
  <c r="C4480" i="1"/>
  <c r="B4481" i="1"/>
  <c r="C4481" i="1"/>
  <c r="B4482" i="1"/>
  <c r="C4482" i="1"/>
  <c r="B4483" i="1"/>
  <c r="C4483" i="1"/>
  <c r="B4484" i="1"/>
  <c r="C4484" i="1"/>
  <c r="B4485" i="1"/>
  <c r="C4485" i="1"/>
  <c r="B4486" i="1"/>
  <c r="C4486" i="1"/>
  <c r="B4487" i="1"/>
  <c r="C4487" i="1"/>
  <c r="B4488" i="1"/>
  <c r="C4488" i="1"/>
  <c r="B4489" i="1"/>
  <c r="C4489" i="1"/>
  <c r="B4490" i="1"/>
  <c r="C4490" i="1"/>
  <c r="B4491" i="1"/>
  <c r="C4491" i="1"/>
  <c r="B4492" i="1"/>
  <c r="C4492" i="1"/>
  <c r="B4493" i="1"/>
  <c r="C4493" i="1"/>
  <c r="B4494" i="1"/>
  <c r="C4494" i="1"/>
  <c r="B4495" i="1"/>
  <c r="C4495" i="1"/>
  <c r="B4496" i="1"/>
  <c r="C4496" i="1"/>
  <c r="B4497" i="1"/>
  <c r="C4497" i="1"/>
  <c r="B4498" i="1"/>
  <c r="C4498" i="1"/>
  <c r="B4499" i="1"/>
  <c r="C4499" i="1"/>
  <c r="B4500" i="1"/>
  <c r="C4500" i="1"/>
  <c r="B4501" i="1"/>
  <c r="C4501" i="1"/>
  <c r="B4502" i="1"/>
  <c r="C4502" i="1"/>
  <c r="B4503" i="1"/>
  <c r="C4503" i="1"/>
  <c r="B4504" i="1"/>
  <c r="C4504" i="1"/>
  <c r="B4505" i="1"/>
  <c r="C4505" i="1"/>
  <c r="B4506" i="1"/>
  <c r="C4506" i="1"/>
  <c r="B4507" i="1"/>
  <c r="C4507" i="1"/>
  <c r="B4508" i="1"/>
  <c r="C4508" i="1"/>
  <c r="B4509" i="1"/>
  <c r="C4509" i="1"/>
  <c r="B4510" i="1"/>
  <c r="C4510" i="1"/>
  <c r="B4511" i="1"/>
  <c r="C4511" i="1"/>
  <c r="B4512" i="1"/>
  <c r="C4512" i="1"/>
  <c r="B4513" i="1"/>
  <c r="C4513" i="1"/>
  <c r="B4514" i="1"/>
  <c r="C4514" i="1"/>
  <c r="B4515" i="1"/>
  <c r="C4515" i="1"/>
  <c r="B4516" i="1"/>
  <c r="C4516" i="1"/>
  <c r="B4517" i="1"/>
  <c r="C4517" i="1"/>
  <c r="B4518" i="1"/>
  <c r="C4518" i="1"/>
  <c r="B4519" i="1"/>
  <c r="C4519" i="1"/>
  <c r="B4520" i="1"/>
  <c r="C4520" i="1"/>
  <c r="B4521" i="1"/>
  <c r="C4521" i="1"/>
  <c r="B4522" i="1"/>
  <c r="C4522" i="1"/>
  <c r="B4523" i="1"/>
  <c r="C4523" i="1"/>
  <c r="B4524" i="1"/>
  <c r="C4524" i="1"/>
  <c r="B4525" i="1"/>
  <c r="C4525" i="1"/>
  <c r="B4526" i="1"/>
  <c r="C4526" i="1"/>
  <c r="B4527" i="1"/>
  <c r="C4527" i="1"/>
  <c r="B4528" i="1"/>
  <c r="C4528" i="1"/>
  <c r="B4529" i="1"/>
  <c r="C4529" i="1"/>
  <c r="B4530" i="1"/>
  <c r="C4530" i="1"/>
  <c r="B4531" i="1"/>
  <c r="C4531" i="1"/>
  <c r="B4532" i="1"/>
  <c r="C4532" i="1"/>
  <c r="B4533" i="1"/>
  <c r="C4533" i="1"/>
  <c r="B4534" i="1"/>
  <c r="C4534" i="1"/>
  <c r="B4535" i="1"/>
  <c r="C4535" i="1"/>
  <c r="B4536" i="1"/>
  <c r="C4536" i="1"/>
  <c r="B4537" i="1"/>
  <c r="C4537" i="1"/>
  <c r="B4538" i="1"/>
  <c r="C4538" i="1"/>
  <c r="B4539" i="1"/>
  <c r="C4539" i="1"/>
  <c r="B4540" i="1"/>
  <c r="C4540" i="1"/>
  <c r="B4541" i="1"/>
  <c r="C4541" i="1"/>
  <c r="B4542" i="1"/>
  <c r="C4542" i="1"/>
  <c r="B4543" i="1"/>
  <c r="C4543" i="1"/>
  <c r="B4544" i="1"/>
  <c r="C4544" i="1"/>
  <c r="B4545" i="1"/>
  <c r="C4545" i="1"/>
  <c r="B4546" i="1"/>
  <c r="C4546" i="1"/>
  <c r="B4547" i="1"/>
  <c r="C4547" i="1"/>
  <c r="B4548" i="1"/>
  <c r="C4548" i="1"/>
  <c r="B4549" i="1"/>
  <c r="C4549" i="1"/>
  <c r="B4550" i="1"/>
  <c r="C4550" i="1"/>
  <c r="B4551" i="1"/>
  <c r="C4551" i="1"/>
  <c r="B4552" i="1"/>
  <c r="C4552" i="1"/>
  <c r="B4553" i="1"/>
  <c r="C4553" i="1"/>
  <c r="B4554" i="1"/>
  <c r="C4554" i="1"/>
  <c r="B4555" i="1"/>
  <c r="C4555" i="1"/>
  <c r="B4556" i="1"/>
  <c r="C4556" i="1"/>
  <c r="B4557" i="1"/>
  <c r="C4557" i="1"/>
  <c r="B4558" i="1"/>
  <c r="C4558" i="1"/>
  <c r="B4559" i="1"/>
  <c r="C4559" i="1"/>
  <c r="B4560" i="1"/>
  <c r="C4560" i="1"/>
  <c r="B4561" i="1"/>
  <c r="C4561" i="1"/>
  <c r="B4562" i="1"/>
  <c r="C4562" i="1"/>
  <c r="B4563" i="1"/>
  <c r="C4563" i="1"/>
  <c r="B4564" i="1"/>
  <c r="C4564" i="1"/>
  <c r="B4565" i="1"/>
  <c r="C4565" i="1"/>
  <c r="B4566" i="1"/>
  <c r="C4566" i="1"/>
  <c r="B4567" i="1"/>
  <c r="C4567" i="1"/>
  <c r="B4568" i="1"/>
  <c r="C4568" i="1"/>
  <c r="B4569" i="1"/>
  <c r="C4569" i="1"/>
  <c r="B4570" i="1"/>
  <c r="C4570" i="1"/>
  <c r="B4571" i="1"/>
  <c r="C4571" i="1"/>
  <c r="B4572" i="1"/>
  <c r="C4572" i="1"/>
  <c r="B4573" i="1"/>
  <c r="C4573" i="1"/>
  <c r="B4574" i="1"/>
  <c r="C4574" i="1"/>
  <c r="B4575" i="1"/>
  <c r="C4575" i="1"/>
  <c r="B4576" i="1"/>
  <c r="C4576" i="1"/>
  <c r="B4577" i="1"/>
  <c r="C4577" i="1"/>
  <c r="B4578" i="1"/>
  <c r="C4578" i="1"/>
  <c r="B4579" i="1"/>
  <c r="C4579" i="1"/>
  <c r="B4580" i="1"/>
  <c r="C4580" i="1"/>
  <c r="B4581" i="1"/>
  <c r="C4581" i="1"/>
  <c r="B4582" i="1"/>
  <c r="C4582" i="1"/>
  <c r="B4583" i="1"/>
  <c r="C4583" i="1"/>
  <c r="B4584" i="1"/>
  <c r="C4584" i="1"/>
  <c r="B4585" i="1"/>
  <c r="C4585" i="1"/>
  <c r="B4586" i="1"/>
  <c r="C4586" i="1"/>
  <c r="B4587" i="1"/>
  <c r="C4587" i="1"/>
  <c r="B4588" i="1"/>
  <c r="C4588" i="1"/>
  <c r="B4589" i="1"/>
  <c r="C4589" i="1"/>
  <c r="B4590" i="1"/>
  <c r="C4590" i="1"/>
  <c r="B4591" i="1"/>
  <c r="C4591" i="1"/>
  <c r="B4592" i="1"/>
  <c r="C4592" i="1"/>
  <c r="B4593" i="1"/>
  <c r="C4593" i="1"/>
  <c r="B4594" i="1"/>
  <c r="C4594" i="1"/>
  <c r="B4595" i="1"/>
  <c r="C4595" i="1"/>
  <c r="B4596" i="1"/>
  <c r="C4596" i="1"/>
  <c r="B4597" i="1"/>
  <c r="C4597" i="1"/>
  <c r="B4598" i="1"/>
  <c r="C4598" i="1"/>
  <c r="B4599" i="1"/>
  <c r="C4599" i="1"/>
  <c r="B4600" i="1"/>
  <c r="C4600" i="1"/>
  <c r="B4601" i="1"/>
  <c r="C4601" i="1"/>
  <c r="B4602" i="1"/>
  <c r="C4602" i="1"/>
  <c r="B4603" i="1"/>
  <c r="C4603" i="1"/>
  <c r="B4604" i="1"/>
  <c r="C4604" i="1"/>
  <c r="B4605" i="1"/>
  <c r="C4605" i="1"/>
  <c r="B4606" i="1"/>
  <c r="C4606" i="1"/>
  <c r="B4607" i="1"/>
  <c r="C4607" i="1"/>
  <c r="B4608" i="1"/>
  <c r="C4608" i="1"/>
  <c r="B4609" i="1"/>
  <c r="C4609" i="1"/>
  <c r="B4610" i="1"/>
  <c r="C4610" i="1"/>
  <c r="B4611" i="1"/>
  <c r="C4611" i="1"/>
  <c r="B4612" i="1"/>
  <c r="C4612" i="1"/>
  <c r="B4613" i="1"/>
  <c r="C4613" i="1"/>
  <c r="B4614" i="1"/>
  <c r="C4614" i="1"/>
  <c r="B4615" i="1"/>
  <c r="C4615" i="1"/>
  <c r="B4616" i="1"/>
  <c r="C4616" i="1"/>
  <c r="B4617" i="1"/>
  <c r="C4617" i="1"/>
  <c r="B4618" i="1"/>
  <c r="C4618" i="1"/>
  <c r="B4619" i="1"/>
  <c r="C4619" i="1"/>
  <c r="B4620" i="1"/>
  <c r="C4620" i="1"/>
  <c r="B4621" i="1"/>
  <c r="C4621" i="1"/>
  <c r="B4622" i="1"/>
  <c r="C4622" i="1"/>
  <c r="B4623" i="1"/>
  <c r="C4623" i="1"/>
  <c r="B4624" i="1"/>
  <c r="C4624" i="1"/>
  <c r="B4625" i="1"/>
  <c r="C4625" i="1"/>
  <c r="B4626" i="1"/>
  <c r="C4626" i="1"/>
  <c r="B4627" i="1"/>
  <c r="C4627" i="1"/>
  <c r="B4628" i="1"/>
  <c r="C4628" i="1"/>
  <c r="B4629" i="1"/>
  <c r="C4629" i="1"/>
  <c r="B4630" i="1"/>
  <c r="C4630" i="1"/>
  <c r="B4631" i="1"/>
  <c r="C4631" i="1"/>
  <c r="B4632" i="1"/>
  <c r="C4632" i="1"/>
  <c r="B4633" i="1"/>
  <c r="C4633" i="1"/>
  <c r="B4634" i="1"/>
  <c r="C4634" i="1"/>
  <c r="B4635" i="1"/>
  <c r="C4635" i="1"/>
  <c r="B4636" i="1"/>
  <c r="C4636" i="1"/>
  <c r="B4637" i="1"/>
  <c r="C4637" i="1"/>
  <c r="B4638" i="1"/>
  <c r="C4638" i="1"/>
  <c r="B4639" i="1"/>
  <c r="C4639" i="1"/>
  <c r="B4640" i="1"/>
  <c r="C4640" i="1"/>
  <c r="B4641" i="1"/>
  <c r="C4641" i="1"/>
  <c r="B4642" i="1"/>
  <c r="C4642" i="1"/>
  <c r="B4643" i="1"/>
  <c r="C4643" i="1"/>
  <c r="B4644" i="1"/>
  <c r="C4644" i="1"/>
  <c r="B4645" i="1"/>
  <c r="C4645" i="1"/>
  <c r="B4646" i="1"/>
  <c r="C4646" i="1"/>
  <c r="B4647" i="1"/>
  <c r="C4647" i="1"/>
  <c r="B4648" i="1"/>
  <c r="C4648" i="1"/>
  <c r="B4649" i="1"/>
  <c r="C4649" i="1"/>
  <c r="B4650" i="1"/>
  <c r="C4650" i="1"/>
  <c r="B4651" i="1"/>
  <c r="C4651" i="1"/>
  <c r="B4652" i="1"/>
  <c r="C4652" i="1"/>
  <c r="B4653" i="1"/>
  <c r="C4653" i="1"/>
  <c r="B4654" i="1"/>
  <c r="C4654" i="1"/>
  <c r="B4655" i="1"/>
  <c r="C4655" i="1"/>
  <c r="B4656" i="1"/>
  <c r="C4656" i="1"/>
  <c r="B4657" i="1"/>
  <c r="C4657" i="1"/>
  <c r="B4658" i="1"/>
  <c r="C4658" i="1"/>
  <c r="B4659" i="1"/>
  <c r="C4659" i="1"/>
  <c r="B4660" i="1"/>
  <c r="C4660" i="1"/>
  <c r="B4661" i="1"/>
  <c r="C4661" i="1"/>
  <c r="B4662" i="1"/>
  <c r="C4662" i="1"/>
  <c r="B4663" i="1"/>
  <c r="C4663" i="1"/>
  <c r="B4664" i="1"/>
  <c r="C4664" i="1"/>
  <c r="B4665" i="1"/>
  <c r="C4665" i="1"/>
  <c r="B4666" i="1"/>
  <c r="C4666" i="1"/>
  <c r="B4667" i="1"/>
  <c r="C4667" i="1"/>
  <c r="B4668" i="1"/>
  <c r="C4668" i="1"/>
  <c r="B4669" i="1"/>
  <c r="C4669" i="1"/>
  <c r="B4670" i="1"/>
  <c r="C4670" i="1"/>
  <c r="B4671" i="1"/>
  <c r="C4671" i="1"/>
  <c r="B4672" i="1"/>
  <c r="C4672" i="1"/>
  <c r="B4673" i="1"/>
  <c r="C4673" i="1"/>
  <c r="B4674" i="1"/>
  <c r="C4674" i="1"/>
  <c r="B4675" i="1"/>
  <c r="C4675" i="1"/>
  <c r="B4676" i="1"/>
  <c r="C4676" i="1"/>
  <c r="B4677" i="1"/>
  <c r="C4677" i="1"/>
  <c r="B4678" i="1"/>
  <c r="C4678" i="1"/>
  <c r="B4679" i="1"/>
  <c r="C4679" i="1"/>
  <c r="B4680" i="1"/>
  <c r="C4680" i="1"/>
  <c r="B4681" i="1"/>
  <c r="C4681" i="1"/>
  <c r="B4682" i="1"/>
  <c r="C4682" i="1"/>
  <c r="B4683" i="1"/>
  <c r="C4683" i="1"/>
  <c r="B4684" i="1"/>
  <c r="C4684" i="1"/>
  <c r="B4685" i="1"/>
  <c r="C4685" i="1"/>
  <c r="B4686" i="1"/>
  <c r="C4686" i="1"/>
  <c r="B4687" i="1"/>
  <c r="C4687" i="1"/>
  <c r="B4688" i="1"/>
  <c r="C4688" i="1"/>
  <c r="B4689" i="1"/>
  <c r="C4689" i="1"/>
  <c r="B4690" i="1"/>
  <c r="C4690" i="1"/>
  <c r="B4691" i="1"/>
  <c r="C4691" i="1"/>
  <c r="B4692" i="1"/>
  <c r="C4692" i="1"/>
  <c r="B4693" i="1"/>
  <c r="C4693" i="1"/>
  <c r="B4694" i="1"/>
  <c r="C4694" i="1"/>
  <c r="B4695" i="1"/>
  <c r="C4695" i="1"/>
  <c r="B4696" i="1"/>
  <c r="C4696" i="1"/>
  <c r="B4697" i="1"/>
  <c r="C4697" i="1"/>
  <c r="B4698" i="1"/>
  <c r="C4698" i="1"/>
  <c r="B4699" i="1"/>
  <c r="C4699" i="1"/>
  <c r="B4700" i="1"/>
  <c r="C4700" i="1"/>
  <c r="B4701" i="1"/>
  <c r="C4701" i="1"/>
  <c r="B4702" i="1"/>
  <c r="C4702" i="1"/>
  <c r="B4703" i="1"/>
  <c r="C4703" i="1"/>
  <c r="B4704" i="1"/>
  <c r="C4704" i="1"/>
  <c r="B4705" i="1"/>
  <c r="C4705" i="1"/>
  <c r="B4706" i="1"/>
  <c r="C4706" i="1"/>
  <c r="B4707" i="1"/>
  <c r="C4707" i="1"/>
  <c r="B4708" i="1"/>
  <c r="C4708" i="1"/>
  <c r="B4709" i="1"/>
  <c r="C4709" i="1"/>
  <c r="B4710" i="1"/>
  <c r="C4710" i="1"/>
  <c r="B4711" i="1"/>
  <c r="C4711" i="1"/>
  <c r="B4712" i="1"/>
  <c r="C4712" i="1"/>
  <c r="B4713" i="1"/>
  <c r="C4713" i="1"/>
  <c r="B4714" i="1"/>
  <c r="C4714" i="1"/>
  <c r="B4715" i="1"/>
  <c r="C4715" i="1"/>
  <c r="B4716" i="1"/>
  <c r="C4716" i="1"/>
  <c r="B4717" i="1"/>
  <c r="C4717" i="1"/>
  <c r="B4718" i="1"/>
  <c r="C4718" i="1"/>
  <c r="B4719" i="1"/>
  <c r="C4719" i="1"/>
  <c r="B4720" i="1"/>
  <c r="C4720" i="1"/>
  <c r="B4721" i="1"/>
  <c r="C4721" i="1"/>
  <c r="B4722" i="1"/>
  <c r="C4722" i="1"/>
  <c r="B4723" i="1"/>
  <c r="C4723" i="1"/>
  <c r="B4724" i="1"/>
  <c r="C4724" i="1"/>
  <c r="B4725" i="1"/>
  <c r="C4725" i="1"/>
  <c r="B4726" i="1"/>
  <c r="C4726" i="1"/>
  <c r="B4727" i="1"/>
  <c r="C4727" i="1"/>
  <c r="B4728" i="1"/>
  <c r="C4728" i="1"/>
  <c r="B4729" i="1"/>
  <c r="C4729" i="1"/>
  <c r="B4730" i="1"/>
  <c r="C4730" i="1"/>
  <c r="B4731" i="1"/>
  <c r="C4731" i="1"/>
  <c r="B4732" i="1"/>
  <c r="C4732" i="1"/>
  <c r="B4733" i="1"/>
  <c r="C4733" i="1"/>
  <c r="B4734" i="1"/>
  <c r="C4734" i="1"/>
  <c r="B4735" i="1"/>
  <c r="C4735" i="1"/>
  <c r="B4736" i="1"/>
  <c r="C4736" i="1"/>
  <c r="B4737" i="1"/>
  <c r="C4737" i="1"/>
  <c r="B4738" i="1"/>
  <c r="C4738" i="1"/>
  <c r="B4739" i="1"/>
  <c r="C4739" i="1"/>
  <c r="B4740" i="1"/>
  <c r="C4740" i="1"/>
  <c r="B4741" i="1"/>
  <c r="C4741" i="1"/>
  <c r="B4742" i="1"/>
  <c r="C4742" i="1"/>
  <c r="B4743" i="1"/>
  <c r="C4743" i="1"/>
  <c r="B4744" i="1"/>
  <c r="C4744" i="1"/>
  <c r="B4745" i="1"/>
  <c r="C4745" i="1"/>
  <c r="B4746" i="1"/>
  <c r="C4746" i="1"/>
  <c r="B4747" i="1"/>
  <c r="C4747" i="1"/>
  <c r="B4748" i="1"/>
  <c r="C4748" i="1"/>
  <c r="B4749" i="1"/>
  <c r="C4749" i="1"/>
  <c r="B4750" i="1"/>
  <c r="C4750" i="1"/>
  <c r="B4751" i="1"/>
  <c r="C4751" i="1"/>
  <c r="B4752" i="1"/>
  <c r="C4752" i="1"/>
  <c r="B4753" i="1"/>
  <c r="C4753" i="1"/>
  <c r="B4754" i="1"/>
  <c r="C4754" i="1"/>
  <c r="B4755" i="1"/>
  <c r="C4755" i="1"/>
  <c r="B4756" i="1"/>
  <c r="C4756" i="1"/>
  <c r="B4757" i="1"/>
  <c r="C4757" i="1"/>
  <c r="B4758" i="1"/>
  <c r="C4758" i="1"/>
  <c r="B4759" i="1"/>
  <c r="C4759" i="1"/>
  <c r="B4760" i="1"/>
  <c r="C4760" i="1"/>
  <c r="B4761" i="1"/>
  <c r="C4761" i="1"/>
  <c r="B4762" i="1"/>
  <c r="C4762" i="1"/>
  <c r="B4763" i="1"/>
  <c r="C4763" i="1"/>
  <c r="B4764" i="1"/>
  <c r="C4764" i="1"/>
  <c r="B4765" i="1"/>
  <c r="C4765" i="1"/>
  <c r="B4766" i="1"/>
  <c r="C4766" i="1"/>
  <c r="B4767" i="1"/>
  <c r="C4767" i="1"/>
  <c r="B4768" i="1"/>
  <c r="C4768" i="1"/>
  <c r="B4769" i="1"/>
  <c r="C4769" i="1"/>
  <c r="B4770" i="1"/>
  <c r="C4770" i="1"/>
  <c r="B4771" i="1"/>
  <c r="C4771" i="1"/>
  <c r="B4772" i="1"/>
  <c r="C4772" i="1"/>
  <c r="B4773" i="1"/>
  <c r="C4773" i="1"/>
  <c r="B4774" i="1"/>
  <c r="C4774" i="1"/>
  <c r="B4775" i="1"/>
  <c r="C4775" i="1"/>
  <c r="B4776" i="1"/>
  <c r="C4776" i="1"/>
  <c r="B4777" i="1"/>
  <c r="C4777" i="1"/>
  <c r="B4778" i="1"/>
  <c r="C4778" i="1"/>
  <c r="B4779" i="1"/>
  <c r="C4779" i="1"/>
  <c r="B4780" i="1"/>
  <c r="C4780" i="1"/>
  <c r="B4781" i="1"/>
  <c r="C4781" i="1"/>
  <c r="B4782" i="1"/>
  <c r="C4782" i="1"/>
  <c r="B4783" i="1"/>
  <c r="C4783" i="1"/>
  <c r="B4784" i="1"/>
  <c r="C4784" i="1"/>
  <c r="B4785" i="1"/>
  <c r="C4785" i="1"/>
  <c r="B4786" i="1"/>
  <c r="C4786" i="1"/>
  <c r="B4787" i="1"/>
  <c r="C4787" i="1"/>
  <c r="B4788" i="1"/>
  <c r="C4788" i="1"/>
  <c r="B4789" i="1"/>
  <c r="C4789" i="1"/>
  <c r="B4790" i="1"/>
  <c r="C4790" i="1"/>
  <c r="B4791" i="1"/>
  <c r="C4791" i="1"/>
  <c r="B4792" i="1"/>
  <c r="C4792" i="1"/>
  <c r="B4793" i="1"/>
  <c r="C4793" i="1"/>
  <c r="B4794" i="1"/>
  <c r="C4794" i="1"/>
  <c r="B4795" i="1"/>
  <c r="C4795" i="1"/>
  <c r="B4796" i="1"/>
  <c r="C4796" i="1"/>
  <c r="B4797" i="1"/>
  <c r="C4797" i="1"/>
  <c r="B4798" i="1"/>
  <c r="C4798" i="1"/>
  <c r="B4799" i="1"/>
  <c r="C4799" i="1"/>
  <c r="B4800" i="1"/>
  <c r="C4800" i="1"/>
  <c r="B4801" i="1"/>
  <c r="C4801" i="1"/>
  <c r="B4802" i="1"/>
  <c r="C4802" i="1"/>
  <c r="B4803" i="1"/>
  <c r="C4803" i="1"/>
  <c r="B4804" i="1"/>
  <c r="C4804" i="1"/>
  <c r="B4805" i="1"/>
  <c r="C4805" i="1"/>
  <c r="B4806" i="1"/>
  <c r="C4806" i="1"/>
  <c r="B4807" i="1"/>
  <c r="C4807" i="1"/>
  <c r="B4808" i="1"/>
  <c r="C4808" i="1"/>
  <c r="B4809" i="1"/>
  <c r="C4809" i="1"/>
  <c r="B4810" i="1"/>
  <c r="C4810" i="1"/>
  <c r="B4811" i="1"/>
  <c r="C4811" i="1"/>
  <c r="B4812" i="1"/>
  <c r="C4812" i="1"/>
  <c r="B4813" i="1"/>
  <c r="C4813" i="1"/>
  <c r="B4814" i="1"/>
  <c r="C4814" i="1"/>
  <c r="B4815" i="1"/>
  <c r="C4815" i="1"/>
  <c r="B4816" i="1"/>
  <c r="C4816" i="1"/>
  <c r="B4817" i="1"/>
  <c r="C4817" i="1"/>
  <c r="B4818" i="1"/>
  <c r="C4818" i="1"/>
  <c r="B4819" i="1"/>
  <c r="C4819" i="1"/>
  <c r="B4820" i="1"/>
  <c r="C4820" i="1"/>
  <c r="B4821" i="1"/>
  <c r="C4821" i="1"/>
  <c r="B4822" i="1"/>
  <c r="C4822" i="1"/>
  <c r="B4823" i="1"/>
  <c r="C4823" i="1"/>
  <c r="B4824" i="1"/>
  <c r="C4824" i="1"/>
  <c r="B4825" i="1"/>
  <c r="C4825" i="1"/>
  <c r="B4826" i="1"/>
  <c r="C4826" i="1"/>
  <c r="B4827" i="1"/>
  <c r="C4827" i="1"/>
  <c r="B4828" i="1"/>
  <c r="C4828" i="1"/>
  <c r="B4829" i="1"/>
  <c r="C4829" i="1"/>
  <c r="B4830" i="1"/>
  <c r="C4830" i="1"/>
  <c r="B4831" i="1"/>
  <c r="C4831" i="1"/>
  <c r="B4832" i="1"/>
  <c r="C4832" i="1"/>
  <c r="B4833" i="1"/>
  <c r="C4833" i="1"/>
  <c r="B4834" i="1"/>
  <c r="C4834" i="1"/>
  <c r="B4835" i="1"/>
  <c r="C4835" i="1"/>
  <c r="B4836" i="1"/>
  <c r="C4836" i="1"/>
  <c r="B4837" i="1"/>
  <c r="C4837" i="1"/>
  <c r="B4838" i="1"/>
  <c r="C4838" i="1"/>
  <c r="B4839" i="1"/>
  <c r="C4839" i="1"/>
  <c r="B4840" i="1"/>
  <c r="C4840" i="1"/>
  <c r="B4841" i="1"/>
  <c r="C4841" i="1"/>
  <c r="B4842" i="1"/>
  <c r="C4842" i="1"/>
  <c r="B4843" i="1"/>
  <c r="C4843" i="1"/>
  <c r="B4844" i="1"/>
  <c r="C4844" i="1"/>
  <c r="B4845" i="1"/>
  <c r="C4845" i="1"/>
  <c r="B4846" i="1"/>
  <c r="C4846" i="1"/>
  <c r="B4847" i="1"/>
  <c r="C4847" i="1"/>
  <c r="B4848" i="1"/>
  <c r="C4848" i="1"/>
  <c r="B4849" i="1"/>
  <c r="C4849" i="1"/>
  <c r="B4850" i="1"/>
  <c r="C4850" i="1"/>
  <c r="B4851" i="1"/>
  <c r="C4851" i="1"/>
  <c r="B4852" i="1"/>
  <c r="C4852" i="1"/>
  <c r="B4853" i="1"/>
  <c r="C4853" i="1"/>
  <c r="B4854" i="1"/>
  <c r="C4854" i="1"/>
  <c r="B4855" i="1"/>
  <c r="C4855" i="1"/>
  <c r="B4856" i="1"/>
  <c r="C4856" i="1"/>
  <c r="B4857" i="1"/>
  <c r="C4857" i="1"/>
  <c r="B4858" i="1"/>
  <c r="C4858" i="1"/>
  <c r="B4859" i="1"/>
  <c r="C4859" i="1"/>
  <c r="B4860" i="1"/>
  <c r="C4860" i="1"/>
  <c r="B4861" i="1"/>
  <c r="C4861" i="1"/>
  <c r="B4862" i="1"/>
  <c r="C4862" i="1"/>
  <c r="B4863" i="1"/>
  <c r="C4863" i="1"/>
  <c r="B4864" i="1"/>
  <c r="C4864" i="1"/>
  <c r="B4865" i="1"/>
  <c r="C4865" i="1"/>
  <c r="B4866" i="1"/>
  <c r="C4866" i="1"/>
  <c r="B4867" i="1"/>
  <c r="C4867" i="1"/>
  <c r="B4868" i="1"/>
  <c r="C4868" i="1"/>
  <c r="B4869" i="1"/>
  <c r="C4869" i="1"/>
  <c r="B4870" i="1"/>
  <c r="C4870" i="1"/>
  <c r="B4871" i="1"/>
  <c r="C4871" i="1"/>
  <c r="B4872" i="1"/>
  <c r="C4872" i="1"/>
  <c r="B4873" i="1"/>
  <c r="C4873" i="1"/>
  <c r="B4874" i="1"/>
  <c r="C4874" i="1"/>
  <c r="B4875" i="1"/>
  <c r="C4875" i="1"/>
  <c r="B4876" i="1"/>
  <c r="C4876" i="1"/>
  <c r="B4877" i="1"/>
  <c r="C4877" i="1"/>
  <c r="B4878" i="1"/>
  <c r="C4878" i="1"/>
  <c r="B4879" i="1"/>
  <c r="C4879" i="1"/>
  <c r="B4880" i="1"/>
  <c r="C4880" i="1"/>
  <c r="B4881" i="1"/>
  <c r="C4881" i="1"/>
  <c r="B4882" i="1"/>
  <c r="C4882" i="1"/>
  <c r="B4883" i="1"/>
  <c r="C4883" i="1"/>
  <c r="B4884" i="1"/>
  <c r="C4884" i="1"/>
  <c r="B4885" i="1"/>
  <c r="C4885" i="1"/>
  <c r="B4886" i="1"/>
  <c r="C4886" i="1"/>
  <c r="B4887" i="1"/>
  <c r="C4887" i="1"/>
  <c r="B4888" i="1"/>
  <c r="C4888" i="1"/>
  <c r="B4889" i="1"/>
  <c r="C4889" i="1"/>
  <c r="B4890" i="1"/>
  <c r="C4890" i="1"/>
  <c r="B4891" i="1"/>
  <c r="C4891" i="1"/>
  <c r="B4892" i="1"/>
  <c r="C4892" i="1"/>
  <c r="B4893" i="1"/>
  <c r="C4893" i="1"/>
  <c r="B4894" i="1"/>
  <c r="C4894" i="1"/>
  <c r="B4895" i="1"/>
  <c r="C4895" i="1"/>
  <c r="B4896" i="1"/>
  <c r="C4896" i="1"/>
  <c r="B4897" i="1"/>
  <c r="C4897" i="1"/>
  <c r="B4898" i="1"/>
  <c r="C4898" i="1"/>
  <c r="B4899" i="1"/>
  <c r="C4899" i="1"/>
  <c r="B4900" i="1"/>
  <c r="C4900" i="1"/>
  <c r="B4901" i="1"/>
  <c r="C4901" i="1"/>
  <c r="B4902" i="1"/>
  <c r="C4902" i="1"/>
  <c r="B4903" i="1"/>
  <c r="C4903" i="1"/>
  <c r="B4904" i="1"/>
  <c r="C4904" i="1"/>
  <c r="B4905" i="1"/>
  <c r="C4905" i="1"/>
  <c r="B4906" i="1"/>
  <c r="C4906" i="1"/>
  <c r="B4907" i="1"/>
  <c r="C4907" i="1"/>
  <c r="B4908" i="1"/>
  <c r="C4908" i="1"/>
  <c r="B4909" i="1"/>
  <c r="C4909" i="1"/>
  <c r="B4910" i="1"/>
  <c r="C4910" i="1"/>
  <c r="B4911" i="1"/>
  <c r="C4911" i="1"/>
  <c r="B4912" i="1"/>
  <c r="C4912" i="1"/>
  <c r="B4913" i="1"/>
  <c r="C4913" i="1"/>
  <c r="B4914" i="1"/>
  <c r="C4914" i="1"/>
  <c r="B4915" i="1"/>
  <c r="C4915" i="1"/>
  <c r="B4916" i="1"/>
  <c r="C4916" i="1"/>
  <c r="B4917" i="1"/>
  <c r="C4917" i="1"/>
  <c r="B4918" i="1"/>
  <c r="C4918" i="1"/>
  <c r="B4919" i="1"/>
  <c r="C4919" i="1"/>
  <c r="B4920" i="1"/>
  <c r="C4920" i="1"/>
  <c r="B4921" i="1"/>
  <c r="C4921" i="1"/>
  <c r="B4922" i="1"/>
  <c r="C4922" i="1"/>
  <c r="B4923" i="1"/>
  <c r="C4923" i="1"/>
  <c r="B4924" i="1"/>
  <c r="C4924" i="1"/>
  <c r="B4925" i="1"/>
  <c r="C4925" i="1"/>
  <c r="B4926" i="1"/>
  <c r="C4926" i="1"/>
  <c r="B4927" i="1"/>
  <c r="C4927" i="1"/>
  <c r="B4928" i="1"/>
  <c r="C4928" i="1"/>
  <c r="B4929" i="1"/>
  <c r="C4929" i="1"/>
  <c r="B4930" i="1"/>
  <c r="C4930" i="1"/>
  <c r="B4931" i="1"/>
  <c r="C4931" i="1"/>
  <c r="B4932" i="1"/>
  <c r="C4932" i="1"/>
  <c r="B4933" i="1"/>
  <c r="C4933" i="1"/>
  <c r="B4934" i="1"/>
  <c r="C4934" i="1"/>
  <c r="B4935" i="1"/>
  <c r="C4935" i="1"/>
  <c r="B4936" i="1"/>
  <c r="C4936" i="1"/>
  <c r="B4937" i="1"/>
  <c r="C4937" i="1"/>
  <c r="B4938" i="1"/>
  <c r="C4938" i="1"/>
  <c r="B4939" i="1"/>
  <c r="C4939" i="1"/>
  <c r="B4940" i="1"/>
  <c r="C4940" i="1"/>
  <c r="B4941" i="1"/>
  <c r="C4941" i="1"/>
  <c r="B4942" i="1"/>
  <c r="C4942" i="1"/>
  <c r="B4943" i="1"/>
  <c r="C4943" i="1"/>
  <c r="B4944" i="1"/>
  <c r="C4944" i="1"/>
  <c r="B4945" i="1"/>
  <c r="C4945" i="1"/>
  <c r="B4946" i="1"/>
  <c r="C4946" i="1"/>
  <c r="B4947" i="1"/>
  <c r="C4947" i="1"/>
  <c r="B4948" i="1"/>
  <c r="C4948" i="1"/>
  <c r="B4949" i="1"/>
  <c r="C4949" i="1"/>
  <c r="B4950" i="1"/>
  <c r="C4950" i="1"/>
  <c r="B4951" i="1"/>
  <c r="C4951" i="1"/>
  <c r="B4952" i="1"/>
  <c r="C4952" i="1"/>
  <c r="B4953" i="1"/>
  <c r="C4953" i="1"/>
  <c r="B4954" i="1"/>
  <c r="C4954" i="1"/>
  <c r="B4955" i="1"/>
  <c r="C4955" i="1"/>
  <c r="B4956" i="1"/>
  <c r="C4956" i="1"/>
  <c r="B4957" i="1"/>
  <c r="C4957" i="1"/>
  <c r="B4958" i="1"/>
  <c r="C4958" i="1"/>
  <c r="B4959" i="1"/>
  <c r="C4959" i="1"/>
  <c r="B4960" i="1"/>
  <c r="C4960" i="1"/>
  <c r="B4961" i="1"/>
  <c r="C4961" i="1"/>
  <c r="B4962" i="1"/>
  <c r="C4962" i="1"/>
  <c r="B4963" i="1"/>
  <c r="C4963" i="1"/>
  <c r="B4964" i="1"/>
  <c r="C4964" i="1"/>
  <c r="B4965" i="1"/>
  <c r="C4965" i="1"/>
  <c r="B4966" i="1"/>
  <c r="C4966" i="1"/>
  <c r="B4967" i="1"/>
  <c r="C4967" i="1"/>
  <c r="B4968" i="1"/>
  <c r="C4968" i="1"/>
  <c r="B4969" i="1"/>
  <c r="C4969" i="1"/>
  <c r="B4970" i="1"/>
  <c r="C4970" i="1"/>
  <c r="B4971" i="1"/>
  <c r="C4971" i="1"/>
  <c r="B4972" i="1"/>
  <c r="C4972" i="1"/>
  <c r="B4973" i="1"/>
  <c r="C4973" i="1"/>
  <c r="B4974" i="1"/>
  <c r="C4974" i="1"/>
  <c r="B4975" i="1"/>
  <c r="C4975" i="1"/>
  <c r="B4976" i="1"/>
  <c r="C4976" i="1"/>
  <c r="B4977" i="1"/>
  <c r="C4977" i="1"/>
  <c r="B4978" i="1"/>
  <c r="C4978" i="1"/>
  <c r="B4979" i="1"/>
  <c r="C4979" i="1"/>
  <c r="B4980" i="1"/>
  <c r="C4980" i="1"/>
  <c r="B4981" i="1"/>
  <c r="C4981" i="1"/>
  <c r="B4982" i="1"/>
  <c r="C4982" i="1"/>
  <c r="B4983" i="1"/>
  <c r="C4983" i="1"/>
  <c r="B4984" i="1"/>
  <c r="C4984" i="1"/>
  <c r="B4985" i="1"/>
  <c r="C4985" i="1"/>
  <c r="B4986" i="1"/>
  <c r="C4986" i="1"/>
  <c r="B4987" i="1"/>
  <c r="C4987" i="1"/>
  <c r="B4988" i="1"/>
  <c r="C4988" i="1"/>
  <c r="B4989" i="1"/>
  <c r="C4989" i="1"/>
  <c r="B4990" i="1"/>
  <c r="C4990" i="1"/>
  <c r="B4991" i="1"/>
  <c r="C4991" i="1"/>
  <c r="B4992" i="1"/>
  <c r="C4992" i="1"/>
  <c r="B4993" i="1"/>
  <c r="C4993" i="1"/>
  <c r="B4994" i="1"/>
  <c r="C4994" i="1"/>
  <c r="B4995" i="1"/>
  <c r="C4995" i="1"/>
  <c r="B4996" i="1"/>
  <c r="C4996" i="1"/>
  <c r="B4997" i="1"/>
  <c r="C4997" i="1"/>
  <c r="B4998" i="1"/>
  <c r="C4998" i="1"/>
  <c r="B4999" i="1"/>
  <c r="C4999" i="1"/>
  <c r="B5000" i="1"/>
  <c r="C5000" i="1"/>
  <c r="B5001" i="1"/>
  <c r="C5001" i="1"/>
  <c r="B5002" i="1"/>
  <c r="C5002" i="1"/>
  <c r="B5003" i="1"/>
  <c r="C5003" i="1"/>
  <c r="B5004" i="1"/>
  <c r="C5004" i="1"/>
  <c r="B5005" i="1"/>
  <c r="C5005" i="1"/>
  <c r="B5006" i="1"/>
  <c r="C5006" i="1"/>
  <c r="B5007" i="1"/>
  <c r="C5007" i="1"/>
  <c r="B5008" i="1"/>
  <c r="C5008" i="1"/>
  <c r="B5009" i="1"/>
  <c r="C5009" i="1"/>
  <c r="B5010" i="1"/>
  <c r="C5010" i="1"/>
  <c r="B5011" i="1"/>
  <c r="C5011" i="1"/>
  <c r="B5012" i="1"/>
  <c r="C5012" i="1"/>
  <c r="B5013" i="1"/>
  <c r="C5013" i="1"/>
  <c r="B5014" i="1"/>
  <c r="C5014" i="1"/>
  <c r="B5015" i="1"/>
  <c r="C5015" i="1"/>
  <c r="B5016" i="1"/>
  <c r="C5016" i="1"/>
  <c r="B5017" i="1"/>
  <c r="C5017" i="1"/>
  <c r="B5018" i="1"/>
  <c r="C5018" i="1"/>
  <c r="B5019" i="1"/>
  <c r="C5019" i="1"/>
  <c r="B5020" i="1"/>
  <c r="C5020" i="1"/>
  <c r="B5021" i="1"/>
  <c r="C5021" i="1"/>
  <c r="B5022" i="1"/>
  <c r="C5022" i="1"/>
  <c r="B5023" i="1"/>
  <c r="C5023" i="1"/>
  <c r="B5024" i="1"/>
  <c r="C5024" i="1"/>
  <c r="B5025" i="1"/>
  <c r="C5025" i="1"/>
  <c r="B5026" i="1"/>
  <c r="C5026" i="1"/>
  <c r="B5027" i="1"/>
  <c r="C5027" i="1"/>
  <c r="B5028" i="1"/>
  <c r="C5028" i="1"/>
  <c r="B5029" i="1"/>
  <c r="C5029" i="1"/>
  <c r="B5030" i="1"/>
  <c r="C5030" i="1"/>
  <c r="B5031" i="1"/>
  <c r="C5031" i="1"/>
  <c r="B5032" i="1"/>
  <c r="C5032" i="1"/>
  <c r="B5033" i="1"/>
  <c r="C5033" i="1"/>
  <c r="B5034" i="1"/>
  <c r="C5034" i="1"/>
  <c r="B5035" i="1"/>
  <c r="C5035" i="1"/>
  <c r="B5036" i="1"/>
  <c r="C5036" i="1"/>
  <c r="B5037" i="1"/>
  <c r="C5037" i="1"/>
  <c r="B5038" i="1"/>
  <c r="C5038" i="1"/>
  <c r="B5039" i="1"/>
  <c r="C5039" i="1"/>
  <c r="B5040" i="1"/>
  <c r="C5040" i="1"/>
  <c r="B5041" i="1"/>
  <c r="C5041" i="1"/>
  <c r="B5042" i="1"/>
  <c r="C5042" i="1"/>
  <c r="B5043" i="1"/>
  <c r="C5043" i="1"/>
  <c r="B5044" i="1"/>
  <c r="C5044" i="1"/>
  <c r="B5045" i="1"/>
  <c r="C5045" i="1"/>
  <c r="B5046" i="1"/>
  <c r="C5046" i="1"/>
  <c r="B5047" i="1"/>
  <c r="C5047" i="1"/>
  <c r="B5048" i="1"/>
  <c r="C5048" i="1"/>
  <c r="B5049" i="1"/>
  <c r="C5049" i="1"/>
  <c r="B5050" i="1"/>
  <c r="C5050" i="1"/>
  <c r="B5051" i="1"/>
  <c r="C5051" i="1"/>
  <c r="B5052" i="1"/>
  <c r="C5052" i="1"/>
  <c r="B5053" i="1"/>
  <c r="C5053" i="1"/>
  <c r="B5054" i="1"/>
  <c r="C5054" i="1"/>
  <c r="B5055" i="1"/>
  <c r="C5055" i="1"/>
  <c r="B5056" i="1"/>
  <c r="C5056" i="1"/>
  <c r="B5057" i="1"/>
  <c r="C5057" i="1"/>
  <c r="B5058" i="1"/>
  <c r="C5058" i="1"/>
  <c r="B5059" i="1"/>
  <c r="C5059" i="1"/>
  <c r="B5060" i="1"/>
  <c r="C5060" i="1"/>
  <c r="B5061" i="1"/>
  <c r="C5061" i="1"/>
  <c r="B5062" i="1"/>
  <c r="C5062" i="1"/>
  <c r="B5063" i="1"/>
  <c r="C5063" i="1"/>
  <c r="B5064" i="1"/>
  <c r="C5064" i="1"/>
  <c r="B5065" i="1"/>
  <c r="C5065" i="1"/>
  <c r="B5066" i="1"/>
  <c r="C5066" i="1"/>
  <c r="B5067" i="1"/>
  <c r="C5067" i="1"/>
  <c r="B5068" i="1"/>
  <c r="C5068" i="1"/>
  <c r="B5069" i="1"/>
  <c r="C5069" i="1"/>
  <c r="B5070" i="1"/>
  <c r="C5070" i="1"/>
  <c r="B5071" i="1"/>
  <c r="C5071" i="1"/>
  <c r="B5072" i="1"/>
  <c r="C5072" i="1"/>
  <c r="B5073" i="1"/>
  <c r="C5073" i="1"/>
  <c r="B5074" i="1"/>
  <c r="C5074" i="1"/>
  <c r="B5075" i="1"/>
  <c r="C5075" i="1"/>
  <c r="B5076" i="1"/>
  <c r="C5076" i="1"/>
  <c r="B5077" i="1"/>
  <c r="C5077" i="1"/>
  <c r="B5078" i="1"/>
  <c r="C5078" i="1"/>
  <c r="B5079" i="1"/>
  <c r="C5079" i="1"/>
  <c r="B5080" i="1"/>
  <c r="C5080" i="1"/>
  <c r="B5081" i="1"/>
  <c r="C5081" i="1"/>
  <c r="B5082" i="1"/>
  <c r="C5082" i="1"/>
  <c r="B5083" i="1"/>
  <c r="C5083" i="1"/>
  <c r="B5084" i="1"/>
  <c r="C5084" i="1"/>
  <c r="B5085" i="1"/>
  <c r="C5085" i="1"/>
  <c r="B5086" i="1"/>
  <c r="C5086" i="1"/>
  <c r="B5087" i="1"/>
  <c r="C5087" i="1"/>
  <c r="B5088" i="1"/>
  <c r="C5088" i="1"/>
  <c r="B5089" i="1"/>
  <c r="C5089" i="1"/>
  <c r="B5090" i="1"/>
  <c r="C5090" i="1"/>
  <c r="B5091" i="1"/>
  <c r="C5091" i="1"/>
  <c r="B5092" i="1"/>
  <c r="C5092" i="1"/>
  <c r="B5093" i="1"/>
  <c r="C5093" i="1"/>
  <c r="B5094" i="1"/>
  <c r="C5094" i="1"/>
  <c r="B5095" i="1"/>
  <c r="C5095" i="1"/>
  <c r="B5096" i="1"/>
  <c r="C5096" i="1"/>
  <c r="B5097" i="1"/>
  <c r="C5097" i="1"/>
  <c r="B5098" i="1"/>
  <c r="C5098" i="1"/>
  <c r="B5099" i="1"/>
  <c r="C5099" i="1"/>
  <c r="B5100" i="1"/>
  <c r="C5100" i="1"/>
  <c r="B5101" i="1"/>
  <c r="C5101" i="1"/>
  <c r="B5102" i="1"/>
  <c r="C5102" i="1"/>
  <c r="B5103" i="1"/>
  <c r="C5103" i="1"/>
  <c r="B5104" i="1"/>
  <c r="C5104" i="1"/>
  <c r="B5105" i="1"/>
  <c r="C5105" i="1"/>
  <c r="B5106" i="1"/>
  <c r="C5106" i="1"/>
  <c r="B5107" i="1"/>
  <c r="C5107" i="1"/>
  <c r="B5108" i="1"/>
  <c r="C5108" i="1"/>
  <c r="B5109" i="1"/>
  <c r="C5109" i="1"/>
  <c r="B5110" i="1"/>
  <c r="C5110" i="1"/>
  <c r="B5111" i="1"/>
  <c r="C5111" i="1"/>
  <c r="B5112" i="1"/>
  <c r="C5112" i="1"/>
  <c r="B5113" i="1"/>
  <c r="C5113" i="1"/>
  <c r="B5114" i="1"/>
  <c r="C5114" i="1"/>
  <c r="B5115" i="1"/>
  <c r="C5115" i="1"/>
  <c r="B5116" i="1"/>
  <c r="C5116" i="1"/>
  <c r="B5117" i="1"/>
  <c r="C5117" i="1"/>
  <c r="B5118" i="1"/>
  <c r="C5118" i="1"/>
  <c r="B5119" i="1"/>
  <c r="C5119" i="1"/>
  <c r="B5120" i="1"/>
  <c r="C5120" i="1"/>
  <c r="B5121" i="1"/>
  <c r="C5121" i="1"/>
  <c r="B5122" i="1"/>
  <c r="C5122" i="1"/>
  <c r="B5123" i="1"/>
  <c r="C5123" i="1"/>
  <c r="B5124" i="1"/>
  <c r="C5124" i="1"/>
  <c r="B5125" i="1"/>
  <c r="C5125" i="1"/>
  <c r="B5126" i="1"/>
  <c r="C5126" i="1"/>
  <c r="B5127" i="1"/>
  <c r="C5127" i="1"/>
  <c r="B5128" i="1"/>
  <c r="C5128" i="1"/>
  <c r="B5129" i="1"/>
  <c r="C5129" i="1"/>
  <c r="B5130" i="1"/>
  <c r="C5130" i="1"/>
  <c r="B5131" i="1"/>
  <c r="C5131" i="1"/>
  <c r="B5132" i="1"/>
  <c r="C5132" i="1"/>
  <c r="B5133" i="1"/>
  <c r="C5133" i="1"/>
  <c r="B5134" i="1"/>
  <c r="C5134" i="1"/>
  <c r="B5135" i="1"/>
  <c r="C5135" i="1"/>
  <c r="B5136" i="1"/>
  <c r="C5136" i="1"/>
  <c r="B5137" i="1"/>
  <c r="C5137" i="1"/>
  <c r="B5138" i="1"/>
  <c r="C5138" i="1"/>
  <c r="B5139" i="1"/>
  <c r="C5139" i="1"/>
  <c r="B5140" i="1"/>
  <c r="C5140" i="1"/>
  <c r="B5141" i="1"/>
  <c r="C5141" i="1"/>
  <c r="B5142" i="1"/>
  <c r="C5142" i="1"/>
  <c r="B5143" i="1"/>
  <c r="C5143" i="1"/>
  <c r="B5144" i="1"/>
  <c r="C5144" i="1"/>
  <c r="B5145" i="1"/>
  <c r="C5145" i="1"/>
  <c r="B5146" i="1"/>
  <c r="C5146" i="1"/>
  <c r="B5147" i="1"/>
  <c r="C5147" i="1"/>
  <c r="B5148" i="1"/>
  <c r="C5148" i="1"/>
  <c r="B5149" i="1"/>
  <c r="C5149" i="1"/>
  <c r="B5150" i="1"/>
  <c r="C5150" i="1"/>
  <c r="B5151" i="1"/>
  <c r="C5151" i="1"/>
  <c r="B5152" i="1"/>
  <c r="C5152" i="1"/>
  <c r="B5153" i="1"/>
  <c r="C5153" i="1"/>
  <c r="B5154" i="1"/>
  <c r="C5154" i="1"/>
  <c r="B5155" i="1"/>
  <c r="C5155" i="1"/>
  <c r="B5156" i="1"/>
  <c r="C5156" i="1"/>
  <c r="B5157" i="1"/>
  <c r="C5157" i="1"/>
  <c r="B5158" i="1"/>
  <c r="C5158" i="1"/>
  <c r="B5159" i="1"/>
  <c r="C5159" i="1"/>
  <c r="B5160" i="1"/>
  <c r="C5160" i="1"/>
  <c r="B5161" i="1"/>
  <c r="C5161" i="1"/>
  <c r="B5162" i="1"/>
  <c r="C5162" i="1"/>
  <c r="B5163" i="1"/>
  <c r="C5163" i="1"/>
  <c r="B5164" i="1"/>
  <c r="C5164" i="1"/>
  <c r="B5165" i="1"/>
  <c r="C5165" i="1"/>
  <c r="B5166" i="1"/>
  <c r="C5166" i="1"/>
  <c r="B5167" i="1"/>
  <c r="C5167" i="1"/>
  <c r="B5168" i="1"/>
  <c r="C5168" i="1"/>
  <c r="B5169" i="1"/>
  <c r="C5169" i="1"/>
  <c r="B5170" i="1"/>
  <c r="C5170" i="1"/>
  <c r="B5171" i="1"/>
  <c r="C5171" i="1"/>
  <c r="B5172" i="1"/>
  <c r="C5172" i="1"/>
  <c r="B5173" i="1"/>
  <c r="C5173" i="1"/>
  <c r="B5174" i="1"/>
  <c r="C5174" i="1"/>
  <c r="B5175" i="1"/>
  <c r="C5175" i="1"/>
  <c r="B5176" i="1"/>
  <c r="C5176" i="1"/>
  <c r="B5177" i="1"/>
  <c r="C5177" i="1"/>
  <c r="B5178" i="1"/>
  <c r="C5178" i="1"/>
  <c r="B5179" i="1"/>
  <c r="C5179" i="1"/>
  <c r="B5180" i="1"/>
  <c r="C5180" i="1"/>
  <c r="B5181" i="1"/>
  <c r="C5181" i="1"/>
  <c r="B5182" i="1"/>
  <c r="C5182" i="1"/>
  <c r="B5183" i="1"/>
  <c r="C5183" i="1"/>
  <c r="B5184" i="1"/>
  <c r="C5184" i="1"/>
  <c r="B5185" i="1"/>
  <c r="C5185" i="1"/>
  <c r="B5186" i="1"/>
  <c r="C5186" i="1"/>
  <c r="B5187" i="1"/>
  <c r="C5187" i="1"/>
  <c r="B5188" i="1"/>
  <c r="C5188" i="1"/>
  <c r="B5189" i="1"/>
  <c r="C5189" i="1"/>
  <c r="B5190" i="1"/>
  <c r="C5190" i="1"/>
  <c r="B5191" i="1"/>
  <c r="C5191" i="1"/>
  <c r="B5192" i="1"/>
  <c r="C5192" i="1"/>
  <c r="B5193" i="1"/>
  <c r="C5193" i="1"/>
  <c r="B5194" i="1"/>
  <c r="C5194" i="1"/>
  <c r="B5195" i="1"/>
  <c r="C5195" i="1"/>
  <c r="B5196" i="1"/>
  <c r="C5196" i="1"/>
  <c r="B5197" i="1"/>
  <c r="C5197" i="1"/>
  <c r="B5198" i="1"/>
  <c r="C5198" i="1"/>
  <c r="B5199" i="1"/>
  <c r="C5199" i="1"/>
  <c r="B5200" i="1"/>
  <c r="C5200" i="1"/>
  <c r="B5201" i="1"/>
  <c r="C5201" i="1"/>
  <c r="B5202" i="1"/>
  <c r="C5202" i="1"/>
  <c r="B5203" i="1"/>
  <c r="C5203" i="1"/>
  <c r="B5204" i="1"/>
  <c r="C5204" i="1"/>
  <c r="B5205" i="1"/>
  <c r="C5205" i="1"/>
  <c r="B5206" i="1"/>
  <c r="C5206" i="1"/>
  <c r="B5207" i="1"/>
  <c r="C5207" i="1"/>
  <c r="B5208" i="1"/>
  <c r="C5208" i="1"/>
  <c r="B5209" i="1"/>
  <c r="C5209" i="1"/>
  <c r="B5210" i="1"/>
  <c r="C5210" i="1"/>
  <c r="B5211" i="1"/>
  <c r="C5211" i="1"/>
  <c r="B5212" i="1"/>
  <c r="C5212" i="1"/>
  <c r="B5213" i="1"/>
  <c r="C5213" i="1"/>
  <c r="B5214" i="1"/>
  <c r="C5214" i="1"/>
  <c r="B5215" i="1"/>
  <c r="C5215" i="1"/>
  <c r="B5216" i="1"/>
  <c r="C5216" i="1"/>
  <c r="B5217" i="1"/>
  <c r="C5217" i="1"/>
  <c r="B5218" i="1"/>
  <c r="C5218" i="1"/>
  <c r="B5219" i="1"/>
  <c r="C5219" i="1"/>
  <c r="B5220" i="1"/>
  <c r="C5220" i="1"/>
  <c r="B5221" i="1"/>
  <c r="C5221" i="1"/>
  <c r="B5222" i="1"/>
  <c r="C5222" i="1"/>
  <c r="B5223" i="1"/>
  <c r="C5223" i="1"/>
  <c r="B5224" i="1"/>
  <c r="C5224" i="1"/>
  <c r="B5225" i="1"/>
  <c r="C5225" i="1"/>
  <c r="B5226" i="1"/>
  <c r="C5226" i="1"/>
  <c r="B5227" i="1"/>
  <c r="C5227" i="1"/>
  <c r="B5228" i="1"/>
  <c r="C5228" i="1"/>
  <c r="B5229" i="1"/>
  <c r="C5229" i="1"/>
  <c r="B5230" i="1"/>
  <c r="C5230" i="1"/>
  <c r="B5231" i="1"/>
  <c r="C5231" i="1"/>
  <c r="B5232" i="1"/>
  <c r="C5232" i="1"/>
  <c r="B5233" i="1"/>
  <c r="C5233" i="1"/>
  <c r="B5234" i="1"/>
  <c r="C5234" i="1"/>
  <c r="B5235" i="1"/>
  <c r="C5235" i="1"/>
  <c r="B5236" i="1"/>
  <c r="C5236" i="1"/>
  <c r="B5237" i="1"/>
  <c r="C5237" i="1"/>
  <c r="B5238" i="1"/>
  <c r="C5238" i="1"/>
  <c r="B5239" i="1"/>
  <c r="C5239" i="1"/>
  <c r="B5240" i="1"/>
  <c r="C5240" i="1"/>
  <c r="B5241" i="1"/>
  <c r="C5241" i="1"/>
  <c r="B5242" i="1"/>
  <c r="C5242" i="1"/>
  <c r="B5243" i="1"/>
  <c r="C5243" i="1"/>
  <c r="B5244" i="1"/>
  <c r="C5244" i="1"/>
  <c r="B5245" i="1"/>
  <c r="C5245" i="1"/>
  <c r="B5246" i="1"/>
  <c r="C5246" i="1"/>
  <c r="B5247" i="1"/>
  <c r="C5247" i="1"/>
  <c r="B5248" i="1"/>
  <c r="C5248" i="1"/>
  <c r="B5249" i="1"/>
  <c r="C5249" i="1"/>
  <c r="B5250" i="1"/>
  <c r="C5250" i="1"/>
  <c r="B5251" i="1"/>
  <c r="C5251" i="1"/>
  <c r="B5252" i="1"/>
  <c r="C5252" i="1"/>
  <c r="B5253" i="1"/>
  <c r="C5253" i="1"/>
  <c r="B5254" i="1"/>
  <c r="C5254" i="1"/>
  <c r="B5255" i="1"/>
  <c r="C5255" i="1"/>
  <c r="B5256" i="1"/>
  <c r="C5256" i="1"/>
  <c r="B5257" i="1"/>
  <c r="C5257" i="1"/>
  <c r="B5258" i="1"/>
  <c r="C5258" i="1"/>
  <c r="B5259" i="1"/>
  <c r="C5259" i="1"/>
  <c r="B5260" i="1"/>
  <c r="C5260" i="1"/>
  <c r="B5261" i="1"/>
  <c r="C5261" i="1"/>
  <c r="B5262" i="1"/>
  <c r="C5262" i="1"/>
  <c r="B5263" i="1"/>
  <c r="C5263" i="1"/>
  <c r="B5264" i="1"/>
  <c r="C5264" i="1"/>
  <c r="B5265" i="1"/>
  <c r="C5265" i="1"/>
  <c r="B5266" i="1"/>
  <c r="C5266" i="1"/>
  <c r="B5267" i="1"/>
  <c r="C5267" i="1"/>
  <c r="B5268" i="1"/>
  <c r="C5268" i="1"/>
  <c r="B5269" i="1"/>
  <c r="C5269" i="1"/>
  <c r="B5270" i="1"/>
  <c r="C5270" i="1"/>
  <c r="B5271" i="1"/>
  <c r="C5271" i="1"/>
  <c r="B5272" i="1"/>
  <c r="C5272" i="1"/>
  <c r="B5273" i="1"/>
  <c r="C5273" i="1"/>
  <c r="B5274" i="1"/>
  <c r="C5274" i="1"/>
  <c r="B5275" i="1"/>
  <c r="C5275" i="1"/>
  <c r="B5276" i="1"/>
  <c r="C5276" i="1"/>
  <c r="B5277" i="1"/>
  <c r="C5277" i="1"/>
  <c r="B5278" i="1"/>
  <c r="C5278" i="1"/>
  <c r="B5279" i="1"/>
  <c r="C5279" i="1"/>
  <c r="B5280" i="1"/>
  <c r="C5280" i="1"/>
  <c r="B5281" i="1"/>
  <c r="C5281" i="1"/>
  <c r="B5282" i="1"/>
  <c r="C5282" i="1"/>
  <c r="B5283" i="1"/>
  <c r="C5283" i="1"/>
  <c r="B5284" i="1"/>
  <c r="C5284" i="1"/>
  <c r="B5285" i="1"/>
  <c r="C5285" i="1"/>
  <c r="B5286" i="1"/>
  <c r="C5286" i="1"/>
  <c r="B5287" i="1"/>
  <c r="C5287" i="1"/>
  <c r="B5288" i="1"/>
  <c r="C5288" i="1"/>
  <c r="B5289" i="1"/>
  <c r="C5289" i="1"/>
  <c r="B5290" i="1"/>
  <c r="C5290" i="1"/>
  <c r="B5291" i="1"/>
  <c r="C5291" i="1"/>
  <c r="B5292" i="1"/>
  <c r="C5292" i="1"/>
  <c r="B5293" i="1"/>
  <c r="C5293" i="1"/>
  <c r="B5294" i="1"/>
  <c r="C5294" i="1"/>
  <c r="B5295" i="1"/>
  <c r="C5295" i="1"/>
  <c r="B5296" i="1"/>
  <c r="C5296" i="1"/>
  <c r="B5297" i="1"/>
  <c r="C5297" i="1"/>
  <c r="B5298" i="1"/>
  <c r="C5298" i="1"/>
  <c r="B5299" i="1"/>
  <c r="C5299" i="1"/>
  <c r="B5300" i="1"/>
  <c r="C5300" i="1"/>
  <c r="B5301" i="1"/>
  <c r="C5301" i="1"/>
  <c r="B5302" i="1"/>
  <c r="C5302" i="1"/>
  <c r="B5303" i="1"/>
  <c r="C5303" i="1"/>
  <c r="B5304" i="1"/>
  <c r="C5304" i="1"/>
  <c r="B5305" i="1"/>
  <c r="C5305" i="1"/>
  <c r="B5306" i="1"/>
  <c r="C5306" i="1"/>
  <c r="B5307" i="1"/>
  <c r="C5307" i="1"/>
  <c r="B5308" i="1"/>
  <c r="C5308" i="1"/>
  <c r="B5309" i="1"/>
  <c r="C5309" i="1"/>
  <c r="B5310" i="1"/>
  <c r="C5310" i="1"/>
  <c r="B5311" i="1"/>
  <c r="C5311" i="1"/>
  <c r="B5312" i="1"/>
  <c r="C5312" i="1"/>
  <c r="B5313" i="1"/>
  <c r="C5313" i="1"/>
  <c r="B5314" i="1"/>
  <c r="C5314" i="1"/>
  <c r="B5315" i="1"/>
  <c r="C5315" i="1"/>
  <c r="B5316" i="1"/>
  <c r="C5316" i="1"/>
  <c r="B5317" i="1"/>
  <c r="C5317" i="1"/>
  <c r="B5318" i="1"/>
  <c r="C5318" i="1"/>
  <c r="B5319" i="1"/>
  <c r="C5319" i="1"/>
  <c r="B5320" i="1"/>
  <c r="C5320" i="1"/>
  <c r="B5321" i="1"/>
  <c r="C5321" i="1"/>
  <c r="B5322" i="1"/>
  <c r="C5322" i="1"/>
  <c r="B5323" i="1"/>
  <c r="C5323" i="1"/>
  <c r="B5324" i="1"/>
  <c r="C5324" i="1"/>
  <c r="B5325" i="1"/>
  <c r="C5325" i="1"/>
  <c r="B5326" i="1"/>
  <c r="C5326" i="1"/>
  <c r="B5327" i="1"/>
  <c r="C5327" i="1"/>
  <c r="B5328" i="1"/>
  <c r="C5328" i="1"/>
  <c r="B5329" i="1"/>
  <c r="C5329" i="1"/>
  <c r="B5330" i="1"/>
  <c r="C5330" i="1"/>
  <c r="B5331" i="1"/>
  <c r="C5331" i="1"/>
  <c r="B5332" i="1"/>
  <c r="C5332" i="1"/>
  <c r="B5333" i="1"/>
  <c r="C5333" i="1"/>
  <c r="B5334" i="1"/>
  <c r="C5334" i="1"/>
  <c r="B5335" i="1"/>
  <c r="C5335" i="1"/>
  <c r="B5336" i="1"/>
  <c r="C5336" i="1"/>
  <c r="B5337" i="1"/>
  <c r="C5337" i="1"/>
  <c r="B5338" i="1"/>
  <c r="C5338" i="1"/>
  <c r="B5339" i="1"/>
  <c r="C5339" i="1"/>
  <c r="B5340" i="1"/>
  <c r="C5340" i="1"/>
  <c r="B5341" i="1"/>
  <c r="C5341" i="1"/>
  <c r="B5342" i="1"/>
  <c r="C5342" i="1"/>
  <c r="B5343" i="1"/>
  <c r="C5343" i="1"/>
  <c r="B5344" i="1"/>
  <c r="C5344" i="1"/>
  <c r="B5345" i="1"/>
  <c r="C5345" i="1"/>
  <c r="B5346" i="1"/>
  <c r="C5346" i="1"/>
  <c r="B5347" i="1"/>
  <c r="C5347" i="1"/>
  <c r="B5348" i="1"/>
  <c r="C5348" i="1"/>
  <c r="B5349" i="1"/>
  <c r="C5349" i="1"/>
  <c r="B5350" i="1"/>
  <c r="C5350" i="1"/>
  <c r="B5351" i="1"/>
  <c r="C5351" i="1"/>
  <c r="B5352" i="1"/>
  <c r="C5352" i="1"/>
  <c r="B5353" i="1"/>
  <c r="C5353" i="1"/>
  <c r="B5354" i="1"/>
  <c r="C5354" i="1"/>
  <c r="B5355" i="1"/>
  <c r="C5355" i="1"/>
  <c r="B5356" i="1"/>
  <c r="C5356" i="1"/>
  <c r="B5357" i="1"/>
  <c r="C5357" i="1"/>
  <c r="B5358" i="1"/>
  <c r="C5358" i="1"/>
  <c r="B5359" i="1"/>
  <c r="C5359" i="1"/>
  <c r="B5360" i="1"/>
  <c r="C5360" i="1"/>
  <c r="B5361" i="1"/>
  <c r="C5361" i="1"/>
  <c r="B5362" i="1"/>
  <c r="C5362" i="1"/>
  <c r="B5363" i="1"/>
  <c r="C5363" i="1"/>
  <c r="B5364" i="1"/>
  <c r="C5364" i="1"/>
  <c r="B5365" i="1"/>
  <c r="C5365" i="1"/>
  <c r="B5366" i="1"/>
  <c r="C5366" i="1"/>
  <c r="B5367" i="1"/>
  <c r="C5367" i="1"/>
  <c r="B5368" i="1"/>
  <c r="C5368" i="1"/>
  <c r="B5369" i="1"/>
  <c r="C5369" i="1"/>
  <c r="B5370" i="1"/>
  <c r="C5370" i="1"/>
  <c r="B5371" i="1"/>
  <c r="C5371" i="1"/>
  <c r="B5372" i="1"/>
  <c r="C5372" i="1"/>
  <c r="B5373" i="1"/>
  <c r="C5373" i="1"/>
  <c r="B5374" i="1"/>
  <c r="C5374" i="1"/>
  <c r="B5375" i="1"/>
  <c r="C5375" i="1"/>
  <c r="B5376" i="1"/>
  <c r="C5376" i="1"/>
  <c r="B5377" i="1"/>
  <c r="C5377" i="1"/>
  <c r="B5378" i="1"/>
  <c r="C5378" i="1"/>
  <c r="B5379" i="1"/>
  <c r="C5379" i="1"/>
  <c r="B5380" i="1"/>
  <c r="C5380" i="1"/>
  <c r="B5381" i="1"/>
  <c r="C5381" i="1"/>
  <c r="B5382" i="1"/>
  <c r="C5382" i="1"/>
  <c r="B5383" i="1"/>
  <c r="C5383" i="1"/>
  <c r="B5384" i="1"/>
  <c r="C5384" i="1"/>
  <c r="B5385" i="1"/>
  <c r="C5385" i="1"/>
  <c r="B5386" i="1"/>
  <c r="C5386" i="1"/>
  <c r="B5387" i="1"/>
  <c r="C5387" i="1"/>
  <c r="B5388" i="1"/>
  <c r="C5388" i="1"/>
  <c r="B5389" i="1"/>
  <c r="C5389" i="1"/>
  <c r="B5390" i="1"/>
  <c r="C5390" i="1"/>
  <c r="B5391" i="1"/>
  <c r="C5391" i="1"/>
  <c r="B5392" i="1"/>
  <c r="C5392" i="1"/>
  <c r="B5393" i="1"/>
  <c r="C5393" i="1"/>
  <c r="B5394" i="1"/>
  <c r="C5394" i="1"/>
  <c r="B5395" i="1"/>
  <c r="C5395" i="1"/>
  <c r="B5396" i="1"/>
  <c r="C5396" i="1"/>
  <c r="B5397" i="1"/>
  <c r="C5397" i="1"/>
  <c r="B5398" i="1"/>
  <c r="C5398" i="1"/>
  <c r="B5399" i="1"/>
  <c r="C5399" i="1"/>
  <c r="B5400" i="1"/>
  <c r="C5400" i="1"/>
  <c r="B5401" i="1"/>
  <c r="C5401" i="1"/>
  <c r="B5402" i="1"/>
  <c r="C5402" i="1"/>
  <c r="B5403" i="1"/>
  <c r="C5403" i="1"/>
  <c r="B5404" i="1"/>
  <c r="C5404" i="1"/>
  <c r="B5405" i="1"/>
  <c r="C5405" i="1"/>
  <c r="B5406" i="1"/>
  <c r="C5406" i="1"/>
  <c r="B5407" i="1"/>
  <c r="C5407" i="1"/>
  <c r="B5408" i="1"/>
  <c r="C5408" i="1"/>
  <c r="B5409" i="1"/>
  <c r="C5409" i="1"/>
  <c r="B5410" i="1"/>
  <c r="C5410" i="1"/>
  <c r="B5411" i="1"/>
  <c r="C5411" i="1"/>
  <c r="B5412" i="1"/>
  <c r="C5412" i="1"/>
  <c r="B5413" i="1"/>
  <c r="C5413" i="1"/>
  <c r="B5414" i="1"/>
  <c r="C5414" i="1"/>
  <c r="B5415" i="1"/>
  <c r="C5415" i="1"/>
  <c r="B5416" i="1"/>
  <c r="C5416" i="1"/>
  <c r="B5417" i="1"/>
  <c r="C5417" i="1"/>
  <c r="B5418" i="1"/>
  <c r="C5418" i="1"/>
  <c r="B5419" i="1"/>
  <c r="C5419" i="1"/>
  <c r="B5420" i="1"/>
  <c r="C5420" i="1"/>
  <c r="B5421" i="1"/>
  <c r="C5421" i="1"/>
  <c r="B5422" i="1"/>
  <c r="C5422" i="1"/>
  <c r="B5423" i="1"/>
  <c r="C5423" i="1"/>
  <c r="B5424" i="1"/>
  <c r="C5424" i="1"/>
  <c r="B5425" i="1"/>
  <c r="C5425" i="1"/>
  <c r="B5426" i="1"/>
  <c r="C5426" i="1"/>
  <c r="B5427" i="1"/>
  <c r="C5427" i="1"/>
  <c r="B5428" i="1"/>
  <c r="C5428" i="1"/>
  <c r="B5429" i="1"/>
  <c r="C5429" i="1"/>
  <c r="B5430" i="1"/>
  <c r="C5430" i="1"/>
  <c r="B5431" i="1"/>
  <c r="C5431" i="1"/>
  <c r="B5432" i="1"/>
  <c r="C5432" i="1"/>
  <c r="B5433" i="1"/>
  <c r="C5433" i="1"/>
  <c r="B5434" i="1"/>
  <c r="C5434" i="1"/>
  <c r="B5435" i="1"/>
  <c r="C5435" i="1"/>
  <c r="B5436" i="1"/>
  <c r="C5436" i="1"/>
  <c r="B5437" i="1"/>
  <c r="C5437" i="1"/>
  <c r="B5438" i="1"/>
  <c r="C5438" i="1"/>
  <c r="B5439" i="1"/>
  <c r="C5439" i="1"/>
  <c r="B5440" i="1"/>
  <c r="C5440" i="1"/>
  <c r="B5441" i="1"/>
  <c r="C5441" i="1"/>
  <c r="B5442" i="1"/>
  <c r="C5442" i="1"/>
  <c r="B5443" i="1"/>
  <c r="C5443" i="1"/>
  <c r="B5444" i="1"/>
  <c r="C5444" i="1"/>
  <c r="B5445" i="1"/>
  <c r="C5445" i="1"/>
  <c r="B5446" i="1"/>
  <c r="C5446" i="1"/>
  <c r="B5447" i="1"/>
  <c r="C5447" i="1"/>
  <c r="B5448" i="1"/>
  <c r="C5448" i="1"/>
  <c r="B5449" i="1"/>
  <c r="C5449" i="1"/>
  <c r="B5450" i="1"/>
  <c r="C5450" i="1"/>
  <c r="B5451" i="1"/>
  <c r="C5451" i="1"/>
  <c r="B5452" i="1"/>
  <c r="C5452" i="1"/>
  <c r="B5453" i="1"/>
  <c r="C5453" i="1"/>
  <c r="B5454" i="1"/>
  <c r="C5454" i="1"/>
  <c r="B5455" i="1"/>
  <c r="C5455" i="1"/>
  <c r="B5456" i="1"/>
  <c r="C5456" i="1"/>
  <c r="B5457" i="1"/>
  <c r="C5457" i="1"/>
  <c r="B5458" i="1"/>
  <c r="C5458" i="1"/>
  <c r="B5459" i="1"/>
  <c r="C5459" i="1"/>
  <c r="B5460" i="1"/>
  <c r="C5460" i="1"/>
  <c r="B5461" i="1"/>
  <c r="C5461" i="1"/>
  <c r="B5462" i="1"/>
  <c r="C5462" i="1"/>
  <c r="B5463" i="1"/>
  <c r="C5463" i="1"/>
  <c r="B5464" i="1"/>
  <c r="C5464" i="1"/>
  <c r="B5465" i="1"/>
  <c r="C5465" i="1"/>
  <c r="B5466" i="1"/>
  <c r="C5466" i="1"/>
  <c r="B5467" i="1"/>
  <c r="C5467" i="1"/>
  <c r="B5468" i="1"/>
  <c r="C5468" i="1"/>
  <c r="B5469" i="1"/>
  <c r="C5469" i="1"/>
  <c r="B5470" i="1"/>
  <c r="C5470" i="1"/>
  <c r="B5471" i="1"/>
  <c r="C5471" i="1"/>
  <c r="B5472" i="1"/>
  <c r="C5472" i="1"/>
  <c r="B5473" i="1"/>
  <c r="C5473" i="1"/>
  <c r="B5474" i="1"/>
  <c r="C5474" i="1"/>
  <c r="B5475" i="1"/>
  <c r="C5475" i="1"/>
  <c r="B5476" i="1"/>
  <c r="C5476" i="1"/>
  <c r="B5477" i="1"/>
  <c r="C5477" i="1"/>
  <c r="B5478" i="1"/>
  <c r="C5478" i="1"/>
  <c r="B5479" i="1"/>
  <c r="C5479" i="1"/>
  <c r="B5480" i="1"/>
  <c r="C5480" i="1"/>
  <c r="B5481" i="1"/>
  <c r="C5481" i="1"/>
  <c r="B5482" i="1"/>
  <c r="C5482" i="1"/>
  <c r="B5483" i="1"/>
  <c r="C5483" i="1"/>
  <c r="B5484" i="1"/>
  <c r="C5484" i="1"/>
  <c r="B5485" i="1"/>
  <c r="C5485" i="1"/>
  <c r="B5486" i="1"/>
  <c r="C5486" i="1"/>
  <c r="B5487" i="1"/>
  <c r="C5487" i="1"/>
  <c r="B5488" i="1"/>
  <c r="C5488" i="1"/>
  <c r="B5489" i="1"/>
  <c r="C5489" i="1"/>
  <c r="B5490" i="1"/>
  <c r="C5490" i="1"/>
  <c r="B5491" i="1"/>
  <c r="C5491" i="1"/>
  <c r="B5492" i="1"/>
  <c r="C5492" i="1"/>
  <c r="B5493" i="1"/>
  <c r="C5493" i="1"/>
  <c r="B5494" i="1"/>
  <c r="C5494" i="1"/>
  <c r="B5495" i="1"/>
  <c r="C5495" i="1"/>
  <c r="B5496" i="1"/>
  <c r="C5496" i="1"/>
  <c r="B5497" i="1"/>
  <c r="C5497" i="1"/>
  <c r="B5498" i="1"/>
  <c r="C5498" i="1"/>
  <c r="B5499" i="1"/>
  <c r="C5499" i="1"/>
  <c r="B5500" i="1"/>
  <c r="C5500" i="1"/>
  <c r="B5501" i="1"/>
  <c r="C5501" i="1"/>
  <c r="B5502" i="1"/>
  <c r="C5502" i="1"/>
  <c r="B5503" i="1"/>
  <c r="C5503" i="1"/>
  <c r="B5504" i="1"/>
  <c r="C5504" i="1"/>
  <c r="B5505" i="1"/>
  <c r="C5505" i="1"/>
  <c r="B5506" i="1"/>
  <c r="C5506" i="1"/>
  <c r="B5507" i="1"/>
  <c r="C5507" i="1"/>
  <c r="B5508" i="1"/>
  <c r="C5508" i="1"/>
  <c r="B5509" i="1"/>
  <c r="C5509" i="1"/>
  <c r="B5510" i="1"/>
  <c r="C5510" i="1"/>
  <c r="B5511" i="1"/>
  <c r="C5511" i="1"/>
  <c r="B5512" i="1"/>
  <c r="C5512" i="1"/>
  <c r="B5513" i="1"/>
  <c r="C5513" i="1"/>
  <c r="B5514" i="1"/>
  <c r="C5514" i="1"/>
  <c r="B5515" i="1"/>
  <c r="C5515" i="1"/>
  <c r="B5516" i="1"/>
  <c r="C5516" i="1"/>
  <c r="B5517" i="1"/>
  <c r="C5517" i="1"/>
  <c r="B5518" i="1"/>
  <c r="C5518" i="1"/>
  <c r="B5519" i="1"/>
  <c r="C5519" i="1"/>
  <c r="B5520" i="1"/>
  <c r="C5520" i="1"/>
  <c r="B5521" i="1"/>
  <c r="C5521" i="1"/>
  <c r="B5522" i="1"/>
  <c r="C5522" i="1"/>
  <c r="B5523" i="1"/>
  <c r="C5523" i="1"/>
  <c r="B5524" i="1"/>
  <c r="C5524" i="1"/>
  <c r="B5525" i="1"/>
  <c r="C5525" i="1"/>
  <c r="B5526" i="1"/>
  <c r="C5526" i="1"/>
  <c r="B5527" i="1"/>
  <c r="C5527" i="1"/>
  <c r="B5528" i="1"/>
  <c r="C5528" i="1"/>
  <c r="B5529" i="1"/>
  <c r="C5529" i="1"/>
  <c r="B5530" i="1"/>
  <c r="C5530" i="1"/>
  <c r="B5531" i="1"/>
  <c r="C5531" i="1"/>
  <c r="B5532" i="1"/>
  <c r="C5532" i="1"/>
  <c r="B5533" i="1"/>
  <c r="C5533" i="1"/>
  <c r="B5534" i="1"/>
  <c r="C5534" i="1"/>
  <c r="B5535" i="1"/>
  <c r="C5535" i="1"/>
  <c r="B5536" i="1"/>
  <c r="C5536" i="1"/>
  <c r="B5537" i="1"/>
  <c r="C5537" i="1"/>
  <c r="B5538" i="1"/>
  <c r="C5538" i="1"/>
  <c r="B5539" i="1"/>
  <c r="C5539" i="1"/>
  <c r="B5540" i="1"/>
  <c r="C5540" i="1"/>
  <c r="B5541" i="1"/>
  <c r="C5541" i="1"/>
  <c r="B5542" i="1"/>
  <c r="C5542" i="1"/>
  <c r="B5543" i="1"/>
  <c r="C5543" i="1"/>
  <c r="B5544" i="1"/>
  <c r="C5544" i="1"/>
  <c r="B5545" i="1"/>
  <c r="C5545" i="1"/>
  <c r="B5546" i="1"/>
  <c r="C5546" i="1"/>
  <c r="B5547" i="1"/>
  <c r="C5547" i="1"/>
  <c r="B5548" i="1"/>
  <c r="C5548" i="1"/>
  <c r="B5549" i="1"/>
  <c r="C5549" i="1"/>
  <c r="B5550" i="1"/>
  <c r="C5550" i="1"/>
  <c r="B5551" i="1"/>
  <c r="C5551" i="1"/>
  <c r="B5552" i="1"/>
  <c r="C5552" i="1"/>
  <c r="B5553" i="1"/>
  <c r="C5553" i="1"/>
  <c r="B5554" i="1"/>
  <c r="C5554" i="1"/>
  <c r="B5555" i="1"/>
  <c r="C5555" i="1"/>
  <c r="B5556" i="1"/>
  <c r="C5556" i="1"/>
  <c r="B5557" i="1"/>
  <c r="C5557" i="1"/>
  <c r="B5558" i="1"/>
  <c r="C5558" i="1"/>
  <c r="B5559" i="1"/>
  <c r="C5559" i="1"/>
  <c r="B5560" i="1"/>
  <c r="C5560" i="1"/>
  <c r="B5561" i="1"/>
  <c r="C5561" i="1"/>
  <c r="B5562" i="1"/>
  <c r="C5562" i="1"/>
  <c r="B5563" i="1"/>
  <c r="C5563" i="1"/>
  <c r="B5564" i="1"/>
  <c r="C5564" i="1"/>
  <c r="B5565" i="1"/>
  <c r="C5565" i="1"/>
  <c r="B5566" i="1"/>
  <c r="C5566" i="1"/>
  <c r="B5567" i="1"/>
  <c r="C5567" i="1"/>
  <c r="B5568" i="1"/>
  <c r="C5568" i="1"/>
  <c r="B5569" i="1"/>
  <c r="C5569" i="1"/>
  <c r="B5570" i="1"/>
  <c r="C5570" i="1"/>
  <c r="B5571" i="1"/>
  <c r="C5571" i="1"/>
  <c r="B5572" i="1"/>
  <c r="C5572" i="1"/>
  <c r="B5573" i="1"/>
  <c r="C5573" i="1"/>
  <c r="B5574" i="1"/>
  <c r="C5574" i="1"/>
  <c r="B5575" i="1"/>
  <c r="C5575" i="1"/>
  <c r="B5576" i="1"/>
  <c r="C5576" i="1"/>
  <c r="B5577" i="1"/>
  <c r="C5577" i="1"/>
  <c r="B5578" i="1"/>
  <c r="C5578" i="1"/>
  <c r="B5579" i="1"/>
  <c r="C5579" i="1"/>
  <c r="B5580" i="1"/>
  <c r="C5580" i="1"/>
  <c r="B5581" i="1"/>
  <c r="C5581" i="1"/>
  <c r="B5582" i="1"/>
  <c r="C5582" i="1"/>
  <c r="B5583" i="1"/>
  <c r="C5583" i="1"/>
  <c r="B5584" i="1"/>
  <c r="C5584" i="1"/>
  <c r="B5585" i="1"/>
  <c r="C5585" i="1"/>
  <c r="B5586" i="1"/>
  <c r="C5586" i="1"/>
  <c r="B5587" i="1"/>
  <c r="C5587" i="1"/>
  <c r="B5588" i="1"/>
  <c r="C5588" i="1"/>
  <c r="B5589" i="1"/>
  <c r="C5589" i="1"/>
  <c r="B5590" i="1"/>
  <c r="C5590" i="1"/>
  <c r="B5591" i="1"/>
  <c r="C5591" i="1"/>
  <c r="B5592" i="1"/>
  <c r="C5592" i="1"/>
  <c r="B5593" i="1"/>
  <c r="C5593" i="1"/>
  <c r="B5594" i="1"/>
  <c r="C5594" i="1"/>
  <c r="B5595" i="1"/>
  <c r="C5595" i="1"/>
  <c r="B5596" i="1"/>
  <c r="C5596" i="1"/>
  <c r="B5597" i="1"/>
  <c r="C5597" i="1"/>
  <c r="B5598" i="1"/>
  <c r="C5598" i="1"/>
  <c r="B5599" i="1"/>
  <c r="C5599" i="1"/>
  <c r="B5600" i="1"/>
  <c r="C5600" i="1"/>
  <c r="B5601" i="1"/>
  <c r="C5601" i="1"/>
  <c r="B5602" i="1"/>
  <c r="C5602" i="1"/>
  <c r="B5603" i="1"/>
  <c r="C5603" i="1"/>
  <c r="B5604" i="1"/>
  <c r="C5604" i="1"/>
  <c r="B5605" i="1"/>
  <c r="C5605" i="1"/>
  <c r="B5606" i="1"/>
  <c r="C5606" i="1"/>
  <c r="B5607" i="1"/>
  <c r="C5607" i="1"/>
  <c r="B5608" i="1"/>
  <c r="C5608" i="1"/>
  <c r="B5609" i="1"/>
  <c r="C5609" i="1"/>
  <c r="B5610" i="1"/>
  <c r="C5610" i="1"/>
  <c r="B5611" i="1"/>
  <c r="C5611" i="1"/>
  <c r="B5612" i="1"/>
  <c r="C5612" i="1"/>
  <c r="B5613" i="1"/>
  <c r="C5613" i="1"/>
  <c r="B5614" i="1"/>
  <c r="C5614" i="1"/>
  <c r="B5615" i="1"/>
  <c r="C5615" i="1"/>
  <c r="B5616" i="1"/>
  <c r="C5616" i="1"/>
  <c r="B5617" i="1"/>
  <c r="C5617" i="1"/>
  <c r="B5618" i="1"/>
  <c r="C5618" i="1"/>
  <c r="B5619" i="1"/>
  <c r="C5619" i="1"/>
  <c r="B5620" i="1"/>
  <c r="C5620" i="1"/>
  <c r="B5621" i="1"/>
  <c r="C5621" i="1"/>
  <c r="B5622" i="1"/>
  <c r="C5622" i="1"/>
  <c r="B5623" i="1"/>
  <c r="C5623" i="1"/>
  <c r="B5624" i="1"/>
  <c r="C5624" i="1"/>
  <c r="B5625" i="1"/>
  <c r="C5625" i="1"/>
  <c r="B5626" i="1"/>
  <c r="C5626" i="1"/>
  <c r="B5627" i="1"/>
  <c r="C5627" i="1"/>
  <c r="B5628" i="1"/>
  <c r="C5628" i="1"/>
  <c r="B5629" i="1"/>
  <c r="C5629" i="1"/>
  <c r="B5630" i="1"/>
  <c r="C5630" i="1"/>
  <c r="B5631" i="1"/>
  <c r="C5631" i="1"/>
  <c r="B5632" i="1"/>
  <c r="C5632" i="1"/>
  <c r="B5633" i="1"/>
  <c r="C5633" i="1"/>
  <c r="B5634" i="1"/>
  <c r="C5634" i="1"/>
  <c r="B5635" i="1"/>
  <c r="C5635" i="1"/>
  <c r="B5636" i="1"/>
  <c r="C5636" i="1"/>
  <c r="B5637" i="1"/>
  <c r="C5637" i="1"/>
  <c r="B5638" i="1"/>
  <c r="C5638" i="1"/>
  <c r="B5639" i="1"/>
  <c r="C5639" i="1"/>
  <c r="B5640" i="1"/>
  <c r="C5640" i="1"/>
  <c r="B5641" i="1"/>
  <c r="C5641" i="1"/>
  <c r="B5642" i="1"/>
  <c r="C5642" i="1"/>
  <c r="B5643" i="1"/>
  <c r="C5643" i="1"/>
  <c r="B5644" i="1"/>
  <c r="C5644" i="1"/>
  <c r="B5645" i="1"/>
  <c r="C5645" i="1"/>
  <c r="B5646" i="1"/>
  <c r="C5646" i="1"/>
  <c r="B5647" i="1"/>
  <c r="C5647" i="1"/>
  <c r="B5648" i="1"/>
  <c r="C5648" i="1"/>
  <c r="B5649" i="1"/>
  <c r="C5649" i="1"/>
  <c r="B5650" i="1"/>
  <c r="C5650" i="1"/>
  <c r="B5651" i="1"/>
  <c r="C5651" i="1"/>
  <c r="B5652" i="1"/>
  <c r="C5652" i="1"/>
  <c r="B5653" i="1"/>
  <c r="C5653" i="1"/>
  <c r="B5654" i="1"/>
  <c r="C5654" i="1"/>
  <c r="B5655" i="1"/>
  <c r="C5655" i="1"/>
  <c r="B5656" i="1"/>
  <c r="C5656" i="1"/>
  <c r="B5657" i="1"/>
  <c r="C5657" i="1"/>
  <c r="B5658" i="1"/>
  <c r="C5658" i="1"/>
  <c r="B5659" i="1"/>
  <c r="C5659" i="1"/>
  <c r="B5660" i="1"/>
  <c r="C5660" i="1"/>
  <c r="B5661" i="1"/>
  <c r="C5661" i="1"/>
  <c r="B5662" i="1"/>
  <c r="C5662" i="1"/>
  <c r="B5663" i="1"/>
  <c r="C5663" i="1"/>
  <c r="B5664" i="1"/>
  <c r="C5664" i="1"/>
  <c r="B5665" i="1"/>
  <c r="C5665" i="1"/>
  <c r="B5666" i="1"/>
  <c r="C5666" i="1"/>
  <c r="B5667" i="1"/>
  <c r="C5667" i="1"/>
  <c r="B5668" i="1"/>
  <c r="C5668" i="1"/>
  <c r="B5669" i="1"/>
  <c r="C5669" i="1"/>
  <c r="B5670" i="1"/>
  <c r="C5670" i="1"/>
  <c r="B5671" i="1"/>
  <c r="C5671" i="1"/>
  <c r="B5672" i="1"/>
  <c r="C5672" i="1"/>
  <c r="B5673" i="1"/>
  <c r="C5673" i="1"/>
  <c r="B5674" i="1"/>
  <c r="C5674" i="1"/>
  <c r="B5675" i="1"/>
  <c r="C5675" i="1"/>
  <c r="B5676" i="1"/>
  <c r="C5676" i="1"/>
  <c r="B5677" i="1"/>
  <c r="C5677" i="1"/>
  <c r="B5678" i="1"/>
  <c r="C5678" i="1"/>
  <c r="B5679" i="1"/>
  <c r="C5679" i="1"/>
  <c r="B5680" i="1"/>
  <c r="C5680" i="1"/>
  <c r="B5681" i="1"/>
  <c r="C5681" i="1"/>
  <c r="B5682" i="1"/>
  <c r="C5682" i="1"/>
  <c r="B5683" i="1"/>
  <c r="C5683" i="1"/>
  <c r="B5684" i="1"/>
  <c r="C5684" i="1"/>
  <c r="B5685" i="1"/>
  <c r="C5685" i="1"/>
  <c r="B5686" i="1"/>
  <c r="C5686" i="1"/>
  <c r="B5687" i="1"/>
  <c r="C5687" i="1"/>
  <c r="B5688" i="1"/>
  <c r="C5688" i="1"/>
  <c r="B5689" i="1"/>
  <c r="C5689" i="1"/>
  <c r="B5690" i="1"/>
  <c r="C5690" i="1"/>
  <c r="B5691" i="1"/>
  <c r="C5691" i="1"/>
  <c r="B5692" i="1"/>
  <c r="C5692" i="1"/>
  <c r="B5693" i="1"/>
  <c r="C5693" i="1"/>
  <c r="B5694" i="1"/>
  <c r="C5694" i="1"/>
  <c r="B5695" i="1"/>
  <c r="C5695" i="1"/>
  <c r="B5696" i="1"/>
  <c r="C5696" i="1"/>
  <c r="B5697" i="1"/>
  <c r="C5697" i="1"/>
  <c r="B5698" i="1"/>
  <c r="C5698" i="1"/>
  <c r="B5699" i="1"/>
  <c r="C5699" i="1"/>
  <c r="B5700" i="1"/>
  <c r="C5700" i="1"/>
  <c r="B5701" i="1"/>
  <c r="C5701" i="1"/>
  <c r="B5702" i="1"/>
  <c r="C5702" i="1"/>
  <c r="B5703" i="1"/>
  <c r="C5703" i="1"/>
  <c r="B5704" i="1"/>
  <c r="C5704" i="1"/>
  <c r="B5705" i="1"/>
  <c r="C5705" i="1"/>
  <c r="B5706" i="1"/>
  <c r="C5706" i="1"/>
  <c r="B5707" i="1"/>
  <c r="C5707" i="1"/>
  <c r="B5708" i="1"/>
  <c r="C5708" i="1"/>
  <c r="B5709" i="1"/>
  <c r="C5709" i="1"/>
  <c r="B5710" i="1"/>
  <c r="C5710" i="1"/>
  <c r="B5711" i="1"/>
  <c r="C5711" i="1"/>
  <c r="B5712" i="1"/>
  <c r="C5712" i="1"/>
  <c r="B5713" i="1"/>
  <c r="C5713" i="1"/>
  <c r="B5714" i="1"/>
  <c r="C5714" i="1"/>
  <c r="B5715" i="1"/>
  <c r="C5715" i="1"/>
  <c r="B5716" i="1"/>
  <c r="C5716" i="1"/>
  <c r="B5717" i="1"/>
  <c r="C5717" i="1"/>
  <c r="B5718" i="1"/>
  <c r="C5718" i="1"/>
  <c r="B5719" i="1"/>
  <c r="C5719" i="1"/>
  <c r="B5720" i="1"/>
  <c r="C5720" i="1"/>
  <c r="B5721" i="1"/>
  <c r="C5721" i="1"/>
  <c r="B5722" i="1"/>
  <c r="C5722" i="1"/>
  <c r="B5723" i="1"/>
  <c r="C5723" i="1"/>
  <c r="B5724" i="1"/>
  <c r="C5724" i="1"/>
  <c r="B5725" i="1"/>
  <c r="C5725" i="1"/>
  <c r="B5726" i="1"/>
  <c r="C5726" i="1"/>
  <c r="B5727" i="1"/>
  <c r="C5727" i="1"/>
  <c r="B5728" i="1"/>
  <c r="C5728" i="1"/>
  <c r="B5729" i="1"/>
  <c r="C5729" i="1"/>
  <c r="B5730" i="1"/>
  <c r="C5730" i="1"/>
  <c r="B5731" i="1"/>
  <c r="C5731" i="1"/>
  <c r="B5732" i="1"/>
  <c r="C5732" i="1"/>
  <c r="B5733" i="1"/>
  <c r="C5733" i="1"/>
  <c r="B5734" i="1"/>
  <c r="C5734" i="1"/>
  <c r="B5735" i="1"/>
  <c r="C5735" i="1"/>
  <c r="B5736" i="1"/>
  <c r="C5736" i="1"/>
  <c r="B5737" i="1"/>
  <c r="C5737" i="1"/>
  <c r="B5738" i="1"/>
  <c r="C5738" i="1"/>
  <c r="B5739" i="1"/>
  <c r="C5739" i="1"/>
  <c r="B5740" i="1"/>
  <c r="C5740" i="1"/>
  <c r="B5741" i="1"/>
  <c r="C5741" i="1"/>
  <c r="B5742" i="1"/>
  <c r="C5742" i="1"/>
  <c r="B5743" i="1"/>
  <c r="C5743" i="1"/>
  <c r="B5744" i="1"/>
  <c r="C5744" i="1"/>
  <c r="B5745" i="1"/>
  <c r="C5745" i="1"/>
  <c r="B5746" i="1"/>
  <c r="C5746" i="1"/>
  <c r="B5747" i="1"/>
  <c r="C5747" i="1"/>
  <c r="B5748" i="1"/>
  <c r="C5748" i="1"/>
  <c r="B5749" i="1"/>
  <c r="C5749" i="1"/>
  <c r="B5750" i="1"/>
  <c r="C5750" i="1"/>
  <c r="B5751" i="1"/>
  <c r="C5751" i="1"/>
  <c r="B5752" i="1"/>
  <c r="C5752" i="1"/>
  <c r="B5753" i="1"/>
  <c r="C5753" i="1"/>
  <c r="B5754" i="1"/>
  <c r="C5754" i="1"/>
  <c r="B5755" i="1"/>
  <c r="C5755" i="1"/>
  <c r="B5756" i="1"/>
  <c r="C5756" i="1"/>
  <c r="B5757" i="1"/>
  <c r="C5757" i="1"/>
  <c r="B5758" i="1"/>
  <c r="C5758" i="1"/>
  <c r="B5759" i="1"/>
  <c r="C5759" i="1"/>
  <c r="B5760" i="1"/>
  <c r="C5760" i="1"/>
  <c r="B5761" i="1"/>
  <c r="C5761" i="1"/>
  <c r="B5762" i="1"/>
  <c r="C5762" i="1"/>
  <c r="B5763" i="1"/>
  <c r="C5763" i="1"/>
  <c r="B5764" i="1"/>
  <c r="C5764" i="1"/>
  <c r="B5765" i="1"/>
  <c r="C5765" i="1"/>
  <c r="B5766" i="1"/>
  <c r="C5766" i="1"/>
  <c r="B5767" i="1"/>
  <c r="C5767" i="1"/>
  <c r="B5768" i="1"/>
  <c r="C5768" i="1"/>
  <c r="B5769" i="1"/>
  <c r="C5769" i="1"/>
  <c r="B5770" i="1"/>
  <c r="C5770" i="1"/>
  <c r="B5771" i="1"/>
  <c r="C5771" i="1"/>
  <c r="B5772" i="1"/>
  <c r="C5772" i="1"/>
  <c r="B5773" i="1"/>
  <c r="C5773" i="1"/>
  <c r="B5774" i="1"/>
  <c r="C5774" i="1"/>
  <c r="B5775" i="1"/>
  <c r="C5775" i="1"/>
  <c r="B5776" i="1"/>
  <c r="C5776" i="1"/>
  <c r="B5777" i="1"/>
  <c r="C5777" i="1"/>
  <c r="B5778" i="1"/>
  <c r="C5778" i="1"/>
  <c r="B5779" i="1"/>
  <c r="C5779" i="1"/>
  <c r="B5780" i="1"/>
  <c r="C5780" i="1"/>
  <c r="B5781" i="1"/>
  <c r="C5781" i="1"/>
  <c r="B5782" i="1"/>
  <c r="C5782" i="1"/>
  <c r="B5783" i="1"/>
  <c r="C5783" i="1"/>
  <c r="B5784" i="1"/>
  <c r="C5784" i="1"/>
  <c r="B5785" i="1"/>
  <c r="C5785" i="1"/>
  <c r="B5786" i="1"/>
  <c r="C5786" i="1"/>
  <c r="B5787" i="1"/>
  <c r="C5787" i="1"/>
  <c r="B5788" i="1"/>
  <c r="C5788" i="1"/>
  <c r="B5789" i="1"/>
  <c r="C5789" i="1"/>
  <c r="B5790" i="1"/>
  <c r="C5790" i="1"/>
  <c r="B5791" i="1"/>
  <c r="C5791" i="1"/>
  <c r="B5792" i="1"/>
  <c r="C5792" i="1"/>
  <c r="B5793" i="1"/>
  <c r="C5793" i="1"/>
  <c r="B5794" i="1"/>
  <c r="C5794" i="1"/>
  <c r="B5795" i="1"/>
  <c r="C5795" i="1"/>
  <c r="B5796" i="1"/>
  <c r="C5796" i="1"/>
  <c r="B5797" i="1"/>
  <c r="C5797" i="1"/>
  <c r="B5798" i="1"/>
  <c r="C5798" i="1"/>
  <c r="B5799" i="1"/>
  <c r="C5799" i="1"/>
  <c r="B5800" i="1"/>
  <c r="C5800" i="1"/>
  <c r="B5801" i="1"/>
  <c r="C5801" i="1"/>
  <c r="B5802" i="1"/>
  <c r="C5802" i="1"/>
  <c r="B5803" i="1"/>
  <c r="C5803" i="1"/>
  <c r="B5804" i="1"/>
  <c r="C5804" i="1"/>
  <c r="B5805" i="1"/>
  <c r="C5805" i="1"/>
  <c r="B5806" i="1"/>
  <c r="C5806" i="1"/>
  <c r="B5807" i="1"/>
  <c r="C5807" i="1"/>
  <c r="B5808" i="1"/>
  <c r="C5808" i="1"/>
  <c r="B5809" i="1"/>
  <c r="C5809" i="1"/>
  <c r="B5810" i="1"/>
  <c r="C5810" i="1"/>
  <c r="B5811" i="1"/>
  <c r="C5811" i="1"/>
  <c r="B5812" i="1"/>
  <c r="C5812" i="1"/>
  <c r="B5813" i="1"/>
  <c r="C5813" i="1"/>
  <c r="B5814" i="1"/>
  <c r="C5814" i="1"/>
  <c r="B5815" i="1"/>
  <c r="C5815" i="1"/>
  <c r="B5816" i="1"/>
  <c r="C5816" i="1"/>
  <c r="B5817" i="1"/>
  <c r="C5817" i="1"/>
  <c r="B5818" i="1"/>
  <c r="C5818" i="1"/>
  <c r="B5819" i="1"/>
  <c r="C5819" i="1"/>
  <c r="B5820" i="1"/>
  <c r="C5820" i="1"/>
  <c r="B5821" i="1"/>
  <c r="C5821" i="1"/>
  <c r="B5822" i="1"/>
  <c r="C5822" i="1"/>
  <c r="B5823" i="1"/>
  <c r="C5823" i="1"/>
  <c r="B5824" i="1"/>
  <c r="C5824" i="1"/>
  <c r="B5825" i="1"/>
  <c r="C5825" i="1"/>
  <c r="B5826" i="1"/>
  <c r="C5826" i="1"/>
  <c r="B5827" i="1"/>
  <c r="C5827" i="1"/>
  <c r="B5828" i="1"/>
  <c r="C5828" i="1"/>
  <c r="B5829" i="1"/>
  <c r="C5829" i="1"/>
  <c r="B5830" i="1"/>
  <c r="C5830" i="1"/>
  <c r="B5831" i="1"/>
  <c r="C5831" i="1"/>
  <c r="B5832" i="1"/>
  <c r="C5832" i="1"/>
  <c r="B5833" i="1"/>
  <c r="C5833" i="1"/>
  <c r="B5834" i="1"/>
  <c r="C5834" i="1"/>
  <c r="B5835" i="1"/>
  <c r="C5835" i="1"/>
  <c r="B5836" i="1"/>
  <c r="C5836" i="1"/>
  <c r="B5837" i="1"/>
  <c r="C5837" i="1"/>
  <c r="B5838" i="1"/>
  <c r="C5838" i="1"/>
  <c r="B5839" i="1"/>
  <c r="C5839" i="1"/>
  <c r="B5840" i="1"/>
  <c r="C5840" i="1"/>
  <c r="B5841" i="1"/>
  <c r="C5841" i="1"/>
  <c r="B5842" i="1"/>
  <c r="C5842" i="1"/>
  <c r="B5843" i="1"/>
  <c r="C5843" i="1"/>
  <c r="B5844" i="1"/>
  <c r="C5844" i="1"/>
  <c r="B5845" i="1"/>
  <c r="C5845" i="1"/>
  <c r="B5846" i="1"/>
  <c r="C5846" i="1"/>
  <c r="B5847" i="1"/>
  <c r="C5847" i="1"/>
  <c r="B5848" i="1"/>
  <c r="C5848" i="1"/>
  <c r="B5849" i="1"/>
  <c r="C5849" i="1"/>
  <c r="B5850" i="1"/>
  <c r="C5850" i="1"/>
  <c r="B5851" i="1"/>
  <c r="C5851" i="1"/>
  <c r="B5852" i="1"/>
  <c r="C5852" i="1"/>
  <c r="B5853" i="1"/>
  <c r="C5853" i="1"/>
  <c r="B5854" i="1"/>
  <c r="C5854" i="1"/>
  <c r="B5855" i="1"/>
  <c r="C5855" i="1"/>
  <c r="B5856" i="1"/>
  <c r="C5856" i="1"/>
  <c r="B5857" i="1"/>
  <c r="C5857" i="1"/>
  <c r="B5858" i="1"/>
  <c r="C5858" i="1"/>
  <c r="B5859" i="1"/>
  <c r="C5859" i="1"/>
  <c r="B5860" i="1"/>
  <c r="C5860" i="1"/>
  <c r="B5861" i="1"/>
  <c r="C5861" i="1"/>
  <c r="B5862" i="1"/>
  <c r="C5862" i="1"/>
  <c r="B5863" i="1"/>
  <c r="C5863" i="1"/>
  <c r="B5864" i="1"/>
  <c r="C5864" i="1"/>
  <c r="B5865" i="1"/>
  <c r="C5865" i="1"/>
  <c r="B5866" i="1"/>
  <c r="C5866" i="1"/>
  <c r="B5867" i="1"/>
  <c r="C5867" i="1"/>
  <c r="B5868" i="1"/>
  <c r="C5868" i="1"/>
  <c r="B5869" i="1"/>
  <c r="C5869" i="1"/>
  <c r="B5870" i="1"/>
  <c r="C5870" i="1"/>
  <c r="B5871" i="1"/>
  <c r="C5871" i="1"/>
  <c r="B5872" i="1"/>
  <c r="C5872" i="1"/>
  <c r="B5873" i="1"/>
  <c r="C5873" i="1"/>
  <c r="B5874" i="1"/>
  <c r="C5874" i="1"/>
  <c r="B5875" i="1"/>
  <c r="C5875" i="1"/>
  <c r="B5876" i="1"/>
  <c r="C5876" i="1"/>
  <c r="B5877" i="1"/>
  <c r="C5877" i="1"/>
  <c r="B5878" i="1"/>
  <c r="C5878" i="1"/>
  <c r="B5879" i="1"/>
  <c r="C5879" i="1"/>
  <c r="B5880" i="1"/>
  <c r="C5880" i="1"/>
  <c r="B5881" i="1"/>
  <c r="C5881" i="1"/>
  <c r="B5882" i="1"/>
  <c r="C5882" i="1"/>
  <c r="B5883" i="1"/>
  <c r="C5883" i="1"/>
  <c r="B5884" i="1"/>
  <c r="C5884" i="1"/>
  <c r="B5885" i="1"/>
  <c r="C5885" i="1"/>
  <c r="B5886" i="1"/>
  <c r="C5886" i="1"/>
  <c r="B5887" i="1"/>
  <c r="C5887" i="1"/>
  <c r="B5888" i="1"/>
  <c r="C5888" i="1"/>
  <c r="B5889" i="1"/>
  <c r="C5889" i="1"/>
  <c r="B5890" i="1"/>
  <c r="C5890" i="1"/>
  <c r="B5891" i="1"/>
  <c r="C5891" i="1"/>
  <c r="B5892" i="1"/>
  <c r="C5892" i="1"/>
  <c r="B5893" i="1"/>
  <c r="C5893" i="1"/>
  <c r="B5894" i="1"/>
  <c r="C5894" i="1"/>
  <c r="B5895" i="1"/>
  <c r="C5895" i="1"/>
  <c r="B5896" i="1"/>
  <c r="C5896" i="1"/>
  <c r="B5897" i="1"/>
  <c r="C5897" i="1"/>
  <c r="B5898" i="1"/>
  <c r="C5898" i="1"/>
  <c r="B5899" i="1"/>
  <c r="C5899" i="1"/>
  <c r="B5900" i="1"/>
  <c r="C5900" i="1"/>
  <c r="B5901" i="1"/>
  <c r="C5901" i="1"/>
  <c r="B5902" i="1"/>
  <c r="C5902" i="1"/>
  <c r="B5903" i="1"/>
  <c r="C5903" i="1"/>
  <c r="B5904" i="1"/>
  <c r="C5904" i="1"/>
  <c r="B5905" i="1"/>
  <c r="C5905" i="1"/>
  <c r="B5906" i="1"/>
  <c r="C5906" i="1"/>
  <c r="B5907" i="1"/>
  <c r="C5907" i="1"/>
  <c r="B5908" i="1"/>
  <c r="C5908" i="1"/>
  <c r="B5909" i="1"/>
  <c r="C5909" i="1"/>
  <c r="B5910" i="1"/>
  <c r="C5910" i="1"/>
  <c r="B5911" i="1"/>
  <c r="C5911" i="1"/>
  <c r="B5912" i="1"/>
  <c r="C5912" i="1"/>
  <c r="B5913" i="1"/>
  <c r="C5913" i="1"/>
  <c r="B5914" i="1"/>
  <c r="C5914" i="1"/>
  <c r="B5915" i="1"/>
  <c r="C5915" i="1"/>
  <c r="B5916" i="1"/>
  <c r="C5916" i="1"/>
  <c r="B5917" i="1"/>
  <c r="C5917" i="1"/>
  <c r="B5918" i="1"/>
  <c r="C5918" i="1"/>
  <c r="B5919" i="1"/>
  <c r="C5919" i="1"/>
  <c r="B5920" i="1"/>
  <c r="C5920" i="1"/>
  <c r="B5921" i="1"/>
  <c r="C5921" i="1"/>
  <c r="B5922" i="1"/>
  <c r="C5922" i="1"/>
  <c r="B5923" i="1"/>
  <c r="C5923" i="1"/>
  <c r="B5924" i="1"/>
  <c r="C5924" i="1"/>
  <c r="B5925" i="1"/>
  <c r="C5925" i="1"/>
  <c r="B5926" i="1"/>
  <c r="C5926" i="1"/>
  <c r="B5927" i="1"/>
  <c r="C5927" i="1"/>
  <c r="B5928" i="1"/>
  <c r="C5928" i="1"/>
  <c r="B5929" i="1"/>
  <c r="C5929" i="1"/>
  <c r="B5930" i="1"/>
  <c r="C5930" i="1"/>
  <c r="B5931" i="1"/>
  <c r="C5931" i="1"/>
  <c r="B5932" i="1"/>
  <c r="C5932" i="1"/>
  <c r="B5933" i="1"/>
  <c r="C5933" i="1"/>
  <c r="B5934" i="1"/>
  <c r="C5934" i="1"/>
  <c r="B5935" i="1"/>
  <c r="C5935" i="1"/>
  <c r="B5936" i="1"/>
  <c r="C5936" i="1"/>
  <c r="B5937" i="1"/>
  <c r="C5937" i="1"/>
  <c r="B5938" i="1"/>
  <c r="C5938" i="1"/>
  <c r="B5939" i="1"/>
  <c r="C5939" i="1"/>
  <c r="B5940" i="1"/>
  <c r="C5940" i="1"/>
  <c r="B5941" i="1"/>
  <c r="C5941" i="1"/>
  <c r="B5942" i="1"/>
  <c r="C5942" i="1"/>
  <c r="B5943" i="1"/>
  <c r="C5943" i="1"/>
  <c r="B5944" i="1"/>
  <c r="C5944" i="1"/>
  <c r="B5945" i="1"/>
  <c r="C5945" i="1"/>
  <c r="B5946" i="1"/>
  <c r="C5946" i="1"/>
  <c r="B5947" i="1"/>
  <c r="C5947" i="1"/>
  <c r="B5948" i="1"/>
  <c r="C5948" i="1"/>
  <c r="B5949" i="1"/>
  <c r="C5949" i="1"/>
  <c r="B5950" i="1"/>
  <c r="C5950" i="1"/>
  <c r="B5951" i="1"/>
  <c r="C5951" i="1"/>
  <c r="B5952" i="1"/>
  <c r="C5952" i="1"/>
  <c r="B5953" i="1"/>
  <c r="C5953" i="1"/>
  <c r="B5954" i="1"/>
  <c r="C5954" i="1"/>
  <c r="B5955" i="1"/>
  <c r="C5955" i="1"/>
  <c r="B5956" i="1"/>
  <c r="C5956" i="1"/>
  <c r="B5957" i="1"/>
  <c r="C5957" i="1"/>
  <c r="B5958" i="1"/>
  <c r="C5958" i="1"/>
  <c r="B5959" i="1"/>
  <c r="C5959" i="1"/>
  <c r="B5960" i="1"/>
  <c r="C5960" i="1"/>
  <c r="B5961" i="1"/>
  <c r="C5961" i="1"/>
  <c r="B5962" i="1"/>
  <c r="C5962" i="1"/>
  <c r="B5963" i="1"/>
  <c r="C5963" i="1"/>
  <c r="B5964" i="1"/>
  <c r="C5964" i="1"/>
  <c r="B5965" i="1"/>
  <c r="C5965" i="1"/>
  <c r="B5966" i="1"/>
  <c r="C5966" i="1"/>
  <c r="B5967" i="1"/>
  <c r="C5967" i="1"/>
  <c r="B5968" i="1"/>
  <c r="C5968" i="1"/>
  <c r="B5969" i="1"/>
  <c r="C5969" i="1"/>
  <c r="B5970" i="1"/>
  <c r="C5970" i="1"/>
  <c r="B5971" i="1"/>
  <c r="C5971" i="1"/>
  <c r="B5972" i="1"/>
  <c r="C5972" i="1"/>
  <c r="B5973" i="1"/>
  <c r="C5973" i="1"/>
  <c r="B5974" i="1"/>
  <c r="C5974" i="1"/>
  <c r="B5975" i="1"/>
  <c r="C5975" i="1"/>
  <c r="B5976" i="1"/>
  <c r="C5976" i="1"/>
  <c r="B5977" i="1"/>
  <c r="C5977" i="1"/>
  <c r="B5978" i="1"/>
  <c r="C5978" i="1"/>
  <c r="B5979" i="1"/>
  <c r="C5979" i="1"/>
  <c r="B5980" i="1"/>
  <c r="C5980" i="1"/>
  <c r="B5981" i="1"/>
  <c r="C5981" i="1"/>
  <c r="B5982" i="1"/>
  <c r="C5982" i="1"/>
  <c r="B5983" i="1"/>
  <c r="C5983" i="1"/>
  <c r="B5984" i="1"/>
  <c r="C5984" i="1"/>
  <c r="B5985" i="1"/>
  <c r="C5985" i="1"/>
  <c r="B5986" i="1"/>
  <c r="C5986" i="1"/>
  <c r="B5987" i="1"/>
  <c r="C5987" i="1"/>
  <c r="B5988" i="1"/>
  <c r="C5988" i="1"/>
  <c r="B5989" i="1"/>
  <c r="C5989" i="1"/>
  <c r="B5990" i="1"/>
  <c r="C5990" i="1"/>
  <c r="B5991" i="1"/>
  <c r="C5991" i="1"/>
  <c r="B5992" i="1"/>
  <c r="C5992" i="1"/>
  <c r="B5993" i="1"/>
  <c r="C5993" i="1"/>
  <c r="B5994" i="1"/>
  <c r="C5994" i="1"/>
  <c r="B5995" i="1"/>
  <c r="C5995" i="1"/>
  <c r="B5996" i="1"/>
  <c r="C5996" i="1"/>
  <c r="B5997" i="1"/>
  <c r="C5997" i="1"/>
  <c r="B5998" i="1"/>
  <c r="C5998" i="1"/>
  <c r="B5999" i="1"/>
  <c r="C5999" i="1"/>
  <c r="B6000" i="1"/>
  <c r="C6000" i="1"/>
  <c r="B6001" i="1"/>
  <c r="C6001" i="1"/>
  <c r="B6002" i="1"/>
  <c r="C6002" i="1"/>
  <c r="B6003" i="1"/>
  <c r="C6003" i="1"/>
  <c r="B6004" i="1"/>
  <c r="C6004" i="1"/>
  <c r="B6005" i="1"/>
  <c r="C6005" i="1"/>
  <c r="B6006" i="1"/>
  <c r="C6006" i="1"/>
  <c r="B6007" i="1"/>
  <c r="C6007" i="1"/>
  <c r="B6008" i="1"/>
  <c r="C6008" i="1"/>
  <c r="B6009" i="1"/>
  <c r="C6009" i="1"/>
  <c r="B6010" i="1"/>
  <c r="C6010" i="1"/>
  <c r="B6011" i="1"/>
  <c r="C6011" i="1"/>
  <c r="B6012" i="1"/>
  <c r="C6012" i="1"/>
  <c r="B6013" i="1"/>
  <c r="C6013" i="1"/>
  <c r="B6014" i="1"/>
  <c r="C6014" i="1"/>
  <c r="B6015" i="1"/>
  <c r="C6015" i="1"/>
  <c r="B6016" i="1"/>
  <c r="C6016" i="1"/>
  <c r="B6017" i="1"/>
  <c r="C6017" i="1"/>
  <c r="B6018" i="1"/>
  <c r="C6018" i="1"/>
  <c r="B6019" i="1"/>
  <c r="C6019" i="1"/>
  <c r="B6020" i="1"/>
  <c r="C6020" i="1"/>
  <c r="B6021" i="1"/>
  <c r="C6021" i="1"/>
  <c r="B6022" i="1"/>
  <c r="C6022" i="1"/>
  <c r="B6023" i="1"/>
  <c r="C6023" i="1"/>
  <c r="B6024" i="1"/>
  <c r="C6024" i="1"/>
  <c r="B6025" i="1"/>
  <c r="C6025" i="1"/>
  <c r="B6026" i="1"/>
  <c r="C6026" i="1"/>
  <c r="B6027" i="1"/>
  <c r="C6027" i="1"/>
  <c r="B6028" i="1"/>
  <c r="C6028" i="1"/>
  <c r="B6029" i="1"/>
  <c r="C6029" i="1"/>
  <c r="B6030" i="1"/>
  <c r="C6030" i="1"/>
  <c r="B6031" i="1"/>
  <c r="C6031" i="1"/>
  <c r="B6032" i="1"/>
  <c r="C6032" i="1"/>
  <c r="B6033" i="1"/>
  <c r="C6033" i="1"/>
  <c r="B6034" i="1"/>
  <c r="C6034" i="1"/>
  <c r="B6035" i="1"/>
  <c r="C6035" i="1"/>
  <c r="B6036" i="1"/>
  <c r="C6036" i="1"/>
  <c r="B6037" i="1"/>
  <c r="C6037" i="1"/>
  <c r="B6038" i="1"/>
  <c r="C6038" i="1"/>
  <c r="B6039" i="1"/>
  <c r="C6039" i="1"/>
  <c r="B6040" i="1"/>
  <c r="C6040" i="1"/>
  <c r="B6041" i="1"/>
  <c r="C6041" i="1"/>
  <c r="B6042" i="1"/>
  <c r="C6042" i="1"/>
  <c r="B6043" i="1"/>
  <c r="C6043" i="1"/>
  <c r="B6044" i="1"/>
  <c r="C6044" i="1"/>
  <c r="B6045" i="1"/>
  <c r="C6045" i="1"/>
  <c r="B6046" i="1"/>
  <c r="C6046" i="1"/>
  <c r="B6047" i="1"/>
  <c r="C6047" i="1"/>
  <c r="B6048" i="1"/>
  <c r="C6048" i="1"/>
  <c r="B6049" i="1"/>
  <c r="C6049" i="1"/>
  <c r="B6050" i="1"/>
  <c r="C6050" i="1"/>
  <c r="B6051" i="1"/>
  <c r="C6051" i="1"/>
  <c r="B6052" i="1"/>
  <c r="C6052" i="1"/>
  <c r="B6053" i="1"/>
  <c r="C6053" i="1"/>
  <c r="B6054" i="1"/>
  <c r="C6054" i="1"/>
  <c r="B6055" i="1"/>
  <c r="C6055" i="1"/>
  <c r="B6056" i="1"/>
  <c r="C6056" i="1"/>
  <c r="B6057" i="1"/>
  <c r="C6057" i="1"/>
  <c r="B6058" i="1"/>
  <c r="C6058" i="1"/>
  <c r="B6059" i="1"/>
  <c r="C6059" i="1"/>
  <c r="B6060" i="1"/>
  <c r="C6060" i="1"/>
  <c r="B6061" i="1"/>
  <c r="C6061" i="1"/>
  <c r="B6062" i="1"/>
  <c r="C6062" i="1"/>
  <c r="B6063" i="1"/>
  <c r="C6063" i="1"/>
  <c r="B6064" i="1"/>
  <c r="C6064" i="1"/>
  <c r="B6065" i="1"/>
  <c r="C6065" i="1"/>
  <c r="B6066" i="1"/>
  <c r="C6066" i="1"/>
  <c r="B6067" i="1"/>
  <c r="C6067" i="1"/>
  <c r="B6068" i="1"/>
  <c r="C6068" i="1"/>
  <c r="B6069" i="1"/>
  <c r="C6069" i="1"/>
  <c r="B6070" i="1"/>
  <c r="C6070" i="1"/>
  <c r="B6071" i="1"/>
  <c r="C6071" i="1"/>
  <c r="B6072" i="1"/>
  <c r="C6072" i="1"/>
  <c r="B6073" i="1"/>
  <c r="C6073" i="1"/>
  <c r="B6074" i="1"/>
  <c r="C6074" i="1"/>
  <c r="B6075" i="1"/>
  <c r="C6075" i="1"/>
  <c r="B6076" i="1"/>
  <c r="C6076" i="1"/>
  <c r="B6077" i="1"/>
  <c r="C6077" i="1"/>
  <c r="B6078" i="1"/>
  <c r="C6078" i="1"/>
  <c r="B6079" i="1"/>
  <c r="C6079" i="1"/>
  <c r="B6080" i="1"/>
  <c r="C6080" i="1"/>
  <c r="B6081" i="1"/>
  <c r="C6081" i="1"/>
  <c r="B6082" i="1"/>
  <c r="C6082" i="1"/>
  <c r="B6083" i="1"/>
  <c r="C6083" i="1"/>
  <c r="B6084" i="1"/>
  <c r="C6084" i="1"/>
  <c r="B6085" i="1"/>
  <c r="C6085" i="1"/>
  <c r="B6086" i="1"/>
  <c r="C6086" i="1"/>
  <c r="B6087" i="1"/>
  <c r="C6087" i="1"/>
  <c r="B6088" i="1"/>
  <c r="C6088" i="1"/>
  <c r="B6089" i="1"/>
  <c r="C6089" i="1"/>
  <c r="B6090" i="1"/>
  <c r="C6090" i="1"/>
  <c r="B6091" i="1"/>
  <c r="C6091" i="1"/>
  <c r="B6092" i="1"/>
  <c r="C6092" i="1"/>
  <c r="B6093" i="1"/>
  <c r="C6093" i="1"/>
  <c r="B6094" i="1"/>
  <c r="C6094" i="1"/>
  <c r="B6095" i="1"/>
  <c r="C6095" i="1"/>
  <c r="B6096" i="1"/>
  <c r="C6096" i="1"/>
  <c r="B6097" i="1"/>
  <c r="C6097" i="1"/>
  <c r="B6098" i="1"/>
  <c r="C6098" i="1"/>
  <c r="B6099" i="1"/>
  <c r="C6099" i="1"/>
  <c r="B6100" i="1"/>
  <c r="C6100" i="1"/>
  <c r="B6101" i="1"/>
  <c r="C6101" i="1"/>
  <c r="B6102" i="1"/>
  <c r="C6102" i="1"/>
  <c r="B6103" i="1"/>
  <c r="C6103" i="1"/>
  <c r="B6104" i="1"/>
  <c r="C6104" i="1"/>
  <c r="B6105" i="1"/>
  <c r="C6105" i="1"/>
  <c r="B6106" i="1"/>
  <c r="C6106" i="1"/>
  <c r="B6107" i="1"/>
  <c r="C6107" i="1"/>
  <c r="B6108" i="1"/>
  <c r="C6108" i="1"/>
  <c r="B6109" i="1"/>
  <c r="C6109" i="1"/>
  <c r="B6110" i="1"/>
  <c r="C6110" i="1"/>
  <c r="B6111" i="1"/>
  <c r="C6111" i="1"/>
  <c r="B6112" i="1"/>
  <c r="C6112" i="1"/>
  <c r="B6113" i="1"/>
  <c r="C6113" i="1"/>
  <c r="B6114" i="1"/>
  <c r="C6114" i="1"/>
  <c r="B6115" i="1"/>
  <c r="C6115" i="1"/>
  <c r="B6116" i="1"/>
  <c r="C6116" i="1"/>
  <c r="B6117" i="1"/>
  <c r="C6117" i="1"/>
  <c r="B6118" i="1"/>
  <c r="C6118" i="1"/>
  <c r="B6119" i="1"/>
  <c r="C6119" i="1"/>
  <c r="B6120" i="1"/>
  <c r="C6120" i="1"/>
  <c r="B6121" i="1"/>
  <c r="C6121" i="1"/>
  <c r="B6122" i="1"/>
  <c r="C6122" i="1"/>
  <c r="B6123" i="1"/>
  <c r="C6123" i="1"/>
  <c r="B6124" i="1"/>
  <c r="C6124" i="1"/>
  <c r="B6125" i="1"/>
  <c r="C6125" i="1"/>
  <c r="B6126" i="1"/>
  <c r="C6126" i="1"/>
  <c r="B6127" i="1"/>
  <c r="C6127" i="1"/>
  <c r="B6128" i="1"/>
  <c r="C6128" i="1"/>
  <c r="B6129" i="1"/>
  <c r="C6129" i="1"/>
  <c r="B6130" i="1"/>
  <c r="C6130" i="1"/>
  <c r="B6131" i="1"/>
  <c r="C6131" i="1"/>
  <c r="B6132" i="1"/>
  <c r="C6132" i="1"/>
  <c r="B6133" i="1"/>
  <c r="C6133" i="1"/>
  <c r="B6134" i="1"/>
  <c r="C6134" i="1"/>
  <c r="B6135" i="1"/>
  <c r="C6135" i="1"/>
  <c r="B6136" i="1"/>
  <c r="C6136" i="1"/>
  <c r="B6137" i="1"/>
  <c r="C6137" i="1"/>
  <c r="B6138" i="1"/>
  <c r="C6138" i="1"/>
  <c r="B6139" i="1"/>
  <c r="C6139" i="1"/>
  <c r="B6140" i="1"/>
  <c r="C6140" i="1"/>
  <c r="B6141" i="1"/>
  <c r="C6141" i="1"/>
  <c r="B6142" i="1"/>
  <c r="C6142" i="1"/>
  <c r="B6143" i="1"/>
  <c r="C6143" i="1"/>
  <c r="B6144" i="1"/>
  <c r="C6144" i="1"/>
  <c r="B6145" i="1"/>
  <c r="C6145" i="1"/>
  <c r="B6146" i="1"/>
  <c r="C6146" i="1"/>
  <c r="B6147" i="1"/>
  <c r="C6147" i="1"/>
  <c r="B6148" i="1"/>
  <c r="C6148" i="1"/>
  <c r="B6149" i="1"/>
  <c r="C6149" i="1"/>
  <c r="B6150" i="1"/>
  <c r="C6150" i="1"/>
  <c r="B6151" i="1"/>
  <c r="C6151" i="1"/>
  <c r="B6152" i="1"/>
  <c r="C6152" i="1"/>
  <c r="B6153" i="1"/>
  <c r="C6153" i="1"/>
  <c r="B6154" i="1"/>
  <c r="C6154" i="1"/>
  <c r="B6155" i="1"/>
  <c r="C6155" i="1"/>
  <c r="B6156" i="1"/>
  <c r="C6156" i="1"/>
  <c r="B6157" i="1"/>
  <c r="C6157" i="1"/>
  <c r="B6158" i="1"/>
  <c r="C6158" i="1"/>
  <c r="B6159" i="1"/>
  <c r="C6159" i="1"/>
  <c r="B6160" i="1"/>
  <c r="C6160" i="1"/>
  <c r="B6161" i="1"/>
  <c r="C6161" i="1"/>
  <c r="B6162" i="1"/>
  <c r="C6162" i="1"/>
  <c r="B6163" i="1"/>
  <c r="C6163" i="1"/>
  <c r="B6164" i="1"/>
  <c r="C6164" i="1"/>
  <c r="B6165" i="1"/>
  <c r="C6165" i="1"/>
  <c r="B6166" i="1"/>
  <c r="C6166" i="1"/>
  <c r="B6167" i="1"/>
  <c r="C6167" i="1"/>
  <c r="B6168" i="1"/>
  <c r="C6168" i="1"/>
  <c r="B6169" i="1"/>
  <c r="C6169" i="1"/>
  <c r="B6170" i="1"/>
  <c r="C6170" i="1"/>
  <c r="B6171" i="1"/>
  <c r="C6171" i="1"/>
  <c r="B6172" i="1"/>
  <c r="C6172" i="1"/>
  <c r="B6173" i="1"/>
  <c r="C6173" i="1"/>
  <c r="B6174" i="1"/>
  <c r="C6174" i="1"/>
  <c r="B6175" i="1"/>
  <c r="C6175" i="1"/>
  <c r="B6176" i="1"/>
  <c r="C6176" i="1"/>
  <c r="B6177" i="1"/>
  <c r="C6177" i="1"/>
  <c r="B6178" i="1"/>
  <c r="C6178" i="1"/>
  <c r="B6179" i="1"/>
  <c r="C6179" i="1"/>
  <c r="B6180" i="1"/>
  <c r="C6180" i="1"/>
  <c r="B6181" i="1"/>
  <c r="C6181" i="1"/>
  <c r="B6182" i="1"/>
  <c r="C6182" i="1"/>
  <c r="B6183" i="1"/>
  <c r="C6183" i="1"/>
  <c r="B6184" i="1"/>
  <c r="C6184" i="1"/>
  <c r="B6185" i="1"/>
  <c r="C6185" i="1"/>
  <c r="B6186" i="1"/>
  <c r="C6186" i="1"/>
  <c r="B6187" i="1"/>
  <c r="C6187" i="1"/>
  <c r="B6188" i="1"/>
  <c r="C6188" i="1"/>
  <c r="B6189" i="1"/>
  <c r="C6189" i="1"/>
  <c r="B6190" i="1"/>
  <c r="C6190" i="1"/>
  <c r="B6191" i="1"/>
  <c r="C6191" i="1"/>
  <c r="B6192" i="1"/>
  <c r="C6192" i="1"/>
  <c r="B6193" i="1"/>
  <c r="C6193" i="1"/>
  <c r="B6194" i="1"/>
  <c r="C6194" i="1"/>
  <c r="B6195" i="1"/>
  <c r="C6195" i="1"/>
  <c r="B6196" i="1"/>
  <c r="C6196" i="1"/>
  <c r="B6197" i="1"/>
  <c r="C6197" i="1"/>
  <c r="B6198" i="1"/>
  <c r="C6198" i="1"/>
  <c r="B6199" i="1"/>
  <c r="C6199" i="1"/>
  <c r="B6200" i="1"/>
  <c r="C6200" i="1"/>
  <c r="B6201" i="1"/>
  <c r="C6201" i="1"/>
  <c r="B6202" i="1"/>
  <c r="C6202" i="1"/>
  <c r="B6203" i="1"/>
  <c r="C6203" i="1"/>
  <c r="B6204" i="1"/>
  <c r="C6204" i="1"/>
  <c r="B6205" i="1"/>
  <c r="C6205" i="1"/>
  <c r="B6206" i="1"/>
  <c r="C6206" i="1"/>
  <c r="B6207" i="1"/>
  <c r="C6207" i="1"/>
  <c r="B6208" i="1"/>
  <c r="C6208" i="1"/>
  <c r="B6209" i="1"/>
  <c r="C6209" i="1"/>
  <c r="B6210" i="1"/>
  <c r="C6210" i="1"/>
  <c r="B6211" i="1"/>
  <c r="C6211" i="1"/>
  <c r="B6212" i="1"/>
  <c r="C6212" i="1"/>
  <c r="B6213" i="1"/>
  <c r="C6213" i="1"/>
  <c r="B6214" i="1"/>
  <c r="C6214" i="1"/>
  <c r="B6215" i="1"/>
  <c r="C6215" i="1"/>
  <c r="B6216" i="1"/>
  <c r="C6216" i="1"/>
  <c r="B6217" i="1"/>
  <c r="C6217" i="1"/>
  <c r="B6218" i="1"/>
  <c r="C6218" i="1"/>
  <c r="B6219" i="1"/>
  <c r="C6219" i="1"/>
  <c r="B6220" i="1"/>
  <c r="C6220" i="1"/>
  <c r="B6221" i="1"/>
  <c r="C6221" i="1"/>
  <c r="B6222" i="1"/>
  <c r="C6222" i="1"/>
  <c r="B6223" i="1"/>
  <c r="C6223" i="1"/>
  <c r="B6224" i="1"/>
  <c r="C6224" i="1"/>
  <c r="B6225" i="1"/>
  <c r="C6225" i="1"/>
  <c r="B6226" i="1"/>
  <c r="C6226" i="1"/>
  <c r="B6227" i="1"/>
  <c r="C6227" i="1"/>
  <c r="B6228" i="1"/>
  <c r="C6228" i="1"/>
  <c r="B6229" i="1"/>
  <c r="C6229" i="1"/>
  <c r="B6230" i="1"/>
  <c r="C6230" i="1"/>
  <c r="B6231" i="1"/>
  <c r="C6231" i="1"/>
  <c r="B6232" i="1"/>
  <c r="C6232" i="1"/>
  <c r="B6233" i="1"/>
  <c r="C6233" i="1"/>
  <c r="B6234" i="1"/>
  <c r="C6234" i="1"/>
  <c r="B6235" i="1"/>
  <c r="C6235" i="1"/>
  <c r="B6236" i="1"/>
  <c r="C6236" i="1"/>
  <c r="B6237" i="1"/>
  <c r="C6237" i="1"/>
  <c r="B6238" i="1"/>
  <c r="C6238" i="1"/>
  <c r="B6239" i="1"/>
  <c r="C6239" i="1"/>
  <c r="B6240" i="1"/>
  <c r="C6240" i="1"/>
  <c r="B6241" i="1"/>
  <c r="C6241" i="1"/>
  <c r="B6242" i="1"/>
  <c r="C6242" i="1"/>
  <c r="B6243" i="1"/>
  <c r="C6243" i="1"/>
  <c r="B6244" i="1"/>
  <c r="C6244" i="1"/>
  <c r="B6245" i="1"/>
  <c r="C6245" i="1"/>
  <c r="B6246" i="1"/>
  <c r="C6246" i="1"/>
  <c r="B6247" i="1"/>
  <c r="C6247" i="1"/>
  <c r="B6248" i="1"/>
  <c r="C6248" i="1"/>
  <c r="B6249" i="1"/>
  <c r="C6249" i="1"/>
  <c r="B6250" i="1"/>
  <c r="C6250" i="1"/>
  <c r="B6251" i="1"/>
  <c r="C6251" i="1"/>
  <c r="B6252" i="1"/>
  <c r="C6252" i="1"/>
  <c r="B6253" i="1"/>
  <c r="C6253" i="1"/>
  <c r="B6254" i="1"/>
  <c r="C6254" i="1"/>
  <c r="B6255" i="1"/>
  <c r="C6255" i="1"/>
  <c r="B6256" i="1"/>
  <c r="C6256" i="1"/>
  <c r="B6257" i="1"/>
  <c r="C6257" i="1"/>
  <c r="B6258" i="1"/>
  <c r="C6258" i="1"/>
  <c r="B6259" i="1"/>
  <c r="C6259" i="1"/>
  <c r="B6260" i="1"/>
  <c r="C6260" i="1"/>
  <c r="B6261" i="1"/>
  <c r="C6261" i="1"/>
  <c r="B6262" i="1"/>
  <c r="C6262" i="1"/>
  <c r="B6263" i="1"/>
  <c r="C6263" i="1"/>
  <c r="B6264" i="1"/>
  <c r="C6264" i="1"/>
  <c r="B6265" i="1"/>
  <c r="C6265" i="1"/>
  <c r="B6266" i="1"/>
  <c r="C6266" i="1"/>
  <c r="B6267" i="1"/>
  <c r="C6267" i="1"/>
  <c r="B6268" i="1"/>
  <c r="C6268" i="1"/>
  <c r="B6269" i="1"/>
  <c r="C6269" i="1"/>
  <c r="B6270" i="1"/>
  <c r="C6270" i="1"/>
  <c r="B6271" i="1"/>
  <c r="C6271" i="1"/>
  <c r="B6272" i="1"/>
  <c r="C6272" i="1"/>
  <c r="B6273" i="1"/>
  <c r="C6273" i="1"/>
  <c r="B6274" i="1"/>
  <c r="C6274" i="1"/>
  <c r="B6275" i="1"/>
  <c r="C6275" i="1"/>
  <c r="B6276" i="1"/>
  <c r="C6276" i="1"/>
  <c r="B6277" i="1"/>
  <c r="C6277" i="1"/>
  <c r="B6278" i="1"/>
  <c r="C6278" i="1"/>
  <c r="B6279" i="1"/>
  <c r="C6279" i="1"/>
  <c r="B6280" i="1"/>
  <c r="C6280" i="1"/>
  <c r="B6281" i="1"/>
  <c r="C6281" i="1"/>
  <c r="B6282" i="1"/>
  <c r="C6282" i="1"/>
  <c r="B6283" i="1"/>
  <c r="C6283" i="1"/>
  <c r="B6284" i="1"/>
  <c r="C6284" i="1"/>
  <c r="B6285" i="1"/>
  <c r="C6285" i="1"/>
  <c r="B6286" i="1"/>
  <c r="C6286" i="1"/>
  <c r="B6287" i="1"/>
  <c r="C6287" i="1"/>
  <c r="B6288" i="1"/>
  <c r="C6288" i="1"/>
  <c r="B6289" i="1"/>
  <c r="C6289" i="1"/>
  <c r="B6290" i="1"/>
  <c r="C6290" i="1"/>
  <c r="B6291" i="1"/>
  <c r="C6291" i="1"/>
  <c r="B6292" i="1"/>
  <c r="C6292" i="1"/>
  <c r="B6293" i="1"/>
  <c r="C6293" i="1"/>
  <c r="B6294" i="1"/>
  <c r="C6294" i="1"/>
  <c r="B6295" i="1"/>
  <c r="C6295" i="1"/>
  <c r="B6296" i="1"/>
  <c r="C6296" i="1"/>
  <c r="B6297" i="1"/>
  <c r="C6297" i="1"/>
  <c r="B6298" i="1"/>
  <c r="C6298" i="1"/>
  <c r="B6299" i="1"/>
  <c r="C6299" i="1"/>
  <c r="B6300" i="1"/>
  <c r="C6300" i="1"/>
  <c r="B6301" i="1"/>
  <c r="C6301" i="1"/>
  <c r="B6302" i="1"/>
  <c r="C6302" i="1"/>
  <c r="B6303" i="1"/>
  <c r="C6303" i="1"/>
  <c r="B6304" i="1"/>
  <c r="C6304" i="1"/>
  <c r="B6305" i="1"/>
  <c r="C6305" i="1"/>
  <c r="B6306" i="1"/>
  <c r="C6306" i="1"/>
  <c r="B6307" i="1"/>
  <c r="C6307" i="1"/>
  <c r="B6308" i="1"/>
  <c r="C6308" i="1"/>
  <c r="B6309" i="1"/>
  <c r="C6309" i="1"/>
  <c r="B6310" i="1"/>
  <c r="C6310" i="1"/>
  <c r="B6311" i="1"/>
  <c r="C6311" i="1"/>
  <c r="B6312" i="1"/>
  <c r="C6312" i="1"/>
  <c r="B6313" i="1"/>
  <c r="C6313" i="1"/>
  <c r="B6314" i="1"/>
  <c r="C6314" i="1"/>
  <c r="B6315" i="1"/>
  <c r="C6315" i="1"/>
  <c r="B6316" i="1"/>
  <c r="C6316" i="1"/>
  <c r="B6317" i="1"/>
  <c r="C6317" i="1"/>
  <c r="B6318" i="1"/>
  <c r="C6318" i="1"/>
  <c r="B6319" i="1"/>
  <c r="C6319" i="1"/>
  <c r="B6320" i="1"/>
  <c r="C6320" i="1"/>
  <c r="B6321" i="1"/>
  <c r="C6321" i="1"/>
  <c r="B6322" i="1"/>
  <c r="C6322" i="1"/>
  <c r="B6323" i="1"/>
  <c r="C6323" i="1"/>
  <c r="B6324" i="1"/>
  <c r="C6324" i="1"/>
  <c r="B6325" i="1"/>
  <c r="C6325" i="1"/>
  <c r="B6326" i="1"/>
  <c r="C6326" i="1"/>
  <c r="B6327" i="1"/>
  <c r="C6327" i="1"/>
  <c r="B6328" i="1"/>
  <c r="C6328" i="1"/>
  <c r="B6329" i="1"/>
  <c r="C6329" i="1"/>
  <c r="B6330" i="1"/>
  <c r="C6330" i="1"/>
  <c r="B6331" i="1"/>
  <c r="C6331" i="1"/>
  <c r="B6332" i="1"/>
  <c r="C6332" i="1"/>
  <c r="B6333" i="1"/>
  <c r="C6333" i="1"/>
  <c r="B6334" i="1"/>
  <c r="C6334" i="1"/>
  <c r="B6335" i="1"/>
  <c r="C6335" i="1"/>
  <c r="B6336" i="1"/>
  <c r="C6336" i="1"/>
  <c r="B6337" i="1"/>
  <c r="C6337" i="1"/>
  <c r="B6338" i="1"/>
  <c r="C6338" i="1"/>
  <c r="B6339" i="1"/>
  <c r="C6339" i="1"/>
  <c r="B6340" i="1"/>
  <c r="C6340" i="1"/>
  <c r="B6341" i="1"/>
  <c r="C6341" i="1"/>
  <c r="B6342" i="1"/>
  <c r="C6342" i="1"/>
  <c r="B6343" i="1"/>
  <c r="C6343" i="1"/>
  <c r="B6344" i="1"/>
  <c r="C6344" i="1"/>
  <c r="B6345" i="1"/>
  <c r="C6345" i="1"/>
  <c r="B6346" i="1"/>
  <c r="C6346" i="1"/>
  <c r="B6347" i="1"/>
  <c r="C6347" i="1"/>
  <c r="B6348" i="1"/>
  <c r="C6348" i="1"/>
  <c r="B6349" i="1"/>
  <c r="C6349" i="1"/>
  <c r="B6350" i="1"/>
  <c r="C6350" i="1"/>
  <c r="B6351" i="1"/>
  <c r="C6351" i="1"/>
  <c r="B6352" i="1"/>
  <c r="C6352" i="1"/>
  <c r="B6353" i="1"/>
  <c r="C6353" i="1"/>
  <c r="B6354" i="1"/>
  <c r="C6354" i="1"/>
  <c r="B6355" i="1"/>
  <c r="C6355" i="1"/>
  <c r="B6356" i="1"/>
  <c r="C6356" i="1"/>
  <c r="B6357" i="1"/>
  <c r="C6357" i="1"/>
  <c r="B6358" i="1"/>
  <c r="C6358" i="1"/>
  <c r="B6359" i="1"/>
  <c r="C6359" i="1"/>
  <c r="B6360" i="1"/>
  <c r="C6360" i="1"/>
  <c r="B6361" i="1"/>
  <c r="C6361" i="1"/>
  <c r="B6362" i="1"/>
  <c r="C6362" i="1"/>
  <c r="B6363" i="1"/>
  <c r="C6363" i="1"/>
  <c r="B6364" i="1"/>
  <c r="C6364" i="1"/>
  <c r="B6365" i="1"/>
  <c r="C6365" i="1"/>
  <c r="B6366" i="1"/>
  <c r="C6366" i="1"/>
  <c r="B6367" i="1"/>
  <c r="C6367" i="1"/>
  <c r="B6368" i="1"/>
  <c r="C6368" i="1"/>
  <c r="B6369" i="1"/>
  <c r="C6369" i="1"/>
  <c r="B6370" i="1"/>
  <c r="C6370" i="1"/>
  <c r="B6371" i="1"/>
  <c r="C6371" i="1"/>
  <c r="B6372" i="1"/>
  <c r="C6372" i="1"/>
  <c r="B6373" i="1"/>
  <c r="C6373" i="1"/>
  <c r="B6374" i="1"/>
  <c r="C6374" i="1"/>
  <c r="B6375" i="1"/>
  <c r="C6375" i="1"/>
  <c r="B6376" i="1"/>
  <c r="C6376" i="1"/>
  <c r="B6377" i="1"/>
  <c r="C6377" i="1"/>
  <c r="B6378" i="1"/>
  <c r="C6378" i="1"/>
  <c r="B6379" i="1"/>
  <c r="C6379" i="1"/>
  <c r="B6380" i="1"/>
  <c r="C6380" i="1"/>
  <c r="B6381" i="1"/>
  <c r="C6381" i="1"/>
  <c r="B6382" i="1"/>
  <c r="C6382" i="1"/>
  <c r="B6383" i="1"/>
  <c r="C6383" i="1"/>
  <c r="B6384" i="1"/>
  <c r="C6384" i="1"/>
  <c r="B6385" i="1"/>
  <c r="C6385" i="1"/>
  <c r="B6386" i="1"/>
  <c r="C6386" i="1"/>
  <c r="B6387" i="1"/>
  <c r="C6387" i="1"/>
  <c r="B6388" i="1"/>
  <c r="C6388" i="1"/>
  <c r="B6389" i="1"/>
  <c r="C6389" i="1"/>
  <c r="B6390" i="1"/>
  <c r="C6390" i="1"/>
  <c r="B6391" i="1"/>
  <c r="C6391" i="1"/>
  <c r="B6392" i="1"/>
  <c r="C6392" i="1"/>
  <c r="B6393" i="1"/>
  <c r="C6393" i="1"/>
  <c r="B6394" i="1"/>
  <c r="C6394" i="1"/>
  <c r="B6395" i="1"/>
  <c r="C6395" i="1"/>
  <c r="B6396" i="1"/>
  <c r="C6396" i="1"/>
  <c r="B6397" i="1"/>
  <c r="C6397" i="1"/>
  <c r="B6398" i="1"/>
  <c r="C6398" i="1"/>
  <c r="B6399" i="1"/>
  <c r="C6399" i="1"/>
  <c r="B6400" i="1"/>
  <c r="C6400" i="1"/>
  <c r="B6401" i="1"/>
  <c r="C6401" i="1"/>
  <c r="B6402" i="1"/>
  <c r="C6402" i="1"/>
  <c r="B6403" i="1"/>
  <c r="C6403" i="1"/>
  <c r="B6404" i="1"/>
  <c r="C6404" i="1"/>
  <c r="B6405" i="1"/>
  <c r="C6405" i="1"/>
  <c r="B6406" i="1"/>
  <c r="C6406" i="1"/>
  <c r="B6407" i="1"/>
  <c r="C6407" i="1"/>
  <c r="B6408" i="1"/>
  <c r="C6408" i="1"/>
  <c r="B6409" i="1"/>
  <c r="C6409" i="1"/>
  <c r="B6410" i="1"/>
  <c r="C6410" i="1"/>
  <c r="B6411" i="1"/>
  <c r="C6411" i="1"/>
  <c r="B6412" i="1"/>
  <c r="C6412" i="1"/>
  <c r="B6413" i="1"/>
  <c r="C6413" i="1"/>
  <c r="B6414" i="1"/>
  <c r="C6414" i="1"/>
  <c r="B6415" i="1"/>
  <c r="C6415" i="1"/>
  <c r="B6416" i="1"/>
  <c r="C6416" i="1"/>
  <c r="B6417" i="1"/>
  <c r="C6417" i="1"/>
  <c r="B6418" i="1"/>
  <c r="C6418" i="1"/>
  <c r="B6419" i="1"/>
  <c r="C6419" i="1"/>
  <c r="B6420" i="1"/>
  <c r="C6420" i="1"/>
  <c r="B6421" i="1"/>
  <c r="C6421" i="1"/>
  <c r="B6422" i="1"/>
  <c r="C6422" i="1"/>
  <c r="B6423" i="1"/>
  <c r="C6423" i="1"/>
  <c r="B6424" i="1"/>
  <c r="C6424" i="1"/>
  <c r="B6425" i="1"/>
  <c r="C6425" i="1"/>
  <c r="B6426" i="1"/>
  <c r="C6426" i="1"/>
  <c r="B6427" i="1"/>
  <c r="C6427" i="1"/>
  <c r="B6428" i="1"/>
  <c r="C6428" i="1"/>
  <c r="B6429" i="1"/>
  <c r="C6429" i="1"/>
  <c r="B6430" i="1"/>
  <c r="C6430" i="1"/>
  <c r="B6431" i="1"/>
  <c r="C6431" i="1"/>
  <c r="B6432" i="1"/>
  <c r="C6432" i="1"/>
  <c r="B6433" i="1"/>
  <c r="C6433" i="1"/>
  <c r="B6434" i="1"/>
  <c r="C6434" i="1"/>
  <c r="B6435" i="1"/>
  <c r="C6435" i="1"/>
  <c r="B6436" i="1"/>
  <c r="C6436" i="1"/>
  <c r="B6437" i="1"/>
  <c r="C6437" i="1"/>
  <c r="B6438" i="1"/>
  <c r="C6438" i="1"/>
  <c r="B6439" i="1"/>
  <c r="C6439" i="1"/>
  <c r="B6440" i="1"/>
  <c r="C6440" i="1"/>
  <c r="B6441" i="1"/>
  <c r="C6441" i="1"/>
  <c r="B6442" i="1"/>
  <c r="C6442" i="1"/>
  <c r="B6443" i="1"/>
  <c r="C6443" i="1"/>
  <c r="B6444" i="1"/>
  <c r="C6444" i="1"/>
  <c r="B6445" i="1"/>
  <c r="C6445" i="1"/>
  <c r="B6446" i="1"/>
  <c r="C6446" i="1"/>
  <c r="B6447" i="1"/>
  <c r="C6447" i="1"/>
  <c r="B6448" i="1"/>
  <c r="C6448" i="1"/>
  <c r="B6449" i="1"/>
  <c r="C6449" i="1"/>
  <c r="B6450" i="1"/>
  <c r="C6450" i="1"/>
  <c r="B6451" i="1"/>
  <c r="C6451" i="1"/>
  <c r="B6452" i="1"/>
  <c r="C6452" i="1"/>
  <c r="B6453" i="1"/>
  <c r="C6453" i="1"/>
  <c r="B6454" i="1"/>
  <c r="C6454" i="1"/>
  <c r="B6455" i="1"/>
  <c r="C6455" i="1"/>
  <c r="B6456" i="1"/>
  <c r="C6456" i="1"/>
  <c r="B6457" i="1"/>
  <c r="C6457" i="1"/>
  <c r="B6458" i="1"/>
  <c r="C6458" i="1"/>
  <c r="B6459" i="1"/>
  <c r="C6459" i="1"/>
  <c r="B6460" i="1"/>
  <c r="C6460" i="1"/>
  <c r="B6461" i="1"/>
  <c r="C6461" i="1"/>
  <c r="B6462" i="1"/>
  <c r="C6462" i="1"/>
  <c r="B6463" i="1"/>
  <c r="C6463" i="1"/>
  <c r="B6464" i="1"/>
  <c r="C6464" i="1"/>
  <c r="B6465" i="1"/>
  <c r="C6465" i="1"/>
  <c r="B6466" i="1"/>
  <c r="C6466" i="1"/>
  <c r="B6467" i="1"/>
  <c r="C6467" i="1"/>
  <c r="B6468" i="1"/>
  <c r="C6468" i="1"/>
  <c r="B6469" i="1"/>
  <c r="C6469" i="1"/>
  <c r="B6470" i="1"/>
  <c r="C6470" i="1"/>
  <c r="B6471" i="1"/>
  <c r="C6471" i="1"/>
  <c r="B6472" i="1"/>
  <c r="C6472" i="1"/>
  <c r="B6473" i="1"/>
  <c r="C6473" i="1"/>
  <c r="B6474" i="1"/>
  <c r="C6474" i="1"/>
  <c r="B6475" i="1"/>
  <c r="C6475" i="1"/>
  <c r="B6476" i="1"/>
  <c r="C6476" i="1"/>
  <c r="B6477" i="1"/>
  <c r="C6477" i="1"/>
  <c r="B6478" i="1"/>
  <c r="C6478" i="1"/>
  <c r="B6479" i="1"/>
  <c r="C6479" i="1"/>
  <c r="B6480" i="1"/>
  <c r="C6480" i="1"/>
  <c r="B6481" i="1"/>
  <c r="C6481" i="1"/>
  <c r="B6482" i="1"/>
  <c r="C6482" i="1"/>
  <c r="B6483" i="1"/>
  <c r="C6483" i="1"/>
  <c r="B6484" i="1"/>
  <c r="C6484" i="1"/>
  <c r="B6485" i="1"/>
  <c r="C6485" i="1"/>
  <c r="B6486" i="1"/>
  <c r="C6486" i="1"/>
  <c r="B6487" i="1"/>
  <c r="C6487" i="1"/>
  <c r="B6488" i="1"/>
  <c r="C6488" i="1"/>
  <c r="B6489" i="1"/>
  <c r="C6489" i="1"/>
  <c r="B6490" i="1"/>
  <c r="C6490" i="1"/>
  <c r="B6491" i="1"/>
  <c r="C6491" i="1"/>
  <c r="B6492" i="1"/>
  <c r="C6492" i="1"/>
  <c r="B6493" i="1"/>
  <c r="C6493" i="1"/>
  <c r="B6494" i="1"/>
  <c r="C6494" i="1"/>
  <c r="B6495" i="1"/>
  <c r="C6495" i="1"/>
  <c r="B6496" i="1"/>
  <c r="C6496" i="1"/>
  <c r="B6497" i="1"/>
  <c r="C6497" i="1"/>
  <c r="B6498" i="1"/>
  <c r="C6498" i="1"/>
  <c r="B6499" i="1"/>
  <c r="C6499" i="1"/>
  <c r="B6500" i="1"/>
  <c r="C6500" i="1"/>
  <c r="B6501" i="1"/>
  <c r="C6501" i="1"/>
  <c r="B6502" i="1"/>
  <c r="C6502" i="1"/>
  <c r="B6503" i="1"/>
  <c r="C6503" i="1"/>
  <c r="B6504" i="1"/>
  <c r="C6504" i="1"/>
  <c r="B6505" i="1"/>
  <c r="C6505" i="1"/>
  <c r="B6506" i="1"/>
  <c r="C6506" i="1"/>
  <c r="B6507" i="1"/>
  <c r="C6507" i="1"/>
  <c r="B6508" i="1"/>
  <c r="C6508" i="1"/>
  <c r="B6509" i="1"/>
  <c r="C6509" i="1"/>
  <c r="B6510" i="1"/>
  <c r="C6510" i="1"/>
  <c r="B6511" i="1"/>
  <c r="C6511" i="1"/>
  <c r="B6512" i="1"/>
  <c r="C6512" i="1"/>
  <c r="B6513" i="1"/>
  <c r="C6513" i="1"/>
  <c r="B6514" i="1"/>
  <c r="C6514" i="1"/>
  <c r="B6515" i="1"/>
  <c r="C6515" i="1"/>
  <c r="B6516" i="1"/>
  <c r="C6516" i="1"/>
  <c r="B6517" i="1"/>
  <c r="C6517" i="1"/>
  <c r="B6518" i="1"/>
  <c r="C6518" i="1"/>
  <c r="B6519" i="1"/>
  <c r="C6519" i="1"/>
  <c r="B6520" i="1"/>
  <c r="C6520" i="1"/>
  <c r="B6521" i="1"/>
  <c r="C6521" i="1"/>
  <c r="B6522" i="1"/>
  <c r="C6522" i="1"/>
  <c r="B6523" i="1"/>
  <c r="C6523" i="1"/>
  <c r="B6524" i="1"/>
  <c r="C6524" i="1"/>
  <c r="B6525" i="1"/>
  <c r="C6525" i="1"/>
  <c r="B6526" i="1"/>
  <c r="C6526" i="1"/>
  <c r="B6527" i="1"/>
  <c r="C6527" i="1"/>
  <c r="B6528" i="1"/>
  <c r="C6528" i="1"/>
  <c r="B6529" i="1"/>
  <c r="C6529" i="1"/>
  <c r="B6530" i="1"/>
  <c r="C6530" i="1"/>
  <c r="B6531" i="1"/>
  <c r="C6531" i="1"/>
  <c r="B6532" i="1"/>
  <c r="C6532" i="1"/>
  <c r="B6533" i="1"/>
  <c r="C6533" i="1"/>
  <c r="B6534" i="1"/>
  <c r="C6534" i="1"/>
  <c r="B6535" i="1"/>
  <c r="C6535" i="1"/>
  <c r="B6536" i="1"/>
  <c r="C6536" i="1"/>
  <c r="B6537" i="1"/>
  <c r="C6537" i="1"/>
  <c r="B6538" i="1"/>
  <c r="C6538" i="1"/>
  <c r="B6539" i="1"/>
  <c r="C6539" i="1"/>
  <c r="B6540" i="1"/>
  <c r="C6540" i="1"/>
  <c r="B6541" i="1"/>
  <c r="C6541" i="1"/>
  <c r="B6542" i="1"/>
  <c r="C6542" i="1"/>
  <c r="B6543" i="1"/>
  <c r="C6543" i="1"/>
  <c r="B6544" i="1"/>
  <c r="C6544" i="1"/>
  <c r="B6545" i="1"/>
  <c r="C6545" i="1"/>
  <c r="B6546" i="1"/>
  <c r="C6546" i="1"/>
  <c r="B6547" i="1"/>
  <c r="C6547" i="1"/>
  <c r="B6548" i="1"/>
  <c r="C6548" i="1"/>
  <c r="B6549" i="1"/>
  <c r="C6549" i="1"/>
  <c r="B6550" i="1"/>
  <c r="C6550" i="1"/>
  <c r="B6551" i="1"/>
  <c r="C6551" i="1"/>
  <c r="B6552" i="1"/>
  <c r="C6552" i="1"/>
  <c r="B6553" i="1"/>
  <c r="C6553" i="1"/>
  <c r="B6554" i="1"/>
  <c r="C6554" i="1"/>
  <c r="B6555" i="1"/>
  <c r="C6555" i="1"/>
  <c r="B6556" i="1"/>
  <c r="C6556" i="1"/>
  <c r="B6557" i="1"/>
  <c r="C6557" i="1"/>
  <c r="B6558" i="1"/>
  <c r="C6558" i="1"/>
  <c r="B6559" i="1"/>
  <c r="C6559" i="1"/>
  <c r="B6560" i="1"/>
  <c r="C6560" i="1"/>
  <c r="B6561" i="1"/>
  <c r="C6561" i="1"/>
  <c r="B6562" i="1"/>
  <c r="C6562" i="1"/>
  <c r="B6563" i="1"/>
  <c r="C6563" i="1"/>
  <c r="B6564" i="1"/>
  <c r="C6564" i="1"/>
  <c r="B6565" i="1"/>
  <c r="C6565" i="1"/>
  <c r="B6566" i="1"/>
  <c r="C6566" i="1"/>
  <c r="B6567" i="1"/>
  <c r="C6567" i="1"/>
  <c r="B6568" i="1"/>
  <c r="C6568" i="1"/>
  <c r="B6569" i="1"/>
  <c r="C6569" i="1"/>
  <c r="B6570" i="1"/>
  <c r="C6570" i="1"/>
  <c r="B6571" i="1"/>
  <c r="C6571" i="1"/>
  <c r="B6572" i="1"/>
  <c r="C6572" i="1"/>
  <c r="B6573" i="1"/>
  <c r="C6573" i="1"/>
  <c r="B6574" i="1"/>
  <c r="C6574" i="1"/>
  <c r="B6575" i="1"/>
  <c r="C6575" i="1"/>
  <c r="B6576" i="1"/>
  <c r="C6576" i="1"/>
  <c r="B6577" i="1"/>
  <c r="C6577" i="1"/>
  <c r="B6578" i="1"/>
  <c r="C6578" i="1"/>
  <c r="B6579" i="1"/>
  <c r="C6579" i="1"/>
  <c r="B6580" i="1"/>
  <c r="C6580" i="1"/>
  <c r="B6581" i="1"/>
  <c r="C6581" i="1"/>
  <c r="B6582" i="1"/>
  <c r="C6582" i="1"/>
  <c r="B6583" i="1"/>
  <c r="C6583" i="1"/>
  <c r="B6584" i="1"/>
  <c r="C6584" i="1"/>
  <c r="B6585" i="1"/>
  <c r="C6585" i="1"/>
  <c r="B6586" i="1"/>
  <c r="C6586" i="1"/>
  <c r="B6587" i="1"/>
  <c r="C6587" i="1"/>
  <c r="B6588" i="1"/>
  <c r="C6588" i="1"/>
  <c r="B6589" i="1"/>
  <c r="C6589" i="1"/>
  <c r="B6590" i="1"/>
  <c r="C6590" i="1"/>
  <c r="B6591" i="1"/>
  <c r="C6591" i="1"/>
  <c r="B6592" i="1"/>
  <c r="C6592" i="1"/>
  <c r="B6593" i="1"/>
  <c r="C6593" i="1"/>
  <c r="B6594" i="1"/>
  <c r="C6594" i="1"/>
  <c r="B6595" i="1"/>
  <c r="C6595" i="1"/>
  <c r="B6596" i="1"/>
  <c r="C6596" i="1"/>
  <c r="B6597" i="1"/>
  <c r="C6597" i="1"/>
  <c r="B6598" i="1"/>
  <c r="C6598" i="1"/>
  <c r="B6599" i="1"/>
  <c r="C6599" i="1"/>
  <c r="B6600" i="1"/>
  <c r="C6600" i="1"/>
  <c r="B6601" i="1"/>
  <c r="C6601" i="1"/>
  <c r="B6602" i="1"/>
  <c r="C6602" i="1"/>
  <c r="B6603" i="1"/>
  <c r="C6603" i="1"/>
  <c r="B6604" i="1"/>
  <c r="C6604" i="1"/>
  <c r="B6605" i="1"/>
  <c r="C6605" i="1"/>
  <c r="B6606" i="1"/>
  <c r="C6606" i="1"/>
  <c r="B6607" i="1"/>
  <c r="C6607" i="1"/>
  <c r="B6608" i="1"/>
  <c r="C6608" i="1"/>
  <c r="B6609" i="1"/>
  <c r="C6609" i="1"/>
  <c r="B6610" i="1"/>
  <c r="C6610" i="1"/>
  <c r="B6611" i="1"/>
  <c r="C6611" i="1"/>
  <c r="B6612" i="1"/>
  <c r="C6612" i="1"/>
  <c r="B6613" i="1"/>
  <c r="C6613" i="1"/>
  <c r="B6614" i="1"/>
  <c r="C6614" i="1"/>
  <c r="B6615" i="1"/>
  <c r="C6615" i="1"/>
  <c r="B6616" i="1"/>
  <c r="C6616" i="1"/>
  <c r="B6617" i="1"/>
  <c r="C6617" i="1"/>
  <c r="B6618" i="1"/>
  <c r="C6618" i="1"/>
  <c r="B6619" i="1"/>
  <c r="C6619" i="1"/>
  <c r="B6620" i="1"/>
  <c r="C6620" i="1"/>
  <c r="B6621" i="1"/>
  <c r="C6621" i="1"/>
  <c r="B6622" i="1"/>
  <c r="C6622" i="1"/>
  <c r="B6623" i="1"/>
  <c r="C6623" i="1"/>
  <c r="B6624" i="1"/>
  <c r="C6624" i="1"/>
  <c r="B6625" i="1"/>
  <c r="C6625" i="1"/>
  <c r="B6626" i="1"/>
  <c r="C6626" i="1"/>
  <c r="B6627" i="1"/>
  <c r="C6627" i="1"/>
  <c r="B6628" i="1"/>
  <c r="C6628" i="1"/>
  <c r="B6629" i="1"/>
  <c r="C6629" i="1"/>
  <c r="B6630" i="1"/>
  <c r="C6630" i="1"/>
  <c r="B6631" i="1"/>
  <c r="C6631" i="1"/>
  <c r="B6632" i="1"/>
  <c r="C6632" i="1"/>
  <c r="B6633" i="1"/>
  <c r="C6633" i="1"/>
  <c r="B6634" i="1"/>
  <c r="C6634" i="1"/>
  <c r="B6635" i="1"/>
  <c r="C6635" i="1"/>
  <c r="B6636" i="1"/>
  <c r="C6636" i="1"/>
  <c r="B6637" i="1"/>
  <c r="C6637" i="1"/>
  <c r="B6638" i="1"/>
  <c r="C6638" i="1"/>
  <c r="B6639" i="1"/>
  <c r="C6639" i="1"/>
  <c r="B6640" i="1"/>
  <c r="C6640" i="1"/>
  <c r="B6641" i="1"/>
  <c r="C6641" i="1"/>
  <c r="B6642" i="1"/>
  <c r="C6642" i="1"/>
  <c r="B6643" i="1"/>
  <c r="C6643" i="1"/>
  <c r="B6644" i="1"/>
  <c r="C6644" i="1"/>
  <c r="B6645" i="1"/>
  <c r="C6645" i="1"/>
  <c r="B6646" i="1"/>
  <c r="C6646" i="1"/>
  <c r="B6647" i="1"/>
  <c r="C6647" i="1"/>
  <c r="B6648" i="1"/>
  <c r="C6648" i="1"/>
  <c r="B6649" i="1"/>
  <c r="C6649" i="1"/>
  <c r="B6650" i="1"/>
  <c r="C6650" i="1"/>
  <c r="B6651" i="1"/>
  <c r="C6651" i="1"/>
  <c r="B6652" i="1"/>
  <c r="C6652" i="1"/>
  <c r="B6653" i="1"/>
  <c r="C6653" i="1"/>
  <c r="B6654" i="1"/>
  <c r="C6654" i="1"/>
  <c r="B6655" i="1"/>
  <c r="C6655" i="1"/>
  <c r="B6656" i="1"/>
  <c r="C6656" i="1"/>
  <c r="B6657" i="1"/>
  <c r="C6657" i="1"/>
  <c r="B6658" i="1"/>
  <c r="C6658" i="1"/>
  <c r="B6659" i="1"/>
  <c r="C6659" i="1"/>
  <c r="B6660" i="1"/>
  <c r="C6660" i="1"/>
  <c r="B6661" i="1"/>
  <c r="C6661" i="1"/>
  <c r="B6662" i="1"/>
  <c r="C6662" i="1"/>
  <c r="B6663" i="1"/>
  <c r="C6663" i="1"/>
  <c r="B6664" i="1"/>
  <c r="C6664" i="1"/>
  <c r="B6665" i="1"/>
  <c r="C6665" i="1"/>
  <c r="B6666" i="1"/>
  <c r="C6666" i="1"/>
  <c r="B6667" i="1"/>
  <c r="C6667" i="1"/>
  <c r="B6668" i="1"/>
  <c r="C6668" i="1"/>
  <c r="B6669" i="1"/>
  <c r="C6669" i="1"/>
  <c r="B6670" i="1"/>
  <c r="C6670" i="1"/>
  <c r="B6671" i="1"/>
  <c r="C6671" i="1"/>
  <c r="B6672" i="1"/>
  <c r="C6672" i="1"/>
  <c r="B6673" i="1"/>
  <c r="C6673" i="1"/>
  <c r="B6674" i="1"/>
  <c r="C6674" i="1"/>
  <c r="B6675" i="1"/>
  <c r="C6675" i="1"/>
  <c r="B6676" i="1"/>
  <c r="C6676" i="1"/>
  <c r="B6677" i="1"/>
  <c r="C6677" i="1"/>
  <c r="B6678" i="1"/>
  <c r="C6678" i="1"/>
  <c r="B6679" i="1"/>
  <c r="C6679" i="1"/>
  <c r="B6680" i="1"/>
  <c r="C6680" i="1"/>
  <c r="B6681" i="1"/>
  <c r="C6681" i="1"/>
  <c r="B6682" i="1"/>
  <c r="C6682" i="1"/>
  <c r="B6683" i="1"/>
  <c r="C6683" i="1"/>
  <c r="B6684" i="1"/>
  <c r="C6684" i="1"/>
  <c r="B6685" i="1"/>
  <c r="C6685" i="1"/>
  <c r="B6686" i="1"/>
  <c r="C6686" i="1"/>
  <c r="B6687" i="1"/>
  <c r="C6687" i="1"/>
  <c r="B6688" i="1"/>
  <c r="C6688" i="1"/>
  <c r="B6689" i="1"/>
  <c r="C6689" i="1"/>
  <c r="B6690" i="1"/>
  <c r="C6690" i="1"/>
  <c r="B6691" i="1"/>
  <c r="C6691" i="1"/>
  <c r="B6692" i="1"/>
  <c r="C6692" i="1"/>
  <c r="B6693" i="1"/>
  <c r="C6693" i="1"/>
  <c r="B6694" i="1"/>
  <c r="C6694" i="1"/>
  <c r="B6695" i="1"/>
  <c r="C6695" i="1"/>
  <c r="B6696" i="1"/>
  <c r="C6696" i="1"/>
  <c r="B6697" i="1"/>
  <c r="C6697" i="1"/>
  <c r="B6698" i="1"/>
  <c r="C6698" i="1"/>
  <c r="B6699" i="1"/>
  <c r="C6699" i="1"/>
  <c r="B6700" i="1"/>
  <c r="C6700" i="1"/>
  <c r="B6701" i="1"/>
  <c r="C6701" i="1"/>
  <c r="B6702" i="1"/>
  <c r="C6702" i="1"/>
  <c r="B6703" i="1"/>
  <c r="C6703" i="1"/>
  <c r="B6704" i="1"/>
  <c r="C6704" i="1"/>
  <c r="B6705" i="1"/>
  <c r="C6705" i="1"/>
  <c r="B6706" i="1"/>
  <c r="C6706" i="1"/>
  <c r="B6707" i="1"/>
  <c r="C6707" i="1"/>
  <c r="B6708" i="1"/>
  <c r="C6708" i="1"/>
  <c r="B6709" i="1"/>
  <c r="C6709" i="1"/>
  <c r="B6710" i="1"/>
  <c r="C6710" i="1"/>
  <c r="B6711" i="1"/>
  <c r="C6711" i="1"/>
  <c r="B6712" i="1"/>
  <c r="C6712" i="1"/>
  <c r="B6713" i="1"/>
  <c r="C6713" i="1"/>
  <c r="B6714" i="1"/>
  <c r="C6714" i="1"/>
  <c r="B6715" i="1"/>
  <c r="C6715" i="1"/>
  <c r="B6716" i="1"/>
  <c r="C6716" i="1"/>
  <c r="B6717" i="1"/>
  <c r="C6717" i="1"/>
  <c r="B6718" i="1"/>
  <c r="C6718" i="1"/>
  <c r="B6719" i="1"/>
  <c r="C6719" i="1"/>
  <c r="B6720" i="1"/>
  <c r="C6720" i="1"/>
  <c r="B6721" i="1"/>
  <c r="C6721" i="1"/>
  <c r="B6722" i="1"/>
  <c r="C6722" i="1"/>
  <c r="B6723" i="1"/>
  <c r="C6723" i="1"/>
  <c r="B6724" i="1"/>
  <c r="C6724" i="1"/>
  <c r="B6725" i="1"/>
  <c r="C6725" i="1"/>
  <c r="B6726" i="1"/>
  <c r="C6726" i="1"/>
  <c r="B6727" i="1"/>
  <c r="C6727" i="1"/>
  <c r="B6728" i="1"/>
  <c r="C6728" i="1"/>
  <c r="B6729" i="1"/>
  <c r="C6729" i="1"/>
  <c r="B6730" i="1"/>
  <c r="C6730" i="1"/>
  <c r="B6731" i="1"/>
  <c r="C6731" i="1"/>
  <c r="B6732" i="1"/>
  <c r="C6732" i="1"/>
  <c r="B6733" i="1"/>
  <c r="C6733" i="1"/>
  <c r="B6734" i="1"/>
  <c r="C6734" i="1"/>
  <c r="B6735" i="1"/>
  <c r="C6735" i="1"/>
  <c r="B6736" i="1"/>
  <c r="C6736" i="1"/>
  <c r="B6737" i="1"/>
  <c r="C6737" i="1"/>
  <c r="B6738" i="1"/>
  <c r="C6738" i="1"/>
  <c r="B6739" i="1"/>
  <c r="C6739" i="1"/>
  <c r="B6740" i="1"/>
  <c r="C6740" i="1"/>
  <c r="B6741" i="1"/>
  <c r="C6741" i="1"/>
  <c r="B6742" i="1"/>
  <c r="C6742" i="1"/>
  <c r="B6743" i="1"/>
  <c r="C6743" i="1"/>
  <c r="B6744" i="1"/>
  <c r="C6744" i="1"/>
  <c r="B6745" i="1"/>
  <c r="C6745" i="1"/>
  <c r="B6746" i="1"/>
  <c r="C6746" i="1"/>
  <c r="B6747" i="1"/>
  <c r="C6747" i="1"/>
  <c r="B6748" i="1"/>
  <c r="C6748" i="1"/>
  <c r="B6749" i="1"/>
  <c r="C6749" i="1"/>
  <c r="B6750" i="1"/>
  <c r="C6750" i="1"/>
  <c r="B6751" i="1"/>
  <c r="C6751" i="1"/>
  <c r="B6752" i="1"/>
  <c r="C6752" i="1"/>
  <c r="B6753" i="1"/>
  <c r="C6753" i="1"/>
  <c r="B6754" i="1"/>
  <c r="C6754" i="1"/>
  <c r="B6755" i="1"/>
  <c r="C6755" i="1"/>
  <c r="B6756" i="1"/>
  <c r="C6756" i="1"/>
  <c r="B6757" i="1"/>
  <c r="C6757" i="1"/>
  <c r="B6758" i="1"/>
  <c r="C6758" i="1"/>
  <c r="B6759" i="1"/>
  <c r="C6759" i="1"/>
  <c r="B6760" i="1"/>
  <c r="C6760" i="1"/>
  <c r="B6761" i="1"/>
  <c r="C6761" i="1"/>
  <c r="B6762" i="1"/>
  <c r="C6762" i="1"/>
  <c r="B6763" i="1"/>
  <c r="C6763" i="1"/>
  <c r="B6764" i="1"/>
  <c r="C6764" i="1"/>
  <c r="B6765" i="1"/>
  <c r="C6765" i="1"/>
  <c r="B6766" i="1"/>
  <c r="C6766" i="1"/>
  <c r="B6767" i="1"/>
  <c r="C6767" i="1"/>
  <c r="B6768" i="1"/>
  <c r="C6768" i="1"/>
  <c r="B6769" i="1"/>
  <c r="C6769" i="1"/>
  <c r="B6770" i="1"/>
  <c r="C6770" i="1"/>
  <c r="B6771" i="1"/>
  <c r="C6771" i="1"/>
  <c r="B6772" i="1"/>
  <c r="C6772" i="1"/>
  <c r="B6773" i="1"/>
  <c r="C6773" i="1"/>
  <c r="B6774" i="1"/>
  <c r="C6774" i="1"/>
  <c r="B6775" i="1"/>
  <c r="C6775" i="1"/>
  <c r="B6776" i="1"/>
  <c r="C6776" i="1"/>
  <c r="B6777" i="1"/>
  <c r="C6777" i="1"/>
  <c r="B6778" i="1"/>
  <c r="C6778" i="1"/>
  <c r="B6779" i="1"/>
  <c r="C6779" i="1"/>
  <c r="B6780" i="1"/>
  <c r="C6780" i="1"/>
  <c r="B6781" i="1"/>
  <c r="C6781" i="1"/>
  <c r="B6782" i="1"/>
  <c r="C6782" i="1"/>
  <c r="B6783" i="1"/>
  <c r="C6783" i="1"/>
  <c r="B6784" i="1"/>
  <c r="C6784" i="1"/>
  <c r="B6785" i="1"/>
  <c r="C6785" i="1"/>
  <c r="B6786" i="1"/>
  <c r="C6786" i="1"/>
  <c r="B6787" i="1"/>
  <c r="C6787" i="1"/>
  <c r="B6788" i="1"/>
  <c r="C6788" i="1"/>
  <c r="B6789" i="1"/>
  <c r="C6789" i="1"/>
  <c r="B6790" i="1"/>
  <c r="C6790" i="1"/>
  <c r="B6791" i="1"/>
  <c r="C6791" i="1"/>
  <c r="B6792" i="1"/>
  <c r="C6792" i="1"/>
  <c r="B6793" i="1"/>
  <c r="C6793" i="1"/>
  <c r="B6794" i="1"/>
  <c r="C6794" i="1"/>
  <c r="B6795" i="1"/>
  <c r="C6795" i="1"/>
  <c r="B6796" i="1"/>
  <c r="C6796" i="1"/>
  <c r="B6797" i="1"/>
  <c r="C6797" i="1"/>
  <c r="B6798" i="1"/>
  <c r="C6798" i="1"/>
  <c r="B6799" i="1"/>
  <c r="C6799" i="1"/>
  <c r="B6800" i="1"/>
  <c r="C6800" i="1"/>
  <c r="B6801" i="1"/>
  <c r="C6801" i="1"/>
  <c r="B6802" i="1"/>
  <c r="C6802" i="1"/>
  <c r="B6803" i="1"/>
  <c r="C6803" i="1"/>
  <c r="B6804" i="1"/>
  <c r="C6804" i="1"/>
  <c r="B6805" i="1"/>
  <c r="C6805" i="1"/>
  <c r="B6806" i="1"/>
  <c r="C6806" i="1"/>
  <c r="B6807" i="1"/>
  <c r="C6807" i="1"/>
  <c r="B6808" i="1"/>
  <c r="C6808" i="1"/>
  <c r="B6809" i="1"/>
  <c r="C6809" i="1"/>
  <c r="B6810" i="1"/>
  <c r="C6810" i="1"/>
  <c r="B6811" i="1"/>
  <c r="C6811" i="1"/>
  <c r="B6812" i="1"/>
  <c r="C6812" i="1"/>
  <c r="B6813" i="1"/>
  <c r="C6813" i="1"/>
  <c r="B6814" i="1"/>
  <c r="C6814" i="1"/>
  <c r="B6815" i="1"/>
  <c r="C6815" i="1"/>
  <c r="B6816" i="1"/>
  <c r="C6816" i="1"/>
  <c r="B6817" i="1"/>
  <c r="C6817" i="1"/>
  <c r="B6818" i="1"/>
  <c r="C6818" i="1"/>
  <c r="B6819" i="1"/>
  <c r="C6819" i="1"/>
  <c r="B6820" i="1"/>
  <c r="C6820" i="1"/>
  <c r="B6821" i="1"/>
  <c r="C6821" i="1"/>
  <c r="B6822" i="1"/>
  <c r="C6822" i="1"/>
  <c r="B6823" i="1"/>
  <c r="C6823" i="1"/>
  <c r="B6824" i="1"/>
  <c r="C6824" i="1"/>
  <c r="B6825" i="1"/>
  <c r="C6825" i="1"/>
  <c r="B6826" i="1"/>
  <c r="C6826" i="1"/>
  <c r="B6827" i="1"/>
  <c r="C6827" i="1"/>
  <c r="B6828" i="1"/>
  <c r="C6828" i="1"/>
  <c r="B6829" i="1"/>
  <c r="C6829" i="1"/>
  <c r="B6830" i="1"/>
  <c r="C6830" i="1"/>
  <c r="B6831" i="1"/>
  <c r="C6831" i="1"/>
  <c r="B6832" i="1"/>
  <c r="C6832" i="1"/>
  <c r="B6833" i="1"/>
  <c r="C6833" i="1"/>
  <c r="B6834" i="1"/>
  <c r="C6834" i="1"/>
  <c r="B6835" i="1"/>
  <c r="C6835" i="1"/>
  <c r="B6836" i="1"/>
  <c r="C6836" i="1"/>
  <c r="B6837" i="1"/>
  <c r="C6837" i="1"/>
  <c r="B6838" i="1"/>
  <c r="C6838" i="1"/>
  <c r="B6839" i="1"/>
  <c r="C6839" i="1"/>
  <c r="B6840" i="1"/>
  <c r="C6840" i="1"/>
  <c r="B6841" i="1"/>
  <c r="C6841" i="1"/>
  <c r="B6842" i="1"/>
  <c r="C6842" i="1"/>
  <c r="B6843" i="1"/>
  <c r="C6843" i="1"/>
  <c r="B6844" i="1"/>
  <c r="C6844" i="1"/>
  <c r="B6845" i="1"/>
  <c r="C6845" i="1"/>
  <c r="B6846" i="1"/>
  <c r="C6846" i="1"/>
  <c r="B6847" i="1"/>
  <c r="C6847" i="1"/>
  <c r="B6848" i="1"/>
  <c r="C6848" i="1"/>
  <c r="B6849" i="1"/>
  <c r="C6849" i="1"/>
  <c r="B6850" i="1"/>
  <c r="C6850" i="1"/>
  <c r="B6851" i="1"/>
  <c r="C6851" i="1"/>
  <c r="B6852" i="1"/>
  <c r="C6852" i="1"/>
  <c r="B6853" i="1"/>
  <c r="C6853" i="1"/>
  <c r="B6854" i="1"/>
  <c r="C6854" i="1"/>
  <c r="B6855" i="1"/>
  <c r="C6855" i="1"/>
  <c r="B6856" i="1"/>
  <c r="C6856" i="1"/>
  <c r="B6857" i="1"/>
  <c r="C6857" i="1"/>
  <c r="B6858" i="1"/>
  <c r="C6858" i="1"/>
  <c r="B6859" i="1"/>
  <c r="C6859" i="1"/>
  <c r="B6860" i="1"/>
  <c r="C6860" i="1"/>
  <c r="B6861" i="1"/>
  <c r="C6861" i="1"/>
  <c r="B6862" i="1"/>
  <c r="C6862" i="1"/>
  <c r="B6863" i="1"/>
  <c r="C6863" i="1"/>
  <c r="B6864" i="1"/>
  <c r="C6864" i="1"/>
  <c r="B6865" i="1"/>
  <c r="C6865" i="1"/>
  <c r="B6866" i="1"/>
  <c r="C6866" i="1"/>
  <c r="B6867" i="1"/>
  <c r="C6867" i="1"/>
  <c r="B6868" i="1"/>
  <c r="C6868" i="1"/>
  <c r="B6869" i="1"/>
  <c r="C6869" i="1"/>
  <c r="B6870" i="1"/>
  <c r="C6870" i="1"/>
  <c r="B6871" i="1"/>
  <c r="C6871" i="1"/>
  <c r="B6872" i="1"/>
  <c r="C6872" i="1"/>
  <c r="B6873" i="1"/>
  <c r="C6873" i="1"/>
  <c r="B6874" i="1"/>
  <c r="C6874" i="1"/>
  <c r="B6875" i="1"/>
  <c r="C6875" i="1"/>
  <c r="B6876" i="1"/>
  <c r="C6876" i="1"/>
  <c r="B6877" i="1"/>
  <c r="C6877" i="1"/>
  <c r="B6878" i="1"/>
  <c r="C6878" i="1"/>
  <c r="B6879" i="1"/>
  <c r="C6879" i="1"/>
  <c r="B6880" i="1"/>
  <c r="C6880" i="1"/>
  <c r="B6881" i="1"/>
  <c r="C6881" i="1"/>
  <c r="B6882" i="1"/>
  <c r="C6882" i="1"/>
  <c r="B6883" i="1"/>
  <c r="C6883" i="1"/>
  <c r="B6884" i="1"/>
  <c r="C6884" i="1"/>
  <c r="B6885" i="1"/>
  <c r="C6885" i="1"/>
  <c r="B6886" i="1"/>
  <c r="C6886" i="1"/>
  <c r="B6887" i="1"/>
  <c r="C6887" i="1"/>
  <c r="B6888" i="1"/>
  <c r="C6888" i="1"/>
  <c r="B6889" i="1"/>
  <c r="C6889" i="1"/>
  <c r="B6890" i="1"/>
  <c r="C6890" i="1"/>
  <c r="B6891" i="1"/>
  <c r="C6891" i="1"/>
  <c r="B6892" i="1"/>
  <c r="C6892" i="1"/>
  <c r="B6893" i="1"/>
  <c r="C6893" i="1"/>
  <c r="B6894" i="1"/>
  <c r="C6894" i="1"/>
  <c r="B6895" i="1"/>
  <c r="C6895" i="1"/>
  <c r="B6896" i="1"/>
  <c r="C6896" i="1"/>
  <c r="B6897" i="1"/>
  <c r="C6897" i="1"/>
  <c r="B6898" i="1"/>
  <c r="C6898" i="1"/>
  <c r="B6899" i="1"/>
  <c r="C6899" i="1"/>
  <c r="B6900" i="1"/>
  <c r="C6900" i="1"/>
  <c r="B6901" i="1"/>
  <c r="C6901" i="1"/>
  <c r="B6902" i="1"/>
  <c r="C6902" i="1"/>
  <c r="B6903" i="1"/>
  <c r="C6903" i="1"/>
  <c r="B6904" i="1"/>
  <c r="C6904" i="1"/>
  <c r="B6905" i="1"/>
  <c r="C6905" i="1"/>
  <c r="B6906" i="1"/>
  <c r="C6906" i="1"/>
  <c r="B6907" i="1"/>
  <c r="C6907" i="1"/>
  <c r="B6908" i="1"/>
  <c r="C6908" i="1"/>
  <c r="B6909" i="1"/>
  <c r="C6909" i="1"/>
  <c r="B6910" i="1"/>
  <c r="C6910" i="1"/>
  <c r="B6911" i="1"/>
  <c r="C6911" i="1"/>
  <c r="B6912" i="1"/>
  <c r="C6912" i="1"/>
  <c r="B6913" i="1"/>
  <c r="C6913" i="1"/>
  <c r="B6914" i="1"/>
  <c r="C6914" i="1"/>
  <c r="B6915" i="1"/>
  <c r="C6915" i="1"/>
  <c r="B6916" i="1"/>
  <c r="C6916" i="1"/>
  <c r="B6917" i="1"/>
  <c r="C6917" i="1"/>
  <c r="B6918" i="1"/>
  <c r="C6918" i="1"/>
  <c r="B6919" i="1"/>
  <c r="C6919" i="1"/>
  <c r="B6920" i="1"/>
  <c r="C6920" i="1"/>
  <c r="B6921" i="1"/>
  <c r="C6921" i="1"/>
  <c r="B6922" i="1"/>
  <c r="C6922" i="1"/>
  <c r="B6923" i="1"/>
  <c r="C6923" i="1"/>
  <c r="B6924" i="1"/>
  <c r="C6924" i="1"/>
  <c r="B6925" i="1"/>
  <c r="C6925" i="1"/>
  <c r="B6926" i="1"/>
  <c r="C6926" i="1"/>
  <c r="B6927" i="1"/>
  <c r="C6927" i="1"/>
  <c r="B6928" i="1"/>
  <c r="C6928" i="1"/>
  <c r="B6929" i="1"/>
  <c r="C6929" i="1"/>
  <c r="B6930" i="1"/>
  <c r="C6930" i="1"/>
  <c r="B6931" i="1"/>
  <c r="C6931" i="1"/>
  <c r="B6932" i="1"/>
  <c r="C6932" i="1"/>
  <c r="B6933" i="1"/>
  <c r="C6933" i="1"/>
  <c r="B6934" i="1"/>
  <c r="C6934" i="1"/>
  <c r="B6935" i="1"/>
  <c r="C6935" i="1"/>
  <c r="B6936" i="1"/>
  <c r="C6936" i="1"/>
  <c r="B6937" i="1"/>
  <c r="C6937" i="1"/>
  <c r="B6938" i="1"/>
  <c r="C6938" i="1"/>
  <c r="B6939" i="1"/>
  <c r="C6939" i="1"/>
  <c r="B6940" i="1"/>
  <c r="C6940" i="1"/>
  <c r="B6941" i="1"/>
  <c r="C6941" i="1"/>
  <c r="B6942" i="1"/>
  <c r="C6942" i="1"/>
  <c r="B6943" i="1"/>
  <c r="C6943" i="1"/>
  <c r="B6944" i="1"/>
  <c r="C6944" i="1"/>
  <c r="B6945" i="1"/>
  <c r="C6945" i="1"/>
  <c r="B6946" i="1"/>
  <c r="C6946" i="1"/>
  <c r="B6947" i="1"/>
  <c r="C6947" i="1"/>
  <c r="B6948" i="1"/>
  <c r="C6948" i="1"/>
  <c r="B6949" i="1"/>
  <c r="C6949" i="1"/>
  <c r="B6950" i="1"/>
  <c r="C6950" i="1"/>
  <c r="B6951" i="1"/>
  <c r="C6951" i="1"/>
  <c r="B6952" i="1"/>
  <c r="C6952" i="1"/>
  <c r="B6953" i="1"/>
  <c r="C6953" i="1"/>
  <c r="B6954" i="1"/>
  <c r="C6954" i="1"/>
  <c r="B6955" i="1"/>
  <c r="C6955" i="1"/>
  <c r="B6956" i="1"/>
  <c r="C6956" i="1"/>
  <c r="B6957" i="1"/>
  <c r="C6957" i="1"/>
  <c r="B6958" i="1"/>
  <c r="C6958" i="1"/>
  <c r="B6959" i="1"/>
  <c r="C6959" i="1"/>
  <c r="B6960" i="1"/>
  <c r="C6960" i="1"/>
  <c r="B6961" i="1"/>
  <c r="C6961" i="1"/>
  <c r="B6962" i="1"/>
  <c r="C6962" i="1"/>
  <c r="B6963" i="1"/>
  <c r="C6963" i="1"/>
  <c r="B6964" i="1"/>
  <c r="C6964" i="1"/>
  <c r="B6965" i="1"/>
  <c r="C6965" i="1"/>
  <c r="B6966" i="1"/>
  <c r="C6966" i="1"/>
  <c r="B6967" i="1"/>
  <c r="C6967" i="1"/>
  <c r="B6968" i="1"/>
  <c r="C6968" i="1"/>
  <c r="B6969" i="1"/>
  <c r="C6969" i="1"/>
  <c r="B6970" i="1"/>
  <c r="C6970" i="1"/>
  <c r="B6971" i="1"/>
  <c r="C6971" i="1"/>
  <c r="B6972" i="1"/>
  <c r="C6972" i="1"/>
  <c r="B6973" i="1"/>
  <c r="C6973" i="1"/>
  <c r="B6974" i="1"/>
  <c r="C6974" i="1"/>
  <c r="B6975" i="1"/>
  <c r="C6975" i="1"/>
  <c r="B6976" i="1"/>
  <c r="C6976" i="1"/>
  <c r="B6977" i="1"/>
  <c r="C6977" i="1"/>
  <c r="B6978" i="1"/>
  <c r="C6978" i="1"/>
  <c r="B6979" i="1"/>
  <c r="C6979" i="1"/>
  <c r="B6980" i="1"/>
  <c r="C6980" i="1"/>
  <c r="B6981" i="1"/>
  <c r="C6981" i="1"/>
  <c r="B6982" i="1"/>
  <c r="C6982" i="1"/>
  <c r="B6983" i="1"/>
  <c r="C6983" i="1"/>
  <c r="B6984" i="1"/>
  <c r="C6984" i="1"/>
  <c r="B6985" i="1"/>
  <c r="C6985" i="1"/>
  <c r="B6986" i="1"/>
  <c r="C6986" i="1"/>
  <c r="B6987" i="1"/>
  <c r="C6987" i="1"/>
  <c r="B6988" i="1"/>
  <c r="C6988" i="1"/>
  <c r="B6989" i="1"/>
  <c r="C6989" i="1"/>
  <c r="B6990" i="1"/>
  <c r="C6990" i="1"/>
  <c r="B6991" i="1"/>
  <c r="C6991" i="1"/>
  <c r="B6992" i="1"/>
  <c r="C6992" i="1"/>
  <c r="B6993" i="1"/>
  <c r="C6993" i="1"/>
  <c r="B6994" i="1"/>
  <c r="C6994" i="1"/>
  <c r="B6995" i="1"/>
  <c r="C6995" i="1"/>
  <c r="B6996" i="1"/>
  <c r="C6996" i="1"/>
  <c r="B6997" i="1"/>
  <c r="C6997" i="1"/>
  <c r="B6998" i="1"/>
  <c r="C6998" i="1"/>
  <c r="B6999" i="1"/>
  <c r="C6999" i="1"/>
  <c r="B7000" i="1"/>
  <c r="C7000" i="1"/>
  <c r="B7001" i="1"/>
  <c r="C7001" i="1"/>
  <c r="B7002" i="1"/>
  <c r="C7002" i="1"/>
  <c r="B7003" i="1"/>
  <c r="C7003" i="1"/>
  <c r="B7004" i="1"/>
  <c r="C7004" i="1"/>
  <c r="B7005" i="1"/>
  <c r="C7005" i="1"/>
  <c r="B7006" i="1"/>
  <c r="C7006" i="1"/>
  <c r="B7007" i="1"/>
  <c r="C7007" i="1"/>
  <c r="B7008" i="1"/>
  <c r="C7008" i="1"/>
  <c r="B7009" i="1"/>
  <c r="C7009" i="1"/>
  <c r="B7010" i="1"/>
  <c r="C7010" i="1"/>
  <c r="B7011" i="1"/>
  <c r="C7011" i="1"/>
  <c r="B7012" i="1"/>
  <c r="C7012" i="1"/>
  <c r="B7013" i="1"/>
  <c r="C7013" i="1"/>
  <c r="B7014" i="1"/>
  <c r="C7014" i="1"/>
  <c r="B7015" i="1"/>
  <c r="C7015" i="1"/>
  <c r="B7016" i="1"/>
  <c r="C7016" i="1"/>
  <c r="B7017" i="1"/>
  <c r="C7017" i="1"/>
  <c r="B7018" i="1"/>
  <c r="C7018" i="1"/>
  <c r="B7019" i="1"/>
  <c r="C7019" i="1"/>
  <c r="B7020" i="1"/>
  <c r="C7020" i="1"/>
  <c r="B7021" i="1"/>
  <c r="C7021" i="1"/>
  <c r="B7022" i="1"/>
  <c r="C7022" i="1"/>
  <c r="B7023" i="1"/>
  <c r="C7023" i="1"/>
  <c r="B7024" i="1"/>
  <c r="C7024" i="1"/>
  <c r="B7025" i="1"/>
  <c r="C7025" i="1"/>
  <c r="B7026" i="1"/>
  <c r="C7026" i="1"/>
  <c r="B7027" i="1"/>
  <c r="C7027" i="1"/>
  <c r="B7028" i="1"/>
  <c r="C7028" i="1"/>
  <c r="B7029" i="1"/>
  <c r="C7029" i="1"/>
  <c r="B7030" i="1"/>
  <c r="C7030" i="1"/>
  <c r="B7031" i="1"/>
  <c r="C7031" i="1"/>
  <c r="B7032" i="1"/>
  <c r="C7032" i="1"/>
  <c r="B7033" i="1"/>
  <c r="C7033" i="1"/>
  <c r="B7034" i="1"/>
  <c r="C7034" i="1"/>
  <c r="B7035" i="1"/>
  <c r="C7035" i="1"/>
  <c r="B7036" i="1"/>
  <c r="C7036" i="1"/>
  <c r="B7037" i="1"/>
  <c r="C7037" i="1"/>
  <c r="B7038" i="1"/>
  <c r="C7038" i="1"/>
  <c r="B7039" i="1"/>
  <c r="C7039" i="1"/>
  <c r="B7040" i="1"/>
  <c r="C7040" i="1"/>
  <c r="B7041" i="1"/>
  <c r="C7041" i="1"/>
  <c r="B7042" i="1"/>
  <c r="C7042" i="1"/>
  <c r="B7043" i="1"/>
  <c r="C7043" i="1"/>
  <c r="B7044" i="1"/>
  <c r="C7044" i="1"/>
  <c r="B7045" i="1"/>
  <c r="C7045" i="1"/>
  <c r="B7046" i="1"/>
  <c r="C7046" i="1"/>
  <c r="B7047" i="1"/>
  <c r="C7047" i="1"/>
  <c r="B7048" i="1"/>
  <c r="C7048" i="1"/>
  <c r="B7049" i="1"/>
  <c r="C7049" i="1"/>
  <c r="B7050" i="1"/>
  <c r="C7050" i="1"/>
  <c r="B7051" i="1"/>
  <c r="C7051" i="1"/>
  <c r="B7052" i="1"/>
  <c r="C7052" i="1"/>
  <c r="B7053" i="1"/>
  <c r="C7053" i="1"/>
  <c r="B7054" i="1"/>
  <c r="C7054" i="1"/>
  <c r="B7055" i="1"/>
  <c r="C7055" i="1"/>
  <c r="B7056" i="1"/>
  <c r="C7056" i="1"/>
  <c r="B7057" i="1"/>
  <c r="C7057" i="1"/>
  <c r="B7058" i="1"/>
  <c r="C7058" i="1"/>
  <c r="B7059" i="1"/>
  <c r="C7059" i="1"/>
  <c r="B7060" i="1"/>
  <c r="C7060" i="1"/>
  <c r="B7061" i="1"/>
  <c r="C7061" i="1"/>
  <c r="B7062" i="1"/>
  <c r="C7062" i="1"/>
  <c r="B7063" i="1"/>
  <c r="C7063" i="1"/>
  <c r="B7064" i="1"/>
  <c r="C7064" i="1"/>
  <c r="B7065" i="1"/>
  <c r="C7065" i="1"/>
  <c r="B7066" i="1"/>
  <c r="C7066" i="1"/>
  <c r="B7067" i="1"/>
  <c r="C7067" i="1"/>
  <c r="B7068" i="1"/>
  <c r="C7068" i="1"/>
  <c r="B7069" i="1"/>
  <c r="C7069" i="1"/>
  <c r="B7070" i="1"/>
  <c r="C7070" i="1"/>
  <c r="B7071" i="1"/>
  <c r="C7071" i="1"/>
  <c r="B7072" i="1"/>
  <c r="C7072" i="1"/>
  <c r="B7073" i="1"/>
  <c r="C7073" i="1"/>
  <c r="B7074" i="1"/>
  <c r="C7074" i="1"/>
  <c r="B7075" i="1"/>
  <c r="C7075" i="1"/>
  <c r="B7076" i="1"/>
  <c r="C7076" i="1"/>
  <c r="B7077" i="1"/>
  <c r="C7077" i="1"/>
  <c r="B7078" i="1"/>
  <c r="C7078" i="1"/>
  <c r="B7079" i="1"/>
  <c r="C7079" i="1"/>
  <c r="B7080" i="1"/>
  <c r="C7080" i="1"/>
  <c r="B7081" i="1"/>
  <c r="C7081" i="1"/>
  <c r="B7082" i="1"/>
  <c r="C7082" i="1"/>
  <c r="B7083" i="1"/>
  <c r="C7083" i="1"/>
  <c r="B7084" i="1"/>
  <c r="C7084" i="1"/>
  <c r="B7085" i="1"/>
  <c r="C7085" i="1"/>
  <c r="B7086" i="1"/>
  <c r="C7086" i="1"/>
  <c r="B7087" i="1"/>
  <c r="C7087" i="1"/>
  <c r="B7088" i="1"/>
  <c r="C7088" i="1"/>
  <c r="B7089" i="1"/>
  <c r="C7089" i="1"/>
  <c r="B7090" i="1"/>
  <c r="C7090" i="1"/>
  <c r="B7091" i="1"/>
  <c r="C7091" i="1"/>
  <c r="B7092" i="1"/>
  <c r="C7092" i="1"/>
  <c r="B7093" i="1"/>
  <c r="C7093" i="1"/>
  <c r="B7094" i="1"/>
  <c r="C7094" i="1"/>
  <c r="B7095" i="1"/>
  <c r="C7095" i="1"/>
  <c r="B7096" i="1"/>
  <c r="C7096" i="1"/>
  <c r="B7097" i="1"/>
  <c r="C7097" i="1"/>
  <c r="B7098" i="1"/>
  <c r="C7098" i="1"/>
  <c r="B7099" i="1"/>
  <c r="C7099" i="1"/>
  <c r="B7100" i="1"/>
  <c r="C7100" i="1"/>
  <c r="B7101" i="1"/>
  <c r="C7101" i="1"/>
  <c r="B7102" i="1"/>
  <c r="C7102" i="1"/>
  <c r="B7103" i="1"/>
  <c r="C7103" i="1"/>
  <c r="B7104" i="1"/>
  <c r="C7104" i="1"/>
  <c r="B7105" i="1"/>
  <c r="C7105" i="1"/>
  <c r="B7106" i="1"/>
  <c r="C7106" i="1"/>
  <c r="B7107" i="1"/>
  <c r="C7107" i="1"/>
  <c r="B7108" i="1"/>
  <c r="C7108" i="1"/>
  <c r="B7109" i="1"/>
  <c r="C7109" i="1"/>
  <c r="B7110" i="1"/>
  <c r="C7110" i="1"/>
  <c r="B7111" i="1"/>
  <c r="C7111" i="1"/>
  <c r="B7112" i="1"/>
  <c r="C7112" i="1"/>
  <c r="B7113" i="1"/>
  <c r="C7113" i="1"/>
  <c r="B7114" i="1"/>
  <c r="C7114" i="1"/>
  <c r="B7115" i="1"/>
  <c r="C7115" i="1"/>
  <c r="B7116" i="1"/>
  <c r="C7116" i="1"/>
  <c r="B7117" i="1"/>
  <c r="C7117" i="1"/>
  <c r="B7118" i="1"/>
  <c r="C7118" i="1"/>
  <c r="B7119" i="1"/>
  <c r="C7119" i="1"/>
  <c r="B7120" i="1"/>
  <c r="C7120" i="1"/>
  <c r="B7121" i="1"/>
  <c r="C7121" i="1"/>
  <c r="B7122" i="1"/>
  <c r="C7122" i="1"/>
  <c r="B7123" i="1"/>
  <c r="C7123" i="1"/>
  <c r="B7124" i="1"/>
  <c r="C7124" i="1"/>
  <c r="B7125" i="1"/>
  <c r="C7125" i="1"/>
  <c r="B7126" i="1"/>
  <c r="C7126" i="1"/>
  <c r="B7127" i="1"/>
  <c r="C7127" i="1"/>
  <c r="B7128" i="1"/>
  <c r="C7128" i="1"/>
  <c r="B7129" i="1"/>
  <c r="C7129" i="1"/>
  <c r="B7130" i="1"/>
  <c r="C7130" i="1"/>
  <c r="B7131" i="1"/>
  <c r="C7131" i="1"/>
  <c r="B7132" i="1"/>
  <c r="C7132" i="1"/>
  <c r="B7133" i="1"/>
  <c r="C7133" i="1"/>
  <c r="B7134" i="1"/>
  <c r="C7134" i="1"/>
  <c r="B7135" i="1"/>
  <c r="C7135" i="1"/>
  <c r="B7136" i="1"/>
  <c r="C7136" i="1"/>
  <c r="B7137" i="1"/>
  <c r="C7137" i="1"/>
  <c r="B7138" i="1"/>
  <c r="C7138" i="1"/>
  <c r="B7139" i="1"/>
  <c r="C7139" i="1"/>
  <c r="B7140" i="1"/>
  <c r="C7140" i="1"/>
  <c r="B7141" i="1"/>
  <c r="C7141" i="1"/>
  <c r="B7142" i="1"/>
  <c r="C7142" i="1"/>
  <c r="B7143" i="1"/>
  <c r="C7143" i="1"/>
  <c r="B7144" i="1"/>
  <c r="C7144" i="1"/>
  <c r="B7145" i="1"/>
  <c r="C7145" i="1"/>
  <c r="B7146" i="1"/>
  <c r="C7146" i="1"/>
  <c r="B7147" i="1"/>
  <c r="C7147" i="1"/>
  <c r="B7148" i="1"/>
  <c r="C7148" i="1"/>
  <c r="B7149" i="1"/>
  <c r="C7149" i="1"/>
  <c r="B7150" i="1"/>
  <c r="C7150" i="1"/>
  <c r="B7151" i="1"/>
  <c r="C7151" i="1"/>
  <c r="B7152" i="1"/>
  <c r="C7152" i="1"/>
  <c r="B7153" i="1"/>
  <c r="C7153" i="1"/>
  <c r="B7154" i="1"/>
  <c r="C7154" i="1"/>
  <c r="B7155" i="1"/>
  <c r="C7155" i="1"/>
  <c r="B7156" i="1"/>
  <c r="C7156" i="1"/>
  <c r="B7157" i="1"/>
  <c r="C7157" i="1"/>
  <c r="B7158" i="1"/>
  <c r="C7158" i="1"/>
  <c r="B7159" i="1"/>
  <c r="C7159" i="1"/>
  <c r="B7160" i="1"/>
  <c r="C7160" i="1"/>
  <c r="B7161" i="1"/>
  <c r="C7161" i="1"/>
  <c r="B7162" i="1"/>
  <c r="C7162" i="1"/>
  <c r="B7163" i="1"/>
  <c r="C7163" i="1"/>
  <c r="B7164" i="1"/>
  <c r="C7164" i="1"/>
  <c r="B7165" i="1"/>
  <c r="C7165" i="1"/>
  <c r="B7166" i="1"/>
  <c r="C7166" i="1"/>
  <c r="B7167" i="1"/>
  <c r="C7167" i="1"/>
  <c r="B7168" i="1"/>
  <c r="C7168" i="1"/>
  <c r="B7169" i="1"/>
  <c r="C7169" i="1"/>
  <c r="B7170" i="1"/>
  <c r="C7170" i="1"/>
  <c r="B7171" i="1"/>
  <c r="C7171" i="1"/>
  <c r="B7172" i="1"/>
  <c r="C7172" i="1"/>
  <c r="B7173" i="1"/>
  <c r="C7173" i="1"/>
  <c r="B7174" i="1"/>
  <c r="C7174" i="1"/>
  <c r="B7175" i="1"/>
  <c r="C7175" i="1"/>
  <c r="B7176" i="1"/>
  <c r="C7176" i="1"/>
  <c r="B7177" i="1"/>
  <c r="C7177" i="1"/>
  <c r="B7178" i="1"/>
  <c r="C7178" i="1"/>
  <c r="B7179" i="1"/>
  <c r="C7179" i="1"/>
  <c r="B7180" i="1"/>
  <c r="C7180" i="1"/>
  <c r="B7181" i="1"/>
  <c r="C7181" i="1"/>
  <c r="B7182" i="1"/>
  <c r="C7182" i="1"/>
  <c r="B7183" i="1"/>
  <c r="C7183" i="1"/>
  <c r="B7184" i="1"/>
  <c r="C7184" i="1"/>
  <c r="B7185" i="1"/>
  <c r="C7185" i="1"/>
  <c r="B7186" i="1"/>
  <c r="C7186" i="1"/>
  <c r="B7187" i="1"/>
  <c r="C7187" i="1"/>
  <c r="B7188" i="1"/>
  <c r="C7188" i="1"/>
  <c r="B7189" i="1"/>
  <c r="C7189" i="1"/>
  <c r="B7190" i="1"/>
  <c r="C7190" i="1"/>
  <c r="B7191" i="1"/>
  <c r="C7191" i="1"/>
  <c r="B7192" i="1"/>
  <c r="C7192" i="1"/>
  <c r="B7193" i="1"/>
  <c r="C7193" i="1"/>
  <c r="B7194" i="1"/>
  <c r="C7194" i="1"/>
  <c r="B7195" i="1"/>
  <c r="C7195" i="1"/>
  <c r="B7196" i="1"/>
  <c r="C7196" i="1"/>
  <c r="B7197" i="1"/>
  <c r="C7197" i="1"/>
  <c r="B7198" i="1"/>
  <c r="C7198" i="1"/>
  <c r="B7199" i="1"/>
  <c r="C7199" i="1"/>
  <c r="B7200" i="1"/>
  <c r="C7200" i="1"/>
  <c r="B7201" i="1"/>
  <c r="C7201" i="1"/>
  <c r="B7202" i="1"/>
  <c r="C7202" i="1"/>
  <c r="B7203" i="1"/>
  <c r="C7203" i="1"/>
  <c r="B7204" i="1"/>
  <c r="C7204" i="1"/>
  <c r="B7205" i="1"/>
  <c r="C7205" i="1"/>
  <c r="B7206" i="1"/>
  <c r="C7206" i="1"/>
  <c r="B7207" i="1"/>
  <c r="C7207" i="1"/>
  <c r="B7208" i="1"/>
  <c r="C7208" i="1"/>
  <c r="B7209" i="1"/>
  <c r="C7209" i="1"/>
  <c r="B7210" i="1"/>
  <c r="C7210" i="1"/>
  <c r="B7211" i="1"/>
  <c r="C7211" i="1"/>
  <c r="B7212" i="1"/>
  <c r="C7212" i="1"/>
  <c r="B7213" i="1"/>
  <c r="C7213" i="1"/>
  <c r="B7214" i="1"/>
  <c r="C7214" i="1"/>
  <c r="B7215" i="1"/>
  <c r="C7215" i="1"/>
  <c r="B7216" i="1"/>
  <c r="C7216" i="1"/>
  <c r="B7217" i="1"/>
  <c r="C7217" i="1"/>
  <c r="B7218" i="1"/>
  <c r="C7218" i="1"/>
  <c r="B7219" i="1"/>
  <c r="C7219" i="1"/>
  <c r="B7220" i="1"/>
  <c r="C7220" i="1"/>
  <c r="B7221" i="1"/>
  <c r="C7221" i="1"/>
  <c r="B7222" i="1"/>
  <c r="C7222" i="1"/>
  <c r="B7223" i="1"/>
  <c r="C7223" i="1"/>
  <c r="B7224" i="1"/>
  <c r="C7224" i="1"/>
  <c r="B7225" i="1"/>
  <c r="C7225" i="1"/>
  <c r="B7226" i="1"/>
  <c r="C7226" i="1"/>
  <c r="B7227" i="1"/>
  <c r="C7227" i="1"/>
  <c r="B7228" i="1"/>
  <c r="C7228" i="1"/>
  <c r="B7229" i="1"/>
  <c r="C7229" i="1"/>
  <c r="B7230" i="1"/>
  <c r="C7230" i="1"/>
  <c r="B7231" i="1"/>
  <c r="C7231" i="1"/>
  <c r="B7232" i="1"/>
  <c r="C7232" i="1"/>
  <c r="B7233" i="1"/>
  <c r="C7233" i="1"/>
  <c r="B7234" i="1"/>
  <c r="C7234" i="1"/>
  <c r="B7235" i="1"/>
  <c r="C7235" i="1"/>
  <c r="B7236" i="1"/>
  <c r="C7236" i="1"/>
  <c r="B7237" i="1"/>
  <c r="C7237" i="1"/>
  <c r="B7238" i="1"/>
  <c r="C7238" i="1"/>
  <c r="B7239" i="1"/>
  <c r="C7239" i="1"/>
  <c r="B7240" i="1"/>
  <c r="C7240" i="1"/>
  <c r="B7241" i="1"/>
  <c r="C7241" i="1"/>
  <c r="B7242" i="1"/>
  <c r="C7242" i="1"/>
  <c r="B7243" i="1"/>
  <c r="C7243" i="1"/>
  <c r="B7244" i="1"/>
  <c r="C7244" i="1"/>
  <c r="B7245" i="1"/>
  <c r="C7245" i="1"/>
  <c r="B7246" i="1"/>
  <c r="C7246" i="1"/>
  <c r="B7247" i="1"/>
  <c r="C7247" i="1"/>
  <c r="B7248" i="1"/>
  <c r="C7248" i="1"/>
  <c r="B7249" i="1"/>
  <c r="C7249" i="1"/>
  <c r="B7250" i="1"/>
  <c r="C7250" i="1"/>
  <c r="B7251" i="1"/>
  <c r="C7251" i="1"/>
  <c r="B7252" i="1"/>
  <c r="C7252" i="1"/>
  <c r="B7253" i="1"/>
  <c r="C7253" i="1"/>
  <c r="B7254" i="1"/>
  <c r="C7254" i="1"/>
  <c r="B7255" i="1"/>
  <c r="C7255" i="1"/>
  <c r="B7256" i="1"/>
  <c r="C7256" i="1"/>
  <c r="B7257" i="1"/>
  <c r="C7257" i="1"/>
  <c r="B7258" i="1"/>
  <c r="C7258" i="1"/>
  <c r="B7259" i="1"/>
  <c r="C7259" i="1"/>
  <c r="B7260" i="1"/>
  <c r="C7260" i="1"/>
  <c r="B7261" i="1"/>
  <c r="C7261" i="1"/>
  <c r="B7262" i="1"/>
  <c r="C7262" i="1"/>
  <c r="B7263" i="1"/>
  <c r="C7263" i="1"/>
  <c r="B7264" i="1"/>
  <c r="C7264" i="1"/>
  <c r="B7265" i="1"/>
  <c r="C7265" i="1"/>
  <c r="B7266" i="1"/>
  <c r="C7266" i="1"/>
  <c r="B7267" i="1"/>
  <c r="C7267" i="1"/>
  <c r="B7268" i="1"/>
  <c r="C7268" i="1"/>
  <c r="B7269" i="1"/>
  <c r="C7269" i="1"/>
  <c r="B7270" i="1"/>
  <c r="C7270" i="1"/>
  <c r="B7271" i="1"/>
  <c r="C7271" i="1"/>
  <c r="B7272" i="1"/>
  <c r="C7272" i="1"/>
  <c r="B7273" i="1"/>
  <c r="C7273" i="1"/>
  <c r="B7274" i="1"/>
  <c r="C7274" i="1"/>
  <c r="B7275" i="1"/>
  <c r="C7275" i="1"/>
  <c r="B7276" i="1"/>
  <c r="C7276" i="1"/>
  <c r="B7277" i="1"/>
  <c r="C7277" i="1"/>
  <c r="B7278" i="1"/>
  <c r="C7278" i="1"/>
  <c r="B7279" i="1"/>
  <c r="C7279" i="1"/>
  <c r="B7280" i="1"/>
  <c r="C7280" i="1"/>
  <c r="B7281" i="1"/>
  <c r="C7281" i="1"/>
  <c r="B7282" i="1"/>
  <c r="C7282" i="1"/>
  <c r="B7283" i="1"/>
  <c r="C7283" i="1"/>
  <c r="B7284" i="1"/>
  <c r="C7284" i="1"/>
  <c r="B7285" i="1"/>
  <c r="C7285" i="1"/>
  <c r="B7286" i="1"/>
  <c r="C7286" i="1"/>
  <c r="B7287" i="1"/>
  <c r="C7287" i="1"/>
  <c r="B7288" i="1"/>
  <c r="C7288" i="1"/>
  <c r="B7289" i="1"/>
  <c r="C7289" i="1"/>
  <c r="B7290" i="1"/>
  <c r="C7290" i="1"/>
  <c r="B7291" i="1"/>
  <c r="C7291" i="1"/>
  <c r="B7292" i="1"/>
  <c r="C7292" i="1"/>
  <c r="B7293" i="1"/>
  <c r="C7293" i="1"/>
  <c r="B7294" i="1"/>
  <c r="C7294" i="1"/>
  <c r="B7295" i="1"/>
  <c r="C7295" i="1"/>
  <c r="B7296" i="1"/>
  <c r="C7296" i="1"/>
  <c r="B7297" i="1"/>
  <c r="C7297" i="1"/>
  <c r="B7298" i="1"/>
  <c r="C7298" i="1"/>
  <c r="B7299" i="1"/>
  <c r="C7299" i="1"/>
  <c r="B7300" i="1"/>
  <c r="C7300" i="1"/>
  <c r="B7301" i="1"/>
  <c r="C7301" i="1"/>
  <c r="B7302" i="1"/>
  <c r="C7302" i="1"/>
  <c r="B7303" i="1"/>
  <c r="C7303" i="1"/>
  <c r="B7304" i="1"/>
  <c r="C7304" i="1"/>
  <c r="B7305" i="1"/>
  <c r="C7305" i="1"/>
  <c r="B7306" i="1"/>
  <c r="C7306" i="1"/>
  <c r="B7307" i="1"/>
  <c r="C7307" i="1"/>
  <c r="B7308" i="1"/>
  <c r="C7308" i="1"/>
  <c r="B7309" i="1"/>
  <c r="C7309" i="1"/>
  <c r="B7310" i="1"/>
  <c r="C7310" i="1"/>
  <c r="B7311" i="1"/>
  <c r="C7311" i="1"/>
  <c r="B7312" i="1"/>
  <c r="C7312" i="1"/>
  <c r="B7313" i="1"/>
  <c r="C7313" i="1"/>
  <c r="B7314" i="1"/>
  <c r="C7314" i="1"/>
  <c r="B7315" i="1"/>
  <c r="C7315" i="1"/>
  <c r="B7316" i="1"/>
  <c r="C7316" i="1"/>
  <c r="B7317" i="1"/>
  <c r="C7317" i="1"/>
  <c r="B7318" i="1"/>
  <c r="C7318" i="1"/>
  <c r="B7319" i="1"/>
  <c r="C7319" i="1"/>
  <c r="B7320" i="1"/>
  <c r="C7320" i="1"/>
  <c r="B7321" i="1"/>
  <c r="C7321" i="1"/>
  <c r="B7322" i="1"/>
  <c r="C7322" i="1"/>
  <c r="B7323" i="1"/>
  <c r="C7323" i="1"/>
  <c r="B7324" i="1"/>
  <c r="C7324" i="1"/>
  <c r="B7325" i="1"/>
  <c r="C7325" i="1"/>
  <c r="B7326" i="1"/>
  <c r="C7326" i="1"/>
  <c r="B7327" i="1"/>
  <c r="C7327" i="1"/>
  <c r="B7328" i="1"/>
  <c r="C7328" i="1"/>
  <c r="B7329" i="1"/>
  <c r="C7329" i="1"/>
  <c r="B7330" i="1"/>
  <c r="C7330" i="1"/>
  <c r="B7331" i="1"/>
  <c r="C7331" i="1"/>
  <c r="B7332" i="1"/>
  <c r="C7332" i="1"/>
  <c r="B7333" i="1"/>
  <c r="C7333" i="1"/>
  <c r="B7334" i="1"/>
  <c r="C7334" i="1"/>
  <c r="B7335" i="1"/>
  <c r="C7335" i="1"/>
  <c r="B7336" i="1"/>
  <c r="C7336" i="1"/>
  <c r="B7337" i="1"/>
  <c r="C7337" i="1"/>
  <c r="B7338" i="1"/>
  <c r="C7338" i="1"/>
  <c r="B7339" i="1"/>
  <c r="C7339" i="1"/>
  <c r="B7340" i="1"/>
  <c r="C7340" i="1"/>
  <c r="B7341" i="1"/>
  <c r="C7341" i="1"/>
  <c r="B7342" i="1"/>
  <c r="C7342" i="1"/>
  <c r="B7343" i="1"/>
  <c r="C7343" i="1"/>
  <c r="B7344" i="1"/>
  <c r="C7344" i="1"/>
  <c r="B7345" i="1"/>
  <c r="C7345" i="1"/>
  <c r="B7346" i="1"/>
  <c r="C7346" i="1"/>
  <c r="B7347" i="1"/>
  <c r="C7347" i="1"/>
  <c r="B7348" i="1"/>
  <c r="C7348" i="1"/>
  <c r="B7349" i="1"/>
  <c r="C7349" i="1"/>
  <c r="B7350" i="1"/>
  <c r="C7350" i="1"/>
  <c r="B7351" i="1"/>
  <c r="C7351" i="1"/>
  <c r="B7352" i="1"/>
  <c r="C7352" i="1"/>
  <c r="B7353" i="1"/>
  <c r="C7353" i="1"/>
  <c r="B7354" i="1"/>
  <c r="C7354" i="1"/>
  <c r="B7355" i="1"/>
  <c r="C7355" i="1"/>
  <c r="B7356" i="1"/>
  <c r="C7356" i="1"/>
  <c r="B7357" i="1"/>
  <c r="C7357" i="1"/>
  <c r="B7358" i="1"/>
  <c r="C7358" i="1"/>
  <c r="B7359" i="1"/>
  <c r="C7359" i="1"/>
  <c r="B7360" i="1"/>
  <c r="C7360" i="1"/>
  <c r="B7361" i="1"/>
  <c r="C7361" i="1"/>
  <c r="B7362" i="1"/>
  <c r="C7362" i="1"/>
  <c r="B7363" i="1"/>
  <c r="C7363" i="1"/>
  <c r="B7364" i="1"/>
  <c r="C7364" i="1"/>
  <c r="B7365" i="1"/>
  <c r="C7365" i="1"/>
  <c r="B7366" i="1"/>
  <c r="C7366" i="1"/>
  <c r="B7367" i="1"/>
  <c r="C7367" i="1"/>
  <c r="B7368" i="1"/>
  <c r="C7368" i="1"/>
  <c r="B7369" i="1"/>
  <c r="C7369" i="1"/>
  <c r="B7370" i="1"/>
  <c r="C7370" i="1"/>
  <c r="B7371" i="1"/>
  <c r="C7371" i="1"/>
  <c r="B7372" i="1"/>
  <c r="C7372" i="1"/>
  <c r="B7373" i="1"/>
  <c r="C7373" i="1"/>
  <c r="B7374" i="1"/>
  <c r="C7374" i="1"/>
  <c r="B7375" i="1"/>
  <c r="C7375" i="1"/>
  <c r="B7376" i="1"/>
  <c r="C7376" i="1"/>
  <c r="B7377" i="1"/>
  <c r="C7377" i="1"/>
  <c r="B7378" i="1"/>
  <c r="C7378" i="1"/>
  <c r="B7379" i="1"/>
  <c r="C7379" i="1"/>
  <c r="B7380" i="1"/>
  <c r="C7380" i="1"/>
  <c r="B7381" i="1"/>
  <c r="C7381" i="1"/>
  <c r="B7382" i="1"/>
  <c r="C7382" i="1"/>
  <c r="B7383" i="1"/>
  <c r="C7383" i="1"/>
  <c r="B7384" i="1"/>
  <c r="C7384" i="1"/>
  <c r="B7385" i="1"/>
  <c r="C7385" i="1"/>
  <c r="B7386" i="1"/>
  <c r="C7386" i="1"/>
  <c r="B7387" i="1"/>
  <c r="C7387" i="1"/>
  <c r="B7388" i="1"/>
  <c r="C7388" i="1"/>
  <c r="B7389" i="1"/>
  <c r="C7389" i="1"/>
  <c r="B7390" i="1"/>
  <c r="C7390" i="1"/>
  <c r="B7391" i="1"/>
  <c r="C7391" i="1"/>
  <c r="B7392" i="1"/>
  <c r="C7392" i="1"/>
  <c r="B7393" i="1"/>
  <c r="C7393" i="1"/>
  <c r="B7394" i="1"/>
  <c r="C7394" i="1"/>
  <c r="B7395" i="1"/>
  <c r="C7395" i="1"/>
  <c r="B7396" i="1"/>
  <c r="C7396" i="1"/>
  <c r="B7397" i="1"/>
  <c r="C7397" i="1"/>
  <c r="B7398" i="1"/>
  <c r="C7398" i="1"/>
  <c r="B7399" i="1"/>
  <c r="C7399" i="1"/>
  <c r="B7400" i="1"/>
  <c r="C7400" i="1"/>
  <c r="B7401" i="1"/>
  <c r="C7401" i="1"/>
  <c r="B7402" i="1"/>
  <c r="C7402" i="1"/>
  <c r="B7403" i="1"/>
  <c r="C7403" i="1"/>
  <c r="B7404" i="1"/>
  <c r="C7404" i="1"/>
  <c r="B7405" i="1"/>
  <c r="C7405" i="1"/>
  <c r="B7406" i="1"/>
  <c r="C7406" i="1"/>
  <c r="B7407" i="1"/>
  <c r="C7407" i="1"/>
  <c r="B7408" i="1"/>
  <c r="C7408" i="1"/>
  <c r="B7409" i="1"/>
  <c r="C7409" i="1"/>
  <c r="B7410" i="1"/>
  <c r="C7410" i="1"/>
  <c r="B7411" i="1"/>
  <c r="C7411" i="1"/>
  <c r="B7412" i="1"/>
  <c r="C7412" i="1"/>
  <c r="B7413" i="1"/>
  <c r="C7413" i="1"/>
  <c r="B7414" i="1"/>
  <c r="C7414" i="1"/>
  <c r="B7415" i="1"/>
  <c r="C7415" i="1"/>
  <c r="B7416" i="1"/>
  <c r="C7416" i="1"/>
  <c r="B7417" i="1"/>
  <c r="C7417" i="1"/>
  <c r="B7418" i="1"/>
  <c r="C7418" i="1"/>
  <c r="B7419" i="1"/>
  <c r="C7419" i="1"/>
  <c r="B7420" i="1"/>
  <c r="C7420" i="1"/>
  <c r="B7421" i="1"/>
  <c r="C7421" i="1"/>
  <c r="B7422" i="1"/>
  <c r="C7422" i="1"/>
  <c r="B7423" i="1"/>
  <c r="C7423" i="1"/>
  <c r="B7424" i="1"/>
  <c r="C7424" i="1"/>
  <c r="B7425" i="1"/>
  <c r="C7425" i="1"/>
  <c r="B7426" i="1"/>
  <c r="C7426" i="1"/>
  <c r="B7427" i="1"/>
  <c r="C7427" i="1"/>
  <c r="B7428" i="1"/>
  <c r="C7428" i="1"/>
  <c r="B7429" i="1"/>
  <c r="C7429" i="1"/>
  <c r="B7430" i="1"/>
  <c r="C7430" i="1"/>
  <c r="B7431" i="1"/>
  <c r="C7431" i="1"/>
  <c r="B7432" i="1"/>
  <c r="C7432" i="1"/>
  <c r="B7433" i="1"/>
  <c r="C7433" i="1"/>
  <c r="B7434" i="1"/>
  <c r="C7434" i="1"/>
  <c r="B7435" i="1"/>
  <c r="C7435" i="1"/>
  <c r="B7436" i="1"/>
  <c r="C7436" i="1"/>
  <c r="B7437" i="1"/>
  <c r="C7437" i="1"/>
  <c r="B7438" i="1"/>
  <c r="C7438" i="1"/>
  <c r="B7439" i="1"/>
  <c r="C7439" i="1"/>
  <c r="B7440" i="1"/>
  <c r="C7440" i="1"/>
  <c r="B7441" i="1"/>
  <c r="C7441" i="1"/>
  <c r="B7442" i="1"/>
  <c r="C7442" i="1"/>
  <c r="B7443" i="1"/>
  <c r="C7443" i="1"/>
  <c r="B7444" i="1"/>
  <c r="C7444" i="1"/>
  <c r="B7445" i="1"/>
  <c r="C7445" i="1"/>
  <c r="B7446" i="1"/>
  <c r="C7446" i="1"/>
  <c r="B7447" i="1"/>
  <c r="C7447" i="1"/>
  <c r="B7448" i="1"/>
  <c r="C7448" i="1"/>
  <c r="B7449" i="1"/>
  <c r="C7449" i="1"/>
  <c r="B7450" i="1"/>
  <c r="C7450" i="1"/>
  <c r="B7451" i="1"/>
  <c r="C7451" i="1"/>
  <c r="B7452" i="1"/>
  <c r="C7452" i="1"/>
  <c r="B7453" i="1"/>
  <c r="C7453" i="1"/>
  <c r="B7454" i="1"/>
  <c r="C7454" i="1"/>
  <c r="B7455" i="1"/>
  <c r="C7455" i="1"/>
  <c r="B7456" i="1"/>
  <c r="C7456" i="1"/>
  <c r="B7457" i="1"/>
  <c r="C7457" i="1"/>
  <c r="B7458" i="1"/>
  <c r="C7458" i="1"/>
  <c r="B7459" i="1"/>
  <c r="C7459" i="1"/>
  <c r="B7460" i="1"/>
  <c r="C7460" i="1"/>
  <c r="B7461" i="1"/>
  <c r="C7461" i="1"/>
  <c r="B7462" i="1"/>
  <c r="C7462" i="1"/>
  <c r="B7463" i="1"/>
  <c r="C7463" i="1"/>
  <c r="B7464" i="1"/>
  <c r="C7464" i="1"/>
  <c r="B7465" i="1"/>
  <c r="C7465" i="1"/>
  <c r="B7466" i="1"/>
  <c r="C7466" i="1"/>
  <c r="B7467" i="1"/>
  <c r="C7467" i="1"/>
  <c r="B7468" i="1"/>
  <c r="C7468" i="1"/>
  <c r="B7469" i="1"/>
  <c r="C7469" i="1"/>
  <c r="B7470" i="1"/>
  <c r="C7470" i="1"/>
  <c r="B7471" i="1"/>
  <c r="C7471" i="1"/>
  <c r="B7472" i="1"/>
  <c r="C7472" i="1"/>
  <c r="B7473" i="1"/>
  <c r="C7473" i="1"/>
  <c r="B7474" i="1"/>
  <c r="C7474" i="1"/>
  <c r="B7475" i="1"/>
  <c r="C7475" i="1"/>
  <c r="B7476" i="1"/>
  <c r="C7476" i="1"/>
  <c r="B7477" i="1"/>
  <c r="C7477" i="1"/>
  <c r="B7478" i="1"/>
  <c r="C7478" i="1"/>
  <c r="B7479" i="1"/>
  <c r="C7479" i="1"/>
  <c r="B7480" i="1"/>
  <c r="C7480" i="1"/>
  <c r="B7481" i="1"/>
  <c r="C7481" i="1"/>
  <c r="B7482" i="1"/>
  <c r="C7482" i="1"/>
  <c r="B7483" i="1"/>
  <c r="C7483" i="1"/>
  <c r="B7484" i="1"/>
  <c r="C7484" i="1"/>
  <c r="B7485" i="1"/>
  <c r="C7485" i="1"/>
  <c r="B7486" i="1"/>
  <c r="C7486" i="1"/>
  <c r="B7487" i="1"/>
  <c r="C7487" i="1"/>
  <c r="B7488" i="1"/>
  <c r="C7488" i="1"/>
  <c r="B7489" i="1"/>
  <c r="C7489" i="1"/>
  <c r="B7490" i="1"/>
  <c r="C7490" i="1"/>
  <c r="B7491" i="1"/>
  <c r="C7491" i="1"/>
  <c r="B7492" i="1"/>
  <c r="C7492" i="1"/>
  <c r="B7493" i="1"/>
  <c r="C7493" i="1"/>
  <c r="B7494" i="1"/>
  <c r="C7494" i="1"/>
  <c r="B7495" i="1"/>
  <c r="C7495" i="1"/>
  <c r="B7496" i="1"/>
  <c r="C7496" i="1"/>
  <c r="B7497" i="1"/>
  <c r="C7497" i="1"/>
  <c r="B7498" i="1"/>
  <c r="C7498" i="1"/>
  <c r="B7499" i="1"/>
  <c r="C7499" i="1"/>
  <c r="B7500" i="1"/>
  <c r="C7500" i="1"/>
  <c r="B7501" i="1"/>
  <c r="C7501" i="1"/>
  <c r="B7502" i="1"/>
  <c r="C7502" i="1"/>
  <c r="B7503" i="1"/>
  <c r="C7503" i="1"/>
  <c r="B7504" i="1"/>
  <c r="C7504" i="1"/>
  <c r="B7505" i="1"/>
  <c r="C7505" i="1"/>
  <c r="B7506" i="1"/>
  <c r="C7506" i="1"/>
  <c r="B7507" i="1"/>
  <c r="C7507" i="1"/>
  <c r="B7508" i="1"/>
  <c r="C7508" i="1"/>
  <c r="B7509" i="1"/>
  <c r="C7509" i="1"/>
  <c r="B7510" i="1"/>
  <c r="C7510" i="1"/>
  <c r="B7511" i="1"/>
  <c r="C7511" i="1"/>
  <c r="B7512" i="1"/>
  <c r="C7512" i="1"/>
  <c r="B7513" i="1"/>
  <c r="C7513" i="1"/>
  <c r="B7514" i="1"/>
  <c r="C7514" i="1"/>
  <c r="B7515" i="1"/>
  <c r="C7515" i="1"/>
  <c r="B7516" i="1"/>
  <c r="C7516" i="1"/>
  <c r="B7517" i="1"/>
  <c r="C7517" i="1"/>
  <c r="B7518" i="1"/>
  <c r="C7518" i="1"/>
  <c r="B7519" i="1"/>
  <c r="C7519" i="1"/>
  <c r="B7520" i="1"/>
  <c r="C7520" i="1"/>
  <c r="B7521" i="1"/>
  <c r="C7521" i="1"/>
  <c r="B7522" i="1"/>
  <c r="C7522" i="1"/>
  <c r="B7523" i="1"/>
  <c r="C7523" i="1"/>
  <c r="B7524" i="1"/>
  <c r="C7524" i="1"/>
  <c r="B7525" i="1"/>
  <c r="C7525" i="1"/>
  <c r="B7526" i="1"/>
  <c r="C7526" i="1"/>
  <c r="B7527" i="1"/>
  <c r="C7527" i="1"/>
  <c r="B7528" i="1"/>
  <c r="C7528" i="1"/>
  <c r="B7529" i="1"/>
  <c r="C7529" i="1"/>
  <c r="B7530" i="1"/>
  <c r="C7530" i="1"/>
  <c r="B7531" i="1"/>
  <c r="C7531" i="1"/>
  <c r="B7532" i="1"/>
  <c r="C7532" i="1"/>
  <c r="B7533" i="1"/>
  <c r="C7533" i="1"/>
  <c r="B7534" i="1"/>
  <c r="C7534" i="1"/>
  <c r="B7535" i="1"/>
  <c r="C7535" i="1"/>
  <c r="B7536" i="1"/>
  <c r="C7536" i="1"/>
  <c r="B7537" i="1"/>
  <c r="C7537" i="1"/>
  <c r="B7538" i="1"/>
  <c r="C7538" i="1"/>
  <c r="B7539" i="1"/>
  <c r="C7539" i="1"/>
  <c r="B7540" i="1"/>
  <c r="C7540" i="1"/>
  <c r="B7541" i="1"/>
  <c r="C7541" i="1"/>
  <c r="B7542" i="1"/>
  <c r="C7542" i="1"/>
  <c r="B7543" i="1"/>
  <c r="C7543" i="1"/>
  <c r="B7544" i="1"/>
  <c r="C7544" i="1"/>
  <c r="B7545" i="1"/>
  <c r="C7545" i="1"/>
  <c r="B7546" i="1"/>
  <c r="C7546" i="1"/>
  <c r="B7547" i="1"/>
  <c r="C7547" i="1"/>
  <c r="B7548" i="1"/>
  <c r="C7548" i="1"/>
  <c r="B7549" i="1"/>
  <c r="C7549" i="1"/>
  <c r="B7550" i="1"/>
  <c r="C7550" i="1"/>
  <c r="B7551" i="1"/>
  <c r="C7551" i="1"/>
  <c r="B7552" i="1"/>
  <c r="C7552" i="1"/>
  <c r="B7553" i="1"/>
  <c r="C7553" i="1"/>
  <c r="B7554" i="1"/>
  <c r="C7554" i="1"/>
  <c r="B7555" i="1"/>
  <c r="C7555" i="1"/>
  <c r="B7556" i="1"/>
  <c r="C7556" i="1"/>
  <c r="B7557" i="1"/>
  <c r="C7557" i="1"/>
  <c r="B7558" i="1"/>
  <c r="C7558" i="1"/>
  <c r="B7559" i="1"/>
  <c r="C7559" i="1"/>
  <c r="B7560" i="1"/>
  <c r="C7560" i="1"/>
  <c r="B7561" i="1"/>
  <c r="C7561" i="1"/>
  <c r="B7562" i="1"/>
  <c r="C7562" i="1"/>
  <c r="B7563" i="1"/>
  <c r="C7563" i="1"/>
  <c r="B7564" i="1"/>
  <c r="C7564" i="1"/>
  <c r="B7565" i="1"/>
  <c r="C7565" i="1"/>
  <c r="B7566" i="1"/>
  <c r="C7566" i="1"/>
  <c r="B7567" i="1"/>
  <c r="C7567" i="1"/>
  <c r="B7568" i="1"/>
  <c r="C7568" i="1"/>
  <c r="B7569" i="1"/>
  <c r="C7569" i="1"/>
  <c r="B7570" i="1"/>
  <c r="C7570" i="1"/>
  <c r="B7571" i="1"/>
  <c r="C7571" i="1"/>
  <c r="B7572" i="1"/>
  <c r="C7572" i="1"/>
  <c r="B7573" i="1"/>
  <c r="C7573" i="1"/>
  <c r="B7574" i="1"/>
  <c r="C7574" i="1"/>
  <c r="B7575" i="1"/>
  <c r="C7575" i="1"/>
  <c r="B7576" i="1"/>
  <c r="C7576" i="1"/>
  <c r="B7577" i="1"/>
  <c r="C7577" i="1"/>
  <c r="B7578" i="1"/>
  <c r="C7578" i="1"/>
  <c r="B7579" i="1"/>
  <c r="C7579" i="1"/>
  <c r="B7580" i="1"/>
  <c r="C7580" i="1"/>
  <c r="B7581" i="1"/>
  <c r="C7581" i="1"/>
  <c r="B7582" i="1"/>
  <c r="C7582" i="1"/>
  <c r="B7583" i="1"/>
  <c r="C7583" i="1"/>
  <c r="B7584" i="1"/>
  <c r="C7584" i="1"/>
  <c r="B7585" i="1"/>
  <c r="C7585" i="1"/>
  <c r="B7586" i="1"/>
  <c r="C7586" i="1"/>
  <c r="B7587" i="1"/>
  <c r="C7587" i="1"/>
  <c r="B7588" i="1"/>
  <c r="C7588" i="1"/>
  <c r="B7589" i="1"/>
  <c r="C7589" i="1"/>
  <c r="B7590" i="1"/>
  <c r="C7590" i="1"/>
  <c r="B7591" i="1"/>
  <c r="C7591" i="1"/>
  <c r="B7592" i="1"/>
  <c r="C7592" i="1"/>
  <c r="B7593" i="1"/>
  <c r="C7593" i="1"/>
  <c r="B7594" i="1"/>
  <c r="C7594" i="1"/>
  <c r="B7595" i="1"/>
  <c r="C7595" i="1"/>
  <c r="B7596" i="1"/>
  <c r="C7596" i="1"/>
  <c r="B7597" i="1"/>
  <c r="C7597" i="1"/>
  <c r="B7598" i="1"/>
  <c r="C7598" i="1"/>
  <c r="B7599" i="1"/>
  <c r="C7599" i="1"/>
  <c r="B7600" i="1"/>
  <c r="C7600" i="1"/>
  <c r="B7601" i="1"/>
  <c r="C7601" i="1"/>
  <c r="B7602" i="1"/>
  <c r="C7602" i="1"/>
  <c r="B7603" i="1"/>
  <c r="C7603" i="1"/>
  <c r="B7604" i="1"/>
  <c r="C7604" i="1"/>
  <c r="B7605" i="1"/>
  <c r="C7605" i="1"/>
  <c r="B7606" i="1"/>
  <c r="C7606" i="1"/>
  <c r="B7607" i="1"/>
  <c r="C7607" i="1"/>
  <c r="B7608" i="1"/>
  <c r="C7608" i="1"/>
  <c r="B7609" i="1"/>
  <c r="C7609" i="1"/>
  <c r="B7610" i="1"/>
  <c r="C7610" i="1"/>
  <c r="B7611" i="1"/>
  <c r="C7611" i="1"/>
  <c r="B7612" i="1"/>
  <c r="C7612" i="1"/>
  <c r="B7613" i="1"/>
  <c r="C7613" i="1"/>
  <c r="B7614" i="1"/>
  <c r="C7614" i="1"/>
  <c r="B7615" i="1"/>
  <c r="C7615" i="1"/>
  <c r="B7616" i="1"/>
  <c r="C7616" i="1"/>
  <c r="B7617" i="1"/>
  <c r="C7617" i="1"/>
  <c r="B7618" i="1"/>
  <c r="C7618" i="1"/>
  <c r="B7619" i="1"/>
  <c r="C7619" i="1"/>
  <c r="B7620" i="1"/>
  <c r="C7620" i="1"/>
  <c r="B7621" i="1"/>
  <c r="C7621" i="1"/>
  <c r="B7622" i="1"/>
  <c r="C7622" i="1"/>
  <c r="B7623" i="1"/>
  <c r="C7623" i="1"/>
  <c r="B7624" i="1"/>
  <c r="C7624" i="1"/>
  <c r="B7625" i="1"/>
  <c r="C7625" i="1"/>
  <c r="B7626" i="1"/>
  <c r="C7626" i="1"/>
  <c r="B7627" i="1"/>
  <c r="C7627" i="1"/>
  <c r="B7628" i="1"/>
  <c r="C7628" i="1"/>
  <c r="B7629" i="1"/>
  <c r="C7629" i="1"/>
  <c r="B7630" i="1"/>
  <c r="C7630" i="1"/>
  <c r="B7631" i="1"/>
  <c r="C7631" i="1"/>
  <c r="B7632" i="1"/>
  <c r="C7632" i="1"/>
  <c r="B7633" i="1"/>
  <c r="C7633" i="1"/>
  <c r="B7634" i="1"/>
  <c r="C7634" i="1"/>
  <c r="B7635" i="1"/>
  <c r="C7635" i="1"/>
  <c r="B7636" i="1"/>
  <c r="C7636" i="1"/>
  <c r="B7637" i="1"/>
  <c r="C7637" i="1"/>
  <c r="B7638" i="1"/>
  <c r="C7638" i="1"/>
  <c r="B7639" i="1"/>
  <c r="C7639" i="1"/>
  <c r="B7640" i="1"/>
  <c r="C7640" i="1"/>
  <c r="B7641" i="1"/>
  <c r="C7641" i="1"/>
  <c r="B7642" i="1"/>
  <c r="C7642" i="1"/>
  <c r="B7643" i="1"/>
  <c r="C7643" i="1"/>
  <c r="B7644" i="1"/>
  <c r="C7644" i="1"/>
  <c r="B7645" i="1"/>
  <c r="C7645" i="1"/>
  <c r="B7646" i="1"/>
  <c r="C7646" i="1"/>
  <c r="B7647" i="1"/>
  <c r="C7647" i="1"/>
  <c r="B7648" i="1"/>
  <c r="C7648" i="1"/>
  <c r="B7649" i="1"/>
  <c r="C7649" i="1"/>
  <c r="B7650" i="1"/>
  <c r="C7650" i="1"/>
  <c r="B7651" i="1"/>
  <c r="C7651" i="1"/>
  <c r="B7652" i="1"/>
  <c r="C7652" i="1"/>
  <c r="B7653" i="1"/>
  <c r="C7653" i="1"/>
  <c r="B7654" i="1"/>
  <c r="C7654" i="1"/>
  <c r="B7655" i="1"/>
  <c r="C7655" i="1"/>
  <c r="B7656" i="1"/>
  <c r="C7656" i="1"/>
  <c r="B7657" i="1"/>
  <c r="C7657" i="1"/>
  <c r="B7658" i="1"/>
  <c r="C7658" i="1"/>
  <c r="B7659" i="1"/>
  <c r="C7659" i="1"/>
  <c r="B7660" i="1"/>
  <c r="C7660" i="1"/>
  <c r="B7661" i="1"/>
  <c r="C7661" i="1"/>
  <c r="B7662" i="1"/>
  <c r="C7662" i="1"/>
  <c r="B7663" i="1"/>
  <c r="C7663" i="1"/>
  <c r="B7664" i="1"/>
  <c r="C7664" i="1"/>
  <c r="B7665" i="1"/>
  <c r="C7665" i="1"/>
  <c r="B7666" i="1"/>
  <c r="C7666" i="1"/>
  <c r="B7667" i="1"/>
  <c r="C7667" i="1"/>
  <c r="B7668" i="1"/>
  <c r="C7668" i="1"/>
  <c r="B7669" i="1"/>
  <c r="C7669" i="1"/>
  <c r="B7670" i="1"/>
  <c r="C7670" i="1"/>
  <c r="B7671" i="1"/>
  <c r="C7671" i="1"/>
  <c r="B7672" i="1"/>
  <c r="C7672" i="1"/>
  <c r="B7673" i="1"/>
  <c r="C7673" i="1"/>
  <c r="B7674" i="1"/>
  <c r="C7674" i="1"/>
  <c r="B7675" i="1"/>
  <c r="C7675" i="1"/>
  <c r="B7676" i="1"/>
  <c r="C7676" i="1"/>
  <c r="B7677" i="1"/>
  <c r="C7677" i="1"/>
  <c r="B7678" i="1"/>
  <c r="C7678" i="1"/>
  <c r="B7679" i="1"/>
  <c r="C7679" i="1"/>
  <c r="B7680" i="1"/>
  <c r="C7680" i="1"/>
  <c r="B7681" i="1"/>
  <c r="C7681" i="1"/>
  <c r="B7682" i="1"/>
  <c r="C7682" i="1"/>
  <c r="B7683" i="1"/>
  <c r="C7683" i="1"/>
  <c r="B7684" i="1"/>
  <c r="C7684" i="1"/>
  <c r="B7685" i="1"/>
  <c r="C7685" i="1"/>
  <c r="B7686" i="1"/>
  <c r="C7686" i="1"/>
  <c r="B7687" i="1"/>
  <c r="C7687" i="1"/>
  <c r="B7688" i="1"/>
  <c r="C7688" i="1"/>
  <c r="B7689" i="1"/>
  <c r="C7689" i="1"/>
  <c r="B7690" i="1"/>
  <c r="C7690" i="1"/>
  <c r="B7691" i="1"/>
  <c r="C7691" i="1"/>
  <c r="B7692" i="1"/>
  <c r="C7692" i="1"/>
  <c r="B7693" i="1"/>
  <c r="C7693" i="1"/>
  <c r="B7694" i="1"/>
  <c r="C7694" i="1"/>
  <c r="B7695" i="1"/>
  <c r="C7695" i="1"/>
  <c r="B7696" i="1"/>
  <c r="C7696" i="1"/>
  <c r="B7697" i="1"/>
  <c r="C7697" i="1"/>
  <c r="B7698" i="1"/>
  <c r="C7698" i="1"/>
  <c r="B7699" i="1"/>
  <c r="C7699" i="1"/>
  <c r="B7700" i="1"/>
  <c r="C7700" i="1"/>
  <c r="B7701" i="1"/>
  <c r="C7701" i="1"/>
  <c r="B7702" i="1"/>
  <c r="C7702" i="1"/>
  <c r="B7703" i="1"/>
  <c r="C7703" i="1"/>
  <c r="B7704" i="1"/>
  <c r="C7704" i="1"/>
  <c r="B7705" i="1"/>
  <c r="C7705" i="1"/>
  <c r="B7706" i="1"/>
  <c r="C7706" i="1"/>
  <c r="B7707" i="1"/>
  <c r="C7707" i="1"/>
  <c r="B7708" i="1"/>
  <c r="C7708" i="1"/>
  <c r="B7709" i="1"/>
  <c r="C7709" i="1"/>
  <c r="B7710" i="1"/>
  <c r="C7710" i="1"/>
  <c r="B7711" i="1"/>
  <c r="C7711" i="1"/>
  <c r="B7712" i="1"/>
  <c r="C7712" i="1"/>
  <c r="B7713" i="1"/>
  <c r="C7713" i="1"/>
  <c r="B7714" i="1"/>
  <c r="C7714" i="1"/>
  <c r="B7715" i="1"/>
  <c r="C7715" i="1"/>
  <c r="B7716" i="1"/>
  <c r="C7716" i="1"/>
  <c r="B7717" i="1"/>
  <c r="C7717" i="1"/>
  <c r="B7718" i="1"/>
  <c r="C7718" i="1"/>
  <c r="B7719" i="1"/>
  <c r="C7719" i="1"/>
  <c r="B7720" i="1"/>
  <c r="C7720" i="1"/>
  <c r="B7721" i="1"/>
  <c r="C7721" i="1"/>
  <c r="B7722" i="1"/>
  <c r="C7722" i="1"/>
  <c r="B7723" i="1"/>
  <c r="C7723" i="1"/>
  <c r="B7724" i="1"/>
  <c r="C7724" i="1"/>
  <c r="B7725" i="1"/>
  <c r="C7725" i="1"/>
  <c r="B7726" i="1"/>
  <c r="C7726" i="1"/>
  <c r="B7727" i="1"/>
  <c r="C7727" i="1"/>
  <c r="B7728" i="1"/>
  <c r="C7728" i="1"/>
  <c r="B7729" i="1"/>
  <c r="C7729" i="1"/>
  <c r="B7730" i="1"/>
  <c r="C7730" i="1"/>
  <c r="B7731" i="1"/>
  <c r="C7731" i="1"/>
  <c r="B7732" i="1"/>
  <c r="C7732" i="1"/>
  <c r="B7733" i="1"/>
  <c r="C7733" i="1"/>
  <c r="B7734" i="1"/>
  <c r="C7734" i="1"/>
  <c r="B7735" i="1"/>
  <c r="C7735" i="1"/>
  <c r="B7736" i="1"/>
  <c r="C7736" i="1"/>
  <c r="B7737" i="1"/>
  <c r="C7737" i="1"/>
  <c r="B7738" i="1"/>
  <c r="C7738" i="1"/>
  <c r="B7739" i="1"/>
  <c r="C7739" i="1"/>
  <c r="B7740" i="1"/>
  <c r="C7740" i="1"/>
  <c r="B7741" i="1"/>
  <c r="C7741" i="1"/>
  <c r="B7742" i="1"/>
  <c r="C7742" i="1"/>
  <c r="B7743" i="1"/>
  <c r="C7743" i="1"/>
  <c r="B7744" i="1"/>
  <c r="C7744" i="1"/>
  <c r="B7745" i="1"/>
  <c r="C7745" i="1"/>
  <c r="B7746" i="1"/>
  <c r="C7746" i="1"/>
  <c r="B7747" i="1"/>
  <c r="C7747" i="1"/>
  <c r="B7748" i="1"/>
  <c r="C7748" i="1"/>
  <c r="B7749" i="1"/>
  <c r="C7749" i="1"/>
  <c r="B7750" i="1"/>
  <c r="C7750" i="1"/>
  <c r="B7751" i="1"/>
  <c r="C7751" i="1"/>
  <c r="B7752" i="1"/>
  <c r="C7752" i="1"/>
  <c r="B7753" i="1"/>
  <c r="C7753" i="1"/>
  <c r="B7754" i="1"/>
  <c r="C7754" i="1"/>
  <c r="B7755" i="1"/>
  <c r="C7755" i="1"/>
  <c r="B7756" i="1"/>
  <c r="C7756" i="1"/>
  <c r="B7757" i="1"/>
  <c r="C7757" i="1"/>
  <c r="B7758" i="1"/>
  <c r="C7758" i="1"/>
  <c r="B7759" i="1"/>
  <c r="C7759" i="1"/>
  <c r="B7760" i="1"/>
  <c r="C7760" i="1"/>
  <c r="B7761" i="1"/>
  <c r="C7761" i="1"/>
  <c r="B7762" i="1"/>
  <c r="C7762" i="1"/>
  <c r="B7763" i="1"/>
  <c r="C7763" i="1"/>
  <c r="B7764" i="1"/>
  <c r="C7764" i="1"/>
  <c r="B7765" i="1"/>
  <c r="C7765" i="1"/>
  <c r="B7766" i="1"/>
  <c r="C7766" i="1"/>
  <c r="B7767" i="1"/>
  <c r="C7767" i="1"/>
  <c r="B7768" i="1"/>
  <c r="C7768" i="1"/>
  <c r="B7769" i="1"/>
  <c r="C7769" i="1"/>
  <c r="B7770" i="1"/>
  <c r="C7770" i="1"/>
  <c r="B7771" i="1"/>
  <c r="C7771" i="1"/>
  <c r="B7772" i="1"/>
  <c r="C7772" i="1"/>
  <c r="B7773" i="1"/>
  <c r="C7773" i="1"/>
  <c r="B7774" i="1"/>
  <c r="C7774" i="1"/>
  <c r="B7775" i="1"/>
  <c r="C7775" i="1"/>
  <c r="B7776" i="1"/>
  <c r="C7776" i="1"/>
  <c r="B7777" i="1"/>
  <c r="C7777" i="1"/>
  <c r="B7778" i="1"/>
  <c r="C7778" i="1"/>
  <c r="B7779" i="1"/>
  <c r="C7779" i="1"/>
  <c r="B7780" i="1"/>
  <c r="C7780" i="1"/>
  <c r="B7781" i="1"/>
  <c r="C7781" i="1"/>
  <c r="B7782" i="1"/>
  <c r="C7782" i="1"/>
  <c r="B7783" i="1"/>
  <c r="C7783" i="1"/>
  <c r="B7784" i="1"/>
  <c r="C7784" i="1"/>
  <c r="B7785" i="1"/>
  <c r="C7785" i="1"/>
  <c r="B7786" i="1"/>
  <c r="C7786" i="1"/>
  <c r="B7787" i="1"/>
  <c r="C7787" i="1"/>
  <c r="B7788" i="1"/>
  <c r="C7788" i="1"/>
  <c r="B7789" i="1"/>
  <c r="C7789" i="1"/>
  <c r="B7790" i="1"/>
  <c r="C7790" i="1"/>
  <c r="B7791" i="1"/>
  <c r="C7791" i="1"/>
  <c r="B7792" i="1"/>
  <c r="C7792" i="1"/>
  <c r="B7793" i="1"/>
  <c r="C7793" i="1"/>
  <c r="B7794" i="1"/>
  <c r="C7794" i="1"/>
  <c r="B7795" i="1"/>
  <c r="C7795" i="1"/>
  <c r="B7796" i="1"/>
  <c r="C7796" i="1"/>
  <c r="B7797" i="1"/>
  <c r="C7797" i="1"/>
  <c r="B7798" i="1"/>
  <c r="C7798" i="1"/>
  <c r="B7799" i="1"/>
  <c r="C7799" i="1"/>
  <c r="B7800" i="1"/>
  <c r="C7800" i="1"/>
  <c r="B7801" i="1"/>
  <c r="C7801" i="1"/>
  <c r="B7802" i="1"/>
  <c r="C7802" i="1"/>
  <c r="B7803" i="1"/>
  <c r="C7803" i="1"/>
  <c r="B7804" i="1"/>
  <c r="C7804" i="1"/>
  <c r="B7805" i="1"/>
  <c r="C7805" i="1"/>
  <c r="B7806" i="1"/>
  <c r="C7806" i="1"/>
  <c r="B7807" i="1"/>
  <c r="C7807" i="1"/>
  <c r="B7808" i="1"/>
  <c r="C7808" i="1"/>
  <c r="B7809" i="1"/>
  <c r="C7809" i="1"/>
  <c r="B7810" i="1"/>
  <c r="C7810" i="1"/>
  <c r="B7811" i="1"/>
  <c r="C7811" i="1"/>
  <c r="B7812" i="1"/>
  <c r="C7812" i="1"/>
  <c r="B7813" i="1"/>
  <c r="C7813" i="1"/>
  <c r="B7814" i="1"/>
  <c r="C7814" i="1"/>
  <c r="B7815" i="1"/>
  <c r="C7815" i="1"/>
  <c r="B7816" i="1"/>
  <c r="C7816" i="1"/>
  <c r="B7817" i="1"/>
  <c r="C7817" i="1"/>
  <c r="B7818" i="1"/>
  <c r="C7818" i="1"/>
  <c r="B7819" i="1"/>
  <c r="C7819" i="1"/>
  <c r="B7820" i="1"/>
  <c r="C7820" i="1"/>
  <c r="B7821" i="1"/>
  <c r="C7821" i="1"/>
  <c r="B7822" i="1"/>
  <c r="C7822" i="1"/>
  <c r="B7823" i="1"/>
  <c r="C7823" i="1"/>
  <c r="B7824" i="1"/>
  <c r="C7824" i="1"/>
  <c r="B7825" i="1"/>
  <c r="C7825" i="1"/>
  <c r="B7826" i="1"/>
  <c r="C7826" i="1"/>
  <c r="B7827" i="1"/>
  <c r="C7827" i="1"/>
  <c r="B7828" i="1"/>
  <c r="C7828" i="1"/>
  <c r="B7829" i="1"/>
  <c r="C7829" i="1"/>
  <c r="B7830" i="1"/>
  <c r="C7830" i="1"/>
  <c r="B7831" i="1"/>
  <c r="C7831" i="1"/>
  <c r="B7832" i="1"/>
  <c r="C7832" i="1"/>
  <c r="B7833" i="1"/>
  <c r="C7833" i="1"/>
  <c r="B7834" i="1"/>
  <c r="C7834" i="1"/>
  <c r="B7835" i="1"/>
  <c r="C7835" i="1"/>
  <c r="B7836" i="1"/>
  <c r="C7836" i="1"/>
  <c r="B7837" i="1"/>
  <c r="C7837" i="1"/>
  <c r="B7838" i="1"/>
  <c r="C7838" i="1"/>
  <c r="B7839" i="1"/>
  <c r="C7839" i="1"/>
  <c r="B7840" i="1"/>
  <c r="C7840" i="1"/>
  <c r="B7841" i="1"/>
  <c r="C7841" i="1"/>
  <c r="B7842" i="1"/>
  <c r="C7842" i="1"/>
  <c r="B7843" i="1"/>
  <c r="C7843" i="1"/>
  <c r="B7844" i="1"/>
  <c r="C7844" i="1"/>
  <c r="B7845" i="1"/>
  <c r="C7845" i="1"/>
  <c r="B7846" i="1"/>
  <c r="C7846" i="1"/>
  <c r="B7847" i="1"/>
  <c r="C7847" i="1"/>
  <c r="B7848" i="1"/>
  <c r="C7848" i="1"/>
  <c r="B7849" i="1"/>
  <c r="C7849" i="1"/>
  <c r="B7850" i="1"/>
  <c r="C7850" i="1"/>
  <c r="B7851" i="1"/>
  <c r="C7851" i="1"/>
  <c r="B7852" i="1"/>
  <c r="C7852" i="1"/>
  <c r="B7853" i="1"/>
  <c r="C7853" i="1"/>
  <c r="B7854" i="1"/>
  <c r="C7854" i="1"/>
  <c r="B7855" i="1"/>
  <c r="C7855" i="1"/>
  <c r="B7856" i="1"/>
  <c r="C7856" i="1"/>
  <c r="B7857" i="1"/>
  <c r="C7857" i="1"/>
  <c r="B7858" i="1"/>
  <c r="C7858" i="1"/>
  <c r="B7859" i="1"/>
  <c r="C7859" i="1"/>
  <c r="B7860" i="1"/>
  <c r="C7860" i="1"/>
  <c r="B7861" i="1"/>
  <c r="C7861" i="1"/>
  <c r="B7862" i="1"/>
  <c r="C7862" i="1"/>
  <c r="B7863" i="1"/>
  <c r="C7863" i="1"/>
  <c r="B7864" i="1"/>
  <c r="C7864" i="1"/>
  <c r="B7865" i="1"/>
  <c r="C7865" i="1"/>
  <c r="B7866" i="1"/>
  <c r="C7866" i="1"/>
  <c r="B7867" i="1"/>
  <c r="C7867" i="1"/>
  <c r="B7868" i="1"/>
  <c r="C7868" i="1"/>
  <c r="B7869" i="1"/>
  <c r="C7869" i="1"/>
  <c r="B7870" i="1"/>
  <c r="C7870" i="1"/>
  <c r="B7871" i="1"/>
  <c r="C7871" i="1"/>
  <c r="B7872" i="1"/>
  <c r="C7872" i="1"/>
  <c r="B7873" i="1"/>
  <c r="C7873" i="1"/>
  <c r="B7874" i="1"/>
  <c r="C7874" i="1"/>
  <c r="B7875" i="1"/>
  <c r="C7875" i="1"/>
  <c r="B7876" i="1"/>
  <c r="C7876" i="1"/>
  <c r="B7877" i="1"/>
  <c r="C7877" i="1"/>
  <c r="B7878" i="1"/>
  <c r="C7878" i="1"/>
  <c r="B7879" i="1"/>
  <c r="C7879" i="1"/>
  <c r="B7880" i="1"/>
  <c r="C7880" i="1"/>
  <c r="B7881" i="1"/>
  <c r="C7881" i="1"/>
  <c r="B7882" i="1"/>
  <c r="C7882" i="1"/>
  <c r="B7883" i="1"/>
  <c r="C7883" i="1"/>
  <c r="B7884" i="1"/>
  <c r="C7884" i="1"/>
  <c r="B7885" i="1"/>
  <c r="C7885" i="1"/>
  <c r="B7886" i="1"/>
  <c r="C7886" i="1"/>
  <c r="B7887" i="1"/>
  <c r="C7887" i="1"/>
  <c r="B7888" i="1"/>
  <c r="C7888" i="1"/>
  <c r="B7889" i="1"/>
  <c r="C7889" i="1"/>
  <c r="B7890" i="1"/>
  <c r="C7890" i="1"/>
  <c r="B7891" i="1"/>
  <c r="C7891" i="1"/>
  <c r="B7892" i="1"/>
  <c r="C7892" i="1"/>
  <c r="B7893" i="1"/>
  <c r="C7893" i="1"/>
  <c r="B7894" i="1"/>
  <c r="C7894" i="1"/>
  <c r="B7895" i="1"/>
  <c r="C7895" i="1"/>
  <c r="B7896" i="1"/>
  <c r="C7896" i="1"/>
  <c r="B7897" i="1"/>
  <c r="C7897" i="1"/>
  <c r="B7898" i="1"/>
  <c r="C7898" i="1"/>
  <c r="B7899" i="1"/>
  <c r="C7899" i="1"/>
  <c r="B7900" i="1"/>
  <c r="C7900" i="1"/>
  <c r="B7901" i="1"/>
  <c r="C7901" i="1"/>
  <c r="B7902" i="1"/>
  <c r="C7902" i="1"/>
  <c r="B7903" i="1"/>
  <c r="C7903" i="1"/>
  <c r="B7904" i="1"/>
  <c r="C7904" i="1"/>
  <c r="B7905" i="1"/>
  <c r="C7905" i="1"/>
  <c r="B7906" i="1"/>
  <c r="C7906" i="1"/>
  <c r="B7907" i="1"/>
  <c r="C7907" i="1"/>
  <c r="B7908" i="1"/>
  <c r="C7908" i="1"/>
  <c r="B7909" i="1"/>
  <c r="C7909" i="1"/>
  <c r="B7910" i="1"/>
  <c r="C7910" i="1"/>
  <c r="B7911" i="1"/>
  <c r="C7911" i="1"/>
  <c r="B7912" i="1"/>
  <c r="C7912" i="1"/>
  <c r="B7913" i="1"/>
  <c r="C7913" i="1"/>
  <c r="B7914" i="1"/>
  <c r="C7914" i="1"/>
  <c r="B7915" i="1"/>
  <c r="C7915" i="1"/>
  <c r="B7916" i="1"/>
  <c r="C7916" i="1"/>
  <c r="B7917" i="1"/>
  <c r="C7917" i="1"/>
  <c r="B7918" i="1"/>
  <c r="C7918" i="1"/>
  <c r="B7919" i="1"/>
  <c r="C7919" i="1"/>
  <c r="B7920" i="1"/>
  <c r="C7920" i="1"/>
  <c r="B7921" i="1"/>
  <c r="C7921" i="1"/>
  <c r="B7922" i="1"/>
  <c r="C7922" i="1"/>
  <c r="B7923" i="1"/>
  <c r="C7923" i="1"/>
  <c r="B7924" i="1"/>
  <c r="C7924" i="1"/>
  <c r="B7925" i="1"/>
  <c r="C7925" i="1"/>
  <c r="B7926" i="1"/>
  <c r="C7926" i="1"/>
  <c r="B7927" i="1"/>
  <c r="C7927" i="1"/>
  <c r="B7928" i="1"/>
  <c r="C7928" i="1"/>
  <c r="B7929" i="1"/>
  <c r="C7929" i="1"/>
  <c r="B7930" i="1"/>
  <c r="C7930" i="1"/>
  <c r="B7931" i="1"/>
  <c r="C7931" i="1"/>
  <c r="B7932" i="1"/>
  <c r="C7932" i="1"/>
  <c r="B7933" i="1"/>
  <c r="C7933" i="1"/>
  <c r="B7934" i="1"/>
  <c r="C7934" i="1"/>
  <c r="B7935" i="1"/>
  <c r="C7935" i="1"/>
  <c r="B7936" i="1"/>
  <c r="C7936" i="1"/>
  <c r="B7937" i="1"/>
  <c r="C7937" i="1"/>
  <c r="B7938" i="1"/>
  <c r="C7938" i="1"/>
  <c r="B7939" i="1"/>
  <c r="C7939" i="1"/>
  <c r="B7940" i="1"/>
  <c r="C7940" i="1"/>
  <c r="B7941" i="1"/>
  <c r="C7941" i="1"/>
  <c r="B7942" i="1"/>
  <c r="C7942" i="1"/>
  <c r="B7943" i="1"/>
  <c r="C7943" i="1"/>
  <c r="B7944" i="1"/>
  <c r="C7944" i="1"/>
  <c r="B7945" i="1"/>
  <c r="C7945" i="1"/>
  <c r="B7946" i="1"/>
  <c r="C7946" i="1"/>
  <c r="B7947" i="1"/>
  <c r="C7947" i="1"/>
  <c r="B7948" i="1"/>
  <c r="C7948" i="1"/>
  <c r="B7949" i="1"/>
  <c r="C7949" i="1"/>
  <c r="B7950" i="1"/>
  <c r="C7950" i="1"/>
  <c r="B7951" i="1"/>
  <c r="C7951" i="1"/>
  <c r="B7952" i="1"/>
  <c r="C7952" i="1"/>
  <c r="B7953" i="1"/>
  <c r="C7953" i="1"/>
  <c r="B7954" i="1"/>
  <c r="C7954" i="1"/>
  <c r="B7955" i="1"/>
  <c r="C7955" i="1"/>
  <c r="B7956" i="1"/>
  <c r="C7956" i="1"/>
  <c r="B7957" i="1"/>
  <c r="C7957" i="1"/>
  <c r="B7958" i="1"/>
  <c r="C7958" i="1"/>
  <c r="B7959" i="1"/>
  <c r="C7959" i="1"/>
  <c r="B7960" i="1"/>
  <c r="C7960" i="1"/>
  <c r="B7961" i="1"/>
  <c r="C7961" i="1"/>
  <c r="B7962" i="1"/>
  <c r="C7962" i="1"/>
  <c r="B7963" i="1"/>
  <c r="C7963" i="1"/>
  <c r="B7964" i="1"/>
  <c r="C7964" i="1"/>
  <c r="B7965" i="1"/>
  <c r="C7965" i="1"/>
  <c r="B7966" i="1"/>
  <c r="C7966" i="1"/>
  <c r="B7967" i="1"/>
  <c r="C7967" i="1"/>
  <c r="B7968" i="1"/>
  <c r="C7968" i="1"/>
  <c r="B7969" i="1"/>
  <c r="C7969" i="1"/>
  <c r="B7970" i="1"/>
  <c r="C7970" i="1"/>
  <c r="B7971" i="1"/>
  <c r="C7971" i="1"/>
  <c r="B7972" i="1"/>
  <c r="C7972" i="1"/>
  <c r="B7973" i="1"/>
  <c r="C7973" i="1"/>
  <c r="B7974" i="1"/>
  <c r="C7974" i="1"/>
  <c r="B7975" i="1"/>
  <c r="C7975" i="1"/>
  <c r="B7976" i="1"/>
  <c r="C7976" i="1"/>
  <c r="B7977" i="1"/>
  <c r="C7977" i="1"/>
  <c r="B7978" i="1"/>
  <c r="C7978" i="1"/>
  <c r="B7979" i="1"/>
  <c r="C7979" i="1"/>
  <c r="B7980" i="1"/>
  <c r="C7980" i="1"/>
  <c r="B7981" i="1"/>
  <c r="C7981" i="1"/>
  <c r="B7982" i="1"/>
  <c r="C7982" i="1"/>
  <c r="B7983" i="1"/>
  <c r="C7983" i="1"/>
  <c r="B7984" i="1"/>
  <c r="C7984" i="1"/>
  <c r="B7985" i="1"/>
  <c r="C7985" i="1"/>
  <c r="B7986" i="1"/>
  <c r="C7986" i="1"/>
  <c r="B7987" i="1"/>
  <c r="C7987" i="1"/>
  <c r="B7988" i="1"/>
  <c r="C7988" i="1"/>
  <c r="B7989" i="1"/>
  <c r="C7989" i="1"/>
  <c r="B7990" i="1"/>
  <c r="C7990" i="1"/>
  <c r="B7991" i="1"/>
  <c r="C7991" i="1"/>
  <c r="B7992" i="1"/>
  <c r="C7992" i="1"/>
  <c r="B7993" i="1"/>
  <c r="C7993" i="1"/>
  <c r="B7994" i="1"/>
  <c r="C7994" i="1"/>
  <c r="B7995" i="1"/>
  <c r="C7995" i="1"/>
  <c r="B7996" i="1"/>
  <c r="C7996" i="1"/>
  <c r="B7997" i="1"/>
  <c r="C7997" i="1"/>
  <c r="B7998" i="1"/>
  <c r="C7998" i="1"/>
  <c r="B7999" i="1"/>
  <c r="C7999" i="1"/>
  <c r="B8000" i="1"/>
  <c r="C8000" i="1"/>
  <c r="B8001" i="1"/>
  <c r="C8001" i="1"/>
  <c r="B8002" i="1"/>
  <c r="C8002" i="1"/>
  <c r="B8003" i="1"/>
  <c r="C8003" i="1"/>
  <c r="B8004" i="1"/>
  <c r="C8004" i="1"/>
  <c r="B8005" i="1"/>
  <c r="C8005" i="1"/>
  <c r="B8006" i="1"/>
  <c r="C8006" i="1"/>
  <c r="B8007" i="1"/>
  <c r="C8007" i="1"/>
  <c r="B8008" i="1"/>
  <c r="C8008" i="1"/>
  <c r="B8009" i="1"/>
  <c r="C8009" i="1"/>
  <c r="B8010" i="1"/>
  <c r="C8010" i="1"/>
  <c r="B8011" i="1"/>
  <c r="C8011" i="1"/>
  <c r="B8012" i="1"/>
  <c r="C8012" i="1"/>
  <c r="B8013" i="1"/>
  <c r="C8013" i="1"/>
  <c r="B8014" i="1"/>
  <c r="C8014" i="1"/>
  <c r="B8015" i="1"/>
  <c r="C8015" i="1"/>
  <c r="B8016" i="1"/>
  <c r="C8016" i="1"/>
  <c r="B8017" i="1"/>
  <c r="C8017" i="1"/>
  <c r="B8018" i="1"/>
  <c r="C8018" i="1"/>
  <c r="B8019" i="1"/>
  <c r="C8019" i="1"/>
  <c r="B8020" i="1"/>
  <c r="C8020" i="1"/>
  <c r="B8021" i="1"/>
  <c r="C8021" i="1"/>
  <c r="B8022" i="1"/>
  <c r="C8022" i="1"/>
  <c r="B8023" i="1"/>
  <c r="C8023" i="1"/>
  <c r="B8024" i="1"/>
  <c r="C8024" i="1"/>
  <c r="B8025" i="1"/>
  <c r="C8025" i="1"/>
  <c r="B8026" i="1"/>
  <c r="C8026" i="1"/>
  <c r="B8027" i="1"/>
  <c r="C8027" i="1"/>
  <c r="B8028" i="1"/>
  <c r="C8028" i="1"/>
  <c r="B8029" i="1"/>
  <c r="C8029" i="1"/>
  <c r="B8030" i="1"/>
  <c r="C8030" i="1"/>
  <c r="B8031" i="1"/>
  <c r="C8031" i="1"/>
  <c r="B8032" i="1"/>
  <c r="C8032" i="1"/>
  <c r="B8033" i="1"/>
  <c r="C8033" i="1"/>
  <c r="B8034" i="1"/>
  <c r="C8034" i="1"/>
  <c r="B8035" i="1"/>
  <c r="C8035" i="1"/>
  <c r="B8036" i="1"/>
  <c r="C8036" i="1"/>
  <c r="B8037" i="1"/>
  <c r="C8037" i="1"/>
  <c r="B8038" i="1"/>
  <c r="C8038" i="1"/>
  <c r="B8039" i="1"/>
  <c r="C8039" i="1"/>
  <c r="B8040" i="1"/>
  <c r="C8040" i="1"/>
  <c r="B8041" i="1"/>
  <c r="C8041" i="1"/>
  <c r="B8042" i="1"/>
  <c r="C8042" i="1"/>
  <c r="B8043" i="1"/>
  <c r="C8043" i="1"/>
  <c r="B8044" i="1"/>
  <c r="C8044" i="1"/>
  <c r="B8045" i="1"/>
  <c r="C8045" i="1"/>
  <c r="B8046" i="1"/>
  <c r="C8046" i="1"/>
  <c r="B8047" i="1"/>
  <c r="C8047" i="1"/>
  <c r="B8048" i="1"/>
  <c r="C8048" i="1"/>
  <c r="B8049" i="1"/>
  <c r="C8049" i="1"/>
  <c r="B8050" i="1"/>
  <c r="C8050" i="1"/>
  <c r="B8051" i="1"/>
  <c r="C8051" i="1"/>
  <c r="B8052" i="1"/>
  <c r="C8052" i="1"/>
  <c r="B8053" i="1"/>
  <c r="C8053" i="1"/>
  <c r="B8054" i="1"/>
  <c r="C8054" i="1"/>
  <c r="B8055" i="1"/>
  <c r="C8055" i="1"/>
  <c r="B8056" i="1"/>
  <c r="C8056" i="1"/>
  <c r="B8057" i="1"/>
  <c r="C8057" i="1"/>
  <c r="B8058" i="1"/>
  <c r="C8058" i="1"/>
  <c r="B8059" i="1"/>
  <c r="C8059" i="1"/>
  <c r="B8060" i="1"/>
  <c r="C8060" i="1"/>
  <c r="B8061" i="1"/>
  <c r="C8061" i="1"/>
  <c r="B8062" i="1"/>
  <c r="C8062" i="1"/>
  <c r="B8063" i="1"/>
  <c r="C8063" i="1"/>
  <c r="B8064" i="1"/>
  <c r="C8064" i="1"/>
  <c r="B8065" i="1"/>
  <c r="C8065" i="1"/>
  <c r="B8066" i="1"/>
  <c r="C8066" i="1"/>
  <c r="B8067" i="1"/>
  <c r="C8067" i="1"/>
  <c r="B8068" i="1"/>
  <c r="C8068" i="1"/>
  <c r="B8069" i="1"/>
  <c r="C8069" i="1"/>
  <c r="B8070" i="1"/>
  <c r="C8070" i="1"/>
  <c r="B8071" i="1"/>
  <c r="C8071" i="1"/>
  <c r="B8072" i="1"/>
  <c r="C8072" i="1"/>
  <c r="B8073" i="1"/>
  <c r="C8073" i="1"/>
  <c r="B8074" i="1"/>
  <c r="C8074" i="1"/>
  <c r="B8075" i="1"/>
  <c r="C8075" i="1"/>
  <c r="B8076" i="1"/>
  <c r="C8076" i="1"/>
  <c r="B8077" i="1"/>
  <c r="C8077" i="1"/>
  <c r="B8078" i="1"/>
  <c r="C8078" i="1"/>
  <c r="B8079" i="1"/>
  <c r="C8079" i="1"/>
  <c r="B8080" i="1"/>
  <c r="C8080" i="1"/>
  <c r="B8081" i="1"/>
  <c r="C8081" i="1"/>
  <c r="B8082" i="1"/>
  <c r="C8082" i="1"/>
  <c r="B8083" i="1"/>
  <c r="C8083" i="1"/>
  <c r="B8084" i="1"/>
  <c r="C8084" i="1"/>
  <c r="B8085" i="1"/>
  <c r="C8085" i="1"/>
  <c r="B8086" i="1"/>
  <c r="C8086" i="1"/>
  <c r="B8087" i="1"/>
  <c r="C8087" i="1"/>
  <c r="B8088" i="1"/>
  <c r="C8088" i="1"/>
  <c r="B8089" i="1"/>
  <c r="C8089" i="1"/>
  <c r="B8090" i="1"/>
  <c r="C8090" i="1"/>
  <c r="B8091" i="1"/>
  <c r="C8091" i="1"/>
  <c r="B8092" i="1"/>
  <c r="C8092" i="1"/>
  <c r="B8093" i="1"/>
  <c r="C8093" i="1"/>
  <c r="B8094" i="1"/>
  <c r="C8094" i="1"/>
  <c r="B8095" i="1"/>
  <c r="C8095" i="1"/>
  <c r="B8096" i="1"/>
  <c r="C8096" i="1"/>
  <c r="B8097" i="1"/>
  <c r="C8097" i="1"/>
  <c r="B8098" i="1"/>
  <c r="C8098" i="1"/>
  <c r="B8099" i="1"/>
  <c r="C8099" i="1"/>
  <c r="B8100" i="1"/>
  <c r="C8100" i="1"/>
  <c r="B8101" i="1"/>
  <c r="C8101" i="1"/>
  <c r="B8102" i="1"/>
  <c r="C8102" i="1"/>
  <c r="B8103" i="1"/>
  <c r="C8103" i="1"/>
  <c r="B8104" i="1"/>
  <c r="C8104" i="1"/>
  <c r="B8105" i="1"/>
  <c r="C8105" i="1"/>
  <c r="B8106" i="1"/>
  <c r="C8106" i="1"/>
  <c r="B8107" i="1"/>
  <c r="C8107" i="1"/>
  <c r="B8108" i="1"/>
  <c r="C8108" i="1"/>
  <c r="B8109" i="1"/>
  <c r="C8109" i="1"/>
  <c r="B8110" i="1"/>
  <c r="C8110" i="1"/>
  <c r="B8111" i="1"/>
  <c r="C8111" i="1"/>
  <c r="B8112" i="1"/>
  <c r="C8112" i="1"/>
  <c r="B8113" i="1"/>
  <c r="C8113" i="1"/>
  <c r="B8114" i="1"/>
  <c r="C8114" i="1"/>
  <c r="B8115" i="1"/>
  <c r="C8115" i="1"/>
  <c r="B8116" i="1"/>
  <c r="C8116" i="1"/>
  <c r="B8117" i="1"/>
  <c r="C8117" i="1"/>
  <c r="B8118" i="1"/>
  <c r="C8118" i="1"/>
  <c r="B8119" i="1"/>
  <c r="C8119" i="1"/>
  <c r="B8120" i="1"/>
  <c r="C8120" i="1"/>
  <c r="B8121" i="1"/>
  <c r="C8121" i="1"/>
  <c r="B8122" i="1"/>
  <c r="C8122" i="1"/>
  <c r="B8123" i="1"/>
  <c r="C8123" i="1"/>
  <c r="B8124" i="1"/>
  <c r="C8124" i="1"/>
  <c r="B8125" i="1"/>
  <c r="C8125" i="1"/>
  <c r="B8126" i="1"/>
  <c r="C8126" i="1"/>
  <c r="B8127" i="1"/>
  <c r="C8127" i="1"/>
  <c r="B8128" i="1"/>
  <c r="C8128" i="1"/>
  <c r="B8129" i="1"/>
  <c r="C8129" i="1"/>
  <c r="B8130" i="1"/>
  <c r="C8130" i="1"/>
  <c r="B8131" i="1"/>
  <c r="C8131" i="1"/>
  <c r="B8132" i="1"/>
  <c r="C8132" i="1"/>
  <c r="B8133" i="1"/>
  <c r="C8133" i="1"/>
  <c r="B8134" i="1"/>
  <c r="C8134" i="1"/>
  <c r="B8135" i="1"/>
  <c r="C8135" i="1"/>
  <c r="B8136" i="1"/>
  <c r="C8136" i="1"/>
  <c r="B8137" i="1"/>
  <c r="C8137" i="1"/>
  <c r="B8138" i="1"/>
  <c r="C8138" i="1"/>
  <c r="B8139" i="1"/>
  <c r="C8139" i="1"/>
  <c r="B8140" i="1"/>
  <c r="C8140" i="1"/>
  <c r="B8141" i="1"/>
  <c r="C8141" i="1"/>
  <c r="B8142" i="1"/>
  <c r="C8142" i="1"/>
  <c r="B8143" i="1"/>
  <c r="C8143" i="1"/>
  <c r="B8144" i="1"/>
  <c r="C8144" i="1"/>
  <c r="B8145" i="1"/>
  <c r="C8145" i="1"/>
  <c r="B8146" i="1"/>
  <c r="C8146" i="1"/>
  <c r="B8147" i="1"/>
  <c r="C8147" i="1"/>
  <c r="B8148" i="1"/>
  <c r="C8148" i="1"/>
  <c r="B8149" i="1"/>
  <c r="C8149" i="1"/>
  <c r="B8150" i="1"/>
  <c r="C8150" i="1"/>
  <c r="B8151" i="1"/>
  <c r="C8151" i="1"/>
  <c r="B8152" i="1"/>
  <c r="C8152" i="1"/>
  <c r="B8153" i="1"/>
  <c r="C8153" i="1"/>
  <c r="B8154" i="1"/>
  <c r="C8154" i="1"/>
  <c r="B8155" i="1"/>
  <c r="C8155" i="1"/>
  <c r="B8156" i="1"/>
  <c r="C8156" i="1"/>
  <c r="B8157" i="1"/>
  <c r="C8157" i="1"/>
  <c r="B8158" i="1"/>
  <c r="C8158" i="1"/>
  <c r="B8159" i="1"/>
  <c r="C8159" i="1"/>
  <c r="B8160" i="1"/>
  <c r="C8160" i="1"/>
  <c r="B8161" i="1"/>
  <c r="C8161" i="1"/>
  <c r="B8162" i="1"/>
  <c r="C8162" i="1"/>
  <c r="B8163" i="1"/>
  <c r="C8163" i="1"/>
  <c r="B8164" i="1"/>
  <c r="C8164" i="1"/>
  <c r="B8165" i="1"/>
  <c r="C8165" i="1"/>
  <c r="B8166" i="1"/>
  <c r="C8166" i="1"/>
  <c r="B8167" i="1"/>
  <c r="C8167" i="1"/>
  <c r="B8168" i="1"/>
  <c r="C8168" i="1"/>
  <c r="B8169" i="1"/>
  <c r="C8169" i="1"/>
  <c r="B8170" i="1"/>
  <c r="C8170" i="1"/>
  <c r="B8171" i="1"/>
  <c r="C8171" i="1"/>
  <c r="B8172" i="1"/>
  <c r="C8172" i="1"/>
  <c r="B8173" i="1"/>
  <c r="C8173" i="1"/>
  <c r="B8174" i="1"/>
  <c r="C8174" i="1"/>
  <c r="B8175" i="1"/>
  <c r="C8175" i="1"/>
  <c r="B8176" i="1"/>
  <c r="C8176" i="1"/>
  <c r="B8177" i="1"/>
  <c r="C8177" i="1"/>
  <c r="B8178" i="1"/>
  <c r="C8178" i="1"/>
  <c r="B8179" i="1"/>
  <c r="C8179" i="1"/>
  <c r="B8180" i="1"/>
  <c r="C8180" i="1"/>
  <c r="B8181" i="1"/>
  <c r="C8181" i="1"/>
  <c r="B8182" i="1"/>
  <c r="C8182" i="1"/>
  <c r="B8183" i="1"/>
  <c r="C8183" i="1"/>
  <c r="B8184" i="1"/>
  <c r="C8184" i="1"/>
  <c r="B8185" i="1"/>
  <c r="C8185" i="1"/>
  <c r="B8186" i="1"/>
  <c r="C8186" i="1"/>
  <c r="B8187" i="1"/>
  <c r="C8187" i="1"/>
  <c r="B8188" i="1"/>
  <c r="C8188" i="1"/>
  <c r="B8189" i="1"/>
  <c r="C8189" i="1"/>
  <c r="B8190" i="1"/>
  <c r="C8190" i="1"/>
  <c r="B8191" i="1"/>
  <c r="C8191" i="1"/>
  <c r="B8192" i="1"/>
  <c r="C8192" i="1"/>
  <c r="B8193" i="1"/>
  <c r="C8193" i="1"/>
  <c r="B8194" i="1"/>
  <c r="C8194" i="1"/>
  <c r="B8195" i="1"/>
  <c r="C8195" i="1"/>
  <c r="B8196" i="1"/>
  <c r="C8196" i="1"/>
  <c r="B8197" i="1"/>
  <c r="C8197" i="1"/>
  <c r="B8198" i="1"/>
  <c r="C8198" i="1"/>
  <c r="B8199" i="1"/>
  <c r="C8199" i="1"/>
  <c r="B8200" i="1"/>
  <c r="C8200" i="1"/>
  <c r="B8201" i="1"/>
  <c r="C8201" i="1"/>
  <c r="B8202" i="1"/>
  <c r="C8202" i="1"/>
  <c r="B8203" i="1"/>
  <c r="C8203" i="1"/>
  <c r="B8204" i="1"/>
  <c r="C8204" i="1"/>
  <c r="B8205" i="1"/>
  <c r="C8205" i="1"/>
  <c r="B8206" i="1"/>
  <c r="C8206" i="1"/>
  <c r="B8207" i="1"/>
  <c r="C8207" i="1"/>
  <c r="B8208" i="1"/>
  <c r="C8208" i="1"/>
  <c r="B8209" i="1"/>
  <c r="C8209" i="1"/>
  <c r="B8210" i="1"/>
  <c r="C8210" i="1"/>
  <c r="B8211" i="1"/>
  <c r="C8211" i="1"/>
  <c r="B8212" i="1"/>
  <c r="C8212" i="1"/>
  <c r="B8213" i="1"/>
  <c r="C8213" i="1"/>
  <c r="B8214" i="1"/>
  <c r="C8214" i="1"/>
  <c r="B8215" i="1"/>
  <c r="C8215" i="1"/>
  <c r="B8216" i="1"/>
  <c r="C8216" i="1"/>
  <c r="B8217" i="1"/>
  <c r="C8217" i="1"/>
  <c r="B8218" i="1"/>
  <c r="C8218" i="1"/>
  <c r="B8219" i="1"/>
  <c r="C8219" i="1"/>
  <c r="B8220" i="1"/>
  <c r="C8220" i="1"/>
  <c r="B8221" i="1"/>
  <c r="C8221" i="1"/>
  <c r="B8222" i="1"/>
  <c r="C8222" i="1"/>
  <c r="B8223" i="1"/>
  <c r="C8223" i="1"/>
  <c r="B8224" i="1"/>
  <c r="C8224" i="1"/>
  <c r="B8225" i="1"/>
  <c r="C8225" i="1"/>
  <c r="B8226" i="1"/>
  <c r="C8226" i="1"/>
  <c r="B8227" i="1"/>
  <c r="C8227" i="1"/>
  <c r="B8228" i="1"/>
  <c r="C8228" i="1"/>
  <c r="B8229" i="1"/>
  <c r="C8229" i="1"/>
  <c r="B8230" i="1"/>
  <c r="C8230" i="1"/>
  <c r="B8231" i="1"/>
  <c r="C8231" i="1"/>
  <c r="B8232" i="1"/>
  <c r="C8232" i="1"/>
  <c r="B8233" i="1"/>
  <c r="C8233" i="1"/>
  <c r="B8234" i="1"/>
  <c r="C8234" i="1"/>
  <c r="B8235" i="1"/>
  <c r="C8235" i="1"/>
  <c r="B8236" i="1"/>
  <c r="C8236" i="1"/>
  <c r="B8237" i="1"/>
  <c r="C8237" i="1"/>
  <c r="B8238" i="1"/>
  <c r="C8238" i="1"/>
  <c r="B8239" i="1"/>
  <c r="C8239" i="1"/>
  <c r="B8240" i="1"/>
  <c r="C8240" i="1"/>
  <c r="B8241" i="1"/>
  <c r="C8241" i="1"/>
  <c r="B8242" i="1"/>
  <c r="C8242" i="1"/>
  <c r="B8243" i="1"/>
  <c r="C8243" i="1"/>
  <c r="B8244" i="1"/>
  <c r="C8244" i="1"/>
  <c r="B8245" i="1"/>
  <c r="C8245" i="1"/>
  <c r="B8246" i="1"/>
  <c r="C8246" i="1"/>
  <c r="B8247" i="1"/>
  <c r="C8247" i="1"/>
  <c r="B8248" i="1"/>
  <c r="C8248" i="1"/>
  <c r="B8249" i="1"/>
  <c r="C8249" i="1"/>
  <c r="B8250" i="1"/>
  <c r="C8250" i="1"/>
  <c r="B8251" i="1"/>
  <c r="C8251" i="1"/>
  <c r="B8252" i="1"/>
  <c r="C8252" i="1"/>
  <c r="B8253" i="1"/>
  <c r="C8253" i="1"/>
  <c r="B8254" i="1"/>
  <c r="C8254" i="1"/>
  <c r="B8255" i="1"/>
  <c r="C8255" i="1"/>
  <c r="B8256" i="1"/>
  <c r="C8256" i="1"/>
  <c r="B8257" i="1"/>
  <c r="C8257" i="1"/>
  <c r="B8258" i="1"/>
  <c r="C8258" i="1"/>
  <c r="B8259" i="1"/>
  <c r="C8259" i="1"/>
  <c r="B8260" i="1"/>
  <c r="C8260" i="1"/>
  <c r="B8261" i="1"/>
  <c r="C8261" i="1"/>
  <c r="B8262" i="1"/>
  <c r="C8262" i="1"/>
  <c r="B8263" i="1"/>
  <c r="C8263" i="1"/>
  <c r="B8264" i="1"/>
  <c r="C8264" i="1"/>
  <c r="B8265" i="1"/>
  <c r="C8265" i="1"/>
  <c r="B8266" i="1"/>
  <c r="C8266" i="1"/>
  <c r="B8267" i="1"/>
  <c r="C8267" i="1"/>
  <c r="B8268" i="1"/>
  <c r="C8268" i="1"/>
  <c r="B8269" i="1"/>
  <c r="C8269" i="1"/>
  <c r="B8270" i="1"/>
  <c r="C8270" i="1"/>
  <c r="B8271" i="1"/>
  <c r="C8271" i="1"/>
  <c r="B8272" i="1"/>
  <c r="C8272" i="1"/>
  <c r="B8273" i="1"/>
  <c r="C8273" i="1"/>
  <c r="B8274" i="1"/>
  <c r="C8274" i="1"/>
  <c r="B8275" i="1"/>
  <c r="C8275" i="1"/>
  <c r="B8276" i="1"/>
  <c r="C8276" i="1"/>
  <c r="B8277" i="1"/>
  <c r="C8277" i="1"/>
  <c r="B8278" i="1"/>
  <c r="C8278" i="1"/>
  <c r="B8279" i="1"/>
  <c r="C8279" i="1"/>
  <c r="B8280" i="1"/>
  <c r="C8280" i="1"/>
  <c r="B8281" i="1"/>
  <c r="C8281" i="1"/>
  <c r="B8282" i="1"/>
  <c r="C8282" i="1"/>
  <c r="B8283" i="1"/>
  <c r="C8283" i="1"/>
  <c r="B8284" i="1"/>
  <c r="C8284" i="1"/>
  <c r="B8285" i="1"/>
  <c r="C8285" i="1"/>
  <c r="B8286" i="1"/>
  <c r="C8286" i="1"/>
  <c r="B8287" i="1"/>
  <c r="C8287" i="1"/>
  <c r="B8288" i="1"/>
  <c r="C8288" i="1"/>
  <c r="B8289" i="1"/>
  <c r="C8289" i="1"/>
  <c r="B8290" i="1"/>
  <c r="C8290" i="1"/>
  <c r="B8291" i="1"/>
  <c r="C8291" i="1"/>
  <c r="B8292" i="1"/>
  <c r="C8292" i="1"/>
  <c r="B8293" i="1"/>
  <c r="C8293" i="1"/>
  <c r="B8294" i="1"/>
  <c r="C8294" i="1"/>
  <c r="B8295" i="1"/>
  <c r="C8295" i="1"/>
  <c r="B8296" i="1"/>
  <c r="C8296" i="1"/>
  <c r="B8297" i="1"/>
  <c r="C8297" i="1"/>
  <c r="B8298" i="1"/>
  <c r="C8298" i="1"/>
  <c r="B8299" i="1"/>
  <c r="C8299" i="1"/>
  <c r="B8300" i="1"/>
  <c r="C8300" i="1"/>
  <c r="B8301" i="1"/>
  <c r="C8301" i="1"/>
  <c r="B8302" i="1"/>
  <c r="C8302" i="1"/>
  <c r="B8303" i="1"/>
  <c r="C8303" i="1"/>
  <c r="B8304" i="1"/>
  <c r="C8304" i="1"/>
  <c r="B8305" i="1"/>
  <c r="C8305" i="1"/>
  <c r="B8306" i="1"/>
  <c r="C8306" i="1"/>
  <c r="B8307" i="1"/>
  <c r="C8307" i="1"/>
  <c r="B8308" i="1"/>
  <c r="C8308" i="1"/>
  <c r="B8309" i="1"/>
  <c r="C8309" i="1"/>
  <c r="B8310" i="1"/>
  <c r="C8310" i="1"/>
  <c r="B8311" i="1"/>
  <c r="C8311" i="1"/>
  <c r="B8312" i="1"/>
  <c r="C8312" i="1"/>
  <c r="B8313" i="1"/>
  <c r="C8313" i="1"/>
  <c r="B8314" i="1"/>
  <c r="C8314" i="1"/>
  <c r="B8315" i="1"/>
  <c r="C8315" i="1"/>
  <c r="B8316" i="1"/>
  <c r="C8316" i="1"/>
  <c r="B8317" i="1"/>
  <c r="C8317" i="1"/>
  <c r="B8318" i="1"/>
  <c r="C8318" i="1"/>
  <c r="B8319" i="1"/>
  <c r="C8319" i="1"/>
  <c r="B8320" i="1"/>
  <c r="C8320" i="1"/>
  <c r="B8321" i="1"/>
  <c r="C8321" i="1"/>
  <c r="B8322" i="1"/>
  <c r="C8322" i="1"/>
  <c r="B8323" i="1"/>
  <c r="C8323" i="1"/>
  <c r="B8324" i="1"/>
  <c r="C8324" i="1"/>
  <c r="B8325" i="1"/>
  <c r="C8325" i="1"/>
  <c r="B8326" i="1"/>
  <c r="C8326" i="1"/>
  <c r="B8327" i="1"/>
  <c r="C8327" i="1"/>
  <c r="B8328" i="1"/>
  <c r="C8328" i="1"/>
  <c r="B8329" i="1"/>
  <c r="C8329" i="1"/>
  <c r="B8330" i="1"/>
  <c r="C8330" i="1"/>
  <c r="B8331" i="1"/>
  <c r="C8331" i="1"/>
  <c r="B8332" i="1"/>
  <c r="C8332" i="1"/>
  <c r="B8333" i="1"/>
  <c r="C8333" i="1"/>
  <c r="B8334" i="1"/>
  <c r="C8334" i="1"/>
  <c r="B8335" i="1"/>
  <c r="C8335" i="1"/>
  <c r="B8336" i="1"/>
  <c r="C8336" i="1"/>
  <c r="B8337" i="1"/>
  <c r="C8337" i="1"/>
  <c r="B8338" i="1"/>
  <c r="C8338" i="1"/>
  <c r="B8339" i="1"/>
  <c r="C8339" i="1"/>
  <c r="B8340" i="1"/>
  <c r="C8340" i="1"/>
  <c r="B8341" i="1"/>
  <c r="C8341" i="1"/>
  <c r="B8342" i="1"/>
  <c r="C8342" i="1"/>
  <c r="B8343" i="1"/>
  <c r="C8343" i="1"/>
  <c r="B8344" i="1"/>
  <c r="C8344" i="1"/>
  <c r="B8345" i="1"/>
  <c r="C8345" i="1"/>
  <c r="B8346" i="1"/>
  <c r="C8346" i="1"/>
  <c r="B8347" i="1"/>
  <c r="C8347" i="1"/>
  <c r="B8348" i="1"/>
  <c r="C8348" i="1"/>
  <c r="B8349" i="1"/>
  <c r="C8349" i="1"/>
  <c r="B8350" i="1"/>
  <c r="C8350" i="1"/>
  <c r="B8351" i="1"/>
  <c r="C8351" i="1"/>
  <c r="B8352" i="1"/>
  <c r="C8352" i="1"/>
  <c r="B8353" i="1"/>
  <c r="C8353" i="1"/>
  <c r="B8354" i="1"/>
  <c r="C8354" i="1"/>
  <c r="B8355" i="1"/>
  <c r="C8355" i="1"/>
  <c r="B8356" i="1"/>
  <c r="C8356" i="1"/>
  <c r="B8357" i="1"/>
  <c r="C8357" i="1"/>
  <c r="B8358" i="1"/>
  <c r="C8358" i="1"/>
  <c r="B8359" i="1"/>
  <c r="C8359" i="1"/>
  <c r="B8360" i="1"/>
  <c r="C8360" i="1"/>
  <c r="B8361" i="1"/>
  <c r="C8361" i="1"/>
  <c r="B8362" i="1"/>
  <c r="C8362" i="1"/>
  <c r="B8363" i="1"/>
  <c r="C8363" i="1"/>
  <c r="B8364" i="1"/>
  <c r="C8364" i="1"/>
  <c r="B8365" i="1"/>
  <c r="C8365" i="1"/>
  <c r="B8366" i="1"/>
  <c r="C8366" i="1"/>
  <c r="B8367" i="1"/>
  <c r="C8367" i="1"/>
  <c r="B8368" i="1"/>
  <c r="C8368" i="1"/>
  <c r="B8369" i="1"/>
  <c r="C8369" i="1"/>
  <c r="B8370" i="1"/>
  <c r="C8370" i="1"/>
  <c r="B8371" i="1"/>
  <c r="C8371" i="1"/>
  <c r="B8372" i="1"/>
  <c r="C8372" i="1"/>
  <c r="B8373" i="1"/>
  <c r="C8373" i="1"/>
  <c r="B8374" i="1"/>
  <c r="C8374" i="1"/>
  <c r="B8375" i="1"/>
  <c r="C8375" i="1"/>
  <c r="B8376" i="1"/>
  <c r="C8376" i="1"/>
  <c r="B8377" i="1"/>
  <c r="C8377" i="1"/>
  <c r="B8378" i="1"/>
  <c r="C8378" i="1"/>
  <c r="B8379" i="1"/>
  <c r="C8379" i="1"/>
  <c r="B8380" i="1"/>
  <c r="C8380" i="1"/>
  <c r="B8381" i="1"/>
  <c r="C8381" i="1"/>
  <c r="B8382" i="1"/>
  <c r="C8382" i="1"/>
  <c r="B8383" i="1"/>
  <c r="C8383" i="1"/>
  <c r="B8384" i="1"/>
  <c r="C8384" i="1"/>
  <c r="B8385" i="1"/>
  <c r="C8385" i="1"/>
  <c r="B8386" i="1"/>
  <c r="C8386" i="1"/>
  <c r="B8387" i="1"/>
  <c r="C8387" i="1"/>
  <c r="B8388" i="1"/>
  <c r="C8388" i="1"/>
  <c r="B8389" i="1"/>
  <c r="C8389" i="1"/>
  <c r="B8390" i="1"/>
  <c r="C8390" i="1"/>
  <c r="B8391" i="1"/>
  <c r="C8391" i="1"/>
  <c r="B8392" i="1"/>
  <c r="C8392" i="1"/>
  <c r="B8393" i="1"/>
  <c r="C8393" i="1"/>
  <c r="B8394" i="1"/>
  <c r="C8394" i="1"/>
  <c r="B8395" i="1"/>
  <c r="C8395" i="1"/>
  <c r="B8396" i="1"/>
  <c r="C8396" i="1"/>
  <c r="B8397" i="1"/>
  <c r="C8397" i="1"/>
  <c r="B8398" i="1"/>
  <c r="C8398" i="1"/>
  <c r="B8399" i="1"/>
  <c r="C8399" i="1"/>
  <c r="B8400" i="1"/>
  <c r="C8400" i="1"/>
  <c r="B8401" i="1"/>
  <c r="C8401" i="1"/>
  <c r="B8402" i="1"/>
  <c r="C8402" i="1"/>
  <c r="B8403" i="1"/>
  <c r="C8403" i="1"/>
  <c r="B8404" i="1"/>
  <c r="C8404" i="1"/>
  <c r="B8405" i="1"/>
  <c r="C8405" i="1"/>
  <c r="B8406" i="1"/>
  <c r="C8406" i="1"/>
  <c r="B8407" i="1"/>
  <c r="C8407" i="1"/>
  <c r="B8408" i="1"/>
  <c r="C8408" i="1"/>
  <c r="B8409" i="1"/>
  <c r="C8409" i="1"/>
  <c r="B8410" i="1"/>
  <c r="C8410" i="1"/>
  <c r="B8411" i="1"/>
  <c r="C8411" i="1"/>
  <c r="B8412" i="1"/>
  <c r="C8412" i="1"/>
  <c r="B8413" i="1"/>
  <c r="C8413" i="1"/>
  <c r="B8414" i="1"/>
  <c r="C8414" i="1"/>
  <c r="B8415" i="1"/>
  <c r="C8415" i="1"/>
  <c r="B8416" i="1"/>
  <c r="C8416" i="1"/>
  <c r="B8417" i="1"/>
  <c r="C8417" i="1"/>
  <c r="B8418" i="1"/>
  <c r="C8418" i="1"/>
  <c r="B8419" i="1"/>
  <c r="C8419" i="1"/>
  <c r="B8420" i="1"/>
  <c r="C8420" i="1"/>
  <c r="B8421" i="1"/>
  <c r="C8421" i="1"/>
  <c r="B8422" i="1"/>
  <c r="C8422" i="1"/>
  <c r="B8423" i="1"/>
  <c r="C8423" i="1"/>
  <c r="B8424" i="1"/>
  <c r="C8424" i="1"/>
  <c r="B8425" i="1"/>
  <c r="C8425" i="1"/>
  <c r="B8426" i="1"/>
  <c r="C8426" i="1"/>
  <c r="B8427" i="1"/>
  <c r="C8427" i="1"/>
  <c r="B8428" i="1"/>
  <c r="C8428" i="1"/>
  <c r="B8429" i="1"/>
  <c r="C8429" i="1"/>
  <c r="B8430" i="1"/>
  <c r="C8430" i="1"/>
  <c r="B8431" i="1"/>
  <c r="C8431" i="1"/>
  <c r="B8432" i="1"/>
  <c r="C8432" i="1"/>
  <c r="B8433" i="1"/>
  <c r="C8433" i="1"/>
  <c r="B8434" i="1"/>
  <c r="C8434" i="1"/>
  <c r="B8435" i="1"/>
  <c r="C8435" i="1"/>
  <c r="B8436" i="1"/>
  <c r="C8436" i="1"/>
  <c r="B8437" i="1"/>
  <c r="C8437" i="1"/>
  <c r="B8438" i="1"/>
  <c r="C8438" i="1"/>
  <c r="B8439" i="1"/>
  <c r="C8439" i="1"/>
  <c r="B8440" i="1"/>
  <c r="C8440" i="1"/>
  <c r="B8441" i="1"/>
  <c r="C8441" i="1"/>
  <c r="B8442" i="1"/>
  <c r="C8442" i="1"/>
  <c r="B8443" i="1"/>
  <c r="C8443" i="1"/>
  <c r="B8444" i="1"/>
  <c r="C8444" i="1"/>
  <c r="B8445" i="1"/>
  <c r="C8445" i="1"/>
  <c r="B8446" i="1"/>
  <c r="C8446" i="1"/>
  <c r="B8447" i="1"/>
  <c r="C8447" i="1"/>
  <c r="B8448" i="1"/>
  <c r="C8448" i="1"/>
  <c r="B8449" i="1"/>
  <c r="C8449" i="1"/>
  <c r="B8450" i="1"/>
  <c r="C8450" i="1"/>
  <c r="B8451" i="1"/>
  <c r="C8451" i="1"/>
  <c r="B8452" i="1"/>
  <c r="C8452" i="1"/>
  <c r="B8453" i="1"/>
  <c r="C8453" i="1"/>
  <c r="B8454" i="1"/>
  <c r="C8454" i="1"/>
  <c r="B8455" i="1"/>
  <c r="C8455" i="1"/>
  <c r="B8456" i="1"/>
  <c r="C8456" i="1"/>
  <c r="B8457" i="1"/>
  <c r="C8457" i="1"/>
  <c r="B8458" i="1"/>
  <c r="C8458" i="1"/>
  <c r="B8459" i="1"/>
  <c r="C8459" i="1"/>
  <c r="B8460" i="1"/>
  <c r="C8460" i="1"/>
  <c r="B8461" i="1"/>
  <c r="C8461" i="1"/>
  <c r="B8462" i="1"/>
  <c r="C8462" i="1"/>
  <c r="B8463" i="1"/>
  <c r="C8463" i="1"/>
  <c r="B8464" i="1"/>
  <c r="C8464" i="1"/>
  <c r="B8465" i="1"/>
  <c r="C8465" i="1"/>
  <c r="B8466" i="1"/>
  <c r="C8466" i="1"/>
  <c r="B8467" i="1"/>
  <c r="C8467" i="1"/>
  <c r="B8468" i="1"/>
  <c r="C8468" i="1"/>
  <c r="B8469" i="1"/>
  <c r="C8469" i="1"/>
  <c r="B8470" i="1"/>
  <c r="C8470" i="1"/>
  <c r="B8471" i="1"/>
  <c r="C8471" i="1"/>
  <c r="B8472" i="1"/>
  <c r="C8472" i="1"/>
  <c r="B8473" i="1"/>
  <c r="C8473" i="1"/>
  <c r="B8474" i="1"/>
  <c r="C8474" i="1"/>
  <c r="B8475" i="1"/>
  <c r="C8475" i="1"/>
  <c r="B8476" i="1"/>
  <c r="C8476" i="1"/>
  <c r="B8477" i="1"/>
  <c r="C8477" i="1"/>
  <c r="B8478" i="1"/>
  <c r="C8478" i="1"/>
  <c r="B8479" i="1"/>
  <c r="C8479" i="1"/>
  <c r="B8480" i="1"/>
  <c r="C8480" i="1"/>
  <c r="B8481" i="1"/>
  <c r="C8481" i="1"/>
  <c r="B8482" i="1"/>
  <c r="C8482" i="1"/>
  <c r="B8483" i="1"/>
  <c r="C8483" i="1"/>
  <c r="B8484" i="1"/>
  <c r="C8484" i="1"/>
  <c r="B8485" i="1"/>
  <c r="C8485" i="1"/>
  <c r="B8486" i="1"/>
  <c r="C8486" i="1"/>
  <c r="B8487" i="1"/>
  <c r="C8487" i="1"/>
  <c r="B8488" i="1"/>
  <c r="C8488" i="1"/>
  <c r="B8489" i="1"/>
  <c r="C8489" i="1"/>
  <c r="B8490" i="1"/>
  <c r="C8490" i="1"/>
  <c r="B8491" i="1"/>
  <c r="C8491" i="1"/>
  <c r="B8492" i="1"/>
  <c r="C8492" i="1"/>
  <c r="B8493" i="1"/>
  <c r="C8493" i="1"/>
  <c r="B8494" i="1"/>
  <c r="C8494" i="1"/>
  <c r="B8495" i="1"/>
  <c r="C8495" i="1"/>
  <c r="B8496" i="1"/>
  <c r="C8496" i="1"/>
  <c r="B8497" i="1"/>
  <c r="C8497" i="1"/>
  <c r="B8498" i="1"/>
  <c r="C8498" i="1"/>
  <c r="B8499" i="1"/>
  <c r="C8499" i="1"/>
  <c r="B8500" i="1"/>
  <c r="C8500" i="1"/>
  <c r="B8501" i="1"/>
  <c r="C8501" i="1"/>
  <c r="B8502" i="1"/>
  <c r="C8502" i="1"/>
  <c r="B8503" i="1"/>
  <c r="C8503" i="1"/>
  <c r="B8504" i="1"/>
  <c r="C8504" i="1"/>
  <c r="B8505" i="1"/>
  <c r="C8505" i="1"/>
  <c r="B8506" i="1"/>
  <c r="C8506" i="1"/>
  <c r="B8507" i="1"/>
  <c r="C8507" i="1"/>
  <c r="B8508" i="1"/>
  <c r="C8508" i="1"/>
  <c r="B8509" i="1"/>
  <c r="C8509" i="1"/>
  <c r="B8510" i="1"/>
  <c r="C8510" i="1"/>
  <c r="B8511" i="1"/>
  <c r="C8511" i="1"/>
  <c r="B8512" i="1"/>
  <c r="C8512" i="1"/>
  <c r="B8513" i="1"/>
  <c r="C8513" i="1"/>
  <c r="B8514" i="1"/>
  <c r="C8514" i="1"/>
  <c r="B8515" i="1"/>
  <c r="C8515" i="1"/>
  <c r="B8516" i="1"/>
  <c r="C8516" i="1"/>
  <c r="B8517" i="1"/>
  <c r="C8517" i="1"/>
  <c r="B8518" i="1"/>
  <c r="C8518" i="1"/>
  <c r="B8519" i="1"/>
  <c r="C8519" i="1"/>
  <c r="B8520" i="1"/>
  <c r="C8520" i="1"/>
  <c r="B8521" i="1"/>
  <c r="C8521" i="1"/>
  <c r="B8522" i="1"/>
  <c r="C8522" i="1"/>
  <c r="B8523" i="1"/>
  <c r="C8523" i="1"/>
  <c r="B8524" i="1"/>
  <c r="C8524" i="1"/>
  <c r="B8525" i="1"/>
  <c r="C8525" i="1"/>
  <c r="B8526" i="1"/>
  <c r="C8526" i="1"/>
  <c r="B8527" i="1"/>
  <c r="C8527" i="1"/>
  <c r="B8528" i="1"/>
  <c r="C8528" i="1"/>
  <c r="B8529" i="1"/>
  <c r="C8529" i="1"/>
  <c r="B8530" i="1"/>
  <c r="C8530" i="1"/>
  <c r="B8531" i="1"/>
  <c r="C8531" i="1"/>
  <c r="B8532" i="1"/>
  <c r="C8532" i="1"/>
  <c r="B8533" i="1"/>
  <c r="C8533" i="1"/>
  <c r="B8534" i="1"/>
  <c r="C8534" i="1"/>
  <c r="B8535" i="1"/>
  <c r="C8535" i="1"/>
  <c r="B8536" i="1"/>
  <c r="C8536" i="1"/>
  <c r="B8537" i="1"/>
  <c r="C8537" i="1"/>
  <c r="B8538" i="1"/>
  <c r="C8538" i="1"/>
  <c r="B8539" i="1"/>
  <c r="C8539" i="1"/>
  <c r="B8540" i="1"/>
  <c r="C8540" i="1"/>
  <c r="B8541" i="1"/>
  <c r="C8541" i="1"/>
  <c r="B8542" i="1"/>
  <c r="C8542" i="1"/>
  <c r="B8543" i="1"/>
  <c r="C8543" i="1"/>
  <c r="B8544" i="1"/>
  <c r="C8544" i="1"/>
  <c r="B8545" i="1"/>
  <c r="C8545" i="1"/>
  <c r="B8546" i="1"/>
  <c r="C8546" i="1"/>
  <c r="B8547" i="1"/>
  <c r="C8547" i="1"/>
  <c r="B8548" i="1"/>
  <c r="C8548" i="1"/>
  <c r="B8549" i="1"/>
  <c r="C8549" i="1"/>
  <c r="B8550" i="1"/>
  <c r="C8550" i="1"/>
  <c r="B8551" i="1"/>
  <c r="C8551" i="1"/>
  <c r="B8552" i="1"/>
  <c r="C8552" i="1"/>
  <c r="B8553" i="1"/>
  <c r="C8553" i="1"/>
  <c r="B8554" i="1"/>
  <c r="C8554" i="1"/>
  <c r="B8555" i="1"/>
  <c r="C8555" i="1"/>
  <c r="B8556" i="1"/>
  <c r="C8556" i="1"/>
  <c r="B8557" i="1"/>
  <c r="C8557" i="1"/>
  <c r="B8558" i="1"/>
  <c r="C8558" i="1"/>
  <c r="B8559" i="1"/>
  <c r="C8559" i="1"/>
  <c r="B8560" i="1"/>
  <c r="C8560" i="1"/>
  <c r="B8561" i="1"/>
  <c r="C8561" i="1"/>
  <c r="B8562" i="1"/>
  <c r="C8562" i="1"/>
  <c r="B8563" i="1"/>
  <c r="C8563" i="1"/>
  <c r="B8564" i="1"/>
  <c r="C8564" i="1"/>
  <c r="B8565" i="1"/>
  <c r="C8565" i="1"/>
  <c r="B8566" i="1"/>
  <c r="C8566" i="1"/>
  <c r="B8567" i="1"/>
  <c r="C8567" i="1"/>
  <c r="B8568" i="1"/>
  <c r="C8568" i="1"/>
  <c r="B8569" i="1"/>
  <c r="C8569" i="1"/>
  <c r="B8570" i="1"/>
  <c r="C8570" i="1"/>
  <c r="B8571" i="1"/>
  <c r="C8571" i="1"/>
  <c r="B8572" i="1"/>
  <c r="C8572" i="1"/>
  <c r="B8573" i="1"/>
  <c r="C8573" i="1"/>
  <c r="B8574" i="1"/>
  <c r="C8574" i="1"/>
  <c r="B8575" i="1"/>
  <c r="C8575" i="1"/>
  <c r="B8576" i="1"/>
  <c r="C8576" i="1"/>
  <c r="B8577" i="1"/>
  <c r="C8577" i="1"/>
  <c r="B8578" i="1"/>
  <c r="C8578" i="1"/>
  <c r="B8579" i="1"/>
  <c r="C8579" i="1"/>
  <c r="B8580" i="1"/>
  <c r="C8580" i="1"/>
  <c r="B8581" i="1"/>
  <c r="C8581" i="1"/>
  <c r="B8582" i="1"/>
  <c r="C8582" i="1"/>
  <c r="B8583" i="1"/>
  <c r="C8583" i="1"/>
  <c r="B8584" i="1"/>
  <c r="C8584" i="1"/>
  <c r="B8585" i="1"/>
  <c r="C8585" i="1"/>
  <c r="B8586" i="1"/>
  <c r="C8586" i="1"/>
  <c r="B8587" i="1"/>
  <c r="C8587" i="1"/>
  <c r="B8588" i="1"/>
  <c r="C8588" i="1"/>
  <c r="B8589" i="1"/>
  <c r="C8589" i="1"/>
  <c r="B8590" i="1"/>
  <c r="C8590" i="1"/>
  <c r="B8591" i="1"/>
  <c r="C8591" i="1"/>
  <c r="B8592" i="1"/>
  <c r="C8592" i="1"/>
  <c r="B8593" i="1"/>
  <c r="C8593" i="1"/>
  <c r="B8594" i="1"/>
  <c r="C8594" i="1"/>
  <c r="B8595" i="1"/>
  <c r="C8595" i="1"/>
  <c r="B8596" i="1"/>
  <c r="C8596" i="1"/>
  <c r="B8597" i="1"/>
  <c r="C8597" i="1"/>
  <c r="B8598" i="1"/>
  <c r="C8598" i="1"/>
  <c r="B8599" i="1"/>
  <c r="C8599" i="1"/>
  <c r="B8600" i="1"/>
  <c r="C8600" i="1"/>
  <c r="B8601" i="1"/>
  <c r="C8601" i="1"/>
  <c r="B8602" i="1"/>
  <c r="C8602" i="1"/>
  <c r="B8603" i="1"/>
  <c r="C8603" i="1"/>
  <c r="B8604" i="1"/>
  <c r="C8604" i="1"/>
  <c r="B8605" i="1"/>
  <c r="C8605" i="1"/>
  <c r="B8606" i="1"/>
  <c r="C8606" i="1"/>
  <c r="B8607" i="1"/>
  <c r="C8607" i="1"/>
  <c r="B8608" i="1"/>
  <c r="C8608" i="1"/>
  <c r="B8609" i="1"/>
  <c r="C8609" i="1"/>
  <c r="B8610" i="1"/>
  <c r="C8610" i="1"/>
  <c r="B8611" i="1"/>
  <c r="C8611" i="1"/>
  <c r="B8612" i="1"/>
  <c r="C8612" i="1"/>
  <c r="B8613" i="1"/>
  <c r="C8613" i="1"/>
  <c r="B8614" i="1"/>
  <c r="C8614" i="1"/>
  <c r="B8615" i="1"/>
  <c r="C8615" i="1"/>
  <c r="B8616" i="1"/>
  <c r="C8616" i="1"/>
  <c r="B8617" i="1"/>
  <c r="C8617" i="1"/>
  <c r="B8618" i="1"/>
  <c r="C8618" i="1"/>
  <c r="B8619" i="1"/>
  <c r="C8619" i="1"/>
  <c r="B8620" i="1"/>
  <c r="C8620" i="1"/>
  <c r="B8621" i="1"/>
  <c r="C8621" i="1"/>
  <c r="B8622" i="1"/>
  <c r="C8622" i="1"/>
  <c r="B8623" i="1"/>
  <c r="C8623" i="1"/>
  <c r="B8624" i="1"/>
  <c r="C8624" i="1"/>
  <c r="B8625" i="1"/>
  <c r="C8625" i="1"/>
  <c r="B8626" i="1"/>
  <c r="C8626" i="1"/>
  <c r="B8627" i="1"/>
  <c r="C8627" i="1"/>
  <c r="B8628" i="1"/>
  <c r="C8628" i="1"/>
  <c r="B8629" i="1"/>
  <c r="C8629" i="1"/>
  <c r="B8630" i="1"/>
  <c r="C8630" i="1"/>
  <c r="B8631" i="1"/>
  <c r="C8631" i="1"/>
  <c r="B8632" i="1"/>
  <c r="C8632" i="1"/>
  <c r="B8633" i="1"/>
  <c r="C8633" i="1"/>
  <c r="B8634" i="1"/>
  <c r="C8634" i="1"/>
  <c r="B8635" i="1"/>
  <c r="C8635" i="1"/>
  <c r="B8636" i="1"/>
  <c r="C8636" i="1"/>
  <c r="B8637" i="1"/>
  <c r="C8637" i="1"/>
  <c r="B8638" i="1"/>
  <c r="C8638" i="1"/>
  <c r="B8639" i="1"/>
  <c r="C8639" i="1"/>
  <c r="B8640" i="1"/>
  <c r="C8640" i="1"/>
  <c r="B8641" i="1"/>
  <c r="C8641" i="1"/>
  <c r="B8642" i="1"/>
  <c r="C8642" i="1"/>
  <c r="B8643" i="1"/>
  <c r="C8643" i="1"/>
  <c r="B8644" i="1"/>
  <c r="C8644" i="1"/>
  <c r="B8645" i="1"/>
  <c r="C8645" i="1"/>
  <c r="B8646" i="1"/>
  <c r="C8646" i="1"/>
  <c r="B8647" i="1"/>
  <c r="C8647" i="1"/>
  <c r="B8648" i="1"/>
  <c r="C8648" i="1"/>
  <c r="B8649" i="1"/>
  <c r="C8649" i="1"/>
  <c r="B8650" i="1"/>
  <c r="C8650" i="1"/>
  <c r="B8651" i="1"/>
  <c r="C8651" i="1"/>
  <c r="B8652" i="1"/>
  <c r="C8652" i="1"/>
  <c r="B8653" i="1"/>
  <c r="C8653" i="1"/>
  <c r="B8654" i="1"/>
  <c r="C8654" i="1"/>
  <c r="B8655" i="1"/>
  <c r="C8655" i="1"/>
  <c r="B8656" i="1"/>
  <c r="C8656" i="1"/>
  <c r="B8657" i="1"/>
  <c r="C8657" i="1"/>
  <c r="B8658" i="1"/>
  <c r="C8658" i="1"/>
  <c r="B8659" i="1"/>
  <c r="C8659" i="1"/>
  <c r="B8660" i="1"/>
  <c r="C8660" i="1"/>
  <c r="B8661" i="1"/>
  <c r="C8661" i="1"/>
  <c r="B8662" i="1"/>
  <c r="C8662" i="1"/>
  <c r="B8663" i="1"/>
  <c r="C8663" i="1"/>
  <c r="B8664" i="1"/>
  <c r="C8664" i="1"/>
  <c r="B8665" i="1"/>
  <c r="C8665" i="1"/>
  <c r="B8666" i="1"/>
  <c r="C8666" i="1"/>
  <c r="B8667" i="1"/>
  <c r="C8667" i="1"/>
  <c r="B8668" i="1"/>
  <c r="C8668" i="1"/>
  <c r="B8669" i="1"/>
  <c r="C8669" i="1"/>
  <c r="B8670" i="1"/>
  <c r="C8670" i="1"/>
  <c r="B8671" i="1"/>
  <c r="C8671" i="1"/>
  <c r="B8672" i="1"/>
  <c r="C8672" i="1"/>
  <c r="B8673" i="1"/>
  <c r="C8673" i="1"/>
  <c r="B8674" i="1"/>
  <c r="C8674" i="1"/>
  <c r="B8675" i="1"/>
  <c r="C8675" i="1"/>
  <c r="B8676" i="1"/>
  <c r="C8676" i="1"/>
  <c r="B8677" i="1"/>
  <c r="C8677" i="1"/>
  <c r="B8678" i="1"/>
  <c r="C8678" i="1"/>
  <c r="B8679" i="1"/>
  <c r="C8679" i="1"/>
  <c r="B8680" i="1"/>
  <c r="C8680" i="1"/>
  <c r="B8681" i="1"/>
  <c r="C8681" i="1"/>
  <c r="B8682" i="1"/>
  <c r="C8682" i="1"/>
  <c r="B8683" i="1"/>
  <c r="C8683" i="1"/>
  <c r="B8684" i="1"/>
  <c r="C8684" i="1"/>
  <c r="B8685" i="1"/>
  <c r="C8685" i="1"/>
  <c r="B8686" i="1"/>
  <c r="C8686" i="1"/>
  <c r="B8687" i="1"/>
  <c r="C8687" i="1"/>
  <c r="B8688" i="1"/>
  <c r="C8688" i="1"/>
  <c r="B8689" i="1"/>
  <c r="C8689" i="1"/>
  <c r="B8690" i="1"/>
  <c r="C8690" i="1"/>
  <c r="B8691" i="1"/>
  <c r="C8691" i="1"/>
  <c r="B8692" i="1"/>
  <c r="C8692" i="1"/>
  <c r="B8693" i="1"/>
  <c r="C8693" i="1"/>
  <c r="B8694" i="1"/>
  <c r="C8694" i="1"/>
  <c r="B8695" i="1"/>
  <c r="C8695" i="1"/>
  <c r="B8696" i="1"/>
  <c r="C8696" i="1"/>
  <c r="B8697" i="1"/>
  <c r="C8697" i="1"/>
  <c r="B8698" i="1"/>
  <c r="C8698" i="1"/>
  <c r="B8699" i="1"/>
  <c r="C8699" i="1"/>
  <c r="B8700" i="1"/>
  <c r="C8700" i="1"/>
  <c r="B8701" i="1"/>
  <c r="C8701" i="1"/>
  <c r="B8702" i="1"/>
  <c r="C8702" i="1"/>
  <c r="B8703" i="1"/>
  <c r="C8703" i="1"/>
  <c r="B8704" i="1"/>
  <c r="C8704" i="1"/>
  <c r="B8705" i="1"/>
  <c r="C8705" i="1"/>
  <c r="B8706" i="1"/>
  <c r="C8706" i="1"/>
  <c r="B8707" i="1"/>
  <c r="C8707" i="1"/>
  <c r="B8708" i="1"/>
  <c r="C8708" i="1"/>
  <c r="B8709" i="1"/>
  <c r="C8709" i="1"/>
  <c r="B8710" i="1"/>
  <c r="C8710" i="1"/>
  <c r="B8711" i="1"/>
  <c r="C8711" i="1"/>
  <c r="B8712" i="1"/>
  <c r="C8712" i="1"/>
  <c r="B8713" i="1"/>
  <c r="C8713" i="1"/>
  <c r="B8714" i="1"/>
  <c r="C8714" i="1"/>
  <c r="B8715" i="1"/>
  <c r="C8715" i="1"/>
  <c r="B8716" i="1"/>
  <c r="C8716" i="1"/>
  <c r="B8717" i="1"/>
  <c r="C8717" i="1"/>
  <c r="B8718" i="1"/>
  <c r="C8718" i="1"/>
  <c r="B8719" i="1"/>
  <c r="C8719" i="1"/>
  <c r="B8720" i="1"/>
  <c r="C8720" i="1"/>
  <c r="B8721" i="1"/>
  <c r="C8721" i="1"/>
  <c r="B8722" i="1"/>
  <c r="C8722" i="1"/>
  <c r="B8723" i="1"/>
  <c r="C8723" i="1"/>
  <c r="B8724" i="1"/>
  <c r="C8724" i="1"/>
  <c r="B8725" i="1"/>
  <c r="C8725" i="1"/>
  <c r="B8726" i="1"/>
  <c r="C8726" i="1"/>
  <c r="B8727" i="1"/>
  <c r="C8727" i="1"/>
  <c r="B8728" i="1"/>
  <c r="C8728" i="1"/>
  <c r="B8729" i="1"/>
  <c r="C8729" i="1"/>
  <c r="B8730" i="1"/>
  <c r="C8730" i="1"/>
  <c r="B8731" i="1"/>
  <c r="C8731" i="1"/>
  <c r="B8732" i="1"/>
  <c r="C8732" i="1"/>
  <c r="B8733" i="1"/>
  <c r="C8733" i="1"/>
  <c r="B8734" i="1"/>
  <c r="C8734" i="1"/>
  <c r="B8735" i="1"/>
  <c r="C8735" i="1"/>
  <c r="B8736" i="1"/>
  <c r="C8736" i="1"/>
  <c r="B8737" i="1"/>
  <c r="C8737" i="1"/>
  <c r="B8738" i="1"/>
  <c r="C8738" i="1"/>
  <c r="B8739" i="1"/>
  <c r="C8739" i="1"/>
  <c r="B8740" i="1"/>
  <c r="C8740" i="1"/>
  <c r="B8741" i="1"/>
  <c r="C8741" i="1"/>
  <c r="B8742" i="1"/>
  <c r="C8742" i="1"/>
  <c r="B8743" i="1"/>
  <c r="C8743" i="1"/>
  <c r="B8744" i="1"/>
  <c r="C8744" i="1"/>
  <c r="B8745" i="1"/>
  <c r="C8745" i="1"/>
  <c r="B8746" i="1"/>
  <c r="C8746" i="1"/>
  <c r="B8747" i="1"/>
  <c r="C8747" i="1"/>
  <c r="B8748" i="1"/>
  <c r="C8748" i="1"/>
  <c r="B8749" i="1"/>
  <c r="C8749" i="1"/>
  <c r="B8750" i="1"/>
  <c r="C8750" i="1"/>
  <c r="B8751" i="1"/>
  <c r="C8751" i="1"/>
  <c r="B8752" i="1"/>
  <c r="C8752" i="1"/>
  <c r="B8753" i="1"/>
  <c r="C8753" i="1"/>
  <c r="B8754" i="1"/>
  <c r="C8754" i="1"/>
  <c r="B8755" i="1"/>
  <c r="C8755" i="1"/>
  <c r="B8756" i="1"/>
  <c r="C8756" i="1"/>
  <c r="B8757" i="1"/>
  <c r="C8757" i="1"/>
  <c r="B8758" i="1"/>
  <c r="C8758" i="1"/>
  <c r="B8759" i="1"/>
  <c r="C8759" i="1"/>
  <c r="B8760" i="1"/>
  <c r="C8760" i="1"/>
  <c r="B8761" i="1"/>
  <c r="C8761" i="1"/>
  <c r="B8762" i="1"/>
  <c r="C8762" i="1"/>
  <c r="B8763" i="1"/>
  <c r="C8763" i="1"/>
  <c r="B8764" i="1"/>
  <c r="C8764" i="1"/>
  <c r="B8765" i="1"/>
  <c r="C8765" i="1"/>
  <c r="B8766" i="1"/>
  <c r="C8766" i="1"/>
  <c r="B8767" i="1"/>
  <c r="C8767" i="1"/>
  <c r="B8768" i="1"/>
  <c r="C8768" i="1"/>
  <c r="B8769" i="1"/>
  <c r="C8769" i="1"/>
  <c r="B8770" i="1"/>
  <c r="C8770" i="1"/>
  <c r="B8771" i="1"/>
  <c r="C8771" i="1"/>
  <c r="B8772" i="1"/>
  <c r="C8772" i="1"/>
  <c r="B8773" i="1"/>
  <c r="C8773" i="1"/>
  <c r="B8774" i="1"/>
  <c r="C8774" i="1"/>
  <c r="B8775" i="1"/>
  <c r="C8775" i="1"/>
  <c r="B8776" i="1"/>
  <c r="C8776" i="1"/>
  <c r="B8777" i="1"/>
  <c r="C8777" i="1"/>
  <c r="B8778" i="1"/>
  <c r="C8778" i="1"/>
  <c r="B8779" i="1"/>
  <c r="C8779" i="1"/>
  <c r="B8780" i="1"/>
  <c r="C8780" i="1"/>
  <c r="B8781" i="1"/>
  <c r="C8781" i="1"/>
  <c r="B8782" i="1"/>
  <c r="C8782" i="1"/>
  <c r="B8783" i="1"/>
  <c r="C8783" i="1"/>
  <c r="B8784" i="1"/>
  <c r="C8784" i="1"/>
  <c r="B8785" i="1"/>
  <c r="C8785" i="1"/>
  <c r="B8786" i="1"/>
  <c r="C8786" i="1"/>
  <c r="B8787" i="1"/>
  <c r="C8787" i="1"/>
  <c r="B8788" i="1"/>
  <c r="C8788" i="1"/>
  <c r="B8789" i="1"/>
  <c r="C8789" i="1"/>
  <c r="B8790" i="1"/>
  <c r="C8790" i="1"/>
  <c r="B8791" i="1"/>
  <c r="C8791" i="1"/>
  <c r="B8792" i="1"/>
  <c r="C8792" i="1"/>
  <c r="B8793" i="1"/>
  <c r="C8793" i="1"/>
  <c r="B8794" i="1"/>
  <c r="C8794" i="1"/>
  <c r="B8795" i="1"/>
  <c r="C8795" i="1"/>
  <c r="B8796" i="1"/>
  <c r="C8796" i="1"/>
  <c r="B8797" i="1"/>
  <c r="C8797" i="1"/>
  <c r="B8798" i="1"/>
  <c r="C8798" i="1"/>
  <c r="B8799" i="1"/>
  <c r="C8799" i="1"/>
  <c r="B8800" i="1"/>
  <c r="C8800" i="1"/>
  <c r="B8801" i="1"/>
  <c r="C8801" i="1"/>
  <c r="B8802" i="1"/>
  <c r="C8802" i="1"/>
  <c r="B8803" i="1"/>
  <c r="C8803" i="1"/>
  <c r="B8804" i="1"/>
  <c r="C8804" i="1"/>
  <c r="B8805" i="1"/>
  <c r="C8805" i="1"/>
  <c r="B8806" i="1"/>
  <c r="C8806" i="1"/>
  <c r="B8807" i="1"/>
  <c r="C8807" i="1"/>
  <c r="B8808" i="1"/>
  <c r="C8808" i="1"/>
  <c r="B8809" i="1"/>
  <c r="C8809" i="1"/>
  <c r="B8810" i="1"/>
  <c r="C8810" i="1"/>
  <c r="B8811" i="1"/>
  <c r="C8811" i="1"/>
  <c r="B8812" i="1"/>
  <c r="C8812" i="1"/>
  <c r="B8813" i="1"/>
  <c r="C8813" i="1"/>
  <c r="B8814" i="1"/>
  <c r="C8814" i="1"/>
  <c r="B8815" i="1"/>
  <c r="C8815" i="1"/>
  <c r="B8816" i="1"/>
  <c r="C8816" i="1"/>
  <c r="B8817" i="1"/>
  <c r="C8817" i="1"/>
  <c r="B8818" i="1"/>
  <c r="C8818" i="1"/>
  <c r="B8819" i="1"/>
  <c r="C8819" i="1"/>
  <c r="B8820" i="1"/>
  <c r="C8820" i="1"/>
  <c r="B8821" i="1"/>
  <c r="C8821" i="1"/>
  <c r="B8822" i="1"/>
  <c r="C8822" i="1"/>
  <c r="B8823" i="1"/>
  <c r="C8823" i="1"/>
  <c r="B8824" i="1"/>
  <c r="C8824" i="1"/>
  <c r="B8825" i="1"/>
  <c r="C8825" i="1"/>
  <c r="B8826" i="1"/>
  <c r="C8826" i="1"/>
  <c r="B8827" i="1"/>
  <c r="C8827" i="1"/>
  <c r="B8828" i="1"/>
  <c r="C8828" i="1"/>
  <c r="B8829" i="1"/>
  <c r="C8829" i="1"/>
  <c r="B8830" i="1"/>
  <c r="C8830" i="1"/>
  <c r="B8831" i="1"/>
  <c r="C8831" i="1"/>
  <c r="B8832" i="1"/>
  <c r="C8832" i="1"/>
  <c r="B8833" i="1"/>
  <c r="C8833" i="1"/>
  <c r="B8834" i="1"/>
  <c r="C8834" i="1"/>
  <c r="B8835" i="1"/>
  <c r="C8835" i="1"/>
  <c r="B8836" i="1"/>
  <c r="C8836" i="1"/>
  <c r="B8837" i="1"/>
  <c r="C8837" i="1"/>
  <c r="B8838" i="1"/>
  <c r="C8838" i="1"/>
  <c r="B8839" i="1"/>
  <c r="C8839" i="1"/>
  <c r="B8840" i="1"/>
  <c r="C8840" i="1"/>
  <c r="B8841" i="1"/>
  <c r="C8841" i="1"/>
  <c r="B8842" i="1"/>
  <c r="C8842" i="1"/>
  <c r="B8843" i="1"/>
  <c r="C8843" i="1"/>
  <c r="B8844" i="1"/>
  <c r="C8844" i="1"/>
  <c r="B8845" i="1"/>
  <c r="C8845" i="1"/>
  <c r="B8846" i="1"/>
  <c r="C8846" i="1"/>
  <c r="B8847" i="1"/>
  <c r="C8847" i="1"/>
  <c r="B8848" i="1"/>
  <c r="C8848" i="1"/>
  <c r="B8849" i="1"/>
  <c r="C8849" i="1"/>
  <c r="B8850" i="1"/>
  <c r="C8850" i="1"/>
  <c r="B8851" i="1"/>
  <c r="C8851" i="1"/>
  <c r="B8852" i="1"/>
  <c r="C8852" i="1"/>
  <c r="B8853" i="1"/>
  <c r="C8853" i="1"/>
  <c r="B8854" i="1"/>
  <c r="C8854" i="1"/>
  <c r="B8855" i="1"/>
  <c r="C8855" i="1"/>
  <c r="B8856" i="1"/>
  <c r="C8856" i="1"/>
  <c r="B8857" i="1"/>
  <c r="C8857" i="1"/>
  <c r="B8858" i="1"/>
  <c r="C8858" i="1"/>
  <c r="B8859" i="1"/>
  <c r="C8859" i="1"/>
  <c r="B8860" i="1"/>
  <c r="C8860" i="1"/>
  <c r="B8861" i="1"/>
  <c r="C8861" i="1"/>
  <c r="B8862" i="1"/>
  <c r="C8862" i="1"/>
  <c r="B8863" i="1"/>
  <c r="C8863" i="1"/>
  <c r="B8864" i="1"/>
  <c r="C8864" i="1"/>
  <c r="B8865" i="1"/>
  <c r="C8865" i="1"/>
  <c r="B8866" i="1"/>
  <c r="C8866" i="1"/>
  <c r="B8867" i="1"/>
  <c r="C8867" i="1"/>
  <c r="B8868" i="1"/>
  <c r="C8868" i="1"/>
  <c r="B8869" i="1"/>
  <c r="C8869" i="1"/>
  <c r="B8870" i="1"/>
  <c r="C8870" i="1"/>
  <c r="B8871" i="1"/>
  <c r="C8871" i="1"/>
  <c r="B8872" i="1"/>
  <c r="C8872" i="1"/>
  <c r="B8873" i="1"/>
  <c r="C8873" i="1"/>
  <c r="B8874" i="1"/>
  <c r="C8874" i="1"/>
  <c r="B8875" i="1"/>
  <c r="C8875" i="1"/>
  <c r="B8876" i="1"/>
  <c r="C8876" i="1"/>
  <c r="B8877" i="1"/>
  <c r="C8877" i="1"/>
  <c r="B8878" i="1"/>
  <c r="C8878" i="1"/>
  <c r="B8879" i="1"/>
  <c r="C8879" i="1"/>
  <c r="B8880" i="1"/>
  <c r="C8880" i="1"/>
  <c r="B8881" i="1"/>
  <c r="C8881" i="1"/>
  <c r="B8882" i="1"/>
  <c r="C8882" i="1"/>
  <c r="B8883" i="1"/>
  <c r="C8883" i="1"/>
  <c r="B8884" i="1"/>
  <c r="C8884" i="1"/>
  <c r="B8885" i="1"/>
  <c r="C8885" i="1"/>
  <c r="B8886" i="1"/>
  <c r="C8886" i="1"/>
  <c r="B8887" i="1"/>
  <c r="C8887" i="1"/>
  <c r="B8888" i="1"/>
  <c r="C8888" i="1"/>
  <c r="B8889" i="1"/>
  <c r="C8889" i="1"/>
  <c r="B8890" i="1"/>
  <c r="C8890" i="1"/>
  <c r="B8891" i="1"/>
  <c r="C8891" i="1"/>
  <c r="B8892" i="1"/>
  <c r="C8892" i="1"/>
  <c r="B8893" i="1"/>
  <c r="C8893" i="1"/>
  <c r="B8894" i="1"/>
  <c r="C8894" i="1"/>
  <c r="B8895" i="1"/>
  <c r="C8895" i="1"/>
  <c r="B8896" i="1"/>
  <c r="C8896" i="1"/>
  <c r="B8897" i="1"/>
  <c r="C8897" i="1"/>
  <c r="B8898" i="1"/>
  <c r="C8898" i="1"/>
  <c r="B8899" i="1"/>
  <c r="C8899" i="1"/>
  <c r="B8900" i="1"/>
  <c r="C8900" i="1"/>
  <c r="B8901" i="1"/>
  <c r="C8901" i="1"/>
  <c r="B8902" i="1"/>
  <c r="C8902" i="1"/>
  <c r="B8903" i="1"/>
  <c r="C8903" i="1"/>
  <c r="B8904" i="1"/>
  <c r="C8904" i="1"/>
  <c r="B8905" i="1"/>
  <c r="C8905" i="1"/>
  <c r="B8906" i="1"/>
  <c r="C8906" i="1"/>
  <c r="B8907" i="1"/>
  <c r="C8907" i="1"/>
  <c r="B8908" i="1"/>
  <c r="C8908" i="1"/>
  <c r="B8909" i="1"/>
  <c r="C8909" i="1"/>
  <c r="B8910" i="1"/>
  <c r="C8910" i="1"/>
  <c r="B8911" i="1"/>
  <c r="C8911" i="1"/>
  <c r="B8912" i="1"/>
  <c r="C8912" i="1"/>
  <c r="B8913" i="1"/>
  <c r="C8913" i="1"/>
  <c r="B8914" i="1"/>
  <c r="C8914" i="1"/>
  <c r="B8915" i="1"/>
  <c r="C8915" i="1"/>
  <c r="B8916" i="1"/>
  <c r="C8916" i="1"/>
  <c r="B8917" i="1"/>
  <c r="C8917" i="1"/>
  <c r="B8918" i="1"/>
  <c r="C8918" i="1"/>
  <c r="B8919" i="1"/>
  <c r="C8919" i="1"/>
  <c r="B8920" i="1"/>
  <c r="C8920" i="1"/>
  <c r="B8921" i="1"/>
  <c r="C8921" i="1"/>
  <c r="B8922" i="1"/>
  <c r="C8922" i="1"/>
  <c r="B8923" i="1"/>
  <c r="C8923" i="1"/>
  <c r="B8924" i="1"/>
  <c r="C8924" i="1"/>
  <c r="B8925" i="1"/>
  <c r="C8925" i="1"/>
  <c r="B8926" i="1"/>
  <c r="C8926" i="1"/>
  <c r="B8927" i="1"/>
  <c r="C8927" i="1"/>
  <c r="B8928" i="1"/>
  <c r="C8928" i="1"/>
  <c r="B8929" i="1"/>
  <c r="C8929" i="1"/>
  <c r="B8930" i="1"/>
  <c r="C8930" i="1"/>
  <c r="B8931" i="1"/>
  <c r="C8931" i="1"/>
  <c r="B8932" i="1"/>
  <c r="C8932" i="1"/>
  <c r="B8933" i="1"/>
  <c r="C8933" i="1"/>
  <c r="B8934" i="1"/>
  <c r="C8934" i="1"/>
  <c r="B8935" i="1"/>
  <c r="C8935" i="1"/>
  <c r="B8936" i="1"/>
  <c r="C8936" i="1"/>
  <c r="B8937" i="1"/>
  <c r="C8937" i="1"/>
  <c r="B8938" i="1"/>
  <c r="C8938" i="1"/>
  <c r="B8939" i="1"/>
  <c r="C8939" i="1"/>
  <c r="B8940" i="1"/>
  <c r="C8940" i="1"/>
  <c r="B8941" i="1"/>
  <c r="C8941" i="1"/>
  <c r="B8942" i="1"/>
  <c r="C8942" i="1"/>
  <c r="B8943" i="1"/>
  <c r="C8943" i="1"/>
  <c r="B8944" i="1"/>
  <c r="C8944" i="1"/>
  <c r="B8945" i="1"/>
  <c r="C8945" i="1"/>
  <c r="B8946" i="1"/>
  <c r="C8946" i="1"/>
  <c r="B8947" i="1"/>
  <c r="C8947" i="1"/>
  <c r="B8948" i="1"/>
  <c r="C8948" i="1"/>
  <c r="B8949" i="1"/>
  <c r="C8949" i="1"/>
  <c r="B8950" i="1"/>
  <c r="C8950" i="1"/>
  <c r="B8951" i="1"/>
  <c r="C8951" i="1"/>
  <c r="B8952" i="1"/>
  <c r="C8952" i="1"/>
  <c r="B8953" i="1"/>
  <c r="C8953" i="1"/>
  <c r="B8954" i="1"/>
  <c r="C8954" i="1"/>
  <c r="B8955" i="1"/>
  <c r="C8955" i="1"/>
  <c r="B8956" i="1"/>
  <c r="C8956" i="1"/>
  <c r="B8957" i="1"/>
  <c r="C8957" i="1"/>
  <c r="B8958" i="1"/>
  <c r="C8958" i="1"/>
  <c r="B8959" i="1"/>
  <c r="C8959" i="1"/>
  <c r="B8960" i="1"/>
  <c r="C8960" i="1"/>
  <c r="B8961" i="1"/>
  <c r="C8961" i="1"/>
  <c r="B8962" i="1"/>
  <c r="C8962" i="1"/>
  <c r="B8963" i="1"/>
  <c r="C8963" i="1"/>
  <c r="B8964" i="1"/>
  <c r="C8964" i="1"/>
  <c r="B8965" i="1"/>
  <c r="C8965" i="1"/>
  <c r="B8966" i="1"/>
  <c r="C8966" i="1"/>
  <c r="B8967" i="1"/>
  <c r="C8967" i="1"/>
  <c r="B8968" i="1"/>
  <c r="C8968" i="1"/>
  <c r="B8969" i="1"/>
  <c r="C8969" i="1"/>
  <c r="B8970" i="1"/>
  <c r="C8970" i="1"/>
  <c r="B8971" i="1"/>
  <c r="C8971" i="1"/>
  <c r="B8972" i="1"/>
  <c r="C8972" i="1"/>
  <c r="B8973" i="1"/>
  <c r="C8973" i="1"/>
  <c r="B8974" i="1"/>
  <c r="C8974" i="1"/>
  <c r="B8975" i="1"/>
  <c r="C8975" i="1"/>
  <c r="B8976" i="1"/>
  <c r="C8976" i="1"/>
  <c r="B8977" i="1"/>
  <c r="C8977" i="1"/>
  <c r="B8978" i="1"/>
  <c r="C8978" i="1"/>
  <c r="B8979" i="1"/>
  <c r="C8979" i="1"/>
  <c r="B8980" i="1"/>
  <c r="C8980" i="1"/>
  <c r="B8981" i="1"/>
  <c r="C8981" i="1"/>
  <c r="B8982" i="1"/>
  <c r="C8982" i="1"/>
  <c r="B8983" i="1"/>
  <c r="C8983" i="1"/>
  <c r="B8984" i="1"/>
  <c r="C8984" i="1"/>
  <c r="B8985" i="1"/>
  <c r="C8985" i="1"/>
  <c r="B8986" i="1"/>
  <c r="C8986" i="1"/>
  <c r="B8987" i="1"/>
  <c r="C8987" i="1"/>
  <c r="B8988" i="1"/>
  <c r="C8988" i="1"/>
  <c r="B8989" i="1"/>
  <c r="C8989" i="1"/>
  <c r="B8990" i="1"/>
  <c r="C8990" i="1"/>
  <c r="B8991" i="1"/>
  <c r="C8991" i="1"/>
  <c r="B8992" i="1"/>
  <c r="C8992" i="1"/>
  <c r="B8993" i="1"/>
  <c r="C8993" i="1"/>
  <c r="B8994" i="1"/>
  <c r="C8994" i="1"/>
  <c r="B8995" i="1"/>
  <c r="C8995" i="1"/>
  <c r="B8996" i="1"/>
  <c r="C8996" i="1"/>
  <c r="B8997" i="1"/>
  <c r="C8997" i="1"/>
  <c r="B8998" i="1"/>
  <c r="C8998" i="1"/>
  <c r="B8999" i="1"/>
  <c r="C8999" i="1"/>
  <c r="B9000" i="1"/>
  <c r="C9000" i="1"/>
  <c r="B9001" i="1"/>
  <c r="C9001" i="1"/>
  <c r="B9002" i="1"/>
  <c r="C9002" i="1"/>
  <c r="B9003" i="1"/>
  <c r="C9003" i="1"/>
  <c r="B9004" i="1"/>
  <c r="C9004" i="1"/>
  <c r="B9005" i="1"/>
  <c r="C9005" i="1"/>
  <c r="B9006" i="1"/>
  <c r="C9006" i="1"/>
  <c r="B9007" i="1"/>
  <c r="C9007" i="1"/>
  <c r="B9008" i="1"/>
  <c r="C9008" i="1"/>
  <c r="B9009" i="1"/>
  <c r="C9009" i="1"/>
  <c r="B9010" i="1"/>
  <c r="C9010" i="1"/>
  <c r="B9011" i="1"/>
  <c r="C9011" i="1"/>
  <c r="B9012" i="1"/>
  <c r="C9012" i="1"/>
  <c r="B9013" i="1"/>
  <c r="C9013" i="1"/>
  <c r="B9014" i="1"/>
  <c r="C9014" i="1"/>
  <c r="B9015" i="1"/>
  <c r="C9015" i="1"/>
  <c r="B9016" i="1"/>
  <c r="C9016" i="1"/>
  <c r="B9017" i="1"/>
  <c r="C9017" i="1"/>
  <c r="B9018" i="1"/>
  <c r="C9018" i="1"/>
  <c r="B9019" i="1"/>
  <c r="C9019" i="1"/>
  <c r="B9020" i="1"/>
  <c r="C9020" i="1"/>
  <c r="B9021" i="1"/>
  <c r="C9021" i="1"/>
  <c r="B9022" i="1"/>
  <c r="C9022" i="1"/>
  <c r="B9023" i="1"/>
  <c r="C9023" i="1"/>
  <c r="B9024" i="1"/>
  <c r="C9024" i="1"/>
  <c r="B9025" i="1"/>
  <c r="C9025" i="1"/>
  <c r="B9026" i="1"/>
  <c r="C9026" i="1"/>
  <c r="B9027" i="1"/>
  <c r="C9027" i="1"/>
  <c r="B9028" i="1"/>
  <c r="C9028" i="1"/>
  <c r="B9029" i="1"/>
  <c r="C9029" i="1"/>
  <c r="B9030" i="1"/>
  <c r="C9030" i="1"/>
  <c r="B9031" i="1"/>
  <c r="C9031" i="1"/>
  <c r="B9032" i="1"/>
  <c r="C9032" i="1"/>
  <c r="B9033" i="1"/>
  <c r="C9033" i="1"/>
  <c r="B9034" i="1"/>
  <c r="C9034" i="1"/>
  <c r="B9035" i="1"/>
  <c r="C9035" i="1"/>
  <c r="B9036" i="1"/>
  <c r="C9036" i="1"/>
  <c r="B9037" i="1"/>
  <c r="C9037" i="1"/>
  <c r="B9038" i="1"/>
  <c r="C9038" i="1"/>
  <c r="B9039" i="1"/>
  <c r="C9039" i="1"/>
  <c r="B9040" i="1"/>
  <c r="C9040" i="1"/>
  <c r="B9041" i="1"/>
  <c r="C9041" i="1"/>
  <c r="B9042" i="1"/>
  <c r="C9042" i="1"/>
  <c r="B9043" i="1"/>
  <c r="C9043" i="1"/>
  <c r="B9044" i="1"/>
  <c r="C9044" i="1"/>
  <c r="B9045" i="1"/>
  <c r="C9045" i="1"/>
  <c r="B9046" i="1"/>
  <c r="C9046" i="1"/>
  <c r="B9047" i="1"/>
  <c r="C9047" i="1"/>
  <c r="B9048" i="1"/>
  <c r="C9048" i="1"/>
  <c r="B9049" i="1"/>
  <c r="C9049" i="1"/>
  <c r="B9050" i="1"/>
  <c r="C9050" i="1"/>
  <c r="B9051" i="1"/>
  <c r="C9051" i="1"/>
  <c r="B9052" i="1"/>
  <c r="C9052" i="1"/>
  <c r="B9053" i="1"/>
  <c r="C9053" i="1"/>
  <c r="B9054" i="1"/>
  <c r="C9054" i="1"/>
  <c r="B9055" i="1"/>
  <c r="C9055" i="1"/>
  <c r="B9056" i="1"/>
  <c r="C9056" i="1"/>
  <c r="B9057" i="1"/>
  <c r="C9057" i="1"/>
  <c r="B9058" i="1"/>
  <c r="C9058" i="1"/>
  <c r="B9059" i="1"/>
  <c r="C9059" i="1"/>
  <c r="B9060" i="1"/>
  <c r="C9060" i="1"/>
  <c r="B9061" i="1"/>
  <c r="C9061" i="1"/>
  <c r="B9062" i="1"/>
  <c r="C9062" i="1"/>
  <c r="B9063" i="1"/>
  <c r="C9063" i="1"/>
  <c r="B9064" i="1"/>
  <c r="C9064" i="1"/>
  <c r="B9065" i="1"/>
  <c r="C9065" i="1"/>
  <c r="B9066" i="1"/>
  <c r="C9066" i="1"/>
  <c r="B9067" i="1"/>
  <c r="C9067" i="1"/>
  <c r="B9068" i="1"/>
  <c r="C9068" i="1"/>
  <c r="B9069" i="1"/>
  <c r="C9069" i="1"/>
  <c r="B9070" i="1"/>
  <c r="C9070" i="1"/>
  <c r="B9071" i="1"/>
  <c r="C9071" i="1"/>
  <c r="B9072" i="1"/>
  <c r="C9072" i="1"/>
  <c r="B9073" i="1"/>
  <c r="C9073" i="1"/>
  <c r="B9074" i="1"/>
  <c r="C9074" i="1"/>
  <c r="B9075" i="1"/>
  <c r="C9075" i="1"/>
  <c r="B9076" i="1"/>
  <c r="C9076" i="1"/>
  <c r="B9077" i="1"/>
  <c r="C9077" i="1"/>
  <c r="B9078" i="1"/>
  <c r="C9078" i="1"/>
  <c r="B9079" i="1"/>
  <c r="C9079" i="1"/>
  <c r="B9080" i="1"/>
  <c r="C9080" i="1"/>
  <c r="B9081" i="1"/>
  <c r="C9081" i="1"/>
  <c r="B9082" i="1"/>
  <c r="C9082" i="1"/>
  <c r="B9083" i="1"/>
  <c r="C9083" i="1"/>
  <c r="B9084" i="1"/>
  <c r="C9084" i="1"/>
  <c r="B9085" i="1"/>
  <c r="C9085" i="1"/>
  <c r="B9086" i="1"/>
  <c r="C9086" i="1"/>
  <c r="B9087" i="1"/>
  <c r="C9087" i="1"/>
  <c r="B9088" i="1"/>
  <c r="C9088" i="1"/>
  <c r="B9089" i="1"/>
  <c r="C9089" i="1"/>
  <c r="B9090" i="1"/>
  <c r="C9090" i="1"/>
  <c r="B9091" i="1"/>
  <c r="C9091" i="1"/>
  <c r="B9092" i="1"/>
  <c r="C9092" i="1"/>
  <c r="B9093" i="1"/>
  <c r="C9093" i="1"/>
  <c r="B9094" i="1"/>
  <c r="C9094" i="1"/>
  <c r="B9095" i="1"/>
  <c r="C9095" i="1"/>
  <c r="B9096" i="1"/>
  <c r="C9096" i="1"/>
  <c r="B9097" i="1"/>
  <c r="C9097" i="1"/>
  <c r="B9098" i="1"/>
  <c r="C9098" i="1"/>
  <c r="B9099" i="1"/>
  <c r="C9099" i="1"/>
  <c r="B9100" i="1"/>
  <c r="C9100" i="1"/>
  <c r="B9101" i="1"/>
  <c r="C9101" i="1"/>
  <c r="B9102" i="1"/>
  <c r="C9102" i="1"/>
  <c r="B9103" i="1"/>
  <c r="C9103" i="1"/>
  <c r="B9104" i="1"/>
  <c r="C9104" i="1"/>
  <c r="B9105" i="1"/>
  <c r="C9105" i="1"/>
  <c r="B9106" i="1"/>
  <c r="C9106" i="1"/>
  <c r="B9107" i="1"/>
  <c r="C9107" i="1"/>
  <c r="B9108" i="1"/>
  <c r="C9108" i="1"/>
  <c r="B9109" i="1"/>
  <c r="C9109" i="1"/>
  <c r="B9110" i="1"/>
  <c r="C9110" i="1"/>
  <c r="B9111" i="1"/>
  <c r="C9111" i="1"/>
  <c r="B9112" i="1"/>
  <c r="C9112" i="1"/>
  <c r="B9113" i="1"/>
  <c r="C9113" i="1"/>
  <c r="B9114" i="1"/>
  <c r="C9114" i="1"/>
  <c r="B9115" i="1"/>
  <c r="C9115" i="1"/>
  <c r="B9116" i="1"/>
  <c r="C9116" i="1"/>
  <c r="B9117" i="1"/>
  <c r="C9117" i="1"/>
  <c r="B9118" i="1"/>
  <c r="C9118" i="1"/>
  <c r="B9119" i="1"/>
  <c r="C9119" i="1"/>
  <c r="B9120" i="1"/>
  <c r="C9120" i="1"/>
  <c r="B9121" i="1"/>
  <c r="C9121" i="1"/>
  <c r="B9122" i="1"/>
  <c r="C9122" i="1"/>
  <c r="B9123" i="1"/>
  <c r="C9123" i="1"/>
  <c r="B9124" i="1"/>
  <c r="C9124" i="1"/>
  <c r="B9125" i="1"/>
  <c r="C9125" i="1"/>
  <c r="B9126" i="1"/>
  <c r="C9126" i="1"/>
  <c r="B9127" i="1"/>
  <c r="C9127" i="1"/>
  <c r="B9128" i="1"/>
  <c r="C9128" i="1"/>
  <c r="B9129" i="1"/>
  <c r="C9129" i="1"/>
  <c r="B9130" i="1"/>
  <c r="C9130" i="1"/>
  <c r="B9131" i="1"/>
  <c r="C9131" i="1"/>
  <c r="B9132" i="1"/>
  <c r="C9132" i="1"/>
  <c r="B9133" i="1"/>
  <c r="C9133" i="1"/>
  <c r="B9134" i="1"/>
  <c r="C9134" i="1"/>
  <c r="B9135" i="1"/>
  <c r="C9135" i="1"/>
  <c r="B9136" i="1"/>
  <c r="C9136" i="1"/>
  <c r="B9137" i="1"/>
  <c r="C9137" i="1"/>
  <c r="B9138" i="1"/>
  <c r="C9138" i="1"/>
  <c r="B9139" i="1"/>
  <c r="C9139" i="1"/>
  <c r="B9140" i="1"/>
  <c r="C9140" i="1"/>
  <c r="B9141" i="1"/>
  <c r="C9141" i="1"/>
  <c r="B9142" i="1"/>
  <c r="C9142" i="1"/>
  <c r="B9143" i="1"/>
  <c r="C9143" i="1"/>
  <c r="B9144" i="1"/>
  <c r="C9144" i="1"/>
  <c r="B9145" i="1"/>
  <c r="C9145" i="1"/>
  <c r="B9146" i="1"/>
  <c r="C9146" i="1"/>
  <c r="B9147" i="1"/>
  <c r="C9147" i="1"/>
  <c r="B9148" i="1"/>
  <c r="C9148" i="1"/>
  <c r="B9149" i="1"/>
  <c r="C9149" i="1"/>
  <c r="B9150" i="1"/>
  <c r="C9150" i="1"/>
  <c r="B9151" i="1"/>
  <c r="C9151" i="1"/>
  <c r="B9152" i="1"/>
  <c r="C9152" i="1"/>
  <c r="B9153" i="1"/>
  <c r="C9153" i="1"/>
  <c r="B9154" i="1"/>
  <c r="C9154" i="1"/>
  <c r="B9155" i="1"/>
  <c r="C9155" i="1"/>
  <c r="B9156" i="1"/>
  <c r="C9156" i="1"/>
  <c r="B9157" i="1"/>
  <c r="C9157" i="1"/>
  <c r="B9158" i="1"/>
  <c r="C9158" i="1"/>
  <c r="B9159" i="1"/>
  <c r="C9159" i="1"/>
  <c r="B9160" i="1"/>
  <c r="C9160" i="1"/>
  <c r="B9161" i="1"/>
  <c r="C9161" i="1"/>
  <c r="B9162" i="1"/>
  <c r="C9162" i="1"/>
  <c r="B9163" i="1"/>
  <c r="C9163" i="1"/>
  <c r="B9164" i="1"/>
  <c r="C9164" i="1"/>
  <c r="B9165" i="1"/>
  <c r="C9165" i="1"/>
  <c r="B9166" i="1"/>
  <c r="C9166" i="1"/>
  <c r="B9167" i="1"/>
  <c r="C9167" i="1"/>
  <c r="B9168" i="1"/>
  <c r="C9168" i="1"/>
  <c r="B9169" i="1"/>
  <c r="C9169" i="1"/>
  <c r="B9170" i="1"/>
  <c r="C9170" i="1"/>
  <c r="B9171" i="1"/>
  <c r="C9171" i="1"/>
  <c r="B9172" i="1"/>
  <c r="C9172" i="1"/>
  <c r="B9173" i="1"/>
  <c r="C9173" i="1"/>
  <c r="B9174" i="1"/>
  <c r="C9174" i="1"/>
  <c r="B9175" i="1"/>
  <c r="C9175" i="1"/>
  <c r="B9176" i="1"/>
  <c r="C9176" i="1"/>
  <c r="B9177" i="1"/>
  <c r="C9177" i="1"/>
  <c r="B9178" i="1"/>
  <c r="C9178" i="1"/>
  <c r="B9179" i="1"/>
  <c r="C9179" i="1"/>
  <c r="B9180" i="1"/>
  <c r="C9180" i="1"/>
  <c r="B9181" i="1"/>
  <c r="C9181" i="1"/>
  <c r="B9182" i="1"/>
  <c r="C9182" i="1"/>
  <c r="B9183" i="1"/>
  <c r="C9183" i="1"/>
  <c r="B9184" i="1"/>
  <c r="C9184" i="1"/>
  <c r="B9185" i="1"/>
  <c r="C9185" i="1"/>
  <c r="B9186" i="1"/>
  <c r="C9186" i="1"/>
  <c r="B9187" i="1"/>
  <c r="C9187" i="1"/>
  <c r="B9188" i="1"/>
  <c r="C9188" i="1"/>
  <c r="B9189" i="1"/>
  <c r="C9189" i="1"/>
  <c r="B9190" i="1"/>
  <c r="C9190" i="1"/>
  <c r="B9191" i="1"/>
  <c r="C9191" i="1"/>
  <c r="B9192" i="1"/>
  <c r="C9192" i="1"/>
  <c r="B9193" i="1"/>
  <c r="C9193" i="1"/>
  <c r="B9194" i="1"/>
  <c r="C9194" i="1"/>
  <c r="B9195" i="1"/>
  <c r="C9195" i="1"/>
  <c r="B9196" i="1"/>
  <c r="C9196" i="1"/>
  <c r="B9197" i="1"/>
  <c r="C9197" i="1"/>
  <c r="B9198" i="1"/>
  <c r="C9198" i="1"/>
  <c r="B9199" i="1"/>
  <c r="C9199" i="1"/>
  <c r="B9200" i="1"/>
  <c r="C9200" i="1"/>
  <c r="B9201" i="1"/>
  <c r="C9201" i="1"/>
  <c r="B9202" i="1"/>
  <c r="C9202" i="1"/>
  <c r="B9203" i="1"/>
  <c r="C9203" i="1"/>
  <c r="B9204" i="1"/>
  <c r="C9204" i="1"/>
  <c r="B9205" i="1"/>
  <c r="C9205" i="1"/>
  <c r="B9206" i="1"/>
  <c r="C9206" i="1"/>
  <c r="B9207" i="1"/>
  <c r="C9207" i="1"/>
  <c r="B9208" i="1"/>
  <c r="C9208" i="1"/>
  <c r="B9209" i="1"/>
  <c r="C9209" i="1"/>
  <c r="B9210" i="1"/>
  <c r="C9210" i="1"/>
  <c r="B9211" i="1"/>
  <c r="C9211" i="1"/>
  <c r="B9212" i="1"/>
  <c r="C9212" i="1"/>
  <c r="B9213" i="1"/>
  <c r="C9213" i="1"/>
  <c r="B9214" i="1"/>
  <c r="C9214" i="1"/>
  <c r="B9215" i="1"/>
  <c r="C9215" i="1"/>
  <c r="B9216" i="1"/>
  <c r="C9216" i="1"/>
  <c r="B9217" i="1"/>
  <c r="C9217" i="1"/>
  <c r="B9218" i="1"/>
  <c r="C9218" i="1"/>
  <c r="B9219" i="1"/>
  <c r="C9219" i="1"/>
  <c r="B9220" i="1"/>
  <c r="C9220" i="1"/>
  <c r="B9221" i="1"/>
  <c r="C9221" i="1"/>
  <c r="B9222" i="1"/>
  <c r="C9222" i="1"/>
  <c r="B9223" i="1"/>
  <c r="C9223" i="1"/>
  <c r="B9224" i="1"/>
  <c r="C9224" i="1"/>
  <c r="B9225" i="1"/>
  <c r="C9225" i="1"/>
  <c r="B9226" i="1"/>
  <c r="C9226" i="1"/>
  <c r="B9227" i="1"/>
  <c r="C9227" i="1"/>
  <c r="B9228" i="1"/>
  <c r="C9228" i="1"/>
  <c r="B9229" i="1"/>
  <c r="C9229" i="1"/>
  <c r="B9230" i="1"/>
  <c r="C9230" i="1"/>
  <c r="B9231" i="1"/>
  <c r="C9231" i="1"/>
  <c r="B9232" i="1"/>
  <c r="C9232" i="1"/>
  <c r="B9233" i="1"/>
  <c r="C9233" i="1"/>
  <c r="B9234" i="1"/>
  <c r="C9234" i="1"/>
  <c r="B9235" i="1"/>
  <c r="C9235" i="1"/>
  <c r="B9236" i="1"/>
  <c r="C9236" i="1"/>
  <c r="B9237" i="1"/>
  <c r="C9237" i="1"/>
  <c r="B9238" i="1"/>
  <c r="C9238" i="1"/>
  <c r="B9239" i="1"/>
  <c r="C9239" i="1"/>
  <c r="B9240" i="1"/>
  <c r="C9240" i="1"/>
  <c r="B9241" i="1"/>
  <c r="C9241" i="1"/>
  <c r="B9242" i="1"/>
  <c r="C9242" i="1"/>
  <c r="B9243" i="1"/>
  <c r="C9243" i="1"/>
  <c r="B9244" i="1"/>
  <c r="C9244" i="1"/>
  <c r="B9245" i="1"/>
  <c r="C9245" i="1"/>
  <c r="B9246" i="1"/>
  <c r="C9246" i="1"/>
  <c r="B9247" i="1"/>
  <c r="C9247" i="1"/>
  <c r="B9248" i="1"/>
  <c r="C9248" i="1"/>
  <c r="B9249" i="1"/>
  <c r="C9249" i="1"/>
  <c r="B9250" i="1"/>
  <c r="C9250" i="1"/>
  <c r="B9251" i="1"/>
  <c r="C9251" i="1"/>
  <c r="B9252" i="1"/>
  <c r="C9252" i="1"/>
  <c r="B9253" i="1"/>
  <c r="C9253" i="1"/>
  <c r="B9254" i="1"/>
  <c r="C9254" i="1"/>
  <c r="B9255" i="1"/>
  <c r="C9255" i="1"/>
  <c r="B9256" i="1"/>
  <c r="C9256" i="1"/>
  <c r="B9257" i="1"/>
  <c r="C9257" i="1"/>
  <c r="B9258" i="1"/>
  <c r="C9258" i="1"/>
  <c r="B9259" i="1"/>
  <c r="C9259" i="1"/>
  <c r="B9260" i="1"/>
  <c r="C9260" i="1"/>
  <c r="B9261" i="1"/>
  <c r="C9261" i="1"/>
  <c r="B9262" i="1"/>
  <c r="C9262" i="1"/>
  <c r="B9263" i="1"/>
  <c r="C9263" i="1"/>
  <c r="B9264" i="1"/>
  <c r="C9264" i="1"/>
  <c r="B9265" i="1"/>
  <c r="C9265" i="1"/>
  <c r="B9266" i="1"/>
  <c r="C9266" i="1"/>
  <c r="B9267" i="1"/>
  <c r="C9267" i="1"/>
  <c r="B9268" i="1"/>
  <c r="C9268" i="1"/>
  <c r="B9269" i="1"/>
  <c r="C9269" i="1"/>
  <c r="B9270" i="1"/>
  <c r="C9270" i="1"/>
  <c r="B9271" i="1"/>
  <c r="C9271" i="1"/>
  <c r="B9272" i="1"/>
  <c r="C9272" i="1"/>
  <c r="B9273" i="1"/>
  <c r="C9273" i="1"/>
  <c r="B9274" i="1"/>
  <c r="C9274" i="1"/>
  <c r="B9275" i="1"/>
  <c r="C9275" i="1"/>
  <c r="B9276" i="1"/>
  <c r="C9276" i="1"/>
  <c r="B9277" i="1"/>
  <c r="C9277" i="1"/>
  <c r="B9278" i="1"/>
  <c r="C9278" i="1"/>
  <c r="B9279" i="1"/>
  <c r="C9279" i="1"/>
  <c r="B9280" i="1"/>
  <c r="C9280" i="1"/>
  <c r="B9281" i="1"/>
  <c r="C9281" i="1"/>
  <c r="B9282" i="1"/>
  <c r="C9282" i="1"/>
  <c r="B9283" i="1"/>
  <c r="C9283" i="1"/>
  <c r="B9284" i="1"/>
  <c r="C9284" i="1"/>
  <c r="B9285" i="1"/>
  <c r="C9285" i="1"/>
  <c r="B9286" i="1"/>
  <c r="C9286" i="1"/>
  <c r="B9287" i="1"/>
  <c r="C9287" i="1"/>
  <c r="B9288" i="1"/>
  <c r="C9288" i="1"/>
  <c r="B9289" i="1"/>
  <c r="C9289" i="1"/>
  <c r="B9290" i="1"/>
  <c r="C9290" i="1"/>
  <c r="B9291" i="1"/>
  <c r="C9291" i="1"/>
  <c r="B9292" i="1"/>
  <c r="C9292" i="1"/>
  <c r="B9293" i="1"/>
  <c r="C9293" i="1"/>
  <c r="B9294" i="1"/>
  <c r="C9294" i="1"/>
  <c r="B9295" i="1"/>
  <c r="C9295" i="1"/>
  <c r="B9296" i="1"/>
  <c r="C9296" i="1"/>
  <c r="B9297" i="1"/>
  <c r="C9297" i="1"/>
  <c r="B9298" i="1"/>
  <c r="C9298" i="1"/>
  <c r="B9299" i="1"/>
  <c r="C9299" i="1"/>
  <c r="B9300" i="1"/>
  <c r="C9300" i="1"/>
  <c r="B9301" i="1"/>
  <c r="C9301" i="1"/>
  <c r="B9302" i="1"/>
  <c r="C9302" i="1"/>
  <c r="B9303" i="1"/>
  <c r="C9303" i="1"/>
  <c r="B9304" i="1"/>
  <c r="C9304" i="1"/>
  <c r="B9305" i="1"/>
  <c r="C9305" i="1"/>
  <c r="B9306" i="1"/>
  <c r="C9306" i="1"/>
  <c r="B9307" i="1"/>
  <c r="C9307" i="1"/>
  <c r="B9308" i="1"/>
  <c r="C9308" i="1"/>
  <c r="B9309" i="1"/>
  <c r="C9309" i="1"/>
  <c r="B9310" i="1"/>
  <c r="C9310" i="1"/>
  <c r="B9311" i="1"/>
  <c r="C9311" i="1"/>
  <c r="B9312" i="1"/>
  <c r="C9312" i="1"/>
  <c r="B9313" i="1"/>
  <c r="C9313" i="1"/>
  <c r="B9314" i="1"/>
  <c r="C9314" i="1"/>
  <c r="B9315" i="1"/>
  <c r="C9315" i="1"/>
  <c r="B9316" i="1"/>
  <c r="C9316" i="1"/>
  <c r="B9317" i="1"/>
  <c r="C9317" i="1"/>
  <c r="B9318" i="1"/>
  <c r="C9318" i="1"/>
  <c r="B9319" i="1"/>
  <c r="C9319" i="1"/>
  <c r="B9320" i="1"/>
  <c r="C9320" i="1"/>
  <c r="B9321" i="1"/>
  <c r="C9321" i="1"/>
  <c r="B9322" i="1"/>
  <c r="C9322" i="1"/>
  <c r="B9323" i="1"/>
  <c r="C9323" i="1"/>
  <c r="B9324" i="1"/>
  <c r="C9324" i="1"/>
  <c r="B9325" i="1"/>
  <c r="C9325" i="1"/>
  <c r="B9326" i="1"/>
  <c r="C9326" i="1"/>
  <c r="B9327" i="1"/>
  <c r="C9327" i="1"/>
  <c r="B9328" i="1"/>
  <c r="C9328" i="1"/>
  <c r="B9329" i="1"/>
  <c r="C9329" i="1"/>
  <c r="B9330" i="1"/>
  <c r="C9330" i="1"/>
  <c r="B9331" i="1"/>
  <c r="C9331" i="1"/>
  <c r="B9332" i="1"/>
  <c r="C9332" i="1"/>
  <c r="B9333" i="1"/>
  <c r="C9333" i="1"/>
  <c r="B9334" i="1"/>
  <c r="C9334" i="1"/>
  <c r="B9335" i="1"/>
  <c r="C9335" i="1"/>
  <c r="B9336" i="1"/>
  <c r="C9336" i="1"/>
  <c r="B9337" i="1"/>
  <c r="C9337" i="1"/>
  <c r="B9338" i="1"/>
  <c r="C9338" i="1"/>
  <c r="B9339" i="1"/>
  <c r="C9339" i="1"/>
  <c r="B9340" i="1"/>
  <c r="C9340" i="1"/>
  <c r="B9341" i="1"/>
  <c r="C9341" i="1"/>
  <c r="B9342" i="1"/>
  <c r="C9342" i="1"/>
  <c r="B9343" i="1"/>
  <c r="C9343" i="1"/>
  <c r="B9344" i="1"/>
  <c r="C9344" i="1"/>
  <c r="B9345" i="1"/>
  <c r="C9345" i="1"/>
  <c r="B9346" i="1"/>
  <c r="C9346" i="1"/>
  <c r="B9347" i="1"/>
  <c r="C9347" i="1"/>
  <c r="B9348" i="1"/>
  <c r="C9348" i="1"/>
  <c r="B9349" i="1"/>
  <c r="C9349" i="1"/>
  <c r="B9350" i="1"/>
  <c r="C9350" i="1"/>
  <c r="B9351" i="1"/>
  <c r="C9351" i="1"/>
  <c r="B9352" i="1"/>
  <c r="C9352" i="1"/>
  <c r="B9353" i="1"/>
  <c r="C9353" i="1"/>
  <c r="B9354" i="1"/>
  <c r="C9354" i="1"/>
  <c r="B9355" i="1"/>
  <c r="C9355" i="1"/>
  <c r="B9356" i="1"/>
  <c r="C9356" i="1"/>
  <c r="B9357" i="1"/>
  <c r="C9357" i="1"/>
  <c r="B9358" i="1"/>
  <c r="C9358" i="1"/>
  <c r="B9359" i="1"/>
  <c r="C9359" i="1"/>
  <c r="B9360" i="1"/>
  <c r="C9360" i="1"/>
  <c r="B9361" i="1"/>
  <c r="C9361" i="1"/>
  <c r="B9362" i="1"/>
  <c r="C9362" i="1"/>
  <c r="B9363" i="1"/>
  <c r="C9363" i="1"/>
  <c r="B9364" i="1"/>
  <c r="C9364" i="1"/>
  <c r="B9365" i="1"/>
  <c r="C9365" i="1"/>
  <c r="B9366" i="1"/>
  <c r="C9366" i="1"/>
  <c r="B9367" i="1"/>
  <c r="C9367" i="1"/>
  <c r="B9368" i="1"/>
  <c r="C9368" i="1"/>
  <c r="B9369" i="1"/>
  <c r="C9369" i="1"/>
  <c r="B9370" i="1"/>
  <c r="C9370" i="1"/>
  <c r="B9371" i="1"/>
  <c r="C9371" i="1"/>
  <c r="B9372" i="1"/>
  <c r="C9372" i="1"/>
  <c r="B9373" i="1"/>
  <c r="C9373" i="1"/>
  <c r="B9374" i="1"/>
  <c r="C9374" i="1"/>
  <c r="B9375" i="1"/>
  <c r="C9375" i="1"/>
  <c r="B9376" i="1"/>
  <c r="C9376" i="1"/>
  <c r="B9377" i="1"/>
  <c r="C9377" i="1"/>
  <c r="B9378" i="1"/>
  <c r="C9378" i="1"/>
  <c r="B9379" i="1"/>
  <c r="C9379" i="1"/>
  <c r="B9380" i="1"/>
  <c r="C9380" i="1"/>
  <c r="B9381" i="1"/>
  <c r="C9381" i="1"/>
  <c r="B9382" i="1"/>
  <c r="C9382" i="1"/>
  <c r="B9383" i="1"/>
  <c r="C9383" i="1"/>
  <c r="B9384" i="1"/>
  <c r="C9384" i="1"/>
  <c r="B9385" i="1"/>
  <c r="C9385" i="1"/>
  <c r="B9386" i="1"/>
  <c r="C9386" i="1"/>
  <c r="B9387" i="1"/>
  <c r="C9387" i="1"/>
  <c r="B9388" i="1"/>
  <c r="C9388" i="1"/>
  <c r="B9389" i="1"/>
  <c r="C9389" i="1"/>
  <c r="B9390" i="1"/>
  <c r="C9390" i="1"/>
  <c r="B9391" i="1"/>
  <c r="C9391" i="1"/>
  <c r="B9392" i="1"/>
  <c r="C9392" i="1"/>
  <c r="B9393" i="1"/>
  <c r="C9393" i="1"/>
  <c r="B9394" i="1"/>
  <c r="C9394" i="1"/>
  <c r="B9395" i="1"/>
  <c r="C9395" i="1"/>
  <c r="B9396" i="1"/>
  <c r="C9396" i="1"/>
  <c r="B9397" i="1"/>
  <c r="C9397" i="1"/>
  <c r="B9398" i="1"/>
  <c r="C9398" i="1"/>
  <c r="B9399" i="1"/>
  <c r="C9399" i="1"/>
  <c r="B9400" i="1"/>
  <c r="C9400" i="1"/>
  <c r="B9401" i="1"/>
  <c r="C9401" i="1"/>
  <c r="B9402" i="1"/>
  <c r="C9402" i="1"/>
  <c r="B9403" i="1"/>
  <c r="C9403" i="1"/>
  <c r="B9404" i="1"/>
  <c r="C9404" i="1"/>
  <c r="B9405" i="1"/>
  <c r="C9405" i="1"/>
  <c r="B9406" i="1"/>
  <c r="C9406" i="1"/>
  <c r="B9407" i="1"/>
  <c r="C9407" i="1"/>
  <c r="B9408" i="1"/>
  <c r="C9408" i="1"/>
  <c r="B9409" i="1"/>
  <c r="C9409" i="1"/>
  <c r="B9410" i="1"/>
  <c r="C9410" i="1"/>
  <c r="B9411" i="1"/>
  <c r="C9411" i="1"/>
  <c r="B9412" i="1"/>
  <c r="C9412" i="1"/>
  <c r="B9413" i="1"/>
  <c r="C9413" i="1"/>
  <c r="B9414" i="1"/>
  <c r="C9414" i="1"/>
  <c r="B9415" i="1"/>
  <c r="C9415" i="1"/>
  <c r="B9416" i="1"/>
  <c r="C9416" i="1"/>
  <c r="B9417" i="1"/>
  <c r="C9417" i="1"/>
  <c r="B9418" i="1"/>
  <c r="C9418" i="1"/>
  <c r="B9419" i="1"/>
  <c r="C9419" i="1"/>
  <c r="B9420" i="1"/>
  <c r="C9420" i="1"/>
  <c r="B9421" i="1"/>
  <c r="C9421" i="1"/>
  <c r="B9422" i="1"/>
  <c r="C9422" i="1"/>
  <c r="B9423" i="1"/>
  <c r="C9423" i="1"/>
  <c r="B9424" i="1"/>
  <c r="C9424" i="1"/>
  <c r="B9425" i="1"/>
  <c r="C9425" i="1"/>
  <c r="B9426" i="1"/>
  <c r="C9426" i="1"/>
  <c r="B9427" i="1"/>
  <c r="C9427" i="1"/>
  <c r="B9428" i="1"/>
  <c r="C9428" i="1"/>
  <c r="B9429" i="1"/>
  <c r="C9429" i="1"/>
  <c r="B9430" i="1"/>
  <c r="C9430" i="1"/>
  <c r="B9431" i="1"/>
  <c r="C9431" i="1"/>
  <c r="B9432" i="1"/>
  <c r="C9432" i="1"/>
  <c r="B9433" i="1"/>
  <c r="C9433" i="1"/>
  <c r="B9434" i="1"/>
  <c r="C9434" i="1"/>
  <c r="B9435" i="1"/>
  <c r="C9435" i="1"/>
  <c r="B9436" i="1"/>
  <c r="C9436" i="1"/>
  <c r="B9437" i="1"/>
  <c r="C9437" i="1"/>
  <c r="B9438" i="1"/>
  <c r="C9438" i="1"/>
  <c r="B9439" i="1"/>
  <c r="C9439" i="1"/>
  <c r="B9440" i="1"/>
  <c r="C9440" i="1"/>
  <c r="B9441" i="1"/>
  <c r="C9441" i="1"/>
  <c r="B9442" i="1"/>
  <c r="C9442" i="1"/>
  <c r="B9443" i="1"/>
  <c r="C9443" i="1"/>
  <c r="B9444" i="1"/>
  <c r="C9444" i="1"/>
  <c r="B9445" i="1"/>
  <c r="C9445" i="1"/>
  <c r="B9446" i="1"/>
  <c r="C9446" i="1"/>
  <c r="B9447" i="1"/>
  <c r="C9447" i="1"/>
  <c r="B9448" i="1"/>
  <c r="C9448" i="1"/>
  <c r="B9449" i="1"/>
  <c r="C9449" i="1"/>
  <c r="B9450" i="1"/>
  <c r="C9450" i="1"/>
  <c r="B9451" i="1"/>
  <c r="C9451" i="1"/>
  <c r="B9452" i="1"/>
  <c r="C9452" i="1"/>
  <c r="B9453" i="1"/>
  <c r="C9453" i="1"/>
  <c r="B9454" i="1"/>
  <c r="C9454" i="1"/>
  <c r="B9455" i="1"/>
  <c r="C9455" i="1"/>
  <c r="B9456" i="1"/>
  <c r="C9456" i="1"/>
  <c r="B9457" i="1"/>
  <c r="C9457" i="1"/>
  <c r="B9458" i="1"/>
  <c r="C9458" i="1"/>
  <c r="B9459" i="1"/>
  <c r="C9459" i="1"/>
  <c r="B9460" i="1"/>
  <c r="C9460" i="1"/>
  <c r="B9461" i="1"/>
  <c r="C9461" i="1"/>
  <c r="B9462" i="1"/>
  <c r="C9462" i="1"/>
  <c r="B9463" i="1"/>
  <c r="C9463" i="1"/>
  <c r="B9464" i="1"/>
  <c r="C9464" i="1"/>
  <c r="B9465" i="1"/>
  <c r="C9465" i="1"/>
  <c r="B9466" i="1"/>
  <c r="C9466" i="1"/>
  <c r="B9467" i="1"/>
  <c r="C9467" i="1"/>
  <c r="B9468" i="1"/>
  <c r="C9468" i="1"/>
  <c r="B9469" i="1"/>
  <c r="C9469" i="1"/>
  <c r="B9470" i="1"/>
  <c r="C9470" i="1"/>
  <c r="B9471" i="1"/>
  <c r="C9471" i="1"/>
  <c r="B9472" i="1"/>
  <c r="C9472" i="1"/>
  <c r="B9473" i="1"/>
  <c r="C9473" i="1"/>
  <c r="B9474" i="1"/>
  <c r="C9474" i="1"/>
  <c r="B9475" i="1"/>
  <c r="C9475" i="1"/>
  <c r="B9476" i="1"/>
  <c r="C9476" i="1"/>
  <c r="B9477" i="1"/>
  <c r="C9477" i="1"/>
  <c r="B9478" i="1"/>
  <c r="C9478" i="1"/>
  <c r="B9479" i="1"/>
  <c r="C9479" i="1"/>
  <c r="B9480" i="1"/>
  <c r="C9480" i="1"/>
  <c r="B9481" i="1"/>
  <c r="C9481" i="1"/>
  <c r="B9482" i="1"/>
  <c r="C9482" i="1"/>
  <c r="B9483" i="1"/>
  <c r="C9483" i="1"/>
  <c r="B9484" i="1"/>
  <c r="C9484" i="1"/>
  <c r="B9485" i="1"/>
  <c r="C9485" i="1"/>
  <c r="B9486" i="1"/>
  <c r="C9486" i="1"/>
  <c r="B9487" i="1"/>
  <c r="C9487" i="1"/>
  <c r="B9488" i="1"/>
  <c r="C9488" i="1"/>
  <c r="B9489" i="1"/>
  <c r="C9489" i="1"/>
  <c r="B9490" i="1"/>
  <c r="C9490" i="1"/>
  <c r="B9491" i="1"/>
  <c r="C9491" i="1"/>
  <c r="B9492" i="1"/>
  <c r="C9492" i="1"/>
  <c r="B9493" i="1"/>
  <c r="C9493" i="1"/>
  <c r="B9494" i="1"/>
  <c r="C9494" i="1"/>
  <c r="B9495" i="1"/>
  <c r="C9495" i="1"/>
  <c r="B9496" i="1"/>
  <c r="C9496" i="1"/>
  <c r="B9497" i="1"/>
  <c r="C9497" i="1"/>
  <c r="B9498" i="1"/>
  <c r="C9498" i="1"/>
  <c r="B9499" i="1"/>
  <c r="C9499" i="1"/>
  <c r="B9500" i="1"/>
  <c r="C9500" i="1"/>
  <c r="B9501" i="1"/>
  <c r="C9501" i="1"/>
  <c r="B9502" i="1"/>
  <c r="C9502" i="1"/>
  <c r="B9503" i="1"/>
  <c r="C9503" i="1"/>
  <c r="B9504" i="1"/>
  <c r="C9504" i="1"/>
  <c r="B9505" i="1"/>
  <c r="C9505" i="1"/>
  <c r="B9506" i="1"/>
  <c r="C9506" i="1"/>
  <c r="B9507" i="1"/>
  <c r="C9507" i="1"/>
  <c r="B9508" i="1"/>
  <c r="C9508" i="1"/>
  <c r="B9509" i="1"/>
  <c r="C9509" i="1"/>
  <c r="B9510" i="1"/>
  <c r="C9510" i="1"/>
  <c r="B9511" i="1"/>
  <c r="C9511" i="1"/>
  <c r="B9512" i="1"/>
  <c r="C9512" i="1"/>
  <c r="B9513" i="1"/>
  <c r="C9513" i="1"/>
  <c r="B9514" i="1"/>
  <c r="C9514" i="1"/>
  <c r="B9515" i="1"/>
  <c r="C9515" i="1"/>
  <c r="B9516" i="1"/>
  <c r="C9516" i="1"/>
  <c r="B9517" i="1"/>
  <c r="C9517" i="1"/>
  <c r="B9518" i="1"/>
  <c r="C9518" i="1"/>
  <c r="B9519" i="1"/>
  <c r="C9519" i="1"/>
  <c r="B9520" i="1"/>
  <c r="C9520" i="1"/>
  <c r="B9521" i="1"/>
  <c r="C9521" i="1"/>
  <c r="B9522" i="1"/>
  <c r="C9522" i="1"/>
  <c r="B9523" i="1"/>
  <c r="C9523" i="1"/>
  <c r="B9524" i="1"/>
  <c r="C9524" i="1"/>
  <c r="B9525" i="1"/>
  <c r="C9525" i="1"/>
  <c r="B9526" i="1"/>
  <c r="C9526" i="1"/>
  <c r="B9527" i="1"/>
  <c r="C9527" i="1"/>
  <c r="B9528" i="1"/>
  <c r="C9528" i="1"/>
  <c r="B9529" i="1"/>
  <c r="C9529" i="1"/>
  <c r="B9530" i="1"/>
  <c r="C9530" i="1"/>
  <c r="B9531" i="1"/>
  <c r="C9531" i="1"/>
  <c r="B9532" i="1"/>
  <c r="C9532" i="1"/>
  <c r="B9533" i="1"/>
  <c r="C9533" i="1"/>
  <c r="B9534" i="1"/>
  <c r="C9534" i="1"/>
  <c r="B9535" i="1"/>
  <c r="C9535" i="1"/>
  <c r="B9536" i="1"/>
  <c r="C9536" i="1"/>
  <c r="B9537" i="1"/>
  <c r="C9537" i="1"/>
  <c r="B9538" i="1"/>
  <c r="C9538" i="1"/>
  <c r="B9539" i="1"/>
  <c r="C9539" i="1"/>
  <c r="B9540" i="1"/>
  <c r="C9540" i="1"/>
  <c r="B9541" i="1"/>
  <c r="C9541" i="1"/>
  <c r="B9542" i="1"/>
  <c r="C9542" i="1"/>
  <c r="B9543" i="1"/>
  <c r="C9543" i="1"/>
  <c r="B9544" i="1"/>
  <c r="C9544" i="1"/>
  <c r="B9545" i="1"/>
  <c r="C9545" i="1"/>
  <c r="B9546" i="1"/>
  <c r="C9546" i="1"/>
  <c r="B9547" i="1"/>
  <c r="C9547" i="1"/>
  <c r="B9548" i="1"/>
  <c r="C9548" i="1"/>
  <c r="B9549" i="1"/>
  <c r="C9549" i="1"/>
  <c r="B9550" i="1"/>
  <c r="C9550" i="1"/>
  <c r="B9551" i="1"/>
  <c r="C9551" i="1"/>
  <c r="B9552" i="1"/>
  <c r="C9552" i="1"/>
  <c r="B9553" i="1"/>
  <c r="C9553" i="1"/>
  <c r="B9554" i="1"/>
  <c r="C9554" i="1"/>
  <c r="B9555" i="1"/>
  <c r="C9555" i="1"/>
  <c r="B9556" i="1"/>
  <c r="C9556" i="1"/>
  <c r="B9557" i="1"/>
  <c r="C9557" i="1"/>
  <c r="B9558" i="1"/>
  <c r="C9558" i="1"/>
  <c r="B9559" i="1"/>
  <c r="C9559" i="1"/>
  <c r="B9560" i="1"/>
  <c r="C9560" i="1"/>
  <c r="B9561" i="1"/>
  <c r="C9561" i="1"/>
  <c r="B9562" i="1"/>
  <c r="C9562" i="1"/>
  <c r="B9563" i="1"/>
  <c r="C9563" i="1"/>
  <c r="B9564" i="1"/>
  <c r="C9564" i="1"/>
  <c r="B9565" i="1"/>
  <c r="C9565" i="1"/>
  <c r="B9566" i="1"/>
  <c r="C9566" i="1"/>
  <c r="B9567" i="1"/>
  <c r="C9567" i="1"/>
  <c r="B9568" i="1"/>
  <c r="C9568" i="1"/>
  <c r="B9569" i="1"/>
  <c r="C9569" i="1"/>
  <c r="B9570" i="1"/>
  <c r="C9570" i="1"/>
  <c r="B9571" i="1"/>
  <c r="C9571" i="1"/>
  <c r="B9572" i="1"/>
  <c r="C9572" i="1"/>
  <c r="B9573" i="1"/>
  <c r="C9573" i="1"/>
  <c r="B9574" i="1"/>
  <c r="C9574" i="1"/>
  <c r="B9575" i="1"/>
  <c r="C9575" i="1"/>
  <c r="B9576" i="1"/>
  <c r="C9576" i="1"/>
  <c r="B9577" i="1"/>
  <c r="C9577" i="1"/>
  <c r="B9578" i="1"/>
  <c r="C9578" i="1"/>
  <c r="B9579" i="1"/>
  <c r="C9579" i="1"/>
  <c r="B9580" i="1"/>
  <c r="C9580" i="1"/>
  <c r="B9581" i="1"/>
  <c r="C9581" i="1"/>
  <c r="B9582" i="1"/>
  <c r="C9582" i="1"/>
  <c r="B9583" i="1"/>
  <c r="C9583" i="1"/>
  <c r="B9584" i="1"/>
  <c r="C9584" i="1"/>
  <c r="B9585" i="1"/>
  <c r="C9585" i="1"/>
  <c r="B9586" i="1"/>
  <c r="C9586" i="1"/>
  <c r="B9587" i="1"/>
  <c r="C9587" i="1"/>
  <c r="B9588" i="1"/>
  <c r="C9588" i="1"/>
  <c r="B9589" i="1"/>
  <c r="C9589" i="1"/>
  <c r="B9590" i="1"/>
  <c r="C9590" i="1"/>
  <c r="B9591" i="1"/>
  <c r="C9591" i="1"/>
  <c r="B9592" i="1"/>
  <c r="C9592" i="1"/>
  <c r="B9593" i="1"/>
  <c r="C9593" i="1"/>
  <c r="B9594" i="1"/>
  <c r="C9594" i="1"/>
  <c r="B9595" i="1"/>
  <c r="C9595" i="1"/>
  <c r="B9596" i="1"/>
  <c r="C9596" i="1"/>
  <c r="B9597" i="1"/>
  <c r="C9597" i="1"/>
  <c r="B9598" i="1"/>
  <c r="C9598" i="1"/>
  <c r="B9599" i="1"/>
  <c r="C9599" i="1"/>
  <c r="B9600" i="1"/>
  <c r="C9600" i="1"/>
  <c r="B9601" i="1"/>
  <c r="C9601" i="1"/>
  <c r="B9602" i="1"/>
  <c r="C9602" i="1"/>
  <c r="B9603" i="1"/>
  <c r="C9603" i="1"/>
  <c r="B9604" i="1"/>
  <c r="C9604" i="1"/>
  <c r="B9605" i="1"/>
  <c r="C9605" i="1"/>
  <c r="B9606" i="1"/>
  <c r="C9606" i="1"/>
  <c r="B9607" i="1"/>
  <c r="C9607" i="1"/>
  <c r="B9608" i="1"/>
  <c r="C9608" i="1"/>
  <c r="B9609" i="1"/>
  <c r="C9609" i="1"/>
  <c r="B9610" i="1"/>
  <c r="C9610" i="1"/>
  <c r="B9611" i="1"/>
  <c r="C9611" i="1"/>
  <c r="B9612" i="1"/>
  <c r="C9612" i="1"/>
  <c r="B9613" i="1"/>
  <c r="C9613" i="1"/>
  <c r="B9614" i="1"/>
  <c r="C9614" i="1"/>
  <c r="B9615" i="1"/>
  <c r="C9615" i="1"/>
  <c r="B9616" i="1"/>
  <c r="C9616" i="1"/>
  <c r="B9617" i="1"/>
  <c r="C9617" i="1"/>
  <c r="B9618" i="1"/>
  <c r="C9618" i="1"/>
  <c r="B9619" i="1"/>
  <c r="C9619" i="1"/>
  <c r="B9620" i="1"/>
  <c r="C9620" i="1"/>
  <c r="B9621" i="1"/>
  <c r="C9621" i="1"/>
  <c r="B9622" i="1"/>
  <c r="C9622" i="1"/>
  <c r="B9623" i="1"/>
  <c r="C9623" i="1"/>
  <c r="B9624" i="1"/>
  <c r="C9624" i="1"/>
  <c r="B9625" i="1"/>
  <c r="C9625" i="1"/>
  <c r="B9626" i="1"/>
  <c r="C9626" i="1"/>
  <c r="B9627" i="1"/>
  <c r="C9627" i="1"/>
  <c r="B9628" i="1"/>
  <c r="C9628" i="1"/>
  <c r="B9629" i="1"/>
  <c r="C9629" i="1"/>
  <c r="B9630" i="1"/>
  <c r="C9630" i="1"/>
  <c r="B9631" i="1"/>
  <c r="C9631" i="1"/>
  <c r="B9632" i="1"/>
  <c r="C9632" i="1"/>
  <c r="B9633" i="1"/>
  <c r="C9633" i="1"/>
  <c r="B9634" i="1"/>
  <c r="C9634" i="1"/>
  <c r="B9635" i="1"/>
  <c r="C9635" i="1"/>
  <c r="B9636" i="1"/>
  <c r="C9636" i="1"/>
  <c r="B9637" i="1"/>
  <c r="C9637" i="1"/>
  <c r="B9638" i="1"/>
  <c r="C9638" i="1"/>
  <c r="B9639" i="1"/>
  <c r="C9639" i="1"/>
  <c r="B9640" i="1"/>
  <c r="C9640" i="1"/>
  <c r="B9641" i="1"/>
  <c r="C9641" i="1"/>
  <c r="B9642" i="1"/>
  <c r="C9642" i="1"/>
  <c r="B9643" i="1"/>
  <c r="C9643" i="1"/>
  <c r="B9644" i="1"/>
  <c r="C9644" i="1"/>
  <c r="B9645" i="1"/>
  <c r="C9645" i="1"/>
  <c r="B9646" i="1"/>
  <c r="C9646" i="1"/>
  <c r="B9647" i="1"/>
  <c r="C9647" i="1"/>
  <c r="B9648" i="1"/>
  <c r="C9648" i="1"/>
  <c r="B9649" i="1"/>
  <c r="C9649" i="1"/>
  <c r="B9650" i="1"/>
  <c r="C9650" i="1"/>
  <c r="B9651" i="1"/>
  <c r="C9651" i="1"/>
  <c r="B9652" i="1"/>
  <c r="C9652" i="1"/>
  <c r="B9653" i="1"/>
  <c r="C9653" i="1"/>
  <c r="B9654" i="1"/>
  <c r="C9654" i="1"/>
  <c r="B9655" i="1"/>
  <c r="C9655" i="1"/>
  <c r="B9656" i="1"/>
  <c r="C9656" i="1"/>
  <c r="B9657" i="1"/>
  <c r="C9657" i="1"/>
  <c r="B9658" i="1"/>
  <c r="C9658" i="1"/>
  <c r="B9659" i="1"/>
  <c r="C9659" i="1"/>
  <c r="B9660" i="1"/>
  <c r="C9660" i="1"/>
  <c r="B9661" i="1"/>
  <c r="C9661" i="1"/>
  <c r="B9662" i="1"/>
  <c r="C9662" i="1"/>
  <c r="B9663" i="1"/>
  <c r="C9663" i="1"/>
  <c r="B9664" i="1"/>
  <c r="C9664" i="1"/>
  <c r="B9665" i="1"/>
  <c r="C9665" i="1"/>
  <c r="B9666" i="1"/>
  <c r="C9666" i="1"/>
  <c r="B9667" i="1"/>
  <c r="C9667" i="1"/>
  <c r="B9668" i="1"/>
  <c r="C9668" i="1"/>
  <c r="B9669" i="1"/>
  <c r="C9669" i="1"/>
  <c r="B9670" i="1"/>
  <c r="C9670" i="1"/>
  <c r="B9671" i="1"/>
  <c r="C9671" i="1"/>
  <c r="B9672" i="1"/>
  <c r="C9672" i="1"/>
  <c r="B9673" i="1"/>
  <c r="C9673" i="1"/>
  <c r="B9674" i="1"/>
  <c r="C9674" i="1"/>
  <c r="B9675" i="1"/>
  <c r="C9675" i="1"/>
  <c r="B9676" i="1"/>
  <c r="C9676" i="1"/>
  <c r="B9677" i="1"/>
  <c r="C9677" i="1"/>
  <c r="B9678" i="1"/>
  <c r="C9678" i="1"/>
  <c r="B9679" i="1"/>
  <c r="C9679" i="1"/>
  <c r="B9680" i="1"/>
  <c r="C9680" i="1"/>
  <c r="B9681" i="1"/>
  <c r="C9681" i="1"/>
  <c r="B9682" i="1"/>
  <c r="C9682" i="1"/>
  <c r="B9683" i="1"/>
  <c r="C9683" i="1"/>
  <c r="B9684" i="1"/>
  <c r="C9684" i="1"/>
  <c r="B9685" i="1"/>
  <c r="C9685" i="1"/>
  <c r="B9686" i="1"/>
  <c r="C9686" i="1"/>
  <c r="B9687" i="1"/>
  <c r="C9687" i="1"/>
  <c r="B9688" i="1"/>
  <c r="C9688" i="1"/>
  <c r="B9689" i="1"/>
  <c r="C9689" i="1"/>
  <c r="B9690" i="1"/>
  <c r="C9690" i="1"/>
  <c r="B9691" i="1"/>
  <c r="C9691" i="1"/>
  <c r="B9692" i="1"/>
  <c r="C9692" i="1"/>
  <c r="B9693" i="1"/>
  <c r="C9693" i="1"/>
  <c r="B9694" i="1"/>
  <c r="C9694" i="1"/>
  <c r="B9695" i="1"/>
  <c r="C9695" i="1"/>
  <c r="B9696" i="1"/>
  <c r="C9696" i="1"/>
  <c r="B9697" i="1"/>
  <c r="C9697" i="1"/>
  <c r="B9698" i="1"/>
  <c r="C9698" i="1"/>
  <c r="B9699" i="1"/>
  <c r="C9699" i="1"/>
  <c r="B9700" i="1"/>
  <c r="C9700" i="1"/>
  <c r="B9701" i="1"/>
  <c r="C9701" i="1"/>
  <c r="B9702" i="1"/>
  <c r="C9702" i="1"/>
  <c r="B9703" i="1"/>
  <c r="C9703" i="1"/>
  <c r="B9704" i="1"/>
  <c r="C9704" i="1"/>
  <c r="B9705" i="1"/>
  <c r="C9705" i="1"/>
  <c r="B9706" i="1"/>
  <c r="C9706" i="1"/>
  <c r="B9707" i="1"/>
  <c r="C9707" i="1"/>
  <c r="B9708" i="1"/>
  <c r="C9708" i="1"/>
  <c r="B9709" i="1"/>
  <c r="C9709" i="1"/>
  <c r="B9710" i="1"/>
  <c r="C9710" i="1"/>
  <c r="B9711" i="1"/>
  <c r="C9711" i="1"/>
  <c r="B9712" i="1"/>
  <c r="C9712" i="1"/>
  <c r="B9713" i="1"/>
  <c r="C9713" i="1"/>
  <c r="B9714" i="1"/>
  <c r="C9714" i="1"/>
  <c r="B9715" i="1"/>
  <c r="C9715" i="1"/>
  <c r="B9716" i="1"/>
  <c r="C9716" i="1"/>
  <c r="B9717" i="1"/>
  <c r="C9717" i="1"/>
  <c r="B9718" i="1"/>
  <c r="C9718" i="1"/>
  <c r="B9719" i="1"/>
  <c r="C9719" i="1"/>
  <c r="B9720" i="1"/>
  <c r="C9720" i="1"/>
  <c r="B9721" i="1"/>
  <c r="C9721" i="1"/>
  <c r="B9722" i="1"/>
  <c r="C9722" i="1"/>
  <c r="B9723" i="1"/>
  <c r="C9723" i="1"/>
  <c r="B9724" i="1"/>
  <c r="C9724" i="1"/>
  <c r="B9725" i="1"/>
  <c r="C9725" i="1"/>
  <c r="B9726" i="1"/>
  <c r="C9726" i="1"/>
  <c r="B9727" i="1"/>
  <c r="C9727" i="1"/>
  <c r="B9728" i="1"/>
  <c r="C9728" i="1"/>
  <c r="B9729" i="1"/>
  <c r="C9729" i="1"/>
  <c r="B9730" i="1"/>
  <c r="C9730" i="1"/>
  <c r="B9731" i="1"/>
  <c r="C9731" i="1"/>
  <c r="B9732" i="1"/>
  <c r="C9732" i="1"/>
  <c r="B9733" i="1"/>
  <c r="C9733" i="1"/>
  <c r="B9734" i="1"/>
  <c r="C9734" i="1"/>
  <c r="B9735" i="1"/>
  <c r="C9735" i="1"/>
  <c r="B9736" i="1"/>
  <c r="C9736" i="1"/>
  <c r="B9737" i="1"/>
  <c r="C9737" i="1"/>
  <c r="B9738" i="1"/>
  <c r="C9738" i="1"/>
  <c r="B9739" i="1"/>
  <c r="C9739" i="1"/>
  <c r="B9740" i="1"/>
  <c r="C9740" i="1"/>
  <c r="B9741" i="1"/>
  <c r="C9741" i="1"/>
  <c r="B9742" i="1"/>
  <c r="C9742" i="1"/>
  <c r="B9743" i="1"/>
  <c r="C9743" i="1"/>
  <c r="B9744" i="1"/>
  <c r="C9744" i="1"/>
  <c r="B9745" i="1"/>
  <c r="C9745" i="1"/>
  <c r="B9746" i="1"/>
  <c r="C9746" i="1"/>
  <c r="B9747" i="1"/>
  <c r="C9747" i="1"/>
  <c r="B9748" i="1"/>
  <c r="C9748" i="1"/>
  <c r="B9749" i="1"/>
  <c r="C9749" i="1"/>
  <c r="B9750" i="1"/>
  <c r="C9750" i="1"/>
  <c r="B9751" i="1"/>
  <c r="C9751" i="1"/>
  <c r="B9752" i="1"/>
  <c r="C9752" i="1"/>
  <c r="B9753" i="1"/>
  <c r="C9753" i="1"/>
  <c r="B9754" i="1"/>
  <c r="C9754" i="1"/>
  <c r="B9755" i="1"/>
  <c r="C9755" i="1"/>
  <c r="B9756" i="1"/>
  <c r="C9756" i="1"/>
  <c r="B9757" i="1"/>
  <c r="C9757" i="1"/>
  <c r="B9758" i="1"/>
  <c r="C9758" i="1"/>
  <c r="B9759" i="1"/>
  <c r="C9759" i="1"/>
  <c r="B9760" i="1"/>
  <c r="C9760" i="1"/>
  <c r="B9761" i="1"/>
  <c r="C9761" i="1"/>
  <c r="B9762" i="1"/>
  <c r="C9762" i="1"/>
  <c r="B9763" i="1"/>
  <c r="C9763" i="1"/>
  <c r="B9764" i="1"/>
  <c r="C9764" i="1"/>
  <c r="B9765" i="1"/>
  <c r="C9765" i="1"/>
  <c r="B9766" i="1"/>
  <c r="C9766" i="1"/>
  <c r="B9767" i="1"/>
  <c r="C9767" i="1"/>
  <c r="B9768" i="1"/>
  <c r="C9768" i="1"/>
  <c r="B9769" i="1"/>
  <c r="C9769" i="1"/>
  <c r="B9770" i="1"/>
  <c r="C9770" i="1"/>
  <c r="B9771" i="1"/>
  <c r="C9771" i="1"/>
  <c r="B9772" i="1"/>
  <c r="C9772" i="1"/>
  <c r="B9773" i="1"/>
  <c r="C9773" i="1"/>
  <c r="B9774" i="1"/>
  <c r="C9774" i="1"/>
  <c r="B9775" i="1"/>
  <c r="C9775" i="1"/>
  <c r="B9776" i="1"/>
  <c r="C9776" i="1"/>
  <c r="B9777" i="1"/>
  <c r="C9777" i="1"/>
  <c r="B9778" i="1"/>
  <c r="C9778" i="1"/>
  <c r="B9779" i="1"/>
  <c r="C9779" i="1"/>
  <c r="B9780" i="1"/>
  <c r="C9780" i="1"/>
  <c r="B9781" i="1"/>
  <c r="C9781" i="1"/>
  <c r="B9782" i="1"/>
  <c r="C9782" i="1"/>
  <c r="B9783" i="1"/>
  <c r="C9783" i="1"/>
  <c r="B9784" i="1"/>
  <c r="C9784" i="1"/>
  <c r="B9785" i="1"/>
  <c r="C9785" i="1"/>
  <c r="B9786" i="1"/>
  <c r="C9786" i="1"/>
  <c r="B9787" i="1"/>
  <c r="C9787" i="1"/>
  <c r="B9788" i="1"/>
  <c r="C9788" i="1"/>
  <c r="B9789" i="1"/>
  <c r="C9789" i="1"/>
  <c r="B9790" i="1"/>
  <c r="C9790" i="1"/>
  <c r="B9791" i="1"/>
  <c r="C9791" i="1"/>
  <c r="B9792" i="1"/>
  <c r="C9792" i="1"/>
  <c r="B9793" i="1"/>
  <c r="C9793" i="1"/>
  <c r="B9794" i="1"/>
  <c r="C9794" i="1"/>
  <c r="B9795" i="1"/>
  <c r="C9795" i="1"/>
  <c r="B9796" i="1"/>
  <c r="C9796" i="1"/>
  <c r="B9797" i="1"/>
  <c r="C9797" i="1"/>
  <c r="B9798" i="1"/>
  <c r="C9798" i="1"/>
  <c r="B9799" i="1"/>
  <c r="C9799" i="1"/>
  <c r="B9800" i="1"/>
  <c r="C9800" i="1"/>
  <c r="B9801" i="1"/>
  <c r="C9801" i="1"/>
  <c r="B9802" i="1"/>
  <c r="C9802" i="1"/>
  <c r="B9803" i="1"/>
  <c r="C9803" i="1"/>
  <c r="B9804" i="1"/>
  <c r="C9804" i="1"/>
  <c r="B9805" i="1"/>
  <c r="C9805" i="1"/>
  <c r="B9806" i="1"/>
  <c r="C9806" i="1"/>
  <c r="B9807" i="1"/>
  <c r="C9807" i="1"/>
  <c r="B9808" i="1"/>
  <c r="C9808" i="1"/>
  <c r="B9809" i="1"/>
  <c r="C9809" i="1"/>
  <c r="B9810" i="1"/>
  <c r="C9810" i="1"/>
  <c r="B9811" i="1"/>
  <c r="C9811" i="1"/>
  <c r="B9812" i="1"/>
  <c r="C9812" i="1"/>
  <c r="B9813" i="1"/>
  <c r="C9813" i="1"/>
  <c r="B9814" i="1"/>
  <c r="C9814" i="1"/>
  <c r="B9815" i="1"/>
  <c r="C9815" i="1"/>
  <c r="B9816" i="1"/>
  <c r="C9816" i="1"/>
  <c r="B9817" i="1"/>
  <c r="C9817" i="1"/>
  <c r="B9818" i="1"/>
  <c r="C9818" i="1"/>
  <c r="B9819" i="1"/>
  <c r="C9819" i="1"/>
  <c r="B9820" i="1"/>
  <c r="C9820" i="1"/>
  <c r="B9821" i="1"/>
  <c r="C9821" i="1"/>
  <c r="B9822" i="1"/>
  <c r="C9822" i="1"/>
  <c r="B9823" i="1"/>
  <c r="C9823" i="1"/>
  <c r="B9824" i="1"/>
  <c r="C9824" i="1"/>
  <c r="B9825" i="1"/>
  <c r="C9825" i="1"/>
  <c r="B9826" i="1"/>
  <c r="C9826" i="1"/>
  <c r="B9827" i="1"/>
  <c r="C9827" i="1"/>
  <c r="B9828" i="1"/>
  <c r="C9828" i="1"/>
  <c r="B9829" i="1"/>
  <c r="C9829" i="1"/>
  <c r="B9830" i="1"/>
  <c r="C9830" i="1"/>
  <c r="B9831" i="1"/>
  <c r="C9831" i="1"/>
  <c r="B9832" i="1"/>
  <c r="C9832" i="1"/>
  <c r="B9833" i="1"/>
  <c r="C9833" i="1"/>
  <c r="B9834" i="1"/>
  <c r="C9834" i="1"/>
  <c r="B9835" i="1"/>
  <c r="C9835" i="1"/>
  <c r="B9836" i="1"/>
  <c r="C9836" i="1"/>
  <c r="B9837" i="1"/>
  <c r="C9837" i="1"/>
  <c r="B9838" i="1"/>
  <c r="C9838" i="1"/>
  <c r="B9839" i="1"/>
  <c r="C9839" i="1"/>
  <c r="B9840" i="1"/>
  <c r="C9840" i="1"/>
  <c r="B9841" i="1"/>
  <c r="C9841" i="1"/>
  <c r="B9842" i="1"/>
  <c r="C9842" i="1"/>
  <c r="B9843" i="1"/>
  <c r="C9843" i="1"/>
  <c r="B9844" i="1"/>
  <c r="C9844" i="1"/>
  <c r="B9845" i="1"/>
  <c r="C9845" i="1"/>
  <c r="B9846" i="1"/>
  <c r="C9846" i="1"/>
  <c r="B9847" i="1"/>
  <c r="C9847" i="1"/>
  <c r="B9848" i="1"/>
  <c r="C9848" i="1"/>
  <c r="B9849" i="1"/>
  <c r="C9849" i="1"/>
  <c r="B9850" i="1"/>
  <c r="C9850" i="1"/>
  <c r="B9851" i="1"/>
  <c r="C9851" i="1"/>
  <c r="B9852" i="1"/>
  <c r="C9852" i="1"/>
  <c r="B9853" i="1"/>
  <c r="C9853" i="1"/>
  <c r="B9854" i="1"/>
  <c r="C9854" i="1"/>
  <c r="B9855" i="1"/>
  <c r="C9855" i="1"/>
  <c r="B9856" i="1"/>
  <c r="C9856" i="1"/>
  <c r="B9857" i="1"/>
  <c r="C9857" i="1"/>
  <c r="B9858" i="1"/>
  <c r="C9858" i="1"/>
  <c r="B9859" i="1"/>
  <c r="C9859" i="1"/>
  <c r="B9860" i="1"/>
  <c r="C9860" i="1"/>
  <c r="B9861" i="1"/>
  <c r="C9861" i="1"/>
  <c r="B9862" i="1"/>
  <c r="C9862" i="1"/>
  <c r="B9863" i="1"/>
  <c r="C9863" i="1"/>
  <c r="B9864" i="1"/>
  <c r="C9864" i="1"/>
  <c r="B9865" i="1"/>
  <c r="C9865" i="1"/>
  <c r="B9866" i="1"/>
  <c r="C9866" i="1"/>
  <c r="B9867" i="1"/>
  <c r="C9867" i="1"/>
  <c r="B9868" i="1"/>
  <c r="C9868" i="1"/>
  <c r="B9869" i="1"/>
  <c r="C9869" i="1"/>
  <c r="B9870" i="1"/>
  <c r="C9870" i="1"/>
  <c r="B9871" i="1"/>
  <c r="C9871" i="1"/>
  <c r="B9872" i="1"/>
  <c r="C9872" i="1"/>
  <c r="B9873" i="1"/>
  <c r="C9873" i="1"/>
  <c r="B9874" i="1"/>
  <c r="C9874" i="1"/>
  <c r="B9875" i="1"/>
  <c r="C9875" i="1"/>
  <c r="B9876" i="1"/>
  <c r="C9876" i="1"/>
  <c r="B9877" i="1"/>
  <c r="C9877" i="1"/>
  <c r="B9878" i="1"/>
  <c r="C9878" i="1"/>
  <c r="B9879" i="1"/>
  <c r="C9879" i="1"/>
  <c r="B9880" i="1"/>
  <c r="C9880" i="1"/>
  <c r="B9881" i="1"/>
  <c r="C9881" i="1"/>
  <c r="B9882" i="1"/>
  <c r="C9882" i="1"/>
  <c r="B9883" i="1"/>
  <c r="C9883" i="1"/>
  <c r="B9884" i="1"/>
  <c r="C9884" i="1"/>
  <c r="B9885" i="1"/>
  <c r="C9885" i="1"/>
  <c r="B9886" i="1"/>
  <c r="C9886" i="1"/>
  <c r="B9887" i="1"/>
  <c r="C9887" i="1"/>
  <c r="B9888" i="1"/>
  <c r="C9888" i="1"/>
  <c r="B9889" i="1"/>
  <c r="C9889" i="1"/>
  <c r="B9890" i="1"/>
  <c r="C9890" i="1"/>
  <c r="B9891" i="1"/>
  <c r="C9891" i="1"/>
  <c r="B9892" i="1"/>
  <c r="C9892" i="1"/>
  <c r="B9893" i="1"/>
  <c r="C9893" i="1"/>
  <c r="B9894" i="1"/>
  <c r="C9894" i="1"/>
  <c r="B9895" i="1"/>
  <c r="C9895" i="1"/>
  <c r="B9896" i="1"/>
  <c r="C9896" i="1"/>
  <c r="B9897" i="1"/>
  <c r="C9897" i="1"/>
  <c r="B9898" i="1"/>
  <c r="C9898" i="1"/>
  <c r="B9899" i="1"/>
  <c r="C9899" i="1"/>
  <c r="B9900" i="1"/>
  <c r="C9900" i="1"/>
  <c r="B9901" i="1"/>
  <c r="C9901" i="1"/>
  <c r="B9902" i="1"/>
  <c r="C9902" i="1"/>
  <c r="B9903" i="1"/>
  <c r="C9903" i="1"/>
  <c r="B9904" i="1"/>
  <c r="C9904" i="1"/>
  <c r="B9905" i="1"/>
  <c r="C9905" i="1"/>
  <c r="B9906" i="1"/>
  <c r="C9906" i="1"/>
  <c r="B9907" i="1"/>
  <c r="C9907" i="1"/>
  <c r="B9908" i="1"/>
  <c r="C9908" i="1"/>
  <c r="B9909" i="1"/>
  <c r="C9909" i="1"/>
  <c r="B9910" i="1"/>
  <c r="C9910" i="1"/>
  <c r="B9911" i="1"/>
  <c r="C9911" i="1"/>
  <c r="B9912" i="1"/>
  <c r="C9912" i="1"/>
  <c r="B9913" i="1"/>
  <c r="C9913" i="1"/>
  <c r="B9914" i="1"/>
  <c r="C9914" i="1"/>
  <c r="B9915" i="1"/>
  <c r="C9915" i="1"/>
  <c r="B9916" i="1"/>
  <c r="C9916" i="1"/>
  <c r="B9917" i="1"/>
  <c r="C9917" i="1"/>
  <c r="B9918" i="1"/>
  <c r="C9918" i="1"/>
  <c r="B9919" i="1"/>
  <c r="C9919" i="1"/>
  <c r="B9920" i="1"/>
  <c r="C9920" i="1"/>
  <c r="B9921" i="1"/>
  <c r="C9921" i="1"/>
  <c r="B9922" i="1"/>
  <c r="C9922" i="1"/>
  <c r="B9923" i="1"/>
  <c r="C9923" i="1"/>
  <c r="B9924" i="1"/>
  <c r="C9924" i="1"/>
  <c r="B9925" i="1"/>
  <c r="C9925" i="1"/>
  <c r="B9926" i="1"/>
  <c r="C9926" i="1"/>
  <c r="B9927" i="1"/>
  <c r="C9927" i="1"/>
  <c r="B9928" i="1"/>
  <c r="C9928" i="1"/>
  <c r="B9929" i="1"/>
  <c r="C9929" i="1"/>
  <c r="B9930" i="1"/>
  <c r="C9930" i="1"/>
  <c r="B9931" i="1"/>
  <c r="C9931" i="1"/>
  <c r="B9932" i="1"/>
  <c r="C9932" i="1"/>
  <c r="B9933" i="1"/>
  <c r="C9933" i="1"/>
  <c r="B9934" i="1"/>
  <c r="C9934" i="1"/>
  <c r="B9935" i="1"/>
  <c r="C9935" i="1"/>
  <c r="B9936" i="1"/>
  <c r="C9936" i="1"/>
  <c r="B9937" i="1"/>
  <c r="C9937" i="1"/>
  <c r="B9938" i="1"/>
  <c r="C9938" i="1"/>
  <c r="B9939" i="1"/>
  <c r="C9939" i="1"/>
  <c r="B9940" i="1"/>
  <c r="C9940" i="1"/>
  <c r="B9941" i="1"/>
  <c r="C9941" i="1"/>
  <c r="B9942" i="1"/>
  <c r="C9942" i="1"/>
  <c r="B9943" i="1"/>
  <c r="C9943" i="1"/>
  <c r="B9944" i="1"/>
  <c r="C9944" i="1"/>
  <c r="B9945" i="1"/>
  <c r="C9945" i="1"/>
  <c r="B9946" i="1"/>
  <c r="C9946" i="1"/>
  <c r="B9947" i="1"/>
  <c r="C9947" i="1"/>
  <c r="B9948" i="1"/>
  <c r="C9948" i="1"/>
  <c r="B9949" i="1"/>
  <c r="C9949" i="1"/>
  <c r="B9950" i="1"/>
  <c r="C9950" i="1"/>
  <c r="B9951" i="1"/>
  <c r="C9951" i="1"/>
  <c r="B9952" i="1"/>
  <c r="C9952" i="1"/>
  <c r="B9953" i="1"/>
  <c r="C9953" i="1"/>
  <c r="B9954" i="1"/>
  <c r="C9954" i="1"/>
  <c r="B9955" i="1"/>
  <c r="C9955" i="1"/>
  <c r="B9956" i="1"/>
  <c r="C9956" i="1"/>
  <c r="B9957" i="1"/>
  <c r="C9957" i="1"/>
  <c r="B9958" i="1"/>
  <c r="C9958" i="1"/>
  <c r="B9959" i="1"/>
  <c r="C9959" i="1"/>
  <c r="B9960" i="1"/>
  <c r="C9960" i="1"/>
  <c r="B9961" i="1"/>
  <c r="C9961" i="1"/>
  <c r="B9962" i="1"/>
  <c r="C9962" i="1"/>
  <c r="B9963" i="1"/>
  <c r="C9963" i="1"/>
  <c r="B9964" i="1"/>
  <c r="C9964" i="1"/>
  <c r="B9965" i="1"/>
  <c r="C9965" i="1"/>
  <c r="B9966" i="1"/>
  <c r="C9966" i="1"/>
  <c r="B9967" i="1"/>
  <c r="C9967" i="1"/>
  <c r="B9968" i="1"/>
  <c r="C9968" i="1"/>
  <c r="B9969" i="1"/>
  <c r="C9969" i="1"/>
  <c r="B9970" i="1"/>
  <c r="C9970" i="1"/>
  <c r="B9971" i="1"/>
  <c r="C9971" i="1"/>
  <c r="B9972" i="1"/>
  <c r="C9972" i="1"/>
  <c r="B9973" i="1"/>
  <c r="C9973" i="1"/>
  <c r="B9974" i="1"/>
  <c r="C9974" i="1"/>
  <c r="B9975" i="1"/>
  <c r="C9975" i="1"/>
  <c r="B9976" i="1"/>
  <c r="C9976" i="1"/>
  <c r="B9977" i="1"/>
  <c r="C9977" i="1"/>
  <c r="B9978" i="1"/>
  <c r="C9978" i="1"/>
  <c r="B9979" i="1"/>
  <c r="C9979" i="1"/>
  <c r="B9980" i="1"/>
  <c r="C9980" i="1"/>
  <c r="B9981" i="1"/>
  <c r="C9981" i="1"/>
  <c r="B9982" i="1"/>
  <c r="C9982" i="1"/>
  <c r="B9983" i="1"/>
  <c r="C9983" i="1"/>
  <c r="B9984" i="1"/>
  <c r="C9984" i="1"/>
  <c r="B9985" i="1"/>
  <c r="C9985" i="1"/>
  <c r="B9986" i="1"/>
  <c r="C9986" i="1"/>
  <c r="B9987" i="1"/>
  <c r="C9987" i="1"/>
  <c r="B9988" i="1"/>
  <c r="C9988" i="1"/>
  <c r="B9989" i="1"/>
  <c r="C9989" i="1"/>
  <c r="B9990" i="1"/>
  <c r="C9990" i="1"/>
  <c r="B9991" i="1"/>
  <c r="C9991" i="1"/>
  <c r="B9992" i="1"/>
  <c r="C9992" i="1"/>
  <c r="B9993" i="1"/>
  <c r="C9993" i="1"/>
  <c r="B9994" i="1"/>
  <c r="C9994" i="1"/>
  <c r="B9995" i="1"/>
  <c r="C9995" i="1"/>
  <c r="B9996" i="1"/>
  <c r="C9996" i="1"/>
  <c r="B9997" i="1"/>
  <c r="C9997" i="1"/>
  <c r="B9998" i="1"/>
  <c r="C9998" i="1"/>
  <c r="B9999" i="1"/>
  <c r="C9999" i="1"/>
  <c r="B10000" i="1"/>
  <c r="C10000" i="1"/>
  <c r="B10001" i="1"/>
  <c r="C10001" i="1"/>
  <c r="B10002" i="1"/>
  <c r="C10002" i="1"/>
  <c r="B10003" i="1"/>
  <c r="C10003" i="1"/>
  <c r="B10004" i="1"/>
  <c r="C10004" i="1"/>
  <c r="B10005" i="1"/>
  <c r="C10005" i="1"/>
  <c r="B10006" i="1"/>
  <c r="C10006" i="1"/>
  <c r="B10007" i="1"/>
  <c r="C10007" i="1"/>
  <c r="B10008" i="1"/>
  <c r="C10008" i="1"/>
  <c r="B10009" i="1"/>
  <c r="C10009" i="1"/>
  <c r="B10010" i="1"/>
  <c r="C10010" i="1"/>
  <c r="B10011" i="1"/>
  <c r="C10011" i="1"/>
  <c r="B10012" i="1"/>
  <c r="C10012" i="1"/>
  <c r="B10013" i="1"/>
  <c r="C10013" i="1"/>
  <c r="B10014" i="1"/>
  <c r="C10014" i="1"/>
  <c r="B10015" i="1"/>
  <c r="C10015" i="1"/>
  <c r="B10016" i="1"/>
  <c r="C10016" i="1"/>
  <c r="B10017" i="1"/>
  <c r="C10017" i="1"/>
  <c r="B10018" i="1"/>
  <c r="C10018" i="1"/>
  <c r="B10019" i="1"/>
  <c r="C10019" i="1"/>
  <c r="B10020" i="1"/>
  <c r="C10020" i="1"/>
  <c r="B10021" i="1"/>
  <c r="C10021" i="1"/>
  <c r="B10022" i="1"/>
  <c r="C10022" i="1"/>
  <c r="B10023" i="1"/>
  <c r="C10023" i="1"/>
  <c r="B10024" i="1"/>
  <c r="C10024" i="1"/>
  <c r="B10025" i="1"/>
  <c r="C10025" i="1"/>
  <c r="B10026" i="1"/>
  <c r="C10026" i="1"/>
  <c r="B10027" i="1"/>
  <c r="C10027" i="1"/>
  <c r="B10028" i="1"/>
  <c r="C10028" i="1"/>
  <c r="B10029" i="1"/>
  <c r="C10029" i="1"/>
  <c r="B10030" i="1"/>
  <c r="C10030" i="1"/>
  <c r="B10031" i="1"/>
  <c r="C10031" i="1"/>
  <c r="B10032" i="1"/>
  <c r="C10032" i="1"/>
  <c r="B10033" i="1"/>
  <c r="C10033" i="1"/>
  <c r="B10034" i="1"/>
  <c r="C10034" i="1"/>
  <c r="B10035" i="1"/>
  <c r="C10035" i="1"/>
  <c r="B10036" i="1"/>
  <c r="C10036" i="1"/>
  <c r="B10037" i="1"/>
  <c r="C10037" i="1"/>
  <c r="B10038" i="1"/>
  <c r="C10038" i="1"/>
  <c r="B10039" i="1"/>
  <c r="C10039" i="1"/>
  <c r="B10040" i="1"/>
  <c r="C10040" i="1"/>
  <c r="B10041" i="1"/>
  <c r="C10041" i="1"/>
  <c r="B10042" i="1"/>
  <c r="C10042" i="1"/>
  <c r="B10043" i="1"/>
  <c r="C10043" i="1"/>
  <c r="B10044" i="1"/>
  <c r="C10044" i="1"/>
  <c r="B10045" i="1"/>
  <c r="C10045" i="1"/>
  <c r="B10046" i="1"/>
  <c r="C10046" i="1"/>
  <c r="B10047" i="1"/>
  <c r="C10047" i="1"/>
  <c r="B10048" i="1"/>
  <c r="C10048" i="1"/>
  <c r="B10049" i="1"/>
  <c r="C10049" i="1"/>
  <c r="B10050" i="1"/>
  <c r="C10050" i="1"/>
  <c r="B10051" i="1"/>
  <c r="C10051" i="1"/>
  <c r="B10052" i="1"/>
  <c r="C10052" i="1"/>
  <c r="B10053" i="1"/>
  <c r="C10053" i="1"/>
  <c r="B10054" i="1"/>
  <c r="C10054" i="1"/>
  <c r="B10055" i="1"/>
  <c r="C10055" i="1"/>
  <c r="B10056" i="1"/>
  <c r="C10056" i="1"/>
  <c r="B10057" i="1"/>
  <c r="C10057" i="1"/>
  <c r="B10058" i="1"/>
  <c r="C10058" i="1"/>
  <c r="B10059" i="1"/>
  <c r="C10059" i="1"/>
  <c r="B10060" i="1"/>
  <c r="C10060" i="1"/>
  <c r="B10061" i="1"/>
  <c r="C10061" i="1"/>
  <c r="B10062" i="1"/>
  <c r="C10062" i="1"/>
  <c r="B10063" i="1"/>
  <c r="C10063" i="1"/>
  <c r="B10064" i="1"/>
  <c r="C10064" i="1"/>
  <c r="B10065" i="1"/>
  <c r="C10065" i="1"/>
  <c r="B10066" i="1"/>
  <c r="C10066" i="1"/>
  <c r="B10067" i="1"/>
  <c r="C10067" i="1"/>
  <c r="B10068" i="1"/>
  <c r="C10068" i="1"/>
  <c r="B10069" i="1"/>
  <c r="C10069" i="1"/>
  <c r="B10070" i="1"/>
  <c r="C10070" i="1"/>
  <c r="B10071" i="1"/>
  <c r="C10071" i="1"/>
  <c r="B10072" i="1"/>
  <c r="C10072" i="1"/>
  <c r="B10073" i="1"/>
  <c r="C10073" i="1"/>
  <c r="B10074" i="1"/>
  <c r="C10074" i="1"/>
  <c r="B10075" i="1"/>
  <c r="C10075" i="1"/>
  <c r="B10076" i="1"/>
  <c r="C10076" i="1"/>
  <c r="B10077" i="1"/>
  <c r="C10077" i="1"/>
  <c r="B10078" i="1"/>
  <c r="C10078" i="1"/>
  <c r="B10079" i="1"/>
  <c r="C10079" i="1"/>
  <c r="B10080" i="1"/>
  <c r="C10080" i="1"/>
  <c r="B10081" i="1"/>
  <c r="C10081" i="1"/>
  <c r="B10082" i="1"/>
  <c r="C10082" i="1"/>
  <c r="B10083" i="1"/>
  <c r="C10083" i="1"/>
  <c r="B10084" i="1"/>
  <c r="C10084" i="1"/>
  <c r="B10085" i="1"/>
  <c r="C10085" i="1"/>
  <c r="B10086" i="1"/>
  <c r="C10086" i="1"/>
  <c r="B10087" i="1"/>
  <c r="C10087" i="1"/>
  <c r="B10088" i="1"/>
  <c r="C10088" i="1"/>
  <c r="B10089" i="1"/>
  <c r="C10089" i="1"/>
  <c r="B10090" i="1"/>
  <c r="C10090" i="1"/>
  <c r="B10091" i="1"/>
  <c r="C10091" i="1"/>
  <c r="B10092" i="1"/>
  <c r="C10092" i="1"/>
  <c r="B10093" i="1"/>
  <c r="C10093" i="1"/>
  <c r="B10094" i="1"/>
  <c r="C10094" i="1"/>
  <c r="B10095" i="1"/>
  <c r="C10095" i="1"/>
  <c r="B10096" i="1"/>
  <c r="C10096" i="1"/>
  <c r="B10097" i="1"/>
  <c r="C10097" i="1"/>
  <c r="B10098" i="1"/>
  <c r="C10098" i="1"/>
  <c r="B10099" i="1"/>
  <c r="C10099" i="1"/>
  <c r="B10100" i="1"/>
  <c r="C10100" i="1"/>
  <c r="B10101" i="1"/>
  <c r="C10101" i="1"/>
  <c r="B10102" i="1"/>
  <c r="C10102" i="1"/>
  <c r="B10103" i="1"/>
  <c r="C10103" i="1"/>
  <c r="B10104" i="1"/>
  <c r="C10104" i="1"/>
  <c r="B10105" i="1"/>
  <c r="C10105" i="1"/>
  <c r="B10106" i="1"/>
  <c r="C10106" i="1"/>
  <c r="B10107" i="1"/>
  <c r="C10107" i="1"/>
  <c r="B10108" i="1"/>
  <c r="C10108" i="1"/>
  <c r="B10109" i="1"/>
  <c r="C10109" i="1"/>
  <c r="B10110" i="1"/>
  <c r="C10110" i="1"/>
  <c r="B10111" i="1"/>
  <c r="C10111" i="1"/>
  <c r="B10112" i="1"/>
  <c r="C10112" i="1"/>
  <c r="B10113" i="1"/>
  <c r="C10113" i="1"/>
  <c r="B10114" i="1"/>
  <c r="C10114" i="1"/>
  <c r="B10115" i="1"/>
  <c r="C10115" i="1"/>
  <c r="B10116" i="1"/>
  <c r="C10116" i="1"/>
  <c r="B10117" i="1"/>
  <c r="C10117" i="1"/>
  <c r="B10118" i="1"/>
  <c r="C10118" i="1"/>
  <c r="B10119" i="1"/>
  <c r="C10119" i="1"/>
  <c r="B10120" i="1"/>
  <c r="C10120" i="1"/>
  <c r="B10121" i="1"/>
  <c r="C10121" i="1"/>
  <c r="B10122" i="1"/>
  <c r="C10122" i="1"/>
  <c r="B10123" i="1"/>
  <c r="C10123" i="1"/>
  <c r="B10124" i="1"/>
  <c r="C10124" i="1"/>
  <c r="B10125" i="1"/>
  <c r="C10125" i="1"/>
  <c r="B10126" i="1"/>
  <c r="C10126" i="1"/>
  <c r="B10127" i="1"/>
  <c r="C10127" i="1"/>
  <c r="B10128" i="1"/>
  <c r="C10128" i="1"/>
  <c r="B10129" i="1"/>
  <c r="C10129" i="1"/>
  <c r="B10130" i="1"/>
  <c r="C10130" i="1"/>
  <c r="B10131" i="1"/>
  <c r="C10131" i="1"/>
  <c r="B10132" i="1"/>
  <c r="C10132" i="1"/>
  <c r="B10133" i="1"/>
  <c r="C10133" i="1"/>
  <c r="B10134" i="1"/>
  <c r="C10134" i="1"/>
  <c r="B10135" i="1"/>
  <c r="C10135" i="1"/>
  <c r="B10136" i="1"/>
  <c r="C10136" i="1"/>
  <c r="B10137" i="1"/>
  <c r="C10137" i="1"/>
  <c r="B10138" i="1"/>
  <c r="C10138" i="1"/>
  <c r="B10139" i="1"/>
  <c r="C10139" i="1"/>
  <c r="B10140" i="1"/>
  <c r="C10140" i="1"/>
  <c r="B10141" i="1"/>
  <c r="C10141" i="1"/>
  <c r="B10142" i="1"/>
  <c r="C10142" i="1"/>
  <c r="B10143" i="1"/>
  <c r="C10143" i="1"/>
  <c r="B10144" i="1"/>
  <c r="C10144" i="1"/>
  <c r="B10145" i="1"/>
  <c r="C10145" i="1"/>
  <c r="B10146" i="1"/>
  <c r="C10146" i="1"/>
  <c r="B10147" i="1"/>
  <c r="C10147" i="1"/>
  <c r="B10148" i="1"/>
  <c r="C10148" i="1"/>
  <c r="B10149" i="1"/>
  <c r="C10149" i="1"/>
  <c r="B10150" i="1"/>
  <c r="C10150" i="1"/>
  <c r="B10151" i="1"/>
  <c r="C10151" i="1"/>
  <c r="B10152" i="1"/>
  <c r="C10152" i="1"/>
  <c r="B10153" i="1"/>
  <c r="C10153" i="1"/>
  <c r="B10154" i="1"/>
  <c r="C10154" i="1"/>
  <c r="B10155" i="1"/>
  <c r="C10155" i="1"/>
  <c r="B10156" i="1"/>
  <c r="C10156" i="1"/>
  <c r="B10157" i="1"/>
  <c r="C10157" i="1"/>
  <c r="B10158" i="1"/>
  <c r="C10158" i="1"/>
  <c r="B10159" i="1"/>
  <c r="C10159" i="1"/>
  <c r="B10160" i="1"/>
  <c r="C10160" i="1"/>
  <c r="B10161" i="1"/>
  <c r="C10161" i="1"/>
  <c r="B10162" i="1"/>
  <c r="C10162" i="1"/>
  <c r="B10163" i="1"/>
  <c r="C10163" i="1"/>
  <c r="B10164" i="1"/>
  <c r="C10164" i="1"/>
  <c r="B10165" i="1"/>
  <c r="C10165" i="1"/>
  <c r="B10166" i="1"/>
  <c r="C10166" i="1"/>
  <c r="B10167" i="1"/>
  <c r="C10167" i="1"/>
  <c r="B10168" i="1"/>
  <c r="C10168" i="1"/>
  <c r="B10169" i="1"/>
  <c r="C10169" i="1"/>
  <c r="B10170" i="1"/>
  <c r="C10170" i="1"/>
  <c r="B10171" i="1"/>
  <c r="C10171" i="1"/>
  <c r="B10172" i="1"/>
  <c r="C10172" i="1"/>
  <c r="B10173" i="1"/>
  <c r="C10173" i="1"/>
  <c r="B10174" i="1"/>
  <c r="C10174" i="1"/>
  <c r="B10175" i="1"/>
  <c r="C10175" i="1"/>
  <c r="B10176" i="1"/>
  <c r="C10176" i="1"/>
  <c r="B10177" i="1"/>
  <c r="C10177" i="1"/>
  <c r="B10178" i="1"/>
  <c r="C10178" i="1"/>
  <c r="B10179" i="1"/>
  <c r="C10179" i="1"/>
  <c r="B10180" i="1"/>
  <c r="C10180" i="1"/>
  <c r="B10181" i="1"/>
  <c r="C10181" i="1"/>
  <c r="B10182" i="1"/>
  <c r="C10182" i="1"/>
  <c r="B10183" i="1"/>
  <c r="C10183" i="1"/>
  <c r="B10184" i="1"/>
  <c r="C10184" i="1"/>
  <c r="B10185" i="1"/>
  <c r="C10185" i="1"/>
  <c r="B10186" i="1"/>
  <c r="C10186" i="1"/>
  <c r="B10187" i="1"/>
  <c r="C10187" i="1"/>
  <c r="B10188" i="1"/>
  <c r="C10188" i="1"/>
  <c r="B10189" i="1"/>
  <c r="C10189" i="1"/>
  <c r="B10190" i="1"/>
  <c r="C10190" i="1"/>
  <c r="B10191" i="1"/>
  <c r="C10191" i="1"/>
  <c r="B10192" i="1"/>
  <c r="C10192" i="1"/>
  <c r="B10193" i="1"/>
  <c r="C10193" i="1"/>
  <c r="B10194" i="1"/>
  <c r="C10194" i="1"/>
  <c r="B10195" i="1"/>
  <c r="C10195" i="1"/>
  <c r="B10196" i="1"/>
  <c r="C10196" i="1"/>
  <c r="B10197" i="1"/>
  <c r="C10197" i="1"/>
  <c r="B10198" i="1"/>
  <c r="C10198" i="1"/>
  <c r="B10199" i="1"/>
  <c r="C10199" i="1"/>
  <c r="B10200" i="1"/>
  <c r="C10200" i="1"/>
  <c r="B10201" i="1"/>
  <c r="C10201" i="1"/>
  <c r="B10202" i="1"/>
  <c r="C10202" i="1"/>
  <c r="B10203" i="1"/>
  <c r="C10203" i="1"/>
  <c r="B10204" i="1"/>
  <c r="C10204" i="1"/>
  <c r="B10205" i="1"/>
  <c r="C10205" i="1"/>
  <c r="B10206" i="1"/>
  <c r="C10206" i="1"/>
  <c r="B10207" i="1"/>
  <c r="C10207" i="1"/>
  <c r="B10208" i="1"/>
  <c r="C10208" i="1"/>
  <c r="B10209" i="1"/>
  <c r="C10209" i="1"/>
  <c r="B10210" i="1"/>
  <c r="C10210" i="1"/>
  <c r="B10211" i="1"/>
  <c r="C10211" i="1"/>
  <c r="B10212" i="1"/>
  <c r="C10212" i="1"/>
  <c r="B10213" i="1"/>
  <c r="C10213" i="1"/>
  <c r="B10214" i="1"/>
  <c r="C10214" i="1"/>
  <c r="B10215" i="1"/>
  <c r="C10215" i="1"/>
  <c r="B10216" i="1"/>
  <c r="C10216" i="1"/>
  <c r="B10217" i="1"/>
  <c r="C10217" i="1"/>
  <c r="B10218" i="1"/>
  <c r="C10218" i="1"/>
  <c r="B10219" i="1"/>
  <c r="C10219" i="1"/>
  <c r="B10220" i="1"/>
  <c r="C10220" i="1"/>
  <c r="B10221" i="1"/>
  <c r="C10221" i="1"/>
  <c r="B10222" i="1"/>
  <c r="C10222" i="1"/>
  <c r="B10223" i="1"/>
  <c r="C10223" i="1"/>
  <c r="B10224" i="1"/>
  <c r="C10224" i="1"/>
  <c r="B10225" i="1"/>
  <c r="C10225" i="1"/>
  <c r="B10226" i="1"/>
  <c r="C10226" i="1"/>
  <c r="B10227" i="1"/>
  <c r="C10227" i="1"/>
  <c r="B10228" i="1"/>
  <c r="C10228" i="1"/>
  <c r="B10229" i="1"/>
  <c r="C10229" i="1"/>
  <c r="B10230" i="1"/>
  <c r="C10230" i="1"/>
  <c r="B10231" i="1"/>
  <c r="C10231" i="1"/>
  <c r="B10232" i="1"/>
  <c r="C10232" i="1"/>
  <c r="B10233" i="1"/>
  <c r="C10233" i="1"/>
  <c r="B10234" i="1"/>
  <c r="C10234" i="1"/>
  <c r="B10235" i="1"/>
  <c r="C10235" i="1"/>
  <c r="B10236" i="1"/>
  <c r="C10236" i="1"/>
  <c r="B10237" i="1"/>
  <c r="C10237" i="1"/>
  <c r="B10238" i="1"/>
  <c r="C10238" i="1"/>
  <c r="B10239" i="1"/>
  <c r="C10239" i="1"/>
  <c r="B10240" i="1"/>
  <c r="C10240" i="1"/>
  <c r="B10241" i="1"/>
  <c r="C10241" i="1"/>
  <c r="B10242" i="1"/>
  <c r="C10242" i="1"/>
  <c r="B10243" i="1"/>
  <c r="C10243" i="1"/>
  <c r="B10244" i="1"/>
  <c r="C10244" i="1"/>
  <c r="B10245" i="1"/>
  <c r="C10245" i="1"/>
  <c r="B10246" i="1"/>
  <c r="C10246" i="1"/>
  <c r="B10247" i="1"/>
  <c r="C10247" i="1"/>
  <c r="B10248" i="1"/>
  <c r="C10248" i="1"/>
  <c r="B10249" i="1"/>
  <c r="C10249" i="1"/>
  <c r="B10250" i="1"/>
  <c r="C10250" i="1"/>
  <c r="B10251" i="1"/>
  <c r="C10251" i="1"/>
  <c r="B10252" i="1"/>
  <c r="C10252" i="1"/>
  <c r="B10253" i="1"/>
  <c r="C10253" i="1"/>
  <c r="B10254" i="1"/>
  <c r="C10254" i="1"/>
  <c r="B10255" i="1"/>
  <c r="C10255" i="1"/>
  <c r="B10256" i="1"/>
  <c r="C10256" i="1"/>
  <c r="B10257" i="1"/>
  <c r="C10257" i="1"/>
  <c r="B10258" i="1"/>
  <c r="C10258" i="1"/>
  <c r="B10259" i="1"/>
  <c r="C10259" i="1"/>
  <c r="B10260" i="1"/>
  <c r="C10260" i="1"/>
  <c r="B10261" i="1"/>
  <c r="C10261" i="1"/>
  <c r="B10262" i="1"/>
  <c r="C10262" i="1"/>
  <c r="B10263" i="1"/>
  <c r="C10263" i="1"/>
  <c r="B10264" i="1"/>
  <c r="C10264" i="1"/>
  <c r="B10265" i="1"/>
  <c r="C10265" i="1"/>
  <c r="B10266" i="1"/>
  <c r="C10266" i="1"/>
  <c r="B10267" i="1"/>
  <c r="C10267" i="1"/>
  <c r="B10268" i="1"/>
  <c r="C10268" i="1"/>
  <c r="B10269" i="1"/>
  <c r="C10269" i="1"/>
  <c r="B10270" i="1"/>
  <c r="C10270" i="1"/>
  <c r="B10271" i="1"/>
  <c r="C10271" i="1"/>
  <c r="B10272" i="1"/>
  <c r="C10272" i="1"/>
  <c r="B10273" i="1"/>
  <c r="C10273" i="1"/>
  <c r="B10274" i="1"/>
  <c r="C10274" i="1"/>
  <c r="B10275" i="1"/>
  <c r="C10275" i="1"/>
  <c r="B10276" i="1"/>
  <c r="C10276" i="1"/>
  <c r="B10277" i="1"/>
  <c r="C10277" i="1"/>
  <c r="B10278" i="1"/>
  <c r="C10278" i="1"/>
  <c r="B10279" i="1"/>
  <c r="C10279" i="1"/>
  <c r="B10280" i="1"/>
  <c r="C10280" i="1"/>
  <c r="B10281" i="1"/>
  <c r="C10281" i="1"/>
  <c r="B10282" i="1"/>
  <c r="C10282" i="1"/>
  <c r="B10283" i="1"/>
  <c r="C10283" i="1"/>
  <c r="B10284" i="1"/>
  <c r="C10284" i="1"/>
  <c r="B10285" i="1"/>
  <c r="C10285" i="1"/>
  <c r="B10286" i="1"/>
  <c r="C10286" i="1"/>
  <c r="B10287" i="1"/>
  <c r="C10287" i="1"/>
  <c r="B10288" i="1"/>
  <c r="C10288" i="1"/>
  <c r="B10289" i="1"/>
  <c r="C10289" i="1"/>
  <c r="B10290" i="1"/>
  <c r="C10290" i="1"/>
  <c r="B10291" i="1"/>
  <c r="C10291" i="1"/>
  <c r="B10292" i="1"/>
  <c r="C10292" i="1"/>
  <c r="B10293" i="1"/>
  <c r="C10293" i="1"/>
  <c r="B10294" i="1"/>
  <c r="C10294" i="1"/>
  <c r="B10295" i="1"/>
  <c r="C10295" i="1"/>
  <c r="B10296" i="1"/>
  <c r="C10296" i="1"/>
  <c r="B10297" i="1"/>
  <c r="C10297" i="1"/>
  <c r="B10298" i="1"/>
  <c r="C10298" i="1"/>
  <c r="B10299" i="1"/>
  <c r="C10299" i="1"/>
  <c r="B10300" i="1"/>
  <c r="C10300" i="1"/>
  <c r="B10301" i="1"/>
  <c r="C10301" i="1"/>
  <c r="B10302" i="1"/>
  <c r="C10302" i="1"/>
  <c r="B10303" i="1"/>
  <c r="C10303" i="1"/>
  <c r="B10304" i="1"/>
  <c r="C10304" i="1"/>
  <c r="B10305" i="1"/>
  <c r="C10305" i="1"/>
  <c r="B10306" i="1"/>
  <c r="C10306" i="1"/>
  <c r="B10307" i="1"/>
  <c r="C10307" i="1"/>
  <c r="B10308" i="1"/>
  <c r="C10308" i="1"/>
  <c r="B10309" i="1"/>
  <c r="C10309" i="1"/>
  <c r="B10310" i="1"/>
  <c r="C10310" i="1"/>
  <c r="B10311" i="1"/>
  <c r="C10311" i="1"/>
  <c r="B10312" i="1"/>
  <c r="C10312" i="1"/>
  <c r="B10313" i="1"/>
  <c r="C10313" i="1"/>
  <c r="B10314" i="1"/>
  <c r="C10314" i="1"/>
  <c r="B10315" i="1"/>
  <c r="C10315" i="1"/>
  <c r="B10316" i="1"/>
  <c r="C10316" i="1"/>
  <c r="B10317" i="1"/>
  <c r="C10317" i="1"/>
  <c r="B10318" i="1"/>
  <c r="C10318" i="1"/>
  <c r="B10319" i="1"/>
  <c r="C10319" i="1"/>
  <c r="B10320" i="1"/>
  <c r="C10320" i="1"/>
  <c r="B10321" i="1"/>
  <c r="C10321" i="1"/>
  <c r="B10322" i="1"/>
  <c r="C10322" i="1"/>
  <c r="B10323" i="1"/>
  <c r="C10323" i="1"/>
  <c r="B10324" i="1"/>
  <c r="C10324" i="1"/>
  <c r="B10325" i="1"/>
  <c r="C10325" i="1"/>
  <c r="B10326" i="1"/>
  <c r="C10326" i="1"/>
  <c r="B10327" i="1"/>
  <c r="C10327" i="1"/>
  <c r="B10328" i="1"/>
  <c r="C10328" i="1"/>
  <c r="B10329" i="1"/>
  <c r="C10329" i="1"/>
  <c r="B10330" i="1"/>
  <c r="C10330" i="1"/>
  <c r="B10331" i="1"/>
  <c r="C10331" i="1"/>
  <c r="B10332" i="1"/>
  <c r="C10332" i="1"/>
  <c r="B10333" i="1"/>
  <c r="C10333" i="1"/>
  <c r="B10334" i="1"/>
  <c r="C10334" i="1"/>
  <c r="B10335" i="1"/>
  <c r="C10335" i="1"/>
  <c r="B10336" i="1"/>
  <c r="C10336" i="1"/>
  <c r="B10337" i="1"/>
  <c r="C10337" i="1"/>
  <c r="B10338" i="1"/>
  <c r="C10338" i="1"/>
  <c r="B10339" i="1"/>
  <c r="C10339" i="1"/>
  <c r="B10340" i="1"/>
  <c r="C10340" i="1"/>
  <c r="B10341" i="1"/>
  <c r="C10341" i="1"/>
  <c r="B10342" i="1"/>
  <c r="C10342" i="1"/>
  <c r="B10343" i="1"/>
  <c r="C10343" i="1"/>
  <c r="B10344" i="1"/>
  <c r="C10344" i="1"/>
  <c r="B10345" i="1"/>
  <c r="C10345" i="1"/>
  <c r="B10346" i="1"/>
  <c r="C10346" i="1"/>
  <c r="B10347" i="1"/>
  <c r="C10347" i="1"/>
  <c r="B10348" i="1"/>
  <c r="C10348" i="1"/>
  <c r="B10349" i="1"/>
  <c r="C10349" i="1"/>
  <c r="B10350" i="1"/>
  <c r="C10350" i="1"/>
  <c r="B10351" i="1"/>
  <c r="C10351" i="1"/>
  <c r="B10352" i="1"/>
  <c r="C10352" i="1"/>
  <c r="B10353" i="1"/>
  <c r="C10353" i="1"/>
  <c r="B10354" i="1"/>
  <c r="C10354" i="1"/>
  <c r="B10355" i="1"/>
  <c r="C10355" i="1"/>
  <c r="B10356" i="1"/>
  <c r="C10356" i="1"/>
  <c r="B10357" i="1"/>
  <c r="C10357" i="1"/>
  <c r="B10358" i="1"/>
  <c r="C10358" i="1"/>
  <c r="B10359" i="1"/>
  <c r="C10359" i="1"/>
  <c r="B10360" i="1"/>
  <c r="C10360" i="1"/>
  <c r="B10361" i="1"/>
  <c r="C10361" i="1"/>
  <c r="B10362" i="1"/>
  <c r="C10362" i="1"/>
  <c r="B10363" i="1"/>
  <c r="C10363" i="1"/>
  <c r="B10364" i="1"/>
  <c r="C10364" i="1"/>
  <c r="B10365" i="1"/>
  <c r="C10365" i="1"/>
  <c r="B10366" i="1"/>
  <c r="C10366" i="1"/>
  <c r="B10367" i="1"/>
  <c r="C10367" i="1"/>
  <c r="B10368" i="1"/>
  <c r="C10368" i="1"/>
  <c r="B10369" i="1"/>
  <c r="C10369" i="1"/>
  <c r="B10370" i="1"/>
  <c r="C10370" i="1"/>
  <c r="B10371" i="1"/>
  <c r="C10371" i="1"/>
  <c r="B10372" i="1"/>
  <c r="C10372" i="1"/>
  <c r="B10373" i="1"/>
  <c r="C10373" i="1"/>
  <c r="B10374" i="1"/>
  <c r="C10374" i="1"/>
  <c r="B10375" i="1"/>
  <c r="C10375" i="1"/>
  <c r="B10376" i="1"/>
  <c r="C10376" i="1"/>
  <c r="B10377" i="1"/>
  <c r="C10377" i="1"/>
  <c r="B10378" i="1"/>
  <c r="C10378" i="1"/>
  <c r="B10379" i="1"/>
  <c r="C10379" i="1"/>
  <c r="B10380" i="1"/>
  <c r="C10380" i="1"/>
  <c r="B10381" i="1"/>
  <c r="C10381" i="1"/>
  <c r="B10382" i="1"/>
  <c r="C10382" i="1"/>
  <c r="B10383" i="1"/>
  <c r="C10383" i="1"/>
  <c r="B10384" i="1"/>
  <c r="C10384" i="1"/>
  <c r="B10385" i="1"/>
  <c r="C10385" i="1"/>
  <c r="B10386" i="1"/>
  <c r="C10386" i="1"/>
  <c r="B10387" i="1"/>
  <c r="C10387" i="1"/>
  <c r="B10388" i="1"/>
  <c r="C10388" i="1"/>
  <c r="B10389" i="1"/>
  <c r="C10389" i="1"/>
  <c r="B10390" i="1"/>
  <c r="C10390" i="1"/>
  <c r="B10391" i="1"/>
  <c r="C10391" i="1"/>
  <c r="B10392" i="1"/>
  <c r="C10392" i="1"/>
  <c r="B10393" i="1"/>
  <c r="C10393" i="1"/>
  <c r="B10394" i="1"/>
  <c r="C10394" i="1"/>
  <c r="B10395" i="1"/>
  <c r="C10395" i="1"/>
  <c r="B10396" i="1"/>
  <c r="C10396" i="1"/>
  <c r="B10397" i="1"/>
  <c r="C10397" i="1"/>
  <c r="B10398" i="1"/>
  <c r="C10398" i="1"/>
  <c r="B10399" i="1"/>
  <c r="C10399" i="1"/>
  <c r="B10400" i="1"/>
  <c r="C10400" i="1"/>
  <c r="B10401" i="1"/>
  <c r="C10401" i="1"/>
  <c r="B10402" i="1"/>
  <c r="C10402" i="1"/>
  <c r="B10403" i="1"/>
  <c r="C10403" i="1"/>
  <c r="B10404" i="1"/>
  <c r="C10404" i="1"/>
  <c r="B10405" i="1"/>
  <c r="C10405" i="1"/>
  <c r="B10406" i="1"/>
  <c r="C10406" i="1"/>
  <c r="B10407" i="1"/>
  <c r="C10407" i="1"/>
  <c r="B10408" i="1"/>
  <c r="C10408" i="1"/>
  <c r="B10409" i="1"/>
  <c r="C10409" i="1"/>
  <c r="B10410" i="1"/>
  <c r="C10410" i="1"/>
  <c r="B10411" i="1"/>
  <c r="C10411" i="1"/>
  <c r="B10412" i="1"/>
  <c r="C10412" i="1"/>
  <c r="B10413" i="1"/>
  <c r="C10413" i="1"/>
  <c r="B10414" i="1"/>
  <c r="C10414" i="1"/>
  <c r="B10415" i="1"/>
  <c r="C10415" i="1"/>
  <c r="B10416" i="1"/>
  <c r="C10416" i="1"/>
  <c r="B10417" i="1"/>
  <c r="C10417" i="1"/>
  <c r="B10418" i="1"/>
  <c r="C10418" i="1"/>
  <c r="B10419" i="1"/>
  <c r="C10419" i="1"/>
  <c r="B10420" i="1"/>
  <c r="C10420" i="1"/>
  <c r="B10421" i="1"/>
  <c r="C10421" i="1"/>
  <c r="B10422" i="1"/>
  <c r="C10422" i="1"/>
  <c r="B10423" i="1"/>
  <c r="C10423" i="1"/>
  <c r="B10424" i="1"/>
  <c r="C10424" i="1"/>
  <c r="B10425" i="1"/>
  <c r="C10425" i="1"/>
  <c r="B10426" i="1"/>
  <c r="C10426" i="1"/>
  <c r="B10427" i="1"/>
  <c r="C10427" i="1"/>
  <c r="B10428" i="1"/>
  <c r="C10428" i="1"/>
  <c r="B10429" i="1"/>
  <c r="C10429" i="1"/>
  <c r="B10430" i="1"/>
  <c r="C10430" i="1"/>
  <c r="B10431" i="1"/>
  <c r="C10431" i="1"/>
  <c r="B10432" i="1"/>
  <c r="C10432" i="1"/>
  <c r="B10433" i="1"/>
  <c r="C10433" i="1"/>
  <c r="B10434" i="1"/>
  <c r="C10434" i="1"/>
  <c r="B10435" i="1"/>
  <c r="C10435" i="1"/>
  <c r="B10436" i="1"/>
  <c r="C10436" i="1"/>
  <c r="B10437" i="1"/>
  <c r="C10437" i="1"/>
  <c r="B10438" i="1"/>
  <c r="C10438" i="1"/>
  <c r="B10439" i="1"/>
  <c r="C10439" i="1"/>
  <c r="B10440" i="1"/>
  <c r="C10440" i="1"/>
  <c r="B10441" i="1"/>
  <c r="C10441" i="1"/>
  <c r="B10442" i="1"/>
  <c r="C10442" i="1"/>
  <c r="B10443" i="1"/>
  <c r="C10443" i="1"/>
  <c r="B10444" i="1"/>
  <c r="C10444" i="1"/>
  <c r="B10445" i="1"/>
  <c r="C10445" i="1"/>
  <c r="B10446" i="1"/>
  <c r="C10446" i="1"/>
  <c r="B10447" i="1"/>
  <c r="C10447" i="1"/>
  <c r="B10448" i="1"/>
  <c r="C10448" i="1"/>
  <c r="B10449" i="1"/>
  <c r="C10449" i="1"/>
  <c r="B10450" i="1"/>
  <c r="C10450" i="1"/>
  <c r="B10451" i="1"/>
  <c r="C10451" i="1"/>
  <c r="B10452" i="1"/>
  <c r="C10452" i="1"/>
  <c r="B10453" i="1"/>
  <c r="C10453" i="1"/>
  <c r="B10454" i="1"/>
  <c r="C10454" i="1"/>
  <c r="B10455" i="1"/>
  <c r="C10455" i="1"/>
  <c r="B10456" i="1"/>
  <c r="C10456" i="1"/>
  <c r="B10457" i="1"/>
  <c r="C10457" i="1"/>
  <c r="B10458" i="1"/>
  <c r="C10458" i="1"/>
  <c r="B10459" i="1"/>
  <c r="C10459" i="1"/>
  <c r="B10460" i="1"/>
  <c r="C10460" i="1"/>
  <c r="B10461" i="1"/>
  <c r="C10461" i="1"/>
  <c r="B10462" i="1"/>
  <c r="C10462" i="1"/>
  <c r="B10463" i="1"/>
  <c r="C10463" i="1"/>
  <c r="B10464" i="1"/>
  <c r="C10464" i="1"/>
  <c r="B10465" i="1"/>
  <c r="C10465" i="1"/>
  <c r="B10466" i="1"/>
  <c r="C10466" i="1"/>
  <c r="B10467" i="1"/>
  <c r="C10467" i="1"/>
  <c r="B10468" i="1"/>
  <c r="C10468" i="1"/>
  <c r="B10469" i="1"/>
  <c r="C10469" i="1"/>
  <c r="B10470" i="1"/>
  <c r="C10470" i="1"/>
  <c r="B10471" i="1"/>
  <c r="C10471" i="1"/>
  <c r="B10472" i="1"/>
  <c r="C10472" i="1"/>
  <c r="B10473" i="1"/>
  <c r="C10473" i="1"/>
  <c r="B10474" i="1"/>
  <c r="C10474" i="1"/>
  <c r="B10475" i="1"/>
  <c r="C10475" i="1"/>
  <c r="B10476" i="1"/>
  <c r="C10476" i="1"/>
  <c r="B10477" i="1"/>
  <c r="C10477" i="1"/>
  <c r="B10478" i="1"/>
  <c r="C10478" i="1"/>
  <c r="B10479" i="1"/>
  <c r="C10479" i="1"/>
  <c r="B10480" i="1"/>
  <c r="C10480" i="1"/>
  <c r="B10481" i="1"/>
  <c r="C10481" i="1"/>
  <c r="B10482" i="1"/>
  <c r="C10482" i="1"/>
  <c r="B10483" i="1"/>
  <c r="C10483" i="1"/>
  <c r="B10484" i="1"/>
  <c r="C10484" i="1"/>
  <c r="B10485" i="1"/>
  <c r="C10485" i="1"/>
  <c r="B10486" i="1"/>
  <c r="C10486" i="1"/>
  <c r="B10487" i="1"/>
  <c r="C10487" i="1"/>
  <c r="B10488" i="1"/>
  <c r="C10488" i="1"/>
  <c r="B10489" i="1"/>
  <c r="C10489" i="1"/>
  <c r="B10490" i="1"/>
  <c r="C10490" i="1"/>
  <c r="B10491" i="1"/>
  <c r="C10491" i="1"/>
  <c r="B10492" i="1"/>
  <c r="C10492" i="1"/>
  <c r="B10493" i="1"/>
  <c r="C10493" i="1"/>
  <c r="B10494" i="1"/>
  <c r="C10494" i="1"/>
  <c r="B10495" i="1"/>
  <c r="C10495" i="1"/>
  <c r="B10496" i="1"/>
  <c r="C10496" i="1"/>
  <c r="B10497" i="1"/>
  <c r="C10497" i="1"/>
  <c r="B10498" i="1"/>
  <c r="C10498" i="1"/>
  <c r="B10499" i="1"/>
  <c r="C10499" i="1"/>
  <c r="B10500" i="1"/>
  <c r="C10500" i="1"/>
  <c r="B10501" i="1"/>
  <c r="C10501" i="1"/>
  <c r="B10502" i="1"/>
  <c r="C10502" i="1"/>
  <c r="B10503" i="1"/>
  <c r="C10503" i="1"/>
  <c r="B10504" i="1"/>
  <c r="C10504" i="1"/>
  <c r="B10505" i="1"/>
  <c r="C10505" i="1"/>
  <c r="B10506" i="1"/>
  <c r="C10506" i="1"/>
  <c r="B10507" i="1"/>
  <c r="C10507" i="1"/>
  <c r="B10508" i="1"/>
  <c r="C10508" i="1"/>
  <c r="B10509" i="1"/>
  <c r="C10509" i="1"/>
  <c r="B10510" i="1"/>
  <c r="C10510" i="1"/>
  <c r="B10511" i="1"/>
  <c r="C10511" i="1"/>
  <c r="B10512" i="1"/>
  <c r="C10512" i="1"/>
  <c r="B10513" i="1"/>
  <c r="C10513" i="1"/>
  <c r="B10514" i="1"/>
  <c r="C10514" i="1"/>
  <c r="B10515" i="1"/>
  <c r="C10515" i="1"/>
  <c r="B10516" i="1"/>
  <c r="C10516" i="1"/>
  <c r="B10517" i="1"/>
  <c r="C10517" i="1"/>
  <c r="B10518" i="1"/>
  <c r="C10518" i="1"/>
  <c r="B10519" i="1"/>
  <c r="C10519" i="1"/>
  <c r="B10520" i="1"/>
  <c r="C10520" i="1"/>
  <c r="B10521" i="1"/>
  <c r="C10521" i="1"/>
  <c r="B10522" i="1"/>
  <c r="C10522" i="1"/>
  <c r="B10523" i="1"/>
  <c r="C10523" i="1"/>
  <c r="B10524" i="1"/>
  <c r="C10524" i="1"/>
  <c r="B10525" i="1"/>
  <c r="C10525" i="1"/>
  <c r="B10526" i="1"/>
  <c r="C10526" i="1"/>
  <c r="B10527" i="1"/>
  <c r="C10527" i="1"/>
  <c r="B10528" i="1"/>
  <c r="C10528" i="1"/>
  <c r="B10529" i="1"/>
  <c r="C10529" i="1"/>
  <c r="B10530" i="1"/>
  <c r="C10530" i="1"/>
  <c r="B10531" i="1"/>
  <c r="C10531" i="1"/>
  <c r="B10532" i="1"/>
  <c r="C10532" i="1"/>
  <c r="B10533" i="1"/>
  <c r="C10533" i="1"/>
  <c r="B10534" i="1"/>
  <c r="C10534" i="1"/>
  <c r="B10535" i="1"/>
  <c r="C10535" i="1"/>
  <c r="B10536" i="1"/>
  <c r="C10536" i="1"/>
  <c r="B10537" i="1"/>
  <c r="C10537" i="1"/>
  <c r="B10538" i="1"/>
  <c r="C10538" i="1"/>
  <c r="B10539" i="1"/>
  <c r="C10539" i="1"/>
  <c r="B10540" i="1"/>
  <c r="C10540" i="1"/>
  <c r="B10541" i="1"/>
  <c r="C10541" i="1"/>
  <c r="B10542" i="1"/>
  <c r="C10542" i="1"/>
  <c r="B10543" i="1"/>
  <c r="C10543" i="1"/>
  <c r="B10544" i="1"/>
  <c r="C10544" i="1"/>
  <c r="B10545" i="1"/>
  <c r="C10545" i="1"/>
  <c r="B10546" i="1"/>
  <c r="C10546" i="1"/>
  <c r="B10547" i="1"/>
  <c r="C10547" i="1"/>
  <c r="B10548" i="1"/>
  <c r="C10548" i="1"/>
  <c r="B10549" i="1"/>
  <c r="C10549" i="1"/>
  <c r="B10550" i="1"/>
  <c r="C10550" i="1"/>
  <c r="B10551" i="1"/>
  <c r="C10551" i="1"/>
  <c r="B10552" i="1"/>
  <c r="C10552" i="1"/>
  <c r="B10553" i="1"/>
  <c r="C10553" i="1"/>
  <c r="B10554" i="1"/>
  <c r="C10554" i="1"/>
  <c r="B10555" i="1"/>
  <c r="C10555" i="1"/>
  <c r="B10556" i="1"/>
  <c r="C10556" i="1"/>
  <c r="B10557" i="1"/>
  <c r="C10557" i="1"/>
  <c r="B10558" i="1"/>
  <c r="C10558" i="1"/>
  <c r="B10559" i="1"/>
  <c r="C10559" i="1"/>
  <c r="B10560" i="1"/>
  <c r="C10560" i="1"/>
  <c r="B10561" i="1"/>
  <c r="C10561" i="1"/>
  <c r="B10562" i="1"/>
  <c r="C10562" i="1"/>
  <c r="B10563" i="1"/>
  <c r="C10563" i="1"/>
  <c r="B10564" i="1"/>
  <c r="C10564" i="1"/>
  <c r="B10565" i="1"/>
  <c r="C10565" i="1"/>
  <c r="B10566" i="1"/>
  <c r="C10566" i="1"/>
  <c r="B10567" i="1"/>
  <c r="C10567" i="1"/>
  <c r="B10568" i="1"/>
  <c r="C10568" i="1"/>
  <c r="B10569" i="1"/>
  <c r="C10569" i="1"/>
  <c r="B10570" i="1"/>
  <c r="C10570" i="1"/>
  <c r="B10571" i="1"/>
  <c r="C10571" i="1"/>
  <c r="B10572" i="1"/>
  <c r="C10572" i="1"/>
  <c r="B10573" i="1"/>
  <c r="C10573" i="1"/>
  <c r="B10574" i="1"/>
  <c r="C10574" i="1"/>
  <c r="B10575" i="1"/>
  <c r="C10575" i="1"/>
  <c r="B10576" i="1"/>
  <c r="C10576" i="1"/>
  <c r="B10577" i="1"/>
  <c r="C10577" i="1"/>
  <c r="B10578" i="1"/>
  <c r="C10578" i="1"/>
  <c r="B10579" i="1"/>
  <c r="C10579" i="1"/>
  <c r="B10580" i="1"/>
  <c r="C10580" i="1"/>
  <c r="B10581" i="1"/>
  <c r="C10581" i="1"/>
  <c r="B10582" i="1"/>
  <c r="C10582" i="1"/>
  <c r="B10583" i="1"/>
  <c r="C10583" i="1"/>
  <c r="B10584" i="1"/>
  <c r="C10584" i="1"/>
  <c r="B10585" i="1"/>
  <c r="C10585" i="1"/>
  <c r="B10586" i="1"/>
  <c r="C10586" i="1"/>
  <c r="B10587" i="1"/>
  <c r="C10587" i="1"/>
  <c r="B10588" i="1"/>
  <c r="C10588" i="1"/>
  <c r="B10589" i="1"/>
  <c r="C10589" i="1"/>
  <c r="B10590" i="1"/>
  <c r="C10590" i="1"/>
  <c r="B10591" i="1"/>
  <c r="C10591" i="1"/>
  <c r="B10592" i="1"/>
  <c r="C10592" i="1"/>
  <c r="B10593" i="1"/>
  <c r="C10593" i="1"/>
  <c r="B10594" i="1"/>
  <c r="C10594" i="1"/>
  <c r="B10595" i="1"/>
  <c r="C10595" i="1"/>
  <c r="B10596" i="1"/>
  <c r="C10596" i="1"/>
  <c r="B10597" i="1"/>
  <c r="C10597" i="1"/>
  <c r="B10598" i="1"/>
  <c r="C10598" i="1"/>
  <c r="B10599" i="1"/>
  <c r="C10599" i="1"/>
  <c r="B10600" i="1"/>
  <c r="C10600" i="1"/>
  <c r="B10601" i="1"/>
  <c r="C10601" i="1"/>
  <c r="B10602" i="1"/>
  <c r="C10602" i="1"/>
  <c r="B10603" i="1"/>
  <c r="C10603" i="1"/>
  <c r="B10604" i="1"/>
  <c r="C10604" i="1"/>
  <c r="B10605" i="1"/>
  <c r="C10605" i="1"/>
  <c r="B10606" i="1"/>
  <c r="C10606" i="1"/>
  <c r="B10607" i="1"/>
  <c r="C10607" i="1"/>
  <c r="B10608" i="1"/>
  <c r="C10608" i="1"/>
  <c r="B10609" i="1"/>
  <c r="C10609" i="1"/>
  <c r="B10610" i="1"/>
  <c r="C10610" i="1"/>
  <c r="B10611" i="1"/>
  <c r="C10611" i="1"/>
  <c r="B10612" i="1"/>
  <c r="C10612" i="1"/>
  <c r="B10613" i="1"/>
  <c r="C10613" i="1"/>
  <c r="B10614" i="1"/>
  <c r="C10614" i="1"/>
  <c r="B10615" i="1"/>
  <c r="C10615" i="1"/>
  <c r="B10616" i="1"/>
  <c r="C10616" i="1"/>
  <c r="B10617" i="1"/>
  <c r="C10617" i="1"/>
  <c r="B10618" i="1"/>
  <c r="C10618" i="1"/>
  <c r="B10619" i="1"/>
  <c r="C10619" i="1"/>
  <c r="B10620" i="1"/>
  <c r="C10620" i="1"/>
  <c r="B10621" i="1"/>
  <c r="C10621" i="1"/>
  <c r="B10622" i="1"/>
  <c r="C10622" i="1"/>
  <c r="B10623" i="1"/>
  <c r="C10623" i="1"/>
  <c r="B10624" i="1"/>
  <c r="C10624" i="1"/>
  <c r="B10625" i="1"/>
  <c r="C10625" i="1"/>
  <c r="B10626" i="1"/>
  <c r="C10626" i="1"/>
  <c r="B10627" i="1"/>
  <c r="C10627" i="1"/>
  <c r="B10628" i="1"/>
  <c r="C10628" i="1"/>
  <c r="B10629" i="1"/>
  <c r="C10629" i="1"/>
  <c r="B10630" i="1"/>
  <c r="C10630" i="1"/>
  <c r="B10631" i="1"/>
  <c r="C10631" i="1"/>
  <c r="B10632" i="1"/>
  <c r="C10632" i="1"/>
  <c r="B10633" i="1"/>
  <c r="C10633" i="1"/>
  <c r="B10634" i="1"/>
  <c r="C10634" i="1"/>
  <c r="B10635" i="1"/>
  <c r="C10635" i="1"/>
  <c r="B10636" i="1"/>
  <c r="C10636" i="1"/>
  <c r="B10637" i="1"/>
  <c r="C10637" i="1"/>
  <c r="B10638" i="1"/>
  <c r="C10638" i="1"/>
  <c r="B10639" i="1"/>
  <c r="C10639" i="1"/>
  <c r="B10640" i="1"/>
  <c r="C10640" i="1"/>
  <c r="B10641" i="1"/>
  <c r="C10641" i="1"/>
  <c r="B10642" i="1"/>
  <c r="C10642" i="1"/>
  <c r="B10643" i="1"/>
  <c r="C10643" i="1"/>
  <c r="B10644" i="1"/>
  <c r="C10644" i="1"/>
  <c r="B10645" i="1"/>
  <c r="C10645" i="1"/>
  <c r="B10646" i="1"/>
  <c r="C10646" i="1"/>
  <c r="B10647" i="1"/>
  <c r="C10647" i="1"/>
  <c r="B10648" i="1"/>
  <c r="C10648" i="1"/>
  <c r="B10649" i="1"/>
  <c r="C10649" i="1"/>
  <c r="B10650" i="1"/>
  <c r="C10650" i="1"/>
  <c r="B10651" i="1"/>
  <c r="C10651" i="1"/>
  <c r="B10652" i="1"/>
  <c r="C10652" i="1"/>
  <c r="B10653" i="1"/>
  <c r="C10653" i="1"/>
  <c r="B10654" i="1"/>
  <c r="C10654" i="1"/>
  <c r="B10655" i="1"/>
  <c r="C10655" i="1"/>
  <c r="B10656" i="1"/>
  <c r="C10656" i="1"/>
  <c r="B10657" i="1"/>
  <c r="C10657" i="1"/>
  <c r="B10658" i="1"/>
  <c r="C10658" i="1"/>
  <c r="B10659" i="1"/>
  <c r="C10659" i="1"/>
  <c r="B10660" i="1"/>
  <c r="C10660" i="1"/>
  <c r="B10661" i="1"/>
  <c r="C10661" i="1"/>
  <c r="B10662" i="1"/>
  <c r="C10662" i="1"/>
  <c r="B10663" i="1"/>
  <c r="C10663" i="1"/>
  <c r="B10664" i="1"/>
  <c r="C10664" i="1"/>
  <c r="B10665" i="1"/>
  <c r="C10665" i="1"/>
  <c r="B10666" i="1"/>
  <c r="C10666" i="1"/>
  <c r="B10667" i="1"/>
  <c r="C10667" i="1"/>
  <c r="B10668" i="1"/>
  <c r="C10668" i="1"/>
  <c r="B10669" i="1"/>
  <c r="C10669" i="1"/>
  <c r="B10670" i="1"/>
  <c r="C10670" i="1"/>
  <c r="B10671" i="1"/>
  <c r="C10671" i="1"/>
  <c r="B10672" i="1"/>
  <c r="C10672" i="1"/>
  <c r="B10673" i="1"/>
  <c r="C10673" i="1"/>
  <c r="B10674" i="1"/>
  <c r="C10674" i="1"/>
  <c r="B10675" i="1"/>
  <c r="C10675" i="1"/>
  <c r="B10676" i="1"/>
  <c r="C10676" i="1"/>
  <c r="B10677" i="1"/>
  <c r="C10677" i="1"/>
  <c r="B10678" i="1"/>
  <c r="C10678" i="1"/>
  <c r="B10679" i="1"/>
  <c r="C10679" i="1"/>
  <c r="B10680" i="1"/>
  <c r="C10680" i="1"/>
  <c r="B10681" i="1"/>
  <c r="C10681" i="1"/>
  <c r="B10682" i="1"/>
  <c r="C10682" i="1"/>
  <c r="B10683" i="1"/>
  <c r="C10683" i="1"/>
  <c r="B10684" i="1"/>
  <c r="C10684" i="1"/>
  <c r="B10685" i="1"/>
  <c r="C10685" i="1"/>
  <c r="B10686" i="1"/>
  <c r="C10686" i="1"/>
  <c r="B10687" i="1"/>
  <c r="C10687" i="1"/>
  <c r="B10688" i="1"/>
  <c r="C10688" i="1"/>
  <c r="B10689" i="1"/>
  <c r="C10689" i="1"/>
  <c r="B10690" i="1"/>
  <c r="C10690" i="1"/>
  <c r="B10691" i="1"/>
  <c r="C10691" i="1"/>
  <c r="B10692" i="1"/>
  <c r="C10692" i="1"/>
  <c r="B10693" i="1"/>
  <c r="C10693" i="1"/>
  <c r="B10694" i="1"/>
  <c r="C10694" i="1"/>
  <c r="B10695" i="1"/>
  <c r="C10695" i="1"/>
  <c r="B10696" i="1"/>
  <c r="C10696" i="1"/>
  <c r="B10697" i="1"/>
  <c r="C10697" i="1"/>
  <c r="B10698" i="1"/>
  <c r="C10698" i="1"/>
  <c r="B10699" i="1"/>
  <c r="C10699" i="1"/>
  <c r="B10700" i="1"/>
  <c r="C10700" i="1"/>
  <c r="B10701" i="1"/>
  <c r="C10701" i="1"/>
  <c r="B10702" i="1"/>
  <c r="C10702" i="1"/>
  <c r="B10703" i="1"/>
  <c r="C10703" i="1"/>
  <c r="B10704" i="1"/>
  <c r="C10704" i="1"/>
  <c r="B10705" i="1"/>
  <c r="C10705" i="1"/>
  <c r="B10706" i="1"/>
  <c r="C10706" i="1"/>
  <c r="B10707" i="1"/>
  <c r="C10707" i="1"/>
  <c r="B10708" i="1"/>
  <c r="C10708" i="1"/>
  <c r="B10709" i="1"/>
  <c r="C10709" i="1"/>
  <c r="B10710" i="1"/>
  <c r="C10710" i="1"/>
  <c r="B10711" i="1"/>
  <c r="C10711" i="1"/>
  <c r="B10712" i="1"/>
  <c r="C10712" i="1"/>
  <c r="B10713" i="1"/>
  <c r="C10713" i="1"/>
  <c r="B10714" i="1"/>
  <c r="C10714" i="1"/>
  <c r="B10715" i="1"/>
  <c r="C10715" i="1"/>
  <c r="B10716" i="1"/>
  <c r="C10716" i="1"/>
  <c r="B10717" i="1"/>
  <c r="C10717" i="1"/>
  <c r="B10718" i="1"/>
  <c r="C10718" i="1"/>
  <c r="B10719" i="1"/>
  <c r="C10719" i="1"/>
  <c r="B10720" i="1"/>
  <c r="C10720" i="1"/>
  <c r="B10721" i="1"/>
  <c r="C10721" i="1"/>
  <c r="B10722" i="1"/>
  <c r="C10722" i="1"/>
  <c r="B10723" i="1"/>
  <c r="C10723" i="1"/>
  <c r="B10724" i="1"/>
  <c r="C10724" i="1"/>
  <c r="B10725" i="1"/>
  <c r="C10725" i="1"/>
  <c r="B10726" i="1"/>
  <c r="C10726" i="1"/>
  <c r="B10727" i="1"/>
  <c r="C10727" i="1"/>
  <c r="B10728" i="1"/>
  <c r="C10728" i="1"/>
  <c r="B10729" i="1"/>
  <c r="C10729" i="1"/>
  <c r="B10730" i="1"/>
  <c r="C10730" i="1"/>
  <c r="B10731" i="1"/>
  <c r="C10731" i="1"/>
  <c r="B10732" i="1"/>
  <c r="C10732" i="1"/>
  <c r="B10733" i="1"/>
  <c r="C10733" i="1"/>
  <c r="B10734" i="1"/>
  <c r="C10734" i="1"/>
  <c r="B10735" i="1"/>
  <c r="C10735" i="1"/>
  <c r="B10736" i="1"/>
  <c r="C10736" i="1"/>
  <c r="B10737" i="1"/>
  <c r="C10737" i="1"/>
  <c r="B10738" i="1"/>
  <c r="C10738" i="1"/>
  <c r="B10739" i="1"/>
  <c r="C10739" i="1"/>
  <c r="B10740" i="1"/>
  <c r="C10740" i="1"/>
  <c r="B10741" i="1"/>
  <c r="C10741" i="1"/>
  <c r="B10742" i="1"/>
  <c r="C10742" i="1"/>
  <c r="B10743" i="1"/>
  <c r="C10743" i="1"/>
  <c r="B10744" i="1"/>
  <c r="C10744" i="1"/>
  <c r="B10745" i="1"/>
  <c r="C10745" i="1"/>
  <c r="B10746" i="1"/>
  <c r="C10746" i="1"/>
  <c r="B10747" i="1"/>
  <c r="C10747" i="1"/>
  <c r="B10748" i="1"/>
  <c r="C10748" i="1"/>
  <c r="B10749" i="1"/>
  <c r="C10749" i="1"/>
  <c r="B10750" i="1"/>
  <c r="C10750" i="1"/>
  <c r="B10751" i="1"/>
  <c r="C10751" i="1"/>
  <c r="B10752" i="1"/>
  <c r="C10752" i="1"/>
  <c r="B10753" i="1"/>
  <c r="C10753" i="1"/>
  <c r="B10754" i="1"/>
  <c r="C10754" i="1"/>
  <c r="B10755" i="1"/>
  <c r="C10755" i="1"/>
  <c r="B10756" i="1"/>
  <c r="C10756" i="1"/>
  <c r="B10757" i="1"/>
  <c r="C10757" i="1"/>
  <c r="B10758" i="1"/>
  <c r="C10758" i="1"/>
  <c r="B10759" i="1"/>
  <c r="C10759" i="1"/>
  <c r="B10760" i="1"/>
  <c r="C10760" i="1"/>
  <c r="B10761" i="1"/>
  <c r="C10761" i="1"/>
  <c r="B10762" i="1"/>
  <c r="C10762" i="1"/>
  <c r="B10763" i="1"/>
  <c r="C10763" i="1"/>
  <c r="B10764" i="1"/>
  <c r="C10764" i="1"/>
  <c r="B10765" i="1"/>
  <c r="C10765" i="1"/>
  <c r="B10766" i="1"/>
  <c r="C10766" i="1"/>
  <c r="B10767" i="1"/>
  <c r="C10767" i="1"/>
  <c r="B10768" i="1"/>
  <c r="C10768" i="1"/>
  <c r="B10769" i="1"/>
  <c r="C10769" i="1"/>
  <c r="B10770" i="1"/>
  <c r="C10770" i="1"/>
  <c r="B10771" i="1"/>
  <c r="C10771" i="1"/>
  <c r="B10772" i="1"/>
  <c r="C10772" i="1"/>
  <c r="B10773" i="1"/>
  <c r="C10773" i="1"/>
  <c r="B10774" i="1"/>
  <c r="C10774" i="1"/>
  <c r="B10775" i="1"/>
  <c r="C10775" i="1"/>
  <c r="B10776" i="1"/>
  <c r="C10776" i="1"/>
  <c r="B10777" i="1"/>
  <c r="C10777" i="1"/>
  <c r="B10778" i="1"/>
  <c r="C10778" i="1"/>
  <c r="B10779" i="1"/>
  <c r="C10779" i="1"/>
  <c r="B10780" i="1"/>
  <c r="C10780" i="1"/>
  <c r="B10781" i="1"/>
  <c r="C10781" i="1"/>
  <c r="B10782" i="1"/>
  <c r="C10782" i="1"/>
  <c r="B10783" i="1"/>
  <c r="C10783" i="1"/>
  <c r="B10784" i="1"/>
  <c r="C10784" i="1"/>
  <c r="B10785" i="1"/>
  <c r="C10785" i="1"/>
  <c r="B10786" i="1"/>
  <c r="C10786" i="1"/>
  <c r="B10787" i="1"/>
  <c r="C10787" i="1"/>
  <c r="B10788" i="1"/>
  <c r="C10788" i="1"/>
  <c r="B10789" i="1"/>
  <c r="C10789" i="1"/>
  <c r="B10790" i="1"/>
  <c r="C10790" i="1"/>
  <c r="B10791" i="1"/>
  <c r="C10791" i="1"/>
  <c r="B10792" i="1"/>
  <c r="C10792" i="1"/>
  <c r="B10793" i="1"/>
  <c r="C10793" i="1"/>
  <c r="B10794" i="1"/>
  <c r="C10794" i="1"/>
  <c r="B10795" i="1"/>
  <c r="C10795" i="1"/>
  <c r="B10796" i="1"/>
  <c r="C10796" i="1"/>
  <c r="B10797" i="1"/>
  <c r="C10797" i="1"/>
  <c r="B10798" i="1"/>
  <c r="C10798" i="1"/>
  <c r="B10799" i="1"/>
  <c r="C10799" i="1"/>
  <c r="B10800" i="1"/>
  <c r="C10800" i="1"/>
  <c r="B10801" i="1"/>
  <c r="C10801" i="1"/>
  <c r="B10802" i="1"/>
  <c r="C10802" i="1"/>
  <c r="B10803" i="1"/>
  <c r="C10803" i="1"/>
  <c r="B10804" i="1"/>
  <c r="C10804" i="1"/>
  <c r="B10805" i="1"/>
  <c r="C10805" i="1"/>
  <c r="B10806" i="1"/>
  <c r="C10806" i="1"/>
  <c r="B10807" i="1"/>
  <c r="C10807" i="1"/>
  <c r="B10808" i="1"/>
  <c r="C10808" i="1"/>
  <c r="B10809" i="1"/>
  <c r="C10809" i="1"/>
  <c r="B10810" i="1"/>
  <c r="C10810" i="1"/>
  <c r="B10811" i="1"/>
  <c r="C10811" i="1"/>
  <c r="B10812" i="1"/>
  <c r="C10812" i="1"/>
  <c r="B10813" i="1"/>
  <c r="C10813" i="1"/>
  <c r="B10814" i="1"/>
  <c r="C10814" i="1"/>
  <c r="B10815" i="1"/>
  <c r="C10815" i="1"/>
  <c r="B10816" i="1"/>
  <c r="C10816" i="1"/>
  <c r="B10817" i="1"/>
  <c r="C10817" i="1"/>
  <c r="B10818" i="1"/>
  <c r="C10818" i="1"/>
  <c r="B10819" i="1"/>
  <c r="C10819" i="1"/>
  <c r="B10820" i="1"/>
  <c r="C10820" i="1"/>
  <c r="B10821" i="1"/>
  <c r="C10821" i="1"/>
  <c r="B10822" i="1"/>
  <c r="C10822" i="1"/>
  <c r="B10823" i="1"/>
  <c r="C10823" i="1"/>
  <c r="B10824" i="1"/>
  <c r="C10824" i="1"/>
  <c r="B10825" i="1"/>
  <c r="C10825" i="1"/>
  <c r="B10826" i="1"/>
  <c r="C10826" i="1"/>
  <c r="B10827" i="1"/>
  <c r="C10827" i="1"/>
  <c r="B10828" i="1"/>
  <c r="C10828" i="1"/>
  <c r="B10829" i="1"/>
  <c r="C10829" i="1"/>
  <c r="B10830" i="1"/>
  <c r="C10830" i="1"/>
  <c r="B10831" i="1"/>
  <c r="C10831" i="1"/>
  <c r="B10832" i="1"/>
  <c r="C10832" i="1"/>
  <c r="B10833" i="1"/>
  <c r="C10833" i="1"/>
  <c r="B10834" i="1"/>
  <c r="C10834" i="1"/>
  <c r="B10835" i="1"/>
  <c r="C10835" i="1"/>
  <c r="B10836" i="1"/>
  <c r="C10836" i="1"/>
  <c r="B10837" i="1"/>
  <c r="C10837" i="1"/>
  <c r="B10838" i="1"/>
  <c r="C10838" i="1"/>
  <c r="B10839" i="1"/>
  <c r="C10839" i="1"/>
  <c r="B10840" i="1"/>
  <c r="C10840" i="1"/>
  <c r="B10841" i="1"/>
  <c r="C10841" i="1"/>
  <c r="B10842" i="1"/>
  <c r="C10842" i="1"/>
  <c r="B10843" i="1"/>
  <c r="C10843" i="1"/>
  <c r="B10844" i="1"/>
  <c r="C10844" i="1"/>
  <c r="B10845" i="1"/>
  <c r="C10845" i="1"/>
  <c r="B10846" i="1"/>
  <c r="C10846" i="1"/>
  <c r="B10847" i="1"/>
  <c r="C10847" i="1"/>
  <c r="B10848" i="1"/>
  <c r="C10848" i="1"/>
  <c r="B10849" i="1"/>
  <c r="C10849" i="1"/>
  <c r="B10850" i="1"/>
  <c r="C10850" i="1"/>
  <c r="B10851" i="1"/>
  <c r="C10851" i="1"/>
  <c r="B10852" i="1"/>
  <c r="C10852" i="1"/>
  <c r="B10853" i="1"/>
  <c r="C10853" i="1"/>
  <c r="B10854" i="1"/>
  <c r="C10854" i="1"/>
  <c r="B10855" i="1"/>
  <c r="C10855" i="1"/>
  <c r="B10856" i="1"/>
  <c r="C10856" i="1"/>
  <c r="B10857" i="1"/>
  <c r="C10857" i="1"/>
  <c r="B10858" i="1"/>
  <c r="C10858" i="1"/>
  <c r="B10859" i="1"/>
  <c r="C10859" i="1"/>
  <c r="B10860" i="1"/>
  <c r="C10860" i="1"/>
  <c r="B10861" i="1"/>
  <c r="C10861" i="1"/>
  <c r="B10862" i="1"/>
  <c r="C10862" i="1"/>
  <c r="B10863" i="1"/>
  <c r="C10863" i="1"/>
  <c r="B10864" i="1"/>
  <c r="C10864" i="1"/>
  <c r="B10865" i="1"/>
  <c r="C10865" i="1"/>
  <c r="B10866" i="1"/>
  <c r="C10866" i="1"/>
  <c r="B10867" i="1"/>
  <c r="C10867" i="1"/>
  <c r="B10868" i="1"/>
  <c r="C10868" i="1"/>
  <c r="B10869" i="1"/>
  <c r="C10869" i="1"/>
  <c r="B10870" i="1"/>
  <c r="C10870" i="1"/>
  <c r="B10871" i="1"/>
  <c r="C10871" i="1"/>
  <c r="B10872" i="1"/>
  <c r="C10872" i="1"/>
  <c r="B10873" i="1"/>
  <c r="C10873" i="1"/>
  <c r="B10874" i="1"/>
  <c r="C10874" i="1"/>
  <c r="B10875" i="1"/>
  <c r="C10875" i="1"/>
  <c r="B10876" i="1"/>
  <c r="C10876" i="1"/>
  <c r="B10877" i="1"/>
  <c r="C10877" i="1"/>
  <c r="B10878" i="1"/>
  <c r="C10878" i="1"/>
  <c r="B10879" i="1"/>
  <c r="C10879" i="1"/>
  <c r="B10880" i="1"/>
  <c r="C10880" i="1"/>
  <c r="B10881" i="1"/>
  <c r="C10881" i="1"/>
  <c r="B10882" i="1"/>
  <c r="C10882" i="1"/>
  <c r="B10883" i="1"/>
  <c r="C10883" i="1"/>
  <c r="B10884" i="1"/>
  <c r="C10884" i="1"/>
  <c r="B10885" i="1"/>
  <c r="C10885" i="1"/>
  <c r="B10886" i="1"/>
  <c r="C10886" i="1"/>
  <c r="B10887" i="1"/>
  <c r="C10887" i="1"/>
  <c r="B10888" i="1"/>
  <c r="C10888" i="1"/>
  <c r="B10889" i="1"/>
  <c r="C10889" i="1"/>
  <c r="B10890" i="1"/>
  <c r="C10890" i="1"/>
  <c r="B10891" i="1"/>
  <c r="C10891" i="1"/>
  <c r="B10892" i="1"/>
  <c r="C10892" i="1"/>
  <c r="B10893" i="1"/>
  <c r="C10893" i="1"/>
  <c r="B10894" i="1"/>
  <c r="C10894" i="1"/>
  <c r="B10895" i="1"/>
  <c r="C10895" i="1"/>
  <c r="B10896" i="1"/>
  <c r="C10896" i="1"/>
  <c r="B10897" i="1"/>
  <c r="C10897" i="1"/>
  <c r="B10898" i="1"/>
  <c r="C10898" i="1"/>
  <c r="B10899" i="1"/>
  <c r="C10899" i="1"/>
  <c r="B10900" i="1"/>
  <c r="C10900" i="1"/>
  <c r="B10901" i="1"/>
  <c r="C10901" i="1"/>
  <c r="B10902" i="1"/>
  <c r="C10902" i="1"/>
  <c r="B10903" i="1"/>
  <c r="C10903" i="1"/>
  <c r="B10904" i="1"/>
  <c r="C10904" i="1"/>
  <c r="B10905" i="1"/>
  <c r="C10905" i="1"/>
  <c r="B10906" i="1"/>
  <c r="C10906" i="1"/>
  <c r="B10907" i="1"/>
  <c r="C10907" i="1"/>
  <c r="B10908" i="1"/>
  <c r="C10908" i="1"/>
  <c r="B10909" i="1"/>
  <c r="C10909" i="1"/>
  <c r="B10910" i="1"/>
  <c r="C10910" i="1"/>
  <c r="B10911" i="1"/>
  <c r="C10911" i="1"/>
  <c r="B10912" i="1"/>
  <c r="C10912" i="1"/>
  <c r="B10913" i="1"/>
  <c r="C10913" i="1"/>
  <c r="B10914" i="1"/>
  <c r="C10914" i="1"/>
  <c r="B10915" i="1"/>
  <c r="C10915" i="1"/>
  <c r="B10916" i="1"/>
  <c r="C10916" i="1"/>
  <c r="B10917" i="1"/>
  <c r="C10917" i="1"/>
  <c r="B10918" i="1"/>
  <c r="C10918" i="1"/>
  <c r="B10919" i="1"/>
  <c r="C10919" i="1"/>
  <c r="B10920" i="1"/>
  <c r="C10920" i="1"/>
  <c r="B10921" i="1"/>
  <c r="C10921" i="1"/>
  <c r="B10922" i="1"/>
  <c r="C10922" i="1"/>
  <c r="B10923" i="1"/>
  <c r="C10923" i="1"/>
  <c r="B10924" i="1"/>
  <c r="C10924" i="1"/>
  <c r="B10925" i="1"/>
  <c r="C10925" i="1"/>
  <c r="B10926" i="1"/>
  <c r="C10926" i="1"/>
  <c r="B10927" i="1"/>
  <c r="C10927" i="1"/>
  <c r="B10928" i="1"/>
  <c r="C10928" i="1"/>
  <c r="B10929" i="1"/>
  <c r="C10929" i="1"/>
  <c r="B10930" i="1"/>
  <c r="C10930" i="1"/>
  <c r="B10931" i="1"/>
  <c r="C10931" i="1"/>
  <c r="B10932" i="1"/>
  <c r="C10932" i="1"/>
  <c r="B10933" i="1"/>
  <c r="C10933" i="1"/>
  <c r="B10934" i="1"/>
  <c r="C10934" i="1"/>
  <c r="B10935" i="1"/>
  <c r="C10935" i="1"/>
  <c r="B10936" i="1"/>
  <c r="C10936" i="1"/>
  <c r="B10937" i="1"/>
  <c r="C10937" i="1"/>
  <c r="B10938" i="1"/>
  <c r="C10938" i="1"/>
  <c r="B10939" i="1"/>
  <c r="C10939" i="1"/>
  <c r="B10940" i="1"/>
  <c r="C10940" i="1"/>
  <c r="B10941" i="1"/>
  <c r="C10941" i="1"/>
  <c r="B10942" i="1"/>
  <c r="C10942" i="1"/>
  <c r="B10943" i="1"/>
  <c r="C10943" i="1"/>
  <c r="B10944" i="1"/>
  <c r="C10944" i="1"/>
  <c r="B10945" i="1"/>
  <c r="C10945" i="1"/>
  <c r="B10946" i="1"/>
  <c r="C10946" i="1"/>
  <c r="B10947" i="1"/>
  <c r="C10947" i="1"/>
  <c r="B10948" i="1"/>
  <c r="C10948" i="1"/>
  <c r="B10949" i="1"/>
  <c r="C10949" i="1"/>
  <c r="B10950" i="1"/>
  <c r="C10950" i="1"/>
  <c r="B10951" i="1"/>
  <c r="C10951" i="1"/>
  <c r="B10952" i="1"/>
  <c r="C10952" i="1"/>
  <c r="B10953" i="1"/>
  <c r="C10953" i="1"/>
  <c r="B10954" i="1"/>
  <c r="C10954" i="1"/>
  <c r="B10955" i="1"/>
  <c r="C10955" i="1"/>
  <c r="B10956" i="1"/>
  <c r="C10956" i="1"/>
  <c r="B10957" i="1"/>
  <c r="C10957" i="1"/>
  <c r="B10958" i="1"/>
  <c r="C10958" i="1"/>
  <c r="B10959" i="1"/>
  <c r="C10959" i="1"/>
  <c r="B10960" i="1"/>
  <c r="C10960" i="1"/>
  <c r="B10961" i="1"/>
  <c r="C10961" i="1"/>
  <c r="B10962" i="1"/>
  <c r="C10962" i="1"/>
  <c r="B10963" i="1"/>
  <c r="C10963" i="1"/>
  <c r="B10964" i="1"/>
  <c r="C10964" i="1"/>
  <c r="B10965" i="1"/>
  <c r="C10965" i="1"/>
  <c r="B10966" i="1"/>
  <c r="C10966" i="1"/>
  <c r="B10967" i="1"/>
  <c r="C10967" i="1"/>
  <c r="B10968" i="1"/>
  <c r="C10968" i="1"/>
  <c r="B10969" i="1"/>
  <c r="C10969" i="1"/>
  <c r="B10970" i="1"/>
  <c r="C10970" i="1"/>
  <c r="B10971" i="1"/>
  <c r="C10971" i="1"/>
  <c r="B10972" i="1"/>
  <c r="C10972" i="1"/>
  <c r="B10973" i="1"/>
  <c r="C10973" i="1"/>
  <c r="B10974" i="1"/>
  <c r="C10974" i="1"/>
  <c r="B10975" i="1"/>
  <c r="C10975" i="1"/>
  <c r="B10976" i="1"/>
  <c r="C10976" i="1"/>
  <c r="B10977" i="1"/>
  <c r="C10977" i="1"/>
  <c r="B10978" i="1"/>
  <c r="C10978" i="1"/>
  <c r="B10979" i="1"/>
  <c r="C10979" i="1"/>
  <c r="B10980" i="1"/>
  <c r="C10980" i="1"/>
  <c r="B10981" i="1"/>
  <c r="C10981" i="1"/>
  <c r="B10982" i="1"/>
  <c r="C10982" i="1"/>
  <c r="B10983" i="1"/>
  <c r="C10983" i="1"/>
  <c r="B10984" i="1"/>
  <c r="C10984" i="1"/>
  <c r="B10985" i="1"/>
  <c r="C10985" i="1"/>
  <c r="B10986" i="1"/>
  <c r="C10986" i="1"/>
  <c r="B10987" i="1"/>
  <c r="C10987" i="1"/>
  <c r="B10988" i="1"/>
  <c r="C10988" i="1"/>
  <c r="B10989" i="1"/>
  <c r="C10989" i="1"/>
  <c r="B10990" i="1"/>
  <c r="C10990" i="1"/>
  <c r="B10991" i="1"/>
  <c r="C10991" i="1"/>
  <c r="B10992" i="1"/>
  <c r="C10992" i="1"/>
  <c r="B10993" i="1"/>
  <c r="C10993" i="1"/>
  <c r="B10994" i="1"/>
  <c r="C10994" i="1"/>
  <c r="B10995" i="1"/>
  <c r="C10995" i="1"/>
  <c r="B10996" i="1"/>
  <c r="C10996" i="1"/>
  <c r="B10997" i="1"/>
  <c r="C10997" i="1"/>
  <c r="B10998" i="1"/>
  <c r="C10998" i="1"/>
  <c r="B10999" i="1"/>
  <c r="C10999" i="1"/>
  <c r="B11000" i="1"/>
  <c r="C11000" i="1"/>
  <c r="B11001" i="1"/>
  <c r="C11001" i="1"/>
  <c r="B11002" i="1"/>
  <c r="C11002" i="1"/>
  <c r="B11003" i="1"/>
  <c r="C11003" i="1"/>
  <c r="B11004" i="1"/>
  <c r="C11004" i="1"/>
  <c r="B11005" i="1"/>
  <c r="C11005" i="1"/>
  <c r="B11006" i="1"/>
  <c r="C11006" i="1"/>
  <c r="B11007" i="1"/>
  <c r="C11007" i="1"/>
  <c r="B11008" i="1"/>
  <c r="C11008" i="1"/>
  <c r="B11009" i="1"/>
  <c r="C11009" i="1"/>
  <c r="B11010" i="1"/>
  <c r="C11010" i="1"/>
  <c r="B11011" i="1"/>
  <c r="C11011" i="1"/>
  <c r="B11012" i="1"/>
  <c r="C11012" i="1"/>
  <c r="B11013" i="1"/>
  <c r="C11013" i="1"/>
  <c r="B11014" i="1"/>
  <c r="C11014" i="1"/>
  <c r="B11015" i="1"/>
  <c r="C11015" i="1"/>
  <c r="B11016" i="1"/>
  <c r="C11016" i="1"/>
  <c r="B11017" i="1"/>
  <c r="C11017" i="1"/>
  <c r="B11018" i="1"/>
  <c r="C11018" i="1"/>
  <c r="B11019" i="1"/>
  <c r="C11019" i="1"/>
  <c r="B11020" i="1"/>
  <c r="C11020" i="1"/>
  <c r="B11021" i="1"/>
  <c r="C11021" i="1"/>
  <c r="B11022" i="1"/>
  <c r="C11022" i="1"/>
  <c r="B11023" i="1"/>
  <c r="C11023" i="1"/>
  <c r="B11024" i="1"/>
  <c r="C11024" i="1"/>
  <c r="B11025" i="1"/>
  <c r="C11025" i="1"/>
  <c r="B11026" i="1"/>
  <c r="C11026" i="1"/>
  <c r="B11027" i="1"/>
  <c r="C11027" i="1"/>
  <c r="B11028" i="1"/>
  <c r="C11028" i="1"/>
  <c r="B11029" i="1"/>
  <c r="C11029" i="1"/>
  <c r="B11030" i="1"/>
  <c r="C11030" i="1"/>
  <c r="B11031" i="1"/>
  <c r="C11031" i="1"/>
  <c r="B11032" i="1"/>
  <c r="C11032" i="1"/>
  <c r="B11033" i="1"/>
  <c r="C11033" i="1"/>
  <c r="B11034" i="1"/>
  <c r="C11034" i="1"/>
  <c r="B11035" i="1"/>
  <c r="C11035" i="1"/>
  <c r="B11036" i="1"/>
  <c r="C11036" i="1"/>
  <c r="B11037" i="1"/>
  <c r="C11037" i="1"/>
  <c r="B11038" i="1"/>
  <c r="C11038" i="1"/>
  <c r="B11039" i="1"/>
  <c r="C11039" i="1"/>
  <c r="B11040" i="1"/>
  <c r="C11040" i="1"/>
  <c r="B11041" i="1"/>
  <c r="C11041" i="1"/>
  <c r="B11042" i="1"/>
  <c r="C11042" i="1"/>
  <c r="B11043" i="1"/>
  <c r="C11043" i="1"/>
  <c r="B11044" i="1"/>
  <c r="C11044" i="1"/>
  <c r="B11045" i="1"/>
  <c r="C11045" i="1"/>
  <c r="B11046" i="1"/>
  <c r="C11046" i="1"/>
  <c r="B11047" i="1"/>
  <c r="C11047" i="1"/>
  <c r="B11048" i="1"/>
  <c r="C11048" i="1"/>
  <c r="B11049" i="1"/>
  <c r="C11049" i="1"/>
  <c r="B11050" i="1"/>
  <c r="C11050" i="1"/>
  <c r="B11051" i="1"/>
  <c r="C11051" i="1"/>
  <c r="B11052" i="1"/>
  <c r="C11052" i="1"/>
  <c r="B11053" i="1"/>
  <c r="C11053" i="1"/>
  <c r="B11054" i="1"/>
  <c r="C11054" i="1"/>
  <c r="B11055" i="1"/>
  <c r="C11055" i="1"/>
  <c r="B11056" i="1"/>
  <c r="C11056" i="1"/>
  <c r="B11057" i="1"/>
  <c r="C11057" i="1"/>
  <c r="B11058" i="1"/>
  <c r="C11058" i="1"/>
  <c r="B11059" i="1"/>
  <c r="C11059" i="1"/>
  <c r="B11060" i="1"/>
  <c r="C11060" i="1"/>
  <c r="B11061" i="1"/>
  <c r="C11061" i="1"/>
  <c r="B11062" i="1"/>
  <c r="C11062" i="1"/>
  <c r="B11063" i="1"/>
  <c r="C11063" i="1"/>
  <c r="B11064" i="1"/>
  <c r="C11064" i="1"/>
  <c r="B11065" i="1"/>
  <c r="C11065" i="1"/>
  <c r="B11066" i="1"/>
  <c r="C11066" i="1"/>
  <c r="B11067" i="1"/>
  <c r="C11067" i="1"/>
  <c r="B11068" i="1"/>
  <c r="C11068" i="1"/>
  <c r="B11069" i="1"/>
  <c r="C11069" i="1"/>
  <c r="B11070" i="1"/>
  <c r="C11070" i="1"/>
  <c r="B11071" i="1"/>
  <c r="C11071" i="1"/>
  <c r="B11072" i="1"/>
  <c r="C11072" i="1"/>
  <c r="B11073" i="1"/>
  <c r="C11073" i="1"/>
  <c r="B11074" i="1"/>
  <c r="C11074" i="1"/>
  <c r="B11075" i="1"/>
  <c r="C11075" i="1"/>
  <c r="B11076" i="1"/>
  <c r="C11076" i="1"/>
  <c r="B11077" i="1"/>
  <c r="C11077" i="1"/>
  <c r="B11078" i="1"/>
  <c r="C11078" i="1"/>
  <c r="B11079" i="1"/>
  <c r="C11079" i="1"/>
  <c r="B11080" i="1"/>
  <c r="C11080" i="1"/>
  <c r="B11081" i="1"/>
  <c r="C11081" i="1"/>
  <c r="B11082" i="1"/>
  <c r="C11082" i="1"/>
  <c r="B11083" i="1"/>
  <c r="C11083" i="1"/>
  <c r="B11084" i="1"/>
  <c r="C11084" i="1"/>
  <c r="B11085" i="1"/>
  <c r="C11085" i="1"/>
  <c r="B11086" i="1"/>
  <c r="C11086" i="1"/>
  <c r="B11087" i="1"/>
  <c r="C11087" i="1"/>
  <c r="B11088" i="1"/>
  <c r="C11088" i="1"/>
  <c r="B11089" i="1"/>
  <c r="C11089" i="1"/>
  <c r="B11090" i="1"/>
  <c r="C11090" i="1"/>
  <c r="B11091" i="1"/>
  <c r="C11091" i="1"/>
  <c r="B11092" i="1"/>
  <c r="C11092" i="1"/>
  <c r="B11093" i="1"/>
  <c r="C11093" i="1"/>
  <c r="B11094" i="1"/>
  <c r="C11094" i="1"/>
  <c r="B11095" i="1"/>
  <c r="C11095" i="1"/>
  <c r="B11096" i="1"/>
  <c r="C11096" i="1"/>
  <c r="B11097" i="1"/>
  <c r="C11097" i="1"/>
  <c r="B11098" i="1"/>
  <c r="C11098" i="1"/>
  <c r="B11099" i="1"/>
  <c r="C11099" i="1"/>
  <c r="B11100" i="1"/>
  <c r="C11100" i="1"/>
  <c r="B11101" i="1"/>
  <c r="C11101" i="1"/>
  <c r="B11102" i="1"/>
  <c r="C11102" i="1"/>
  <c r="B11103" i="1"/>
  <c r="C11103" i="1"/>
  <c r="B11104" i="1"/>
  <c r="C11104" i="1"/>
  <c r="B11105" i="1"/>
  <c r="C11105" i="1"/>
  <c r="B11106" i="1"/>
  <c r="C11106" i="1"/>
  <c r="B11107" i="1"/>
  <c r="C11107" i="1"/>
  <c r="B11108" i="1"/>
  <c r="C11108" i="1"/>
  <c r="B11109" i="1"/>
  <c r="C11109" i="1"/>
  <c r="B11110" i="1"/>
  <c r="C11110" i="1"/>
  <c r="B11111" i="1"/>
  <c r="C11111" i="1"/>
  <c r="B11112" i="1"/>
  <c r="C11112" i="1"/>
  <c r="B11113" i="1"/>
  <c r="C11113" i="1"/>
  <c r="B11114" i="1"/>
  <c r="C11114" i="1"/>
  <c r="B11115" i="1"/>
  <c r="C11115" i="1"/>
  <c r="B11116" i="1"/>
  <c r="C11116" i="1"/>
  <c r="B11117" i="1"/>
  <c r="C11117" i="1"/>
  <c r="B11118" i="1"/>
  <c r="C11118" i="1"/>
  <c r="B11119" i="1"/>
  <c r="C11119" i="1"/>
  <c r="B11120" i="1"/>
  <c r="C11120" i="1"/>
  <c r="B11121" i="1"/>
  <c r="C11121" i="1"/>
  <c r="B11122" i="1"/>
  <c r="C11122" i="1"/>
  <c r="B11123" i="1"/>
  <c r="C11123" i="1"/>
  <c r="B11124" i="1"/>
  <c r="C11124" i="1"/>
  <c r="B11125" i="1"/>
  <c r="C11125" i="1"/>
  <c r="B11126" i="1"/>
  <c r="C11126" i="1"/>
  <c r="B11127" i="1"/>
  <c r="C11127" i="1"/>
  <c r="B11128" i="1"/>
  <c r="C11128" i="1"/>
  <c r="B11129" i="1"/>
  <c r="C11129" i="1"/>
  <c r="B11130" i="1"/>
  <c r="C11130" i="1"/>
  <c r="B11131" i="1"/>
  <c r="C11131" i="1"/>
  <c r="B11132" i="1"/>
  <c r="C11132" i="1"/>
  <c r="B11133" i="1"/>
  <c r="C11133" i="1"/>
  <c r="B11134" i="1"/>
  <c r="C11134" i="1"/>
  <c r="B11135" i="1"/>
  <c r="C11135" i="1"/>
  <c r="B11136" i="1"/>
  <c r="C11136" i="1"/>
  <c r="B11137" i="1"/>
  <c r="C11137" i="1"/>
  <c r="B11138" i="1"/>
  <c r="C11138" i="1"/>
  <c r="B11139" i="1"/>
  <c r="C11139" i="1"/>
  <c r="B11140" i="1"/>
  <c r="C11140" i="1"/>
  <c r="B11141" i="1"/>
  <c r="C11141" i="1"/>
  <c r="B11142" i="1"/>
  <c r="C11142" i="1"/>
  <c r="B11143" i="1"/>
  <c r="C11143" i="1"/>
  <c r="B11144" i="1"/>
  <c r="C11144" i="1"/>
  <c r="B11145" i="1"/>
  <c r="C11145" i="1"/>
  <c r="B11146" i="1"/>
  <c r="C11146" i="1"/>
  <c r="B11147" i="1"/>
  <c r="C11147" i="1"/>
  <c r="B11148" i="1"/>
  <c r="C11148" i="1"/>
  <c r="B11149" i="1"/>
  <c r="C11149" i="1"/>
  <c r="B11150" i="1"/>
  <c r="C11150" i="1"/>
  <c r="B11151" i="1"/>
  <c r="C11151" i="1"/>
  <c r="B11152" i="1"/>
  <c r="C11152" i="1"/>
  <c r="B11153" i="1"/>
  <c r="C11153" i="1"/>
  <c r="B11154" i="1"/>
  <c r="C11154" i="1"/>
  <c r="B11155" i="1"/>
  <c r="C11155" i="1"/>
  <c r="B11156" i="1"/>
  <c r="C11156" i="1"/>
  <c r="B11157" i="1"/>
  <c r="C11157" i="1"/>
  <c r="B11158" i="1"/>
  <c r="C11158" i="1"/>
  <c r="B11159" i="1"/>
  <c r="C11159" i="1"/>
  <c r="B11160" i="1"/>
  <c r="C11160" i="1"/>
  <c r="B11161" i="1"/>
  <c r="C11161" i="1"/>
  <c r="B11162" i="1"/>
  <c r="C11162" i="1"/>
  <c r="B11163" i="1"/>
  <c r="C11163" i="1"/>
  <c r="B11164" i="1"/>
  <c r="C11164" i="1"/>
  <c r="B11165" i="1"/>
  <c r="C11165" i="1"/>
  <c r="B11166" i="1"/>
  <c r="C11166" i="1"/>
  <c r="B11167" i="1"/>
  <c r="C11167" i="1"/>
  <c r="B11168" i="1"/>
  <c r="C11168" i="1"/>
  <c r="B11169" i="1"/>
  <c r="C11169" i="1"/>
  <c r="B11170" i="1"/>
  <c r="C11170" i="1"/>
  <c r="B11171" i="1"/>
  <c r="C11171" i="1"/>
  <c r="B11172" i="1"/>
  <c r="C11172" i="1"/>
  <c r="B11173" i="1"/>
  <c r="C11173" i="1"/>
  <c r="B11174" i="1"/>
  <c r="C11174" i="1"/>
  <c r="B11175" i="1"/>
  <c r="C11175" i="1"/>
  <c r="B11176" i="1"/>
  <c r="C11176" i="1"/>
  <c r="B11177" i="1"/>
  <c r="C11177" i="1"/>
  <c r="B11178" i="1"/>
  <c r="C11178" i="1"/>
  <c r="B11179" i="1"/>
  <c r="C11179" i="1"/>
  <c r="B11180" i="1"/>
  <c r="C11180" i="1"/>
  <c r="B11181" i="1"/>
  <c r="C11181" i="1"/>
  <c r="B11182" i="1"/>
  <c r="C11182" i="1"/>
  <c r="B11183" i="1"/>
  <c r="C11183" i="1"/>
  <c r="B11184" i="1"/>
  <c r="C11184" i="1"/>
  <c r="B11185" i="1"/>
  <c r="C11185" i="1"/>
  <c r="B11186" i="1"/>
  <c r="C11186" i="1"/>
  <c r="B11187" i="1"/>
  <c r="C11187" i="1"/>
  <c r="B11188" i="1"/>
  <c r="C11188" i="1"/>
  <c r="B11189" i="1"/>
  <c r="C11189" i="1"/>
  <c r="B11190" i="1"/>
  <c r="C11190" i="1"/>
  <c r="B11191" i="1"/>
  <c r="C11191" i="1"/>
  <c r="B11192" i="1"/>
  <c r="C11192" i="1"/>
  <c r="B11193" i="1"/>
  <c r="C11193" i="1"/>
  <c r="B11194" i="1"/>
  <c r="C11194" i="1"/>
  <c r="B11195" i="1"/>
  <c r="C11195" i="1"/>
  <c r="B11196" i="1"/>
  <c r="C11196" i="1"/>
  <c r="B11197" i="1"/>
  <c r="C11197" i="1"/>
  <c r="B11198" i="1"/>
  <c r="C11198" i="1"/>
  <c r="B11199" i="1"/>
  <c r="C11199" i="1"/>
  <c r="B11200" i="1"/>
  <c r="C11200" i="1"/>
  <c r="B11201" i="1"/>
  <c r="C11201" i="1"/>
  <c r="B11202" i="1"/>
  <c r="C11202" i="1"/>
  <c r="B11203" i="1"/>
  <c r="C11203" i="1"/>
  <c r="B11204" i="1"/>
  <c r="C11204" i="1"/>
  <c r="B11205" i="1"/>
  <c r="C11205" i="1"/>
  <c r="B11206" i="1"/>
  <c r="C11206" i="1"/>
  <c r="B11207" i="1"/>
  <c r="C11207" i="1"/>
  <c r="B11208" i="1"/>
  <c r="C11208" i="1"/>
  <c r="B11209" i="1"/>
  <c r="C11209" i="1"/>
  <c r="B11210" i="1"/>
  <c r="C11210" i="1"/>
  <c r="B11211" i="1"/>
  <c r="C11211" i="1"/>
  <c r="B11212" i="1"/>
  <c r="C11212" i="1"/>
  <c r="B11213" i="1"/>
  <c r="C11213" i="1"/>
  <c r="B11214" i="1"/>
  <c r="C11214" i="1"/>
  <c r="B11215" i="1"/>
  <c r="C11215" i="1"/>
  <c r="B11216" i="1"/>
  <c r="C11216" i="1"/>
  <c r="B11217" i="1"/>
  <c r="C11217" i="1"/>
  <c r="B11218" i="1"/>
  <c r="C11218" i="1"/>
  <c r="B11219" i="1"/>
  <c r="C11219" i="1"/>
  <c r="B11220" i="1"/>
  <c r="C11220" i="1"/>
  <c r="B11221" i="1"/>
  <c r="C11221" i="1"/>
  <c r="B11222" i="1"/>
  <c r="C11222" i="1"/>
  <c r="B11223" i="1"/>
  <c r="C11223" i="1"/>
  <c r="B11224" i="1"/>
  <c r="C11224" i="1"/>
  <c r="B11225" i="1"/>
  <c r="C11225" i="1"/>
  <c r="B11226" i="1"/>
  <c r="C11226" i="1"/>
  <c r="B11227" i="1"/>
  <c r="C11227" i="1"/>
  <c r="B11228" i="1"/>
  <c r="C11228" i="1"/>
  <c r="B11229" i="1"/>
  <c r="C11229" i="1"/>
  <c r="B11230" i="1"/>
  <c r="C11230" i="1"/>
  <c r="B11231" i="1"/>
  <c r="C11231" i="1"/>
  <c r="B11232" i="1"/>
  <c r="C11232" i="1"/>
  <c r="B11233" i="1"/>
  <c r="C11233" i="1"/>
  <c r="B11234" i="1"/>
  <c r="C11234" i="1"/>
  <c r="B11235" i="1"/>
  <c r="C11235" i="1"/>
  <c r="B11236" i="1"/>
  <c r="C11236" i="1"/>
  <c r="B11237" i="1"/>
  <c r="C11237" i="1"/>
  <c r="B11238" i="1"/>
  <c r="C11238" i="1"/>
  <c r="B11239" i="1"/>
  <c r="C11239" i="1"/>
  <c r="B11240" i="1"/>
  <c r="C11240" i="1"/>
  <c r="B11241" i="1"/>
  <c r="C11241" i="1"/>
  <c r="B11242" i="1"/>
  <c r="C11242" i="1"/>
  <c r="B11243" i="1"/>
  <c r="C11243" i="1"/>
  <c r="B11244" i="1"/>
  <c r="C11244" i="1"/>
  <c r="B11245" i="1"/>
  <c r="C11245" i="1"/>
  <c r="B11246" i="1"/>
  <c r="C11246" i="1"/>
  <c r="B11247" i="1"/>
  <c r="C11247" i="1"/>
  <c r="B11248" i="1"/>
  <c r="C11248" i="1"/>
  <c r="B11249" i="1"/>
  <c r="C11249" i="1"/>
  <c r="B11250" i="1"/>
  <c r="C11250" i="1"/>
  <c r="B11251" i="1"/>
  <c r="C11251" i="1"/>
  <c r="B11252" i="1"/>
  <c r="C11252" i="1"/>
  <c r="B11253" i="1"/>
  <c r="C11253" i="1"/>
  <c r="B11254" i="1"/>
  <c r="C11254" i="1"/>
  <c r="B11255" i="1"/>
  <c r="C11255" i="1"/>
  <c r="B11256" i="1"/>
  <c r="C11256" i="1"/>
  <c r="B11257" i="1"/>
  <c r="C11257" i="1"/>
  <c r="B11258" i="1"/>
  <c r="C11258" i="1"/>
  <c r="B11259" i="1"/>
  <c r="C11259" i="1"/>
  <c r="B11260" i="1"/>
  <c r="C11260" i="1"/>
  <c r="B11261" i="1"/>
  <c r="C11261" i="1"/>
  <c r="B11262" i="1"/>
  <c r="C11262" i="1"/>
  <c r="B11263" i="1"/>
  <c r="C11263" i="1"/>
  <c r="B11264" i="1"/>
  <c r="C11264" i="1"/>
  <c r="B11265" i="1"/>
  <c r="C11265" i="1"/>
  <c r="B11266" i="1"/>
  <c r="C11266" i="1"/>
  <c r="B11267" i="1"/>
  <c r="C11267" i="1"/>
  <c r="B11268" i="1"/>
  <c r="C11268" i="1"/>
  <c r="B11269" i="1"/>
  <c r="C11269" i="1"/>
  <c r="B11270" i="1"/>
  <c r="C11270" i="1"/>
  <c r="B11271" i="1"/>
  <c r="C11271" i="1"/>
  <c r="B11272" i="1"/>
  <c r="C11272" i="1"/>
  <c r="B11273" i="1"/>
  <c r="C11273" i="1"/>
  <c r="B11274" i="1"/>
  <c r="C11274" i="1"/>
  <c r="B11275" i="1"/>
  <c r="C11275" i="1"/>
  <c r="B11276" i="1"/>
  <c r="C11276" i="1"/>
  <c r="B11277" i="1"/>
  <c r="C11277" i="1"/>
  <c r="B11278" i="1"/>
  <c r="C11278" i="1"/>
  <c r="B11279" i="1"/>
  <c r="C11279" i="1"/>
  <c r="B11280" i="1"/>
  <c r="C11280" i="1"/>
  <c r="B11281" i="1"/>
  <c r="C11281" i="1"/>
  <c r="B11282" i="1"/>
  <c r="C11282" i="1"/>
  <c r="B11283" i="1"/>
  <c r="C11283" i="1"/>
  <c r="B11284" i="1"/>
  <c r="C11284" i="1"/>
  <c r="B11285" i="1"/>
  <c r="C11285" i="1"/>
  <c r="B11286" i="1"/>
  <c r="C11286" i="1"/>
  <c r="B11287" i="1"/>
  <c r="C11287" i="1"/>
  <c r="B11288" i="1"/>
  <c r="C11288" i="1"/>
  <c r="B11289" i="1"/>
  <c r="C11289" i="1"/>
  <c r="B11290" i="1"/>
  <c r="C11290" i="1"/>
  <c r="B11291" i="1"/>
  <c r="C11291" i="1"/>
  <c r="B11292" i="1"/>
  <c r="C11292" i="1"/>
  <c r="B11293" i="1"/>
  <c r="C11293" i="1"/>
  <c r="B11294" i="1"/>
  <c r="C11294" i="1"/>
  <c r="B11295" i="1"/>
  <c r="C11295" i="1"/>
  <c r="B11296" i="1"/>
  <c r="C11296" i="1"/>
  <c r="B11297" i="1"/>
  <c r="C11297" i="1"/>
  <c r="B11298" i="1"/>
  <c r="C11298" i="1"/>
  <c r="B11299" i="1"/>
  <c r="C11299" i="1"/>
  <c r="B11300" i="1"/>
  <c r="C11300" i="1"/>
  <c r="B11301" i="1"/>
  <c r="C11301" i="1"/>
  <c r="B11302" i="1"/>
  <c r="C11302" i="1"/>
  <c r="B11303" i="1"/>
  <c r="C11303" i="1"/>
  <c r="B11304" i="1"/>
  <c r="C11304" i="1"/>
  <c r="B11305" i="1"/>
  <c r="C11305" i="1"/>
  <c r="B11306" i="1"/>
  <c r="C11306" i="1"/>
  <c r="B11307" i="1"/>
  <c r="C11307" i="1"/>
  <c r="B11308" i="1"/>
  <c r="C11308" i="1"/>
  <c r="B11309" i="1"/>
  <c r="C11309" i="1"/>
  <c r="B11310" i="1"/>
  <c r="C11310" i="1"/>
  <c r="B11311" i="1"/>
  <c r="C11311" i="1"/>
  <c r="B11312" i="1"/>
  <c r="C11312" i="1"/>
  <c r="B11313" i="1"/>
  <c r="C11313" i="1"/>
  <c r="B11314" i="1"/>
  <c r="C11314" i="1"/>
  <c r="B11315" i="1"/>
  <c r="C11315" i="1"/>
  <c r="B11316" i="1"/>
  <c r="C11316" i="1"/>
  <c r="B11317" i="1"/>
  <c r="C11317" i="1"/>
  <c r="B11318" i="1"/>
  <c r="C11318" i="1"/>
  <c r="B11319" i="1"/>
  <c r="C11319" i="1"/>
  <c r="B11320" i="1"/>
  <c r="C11320" i="1"/>
  <c r="B11321" i="1"/>
  <c r="C11321" i="1"/>
  <c r="B11322" i="1"/>
  <c r="C11322" i="1"/>
  <c r="B11323" i="1"/>
  <c r="C11323" i="1"/>
  <c r="B11324" i="1"/>
  <c r="C11324" i="1"/>
  <c r="B11325" i="1"/>
  <c r="C11325" i="1"/>
  <c r="B11326" i="1"/>
  <c r="C11326" i="1"/>
  <c r="B11327" i="1"/>
  <c r="C11327" i="1"/>
  <c r="B11328" i="1"/>
  <c r="C11328" i="1"/>
  <c r="B11329" i="1"/>
  <c r="C11329" i="1"/>
  <c r="B11330" i="1"/>
  <c r="C11330" i="1"/>
  <c r="B11331" i="1"/>
  <c r="C11331" i="1"/>
  <c r="B11332" i="1"/>
  <c r="C11332" i="1"/>
  <c r="B11333" i="1"/>
  <c r="C11333" i="1"/>
  <c r="B11334" i="1"/>
  <c r="C11334" i="1"/>
  <c r="B11335" i="1"/>
  <c r="C11335" i="1"/>
  <c r="B11336" i="1"/>
  <c r="C11336" i="1"/>
  <c r="B11337" i="1"/>
  <c r="C11337" i="1"/>
  <c r="B11338" i="1"/>
  <c r="C11338" i="1"/>
  <c r="B11339" i="1"/>
  <c r="C11339" i="1"/>
  <c r="B11340" i="1"/>
  <c r="C11340" i="1"/>
  <c r="B11341" i="1"/>
  <c r="C11341" i="1"/>
  <c r="B11342" i="1"/>
  <c r="C11342" i="1"/>
  <c r="B11343" i="1"/>
  <c r="C11343" i="1"/>
  <c r="B11344" i="1"/>
  <c r="C11344" i="1"/>
  <c r="B11345" i="1"/>
  <c r="C11345" i="1"/>
  <c r="B11346" i="1"/>
  <c r="C11346" i="1"/>
  <c r="B11347" i="1"/>
  <c r="C11347" i="1"/>
  <c r="B11348" i="1"/>
  <c r="C11348" i="1"/>
  <c r="B11349" i="1"/>
  <c r="C11349" i="1"/>
  <c r="B11350" i="1"/>
  <c r="C11350" i="1"/>
  <c r="B11351" i="1"/>
  <c r="C11351" i="1"/>
  <c r="B11352" i="1"/>
  <c r="C11352" i="1"/>
  <c r="B11353" i="1"/>
  <c r="C11353" i="1"/>
  <c r="B11354" i="1"/>
  <c r="C11354" i="1"/>
  <c r="B11355" i="1"/>
  <c r="C11355" i="1"/>
  <c r="B11356" i="1"/>
  <c r="C11356" i="1"/>
  <c r="B11357" i="1"/>
  <c r="C11357" i="1"/>
  <c r="B11358" i="1"/>
  <c r="C11358" i="1"/>
  <c r="B11359" i="1"/>
  <c r="C11359" i="1"/>
  <c r="B11360" i="1"/>
  <c r="C11360" i="1"/>
  <c r="B11361" i="1"/>
  <c r="C11361" i="1"/>
  <c r="B11362" i="1"/>
  <c r="C11362" i="1"/>
  <c r="B11363" i="1"/>
  <c r="C11363" i="1"/>
  <c r="B11364" i="1"/>
  <c r="C11364" i="1"/>
  <c r="B11365" i="1"/>
  <c r="C11365" i="1"/>
  <c r="B11366" i="1"/>
  <c r="C11366" i="1"/>
  <c r="B11367" i="1"/>
  <c r="C11367" i="1"/>
  <c r="B11368" i="1"/>
  <c r="C11368" i="1"/>
  <c r="B11369" i="1"/>
  <c r="C11369" i="1"/>
  <c r="B11370" i="1"/>
  <c r="C11370" i="1"/>
  <c r="B11371" i="1"/>
  <c r="C11371" i="1"/>
  <c r="B11372" i="1"/>
  <c r="C11372" i="1"/>
  <c r="B11373" i="1"/>
  <c r="C11373" i="1"/>
  <c r="B11374" i="1"/>
  <c r="C11374" i="1"/>
  <c r="B11375" i="1"/>
  <c r="C11375" i="1"/>
  <c r="B11376" i="1"/>
  <c r="C11376" i="1"/>
  <c r="B11377" i="1"/>
  <c r="C11377" i="1"/>
  <c r="B11378" i="1"/>
  <c r="C11378" i="1"/>
  <c r="B11379" i="1"/>
  <c r="C11379" i="1"/>
  <c r="B11380" i="1"/>
  <c r="C11380" i="1"/>
  <c r="B11381" i="1"/>
  <c r="C11381" i="1"/>
  <c r="B11382" i="1"/>
  <c r="C11382" i="1"/>
  <c r="B11383" i="1"/>
  <c r="C11383" i="1"/>
  <c r="B11384" i="1"/>
  <c r="C11384" i="1"/>
  <c r="B11385" i="1"/>
  <c r="C11385" i="1"/>
  <c r="B11386" i="1"/>
  <c r="C11386" i="1"/>
  <c r="B11387" i="1"/>
  <c r="C11387" i="1"/>
  <c r="B11388" i="1"/>
  <c r="C11388" i="1"/>
  <c r="B11389" i="1"/>
  <c r="C11389" i="1"/>
  <c r="B11390" i="1"/>
  <c r="C11390" i="1"/>
  <c r="B11391" i="1"/>
  <c r="C11391" i="1"/>
  <c r="B11392" i="1"/>
  <c r="C11392" i="1"/>
  <c r="B11393" i="1"/>
  <c r="C11393" i="1"/>
  <c r="B11394" i="1"/>
  <c r="C11394" i="1"/>
  <c r="B11395" i="1"/>
  <c r="C11395" i="1"/>
  <c r="B11396" i="1"/>
  <c r="C11396" i="1"/>
  <c r="B11397" i="1"/>
  <c r="C11397" i="1"/>
  <c r="B11398" i="1"/>
  <c r="C11398" i="1"/>
  <c r="B11399" i="1"/>
  <c r="C11399" i="1"/>
  <c r="B11400" i="1"/>
  <c r="C11400" i="1"/>
  <c r="B11401" i="1"/>
  <c r="C11401" i="1"/>
  <c r="B11402" i="1"/>
  <c r="C11402" i="1"/>
  <c r="B11403" i="1"/>
  <c r="C11403" i="1"/>
  <c r="B11404" i="1"/>
  <c r="C11404" i="1"/>
  <c r="B11405" i="1"/>
  <c r="C11405" i="1"/>
  <c r="B11406" i="1"/>
  <c r="C11406" i="1"/>
  <c r="B11407" i="1"/>
  <c r="C11407" i="1"/>
  <c r="B11408" i="1"/>
  <c r="C11408" i="1"/>
  <c r="B11409" i="1"/>
  <c r="C11409" i="1"/>
  <c r="B11410" i="1"/>
  <c r="C11410" i="1"/>
  <c r="B11411" i="1"/>
  <c r="C11411" i="1"/>
  <c r="B11412" i="1"/>
  <c r="C11412" i="1"/>
  <c r="B11413" i="1"/>
  <c r="C11413" i="1"/>
  <c r="B11414" i="1"/>
  <c r="C11414" i="1"/>
  <c r="B11415" i="1"/>
  <c r="C11415" i="1"/>
  <c r="B11416" i="1"/>
  <c r="C11416" i="1"/>
  <c r="B11417" i="1"/>
  <c r="C11417" i="1"/>
  <c r="B11418" i="1"/>
  <c r="C11418" i="1"/>
  <c r="B11419" i="1"/>
  <c r="C11419" i="1"/>
  <c r="B11420" i="1"/>
  <c r="C11420" i="1"/>
  <c r="B11421" i="1"/>
  <c r="C11421" i="1"/>
  <c r="B11422" i="1"/>
  <c r="C11422" i="1"/>
  <c r="B11423" i="1"/>
  <c r="C11423" i="1"/>
  <c r="B11424" i="1"/>
  <c r="C11424" i="1"/>
  <c r="B11425" i="1"/>
  <c r="C11425" i="1"/>
  <c r="B11426" i="1"/>
  <c r="C11426" i="1"/>
  <c r="B11427" i="1"/>
  <c r="C11427" i="1"/>
  <c r="B11428" i="1"/>
  <c r="C11428" i="1"/>
  <c r="B11429" i="1"/>
  <c r="C11429" i="1"/>
  <c r="B11430" i="1"/>
  <c r="C11430" i="1"/>
  <c r="B11431" i="1"/>
  <c r="C11431" i="1"/>
  <c r="B11432" i="1"/>
  <c r="C11432" i="1"/>
  <c r="B11433" i="1"/>
  <c r="C11433" i="1"/>
  <c r="B11434" i="1"/>
  <c r="C11434" i="1"/>
  <c r="B11435" i="1"/>
  <c r="C11435" i="1"/>
  <c r="B11436" i="1"/>
  <c r="C11436" i="1"/>
  <c r="B11437" i="1"/>
  <c r="C11437" i="1"/>
  <c r="B11438" i="1"/>
  <c r="C11438" i="1"/>
  <c r="B11439" i="1"/>
  <c r="C11439" i="1"/>
  <c r="B11440" i="1"/>
  <c r="C11440" i="1"/>
  <c r="B11441" i="1"/>
  <c r="C11441" i="1"/>
  <c r="B11442" i="1"/>
  <c r="C11442" i="1"/>
  <c r="B11443" i="1"/>
  <c r="C11443" i="1"/>
  <c r="B11444" i="1"/>
  <c r="C11444" i="1"/>
  <c r="B11445" i="1"/>
  <c r="C11445" i="1"/>
  <c r="B11446" i="1"/>
  <c r="C11446" i="1"/>
  <c r="B11447" i="1"/>
  <c r="C11447" i="1"/>
  <c r="B11448" i="1"/>
  <c r="C11448" i="1"/>
  <c r="B11449" i="1"/>
  <c r="C11449" i="1"/>
  <c r="B11450" i="1"/>
  <c r="C11450" i="1"/>
  <c r="B11451" i="1"/>
  <c r="C11451" i="1"/>
  <c r="B11452" i="1"/>
  <c r="C11452" i="1"/>
  <c r="B11453" i="1"/>
  <c r="C11453" i="1"/>
  <c r="B11454" i="1"/>
  <c r="C11454" i="1"/>
  <c r="B11455" i="1"/>
  <c r="C11455" i="1"/>
  <c r="B11456" i="1"/>
  <c r="C11456" i="1"/>
  <c r="B11457" i="1"/>
  <c r="C11457" i="1"/>
  <c r="B11458" i="1"/>
  <c r="C11458" i="1"/>
  <c r="B11459" i="1"/>
  <c r="C11459" i="1"/>
  <c r="B11460" i="1"/>
  <c r="C11460" i="1"/>
  <c r="B11461" i="1"/>
  <c r="C11461" i="1"/>
  <c r="B11462" i="1"/>
  <c r="C11462" i="1"/>
  <c r="B11463" i="1"/>
  <c r="C11463" i="1"/>
  <c r="B11464" i="1"/>
  <c r="C11464" i="1"/>
  <c r="B11465" i="1"/>
  <c r="C11465" i="1"/>
  <c r="B11466" i="1"/>
  <c r="C11466" i="1"/>
  <c r="B11467" i="1"/>
  <c r="C11467" i="1"/>
  <c r="B11468" i="1"/>
  <c r="C11468" i="1"/>
  <c r="B11469" i="1"/>
  <c r="C11469" i="1"/>
  <c r="B11470" i="1"/>
  <c r="C11470" i="1"/>
  <c r="B11471" i="1"/>
  <c r="C11471" i="1"/>
  <c r="B11472" i="1"/>
  <c r="C11472" i="1"/>
  <c r="B11473" i="1"/>
  <c r="C11473" i="1"/>
  <c r="B11474" i="1"/>
  <c r="C11474" i="1"/>
  <c r="B11475" i="1"/>
  <c r="C11475" i="1"/>
  <c r="B11476" i="1"/>
  <c r="C11476" i="1"/>
  <c r="B11477" i="1"/>
  <c r="C11477" i="1"/>
  <c r="B11478" i="1"/>
  <c r="C11478" i="1"/>
  <c r="B11479" i="1"/>
  <c r="C11479" i="1"/>
  <c r="B11480" i="1"/>
  <c r="C11480" i="1"/>
  <c r="B11481" i="1"/>
  <c r="C11481" i="1"/>
  <c r="B11482" i="1"/>
  <c r="C11482" i="1"/>
  <c r="B11483" i="1"/>
  <c r="C11483" i="1"/>
  <c r="B11484" i="1"/>
  <c r="C11484" i="1"/>
  <c r="B11485" i="1"/>
  <c r="C11485" i="1"/>
  <c r="B11486" i="1"/>
  <c r="C11486" i="1"/>
  <c r="B11487" i="1"/>
  <c r="C11487" i="1"/>
  <c r="B11488" i="1"/>
  <c r="C11488" i="1"/>
  <c r="B11489" i="1"/>
  <c r="C11489" i="1"/>
  <c r="B11490" i="1"/>
  <c r="C11490" i="1"/>
  <c r="B11491" i="1"/>
  <c r="C11491" i="1"/>
  <c r="B11492" i="1"/>
  <c r="C11492" i="1"/>
  <c r="B11493" i="1"/>
  <c r="C11493" i="1"/>
  <c r="B11494" i="1"/>
  <c r="C11494" i="1"/>
  <c r="B11495" i="1"/>
  <c r="C11495" i="1"/>
  <c r="B11496" i="1"/>
  <c r="C11496" i="1"/>
  <c r="B11497" i="1"/>
  <c r="C11497" i="1"/>
  <c r="B11498" i="1"/>
  <c r="C11498" i="1"/>
  <c r="B11499" i="1"/>
  <c r="C11499" i="1"/>
  <c r="B11500" i="1"/>
  <c r="C11500" i="1"/>
  <c r="B11501" i="1"/>
  <c r="C11501" i="1"/>
  <c r="B11502" i="1"/>
  <c r="C11502" i="1"/>
  <c r="B11503" i="1"/>
  <c r="C11503" i="1"/>
  <c r="B11504" i="1"/>
  <c r="C11504" i="1"/>
  <c r="B11505" i="1"/>
  <c r="C11505" i="1"/>
  <c r="B11506" i="1"/>
  <c r="C11506" i="1"/>
  <c r="B11507" i="1"/>
  <c r="C11507" i="1"/>
  <c r="B11508" i="1"/>
  <c r="C11508" i="1"/>
  <c r="B11509" i="1"/>
  <c r="C11509" i="1"/>
  <c r="B11510" i="1"/>
  <c r="C11510" i="1"/>
  <c r="B11511" i="1"/>
  <c r="C11511" i="1"/>
  <c r="B11512" i="1"/>
  <c r="C11512" i="1"/>
  <c r="B11513" i="1"/>
  <c r="C11513" i="1"/>
  <c r="B11514" i="1"/>
  <c r="C11514" i="1"/>
  <c r="B11515" i="1"/>
  <c r="C11515" i="1"/>
  <c r="B11516" i="1"/>
  <c r="C11516" i="1"/>
  <c r="B11517" i="1"/>
  <c r="C11517" i="1"/>
  <c r="B11518" i="1"/>
  <c r="C11518" i="1"/>
  <c r="B11519" i="1"/>
  <c r="C11519" i="1"/>
  <c r="B11520" i="1"/>
  <c r="C11520" i="1"/>
  <c r="B11521" i="1"/>
  <c r="C11521" i="1"/>
  <c r="B11522" i="1"/>
  <c r="C11522" i="1"/>
  <c r="B11523" i="1"/>
  <c r="C11523" i="1"/>
  <c r="B11524" i="1"/>
  <c r="C11524" i="1"/>
  <c r="B11525" i="1"/>
  <c r="C11525" i="1"/>
  <c r="B11526" i="1"/>
  <c r="C11526" i="1"/>
  <c r="B11527" i="1"/>
  <c r="C11527" i="1"/>
  <c r="B11528" i="1"/>
  <c r="C11528" i="1"/>
  <c r="B11529" i="1"/>
  <c r="C11529" i="1"/>
  <c r="B11530" i="1"/>
  <c r="C11530" i="1"/>
  <c r="B11531" i="1"/>
  <c r="C11531" i="1"/>
  <c r="B11532" i="1"/>
  <c r="C11532" i="1"/>
  <c r="B11533" i="1"/>
  <c r="C11533" i="1"/>
  <c r="B11534" i="1"/>
  <c r="C11534" i="1"/>
  <c r="B11535" i="1"/>
  <c r="C11535" i="1"/>
  <c r="B11536" i="1"/>
  <c r="C11536" i="1"/>
  <c r="B11537" i="1"/>
  <c r="C11537" i="1"/>
  <c r="B11538" i="1"/>
  <c r="C11538" i="1"/>
  <c r="B11539" i="1"/>
  <c r="C11539" i="1"/>
  <c r="B11540" i="1"/>
  <c r="C11540" i="1"/>
  <c r="B11541" i="1"/>
  <c r="C11541" i="1"/>
  <c r="B11542" i="1"/>
  <c r="C11542" i="1"/>
  <c r="B11543" i="1"/>
  <c r="C11543" i="1"/>
  <c r="B11544" i="1"/>
  <c r="C11544" i="1"/>
  <c r="B11545" i="1"/>
  <c r="C11545" i="1"/>
  <c r="B11546" i="1"/>
  <c r="C11546" i="1"/>
  <c r="B11547" i="1"/>
  <c r="C11547" i="1"/>
  <c r="B11548" i="1"/>
  <c r="C11548" i="1"/>
  <c r="B11549" i="1"/>
  <c r="C11549" i="1"/>
  <c r="B11550" i="1"/>
  <c r="C11550" i="1"/>
  <c r="B11551" i="1"/>
  <c r="C11551" i="1"/>
  <c r="B11552" i="1"/>
  <c r="C11552" i="1"/>
  <c r="B11553" i="1"/>
  <c r="C11553" i="1"/>
  <c r="B11554" i="1"/>
  <c r="C11554" i="1"/>
  <c r="B11555" i="1"/>
  <c r="C11555" i="1"/>
  <c r="B11556" i="1"/>
  <c r="C11556" i="1"/>
  <c r="B11557" i="1"/>
  <c r="C11557" i="1"/>
  <c r="B11558" i="1"/>
  <c r="C11558" i="1"/>
  <c r="B11559" i="1"/>
  <c r="C11559" i="1"/>
  <c r="B11560" i="1"/>
  <c r="C11560" i="1"/>
  <c r="B11561" i="1"/>
  <c r="C11561" i="1"/>
  <c r="B11562" i="1"/>
  <c r="C11562" i="1"/>
  <c r="B11563" i="1"/>
  <c r="C11563" i="1"/>
  <c r="B11564" i="1"/>
  <c r="C11564" i="1"/>
  <c r="B11565" i="1"/>
  <c r="C11565" i="1"/>
  <c r="B11566" i="1"/>
  <c r="C11566" i="1"/>
  <c r="B11567" i="1"/>
  <c r="C11567" i="1"/>
  <c r="B11568" i="1"/>
  <c r="C11568" i="1"/>
  <c r="B11569" i="1"/>
  <c r="C11569" i="1"/>
  <c r="B11570" i="1"/>
  <c r="C11570" i="1"/>
  <c r="B11571" i="1"/>
  <c r="C11571" i="1"/>
  <c r="B11572" i="1"/>
  <c r="C11572" i="1"/>
  <c r="B11573" i="1"/>
  <c r="C11573" i="1"/>
  <c r="B11574" i="1"/>
  <c r="C11574" i="1"/>
  <c r="B11575" i="1"/>
  <c r="C11575" i="1"/>
  <c r="B11576" i="1"/>
  <c r="C11576" i="1"/>
  <c r="B11577" i="1"/>
  <c r="C11577" i="1"/>
  <c r="B11578" i="1"/>
  <c r="C11578" i="1"/>
  <c r="B11579" i="1"/>
  <c r="C11579" i="1"/>
  <c r="B11580" i="1"/>
  <c r="C11580" i="1"/>
  <c r="B11581" i="1"/>
  <c r="C11581" i="1"/>
  <c r="B11582" i="1"/>
  <c r="C11582" i="1"/>
  <c r="B11583" i="1"/>
  <c r="C11583" i="1"/>
  <c r="B11584" i="1"/>
  <c r="C11584" i="1"/>
  <c r="B11585" i="1"/>
  <c r="C11585" i="1"/>
  <c r="B11586" i="1"/>
  <c r="C11586" i="1"/>
  <c r="B11587" i="1"/>
  <c r="C11587" i="1"/>
  <c r="B11588" i="1"/>
  <c r="C11588" i="1"/>
  <c r="B11589" i="1"/>
  <c r="C11589" i="1"/>
  <c r="B11590" i="1"/>
  <c r="C11590" i="1"/>
  <c r="B11591" i="1"/>
  <c r="C11591" i="1"/>
  <c r="B11592" i="1"/>
  <c r="C11592" i="1"/>
  <c r="B11593" i="1"/>
  <c r="C11593" i="1"/>
  <c r="B11594" i="1"/>
  <c r="C11594" i="1"/>
  <c r="B11595" i="1"/>
  <c r="C11595" i="1"/>
  <c r="B11596" i="1"/>
  <c r="C11596" i="1"/>
  <c r="B11597" i="1"/>
  <c r="C11597" i="1"/>
  <c r="B11598" i="1"/>
  <c r="C11598" i="1"/>
  <c r="B11599" i="1"/>
  <c r="C11599" i="1"/>
  <c r="B11600" i="1"/>
  <c r="C11600" i="1"/>
  <c r="B11601" i="1"/>
  <c r="C11601" i="1"/>
  <c r="B11602" i="1"/>
  <c r="C11602" i="1"/>
  <c r="B11603" i="1"/>
  <c r="C11603" i="1"/>
  <c r="B11604" i="1"/>
  <c r="C11604" i="1"/>
  <c r="B11605" i="1"/>
  <c r="C11605" i="1"/>
  <c r="B11606" i="1"/>
  <c r="C11606" i="1"/>
  <c r="B11607" i="1"/>
  <c r="C11607" i="1"/>
  <c r="B11608" i="1"/>
  <c r="C11608" i="1"/>
  <c r="B11609" i="1"/>
  <c r="C11609" i="1"/>
  <c r="B11610" i="1"/>
  <c r="C11610" i="1"/>
  <c r="B11611" i="1"/>
  <c r="C11611" i="1"/>
  <c r="B11612" i="1"/>
  <c r="C11612" i="1"/>
  <c r="B11613" i="1"/>
  <c r="C11613" i="1"/>
  <c r="B11614" i="1"/>
  <c r="C11614" i="1"/>
  <c r="B11615" i="1"/>
  <c r="C11615" i="1"/>
  <c r="B11616" i="1"/>
  <c r="C11616" i="1"/>
  <c r="B11617" i="1"/>
  <c r="C11617" i="1"/>
  <c r="B11618" i="1"/>
  <c r="C11618" i="1"/>
  <c r="B11619" i="1"/>
  <c r="C11619" i="1"/>
  <c r="B11620" i="1"/>
  <c r="C11620" i="1"/>
  <c r="B11621" i="1"/>
  <c r="C11621" i="1"/>
  <c r="B11622" i="1"/>
  <c r="C11622" i="1"/>
  <c r="B11623" i="1"/>
  <c r="C11623" i="1"/>
  <c r="B11624" i="1"/>
  <c r="C11624" i="1"/>
  <c r="B11625" i="1"/>
  <c r="C11625" i="1"/>
  <c r="B11626" i="1"/>
  <c r="C11626" i="1"/>
  <c r="B11627" i="1"/>
  <c r="C11627" i="1"/>
  <c r="B11628" i="1"/>
  <c r="C11628" i="1"/>
  <c r="B11629" i="1"/>
  <c r="C11629" i="1"/>
  <c r="B11630" i="1"/>
  <c r="C11630" i="1"/>
  <c r="B11631" i="1"/>
  <c r="C11631" i="1"/>
  <c r="B11632" i="1"/>
  <c r="C11632" i="1"/>
  <c r="B11633" i="1"/>
  <c r="C11633" i="1"/>
  <c r="B11634" i="1"/>
  <c r="C11634" i="1"/>
  <c r="B11635" i="1"/>
  <c r="C11635" i="1"/>
  <c r="B11636" i="1"/>
  <c r="C11636" i="1"/>
  <c r="B11637" i="1"/>
  <c r="C11637" i="1"/>
  <c r="B11638" i="1"/>
  <c r="C11638" i="1"/>
  <c r="B11639" i="1"/>
  <c r="C11639" i="1"/>
  <c r="B11640" i="1"/>
  <c r="C11640" i="1"/>
  <c r="B11641" i="1"/>
  <c r="C11641" i="1"/>
  <c r="B11642" i="1"/>
  <c r="C11642" i="1"/>
  <c r="B11643" i="1"/>
  <c r="C11643" i="1"/>
  <c r="B11644" i="1"/>
  <c r="C11644" i="1"/>
  <c r="B11645" i="1"/>
  <c r="C11645" i="1"/>
  <c r="B11646" i="1"/>
  <c r="C11646" i="1"/>
  <c r="B11647" i="1"/>
  <c r="C11647" i="1"/>
  <c r="B11648" i="1"/>
  <c r="C11648" i="1"/>
  <c r="B11649" i="1"/>
  <c r="C11649" i="1"/>
  <c r="B11650" i="1"/>
  <c r="C11650" i="1"/>
  <c r="B11651" i="1"/>
  <c r="C11651" i="1"/>
  <c r="B11652" i="1"/>
  <c r="C11652" i="1"/>
  <c r="B11653" i="1"/>
  <c r="C11653" i="1"/>
  <c r="B11654" i="1"/>
  <c r="C11654" i="1"/>
  <c r="B11655" i="1"/>
  <c r="C11655" i="1"/>
  <c r="B11656" i="1"/>
  <c r="C11656" i="1"/>
  <c r="B11657" i="1"/>
  <c r="C11657" i="1"/>
  <c r="B11658" i="1"/>
  <c r="C11658" i="1"/>
  <c r="B11659" i="1"/>
  <c r="C11659" i="1"/>
  <c r="B11660" i="1"/>
  <c r="C11660" i="1"/>
  <c r="B11661" i="1"/>
  <c r="C11661" i="1"/>
  <c r="B11662" i="1"/>
  <c r="C11662" i="1"/>
  <c r="B11663" i="1"/>
  <c r="C11663" i="1"/>
  <c r="B11664" i="1"/>
  <c r="C11664" i="1"/>
  <c r="B11665" i="1"/>
  <c r="C11665" i="1"/>
  <c r="B11666" i="1"/>
  <c r="C11666" i="1"/>
  <c r="B11667" i="1"/>
  <c r="C11667" i="1"/>
  <c r="B11668" i="1"/>
  <c r="C11668" i="1"/>
  <c r="B11669" i="1"/>
  <c r="C11669" i="1"/>
  <c r="B11670" i="1"/>
  <c r="C11670" i="1"/>
  <c r="B11671" i="1"/>
  <c r="C11671" i="1"/>
  <c r="B11672" i="1"/>
  <c r="C11672" i="1"/>
  <c r="B11673" i="1"/>
  <c r="C11673" i="1"/>
  <c r="B11674" i="1"/>
  <c r="C11674" i="1"/>
  <c r="B11675" i="1"/>
  <c r="C11675" i="1"/>
  <c r="B11676" i="1"/>
  <c r="C11676" i="1"/>
  <c r="B11677" i="1"/>
  <c r="C11677" i="1"/>
  <c r="B11678" i="1"/>
  <c r="C11678" i="1"/>
  <c r="B11679" i="1"/>
  <c r="C11679" i="1"/>
  <c r="B11680" i="1"/>
  <c r="C11680" i="1"/>
  <c r="B11681" i="1"/>
  <c r="C11681" i="1"/>
  <c r="B11682" i="1"/>
  <c r="C11682" i="1"/>
  <c r="B11683" i="1"/>
  <c r="C11683" i="1"/>
  <c r="B11684" i="1"/>
  <c r="C11684" i="1"/>
  <c r="B11685" i="1"/>
  <c r="C11685" i="1"/>
  <c r="B11686" i="1"/>
  <c r="C11686" i="1"/>
  <c r="B11687" i="1"/>
  <c r="C11687" i="1"/>
  <c r="B11688" i="1"/>
  <c r="C11688" i="1"/>
  <c r="B11689" i="1"/>
  <c r="C11689" i="1"/>
  <c r="B11690" i="1"/>
  <c r="C11690" i="1"/>
  <c r="B11691" i="1"/>
  <c r="C11691" i="1"/>
  <c r="B11692" i="1"/>
  <c r="C11692" i="1"/>
  <c r="B11693" i="1"/>
  <c r="C11693" i="1"/>
  <c r="B11694" i="1"/>
  <c r="C11694" i="1"/>
  <c r="B11695" i="1"/>
  <c r="C11695" i="1"/>
  <c r="B11696" i="1"/>
  <c r="C11696" i="1"/>
  <c r="B11697" i="1"/>
  <c r="C11697" i="1"/>
  <c r="B11698" i="1"/>
  <c r="C11698" i="1"/>
  <c r="B11699" i="1"/>
  <c r="C11699" i="1"/>
  <c r="B11700" i="1"/>
  <c r="C11700" i="1"/>
  <c r="B11701" i="1"/>
  <c r="C11701" i="1"/>
  <c r="B11702" i="1"/>
  <c r="C11702" i="1"/>
  <c r="B11703" i="1"/>
  <c r="C11703" i="1"/>
  <c r="B11704" i="1"/>
  <c r="C11704" i="1"/>
  <c r="B11705" i="1"/>
  <c r="C11705" i="1"/>
  <c r="B11706" i="1"/>
  <c r="C11706" i="1"/>
  <c r="B11707" i="1"/>
  <c r="C11707" i="1"/>
  <c r="B11708" i="1"/>
  <c r="C11708" i="1"/>
  <c r="B11709" i="1"/>
  <c r="C11709" i="1"/>
  <c r="B11710" i="1"/>
  <c r="C11710" i="1"/>
  <c r="B11711" i="1"/>
  <c r="C11711" i="1"/>
  <c r="B11712" i="1"/>
  <c r="C11712" i="1"/>
  <c r="B11713" i="1"/>
  <c r="C11713" i="1"/>
  <c r="B11714" i="1"/>
  <c r="C11714" i="1"/>
  <c r="B11715" i="1"/>
  <c r="C11715" i="1"/>
  <c r="B11716" i="1"/>
  <c r="C11716" i="1"/>
  <c r="B11717" i="1"/>
  <c r="C11717" i="1"/>
  <c r="B11718" i="1"/>
  <c r="C11718" i="1"/>
  <c r="B11719" i="1"/>
  <c r="C11719" i="1"/>
  <c r="B11720" i="1"/>
  <c r="C11720" i="1"/>
  <c r="B11721" i="1"/>
  <c r="C11721" i="1"/>
  <c r="B11722" i="1"/>
  <c r="C11722" i="1"/>
  <c r="B11723" i="1"/>
  <c r="C11723" i="1"/>
  <c r="B11724" i="1"/>
  <c r="C11724" i="1"/>
  <c r="B11725" i="1"/>
  <c r="C11725" i="1"/>
  <c r="B11726" i="1"/>
  <c r="C11726" i="1"/>
  <c r="B11727" i="1"/>
  <c r="C11727" i="1"/>
  <c r="B11728" i="1"/>
  <c r="C11728" i="1"/>
  <c r="B11729" i="1"/>
  <c r="C11729" i="1"/>
  <c r="B11730" i="1"/>
  <c r="C11730" i="1"/>
  <c r="B11731" i="1"/>
  <c r="C11731" i="1"/>
  <c r="B11732" i="1"/>
  <c r="C11732" i="1"/>
  <c r="B11733" i="1"/>
  <c r="C11733" i="1"/>
  <c r="B11734" i="1"/>
  <c r="C11734" i="1"/>
  <c r="B11735" i="1"/>
  <c r="C11735" i="1"/>
  <c r="B11736" i="1"/>
  <c r="C11736" i="1"/>
  <c r="B11737" i="1"/>
  <c r="C11737" i="1"/>
  <c r="B11738" i="1"/>
  <c r="C11738" i="1"/>
  <c r="B11739" i="1"/>
  <c r="C11739" i="1"/>
  <c r="B11740" i="1"/>
  <c r="C11740" i="1"/>
  <c r="B11741" i="1"/>
  <c r="C11741" i="1"/>
  <c r="B11742" i="1"/>
  <c r="C11742" i="1"/>
  <c r="B11743" i="1"/>
  <c r="C11743" i="1"/>
  <c r="B11744" i="1"/>
  <c r="C11744" i="1"/>
  <c r="B11745" i="1"/>
  <c r="C11745" i="1"/>
  <c r="B11746" i="1"/>
  <c r="C11746" i="1"/>
  <c r="B11747" i="1"/>
  <c r="C11747" i="1"/>
  <c r="B11748" i="1"/>
  <c r="C11748" i="1"/>
  <c r="B11749" i="1"/>
  <c r="C11749" i="1"/>
  <c r="B11750" i="1"/>
  <c r="C11750" i="1"/>
  <c r="B11751" i="1"/>
  <c r="C11751" i="1"/>
  <c r="B11752" i="1"/>
  <c r="C11752" i="1"/>
  <c r="B11753" i="1"/>
  <c r="C11753" i="1"/>
  <c r="B11754" i="1"/>
  <c r="C11754" i="1"/>
  <c r="B11755" i="1"/>
  <c r="C11755" i="1"/>
  <c r="B11756" i="1"/>
  <c r="C11756" i="1"/>
  <c r="B11757" i="1"/>
  <c r="C11757" i="1"/>
  <c r="B11758" i="1"/>
  <c r="C11758" i="1"/>
  <c r="B11759" i="1"/>
  <c r="C11759" i="1"/>
  <c r="B11760" i="1"/>
  <c r="C11760" i="1"/>
  <c r="B11761" i="1"/>
  <c r="C11761" i="1"/>
  <c r="B11762" i="1"/>
  <c r="C11762" i="1"/>
  <c r="B11763" i="1"/>
  <c r="C11763" i="1"/>
  <c r="B11764" i="1"/>
  <c r="C11764" i="1"/>
  <c r="B11765" i="1"/>
  <c r="C11765" i="1"/>
  <c r="B11766" i="1"/>
  <c r="C11766" i="1"/>
  <c r="B11767" i="1"/>
  <c r="C11767" i="1"/>
  <c r="B11768" i="1"/>
  <c r="C11768" i="1"/>
  <c r="B11769" i="1"/>
  <c r="C11769" i="1"/>
  <c r="B11770" i="1"/>
  <c r="C11770" i="1"/>
  <c r="B11771" i="1"/>
  <c r="C11771" i="1"/>
  <c r="B11772" i="1"/>
  <c r="C11772" i="1"/>
  <c r="B11773" i="1"/>
  <c r="C11773" i="1"/>
  <c r="B11774" i="1"/>
  <c r="C11774" i="1"/>
  <c r="B11775" i="1"/>
  <c r="C11775" i="1"/>
  <c r="B11776" i="1"/>
  <c r="C11776" i="1"/>
  <c r="B11777" i="1"/>
  <c r="C11777" i="1"/>
  <c r="B11778" i="1"/>
  <c r="C11778" i="1"/>
  <c r="B11779" i="1"/>
  <c r="C11779" i="1"/>
  <c r="B11780" i="1"/>
  <c r="C11780" i="1"/>
  <c r="B11781" i="1"/>
  <c r="C11781" i="1"/>
  <c r="B11782" i="1"/>
  <c r="C11782" i="1"/>
  <c r="B11783" i="1"/>
  <c r="C11783" i="1"/>
  <c r="B11784" i="1"/>
  <c r="C11784" i="1"/>
  <c r="B11785" i="1"/>
  <c r="C11785" i="1"/>
  <c r="B11786" i="1"/>
  <c r="C11786" i="1"/>
  <c r="B11787" i="1"/>
  <c r="C11787" i="1"/>
  <c r="B11788" i="1"/>
  <c r="C11788" i="1"/>
  <c r="B11789" i="1"/>
  <c r="C11789" i="1"/>
  <c r="B11790" i="1"/>
  <c r="C11790" i="1"/>
  <c r="B11791" i="1"/>
  <c r="C11791" i="1"/>
  <c r="B11792" i="1"/>
  <c r="C11792" i="1"/>
  <c r="B11793" i="1"/>
  <c r="C11793" i="1"/>
  <c r="B11794" i="1"/>
  <c r="C11794" i="1"/>
  <c r="B11795" i="1"/>
  <c r="C11795" i="1"/>
  <c r="B11796" i="1"/>
  <c r="C11796" i="1"/>
  <c r="B11797" i="1"/>
  <c r="C11797" i="1"/>
  <c r="B11798" i="1"/>
  <c r="C11798" i="1"/>
  <c r="B11799" i="1"/>
  <c r="C11799" i="1"/>
  <c r="B11800" i="1"/>
  <c r="C11800" i="1"/>
  <c r="B11801" i="1"/>
  <c r="C11801" i="1"/>
  <c r="B11802" i="1"/>
  <c r="C11802" i="1"/>
  <c r="B11803" i="1"/>
  <c r="C11803" i="1"/>
  <c r="B11804" i="1"/>
  <c r="C11804" i="1"/>
  <c r="B11805" i="1"/>
  <c r="C11805" i="1"/>
  <c r="B11806" i="1"/>
  <c r="C11806" i="1"/>
  <c r="B11807" i="1"/>
  <c r="C11807" i="1"/>
  <c r="B11808" i="1"/>
  <c r="C11808" i="1"/>
  <c r="B11809" i="1"/>
  <c r="C11809" i="1"/>
  <c r="B11810" i="1"/>
  <c r="C11810" i="1"/>
  <c r="B11811" i="1"/>
  <c r="C11811" i="1"/>
  <c r="B11812" i="1"/>
  <c r="C11812" i="1"/>
  <c r="B11813" i="1"/>
  <c r="C11813" i="1"/>
  <c r="B11814" i="1"/>
  <c r="C11814" i="1"/>
  <c r="B11815" i="1"/>
  <c r="C11815" i="1"/>
  <c r="B11816" i="1"/>
  <c r="C11816" i="1"/>
  <c r="B11817" i="1"/>
  <c r="C11817" i="1"/>
  <c r="B11818" i="1"/>
  <c r="C11818" i="1"/>
  <c r="B11819" i="1"/>
  <c r="C11819" i="1"/>
  <c r="B11820" i="1"/>
  <c r="C11820" i="1"/>
  <c r="B11821" i="1"/>
  <c r="C11821" i="1"/>
  <c r="B11822" i="1"/>
  <c r="C11822" i="1"/>
  <c r="B11823" i="1"/>
  <c r="C11823" i="1"/>
  <c r="B11824" i="1"/>
  <c r="C11824" i="1"/>
  <c r="B11825" i="1"/>
  <c r="C11825" i="1"/>
  <c r="B11826" i="1"/>
  <c r="C11826" i="1"/>
  <c r="B11827" i="1"/>
  <c r="C11827" i="1"/>
  <c r="B11828" i="1"/>
  <c r="C11828" i="1"/>
  <c r="B11829" i="1"/>
  <c r="C11829" i="1"/>
  <c r="B11830" i="1"/>
  <c r="C11830" i="1"/>
  <c r="B11831" i="1"/>
  <c r="C11831" i="1"/>
  <c r="B11832" i="1"/>
  <c r="C11832" i="1"/>
  <c r="B11833" i="1"/>
  <c r="C11833" i="1"/>
  <c r="B11834" i="1"/>
  <c r="C11834" i="1"/>
  <c r="B11835" i="1"/>
  <c r="C11835" i="1"/>
  <c r="B11836" i="1"/>
  <c r="C11836" i="1"/>
  <c r="B11837" i="1"/>
  <c r="C11837" i="1"/>
  <c r="B11838" i="1"/>
  <c r="C11838" i="1"/>
  <c r="B11839" i="1"/>
  <c r="C11839" i="1"/>
  <c r="B11840" i="1"/>
  <c r="C11840" i="1"/>
  <c r="B11841" i="1"/>
  <c r="C11841" i="1"/>
  <c r="B11842" i="1"/>
  <c r="C11842" i="1"/>
  <c r="B11843" i="1"/>
  <c r="C11843" i="1"/>
  <c r="B11844" i="1"/>
  <c r="C11844" i="1"/>
  <c r="B11845" i="1"/>
  <c r="C11845" i="1"/>
  <c r="B11846" i="1"/>
  <c r="C11846" i="1"/>
  <c r="B11847" i="1"/>
  <c r="C11847" i="1"/>
  <c r="B11848" i="1"/>
  <c r="C11848" i="1"/>
  <c r="B11849" i="1"/>
  <c r="C11849" i="1"/>
  <c r="B11850" i="1"/>
  <c r="C11850" i="1"/>
  <c r="B11851" i="1"/>
  <c r="C11851" i="1"/>
  <c r="B11852" i="1"/>
  <c r="C11852" i="1"/>
  <c r="B11853" i="1"/>
  <c r="C11853" i="1"/>
  <c r="B11854" i="1"/>
  <c r="C11854" i="1"/>
  <c r="B11855" i="1"/>
  <c r="C11855" i="1"/>
  <c r="B11856" i="1"/>
  <c r="C11856" i="1"/>
  <c r="B11857" i="1"/>
  <c r="C11857" i="1"/>
  <c r="B11858" i="1"/>
  <c r="C11858" i="1"/>
  <c r="B11859" i="1"/>
  <c r="C11859" i="1"/>
  <c r="B11860" i="1"/>
  <c r="C11860" i="1"/>
  <c r="B11861" i="1"/>
  <c r="C11861" i="1"/>
  <c r="B11862" i="1"/>
  <c r="C11862" i="1"/>
  <c r="B11863" i="1"/>
  <c r="C11863" i="1"/>
  <c r="B11864" i="1"/>
  <c r="C11864" i="1"/>
  <c r="B11865" i="1"/>
  <c r="C11865" i="1"/>
  <c r="B11866" i="1"/>
  <c r="C11866" i="1"/>
  <c r="B11867" i="1"/>
  <c r="C11867" i="1"/>
  <c r="B11868" i="1"/>
  <c r="C11868" i="1"/>
  <c r="B11869" i="1"/>
  <c r="C11869" i="1"/>
  <c r="B11870" i="1"/>
  <c r="C11870" i="1"/>
  <c r="B11871" i="1"/>
  <c r="C11871" i="1"/>
  <c r="B11872" i="1"/>
  <c r="C11872" i="1"/>
  <c r="B11873" i="1"/>
  <c r="C11873" i="1"/>
  <c r="B11874" i="1"/>
  <c r="C11874" i="1"/>
  <c r="B11875" i="1"/>
  <c r="C11875" i="1"/>
  <c r="B11876" i="1"/>
  <c r="C11876" i="1"/>
  <c r="B11877" i="1"/>
  <c r="C11877" i="1"/>
  <c r="B11878" i="1"/>
  <c r="C11878" i="1"/>
  <c r="B11879" i="1"/>
  <c r="C11879" i="1"/>
  <c r="B11880" i="1"/>
  <c r="C11880" i="1"/>
  <c r="B11881" i="1"/>
  <c r="C11881" i="1"/>
  <c r="B11882" i="1"/>
  <c r="C11882" i="1"/>
  <c r="B11883" i="1"/>
  <c r="C11883" i="1"/>
  <c r="B11884" i="1"/>
  <c r="C11884" i="1"/>
  <c r="B11885" i="1"/>
  <c r="C11885" i="1"/>
  <c r="B11886" i="1"/>
  <c r="C11886" i="1"/>
  <c r="B11887" i="1"/>
  <c r="C11887" i="1"/>
  <c r="B11888" i="1"/>
  <c r="C11888" i="1"/>
  <c r="B11889" i="1"/>
  <c r="C11889" i="1"/>
  <c r="B11890" i="1"/>
  <c r="C11890" i="1"/>
  <c r="B11891" i="1"/>
  <c r="C11891" i="1"/>
  <c r="B11892" i="1"/>
  <c r="C11892" i="1"/>
  <c r="B11893" i="1"/>
  <c r="C11893" i="1"/>
  <c r="B11894" i="1"/>
  <c r="C11894" i="1"/>
  <c r="B11895" i="1"/>
  <c r="C11895" i="1"/>
  <c r="B11896" i="1"/>
  <c r="C11896" i="1"/>
  <c r="B11897" i="1"/>
  <c r="C11897" i="1"/>
  <c r="B11898" i="1"/>
  <c r="C11898" i="1"/>
  <c r="B11899" i="1"/>
  <c r="C11899" i="1"/>
  <c r="B11900" i="1"/>
  <c r="C11900" i="1"/>
  <c r="B11901" i="1"/>
  <c r="C11901" i="1"/>
  <c r="B11902" i="1"/>
  <c r="C11902" i="1"/>
  <c r="B11903" i="1"/>
  <c r="C11903" i="1"/>
  <c r="B11904" i="1"/>
  <c r="C11904" i="1"/>
  <c r="B11905" i="1"/>
  <c r="C11905" i="1"/>
  <c r="B11906" i="1"/>
  <c r="C11906" i="1"/>
  <c r="B11907" i="1"/>
  <c r="C11907" i="1"/>
  <c r="B11908" i="1"/>
  <c r="C11908" i="1"/>
  <c r="B11909" i="1"/>
  <c r="C11909" i="1"/>
  <c r="B11910" i="1"/>
  <c r="C11910" i="1"/>
  <c r="B11911" i="1"/>
  <c r="C11911" i="1"/>
  <c r="B11912" i="1"/>
  <c r="C11912" i="1"/>
  <c r="B11913" i="1"/>
  <c r="C11913" i="1"/>
  <c r="B11914" i="1"/>
  <c r="C11914" i="1"/>
  <c r="B11915" i="1"/>
  <c r="C11915" i="1"/>
  <c r="B11916" i="1"/>
  <c r="C11916" i="1"/>
  <c r="B11917" i="1"/>
  <c r="C11917" i="1"/>
  <c r="B11918" i="1"/>
  <c r="C11918" i="1"/>
  <c r="B11919" i="1"/>
  <c r="C11919" i="1"/>
  <c r="B11920" i="1"/>
  <c r="C11920" i="1"/>
  <c r="B11921" i="1"/>
  <c r="C11921" i="1"/>
  <c r="B11922" i="1"/>
  <c r="C11922" i="1"/>
  <c r="B11923" i="1"/>
  <c r="C11923" i="1"/>
  <c r="B11924" i="1"/>
  <c r="C11924" i="1"/>
  <c r="B11925" i="1"/>
  <c r="C11925" i="1"/>
  <c r="B11926" i="1"/>
  <c r="C11926" i="1"/>
  <c r="B11927" i="1"/>
  <c r="C11927" i="1"/>
  <c r="B11928" i="1"/>
  <c r="C11928" i="1"/>
  <c r="B11929" i="1"/>
  <c r="C11929" i="1"/>
  <c r="B11930" i="1"/>
  <c r="C11930" i="1"/>
  <c r="B11931" i="1"/>
  <c r="C11931" i="1"/>
  <c r="B11932" i="1"/>
  <c r="C11932" i="1"/>
  <c r="B11933" i="1"/>
  <c r="C11933" i="1"/>
  <c r="B11934" i="1"/>
  <c r="C11934" i="1"/>
  <c r="B11935" i="1"/>
  <c r="C11935" i="1"/>
  <c r="B11936" i="1"/>
  <c r="C11936" i="1"/>
  <c r="B11937" i="1"/>
  <c r="C11937" i="1"/>
  <c r="B11938" i="1"/>
  <c r="C11938" i="1"/>
  <c r="B11939" i="1"/>
  <c r="C11939" i="1"/>
  <c r="B11940" i="1"/>
  <c r="C11940" i="1"/>
  <c r="B11941" i="1"/>
  <c r="C11941" i="1"/>
  <c r="B11942" i="1"/>
  <c r="C11942" i="1"/>
  <c r="B11943" i="1"/>
  <c r="C11943" i="1"/>
  <c r="B11944" i="1"/>
  <c r="C11944" i="1"/>
  <c r="B11945" i="1"/>
  <c r="C11945" i="1"/>
  <c r="B11946" i="1"/>
  <c r="C11946" i="1"/>
  <c r="B11947" i="1"/>
  <c r="C11947" i="1"/>
  <c r="B11948" i="1"/>
  <c r="C11948" i="1"/>
  <c r="B11949" i="1"/>
  <c r="C11949" i="1"/>
  <c r="B11950" i="1"/>
  <c r="C11950" i="1"/>
  <c r="B11951" i="1"/>
  <c r="C11951" i="1"/>
  <c r="B11952" i="1"/>
  <c r="C11952" i="1"/>
  <c r="B11953" i="1"/>
  <c r="C11953" i="1"/>
  <c r="B11954" i="1"/>
  <c r="C11954" i="1"/>
  <c r="B11955" i="1"/>
  <c r="C11955" i="1"/>
  <c r="B11956" i="1"/>
  <c r="C11956" i="1"/>
  <c r="B11957" i="1"/>
  <c r="C11957" i="1"/>
  <c r="B11958" i="1"/>
  <c r="C11958" i="1"/>
  <c r="B11959" i="1"/>
  <c r="C11959" i="1"/>
  <c r="B11960" i="1"/>
  <c r="C11960" i="1"/>
  <c r="B11961" i="1"/>
  <c r="C11961" i="1"/>
  <c r="B11962" i="1"/>
  <c r="C11962" i="1"/>
  <c r="B11963" i="1"/>
  <c r="C11963" i="1"/>
  <c r="B11964" i="1"/>
  <c r="C11964" i="1"/>
  <c r="B11965" i="1"/>
  <c r="C11965" i="1"/>
  <c r="B11966" i="1"/>
  <c r="C11966" i="1"/>
  <c r="B11967" i="1"/>
  <c r="C11967" i="1"/>
  <c r="B11968" i="1"/>
  <c r="C11968" i="1"/>
  <c r="B11969" i="1"/>
  <c r="C11969" i="1"/>
  <c r="B11970" i="1"/>
  <c r="C11970" i="1"/>
  <c r="B11971" i="1"/>
  <c r="C11971" i="1"/>
  <c r="B11972" i="1"/>
  <c r="C11972" i="1"/>
  <c r="B11973" i="1"/>
  <c r="C11973" i="1"/>
  <c r="B11974" i="1"/>
  <c r="C11974" i="1"/>
  <c r="B11975" i="1"/>
  <c r="C11975" i="1"/>
  <c r="B11976" i="1"/>
  <c r="C11976" i="1"/>
  <c r="B11977" i="1"/>
  <c r="C11977" i="1"/>
  <c r="B11978" i="1"/>
  <c r="C11978" i="1"/>
  <c r="B11979" i="1"/>
  <c r="C11979" i="1"/>
  <c r="B11980" i="1"/>
  <c r="C11980" i="1"/>
  <c r="B11981" i="1"/>
  <c r="C11981" i="1"/>
  <c r="B11982" i="1"/>
  <c r="C11982" i="1"/>
  <c r="B11983" i="1"/>
  <c r="C11983" i="1"/>
  <c r="B11984" i="1"/>
  <c r="C11984" i="1"/>
  <c r="B11985" i="1"/>
  <c r="C11985" i="1"/>
  <c r="B11986" i="1"/>
  <c r="C11986" i="1"/>
  <c r="B11987" i="1"/>
  <c r="C11987" i="1"/>
  <c r="B11988" i="1"/>
  <c r="C11988" i="1"/>
  <c r="B11989" i="1"/>
  <c r="C11989" i="1"/>
  <c r="B11990" i="1"/>
  <c r="C11990" i="1"/>
  <c r="B11991" i="1"/>
  <c r="C11991" i="1"/>
  <c r="B11992" i="1"/>
  <c r="C11992" i="1"/>
  <c r="B11993" i="1"/>
  <c r="C11993" i="1"/>
  <c r="B11994" i="1"/>
  <c r="C11994" i="1"/>
  <c r="B11995" i="1"/>
  <c r="C11995" i="1"/>
  <c r="B11996" i="1"/>
  <c r="C11996" i="1"/>
  <c r="B11997" i="1"/>
  <c r="C11997" i="1"/>
  <c r="B11998" i="1"/>
  <c r="C11998" i="1"/>
  <c r="B11999" i="1"/>
  <c r="C11999" i="1"/>
  <c r="B12000" i="1"/>
  <c r="C12000" i="1"/>
  <c r="B12001" i="1"/>
  <c r="C12001" i="1"/>
  <c r="B12002" i="1"/>
  <c r="C12002" i="1"/>
  <c r="B12003" i="1"/>
  <c r="C12003" i="1"/>
  <c r="B12004" i="1"/>
  <c r="C12004" i="1"/>
  <c r="B12005" i="1"/>
  <c r="C12005" i="1"/>
  <c r="B12006" i="1"/>
  <c r="C12006" i="1"/>
  <c r="B12007" i="1"/>
  <c r="C12007" i="1"/>
  <c r="B12008" i="1"/>
  <c r="C12008" i="1"/>
  <c r="B12009" i="1"/>
  <c r="C12009" i="1"/>
  <c r="B12010" i="1"/>
  <c r="C12010" i="1"/>
  <c r="B12011" i="1"/>
  <c r="C12011" i="1"/>
  <c r="B12012" i="1"/>
  <c r="C12012" i="1"/>
  <c r="B12013" i="1"/>
  <c r="C12013" i="1"/>
  <c r="B12014" i="1"/>
  <c r="C12014" i="1"/>
  <c r="B12015" i="1"/>
  <c r="C12015" i="1"/>
  <c r="B12016" i="1"/>
  <c r="C12016" i="1"/>
  <c r="B12017" i="1"/>
  <c r="C12017" i="1"/>
  <c r="B12018" i="1"/>
  <c r="C12018" i="1"/>
  <c r="B12019" i="1"/>
  <c r="C12019" i="1"/>
  <c r="B12020" i="1"/>
  <c r="C12020" i="1"/>
  <c r="B12021" i="1"/>
  <c r="C12021" i="1"/>
  <c r="B12022" i="1"/>
  <c r="C12022" i="1"/>
  <c r="B12023" i="1"/>
  <c r="C12023" i="1"/>
  <c r="B12024" i="1"/>
  <c r="C12024" i="1"/>
  <c r="B12025" i="1"/>
  <c r="C12025" i="1"/>
  <c r="B12026" i="1"/>
  <c r="C12026" i="1"/>
  <c r="B12027" i="1"/>
  <c r="C12027" i="1"/>
  <c r="B12028" i="1"/>
  <c r="C12028" i="1"/>
  <c r="B12029" i="1"/>
  <c r="C12029" i="1"/>
  <c r="B12030" i="1"/>
  <c r="C12030" i="1"/>
  <c r="B12031" i="1"/>
  <c r="C12031" i="1"/>
  <c r="B12032" i="1"/>
  <c r="C12032" i="1"/>
  <c r="B12033" i="1"/>
  <c r="C12033" i="1"/>
  <c r="B12034" i="1"/>
  <c r="C12034" i="1"/>
  <c r="B12035" i="1"/>
  <c r="C12035" i="1"/>
  <c r="B12036" i="1"/>
  <c r="C12036" i="1"/>
  <c r="B12037" i="1"/>
  <c r="C12037" i="1"/>
  <c r="B12038" i="1"/>
  <c r="C12038" i="1"/>
  <c r="B12039" i="1"/>
  <c r="C12039" i="1"/>
  <c r="B12040" i="1"/>
  <c r="C12040" i="1"/>
  <c r="B12041" i="1"/>
  <c r="C12041" i="1"/>
  <c r="B12042" i="1"/>
  <c r="C12042" i="1"/>
  <c r="B12043" i="1"/>
  <c r="C12043" i="1"/>
  <c r="B12044" i="1"/>
  <c r="C12044" i="1"/>
  <c r="B12045" i="1"/>
  <c r="C12045" i="1"/>
  <c r="B12046" i="1"/>
  <c r="C12046" i="1"/>
  <c r="B12047" i="1"/>
  <c r="C12047" i="1"/>
  <c r="B12048" i="1"/>
  <c r="C12048" i="1"/>
  <c r="B12049" i="1"/>
  <c r="C12049" i="1"/>
  <c r="B12050" i="1"/>
  <c r="C12050" i="1"/>
  <c r="B12051" i="1"/>
  <c r="C12051" i="1"/>
  <c r="B12052" i="1"/>
  <c r="C12052" i="1"/>
  <c r="B12053" i="1"/>
  <c r="C12053" i="1"/>
  <c r="B12054" i="1"/>
  <c r="C12054" i="1"/>
  <c r="B12055" i="1"/>
  <c r="C12055" i="1"/>
  <c r="B12056" i="1"/>
  <c r="C12056" i="1"/>
  <c r="B12057" i="1"/>
  <c r="C12057" i="1"/>
  <c r="B12058" i="1"/>
  <c r="C12058" i="1"/>
  <c r="B12059" i="1"/>
  <c r="C12059" i="1"/>
  <c r="B12060" i="1"/>
  <c r="C12060" i="1"/>
  <c r="B12061" i="1"/>
  <c r="C12061" i="1"/>
  <c r="B12062" i="1"/>
  <c r="C12062" i="1"/>
  <c r="B12063" i="1"/>
  <c r="C12063" i="1"/>
  <c r="B12064" i="1"/>
  <c r="C12064" i="1"/>
  <c r="B12065" i="1"/>
  <c r="C12065" i="1"/>
  <c r="B12066" i="1"/>
  <c r="C12066" i="1"/>
  <c r="B12067" i="1"/>
  <c r="C12067" i="1"/>
  <c r="B12068" i="1"/>
  <c r="C12068" i="1"/>
  <c r="B12069" i="1"/>
  <c r="C12069" i="1"/>
  <c r="B12070" i="1"/>
  <c r="C12070" i="1"/>
  <c r="B12071" i="1"/>
  <c r="C12071" i="1"/>
  <c r="B12072" i="1"/>
  <c r="C12072" i="1"/>
  <c r="B12073" i="1"/>
  <c r="C12073" i="1"/>
  <c r="B12074" i="1"/>
  <c r="C12074" i="1"/>
  <c r="B12075" i="1"/>
  <c r="C12075" i="1"/>
  <c r="B12076" i="1"/>
  <c r="C12076" i="1"/>
  <c r="B12077" i="1"/>
  <c r="C12077" i="1"/>
  <c r="B12078" i="1"/>
  <c r="C12078" i="1"/>
  <c r="B12079" i="1"/>
  <c r="C12079" i="1"/>
  <c r="B12080" i="1"/>
  <c r="C12080" i="1"/>
  <c r="B12081" i="1"/>
  <c r="C12081" i="1"/>
  <c r="B12082" i="1"/>
  <c r="C12082" i="1"/>
  <c r="B12083" i="1"/>
  <c r="C12083" i="1"/>
  <c r="B12084" i="1"/>
  <c r="C12084" i="1"/>
  <c r="B12085" i="1"/>
  <c r="C12085" i="1"/>
  <c r="B12086" i="1"/>
  <c r="C12086" i="1"/>
  <c r="B12087" i="1"/>
  <c r="C12087" i="1"/>
  <c r="B12088" i="1"/>
  <c r="C12088" i="1"/>
  <c r="B12089" i="1"/>
  <c r="C12089" i="1"/>
  <c r="B12090" i="1"/>
  <c r="C12090" i="1"/>
  <c r="B12091" i="1"/>
  <c r="C12091" i="1"/>
  <c r="B12092" i="1"/>
  <c r="C12092" i="1"/>
  <c r="B12093" i="1"/>
  <c r="C12093" i="1"/>
  <c r="B12094" i="1"/>
  <c r="C12094" i="1"/>
  <c r="B12095" i="1"/>
  <c r="C12095" i="1"/>
  <c r="B12096" i="1"/>
  <c r="C12096" i="1"/>
  <c r="B12097" i="1"/>
  <c r="C12097" i="1"/>
  <c r="B12098" i="1"/>
  <c r="C12098" i="1"/>
  <c r="B12099" i="1"/>
  <c r="C12099" i="1"/>
  <c r="B12100" i="1"/>
  <c r="C12100" i="1"/>
  <c r="B12101" i="1"/>
  <c r="C12101" i="1"/>
  <c r="B12102" i="1"/>
  <c r="C12102" i="1"/>
  <c r="B12103" i="1"/>
  <c r="C12103" i="1"/>
  <c r="B12104" i="1"/>
  <c r="C12104" i="1"/>
  <c r="B12105" i="1"/>
  <c r="C12105" i="1"/>
  <c r="B12106" i="1"/>
  <c r="C12106" i="1"/>
  <c r="B12107" i="1"/>
  <c r="C12107" i="1"/>
  <c r="B12108" i="1"/>
  <c r="C12108" i="1"/>
  <c r="B12109" i="1"/>
  <c r="C12109" i="1"/>
  <c r="B12110" i="1"/>
  <c r="C12110" i="1"/>
  <c r="B12111" i="1"/>
  <c r="C12111" i="1"/>
  <c r="B12112" i="1"/>
  <c r="C12112" i="1"/>
  <c r="B12113" i="1"/>
  <c r="C12113" i="1"/>
  <c r="B12114" i="1"/>
  <c r="C12114" i="1"/>
  <c r="B12115" i="1"/>
  <c r="C12115" i="1"/>
  <c r="B12116" i="1"/>
  <c r="C12116" i="1"/>
  <c r="B12117" i="1"/>
  <c r="C12117" i="1"/>
  <c r="B12118" i="1"/>
  <c r="C12118" i="1"/>
  <c r="B12119" i="1"/>
  <c r="C12119" i="1"/>
  <c r="B12120" i="1"/>
  <c r="C12120" i="1"/>
  <c r="B12121" i="1"/>
  <c r="C12121" i="1"/>
  <c r="B12122" i="1"/>
  <c r="C12122" i="1"/>
  <c r="B12123" i="1"/>
  <c r="C12123" i="1"/>
  <c r="B12124" i="1"/>
  <c r="C12124" i="1"/>
  <c r="B12125" i="1"/>
  <c r="C12125" i="1"/>
  <c r="B12126" i="1"/>
  <c r="C12126" i="1"/>
  <c r="B12127" i="1"/>
  <c r="C12127" i="1"/>
  <c r="B12128" i="1"/>
  <c r="C12128" i="1"/>
  <c r="B12129" i="1"/>
  <c r="C12129" i="1"/>
  <c r="B12130" i="1"/>
  <c r="C12130" i="1"/>
  <c r="B12131" i="1"/>
  <c r="C12131" i="1"/>
  <c r="B12132" i="1"/>
  <c r="C12132" i="1"/>
  <c r="B12133" i="1"/>
  <c r="C12133" i="1"/>
  <c r="B12134" i="1"/>
  <c r="C12134" i="1"/>
  <c r="B12135" i="1"/>
  <c r="C12135" i="1"/>
  <c r="B12136" i="1"/>
  <c r="C12136" i="1"/>
  <c r="B12137" i="1"/>
  <c r="C12137" i="1"/>
  <c r="B12138" i="1"/>
  <c r="C12138" i="1"/>
  <c r="B12139" i="1"/>
  <c r="C12139" i="1"/>
  <c r="B12140" i="1"/>
  <c r="C12140" i="1"/>
  <c r="B12141" i="1"/>
  <c r="C12141" i="1"/>
  <c r="B12142" i="1"/>
  <c r="C12142" i="1"/>
  <c r="B12143" i="1"/>
  <c r="C12143" i="1"/>
  <c r="B12144" i="1"/>
  <c r="C12144" i="1"/>
  <c r="B12145" i="1"/>
  <c r="C12145" i="1"/>
  <c r="B12146" i="1"/>
  <c r="C12146" i="1"/>
  <c r="B12147" i="1"/>
  <c r="C12147" i="1"/>
  <c r="B12148" i="1"/>
  <c r="C12148" i="1"/>
  <c r="B12149" i="1"/>
  <c r="C12149" i="1"/>
  <c r="B12150" i="1"/>
  <c r="C12150" i="1"/>
  <c r="B12151" i="1"/>
  <c r="C12151" i="1"/>
  <c r="B12152" i="1"/>
  <c r="C12152" i="1"/>
  <c r="B12153" i="1"/>
  <c r="C12153" i="1"/>
  <c r="B12154" i="1"/>
  <c r="C12154" i="1"/>
  <c r="B12155" i="1"/>
  <c r="C12155" i="1"/>
  <c r="B12156" i="1"/>
  <c r="C12156" i="1"/>
  <c r="B12157" i="1"/>
  <c r="C12157" i="1"/>
  <c r="B12158" i="1"/>
  <c r="C12158" i="1"/>
  <c r="B12159" i="1"/>
  <c r="C12159" i="1"/>
  <c r="B12160" i="1"/>
  <c r="C12160" i="1"/>
  <c r="B12161" i="1"/>
  <c r="C12161" i="1"/>
  <c r="B12162" i="1"/>
  <c r="C12162" i="1"/>
  <c r="B12163" i="1"/>
  <c r="C12163" i="1"/>
  <c r="B12164" i="1"/>
  <c r="C12164" i="1"/>
  <c r="B12165" i="1"/>
  <c r="C12165" i="1"/>
  <c r="B12166" i="1"/>
  <c r="C12166" i="1"/>
  <c r="B12167" i="1"/>
  <c r="C12167" i="1"/>
  <c r="B12168" i="1"/>
  <c r="C12168" i="1"/>
  <c r="B12169" i="1"/>
  <c r="C12169" i="1"/>
  <c r="B12170" i="1"/>
  <c r="C12170" i="1"/>
  <c r="B12171" i="1"/>
  <c r="C12171" i="1"/>
  <c r="B12172" i="1"/>
  <c r="C12172" i="1"/>
  <c r="B12173" i="1"/>
  <c r="C12173" i="1"/>
  <c r="B12174" i="1"/>
  <c r="C12174" i="1"/>
  <c r="B12175" i="1"/>
  <c r="C12175" i="1"/>
  <c r="B12176" i="1"/>
  <c r="C12176" i="1"/>
  <c r="B12177" i="1"/>
  <c r="C12177" i="1"/>
  <c r="B12178" i="1"/>
  <c r="C12178" i="1"/>
  <c r="B12179" i="1"/>
  <c r="C12179" i="1"/>
  <c r="B12180" i="1"/>
  <c r="C12180" i="1"/>
  <c r="B12181" i="1"/>
  <c r="C12181" i="1"/>
  <c r="B12182" i="1"/>
  <c r="C12182" i="1"/>
  <c r="B12183" i="1"/>
  <c r="C12183" i="1"/>
  <c r="B12184" i="1"/>
  <c r="C12184" i="1"/>
  <c r="B12185" i="1"/>
  <c r="C12185" i="1"/>
  <c r="B12186" i="1"/>
  <c r="C12186" i="1"/>
  <c r="B12187" i="1"/>
  <c r="C12187" i="1"/>
  <c r="B12188" i="1"/>
  <c r="C12188" i="1"/>
  <c r="B12189" i="1"/>
  <c r="C12189" i="1"/>
  <c r="B12190" i="1"/>
  <c r="C12190" i="1"/>
  <c r="B12191" i="1"/>
  <c r="C12191" i="1"/>
  <c r="B12192" i="1"/>
  <c r="C12192" i="1"/>
  <c r="B12193" i="1"/>
  <c r="C12193" i="1"/>
  <c r="B12194" i="1"/>
  <c r="C12194" i="1"/>
  <c r="B12195" i="1"/>
  <c r="C12195" i="1"/>
  <c r="B12196" i="1"/>
  <c r="C12196" i="1"/>
  <c r="B12197" i="1"/>
  <c r="C12197" i="1"/>
  <c r="B12198" i="1"/>
  <c r="C12198" i="1"/>
  <c r="B12199" i="1"/>
  <c r="C12199" i="1"/>
  <c r="B12200" i="1"/>
  <c r="C12200" i="1"/>
  <c r="B12201" i="1"/>
  <c r="C12201" i="1"/>
  <c r="B12202" i="1"/>
  <c r="C12202" i="1"/>
  <c r="B12203" i="1"/>
  <c r="C12203" i="1"/>
  <c r="B12204" i="1"/>
  <c r="C12204" i="1"/>
  <c r="B12205" i="1"/>
  <c r="C12205" i="1"/>
  <c r="B12206" i="1"/>
  <c r="C12206" i="1"/>
  <c r="B12207" i="1"/>
  <c r="C12207" i="1"/>
  <c r="B12208" i="1"/>
  <c r="C12208" i="1"/>
  <c r="B12209" i="1"/>
  <c r="C12209" i="1"/>
  <c r="B12210" i="1"/>
  <c r="C12210" i="1"/>
  <c r="B12211" i="1"/>
  <c r="C12211" i="1"/>
  <c r="B12212" i="1"/>
  <c r="C12212" i="1"/>
  <c r="B12213" i="1"/>
  <c r="C12213" i="1"/>
  <c r="B12214" i="1"/>
  <c r="C12214" i="1"/>
  <c r="B12215" i="1"/>
  <c r="C12215" i="1"/>
  <c r="B12216" i="1"/>
  <c r="C12216" i="1"/>
  <c r="B12217" i="1"/>
  <c r="C12217" i="1"/>
  <c r="B12218" i="1"/>
  <c r="C12218" i="1"/>
  <c r="B12219" i="1"/>
  <c r="C12219" i="1"/>
  <c r="B12220" i="1"/>
  <c r="C12220" i="1"/>
  <c r="B12221" i="1"/>
  <c r="C12221" i="1"/>
  <c r="B12222" i="1"/>
  <c r="C12222" i="1"/>
  <c r="B12223" i="1"/>
  <c r="C12223" i="1"/>
  <c r="B12224" i="1"/>
  <c r="C12224" i="1"/>
  <c r="B12225" i="1"/>
  <c r="C12225" i="1"/>
  <c r="B12226" i="1"/>
  <c r="C12226" i="1"/>
  <c r="B12227" i="1"/>
  <c r="C12227" i="1"/>
  <c r="B12228" i="1"/>
  <c r="C12228" i="1"/>
  <c r="B12229" i="1"/>
  <c r="C12229" i="1"/>
  <c r="B12230" i="1"/>
  <c r="C12230" i="1"/>
  <c r="B12231" i="1"/>
  <c r="C12231" i="1"/>
  <c r="B12232" i="1"/>
  <c r="C12232" i="1"/>
  <c r="B12233" i="1"/>
  <c r="C12233" i="1"/>
  <c r="B12234" i="1"/>
  <c r="C12234" i="1"/>
  <c r="B12235" i="1"/>
  <c r="C12235" i="1"/>
  <c r="B12236" i="1"/>
  <c r="C12236" i="1"/>
  <c r="B12237" i="1"/>
  <c r="C12237" i="1"/>
  <c r="B12238" i="1"/>
  <c r="C12238" i="1"/>
  <c r="B12239" i="1"/>
  <c r="C12239" i="1"/>
  <c r="B12240" i="1"/>
  <c r="C12240" i="1"/>
  <c r="B12241" i="1"/>
  <c r="C12241" i="1"/>
  <c r="B12242" i="1"/>
  <c r="C12242" i="1"/>
  <c r="B12243" i="1"/>
  <c r="C12243" i="1"/>
  <c r="B12244" i="1"/>
  <c r="C12244" i="1"/>
  <c r="B12245" i="1"/>
  <c r="C12245" i="1"/>
  <c r="B12246" i="1"/>
  <c r="C12246" i="1"/>
  <c r="B12247" i="1"/>
  <c r="C12247" i="1"/>
  <c r="B12248" i="1"/>
  <c r="C12248" i="1"/>
  <c r="B12249" i="1"/>
  <c r="C12249" i="1"/>
  <c r="B12250" i="1"/>
  <c r="C12250" i="1"/>
  <c r="B12251" i="1"/>
  <c r="C12251" i="1"/>
  <c r="B12252" i="1"/>
  <c r="C12252" i="1"/>
  <c r="B12253" i="1"/>
  <c r="C12253" i="1"/>
  <c r="B12254" i="1"/>
  <c r="C12254" i="1"/>
  <c r="B12255" i="1"/>
  <c r="C12255" i="1"/>
  <c r="B12256" i="1"/>
  <c r="C12256" i="1"/>
  <c r="B12257" i="1"/>
  <c r="C12257" i="1"/>
  <c r="B12258" i="1"/>
  <c r="C12258" i="1"/>
  <c r="B12259" i="1"/>
  <c r="C12259" i="1"/>
  <c r="B12260" i="1"/>
  <c r="C12260" i="1"/>
  <c r="B12261" i="1"/>
  <c r="C12261" i="1"/>
  <c r="B12262" i="1"/>
  <c r="C12262" i="1"/>
  <c r="B12263" i="1"/>
  <c r="C12263" i="1"/>
  <c r="B12264" i="1"/>
  <c r="C12264" i="1"/>
  <c r="B12265" i="1"/>
  <c r="C12265" i="1"/>
  <c r="B12266" i="1"/>
  <c r="C12266" i="1"/>
  <c r="B12267" i="1"/>
  <c r="C12267" i="1"/>
  <c r="B12268" i="1"/>
  <c r="C12268" i="1"/>
  <c r="B12269" i="1"/>
  <c r="C12269" i="1"/>
  <c r="B12270" i="1"/>
  <c r="C12270" i="1"/>
  <c r="B12271" i="1"/>
  <c r="C12271" i="1"/>
  <c r="B12272" i="1"/>
  <c r="C12272" i="1"/>
  <c r="B12273" i="1"/>
  <c r="C12273" i="1"/>
  <c r="B12274" i="1"/>
  <c r="C12274" i="1"/>
  <c r="B12275" i="1"/>
  <c r="C12275" i="1"/>
  <c r="B12276" i="1"/>
  <c r="C12276" i="1"/>
  <c r="B12277" i="1"/>
  <c r="C12277" i="1"/>
  <c r="B12278" i="1"/>
  <c r="C12278" i="1"/>
  <c r="B12279" i="1"/>
  <c r="C12279" i="1"/>
  <c r="B12280" i="1"/>
  <c r="C12280" i="1"/>
  <c r="B12281" i="1"/>
  <c r="C12281" i="1"/>
  <c r="B12282" i="1"/>
  <c r="C12282" i="1"/>
  <c r="B12283" i="1"/>
  <c r="C12283" i="1"/>
  <c r="B12284" i="1"/>
  <c r="C12284" i="1"/>
  <c r="B12285" i="1"/>
  <c r="C12285" i="1"/>
  <c r="B12286" i="1"/>
  <c r="C12286" i="1"/>
  <c r="B12287" i="1"/>
  <c r="C12287" i="1"/>
  <c r="B12288" i="1"/>
  <c r="C12288" i="1"/>
  <c r="B12289" i="1"/>
  <c r="C12289" i="1"/>
  <c r="B12290" i="1"/>
  <c r="C12290" i="1"/>
  <c r="B12291" i="1"/>
  <c r="C12291" i="1"/>
  <c r="B12292" i="1"/>
  <c r="C12292" i="1"/>
  <c r="B12293" i="1"/>
  <c r="C12293" i="1"/>
  <c r="B12294" i="1"/>
  <c r="C12294" i="1"/>
  <c r="B12295" i="1"/>
  <c r="C12295" i="1"/>
  <c r="B12296" i="1"/>
  <c r="C12296" i="1"/>
  <c r="B12297" i="1"/>
  <c r="C12297" i="1"/>
  <c r="B12298" i="1"/>
  <c r="C12298" i="1"/>
  <c r="B12299" i="1"/>
  <c r="C12299" i="1"/>
  <c r="B12300" i="1"/>
  <c r="C12300" i="1"/>
  <c r="B12301" i="1"/>
  <c r="C12301" i="1"/>
  <c r="B12302" i="1"/>
  <c r="C12302" i="1"/>
  <c r="B12303" i="1"/>
  <c r="C12303" i="1"/>
  <c r="B12304" i="1"/>
  <c r="C12304" i="1"/>
  <c r="B12305" i="1"/>
  <c r="C12305" i="1"/>
  <c r="B12306" i="1"/>
  <c r="C12306" i="1"/>
  <c r="B12307" i="1"/>
  <c r="C12307" i="1"/>
  <c r="B12308" i="1"/>
  <c r="C12308" i="1"/>
  <c r="B12309" i="1"/>
  <c r="C12309" i="1"/>
  <c r="B12310" i="1"/>
  <c r="C12310" i="1"/>
  <c r="B12311" i="1"/>
  <c r="C12311" i="1"/>
  <c r="B12312" i="1"/>
  <c r="C12312" i="1"/>
  <c r="B12313" i="1"/>
  <c r="C12313" i="1"/>
  <c r="B12314" i="1"/>
  <c r="C12314" i="1"/>
  <c r="B12315" i="1"/>
  <c r="C12315" i="1"/>
  <c r="B12316" i="1"/>
  <c r="C12316" i="1"/>
  <c r="B12317" i="1"/>
  <c r="C12317" i="1"/>
  <c r="B12318" i="1"/>
  <c r="C12318" i="1"/>
  <c r="B12319" i="1"/>
  <c r="C12319" i="1"/>
  <c r="B12320" i="1"/>
  <c r="C12320" i="1"/>
  <c r="B12321" i="1"/>
  <c r="C12321" i="1"/>
  <c r="B12322" i="1"/>
  <c r="C12322" i="1"/>
  <c r="B12323" i="1"/>
  <c r="C12323" i="1"/>
  <c r="B12324" i="1"/>
  <c r="C12324" i="1"/>
  <c r="B12325" i="1"/>
  <c r="C12325" i="1"/>
  <c r="B12326" i="1"/>
  <c r="C12326" i="1"/>
  <c r="B12327" i="1"/>
  <c r="C12327" i="1"/>
  <c r="B12328" i="1"/>
  <c r="C12328" i="1"/>
  <c r="B12329" i="1"/>
  <c r="C12329" i="1"/>
  <c r="B12330" i="1"/>
  <c r="C12330" i="1"/>
  <c r="B12331" i="1"/>
  <c r="C12331" i="1"/>
  <c r="B12332" i="1"/>
  <c r="C12332" i="1"/>
  <c r="B12333" i="1"/>
  <c r="C12333" i="1"/>
  <c r="B12334" i="1"/>
  <c r="C12334" i="1"/>
  <c r="B12335" i="1"/>
  <c r="C12335" i="1"/>
  <c r="B12336" i="1"/>
  <c r="C12336" i="1"/>
  <c r="B12337" i="1"/>
  <c r="C12337" i="1"/>
  <c r="B12338" i="1"/>
  <c r="C12338" i="1"/>
  <c r="B12339" i="1"/>
  <c r="C12339" i="1"/>
  <c r="B12340" i="1"/>
  <c r="C12340" i="1"/>
  <c r="B12341" i="1"/>
  <c r="C12341" i="1"/>
  <c r="B12342" i="1"/>
  <c r="C12342" i="1"/>
  <c r="B12343" i="1"/>
  <c r="C12343" i="1"/>
  <c r="B12344" i="1"/>
  <c r="C12344" i="1"/>
  <c r="B12345" i="1"/>
  <c r="C12345" i="1"/>
  <c r="B12346" i="1"/>
  <c r="C12346" i="1"/>
  <c r="B12347" i="1"/>
  <c r="C12347" i="1"/>
  <c r="B12348" i="1"/>
  <c r="C12348" i="1"/>
  <c r="B12349" i="1"/>
  <c r="C12349" i="1"/>
  <c r="B12350" i="1"/>
  <c r="C12350" i="1"/>
  <c r="B12351" i="1"/>
  <c r="C12351" i="1"/>
  <c r="B12352" i="1"/>
  <c r="C12352" i="1"/>
  <c r="B12353" i="1"/>
  <c r="C12353" i="1"/>
  <c r="B12354" i="1"/>
  <c r="C12354" i="1"/>
  <c r="B12355" i="1"/>
  <c r="C12355" i="1"/>
  <c r="B12356" i="1"/>
  <c r="C12356" i="1"/>
  <c r="B12357" i="1"/>
  <c r="C12357" i="1"/>
  <c r="B12358" i="1"/>
  <c r="C12358" i="1"/>
  <c r="B12359" i="1"/>
  <c r="C12359" i="1"/>
  <c r="B12360" i="1"/>
  <c r="C12360" i="1"/>
  <c r="B12361" i="1"/>
  <c r="C12361" i="1"/>
  <c r="B12362" i="1"/>
  <c r="C12362" i="1"/>
  <c r="B12363" i="1"/>
  <c r="C12363" i="1"/>
  <c r="B12364" i="1"/>
  <c r="C12364" i="1"/>
  <c r="B12365" i="1"/>
  <c r="C12365" i="1"/>
  <c r="B12366" i="1"/>
  <c r="C12366" i="1"/>
  <c r="B12367" i="1"/>
  <c r="C12367" i="1"/>
  <c r="B12368" i="1"/>
  <c r="C12368" i="1"/>
  <c r="B12369" i="1"/>
  <c r="C12369" i="1"/>
  <c r="B12370" i="1"/>
  <c r="C12370" i="1"/>
  <c r="B12371" i="1"/>
  <c r="C12371" i="1"/>
  <c r="B12372" i="1"/>
  <c r="C12372" i="1"/>
  <c r="B12373" i="1"/>
  <c r="C12373" i="1"/>
  <c r="B12374" i="1"/>
  <c r="C12374" i="1"/>
  <c r="B12375" i="1"/>
  <c r="C12375" i="1"/>
  <c r="B12376" i="1"/>
  <c r="C12376" i="1"/>
  <c r="B12377" i="1"/>
  <c r="C12377" i="1"/>
  <c r="B12378" i="1"/>
  <c r="C12378" i="1"/>
  <c r="B12379" i="1"/>
  <c r="C12379" i="1"/>
  <c r="B12380" i="1"/>
  <c r="C12380" i="1"/>
  <c r="B12381" i="1"/>
  <c r="C12381" i="1"/>
  <c r="B12382" i="1"/>
  <c r="C12382" i="1"/>
  <c r="B12383" i="1"/>
  <c r="C12383" i="1"/>
  <c r="B12384" i="1"/>
  <c r="C12384" i="1"/>
  <c r="B12385" i="1"/>
  <c r="C12385" i="1"/>
  <c r="B12386" i="1"/>
  <c r="C12386" i="1"/>
  <c r="B12387" i="1"/>
  <c r="C12387" i="1"/>
  <c r="B12388" i="1"/>
  <c r="C12388" i="1"/>
  <c r="B12389" i="1"/>
  <c r="C12389" i="1"/>
  <c r="B12390" i="1"/>
  <c r="C12390" i="1"/>
  <c r="B12391" i="1"/>
  <c r="C12391" i="1"/>
  <c r="B12392" i="1"/>
  <c r="C12392" i="1"/>
  <c r="B12393" i="1"/>
  <c r="C12393" i="1"/>
  <c r="B12394" i="1"/>
  <c r="C12394" i="1"/>
  <c r="B12395" i="1"/>
  <c r="C12395" i="1"/>
  <c r="B12396" i="1"/>
  <c r="C12396" i="1"/>
  <c r="B12397" i="1"/>
  <c r="C12397" i="1"/>
  <c r="B12398" i="1"/>
  <c r="C12398" i="1"/>
  <c r="B12399" i="1"/>
  <c r="C12399" i="1"/>
  <c r="B12400" i="1"/>
  <c r="C12400" i="1"/>
  <c r="B12401" i="1"/>
  <c r="C12401" i="1"/>
  <c r="B12402" i="1"/>
  <c r="C12402" i="1"/>
  <c r="B12403" i="1"/>
  <c r="C12403" i="1"/>
  <c r="B12404" i="1"/>
  <c r="C12404" i="1"/>
  <c r="B12405" i="1"/>
  <c r="C12405" i="1"/>
  <c r="B12406" i="1"/>
  <c r="C12406" i="1"/>
  <c r="B12407" i="1"/>
  <c r="C12407" i="1"/>
  <c r="B12408" i="1"/>
  <c r="C12408" i="1"/>
  <c r="B12409" i="1"/>
  <c r="C12409" i="1"/>
  <c r="B12410" i="1"/>
  <c r="C12410" i="1"/>
  <c r="B12411" i="1"/>
  <c r="C12411" i="1"/>
  <c r="B12412" i="1"/>
  <c r="C12412" i="1"/>
  <c r="B12413" i="1"/>
  <c r="C12413" i="1"/>
  <c r="B12414" i="1"/>
  <c r="C12414" i="1"/>
  <c r="B12415" i="1"/>
  <c r="C12415" i="1"/>
  <c r="B12416" i="1"/>
  <c r="C12416" i="1"/>
  <c r="B12417" i="1"/>
  <c r="C12417" i="1"/>
  <c r="B12418" i="1"/>
  <c r="C12418" i="1"/>
  <c r="B12419" i="1"/>
  <c r="C12419" i="1"/>
  <c r="B12420" i="1"/>
  <c r="C12420" i="1"/>
  <c r="B12421" i="1"/>
  <c r="C12421" i="1"/>
  <c r="B12422" i="1"/>
  <c r="C12422" i="1"/>
  <c r="B12423" i="1"/>
  <c r="C12423" i="1"/>
  <c r="B12424" i="1"/>
  <c r="C12424" i="1"/>
  <c r="B12425" i="1"/>
  <c r="C12425" i="1"/>
  <c r="B12426" i="1"/>
  <c r="C12426" i="1"/>
  <c r="B12427" i="1"/>
  <c r="C12427" i="1"/>
  <c r="B12428" i="1"/>
  <c r="C12428" i="1"/>
  <c r="B12429" i="1"/>
  <c r="C12429" i="1"/>
  <c r="B12430" i="1"/>
  <c r="C12430" i="1"/>
  <c r="B12431" i="1"/>
  <c r="C12431" i="1"/>
  <c r="B12432" i="1"/>
  <c r="C12432" i="1"/>
  <c r="B12433" i="1"/>
  <c r="C12433" i="1"/>
  <c r="B12434" i="1"/>
  <c r="C12434" i="1"/>
  <c r="B12435" i="1"/>
  <c r="C12435" i="1"/>
  <c r="B12436" i="1"/>
  <c r="C12436" i="1"/>
  <c r="B12437" i="1"/>
  <c r="C12437" i="1"/>
  <c r="B12438" i="1"/>
  <c r="C12438" i="1"/>
  <c r="B12439" i="1"/>
  <c r="C12439" i="1"/>
  <c r="B12440" i="1"/>
  <c r="C12440" i="1"/>
  <c r="B12441" i="1"/>
  <c r="C12441" i="1"/>
  <c r="B12442" i="1"/>
  <c r="C12442" i="1"/>
  <c r="B12443" i="1"/>
  <c r="C12443" i="1"/>
  <c r="B12444" i="1"/>
  <c r="C12444" i="1"/>
  <c r="B12445" i="1"/>
  <c r="C12445" i="1"/>
  <c r="B12446" i="1"/>
  <c r="C12446" i="1"/>
  <c r="B12447" i="1"/>
  <c r="C12447" i="1"/>
  <c r="B12448" i="1"/>
  <c r="C12448" i="1"/>
  <c r="B12449" i="1"/>
  <c r="C12449" i="1"/>
  <c r="B12450" i="1"/>
  <c r="C12450" i="1"/>
  <c r="B12451" i="1"/>
  <c r="C12451" i="1"/>
  <c r="B12452" i="1"/>
  <c r="C12452" i="1"/>
  <c r="B12453" i="1"/>
  <c r="C12453" i="1"/>
  <c r="B12454" i="1"/>
  <c r="C12454" i="1"/>
  <c r="B12455" i="1"/>
  <c r="C12455" i="1"/>
  <c r="B12456" i="1"/>
  <c r="C12456" i="1"/>
  <c r="B12457" i="1"/>
  <c r="C12457" i="1"/>
  <c r="B12458" i="1"/>
  <c r="C12458" i="1"/>
  <c r="B12459" i="1"/>
  <c r="C12459" i="1"/>
  <c r="B12460" i="1"/>
  <c r="C12460" i="1"/>
  <c r="B12461" i="1"/>
  <c r="C12461" i="1"/>
  <c r="B12462" i="1"/>
  <c r="C12462" i="1"/>
  <c r="B12463" i="1"/>
  <c r="C12463" i="1"/>
  <c r="B12464" i="1"/>
  <c r="C12464" i="1"/>
  <c r="B12465" i="1"/>
  <c r="C12465" i="1"/>
  <c r="B12466" i="1"/>
  <c r="C12466" i="1"/>
  <c r="B12467" i="1"/>
  <c r="C12467" i="1"/>
  <c r="B12468" i="1"/>
  <c r="C12468" i="1"/>
  <c r="B12469" i="1"/>
  <c r="C12469" i="1"/>
  <c r="B12470" i="1"/>
  <c r="C12470" i="1"/>
  <c r="B12471" i="1"/>
  <c r="C12471" i="1"/>
  <c r="B12472" i="1"/>
  <c r="C12472" i="1"/>
  <c r="B12473" i="1"/>
  <c r="C12473" i="1"/>
  <c r="B12474" i="1"/>
  <c r="C12474" i="1"/>
  <c r="B12475" i="1"/>
  <c r="C12475" i="1"/>
  <c r="B12476" i="1"/>
  <c r="C12476" i="1"/>
  <c r="B12477" i="1"/>
  <c r="C12477" i="1"/>
  <c r="B12478" i="1"/>
  <c r="C12478" i="1"/>
  <c r="B12479" i="1"/>
  <c r="C12479" i="1"/>
  <c r="B12480" i="1"/>
  <c r="C12480" i="1"/>
  <c r="B12481" i="1"/>
  <c r="C12481" i="1"/>
  <c r="B12482" i="1"/>
  <c r="C12482" i="1"/>
  <c r="B12483" i="1"/>
  <c r="C12483" i="1"/>
  <c r="B12484" i="1"/>
  <c r="C12484" i="1"/>
  <c r="B12485" i="1"/>
  <c r="C12485" i="1"/>
  <c r="B12486" i="1"/>
  <c r="C12486" i="1"/>
  <c r="B12487" i="1"/>
  <c r="C12487" i="1"/>
  <c r="B12488" i="1"/>
  <c r="C12488" i="1"/>
  <c r="B12489" i="1"/>
  <c r="C12489" i="1"/>
  <c r="B12490" i="1"/>
  <c r="C12490" i="1"/>
  <c r="B12491" i="1"/>
  <c r="C12491" i="1"/>
  <c r="B12492" i="1"/>
  <c r="C12492" i="1"/>
  <c r="B12493" i="1"/>
  <c r="C12493" i="1"/>
  <c r="B12494" i="1"/>
  <c r="C12494" i="1"/>
  <c r="B12495" i="1"/>
  <c r="C12495" i="1"/>
  <c r="B12496" i="1"/>
  <c r="C12496" i="1"/>
  <c r="B12497" i="1"/>
  <c r="C12497" i="1"/>
  <c r="B12498" i="1"/>
  <c r="C12498" i="1"/>
  <c r="B12499" i="1"/>
  <c r="C12499" i="1"/>
  <c r="B12500" i="1"/>
  <c r="C12500" i="1"/>
  <c r="B12501" i="1"/>
  <c r="C12501" i="1"/>
  <c r="B12502" i="1"/>
  <c r="C12502" i="1"/>
  <c r="B12503" i="1"/>
  <c r="C12503" i="1"/>
  <c r="B12504" i="1"/>
  <c r="C12504" i="1"/>
  <c r="B12505" i="1"/>
  <c r="C12505" i="1"/>
  <c r="B12506" i="1"/>
  <c r="C12506" i="1"/>
  <c r="B12507" i="1"/>
  <c r="C12507" i="1"/>
  <c r="B12508" i="1"/>
  <c r="C12508" i="1"/>
  <c r="B12509" i="1"/>
  <c r="C12509" i="1"/>
  <c r="B12510" i="1"/>
  <c r="C12510" i="1"/>
  <c r="B12511" i="1"/>
  <c r="C12511" i="1"/>
  <c r="B12512" i="1"/>
  <c r="C12512" i="1"/>
  <c r="B12513" i="1"/>
  <c r="C12513" i="1"/>
  <c r="B12514" i="1"/>
  <c r="C12514" i="1"/>
  <c r="B12515" i="1"/>
  <c r="C12515" i="1"/>
  <c r="B12516" i="1"/>
  <c r="C12516" i="1"/>
  <c r="B12517" i="1"/>
  <c r="C12517" i="1"/>
  <c r="B12518" i="1"/>
  <c r="C12518" i="1"/>
  <c r="B12519" i="1"/>
  <c r="C12519" i="1"/>
  <c r="B12520" i="1"/>
  <c r="C12520" i="1"/>
  <c r="B12521" i="1"/>
  <c r="C12521" i="1"/>
  <c r="B12522" i="1"/>
  <c r="C12522" i="1"/>
  <c r="B12523" i="1"/>
  <c r="C12523" i="1"/>
  <c r="B12524" i="1"/>
  <c r="C12524" i="1"/>
  <c r="B12525" i="1"/>
  <c r="C12525" i="1"/>
  <c r="B12526" i="1"/>
  <c r="C12526" i="1"/>
  <c r="B12527" i="1"/>
  <c r="C12527" i="1"/>
  <c r="B12528" i="1"/>
  <c r="C12528" i="1"/>
  <c r="B12529" i="1"/>
  <c r="C12529" i="1"/>
  <c r="B12530" i="1"/>
  <c r="C12530" i="1"/>
  <c r="B12531" i="1"/>
  <c r="C12531" i="1"/>
  <c r="B12532" i="1"/>
  <c r="C12532" i="1"/>
  <c r="B12533" i="1"/>
  <c r="C12533" i="1"/>
  <c r="B12534" i="1"/>
  <c r="C12534" i="1"/>
  <c r="B12535" i="1"/>
  <c r="C12535" i="1"/>
  <c r="B12536" i="1"/>
  <c r="C12536" i="1"/>
  <c r="B12537" i="1"/>
  <c r="C12537" i="1"/>
  <c r="B12538" i="1"/>
  <c r="C12538" i="1"/>
  <c r="B12539" i="1"/>
  <c r="C12539" i="1"/>
  <c r="B12540" i="1"/>
  <c r="C12540" i="1"/>
  <c r="B12541" i="1"/>
  <c r="C12541" i="1"/>
  <c r="B12542" i="1"/>
  <c r="C12542" i="1"/>
  <c r="B12543" i="1"/>
  <c r="C12543" i="1"/>
  <c r="B12544" i="1"/>
  <c r="C12544" i="1"/>
  <c r="B12545" i="1"/>
  <c r="C12545" i="1"/>
  <c r="B12546" i="1"/>
  <c r="C12546" i="1"/>
  <c r="B12547" i="1"/>
  <c r="C12547" i="1"/>
  <c r="B12548" i="1"/>
  <c r="C12548" i="1"/>
  <c r="B12549" i="1"/>
  <c r="C12549" i="1"/>
  <c r="B12550" i="1"/>
  <c r="C12550" i="1"/>
  <c r="B12551" i="1"/>
  <c r="C12551" i="1"/>
  <c r="B12552" i="1"/>
  <c r="C12552" i="1"/>
  <c r="B12553" i="1"/>
  <c r="C12553" i="1"/>
  <c r="B12554" i="1"/>
  <c r="C12554" i="1"/>
  <c r="B12555" i="1"/>
  <c r="C12555" i="1"/>
  <c r="B12556" i="1"/>
  <c r="C12556" i="1"/>
  <c r="B12557" i="1"/>
  <c r="C12557" i="1"/>
  <c r="B12558" i="1"/>
  <c r="C12558" i="1"/>
  <c r="B12559" i="1"/>
  <c r="C12559" i="1"/>
  <c r="B12560" i="1"/>
  <c r="C12560" i="1"/>
  <c r="B12561" i="1"/>
  <c r="C12561" i="1"/>
  <c r="B12562" i="1"/>
  <c r="C12562" i="1"/>
  <c r="B12563" i="1"/>
  <c r="C12563" i="1"/>
  <c r="B12564" i="1"/>
  <c r="C12564" i="1"/>
  <c r="B12565" i="1"/>
  <c r="C12565" i="1"/>
  <c r="B12566" i="1"/>
  <c r="C12566" i="1"/>
  <c r="B12567" i="1"/>
  <c r="C12567" i="1"/>
  <c r="B12568" i="1"/>
  <c r="C12568" i="1"/>
  <c r="B12569" i="1"/>
  <c r="C12569" i="1"/>
  <c r="B12570" i="1"/>
  <c r="C12570" i="1"/>
  <c r="B12571" i="1"/>
  <c r="C12571" i="1"/>
  <c r="B12572" i="1"/>
  <c r="C12572" i="1"/>
  <c r="B12573" i="1"/>
  <c r="C12573" i="1"/>
  <c r="B12574" i="1"/>
  <c r="C12574" i="1"/>
  <c r="B12575" i="1"/>
  <c r="C12575" i="1"/>
  <c r="B12576" i="1"/>
  <c r="C12576" i="1"/>
  <c r="B12577" i="1"/>
  <c r="C12577" i="1"/>
  <c r="B12578" i="1"/>
  <c r="C12578" i="1"/>
  <c r="B12579" i="1"/>
  <c r="C12579" i="1"/>
  <c r="B12580" i="1"/>
  <c r="C12580" i="1"/>
  <c r="B12581" i="1"/>
  <c r="C12581" i="1"/>
  <c r="B12582" i="1"/>
  <c r="C12582" i="1"/>
  <c r="B12583" i="1"/>
  <c r="C12583" i="1"/>
  <c r="B12584" i="1"/>
  <c r="C12584" i="1"/>
  <c r="B12585" i="1"/>
  <c r="C12585" i="1"/>
  <c r="B12586" i="1"/>
  <c r="C12586" i="1"/>
  <c r="B12587" i="1"/>
  <c r="C12587" i="1"/>
  <c r="B12588" i="1"/>
  <c r="C12588" i="1"/>
  <c r="B12589" i="1"/>
  <c r="C12589" i="1"/>
  <c r="B12590" i="1"/>
  <c r="C12590" i="1"/>
  <c r="B12591" i="1"/>
  <c r="C12591" i="1"/>
  <c r="B12592" i="1"/>
  <c r="C12592" i="1"/>
  <c r="B12593" i="1"/>
  <c r="C12593" i="1"/>
  <c r="B12594" i="1"/>
  <c r="C12594" i="1"/>
  <c r="B12595" i="1"/>
  <c r="C12595" i="1"/>
  <c r="B12596" i="1"/>
  <c r="C12596" i="1"/>
  <c r="B12597" i="1"/>
  <c r="C12597" i="1"/>
  <c r="B12598" i="1"/>
  <c r="C12598" i="1"/>
  <c r="B12599" i="1"/>
  <c r="C12599" i="1"/>
  <c r="B12600" i="1"/>
  <c r="C12600" i="1"/>
  <c r="B12601" i="1"/>
  <c r="C12601" i="1"/>
  <c r="B12602" i="1"/>
  <c r="C12602" i="1"/>
  <c r="B12603" i="1"/>
  <c r="C12603" i="1"/>
  <c r="B12604" i="1"/>
  <c r="C12604" i="1"/>
  <c r="B12605" i="1"/>
  <c r="C12605" i="1"/>
  <c r="B12606" i="1"/>
  <c r="C12606" i="1"/>
  <c r="B12607" i="1"/>
  <c r="C12607" i="1"/>
  <c r="B12608" i="1"/>
  <c r="C12608" i="1"/>
  <c r="B12609" i="1"/>
  <c r="C12609" i="1"/>
  <c r="B12610" i="1"/>
  <c r="C12610" i="1"/>
  <c r="B12611" i="1"/>
  <c r="C12611" i="1"/>
  <c r="B12612" i="1"/>
  <c r="C12612" i="1"/>
  <c r="B12613" i="1"/>
  <c r="C12613" i="1"/>
  <c r="B12614" i="1"/>
  <c r="C12614" i="1"/>
  <c r="B12615" i="1"/>
  <c r="C12615" i="1"/>
  <c r="B12616" i="1"/>
  <c r="C12616" i="1"/>
  <c r="B12617" i="1"/>
  <c r="C12617" i="1"/>
  <c r="B12618" i="1"/>
  <c r="C12618" i="1"/>
  <c r="B12619" i="1"/>
  <c r="C12619" i="1"/>
  <c r="B12620" i="1"/>
  <c r="C12620" i="1"/>
  <c r="B12621" i="1"/>
  <c r="C12621" i="1"/>
  <c r="B12622" i="1"/>
  <c r="C12622" i="1"/>
  <c r="B12623" i="1"/>
  <c r="C12623" i="1"/>
  <c r="B12624" i="1"/>
  <c r="C12624" i="1"/>
  <c r="B12625" i="1"/>
  <c r="C12625" i="1"/>
  <c r="B12626" i="1"/>
  <c r="C12626" i="1"/>
  <c r="B12627" i="1"/>
  <c r="C12627" i="1"/>
  <c r="B12628" i="1"/>
  <c r="C12628" i="1"/>
  <c r="B12629" i="1"/>
  <c r="C12629" i="1"/>
  <c r="B12630" i="1"/>
  <c r="C12630" i="1"/>
  <c r="B12631" i="1"/>
  <c r="C12631" i="1"/>
  <c r="B12632" i="1"/>
  <c r="C12632" i="1"/>
  <c r="B12633" i="1"/>
  <c r="C12633" i="1"/>
  <c r="B12634" i="1"/>
  <c r="C12634" i="1"/>
  <c r="B12635" i="1"/>
  <c r="C12635" i="1"/>
  <c r="B12636" i="1"/>
  <c r="C12636" i="1"/>
  <c r="B12637" i="1"/>
  <c r="C12637" i="1"/>
  <c r="B12638" i="1"/>
  <c r="C12638" i="1"/>
  <c r="B12639" i="1"/>
  <c r="C12639" i="1"/>
  <c r="B12640" i="1"/>
  <c r="C12640" i="1"/>
  <c r="B12641" i="1"/>
  <c r="C12641" i="1"/>
  <c r="B12642" i="1"/>
  <c r="C12642" i="1"/>
  <c r="B12643" i="1"/>
  <c r="C12643" i="1"/>
  <c r="B12644" i="1"/>
  <c r="C12644" i="1"/>
  <c r="B12645" i="1"/>
  <c r="C12645" i="1"/>
  <c r="B12646" i="1"/>
  <c r="C12646" i="1"/>
  <c r="B12647" i="1"/>
  <c r="C12647" i="1"/>
  <c r="B12648" i="1"/>
  <c r="C12648" i="1"/>
  <c r="B12649" i="1"/>
  <c r="C12649" i="1"/>
  <c r="B12650" i="1"/>
  <c r="C12650" i="1"/>
  <c r="B12651" i="1"/>
  <c r="C12651" i="1"/>
  <c r="B12652" i="1"/>
  <c r="C12652" i="1"/>
  <c r="B12653" i="1"/>
  <c r="C12653" i="1"/>
  <c r="B12654" i="1"/>
  <c r="C12654" i="1"/>
  <c r="B12655" i="1"/>
  <c r="C12655" i="1"/>
  <c r="B12656" i="1"/>
  <c r="C12656" i="1"/>
  <c r="B12657" i="1"/>
  <c r="C12657" i="1"/>
  <c r="B12658" i="1"/>
  <c r="C12658" i="1"/>
  <c r="B12659" i="1"/>
  <c r="C12659" i="1"/>
  <c r="B12660" i="1"/>
  <c r="C12660" i="1"/>
  <c r="B12661" i="1"/>
  <c r="C12661" i="1"/>
  <c r="B12662" i="1"/>
  <c r="C12662" i="1"/>
  <c r="B12663" i="1"/>
  <c r="C12663" i="1"/>
  <c r="B12664" i="1"/>
  <c r="C12664" i="1"/>
  <c r="B12665" i="1"/>
  <c r="C12665" i="1"/>
  <c r="B12666" i="1"/>
  <c r="C12666" i="1"/>
  <c r="B12667" i="1"/>
  <c r="C12667" i="1"/>
  <c r="B12668" i="1"/>
  <c r="C12668" i="1"/>
  <c r="B12669" i="1"/>
  <c r="C12669" i="1"/>
  <c r="B12670" i="1"/>
  <c r="C12670" i="1"/>
  <c r="B12671" i="1"/>
  <c r="C12671" i="1"/>
  <c r="B12672" i="1"/>
  <c r="C12672" i="1"/>
  <c r="B12673" i="1"/>
  <c r="C12673" i="1"/>
  <c r="B12674" i="1"/>
  <c r="C12674" i="1"/>
  <c r="B12675" i="1"/>
  <c r="C12675" i="1"/>
  <c r="B12676" i="1"/>
  <c r="C12676" i="1"/>
  <c r="B12677" i="1"/>
  <c r="C12677" i="1"/>
  <c r="B12678" i="1"/>
  <c r="C12678" i="1"/>
  <c r="B12679" i="1"/>
  <c r="C12679" i="1"/>
  <c r="B12680" i="1"/>
  <c r="C12680" i="1"/>
  <c r="B12681" i="1"/>
  <c r="C12681" i="1"/>
  <c r="B12682" i="1"/>
  <c r="C12682" i="1"/>
  <c r="B12683" i="1"/>
  <c r="C12683" i="1"/>
  <c r="B12684" i="1"/>
  <c r="C12684" i="1"/>
  <c r="B12685" i="1"/>
  <c r="C12685" i="1"/>
  <c r="B12686" i="1"/>
  <c r="C12686" i="1"/>
  <c r="B12687" i="1"/>
  <c r="C12687" i="1"/>
  <c r="B12688" i="1"/>
  <c r="C12688" i="1"/>
  <c r="B12689" i="1"/>
  <c r="C12689" i="1"/>
  <c r="B12690" i="1"/>
  <c r="C12690" i="1"/>
  <c r="B12691" i="1"/>
  <c r="C12691" i="1"/>
  <c r="B12692" i="1"/>
  <c r="C12692" i="1"/>
  <c r="B12693" i="1"/>
  <c r="C12693" i="1"/>
  <c r="B12694" i="1"/>
  <c r="C12694" i="1"/>
  <c r="B12695" i="1"/>
  <c r="C12695" i="1"/>
  <c r="B12696" i="1"/>
  <c r="C12696" i="1"/>
  <c r="B12697" i="1"/>
  <c r="C12697" i="1"/>
  <c r="B12698" i="1"/>
  <c r="C12698" i="1"/>
  <c r="B12699" i="1"/>
  <c r="C12699" i="1"/>
  <c r="B12700" i="1"/>
  <c r="C12700" i="1"/>
  <c r="B12701" i="1"/>
  <c r="C12701" i="1"/>
  <c r="B12702" i="1"/>
  <c r="C12702" i="1"/>
  <c r="B12703" i="1"/>
  <c r="C12703" i="1"/>
  <c r="B12704" i="1"/>
  <c r="C12704" i="1"/>
  <c r="B12705" i="1"/>
  <c r="C12705" i="1"/>
  <c r="B12706" i="1"/>
  <c r="C12706" i="1"/>
  <c r="B12707" i="1"/>
  <c r="C12707" i="1"/>
  <c r="B12708" i="1"/>
  <c r="C12708" i="1"/>
  <c r="B12709" i="1"/>
  <c r="C12709" i="1"/>
  <c r="B12710" i="1"/>
  <c r="C12710" i="1"/>
  <c r="B12711" i="1"/>
  <c r="C12711" i="1"/>
  <c r="B12712" i="1"/>
  <c r="C12712" i="1"/>
  <c r="B12713" i="1"/>
  <c r="C12713" i="1"/>
  <c r="B12714" i="1"/>
  <c r="C12714" i="1"/>
  <c r="B12715" i="1"/>
  <c r="C12715" i="1"/>
  <c r="B12716" i="1"/>
  <c r="C12716" i="1"/>
  <c r="B12717" i="1"/>
  <c r="C12717" i="1"/>
  <c r="B12718" i="1"/>
  <c r="C12718" i="1"/>
  <c r="B12719" i="1"/>
  <c r="C12719" i="1"/>
  <c r="B12720" i="1"/>
  <c r="C12720" i="1"/>
  <c r="B12721" i="1"/>
  <c r="C12721" i="1"/>
  <c r="B12722" i="1"/>
  <c r="C12722" i="1"/>
  <c r="B12723" i="1"/>
  <c r="C12723" i="1"/>
  <c r="B12724" i="1"/>
  <c r="C12724" i="1"/>
  <c r="B12725" i="1"/>
  <c r="C12725" i="1"/>
  <c r="B12726" i="1"/>
  <c r="C12726" i="1"/>
  <c r="B12727" i="1"/>
  <c r="C12727" i="1"/>
  <c r="B12728" i="1"/>
  <c r="C12728" i="1"/>
  <c r="B12729" i="1"/>
  <c r="C12729" i="1"/>
  <c r="B12730" i="1"/>
  <c r="C12730" i="1"/>
  <c r="B12731" i="1"/>
  <c r="C12731" i="1"/>
  <c r="B12732" i="1"/>
  <c r="C12732" i="1"/>
  <c r="B12733" i="1"/>
  <c r="C12733" i="1"/>
  <c r="B12734" i="1"/>
  <c r="C12734" i="1"/>
  <c r="B12735" i="1"/>
  <c r="C12735" i="1"/>
  <c r="B12736" i="1"/>
  <c r="C12736" i="1"/>
  <c r="B12737" i="1"/>
  <c r="C12737" i="1"/>
  <c r="B12738" i="1"/>
  <c r="C12738" i="1"/>
  <c r="B12739" i="1"/>
  <c r="C12739" i="1"/>
  <c r="B12740" i="1"/>
  <c r="C12740" i="1"/>
  <c r="B12741" i="1"/>
  <c r="C12741" i="1"/>
  <c r="B12742" i="1"/>
  <c r="C12742" i="1"/>
  <c r="B12743" i="1"/>
  <c r="C12743" i="1"/>
  <c r="B12744" i="1"/>
  <c r="C12744" i="1"/>
  <c r="B12745" i="1"/>
  <c r="C12745" i="1"/>
  <c r="B12746" i="1"/>
  <c r="C12746" i="1"/>
  <c r="B12747" i="1"/>
  <c r="C12747" i="1"/>
  <c r="B12748" i="1"/>
  <c r="C12748" i="1"/>
  <c r="B12749" i="1"/>
  <c r="C12749" i="1"/>
  <c r="B12750" i="1"/>
  <c r="C12750" i="1"/>
  <c r="B12751" i="1"/>
  <c r="C12751" i="1"/>
  <c r="B12752" i="1"/>
  <c r="C12752" i="1"/>
  <c r="B12753" i="1"/>
  <c r="C12753" i="1"/>
  <c r="B12754" i="1"/>
  <c r="C12754" i="1"/>
  <c r="B12755" i="1"/>
  <c r="C12755" i="1"/>
  <c r="B12756" i="1"/>
  <c r="C12756" i="1"/>
  <c r="B12757" i="1"/>
  <c r="C12757" i="1"/>
  <c r="B12758" i="1"/>
  <c r="C12758" i="1"/>
  <c r="B12759" i="1"/>
  <c r="C12759" i="1"/>
  <c r="B12760" i="1"/>
  <c r="C12760" i="1"/>
  <c r="B12761" i="1"/>
  <c r="C12761" i="1"/>
  <c r="B12762" i="1"/>
  <c r="C12762" i="1"/>
  <c r="B12763" i="1"/>
  <c r="C12763" i="1"/>
  <c r="B12764" i="1"/>
  <c r="C12764" i="1"/>
  <c r="B12765" i="1"/>
  <c r="C12765" i="1"/>
  <c r="B12766" i="1"/>
  <c r="C12766" i="1"/>
  <c r="B12767" i="1"/>
  <c r="C12767" i="1"/>
  <c r="B12768" i="1"/>
  <c r="C12768" i="1"/>
  <c r="B12769" i="1"/>
  <c r="C12769" i="1"/>
  <c r="B12770" i="1"/>
  <c r="C12770" i="1"/>
  <c r="B12771" i="1"/>
  <c r="C12771" i="1"/>
  <c r="B12772" i="1"/>
  <c r="C12772" i="1"/>
  <c r="B12773" i="1"/>
  <c r="C12773" i="1"/>
  <c r="B12774" i="1"/>
  <c r="C12774" i="1"/>
  <c r="B12775" i="1"/>
  <c r="C12775" i="1"/>
  <c r="B12776" i="1"/>
  <c r="C12776" i="1"/>
  <c r="B12777" i="1"/>
  <c r="C12777" i="1"/>
  <c r="B12778" i="1"/>
  <c r="C12778" i="1"/>
  <c r="B12779" i="1"/>
  <c r="C12779" i="1"/>
  <c r="B12780" i="1"/>
  <c r="C12780" i="1"/>
  <c r="B12781" i="1"/>
  <c r="C12781" i="1"/>
  <c r="B12782" i="1"/>
  <c r="C12782" i="1"/>
  <c r="B12783" i="1"/>
  <c r="C12783" i="1"/>
  <c r="B12784" i="1"/>
  <c r="C12784" i="1"/>
  <c r="B12785" i="1"/>
  <c r="C12785" i="1"/>
  <c r="B12786" i="1"/>
  <c r="C12786" i="1"/>
  <c r="B12787" i="1"/>
  <c r="C12787" i="1"/>
  <c r="B12788" i="1"/>
  <c r="C12788" i="1"/>
  <c r="B12789" i="1"/>
  <c r="C12789" i="1"/>
  <c r="B12790" i="1"/>
  <c r="C12790" i="1"/>
  <c r="B12791" i="1"/>
  <c r="C12791" i="1"/>
  <c r="B12792" i="1"/>
  <c r="C12792" i="1"/>
  <c r="B12793" i="1"/>
  <c r="C12793" i="1"/>
  <c r="B12794" i="1"/>
  <c r="C12794" i="1"/>
  <c r="B12795" i="1"/>
  <c r="C12795" i="1"/>
  <c r="B12796" i="1"/>
  <c r="C12796" i="1"/>
  <c r="B12797" i="1"/>
  <c r="C12797" i="1"/>
  <c r="B12798" i="1"/>
  <c r="C12798" i="1"/>
  <c r="B12799" i="1"/>
  <c r="C12799" i="1"/>
  <c r="B12800" i="1"/>
  <c r="C12800" i="1"/>
  <c r="B12801" i="1"/>
  <c r="C12801" i="1"/>
  <c r="B12802" i="1"/>
  <c r="C12802" i="1"/>
  <c r="B12803" i="1"/>
  <c r="C12803" i="1"/>
  <c r="B12804" i="1"/>
  <c r="C12804" i="1"/>
  <c r="B12805" i="1"/>
  <c r="C12805" i="1"/>
  <c r="B12806" i="1"/>
  <c r="C12806" i="1"/>
  <c r="B12807" i="1"/>
  <c r="C12807" i="1"/>
  <c r="B12808" i="1"/>
  <c r="C12808" i="1"/>
  <c r="B12809" i="1"/>
  <c r="C12809" i="1"/>
  <c r="B12810" i="1"/>
  <c r="C12810" i="1"/>
  <c r="B12811" i="1"/>
  <c r="C12811" i="1"/>
  <c r="B12812" i="1"/>
  <c r="C12812" i="1"/>
  <c r="B12813" i="1"/>
  <c r="C12813" i="1"/>
  <c r="B12814" i="1"/>
  <c r="C12814" i="1"/>
  <c r="B12815" i="1"/>
  <c r="C12815" i="1"/>
  <c r="B12816" i="1"/>
  <c r="C12816" i="1"/>
  <c r="B12817" i="1"/>
  <c r="C12817" i="1"/>
  <c r="B12818" i="1"/>
  <c r="C12818" i="1"/>
  <c r="B12819" i="1"/>
  <c r="C12819" i="1"/>
  <c r="B12820" i="1"/>
  <c r="C12820" i="1"/>
  <c r="B12821" i="1"/>
  <c r="C12821" i="1"/>
  <c r="B12822" i="1"/>
  <c r="C12822" i="1"/>
  <c r="B12823" i="1"/>
  <c r="C12823" i="1"/>
  <c r="B12824" i="1"/>
  <c r="C12824" i="1"/>
  <c r="B12825" i="1"/>
  <c r="C12825" i="1"/>
  <c r="B12826" i="1"/>
  <c r="C12826" i="1"/>
  <c r="B12827" i="1"/>
  <c r="C12827" i="1"/>
  <c r="B12828" i="1"/>
  <c r="C12828" i="1"/>
  <c r="B12829" i="1"/>
  <c r="C12829" i="1"/>
  <c r="B12830" i="1"/>
  <c r="C12830" i="1"/>
  <c r="B12831" i="1"/>
  <c r="C12831" i="1"/>
  <c r="B12832" i="1"/>
  <c r="C12832" i="1"/>
  <c r="B12833" i="1"/>
  <c r="C12833" i="1"/>
  <c r="B12834" i="1"/>
  <c r="C12834" i="1"/>
  <c r="B12835" i="1"/>
  <c r="C12835" i="1"/>
  <c r="B12836" i="1"/>
  <c r="C12836" i="1"/>
  <c r="B12837" i="1"/>
  <c r="C12837" i="1"/>
  <c r="B12838" i="1"/>
  <c r="C12838" i="1"/>
  <c r="B12839" i="1"/>
  <c r="C12839" i="1"/>
  <c r="B12840" i="1"/>
  <c r="C12840" i="1"/>
  <c r="B12841" i="1"/>
  <c r="C12841" i="1"/>
  <c r="B12842" i="1"/>
  <c r="C12842" i="1"/>
  <c r="B12843" i="1"/>
  <c r="C12843" i="1"/>
  <c r="B12844" i="1"/>
  <c r="C12844" i="1"/>
  <c r="B12845" i="1"/>
  <c r="C12845" i="1"/>
  <c r="B12846" i="1"/>
  <c r="C12846" i="1"/>
  <c r="B12847" i="1"/>
  <c r="C12847" i="1"/>
  <c r="B12848" i="1"/>
  <c r="C12848" i="1"/>
  <c r="B12849" i="1"/>
  <c r="C12849" i="1"/>
  <c r="B12850" i="1"/>
  <c r="C12850" i="1"/>
  <c r="B12851" i="1"/>
  <c r="C12851" i="1"/>
  <c r="B12852" i="1"/>
  <c r="C12852" i="1"/>
  <c r="B12853" i="1"/>
  <c r="C12853" i="1"/>
  <c r="B12854" i="1"/>
  <c r="C12854" i="1"/>
  <c r="B12855" i="1"/>
  <c r="C12855" i="1"/>
  <c r="B12856" i="1"/>
  <c r="C12856" i="1"/>
  <c r="B12857" i="1"/>
  <c r="C12857" i="1"/>
  <c r="B12858" i="1"/>
  <c r="C12858" i="1"/>
  <c r="B12859" i="1"/>
  <c r="C12859" i="1"/>
  <c r="B12860" i="1"/>
  <c r="C12860" i="1"/>
  <c r="B12861" i="1"/>
  <c r="C12861" i="1"/>
  <c r="B12862" i="1"/>
  <c r="C12862" i="1"/>
  <c r="B12863" i="1"/>
  <c r="C12863" i="1"/>
  <c r="B12864" i="1"/>
  <c r="C12864" i="1"/>
  <c r="B12865" i="1"/>
  <c r="C12865" i="1"/>
  <c r="B12866" i="1"/>
  <c r="C12866" i="1"/>
  <c r="B12867" i="1"/>
  <c r="C12867" i="1"/>
  <c r="B12868" i="1"/>
  <c r="C12868" i="1"/>
  <c r="B12869" i="1"/>
  <c r="C12869" i="1"/>
  <c r="B12870" i="1"/>
  <c r="C12870" i="1"/>
  <c r="B12871" i="1"/>
  <c r="C12871" i="1"/>
  <c r="B12872" i="1"/>
  <c r="C12872" i="1"/>
  <c r="B12873" i="1"/>
  <c r="C12873" i="1"/>
  <c r="B12874" i="1"/>
  <c r="C12874" i="1"/>
  <c r="B12875" i="1"/>
  <c r="C12875" i="1"/>
  <c r="B12876" i="1"/>
  <c r="C12876" i="1"/>
  <c r="B12877" i="1"/>
  <c r="C12877" i="1"/>
  <c r="B12878" i="1"/>
  <c r="C12878" i="1"/>
  <c r="B12879" i="1"/>
  <c r="C12879" i="1"/>
  <c r="B12880" i="1"/>
  <c r="C12880" i="1"/>
  <c r="B12881" i="1"/>
  <c r="C12881" i="1"/>
  <c r="B12882" i="1"/>
  <c r="C12882" i="1"/>
  <c r="B12883" i="1"/>
  <c r="C12883" i="1"/>
  <c r="B12884" i="1"/>
  <c r="C12884" i="1"/>
  <c r="B12885" i="1"/>
  <c r="C12885" i="1"/>
  <c r="B12886" i="1"/>
  <c r="C12886" i="1"/>
  <c r="B12887" i="1"/>
  <c r="C12887" i="1"/>
  <c r="B12888" i="1"/>
  <c r="C12888" i="1"/>
  <c r="B12889" i="1"/>
  <c r="C12889" i="1"/>
  <c r="B12890" i="1"/>
  <c r="C12890" i="1"/>
  <c r="B12891" i="1"/>
  <c r="C12891" i="1"/>
  <c r="B12892" i="1"/>
  <c r="C12892" i="1"/>
  <c r="B12893" i="1"/>
  <c r="C12893" i="1"/>
  <c r="B12894" i="1"/>
  <c r="C12894" i="1"/>
  <c r="B12895" i="1"/>
  <c r="C12895" i="1"/>
  <c r="B12896" i="1"/>
  <c r="C12896" i="1"/>
  <c r="B12897" i="1"/>
  <c r="C12897" i="1"/>
  <c r="B12898" i="1"/>
  <c r="C12898" i="1"/>
  <c r="B12899" i="1"/>
  <c r="C12899" i="1"/>
  <c r="B12900" i="1"/>
  <c r="C12900" i="1"/>
  <c r="B12901" i="1"/>
  <c r="C12901" i="1"/>
  <c r="B12902" i="1"/>
  <c r="C12902" i="1"/>
  <c r="B12903" i="1"/>
  <c r="C12903" i="1"/>
  <c r="B12904" i="1"/>
  <c r="C12904" i="1"/>
  <c r="B12905" i="1"/>
  <c r="C12905" i="1"/>
  <c r="B12906" i="1"/>
  <c r="C12906" i="1"/>
  <c r="B12907" i="1"/>
  <c r="C12907" i="1"/>
  <c r="B12908" i="1"/>
  <c r="C12908" i="1"/>
  <c r="B12909" i="1"/>
  <c r="C12909" i="1"/>
  <c r="B12910" i="1"/>
  <c r="C12910" i="1"/>
  <c r="B12911" i="1"/>
  <c r="C12911" i="1"/>
  <c r="B12912" i="1"/>
  <c r="C12912" i="1"/>
  <c r="B12913" i="1"/>
  <c r="C12913" i="1"/>
  <c r="B12914" i="1"/>
  <c r="C12914" i="1"/>
  <c r="B12915" i="1"/>
  <c r="C12915" i="1"/>
  <c r="B12916" i="1"/>
  <c r="C12916" i="1"/>
  <c r="B12917" i="1"/>
  <c r="C12917" i="1"/>
  <c r="B12918" i="1"/>
  <c r="C12918" i="1"/>
  <c r="B12919" i="1"/>
  <c r="C12919" i="1"/>
  <c r="B12920" i="1"/>
  <c r="C12920" i="1"/>
  <c r="B12921" i="1"/>
  <c r="C12921" i="1"/>
  <c r="B12922" i="1"/>
  <c r="C12922" i="1"/>
  <c r="B12923" i="1"/>
  <c r="C12923" i="1"/>
  <c r="B12924" i="1"/>
  <c r="C12924" i="1"/>
  <c r="B12925" i="1"/>
  <c r="C12925" i="1"/>
  <c r="B12926" i="1"/>
  <c r="C12926" i="1"/>
  <c r="B12927" i="1"/>
  <c r="C12927" i="1"/>
  <c r="B12928" i="1"/>
  <c r="C12928" i="1"/>
  <c r="B12929" i="1"/>
  <c r="C12929" i="1"/>
  <c r="B12930" i="1"/>
  <c r="C12930" i="1"/>
  <c r="B12931" i="1"/>
  <c r="C12931" i="1"/>
  <c r="B12932" i="1"/>
  <c r="C12932" i="1"/>
  <c r="B12933" i="1"/>
  <c r="C12933" i="1"/>
  <c r="B12934" i="1"/>
  <c r="C12934" i="1"/>
  <c r="B12935" i="1"/>
  <c r="C12935" i="1"/>
  <c r="B12936" i="1"/>
  <c r="C12936" i="1"/>
  <c r="B12937" i="1"/>
  <c r="C12937" i="1"/>
  <c r="B12938" i="1"/>
  <c r="C12938" i="1"/>
  <c r="B12939" i="1"/>
  <c r="C12939" i="1"/>
  <c r="B12940" i="1"/>
  <c r="C12940" i="1"/>
  <c r="B12941" i="1"/>
  <c r="C12941" i="1"/>
  <c r="B12942" i="1"/>
  <c r="C12942" i="1"/>
  <c r="B12943" i="1"/>
  <c r="C12943" i="1"/>
  <c r="B12944" i="1"/>
  <c r="C12944" i="1"/>
  <c r="B12945" i="1"/>
  <c r="C12945" i="1"/>
  <c r="B12946" i="1"/>
  <c r="C12946" i="1"/>
  <c r="B12947" i="1"/>
  <c r="C12947" i="1"/>
  <c r="B12948" i="1"/>
  <c r="C12948" i="1"/>
  <c r="B12949" i="1"/>
  <c r="C12949" i="1"/>
  <c r="B12950" i="1"/>
  <c r="C12950" i="1"/>
  <c r="B12951" i="1"/>
  <c r="C12951" i="1"/>
  <c r="B12952" i="1"/>
  <c r="C12952" i="1"/>
  <c r="B12953" i="1"/>
  <c r="C12953" i="1"/>
  <c r="B12954" i="1"/>
  <c r="C12954" i="1"/>
  <c r="B12955" i="1"/>
  <c r="C12955" i="1"/>
  <c r="B12956" i="1"/>
  <c r="C12956" i="1"/>
  <c r="B12957" i="1"/>
  <c r="C12957" i="1"/>
  <c r="B12958" i="1"/>
  <c r="C12958" i="1"/>
  <c r="B12959" i="1"/>
  <c r="C12959" i="1"/>
  <c r="B12960" i="1"/>
  <c r="C12960" i="1"/>
  <c r="B12961" i="1"/>
  <c r="C12961" i="1"/>
  <c r="B12962" i="1"/>
  <c r="C12962" i="1"/>
  <c r="B12963" i="1"/>
  <c r="C12963" i="1"/>
  <c r="B12964" i="1"/>
  <c r="C12964" i="1"/>
  <c r="B12965" i="1"/>
  <c r="C12965" i="1"/>
  <c r="B12966" i="1"/>
  <c r="C12966" i="1"/>
  <c r="B12967" i="1"/>
  <c r="C12967" i="1"/>
  <c r="B12968" i="1"/>
  <c r="C12968" i="1"/>
  <c r="B12969" i="1"/>
  <c r="C12969" i="1"/>
  <c r="B12970" i="1"/>
  <c r="C12970" i="1"/>
  <c r="B12971" i="1"/>
  <c r="C12971" i="1"/>
  <c r="B12972" i="1"/>
  <c r="C12972" i="1"/>
  <c r="B12973" i="1"/>
  <c r="C12973" i="1"/>
  <c r="B12974" i="1"/>
  <c r="C12974" i="1"/>
  <c r="B12975" i="1"/>
  <c r="C12975" i="1"/>
  <c r="B12976" i="1"/>
  <c r="C12976" i="1"/>
  <c r="B12977" i="1"/>
  <c r="C12977" i="1"/>
  <c r="B12978" i="1"/>
  <c r="C12978" i="1"/>
  <c r="B12979" i="1"/>
  <c r="C12979" i="1"/>
  <c r="B12980" i="1"/>
  <c r="C12980" i="1"/>
  <c r="B12981" i="1"/>
  <c r="C12981" i="1"/>
  <c r="B12982" i="1"/>
  <c r="C12982" i="1"/>
  <c r="B12983" i="1"/>
  <c r="C12983" i="1"/>
  <c r="B12984" i="1"/>
  <c r="C12984" i="1"/>
  <c r="B12985" i="1"/>
  <c r="C12985" i="1"/>
  <c r="B12986" i="1"/>
  <c r="C12986" i="1"/>
  <c r="B12987" i="1"/>
  <c r="C12987" i="1"/>
  <c r="B12988" i="1"/>
  <c r="C12988" i="1"/>
  <c r="B12989" i="1"/>
  <c r="C12989" i="1"/>
  <c r="B12990" i="1"/>
  <c r="C12990" i="1"/>
  <c r="B12991" i="1"/>
  <c r="C12991" i="1"/>
  <c r="B12992" i="1"/>
  <c r="C12992" i="1"/>
  <c r="B12993" i="1"/>
  <c r="C12993" i="1"/>
  <c r="B12994" i="1"/>
  <c r="C12994" i="1"/>
  <c r="B12995" i="1"/>
  <c r="C12995" i="1"/>
  <c r="B12996" i="1"/>
  <c r="C12996" i="1"/>
  <c r="B12997" i="1"/>
  <c r="C12997" i="1"/>
  <c r="B12998" i="1"/>
  <c r="C12998" i="1"/>
  <c r="B12999" i="1"/>
  <c r="C12999" i="1"/>
  <c r="B13000" i="1"/>
  <c r="C13000" i="1"/>
  <c r="B13001" i="1"/>
  <c r="C13001" i="1"/>
  <c r="B13002" i="1"/>
  <c r="C13002" i="1"/>
  <c r="B13003" i="1"/>
  <c r="C13003" i="1"/>
  <c r="B13004" i="1"/>
  <c r="C13004" i="1"/>
  <c r="B13005" i="1"/>
  <c r="C13005" i="1"/>
  <c r="B13006" i="1"/>
  <c r="C13006" i="1"/>
  <c r="B13007" i="1"/>
  <c r="C13007" i="1"/>
  <c r="B13008" i="1"/>
  <c r="C13008" i="1"/>
  <c r="B13009" i="1"/>
  <c r="C13009" i="1"/>
  <c r="B13010" i="1"/>
  <c r="C13010" i="1"/>
  <c r="B13011" i="1"/>
  <c r="C13011" i="1"/>
  <c r="B13012" i="1"/>
  <c r="C13012" i="1"/>
  <c r="B13013" i="1"/>
  <c r="C13013" i="1"/>
  <c r="B13014" i="1"/>
  <c r="C13014" i="1"/>
  <c r="B13015" i="1"/>
  <c r="C13015" i="1"/>
  <c r="B13016" i="1"/>
  <c r="C13016" i="1"/>
  <c r="B13017" i="1"/>
  <c r="C13017" i="1"/>
  <c r="B13018" i="1"/>
  <c r="C13018" i="1"/>
  <c r="B13019" i="1"/>
  <c r="C13019" i="1"/>
  <c r="B13020" i="1"/>
  <c r="C13020" i="1"/>
  <c r="B13021" i="1"/>
  <c r="C13021" i="1"/>
  <c r="B13022" i="1"/>
  <c r="C13022" i="1"/>
  <c r="B13023" i="1"/>
  <c r="C13023" i="1"/>
  <c r="B13024" i="1"/>
  <c r="C13024" i="1"/>
  <c r="B13025" i="1"/>
  <c r="C13025" i="1"/>
  <c r="B13026" i="1"/>
  <c r="C13026" i="1"/>
  <c r="B13027" i="1"/>
  <c r="C13027" i="1"/>
  <c r="B13028" i="1"/>
  <c r="C13028" i="1"/>
  <c r="B13029" i="1"/>
  <c r="C13029" i="1"/>
  <c r="B13030" i="1"/>
  <c r="C13030" i="1"/>
  <c r="B13031" i="1"/>
  <c r="C13031" i="1"/>
  <c r="B13032" i="1"/>
  <c r="C13032" i="1"/>
  <c r="B13033" i="1"/>
  <c r="C13033" i="1"/>
  <c r="B13034" i="1"/>
  <c r="C13034" i="1"/>
  <c r="B13035" i="1"/>
  <c r="C13035" i="1"/>
  <c r="B13036" i="1"/>
  <c r="C13036" i="1"/>
  <c r="B13037" i="1"/>
  <c r="C13037" i="1"/>
  <c r="B13038" i="1"/>
  <c r="C13038" i="1"/>
  <c r="B13039" i="1"/>
  <c r="C13039" i="1"/>
  <c r="B13040" i="1"/>
  <c r="C13040" i="1"/>
  <c r="B13041" i="1"/>
  <c r="C13041" i="1"/>
  <c r="B13042" i="1"/>
  <c r="C13042" i="1"/>
  <c r="B13043" i="1"/>
  <c r="C13043" i="1"/>
  <c r="B13044" i="1"/>
  <c r="C13044" i="1"/>
  <c r="B13045" i="1"/>
  <c r="C13045" i="1"/>
  <c r="B13046" i="1"/>
  <c r="C13046" i="1"/>
  <c r="B13047" i="1"/>
  <c r="C13047" i="1"/>
  <c r="B13048" i="1"/>
  <c r="C13048" i="1"/>
  <c r="B13049" i="1"/>
  <c r="C13049" i="1"/>
  <c r="B13050" i="1"/>
  <c r="C13050" i="1"/>
  <c r="B13051" i="1"/>
  <c r="C13051" i="1"/>
  <c r="B13052" i="1"/>
  <c r="C13052" i="1"/>
  <c r="B13053" i="1"/>
  <c r="C13053" i="1"/>
  <c r="B13054" i="1"/>
  <c r="C13054" i="1"/>
  <c r="B13055" i="1"/>
  <c r="C13055" i="1"/>
  <c r="B13056" i="1"/>
  <c r="C13056" i="1"/>
  <c r="B13057" i="1"/>
  <c r="C13057" i="1"/>
  <c r="B13058" i="1"/>
  <c r="C13058" i="1"/>
  <c r="B13059" i="1"/>
  <c r="C13059" i="1"/>
  <c r="B13060" i="1"/>
  <c r="C13060" i="1"/>
  <c r="B13061" i="1"/>
  <c r="C13061" i="1"/>
  <c r="B13062" i="1"/>
  <c r="C13062" i="1"/>
  <c r="B13063" i="1"/>
  <c r="C13063" i="1"/>
  <c r="B13064" i="1"/>
  <c r="C13064" i="1"/>
  <c r="B13065" i="1"/>
  <c r="C13065" i="1"/>
  <c r="B13066" i="1"/>
  <c r="C13066" i="1"/>
  <c r="B13067" i="1"/>
  <c r="C13067" i="1"/>
  <c r="B13068" i="1"/>
  <c r="C13068" i="1"/>
  <c r="B13069" i="1"/>
  <c r="C13069" i="1"/>
  <c r="B13070" i="1"/>
  <c r="C13070" i="1"/>
  <c r="B13071" i="1"/>
  <c r="C13071" i="1"/>
  <c r="B13072" i="1"/>
  <c r="C13072" i="1"/>
  <c r="B13073" i="1"/>
  <c r="C13073" i="1"/>
  <c r="B13074" i="1"/>
  <c r="C13074" i="1"/>
  <c r="B13075" i="1"/>
  <c r="C13075" i="1"/>
  <c r="B13076" i="1"/>
  <c r="C13076" i="1"/>
  <c r="B13077" i="1"/>
  <c r="C13077" i="1"/>
  <c r="B13078" i="1"/>
  <c r="C13078" i="1"/>
  <c r="B13079" i="1"/>
  <c r="C13079" i="1"/>
  <c r="B13080" i="1"/>
  <c r="C13080" i="1"/>
  <c r="B13081" i="1"/>
  <c r="C13081" i="1"/>
  <c r="B13082" i="1"/>
  <c r="C13082" i="1"/>
  <c r="B13083" i="1"/>
  <c r="C13083" i="1"/>
  <c r="B13084" i="1"/>
  <c r="C13084" i="1"/>
  <c r="B13085" i="1"/>
  <c r="C13085" i="1"/>
  <c r="B13086" i="1"/>
  <c r="C13086" i="1"/>
  <c r="B13087" i="1"/>
  <c r="C13087" i="1"/>
  <c r="B13088" i="1"/>
  <c r="C13088" i="1"/>
  <c r="B13089" i="1"/>
  <c r="C13089" i="1"/>
  <c r="B13090" i="1"/>
  <c r="C13090" i="1"/>
  <c r="B13091" i="1"/>
  <c r="C13091" i="1"/>
  <c r="B13092" i="1"/>
  <c r="C13092" i="1"/>
  <c r="B13093" i="1"/>
  <c r="C13093" i="1"/>
  <c r="B13094" i="1"/>
  <c r="C13094" i="1"/>
  <c r="B13095" i="1"/>
  <c r="C13095" i="1"/>
  <c r="B13096" i="1"/>
  <c r="C13096" i="1"/>
  <c r="B13097" i="1"/>
  <c r="C13097" i="1"/>
  <c r="B13098" i="1"/>
  <c r="C13098" i="1"/>
  <c r="B13099" i="1"/>
  <c r="C13099" i="1"/>
  <c r="B13100" i="1"/>
  <c r="C13100" i="1"/>
  <c r="B13101" i="1"/>
  <c r="C13101" i="1"/>
  <c r="B13102" i="1"/>
  <c r="C13102" i="1"/>
  <c r="B13103" i="1"/>
  <c r="C13103" i="1"/>
  <c r="B13104" i="1"/>
  <c r="C13104" i="1"/>
  <c r="B13105" i="1"/>
  <c r="C13105" i="1"/>
  <c r="B13106" i="1"/>
  <c r="C13106" i="1"/>
  <c r="B13107" i="1"/>
  <c r="C13107" i="1"/>
  <c r="B13108" i="1"/>
  <c r="C13108" i="1"/>
  <c r="B13109" i="1"/>
  <c r="C13109" i="1"/>
  <c r="B13110" i="1"/>
  <c r="C13110" i="1"/>
  <c r="B13111" i="1"/>
  <c r="C13111" i="1"/>
  <c r="B13112" i="1"/>
  <c r="C13112" i="1"/>
  <c r="B13113" i="1"/>
  <c r="C13113" i="1"/>
  <c r="B13114" i="1"/>
  <c r="C13114" i="1"/>
  <c r="B13115" i="1"/>
  <c r="C13115" i="1"/>
  <c r="B13116" i="1"/>
  <c r="C13116" i="1"/>
  <c r="B13117" i="1"/>
  <c r="C13117" i="1"/>
  <c r="B13118" i="1"/>
  <c r="C13118" i="1"/>
  <c r="B13119" i="1"/>
  <c r="C13119" i="1"/>
  <c r="B13120" i="1"/>
  <c r="C13120" i="1"/>
  <c r="B13121" i="1"/>
  <c r="C13121" i="1"/>
  <c r="B13122" i="1"/>
  <c r="C13122" i="1"/>
  <c r="B13123" i="1"/>
  <c r="C13123" i="1"/>
  <c r="B13124" i="1"/>
  <c r="C13124" i="1"/>
  <c r="B13125" i="1"/>
  <c r="C13125" i="1"/>
  <c r="B13126" i="1"/>
  <c r="C13126" i="1"/>
  <c r="B13127" i="1"/>
  <c r="C13127" i="1"/>
  <c r="B13128" i="1"/>
  <c r="C13128" i="1"/>
  <c r="B13129" i="1"/>
  <c r="C13129" i="1"/>
  <c r="B13130" i="1"/>
  <c r="C13130" i="1"/>
  <c r="B13131" i="1"/>
  <c r="C13131" i="1"/>
  <c r="B13132" i="1"/>
  <c r="C13132" i="1"/>
  <c r="B13133" i="1"/>
  <c r="C13133" i="1"/>
  <c r="B13134" i="1"/>
  <c r="C13134" i="1"/>
  <c r="B13135" i="1"/>
  <c r="C13135" i="1"/>
  <c r="B13136" i="1"/>
  <c r="C13136" i="1"/>
  <c r="B13137" i="1"/>
  <c r="C13137" i="1"/>
  <c r="B13138" i="1"/>
  <c r="C13138" i="1"/>
  <c r="B13139" i="1"/>
  <c r="C13139" i="1"/>
  <c r="B13140" i="1"/>
  <c r="C13140" i="1"/>
  <c r="B13141" i="1"/>
  <c r="C13141" i="1"/>
  <c r="B13142" i="1"/>
  <c r="C13142" i="1"/>
  <c r="B13143" i="1"/>
  <c r="C13143" i="1"/>
  <c r="B13144" i="1"/>
  <c r="C13144" i="1"/>
  <c r="B13145" i="1"/>
  <c r="C13145" i="1"/>
  <c r="B13146" i="1"/>
  <c r="C13146" i="1"/>
  <c r="B13147" i="1"/>
  <c r="C13147" i="1"/>
  <c r="B13148" i="1"/>
  <c r="C13148" i="1"/>
  <c r="B13149" i="1"/>
  <c r="C13149" i="1"/>
  <c r="B13150" i="1"/>
  <c r="C13150" i="1"/>
  <c r="B13151" i="1"/>
  <c r="C13151" i="1"/>
  <c r="B13152" i="1"/>
  <c r="C13152" i="1"/>
  <c r="B13153" i="1"/>
  <c r="C13153" i="1"/>
  <c r="B13154" i="1"/>
  <c r="C13154" i="1"/>
  <c r="B13155" i="1"/>
  <c r="C13155" i="1"/>
  <c r="B13156" i="1"/>
  <c r="C13156" i="1"/>
  <c r="B13157" i="1"/>
  <c r="C13157" i="1"/>
  <c r="B13158" i="1"/>
  <c r="C13158" i="1"/>
  <c r="B13159" i="1"/>
  <c r="C13159" i="1"/>
  <c r="B13160" i="1"/>
  <c r="C13160" i="1"/>
  <c r="B13161" i="1"/>
  <c r="C13161" i="1"/>
  <c r="B13162" i="1"/>
  <c r="C13162" i="1"/>
  <c r="B13163" i="1"/>
  <c r="C13163" i="1"/>
  <c r="B13164" i="1"/>
  <c r="C13164" i="1"/>
  <c r="B13165" i="1"/>
  <c r="C13165" i="1"/>
  <c r="B13166" i="1"/>
  <c r="C13166" i="1"/>
  <c r="B13167" i="1"/>
  <c r="C13167" i="1"/>
  <c r="B13168" i="1"/>
  <c r="C13168" i="1"/>
  <c r="B13169" i="1"/>
  <c r="C13169" i="1"/>
  <c r="B13170" i="1"/>
  <c r="C13170" i="1"/>
  <c r="B13171" i="1"/>
  <c r="C13171" i="1"/>
  <c r="B13172" i="1"/>
  <c r="C13172" i="1"/>
  <c r="B13173" i="1"/>
  <c r="C13173" i="1"/>
  <c r="B13174" i="1"/>
  <c r="C13174" i="1"/>
  <c r="B13175" i="1"/>
  <c r="C13175" i="1"/>
  <c r="B13176" i="1"/>
  <c r="C13176" i="1"/>
  <c r="B13177" i="1"/>
  <c r="C13177" i="1"/>
  <c r="B13178" i="1"/>
  <c r="C13178" i="1"/>
  <c r="B13179" i="1"/>
  <c r="C13179" i="1"/>
  <c r="B13180" i="1"/>
  <c r="C13180" i="1"/>
  <c r="B13181" i="1"/>
  <c r="C13181" i="1"/>
  <c r="B13182" i="1"/>
  <c r="C13182" i="1"/>
  <c r="B13183" i="1"/>
  <c r="C13183" i="1"/>
  <c r="B13184" i="1"/>
  <c r="C13184" i="1"/>
  <c r="B13185" i="1"/>
  <c r="C13185" i="1"/>
  <c r="B13186" i="1"/>
  <c r="C13186" i="1"/>
  <c r="B13187" i="1"/>
  <c r="C13187" i="1"/>
  <c r="B13188" i="1"/>
  <c r="C13188" i="1"/>
  <c r="B13189" i="1"/>
  <c r="C13189" i="1"/>
  <c r="B13190" i="1"/>
  <c r="C13190" i="1"/>
  <c r="B13191" i="1"/>
  <c r="C13191" i="1"/>
  <c r="B13192" i="1"/>
  <c r="C13192" i="1"/>
  <c r="B13193" i="1"/>
  <c r="C13193" i="1"/>
  <c r="B13194" i="1"/>
  <c r="C13194" i="1"/>
  <c r="B13195" i="1"/>
  <c r="C13195" i="1"/>
  <c r="B13196" i="1"/>
  <c r="C13196" i="1"/>
  <c r="B13197" i="1"/>
  <c r="C13197" i="1"/>
  <c r="B13198" i="1"/>
  <c r="C13198" i="1"/>
  <c r="B13199" i="1"/>
  <c r="C13199" i="1"/>
  <c r="B13200" i="1"/>
  <c r="C13200" i="1"/>
  <c r="B13201" i="1"/>
  <c r="C13201" i="1"/>
  <c r="B13202" i="1"/>
  <c r="C13202" i="1"/>
  <c r="B13203" i="1"/>
  <c r="C13203" i="1"/>
  <c r="B13204" i="1"/>
  <c r="C13204" i="1"/>
  <c r="B13205" i="1"/>
  <c r="C13205" i="1"/>
  <c r="B13206" i="1"/>
  <c r="C13206" i="1"/>
  <c r="B13207" i="1"/>
  <c r="C13207" i="1"/>
  <c r="B13208" i="1"/>
  <c r="C13208" i="1"/>
  <c r="B13209" i="1"/>
  <c r="C13209" i="1"/>
  <c r="B13210" i="1"/>
  <c r="C13210" i="1"/>
  <c r="B13211" i="1"/>
  <c r="C13211" i="1"/>
  <c r="B13212" i="1"/>
  <c r="C13212" i="1"/>
  <c r="B13213" i="1"/>
  <c r="C13213" i="1"/>
  <c r="B13214" i="1"/>
  <c r="C13214" i="1"/>
  <c r="B13215" i="1"/>
  <c r="C13215" i="1"/>
  <c r="B13216" i="1"/>
  <c r="C13216" i="1"/>
  <c r="B13217" i="1"/>
  <c r="C13217" i="1"/>
  <c r="B13218" i="1"/>
  <c r="C13218" i="1"/>
  <c r="B13219" i="1"/>
  <c r="C13219" i="1"/>
  <c r="B13220" i="1"/>
  <c r="C13220" i="1"/>
  <c r="B13221" i="1"/>
  <c r="C13221" i="1"/>
  <c r="B13222" i="1"/>
  <c r="C13222" i="1"/>
  <c r="B13223" i="1"/>
  <c r="C13223" i="1"/>
  <c r="B13224" i="1"/>
  <c r="C13224" i="1"/>
  <c r="B13225" i="1"/>
  <c r="C13225" i="1"/>
  <c r="B13226" i="1"/>
  <c r="C13226" i="1"/>
  <c r="B13227" i="1"/>
  <c r="C13227" i="1"/>
  <c r="B13228" i="1"/>
  <c r="C13228" i="1"/>
  <c r="B13229" i="1"/>
  <c r="C13229" i="1"/>
  <c r="B13230" i="1"/>
  <c r="C13230" i="1"/>
  <c r="B13231" i="1"/>
  <c r="C13231" i="1"/>
  <c r="B13232" i="1"/>
  <c r="C13232" i="1"/>
  <c r="B13233" i="1"/>
  <c r="C13233" i="1"/>
  <c r="B13234" i="1"/>
  <c r="C13234" i="1"/>
  <c r="B13235" i="1"/>
  <c r="C13235" i="1"/>
  <c r="B13236" i="1"/>
  <c r="C13236" i="1"/>
  <c r="B13237" i="1"/>
  <c r="C13237" i="1"/>
  <c r="B13238" i="1"/>
  <c r="C13238" i="1"/>
  <c r="B13239" i="1"/>
  <c r="C13239" i="1"/>
  <c r="B13240" i="1"/>
  <c r="C13240" i="1"/>
  <c r="B13241" i="1"/>
  <c r="C13241" i="1"/>
  <c r="B13242" i="1"/>
  <c r="C13242" i="1"/>
  <c r="B13243" i="1"/>
  <c r="C13243" i="1"/>
  <c r="B13244" i="1"/>
  <c r="C13244" i="1"/>
  <c r="B13245" i="1"/>
  <c r="C13245" i="1"/>
  <c r="B13246" i="1"/>
  <c r="C13246" i="1"/>
  <c r="B13247" i="1"/>
  <c r="C13247" i="1"/>
  <c r="B13248" i="1"/>
  <c r="C13248" i="1"/>
  <c r="B13249" i="1"/>
  <c r="C13249" i="1"/>
  <c r="B13250" i="1"/>
  <c r="C13250" i="1"/>
  <c r="B13251" i="1"/>
  <c r="C13251" i="1"/>
  <c r="B13252" i="1"/>
  <c r="C13252" i="1"/>
  <c r="B13253" i="1"/>
  <c r="C13253" i="1"/>
  <c r="B13254" i="1"/>
  <c r="C13254" i="1"/>
  <c r="B13255" i="1"/>
  <c r="C13255" i="1"/>
  <c r="B13256" i="1"/>
  <c r="C13256" i="1"/>
  <c r="B13257" i="1"/>
  <c r="C13257" i="1"/>
  <c r="B13258" i="1"/>
  <c r="C13258" i="1"/>
  <c r="B13259" i="1"/>
  <c r="C13259" i="1"/>
  <c r="B13260" i="1"/>
  <c r="C13260" i="1"/>
  <c r="B13261" i="1"/>
  <c r="C13261" i="1"/>
  <c r="B13262" i="1"/>
  <c r="C13262" i="1"/>
  <c r="B13263" i="1"/>
  <c r="C13263" i="1"/>
  <c r="B13264" i="1"/>
  <c r="C13264" i="1"/>
  <c r="B13265" i="1"/>
  <c r="C13265" i="1"/>
  <c r="B13266" i="1"/>
  <c r="C13266" i="1"/>
  <c r="B13267" i="1"/>
  <c r="C13267" i="1"/>
  <c r="B13268" i="1"/>
  <c r="C13268" i="1"/>
  <c r="B13269" i="1"/>
  <c r="C13269" i="1"/>
  <c r="B13270" i="1"/>
  <c r="C13270" i="1"/>
  <c r="B13271" i="1"/>
  <c r="C13271" i="1"/>
  <c r="B13272" i="1"/>
  <c r="C13272" i="1"/>
  <c r="B13273" i="1"/>
  <c r="C13273" i="1"/>
  <c r="B13274" i="1"/>
  <c r="C13274" i="1"/>
  <c r="B13275" i="1"/>
  <c r="C13275" i="1"/>
  <c r="B13276" i="1"/>
  <c r="C13276" i="1"/>
  <c r="B13277" i="1"/>
  <c r="C13277" i="1"/>
  <c r="B13278" i="1"/>
  <c r="C13278" i="1"/>
  <c r="B13279" i="1"/>
  <c r="C13279" i="1"/>
  <c r="B13280" i="1"/>
  <c r="C13280" i="1"/>
  <c r="B13281" i="1"/>
  <c r="C13281" i="1"/>
  <c r="B13282" i="1"/>
  <c r="C13282" i="1"/>
  <c r="B13283" i="1"/>
  <c r="C13283" i="1"/>
  <c r="B13284" i="1"/>
  <c r="C13284" i="1"/>
  <c r="B13285" i="1"/>
  <c r="C13285" i="1"/>
  <c r="B13286" i="1"/>
  <c r="C13286" i="1"/>
  <c r="B13287" i="1"/>
  <c r="C13287" i="1"/>
  <c r="B13288" i="1"/>
  <c r="C13288" i="1"/>
  <c r="B13289" i="1"/>
  <c r="C13289" i="1"/>
  <c r="B13290" i="1"/>
  <c r="C13290" i="1"/>
  <c r="B13291" i="1"/>
  <c r="C13291" i="1"/>
  <c r="B13292" i="1"/>
  <c r="C13292" i="1"/>
  <c r="B13293" i="1"/>
  <c r="C13293" i="1"/>
  <c r="B13294" i="1"/>
  <c r="C13294" i="1"/>
  <c r="B13295" i="1"/>
  <c r="C13295" i="1"/>
  <c r="B13296" i="1"/>
  <c r="C13296" i="1"/>
  <c r="B13297" i="1"/>
  <c r="C13297" i="1"/>
  <c r="B13298" i="1"/>
  <c r="C13298" i="1"/>
  <c r="B13299" i="1"/>
  <c r="C13299" i="1"/>
  <c r="B13300" i="1"/>
  <c r="C13300" i="1"/>
  <c r="B13301" i="1"/>
  <c r="C13301" i="1"/>
  <c r="B13302" i="1"/>
  <c r="C13302" i="1"/>
  <c r="B13303" i="1"/>
  <c r="C13303" i="1"/>
  <c r="B13304" i="1"/>
  <c r="C13304" i="1"/>
  <c r="B13305" i="1"/>
  <c r="C13305" i="1"/>
  <c r="B13306" i="1"/>
  <c r="C13306" i="1"/>
  <c r="B13307" i="1"/>
  <c r="C13307" i="1"/>
  <c r="B13308" i="1"/>
  <c r="C13308" i="1"/>
  <c r="B13309" i="1"/>
  <c r="C13309" i="1"/>
  <c r="B13310" i="1"/>
  <c r="C13310" i="1"/>
  <c r="B13311" i="1"/>
  <c r="C13311" i="1"/>
  <c r="B13312" i="1"/>
  <c r="C13312" i="1"/>
  <c r="B13313" i="1"/>
  <c r="C13313" i="1"/>
  <c r="B13314" i="1"/>
  <c r="C13314" i="1"/>
  <c r="B13315" i="1"/>
  <c r="C13315" i="1"/>
  <c r="B13316" i="1"/>
  <c r="C13316" i="1"/>
  <c r="B13317" i="1"/>
  <c r="C13317" i="1"/>
  <c r="B13318" i="1"/>
  <c r="C13318" i="1"/>
  <c r="B13319" i="1"/>
  <c r="C13319" i="1"/>
  <c r="B13320" i="1"/>
  <c r="C13320" i="1"/>
  <c r="B13321" i="1"/>
  <c r="C13321" i="1"/>
  <c r="B13322" i="1"/>
  <c r="C13322" i="1"/>
  <c r="B13323" i="1"/>
  <c r="C13323" i="1"/>
  <c r="B13324" i="1"/>
  <c r="C13324" i="1"/>
  <c r="B13325" i="1"/>
  <c r="C13325" i="1"/>
  <c r="B13326" i="1"/>
  <c r="C13326" i="1"/>
  <c r="B13327" i="1"/>
  <c r="C13327" i="1"/>
  <c r="B13328" i="1"/>
  <c r="C13328" i="1"/>
  <c r="B13329" i="1"/>
  <c r="C13329" i="1"/>
  <c r="B13330" i="1"/>
  <c r="C13330" i="1"/>
  <c r="B13331" i="1"/>
  <c r="C13331" i="1"/>
  <c r="B13332" i="1"/>
  <c r="C13332" i="1"/>
  <c r="B13333" i="1"/>
  <c r="C13333" i="1"/>
  <c r="B13334" i="1"/>
  <c r="C13334" i="1"/>
  <c r="B13335" i="1"/>
  <c r="C13335" i="1"/>
  <c r="B13336" i="1"/>
  <c r="C13336" i="1"/>
  <c r="B13337" i="1"/>
  <c r="C13337" i="1"/>
  <c r="B13338" i="1"/>
  <c r="C13338" i="1"/>
  <c r="B13339" i="1"/>
  <c r="C13339" i="1"/>
  <c r="B13340" i="1"/>
  <c r="C13340" i="1"/>
  <c r="B13341" i="1"/>
  <c r="C13341" i="1"/>
  <c r="B13342" i="1"/>
  <c r="C13342" i="1"/>
  <c r="B13343" i="1"/>
  <c r="C13343" i="1"/>
  <c r="B13344" i="1"/>
  <c r="C13344" i="1"/>
  <c r="B13345" i="1"/>
  <c r="C13345" i="1"/>
  <c r="B13346" i="1"/>
  <c r="C13346" i="1"/>
  <c r="B13347" i="1"/>
  <c r="C13347" i="1"/>
  <c r="B13348" i="1"/>
  <c r="C13348" i="1"/>
  <c r="B13349" i="1"/>
  <c r="C13349" i="1"/>
  <c r="B13350" i="1"/>
  <c r="C13350" i="1"/>
  <c r="B13351" i="1"/>
  <c r="C13351" i="1"/>
  <c r="B13352" i="1"/>
  <c r="C13352" i="1"/>
  <c r="B13353" i="1"/>
  <c r="C13353" i="1"/>
  <c r="B13354" i="1"/>
  <c r="C13354" i="1"/>
  <c r="B13355" i="1"/>
  <c r="C13355" i="1"/>
  <c r="B13356" i="1"/>
  <c r="C13356" i="1"/>
  <c r="B13357" i="1"/>
  <c r="C13357" i="1"/>
  <c r="B13358" i="1"/>
  <c r="C13358" i="1"/>
  <c r="B13359" i="1"/>
  <c r="C13359" i="1"/>
  <c r="B13360" i="1"/>
  <c r="C13360" i="1"/>
  <c r="B13361" i="1"/>
  <c r="C13361" i="1"/>
  <c r="B13362" i="1"/>
  <c r="C13362" i="1"/>
  <c r="B13363" i="1"/>
  <c r="C13363" i="1"/>
  <c r="B13364" i="1"/>
  <c r="C13364" i="1"/>
  <c r="B13365" i="1"/>
  <c r="C13365" i="1"/>
  <c r="B13366" i="1"/>
  <c r="C13366" i="1"/>
  <c r="B13367" i="1"/>
  <c r="C13367" i="1"/>
  <c r="B13368" i="1"/>
  <c r="C13368" i="1"/>
  <c r="B13369" i="1"/>
  <c r="C13369" i="1"/>
  <c r="B13370" i="1"/>
  <c r="C13370" i="1"/>
  <c r="B13371" i="1"/>
  <c r="C13371" i="1"/>
  <c r="B13372" i="1"/>
  <c r="C13372" i="1"/>
  <c r="B13373" i="1"/>
  <c r="C13373" i="1"/>
  <c r="B13374" i="1"/>
  <c r="C13374" i="1"/>
  <c r="B13375" i="1"/>
  <c r="C13375" i="1"/>
  <c r="B13376" i="1"/>
  <c r="C13376" i="1"/>
  <c r="B13377" i="1"/>
  <c r="C13377" i="1"/>
  <c r="B13378" i="1"/>
  <c r="C13378" i="1"/>
  <c r="B13379" i="1"/>
  <c r="C13379" i="1"/>
  <c r="B13380" i="1"/>
  <c r="C13380" i="1"/>
  <c r="B13381" i="1"/>
  <c r="C13381" i="1"/>
  <c r="B13382" i="1"/>
  <c r="C13382" i="1"/>
  <c r="B13383" i="1"/>
  <c r="C13383" i="1"/>
  <c r="B13384" i="1"/>
  <c r="C13384" i="1"/>
  <c r="B13385" i="1"/>
  <c r="C13385" i="1"/>
  <c r="B13386" i="1"/>
  <c r="C13386" i="1"/>
  <c r="B13387" i="1"/>
  <c r="C13387" i="1"/>
  <c r="B13388" i="1"/>
  <c r="C13388" i="1"/>
  <c r="B13389" i="1"/>
  <c r="C13389" i="1"/>
  <c r="B13390" i="1"/>
  <c r="C13390" i="1"/>
  <c r="B13391" i="1"/>
  <c r="C13391" i="1"/>
  <c r="B13392" i="1"/>
  <c r="C13392" i="1"/>
  <c r="B13393" i="1"/>
  <c r="C13393" i="1"/>
  <c r="B13394" i="1"/>
  <c r="C13394" i="1"/>
  <c r="B13395" i="1"/>
  <c r="C13395" i="1"/>
  <c r="B13396" i="1"/>
  <c r="C13396" i="1"/>
  <c r="B13397" i="1"/>
  <c r="C13397" i="1"/>
  <c r="B13398" i="1"/>
  <c r="C13398" i="1"/>
  <c r="B13399" i="1"/>
  <c r="C13399" i="1"/>
  <c r="B13400" i="1"/>
  <c r="C13400" i="1"/>
  <c r="B13401" i="1"/>
  <c r="C13401" i="1"/>
  <c r="B13402" i="1"/>
  <c r="C13402" i="1"/>
  <c r="B13403" i="1"/>
  <c r="C13403" i="1"/>
  <c r="B13404" i="1"/>
  <c r="C13404" i="1"/>
  <c r="B13405" i="1"/>
  <c r="C13405" i="1"/>
  <c r="B13406" i="1"/>
  <c r="C13406" i="1"/>
  <c r="B13407" i="1"/>
  <c r="C13407" i="1"/>
  <c r="B13408" i="1"/>
  <c r="C13408" i="1"/>
  <c r="B13409" i="1"/>
  <c r="C13409" i="1"/>
  <c r="B13410" i="1"/>
  <c r="C13410" i="1"/>
  <c r="B13411" i="1"/>
  <c r="C13411" i="1"/>
  <c r="B13412" i="1"/>
  <c r="C13412" i="1"/>
  <c r="B13413" i="1"/>
  <c r="C13413" i="1"/>
  <c r="B13414" i="1"/>
  <c r="C13414" i="1"/>
  <c r="B13415" i="1"/>
  <c r="C13415" i="1"/>
  <c r="B13416" i="1"/>
  <c r="C13416" i="1"/>
  <c r="B13417" i="1"/>
  <c r="C13417" i="1"/>
  <c r="B13418" i="1"/>
  <c r="C13418" i="1"/>
  <c r="B13419" i="1"/>
  <c r="C13419" i="1"/>
  <c r="B13420" i="1"/>
  <c r="C13420" i="1"/>
  <c r="B13421" i="1"/>
  <c r="C13421" i="1"/>
  <c r="B13422" i="1"/>
  <c r="C13422" i="1"/>
  <c r="B13423" i="1"/>
  <c r="C13423" i="1"/>
  <c r="B13424" i="1"/>
  <c r="C13424" i="1"/>
  <c r="B13425" i="1"/>
  <c r="C13425" i="1"/>
  <c r="B13426" i="1"/>
  <c r="C13426" i="1"/>
  <c r="B13427" i="1"/>
  <c r="C13427" i="1"/>
  <c r="B13428" i="1"/>
  <c r="C13428" i="1"/>
  <c r="B13429" i="1"/>
  <c r="C13429" i="1"/>
  <c r="B13430" i="1"/>
  <c r="C13430" i="1"/>
  <c r="B13431" i="1"/>
  <c r="C13431" i="1"/>
  <c r="B13432" i="1"/>
  <c r="C13432" i="1"/>
  <c r="B13433" i="1"/>
  <c r="C13433" i="1"/>
  <c r="B13434" i="1"/>
  <c r="C13434" i="1"/>
  <c r="B13435" i="1"/>
  <c r="C13435" i="1"/>
  <c r="B13436" i="1"/>
  <c r="C13436" i="1"/>
  <c r="B13437" i="1"/>
  <c r="C13437" i="1"/>
  <c r="B13438" i="1"/>
  <c r="C13438" i="1"/>
  <c r="B13439" i="1"/>
  <c r="C13439" i="1"/>
  <c r="B13440" i="1"/>
  <c r="C13440" i="1"/>
  <c r="B13441" i="1"/>
  <c r="C13441" i="1"/>
  <c r="B13442" i="1"/>
  <c r="C13442" i="1"/>
  <c r="B13443" i="1"/>
  <c r="C13443" i="1"/>
  <c r="B13444" i="1"/>
  <c r="C13444" i="1"/>
  <c r="B13445" i="1"/>
  <c r="C13445" i="1"/>
  <c r="B13446" i="1"/>
  <c r="C13446" i="1"/>
  <c r="B13447" i="1"/>
  <c r="C13447" i="1"/>
  <c r="B13448" i="1"/>
  <c r="C13448" i="1"/>
  <c r="B13449" i="1"/>
  <c r="C13449" i="1"/>
  <c r="B13450" i="1"/>
  <c r="C13450" i="1"/>
  <c r="B13451" i="1"/>
  <c r="C13451" i="1"/>
  <c r="B13452" i="1"/>
  <c r="C13452" i="1"/>
  <c r="B13453" i="1"/>
  <c r="C13453" i="1"/>
  <c r="B13454" i="1"/>
  <c r="C13454" i="1"/>
  <c r="B13455" i="1"/>
  <c r="C13455" i="1"/>
  <c r="B13456" i="1"/>
  <c r="C13456" i="1"/>
  <c r="B13457" i="1"/>
  <c r="C13457" i="1"/>
  <c r="B13458" i="1"/>
  <c r="C13458" i="1"/>
  <c r="B13459" i="1"/>
  <c r="C13459" i="1"/>
  <c r="B13460" i="1"/>
  <c r="C13460" i="1"/>
  <c r="B13461" i="1"/>
  <c r="C13461" i="1"/>
  <c r="B13462" i="1"/>
  <c r="C13462" i="1"/>
  <c r="B13463" i="1"/>
  <c r="C13463" i="1"/>
  <c r="B13464" i="1"/>
  <c r="C13464" i="1"/>
  <c r="B13465" i="1"/>
  <c r="C13465" i="1"/>
  <c r="B13466" i="1"/>
  <c r="C13466" i="1"/>
  <c r="B13467" i="1"/>
  <c r="C13467" i="1"/>
  <c r="B13468" i="1"/>
  <c r="C13468" i="1"/>
  <c r="B13469" i="1"/>
  <c r="C13469" i="1"/>
  <c r="B13470" i="1"/>
  <c r="C13470" i="1"/>
  <c r="B13471" i="1"/>
  <c r="C13471" i="1"/>
  <c r="B13472" i="1"/>
  <c r="C13472" i="1"/>
  <c r="B13473" i="1"/>
  <c r="C13473" i="1"/>
  <c r="B13474" i="1"/>
  <c r="C13474" i="1"/>
  <c r="B13475" i="1"/>
  <c r="C13475" i="1"/>
  <c r="B13476" i="1"/>
  <c r="C13476" i="1"/>
  <c r="B13477" i="1"/>
  <c r="C13477" i="1"/>
  <c r="B13478" i="1"/>
  <c r="C13478" i="1"/>
  <c r="B13479" i="1"/>
  <c r="C13479" i="1"/>
  <c r="B13480" i="1"/>
  <c r="C13480" i="1"/>
  <c r="B13481" i="1"/>
  <c r="C13481" i="1"/>
  <c r="B13482" i="1"/>
  <c r="C13482" i="1"/>
  <c r="B13483" i="1"/>
  <c r="C13483" i="1"/>
  <c r="B13484" i="1"/>
  <c r="C13484" i="1"/>
  <c r="B13485" i="1"/>
  <c r="C13485" i="1"/>
  <c r="B13486" i="1"/>
  <c r="C13486" i="1"/>
  <c r="B13487" i="1"/>
  <c r="C13487" i="1"/>
  <c r="B13488" i="1"/>
  <c r="C13488" i="1"/>
  <c r="B13489" i="1"/>
  <c r="C13489" i="1"/>
  <c r="B13490" i="1"/>
  <c r="C13490" i="1"/>
  <c r="B13491" i="1"/>
  <c r="C13491" i="1"/>
  <c r="B13492" i="1"/>
  <c r="C13492" i="1"/>
  <c r="B13493" i="1"/>
  <c r="C13493" i="1"/>
  <c r="B13494" i="1"/>
  <c r="C13494" i="1"/>
  <c r="B13495" i="1"/>
  <c r="C13495" i="1"/>
  <c r="B13496" i="1"/>
  <c r="C13496" i="1"/>
  <c r="B13497" i="1"/>
  <c r="C13497" i="1"/>
  <c r="B13498" i="1"/>
  <c r="C13498" i="1"/>
  <c r="B13499" i="1"/>
  <c r="C13499" i="1"/>
  <c r="B13500" i="1"/>
  <c r="C13500" i="1"/>
  <c r="B13501" i="1"/>
  <c r="C13501" i="1"/>
  <c r="B13502" i="1"/>
  <c r="C13502" i="1"/>
  <c r="B13503" i="1"/>
  <c r="C13503" i="1"/>
  <c r="B13504" i="1"/>
  <c r="C13504" i="1"/>
  <c r="B13505" i="1"/>
  <c r="C13505" i="1"/>
  <c r="B13506" i="1"/>
  <c r="C13506" i="1"/>
  <c r="B13507" i="1"/>
  <c r="C13507" i="1"/>
  <c r="B13508" i="1"/>
  <c r="C13508" i="1"/>
  <c r="B13509" i="1"/>
  <c r="C13509" i="1"/>
  <c r="B13510" i="1"/>
  <c r="C13510" i="1"/>
  <c r="B13511" i="1"/>
  <c r="C13511" i="1"/>
  <c r="B13512" i="1"/>
  <c r="C13512" i="1"/>
  <c r="B13513" i="1"/>
  <c r="C13513" i="1"/>
  <c r="B13514" i="1"/>
  <c r="C13514" i="1"/>
  <c r="B13515" i="1"/>
  <c r="C13515" i="1"/>
  <c r="B13516" i="1"/>
  <c r="C13516" i="1"/>
  <c r="B13517" i="1"/>
  <c r="C13517" i="1"/>
  <c r="B13518" i="1"/>
  <c r="C13518" i="1"/>
  <c r="B13519" i="1"/>
  <c r="C13519" i="1"/>
  <c r="B13520" i="1"/>
  <c r="C13520" i="1"/>
  <c r="B13521" i="1"/>
  <c r="C13521" i="1"/>
  <c r="B13522" i="1"/>
  <c r="C13522" i="1"/>
  <c r="B13523" i="1"/>
  <c r="C13523" i="1"/>
  <c r="B13524" i="1"/>
  <c r="C13524" i="1"/>
  <c r="B13525" i="1"/>
  <c r="C13525" i="1"/>
  <c r="B13526" i="1"/>
  <c r="C13526" i="1"/>
  <c r="B13527" i="1"/>
  <c r="C13527" i="1"/>
  <c r="B13528" i="1"/>
  <c r="C13528" i="1"/>
  <c r="B13529" i="1"/>
  <c r="C13529" i="1"/>
  <c r="B13530" i="1"/>
  <c r="C13530" i="1"/>
  <c r="B13531" i="1"/>
  <c r="C13531" i="1"/>
  <c r="B13532" i="1"/>
  <c r="C13532" i="1"/>
  <c r="B13533" i="1"/>
  <c r="C13533" i="1"/>
  <c r="B13534" i="1"/>
  <c r="C13534" i="1"/>
  <c r="B13535" i="1"/>
  <c r="C13535" i="1"/>
  <c r="B13536" i="1"/>
  <c r="C13536" i="1"/>
  <c r="B13537" i="1"/>
  <c r="C13537" i="1"/>
  <c r="B13538" i="1"/>
  <c r="C13538" i="1"/>
  <c r="B13539" i="1"/>
  <c r="C13539" i="1"/>
  <c r="B13540" i="1"/>
  <c r="C13540" i="1"/>
  <c r="B13541" i="1"/>
  <c r="C13541" i="1"/>
  <c r="B13542" i="1"/>
  <c r="C13542" i="1"/>
  <c r="B13543" i="1"/>
  <c r="C13543" i="1"/>
  <c r="B13544" i="1"/>
  <c r="C13544" i="1"/>
  <c r="B13545" i="1"/>
  <c r="C13545" i="1"/>
  <c r="B13546" i="1"/>
  <c r="C13546" i="1"/>
  <c r="B13547" i="1"/>
  <c r="C13547" i="1"/>
  <c r="B13548" i="1"/>
  <c r="C13548" i="1"/>
  <c r="B13549" i="1"/>
  <c r="C13549" i="1"/>
  <c r="B13550" i="1"/>
  <c r="C13550" i="1"/>
  <c r="B13551" i="1"/>
  <c r="C13551" i="1"/>
  <c r="B13552" i="1"/>
  <c r="C13552" i="1"/>
  <c r="B13553" i="1"/>
  <c r="C13553" i="1"/>
  <c r="B13554" i="1"/>
  <c r="C13554" i="1"/>
  <c r="B13555" i="1"/>
  <c r="C13555" i="1"/>
  <c r="B13556" i="1"/>
  <c r="C13556" i="1"/>
  <c r="B13557" i="1"/>
  <c r="C13557" i="1"/>
  <c r="B13558" i="1"/>
  <c r="C13558" i="1"/>
  <c r="B13559" i="1"/>
  <c r="C13559" i="1"/>
  <c r="B13560" i="1"/>
  <c r="C13560" i="1"/>
  <c r="B13561" i="1"/>
  <c r="C13561" i="1"/>
  <c r="B13562" i="1"/>
  <c r="C13562" i="1"/>
  <c r="B13563" i="1"/>
  <c r="C13563" i="1"/>
  <c r="B13564" i="1"/>
  <c r="C13564" i="1"/>
  <c r="B13565" i="1"/>
  <c r="C13565" i="1"/>
  <c r="B13566" i="1"/>
  <c r="C13566" i="1"/>
  <c r="B13567" i="1"/>
  <c r="C13567" i="1"/>
  <c r="B13568" i="1"/>
  <c r="C13568" i="1"/>
  <c r="B13569" i="1"/>
  <c r="C13569" i="1"/>
  <c r="B13570" i="1"/>
  <c r="C13570" i="1"/>
  <c r="B13571" i="1"/>
  <c r="C13571" i="1"/>
  <c r="B13572" i="1"/>
  <c r="C13572" i="1"/>
  <c r="B13573" i="1"/>
  <c r="C13573" i="1"/>
  <c r="B13574" i="1"/>
  <c r="C13574" i="1"/>
  <c r="B13575" i="1"/>
  <c r="C13575" i="1"/>
  <c r="B13576" i="1"/>
  <c r="C13576" i="1"/>
  <c r="B13577" i="1"/>
  <c r="C13577" i="1"/>
  <c r="B13578" i="1"/>
  <c r="C13578" i="1"/>
  <c r="B13579" i="1"/>
  <c r="C13579" i="1"/>
  <c r="B13580" i="1"/>
  <c r="C13580" i="1"/>
  <c r="B13581" i="1"/>
  <c r="C13581" i="1"/>
  <c r="B13582" i="1"/>
  <c r="C13582" i="1"/>
  <c r="B13583" i="1"/>
  <c r="C13583" i="1"/>
  <c r="B13584" i="1"/>
  <c r="C13584" i="1"/>
  <c r="B13585" i="1"/>
  <c r="C13585" i="1"/>
  <c r="B13586" i="1"/>
  <c r="C13586" i="1"/>
  <c r="B13587" i="1"/>
  <c r="C13587" i="1"/>
  <c r="B13588" i="1"/>
  <c r="C13588" i="1"/>
  <c r="B13589" i="1"/>
  <c r="C13589" i="1"/>
  <c r="B13590" i="1"/>
  <c r="C13590" i="1"/>
  <c r="B13591" i="1"/>
  <c r="C13591" i="1"/>
  <c r="B13592" i="1"/>
  <c r="C13592" i="1"/>
  <c r="B13593" i="1"/>
  <c r="C13593" i="1"/>
  <c r="B13594" i="1"/>
  <c r="C13594" i="1"/>
  <c r="B13595" i="1"/>
  <c r="C13595" i="1"/>
  <c r="B13596" i="1"/>
  <c r="C13596" i="1"/>
  <c r="B13597" i="1"/>
  <c r="C13597" i="1"/>
  <c r="B13598" i="1"/>
  <c r="C13598" i="1"/>
  <c r="B13599" i="1"/>
  <c r="C13599" i="1"/>
  <c r="B13600" i="1"/>
  <c r="C13600" i="1"/>
  <c r="B13601" i="1"/>
  <c r="C13601" i="1"/>
  <c r="B13602" i="1"/>
  <c r="C13602" i="1"/>
  <c r="B13603" i="1"/>
  <c r="C13603" i="1"/>
  <c r="B13604" i="1"/>
  <c r="C13604" i="1"/>
  <c r="B13605" i="1"/>
  <c r="C13605" i="1"/>
  <c r="B13606" i="1"/>
  <c r="C13606" i="1"/>
  <c r="B13607" i="1"/>
  <c r="C13607" i="1"/>
  <c r="B13608" i="1"/>
  <c r="C13608" i="1"/>
  <c r="B13609" i="1"/>
  <c r="C13609" i="1"/>
  <c r="B13610" i="1"/>
  <c r="C13610" i="1"/>
  <c r="B13611" i="1"/>
  <c r="C13611" i="1"/>
  <c r="B13612" i="1"/>
  <c r="C13612" i="1"/>
  <c r="B13613" i="1"/>
  <c r="C13613" i="1"/>
  <c r="B13614" i="1"/>
  <c r="C13614" i="1"/>
  <c r="B13615" i="1"/>
  <c r="C13615" i="1"/>
  <c r="B13616" i="1"/>
  <c r="C13616" i="1"/>
  <c r="B13617" i="1"/>
  <c r="C13617" i="1"/>
  <c r="B13618" i="1"/>
  <c r="C13618" i="1"/>
  <c r="B13619" i="1"/>
  <c r="C13619" i="1"/>
  <c r="B13620" i="1"/>
  <c r="C13620" i="1"/>
  <c r="B13621" i="1"/>
  <c r="C13621" i="1"/>
  <c r="B13622" i="1"/>
  <c r="C13622" i="1"/>
  <c r="B13623" i="1"/>
  <c r="C13623" i="1"/>
  <c r="B13624" i="1"/>
  <c r="C13624" i="1"/>
  <c r="B13625" i="1"/>
  <c r="C13625" i="1"/>
  <c r="B13626" i="1"/>
  <c r="C13626" i="1"/>
  <c r="B13627" i="1"/>
  <c r="C13627" i="1"/>
  <c r="B13628" i="1"/>
  <c r="C13628" i="1"/>
  <c r="B13629" i="1"/>
  <c r="C13629" i="1"/>
  <c r="B13630" i="1"/>
  <c r="C13630" i="1"/>
  <c r="B13631" i="1"/>
  <c r="C13631" i="1"/>
  <c r="B13632" i="1"/>
  <c r="C13632" i="1"/>
  <c r="B13633" i="1"/>
  <c r="C13633" i="1"/>
  <c r="B13634" i="1"/>
  <c r="C13634" i="1"/>
  <c r="B13635" i="1"/>
  <c r="C13635" i="1"/>
  <c r="B13636" i="1"/>
  <c r="C13636" i="1"/>
  <c r="B13637" i="1"/>
  <c r="C13637" i="1"/>
  <c r="B13638" i="1"/>
  <c r="C13638" i="1"/>
  <c r="B13639" i="1"/>
  <c r="C13639" i="1"/>
  <c r="B13640" i="1"/>
  <c r="C13640" i="1"/>
  <c r="B13641" i="1"/>
  <c r="C13641" i="1"/>
  <c r="B13642" i="1"/>
  <c r="C13642" i="1"/>
  <c r="B13643" i="1"/>
  <c r="C13643" i="1"/>
  <c r="B13644" i="1"/>
  <c r="C13644" i="1"/>
  <c r="B13645" i="1"/>
  <c r="C13645" i="1"/>
  <c r="B13646" i="1"/>
  <c r="C13646" i="1"/>
  <c r="B13647" i="1"/>
  <c r="C13647" i="1"/>
  <c r="B13648" i="1"/>
  <c r="C13648" i="1"/>
  <c r="B13649" i="1"/>
  <c r="C13649" i="1"/>
  <c r="B13650" i="1"/>
  <c r="C13650" i="1"/>
  <c r="B13651" i="1"/>
  <c r="C13651" i="1"/>
  <c r="B13652" i="1"/>
  <c r="C13652" i="1"/>
  <c r="B13653" i="1"/>
  <c r="C13653" i="1"/>
  <c r="B13654" i="1"/>
  <c r="C13654" i="1"/>
  <c r="B13655" i="1"/>
  <c r="C13655" i="1"/>
  <c r="B13656" i="1"/>
  <c r="C13656" i="1"/>
  <c r="B13657" i="1"/>
  <c r="C13657" i="1"/>
  <c r="B13658" i="1"/>
  <c r="C13658" i="1"/>
  <c r="B13659" i="1"/>
  <c r="C13659" i="1"/>
  <c r="B13660" i="1"/>
  <c r="C13660" i="1"/>
  <c r="B13661" i="1"/>
  <c r="C13661" i="1"/>
  <c r="B13662" i="1"/>
  <c r="C13662" i="1"/>
  <c r="B13663" i="1"/>
  <c r="C13663" i="1"/>
  <c r="B13664" i="1"/>
  <c r="C13664" i="1"/>
  <c r="B13665" i="1"/>
  <c r="C13665" i="1"/>
  <c r="B13666" i="1"/>
  <c r="C13666" i="1"/>
  <c r="B13667" i="1"/>
  <c r="C13667" i="1"/>
  <c r="B13668" i="1"/>
  <c r="C13668" i="1"/>
  <c r="B13669" i="1"/>
  <c r="C13669" i="1"/>
  <c r="B13670" i="1"/>
  <c r="C13670" i="1"/>
  <c r="B13671" i="1"/>
  <c r="C13671" i="1"/>
  <c r="B13672" i="1"/>
  <c r="C13672" i="1"/>
  <c r="B13673" i="1"/>
  <c r="C13673" i="1"/>
  <c r="B13674" i="1"/>
  <c r="C13674" i="1"/>
  <c r="B13675" i="1"/>
  <c r="C13675" i="1"/>
  <c r="B13676" i="1"/>
  <c r="C13676" i="1"/>
  <c r="B13677" i="1"/>
  <c r="C13677" i="1"/>
  <c r="B13678" i="1"/>
  <c r="C13678" i="1"/>
  <c r="B13679" i="1"/>
  <c r="C13679" i="1"/>
  <c r="B13680" i="1"/>
  <c r="C13680" i="1"/>
  <c r="B13681" i="1"/>
  <c r="C13681" i="1"/>
  <c r="B13682" i="1"/>
  <c r="C13682" i="1"/>
  <c r="B13683" i="1"/>
  <c r="C13683" i="1"/>
  <c r="B13684" i="1"/>
  <c r="C13684" i="1"/>
  <c r="B13685" i="1"/>
  <c r="C13685" i="1"/>
  <c r="B13686" i="1"/>
  <c r="C13686" i="1"/>
  <c r="B13687" i="1"/>
  <c r="C13687" i="1"/>
  <c r="B13688" i="1"/>
  <c r="C13688" i="1"/>
  <c r="B13689" i="1"/>
  <c r="C13689" i="1"/>
  <c r="B13690" i="1"/>
  <c r="C13690" i="1"/>
  <c r="B13691" i="1"/>
  <c r="C13691" i="1"/>
  <c r="B13692" i="1"/>
  <c r="C13692" i="1"/>
  <c r="B13693" i="1"/>
  <c r="C13693" i="1"/>
  <c r="B13694" i="1"/>
  <c r="C13694" i="1"/>
  <c r="B13695" i="1"/>
  <c r="C13695" i="1"/>
  <c r="B13696" i="1"/>
  <c r="C13696" i="1"/>
  <c r="B13697" i="1"/>
  <c r="C13697" i="1"/>
  <c r="B13698" i="1"/>
  <c r="C13698" i="1"/>
  <c r="B13699" i="1"/>
  <c r="C13699" i="1"/>
  <c r="B13700" i="1"/>
  <c r="C13700" i="1"/>
  <c r="B13701" i="1"/>
  <c r="C13701" i="1"/>
  <c r="B13702" i="1"/>
  <c r="C13702" i="1"/>
  <c r="B13703" i="1"/>
  <c r="C13703" i="1"/>
  <c r="B13704" i="1"/>
  <c r="C13704" i="1"/>
  <c r="B13705" i="1"/>
  <c r="C13705" i="1"/>
  <c r="B13706" i="1"/>
  <c r="C13706" i="1"/>
  <c r="B13707" i="1"/>
  <c r="C13707" i="1"/>
  <c r="B13708" i="1"/>
  <c r="C13708" i="1"/>
  <c r="B13709" i="1"/>
  <c r="C13709" i="1"/>
  <c r="B13710" i="1"/>
  <c r="C13710" i="1"/>
  <c r="B13711" i="1"/>
  <c r="C13711" i="1"/>
  <c r="B13712" i="1"/>
  <c r="C13712" i="1"/>
  <c r="B13713" i="1"/>
  <c r="C13713" i="1"/>
  <c r="B13714" i="1"/>
  <c r="C13714" i="1"/>
  <c r="B13715" i="1"/>
  <c r="C13715" i="1"/>
  <c r="B13716" i="1"/>
  <c r="C13716" i="1"/>
  <c r="B13717" i="1"/>
  <c r="C13717" i="1"/>
  <c r="B13718" i="1"/>
  <c r="C13718" i="1"/>
  <c r="B13719" i="1"/>
  <c r="C13719" i="1"/>
  <c r="B13720" i="1"/>
  <c r="C13720" i="1"/>
  <c r="B13721" i="1"/>
  <c r="C13721" i="1"/>
  <c r="B13722" i="1"/>
  <c r="C13722" i="1"/>
  <c r="B13723" i="1"/>
  <c r="C13723" i="1"/>
  <c r="B13724" i="1"/>
  <c r="C13724" i="1"/>
  <c r="B13725" i="1"/>
  <c r="C13725" i="1"/>
  <c r="B13726" i="1"/>
  <c r="C13726" i="1"/>
  <c r="B13727" i="1"/>
  <c r="C13727" i="1"/>
  <c r="B13728" i="1"/>
  <c r="C13728" i="1"/>
  <c r="B13729" i="1"/>
  <c r="C13729" i="1"/>
  <c r="B13730" i="1"/>
  <c r="C13730" i="1"/>
  <c r="B13731" i="1"/>
  <c r="C13731" i="1"/>
  <c r="B13732" i="1"/>
  <c r="C13732" i="1"/>
  <c r="B13733" i="1"/>
  <c r="C13733" i="1"/>
  <c r="B13734" i="1"/>
  <c r="C13734" i="1"/>
  <c r="B13735" i="1"/>
  <c r="C13735" i="1"/>
  <c r="B13736" i="1"/>
  <c r="C13736" i="1"/>
  <c r="B13737" i="1"/>
  <c r="C13737" i="1"/>
  <c r="B13738" i="1"/>
  <c r="C13738" i="1"/>
  <c r="B13739" i="1"/>
  <c r="C13739" i="1"/>
  <c r="B13740" i="1"/>
  <c r="C13740" i="1"/>
  <c r="B13741" i="1"/>
  <c r="C13741" i="1"/>
  <c r="B13742" i="1"/>
  <c r="C13742" i="1"/>
  <c r="B13743" i="1"/>
  <c r="C13743" i="1"/>
  <c r="B13744" i="1"/>
  <c r="C13744" i="1"/>
  <c r="B13745" i="1"/>
  <c r="C13745" i="1"/>
  <c r="B13746" i="1"/>
  <c r="C13746" i="1"/>
  <c r="B13747" i="1"/>
  <c r="C13747" i="1"/>
  <c r="B13748" i="1"/>
  <c r="C13748" i="1"/>
  <c r="B13749" i="1"/>
  <c r="C13749" i="1"/>
  <c r="B13750" i="1"/>
  <c r="C13750" i="1"/>
  <c r="B13751" i="1"/>
  <c r="C13751" i="1"/>
  <c r="B13752" i="1"/>
  <c r="C13752" i="1"/>
  <c r="B13753" i="1"/>
  <c r="C13753" i="1"/>
  <c r="B13754" i="1"/>
  <c r="C13754" i="1"/>
  <c r="B13755" i="1"/>
  <c r="C13755" i="1"/>
  <c r="B13756" i="1"/>
  <c r="C13756" i="1"/>
  <c r="B13757" i="1"/>
  <c r="C13757" i="1"/>
  <c r="B13758" i="1"/>
  <c r="C13758" i="1"/>
  <c r="B13759" i="1"/>
  <c r="C13759" i="1"/>
  <c r="B13760" i="1"/>
  <c r="C13760" i="1"/>
  <c r="B13761" i="1"/>
  <c r="C13761" i="1"/>
  <c r="B13762" i="1"/>
  <c r="C13762" i="1"/>
  <c r="B13763" i="1"/>
  <c r="C13763" i="1"/>
  <c r="B13764" i="1"/>
  <c r="C13764" i="1"/>
  <c r="B13765" i="1"/>
  <c r="C13765" i="1"/>
  <c r="B13766" i="1"/>
  <c r="C13766" i="1"/>
  <c r="B13767" i="1"/>
  <c r="C13767" i="1"/>
  <c r="B13768" i="1"/>
  <c r="C13768" i="1"/>
  <c r="B13769" i="1"/>
  <c r="C13769" i="1"/>
  <c r="B13770" i="1"/>
  <c r="C13770" i="1"/>
  <c r="B13771" i="1"/>
  <c r="C13771" i="1"/>
  <c r="B13772" i="1"/>
  <c r="C13772" i="1"/>
  <c r="B13773" i="1"/>
  <c r="C13773" i="1"/>
  <c r="B13774" i="1"/>
  <c r="C13774" i="1"/>
  <c r="B13775" i="1"/>
  <c r="C13775" i="1"/>
  <c r="B13776" i="1"/>
  <c r="C13776" i="1"/>
  <c r="B13777" i="1"/>
  <c r="C13777" i="1"/>
  <c r="B13778" i="1"/>
  <c r="C13778" i="1"/>
  <c r="B13779" i="1"/>
  <c r="C13779" i="1"/>
  <c r="B13780" i="1"/>
  <c r="C13780" i="1"/>
  <c r="B13781" i="1"/>
  <c r="C13781" i="1"/>
  <c r="B13782" i="1"/>
  <c r="C13782" i="1"/>
  <c r="B13783" i="1"/>
  <c r="C13783" i="1"/>
  <c r="B13784" i="1"/>
  <c r="C13784" i="1"/>
  <c r="B13785" i="1"/>
  <c r="C13785" i="1"/>
  <c r="B13786" i="1"/>
  <c r="C13786" i="1"/>
  <c r="B13787" i="1"/>
  <c r="C13787" i="1"/>
  <c r="B13788" i="1"/>
  <c r="C13788" i="1"/>
  <c r="B13789" i="1"/>
  <c r="C13789" i="1"/>
  <c r="B13790" i="1"/>
  <c r="C13790" i="1"/>
  <c r="B13791" i="1"/>
  <c r="C13791" i="1"/>
  <c r="B13792" i="1"/>
  <c r="C13792" i="1"/>
  <c r="B13793" i="1"/>
  <c r="C13793" i="1"/>
  <c r="B13794" i="1"/>
  <c r="C13794" i="1"/>
  <c r="B13795" i="1"/>
  <c r="C13795" i="1"/>
  <c r="B13796" i="1"/>
  <c r="C13796" i="1"/>
  <c r="B13797" i="1"/>
  <c r="C13797" i="1"/>
  <c r="B13798" i="1"/>
  <c r="C13798" i="1"/>
  <c r="B13799" i="1"/>
  <c r="C13799" i="1"/>
  <c r="B13800" i="1"/>
  <c r="C13800" i="1"/>
  <c r="B13801" i="1"/>
  <c r="C13801" i="1"/>
  <c r="B13802" i="1"/>
  <c r="C13802" i="1"/>
  <c r="B13803" i="1"/>
  <c r="C13803" i="1"/>
  <c r="B13804" i="1"/>
  <c r="C13804" i="1"/>
  <c r="B13805" i="1"/>
  <c r="C13805" i="1"/>
  <c r="B13806" i="1"/>
  <c r="C13806" i="1"/>
  <c r="B13807" i="1"/>
  <c r="C13807" i="1"/>
  <c r="B13808" i="1"/>
  <c r="C13808" i="1"/>
  <c r="B13809" i="1"/>
  <c r="C13809" i="1"/>
  <c r="B13810" i="1"/>
  <c r="C13810" i="1"/>
  <c r="B13811" i="1"/>
  <c r="C13811" i="1"/>
  <c r="B13812" i="1"/>
  <c r="C13812" i="1"/>
  <c r="B13813" i="1"/>
  <c r="C13813" i="1"/>
  <c r="B13814" i="1"/>
  <c r="C13814" i="1"/>
  <c r="B13815" i="1"/>
  <c r="C13815" i="1"/>
  <c r="B13816" i="1"/>
  <c r="C13816" i="1"/>
  <c r="B13817" i="1"/>
  <c r="C13817" i="1"/>
  <c r="B13818" i="1"/>
  <c r="C13818" i="1"/>
  <c r="B13819" i="1"/>
  <c r="C13819" i="1"/>
  <c r="B13820" i="1"/>
  <c r="C13820" i="1"/>
  <c r="B13821" i="1"/>
  <c r="C13821" i="1"/>
  <c r="B13822" i="1"/>
  <c r="C13822" i="1"/>
  <c r="B13823" i="1"/>
  <c r="C13823" i="1"/>
  <c r="B13824" i="1"/>
  <c r="C13824" i="1"/>
  <c r="B13825" i="1"/>
  <c r="C13825" i="1"/>
  <c r="B13826" i="1"/>
  <c r="C13826" i="1"/>
  <c r="B13827" i="1"/>
  <c r="C13827" i="1"/>
  <c r="B13828" i="1"/>
  <c r="C13828" i="1"/>
  <c r="B13829" i="1"/>
  <c r="C13829" i="1"/>
  <c r="B13830" i="1"/>
  <c r="C13830" i="1"/>
  <c r="B13831" i="1"/>
  <c r="C13831" i="1"/>
  <c r="B13832" i="1"/>
  <c r="C13832" i="1"/>
  <c r="B13833" i="1"/>
  <c r="C13833" i="1"/>
  <c r="B13834" i="1"/>
  <c r="C13834" i="1"/>
  <c r="B13835" i="1"/>
  <c r="C13835" i="1"/>
  <c r="B13836" i="1"/>
  <c r="C13836" i="1"/>
  <c r="B13837" i="1"/>
  <c r="C13837" i="1"/>
  <c r="B13838" i="1"/>
  <c r="C13838" i="1"/>
  <c r="B13839" i="1"/>
  <c r="C13839" i="1"/>
  <c r="B13840" i="1"/>
  <c r="C13840" i="1"/>
  <c r="B13841" i="1"/>
  <c r="C13841" i="1"/>
  <c r="B13842" i="1"/>
  <c r="C13842" i="1"/>
  <c r="B13843" i="1"/>
  <c r="C13843" i="1"/>
  <c r="B13844" i="1"/>
  <c r="C13844" i="1"/>
  <c r="B13845" i="1"/>
  <c r="C13845" i="1"/>
  <c r="B13846" i="1"/>
  <c r="C13846" i="1"/>
  <c r="B13847" i="1"/>
  <c r="C13847" i="1"/>
  <c r="B13848" i="1"/>
  <c r="C13848" i="1"/>
  <c r="B13849" i="1"/>
  <c r="C13849" i="1"/>
  <c r="B13850" i="1"/>
  <c r="C13850" i="1"/>
  <c r="B13851" i="1"/>
  <c r="C13851" i="1"/>
  <c r="B13852" i="1"/>
  <c r="C13852" i="1"/>
  <c r="B13853" i="1"/>
  <c r="C13853" i="1"/>
  <c r="B13854" i="1"/>
  <c r="C13854" i="1"/>
  <c r="B13855" i="1"/>
  <c r="C13855" i="1"/>
  <c r="B13856" i="1"/>
  <c r="C13856" i="1"/>
  <c r="B13857" i="1"/>
  <c r="C13857" i="1"/>
  <c r="B13858" i="1"/>
  <c r="C13858" i="1"/>
  <c r="B13859" i="1"/>
  <c r="C13859" i="1"/>
  <c r="B13860" i="1"/>
  <c r="C13860" i="1"/>
  <c r="B13861" i="1"/>
  <c r="C13861" i="1"/>
  <c r="B13862" i="1"/>
  <c r="C13862" i="1"/>
  <c r="B13863" i="1"/>
  <c r="C13863" i="1"/>
  <c r="B13864" i="1"/>
  <c r="C13864" i="1"/>
  <c r="B13865" i="1"/>
  <c r="C13865" i="1"/>
  <c r="B13866" i="1"/>
  <c r="C13866" i="1"/>
  <c r="B13867" i="1"/>
  <c r="C13867" i="1"/>
  <c r="B13868" i="1"/>
  <c r="C13868" i="1"/>
  <c r="B13869" i="1"/>
  <c r="C13869" i="1"/>
  <c r="B13870" i="1"/>
  <c r="C13870" i="1"/>
  <c r="B13871" i="1"/>
  <c r="C13871" i="1"/>
  <c r="B13872" i="1"/>
  <c r="C13872" i="1"/>
  <c r="B13873" i="1"/>
  <c r="C13873" i="1"/>
  <c r="B13874" i="1"/>
  <c r="C13874" i="1"/>
  <c r="B13875" i="1"/>
  <c r="C13875" i="1"/>
  <c r="B13876" i="1"/>
  <c r="C13876" i="1"/>
  <c r="B13877" i="1"/>
  <c r="C13877" i="1"/>
  <c r="B13878" i="1"/>
  <c r="C13878" i="1"/>
  <c r="B13879" i="1"/>
  <c r="C13879" i="1"/>
  <c r="B13880" i="1"/>
  <c r="C13880" i="1"/>
  <c r="B13881" i="1"/>
  <c r="C13881" i="1"/>
  <c r="B13882" i="1"/>
  <c r="C13882" i="1"/>
  <c r="B13883" i="1"/>
  <c r="C13883" i="1"/>
  <c r="B13884" i="1"/>
  <c r="C13884" i="1"/>
  <c r="B13885" i="1"/>
  <c r="C13885" i="1"/>
  <c r="B13886" i="1"/>
  <c r="C13886" i="1"/>
  <c r="B13887" i="1"/>
  <c r="C13887" i="1"/>
  <c r="B13888" i="1"/>
  <c r="C13888" i="1"/>
  <c r="B13889" i="1"/>
  <c r="C13889" i="1"/>
  <c r="B13890" i="1"/>
  <c r="C13890" i="1"/>
  <c r="B13891" i="1"/>
  <c r="C13891" i="1"/>
  <c r="B13892" i="1"/>
  <c r="C13892" i="1"/>
  <c r="B13893" i="1"/>
  <c r="C13893" i="1"/>
  <c r="B13894" i="1"/>
  <c r="C13894" i="1"/>
  <c r="B13895" i="1"/>
  <c r="C13895" i="1"/>
  <c r="B13896" i="1"/>
  <c r="C13896" i="1"/>
  <c r="B13897" i="1"/>
  <c r="C13897" i="1"/>
  <c r="B13898" i="1"/>
  <c r="C13898" i="1"/>
  <c r="B13899" i="1"/>
  <c r="C13899" i="1"/>
  <c r="B13900" i="1"/>
  <c r="C13900" i="1"/>
  <c r="B13901" i="1"/>
  <c r="C13901" i="1"/>
  <c r="B13902" i="1"/>
  <c r="C13902" i="1"/>
  <c r="B13903" i="1"/>
  <c r="C13903" i="1"/>
  <c r="B13904" i="1"/>
  <c r="C13904" i="1"/>
  <c r="B13905" i="1"/>
  <c r="C13905" i="1"/>
  <c r="B13906" i="1"/>
  <c r="C13906" i="1"/>
  <c r="B13907" i="1"/>
  <c r="C13907" i="1"/>
  <c r="B13908" i="1"/>
  <c r="C13908" i="1"/>
  <c r="B13909" i="1"/>
  <c r="C13909" i="1"/>
  <c r="B13910" i="1"/>
  <c r="C13910" i="1"/>
  <c r="B13911" i="1"/>
  <c r="C13911" i="1"/>
  <c r="B13912" i="1"/>
  <c r="C13912" i="1"/>
  <c r="B13913" i="1"/>
  <c r="C13913" i="1"/>
  <c r="B13914" i="1"/>
  <c r="C13914" i="1"/>
  <c r="B13915" i="1"/>
  <c r="C13915" i="1"/>
  <c r="B13916" i="1"/>
  <c r="C13916" i="1"/>
  <c r="B13917" i="1"/>
  <c r="C13917" i="1"/>
  <c r="B13918" i="1"/>
  <c r="C13918" i="1"/>
  <c r="B13919" i="1"/>
  <c r="C13919" i="1"/>
  <c r="B13920" i="1"/>
  <c r="C13920" i="1"/>
  <c r="B13921" i="1"/>
  <c r="C13921" i="1"/>
  <c r="B13922" i="1"/>
  <c r="C13922" i="1"/>
  <c r="B13923" i="1"/>
  <c r="C13923" i="1"/>
  <c r="B13924" i="1"/>
  <c r="C13924" i="1"/>
  <c r="B13925" i="1"/>
  <c r="C13925" i="1"/>
  <c r="B13926" i="1"/>
  <c r="C13926" i="1"/>
  <c r="B13927" i="1"/>
  <c r="C13927" i="1"/>
  <c r="B13928" i="1"/>
  <c r="C13928" i="1"/>
  <c r="B13929" i="1"/>
  <c r="C13929" i="1"/>
  <c r="B13930" i="1"/>
  <c r="C13930" i="1"/>
  <c r="B13931" i="1"/>
  <c r="C13931" i="1"/>
  <c r="B13932" i="1"/>
  <c r="C13932" i="1"/>
  <c r="B13933" i="1"/>
  <c r="C13933" i="1"/>
  <c r="B13934" i="1"/>
  <c r="C13934" i="1"/>
  <c r="B13935" i="1"/>
  <c r="C13935" i="1"/>
  <c r="B13936" i="1"/>
  <c r="C13936" i="1"/>
  <c r="B13937" i="1"/>
  <c r="C13937" i="1"/>
  <c r="B13938" i="1"/>
  <c r="C13938" i="1"/>
  <c r="B13939" i="1"/>
  <c r="C13939" i="1"/>
  <c r="B13940" i="1"/>
  <c r="C13940" i="1"/>
  <c r="B13941" i="1"/>
  <c r="C13941" i="1"/>
  <c r="B13942" i="1"/>
  <c r="C13942" i="1"/>
  <c r="B13943" i="1"/>
  <c r="C13943" i="1"/>
  <c r="B13944" i="1"/>
  <c r="C13944" i="1"/>
  <c r="B13945" i="1"/>
  <c r="C13945" i="1"/>
  <c r="B13946" i="1"/>
  <c r="C13946" i="1"/>
  <c r="B13947" i="1"/>
  <c r="C13947" i="1"/>
  <c r="B13948" i="1"/>
  <c r="C13948" i="1"/>
  <c r="B13949" i="1"/>
  <c r="C13949" i="1"/>
  <c r="B13950" i="1"/>
  <c r="C13950" i="1"/>
  <c r="B13951" i="1"/>
  <c r="C13951" i="1"/>
  <c r="B13952" i="1"/>
  <c r="C13952" i="1"/>
  <c r="B13953" i="1"/>
  <c r="C13953" i="1"/>
  <c r="B13954" i="1"/>
  <c r="C13954" i="1"/>
  <c r="B13955" i="1"/>
  <c r="C13955" i="1"/>
  <c r="B13956" i="1"/>
  <c r="C13956" i="1"/>
  <c r="B13957" i="1"/>
  <c r="C13957" i="1"/>
  <c r="B13958" i="1"/>
  <c r="C13958" i="1"/>
  <c r="B13959" i="1"/>
  <c r="C13959" i="1"/>
  <c r="B13960" i="1"/>
  <c r="C13960" i="1"/>
  <c r="B13961" i="1"/>
  <c r="C13961" i="1"/>
  <c r="B13962" i="1"/>
  <c r="C13962" i="1"/>
  <c r="B13963" i="1"/>
  <c r="C13963" i="1"/>
  <c r="B13964" i="1"/>
  <c r="C13964" i="1"/>
  <c r="B13965" i="1"/>
  <c r="C13965" i="1"/>
  <c r="B13966" i="1"/>
  <c r="C13966" i="1"/>
  <c r="B13967" i="1"/>
  <c r="C13967" i="1"/>
  <c r="B13968" i="1"/>
  <c r="C13968" i="1"/>
  <c r="B13969" i="1"/>
  <c r="C13969" i="1"/>
  <c r="B13970" i="1"/>
  <c r="C13970" i="1"/>
  <c r="B13971" i="1"/>
  <c r="C13971" i="1"/>
  <c r="B13972" i="1"/>
  <c r="C13972" i="1"/>
  <c r="B13973" i="1"/>
  <c r="C13973" i="1"/>
  <c r="B13974" i="1"/>
  <c r="C13974" i="1"/>
  <c r="B13975" i="1"/>
  <c r="C13975" i="1"/>
  <c r="B13976" i="1"/>
  <c r="C13976" i="1"/>
  <c r="B13977" i="1"/>
  <c r="C13977" i="1"/>
  <c r="B13978" i="1"/>
  <c r="C13978" i="1"/>
  <c r="B13979" i="1"/>
  <c r="C13979" i="1"/>
  <c r="B13980" i="1"/>
  <c r="C13980" i="1"/>
  <c r="B13981" i="1"/>
  <c r="C13981" i="1"/>
  <c r="B13982" i="1"/>
  <c r="C13982" i="1"/>
  <c r="B13983" i="1"/>
  <c r="C13983" i="1"/>
  <c r="B13984" i="1"/>
  <c r="C13984" i="1"/>
  <c r="B13985" i="1"/>
  <c r="C13985" i="1"/>
  <c r="B13986" i="1"/>
  <c r="C13986" i="1"/>
  <c r="B13987" i="1"/>
  <c r="C13987" i="1"/>
  <c r="B13988" i="1"/>
  <c r="C13988" i="1"/>
  <c r="B13989" i="1"/>
  <c r="C13989" i="1"/>
  <c r="B13990" i="1"/>
  <c r="C13990" i="1"/>
  <c r="B13991" i="1"/>
  <c r="C13991" i="1"/>
  <c r="B13992" i="1"/>
  <c r="C13992" i="1"/>
  <c r="B13993" i="1"/>
  <c r="C13993" i="1"/>
  <c r="B13994" i="1"/>
  <c r="C13994" i="1"/>
  <c r="B13995" i="1"/>
  <c r="C13995" i="1"/>
  <c r="B13996" i="1"/>
  <c r="C13996" i="1"/>
  <c r="B13997" i="1"/>
  <c r="C13997" i="1"/>
  <c r="B13998" i="1"/>
  <c r="C13998" i="1"/>
  <c r="B13999" i="1"/>
  <c r="C13999" i="1"/>
  <c r="B14000" i="1"/>
  <c r="C14000" i="1"/>
  <c r="B14001" i="1"/>
  <c r="C14001" i="1"/>
  <c r="B14002" i="1"/>
  <c r="C14002" i="1"/>
  <c r="B14003" i="1"/>
  <c r="C14003" i="1"/>
  <c r="B14004" i="1"/>
  <c r="C14004" i="1"/>
  <c r="B14005" i="1"/>
  <c r="C14005" i="1"/>
  <c r="B14006" i="1"/>
  <c r="C14006" i="1"/>
  <c r="B14007" i="1"/>
  <c r="C14007" i="1"/>
  <c r="B14008" i="1"/>
  <c r="C14008" i="1"/>
  <c r="B14009" i="1"/>
  <c r="C14009" i="1"/>
  <c r="B14010" i="1"/>
  <c r="C14010" i="1"/>
  <c r="B14011" i="1"/>
  <c r="C14011" i="1"/>
  <c r="B14012" i="1"/>
  <c r="C14012" i="1"/>
  <c r="B14013" i="1"/>
  <c r="C14013" i="1"/>
  <c r="B14014" i="1"/>
  <c r="C14014" i="1"/>
  <c r="B14015" i="1"/>
  <c r="C14015" i="1"/>
  <c r="B14016" i="1"/>
  <c r="C14016" i="1"/>
  <c r="B14017" i="1"/>
  <c r="C14017" i="1"/>
  <c r="B14018" i="1"/>
  <c r="C14018" i="1"/>
  <c r="B14019" i="1"/>
  <c r="C14019" i="1"/>
  <c r="B14020" i="1"/>
  <c r="C14020" i="1"/>
  <c r="B14021" i="1"/>
  <c r="C14021" i="1"/>
  <c r="B14022" i="1"/>
  <c r="C14022" i="1"/>
  <c r="B14023" i="1"/>
  <c r="C14023" i="1"/>
  <c r="B14024" i="1"/>
  <c r="C14024" i="1"/>
  <c r="B14025" i="1"/>
  <c r="C14025" i="1"/>
  <c r="B14026" i="1"/>
  <c r="C14026" i="1"/>
  <c r="B14027" i="1"/>
  <c r="C14027" i="1"/>
  <c r="B14028" i="1"/>
  <c r="C14028" i="1"/>
  <c r="B14029" i="1"/>
  <c r="C14029" i="1"/>
  <c r="B14030" i="1"/>
  <c r="C14030" i="1"/>
  <c r="B14031" i="1"/>
  <c r="C14031" i="1"/>
  <c r="B14032" i="1"/>
  <c r="C14032" i="1"/>
  <c r="B14033" i="1"/>
  <c r="C14033" i="1"/>
  <c r="B14034" i="1"/>
  <c r="C14034" i="1"/>
  <c r="B14035" i="1"/>
  <c r="C14035" i="1"/>
  <c r="B14036" i="1"/>
  <c r="C14036" i="1"/>
  <c r="B14037" i="1"/>
  <c r="C14037" i="1"/>
  <c r="B14038" i="1"/>
  <c r="C14038" i="1"/>
  <c r="B14039" i="1"/>
  <c r="C14039" i="1"/>
  <c r="B14040" i="1"/>
  <c r="C14040" i="1"/>
  <c r="B14041" i="1"/>
  <c r="C14041" i="1"/>
  <c r="B14042" i="1"/>
  <c r="C14042" i="1"/>
  <c r="B14043" i="1"/>
  <c r="C14043" i="1"/>
  <c r="B14044" i="1"/>
  <c r="C14044" i="1"/>
  <c r="B14045" i="1"/>
  <c r="C14045" i="1"/>
  <c r="B14046" i="1"/>
  <c r="C14046" i="1"/>
  <c r="B14047" i="1"/>
  <c r="C14047" i="1"/>
  <c r="B14048" i="1"/>
  <c r="C14048" i="1"/>
  <c r="B14049" i="1"/>
  <c r="C14049" i="1"/>
  <c r="B14050" i="1"/>
  <c r="C14050" i="1"/>
  <c r="B14051" i="1"/>
  <c r="C14051" i="1"/>
  <c r="B14052" i="1"/>
  <c r="C14052" i="1"/>
  <c r="B14053" i="1"/>
  <c r="C14053" i="1"/>
  <c r="B14054" i="1"/>
  <c r="C14054" i="1"/>
  <c r="B14055" i="1"/>
  <c r="C14055" i="1"/>
  <c r="B14056" i="1"/>
  <c r="C14056" i="1"/>
  <c r="B14057" i="1"/>
  <c r="C14057" i="1"/>
  <c r="B14058" i="1"/>
  <c r="C14058" i="1"/>
  <c r="B14059" i="1"/>
  <c r="C14059" i="1"/>
  <c r="B14060" i="1"/>
  <c r="C14060" i="1"/>
  <c r="B14061" i="1"/>
  <c r="C14061" i="1"/>
  <c r="B14062" i="1"/>
  <c r="C14062" i="1"/>
  <c r="B14063" i="1"/>
  <c r="C14063" i="1"/>
  <c r="B14064" i="1"/>
  <c r="C14064" i="1"/>
  <c r="B14065" i="1"/>
  <c r="C14065" i="1"/>
  <c r="B14066" i="1"/>
  <c r="C14066" i="1"/>
  <c r="B14067" i="1"/>
  <c r="C14067" i="1"/>
  <c r="B14068" i="1"/>
  <c r="C14068" i="1"/>
  <c r="B14069" i="1"/>
  <c r="C14069" i="1"/>
  <c r="B14070" i="1"/>
  <c r="C14070" i="1"/>
  <c r="B14071" i="1"/>
  <c r="C14071" i="1"/>
  <c r="B14072" i="1"/>
  <c r="C14072" i="1"/>
  <c r="B14073" i="1"/>
  <c r="C14073" i="1"/>
  <c r="B14074" i="1"/>
  <c r="C14074" i="1"/>
  <c r="B14075" i="1"/>
  <c r="C14075" i="1"/>
  <c r="B14076" i="1"/>
  <c r="C14076" i="1"/>
  <c r="B14077" i="1"/>
  <c r="C14077" i="1"/>
  <c r="B14078" i="1"/>
  <c r="C14078" i="1"/>
  <c r="B14079" i="1"/>
  <c r="C14079" i="1"/>
  <c r="B14080" i="1"/>
  <c r="C14080" i="1"/>
  <c r="B14081" i="1"/>
  <c r="C14081" i="1"/>
  <c r="B14082" i="1"/>
  <c r="C14082" i="1"/>
  <c r="B14083" i="1"/>
  <c r="C14083" i="1"/>
  <c r="B14084" i="1"/>
  <c r="C14084" i="1"/>
  <c r="B14085" i="1"/>
  <c r="C14085" i="1"/>
  <c r="B14086" i="1"/>
  <c r="C14086" i="1"/>
  <c r="B14087" i="1"/>
  <c r="C14087" i="1"/>
  <c r="B14088" i="1"/>
  <c r="C14088" i="1"/>
  <c r="B14089" i="1"/>
  <c r="C14089" i="1"/>
  <c r="B14090" i="1"/>
  <c r="C14090" i="1"/>
  <c r="B14091" i="1"/>
  <c r="C14091" i="1"/>
  <c r="B14092" i="1"/>
  <c r="C14092" i="1"/>
  <c r="B14093" i="1"/>
  <c r="C14093" i="1"/>
  <c r="B14094" i="1"/>
  <c r="C14094" i="1"/>
  <c r="B14095" i="1"/>
  <c r="C14095" i="1"/>
  <c r="B14096" i="1"/>
  <c r="C14096" i="1"/>
  <c r="B14097" i="1"/>
  <c r="C14097" i="1"/>
  <c r="B14098" i="1"/>
  <c r="C14098" i="1"/>
  <c r="B14099" i="1"/>
  <c r="C14099" i="1"/>
  <c r="B14100" i="1"/>
  <c r="C14100" i="1"/>
  <c r="B14101" i="1"/>
  <c r="C14101" i="1"/>
  <c r="B14102" i="1"/>
  <c r="C14102" i="1"/>
  <c r="B14103" i="1"/>
  <c r="C14103" i="1"/>
  <c r="B14104" i="1"/>
  <c r="C14104" i="1"/>
  <c r="B14105" i="1"/>
  <c r="C14105" i="1"/>
  <c r="B14106" i="1"/>
  <c r="C14106" i="1"/>
  <c r="B14107" i="1"/>
  <c r="C14107" i="1"/>
  <c r="B14108" i="1"/>
  <c r="C14108" i="1"/>
  <c r="B14109" i="1"/>
  <c r="C14109" i="1"/>
  <c r="B14110" i="1"/>
  <c r="C14110" i="1"/>
  <c r="B14111" i="1"/>
  <c r="C14111" i="1"/>
  <c r="B14112" i="1"/>
  <c r="C14112" i="1"/>
  <c r="B14113" i="1"/>
  <c r="C14113" i="1"/>
  <c r="B14114" i="1"/>
  <c r="C14114" i="1"/>
  <c r="B14115" i="1"/>
  <c r="C14115" i="1"/>
  <c r="B14116" i="1"/>
  <c r="C14116" i="1"/>
  <c r="B14117" i="1"/>
  <c r="C14117" i="1"/>
  <c r="B14118" i="1"/>
  <c r="C14118" i="1"/>
  <c r="B14119" i="1"/>
  <c r="C14119" i="1"/>
  <c r="B14120" i="1"/>
  <c r="C14120" i="1"/>
  <c r="B14121" i="1"/>
  <c r="C14121" i="1"/>
  <c r="B14122" i="1"/>
  <c r="C14122" i="1"/>
  <c r="B14123" i="1"/>
  <c r="C14123" i="1"/>
  <c r="B14124" i="1"/>
  <c r="C14124" i="1"/>
  <c r="B14125" i="1"/>
  <c r="C14125" i="1"/>
  <c r="B14126" i="1"/>
  <c r="C14126" i="1"/>
  <c r="B14127" i="1"/>
  <c r="C14127" i="1"/>
  <c r="B14128" i="1"/>
  <c r="C14128" i="1"/>
  <c r="B14129" i="1"/>
  <c r="C14129" i="1"/>
  <c r="B14130" i="1"/>
  <c r="C14130" i="1"/>
  <c r="B14131" i="1"/>
  <c r="C14131" i="1"/>
  <c r="B14132" i="1"/>
  <c r="C14132" i="1"/>
  <c r="B14133" i="1"/>
  <c r="C14133" i="1"/>
  <c r="B14134" i="1"/>
  <c r="C14134" i="1"/>
  <c r="B14135" i="1"/>
  <c r="C14135" i="1"/>
  <c r="B14136" i="1"/>
  <c r="C14136" i="1"/>
  <c r="B14137" i="1"/>
  <c r="C14137" i="1"/>
  <c r="B14138" i="1"/>
  <c r="C14138" i="1"/>
  <c r="B14139" i="1"/>
  <c r="C14139" i="1"/>
  <c r="B14140" i="1"/>
  <c r="C14140" i="1"/>
  <c r="B14141" i="1"/>
  <c r="C14141" i="1"/>
  <c r="B14142" i="1"/>
  <c r="C14142" i="1"/>
  <c r="B14143" i="1"/>
  <c r="C14143" i="1"/>
  <c r="B14144" i="1"/>
  <c r="C14144" i="1"/>
  <c r="B14145" i="1"/>
  <c r="C14145" i="1"/>
  <c r="B14146" i="1"/>
  <c r="C14146" i="1"/>
  <c r="B14147" i="1"/>
  <c r="C14147" i="1"/>
  <c r="B14148" i="1"/>
  <c r="C14148" i="1"/>
  <c r="B14149" i="1"/>
  <c r="C14149" i="1"/>
  <c r="B14150" i="1"/>
  <c r="C14150" i="1"/>
  <c r="B14151" i="1"/>
  <c r="C14151" i="1"/>
  <c r="B14152" i="1"/>
  <c r="C14152" i="1"/>
  <c r="B14153" i="1"/>
  <c r="C14153" i="1"/>
  <c r="B14154" i="1"/>
  <c r="C14154" i="1"/>
  <c r="B14155" i="1"/>
  <c r="C14155" i="1"/>
  <c r="B14156" i="1"/>
  <c r="C14156" i="1"/>
  <c r="B14157" i="1"/>
  <c r="C14157" i="1"/>
  <c r="B14158" i="1"/>
  <c r="C14158" i="1"/>
  <c r="B14159" i="1"/>
  <c r="C14159" i="1"/>
  <c r="B14160" i="1"/>
  <c r="C14160" i="1"/>
  <c r="B14161" i="1"/>
  <c r="C14161" i="1"/>
  <c r="B14162" i="1"/>
  <c r="C14162" i="1"/>
  <c r="B14163" i="1"/>
  <c r="C14163" i="1"/>
  <c r="B14164" i="1"/>
  <c r="C14164" i="1"/>
  <c r="B14165" i="1"/>
  <c r="C14165" i="1"/>
  <c r="B14166" i="1"/>
  <c r="C14166" i="1"/>
  <c r="B14167" i="1"/>
  <c r="C14167" i="1"/>
  <c r="B14168" i="1"/>
  <c r="C14168" i="1"/>
  <c r="B14169" i="1"/>
  <c r="C14169" i="1"/>
  <c r="B14170" i="1"/>
  <c r="C14170" i="1"/>
  <c r="B14171" i="1"/>
  <c r="C14171" i="1"/>
  <c r="B14172" i="1"/>
  <c r="C14172" i="1"/>
  <c r="B14173" i="1"/>
  <c r="C14173" i="1"/>
  <c r="B14174" i="1"/>
  <c r="C14174" i="1"/>
  <c r="B14175" i="1"/>
  <c r="C14175" i="1"/>
  <c r="B14176" i="1"/>
  <c r="C14176" i="1"/>
  <c r="B14177" i="1"/>
  <c r="C14177" i="1"/>
  <c r="B14178" i="1"/>
  <c r="C14178" i="1"/>
  <c r="B14179" i="1"/>
  <c r="C14179" i="1"/>
  <c r="B14180" i="1"/>
  <c r="C14180" i="1"/>
  <c r="B14181" i="1"/>
  <c r="C14181" i="1"/>
  <c r="B14182" i="1"/>
  <c r="C14182" i="1"/>
  <c r="B14183" i="1"/>
  <c r="C14183" i="1"/>
  <c r="B14184" i="1"/>
  <c r="C14184" i="1"/>
  <c r="B14185" i="1"/>
  <c r="C14185" i="1"/>
  <c r="B14186" i="1"/>
  <c r="C14186" i="1"/>
  <c r="B14187" i="1"/>
  <c r="C14187" i="1"/>
  <c r="B14188" i="1"/>
  <c r="C14188" i="1"/>
  <c r="B14189" i="1"/>
  <c r="C14189" i="1"/>
  <c r="B14190" i="1"/>
  <c r="C14190" i="1"/>
  <c r="B14191" i="1"/>
  <c r="C14191" i="1"/>
  <c r="B14192" i="1"/>
  <c r="C14192" i="1"/>
  <c r="B14193" i="1"/>
  <c r="C14193" i="1"/>
  <c r="B14194" i="1"/>
  <c r="C14194" i="1"/>
  <c r="B14195" i="1"/>
  <c r="C14195" i="1"/>
  <c r="B14196" i="1"/>
  <c r="C14196" i="1"/>
  <c r="B14197" i="1"/>
  <c r="C14197" i="1"/>
  <c r="B14198" i="1"/>
  <c r="C14198" i="1"/>
  <c r="B14199" i="1"/>
  <c r="C14199" i="1"/>
  <c r="B14200" i="1"/>
  <c r="C14200" i="1"/>
  <c r="B14201" i="1"/>
  <c r="C14201" i="1"/>
  <c r="B14202" i="1"/>
  <c r="C14202" i="1"/>
  <c r="B14203" i="1"/>
  <c r="C14203" i="1"/>
  <c r="B14204" i="1"/>
  <c r="C14204" i="1"/>
  <c r="B14205" i="1"/>
  <c r="C14205" i="1"/>
  <c r="B14206" i="1"/>
  <c r="C14206" i="1"/>
  <c r="B14207" i="1"/>
  <c r="C14207" i="1"/>
  <c r="B14208" i="1"/>
  <c r="C14208" i="1"/>
  <c r="B14209" i="1"/>
  <c r="C14209" i="1"/>
  <c r="B14210" i="1"/>
  <c r="C14210" i="1"/>
  <c r="B14211" i="1"/>
  <c r="C14211" i="1"/>
  <c r="B14212" i="1"/>
  <c r="C14212" i="1"/>
  <c r="B14213" i="1"/>
  <c r="C14213" i="1"/>
  <c r="B14214" i="1"/>
  <c r="C14214" i="1"/>
  <c r="B14215" i="1"/>
  <c r="C14215" i="1"/>
  <c r="B14216" i="1"/>
  <c r="C14216" i="1"/>
  <c r="B14217" i="1"/>
  <c r="C14217" i="1"/>
  <c r="B14218" i="1"/>
  <c r="C14218" i="1"/>
  <c r="B14219" i="1"/>
  <c r="C14219" i="1"/>
  <c r="B14220" i="1"/>
  <c r="C14220" i="1"/>
  <c r="B14221" i="1"/>
  <c r="C14221" i="1"/>
  <c r="B14222" i="1"/>
  <c r="C14222" i="1"/>
  <c r="B14223" i="1"/>
  <c r="C14223" i="1"/>
  <c r="B14224" i="1"/>
  <c r="C14224" i="1"/>
  <c r="B14225" i="1"/>
  <c r="C14225" i="1"/>
  <c r="B14226" i="1"/>
  <c r="C14226" i="1"/>
  <c r="B14227" i="1"/>
  <c r="C14227" i="1"/>
  <c r="B14228" i="1"/>
  <c r="C14228" i="1"/>
  <c r="B14229" i="1"/>
  <c r="C14229" i="1"/>
  <c r="B14230" i="1"/>
  <c r="C14230" i="1"/>
  <c r="B14231" i="1"/>
  <c r="C14231" i="1"/>
  <c r="B14232" i="1"/>
  <c r="C14232" i="1"/>
  <c r="B14233" i="1"/>
  <c r="C14233" i="1"/>
  <c r="B14234" i="1"/>
  <c r="C14234" i="1"/>
  <c r="B14235" i="1"/>
  <c r="C14235" i="1"/>
  <c r="B14236" i="1"/>
  <c r="C14236" i="1"/>
  <c r="B14237" i="1"/>
  <c r="C14237" i="1"/>
  <c r="B14238" i="1"/>
  <c r="C14238" i="1"/>
  <c r="B14239" i="1"/>
  <c r="C14239" i="1"/>
  <c r="B14240" i="1"/>
  <c r="C14240" i="1"/>
  <c r="B14241" i="1"/>
  <c r="C14241" i="1"/>
  <c r="B14242" i="1"/>
  <c r="C14242" i="1"/>
  <c r="B14243" i="1"/>
  <c r="C14243" i="1"/>
  <c r="B14244" i="1"/>
  <c r="C14244" i="1"/>
  <c r="B14245" i="1"/>
  <c r="C14245" i="1"/>
  <c r="B14246" i="1"/>
  <c r="C14246" i="1"/>
  <c r="B14247" i="1"/>
  <c r="C14247" i="1"/>
  <c r="B14248" i="1"/>
  <c r="C14248" i="1"/>
  <c r="B14249" i="1"/>
  <c r="C14249" i="1"/>
  <c r="B14250" i="1"/>
  <c r="C14250" i="1"/>
  <c r="B14251" i="1"/>
  <c r="C14251" i="1"/>
  <c r="B14252" i="1"/>
  <c r="C14252" i="1"/>
  <c r="B14253" i="1"/>
  <c r="C14253" i="1"/>
  <c r="B14254" i="1"/>
  <c r="C14254" i="1"/>
  <c r="B14255" i="1"/>
  <c r="C14255" i="1"/>
  <c r="B14256" i="1"/>
  <c r="C14256" i="1"/>
  <c r="B14257" i="1"/>
  <c r="C14257" i="1"/>
  <c r="B14258" i="1"/>
  <c r="C14258" i="1"/>
  <c r="B14259" i="1"/>
  <c r="C14259" i="1"/>
  <c r="B14260" i="1"/>
  <c r="C14260" i="1"/>
  <c r="B14261" i="1"/>
  <c r="C14261" i="1"/>
  <c r="B14262" i="1"/>
  <c r="C14262" i="1"/>
  <c r="B14263" i="1"/>
  <c r="C14263" i="1"/>
  <c r="B14264" i="1"/>
  <c r="C14264" i="1"/>
  <c r="B14265" i="1"/>
  <c r="C14265" i="1"/>
  <c r="B14266" i="1"/>
  <c r="C14266" i="1"/>
  <c r="B14267" i="1"/>
  <c r="C14267" i="1"/>
  <c r="B14268" i="1"/>
  <c r="C14268" i="1"/>
  <c r="B14269" i="1"/>
  <c r="C14269" i="1"/>
  <c r="B14270" i="1"/>
  <c r="C14270" i="1"/>
  <c r="B14271" i="1"/>
  <c r="C14271" i="1"/>
  <c r="B14272" i="1"/>
  <c r="C14272" i="1"/>
  <c r="B14273" i="1"/>
  <c r="C14273" i="1"/>
  <c r="B14274" i="1"/>
  <c r="C14274" i="1"/>
  <c r="B14275" i="1"/>
  <c r="C14275" i="1"/>
  <c r="B14276" i="1"/>
  <c r="C14276" i="1"/>
  <c r="B14277" i="1"/>
  <c r="C14277" i="1"/>
  <c r="B14278" i="1"/>
  <c r="C14278" i="1"/>
  <c r="B14279" i="1"/>
  <c r="C14279" i="1"/>
  <c r="B14280" i="1"/>
  <c r="C14280" i="1"/>
  <c r="B14281" i="1"/>
  <c r="C14281" i="1"/>
  <c r="B14282" i="1"/>
  <c r="C14282" i="1"/>
  <c r="B14283" i="1"/>
  <c r="C14283" i="1"/>
  <c r="B14284" i="1"/>
  <c r="C14284" i="1"/>
  <c r="B14285" i="1"/>
  <c r="C14285" i="1"/>
  <c r="B14286" i="1"/>
  <c r="C14286" i="1"/>
  <c r="B14287" i="1"/>
  <c r="C14287" i="1"/>
  <c r="B14288" i="1"/>
  <c r="C14288" i="1"/>
  <c r="B14289" i="1"/>
  <c r="C14289" i="1"/>
  <c r="B14290" i="1"/>
  <c r="C14290" i="1"/>
  <c r="B14291" i="1"/>
  <c r="C14291" i="1"/>
  <c r="B14292" i="1"/>
  <c r="C14292" i="1"/>
  <c r="B14293" i="1"/>
  <c r="C14293" i="1"/>
  <c r="B14294" i="1"/>
  <c r="C14294" i="1"/>
  <c r="B14295" i="1"/>
  <c r="C14295" i="1"/>
  <c r="B14296" i="1"/>
  <c r="C14296" i="1"/>
  <c r="B14297" i="1"/>
  <c r="C14297" i="1"/>
  <c r="B14298" i="1"/>
  <c r="C14298" i="1"/>
  <c r="B14299" i="1"/>
  <c r="C14299" i="1"/>
  <c r="B14300" i="1"/>
  <c r="C14300" i="1"/>
  <c r="B14301" i="1"/>
  <c r="C14301" i="1"/>
  <c r="B14302" i="1"/>
  <c r="C14302" i="1"/>
  <c r="B14303" i="1"/>
  <c r="C14303" i="1"/>
  <c r="B14304" i="1"/>
  <c r="C14304" i="1"/>
  <c r="B14305" i="1"/>
  <c r="C14305" i="1"/>
  <c r="B14306" i="1"/>
  <c r="C14306" i="1"/>
  <c r="B14307" i="1"/>
  <c r="C14307" i="1"/>
  <c r="B14308" i="1"/>
  <c r="C14308" i="1"/>
  <c r="B14309" i="1"/>
  <c r="C14309" i="1"/>
  <c r="B14310" i="1"/>
  <c r="C14310" i="1"/>
  <c r="B14311" i="1"/>
  <c r="C14311" i="1"/>
  <c r="B14312" i="1"/>
  <c r="C14312" i="1"/>
  <c r="B14313" i="1"/>
  <c r="C14313" i="1"/>
  <c r="B14314" i="1"/>
  <c r="C14314" i="1"/>
  <c r="B14315" i="1"/>
  <c r="C14315" i="1"/>
  <c r="B14316" i="1"/>
  <c r="C14316" i="1"/>
  <c r="B14317" i="1"/>
  <c r="C14317" i="1"/>
  <c r="B14318" i="1"/>
  <c r="C14318" i="1"/>
  <c r="B14319" i="1"/>
  <c r="C14319" i="1"/>
  <c r="B14320" i="1"/>
  <c r="C14320" i="1"/>
  <c r="B14321" i="1"/>
  <c r="C14321" i="1"/>
  <c r="B14322" i="1"/>
  <c r="C14322" i="1"/>
  <c r="B14323" i="1"/>
  <c r="C14323" i="1"/>
  <c r="B14324" i="1"/>
  <c r="C14324" i="1"/>
  <c r="B14325" i="1"/>
  <c r="C14325" i="1"/>
  <c r="B14326" i="1"/>
  <c r="C14326" i="1"/>
  <c r="B14327" i="1"/>
  <c r="C14327" i="1"/>
  <c r="B14328" i="1"/>
  <c r="C14328" i="1"/>
  <c r="B14329" i="1"/>
  <c r="C14329" i="1"/>
  <c r="B14330" i="1"/>
  <c r="C14330" i="1"/>
  <c r="B14331" i="1"/>
  <c r="C14331" i="1"/>
  <c r="B14332" i="1"/>
  <c r="C14332" i="1"/>
  <c r="B14333" i="1"/>
  <c r="C14333" i="1"/>
  <c r="B14334" i="1"/>
  <c r="C14334" i="1"/>
  <c r="B14335" i="1"/>
  <c r="C14335" i="1"/>
  <c r="B14336" i="1"/>
  <c r="C14336" i="1"/>
  <c r="B14337" i="1"/>
  <c r="C14337" i="1"/>
  <c r="B14338" i="1"/>
  <c r="C14338" i="1"/>
  <c r="B14339" i="1"/>
  <c r="C14339" i="1"/>
  <c r="B14340" i="1"/>
  <c r="C14340" i="1"/>
  <c r="B14341" i="1"/>
  <c r="C14341" i="1"/>
  <c r="B14342" i="1"/>
  <c r="C14342" i="1"/>
  <c r="B14343" i="1"/>
  <c r="C14343" i="1"/>
  <c r="B14344" i="1"/>
  <c r="C14344" i="1"/>
  <c r="B14345" i="1"/>
  <c r="C14345" i="1"/>
  <c r="B14346" i="1"/>
  <c r="C14346" i="1"/>
  <c r="B14347" i="1"/>
  <c r="C14347" i="1"/>
  <c r="B14348" i="1"/>
  <c r="C14348" i="1"/>
  <c r="B14349" i="1"/>
  <c r="C14349" i="1"/>
  <c r="B14350" i="1"/>
  <c r="C14350" i="1"/>
  <c r="B14351" i="1"/>
  <c r="C14351" i="1"/>
  <c r="B14352" i="1"/>
  <c r="C14352" i="1"/>
  <c r="B14353" i="1"/>
  <c r="C14353" i="1"/>
  <c r="B14354" i="1"/>
  <c r="C14354" i="1"/>
  <c r="B14355" i="1"/>
  <c r="C14355" i="1"/>
  <c r="B14356" i="1"/>
  <c r="C14356" i="1"/>
  <c r="B14357" i="1"/>
  <c r="C14357" i="1"/>
  <c r="B14358" i="1"/>
  <c r="C14358" i="1"/>
  <c r="B14359" i="1"/>
  <c r="C14359" i="1"/>
  <c r="B14360" i="1"/>
  <c r="C14360" i="1"/>
  <c r="B14361" i="1"/>
  <c r="C14361" i="1"/>
  <c r="B14362" i="1"/>
  <c r="C14362" i="1"/>
  <c r="B14363" i="1"/>
  <c r="C14363" i="1"/>
  <c r="B14364" i="1"/>
  <c r="C14364" i="1"/>
  <c r="B14365" i="1"/>
  <c r="C14365" i="1"/>
  <c r="B14366" i="1"/>
  <c r="C14366" i="1"/>
  <c r="B14367" i="1"/>
  <c r="C14367" i="1"/>
  <c r="B14368" i="1"/>
  <c r="C14368" i="1"/>
  <c r="B14369" i="1"/>
  <c r="C14369" i="1"/>
  <c r="B14370" i="1"/>
  <c r="C14370" i="1"/>
  <c r="B14371" i="1"/>
  <c r="C14371" i="1"/>
  <c r="B14372" i="1"/>
  <c r="C14372" i="1"/>
  <c r="B14373" i="1"/>
  <c r="C14373" i="1"/>
  <c r="B14374" i="1"/>
  <c r="C14374" i="1"/>
  <c r="B14375" i="1"/>
  <c r="C14375" i="1"/>
  <c r="B14376" i="1"/>
  <c r="C14376" i="1"/>
  <c r="B14377" i="1"/>
  <c r="C14377" i="1"/>
  <c r="B14378" i="1"/>
  <c r="C14378" i="1"/>
  <c r="B14379" i="1"/>
  <c r="C14379" i="1"/>
  <c r="B14380" i="1"/>
  <c r="C14380" i="1"/>
  <c r="B14381" i="1"/>
  <c r="C14381" i="1"/>
  <c r="B14382" i="1"/>
  <c r="C14382" i="1"/>
  <c r="B14383" i="1"/>
  <c r="C14383" i="1"/>
  <c r="B14384" i="1"/>
  <c r="C14384" i="1"/>
  <c r="B14385" i="1"/>
  <c r="C14385" i="1"/>
  <c r="B14386" i="1"/>
  <c r="C14386" i="1"/>
  <c r="B14387" i="1"/>
  <c r="C14387" i="1"/>
  <c r="B14388" i="1"/>
  <c r="C14388" i="1"/>
  <c r="B14389" i="1"/>
  <c r="C14389" i="1"/>
  <c r="B14390" i="1"/>
  <c r="C14390" i="1"/>
  <c r="B14391" i="1"/>
  <c r="C14391" i="1"/>
  <c r="B14392" i="1"/>
  <c r="C14392" i="1"/>
  <c r="B14393" i="1"/>
  <c r="C14393" i="1"/>
  <c r="B14394" i="1"/>
  <c r="C14394" i="1"/>
  <c r="B14395" i="1"/>
  <c r="C14395" i="1"/>
  <c r="B14396" i="1"/>
  <c r="C14396" i="1"/>
  <c r="B14397" i="1"/>
  <c r="C14397" i="1"/>
  <c r="B14398" i="1"/>
  <c r="C14398" i="1"/>
  <c r="B14399" i="1"/>
  <c r="C14399" i="1"/>
  <c r="B14400" i="1"/>
  <c r="C14400" i="1"/>
  <c r="B14401" i="1"/>
  <c r="C14401" i="1"/>
  <c r="B14402" i="1"/>
  <c r="C14402" i="1"/>
  <c r="B14403" i="1"/>
  <c r="C14403" i="1"/>
  <c r="B14404" i="1"/>
  <c r="C14404" i="1"/>
  <c r="B14405" i="1"/>
  <c r="C14405" i="1"/>
  <c r="B14406" i="1"/>
  <c r="C14406" i="1"/>
  <c r="B14407" i="1"/>
  <c r="C14407" i="1"/>
  <c r="B14408" i="1"/>
  <c r="C14408" i="1"/>
  <c r="B14409" i="1"/>
  <c r="C14409" i="1"/>
  <c r="B14410" i="1"/>
  <c r="C14410" i="1"/>
  <c r="B14411" i="1"/>
  <c r="C14411" i="1"/>
  <c r="B14412" i="1"/>
  <c r="C14412" i="1"/>
  <c r="B14413" i="1"/>
  <c r="C14413" i="1"/>
  <c r="B14414" i="1"/>
  <c r="C14414" i="1"/>
  <c r="B14415" i="1"/>
  <c r="C14415" i="1"/>
  <c r="B14416" i="1"/>
  <c r="C14416" i="1"/>
  <c r="B14417" i="1"/>
  <c r="C14417" i="1"/>
  <c r="B14418" i="1"/>
  <c r="C14418" i="1"/>
  <c r="B14419" i="1"/>
  <c r="C14419" i="1"/>
  <c r="B14420" i="1"/>
  <c r="C14420" i="1"/>
  <c r="B14421" i="1"/>
  <c r="C14421" i="1"/>
  <c r="B14422" i="1"/>
  <c r="C14422" i="1"/>
  <c r="B14423" i="1"/>
  <c r="C14423" i="1"/>
  <c r="B14424" i="1"/>
  <c r="C14424" i="1"/>
  <c r="B14425" i="1"/>
  <c r="C14425" i="1"/>
  <c r="B14426" i="1"/>
  <c r="C14426" i="1"/>
  <c r="B14427" i="1"/>
  <c r="C14427" i="1"/>
  <c r="B14428" i="1"/>
  <c r="C14428" i="1"/>
  <c r="B14429" i="1"/>
  <c r="C14429" i="1"/>
  <c r="B14430" i="1"/>
  <c r="C14430" i="1"/>
  <c r="B14431" i="1"/>
  <c r="C14431" i="1"/>
  <c r="B14432" i="1"/>
  <c r="C14432" i="1"/>
  <c r="B14433" i="1"/>
  <c r="C14433" i="1"/>
  <c r="B14434" i="1"/>
  <c r="C14434" i="1"/>
  <c r="B14435" i="1"/>
  <c r="C14435" i="1"/>
  <c r="B14436" i="1"/>
  <c r="C14436" i="1"/>
  <c r="B14437" i="1"/>
  <c r="C14437" i="1"/>
  <c r="B14438" i="1"/>
  <c r="C14438" i="1"/>
  <c r="B14439" i="1"/>
  <c r="C14439" i="1"/>
  <c r="B14440" i="1"/>
  <c r="C14440" i="1"/>
  <c r="B14441" i="1"/>
  <c r="C14441" i="1"/>
  <c r="B14442" i="1"/>
  <c r="C14442" i="1"/>
  <c r="B14443" i="1"/>
  <c r="C14443" i="1"/>
  <c r="B14444" i="1"/>
  <c r="C14444" i="1"/>
  <c r="B14445" i="1"/>
  <c r="C14445" i="1"/>
  <c r="B14446" i="1"/>
  <c r="C14446" i="1"/>
  <c r="B14447" i="1"/>
  <c r="C14447" i="1"/>
  <c r="B14448" i="1"/>
  <c r="C14448" i="1"/>
  <c r="B14449" i="1"/>
  <c r="C14449" i="1"/>
  <c r="B14450" i="1"/>
  <c r="C14450" i="1"/>
  <c r="B14451" i="1"/>
  <c r="C14451" i="1"/>
  <c r="B14452" i="1"/>
  <c r="C14452" i="1"/>
  <c r="B14453" i="1"/>
  <c r="C14453" i="1"/>
  <c r="B14454" i="1"/>
  <c r="C14454" i="1"/>
  <c r="B14455" i="1"/>
  <c r="C14455" i="1"/>
  <c r="B14456" i="1"/>
  <c r="C14456" i="1"/>
  <c r="B14457" i="1"/>
  <c r="C14457" i="1"/>
  <c r="B14458" i="1"/>
  <c r="C14458" i="1"/>
  <c r="B14459" i="1"/>
  <c r="C14459" i="1"/>
  <c r="B14460" i="1"/>
  <c r="C14460" i="1"/>
  <c r="B14461" i="1"/>
  <c r="C14461" i="1"/>
  <c r="B14462" i="1"/>
  <c r="C14462" i="1"/>
  <c r="B14463" i="1"/>
  <c r="C14463" i="1"/>
  <c r="B14464" i="1"/>
  <c r="C14464" i="1"/>
  <c r="B14465" i="1"/>
  <c r="C14465" i="1"/>
  <c r="B14466" i="1"/>
  <c r="C14466" i="1"/>
  <c r="B14467" i="1"/>
  <c r="C14467" i="1"/>
  <c r="B14468" i="1"/>
  <c r="C14468" i="1"/>
  <c r="B14469" i="1"/>
  <c r="C14469" i="1"/>
  <c r="B14470" i="1"/>
  <c r="C14470" i="1"/>
  <c r="B14471" i="1"/>
  <c r="C14471" i="1"/>
  <c r="B14472" i="1"/>
  <c r="C14472" i="1"/>
  <c r="B14473" i="1"/>
  <c r="C14473" i="1"/>
  <c r="B14474" i="1"/>
  <c r="C14474" i="1"/>
  <c r="B14475" i="1"/>
  <c r="C14475" i="1"/>
  <c r="B14476" i="1"/>
  <c r="C14476" i="1"/>
  <c r="B14477" i="1"/>
  <c r="C14477" i="1"/>
  <c r="B14478" i="1"/>
  <c r="C14478" i="1"/>
  <c r="B14479" i="1"/>
  <c r="C14479" i="1"/>
  <c r="B14480" i="1"/>
  <c r="C14480" i="1"/>
  <c r="B14481" i="1"/>
  <c r="C14481" i="1"/>
  <c r="B14482" i="1"/>
  <c r="C14482" i="1"/>
  <c r="B14483" i="1"/>
  <c r="C14483" i="1"/>
  <c r="B14484" i="1"/>
  <c r="C14484" i="1"/>
  <c r="B14485" i="1"/>
  <c r="C14485" i="1"/>
  <c r="B14486" i="1"/>
  <c r="C14486" i="1"/>
  <c r="B14487" i="1"/>
  <c r="C14487" i="1"/>
  <c r="B14488" i="1"/>
  <c r="C14488" i="1"/>
  <c r="B14489" i="1"/>
  <c r="C14489" i="1"/>
  <c r="B14490" i="1"/>
  <c r="C14490" i="1"/>
  <c r="B14491" i="1"/>
  <c r="C14491" i="1"/>
  <c r="B14492" i="1"/>
  <c r="C14492" i="1"/>
  <c r="B14493" i="1"/>
  <c r="C14493" i="1"/>
  <c r="B14494" i="1"/>
  <c r="C14494" i="1"/>
  <c r="B14495" i="1"/>
  <c r="C14495" i="1"/>
  <c r="B14496" i="1"/>
  <c r="C14496" i="1"/>
  <c r="B14497" i="1"/>
  <c r="C14497" i="1"/>
  <c r="B14498" i="1"/>
  <c r="C14498" i="1"/>
  <c r="B14499" i="1"/>
  <c r="C14499" i="1"/>
  <c r="B14500" i="1"/>
  <c r="C14500" i="1"/>
  <c r="B14501" i="1"/>
  <c r="C14501" i="1"/>
  <c r="B14502" i="1"/>
  <c r="C14502" i="1"/>
  <c r="B14503" i="1"/>
  <c r="C14503" i="1"/>
  <c r="B14504" i="1"/>
  <c r="C14504" i="1"/>
  <c r="B14505" i="1"/>
  <c r="C14505" i="1"/>
  <c r="B14506" i="1"/>
  <c r="C14506" i="1"/>
  <c r="B14507" i="1"/>
  <c r="C14507" i="1"/>
  <c r="B14508" i="1"/>
  <c r="C14508" i="1"/>
  <c r="B14509" i="1"/>
  <c r="C14509" i="1"/>
  <c r="B14510" i="1"/>
  <c r="C14510" i="1"/>
  <c r="B14511" i="1"/>
  <c r="C14511" i="1"/>
  <c r="B14512" i="1"/>
  <c r="C14512" i="1"/>
  <c r="B14513" i="1"/>
  <c r="C14513" i="1"/>
  <c r="B14514" i="1"/>
  <c r="C14514" i="1"/>
  <c r="B14515" i="1"/>
  <c r="C14515" i="1"/>
  <c r="B14516" i="1"/>
  <c r="C14516" i="1"/>
  <c r="B14517" i="1"/>
  <c r="C14517" i="1"/>
  <c r="B14518" i="1"/>
  <c r="C14518" i="1"/>
  <c r="B14519" i="1"/>
  <c r="C14519" i="1"/>
  <c r="B14520" i="1"/>
  <c r="C14520" i="1"/>
  <c r="B14521" i="1"/>
  <c r="C14521" i="1"/>
  <c r="B14522" i="1"/>
  <c r="C14522" i="1"/>
  <c r="B14523" i="1"/>
  <c r="C14523" i="1"/>
  <c r="B14524" i="1"/>
  <c r="C14524" i="1"/>
  <c r="B14525" i="1"/>
  <c r="C14525" i="1"/>
  <c r="B14526" i="1"/>
  <c r="C14526" i="1"/>
  <c r="B14527" i="1"/>
  <c r="C14527" i="1"/>
  <c r="B14528" i="1"/>
  <c r="C14528" i="1"/>
  <c r="B14529" i="1"/>
  <c r="C14529" i="1"/>
  <c r="B14530" i="1"/>
  <c r="C14530" i="1"/>
  <c r="B14531" i="1"/>
  <c r="C14531" i="1"/>
  <c r="B14532" i="1"/>
  <c r="C14532" i="1"/>
  <c r="B14533" i="1"/>
  <c r="C14533" i="1"/>
  <c r="B14534" i="1"/>
  <c r="C14534" i="1"/>
  <c r="B14535" i="1"/>
  <c r="C14535" i="1"/>
  <c r="B14536" i="1"/>
  <c r="C14536" i="1"/>
  <c r="B14537" i="1"/>
  <c r="C14537" i="1"/>
  <c r="B14538" i="1"/>
  <c r="C14538" i="1"/>
  <c r="B14539" i="1"/>
  <c r="C14539" i="1"/>
  <c r="B14540" i="1"/>
  <c r="C14540" i="1"/>
  <c r="B14541" i="1"/>
  <c r="C14541" i="1"/>
  <c r="B14542" i="1"/>
  <c r="C14542" i="1"/>
  <c r="B14543" i="1"/>
  <c r="C14543" i="1"/>
  <c r="B14544" i="1"/>
  <c r="C14544" i="1"/>
  <c r="B14545" i="1"/>
  <c r="C14545" i="1"/>
  <c r="B14546" i="1"/>
  <c r="C14546" i="1"/>
  <c r="B14547" i="1"/>
  <c r="C14547" i="1"/>
  <c r="B14548" i="1"/>
  <c r="C14548" i="1"/>
  <c r="B14549" i="1"/>
  <c r="C14549" i="1"/>
  <c r="B14550" i="1"/>
  <c r="C14550" i="1"/>
  <c r="B14551" i="1"/>
  <c r="C14551" i="1"/>
  <c r="B14552" i="1"/>
  <c r="C14552" i="1"/>
  <c r="B14553" i="1"/>
  <c r="C14553" i="1"/>
  <c r="B14554" i="1"/>
  <c r="C14554" i="1"/>
  <c r="B14555" i="1"/>
  <c r="C14555" i="1"/>
  <c r="B14556" i="1"/>
  <c r="C14556" i="1"/>
  <c r="B14557" i="1"/>
  <c r="C14557" i="1"/>
  <c r="B14558" i="1"/>
  <c r="C14558" i="1"/>
  <c r="B14559" i="1"/>
  <c r="C14559" i="1"/>
  <c r="B14560" i="1"/>
  <c r="C14560" i="1"/>
  <c r="B14561" i="1"/>
  <c r="C14561" i="1"/>
  <c r="B14562" i="1"/>
  <c r="C14562" i="1"/>
  <c r="B14563" i="1"/>
  <c r="C14563" i="1"/>
  <c r="B14564" i="1"/>
  <c r="C14564" i="1"/>
  <c r="B14565" i="1"/>
  <c r="C14565" i="1"/>
  <c r="B14566" i="1"/>
  <c r="C14566" i="1"/>
  <c r="B14567" i="1"/>
  <c r="C14567" i="1"/>
  <c r="B14568" i="1"/>
  <c r="C14568" i="1"/>
  <c r="B14569" i="1"/>
  <c r="C14569" i="1"/>
  <c r="B14570" i="1"/>
  <c r="C14570" i="1"/>
  <c r="B14571" i="1"/>
  <c r="C14571" i="1"/>
  <c r="B14572" i="1"/>
  <c r="C14572" i="1"/>
  <c r="B14573" i="1"/>
  <c r="C14573" i="1"/>
  <c r="B14574" i="1"/>
  <c r="C14574" i="1"/>
  <c r="B14575" i="1"/>
  <c r="C14575" i="1"/>
  <c r="B14576" i="1"/>
  <c r="C14576" i="1"/>
  <c r="B14577" i="1"/>
  <c r="C14577" i="1"/>
  <c r="B14578" i="1"/>
  <c r="C14578" i="1"/>
  <c r="B14579" i="1"/>
  <c r="C14579" i="1"/>
  <c r="B14580" i="1"/>
  <c r="C14580" i="1"/>
  <c r="B14581" i="1"/>
  <c r="C14581" i="1"/>
  <c r="B14582" i="1"/>
  <c r="C14582" i="1"/>
  <c r="B14583" i="1"/>
  <c r="C14583" i="1"/>
  <c r="B14584" i="1"/>
  <c r="C14584" i="1"/>
  <c r="B14585" i="1"/>
  <c r="C14585" i="1"/>
  <c r="B14586" i="1"/>
  <c r="C14586" i="1"/>
  <c r="B14587" i="1"/>
  <c r="C14587" i="1"/>
  <c r="B14588" i="1"/>
  <c r="C14588" i="1"/>
  <c r="B14589" i="1"/>
  <c r="C14589" i="1"/>
  <c r="B14590" i="1"/>
  <c r="C14590" i="1"/>
  <c r="B14591" i="1"/>
  <c r="C14591" i="1"/>
  <c r="B14592" i="1"/>
  <c r="C14592" i="1"/>
  <c r="B14593" i="1"/>
  <c r="C14593" i="1"/>
  <c r="B14594" i="1"/>
  <c r="C14594" i="1"/>
  <c r="B14595" i="1"/>
  <c r="C14595" i="1"/>
  <c r="B14596" i="1"/>
  <c r="C14596" i="1"/>
  <c r="B14597" i="1"/>
  <c r="C14597" i="1"/>
  <c r="B14598" i="1"/>
  <c r="C14598" i="1"/>
  <c r="B14599" i="1"/>
  <c r="C14599" i="1"/>
  <c r="B14600" i="1"/>
  <c r="C14600" i="1"/>
  <c r="B14601" i="1"/>
  <c r="C14601" i="1"/>
  <c r="B14602" i="1"/>
  <c r="C14602" i="1"/>
  <c r="B14603" i="1"/>
  <c r="C14603" i="1"/>
  <c r="B14604" i="1"/>
  <c r="C14604" i="1"/>
  <c r="B14605" i="1"/>
  <c r="C14605" i="1"/>
  <c r="B14606" i="1"/>
  <c r="C14606" i="1"/>
  <c r="B14607" i="1"/>
  <c r="C14607" i="1"/>
  <c r="B14608" i="1"/>
  <c r="C14608" i="1"/>
  <c r="B14609" i="1"/>
  <c r="C14609" i="1"/>
  <c r="B14610" i="1"/>
  <c r="C14610" i="1"/>
  <c r="B14611" i="1"/>
  <c r="C14611" i="1"/>
  <c r="B14612" i="1"/>
  <c r="C14612" i="1"/>
  <c r="B14613" i="1"/>
  <c r="C14613" i="1"/>
  <c r="B14614" i="1"/>
  <c r="C14614" i="1"/>
  <c r="B14615" i="1"/>
  <c r="C14615" i="1"/>
  <c r="B14616" i="1"/>
  <c r="C14616" i="1"/>
  <c r="B14617" i="1"/>
  <c r="C14617" i="1"/>
  <c r="B14618" i="1"/>
  <c r="C14618" i="1"/>
  <c r="B14619" i="1"/>
  <c r="C14619" i="1"/>
  <c r="B14620" i="1"/>
  <c r="C14620" i="1"/>
  <c r="B14621" i="1"/>
  <c r="C14621" i="1"/>
  <c r="B14622" i="1"/>
  <c r="C14622" i="1"/>
  <c r="B14623" i="1"/>
  <c r="C14623" i="1"/>
  <c r="B14624" i="1"/>
  <c r="C14624" i="1"/>
  <c r="B14625" i="1"/>
  <c r="C14625" i="1"/>
  <c r="B14626" i="1"/>
  <c r="C14626" i="1"/>
  <c r="B14627" i="1"/>
  <c r="C14627" i="1"/>
  <c r="B14628" i="1"/>
  <c r="C14628" i="1"/>
  <c r="B14629" i="1"/>
  <c r="C14629" i="1"/>
  <c r="B14630" i="1"/>
  <c r="C14630" i="1"/>
  <c r="B14631" i="1"/>
  <c r="C14631" i="1"/>
  <c r="B14632" i="1"/>
  <c r="C14632" i="1"/>
  <c r="B14633" i="1"/>
  <c r="C14633" i="1"/>
  <c r="B14634" i="1"/>
  <c r="C14634" i="1"/>
  <c r="B14635" i="1"/>
  <c r="C14635" i="1"/>
  <c r="B14636" i="1"/>
  <c r="C14636" i="1"/>
  <c r="B14637" i="1"/>
  <c r="C14637" i="1"/>
  <c r="B14638" i="1"/>
  <c r="C14638" i="1"/>
  <c r="B14639" i="1"/>
  <c r="C14639" i="1"/>
  <c r="B14640" i="1"/>
  <c r="C14640" i="1"/>
  <c r="B14641" i="1"/>
  <c r="C14641" i="1"/>
  <c r="B14642" i="1"/>
  <c r="C14642" i="1"/>
  <c r="B14643" i="1"/>
  <c r="C14643" i="1"/>
  <c r="B14644" i="1"/>
  <c r="C14644" i="1"/>
  <c r="B14645" i="1"/>
  <c r="C14645" i="1"/>
  <c r="B14646" i="1"/>
  <c r="C14646" i="1"/>
  <c r="B14647" i="1"/>
  <c r="C14647" i="1"/>
  <c r="B14648" i="1"/>
  <c r="C14648" i="1"/>
  <c r="B14649" i="1"/>
  <c r="C14649" i="1"/>
  <c r="B14650" i="1"/>
  <c r="C14650" i="1"/>
  <c r="B14651" i="1"/>
  <c r="C14651" i="1"/>
  <c r="B14652" i="1"/>
  <c r="C14652" i="1"/>
  <c r="B14653" i="1"/>
  <c r="C14653" i="1"/>
  <c r="B14654" i="1"/>
  <c r="C14654" i="1"/>
  <c r="B14655" i="1"/>
  <c r="C14655" i="1"/>
  <c r="B14656" i="1"/>
  <c r="C14656" i="1"/>
  <c r="B14657" i="1"/>
  <c r="C14657" i="1"/>
  <c r="B14658" i="1"/>
  <c r="C14658" i="1"/>
  <c r="B14659" i="1"/>
  <c r="C14659" i="1"/>
  <c r="B14660" i="1"/>
  <c r="C14660" i="1"/>
  <c r="B14661" i="1"/>
  <c r="C14661" i="1"/>
  <c r="B14662" i="1"/>
  <c r="C14662" i="1"/>
  <c r="B14663" i="1"/>
  <c r="C14663" i="1"/>
  <c r="B14664" i="1"/>
  <c r="C14664" i="1"/>
  <c r="B14665" i="1"/>
  <c r="C14665" i="1"/>
  <c r="B14666" i="1"/>
  <c r="C14666" i="1"/>
  <c r="B14667" i="1"/>
  <c r="C14667" i="1"/>
  <c r="B14668" i="1"/>
  <c r="C14668" i="1"/>
  <c r="B14669" i="1"/>
  <c r="C14669" i="1"/>
  <c r="B14670" i="1"/>
  <c r="C14670" i="1"/>
  <c r="B14671" i="1"/>
  <c r="C14671" i="1"/>
  <c r="B14672" i="1"/>
  <c r="C14672" i="1"/>
  <c r="B14673" i="1"/>
  <c r="C14673" i="1"/>
  <c r="B14674" i="1"/>
  <c r="C14674" i="1"/>
  <c r="B14675" i="1"/>
  <c r="C14675" i="1"/>
  <c r="B14676" i="1"/>
  <c r="C14676" i="1"/>
  <c r="B14677" i="1"/>
  <c r="C14677" i="1"/>
  <c r="B14678" i="1"/>
  <c r="C14678" i="1"/>
  <c r="B14679" i="1"/>
  <c r="C14679" i="1"/>
  <c r="B14680" i="1"/>
  <c r="C14680" i="1"/>
  <c r="B14681" i="1"/>
  <c r="C14681" i="1"/>
  <c r="B14682" i="1"/>
  <c r="C14682" i="1"/>
  <c r="B14683" i="1"/>
  <c r="C14683" i="1"/>
  <c r="B14684" i="1"/>
  <c r="C14684" i="1"/>
  <c r="B14685" i="1"/>
  <c r="C14685" i="1"/>
  <c r="B14686" i="1"/>
  <c r="C14686" i="1"/>
  <c r="B14687" i="1"/>
  <c r="C14687" i="1"/>
  <c r="B14688" i="1"/>
  <c r="C14688" i="1"/>
  <c r="B14689" i="1"/>
  <c r="C14689" i="1"/>
  <c r="B14690" i="1"/>
  <c r="C14690" i="1"/>
  <c r="B14691" i="1"/>
  <c r="C14691" i="1"/>
  <c r="B14692" i="1"/>
  <c r="C14692" i="1"/>
  <c r="B14693" i="1"/>
  <c r="C14693" i="1"/>
  <c r="B14694" i="1"/>
  <c r="C14694" i="1"/>
  <c r="B14695" i="1"/>
  <c r="C14695" i="1"/>
  <c r="B14696" i="1"/>
  <c r="C14696" i="1"/>
  <c r="B14697" i="1"/>
  <c r="C14697" i="1"/>
  <c r="B14698" i="1"/>
  <c r="C14698" i="1"/>
  <c r="B14699" i="1"/>
  <c r="C14699" i="1"/>
  <c r="B14700" i="1"/>
  <c r="C14700" i="1"/>
  <c r="B14701" i="1"/>
  <c r="C14701" i="1"/>
  <c r="B14702" i="1"/>
  <c r="C14702" i="1"/>
  <c r="B14703" i="1"/>
  <c r="C14703" i="1"/>
  <c r="B14704" i="1"/>
  <c r="C14704" i="1"/>
  <c r="B14705" i="1"/>
  <c r="C14705" i="1"/>
  <c r="B14706" i="1"/>
  <c r="C14706" i="1"/>
  <c r="B14707" i="1"/>
  <c r="C14707" i="1"/>
  <c r="B14708" i="1"/>
  <c r="C14708" i="1"/>
  <c r="B14709" i="1"/>
  <c r="C14709" i="1"/>
  <c r="B14710" i="1"/>
  <c r="C14710" i="1"/>
  <c r="B14711" i="1"/>
  <c r="C14711" i="1"/>
  <c r="B14712" i="1"/>
  <c r="C14712" i="1"/>
  <c r="B14713" i="1"/>
  <c r="C14713" i="1"/>
  <c r="B14714" i="1"/>
  <c r="C14714" i="1"/>
  <c r="B14715" i="1"/>
  <c r="C14715" i="1"/>
  <c r="B14716" i="1"/>
  <c r="C14716" i="1"/>
  <c r="B14717" i="1"/>
  <c r="C14717" i="1"/>
  <c r="B14718" i="1"/>
  <c r="C14718" i="1"/>
  <c r="B14719" i="1"/>
  <c r="C14719" i="1"/>
  <c r="B14720" i="1"/>
  <c r="C14720" i="1"/>
  <c r="B14721" i="1"/>
  <c r="C14721" i="1"/>
  <c r="B14722" i="1"/>
  <c r="C14722" i="1"/>
  <c r="B14723" i="1"/>
  <c r="C14723" i="1"/>
  <c r="B14724" i="1"/>
  <c r="C14724" i="1"/>
  <c r="B14725" i="1"/>
  <c r="C14725" i="1"/>
  <c r="B14726" i="1"/>
  <c r="C14726" i="1"/>
  <c r="B14727" i="1"/>
  <c r="C14727" i="1"/>
  <c r="B14728" i="1"/>
  <c r="C14728" i="1"/>
  <c r="B14729" i="1"/>
  <c r="C14729" i="1"/>
  <c r="B14730" i="1"/>
  <c r="C14730" i="1"/>
  <c r="B14731" i="1"/>
  <c r="C14731" i="1"/>
  <c r="B14732" i="1"/>
  <c r="C14732" i="1"/>
  <c r="B14733" i="1"/>
  <c r="C14733" i="1"/>
  <c r="B14734" i="1"/>
  <c r="C14734" i="1"/>
  <c r="B14735" i="1"/>
  <c r="C14735" i="1"/>
  <c r="B14736" i="1"/>
  <c r="C14736" i="1"/>
  <c r="B14737" i="1"/>
  <c r="C14737" i="1"/>
  <c r="B14738" i="1"/>
  <c r="C14738" i="1"/>
  <c r="B14739" i="1"/>
  <c r="C14739" i="1"/>
  <c r="B14740" i="1"/>
  <c r="C14740" i="1"/>
  <c r="B14741" i="1"/>
  <c r="C14741" i="1"/>
  <c r="B14742" i="1"/>
  <c r="C14742" i="1"/>
  <c r="B14743" i="1"/>
  <c r="C14743" i="1"/>
  <c r="B14744" i="1"/>
  <c r="C14744" i="1"/>
  <c r="B14745" i="1"/>
  <c r="C14745" i="1"/>
  <c r="B14746" i="1"/>
  <c r="C14746" i="1"/>
  <c r="B14747" i="1"/>
  <c r="C14747" i="1"/>
  <c r="B14748" i="1"/>
  <c r="C14748" i="1"/>
  <c r="B14749" i="1"/>
  <c r="C14749" i="1"/>
  <c r="B14750" i="1"/>
  <c r="C14750" i="1"/>
  <c r="B14751" i="1"/>
  <c r="C14751" i="1"/>
  <c r="B14752" i="1"/>
  <c r="C14752" i="1"/>
  <c r="B14753" i="1"/>
  <c r="C14753" i="1"/>
  <c r="B14754" i="1"/>
  <c r="C14754" i="1"/>
  <c r="B14755" i="1"/>
  <c r="C14755" i="1"/>
  <c r="B14756" i="1"/>
  <c r="C14756" i="1"/>
  <c r="B14757" i="1"/>
  <c r="C14757" i="1"/>
  <c r="B14758" i="1"/>
  <c r="C14758" i="1"/>
  <c r="B14759" i="1"/>
  <c r="C14759" i="1"/>
  <c r="B14760" i="1"/>
  <c r="C14760" i="1"/>
  <c r="B14761" i="1"/>
  <c r="C14761" i="1"/>
  <c r="B14762" i="1"/>
  <c r="C14762" i="1"/>
  <c r="B14763" i="1"/>
  <c r="C14763" i="1"/>
  <c r="B14764" i="1"/>
  <c r="C14764" i="1"/>
  <c r="B14765" i="1"/>
  <c r="C14765" i="1"/>
  <c r="B14766" i="1"/>
  <c r="C14766" i="1"/>
  <c r="B14767" i="1"/>
  <c r="C14767" i="1"/>
  <c r="B14768" i="1"/>
  <c r="C14768" i="1"/>
  <c r="B14769" i="1"/>
  <c r="C14769" i="1"/>
  <c r="B14770" i="1"/>
  <c r="C14770" i="1"/>
  <c r="B14771" i="1"/>
  <c r="C14771" i="1"/>
  <c r="B14772" i="1"/>
  <c r="C14772" i="1"/>
  <c r="B14773" i="1"/>
  <c r="C14773" i="1"/>
  <c r="B14774" i="1"/>
  <c r="C14774" i="1"/>
  <c r="B14775" i="1"/>
  <c r="C14775" i="1"/>
  <c r="B14776" i="1"/>
  <c r="C14776" i="1"/>
  <c r="B14777" i="1"/>
  <c r="C14777" i="1"/>
  <c r="B14778" i="1"/>
  <c r="C14778" i="1"/>
  <c r="B14779" i="1"/>
  <c r="C14779" i="1"/>
  <c r="B14780" i="1"/>
  <c r="C14780" i="1"/>
  <c r="B14781" i="1"/>
  <c r="C14781" i="1"/>
  <c r="B14782" i="1"/>
  <c r="C14782" i="1"/>
  <c r="B14783" i="1"/>
  <c r="C14783" i="1"/>
  <c r="B14784" i="1"/>
  <c r="C14784" i="1"/>
  <c r="B14785" i="1"/>
  <c r="C14785" i="1"/>
  <c r="B14786" i="1"/>
  <c r="C14786" i="1"/>
  <c r="B14787" i="1"/>
  <c r="C14787" i="1"/>
  <c r="B14788" i="1"/>
  <c r="C14788" i="1"/>
  <c r="B14789" i="1"/>
  <c r="C14789" i="1"/>
  <c r="B14790" i="1"/>
  <c r="C14790" i="1"/>
  <c r="B14791" i="1"/>
  <c r="C14791" i="1"/>
  <c r="B14792" i="1"/>
  <c r="C14792" i="1"/>
  <c r="B14793" i="1"/>
  <c r="C14793" i="1"/>
  <c r="B14794" i="1"/>
  <c r="C14794" i="1"/>
  <c r="B14795" i="1"/>
  <c r="C14795" i="1"/>
  <c r="B14796" i="1"/>
  <c r="C14796" i="1"/>
  <c r="B14797" i="1"/>
  <c r="C14797" i="1"/>
  <c r="B14798" i="1"/>
  <c r="C14798" i="1"/>
  <c r="B14799" i="1"/>
  <c r="C14799" i="1"/>
  <c r="B14800" i="1"/>
  <c r="C14800" i="1"/>
  <c r="B14801" i="1"/>
  <c r="C14801" i="1"/>
  <c r="B14802" i="1"/>
  <c r="C14802" i="1"/>
  <c r="B14803" i="1"/>
  <c r="C14803" i="1"/>
  <c r="B14804" i="1"/>
  <c r="C14804" i="1"/>
  <c r="B14805" i="1"/>
  <c r="C14805" i="1"/>
  <c r="B14806" i="1"/>
  <c r="C14806" i="1"/>
  <c r="B14807" i="1"/>
  <c r="C14807" i="1"/>
  <c r="B14808" i="1"/>
  <c r="C14808" i="1"/>
  <c r="B14809" i="1"/>
  <c r="C14809" i="1"/>
  <c r="B14810" i="1"/>
  <c r="C14810" i="1"/>
  <c r="B14811" i="1"/>
  <c r="C14811" i="1"/>
  <c r="B14812" i="1"/>
  <c r="C14812" i="1"/>
  <c r="B14813" i="1"/>
  <c r="C14813" i="1"/>
  <c r="B14814" i="1"/>
  <c r="C14814" i="1"/>
  <c r="B14815" i="1"/>
  <c r="C14815" i="1"/>
  <c r="B14816" i="1"/>
  <c r="C14816" i="1"/>
  <c r="B14817" i="1"/>
  <c r="C14817" i="1"/>
  <c r="B14818" i="1"/>
  <c r="C14818" i="1"/>
  <c r="B14819" i="1"/>
  <c r="C14819" i="1"/>
  <c r="B14820" i="1"/>
  <c r="C14820" i="1"/>
  <c r="B14821" i="1"/>
  <c r="C14821" i="1"/>
  <c r="B14822" i="1"/>
  <c r="C14822" i="1"/>
  <c r="B14823" i="1"/>
  <c r="C14823" i="1"/>
  <c r="B14824" i="1"/>
  <c r="C14824" i="1"/>
  <c r="B14825" i="1"/>
  <c r="C14825" i="1"/>
  <c r="B14826" i="1"/>
  <c r="C14826" i="1"/>
  <c r="B14827" i="1"/>
  <c r="C14827" i="1"/>
  <c r="B14828" i="1"/>
  <c r="C14828" i="1"/>
  <c r="B14829" i="1"/>
  <c r="C14829" i="1"/>
  <c r="B14830" i="1"/>
  <c r="C14830" i="1"/>
  <c r="B14831" i="1"/>
  <c r="C14831" i="1"/>
  <c r="B14832" i="1"/>
  <c r="C14832" i="1"/>
  <c r="B14833" i="1"/>
  <c r="C14833" i="1"/>
  <c r="B14834" i="1"/>
  <c r="C14834" i="1"/>
  <c r="B14835" i="1"/>
  <c r="C14835" i="1"/>
  <c r="B14836" i="1"/>
  <c r="C14836" i="1"/>
  <c r="B14837" i="1"/>
  <c r="C14837" i="1"/>
  <c r="B14838" i="1"/>
  <c r="C14838" i="1"/>
  <c r="B14839" i="1"/>
  <c r="C14839" i="1"/>
  <c r="B14840" i="1"/>
  <c r="C14840" i="1"/>
  <c r="B14841" i="1"/>
  <c r="C14841" i="1"/>
  <c r="B14842" i="1"/>
  <c r="C14842" i="1"/>
  <c r="B14843" i="1"/>
  <c r="C14843" i="1"/>
  <c r="B14844" i="1"/>
  <c r="C14844" i="1"/>
  <c r="B14845" i="1"/>
  <c r="C14845" i="1"/>
  <c r="B14846" i="1"/>
  <c r="C14846" i="1"/>
  <c r="B14847" i="1"/>
  <c r="C14847" i="1"/>
  <c r="B14848" i="1"/>
  <c r="C14848" i="1"/>
  <c r="B14849" i="1"/>
  <c r="C14849" i="1"/>
  <c r="B14850" i="1"/>
  <c r="C14850" i="1"/>
  <c r="B14851" i="1"/>
  <c r="C14851" i="1"/>
  <c r="B14852" i="1"/>
  <c r="C14852" i="1"/>
  <c r="B14853" i="1"/>
  <c r="C14853" i="1"/>
  <c r="B14854" i="1"/>
  <c r="C14854" i="1"/>
  <c r="B14855" i="1"/>
  <c r="C14855" i="1"/>
  <c r="B14856" i="1"/>
  <c r="C14856" i="1"/>
  <c r="B14857" i="1"/>
  <c r="C14857" i="1"/>
  <c r="B14858" i="1"/>
  <c r="C14858" i="1"/>
  <c r="B14859" i="1"/>
  <c r="C14859" i="1"/>
  <c r="B14860" i="1"/>
  <c r="C14860" i="1"/>
  <c r="B14861" i="1"/>
  <c r="C14861" i="1"/>
  <c r="B14862" i="1"/>
  <c r="C14862" i="1"/>
  <c r="B14863" i="1"/>
  <c r="C14863" i="1"/>
  <c r="B14864" i="1"/>
  <c r="C14864" i="1"/>
  <c r="B14865" i="1"/>
  <c r="C14865" i="1"/>
  <c r="B14866" i="1"/>
  <c r="C14866" i="1"/>
  <c r="B14867" i="1"/>
  <c r="C14867" i="1"/>
  <c r="B14868" i="1"/>
  <c r="C14868" i="1"/>
  <c r="B14869" i="1"/>
  <c r="C14869" i="1"/>
  <c r="B14870" i="1"/>
  <c r="C14870" i="1"/>
  <c r="B14871" i="1"/>
  <c r="C14871" i="1"/>
  <c r="B14872" i="1"/>
  <c r="C14872" i="1"/>
  <c r="B14873" i="1"/>
  <c r="C14873" i="1"/>
  <c r="B14874" i="1"/>
  <c r="C14874" i="1"/>
  <c r="B14875" i="1"/>
  <c r="C14875" i="1"/>
  <c r="B14876" i="1"/>
  <c r="C14876" i="1"/>
  <c r="B14877" i="1"/>
  <c r="C14877" i="1"/>
  <c r="B14878" i="1"/>
  <c r="C14878" i="1"/>
  <c r="B14879" i="1"/>
  <c r="C14879" i="1"/>
  <c r="B14880" i="1"/>
  <c r="C14880" i="1"/>
  <c r="B14881" i="1"/>
  <c r="C14881" i="1"/>
  <c r="B14882" i="1"/>
  <c r="C14882" i="1"/>
  <c r="B14883" i="1"/>
  <c r="C14883" i="1"/>
  <c r="B14884" i="1"/>
  <c r="C14884" i="1"/>
  <c r="B14885" i="1"/>
  <c r="C14885" i="1"/>
  <c r="B14886" i="1"/>
  <c r="C14886" i="1"/>
  <c r="B14887" i="1"/>
  <c r="C14887" i="1"/>
  <c r="B14888" i="1"/>
  <c r="C14888" i="1"/>
  <c r="B14889" i="1"/>
  <c r="C14889" i="1"/>
  <c r="B14890" i="1"/>
  <c r="C14890" i="1"/>
  <c r="B14891" i="1"/>
  <c r="C14891" i="1"/>
  <c r="B14892" i="1"/>
  <c r="C14892" i="1"/>
  <c r="B14893" i="1"/>
  <c r="C14893" i="1"/>
  <c r="B14894" i="1"/>
  <c r="C14894" i="1"/>
  <c r="B14895" i="1"/>
  <c r="C14895" i="1"/>
  <c r="B14896" i="1"/>
  <c r="C14896" i="1"/>
  <c r="B14897" i="1"/>
  <c r="C14897" i="1"/>
  <c r="B14898" i="1"/>
  <c r="C14898" i="1"/>
  <c r="B14899" i="1"/>
  <c r="C14899" i="1"/>
  <c r="B14900" i="1"/>
  <c r="C14900" i="1"/>
  <c r="B14901" i="1"/>
  <c r="C14901" i="1"/>
  <c r="B14902" i="1"/>
  <c r="C14902" i="1"/>
  <c r="B14903" i="1"/>
  <c r="C14903" i="1"/>
  <c r="B14904" i="1"/>
  <c r="C14904" i="1"/>
  <c r="B14905" i="1"/>
  <c r="C14905" i="1"/>
  <c r="B14906" i="1"/>
  <c r="C14906" i="1"/>
  <c r="B14907" i="1"/>
  <c r="C14907" i="1"/>
  <c r="B14908" i="1"/>
  <c r="C14908" i="1"/>
  <c r="B14909" i="1"/>
  <c r="C14909" i="1"/>
  <c r="B14910" i="1"/>
  <c r="C14910" i="1"/>
  <c r="B14911" i="1"/>
  <c r="C14911" i="1"/>
  <c r="B14912" i="1"/>
  <c r="C14912" i="1"/>
  <c r="B14913" i="1"/>
  <c r="C14913" i="1"/>
  <c r="B14914" i="1"/>
  <c r="C14914" i="1"/>
  <c r="B14915" i="1"/>
  <c r="C14915" i="1"/>
  <c r="B14916" i="1"/>
  <c r="C14916" i="1"/>
  <c r="B14917" i="1"/>
  <c r="C14917" i="1"/>
  <c r="B14918" i="1"/>
  <c r="C14918" i="1"/>
  <c r="B14919" i="1"/>
  <c r="C14919" i="1"/>
  <c r="B14920" i="1"/>
  <c r="C14920" i="1"/>
  <c r="B14921" i="1"/>
  <c r="C14921" i="1"/>
  <c r="B14922" i="1"/>
  <c r="C14922" i="1"/>
  <c r="B14923" i="1"/>
  <c r="C14923" i="1"/>
  <c r="B14924" i="1"/>
  <c r="C14924" i="1"/>
  <c r="B14925" i="1"/>
  <c r="C14925" i="1"/>
  <c r="B14926" i="1"/>
  <c r="C14926" i="1"/>
  <c r="B14927" i="1"/>
  <c r="C14927" i="1"/>
  <c r="B14928" i="1"/>
  <c r="C14928" i="1"/>
  <c r="B14929" i="1"/>
  <c r="C14929" i="1"/>
  <c r="B14930" i="1"/>
  <c r="C14930" i="1"/>
  <c r="B14931" i="1"/>
  <c r="C14931" i="1"/>
  <c r="B14932" i="1"/>
  <c r="C14932" i="1"/>
  <c r="B14933" i="1"/>
  <c r="C14933" i="1"/>
  <c r="B14934" i="1"/>
  <c r="C14934" i="1"/>
  <c r="B14935" i="1"/>
  <c r="C14935" i="1"/>
  <c r="B14936" i="1"/>
  <c r="C14936" i="1"/>
  <c r="B14937" i="1"/>
  <c r="C14937" i="1"/>
  <c r="B14938" i="1"/>
  <c r="C14938" i="1"/>
  <c r="B14939" i="1"/>
  <c r="C14939" i="1"/>
  <c r="B14940" i="1"/>
  <c r="C14940" i="1"/>
  <c r="B14941" i="1"/>
  <c r="C14941" i="1"/>
  <c r="B14942" i="1"/>
  <c r="C14942" i="1"/>
  <c r="B14943" i="1"/>
  <c r="C14943" i="1"/>
  <c r="B14944" i="1"/>
  <c r="C14944" i="1"/>
  <c r="B14945" i="1"/>
  <c r="C14945" i="1"/>
  <c r="B14946" i="1"/>
  <c r="C14946" i="1"/>
  <c r="B14947" i="1"/>
  <c r="C14947" i="1"/>
  <c r="B14948" i="1"/>
  <c r="C14948" i="1"/>
  <c r="B14949" i="1"/>
  <c r="C14949" i="1"/>
  <c r="B14950" i="1"/>
  <c r="C14950" i="1"/>
  <c r="B14951" i="1"/>
  <c r="C14951" i="1"/>
  <c r="B14952" i="1"/>
  <c r="C14952" i="1"/>
  <c r="B14953" i="1"/>
  <c r="C14953" i="1"/>
  <c r="B14954" i="1"/>
  <c r="C14954" i="1"/>
  <c r="B14955" i="1"/>
  <c r="C14955" i="1"/>
  <c r="B14956" i="1"/>
  <c r="C14956" i="1"/>
  <c r="B14957" i="1"/>
  <c r="C14957" i="1"/>
  <c r="B14958" i="1"/>
  <c r="C14958" i="1"/>
  <c r="B14959" i="1"/>
  <c r="C14959" i="1"/>
  <c r="B14960" i="1"/>
  <c r="C14960" i="1"/>
  <c r="B14961" i="1"/>
  <c r="C14961" i="1"/>
  <c r="B14962" i="1"/>
  <c r="C14962" i="1"/>
  <c r="B14963" i="1"/>
  <c r="C14963" i="1"/>
  <c r="B14964" i="1"/>
  <c r="C14964" i="1"/>
  <c r="B14965" i="1"/>
  <c r="C14965" i="1"/>
  <c r="B14966" i="1"/>
  <c r="C14966" i="1"/>
  <c r="B14967" i="1"/>
  <c r="C14967" i="1"/>
  <c r="B14968" i="1"/>
  <c r="C14968" i="1"/>
  <c r="B14969" i="1"/>
  <c r="C14969" i="1"/>
  <c r="B14970" i="1"/>
  <c r="C14970" i="1"/>
  <c r="B14971" i="1"/>
  <c r="C14971" i="1"/>
  <c r="B14972" i="1"/>
  <c r="C14972" i="1"/>
  <c r="B14973" i="1"/>
  <c r="C14973" i="1"/>
  <c r="B14974" i="1"/>
  <c r="C14974" i="1"/>
  <c r="B14975" i="1"/>
  <c r="C14975" i="1"/>
  <c r="B14976" i="1"/>
  <c r="C14976" i="1"/>
  <c r="B14977" i="1"/>
  <c r="C14977" i="1"/>
  <c r="B14978" i="1"/>
  <c r="C14978" i="1"/>
  <c r="B14979" i="1"/>
  <c r="C14979" i="1"/>
  <c r="B14980" i="1"/>
  <c r="C14980" i="1"/>
  <c r="B14981" i="1"/>
  <c r="C14981" i="1"/>
  <c r="B14982" i="1"/>
  <c r="C14982" i="1"/>
  <c r="B14983" i="1"/>
  <c r="C14983" i="1"/>
  <c r="B14984" i="1"/>
  <c r="C14984" i="1"/>
  <c r="B14985" i="1"/>
  <c r="C14985" i="1"/>
  <c r="B14986" i="1"/>
  <c r="C14986" i="1"/>
  <c r="B14987" i="1"/>
  <c r="C14987" i="1"/>
  <c r="B14988" i="1"/>
  <c r="C14988" i="1"/>
  <c r="B14989" i="1"/>
  <c r="C14989" i="1"/>
  <c r="B14990" i="1"/>
  <c r="C14990" i="1"/>
  <c r="B14991" i="1"/>
  <c r="C14991" i="1"/>
  <c r="B14992" i="1"/>
  <c r="C14992" i="1"/>
  <c r="B14993" i="1"/>
  <c r="C14993" i="1"/>
  <c r="B14994" i="1"/>
  <c r="C14994" i="1"/>
  <c r="B14995" i="1"/>
  <c r="C14995" i="1"/>
  <c r="B14996" i="1"/>
  <c r="C14996" i="1"/>
  <c r="B14997" i="1"/>
  <c r="C14997" i="1"/>
  <c r="B14998" i="1"/>
  <c r="C14998" i="1"/>
  <c r="B14999" i="1"/>
  <c r="C14999" i="1"/>
  <c r="B15000" i="1"/>
  <c r="C15000" i="1"/>
  <c r="B15001" i="1"/>
  <c r="C15001" i="1"/>
  <c r="B15002" i="1"/>
  <c r="C15002" i="1"/>
  <c r="B15003" i="1"/>
  <c r="C15003" i="1"/>
  <c r="B15004" i="1"/>
  <c r="C15004" i="1"/>
  <c r="B15005" i="1"/>
  <c r="C15005" i="1"/>
  <c r="B15006" i="1"/>
  <c r="C15006" i="1"/>
  <c r="B15007" i="1"/>
  <c r="C15007" i="1"/>
  <c r="B15008" i="1"/>
  <c r="C15008" i="1"/>
  <c r="B15009" i="1"/>
  <c r="C15009" i="1"/>
  <c r="B15010" i="1"/>
  <c r="C15010" i="1"/>
  <c r="B15011" i="1"/>
  <c r="C15011" i="1"/>
  <c r="B15012" i="1"/>
  <c r="C15012" i="1"/>
  <c r="B15013" i="1"/>
  <c r="C15013" i="1"/>
  <c r="B15014" i="1"/>
  <c r="C15014" i="1"/>
  <c r="B15015" i="1"/>
  <c r="C15015" i="1"/>
  <c r="B15016" i="1"/>
  <c r="C15016" i="1"/>
  <c r="B15017" i="1"/>
  <c r="C15017" i="1"/>
  <c r="B15018" i="1"/>
  <c r="C15018" i="1"/>
  <c r="B15019" i="1"/>
  <c r="C15019" i="1"/>
  <c r="B15020" i="1"/>
  <c r="C15020" i="1"/>
  <c r="B15021" i="1"/>
  <c r="C15021" i="1"/>
  <c r="B15022" i="1"/>
  <c r="C15022" i="1"/>
  <c r="B15023" i="1"/>
  <c r="C15023" i="1"/>
  <c r="B15024" i="1"/>
  <c r="C15024" i="1"/>
  <c r="B15025" i="1"/>
  <c r="C15025" i="1"/>
  <c r="B15026" i="1"/>
  <c r="C15026" i="1"/>
  <c r="B15027" i="1"/>
  <c r="C15027" i="1"/>
  <c r="B15028" i="1"/>
  <c r="C15028" i="1"/>
  <c r="B15029" i="1"/>
  <c r="C15029" i="1"/>
  <c r="B15030" i="1"/>
  <c r="C15030" i="1"/>
  <c r="B15031" i="1"/>
  <c r="C15031" i="1"/>
  <c r="B15032" i="1"/>
  <c r="C15032" i="1"/>
  <c r="B15033" i="1"/>
  <c r="C15033" i="1"/>
  <c r="B15034" i="1"/>
  <c r="C15034" i="1"/>
  <c r="B15035" i="1"/>
  <c r="C15035" i="1"/>
  <c r="B15036" i="1"/>
  <c r="C15036" i="1"/>
  <c r="B15037" i="1"/>
  <c r="C15037" i="1"/>
  <c r="B15038" i="1"/>
  <c r="C15038" i="1"/>
  <c r="B15039" i="1"/>
  <c r="C15039" i="1"/>
  <c r="B15040" i="1"/>
  <c r="C15040" i="1"/>
  <c r="B15041" i="1"/>
  <c r="C15041" i="1"/>
  <c r="B15042" i="1"/>
  <c r="C15042" i="1"/>
  <c r="B15043" i="1"/>
  <c r="C15043" i="1"/>
  <c r="B15044" i="1"/>
  <c r="C15044" i="1"/>
  <c r="B15045" i="1"/>
  <c r="C15045" i="1"/>
  <c r="B15046" i="1"/>
  <c r="C15046" i="1"/>
  <c r="B15047" i="1"/>
  <c r="C15047" i="1"/>
  <c r="B15048" i="1"/>
  <c r="C15048" i="1"/>
  <c r="B15049" i="1"/>
  <c r="C15049" i="1"/>
  <c r="B15050" i="1"/>
  <c r="C15050" i="1"/>
  <c r="B15051" i="1"/>
  <c r="C15051" i="1"/>
  <c r="B15052" i="1"/>
  <c r="C15052" i="1"/>
  <c r="B15053" i="1"/>
  <c r="C15053" i="1"/>
  <c r="B15054" i="1"/>
  <c r="C15054" i="1"/>
  <c r="B15055" i="1"/>
  <c r="C15055" i="1"/>
  <c r="B15056" i="1"/>
  <c r="C15056" i="1"/>
  <c r="B15057" i="1"/>
  <c r="C15057" i="1"/>
  <c r="B15058" i="1"/>
  <c r="C15058" i="1"/>
  <c r="B15059" i="1"/>
  <c r="C15059" i="1"/>
  <c r="B15060" i="1"/>
  <c r="C15060" i="1"/>
  <c r="B15061" i="1"/>
  <c r="C15061" i="1"/>
  <c r="B15062" i="1"/>
  <c r="C15062" i="1"/>
  <c r="B15063" i="1"/>
  <c r="C15063" i="1"/>
  <c r="B15064" i="1"/>
  <c r="C15064" i="1"/>
  <c r="B15065" i="1"/>
  <c r="C15065" i="1"/>
  <c r="B15066" i="1"/>
  <c r="C15066" i="1"/>
  <c r="B15067" i="1"/>
  <c r="C15067" i="1"/>
  <c r="B15068" i="1"/>
  <c r="C15068" i="1"/>
  <c r="B15069" i="1"/>
  <c r="C15069" i="1"/>
  <c r="B15070" i="1"/>
  <c r="C15070" i="1"/>
  <c r="B15071" i="1"/>
  <c r="C15071" i="1"/>
  <c r="B15072" i="1"/>
  <c r="C15072" i="1"/>
  <c r="B15073" i="1"/>
  <c r="C15073" i="1"/>
  <c r="B15074" i="1"/>
  <c r="C15074" i="1"/>
  <c r="B15075" i="1"/>
  <c r="C15075" i="1"/>
  <c r="B15076" i="1"/>
  <c r="C15076" i="1"/>
  <c r="B15077" i="1"/>
  <c r="C15077" i="1"/>
  <c r="B15078" i="1"/>
  <c r="C15078" i="1"/>
  <c r="B15079" i="1"/>
  <c r="C15079" i="1"/>
  <c r="B15080" i="1"/>
  <c r="C15080" i="1"/>
  <c r="B15081" i="1"/>
  <c r="C15081" i="1"/>
  <c r="B15082" i="1"/>
  <c r="C15082" i="1"/>
  <c r="B15083" i="1"/>
  <c r="C15083" i="1"/>
  <c r="B15084" i="1"/>
  <c r="C15084" i="1"/>
  <c r="B15085" i="1"/>
  <c r="C15085" i="1"/>
  <c r="B15086" i="1"/>
  <c r="C15086" i="1"/>
  <c r="B15087" i="1"/>
  <c r="C15087" i="1"/>
  <c r="B15088" i="1"/>
  <c r="C15088" i="1"/>
  <c r="B15089" i="1"/>
  <c r="C15089" i="1"/>
  <c r="B15090" i="1"/>
  <c r="C15090" i="1"/>
  <c r="B15091" i="1"/>
  <c r="C15091" i="1"/>
  <c r="B15092" i="1"/>
  <c r="C15092" i="1"/>
  <c r="B15093" i="1"/>
  <c r="C15093" i="1"/>
  <c r="B15094" i="1"/>
  <c r="C15094" i="1"/>
  <c r="B15095" i="1"/>
  <c r="C15095" i="1"/>
  <c r="B15096" i="1"/>
  <c r="C15096" i="1"/>
  <c r="B15097" i="1"/>
  <c r="C15097" i="1"/>
  <c r="B15098" i="1"/>
  <c r="C15098" i="1"/>
  <c r="B15099" i="1"/>
  <c r="C15099" i="1"/>
  <c r="B15100" i="1"/>
  <c r="C15100" i="1"/>
  <c r="B15101" i="1"/>
  <c r="C15101" i="1"/>
  <c r="B15102" i="1"/>
  <c r="C15102" i="1"/>
  <c r="B15103" i="1"/>
  <c r="C15103" i="1"/>
  <c r="B15104" i="1"/>
  <c r="C15104" i="1"/>
  <c r="B15105" i="1"/>
  <c r="C15105" i="1"/>
  <c r="B15106" i="1"/>
  <c r="C15106" i="1"/>
  <c r="B15107" i="1"/>
  <c r="C15107" i="1"/>
  <c r="B15108" i="1"/>
  <c r="C15108" i="1"/>
  <c r="B15109" i="1"/>
  <c r="C15109" i="1"/>
  <c r="B15110" i="1"/>
  <c r="C15110" i="1"/>
  <c r="B15111" i="1"/>
  <c r="C15111" i="1"/>
  <c r="B15112" i="1"/>
  <c r="C15112" i="1"/>
  <c r="B15113" i="1"/>
  <c r="C15113" i="1"/>
  <c r="B15114" i="1"/>
  <c r="C15114" i="1"/>
  <c r="B15115" i="1"/>
  <c r="C15115" i="1"/>
  <c r="B15116" i="1"/>
  <c r="C15116" i="1"/>
  <c r="B15117" i="1"/>
  <c r="C15117" i="1"/>
  <c r="B15118" i="1"/>
  <c r="C15118" i="1"/>
  <c r="B15119" i="1"/>
  <c r="C15119" i="1"/>
  <c r="B15120" i="1"/>
  <c r="C15120" i="1"/>
  <c r="B15121" i="1"/>
  <c r="C15121" i="1"/>
  <c r="B15122" i="1"/>
  <c r="C15122" i="1"/>
  <c r="B15123" i="1"/>
  <c r="C15123" i="1"/>
  <c r="B15124" i="1"/>
  <c r="C15124" i="1"/>
  <c r="B15125" i="1"/>
  <c r="C15125" i="1"/>
  <c r="B15126" i="1"/>
  <c r="C15126" i="1"/>
  <c r="B15127" i="1"/>
  <c r="C15127" i="1"/>
  <c r="B15128" i="1"/>
  <c r="C15128" i="1"/>
  <c r="B15129" i="1"/>
  <c r="C15129" i="1"/>
  <c r="B15130" i="1"/>
  <c r="C15130" i="1"/>
  <c r="B15131" i="1"/>
  <c r="C15131" i="1"/>
  <c r="B15132" i="1"/>
  <c r="C15132" i="1"/>
  <c r="B15133" i="1"/>
  <c r="C15133" i="1"/>
  <c r="B15134" i="1"/>
  <c r="C15134" i="1"/>
  <c r="B15135" i="1"/>
  <c r="C15135" i="1"/>
  <c r="B15136" i="1"/>
  <c r="C15136" i="1"/>
  <c r="B15137" i="1"/>
  <c r="C15137" i="1"/>
  <c r="B15138" i="1"/>
  <c r="C15138" i="1"/>
  <c r="B15139" i="1"/>
  <c r="C15139" i="1"/>
  <c r="B15140" i="1"/>
  <c r="C15140" i="1"/>
  <c r="B15141" i="1"/>
  <c r="C15141" i="1"/>
  <c r="B15142" i="1"/>
  <c r="C15142" i="1"/>
  <c r="B15143" i="1"/>
  <c r="C15143" i="1"/>
  <c r="B15144" i="1"/>
  <c r="C15144" i="1"/>
  <c r="B15145" i="1"/>
  <c r="C15145" i="1"/>
  <c r="B15146" i="1"/>
  <c r="C15146" i="1"/>
  <c r="B15147" i="1"/>
  <c r="C15147" i="1"/>
  <c r="B15148" i="1"/>
  <c r="C15148" i="1"/>
  <c r="B15149" i="1"/>
  <c r="C15149" i="1"/>
  <c r="B15150" i="1"/>
  <c r="C15150" i="1"/>
  <c r="B15151" i="1"/>
  <c r="C15151" i="1"/>
  <c r="B15152" i="1"/>
  <c r="C15152" i="1"/>
  <c r="B15153" i="1"/>
  <c r="C15153" i="1"/>
  <c r="B15154" i="1"/>
  <c r="C15154" i="1"/>
  <c r="B15155" i="1"/>
  <c r="C15155" i="1"/>
  <c r="B15156" i="1"/>
  <c r="C15156" i="1"/>
  <c r="B15157" i="1"/>
  <c r="C15157" i="1"/>
  <c r="B15158" i="1"/>
  <c r="C15158" i="1"/>
  <c r="B15159" i="1"/>
  <c r="C15159" i="1"/>
  <c r="B15160" i="1"/>
  <c r="C15160" i="1"/>
  <c r="B15161" i="1"/>
  <c r="C15161" i="1"/>
  <c r="B15162" i="1"/>
  <c r="C15162" i="1"/>
  <c r="B15163" i="1"/>
  <c r="C15163" i="1"/>
  <c r="B15164" i="1"/>
  <c r="C15164" i="1"/>
  <c r="B15165" i="1"/>
  <c r="C15165" i="1"/>
  <c r="B15166" i="1"/>
  <c r="C15166" i="1"/>
  <c r="B15167" i="1"/>
  <c r="C15167" i="1"/>
  <c r="B15168" i="1"/>
  <c r="C15168" i="1"/>
  <c r="B15169" i="1"/>
  <c r="C15169" i="1"/>
  <c r="B15170" i="1"/>
  <c r="C15170" i="1"/>
  <c r="B15171" i="1"/>
  <c r="C15171" i="1"/>
  <c r="B15172" i="1"/>
  <c r="C15172" i="1"/>
  <c r="B15173" i="1"/>
  <c r="C15173" i="1"/>
  <c r="B15174" i="1"/>
  <c r="C15174" i="1"/>
  <c r="B15175" i="1"/>
  <c r="C15175" i="1"/>
  <c r="B15176" i="1"/>
  <c r="C15176" i="1"/>
  <c r="B15177" i="1"/>
  <c r="C15177" i="1"/>
  <c r="B15178" i="1"/>
  <c r="C15178" i="1"/>
  <c r="B15179" i="1"/>
  <c r="C15179" i="1"/>
  <c r="B15180" i="1"/>
  <c r="C15180" i="1"/>
  <c r="B15181" i="1"/>
  <c r="C15181" i="1"/>
  <c r="B15182" i="1"/>
  <c r="C15182" i="1"/>
  <c r="B15183" i="1"/>
  <c r="C15183" i="1"/>
  <c r="B15184" i="1"/>
  <c r="C15184" i="1"/>
  <c r="B15185" i="1"/>
  <c r="C15185" i="1"/>
  <c r="B15186" i="1"/>
  <c r="C15186" i="1"/>
  <c r="B15187" i="1"/>
  <c r="C15187" i="1"/>
  <c r="B15188" i="1"/>
  <c r="C15188" i="1"/>
  <c r="B15189" i="1"/>
  <c r="C15189" i="1"/>
  <c r="B15190" i="1"/>
  <c r="C15190" i="1"/>
  <c r="B15191" i="1"/>
  <c r="C15191" i="1"/>
  <c r="B15192" i="1"/>
  <c r="C15192" i="1"/>
  <c r="B15193" i="1"/>
  <c r="C15193" i="1"/>
  <c r="B15194" i="1"/>
  <c r="C15194" i="1"/>
  <c r="B15195" i="1"/>
  <c r="C15195" i="1"/>
  <c r="B15196" i="1"/>
  <c r="C15196" i="1"/>
  <c r="B15197" i="1"/>
  <c r="C15197" i="1"/>
  <c r="B15198" i="1"/>
  <c r="C15198" i="1"/>
  <c r="B15199" i="1"/>
  <c r="C15199" i="1"/>
  <c r="B15200" i="1"/>
  <c r="C15200" i="1"/>
  <c r="B15201" i="1"/>
  <c r="C15201" i="1"/>
  <c r="B15202" i="1"/>
  <c r="C15202" i="1"/>
  <c r="B15203" i="1"/>
  <c r="C15203" i="1"/>
  <c r="B15204" i="1"/>
  <c r="C15204" i="1"/>
  <c r="B15205" i="1"/>
  <c r="C15205" i="1"/>
  <c r="B15206" i="1"/>
  <c r="C15206" i="1"/>
  <c r="B15207" i="1"/>
  <c r="C15207" i="1"/>
  <c r="B15208" i="1"/>
  <c r="C15208" i="1"/>
  <c r="B15209" i="1"/>
  <c r="C15209" i="1"/>
  <c r="B15210" i="1"/>
  <c r="C15210" i="1"/>
  <c r="B15211" i="1"/>
  <c r="C15211" i="1"/>
  <c r="B15212" i="1"/>
  <c r="C15212" i="1"/>
  <c r="B15213" i="1"/>
  <c r="C15213" i="1"/>
  <c r="B15214" i="1"/>
  <c r="C15214" i="1"/>
  <c r="B15215" i="1"/>
  <c r="C15215" i="1"/>
  <c r="B15216" i="1"/>
  <c r="C15216" i="1"/>
  <c r="B15217" i="1"/>
  <c r="C15217" i="1"/>
  <c r="B15218" i="1"/>
  <c r="C15218" i="1"/>
  <c r="B15219" i="1"/>
  <c r="C15219" i="1"/>
  <c r="B15220" i="1"/>
  <c r="C15220" i="1"/>
  <c r="B15221" i="1"/>
  <c r="C15221" i="1"/>
  <c r="B15222" i="1"/>
  <c r="C15222" i="1"/>
  <c r="B15223" i="1"/>
  <c r="C15223" i="1"/>
  <c r="B15224" i="1"/>
  <c r="C15224" i="1"/>
  <c r="B15225" i="1"/>
  <c r="C15225" i="1"/>
  <c r="B15226" i="1"/>
  <c r="C15226" i="1"/>
  <c r="B15227" i="1"/>
  <c r="C15227" i="1"/>
  <c r="B15228" i="1"/>
  <c r="C15228" i="1"/>
  <c r="B15229" i="1"/>
  <c r="C15229" i="1"/>
  <c r="B15230" i="1"/>
  <c r="C15230" i="1"/>
  <c r="B15231" i="1"/>
  <c r="C15231" i="1"/>
  <c r="B15232" i="1"/>
  <c r="C15232" i="1"/>
  <c r="B15233" i="1"/>
  <c r="C15233" i="1"/>
  <c r="B15234" i="1"/>
  <c r="C15234" i="1"/>
  <c r="B15235" i="1"/>
  <c r="C15235" i="1"/>
  <c r="B15236" i="1"/>
  <c r="C15236" i="1"/>
  <c r="B15237" i="1"/>
  <c r="C15237" i="1"/>
  <c r="B15238" i="1"/>
  <c r="C15238" i="1"/>
  <c r="B15239" i="1"/>
  <c r="C15239" i="1"/>
  <c r="B15240" i="1"/>
  <c r="C15240" i="1"/>
  <c r="B15241" i="1"/>
  <c r="C15241" i="1"/>
  <c r="B15242" i="1"/>
  <c r="C15242" i="1"/>
  <c r="B15243" i="1"/>
  <c r="C15243" i="1"/>
  <c r="B15244" i="1"/>
  <c r="C15244" i="1"/>
  <c r="B15245" i="1"/>
  <c r="C15245" i="1"/>
  <c r="B15246" i="1"/>
  <c r="C15246" i="1"/>
  <c r="B15247" i="1"/>
  <c r="C15247" i="1"/>
  <c r="B15248" i="1"/>
  <c r="C15248" i="1"/>
  <c r="B15249" i="1"/>
  <c r="C15249" i="1"/>
  <c r="B15250" i="1"/>
  <c r="C15250" i="1"/>
  <c r="B15251" i="1"/>
  <c r="C15251" i="1"/>
  <c r="B15252" i="1"/>
  <c r="C15252" i="1"/>
  <c r="B15253" i="1"/>
  <c r="C15253" i="1"/>
  <c r="B15254" i="1"/>
  <c r="C15254" i="1"/>
  <c r="B15255" i="1"/>
  <c r="C15255" i="1"/>
  <c r="B15256" i="1"/>
  <c r="C15256" i="1"/>
  <c r="B15257" i="1"/>
  <c r="C15257" i="1"/>
  <c r="B15258" i="1"/>
  <c r="C15258" i="1"/>
  <c r="B15259" i="1"/>
  <c r="C15259" i="1"/>
  <c r="B15260" i="1"/>
  <c r="C15260" i="1"/>
  <c r="B15261" i="1"/>
  <c r="C15261" i="1"/>
  <c r="B15262" i="1"/>
  <c r="C15262" i="1"/>
  <c r="B15263" i="1"/>
  <c r="C15263" i="1"/>
  <c r="B15264" i="1"/>
  <c r="C15264" i="1"/>
  <c r="B15265" i="1"/>
  <c r="C15265" i="1"/>
  <c r="B15266" i="1"/>
  <c r="C15266" i="1"/>
  <c r="B15267" i="1"/>
  <c r="C15267" i="1"/>
  <c r="B15268" i="1"/>
  <c r="C15268" i="1"/>
  <c r="B15269" i="1"/>
  <c r="C15269" i="1"/>
  <c r="B15270" i="1"/>
  <c r="C15270" i="1"/>
  <c r="B15271" i="1"/>
  <c r="C15271" i="1"/>
  <c r="B15272" i="1"/>
  <c r="C15272" i="1"/>
  <c r="B15273" i="1"/>
  <c r="C15273" i="1"/>
  <c r="B15274" i="1"/>
  <c r="C15274" i="1"/>
  <c r="B15275" i="1"/>
  <c r="C15275" i="1"/>
  <c r="B15276" i="1"/>
  <c r="C15276" i="1"/>
  <c r="B15277" i="1"/>
  <c r="C15277" i="1"/>
  <c r="B15278" i="1"/>
  <c r="C15278" i="1"/>
  <c r="B15279" i="1"/>
  <c r="C15279" i="1"/>
  <c r="B15280" i="1"/>
  <c r="C15280" i="1"/>
  <c r="B15281" i="1"/>
  <c r="C15281" i="1"/>
  <c r="B15282" i="1"/>
  <c r="C15282" i="1"/>
  <c r="B15283" i="1"/>
  <c r="C15283" i="1"/>
  <c r="B15284" i="1"/>
  <c r="C15284" i="1"/>
  <c r="B15285" i="1"/>
  <c r="C15285" i="1"/>
  <c r="B15286" i="1"/>
  <c r="C15286" i="1"/>
  <c r="B15287" i="1"/>
  <c r="C15287" i="1"/>
  <c r="B15288" i="1"/>
  <c r="C15288" i="1"/>
  <c r="B15289" i="1"/>
  <c r="C15289" i="1"/>
  <c r="B15290" i="1"/>
  <c r="C15290" i="1"/>
  <c r="B15291" i="1"/>
  <c r="C15291" i="1"/>
  <c r="B15292" i="1"/>
  <c r="C15292" i="1"/>
  <c r="B15293" i="1"/>
  <c r="C15293" i="1"/>
  <c r="B15294" i="1"/>
  <c r="C15294" i="1"/>
  <c r="B15295" i="1"/>
  <c r="C15295" i="1"/>
  <c r="B15296" i="1"/>
  <c r="C15296" i="1"/>
  <c r="B15297" i="1"/>
  <c r="C15297" i="1"/>
  <c r="B15298" i="1"/>
  <c r="C15298" i="1"/>
  <c r="B15299" i="1"/>
  <c r="C15299" i="1"/>
  <c r="B15300" i="1"/>
  <c r="C15300" i="1"/>
  <c r="B15301" i="1"/>
  <c r="C15301" i="1"/>
  <c r="B15302" i="1"/>
  <c r="C15302" i="1"/>
  <c r="B15303" i="1"/>
  <c r="C15303" i="1"/>
  <c r="B15304" i="1"/>
  <c r="C15304" i="1"/>
  <c r="B15305" i="1"/>
  <c r="C15305" i="1"/>
  <c r="B15306" i="1"/>
  <c r="C15306" i="1"/>
  <c r="B15307" i="1"/>
  <c r="C15307" i="1"/>
  <c r="B15308" i="1"/>
  <c r="C15308" i="1"/>
  <c r="B15309" i="1"/>
  <c r="C15309" i="1"/>
  <c r="B15310" i="1"/>
  <c r="C15310" i="1"/>
  <c r="B15311" i="1"/>
  <c r="C15311" i="1"/>
  <c r="B15312" i="1"/>
  <c r="C15312" i="1"/>
  <c r="B15313" i="1"/>
  <c r="C15313" i="1"/>
  <c r="B15314" i="1"/>
  <c r="C15314" i="1"/>
  <c r="B15315" i="1"/>
  <c r="C15315" i="1"/>
  <c r="B15316" i="1"/>
  <c r="C15316" i="1"/>
  <c r="B15317" i="1"/>
  <c r="C15317" i="1"/>
  <c r="B15318" i="1"/>
  <c r="C15318" i="1"/>
  <c r="B15319" i="1"/>
  <c r="C15319" i="1"/>
  <c r="B15320" i="1"/>
  <c r="C15320" i="1"/>
  <c r="B15321" i="1"/>
  <c r="C15321" i="1"/>
  <c r="B15322" i="1"/>
  <c r="C15322" i="1"/>
  <c r="B15323" i="1"/>
  <c r="C15323" i="1"/>
  <c r="B15324" i="1"/>
  <c r="C15324" i="1"/>
  <c r="B15325" i="1"/>
  <c r="C15325" i="1"/>
  <c r="B15326" i="1"/>
  <c r="C15326" i="1"/>
  <c r="B15327" i="1"/>
  <c r="C15327" i="1"/>
  <c r="B15328" i="1"/>
  <c r="C15328" i="1"/>
  <c r="B15329" i="1"/>
  <c r="C15329" i="1"/>
  <c r="B15330" i="1"/>
  <c r="C15330" i="1"/>
  <c r="B15331" i="1"/>
  <c r="C15331" i="1"/>
  <c r="B15332" i="1"/>
  <c r="C15332" i="1"/>
  <c r="B15333" i="1"/>
  <c r="C15333" i="1"/>
  <c r="B15334" i="1"/>
  <c r="C15334" i="1"/>
  <c r="B15335" i="1"/>
  <c r="C15335" i="1"/>
  <c r="B15336" i="1"/>
  <c r="C15336" i="1"/>
  <c r="B15337" i="1"/>
  <c r="C15337" i="1"/>
  <c r="B15338" i="1"/>
  <c r="C15338" i="1"/>
  <c r="B15339" i="1"/>
  <c r="C15339" i="1"/>
  <c r="B15340" i="1"/>
  <c r="C15340" i="1"/>
  <c r="B15341" i="1"/>
  <c r="C15341" i="1"/>
  <c r="B15342" i="1"/>
  <c r="C15342" i="1"/>
  <c r="B15343" i="1"/>
  <c r="C15343" i="1"/>
  <c r="B15344" i="1"/>
  <c r="C15344" i="1"/>
  <c r="B15345" i="1"/>
  <c r="C15345" i="1"/>
  <c r="B15346" i="1"/>
  <c r="C15346" i="1"/>
  <c r="B15347" i="1"/>
  <c r="C15347" i="1"/>
  <c r="B15348" i="1"/>
  <c r="C15348" i="1"/>
  <c r="B15349" i="1"/>
  <c r="C15349" i="1"/>
  <c r="B15350" i="1"/>
  <c r="C15350" i="1"/>
  <c r="B15351" i="1"/>
  <c r="C15351" i="1"/>
  <c r="B15352" i="1"/>
  <c r="C15352" i="1"/>
  <c r="B15353" i="1"/>
  <c r="C15353" i="1"/>
  <c r="B15354" i="1"/>
  <c r="C15354" i="1"/>
  <c r="B15355" i="1"/>
  <c r="C15355" i="1"/>
  <c r="B15356" i="1"/>
  <c r="C15356" i="1"/>
  <c r="B15357" i="1"/>
  <c r="C15357" i="1"/>
  <c r="B15358" i="1"/>
  <c r="C15358" i="1"/>
  <c r="B15359" i="1"/>
  <c r="C15359" i="1"/>
  <c r="B15360" i="1"/>
  <c r="C15360" i="1"/>
  <c r="B15361" i="1"/>
  <c r="C15361" i="1"/>
  <c r="B15362" i="1"/>
  <c r="C15362" i="1"/>
  <c r="B15363" i="1"/>
  <c r="C15363" i="1"/>
  <c r="B15364" i="1"/>
  <c r="C15364" i="1"/>
  <c r="B15365" i="1"/>
  <c r="C15365" i="1"/>
  <c r="B15366" i="1"/>
  <c r="C15366" i="1"/>
  <c r="B15367" i="1"/>
  <c r="C15367" i="1"/>
  <c r="B15368" i="1"/>
  <c r="C15368" i="1"/>
  <c r="B15369" i="1"/>
  <c r="C15369" i="1"/>
  <c r="B15370" i="1"/>
  <c r="C15370" i="1"/>
  <c r="B15371" i="1"/>
  <c r="C15371" i="1"/>
  <c r="B15372" i="1"/>
  <c r="C15372" i="1"/>
  <c r="B15373" i="1"/>
  <c r="C15373" i="1"/>
  <c r="B15374" i="1"/>
  <c r="C15374" i="1"/>
  <c r="B15375" i="1"/>
  <c r="C15375" i="1"/>
  <c r="B15376" i="1"/>
  <c r="C15376" i="1"/>
  <c r="B15377" i="1"/>
  <c r="C15377" i="1"/>
  <c r="B15378" i="1"/>
  <c r="C15378" i="1"/>
  <c r="B15379" i="1"/>
  <c r="C15379" i="1"/>
  <c r="B15380" i="1"/>
  <c r="C15380" i="1"/>
  <c r="B15381" i="1"/>
  <c r="C15381" i="1"/>
  <c r="B15382" i="1"/>
  <c r="C15382" i="1"/>
  <c r="B15383" i="1"/>
  <c r="C15383" i="1"/>
  <c r="B15384" i="1"/>
  <c r="C15384" i="1"/>
  <c r="B15385" i="1"/>
  <c r="C15385" i="1"/>
  <c r="B15386" i="1"/>
  <c r="C15386" i="1"/>
  <c r="B15387" i="1"/>
  <c r="C15387" i="1"/>
  <c r="B15388" i="1"/>
  <c r="C15388" i="1"/>
  <c r="B15389" i="1"/>
  <c r="C15389" i="1"/>
  <c r="B15390" i="1"/>
  <c r="C15390" i="1"/>
  <c r="B15391" i="1"/>
  <c r="C15391" i="1"/>
  <c r="B15392" i="1"/>
  <c r="C15392" i="1"/>
  <c r="B15393" i="1"/>
  <c r="C15393" i="1"/>
  <c r="B15394" i="1"/>
  <c r="C15394" i="1"/>
  <c r="B15395" i="1"/>
  <c r="C15395" i="1"/>
  <c r="B15396" i="1"/>
  <c r="C15396" i="1"/>
  <c r="B15397" i="1"/>
  <c r="C15397" i="1"/>
  <c r="B15398" i="1"/>
  <c r="C15398" i="1"/>
  <c r="B15399" i="1"/>
  <c r="C15399" i="1"/>
  <c r="B15400" i="1"/>
  <c r="C15400" i="1"/>
  <c r="B15401" i="1"/>
  <c r="C15401" i="1"/>
  <c r="B15402" i="1"/>
  <c r="C15402" i="1"/>
  <c r="B15403" i="1"/>
  <c r="C15403" i="1"/>
  <c r="B15404" i="1"/>
  <c r="C15404" i="1"/>
  <c r="B15405" i="1"/>
  <c r="C15405" i="1"/>
  <c r="B15406" i="1"/>
  <c r="C15406" i="1"/>
  <c r="B15407" i="1"/>
  <c r="C15407" i="1"/>
  <c r="B15408" i="1"/>
  <c r="C15408" i="1"/>
  <c r="B15409" i="1"/>
  <c r="C15409" i="1"/>
  <c r="B15410" i="1"/>
  <c r="C15410" i="1"/>
  <c r="B15411" i="1"/>
  <c r="C15411" i="1"/>
  <c r="B15412" i="1"/>
  <c r="C15412" i="1"/>
  <c r="B15413" i="1"/>
  <c r="C15413" i="1"/>
  <c r="B15414" i="1"/>
  <c r="C15414" i="1"/>
  <c r="B15415" i="1"/>
  <c r="C15415" i="1"/>
  <c r="B15416" i="1"/>
  <c r="C15416" i="1"/>
  <c r="B15417" i="1"/>
  <c r="C15417" i="1"/>
  <c r="B15418" i="1"/>
  <c r="C15418" i="1"/>
  <c r="B15419" i="1"/>
  <c r="C15419" i="1"/>
  <c r="B15420" i="1"/>
  <c r="C15420" i="1"/>
  <c r="B15421" i="1"/>
  <c r="C15421" i="1"/>
  <c r="B15422" i="1"/>
  <c r="C15422" i="1"/>
  <c r="B15423" i="1"/>
  <c r="C15423" i="1"/>
  <c r="B15424" i="1"/>
  <c r="C15424" i="1"/>
  <c r="B15425" i="1"/>
  <c r="C15425" i="1"/>
  <c r="B15426" i="1"/>
  <c r="C15426" i="1"/>
  <c r="B15427" i="1"/>
  <c r="C15427" i="1"/>
  <c r="B15428" i="1"/>
  <c r="C15428" i="1"/>
  <c r="B15429" i="1"/>
  <c r="C15429" i="1"/>
  <c r="B15430" i="1"/>
  <c r="C15430" i="1"/>
  <c r="B15431" i="1"/>
  <c r="C15431" i="1"/>
  <c r="B15432" i="1"/>
  <c r="C15432" i="1"/>
  <c r="B15433" i="1"/>
  <c r="C15433" i="1"/>
  <c r="B15434" i="1"/>
  <c r="C15434" i="1"/>
  <c r="B15435" i="1"/>
  <c r="C15435" i="1"/>
  <c r="B15436" i="1"/>
  <c r="C15436" i="1"/>
  <c r="B15437" i="1"/>
  <c r="C15437" i="1"/>
  <c r="B15438" i="1"/>
  <c r="C15438" i="1"/>
  <c r="B15439" i="1"/>
  <c r="C15439" i="1"/>
  <c r="B15440" i="1"/>
  <c r="C15440" i="1"/>
  <c r="B15441" i="1"/>
  <c r="C15441" i="1"/>
  <c r="B15442" i="1"/>
  <c r="C15442" i="1"/>
  <c r="B15443" i="1"/>
  <c r="C15443" i="1"/>
  <c r="B15444" i="1"/>
  <c r="C15444" i="1"/>
  <c r="B15445" i="1"/>
  <c r="C15445" i="1"/>
  <c r="B15446" i="1"/>
  <c r="C15446" i="1"/>
  <c r="B15447" i="1"/>
  <c r="C15447" i="1"/>
  <c r="B15448" i="1"/>
  <c r="C15448" i="1"/>
  <c r="B15449" i="1"/>
  <c r="C15449" i="1"/>
  <c r="B15450" i="1"/>
  <c r="C15450" i="1"/>
  <c r="B15451" i="1"/>
  <c r="C15451" i="1"/>
  <c r="B15452" i="1"/>
  <c r="C15452" i="1"/>
  <c r="B15453" i="1"/>
  <c r="C15453" i="1"/>
  <c r="B15454" i="1"/>
  <c r="C15454" i="1"/>
  <c r="B15455" i="1"/>
  <c r="C15455" i="1"/>
  <c r="B15456" i="1"/>
  <c r="C15456" i="1"/>
  <c r="B15457" i="1"/>
  <c r="C15457" i="1"/>
  <c r="B15458" i="1"/>
  <c r="C15458" i="1"/>
  <c r="B15459" i="1"/>
  <c r="C15459" i="1"/>
  <c r="B15460" i="1"/>
  <c r="C15460" i="1"/>
  <c r="B15461" i="1"/>
  <c r="C15461" i="1"/>
  <c r="B15462" i="1"/>
  <c r="C15462" i="1"/>
  <c r="B15463" i="1"/>
  <c r="C15463" i="1"/>
  <c r="B15464" i="1"/>
  <c r="C15464" i="1"/>
  <c r="B15465" i="1"/>
  <c r="C15465" i="1"/>
  <c r="B15466" i="1"/>
  <c r="C15466" i="1"/>
  <c r="B15467" i="1"/>
  <c r="C15467" i="1"/>
  <c r="B15468" i="1"/>
  <c r="C15468" i="1"/>
  <c r="B15469" i="1"/>
  <c r="C15469" i="1"/>
  <c r="B15470" i="1"/>
  <c r="C15470" i="1"/>
  <c r="B15471" i="1"/>
  <c r="C15471" i="1"/>
  <c r="B15472" i="1"/>
  <c r="C15472" i="1"/>
  <c r="B15473" i="1"/>
  <c r="C15473" i="1"/>
  <c r="B15474" i="1"/>
  <c r="C15474" i="1"/>
  <c r="B15475" i="1"/>
  <c r="C15475" i="1"/>
  <c r="B15476" i="1"/>
  <c r="C15476" i="1"/>
  <c r="B15477" i="1"/>
  <c r="C15477" i="1"/>
  <c r="B15478" i="1"/>
  <c r="C15478" i="1"/>
  <c r="B15479" i="1"/>
  <c r="C15479" i="1"/>
  <c r="B15480" i="1"/>
  <c r="C15480" i="1"/>
  <c r="B15481" i="1"/>
  <c r="C15481" i="1"/>
  <c r="B15482" i="1"/>
  <c r="C15482" i="1"/>
  <c r="B15483" i="1"/>
  <c r="C15483" i="1"/>
  <c r="B15484" i="1"/>
  <c r="C15484" i="1"/>
  <c r="B15485" i="1"/>
  <c r="C15485" i="1"/>
  <c r="B15486" i="1"/>
  <c r="C15486" i="1"/>
  <c r="B15487" i="1"/>
  <c r="C15487" i="1"/>
  <c r="B15488" i="1"/>
  <c r="C15488" i="1"/>
  <c r="B15489" i="1"/>
  <c r="C15489" i="1"/>
  <c r="B15490" i="1"/>
  <c r="C15490" i="1"/>
  <c r="B15491" i="1"/>
  <c r="C15491" i="1"/>
  <c r="B15492" i="1"/>
  <c r="C15492" i="1"/>
  <c r="B15493" i="1"/>
  <c r="C15493" i="1"/>
  <c r="B15494" i="1"/>
  <c r="C15494" i="1"/>
  <c r="B15495" i="1"/>
  <c r="C15495" i="1"/>
  <c r="B15496" i="1"/>
  <c r="C15496" i="1"/>
  <c r="B15497" i="1"/>
  <c r="C15497" i="1"/>
  <c r="B15498" i="1"/>
  <c r="C15498" i="1"/>
  <c r="B15499" i="1"/>
  <c r="C15499" i="1"/>
  <c r="B15500" i="1"/>
  <c r="C15500" i="1"/>
  <c r="B15501" i="1"/>
  <c r="C15501" i="1"/>
  <c r="B15502" i="1"/>
  <c r="C15502" i="1"/>
  <c r="B15503" i="1"/>
  <c r="C15503" i="1"/>
  <c r="B15504" i="1"/>
  <c r="C15504" i="1"/>
  <c r="B15505" i="1"/>
  <c r="C15505" i="1"/>
  <c r="B15506" i="1"/>
  <c r="C15506" i="1"/>
  <c r="B15507" i="1"/>
  <c r="C15507" i="1"/>
  <c r="B15508" i="1"/>
  <c r="C15508" i="1"/>
  <c r="B15509" i="1"/>
  <c r="C15509" i="1"/>
  <c r="B15510" i="1"/>
  <c r="C15510" i="1"/>
  <c r="B15511" i="1"/>
  <c r="C15511" i="1"/>
  <c r="B15512" i="1"/>
  <c r="C15512" i="1"/>
  <c r="B15513" i="1"/>
  <c r="C15513" i="1"/>
  <c r="B15514" i="1"/>
  <c r="C15514" i="1"/>
  <c r="B15515" i="1"/>
  <c r="C15515" i="1"/>
  <c r="B15516" i="1"/>
  <c r="C15516" i="1"/>
  <c r="B15517" i="1"/>
  <c r="C15517" i="1"/>
  <c r="B15518" i="1"/>
  <c r="C15518" i="1"/>
  <c r="B15519" i="1"/>
  <c r="C15519" i="1"/>
  <c r="B15520" i="1"/>
  <c r="C15520" i="1"/>
  <c r="B15521" i="1"/>
  <c r="C15521" i="1"/>
  <c r="B15522" i="1"/>
  <c r="C15522" i="1"/>
  <c r="B15523" i="1"/>
  <c r="C15523" i="1"/>
  <c r="B15524" i="1"/>
  <c r="C15524" i="1"/>
  <c r="B15525" i="1"/>
  <c r="C15525" i="1"/>
  <c r="B15526" i="1"/>
  <c r="C15526" i="1"/>
  <c r="B15527" i="1"/>
  <c r="C15527" i="1"/>
  <c r="B15528" i="1"/>
  <c r="C15528" i="1"/>
  <c r="B15529" i="1"/>
  <c r="C15529" i="1"/>
  <c r="B15530" i="1"/>
  <c r="C15530" i="1"/>
  <c r="B15531" i="1"/>
  <c r="C15531" i="1"/>
  <c r="B15532" i="1"/>
  <c r="C15532" i="1"/>
  <c r="B15533" i="1"/>
  <c r="C15533" i="1"/>
  <c r="B15534" i="1"/>
  <c r="C15534" i="1"/>
  <c r="B15535" i="1"/>
  <c r="C15535" i="1"/>
  <c r="B15536" i="1"/>
  <c r="C15536" i="1"/>
  <c r="B15537" i="1"/>
  <c r="C15537" i="1"/>
  <c r="B15538" i="1"/>
  <c r="C15538" i="1"/>
  <c r="B15539" i="1"/>
  <c r="C15539" i="1"/>
  <c r="B15540" i="1"/>
  <c r="C15540" i="1"/>
  <c r="B15541" i="1"/>
  <c r="C15541" i="1"/>
  <c r="B15542" i="1"/>
  <c r="C15542" i="1"/>
  <c r="B15543" i="1"/>
  <c r="C15543" i="1"/>
  <c r="B15544" i="1"/>
  <c r="C15544" i="1"/>
  <c r="B15545" i="1"/>
  <c r="C15545" i="1"/>
  <c r="B15546" i="1"/>
  <c r="C15546" i="1"/>
  <c r="B15547" i="1"/>
  <c r="C15547" i="1"/>
  <c r="B15548" i="1"/>
  <c r="C15548" i="1"/>
  <c r="B15549" i="1"/>
  <c r="C15549" i="1"/>
  <c r="B15550" i="1"/>
  <c r="C15550" i="1"/>
  <c r="B15551" i="1"/>
  <c r="C15551" i="1"/>
  <c r="B15552" i="1"/>
  <c r="C15552" i="1"/>
  <c r="B15553" i="1"/>
  <c r="C15553" i="1"/>
  <c r="B15554" i="1"/>
  <c r="C15554" i="1"/>
  <c r="B15555" i="1"/>
  <c r="C15555" i="1"/>
  <c r="B15556" i="1"/>
  <c r="C15556" i="1"/>
  <c r="B15557" i="1"/>
  <c r="C15557" i="1"/>
  <c r="B15558" i="1"/>
  <c r="C15558" i="1"/>
  <c r="B15559" i="1"/>
  <c r="C15559" i="1"/>
  <c r="B15560" i="1"/>
  <c r="C15560" i="1"/>
  <c r="B15561" i="1"/>
  <c r="C15561" i="1"/>
  <c r="B15562" i="1"/>
  <c r="C15562" i="1"/>
  <c r="B15563" i="1"/>
  <c r="C15563" i="1"/>
  <c r="B15564" i="1"/>
  <c r="C15564" i="1"/>
  <c r="B15565" i="1"/>
  <c r="C15565" i="1"/>
  <c r="B15566" i="1"/>
  <c r="C15566" i="1"/>
  <c r="B15567" i="1"/>
  <c r="C15567" i="1"/>
  <c r="B15568" i="1"/>
  <c r="C15568" i="1"/>
  <c r="B15569" i="1"/>
  <c r="C15569" i="1"/>
  <c r="B15570" i="1"/>
  <c r="C15570" i="1"/>
  <c r="B15571" i="1"/>
  <c r="C15571" i="1"/>
  <c r="B15572" i="1"/>
  <c r="C15572" i="1"/>
  <c r="B15573" i="1"/>
  <c r="C15573" i="1"/>
  <c r="B15574" i="1"/>
  <c r="C15574" i="1"/>
  <c r="B15575" i="1"/>
  <c r="C15575" i="1"/>
  <c r="B15576" i="1"/>
  <c r="C15576" i="1"/>
  <c r="B15577" i="1"/>
  <c r="C15577" i="1"/>
  <c r="B15578" i="1"/>
  <c r="C15578" i="1"/>
  <c r="B15579" i="1"/>
  <c r="C15579" i="1"/>
  <c r="B15580" i="1"/>
  <c r="C15580" i="1"/>
  <c r="B15581" i="1"/>
  <c r="C15581" i="1"/>
  <c r="B15582" i="1"/>
  <c r="C15582" i="1"/>
  <c r="B15583" i="1"/>
  <c r="C15583" i="1"/>
  <c r="B15584" i="1"/>
  <c r="C15584" i="1"/>
  <c r="B15585" i="1"/>
  <c r="C15585" i="1"/>
  <c r="B15586" i="1"/>
  <c r="C15586" i="1"/>
  <c r="B15587" i="1"/>
  <c r="C15587" i="1"/>
  <c r="B15588" i="1"/>
  <c r="C15588" i="1"/>
  <c r="B15589" i="1"/>
  <c r="C15589" i="1"/>
  <c r="B15590" i="1"/>
  <c r="C15590" i="1"/>
  <c r="B15591" i="1"/>
  <c r="C15591" i="1"/>
  <c r="B15592" i="1"/>
  <c r="C15592" i="1"/>
  <c r="B15593" i="1"/>
  <c r="C15593" i="1"/>
  <c r="B15594" i="1"/>
  <c r="C15594" i="1"/>
  <c r="B15595" i="1"/>
  <c r="C15595" i="1"/>
  <c r="B15596" i="1"/>
  <c r="C15596" i="1"/>
  <c r="B15597" i="1"/>
  <c r="C15597" i="1"/>
  <c r="B15598" i="1"/>
  <c r="C15598" i="1"/>
  <c r="B15599" i="1"/>
  <c r="C15599" i="1"/>
  <c r="B15600" i="1"/>
  <c r="C15600" i="1"/>
  <c r="B15601" i="1"/>
  <c r="C15601" i="1"/>
  <c r="B15602" i="1"/>
  <c r="C15602" i="1"/>
  <c r="B15603" i="1"/>
  <c r="C15603" i="1"/>
  <c r="B15604" i="1"/>
  <c r="C15604" i="1"/>
  <c r="B15605" i="1"/>
  <c r="C15605" i="1"/>
  <c r="B15606" i="1"/>
  <c r="C15606" i="1"/>
  <c r="B15607" i="1"/>
  <c r="C15607" i="1"/>
  <c r="B15608" i="1"/>
  <c r="C15608" i="1"/>
  <c r="B15609" i="1"/>
  <c r="C15609" i="1"/>
  <c r="B15610" i="1"/>
  <c r="C15610" i="1"/>
  <c r="B15611" i="1"/>
  <c r="C15611" i="1"/>
  <c r="B15612" i="1"/>
  <c r="C15612" i="1"/>
  <c r="B15613" i="1"/>
  <c r="C15613" i="1"/>
  <c r="B15614" i="1"/>
  <c r="C15614" i="1"/>
  <c r="B15615" i="1"/>
  <c r="C15615" i="1"/>
  <c r="B15616" i="1"/>
  <c r="C15616" i="1"/>
  <c r="B15617" i="1"/>
  <c r="C15617" i="1"/>
  <c r="B15618" i="1"/>
  <c r="C15618" i="1"/>
  <c r="B15619" i="1"/>
  <c r="C15619" i="1"/>
  <c r="B15620" i="1"/>
  <c r="C15620" i="1"/>
  <c r="B15621" i="1"/>
  <c r="C15621" i="1"/>
  <c r="B15622" i="1"/>
  <c r="C15622" i="1"/>
  <c r="B15623" i="1"/>
  <c r="C15623" i="1"/>
  <c r="B15624" i="1"/>
  <c r="C15624" i="1"/>
  <c r="B15625" i="1"/>
  <c r="C15625" i="1"/>
  <c r="B15626" i="1"/>
  <c r="C15626" i="1"/>
  <c r="B15627" i="1"/>
  <c r="C15627" i="1"/>
  <c r="B15628" i="1"/>
  <c r="C15628" i="1"/>
  <c r="B15629" i="1"/>
  <c r="C15629" i="1"/>
  <c r="B15630" i="1"/>
  <c r="C15630" i="1"/>
  <c r="B15631" i="1"/>
  <c r="C15631" i="1"/>
  <c r="B15632" i="1"/>
  <c r="C15632" i="1"/>
  <c r="B15633" i="1"/>
  <c r="C15633" i="1"/>
  <c r="B15634" i="1"/>
  <c r="C15634" i="1"/>
  <c r="B15635" i="1"/>
  <c r="C15635" i="1"/>
  <c r="B15636" i="1"/>
  <c r="C15636" i="1"/>
  <c r="B15637" i="1"/>
  <c r="C15637" i="1"/>
  <c r="B15638" i="1"/>
  <c r="C15638" i="1"/>
  <c r="B15639" i="1"/>
  <c r="C15639" i="1"/>
  <c r="B15640" i="1"/>
  <c r="C15640" i="1"/>
  <c r="B15641" i="1"/>
  <c r="C15641" i="1"/>
  <c r="B15642" i="1"/>
  <c r="C15642" i="1"/>
  <c r="B15643" i="1"/>
  <c r="C15643" i="1"/>
  <c r="B15644" i="1"/>
  <c r="C15644" i="1"/>
  <c r="B15645" i="1"/>
  <c r="C15645" i="1"/>
  <c r="B15646" i="1"/>
  <c r="C15646" i="1"/>
  <c r="B15647" i="1"/>
  <c r="C15647" i="1"/>
  <c r="B15648" i="1"/>
  <c r="C15648" i="1"/>
  <c r="B15649" i="1"/>
  <c r="C15649" i="1"/>
  <c r="B15650" i="1"/>
  <c r="C15650" i="1"/>
  <c r="B15651" i="1"/>
  <c r="C15651" i="1"/>
  <c r="B15652" i="1"/>
  <c r="C15652" i="1"/>
  <c r="B15653" i="1"/>
  <c r="C15653" i="1"/>
  <c r="B15654" i="1"/>
  <c r="C15654" i="1"/>
  <c r="B15655" i="1"/>
  <c r="C15655" i="1"/>
  <c r="B15656" i="1"/>
  <c r="C15656" i="1"/>
  <c r="B15657" i="1"/>
  <c r="C15657" i="1"/>
  <c r="B15658" i="1"/>
  <c r="C15658" i="1"/>
  <c r="B15659" i="1"/>
  <c r="C15659" i="1"/>
  <c r="B15660" i="1"/>
  <c r="C15660" i="1"/>
  <c r="B15661" i="1"/>
  <c r="C15661" i="1"/>
  <c r="B15662" i="1"/>
  <c r="C15662" i="1"/>
  <c r="B15663" i="1"/>
  <c r="C15663" i="1"/>
  <c r="B15664" i="1"/>
  <c r="C15664" i="1"/>
  <c r="B15665" i="1"/>
  <c r="C15665" i="1"/>
  <c r="B15666" i="1"/>
  <c r="C15666" i="1"/>
  <c r="B15667" i="1"/>
  <c r="C15667" i="1"/>
  <c r="B15668" i="1"/>
  <c r="C15668" i="1"/>
  <c r="B15669" i="1"/>
  <c r="C15669" i="1"/>
  <c r="B15670" i="1"/>
  <c r="C15670" i="1"/>
  <c r="B15671" i="1"/>
  <c r="C15671" i="1"/>
  <c r="B15672" i="1"/>
  <c r="C15672" i="1"/>
  <c r="B15673" i="1"/>
  <c r="C15673" i="1"/>
  <c r="B15674" i="1"/>
  <c r="C15674" i="1"/>
  <c r="B15675" i="1"/>
  <c r="C15675" i="1"/>
  <c r="B15676" i="1"/>
  <c r="C15676" i="1"/>
  <c r="B15677" i="1"/>
  <c r="C15677" i="1"/>
  <c r="B15678" i="1"/>
  <c r="C15678" i="1"/>
  <c r="B15679" i="1"/>
  <c r="C15679" i="1"/>
  <c r="B15680" i="1"/>
  <c r="C15680" i="1"/>
  <c r="B15681" i="1"/>
  <c r="C15681" i="1"/>
  <c r="B15682" i="1"/>
  <c r="C15682" i="1"/>
  <c r="B15683" i="1"/>
  <c r="C15683" i="1"/>
  <c r="B15684" i="1"/>
  <c r="C15684" i="1"/>
  <c r="B15685" i="1"/>
  <c r="C15685" i="1"/>
  <c r="B15686" i="1"/>
  <c r="C15686" i="1"/>
  <c r="B15687" i="1"/>
  <c r="C15687" i="1"/>
  <c r="B15688" i="1"/>
  <c r="C15688" i="1"/>
  <c r="B15689" i="1"/>
  <c r="C15689" i="1"/>
  <c r="B15690" i="1"/>
  <c r="C15690" i="1"/>
  <c r="B15691" i="1"/>
  <c r="C15691" i="1"/>
  <c r="B15692" i="1"/>
  <c r="C15692" i="1"/>
  <c r="B15693" i="1"/>
  <c r="C15693" i="1"/>
  <c r="B15694" i="1"/>
  <c r="C15694" i="1"/>
  <c r="B15695" i="1"/>
  <c r="C15695" i="1"/>
  <c r="B15696" i="1"/>
  <c r="C15696" i="1"/>
  <c r="B15697" i="1"/>
  <c r="C15697" i="1"/>
  <c r="B15698" i="1"/>
  <c r="C15698" i="1"/>
  <c r="B15699" i="1"/>
  <c r="C15699" i="1"/>
  <c r="B15700" i="1"/>
  <c r="C15700" i="1"/>
  <c r="B15701" i="1"/>
  <c r="C15701" i="1"/>
  <c r="B15702" i="1"/>
  <c r="C15702" i="1"/>
  <c r="B15703" i="1"/>
  <c r="C15703" i="1"/>
  <c r="B15704" i="1"/>
  <c r="C15704" i="1"/>
  <c r="B15705" i="1"/>
  <c r="C15705" i="1"/>
  <c r="B15706" i="1"/>
  <c r="C15706" i="1"/>
  <c r="B15707" i="1"/>
  <c r="C15707" i="1"/>
  <c r="B15708" i="1"/>
  <c r="C15708" i="1"/>
  <c r="B15709" i="1"/>
  <c r="C15709" i="1"/>
  <c r="B15710" i="1"/>
  <c r="C15710" i="1"/>
  <c r="B15711" i="1"/>
  <c r="C15711" i="1"/>
  <c r="B15712" i="1"/>
  <c r="C15712" i="1"/>
  <c r="B15713" i="1"/>
  <c r="C15713" i="1"/>
  <c r="B15714" i="1"/>
  <c r="C15714" i="1"/>
  <c r="B15715" i="1"/>
  <c r="C15715" i="1"/>
  <c r="B15716" i="1"/>
  <c r="C15716" i="1"/>
  <c r="B15717" i="1"/>
  <c r="C15717" i="1"/>
  <c r="B15718" i="1"/>
  <c r="C15718" i="1"/>
  <c r="B15719" i="1"/>
  <c r="C15719" i="1"/>
  <c r="B15720" i="1"/>
  <c r="C15720" i="1"/>
  <c r="B15721" i="1"/>
  <c r="C15721" i="1"/>
  <c r="B15722" i="1"/>
  <c r="C15722" i="1"/>
  <c r="B15723" i="1"/>
  <c r="C15723" i="1"/>
  <c r="B15724" i="1"/>
  <c r="C15724" i="1"/>
  <c r="B15725" i="1"/>
  <c r="C15725" i="1"/>
  <c r="B15726" i="1"/>
  <c r="C15726" i="1"/>
  <c r="B15727" i="1"/>
  <c r="C15727" i="1"/>
  <c r="B15728" i="1"/>
  <c r="C15728" i="1"/>
  <c r="B15729" i="1"/>
  <c r="C15729" i="1"/>
  <c r="B15730" i="1"/>
  <c r="C15730" i="1"/>
  <c r="B15731" i="1"/>
  <c r="C15731" i="1"/>
  <c r="B15732" i="1"/>
  <c r="C15732" i="1"/>
  <c r="B15733" i="1"/>
  <c r="C15733" i="1"/>
  <c r="B15734" i="1"/>
  <c r="C15734" i="1"/>
  <c r="B15735" i="1"/>
  <c r="C15735" i="1"/>
  <c r="B15736" i="1"/>
  <c r="C15736" i="1"/>
  <c r="B15737" i="1"/>
  <c r="C15737" i="1"/>
  <c r="B15738" i="1"/>
  <c r="C15738" i="1"/>
  <c r="B15739" i="1"/>
  <c r="C15739" i="1"/>
  <c r="B15740" i="1"/>
  <c r="C15740" i="1"/>
  <c r="B15741" i="1"/>
  <c r="C15741" i="1"/>
  <c r="B15742" i="1"/>
  <c r="C15742" i="1"/>
  <c r="B15743" i="1"/>
  <c r="C15743" i="1"/>
  <c r="B15744" i="1"/>
  <c r="C15744" i="1"/>
  <c r="B15745" i="1"/>
  <c r="C15745" i="1"/>
  <c r="B15746" i="1"/>
  <c r="C15746" i="1"/>
  <c r="B15747" i="1"/>
  <c r="C15747" i="1"/>
  <c r="B15748" i="1"/>
  <c r="C15748" i="1"/>
  <c r="B15749" i="1"/>
  <c r="C15749" i="1"/>
  <c r="B15750" i="1"/>
  <c r="C15750" i="1"/>
  <c r="B15751" i="1"/>
  <c r="C15751" i="1"/>
  <c r="B15752" i="1"/>
  <c r="C15752" i="1"/>
  <c r="B15753" i="1"/>
  <c r="C15753" i="1"/>
  <c r="B15754" i="1"/>
  <c r="C15754" i="1"/>
  <c r="B15755" i="1"/>
  <c r="C15755" i="1"/>
  <c r="B15756" i="1"/>
  <c r="C15756" i="1"/>
  <c r="B15757" i="1"/>
  <c r="C15757" i="1"/>
  <c r="B15758" i="1"/>
  <c r="C15758" i="1"/>
  <c r="B15759" i="1"/>
  <c r="C15759" i="1"/>
  <c r="B15760" i="1"/>
  <c r="C15760" i="1"/>
  <c r="B15761" i="1"/>
  <c r="C15761" i="1"/>
  <c r="B15762" i="1"/>
  <c r="C15762" i="1"/>
  <c r="B15763" i="1"/>
  <c r="C15763" i="1"/>
  <c r="B15764" i="1"/>
  <c r="C15764" i="1"/>
  <c r="B15765" i="1"/>
  <c r="C15765" i="1"/>
  <c r="B15766" i="1"/>
  <c r="C15766" i="1"/>
  <c r="B15767" i="1"/>
  <c r="C15767" i="1"/>
  <c r="B15768" i="1"/>
  <c r="C15768" i="1"/>
  <c r="B15769" i="1"/>
  <c r="C15769" i="1"/>
  <c r="B15770" i="1"/>
  <c r="C15770" i="1"/>
  <c r="B15771" i="1"/>
  <c r="C15771" i="1"/>
  <c r="B15772" i="1"/>
  <c r="C15772" i="1"/>
  <c r="B15773" i="1"/>
  <c r="C15773" i="1"/>
  <c r="B15774" i="1"/>
  <c r="C15774" i="1"/>
  <c r="B15775" i="1"/>
  <c r="C15775" i="1"/>
  <c r="B15776" i="1"/>
  <c r="C15776" i="1"/>
  <c r="B15777" i="1"/>
  <c r="C15777" i="1"/>
  <c r="B15778" i="1"/>
  <c r="C15778" i="1"/>
  <c r="B15779" i="1"/>
  <c r="C15779" i="1"/>
  <c r="B15780" i="1"/>
  <c r="C15780" i="1"/>
  <c r="B15781" i="1"/>
  <c r="C15781" i="1"/>
  <c r="B15782" i="1"/>
  <c r="C15782" i="1"/>
  <c r="B15783" i="1"/>
  <c r="C15783" i="1"/>
  <c r="B15784" i="1"/>
  <c r="C15784" i="1"/>
  <c r="B15785" i="1"/>
  <c r="C15785" i="1"/>
  <c r="B15786" i="1"/>
  <c r="C15786" i="1"/>
  <c r="B15787" i="1"/>
  <c r="C15787" i="1"/>
  <c r="B15788" i="1"/>
  <c r="C15788" i="1"/>
  <c r="B15789" i="1"/>
  <c r="C15789" i="1"/>
  <c r="B15790" i="1"/>
  <c r="C15790" i="1"/>
  <c r="B15791" i="1"/>
  <c r="C15791" i="1"/>
  <c r="B15792" i="1"/>
  <c r="C15792" i="1"/>
  <c r="B15793" i="1"/>
  <c r="C15793" i="1"/>
  <c r="B15794" i="1"/>
  <c r="C15794" i="1"/>
  <c r="B15795" i="1"/>
  <c r="C15795" i="1"/>
  <c r="B15796" i="1"/>
  <c r="C15796" i="1"/>
  <c r="B15797" i="1"/>
  <c r="C15797" i="1"/>
  <c r="B15798" i="1"/>
  <c r="C15798" i="1"/>
  <c r="B15799" i="1"/>
  <c r="C15799" i="1"/>
  <c r="B15800" i="1"/>
  <c r="C15800" i="1"/>
  <c r="B15801" i="1"/>
  <c r="C15801" i="1"/>
  <c r="B15802" i="1"/>
  <c r="C15802" i="1"/>
  <c r="B15803" i="1"/>
  <c r="C15803" i="1"/>
  <c r="B15804" i="1"/>
  <c r="C15804" i="1"/>
  <c r="B15805" i="1"/>
  <c r="C15805" i="1"/>
  <c r="B15806" i="1"/>
  <c r="C15806" i="1"/>
  <c r="B15807" i="1"/>
  <c r="C15807" i="1"/>
  <c r="B15808" i="1"/>
  <c r="C15808" i="1"/>
  <c r="B15809" i="1"/>
  <c r="C15809" i="1"/>
  <c r="B15810" i="1"/>
  <c r="C15810" i="1"/>
  <c r="B15811" i="1"/>
  <c r="C15811" i="1"/>
  <c r="B15812" i="1"/>
  <c r="C15812" i="1"/>
  <c r="B15813" i="1"/>
  <c r="C15813" i="1"/>
  <c r="B15814" i="1"/>
  <c r="C15814" i="1"/>
  <c r="B15815" i="1"/>
  <c r="C15815" i="1"/>
  <c r="B15816" i="1"/>
  <c r="C15816" i="1"/>
  <c r="B15817" i="1"/>
  <c r="C15817" i="1"/>
  <c r="B15818" i="1"/>
  <c r="C15818" i="1"/>
  <c r="B15819" i="1"/>
  <c r="C15819" i="1"/>
  <c r="B15820" i="1"/>
  <c r="C15820" i="1"/>
  <c r="B15821" i="1"/>
  <c r="C15821" i="1"/>
  <c r="B15822" i="1"/>
  <c r="C15822" i="1"/>
  <c r="B15823" i="1"/>
  <c r="C15823" i="1"/>
  <c r="B15824" i="1"/>
  <c r="C15824" i="1"/>
  <c r="B15825" i="1"/>
  <c r="C15825" i="1"/>
  <c r="B15826" i="1"/>
  <c r="C15826" i="1"/>
  <c r="B15827" i="1"/>
  <c r="C15827" i="1"/>
  <c r="B15828" i="1"/>
  <c r="C15828" i="1"/>
  <c r="B15829" i="1"/>
  <c r="C15829" i="1"/>
  <c r="B15830" i="1"/>
  <c r="C15830" i="1"/>
  <c r="B15831" i="1"/>
  <c r="C15831" i="1"/>
  <c r="B15832" i="1"/>
  <c r="C15832" i="1"/>
  <c r="B15833" i="1"/>
  <c r="C15833" i="1"/>
  <c r="B15834" i="1"/>
  <c r="C15834" i="1"/>
  <c r="B15835" i="1"/>
  <c r="C15835" i="1"/>
  <c r="B15836" i="1"/>
  <c r="C15836" i="1"/>
  <c r="B15837" i="1"/>
  <c r="C15837" i="1"/>
  <c r="B15838" i="1"/>
  <c r="C15838" i="1"/>
  <c r="B15839" i="1"/>
  <c r="C15839" i="1"/>
  <c r="B15840" i="1"/>
  <c r="C15840" i="1"/>
  <c r="B15841" i="1"/>
  <c r="C15841" i="1"/>
  <c r="B15842" i="1"/>
  <c r="C15842" i="1"/>
  <c r="B15843" i="1"/>
  <c r="C15843" i="1"/>
  <c r="B15844" i="1"/>
  <c r="C15844" i="1"/>
  <c r="B15845" i="1"/>
  <c r="C15845" i="1"/>
  <c r="B15846" i="1"/>
  <c r="C15846" i="1"/>
  <c r="B15847" i="1"/>
  <c r="C15847" i="1"/>
  <c r="B15848" i="1"/>
  <c r="C15848" i="1"/>
  <c r="B15849" i="1"/>
  <c r="C15849" i="1"/>
  <c r="B15850" i="1"/>
  <c r="C15850" i="1"/>
  <c r="B15851" i="1"/>
  <c r="C15851" i="1"/>
  <c r="B15852" i="1"/>
  <c r="C15852" i="1"/>
  <c r="B15853" i="1"/>
  <c r="C15853" i="1"/>
  <c r="B15854" i="1"/>
  <c r="C15854" i="1"/>
  <c r="B15855" i="1"/>
  <c r="C15855" i="1"/>
  <c r="B15856" i="1"/>
  <c r="C15856" i="1"/>
  <c r="B15857" i="1"/>
  <c r="C15857" i="1"/>
  <c r="B15858" i="1"/>
  <c r="C15858" i="1"/>
  <c r="B15859" i="1"/>
  <c r="C15859" i="1"/>
  <c r="B15860" i="1"/>
  <c r="C15860" i="1"/>
  <c r="B15861" i="1"/>
  <c r="C15861" i="1"/>
  <c r="B15862" i="1"/>
  <c r="C15862" i="1"/>
  <c r="B15863" i="1"/>
  <c r="C15863" i="1"/>
  <c r="B15864" i="1"/>
  <c r="C15864" i="1"/>
  <c r="B15865" i="1"/>
  <c r="C15865" i="1"/>
  <c r="B15866" i="1"/>
  <c r="C15866" i="1"/>
  <c r="B15867" i="1"/>
  <c r="C15867" i="1"/>
  <c r="B15868" i="1"/>
  <c r="C15868" i="1"/>
  <c r="B15869" i="1"/>
  <c r="C15869" i="1"/>
  <c r="B15870" i="1"/>
  <c r="C15870" i="1"/>
  <c r="B15871" i="1"/>
  <c r="C15871" i="1"/>
  <c r="B15872" i="1"/>
  <c r="C15872" i="1"/>
  <c r="B15873" i="1"/>
  <c r="C15873" i="1"/>
  <c r="B15874" i="1"/>
  <c r="C15874" i="1"/>
  <c r="B15875" i="1"/>
  <c r="C15875" i="1"/>
  <c r="B15876" i="1"/>
  <c r="C15876" i="1"/>
  <c r="B15877" i="1"/>
  <c r="C15877" i="1"/>
  <c r="B15878" i="1"/>
  <c r="C15878" i="1"/>
  <c r="B15879" i="1"/>
  <c r="C15879" i="1"/>
  <c r="B15880" i="1"/>
  <c r="C15880" i="1"/>
  <c r="B15881" i="1"/>
  <c r="C15881" i="1"/>
  <c r="B15882" i="1"/>
  <c r="C15882" i="1"/>
  <c r="B15883" i="1"/>
  <c r="C15883" i="1"/>
  <c r="B15884" i="1"/>
  <c r="C15884" i="1"/>
  <c r="B15885" i="1"/>
  <c r="C15885" i="1"/>
  <c r="B15886" i="1"/>
  <c r="C15886" i="1"/>
  <c r="B15887" i="1"/>
  <c r="C15887" i="1"/>
  <c r="B15888" i="1"/>
  <c r="C15888" i="1"/>
  <c r="B15889" i="1"/>
  <c r="C15889" i="1"/>
  <c r="B15890" i="1"/>
  <c r="C15890" i="1"/>
  <c r="B15891" i="1"/>
  <c r="C15891" i="1"/>
  <c r="B15892" i="1"/>
  <c r="C15892" i="1"/>
  <c r="B15893" i="1"/>
  <c r="C15893" i="1"/>
  <c r="B15894" i="1"/>
  <c r="C15894" i="1"/>
  <c r="B15895" i="1"/>
  <c r="C15895" i="1"/>
  <c r="B15896" i="1"/>
  <c r="C15896" i="1"/>
  <c r="B15897" i="1"/>
  <c r="C15897" i="1"/>
  <c r="B15898" i="1"/>
  <c r="C15898" i="1"/>
  <c r="B15899" i="1"/>
  <c r="C15899" i="1"/>
  <c r="B15900" i="1"/>
  <c r="C15900" i="1"/>
  <c r="B15901" i="1"/>
  <c r="C15901" i="1"/>
  <c r="B15902" i="1"/>
  <c r="C15902" i="1"/>
  <c r="B15903" i="1"/>
  <c r="C15903" i="1"/>
  <c r="B15904" i="1"/>
  <c r="C15904" i="1"/>
  <c r="B15905" i="1"/>
  <c r="C15905" i="1"/>
  <c r="B15906" i="1"/>
  <c r="C15906" i="1"/>
  <c r="B15907" i="1"/>
  <c r="C15907" i="1"/>
  <c r="B15908" i="1"/>
  <c r="C15908" i="1"/>
  <c r="B15909" i="1"/>
  <c r="C15909" i="1"/>
  <c r="B15910" i="1"/>
  <c r="C15910" i="1"/>
  <c r="B15911" i="1"/>
  <c r="C15911" i="1"/>
  <c r="B15912" i="1"/>
  <c r="C15912" i="1"/>
  <c r="B15913" i="1"/>
  <c r="C15913" i="1"/>
  <c r="B15914" i="1"/>
  <c r="C15914" i="1"/>
  <c r="B15915" i="1"/>
  <c r="C15915" i="1"/>
  <c r="B15916" i="1"/>
  <c r="C15916" i="1"/>
  <c r="B15917" i="1"/>
  <c r="C15917" i="1"/>
  <c r="B15918" i="1"/>
  <c r="C15918" i="1"/>
  <c r="B15919" i="1"/>
  <c r="C15919" i="1"/>
  <c r="B15920" i="1"/>
  <c r="C15920" i="1"/>
  <c r="B15921" i="1"/>
  <c r="C15921" i="1"/>
  <c r="B15922" i="1"/>
  <c r="C15922" i="1"/>
  <c r="B15923" i="1"/>
  <c r="C15923" i="1"/>
  <c r="B15924" i="1"/>
  <c r="C15924" i="1"/>
  <c r="B15925" i="1"/>
  <c r="C15925" i="1"/>
  <c r="B15926" i="1"/>
  <c r="C15926" i="1"/>
  <c r="B15927" i="1"/>
  <c r="C15927" i="1"/>
  <c r="B15928" i="1"/>
  <c r="C15928" i="1"/>
  <c r="B15929" i="1"/>
  <c r="C15929" i="1"/>
  <c r="B15930" i="1"/>
  <c r="C15930" i="1"/>
  <c r="B15931" i="1"/>
  <c r="C15931" i="1"/>
  <c r="B15932" i="1"/>
  <c r="C15932" i="1"/>
  <c r="B15933" i="1"/>
  <c r="C15933" i="1"/>
  <c r="B15934" i="1"/>
  <c r="C15934" i="1"/>
  <c r="B15935" i="1"/>
  <c r="C15935" i="1"/>
  <c r="B15936" i="1"/>
  <c r="C15936" i="1"/>
  <c r="B15937" i="1"/>
  <c r="C15937" i="1"/>
  <c r="B15938" i="1"/>
  <c r="C15938" i="1"/>
  <c r="B15939" i="1"/>
  <c r="C15939" i="1"/>
  <c r="B15940" i="1"/>
  <c r="C15940" i="1"/>
  <c r="B15941" i="1"/>
  <c r="C15941" i="1"/>
  <c r="B15942" i="1"/>
  <c r="C15942" i="1"/>
  <c r="B15943" i="1"/>
  <c r="C15943" i="1"/>
  <c r="B15944" i="1"/>
  <c r="C15944" i="1"/>
  <c r="B15945" i="1"/>
  <c r="C15945" i="1"/>
  <c r="B15946" i="1"/>
  <c r="C15946" i="1"/>
  <c r="B15947" i="1"/>
  <c r="C15947" i="1"/>
  <c r="B15948" i="1"/>
  <c r="C15948" i="1"/>
  <c r="B15949" i="1"/>
  <c r="C15949" i="1"/>
  <c r="B15950" i="1"/>
  <c r="C15950" i="1"/>
  <c r="B15951" i="1"/>
  <c r="C15951" i="1"/>
  <c r="B15952" i="1"/>
  <c r="C15952" i="1"/>
  <c r="B15953" i="1"/>
  <c r="C15953" i="1"/>
  <c r="B15954" i="1"/>
  <c r="C15954" i="1"/>
  <c r="B15955" i="1"/>
  <c r="C15955" i="1"/>
  <c r="B15956" i="1"/>
  <c r="C15956" i="1"/>
  <c r="B15957" i="1"/>
  <c r="C15957" i="1"/>
  <c r="B15958" i="1"/>
  <c r="C15958" i="1"/>
  <c r="B15959" i="1"/>
  <c r="C15959" i="1"/>
  <c r="B15960" i="1"/>
  <c r="C15960" i="1"/>
  <c r="B15961" i="1"/>
  <c r="C15961" i="1"/>
  <c r="B15962" i="1"/>
  <c r="C15962" i="1"/>
  <c r="B15963" i="1"/>
  <c r="C15963" i="1"/>
  <c r="B15964" i="1"/>
  <c r="C15964" i="1"/>
  <c r="B15965" i="1"/>
  <c r="C15965" i="1"/>
  <c r="B15966" i="1"/>
  <c r="C15966" i="1"/>
  <c r="B15967" i="1"/>
  <c r="C15967" i="1"/>
  <c r="B15968" i="1"/>
  <c r="C15968" i="1"/>
  <c r="B15969" i="1"/>
  <c r="C15969" i="1"/>
  <c r="B15970" i="1"/>
  <c r="C15970" i="1"/>
  <c r="B15971" i="1"/>
  <c r="C15971" i="1"/>
  <c r="B15972" i="1"/>
  <c r="C15972" i="1"/>
  <c r="B15973" i="1"/>
  <c r="C15973" i="1"/>
  <c r="B15974" i="1"/>
  <c r="C15974" i="1"/>
  <c r="B15975" i="1"/>
  <c r="C15975" i="1"/>
  <c r="B15976" i="1"/>
  <c r="C15976" i="1"/>
  <c r="B15977" i="1"/>
  <c r="C15977" i="1"/>
  <c r="B15978" i="1"/>
  <c r="C15978" i="1"/>
  <c r="B15979" i="1"/>
  <c r="C15979" i="1"/>
  <c r="B15980" i="1"/>
  <c r="C15980" i="1"/>
  <c r="B15981" i="1"/>
  <c r="C15981" i="1"/>
  <c r="B15982" i="1"/>
  <c r="C15982" i="1"/>
  <c r="B15983" i="1"/>
  <c r="C15983" i="1"/>
  <c r="B15984" i="1"/>
  <c r="C15984" i="1"/>
  <c r="B15985" i="1"/>
  <c r="C15985" i="1"/>
  <c r="B15986" i="1"/>
  <c r="C15986" i="1"/>
  <c r="B15987" i="1"/>
  <c r="C15987" i="1"/>
  <c r="B15988" i="1"/>
  <c r="C15988" i="1"/>
  <c r="B15989" i="1"/>
  <c r="C15989" i="1"/>
  <c r="B15990" i="1"/>
  <c r="C15990" i="1"/>
  <c r="B15991" i="1"/>
  <c r="C15991" i="1"/>
  <c r="B15992" i="1"/>
  <c r="C15992" i="1"/>
  <c r="B15993" i="1"/>
  <c r="C15993" i="1"/>
  <c r="B15994" i="1"/>
  <c r="C15994" i="1"/>
  <c r="B15995" i="1"/>
  <c r="C15995" i="1"/>
  <c r="B15996" i="1"/>
  <c r="C15996" i="1"/>
  <c r="B15997" i="1"/>
  <c r="C15997" i="1"/>
  <c r="B15998" i="1"/>
  <c r="C15998" i="1"/>
  <c r="B15999" i="1"/>
  <c r="C15999" i="1"/>
  <c r="B16000" i="1"/>
  <c r="C16000" i="1"/>
  <c r="B16001" i="1"/>
  <c r="C16001" i="1"/>
  <c r="B16002" i="1"/>
  <c r="C16002" i="1"/>
  <c r="B16003" i="1"/>
  <c r="C16003" i="1"/>
  <c r="B16004" i="1"/>
  <c r="C16004" i="1"/>
  <c r="B16005" i="1"/>
  <c r="C16005" i="1"/>
  <c r="B16006" i="1"/>
  <c r="C16006" i="1"/>
  <c r="B16007" i="1"/>
  <c r="C16007" i="1"/>
  <c r="B16008" i="1"/>
  <c r="C16008" i="1"/>
  <c r="B16009" i="1"/>
  <c r="C16009" i="1"/>
  <c r="B16010" i="1"/>
  <c r="C16010" i="1"/>
  <c r="B16011" i="1"/>
  <c r="C16011" i="1"/>
  <c r="B16012" i="1"/>
  <c r="C16012" i="1"/>
  <c r="B16013" i="1"/>
  <c r="C16013" i="1"/>
  <c r="B16014" i="1"/>
  <c r="C16014" i="1"/>
  <c r="B16015" i="1"/>
  <c r="C16015" i="1"/>
  <c r="B16016" i="1"/>
  <c r="C16016" i="1"/>
  <c r="B16017" i="1"/>
  <c r="C16017" i="1"/>
  <c r="B16018" i="1"/>
  <c r="C16018" i="1"/>
  <c r="B16019" i="1"/>
  <c r="C16019" i="1"/>
  <c r="B16020" i="1"/>
  <c r="C16020" i="1"/>
  <c r="B16021" i="1"/>
  <c r="C16021" i="1"/>
  <c r="B16022" i="1"/>
  <c r="C16022" i="1"/>
  <c r="B16023" i="1"/>
  <c r="C16023" i="1"/>
  <c r="B16024" i="1"/>
  <c r="C16024" i="1"/>
  <c r="B16025" i="1"/>
  <c r="C16025" i="1"/>
  <c r="B16026" i="1"/>
  <c r="C16026" i="1"/>
  <c r="B16027" i="1"/>
  <c r="C16027" i="1"/>
  <c r="B16028" i="1"/>
  <c r="C16028" i="1"/>
  <c r="B16029" i="1"/>
  <c r="C16029" i="1"/>
  <c r="B16030" i="1"/>
  <c r="C16030" i="1"/>
  <c r="B16031" i="1"/>
  <c r="C16031" i="1"/>
  <c r="B16032" i="1"/>
  <c r="C16032" i="1"/>
  <c r="B16033" i="1"/>
  <c r="C16033" i="1"/>
  <c r="B16034" i="1"/>
  <c r="C16034" i="1"/>
  <c r="B16035" i="1"/>
  <c r="C16035" i="1"/>
  <c r="B16036" i="1"/>
  <c r="C16036" i="1"/>
  <c r="B16037" i="1"/>
  <c r="C16037" i="1"/>
  <c r="B16038" i="1"/>
  <c r="C16038" i="1"/>
  <c r="B16039" i="1"/>
  <c r="C16039" i="1"/>
  <c r="B16040" i="1"/>
  <c r="C16040" i="1"/>
  <c r="B16041" i="1"/>
  <c r="C16041" i="1"/>
  <c r="B16042" i="1"/>
  <c r="C16042" i="1"/>
  <c r="B16043" i="1"/>
  <c r="C16043" i="1"/>
  <c r="B16044" i="1"/>
  <c r="C16044" i="1"/>
  <c r="B16045" i="1"/>
  <c r="C16045" i="1"/>
  <c r="B16046" i="1"/>
  <c r="C16046" i="1"/>
  <c r="B16047" i="1"/>
  <c r="C16047" i="1"/>
  <c r="B16048" i="1"/>
  <c r="C16048" i="1"/>
  <c r="B16049" i="1"/>
  <c r="C16049" i="1"/>
  <c r="B16050" i="1"/>
  <c r="C16050" i="1"/>
  <c r="B16051" i="1"/>
  <c r="C16051" i="1"/>
  <c r="B16052" i="1"/>
  <c r="C16052" i="1"/>
  <c r="B16053" i="1"/>
  <c r="C16053" i="1"/>
  <c r="B16054" i="1"/>
  <c r="C16054" i="1"/>
  <c r="B16055" i="1"/>
  <c r="C16055" i="1"/>
  <c r="B16056" i="1"/>
  <c r="C16056" i="1"/>
  <c r="B16057" i="1"/>
  <c r="C16057" i="1"/>
  <c r="B16058" i="1"/>
  <c r="C16058" i="1"/>
  <c r="B16059" i="1"/>
  <c r="C16059" i="1"/>
  <c r="B16060" i="1"/>
  <c r="C16060" i="1"/>
  <c r="B16061" i="1"/>
  <c r="C16061" i="1"/>
  <c r="B16062" i="1"/>
  <c r="C16062" i="1"/>
  <c r="B16063" i="1"/>
  <c r="C16063" i="1"/>
  <c r="B16064" i="1"/>
  <c r="C16064" i="1"/>
  <c r="B16065" i="1"/>
  <c r="C16065" i="1"/>
  <c r="B16066" i="1"/>
  <c r="C16066" i="1"/>
  <c r="B16067" i="1"/>
  <c r="C16067" i="1"/>
  <c r="B16068" i="1"/>
  <c r="C16068" i="1"/>
  <c r="B16069" i="1"/>
  <c r="C16069" i="1"/>
  <c r="B16070" i="1"/>
  <c r="C16070" i="1"/>
  <c r="B16071" i="1"/>
  <c r="C16071" i="1"/>
  <c r="B16072" i="1"/>
  <c r="C16072" i="1"/>
  <c r="B16073" i="1"/>
  <c r="C16073" i="1"/>
  <c r="B16074" i="1"/>
  <c r="C16074" i="1"/>
  <c r="B16075" i="1"/>
  <c r="C16075" i="1"/>
  <c r="B16076" i="1"/>
  <c r="C16076" i="1"/>
  <c r="B16077" i="1"/>
  <c r="C16077" i="1"/>
  <c r="B16078" i="1"/>
  <c r="C16078" i="1"/>
  <c r="B16079" i="1"/>
  <c r="C16079" i="1"/>
  <c r="B16080" i="1"/>
  <c r="C16080" i="1"/>
  <c r="B16081" i="1"/>
  <c r="C16081" i="1"/>
  <c r="B16082" i="1"/>
  <c r="C16082" i="1"/>
  <c r="B16083" i="1"/>
  <c r="C16083" i="1"/>
  <c r="B16084" i="1"/>
  <c r="C16084" i="1"/>
  <c r="B16085" i="1"/>
  <c r="C16085" i="1"/>
  <c r="B16086" i="1"/>
  <c r="C16086" i="1"/>
  <c r="B16087" i="1"/>
  <c r="C16087" i="1"/>
  <c r="B16088" i="1"/>
  <c r="C16088" i="1"/>
  <c r="B16089" i="1"/>
  <c r="C16089" i="1"/>
  <c r="B16090" i="1"/>
  <c r="C16090" i="1"/>
  <c r="B16091" i="1"/>
  <c r="C16091" i="1"/>
  <c r="B16092" i="1"/>
  <c r="C16092" i="1"/>
  <c r="B16093" i="1"/>
  <c r="C16093" i="1"/>
  <c r="B16094" i="1"/>
  <c r="C16094" i="1"/>
  <c r="B16095" i="1"/>
  <c r="C16095" i="1"/>
  <c r="B16096" i="1"/>
  <c r="C16096" i="1"/>
  <c r="B16097" i="1"/>
  <c r="C16097" i="1"/>
  <c r="B16098" i="1"/>
  <c r="C16098" i="1"/>
  <c r="B16099" i="1"/>
  <c r="C16099" i="1"/>
  <c r="B16100" i="1"/>
  <c r="C16100" i="1"/>
  <c r="B16101" i="1"/>
  <c r="C16101" i="1"/>
  <c r="B16102" i="1"/>
  <c r="C16102" i="1"/>
  <c r="B16103" i="1"/>
  <c r="C16103" i="1"/>
  <c r="B16104" i="1"/>
  <c r="C16104" i="1"/>
  <c r="B16105" i="1"/>
  <c r="C16105" i="1"/>
  <c r="B16106" i="1"/>
  <c r="C16106" i="1"/>
  <c r="B16107" i="1"/>
  <c r="C16107" i="1"/>
  <c r="B16108" i="1"/>
  <c r="C16108" i="1"/>
  <c r="B16109" i="1"/>
  <c r="C16109" i="1"/>
  <c r="B16110" i="1"/>
  <c r="C16110" i="1"/>
  <c r="B16111" i="1"/>
  <c r="C16111" i="1"/>
  <c r="B16112" i="1"/>
  <c r="C16112" i="1"/>
  <c r="B16113" i="1"/>
  <c r="C16113" i="1"/>
  <c r="B16114" i="1"/>
  <c r="C16114" i="1"/>
  <c r="B16115" i="1"/>
  <c r="C16115" i="1"/>
  <c r="B16116" i="1"/>
  <c r="C16116" i="1"/>
  <c r="B16117" i="1"/>
  <c r="C16117" i="1"/>
  <c r="B16118" i="1"/>
  <c r="C16118" i="1"/>
  <c r="B16119" i="1"/>
  <c r="C16119" i="1"/>
  <c r="B16120" i="1"/>
  <c r="C16120" i="1"/>
  <c r="B16121" i="1"/>
  <c r="C16121" i="1"/>
  <c r="B16122" i="1"/>
  <c r="C16122" i="1"/>
  <c r="B16123" i="1"/>
  <c r="C16123" i="1"/>
  <c r="B16124" i="1"/>
  <c r="C16124" i="1"/>
  <c r="B16125" i="1"/>
  <c r="C16125" i="1"/>
  <c r="B16126" i="1"/>
  <c r="C16126" i="1"/>
  <c r="B16127" i="1"/>
  <c r="C16127" i="1"/>
  <c r="B16128" i="1"/>
  <c r="C16128" i="1"/>
  <c r="B16129" i="1"/>
  <c r="C16129" i="1"/>
  <c r="B16130" i="1"/>
  <c r="C16130" i="1"/>
  <c r="B16131" i="1"/>
  <c r="C16131" i="1"/>
  <c r="B16132" i="1"/>
  <c r="C16132" i="1"/>
  <c r="B16133" i="1"/>
  <c r="C16133" i="1"/>
  <c r="B16134" i="1"/>
  <c r="C16134" i="1"/>
  <c r="B16135" i="1"/>
  <c r="C16135" i="1"/>
  <c r="B16136" i="1"/>
  <c r="C16136" i="1"/>
  <c r="B16137" i="1"/>
  <c r="C16137" i="1"/>
  <c r="B16138" i="1"/>
  <c r="C16138" i="1"/>
  <c r="B16139" i="1"/>
  <c r="C16139" i="1"/>
  <c r="B16140" i="1"/>
  <c r="C16140" i="1"/>
  <c r="B16141" i="1"/>
  <c r="C16141" i="1"/>
  <c r="B16142" i="1"/>
  <c r="C16142" i="1"/>
  <c r="B16143" i="1"/>
  <c r="C16143" i="1"/>
  <c r="B16144" i="1"/>
  <c r="C16144" i="1"/>
  <c r="B16145" i="1"/>
  <c r="C16145" i="1"/>
  <c r="B16146" i="1"/>
  <c r="C16146" i="1"/>
  <c r="B16147" i="1"/>
  <c r="C16147" i="1"/>
  <c r="B16148" i="1"/>
  <c r="C16148" i="1"/>
  <c r="B16149" i="1"/>
  <c r="C16149" i="1"/>
  <c r="B16150" i="1"/>
  <c r="C16150" i="1"/>
  <c r="B16151" i="1"/>
  <c r="C16151" i="1"/>
  <c r="B16152" i="1"/>
  <c r="C16152" i="1"/>
  <c r="B16153" i="1"/>
  <c r="C16153" i="1"/>
  <c r="B16154" i="1"/>
  <c r="C16154" i="1"/>
  <c r="B16155" i="1"/>
  <c r="C16155" i="1"/>
  <c r="B16156" i="1"/>
  <c r="C16156" i="1"/>
  <c r="B16157" i="1"/>
  <c r="C16157" i="1"/>
  <c r="B16158" i="1"/>
  <c r="C16158" i="1"/>
  <c r="B16159" i="1"/>
  <c r="C16159" i="1"/>
  <c r="B16160" i="1"/>
  <c r="C16160" i="1"/>
  <c r="B16161" i="1"/>
  <c r="C16161" i="1"/>
  <c r="B16162" i="1"/>
  <c r="C16162" i="1"/>
  <c r="B16163" i="1"/>
  <c r="C16163" i="1"/>
  <c r="B16164" i="1"/>
  <c r="C16164" i="1"/>
  <c r="B16165" i="1"/>
  <c r="C16165" i="1"/>
  <c r="B16166" i="1"/>
  <c r="C16166" i="1"/>
  <c r="B16167" i="1"/>
  <c r="C16167" i="1"/>
  <c r="B16168" i="1"/>
  <c r="C16168" i="1"/>
  <c r="B16169" i="1"/>
  <c r="C16169" i="1"/>
  <c r="B16170" i="1"/>
  <c r="C16170" i="1"/>
  <c r="B16171" i="1"/>
  <c r="C16171" i="1"/>
  <c r="B16172" i="1"/>
  <c r="C16172" i="1"/>
  <c r="B16173" i="1"/>
  <c r="C16173" i="1"/>
  <c r="B16174" i="1"/>
  <c r="C16174" i="1"/>
  <c r="B16175" i="1"/>
  <c r="C16175" i="1"/>
  <c r="B16176" i="1"/>
  <c r="C16176" i="1"/>
  <c r="B16177" i="1"/>
  <c r="C16177" i="1"/>
  <c r="B16178" i="1"/>
  <c r="C16178" i="1"/>
  <c r="B16179" i="1"/>
  <c r="C16179" i="1"/>
  <c r="B16180" i="1"/>
  <c r="C16180" i="1"/>
  <c r="B16181" i="1"/>
  <c r="C16181" i="1"/>
  <c r="B16182" i="1"/>
  <c r="C16182" i="1"/>
  <c r="B16183" i="1"/>
  <c r="C16183" i="1"/>
  <c r="B16184" i="1"/>
  <c r="C16184" i="1"/>
  <c r="B16185" i="1"/>
  <c r="C16185" i="1"/>
  <c r="B16186" i="1"/>
  <c r="C16186" i="1"/>
  <c r="B16187" i="1"/>
  <c r="C16187" i="1"/>
  <c r="B16188" i="1"/>
  <c r="C16188" i="1"/>
  <c r="B16189" i="1"/>
  <c r="C16189" i="1"/>
  <c r="B16190" i="1"/>
  <c r="C16190" i="1"/>
  <c r="B16191" i="1"/>
  <c r="C16191" i="1"/>
  <c r="B16192" i="1"/>
  <c r="C16192" i="1"/>
  <c r="B16193" i="1"/>
  <c r="C16193" i="1"/>
  <c r="B16194" i="1"/>
  <c r="C16194" i="1"/>
  <c r="B16195" i="1"/>
  <c r="C16195" i="1"/>
  <c r="B16196" i="1"/>
  <c r="C16196" i="1"/>
  <c r="B16197" i="1"/>
  <c r="C16197" i="1"/>
  <c r="B16198" i="1"/>
  <c r="C16198" i="1"/>
  <c r="B16199" i="1"/>
  <c r="C16199" i="1"/>
  <c r="B16200" i="1"/>
  <c r="C16200" i="1"/>
  <c r="B16201" i="1"/>
  <c r="C16201" i="1"/>
  <c r="B16202" i="1"/>
  <c r="C16202" i="1"/>
  <c r="B16203" i="1"/>
  <c r="C16203" i="1"/>
  <c r="B16204" i="1"/>
  <c r="C16204" i="1"/>
  <c r="B16205" i="1"/>
  <c r="C16205" i="1"/>
  <c r="B16206" i="1"/>
  <c r="C16206" i="1"/>
  <c r="B16207" i="1"/>
  <c r="C16207" i="1"/>
  <c r="B16208" i="1"/>
  <c r="C16208" i="1"/>
  <c r="B16209" i="1"/>
  <c r="C16209" i="1"/>
  <c r="B16210" i="1"/>
  <c r="C16210" i="1"/>
  <c r="B16211" i="1"/>
  <c r="C16211" i="1"/>
  <c r="B16212" i="1"/>
  <c r="C16212" i="1"/>
  <c r="B16213" i="1"/>
  <c r="C16213" i="1"/>
  <c r="B16214" i="1"/>
  <c r="C16214" i="1"/>
  <c r="B16215" i="1"/>
  <c r="C16215" i="1"/>
  <c r="B16216" i="1"/>
  <c r="C16216" i="1"/>
  <c r="B16217" i="1"/>
  <c r="C16217" i="1"/>
  <c r="B16218" i="1"/>
  <c r="C16218" i="1"/>
  <c r="B16219" i="1"/>
  <c r="C16219" i="1"/>
  <c r="B16220" i="1"/>
  <c r="C16220" i="1"/>
  <c r="B16221" i="1"/>
  <c r="C16221" i="1"/>
  <c r="B16222" i="1"/>
  <c r="C16222" i="1"/>
  <c r="B16223" i="1"/>
  <c r="C16223" i="1"/>
  <c r="B16224" i="1"/>
  <c r="C16224" i="1"/>
  <c r="B16225" i="1"/>
  <c r="C16225" i="1"/>
  <c r="B16226" i="1"/>
  <c r="C16226" i="1"/>
  <c r="B16227" i="1"/>
  <c r="C16227" i="1"/>
  <c r="B16228" i="1"/>
  <c r="C16228" i="1"/>
  <c r="B16229" i="1"/>
  <c r="C16229" i="1"/>
  <c r="B16230" i="1"/>
  <c r="C16230" i="1"/>
  <c r="B16231" i="1"/>
  <c r="C16231" i="1"/>
  <c r="B16232" i="1"/>
  <c r="C16232" i="1"/>
  <c r="B16233" i="1"/>
  <c r="C16233" i="1"/>
  <c r="B16234" i="1"/>
  <c r="C16234" i="1"/>
  <c r="B16235" i="1"/>
  <c r="C16235" i="1"/>
  <c r="B16236" i="1"/>
  <c r="C16236" i="1"/>
  <c r="B16237" i="1"/>
  <c r="C16237" i="1"/>
  <c r="B16238" i="1"/>
  <c r="C16238" i="1"/>
  <c r="B16239" i="1"/>
  <c r="C16239" i="1"/>
  <c r="B16240" i="1"/>
  <c r="C16240" i="1"/>
  <c r="B16241" i="1"/>
  <c r="C16241" i="1"/>
  <c r="B16242" i="1"/>
  <c r="C16242" i="1"/>
  <c r="B16243" i="1"/>
  <c r="C16243" i="1"/>
  <c r="B16244" i="1"/>
  <c r="C16244" i="1"/>
  <c r="B16245" i="1"/>
  <c r="C16245" i="1"/>
  <c r="B16246" i="1"/>
  <c r="C16246" i="1"/>
  <c r="B16247" i="1"/>
  <c r="C16247" i="1"/>
  <c r="B16248" i="1"/>
  <c r="C16248" i="1"/>
  <c r="B16249" i="1"/>
  <c r="C16249" i="1"/>
  <c r="B16250" i="1"/>
  <c r="C16250" i="1"/>
  <c r="B16251" i="1"/>
  <c r="C16251" i="1"/>
  <c r="B16252" i="1"/>
  <c r="C16252" i="1"/>
  <c r="B16253" i="1"/>
  <c r="C16253" i="1"/>
  <c r="B16254" i="1"/>
  <c r="C16254" i="1"/>
  <c r="B16255" i="1"/>
  <c r="C16255" i="1"/>
  <c r="B16256" i="1"/>
  <c r="C16256" i="1"/>
  <c r="B16257" i="1"/>
  <c r="C16257" i="1"/>
  <c r="B16258" i="1"/>
  <c r="C16258" i="1"/>
  <c r="B16259" i="1"/>
  <c r="C16259" i="1"/>
  <c r="B16260" i="1"/>
  <c r="C16260" i="1"/>
  <c r="B16261" i="1"/>
  <c r="C16261" i="1"/>
  <c r="B16262" i="1"/>
  <c r="C16262" i="1"/>
  <c r="B16263" i="1"/>
  <c r="C16263" i="1"/>
  <c r="B16264" i="1"/>
  <c r="C16264" i="1"/>
  <c r="B16265" i="1"/>
  <c r="C16265" i="1"/>
  <c r="B16266" i="1"/>
  <c r="C16266" i="1"/>
  <c r="B16267" i="1"/>
  <c r="C16267" i="1"/>
  <c r="B16268" i="1"/>
  <c r="C16268" i="1"/>
  <c r="B16269" i="1"/>
  <c r="C16269" i="1"/>
  <c r="B16270" i="1"/>
  <c r="C16270" i="1"/>
  <c r="B16271" i="1"/>
  <c r="C16271" i="1"/>
  <c r="B16272" i="1"/>
  <c r="C16272" i="1"/>
  <c r="B16273" i="1"/>
  <c r="C16273" i="1"/>
  <c r="B16274" i="1"/>
  <c r="C16274" i="1"/>
  <c r="B16275" i="1"/>
  <c r="C16275" i="1"/>
  <c r="B16276" i="1"/>
  <c r="C16276" i="1"/>
  <c r="B16277" i="1"/>
  <c r="C16277" i="1"/>
  <c r="B16278" i="1"/>
  <c r="C16278" i="1"/>
  <c r="B16279" i="1"/>
  <c r="C16279" i="1"/>
  <c r="B16280" i="1"/>
  <c r="C16280" i="1"/>
  <c r="B16281" i="1"/>
  <c r="C16281" i="1"/>
  <c r="B16282" i="1"/>
  <c r="C16282" i="1"/>
  <c r="B16283" i="1"/>
  <c r="C16283" i="1"/>
  <c r="B16284" i="1"/>
  <c r="C16284" i="1"/>
  <c r="B16285" i="1"/>
  <c r="C16285" i="1"/>
  <c r="B16286" i="1"/>
  <c r="C16286" i="1"/>
  <c r="B16287" i="1"/>
  <c r="C16287" i="1"/>
  <c r="B16288" i="1"/>
  <c r="C16288" i="1"/>
  <c r="B16289" i="1"/>
  <c r="C16289" i="1"/>
  <c r="B16290" i="1"/>
  <c r="C16290" i="1"/>
  <c r="B16291" i="1"/>
  <c r="C16291" i="1"/>
  <c r="B16292" i="1"/>
  <c r="C16292" i="1"/>
  <c r="B16293" i="1"/>
  <c r="C16293" i="1"/>
  <c r="B16294" i="1"/>
  <c r="C16294" i="1"/>
  <c r="B16295" i="1"/>
  <c r="C16295" i="1"/>
  <c r="B16296" i="1"/>
  <c r="C16296" i="1"/>
  <c r="B16297" i="1"/>
  <c r="C16297" i="1"/>
  <c r="B16298" i="1"/>
  <c r="C16298" i="1"/>
  <c r="B16299" i="1"/>
  <c r="C16299" i="1"/>
  <c r="B16300" i="1"/>
  <c r="C16300" i="1"/>
  <c r="B16301" i="1"/>
  <c r="C16301" i="1"/>
  <c r="B16302" i="1"/>
  <c r="C16302" i="1"/>
  <c r="B16303" i="1"/>
  <c r="C16303" i="1"/>
  <c r="B16304" i="1"/>
  <c r="C16304" i="1"/>
  <c r="B16305" i="1"/>
  <c r="C16305" i="1"/>
  <c r="B16306" i="1"/>
  <c r="C16306" i="1"/>
  <c r="B16307" i="1"/>
  <c r="C16307" i="1"/>
  <c r="B16308" i="1"/>
  <c r="C16308" i="1"/>
  <c r="B16309" i="1"/>
  <c r="C16309" i="1"/>
  <c r="B16310" i="1"/>
  <c r="C16310" i="1"/>
  <c r="B16311" i="1"/>
  <c r="C16311" i="1"/>
  <c r="B16312" i="1"/>
  <c r="C16312" i="1"/>
  <c r="B16313" i="1"/>
  <c r="C16313" i="1"/>
  <c r="B16314" i="1"/>
  <c r="C16314" i="1"/>
  <c r="B16315" i="1"/>
  <c r="C16315" i="1"/>
  <c r="B16316" i="1"/>
  <c r="C16316" i="1"/>
  <c r="B16317" i="1"/>
  <c r="C16317" i="1"/>
  <c r="B16318" i="1"/>
  <c r="C16318" i="1"/>
  <c r="B16319" i="1"/>
  <c r="C16319" i="1"/>
  <c r="B16320" i="1"/>
  <c r="C16320" i="1"/>
  <c r="B16321" i="1"/>
  <c r="C16321" i="1"/>
  <c r="B16322" i="1"/>
  <c r="C16322" i="1"/>
  <c r="B16323" i="1"/>
  <c r="C16323" i="1"/>
  <c r="B16324" i="1"/>
  <c r="C16324" i="1"/>
  <c r="B16325" i="1"/>
  <c r="C16325" i="1"/>
  <c r="B16326" i="1"/>
  <c r="C16326" i="1"/>
  <c r="B16327" i="1"/>
  <c r="C16327" i="1"/>
  <c r="B16328" i="1"/>
  <c r="C16328" i="1"/>
  <c r="B16329" i="1"/>
  <c r="C16329" i="1"/>
  <c r="B16330" i="1"/>
  <c r="C16330" i="1"/>
  <c r="B16331" i="1"/>
  <c r="C16331" i="1"/>
  <c r="B16332" i="1"/>
  <c r="C16332" i="1"/>
  <c r="B16333" i="1"/>
  <c r="C16333" i="1"/>
  <c r="B16334" i="1"/>
  <c r="C16334" i="1"/>
  <c r="B16335" i="1"/>
  <c r="C16335" i="1"/>
  <c r="B16336" i="1"/>
  <c r="C16336" i="1"/>
  <c r="B16337" i="1"/>
  <c r="C16337" i="1"/>
  <c r="B16338" i="1"/>
  <c r="C16338" i="1"/>
  <c r="B16339" i="1"/>
  <c r="C16339" i="1"/>
  <c r="B16340" i="1"/>
  <c r="C16340" i="1"/>
  <c r="B16341" i="1"/>
  <c r="C16341" i="1"/>
  <c r="B16342" i="1"/>
  <c r="C16342" i="1"/>
  <c r="B16343" i="1"/>
  <c r="C16343" i="1"/>
  <c r="B16344" i="1"/>
  <c r="C16344" i="1"/>
  <c r="B16345" i="1"/>
  <c r="C16345" i="1"/>
  <c r="B16346" i="1"/>
  <c r="C16346" i="1"/>
  <c r="B16347" i="1"/>
  <c r="C16347" i="1"/>
  <c r="B16348" i="1"/>
  <c r="C16348" i="1"/>
  <c r="B16349" i="1"/>
  <c r="C16349" i="1"/>
  <c r="B16350" i="1"/>
  <c r="C16350" i="1"/>
  <c r="B16351" i="1"/>
  <c r="C16351" i="1"/>
  <c r="B16352" i="1"/>
  <c r="C16352" i="1"/>
  <c r="B16353" i="1"/>
  <c r="C16353" i="1"/>
  <c r="B16354" i="1"/>
  <c r="C16354" i="1"/>
  <c r="B16355" i="1"/>
  <c r="C16355" i="1"/>
  <c r="B16356" i="1"/>
  <c r="C16356" i="1"/>
  <c r="B16357" i="1"/>
  <c r="C16357" i="1"/>
  <c r="B16358" i="1"/>
  <c r="C16358" i="1"/>
  <c r="B16359" i="1"/>
  <c r="C16359" i="1"/>
  <c r="B16360" i="1"/>
  <c r="C16360" i="1"/>
  <c r="B16361" i="1"/>
  <c r="C16361" i="1"/>
  <c r="B16362" i="1"/>
  <c r="C16362" i="1"/>
  <c r="B16363" i="1"/>
  <c r="C16363" i="1"/>
  <c r="B16364" i="1"/>
  <c r="C16364" i="1"/>
  <c r="B16365" i="1"/>
  <c r="C16365" i="1"/>
  <c r="B16366" i="1"/>
  <c r="C16366" i="1"/>
  <c r="B16367" i="1"/>
  <c r="C16367" i="1"/>
  <c r="B16368" i="1"/>
  <c r="C16368" i="1"/>
  <c r="B16369" i="1"/>
  <c r="C16369" i="1"/>
  <c r="B16370" i="1"/>
  <c r="C16370" i="1"/>
  <c r="B16371" i="1"/>
  <c r="C16371" i="1"/>
  <c r="B16372" i="1"/>
  <c r="C16372" i="1"/>
  <c r="B16373" i="1"/>
  <c r="C16373" i="1"/>
  <c r="B16374" i="1"/>
  <c r="C16374" i="1"/>
  <c r="B16375" i="1"/>
  <c r="C16375" i="1"/>
  <c r="B16376" i="1"/>
  <c r="C16376" i="1"/>
  <c r="B16377" i="1"/>
  <c r="C16377" i="1"/>
  <c r="B16378" i="1"/>
  <c r="C16378" i="1"/>
  <c r="B16379" i="1"/>
  <c r="C16379" i="1"/>
  <c r="B16380" i="1"/>
  <c r="C16380" i="1"/>
  <c r="B16381" i="1"/>
  <c r="C16381" i="1"/>
  <c r="B16382" i="1"/>
  <c r="C16382" i="1"/>
  <c r="B16383" i="1"/>
  <c r="C16383" i="1"/>
  <c r="B16384" i="1"/>
  <c r="C16384" i="1"/>
  <c r="B16385" i="1"/>
  <c r="C16385" i="1"/>
  <c r="B16386" i="1"/>
  <c r="C16386" i="1"/>
  <c r="B16387" i="1"/>
  <c r="C16387" i="1"/>
  <c r="B16388" i="1"/>
  <c r="C16388" i="1"/>
  <c r="B16389" i="1"/>
  <c r="C16389" i="1"/>
  <c r="B16390" i="1"/>
  <c r="C16390" i="1"/>
  <c r="B16391" i="1"/>
  <c r="C16391" i="1"/>
  <c r="B16392" i="1"/>
  <c r="C16392" i="1"/>
  <c r="B16393" i="1"/>
  <c r="C16393" i="1"/>
  <c r="B16394" i="1"/>
  <c r="C16394" i="1"/>
  <c r="B16395" i="1"/>
  <c r="C16395" i="1"/>
  <c r="B16396" i="1"/>
  <c r="C16396" i="1"/>
  <c r="B16397" i="1"/>
  <c r="C16397" i="1"/>
  <c r="B16398" i="1"/>
  <c r="C16398" i="1"/>
  <c r="B16399" i="1"/>
  <c r="C16399" i="1"/>
  <c r="B16400" i="1"/>
  <c r="C16400" i="1"/>
  <c r="B16401" i="1"/>
  <c r="C16401" i="1"/>
  <c r="B16402" i="1"/>
  <c r="C16402" i="1"/>
  <c r="B16403" i="1"/>
  <c r="C16403" i="1"/>
  <c r="B16404" i="1"/>
  <c r="C16404" i="1"/>
  <c r="B16405" i="1"/>
  <c r="C16405" i="1"/>
  <c r="B16406" i="1"/>
  <c r="C16406" i="1"/>
  <c r="B16407" i="1"/>
  <c r="C16407" i="1"/>
  <c r="B16408" i="1"/>
  <c r="C16408" i="1"/>
  <c r="B16409" i="1"/>
  <c r="C16409" i="1"/>
  <c r="B16410" i="1"/>
  <c r="C16410" i="1"/>
  <c r="B16411" i="1"/>
  <c r="C16411" i="1"/>
  <c r="B16412" i="1"/>
  <c r="C16412" i="1"/>
  <c r="B16413" i="1"/>
  <c r="C16413" i="1"/>
  <c r="B16414" i="1"/>
  <c r="C16414" i="1"/>
  <c r="B16415" i="1"/>
  <c r="C16415" i="1"/>
  <c r="B16416" i="1"/>
  <c r="C16416" i="1"/>
  <c r="B16417" i="1"/>
  <c r="C16417" i="1"/>
  <c r="B16418" i="1"/>
  <c r="C16418" i="1"/>
  <c r="B16419" i="1"/>
  <c r="C16419" i="1"/>
  <c r="B16420" i="1"/>
  <c r="C16420" i="1"/>
  <c r="B16421" i="1"/>
  <c r="C16421" i="1"/>
  <c r="B16422" i="1"/>
  <c r="C16422" i="1"/>
  <c r="B16423" i="1"/>
  <c r="C16423" i="1"/>
  <c r="B16424" i="1"/>
  <c r="C16424" i="1"/>
  <c r="B16425" i="1"/>
  <c r="C16425" i="1"/>
  <c r="B16426" i="1"/>
  <c r="C16426" i="1"/>
  <c r="B16427" i="1"/>
  <c r="C16427" i="1"/>
  <c r="B16428" i="1"/>
  <c r="C16428" i="1"/>
  <c r="B16429" i="1"/>
  <c r="C16429" i="1"/>
  <c r="B16430" i="1"/>
  <c r="C16430" i="1"/>
  <c r="B16431" i="1"/>
  <c r="C16431" i="1"/>
  <c r="B16432" i="1"/>
  <c r="C16432" i="1"/>
  <c r="B16433" i="1"/>
  <c r="C16433" i="1"/>
  <c r="B16434" i="1"/>
  <c r="C16434" i="1"/>
  <c r="B16435" i="1"/>
  <c r="C16435" i="1"/>
  <c r="B16436" i="1"/>
  <c r="C16436" i="1"/>
  <c r="B16437" i="1"/>
  <c r="C16437" i="1"/>
  <c r="B16438" i="1"/>
  <c r="C16438" i="1"/>
  <c r="B16439" i="1"/>
  <c r="C16439" i="1"/>
  <c r="B16440" i="1"/>
  <c r="C16440" i="1"/>
  <c r="B16441" i="1"/>
  <c r="C16441" i="1"/>
  <c r="B16442" i="1"/>
  <c r="C16442" i="1"/>
  <c r="B16443" i="1"/>
  <c r="C16443" i="1"/>
  <c r="B16444" i="1"/>
  <c r="C16444" i="1"/>
  <c r="B16445" i="1"/>
  <c r="C16445" i="1"/>
  <c r="B16446" i="1"/>
  <c r="C16446" i="1"/>
  <c r="B16447" i="1"/>
  <c r="C16447" i="1"/>
  <c r="B16448" i="1"/>
  <c r="C16448" i="1"/>
  <c r="B16449" i="1"/>
  <c r="C16449" i="1"/>
  <c r="B16450" i="1"/>
  <c r="C16450" i="1"/>
  <c r="B16451" i="1"/>
  <c r="C16451" i="1"/>
  <c r="B16452" i="1"/>
  <c r="C16452" i="1"/>
  <c r="B16453" i="1"/>
  <c r="C16453" i="1"/>
  <c r="B16454" i="1"/>
  <c r="C16454" i="1"/>
  <c r="B16455" i="1"/>
  <c r="C16455" i="1"/>
  <c r="B16456" i="1"/>
  <c r="C16456" i="1"/>
  <c r="B16457" i="1"/>
  <c r="C16457" i="1"/>
  <c r="B16458" i="1"/>
  <c r="C16458" i="1"/>
  <c r="B16459" i="1"/>
  <c r="C16459" i="1"/>
  <c r="B16460" i="1"/>
  <c r="C16460" i="1"/>
  <c r="B16461" i="1"/>
  <c r="C16461" i="1"/>
  <c r="B16462" i="1"/>
  <c r="C16462" i="1"/>
  <c r="B16463" i="1"/>
  <c r="C16463" i="1"/>
  <c r="B16464" i="1"/>
  <c r="C16464" i="1"/>
  <c r="B16465" i="1"/>
  <c r="C16465" i="1"/>
  <c r="B16466" i="1"/>
  <c r="C16466" i="1"/>
  <c r="B16467" i="1"/>
  <c r="C16467" i="1"/>
  <c r="B16468" i="1"/>
  <c r="C16468" i="1"/>
  <c r="B16469" i="1"/>
  <c r="C16469" i="1"/>
  <c r="B16470" i="1"/>
  <c r="C16470" i="1"/>
  <c r="B16471" i="1"/>
  <c r="C16471" i="1"/>
  <c r="B16472" i="1"/>
  <c r="C16472" i="1"/>
  <c r="B16473" i="1"/>
  <c r="C16473" i="1"/>
  <c r="B16474" i="1"/>
  <c r="C16474" i="1"/>
  <c r="B16475" i="1"/>
  <c r="C16475" i="1"/>
  <c r="B16476" i="1"/>
  <c r="C16476" i="1"/>
  <c r="B16477" i="1"/>
  <c r="C16477" i="1"/>
  <c r="B16478" i="1"/>
  <c r="C16478" i="1"/>
  <c r="B16479" i="1"/>
  <c r="C16479" i="1"/>
  <c r="B16480" i="1"/>
  <c r="C16480" i="1"/>
  <c r="B16481" i="1"/>
  <c r="C16481" i="1"/>
  <c r="B16482" i="1"/>
  <c r="C16482" i="1"/>
  <c r="B16483" i="1"/>
  <c r="C16483" i="1"/>
  <c r="B16484" i="1"/>
  <c r="C16484" i="1"/>
  <c r="B16485" i="1"/>
  <c r="C16485" i="1"/>
  <c r="B16486" i="1"/>
  <c r="C16486" i="1"/>
  <c r="B16487" i="1"/>
  <c r="C16487" i="1"/>
  <c r="B16488" i="1"/>
  <c r="C16488" i="1"/>
  <c r="B16489" i="1"/>
  <c r="C16489" i="1"/>
  <c r="B16490" i="1"/>
  <c r="C16490" i="1"/>
  <c r="B16491" i="1"/>
  <c r="C16491" i="1"/>
  <c r="B16492" i="1"/>
  <c r="C16492" i="1"/>
  <c r="B16493" i="1"/>
  <c r="C16493" i="1"/>
  <c r="B16494" i="1"/>
  <c r="C16494" i="1"/>
  <c r="B16495" i="1"/>
  <c r="C16495" i="1"/>
  <c r="B16496" i="1"/>
  <c r="C16496" i="1"/>
  <c r="B16497" i="1"/>
  <c r="C16497" i="1"/>
  <c r="B16498" i="1"/>
  <c r="C16498" i="1"/>
  <c r="B16499" i="1"/>
  <c r="C16499" i="1"/>
  <c r="B16500" i="1"/>
  <c r="C16500" i="1"/>
  <c r="B16501" i="1"/>
  <c r="C16501" i="1"/>
  <c r="B16502" i="1"/>
  <c r="C16502" i="1"/>
  <c r="B16503" i="1"/>
  <c r="C16503" i="1"/>
  <c r="B16504" i="1"/>
  <c r="C16504" i="1"/>
  <c r="B16505" i="1"/>
  <c r="C16505" i="1"/>
  <c r="B16506" i="1"/>
  <c r="C16506" i="1"/>
  <c r="B16507" i="1"/>
  <c r="C16507" i="1"/>
  <c r="B16508" i="1"/>
  <c r="C16508" i="1"/>
  <c r="B16509" i="1"/>
  <c r="C16509" i="1"/>
  <c r="B16510" i="1"/>
  <c r="C16510" i="1"/>
  <c r="B16511" i="1"/>
  <c r="C16511" i="1"/>
  <c r="B16512" i="1"/>
  <c r="C16512" i="1"/>
  <c r="B16513" i="1"/>
  <c r="C16513" i="1"/>
  <c r="B16514" i="1"/>
  <c r="C16514" i="1"/>
  <c r="B16515" i="1"/>
  <c r="C16515" i="1"/>
  <c r="B16516" i="1"/>
  <c r="C16516" i="1"/>
  <c r="B16517" i="1"/>
  <c r="C16517" i="1"/>
  <c r="B16518" i="1"/>
  <c r="C16518" i="1"/>
  <c r="B16519" i="1"/>
  <c r="C16519" i="1"/>
  <c r="B16520" i="1"/>
  <c r="C16520" i="1"/>
  <c r="B16521" i="1"/>
  <c r="C16521" i="1"/>
  <c r="B16522" i="1"/>
  <c r="C16522" i="1"/>
  <c r="B16523" i="1"/>
  <c r="C16523" i="1"/>
  <c r="B16524" i="1"/>
  <c r="C16524" i="1"/>
  <c r="B16525" i="1"/>
  <c r="C16525" i="1"/>
  <c r="B16526" i="1"/>
  <c r="C16526" i="1"/>
  <c r="B16527" i="1"/>
  <c r="C16527" i="1"/>
  <c r="B16528" i="1"/>
  <c r="C16528" i="1"/>
  <c r="B16529" i="1"/>
  <c r="C16529" i="1"/>
  <c r="B16530" i="1"/>
  <c r="C16530" i="1"/>
  <c r="B16531" i="1"/>
  <c r="C16531" i="1"/>
  <c r="B16532" i="1"/>
  <c r="C16532" i="1"/>
  <c r="B16533" i="1"/>
  <c r="C16533" i="1"/>
  <c r="B16534" i="1"/>
  <c r="C16534" i="1"/>
  <c r="B16535" i="1"/>
  <c r="C16535" i="1"/>
  <c r="B16536" i="1"/>
  <c r="C16536" i="1"/>
  <c r="B16537" i="1"/>
  <c r="C16537" i="1"/>
  <c r="B16538" i="1"/>
  <c r="C16538" i="1"/>
  <c r="B16539" i="1"/>
  <c r="C16539" i="1"/>
  <c r="B16540" i="1"/>
  <c r="C16540" i="1"/>
  <c r="B16541" i="1"/>
  <c r="C16541" i="1"/>
  <c r="B16542" i="1"/>
  <c r="C16542" i="1"/>
  <c r="B16543" i="1"/>
  <c r="C16543" i="1"/>
  <c r="B16544" i="1"/>
  <c r="C16544" i="1"/>
  <c r="B16545" i="1"/>
  <c r="C16545" i="1"/>
  <c r="B16546" i="1"/>
  <c r="C16546" i="1"/>
  <c r="B16547" i="1"/>
  <c r="C16547" i="1"/>
  <c r="B16548" i="1"/>
  <c r="C16548" i="1"/>
  <c r="B16549" i="1"/>
  <c r="C16549" i="1"/>
  <c r="B16550" i="1"/>
  <c r="C16550" i="1"/>
  <c r="B16551" i="1"/>
  <c r="C16551" i="1"/>
  <c r="B16552" i="1"/>
  <c r="C16552" i="1"/>
  <c r="B16553" i="1"/>
  <c r="C16553" i="1"/>
  <c r="B16554" i="1"/>
  <c r="C16554" i="1"/>
  <c r="B16555" i="1"/>
  <c r="C16555" i="1"/>
  <c r="B16556" i="1"/>
  <c r="C16556" i="1"/>
  <c r="B16557" i="1"/>
  <c r="C16557" i="1"/>
  <c r="B16558" i="1"/>
  <c r="C16558" i="1"/>
  <c r="B16559" i="1"/>
  <c r="C16559" i="1"/>
  <c r="B16560" i="1"/>
  <c r="C16560" i="1"/>
  <c r="B16561" i="1"/>
  <c r="C16561" i="1"/>
  <c r="B16562" i="1"/>
  <c r="C16562" i="1"/>
  <c r="B16563" i="1"/>
  <c r="C16563" i="1"/>
  <c r="B16564" i="1"/>
  <c r="C16564" i="1"/>
  <c r="B16565" i="1"/>
  <c r="C16565" i="1"/>
  <c r="B16566" i="1"/>
  <c r="C16566" i="1"/>
  <c r="B16567" i="1"/>
  <c r="C16567" i="1"/>
  <c r="B16568" i="1"/>
  <c r="C16568" i="1"/>
  <c r="B16569" i="1"/>
  <c r="C16569" i="1"/>
  <c r="B16570" i="1"/>
  <c r="C16570" i="1"/>
  <c r="B16571" i="1"/>
  <c r="C16571" i="1"/>
  <c r="B16572" i="1"/>
  <c r="C16572" i="1"/>
  <c r="B16573" i="1"/>
  <c r="C16573" i="1"/>
  <c r="B16574" i="1"/>
  <c r="C16574" i="1"/>
  <c r="B16575" i="1"/>
  <c r="C16575" i="1"/>
  <c r="B16576" i="1"/>
  <c r="C16576" i="1"/>
  <c r="B16577" i="1"/>
  <c r="C16577" i="1"/>
  <c r="B16578" i="1"/>
  <c r="C16578" i="1"/>
  <c r="B16579" i="1"/>
  <c r="C16579" i="1"/>
  <c r="B16580" i="1"/>
  <c r="C16580" i="1"/>
  <c r="B16581" i="1"/>
  <c r="C16581" i="1"/>
  <c r="B16582" i="1"/>
  <c r="C16582" i="1"/>
  <c r="B16583" i="1"/>
  <c r="C16583" i="1"/>
  <c r="B16584" i="1"/>
  <c r="C16584" i="1"/>
  <c r="B16585" i="1"/>
  <c r="C16585" i="1"/>
  <c r="B16586" i="1"/>
  <c r="C16586" i="1"/>
  <c r="B16587" i="1"/>
  <c r="C16587" i="1"/>
  <c r="B16588" i="1"/>
  <c r="C16588" i="1"/>
  <c r="B16589" i="1"/>
  <c r="C16589" i="1"/>
  <c r="B16590" i="1"/>
  <c r="C16590" i="1"/>
  <c r="B16591" i="1"/>
  <c r="C16591" i="1"/>
  <c r="B16592" i="1"/>
  <c r="C16592" i="1"/>
  <c r="B16593" i="1"/>
  <c r="C16593" i="1"/>
  <c r="B16594" i="1"/>
  <c r="C16594" i="1"/>
  <c r="B16595" i="1"/>
  <c r="C16595" i="1"/>
  <c r="B16596" i="1"/>
  <c r="C16596" i="1"/>
  <c r="B16597" i="1"/>
  <c r="C16597" i="1"/>
  <c r="B16598" i="1"/>
  <c r="C16598" i="1"/>
  <c r="B16599" i="1"/>
  <c r="C16599" i="1"/>
  <c r="B16600" i="1"/>
  <c r="C16600" i="1"/>
  <c r="B16601" i="1"/>
  <c r="C16601" i="1"/>
  <c r="B16602" i="1"/>
  <c r="C16602" i="1"/>
  <c r="B16603" i="1"/>
  <c r="C16603" i="1"/>
  <c r="B16604" i="1"/>
  <c r="C16604" i="1"/>
  <c r="B16605" i="1"/>
  <c r="C16605" i="1"/>
  <c r="B16606" i="1"/>
  <c r="C16606" i="1"/>
  <c r="B16607" i="1"/>
  <c r="C16607" i="1"/>
  <c r="B16608" i="1"/>
  <c r="C16608" i="1"/>
  <c r="B16609" i="1"/>
  <c r="C16609" i="1"/>
  <c r="B16610" i="1"/>
  <c r="C16610" i="1"/>
  <c r="B16611" i="1"/>
  <c r="C16611" i="1"/>
  <c r="B16612" i="1"/>
  <c r="C16612" i="1"/>
  <c r="B16613" i="1"/>
  <c r="C16613" i="1"/>
  <c r="B16614" i="1"/>
  <c r="C16614" i="1"/>
  <c r="B16615" i="1"/>
  <c r="C16615" i="1"/>
  <c r="B16616" i="1"/>
  <c r="C16616" i="1"/>
  <c r="B16617" i="1"/>
  <c r="C16617" i="1"/>
  <c r="B16618" i="1"/>
  <c r="C16618" i="1"/>
  <c r="B16619" i="1"/>
  <c r="C16619" i="1"/>
  <c r="B16620" i="1"/>
  <c r="C16620" i="1"/>
  <c r="B16621" i="1"/>
  <c r="C16621" i="1"/>
  <c r="B16622" i="1"/>
  <c r="C16622" i="1"/>
  <c r="B16623" i="1"/>
  <c r="C16623" i="1"/>
  <c r="B16624" i="1"/>
  <c r="C16624" i="1"/>
  <c r="B16625" i="1"/>
  <c r="C16625" i="1"/>
  <c r="B16626" i="1"/>
  <c r="C16626" i="1"/>
  <c r="B16627" i="1"/>
  <c r="C16627" i="1"/>
  <c r="B16628" i="1"/>
  <c r="C16628" i="1"/>
  <c r="B16629" i="1"/>
  <c r="C16629" i="1"/>
  <c r="B16630" i="1"/>
  <c r="C16630" i="1"/>
  <c r="B16631" i="1"/>
  <c r="C16631" i="1"/>
  <c r="B16632" i="1"/>
  <c r="C16632" i="1"/>
  <c r="B16633" i="1"/>
  <c r="C16633" i="1"/>
  <c r="B16634" i="1"/>
  <c r="C16634" i="1"/>
  <c r="B16635" i="1"/>
  <c r="C16635" i="1"/>
  <c r="B16636" i="1"/>
  <c r="C16636" i="1"/>
  <c r="B16637" i="1"/>
  <c r="C16637" i="1"/>
  <c r="B16638" i="1"/>
  <c r="C16638" i="1"/>
  <c r="B16639" i="1"/>
  <c r="C16639" i="1"/>
  <c r="B16640" i="1"/>
  <c r="C16640" i="1"/>
  <c r="B16641" i="1"/>
  <c r="C16641" i="1"/>
  <c r="B16642" i="1"/>
  <c r="C16642" i="1"/>
  <c r="B16643" i="1"/>
  <c r="C16643" i="1"/>
  <c r="B16644" i="1"/>
  <c r="C16644" i="1"/>
  <c r="B16645" i="1"/>
  <c r="C16645" i="1"/>
  <c r="B16646" i="1"/>
  <c r="C16646" i="1"/>
  <c r="B16647" i="1"/>
  <c r="C16647" i="1"/>
  <c r="B16648" i="1"/>
  <c r="C16648" i="1"/>
  <c r="B16649" i="1"/>
  <c r="C16649" i="1"/>
  <c r="B16650" i="1"/>
  <c r="C16650" i="1"/>
  <c r="B16651" i="1"/>
  <c r="C16651" i="1"/>
  <c r="B16652" i="1"/>
  <c r="C16652" i="1"/>
  <c r="B16653" i="1"/>
  <c r="C16653" i="1"/>
  <c r="B16654" i="1"/>
  <c r="C16654" i="1"/>
  <c r="B16655" i="1"/>
  <c r="C16655" i="1"/>
  <c r="B16656" i="1"/>
  <c r="C16656" i="1"/>
  <c r="B16657" i="1"/>
  <c r="C16657" i="1"/>
  <c r="B16658" i="1"/>
  <c r="C16658" i="1"/>
  <c r="B16659" i="1"/>
  <c r="C16659" i="1"/>
  <c r="B16660" i="1"/>
  <c r="C16660" i="1"/>
  <c r="B16661" i="1"/>
  <c r="C16661" i="1"/>
  <c r="B16662" i="1"/>
  <c r="C16662" i="1"/>
  <c r="B16663" i="1"/>
  <c r="C16663" i="1"/>
  <c r="B16664" i="1"/>
  <c r="C16664" i="1"/>
  <c r="B16665" i="1"/>
  <c r="C16665" i="1"/>
  <c r="B16666" i="1"/>
  <c r="C16666" i="1"/>
  <c r="B16667" i="1"/>
  <c r="C16667" i="1"/>
  <c r="B16668" i="1"/>
  <c r="C16668" i="1"/>
  <c r="B16669" i="1"/>
  <c r="C16669" i="1"/>
  <c r="B16670" i="1"/>
  <c r="C16670" i="1"/>
  <c r="B16671" i="1"/>
  <c r="C16671" i="1"/>
  <c r="B16672" i="1"/>
  <c r="C16672" i="1"/>
  <c r="B16673" i="1"/>
  <c r="C16673" i="1"/>
  <c r="B16674" i="1"/>
  <c r="C16674" i="1"/>
  <c r="B16675" i="1"/>
  <c r="C16675" i="1"/>
  <c r="B16676" i="1"/>
  <c r="C16676" i="1"/>
  <c r="B16677" i="1"/>
  <c r="C16677" i="1"/>
  <c r="B16678" i="1"/>
  <c r="C16678" i="1"/>
  <c r="B16679" i="1"/>
  <c r="C16679" i="1"/>
  <c r="B16680" i="1"/>
  <c r="C16680" i="1"/>
  <c r="B16681" i="1"/>
  <c r="C16681" i="1"/>
  <c r="B16682" i="1"/>
  <c r="C16682" i="1"/>
  <c r="B16683" i="1"/>
  <c r="C16683" i="1"/>
  <c r="B16684" i="1"/>
  <c r="C16684" i="1"/>
  <c r="B16685" i="1"/>
  <c r="C16685" i="1"/>
  <c r="B16686" i="1"/>
  <c r="C16686" i="1"/>
  <c r="B16687" i="1"/>
  <c r="C16687" i="1"/>
  <c r="B16688" i="1"/>
  <c r="C16688" i="1"/>
  <c r="B16689" i="1"/>
  <c r="C16689" i="1"/>
  <c r="B16690" i="1"/>
  <c r="C16690" i="1"/>
  <c r="B16691" i="1"/>
  <c r="C16691" i="1"/>
  <c r="B16692" i="1"/>
  <c r="C16692" i="1"/>
  <c r="B16693" i="1"/>
  <c r="C16693" i="1"/>
  <c r="B16694" i="1"/>
  <c r="C16694" i="1"/>
  <c r="B16695" i="1"/>
  <c r="C16695" i="1"/>
  <c r="B16696" i="1"/>
  <c r="C16696" i="1"/>
  <c r="B16697" i="1"/>
  <c r="C16697" i="1"/>
  <c r="B16698" i="1"/>
  <c r="C16698" i="1"/>
  <c r="B16699" i="1"/>
  <c r="C16699" i="1"/>
  <c r="B16700" i="1"/>
  <c r="C16700" i="1"/>
  <c r="B16701" i="1"/>
  <c r="C16701" i="1"/>
  <c r="B16702" i="1"/>
  <c r="C16702" i="1"/>
  <c r="B16703" i="1"/>
  <c r="C16703" i="1"/>
  <c r="B16704" i="1"/>
  <c r="C16704" i="1"/>
  <c r="B16705" i="1"/>
  <c r="C16705" i="1"/>
  <c r="B16706" i="1"/>
  <c r="C16706" i="1"/>
  <c r="B16707" i="1"/>
  <c r="C16707" i="1"/>
  <c r="B16708" i="1"/>
  <c r="C16708" i="1"/>
  <c r="B16709" i="1"/>
  <c r="C16709" i="1"/>
  <c r="B16710" i="1"/>
  <c r="C16710" i="1"/>
  <c r="B16711" i="1"/>
  <c r="C16711" i="1"/>
  <c r="B16712" i="1"/>
  <c r="C16712" i="1"/>
  <c r="B16713" i="1"/>
  <c r="C16713" i="1"/>
  <c r="B16714" i="1"/>
  <c r="C16714" i="1"/>
  <c r="B16715" i="1"/>
  <c r="C16715" i="1"/>
  <c r="B16716" i="1"/>
  <c r="C16716" i="1"/>
  <c r="B16717" i="1"/>
  <c r="C16717" i="1"/>
  <c r="B16718" i="1"/>
  <c r="C16718" i="1"/>
  <c r="B16719" i="1"/>
  <c r="C16719" i="1"/>
  <c r="B16720" i="1"/>
  <c r="C16720" i="1"/>
  <c r="B16721" i="1"/>
  <c r="C16721" i="1"/>
  <c r="B16722" i="1"/>
  <c r="C16722" i="1"/>
  <c r="B16723" i="1"/>
  <c r="C16723" i="1"/>
  <c r="B16724" i="1"/>
  <c r="C16724" i="1"/>
  <c r="B16725" i="1"/>
  <c r="C16725" i="1"/>
  <c r="B16726" i="1"/>
  <c r="C16726" i="1"/>
  <c r="B16727" i="1"/>
  <c r="C16727" i="1"/>
  <c r="B16728" i="1"/>
  <c r="C16728" i="1"/>
  <c r="B16729" i="1"/>
  <c r="C16729" i="1"/>
  <c r="B16730" i="1"/>
  <c r="C16730" i="1"/>
  <c r="B16731" i="1"/>
  <c r="C16731" i="1"/>
  <c r="B16732" i="1"/>
  <c r="C16732" i="1"/>
  <c r="B16733" i="1"/>
  <c r="C16733" i="1"/>
  <c r="B16734" i="1"/>
  <c r="C16734" i="1"/>
  <c r="B16735" i="1"/>
  <c r="C16735" i="1"/>
  <c r="B16736" i="1"/>
  <c r="C16736" i="1"/>
  <c r="B16737" i="1"/>
  <c r="C16737" i="1"/>
  <c r="B16738" i="1"/>
  <c r="C16738" i="1"/>
  <c r="B16739" i="1"/>
  <c r="C16739" i="1"/>
  <c r="B16740" i="1"/>
  <c r="C16740" i="1"/>
  <c r="B16741" i="1"/>
  <c r="C16741" i="1"/>
  <c r="B16742" i="1"/>
  <c r="C16742" i="1"/>
  <c r="B16743" i="1"/>
  <c r="C16743" i="1"/>
  <c r="B16744" i="1"/>
  <c r="C16744" i="1"/>
  <c r="B16745" i="1"/>
  <c r="C16745" i="1"/>
  <c r="B16746" i="1"/>
  <c r="C16746" i="1"/>
  <c r="B16747" i="1"/>
  <c r="C16747" i="1"/>
  <c r="B16748" i="1"/>
  <c r="C16748" i="1"/>
  <c r="B16749" i="1"/>
  <c r="C16749" i="1"/>
  <c r="B16750" i="1"/>
  <c r="C16750" i="1"/>
  <c r="B16751" i="1"/>
  <c r="C16751" i="1"/>
  <c r="B16752" i="1"/>
  <c r="C16752" i="1"/>
  <c r="B16753" i="1"/>
  <c r="C16753" i="1"/>
  <c r="B16754" i="1"/>
  <c r="C16754" i="1"/>
  <c r="B16755" i="1"/>
  <c r="C16755" i="1"/>
  <c r="B16756" i="1"/>
  <c r="C16756" i="1"/>
  <c r="B16757" i="1"/>
  <c r="C16757" i="1"/>
  <c r="B16758" i="1"/>
  <c r="C16758" i="1"/>
  <c r="B16759" i="1"/>
  <c r="C16759" i="1"/>
  <c r="B16760" i="1"/>
  <c r="C16760" i="1"/>
  <c r="B16761" i="1"/>
  <c r="C16761" i="1"/>
  <c r="B16762" i="1"/>
  <c r="C16762" i="1"/>
  <c r="B16763" i="1"/>
  <c r="C16763" i="1"/>
  <c r="B16764" i="1"/>
  <c r="C16764" i="1"/>
  <c r="B16765" i="1"/>
  <c r="C16765" i="1"/>
  <c r="B16766" i="1"/>
  <c r="C16766" i="1"/>
  <c r="B16767" i="1"/>
  <c r="C16767" i="1"/>
  <c r="B16768" i="1"/>
  <c r="C16768" i="1"/>
  <c r="B16769" i="1"/>
  <c r="C16769" i="1"/>
  <c r="B16770" i="1"/>
  <c r="C16770" i="1"/>
  <c r="B16771" i="1"/>
  <c r="C16771" i="1"/>
  <c r="B16772" i="1"/>
  <c r="C16772" i="1"/>
  <c r="B16773" i="1"/>
  <c r="C16773" i="1"/>
  <c r="B16774" i="1"/>
  <c r="C16774" i="1"/>
  <c r="B16775" i="1"/>
  <c r="C16775" i="1"/>
  <c r="B16776" i="1"/>
  <c r="C16776" i="1"/>
  <c r="B16777" i="1"/>
  <c r="C16777" i="1"/>
  <c r="B16778" i="1"/>
  <c r="C16778" i="1"/>
  <c r="B16779" i="1"/>
  <c r="C16779" i="1"/>
  <c r="B16780" i="1"/>
  <c r="C16780" i="1"/>
  <c r="B16781" i="1"/>
  <c r="C16781" i="1"/>
  <c r="B16782" i="1"/>
  <c r="C16782" i="1"/>
  <c r="B16783" i="1"/>
  <c r="C16783" i="1"/>
  <c r="B16784" i="1"/>
  <c r="C16784" i="1"/>
  <c r="B16785" i="1"/>
  <c r="C16785" i="1"/>
  <c r="B16786" i="1"/>
  <c r="C16786" i="1"/>
  <c r="B16787" i="1"/>
  <c r="C16787" i="1"/>
  <c r="B16788" i="1"/>
  <c r="C16788" i="1"/>
  <c r="B16789" i="1"/>
  <c r="C16789" i="1"/>
  <c r="B16790" i="1"/>
  <c r="C16790" i="1"/>
  <c r="B16791" i="1"/>
  <c r="C16791" i="1"/>
  <c r="B16792" i="1"/>
  <c r="C16792" i="1"/>
  <c r="B16793" i="1"/>
  <c r="C16793" i="1"/>
  <c r="B16794" i="1"/>
  <c r="C16794" i="1"/>
  <c r="B16795" i="1"/>
  <c r="C16795" i="1"/>
  <c r="B16796" i="1"/>
  <c r="C16796" i="1"/>
  <c r="B16797" i="1"/>
  <c r="C16797" i="1"/>
  <c r="B16798" i="1"/>
  <c r="C16798" i="1"/>
  <c r="B16799" i="1"/>
  <c r="C16799" i="1"/>
  <c r="B16800" i="1"/>
  <c r="C16800" i="1"/>
  <c r="B16801" i="1"/>
  <c r="C16801" i="1"/>
  <c r="B16802" i="1"/>
  <c r="C16802" i="1"/>
  <c r="B16803" i="1"/>
  <c r="C16803" i="1"/>
  <c r="B16804" i="1"/>
  <c r="C16804" i="1"/>
  <c r="B16805" i="1"/>
  <c r="C16805" i="1"/>
  <c r="B16806" i="1"/>
  <c r="C16806" i="1"/>
  <c r="B16807" i="1"/>
  <c r="C16807" i="1"/>
  <c r="B16808" i="1"/>
  <c r="C16808" i="1"/>
  <c r="B16809" i="1"/>
  <c r="C16809" i="1"/>
  <c r="B16810" i="1"/>
  <c r="C16810" i="1"/>
  <c r="B16811" i="1"/>
  <c r="C16811" i="1"/>
  <c r="B16812" i="1"/>
  <c r="C16812" i="1"/>
  <c r="B16813" i="1"/>
  <c r="C16813" i="1"/>
  <c r="B16814" i="1"/>
  <c r="C16814" i="1"/>
  <c r="B16815" i="1"/>
  <c r="C16815" i="1"/>
  <c r="B16816" i="1"/>
  <c r="C16816" i="1"/>
  <c r="B16817" i="1"/>
  <c r="C16817" i="1"/>
  <c r="B16818" i="1"/>
  <c r="C16818" i="1"/>
  <c r="B16819" i="1"/>
  <c r="C16819" i="1"/>
  <c r="B16820" i="1"/>
  <c r="C16820" i="1"/>
  <c r="B16821" i="1"/>
  <c r="C16821" i="1"/>
  <c r="B16822" i="1"/>
  <c r="C16822" i="1"/>
  <c r="B16823" i="1"/>
  <c r="C16823" i="1"/>
  <c r="B16824" i="1"/>
  <c r="C16824" i="1"/>
  <c r="B16825" i="1"/>
  <c r="C16825" i="1"/>
  <c r="B16826" i="1"/>
  <c r="C16826" i="1"/>
  <c r="B16827" i="1"/>
  <c r="C16827" i="1"/>
  <c r="B16828" i="1"/>
  <c r="C16828" i="1"/>
  <c r="B16829" i="1"/>
  <c r="C16829" i="1"/>
  <c r="B16830" i="1"/>
  <c r="C16830" i="1"/>
  <c r="B16831" i="1"/>
  <c r="C16831" i="1"/>
  <c r="B16832" i="1"/>
  <c r="C16832" i="1"/>
  <c r="B16833" i="1"/>
  <c r="C16833" i="1"/>
  <c r="B16834" i="1"/>
  <c r="C16834" i="1"/>
  <c r="B16835" i="1"/>
  <c r="C16835" i="1"/>
  <c r="B16836" i="1"/>
  <c r="C16836" i="1"/>
  <c r="B16837" i="1"/>
  <c r="C16837" i="1"/>
  <c r="B16838" i="1"/>
  <c r="C16838" i="1"/>
  <c r="B16839" i="1"/>
  <c r="C16839" i="1"/>
  <c r="B16840" i="1"/>
  <c r="C16840" i="1"/>
  <c r="B16841" i="1"/>
  <c r="C16841" i="1"/>
  <c r="B16842" i="1"/>
  <c r="C16842" i="1"/>
  <c r="B16843" i="1"/>
  <c r="C16843" i="1"/>
  <c r="B16844" i="1"/>
  <c r="C16844" i="1"/>
  <c r="B16845" i="1"/>
  <c r="C16845" i="1"/>
  <c r="B16846" i="1"/>
  <c r="C16846" i="1"/>
  <c r="B16847" i="1"/>
  <c r="C16847" i="1"/>
  <c r="B16848" i="1"/>
  <c r="C16848" i="1"/>
  <c r="B16849" i="1"/>
  <c r="C16849" i="1"/>
  <c r="B16850" i="1"/>
  <c r="C16850" i="1"/>
  <c r="B16851" i="1"/>
  <c r="C16851" i="1"/>
  <c r="B16852" i="1"/>
  <c r="C16852" i="1"/>
  <c r="B16853" i="1"/>
  <c r="C16853" i="1"/>
  <c r="B16854" i="1"/>
  <c r="C16854" i="1"/>
  <c r="B16855" i="1"/>
  <c r="C16855" i="1"/>
  <c r="B16856" i="1"/>
  <c r="C16856" i="1"/>
  <c r="B16857" i="1"/>
  <c r="C16857" i="1"/>
  <c r="B16858" i="1"/>
  <c r="C16858" i="1"/>
  <c r="B16859" i="1"/>
  <c r="C16859" i="1"/>
  <c r="B16860" i="1"/>
  <c r="C16860" i="1"/>
  <c r="B16861" i="1"/>
  <c r="C16861" i="1"/>
  <c r="B16862" i="1"/>
  <c r="C16862" i="1"/>
  <c r="B16863" i="1"/>
  <c r="C16863" i="1"/>
  <c r="B16864" i="1"/>
  <c r="C16864" i="1"/>
  <c r="B16865" i="1"/>
  <c r="C16865" i="1"/>
  <c r="B16866" i="1"/>
  <c r="C16866" i="1"/>
  <c r="B16867" i="1"/>
  <c r="C16867" i="1"/>
  <c r="B16868" i="1"/>
  <c r="C16868" i="1"/>
  <c r="B16869" i="1"/>
  <c r="C16869" i="1"/>
  <c r="B16870" i="1"/>
  <c r="C16870" i="1"/>
  <c r="B16871" i="1"/>
  <c r="C16871" i="1"/>
  <c r="B16872" i="1"/>
  <c r="C16872" i="1"/>
  <c r="B16873" i="1"/>
  <c r="C16873" i="1"/>
  <c r="B16874" i="1"/>
  <c r="C16874" i="1"/>
  <c r="B16875" i="1"/>
  <c r="C16875" i="1"/>
  <c r="B16876" i="1"/>
  <c r="C16876" i="1"/>
  <c r="B16877" i="1"/>
  <c r="C16877" i="1"/>
  <c r="B16878" i="1"/>
  <c r="C16878" i="1"/>
  <c r="B16879" i="1"/>
  <c r="C16879" i="1"/>
  <c r="B16880" i="1"/>
  <c r="C16880" i="1"/>
  <c r="B16881" i="1"/>
  <c r="C16881" i="1"/>
  <c r="B16882" i="1"/>
  <c r="C16882" i="1"/>
  <c r="B16883" i="1"/>
  <c r="C16883" i="1"/>
  <c r="B16884" i="1"/>
  <c r="C16884" i="1"/>
  <c r="B16885" i="1"/>
  <c r="C16885" i="1"/>
  <c r="B16886" i="1"/>
  <c r="C16886" i="1"/>
  <c r="B16887" i="1"/>
  <c r="C16887" i="1"/>
  <c r="B16888" i="1"/>
  <c r="C16888" i="1"/>
  <c r="B16889" i="1"/>
  <c r="C16889" i="1"/>
  <c r="B16890" i="1"/>
  <c r="C16890" i="1"/>
  <c r="B16891" i="1"/>
  <c r="C16891" i="1"/>
  <c r="B16892" i="1"/>
  <c r="C16892" i="1"/>
  <c r="B16893" i="1"/>
  <c r="C16893" i="1"/>
  <c r="B16894" i="1"/>
  <c r="C16894" i="1"/>
  <c r="B16895" i="1"/>
  <c r="C16895" i="1"/>
  <c r="B16896" i="1"/>
  <c r="C16896" i="1"/>
  <c r="B16897" i="1"/>
  <c r="C16897" i="1"/>
  <c r="B16898" i="1"/>
  <c r="C16898" i="1"/>
  <c r="B16899" i="1"/>
  <c r="C16899" i="1"/>
  <c r="B16900" i="1"/>
  <c r="C16900" i="1"/>
  <c r="B16901" i="1"/>
  <c r="C16901" i="1"/>
  <c r="B16902" i="1"/>
  <c r="C16902" i="1"/>
  <c r="B16903" i="1"/>
  <c r="C16903" i="1"/>
  <c r="B16904" i="1"/>
  <c r="C16904" i="1"/>
  <c r="B16905" i="1"/>
  <c r="C16905" i="1"/>
  <c r="B16906" i="1"/>
  <c r="C16906" i="1"/>
  <c r="B16907" i="1"/>
  <c r="C16907" i="1"/>
  <c r="B16908" i="1"/>
  <c r="C16908" i="1"/>
  <c r="B16909" i="1"/>
  <c r="C16909" i="1"/>
  <c r="B16910" i="1"/>
  <c r="C16910" i="1"/>
  <c r="B16911" i="1"/>
  <c r="C16911" i="1"/>
  <c r="B16912" i="1"/>
  <c r="C16912" i="1"/>
  <c r="B16913" i="1"/>
  <c r="C16913" i="1"/>
  <c r="B16914" i="1"/>
  <c r="C16914" i="1"/>
  <c r="B16915" i="1"/>
  <c r="C16915" i="1"/>
  <c r="B16916" i="1"/>
  <c r="C16916" i="1"/>
  <c r="B16917" i="1"/>
  <c r="C16917" i="1"/>
  <c r="B16918" i="1"/>
  <c r="C16918" i="1"/>
  <c r="B16919" i="1"/>
  <c r="C16919" i="1"/>
  <c r="B16920" i="1"/>
  <c r="C16920" i="1"/>
  <c r="B16921" i="1"/>
  <c r="C16921" i="1"/>
  <c r="B16922" i="1"/>
  <c r="C16922" i="1"/>
  <c r="B16923" i="1"/>
  <c r="C16923" i="1"/>
  <c r="B16924" i="1"/>
  <c r="C16924" i="1"/>
  <c r="B16925" i="1"/>
  <c r="C16925" i="1"/>
  <c r="B16926" i="1"/>
  <c r="C16926" i="1"/>
  <c r="B16927" i="1"/>
  <c r="C16927" i="1"/>
  <c r="B16928" i="1"/>
  <c r="C16928" i="1"/>
  <c r="B16929" i="1"/>
  <c r="C16929" i="1"/>
  <c r="B16930" i="1"/>
  <c r="C16930" i="1"/>
  <c r="B16931" i="1"/>
  <c r="C16931" i="1"/>
  <c r="B16932" i="1"/>
  <c r="C16932" i="1"/>
  <c r="B16933" i="1"/>
  <c r="C16933" i="1"/>
  <c r="B16934" i="1"/>
  <c r="C16934" i="1"/>
  <c r="B16935" i="1"/>
  <c r="C16935" i="1"/>
  <c r="B16936" i="1"/>
  <c r="C16936" i="1"/>
  <c r="B16937" i="1"/>
  <c r="C16937" i="1"/>
  <c r="B16938" i="1"/>
  <c r="C16938" i="1"/>
  <c r="B16939" i="1"/>
  <c r="C16939" i="1"/>
  <c r="B16940" i="1"/>
  <c r="C16940" i="1"/>
  <c r="B16941" i="1"/>
  <c r="C16941" i="1"/>
  <c r="B16942" i="1"/>
  <c r="C16942" i="1"/>
  <c r="B16943" i="1"/>
  <c r="C16943" i="1"/>
  <c r="B16944" i="1"/>
  <c r="C16944" i="1"/>
  <c r="B16945" i="1"/>
  <c r="C16945" i="1"/>
  <c r="B16946" i="1"/>
  <c r="C16946" i="1"/>
  <c r="B16947" i="1"/>
  <c r="C16947" i="1"/>
  <c r="B16948" i="1"/>
  <c r="C16948" i="1"/>
  <c r="B16949" i="1"/>
  <c r="C16949" i="1"/>
  <c r="B16950" i="1"/>
  <c r="C16950" i="1"/>
  <c r="B16951" i="1"/>
  <c r="C16951" i="1"/>
  <c r="B16952" i="1"/>
  <c r="C16952" i="1"/>
  <c r="B16953" i="1"/>
  <c r="C16953" i="1"/>
  <c r="B16954" i="1"/>
  <c r="C16954" i="1"/>
  <c r="B16955" i="1"/>
  <c r="C16955" i="1"/>
  <c r="B16956" i="1"/>
  <c r="C16956" i="1"/>
  <c r="B16957" i="1"/>
  <c r="C16957" i="1"/>
  <c r="B16958" i="1"/>
  <c r="C16958" i="1"/>
  <c r="B16959" i="1"/>
  <c r="C16959" i="1"/>
  <c r="B16960" i="1"/>
  <c r="C16960" i="1"/>
  <c r="B16961" i="1"/>
  <c r="C16961" i="1"/>
  <c r="B16962" i="1"/>
  <c r="C16962" i="1"/>
  <c r="B16963" i="1"/>
  <c r="C16963" i="1"/>
  <c r="B16964" i="1"/>
  <c r="C16964" i="1"/>
  <c r="B16965" i="1"/>
  <c r="C16965" i="1"/>
  <c r="B16966" i="1"/>
  <c r="C16966" i="1"/>
  <c r="B16967" i="1"/>
  <c r="C16967" i="1"/>
  <c r="B16968" i="1"/>
  <c r="C16968" i="1"/>
  <c r="B16969" i="1"/>
  <c r="C16969" i="1"/>
  <c r="B16970" i="1"/>
  <c r="C16970" i="1"/>
  <c r="B16971" i="1"/>
  <c r="C16971" i="1"/>
  <c r="B16972" i="1"/>
  <c r="C16972" i="1"/>
  <c r="B16973" i="1"/>
  <c r="C16973" i="1"/>
  <c r="B16974" i="1"/>
  <c r="C16974" i="1"/>
  <c r="B16975" i="1"/>
  <c r="C16975" i="1"/>
  <c r="B16976" i="1"/>
  <c r="C16976" i="1"/>
  <c r="B16977" i="1"/>
  <c r="C16977" i="1"/>
  <c r="B16978" i="1"/>
  <c r="C16978" i="1"/>
  <c r="B16979" i="1"/>
  <c r="C16979" i="1"/>
  <c r="B16980" i="1"/>
  <c r="C16980" i="1"/>
  <c r="B16981" i="1"/>
  <c r="C16981" i="1"/>
  <c r="B16982" i="1"/>
  <c r="C16982" i="1"/>
  <c r="B16983" i="1"/>
  <c r="C16983" i="1"/>
  <c r="B16984" i="1"/>
  <c r="C16984" i="1"/>
  <c r="B16985" i="1"/>
  <c r="C16985" i="1"/>
  <c r="B16986" i="1"/>
  <c r="C16986" i="1"/>
  <c r="B16987" i="1"/>
  <c r="C16987" i="1"/>
  <c r="B16988" i="1"/>
  <c r="C16988" i="1"/>
  <c r="B16989" i="1"/>
  <c r="C16989" i="1"/>
  <c r="B16990" i="1"/>
  <c r="C16990" i="1"/>
  <c r="B16991" i="1"/>
  <c r="C16991" i="1"/>
  <c r="B16992" i="1"/>
  <c r="C16992" i="1"/>
  <c r="B16993" i="1"/>
  <c r="C16993" i="1"/>
  <c r="B16994" i="1"/>
  <c r="C16994" i="1"/>
  <c r="B16995" i="1"/>
  <c r="C16995" i="1"/>
  <c r="B16996" i="1"/>
  <c r="C16996" i="1"/>
  <c r="B16997" i="1"/>
  <c r="C16997" i="1"/>
  <c r="B16998" i="1"/>
  <c r="C16998" i="1"/>
  <c r="B16999" i="1"/>
  <c r="C16999" i="1"/>
  <c r="B17000" i="1"/>
  <c r="C17000" i="1"/>
  <c r="B17001" i="1"/>
  <c r="C17001" i="1"/>
  <c r="B17002" i="1"/>
  <c r="C17002" i="1"/>
  <c r="B17003" i="1"/>
  <c r="C17003" i="1"/>
  <c r="B17004" i="1"/>
  <c r="C17004" i="1"/>
  <c r="B17005" i="1"/>
  <c r="C17005" i="1"/>
  <c r="B17006" i="1"/>
  <c r="C17006" i="1"/>
  <c r="B17007" i="1"/>
  <c r="C17007" i="1"/>
  <c r="B17008" i="1"/>
  <c r="C17008" i="1"/>
  <c r="B17009" i="1"/>
  <c r="C17009" i="1"/>
  <c r="B17010" i="1"/>
  <c r="C17010" i="1"/>
  <c r="B17011" i="1"/>
  <c r="C17011" i="1"/>
  <c r="B17012" i="1"/>
  <c r="C17012" i="1"/>
  <c r="B17013" i="1"/>
  <c r="C17013" i="1"/>
  <c r="B17014" i="1"/>
  <c r="C17014" i="1"/>
  <c r="B17015" i="1"/>
  <c r="C17015" i="1"/>
  <c r="B17016" i="1"/>
  <c r="C17016" i="1"/>
  <c r="B17017" i="1"/>
  <c r="C17017" i="1"/>
  <c r="B17018" i="1"/>
  <c r="C17018" i="1"/>
  <c r="B17019" i="1"/>
  <c r="C17019" i="1"/>
  <c r="B17020" i="1"/>
  <c r="C17020" i="1"/>
  <c r="B17021" i="1"/>
  <c r="C17021" i="1"/>
  <c r="B17022" i="1"/>
  <c r="C17022" i="1"/>
  <c r="B17023" i="1"/>
  <c r="C17023" i="1"/>
  <c r="B17024" i="1"/>
  <c r="C17024" i="1"/>
  <c r="B17025" i="1"/>
  <c r="C17025" i="1"/>
  <c r="B17026" i="1"/>
  <c r="C17026" i="1"/>
  <c r="B17027" i="1"/>
  <c r="C17027" i="1"/>
  <c r="B17028" i="1"/>
  <c r="C17028" i="1"/>
  <c r="B17029" i="1"/>
  <c r="C17029" i="1"/>
  <c r="B17030" i="1"/>
  <c r="C17030" i="1"/>
  <c r="B17031" i="1"/>
  <c r="C17031" i="1"/>
  <c r="B17032" i="1"/>
  <c r="C17032" i="1"/>
  <c r="B17033" i="1"/>
  <c r="C17033" i="1"/>
  <c r="B17034" i="1"/>
  <c r="C17034" i="1"/>
  <c r="B17035" i="1"/>
  <c r="C17035" i="1"/>
  <c r="B17036" i="1"/>
  <c r="C17036" i="1"/>
  <c r="B17037" i="1"/>
  <c r="C17037" i="1"/>
  <c r="B17038" i="1"/>
  <c r="C17038" i="1"/>
  <c r="B17039" i="1"/>
  <c r="C17039" i="1"/>
  <c r="B17040" i="1"/>
  <c r="C17040" i="1"/>
  <c r="B17041" i="1"/>
  <c r="C17041" i="1"/>
  <c r="B17042" i="1"/>
  <c r="C17042" i="1"/>
  <c r="B17043" i="1"/>
  <c r="C17043" i="1"/>
  <c r="B17044" i="1"/>
  <c r="C17044" i="1"/>
  <c r="B17045" i="1"/>
  <c r="C17045" i="1"/>
  <c r="B17046" i="1"/>
  <c r="C17046" i="1"/>
  <c r="B17047" i="1"/>
  <c r="C17047" i="1"/>
  <c r="B17048" i="1"/>
  <c r="C17048" i="1"/>
  <c r="B17049" i="1"/>
  <c r="C17049" i="1"/>
  <c r="B17050" i="1"/>
  <c r="C17050" i="1"/>
  <c r="B17051" i="1"/>
  <c r="C17051" i="1"/>
  <c r="B17052" i="1"/>
  <c r="C17052" i="1"/>
  <c r="B17053" i="1"/>
  <c r="C17053" i="1"/>
  <c r="B17054" i="1"/>
  <c r="C17054" i="1"/>
  <c r="B17055" i="1"/>
  <c r="C17055" i="1"/>
  <c r="B17056" i="1"/>
  <c r="C17056" i="1"/>
  <c r="B17057" i="1"/>
  <c r="C17057" i="1"/>
  <c r="B17058" i="1"/>
  <c r="C17058" i="1"/>
  <c r="B17059" i="1"/>
  <c r="C17059" i="1"/>
  <c r="B17060" i="1"/>
  <c r="C17060" i="1"/>
  <c r="B17061" i="1"/>
  <c r="C17061" i="1"/>
  <c r="B17062" i="1"/>
  <c r="C17062" i="1"/>
  <c r="B17063" i="1"/>
  <c r="C17063" i="1"/>
  <c r="B17064" i="1"/>
  <c r="C17064" i="1"/>
  <c r="B17065" i="1"/>
  <c r="C17065" i="1"/>
  <c r="B17066" i="1"/>
  <c r="C17066" i="1"/>
  <c r="B17067" i="1"/>
  <c r="C17067" i="1"/>
  <c r="B17068" i="1"/>
  <c r="C17068" i="1"/>
  <c r="B17069" i="1"/>
  <c r="C17069" i="1"/>
  <c r="B17070" i="1"/>
  <c r="C17070" i="1"/>
  <c r="B17071" i="1"/>
  <c r="C17071" i="1"/>
  <c r="B17072" i="1"/>
  <c r="C17072" i="1"/>
  <c r="B17073" i="1"/>
  <c r="C17073" i="1"/>
  <c r="B17074" i="1"/>
  <c r="C17074" i="1"/>
  <c r="B17075" i="1"/>
  <c r="C17075" i="1"/>
  <c r="B17076" i="1"/>
  <c r="C17076" i="1"/>
  <c r="B17077" i="1"/>
  <c r="C17077" i="1"/>
  <c r="B17078" i="1"/>
  <c r="C17078" i="1"/>
  <c r="B17079" i="1"/>
  <c r="C17079" i="1"/>
  <c r="B17080" i="1"/>
  <c r="C17080" i="1"/>
  <c r="B17081" i="1"/>
  <c r="C17081" i="1"/>
  <c r="B17082" i="1"/>
  <c r="C17082" i="1"/>
  <c r="B17083" i="1"/>
  <c r="C17083" i="1"/>
  <c r="B17084" i="1"/>
  <c r="C17084" i="1"/>
  <c r="B17085" i="1"/>
  <c r="C17085" i="1"/>
  <c r="B17086" i="1"/>
  <c r="C17086" i="1"/>
  <c r="B17087" i="1"/>
  <c r="C17087" i="1"/>
  <c r="B17088" i="1"/>
  <c r="C17088" i="1"/>
  <c r="B17089" i="1"/>
  <c r="C17089" i="1"/>
  <c r="B17090" i="1"/>
  <c r="C17090" i="1"/>
  <c r="B17091" i="1"/>
  <c r="C17091" i="1"/>
  <c r="B17092" i="1"/>
  <c r="C17092" i="1"/>
  <c r="B17093" i="1"/>
  <c r="C17093" i="1"/>
  <c r="B17094" i="1"/>
  <c r="C17094" i="1"/>
  <c r="B17095" i="1"/>
  <c r="C17095" i="1"/>
  <c r="B17096" i="1"/>
  <c r="C17096" i="1"/>
  <c r="B17097" i="1"/>
  <c r="C17097" i="1"/>
  <c r="B17098" i="1"/>
  <c r="C17098" i="1"/>
  <c r="B17099" i="1"/>
  <c r="C17099" i="1"/>
  <c r="B17100" i="1"/>
  <c r="C17100" i="1"/>
  <c r="B17101" i="1"/>
  <c r="C17101" i="1"/>
  <c r="B17102" i="1"/>
  <c r="C17102" i="1"/>
  <c r="B17103" i="1"/>
  <c r="C17103" i="1"/>
  <c r="B17104" i="1"/>
  <c r="C17104" i="1"/>
  <c r="B17105" i="1"/>
  <c r="C17105" i="1"/>
  <c r="B17106" i="1"/>
  <c r="C17106" i="1"/>
  <c r="B17107" i="1"/>
  <c r="C17107" i="1"/>
  <c r="B17108" i="1"/>
  <c r="C17108" i="1"/>
  <c r="B17109" i="1"/>
  <c r="C17109" i="1"/>
  <c r="B17110" i="1"/>
  <c r="C17110" i="1"/>
  <c r="B17111" i="1"/>
  <c r="C17111" i="1"/>
  <c r="B17112" i="1"/>
  <c r="C17112" i="1"/>
  <c r="B17113" i="1"/>
  <c r="C17113" i="1"/>
  <c r="B17114" i="1"/>
  <c r="C17114" i="1"/>
  <c r="B17115" i="1"/>
  <c r="C17115" i="1"/>
  <c r="B17116" i="1"/>
  <c r="C17116" i="1"/>
  <c r="B17117" i="1"/>
  <c r="C17117" i="1"/>
  <c r="B17118" i="1"/>
  <c r="C17118" i="1"/>
  <c r="B17119" i="1"/>
  <c r="C17119" i="1"/>
  <c r="B17120" i="1"/>
  <c r="C17120" i="1"/>
  <c r="B17121" i="1"/>
  <c r="C17121" i="1"/>
  <c r="B17122" i="1"/>
  <c r="C17122" i="1"/>
  <c r="B17123" i="1"/>
  <c r="C17123" i="1"/>
  <c r="B17124" i="1"/>
  <c r="C17124" i="1"/>
  <c r="B17125" i="1"/>
  <c r="C17125" i="1"/>
  <c r="B17126" i="1"/>
  <c r="C17126" i="1"/>
  <c r="B17127" i="1"/>
  <c r="C17127" i="1"/>
  <c r="B17128" i="1"/>
  <c r="C17128" i="1"/>
  <c r="B17129" i="1"/>
  <c r="C17129" i="1"/>
  <c r="B17130" i="1"/>
  <c r="C17130" i="1"/>
  <c r="B17131" i="1"/>
  <c r="C17131" i="1"/>
  <c r="B17132" i="1"/>
  <c r="C17132" i="1"/>
  <c r="B17133" i="1"/>
  <c r="C17133" i="1"/>
  <c r="B17134" i="1"/>
  <c r="C17134" i="1"/>
  <c r="B17135" i="1"/>
  <c r="C17135" i="1"/>
  <c r="B17136" i="1"/>
  <c r="C17136" i="1"/>
  <c r="B17137" i="1"/>
  <c r="C17137" i="1"/>
  <c r="B17138" i="1"/>
  <c r="C17138" i="1"/>
  <c r="B17139" i="1"/>
  <c r="C17139" i="1"/>
  <c r="B17140" i="1"/>
  <c r="C17140" i="1"/>
  <c r="B17141" i="1"/>
  <c r="C17141" i="1"/>
  <c r="B17142" i="1"/>
  <c r="C17142" i="1"/>
  <c r="B17143" i="1"/>
  <c r="C17143" i="1"/>
  <c r="B17144" i="1"/>
  <c r="C17144" i="1"/>
  <c r="B17145" i="1"/>
  <c r="C17145" i="1"/>
  <c r="B17146" i="1"/>
  <c r="C17146" i="1"/>
  <c r="B17147" i="1"/>
  <c r="C17147" i="1"/>
  <c r="B17148" i="1"/>
  <c r="C17148" i="1"/>
  <c r="B17149" i="1"/>
  <c r="C17149" i="1"/>
  <c r="B17150" i="1"/>
  <c r="C17150" i="1"/>
  <c r="B17151" i="1"/>
  <c r="C17151" i="1"/>
  <c r="B17152" i="1"/>
  <c r="C17152" i="1"/>
  <c r="B17153" i="1"/>
  <c r="C17153" i="1"/>
  <c r="B17154" i="1"/>
  <c r="C17154" i="1"/>
  <c r="B17155" i="1"/>
  <c r="C17155" i="1"/>
  <c r="B17156" i="1"/>
  <c r="C17156" i="1"/>
  <c r="B17157" i="1"/>
  <c r="C17157" i="1"/>
  <c r="B17158" i="1"/>
  <c r="C17158" i="1"/>
  <c r="B17159" i="1"/>
  <c r="C17159" i="1"/>
  <c r="B17160" i="1"/>
  <c r="C17160" i="1"/>
  <c r="B17161" i="1"/>
  <c r="C17161" i="1"/>
  <c r="B17162" i="1"/>
  <c r="C17162" i="1"/>
  <c r="B17163" i="1"/>
  <c r="C17163" i="1"/>
  <c r="B17164" i="1"/>
  <c r="C17164" i="1"/>
  <c r="B17165" i="1"/>
  <c r="C17165" i="1"/>
  <c r="B17166" i="1"/>
  <c r="C17166" i="1"/>
  <c r="B17167" i="1"/>
  <c r="C17167" i="1"/>
  <c r="B17168" i="1"/>
  <c r="C17168" i="1"/>
  <c r="B17169" i="1"/>
  <c r="C17169" i="1"/>
  <c r="B17170" i="1"/>
  <c r="C17170" i="1"/>
  <c r="B17171" i="1"/>
  <c r="C17171" i="1"/>
  <c r="B17172" i="1"/>
  <c r="C17172" i="1"/>
  <c r="B17173" i="1"/>
  <c r="C17173" i="1"/>
  <c r="B17174" i="1"/>
  <c r="C17174" i="1"/>
  <c r="B17175" i="1"/>
  <c r="C17175" i="1"/>
  <c r="B17176" i="1"/>
  <c r="C17176" i="1"/>
  <c r="B17177" i="1"/>
  <c r="C17177" i="1"/>
  <c r="B17178" i="1"/>
  <c r="C17178" i="1"/>
  <c r="B17179" i="1"/>
  <c r="C17179" i="1"/>
  <c r="B17180" i="1"/>
  <c r="C17180" i="1"/>
  <c r="B17181" i="1"/>
  <c r="C17181" i="1"/>
  <c r="B17182" i="1"/>
  <c r="C17182" i="1"/>
  <c r="B17183" i="1"/>
  <c r="C17183" i="1"/>
  <c r="B17184" i="1"/>
  <c r="C17184" i="1"/>
  <c r="B17185" i="1"/>
  <c r="C17185" i="1"/>
  <c r="B17186" i="1"/>
  <c r="C17186" i="1"/>
  <c r="B17187" i="1"/>
  <c r="C17187" i="1"/>
  <c r="B17188" i="1"/>
  <c r="C17188" i="1"/>
  <c r="B17189" i="1"/>
  <c r="C17189" i="1"/>
  <c r="B17190" i="1"/>
  <c r="C17190" i="1"/>
  <c r="B17191" i="1"/>
  <c r="C17191" i="1"/>
  <c r="B17192" i="1"/>
  <c r="C17192" i="1"/>
  <c r="B17193" i="1"/>
  <c r="C17193" i="1"/>
  <c r="B17194" i="1"/>
  <c r="C17194" i="1"/>
  <c r="B17195" i="1"/>
  <c r="C17195" i="1"/>
  <c r="B17196" i="1"/>
  <c r="C17196" i="1"/>
  <c r="B17197" i="1"/>
  <c r="C17197" i="1"/>
  <c r="B17198" i="1"/>
  <c r="C17198" i="1"/>
  <c r="B17199" i="1"/>
  <c r="C17199" i="1"/>
  <c r="B17200" i="1"/>
  <c r="C17200" i="1"/>
  <c r="B17201" i="1"/>
  <c r="C17201" i="1"/>
  <c r="B17202" i="1"/>
  <c r="C17202" i="1"/>
  <c r="B17203" i="1"/>
  <c r="C17203" i="1"/>
  <c r="B17204" i="1"/>
  <c r="C17204" i="1"/>
  <c r="B17205" i="1"/>
  <c r="C17205" i="1"/>
  <c r="B17206" i="1"/>
  <c r="C17206" i="1"/>
  <c r="B17207" i="1"/>
  <c r="C17207" i="1"/>
  <c r="B17208" i="1"/>
  <c r="C17208" i="1"/>
  <c r="B17209" i="1"/>
  <c r="C17209" i="1"/>
  <c r="B17210" i="1"/>
  <c r="C17210" i="1"/>
  <c r="B17211" i="1"/>
  <c r="C17211" i="1"/>
  <c r="B17212" i="1"/>
  <c r="C17212" i="1"/>
  <c r="B17213" i="1"/>
  <c r="C17213" i="1"/>
  <c r="B17214" i="1"/>
  <c r="C17214" i="1"/>
  <c r="B17215" i="1"/>
  <c r="C17215" i="1"/>
  <c r="B17216" i="1"/>
  <c r="C17216" i="1"/>
  <c r="B17217" i="1"/>
  <c r="C17217" i="1"/>
  <c r="B17218" i="1"/>
  <c r="C17218" i="1"/>
  <c r="B17219" i="1"/>
  <c r="C17219" i="1"/>
  <c r="B17220" i="1"/>
  <c r="C17220" i="1"/>
  <c r="B17221" i="1"/>
  <c r="C17221" i="1"/>
  <c r="B17222" i="1"/>
  <c r="C17222" i="1"/>
  <c r="B17223" i="1"/>
  <c r="C17223" i="1"/>
  <c r="B17224" i="1"/>
  <c r="C17224" i="1"/>
  <c r="B17225" i="1"/>
  <c r="C17225" i="1"/>
  <c r="B17226" i="1"/>
  <c r="C17226" i="1"/>
  <c r="B17227" i="1"/>
  <c r="C17227" i="1"/>
  <c r="B17228" i="1"/>
  <c r="C17228" i="1"/>
  <c r="B17229" i="1"/>
  <c r="C17229" i="1"/>
  <c r="B17230" i="1"/>
  <c r="C17230" i="1"/>
  <c r="B17231" i="1"/>
  <c r="C17231" i="1"/>
  <c r="B17232" i="1"/>
  <c r="C17232" i="1"/>
  <c r="B17233" i="1"/>
  <c r="C17233" i="1"/>
  <c r="B17234" i="1"/>
  <c r="C17234" i="1"/>
  <c r="B17235" i="1"/>
  <c r="C17235" i="1"/>
  <c r="B17236" i="1"/>
  <c r="C17236" i="1"/>
  <c r="B17237" i="1"/>
  <c r="C17237" i="1"/>
  <c r="B17238" i="1"/>
  <c r="C17238" i="1"/>
  <c r="B17239" i="1"/>
  <c r="C17239" i="1"/>
  <c r="B17240" i="1"/>
  <c r="C17240" i="1"/>
  <c r="B17241" i="1"/>
  <c r="C17241" i="1"/>
  <c r="B17242" i="1"/>
  <c r="C17242" i="1"/>
  <c r="B17243" i="1"/>
  <c r="C17243" i="1"/>
  <c r="B17244" i="1"/>
  <c r="C17244" i="1"/>
  <c r="B17245" i="1"/>
  <c r="C17245" i="1"/>
  <c r="B17246" i="1"/>
  <c r="C17246" i="1"/>
  <c r="B17247" i="1"/>
  <c r="C17247" i="1"/>
  <c r="B17248" i="1"/>
  <c r="C17248" i="1"/>
  <c r="B17249" i="1"/>
  <c r="C17249" i="1"/>
  <c r="B17250" i="1"/>
  <c r="C17250" i="1"/>
  <c r="B17251" i="1"/>
  <c r="C17251" i="1"/>
  <c r="B17252" i="1"/>
  <c r="C17252" i="1"/>
  <c r="B17253" i="1"/>
  <c r="C17253" i="1"/>
  <c r="B17254" i="1"/>
  <c r="C17254" i="1"/>
  <c r="B17255" i="1"/>
  <c r="C17255" i="1"/>
  <c r="B17256" i="1"/>
  <c r="C17256" i="1"/>
  <c r="B17257" i="1"/>
  <c r="C17257" i="1"/>
  <c r="B17258" i="1"/>
  <c r="C17258" i="1"/>
  <c r="B17259" i="1"/>
  <c r="C17259" i="1"/>
  <c r="B17260" i="1"/>
  <c r="C17260" i="1"/>
  <c r="B17261" i="1"/>
  <c r="C17261" i="1"/>
  <c r="B17262" i="1"/>
  <c r="C17262" i="1"/>
  <c r="B17263" i="1"/>
  <c r="C17263" i="1"/>
  <c r="B17264" i="1"/>
  <c r="C17264" i="1"/>
  <c r="B17265" i="1"/>
  <c r="C17265" i="1"/>
  <c r="B17266" i="1"/>
  <c r="C17266" i="1"/>
  <c r="B17267" i="1"/>
  <c r="C17267" i="1"/>
  <c r="B17268" i="1"/>
  <c r="C17268" i="1"/>
  <c r="B17269" i="1"/>
  <c r="C17269" i="1"/>
  <c r="B17270" i="1"/>
  <c r="C17270" i="1"/>
  <c r="B17271" i="1"/>
  <c r="C17271" i="1"/>
  <c r="B17272" i="1"/>
  <c r="C17272" i="1"/>
  <c r="B17273" i="1"/>
  <c r="C17273" i="1"/>
  <c r="B17274" i="1"/>
  <c r="C17274" i="1"/>
  <c r="B17275" i="1"/>
  <c r="C17275" i="1"/>
  <c r="B17276" i="1"/>
  <c r="C17276" i="1"/>
  <c r="B17277" i="1"/>
  <c r="C17277" i="1"/>
  <c r="B17278" i="1"/>
  <c r="C17278" i="1"/>
  <c r="B17279" i="1"/>
  <c r="C17279" i="1"/>
  <c r="B17280" i="1"/>
  <c r="C17280" i="1"/>
  <c r="B17281" i="1"/>
  <c r="C17281" i="1"/>
  <c r="B17282" i="1"/>
  <c r="C17282" i="1"/>
  <c r="B17283" i="1"/>
  <c r="C17283" i="1"/>
  <c r="B17284" i="1"/>
  <c r="C17284" i="1"/>
  <c r="B17285" i="1"/>
  <c r="C17285" i="1"/>
  <c r="B17286" i="1"/>
  <c r="C17286" i="1"/>
  <c r="B17287" i="1"/>
  <c r="C17287" i="1"/>
  <c r="B17288" i="1"/>
  <c r="C17288" i="1"/>
  <c r="B17289" i="1"/>
  <c r="C17289" i="1"/>
  <c r="B17290" i="1"/>
  <c r="C17290" i="1"/>
  <c r="B17291" i="1"/>
  <c r="C17291" i="1"/>
  <c r="B17292" i="1"/>
  <c r="C17292" i="1"/>
  <c r="B17293" i="1"/>
  <c r="C17293" i="1"/>
  <c r="B17294" i="1"/>
  <c r="C17294" i="1"/>
  <c r="B17295" i="1"/>
  <c r="C17295" i="1"/>
  <c r="B17296" i="1"/>
  <c r="C17296" i="1"/>
  <c r="B17297" i="1"/>
  <c r="C17297" i="1"/>
  <c r="B17298" i="1"/>
  <c r="C17298" i="1"/>
  <c r="B17299" i="1"/>
  <c r="C17299" i="1"/>
  <c r="B17300" i="1"/>
  <c r="C17300" i="1"/>
  <c r="B17301" i="1"/>
  <c r="C17301" i="1"/>
  <c r="B17302" i="1"/>
  <c r="C17302" i="1"/>
  <c r="B17303" i="1"/>
  <c r="C17303" i="1"/>
  <c r="B17304" i="1"/>
  <c r="C17304" i="1"/>
  <c r="B17305" i="1"/>
  <c r="C17305" i="1"/>
  <c r="B17306" i="1"/>
  <c r="C17306" i="1"/>
  <c r="B17307" i="1"/>
  <c r="C17307" i="1"/>
  <c r="B17308" i="1"/>
  <c r="C17308" i="1"/>
  <c r="B17309" i="1"/>
  <c r="C17309" i="1"/>
  <c r="B17310" i="1"/>
  <c r="C17310" i="1"/>
  <c r="B17311" i="1"/>
  <c r="C17311" i="1"/>
  <c r="B17312" i="1"/>
  <c r="C17312" i="1"/>
  <c r="B17313" i="1"/>
  <c r="C17313" i="1"/>
  <c r="B17314" i="1"/>
  <c r="C17314" i="1"/>
  <c r="B17315" i="1"/>
  <c r="C17315" i="1"/>
  <c r="B17316" i="1"/>
  <c r="C17316" i="1"/>
  <c r="B17317" i="1"/>
  <c r="C17317" i="1"/>
  <c r="B17318" i="1"/>
  <c r="C17318" i="1"/>
  <c r="B17319" i="1"/>
  <c r="C17319" i="1"/>
  <c r="B17320" i="1"/>
  <c r="C17320" i="1"/>
  <c r="B17321" i="1"/>
  <c r="C17321" i="1"/>
  <c r="B17322" i="1"/>
  <c r="C17322" i="1"/>
  <c r="B17323" i="1"/>
  <c r="C17323" i="1"/>
  <c r="B17324" i="1"/>
  <c r="C17324" i="1"/>
  <c r="B17325" i="1"/>
  <c r="C17325" i="1"/>
  <c r="B17326" i="1"/>
  <c r="C17326" i="1"/>
  <c r="B17327" i="1"/>
  <c r="C17327" i="1"/>
  <c r="B17328" i="1"/>
  <c r="C17328" i="1"/>
  <c r="B17329" i="1"/>
  <c r="C17329" i="1"/>
  <c r="B17330" i="1"/>
  <c r="C17330" i="1"/>
  <c r="B17331" i="1"/>
  <c r="C17331" i="1"/>
  <c r="B17332" i="1"/>
  <c r="C17332" i="1"/>
  <c r="B17333" i="1"/>
  <c r="C17333" i="1"/>
  <c r="B17334" i="1"/>
  <c r="C17334" i="1"/>
  <c r="B17335" i="1"/>
  <c r="C17335" i="1"/>
  <c r="B17336" i="1"/>
  <c r="C17336" i="1"/>
  <c r="B17337" i="1"/>
  <c r="C17337" i="1"/>
  <c r="B17338" i="1"/>
  <c r="C17338" i="1"/>
  <c r="B17339" i="1"/>
  <c r="C17339" i="1"/>
  <c r="B17340" i="1"/>
  <c r="C17340" i="1"/>
  <c r="B17341" i="1"/>
  <c r="C17341" i="1"/>
  <c r="B17342" i="1"/>
  <c r="C17342" i="1"/>
  <c r="B17343" i="1"/>
  <c r="C17343" i="1"/>
  <c r="B17344" i="1"/>
  <c r="C17344" i="1"/>
  <c r="B17345" i="1"/>
  <c r="C17345" i="1"/>
  <c r="B17346" i="1"/>
  <c r="C17346" i="1"/>
  <c r="B17347" i="1"/>
  <c r="C17347" i="1"/>
  <c r="B17348" i="1"/>
  <c r="C17348" i="1"/>
  <c r="B17349" i="1"/>
  <c r="C17349" i="1"/>
  <c r="B17350" i="1"/>
  <c r="C17350" i="1"/>
  <c r="B17351" i="1"/>
  <c r="C17351" i="1"/>
  <c r="B17352" i="1"/>
  <c r="C17352" i="1"/>
  <c r="B17353" i="1"/>
  <c r="C17353" i="1"/>
  <c r="B17354" i="1"/>
  <c r="C17354" i="1"/>
  <c r="B17355" i="1"/>
  <c r="C17355" i="1"/>
  <c r="B17356" i="1"/>
  <c r="C17356" i="1"/>
  <c r="B17357" i="1"/>
  <c r="C17357" i="1"/>
  <c r="B17358" i="1"/>
  <c r="C17358" i="1"/>
  <c r="B17359" i="1"/>
  <c r="C17359" i="1"/>
  <c r="B17360" i="1"/>
  <c r="C17360" i="1"/>
  <c r="B17361" i="1"/>
  <c r="C17361" i="1"/>
  <c r="B17362" i="1"/>
  <c r="C17362" i="1"/>
  <c r="B17363" i="1"/>
  <c r="C17363" i="1"/>
  <c r="B17364" i="1"/>
  <c r="C17364" i="1"/>
  <c r="B17365" i="1"/>
  <c r="C17365" i="1"/>
  <c r="B17366" i="1"/>
  <c r="C17366" i="1"/>
  <c r="B17367" i="1"/>
  <c r="C17367" i="1"/>
  <c r="B17368" i="1"/>
  <c r="C17368" i="1"/>
  <c r="B17369" i="1"/>
  <c r="C17369" i="1"/>
  <c r="B17370" i="1"/>
  <c r="C17370" i="1"/>
  <c r="B17371" i="1"/>
  <c r="C17371" i="1"/>
  <c r="B17372" i="1"/>
  <c r="C17372" i="1"/>
  <c r="B17373" i="1"/>
  <c r="C17373" i="1"/>
  <c r="B17374" i="1"/>
  <c r="C17374" i="1"/>
  <c r="B17375" i="1"/>
  <c r="C17375" i="1"/>
  <c r="B17376" i="1"/>
  <c r="C17376" i="1"/>
  <c r="B17377" i="1"/>
  <c r="C17377" i="1"/>
  <c r="B17378" i="1"/>
  <c r="C17378" i="1"/>
  <c r="B17379" i="1"/>
  <c r="C17379" i="1"/>
  <c r="B17380" i="1"/>
  <c r="C17380" i="1"/>
  <c r="B17381" i="1"/>
  <c r="C17381" i="1"/>
  <c r="B17382" i="1"/>
  <c r="C17382" i="1"/>
  <c r="B17383" i="1"/>
  <c r="C17383" i="1"/>
  <c r="B17384" i="1"/>
  <c r="C17384" i="1"/>
  <c r="B17385" i="1"/>
  <c r="C17385" i="1"/>
  <c r="B17386" i="1"/>
  <c r="C17386" i="1"/>
  <c r="B17387" i="1"/>
  <c r="C17387" i="1"/>
  <c r="B17388" i="1"/>
  <c r="C17388" i="1"/>
  <c r="B17389" i="1"/>
  <c r="C17389" i="1"/>
  <c r="B17390" i="1"/>
  <c r="C17390" i="1"/>
  <c r="B17391" i="1"/>
  <c r="C17391" i="1"/>
  <c r="B17392" i="1"/>
  <c r="C17392" i="1"/>
  <c r="B17393" i="1"/>
  <c r="C17393" i="1"/>
  <c r="B17394" i="1"/>
  <c r="C17394" i="1"/>
  <c r="B17395" i="1"/>
  <c r="C17395" i="1"/>
  <c r="B17396" i="1"/>
  <c r="C17396" i="1"/>
  <c r="B17397" i="1"/>
  <c r="C17397" i="1"/>
  <c r="B17398" i="1"/>
  <c r="C17398" i="1"/>
  <c r="B17399" i="1"/>
  <c r="C17399" i="1"/>
  <c r="B17400" i="1"/>
  <c r="C17400" i="1"/>
  <c r="B17401" i="1"/>
  <c r="C17401" i="1"/>
  <c r="B17402" i="1"/>
  <c r="C17402" i="1"/>
  <c r="B17403" i="1"/>
  <c r="C17403" i="1"/>
  <c r="B17404" i="1"/>
  <c r="C17404" i="1"/>
  <c r="B17405" i="1"/>
  <c r="C17405" i="1"/>
  <c r="B17406" i="1"/>
  <c r="C17406" i="1"/>
  <c r="B17407" i="1"/>
  <c r="C17407" i="1"/>
  <c r="B17408" i="1"/>
  <c r="C17408" i="1"/>
  <c r="B17409" i="1"/>
  <c r="C17409" i="1"/>
  <c r="B17410" i="1"/>
  <c r="C17410" i="1"/>
  <c r="B17411" i="1"/>
  <c r="C17411" i="1"/>
  <c r="B17412" i="1"/>
  <c r="C17412" i="1"/>
  <c r="B17413" i="1"/>
  <c r="C17413" i="1"/>
  <c r="B17414" i="1"/>
  <c r="C17414" i="1"/>
  <c r="B17415" i="1"/>
  <c r="C17415" i="1"/>
  <c r="B17416" i="1"/>
  <c r="C17416" i="1"/>
  <c r="B17417" i="1"/>
  <c r="C17417" i="1"/>
  <c r="B17418" i="1"/>
  <c r="C17418" i="1"/>
  <c r="B17419" i="1"/>
  <c r="C17419" i="1"/>
  <c r="B17420" i="1"/>
  <c r="C17420" i="1"/>
  <c r="B17421" i="1"/>
  <c r="C17421" i="1"/>
  <c r="B17422" i="1"/>
  <c r="C17422" i="1"/>
  <c r="B17423" i="1"/>
  <c r="C17423" i="1"/>
  <c r="B17424" i="1"/>
  <c r="C17424" i="1"/>
  <c r="B17425" i="1"/>
  <c r="C17425" i="1"/>
  <c r="B17426" i="1"/>
  <c r="C17426" i="1"/>
  <c r="B17427" i="1"/>
  <c r="C17427" i="1"/>
  <c r="B17428" i="1"/>
  <c r="C17428" i="1"/>
  <c r="B17429" i="1"/>
  <c r="C17429" i="1"/>
  <c r="B17430" i="1"/>
  <c r="C17430" i="1"/>
  <c r="B17431" i="1"/>
  <c r="C17431" i="1"/>
  <c r="B17432" i="1"/>
  <c r="C17432" i="1"/>
  <c r="B17433" i="1"/>
  <c r="C17433" i="1"/>
  <c r="B17434" i="1"/>
  <c r="C17434" i="1"/>
  <c r="B17435" i="1"/>
  <c r="C17435" i="1"/>
  <c r="B17436" i="1"/>
  <c r="C17436" i="1"/>
  <c r="B17437" i="1"/>
  <c r="C17437" i="1"/>
  <c r="B17438" i="1"/>
  <c r="C17438" i="1"/>
  <c r="B17439" i="1"/>
  <c r="C17439" i="1"/>
  <c r="B17440" i="1"/>
  <c r="C17440" i="1"/>
  <c r="B17441" i="1"/>
  <c r="C17441" i="1"/>
  <c r="B17442" i="1"/>
  <c r="C17442" i="1"/>
  <c r="B17443" i="1"/>
  <c r="C17443" i="1"/>
  <c r="B17444" i="1"/>
  <c r="C17444" i="1"/>
  <c r="B17445" i="1"/>
  <c r="C17445" i="1"/>
  <c r="B17446" i="1"/>
  <c r="C17446" i="1"/>
  <c r="B17447" i="1"/>
  <c r="C17447" i="1"/>
  <c r="B17448" i="1"/>
  <c r="C17448" i="1"/>
  <c r="B17449" i="1"/>
  <c r="C17449" i="1"/>
  <c r="B17450" i="1"/>
  <c r="C17450" i="1"/>
  <c r="B17451" i="1"/>
  <c r="C17451" i="1"/>
  <c r="B17452" i="1"/>
  <c r="C17452" i="1"/>
  <c r="B17453" i="1"/>
  <c r="C17453" i="1"/>
  <c r="B17454" i="1"/>
  <c r="C17454" i="1"/>
  <c r="B17455" i="1"/>
  <c r="C17455" i="1"/>
  <c r="B17456" i="1"/>
  <c r="C17456" i="1"/>
  <c r="B17457" i="1"/>
  <c r="C17457" i="1"/>
  <c r="B17458" i="1"/>
  <c r="C17458" i="1"/>
  <c r="B17459" i="1"/>
  <c r="C17459" i="1"/>
  <c r="B17460" i="1"/>
  <c r="C17460" i="1"/>
  <c r="B17461" i="1"/>
  <c r="C17461" i="1"/>
  <c r="B17462" i="1"/>
  <c r="C17462" i="1"/>
  <c r="B17463" i="1"/>
  <c r="C17463" i="1"/>
  <c r="B17464" i="1"/>
  <c r="C17464" i="1"/>
  <c r="B17465" i="1"/>
  <c r="C17465" i="1"/>
  <c r="B17466" i="1"/>
  <c r="C17466" i="1"/>
  <c r="B17467" i="1"/>
  <c r="C17467" i="1"/>
  <c r="B17468" i="1"/>
  <c r="C17468" i="1"/>
  <c r="B17469" i="1"/>
  <c r="C17469" i="1"/>
  <c r="B17470" i="1"/>
  <c r="C17470" i="1"/>
  <c r="B17471" i="1"/>
  <c r="C17471" i="1"/>
  <c r="B17472" i="1"/>
  <c r="C17472" i="1"/>
  <c r="B17473" i="1"/>
  <c r="C17473" i="1"/>
  <c r="B17474" i="1"/>
  <c r="C17474" i="1"/>
  <c r="B17475" i="1"/>
  <c r="C17475" i="1"/>
  <c r="B17476" i="1"/>
  <c r="C17476" i="1"/>
  <c r="B17477" i="1"/>
  <c r="C17477" i="1"/>
  <c r="B17478" i="1"/>
  <c r="C17478" i="1"/>
  <c r="B17479" i="1"/>
  <c r="C17479" i="1"/>
  <c r="B17480" i="1"/>
  <c r="C17480" i="1"/>
  <c r="B17481" i="1"/>
  <c r="C17481" i="1"/>
  <c r="B17482" i="1"/>
  <c r="C17482" i="1"/>
  <c r="B17483" i="1"/>
  <c r="C17483" i="1"/>
  <c r="B17484" i="1"/>
  <c r="C17484" i="1"/>
  <c r="B17485" i="1"/>
  <c r="C17485" i="1"/>
  <c r="B17486" i="1"/>
  <c r="C17486" i="1"/>
  <c r="B17487" i="1"/>
  <c r="C17487" i="1"/>
  <c r="B17488" i="1"/>
  <c r="C17488" i="1"/>
  <c r="B17489" i="1"/>
  <c r="C17489" i="1"/>
  <c r="B17490" i="1"/>
  <c r="C17490" i="1"/>
  <c r="B17491" i="1"/>
  <c r="C17491" i="1"/>
  <c r="B17492" i="1"/>
  <c r="C17492" i="1"/>
  <c r="B17493" i="1"/>
  <c r="C17493" i="1"/>
  <c r="B17494" i="1"/>
  <c r="C17494" i="1"/>
  <c r="B17495" i="1"/>
  <c r="C17495" i="1"/>
  <c r="B17496" i="1"/>
  <c r="C17496" i="1"/>
  <c r="B17497" i="1"/>
  <c r="C17497" i="1"/>
  <c r="B17498" i="1"/>
  <c r="C17498" i="1"/>
  <c r="B17499" i="1"/>
  <c r="C17499" i="1"/>
  <c r="B17500" i="1"/>
  <c r="C17500" i="1"/>
  <c r="B17501" i="1"/>
  <c r="C17501" i="1"/>
  <c r="B17502" i="1"/>
  <c r="C17502" i="1"/>
  <c r="B17503" i="1"/>
  <c r="C17503" i="1"/>
  <c r="B17504" i="1"/>
  <c r="C17504" i="1"/>
  <c r="B17505" i="1"/>
  <c r="C17505" i="1"/>
  <c r="B17506" i="1"/>
  <c r="C17506" i="1"/>
  <c r="B17507" i="1"/>
  <c r="C17507" i="1"/>
  <c r="B17508" i="1"/>
  <c r="C17508" i="1"/>
  <c r="B17509" i="1"/>
  <c r="C17509" i="1"/>
  <c r="B17510" i="1"/>
  <c r="C17510" i="1"/>
  <c r="B17511" i="1"/>
  <c r="C17511" i="1"/>
  <c r="B17512" i="1"/>
  <c r="C17512" i="1"/>
  <c r="B17513" i="1"/>
  <c r="C17513" i="1"/>
  <c r="B17514" i="1"/>
  <c r="C17514" i="1"/>
  <c r="B17515" i="1"/>
  <c r="C17515" i="1"/>
  <c r="B17516" i="1"/>
  <c r="C17516" i="1"/>
  <c r="B17517" i="1"/>
  <c r="C17517" i="1"/>
  <c r="B17518" i="1"/>
  <c r="C17518" i="1"/>
  <c r="B17519" i="1"/>
  <c r="C17519" i="1"/>
  <c r="B17520" i="1"/>
  <c r="C17520" i="1"/>
  <c r="B17521" i="1"/>
  <c r="C17521" i="1"/>
  <c r="B17522" i="1"/>
  <c r="C17522" i="1"/>
  <c r="B17523" i="1"/>
  <c r="C17523" i="1"/>
  <c r="B17524" i="1"/>
  <c r="C17524" i="1"/>
  <c r="B17525" i="1"/>
  <c r="C17525" i="1"/>
  <c r="B17526" i="1"/>
  <c r="C17526" i="1"/>
  <c r="B17527" i="1"/>
  <c r="C17527" i="1"/>
  <c r="B17528" i="1"/>
  <c r="C17528" i="1"/>
  <c r="B17529" i="1"/>
  <c r="C17529" i="1"/>
  <c r="B17530" i="1"/>
  <c r="C17530" i="1"/>
  <c r="B17531" i="1"/>
  <c r="C17531" i="1"/>
  <c r="B17532" i="1"/>
  <c r="C17532" i="1"/>
  <c r="B17533" i="1"/>
  <c r="C17533" i="1"/>
  <c r="B17534" i="1"/>
  <c r="C17534" i="1"/>
  <c r="B17535" i="1"/>
  <c r="C17535" i="1"/>
  <c r="B17536" i="1"/>
  <c r="C17536" i="1"/>
  <c r="B17537" i="1"/>
  <c r="C17537" i="1"/>
  <c r="B17538" i="1"/>
  <c r="C17538" i="1"/>
  <c r="B17539" i="1"/>
  <c r="C17539" i="1"/>
  <c r="B17540" i="1"/>
  <c r="C17540" i="1"/>
  <c r="B17541" i="1"/>
  <c r="C17541" i="1"/>
  <c r="B17542" i="1"/>
  <c r="C17542" i="1"/>
  <c r="B17543" i="1"/>
  <c r="C17543" i="1"/>
  <c r="B17544" i="1"/>
  <c r="C17544" i="1"/>
  <c r="B17545" i="1"/>
  <c r="C17545" i="1"/>
  <c r="B17546" i="1"/>
  <c r="C17546" i="1"/>
  <c r="B17547" i="1"/>
  <c r="C17547" i="1"/>
  <c r="B17548" i="1"/>
  <c r="C17548" i="1"/>
  <c r="B17549" i="1"/>
  <c r="C17549" i="1"/>
  <c r="B17550" i="1"/>
  <c r="C17550" i="1"/>
  <c r="B17551" i="1"/>
  <c r="C17551" i="1"/>
  <c r="B17552" i="1"/>
  <c r="C17552" i="1"/>
  <c r="B17553" i="1"/>
  <c r="C17553" i="1"/>
  <c r="B17554" i="1"/>
  <c r="C17554" i="1"/>
  <c r="B17555" i="1"/>
  <c r="C17555" i="1"/>
  <c r="B17556" i="1"/>
  <c r="C17556" i="1"/>
  <c r="B17557" i="1"/>
  <c r="C17557" i="1"/>
  <c r="B17558" i="1"/>
  <c r="C17558" i="1"/>
  <c r="B17559" i="1"/>
  <c r="C17559" i="1"/>
  <c r="B17560" i="1"/>
  <c r="C17560" i="1"/>
  <c r="B17561" i="1"/>
  <c r="C17561" i="1"/>
  <c r="B17562" i="1"/>
  <c r="C17562" i="1"/>
  <c r="B17563" i="1"/>
  <c r="C17563" i="1"/>
  <c r="B17564" i="1"/>
  <c r="C17564" i="1"/>
  <c r="B17565" i="1"/>
  <c r="C17565" i="1"/>
  <c r="B17566" i="1"/>
  <c r="C17566" i="1"/>
  <c r="B17567" i="1"/>
  <c r="C17567" i="1"/>
  <c r="B17568" i="1"/>
  <c r="C17568" i="1"/>
  <c r="B17569" i="1"/>
  <c r="C17569" i="1"/>
  <c r="B17570" i="1"/>
  <c r="C17570" i="1"/>
  <c r="B17571" i="1"/>
  <c r="C17571" i="1"/>
  <c r="B17572" i="1"/>
  <c r="C17572" i="1"/>
  <c r="B17573" i="1"/>
  <c r="C17573" i="1"/>
  <c r="B17574" i="1"/>
  <c r="C17574" i="1"/>
  <c r="B17575" i="1"/>
  <c r="C17575" i="1"/>
  <c r="B17576" i="1"/>
  <c r="C17576" i="1"/>
  <c r="B17577" i="1"/>
  <c r="C17577" i="1"/>
  <c r="B17578" i="1"/>
  <c r="C17578" i="1"/>
  <c r="B17579" i="1"/>
  <c r="C17579" i="1"/>
  <c r="B17580" i="1"/>
  <c r="C17580" i="1"/>
  <c r="B17581" i="1"/>
  <c r="C17581" i="1"/>
  <c r="B17582" i="1"/>
  <c r="C17582" i="1"/>
  <c r="B17583" i="1"/>
  <c r="C17583" i="1"/>
  <c r="B17584" i="1"/>
  <c r="C17584" i="1"/>
  <c r="B17585" i="1"/>
  <c r="C17585" i="1"/>
  <c r="B17586" i="1"/>
  <c r="C17586" i="1"/>
  <c r="B17587" i="1"/>
  <c r="C17587" i="1"/>
  <c r="B17588" i="1"/>
  <c r="C17588" i="1"/>
  <c r="B17589" i="1"/>
  <c r="C17589" i="1"/>
  <c r="B17590" i="1"/>
  <c r="C17590" i="1"/>
  <c r="B17591" i="1"/>
  <c r="C17591" i="1"/>
  <c r="B17592" i="1"/>
  <c r="C17592" i="1"/>
  <c r="B17593" i="1"/>
  <c r="C17593" i="1"/>
  <c r="B17594" i="1"/>
  <c r="C17594" i="1"/>
  <c r="B17595" i="1"/>
  <c r="C17595" i="1"/>
  <c r="B17596" i="1"/>
  <c r="C17596" i="1"/>
  <c r="B17597" i="1"/>
  <c r="C17597" i="1"/>
  <c r="B17598" i="1"/>
  <c r="C17598" i="1"/>
  <c r="B17599" i="1"/>
  <c r="C17599" i="1"/>
  <c r="B17600" i="1"/>
  <c r="C17600" i="1"/>
  <c r="B17601" i="1"/>
  <c r="C17601" i="1"/>
  <c r="B17602" i="1"/>
  <c r="C17602" i="1"/>
  <c r="B17603" i="1"/>
  <c r="C17603" i="1"/>
  <c r="B17604" i="1"/>
  <c r="C17604" i="1"/>
  <c r="B17605" i="1"/>
  <c r="C17605" i="1"/>
  <c r="B17606" i="1"/>
  <c r="C17606" i="1"/>
  <c r="B17607" i="1"/>
  <c r="C17607" i="1"/>
  <c r="B17608" i="1"/>
  <c r="C17608" i="1"/>
  <c r="B17609" i="1"/>
  <c r="C17609" i="1"/>
  <c r="B17610" i="1"/>
  <c r="C17610" i="1"/>
  <c r="B17611" i="1"/>
  <c r="C17611" i="1"/>
  <c r="B17612" i="1"/>
  <c r="C17612" i="1"/>
  <c r="B17613" i="1"/>
  <c r="C17613" i="1"/>
  <c r="B17614" i="1"/>
  <c r="C17614" i="1"/>
  <c r="B17615" i="1"/>
  <c r="C17615" i="1"/>
  <c r="B17616" i="1"/>
  <c r="C17616" i="1"/>
  <c r="B17617" i="1"/>
  <c r="C17617" i="1"/>
  <c r="B17618" i="1"/>
  <c r="C17618" i="1"/>
  <c r="B17619" i="1"/>
  <c r="C17619" i="1"/>
  <c r="B17620" i="1"/>
  <c r="C17620" i="1"/>
  <c r="B17621" i="1"/>
  <c r="C17621" i="1"/>
  <c r="B17622" i="1"/>
  <c r="C17622" i="1"/>
  <c r="B17623" i="1"/>
  <c r="C17623" i="1"/>
  <c r="B17624" i="1"/>
  <c r="C17624" i="1"/>
  <c r="B17625" i="1"/>
  <c r="C17625" i="1"/>
  <c r="B17626" i="1"/>
  <c r="C17626" i="1"/>
  <c r="B17627" i="1"/>
  <c r="C17627" i="1"/>
  <c r="B17628" i="1"/>
  <c r="C17628" i="1"/>
  <c r="B17629" i="1"/>
  <c r="C17629" i="1"/>
  <c r="B17630" i="1"/>
  <c r="C17630" i="1"/>
  <c r="B17631" i="1"/>
  <c r="C17631" i="1"/>
  <c r="B17632" i="1"/>
  <c r="C17632" i="1"/>
  <c r="B17633" i="1"/>
  <c r="C17633" i="1"/>
  <c r="B17634" i="1"/>
  <c r="C17634" i="1"/>
  <c r="B17635" i="1"/>
  <c r="C17635" i="1"/>
  <c r="B17636" i="1"/>
  <c r="C17636" i="1"/>
  <c r="B17637" i="1"/>
  <c r="C17637" i="1"/>
  <c r="B17638" i="1"/>
  <c r="C17638" i="1"/>
  <c r="B17639" i="1"/>
  <c r="C17639" i="1"/>
  <c r="B17640" i="1"/>
  <c r="C17640" i="1"/>
  <c r="B17641" i="1"/>
  <c r="C17641" i="1"/>
  <c r="B17642" i="1"/>
  <c r="C17642" i="1"/>
  <c r="B17643" i="1"/>
  <c r="C17643" i="1"/>
  <c r="B17644" i="1"/>
  <c r="C17644" i="1"/>
  <c r="B17645" i="1"/>
  <c r="C17645" i="1"/>
  <c r="B17646" i="1"/>
  <c r="C17646" i="1"/>
  <c r="B17647" i="1"/>
  <c r="C17647" i="1"/>
  <c r="B17648" i="1"/>
  <c r="C17648" i="1"/>
  <c r="B17649" i="1"/>
  <c r="C17649" i="1"/>
  <c r="B17650" i="1"/>
  <c r="C17650" i="1"/>
  <c r="B17651" i="1"/>
  <c r="C17651" i="1"/>
  <c r="B17652" i="1"/>
  <c r="C17652" i="1"/>
  <c r="B17653" i="1"/>
  <c r="C17653" i="1"/>
  <c r="B17654" i="1"/>
  <c r="C17654" i="1"/>
  <c r="B17655" i="1"/>
  <c r="C17655" i="1"/>
  <c r="B17656" i="1"/>
  <c r="C17656" i="1"/>
  <c r="B17657" i="1"/>
  <c r="C17657" i="1"/>
  <c r="B17658" i="1"/>
  <c r="C17658" i="1"/>
  <c r="B17659" i="1"/>
  <c r="C17659" i="1"/>
  <c r="B17660" i="1"/>
  <c r="C17660" i="1"/>
  <c r="B17661" i="1"/>
  <c r="C17661" i="1"/>
  <c r="B17662" i="1"/>
  <c r="C17662" i="1"/>
  <c r="B17663" i="1"/>
  <c r="C17663" i="1"/>
  <c r="B17664" i="1"/>
  <c r="C17664" i="1"/>
  <c r="B17665" i="1"/>
  <c r="C17665" i="1"/>
  <c r="B17666" i="1"/>
  <c r="C17666" i="1"/>
  <c r="B17667" i="1"/>
  <c r="C17667" i="1"/>
  <c r="B17668" i="1"/>
  <c r="C17668" i="1"/>
  <c r="B17669" i="1"/>
  <c r="C17669" i="1"/>
  <c r="B17670" i="1"/>
  <c r="C17670" i="1"/>
  <c r="B17671" i="1"/>
  <c r="C17671" i="1"/>
  <c r="B17672" i="1"/>
  <c r="C17672" i="1"/>
  <c r="B17673" i="1"/>
  <c r="C17673" i="1"/>
  <c r="B17674" i="1"/>
  <c r="C17674" i="1"/>
  <c r="B17675" i="1"/>
  <c r="C17675" i="1"/>
  <c r="B17676" i="1"/>
  <c r="C17676" i="1"/>
  <c r="B17677" i="1"/>
  <c r="C17677" i="1"/>
  <c r="B17678" i="1"/>
  <c r="C17678" i="1"/>
  <c r="B17679" i="1"/>
  <c r="C17679" i="1"/>
  <c r="B17680" i="1"/>
  <c r="C17680" i="1"/>
  <c r="B17681" i="1"/>
  <c r="C17681" i="1"/>
  <c r="B17682" i="1"/>
  <c r="C17682" i="1"/>
  <c r="B17683" i="1"/>
  <c r="C17683" i="1"/>
  <c r="B17684" i="1"/>
  <c r="C17684" i="1"/>
  <c r="B17685" i="1"/>
  <c r="C17685" i="1"/>
  <c r="B17686" i="1"/>
  <c r="C17686" i="1"/>
  <c r="B17687" i="1"/>
  <c r="C17687" i="1"/>
  <c r="B17688" i="1"/>
  <c r="C17688" i="1"/>
  <c r="B17689" i="1"/>
  <c r="C17689" i="1"/>
  <c r="B17690" i="1"/>
  <c r="C17690" i="1"/>
  <c r="B17691" i="1"/>
  <c r="C17691" i="1"/>
  <c r="B17692" i="1"/>
  <c r="C17692" i="1"/>
  <c r="B17693" i="1"/>
  <c r="C17693" i="1"/>
  <c r="B17694" i="1"/>
  <c r="C17694" i="1"/>
  <c r="B17695" i="1"/>
  <c r="C17695" i="1"/>
  <c r="B17696" i="1"/>
  <c r="C17696" i="1"/>
  <c r="B17697" i="1"/>
  <c r="C17697" i="1"/>
  <c r="B17698" i="1"/>
  <c r="C17698" i="1"/>
  <c r="B17699" i="1"/>
  <c r="C17699" i="1"/>
  <c r="B17700" i="1"/>
  <c r="C17700" i="1"/>
  <c r="B17701" i="1"/>
  <c r="C17701" i="1"/>
  <c r="B17702" i="1"/>
  <c r="C17702" i="1"/>
  <c r="B17703" i="1"/>
  <c r="C17703" i="1"/>
  <c r="B17704" i="1"/>
  <c r="C17704" i="1"/>
  <c r="B17705" i="1"/>
  <c r="C17705" i="1"/>
  <c r="B17706" i="1"/>
  <c r="C17706" i="1"/>
  <c r="B17707" i="1"/>
  <c r="C17707" i="1"/>
  <c r="B17708" i="1"/>
  <c r="C17708" i="1"/>
  <c r="B17709" i="1"/>
  <c r="C17709" i="1"/>
  <c r="B17710" i="1"/>
  <c r="C17710" i="1"/>
  <c r="B17711" i="1"/>
  <c r="C17711" i="1"/>
  <c r="B17712" i="1"/>
  <c r="C17712" i="1"/>
  <c r="B17713" i="1"/>
  <c r="C17713" i="1"/>
  <c r="B17714" i="1"/>
  <c r="C17714" i="1"/>
  <c r="B17715" i="1"/>
  <c r="C17715" i="1"/>
  <c r="B17716" i="1"/>
  <c r="C17716" i="1"/>
  <c r="B17717" i="1"/>
  <c r="C17717" i="1"/>
  <c r="B17718" i="1"/>
  <c r="C17718" i="1"/>
  <c r="B17719" i="1"/>
  <c r="C17719" i="1"/>
  <c r="B17720" i="1"/>
  <c r="C17720" i="1"/>
  <c r="B17721" i="1"/>
  <c r="C17721" i="1"/>
  <c r="B17722" i="1"/>
  <c r="C17722" i="1"/>
  <c r="B17723" i="1"/>
  <c r="C17723" i="1"/>
  <c r="B17724" i="1"/>
  <c r="C17724" i="1"/>
  <c r="B17725" i="1"/>
  <c r="C17725" i="1"/>
  <c r="B17726" i="1"/>
  <c r="C17726" i="1"/>
  <c r="B17727" i="1"/>
  <c r="C17727" i="1"/>
  <c r="B17728" i="1"/>
  <c r="C17728" i="1"/>
  <c r="B17729" i="1"/>
  <c r="C17729" i="1"/>
  <c r="B17730" i="1"/>
  <c r="C17730" i="1"/>
  <c r="B17731" i="1"/>
  <c r="C17731" i="1"/>
  <c r="B17732" i="1"/>
  <c r="C17732" i="1"/>
  <c r="B17733" i="1"/>
  <c r="C17733" i="1"/>
  <c r="B17734" i="1"/>
  <c r="C17734" i="1"/>
  <c r="B17735" i="1"/>
  <c r="C17735" i="1"/>
  <c r="B17736" i="1"/>
  <c r="C17736" i="1"/>
  <c r="B17737" i="1"/>
  <c r="C17737" i="1"/>
  <c r="B17738" i="1"/>
  <c r="C17738" i="1"/>
  <c r="B17739" i="1"/>
  <c r="C17739" i="1"/>
  <c r="B17740" i="1"/>
  <c r="C17740" i="1"/>
  <c r="B17741" i="1"/>
  <c r="C17741" i="1"/>
  <c r="B17742" i="1"/>
  <c r="C17742" i="1"/>
  <c r="B17743" i="1"/>
  <c r="C17743" i="1"/>
  <c r="B17744" i="1"/>
  <c r="C17744" i="1"/>
  <c r="B17745" i="1"/>
  <c r="C17745" i="1"/>
  <c r="B17746" i="1"/>
  <c r="C17746" i="1"/>
  <c r="B17747" i="1"/>
  <c r="C17747" i="1"/>
  <c r="B17748" i="1"/>
  <c r="C17748" i="1"/>
  <c r="B17749" i="1"/>
  <c r="C17749" i="1"/>
  <c r="B17750" i="1"/>
  <c r="C17750" i="1"/>
  <c r="B17751" i="1"/>
  <c r="C17751" i="1"/>
  <c r="B17752" i="1"/>
  <c r="C17752" i="1"/>
  <c r="B17753" i="1"/>
  <c r="C17753" i="1"/>
  <c r="B17754" i="1"/>
  <c r="C17754" i="1"/>
  <c r="B17755" i="1"/>
  <c r="C17755" i="1"/>
  <c r="B17756" i="1"/>
  <c r="C17756" i="1"/>
  <c r="B17757" i="1"/>
  <c r="C17757" i="1"/>
  <c r="B17758" i="1"/>
  <c r="C17758" i="1"/>
  <c r="B17759" i="1"/>
  <c r="C17759" i="1"/>
  <c r="B17760" i="1"/>
  <c r="C17760" i="1"/>
  <c r="B17761" i="1"/>
  <c r="C17761" i="1"/>
  <c r="B17762" i="1"/>
  <c r="C17762" i="1"/>
  <c r="B17763" i="1"/>
  <c r="C17763" i="1"/>
  <c r="B17764" i="1"/>
  <c r="C17764" i="1"/>
  <c r="B17765" i="1"/>
  <c r="C17765" i="1"/>
  <c r="B17766" i="1"/>
  <c r="C17766" i="1"/>
  <c r="B17767" i="1"/>
  <c r="C17767" i="1"/>
  <c r="B17768" i="1"/>
  <c r="C17768" i="1"/>
  <c r="B17769" i="1"/>
  <c r="C17769" i="1"/>
  <c r="B17770" i="1"/>
  <c r="C17770" i="1"/>
  <c r="B17771" i="1"/>
  <c r="C17771" i="1"/>
  <c r="B17772" i="1"/>
  <c r="C17772" i="1"/>
  <c r="B17773" i="1"/>
  <c r="C17773" i="1"/>
  <c r="B17774" i="1"/>
  <c r="C17774" i="1"/>
  <c r="B17775" i="1"/>
  <c r="C17775" i="1"/>
  <c r="B17776" i="1"/>
  <c r="C17776" i="1"/>
  <c r="B17777" i="1"/>
  <c r="C17777" i="1"/>
  <c r="B17778" i="1"/>
  <c r="C17778" i="1"/>
  <c r="B17779" i="1"/>
  <c r="C17779" i="1"/>
  <c r="B17780" i="1"/>
  <c r="C17780" i="1"/>
  <c r="B17781" i="1"/>
  <c r="C17781" i="1"/>
  <c r="B17782" i="1"/>
  <c r="C17782" i="1"/>
  <c r="B17783" i="1"/>
  <c r="C17783" i="1"/>
  <c r="B17784" i="1"/>
  <c r="C17784" i="1"/>
  <c r="B17785" i="1"/>
  <c r="C17785" i="1"/>
  <c r="B17786" i="1"/>
  <c r="C17786" i="1"/>
  <c r="B17787" i="1"/>
  <c r="C17787" i="1"/>
  <c r="B17788" i="1"/>
  <c r="C17788" i="1"/>
  <c r="B17789" i="1"/>
  <c r="C17789" i="1"/>
  <c r="B17790" i="1"/>
  <c r="C17790" i="1"/>
  <c r="B17791" i="1"/>
  <c r="C17791" i="1"/>
  <c r="B17792" i="1"/>
  <c r="C17792" i="1"/>
  <c r="B17793" i="1"/>
  <c r="C17793" i="1"/>
  <c r="B17794" i="1"/>
  <c r="C17794" i="1"/>
  <c r="B17795" i="1"/>
  <c r="C17795" i="1"/>
  <c r="B17796" i="1"/>
  <c r="C17796" i="1"/>
  <c r="B17797" i="1"/>
  <c r="C17797" i="1"/>
  <c r="B17798" i="1"/>
  <c r="C17798" i="1"/>
  <c r="B17799" i="1"/>
  <c r="C17799" i="1"/>
  <c r="B17800" i="1"/>
  <c r="C17800" i="1"/>
  <c r="B17801" i="1"/>
  <c r="C17801" i="1"/>
  <c r="B17802" i="1"/>
  <c r="C17802" i="1"/>
  <c r="B17803" i="1"/>
  <c r="C17803" i="1"/>
  <c r="B17804" i="1"/>
  <c r="C17804" i="1"/>
  <c r="B17805" i="1"/>
  <c r="C17805" i="1"/>
  <c r="B17806" i="1"/>
  <c r="C17806" i="1"/>
  <c r="B17807" i="1"/>
  <c r="C17807" i="1"/>
  <c r="B17808" i="1"/>
  <c r="C17808" i="1"/>
  <c r="B17809" i="1"/>
  <c r="C17809" i="1"/>
  <c r="B17810" i="1"/>
  <c r="C17810" i="1"/>
  <c r="B17811" i="1"/>
  <c r="C17811" i="1"/>
  <c r="B17812" i="1"/>
  <c r="C17812" i="1"/>
  <c r="B17813" i="1"/>
  <c r="C17813" i="1"/>
  <c r="B17814" i="1"/>
  <c r="C17814" i="1"/>
  <c r="B17815" i="1"/>
  <c r="C17815" i="1"/>
  <c r="B17816" i="1"/>
  <c r="C17816" i="1"/>
  <c r="B17817" i="1"/>
  <c r="C17817" i="1"/>
  <c r="B17818" i="1"/>
  <c r="C17818" i="1"/>
  <c r="B17819" i="1"/>
  <c r="C17819" i="1"/>
  <c r="B17820" i="1"/>
  <c r="C17820" i="1"/>
  <c r="B17821" i="1"/>
  <c r="C17821" i="1"/>
  <c r="B17822" i="1"/>
  <c r="C17822" i="1"/>
  <c r="B17823" i="1"/>
  <c r="C17823" i="1"/>
  <c r="B17824" i="1"/>
  <c r="C17824" i="1"/>
  <c r="B17825" i="1"/>
  <c r="C17825" i="1"/>
  <c r="B17826" i="1"/>
  <c r="C17826" i="1"/>
  <c r="B17827" i="1"/>
  <c r="C17827" i="1"/>
  <c r="B17828" i="1"/>
  <c r="C17828" i="1"/>
  <c r="B17829" i="1"/>
  <c r="C17829" i="1"/>
  <c r="B17830" i="1"/>
  <c r="C17830" i="1"/>
  <c r="B17831" i="1"/>
  <c r="C17831" i="1"/>
  <c r="B17832" i="1"/>
  <c r="C17832" i="1"/>
  <c r="B17833" i="1"/>
  <c r="C17833" i="1"/>
  <c r="B17834" i="1"/>
  <c r="C17834" i="1"/>
  <c r="B17835" i="1"/>
  <c r="C17835" i="1"/>
  <c r="B17836" i="1"/>
  <c r="C17836" i="1"/>
  <c r="B17837" i="1"/>
  <c r="C17837" i="1"/>
  <c r="B17838" i="1"/>
  <c r="C17838" i="1"/>
  <c r="B17839" i="1"/>
  <c r="C17839" i="1"/>
  <c r="B17840" i="1"/>
  <c r="C17840" i="1"/>
  <c r="B17841" i="1"/>
  <c r="C17841" i="1"/>
  <c r="B17842" i="1"/>
  <c r="C17842" i="1"/>
  <c r="B17843" i="1"/>
  <c r="C17843" i="1"/>
  <c r="B17844" i="1"/>
  <c r="C17844" i="1"/>
  <c r="B17845" i="1"/>
  <c r="C17845" i="1"/>
  <c r="B17846" i="1"/>
  <c r="C17846" i="1"/>
  <c r="B17847" i="1"/>
  <c r="C17847" i="1"/>
  <c r="B17848" i="1"/>
  <c r="C17848" i="1"/>
  <c r="B17849" i="1"/>
  <c r="C17849" i="1"/>
  <c r="B17850" i="1"/>
  <c r="C17850" i="1"/>
  <c r="B17851" i="1"/>
  <c r="C17851" i="1"/>
  <c r="B17852" i="1"/>
  <c r="C17852" i="1"/>
  <c r="B17853" i="1"/>
  <c r="C17853" i="1"/>
  <c r="B17854" i="1"/>
  <c r="C17854" i="1"/>
  <c r="B17855" i="1"/>
  <c r="C17855" i="1"/>
  <c r="B17856" i="1"/>
  <c r="C17856" i="1"/>
  <c r="B17857" i="1"/>
  <c r="C17857" i="1"/>
  <c r="B17858" i="1"/>
  <c r="C17858" i="1"/>
  <c r="B17859" i="1"/>
  <c r="C17859" i="1"/>
  <c r="B17860" i="1"/>
  <c r="C17860" i="1"/>
  <c r="B17861" i="1"/>
  <c r="C17861" i="1"/>
  <c r="B17862" i="1"/>
  <c r="C17862" i="1"/>
  <c r="B17863" i="1"/>
  <c r="C17863" i="1"/>
  <c r="B17864" i="1"/>
  <c r="C17864" i="1"/>
  <c r="B17865" i="1"/>
  <c r="C17865" i="1"/>
  <c r="B17866" i="1"/>
  <c r="C17866" i="1"/>
  <c r="B17867" i="1"/>
  <c r="C17867" i="1"/>
  <c r="B17868" i="1"/>
  <c r="C17868" i="1"/>
  <c r="B17869" i="1"/>
  <c r="C17869" i="1"/>
  <c r="B17870" i="1"/>
  <c r="C17870" i="1"/>
  <c r="B17871" i="1"/>
  <c r="C17871" i="1"/>
  <c r="B17872" i="1"/>
  <c r="C17872" i="1"/>
  <c r="B17873" i="1"/>
  <c r="C17873" i="1"/>
  <c r="B17874" i="1"/>
  <c r="C17874" i="1"/>
  <c r="B17875" i="1"/>
  <c r="C17875" i="1"/>
  <c r="B17876" i="1"/>
  <c r="C17876" i="1"/>
  <c r="B17877" i="1"/>
  <c r="C17877" i="1"/>
  <c r="B17878" i="1"/>
  <c r="C17878" i="1"/>
  <c r="B17879" i="1"/>
  <c r="C17879" i="1"/>
  <c r="B17880" i="1"/>
  <c r="C17880" i="1"/>
  <c r="B17881" i="1"/>
  <c r="C17881" i="1"/>
  <c r="B17882" i="1"/>
  <c r="C17882" i="1"/>
  <c r="B17883" i="1"/>
  <c r="C17883" i="1"/>
  <c r="B17884" i="1"/>
  <c r="C17884" i="1"/>
  <c r="B17885" i="1"/>
  <c r="C17885" i="1"/>
  <c r="B17886" i="1"/>
  <c r="C17886" i="1"/>
  <c r="B17887" i="1"/>
  <c r="C17887" i="1"/>
  <c r="B17888" i="1"/>
  <c r="C17888" i="1"/>
  <c r="B17889" i="1"/>
  <c r="C17889" i="1"/>
  <c r="B17890" i="1"/>
  <c r="C17890" i="1"/>
  <c r="B17891" i="1"/>
  <c r="C17891" i="1"/>
  <c r="B17892" i="1"/>
  <c r="C17892" i="1"/>
  <c r="B17893" i="1"/>
  <c r="C17893" i="1"/>
  <c r="B17894" i="1"/>
  <c r="C17894" i="1"/>
  <c r="B17895" i="1"/>
  <c r="C17895" i="1"/>
  <c r="B17896" i="1"/>
  <c r="C17896" i="1"/>
  <c r="B17897" i="1"/>
  <c r="C17897" i="1"/>
  <c r="B17898" i="1"/>
  <c r="C17898" i="1"/>
  <c r="B17899" i="1"/>
  <c r="C17899" i="1"/>
  <c r="B17900" i="1"/>
  <c r="C17900" i="1"/>
  <c r="B17901" i="1"/>
  <c r="C17901" i="1"/>
  <c r="B17902" i="1"/>
  <c r="C17902" i="1"/>
  <c r="B17903" i="1"/>
  <c r="C17903" i="1"/>
  <c r="B17904" i="1"/>
  <c r="C17904" i="1"/>
  <c r="B17905" i="1"/>
  <c r="C17905" i="1"/>
  <c r="B17906" i="1"/>
  <c r="C17906" i="1"/>
  <c r="B17907" i="1"/>
  <c r="C17907" i="1"/>
  <c r="B17908" i="1"/>
  <c r="C17908" i="1"/>
  <c r="B17909" i="1"/>
  <c r="C17909" i="1"/>
  <c r="B17910" i="1"/>
  <c r="C17910" i="1"/>
  <c r="B17911" i="1"/>
  <c r="C17911" i="1"/>
  <c r="B17912" i="1"/>
  <c r="C17912" i="1"/>
  <c r="B17913" i="1"/>
  <c r="C17913" i="1"/>
  <c r="B17914" i="1"/>
  <c r="C17914" i="1"/>
  <c r="B17915" i="1"/>
  <c r="C17915" i="1"/>
  <c r="B17916" i="1"/>
  <c r="C17916" i="1"/>
  <c r="B17917" i="1"/>
  <c r="C17917" i="1"/>
  <c r="B17918" i="1"/>
  <c r="C17918" i="1"/>
  <c r="B17919" i="1"/>
  <c r="C17919" i="1"/>
  <c r="B17920" i="1"/>
  <c r="C17920" i="1"/>
  <c r="B17921" i="1"/>
  <c r="C17921" i="1"/>
  <c r="B17922" i="1"/>
  <c r="C17922" i="1"/>
  <c r="B17923" i="1"/>
  <c r="C17923" i="1"/>
  <c r="B17924" i="1"/>
  <c r="C17924" i="1"/>
  <c r="B17925" i="1"/>
  <c r="C17925" i="1"/>
  <c r="B17926" i="1"/>
  <c r="C17926" i="1"/>
  <c r="B17927" i="1"/>
  <c r="C17927" i="1"/>
  <c r="B17928" i="1"/>
  <c r="C17928" i="1"/>
  <c r="B17929" i="1"/>
  <c r="C17929" i="1"/>
  <c r="B17930" i="1"/>
  <c r="C17930" i="1"/>
  <c r="B17931" i="1"/>
  <c r="C17931" i="1"/>
  <c r="B17932" i="1"/>
  <c r="C17932" i="1"/>
  <c r="B17933" i="1"/>
  <c r="C17933" i="1"/>
  <c r="B17934" i="1"/>
  <c r="C17934" i="1"/>
  <c r="B17935" i="1"/>
  <c r="C17935" i="1"/>
  <c r="B17936" i="1"/>
  <c r="C17936" i="1"/>
  <c r="B17937" i="1"/>
  <c r="C17937" i="1"/>
  <c r="B17938" i="1"/>
  <c r="C17938" i="1"/>
  <c r="B17939" i="1"/>
  <c r="C17939" i="1"/>
  <c r="B17940" i="1"/>
  <c r="C17940" i="1"/>
  <c r="B17941" i="1"/>
  <c r="C17941" i="1"/>
  <c r="B17942" i="1"/>
  <c r="C17942" i="1"/>
  <c r="B17943" i="1"/>
  <c r="C17943" i="1"/>
  <c r="B17944" i="1"/>
  <c r="C17944" i="1"/>
  <c r="B17945" i="1"/>
  <c r="C17945" i="1"/>
  <c r="B17946" i="1"/>
  <c r="C17946" i="1"/>
  <c r="B17947" i="1"/>
  <c r="C17947" i="1"/>
  <c r="B17948" i="1"/>
  <c r="C17948" i="1"/>
  <c r="B17949" i="1"/>
  <c r="C17949" i="1"/>
  <c r="B17950" i="1"/>
  <c r="C17950" i="1"/>
  <c r="B17951" i="1"/>
  <c r="C17951" i="1"/>
  <c r="B17952" i="1"/>
  <c r="C17952" i="1"/>
  <c r="B17953" i="1"/>
  <c r="C17953" i="1"/>
  <c r="B17954" i="1"/>
  <c r="C17954" i="1"/>
  <c r="B17955" i="1"/>
  <c r="C17955" i="1"/>
  <c r="B17956" i="1"/>
  <c r="C17956" i="1"/>
  <c r="B17957" i="1"/>
  <c r="C17957" i="1"/>
  <c r="B17958" i="1"/>
  <c r="C17958" i="1"/>
  <c r="B17959" i="1"/>
  <c r="C17959" i="1"/>
  <c r="B17960" i="1"/>
  <c r="C17960" i="1"/>
  <c r="B17961" i="1"/>
  <c r="C17961" i="1"/>
  <c r="B17962" i="1"/>
  <c r="C17962" i="1"/>
  <c r="B17963" i="1"/>
  <c r="C17963" i="1"/>
  <c r="B17964" i="1"/>
  <c r="C17964" i="1"/>
  <c r="B17965" i="1"/>
  <c r="C17965" i="1"/>
  <c r="B17966" i="1"/>
  <c r="C17966" i="1"/>
  <c r="B17967" i="1"/>
  <c r="C17967" i="1"/>
  <c r="B17968" i="1"/>
  <c r="C17968" i="1"/>
  <c r="B17969" i="1"/>
  <c r="C17969" i="1"/>
  <c r="B17970" i="1"/>
  <c r="C17970" i="1"/>
  <c r="B17971" i="1"/>
  <c r="C17971" i="1"/>
  <c r="B17972" i="1"/>
  <c r="C17972" i="1"/>
  <c r="B17973" i="1"/>
  <c r="C17973" i="1"/>
  <c r="B17974" i="1"/>
  <c r="C17974" i="1"/>
  <c r="B17975" i="1"/>
  <c r="C17975" i="1"/>
  <c r="B17976" i="1"/>
  <c r="C17976" i="1"/>
  <c r="B17977" i="1"/>
  <c r="C17977" i="1"/>
  <c r="B17978" i="1"/>
  <c r="C17978" i="1"/>
  <c r="B17979" i="1"/>
  <c r="C17979" i="1"/>
  <c r="B17980" i="1"/>
  <c r="C17980" i="1"/>
  <c r="B17981" i="1"/>
  <c r="C17981" i="1"/>
  <c r="B17982" i="1"/>
  <c r="C17982" i="1"/>
  <c r="B17983" i="1"/>
  <c r="C17983" i="1"/>
  <c r="B17984" i="1"/>
  <c r="C17984" i="1"/>
  <c r="B17985" i="1"/>
  <c r="C17985" i="1"/>
  <c r="B17986" i="1"/>
  <c r="C17986" i="1"/>
  <c r="B17987" i="1"/>
  <c r="C17987" i="1"/>
  <c r="B17988" i="1"/>
  <c r="C17988" i="1"/>
  <c r="B17989" i="1"/>
  <c r="C17989" i="1"/>
  <c r="B17990" i="1"/>
  <c r="C17990" i="1"/>
  <c r="B17991" i="1"/>
  <c r="C17991" i="1"/>
  <c r="B17992" i="1"/>
  <c r="C17992" i="1"/>
  <c r="B17993" i="1"/>
  <c r="C17993" i="1"/>
  <c r="B17994" i="1"/>
  <c r="C17994" i="1"/>
  <c r="B17995" i="1"/>
  <c r="C17995" i="1"/>
  <c r="B17996" i="1"/>
  <c r="C17996" i="1"/>
  <c r="B17997" i="1"/>
  <c r="C17997" i="1"/>
  <c r="B17998" i="1"/>
  <c r="C17998" i="1"/>
  <c r="B17999" i="1"/>
  <c r="C17999" i="1"/>
  <c r="B18000" i="1"/>
  <c r="C18000" i="1"/>
  <c r="B18001" i="1"/>
  <c r="C18001" i="1"/>
  <c r="B18002" i="1"/>
  <c r="C18002" i="1"/>
  <c r="B18003" i="1"/>
  <c r="C18003" i="1"/>
  <c r="B18004" i="1"/>
  <c r="C18004" i="1"/>
  <c r="B18005" i="1"/>
  <c r="C18005" i="1"/>
  <c r="B18006" i="1"/>
  <c r="C18006" i="1"/>
  <c r="B18007" i="1"/>
  <c r="C18007" i="1"/>
  <c r="B18008" i="1"/>
  <c r="C18008" i="1"/>
  <c r="B18009" i="1"/>
  <c r="C18009" i="1"/>
  <c r="B18010" i="1"/>
  <c r="C18010" i="1"/>
  <c r="B18011" i="1"/>
  <c r="C18011" i="1"/>
  <c r="B18012" i="1"/>
  <c r="C18012" i="1"/>
  <c r="B18013" i="1"/>
  <c r="C18013" i="1"/>
  <c r="B18014" i="1"/>
  <c r="C18014" i="1"/>
  <c r="B18015" i="1"/>
  <c r="C18015" i="1"/>
  <c r="B18016" i="1"/>
  <c r="C18016" i="1"/>
  <c r="B18017" i="1"/>
  <c r="C18017" i="1"/>
  <c r="B18018" i="1"/>
  <c r="C18018" i="1"/>
  <c r="B18019" i="1"/>
  <c r="C18019" i="1"/>
  <c r="B18020" i="1"/>
  <c r="C18020" i="1"/>
  <c r="B18021" i="1"/>
  <c r="C18021" i="1"/>
  <c r="B18022" i="1"/>
  <c r="C18022" i="1"/>
  <c r="B18023" i="1"/>
  <c r="C18023" i="1"/>
  <c r="B18024" i="1"/>
  <c r="C18024" i="1"/>
  <c r="B18025" i="1"/>
  <c r="C18025" i="1"/>
  <c r="B18026" i="1"/>
  <c r="C18026" i="1"/>
  <c r="B18027" i="1"/>
  <c r="C18027" i="1"/>
  <c r="B18028" i="1"/>
  <c r="C18028" i="1"/>
  <c r="B18029" i="1"/>
  <c r="C18029" i="1"/>
  <c r="B18030" i="1"/>
  <c r="C18030" i="1"/>
  <c r="B18031" i="1"/>
  <c r="C18031" i="1"/>
  <c r="B18032" i="1"/>
  <c r="C18032" i="1"/>
  <c r="B18033" i="1"/>
  <c r="C18033" i="1"/>
  <c r="B18034" i="1"/>
  <c r="C18034" i="1"/>
  <c r="B18035" i="1"/>
  <c r="C18035" i="1"/>
  <c r="B18036" i="1"/>
  <c r="C18036" i="1"/>
  <c r="B18037" i="1"/>
  <c r="C18037" i="1"/>
  <c r="B18038" i="1"/>
  <c r="C18038" i="1"/>
  <c r="B18039" i="1"/>
  <c r="C18039" i="1"/>
  <c r="B18040" i="1"/>
  <c r="C18040" i="1"/>
  <c r="B18041" i="1"/>
  <c r="C18041" i="1"/>
  <c r="B18042" i="1"/>
  <c r="C18042" i="1"/>
  <c r="B18043" i="1"/>
  <c r="C18043" i="1"/>
  <c r="B18044" i="1"/>
  <c r="C18044" i="1"/>
  <c r="B18045" i="1"/>
  <c r="C18045" i="1"/>
  <c r="B18046" i="1"/>
  <c r="C18046" i="1"/>
  <c r="B18047" i="1"/>
  <c r="C18047" i="1"/>
  <c r="B18048" i="1"/>
  <c r="C18048" i="1"/>
  <c r="B18049" i="1"/>
  <c r="C18049" i="1"/>
  <c r="B18050" i="1"/>
  <c r="C18050" i="1"/>
  <c r="B18051" i="1"/>
  <c r="C18051" i="1"/>
  <c r="B18052" i="1"/>
  <c r="C18052" i="1"/>
  <c r="B18053" i="1"/>
  <c r="C18053" i="1"/>
  <c r="B18054" i="1"/>
  <c r="C18054" i="1"/>
  <c r="B18055" i="1"/>
  <c r="C18055" i="1"/>
  <c r="B18056" i="1"/>
  <c r="C18056" i="1"/>
  <c r="B18057" i="1"/>
  <c r="C18057" i="1"/>
  <c r="B18058" i="1"/>
  <c r="C18058" i="1"/>
  <c r="B18059" i="1"/>
  <c r="C18059" i="1"/>
  <c r="B18060" i="1"/>
  <c r="C18060" i="1"/>
  <c r="B18061" i="1"/>
  <c r="C18061" i="1"/>
  <c r="B18062" i="1"/>
  <c r="C18062" i="1"/>
  <c r="B18063" i="1"/>
  <c r="C18063" i="1"/>
  <c r="B18064" i="1"/>
  <c r="C18064" i="1"/>
  <c r="B18065" i="1"/>
  <c r="C18065" i="1"/>
  <c r="B18066" i="1"/>
  <c r="C18066" i="1"/>
  <c r="B18067" i="1"/>
  <c r="C18067" i="1"/>
  <c r="B18068" i="1"/>
  <c r="C18068" i="1"/>
  <c r="B18069" i="1"/>
  <c r="C18069" i="1"/>
  <c r="B18070" i="1"/>
  <c r="C18070" i="1"/>
  <c r="B18071" i="1"/>
  <c r="C18071" i="1"/>
  <c r="B18072" i="1"/>
  <c r="C18072" i="1"/>
  <c r="B18073" i="1"/>
  <c r="C18073" i="1"/>
  <c r="B18074" i="1"/>
  <c r="C18074" i="1"/>
  <c r="B18075" i="1"/>
  <c r="C18075" i="1"/>
  <c r="B18076" i="1"/>
  <c r="C18076" i="1"/>
  <c r="B18077" i="1"/>
  <c r="C18077" i="1"/>
  <c r="B18078" i="1"/>
  <c r="C18078" i="1"/>
  <c r="B18079" i="1"/>
  <c r="C18079" i="1"/>
  <c r="B18080" i="1"/>
  <c r="C18080" i="1"/>
  <c r="B18081" i="1"/>
  <c r="C18081" i="1"/>
  <c r="B18082" i="1"/>
  <c r="C18082" i="1"/>
  <c r="B18083" i="1"/>
  <c r="C18083" i="1"/>
  <c r="B18084" i="1"/>
  <c r="C18084" i="1"/>
  <c r="B18085" i="1"/>
  <c r="C18085" i="1"/>
  <c r="B18086" i="1"/>
  <c r="C18086" i="1"/>
  <c r="B18087" i="1"/>
  <c r="C18087" i="1"/>
  <c r="B18088" i="1"/>
  <c r="C18088" i="1"/>
  <c r="B18089" i="1"/>
  <c r="C18089" i="1"/>
  <c r="B18090" i="1"/>
  <c r="C18090" i="1"/>
  <c r="B18091" i="1"/>
  <c r="C18091" i="1"/>
  <c r="B18092" i="1"/>
  <c r="C18092" i="1"/>
  <c r="B18093" i="1"/>
  <c r="C18093" i="1"/>
  <c r="B18094" i="1"/>
  <c r="C18094" i="1"/>
  <c r="B18095" i="1"/>
  <c r="C18095" i="1"/>
  <c r="B18096" i="1"/>
  <c r="C18096" i="1"/>
  <c r="B18097" i="1"/>
  <c r="C18097" i="1"/>
  <c r="B18098" i="1"/>
  <c r="C18098" i="1"/>
  <c r="B18099" i="1"/>
  <c r="C18099" i="1"/>
  <c r="B18100" i="1"/>
  <c r="C18100" i="1"/>
  <c r="B18101" i="1"/>
  <c r="C18101" i="1"/>
  <c r="B18102" i="1"/>
  <c r="C18102" i="1"/>
  <c r="B18103" i="1"/>
  <c r="C18103" i="1"/>
  <c r="B18104" i="1"/>
  <c r="C18104" i="1"/>
  <c r="B18105" i="1"/>
  <c r="C18105" i="1"/>
  <c r="B18106" i="1"/>
  <c r="C18106" i="1"/>
  <c r="B18107" i="1"/>
  <c r="C18107" i="1"/>
  <c r="B18108" i="1"/>
  <c r="C18108" i="1"/>
  <c r="B18109" i="1"/>
  <c r="C18109" i="1"/>
  <c r="B18110" i="1"/>
  <c r="C18110" i="1"/>
  <c r="B18111" i="1"/>
  <c r="C18111" i="1"/>
  <c r="B18112" i="1"/>
  <c r="C18112" i="1"/>
  <c r="B18113" i="1"/>
  <c r="C18113" i="1"/>
  <c r="B18114" i="1"/>
  <c r="C18114" i="1"/>
  <c r="B18115" i="1"/>
  <c r="C18115" i="1"/>
  <c r="B18116" i="1"/>
  <c r="C18116" i="1"/>
  <c r="B18117" i="1"/>
  <c r="C18117" i="1"/>
  <c r="B18118" i="1"/>
  <c r="C18118" i="1"/>
  <c r="B18119" i="1"/>
  <c r="C18119" i="1"/>
  <c r="B18120" i="1"/>
  <c r="C18120" i="1"/>
  <c r="B18121" i="1"/>
  <c r="C18121" i="1"/>
  <c r="B18122" i="1"/>
  <c r="C18122" i="1"/>
  <c r="B18123" i="1"/>
  <c r="C18123" i="1"/>
  <c r="B18124" i="1"/>
  <c r="C18124" i="1"/>
  <c r="B18125" i="1"/>
  <c r="C18125" i="1"/>
  <c r="B18126" i="1"/>
  <c r="C18126" i="1"/>
  <c r="B18127" i="1"/>
  <c r="C18127" i="1"/>
  <c r="B18128" i="1"/>
  <c r="C18128" i="1"/>
  <c r="B18129" i="1"/>
  <c r="C18129" i="1"/>
  <c r="B18130" i="1"/>
  <c r="C18130" i="1"/>
  <c r="B18131" i="1"/>
  <c r="C18131" i="1"/>
  <c r="B18132" i="1"/>
  <c r="C18132" i="1"/>
  <c r="B18133" i="1"/>
  <c r="C18133" i="1"/>
  <c r="B18134" i="1"/>
  <c r="C18134" i="1"/>
  <c r="B18135" i="1"/>
  <c r="C18135" i="1"/>
  <c r="B18136" i="1"/>
  <c r="C18136" i="1"/>
  <c r="B18137" i="1"/>
  <c r="C18137" i="1"/>
  <c r="B18138" i="1"/>
  <c r="C18138" i="1"/>
  <c r="B18139" i="1"/>
  <c r="C18139" i="1"/>
  <c r="B18140" i="1"/>
  <c r="C18140" i="1"/>
  <c r="B18141" i="1"/>
  <c r="C18141" i="1"/>
  <c r="B18142" i="1"/>
  <c r="C18142" i="1"/>
  <c r="B18143" i="1"/>
  <c r="C18143" i="1"/>
  <c r="B18144" i="1"/>
  <c r="C18144" i="1"/>
  <c r="B18145" i="1"/>
  <c r="C18145" i="1"/>
  <c r="B18146" i="1"/>
  <c r="C18146" i="1"/>
  <c r="B18147" i="1"/>
  <c r="C18147" i="1"/>
  <c r="B18148" i="1"/>
  <c r="C18148" i="1"/>
  <c r="B18149" i="1"/>
  <c r="C18149" i="1"/>
  <c r="B18150" i="1"/>
  <c r="C18150" i="1"/>
  <c r="B18151" i="1"/>
  <c r="C18151" i="1"/>
  <c r="B18152" i="1"/>
  <c r="C18152" i="1"/>
  <c r="B18153" i="1"/>
  <c r="C18153" i="1"/>
  <c r="B18154" i="1"/>
  <c r="C18154" i="1"/>
  <c r="B18155" i="1"/>
  <c r="C18155" i="1"/>
  <c r="B18156" i="1"/>
  <c r="C18156" i="1"/>
  <c r="B18157" i="1"/>
  <c r="C18157" i="1"/>
  <c r="B18158" i="1"/>
  <c r="C18158" i="1"/>
  <c r="B18159" i="1"/>
  <c r="C18159" i="1"/>
  <c r="B18160" i="1"/>
  <c r="C18160" i="1"/>
  <c r="B18161" i="1"/>
  <c r="C18161" i="1"/>
  <c r="B18162" i="1"/>
  <c r="C18162" i="1"/>
  <c r="B18163" i="1"/>
  <c r="C18163" i="1"/>
  <c r="B18164" i="1"/>
  <c r="C18164" i="1"/>
  <c r="B18165" i="1"/>
  <c r="C18165" i="1"/>
  <c r="B18166" i="1"/>
  <c r="C18166" i="1"/>
  <c r="B18167" i="1"/>
  <c r="C18167" i="1"/>
  <c r="B18168" i="1"/>
  <c r="C18168" i="1"/>
  <c r="B18169" i="1"/>
  <c r="C18169" i="1"/>
  <c r="B18170" i="1"/>
  <c r="C18170" i="1"/>
  <c r="B18171" i="1"/>
  <c r="C18171" i="1"/>
  <c r="B18172" i="1"/>
  <c r="C18172" i="1"/>
  <c r="B18173" i="1"/>
  <c r="C18173" i="1"/>
  <c r="B18174" i="1"/>
  <c r="C18174" i="1"/>
  <c r="B18175" i="1"/>
  <c r="C18175" i="1"/>
  <c r="B18176" i="1"/>
  <c r="C18176" i="1"/>
  <c r="B18177" i="1"/>
  <c r="C18177" i="1"/>
  <c r="B18178" i="1"/>
  <c r="C18178" i="1"/>
  <c r="B18179" i="1"/>
  <c r="C18179" i="1"/>
  <c r="B18180" i="1"/>
  <c r="C18180" i="1"/>
  <c r="B18181" i="1"/>
  <c r="C18181" i="1"/>
  <c r="B18182" i="1"/>
  <c r="C18182" i="1"/>
  <c r="B18183" i="1"/>
  <c r="C18183" i="1"/>
  <c r="B18184" i="1"/>
  <c r="C18184" i="1"/>
  <c r="B18185" i="1"/>
  <c r="C18185" i="1"/>
  <c r="B18186" i="1"/>
  <c r="C18186" i="1"/>
  <c r="B18187" i="1"/>
  <c r="C18187" i="1"/>
  <c r="B18188" i="1"/>
  <c r="C18188" i="1"/>
  <c r="B18189" i="1"/>
  <c r="C18189" i="1"/>
  <c r="B18190" i="1"/>
  <c r="C18190" i="1"/>
  <c r="B18191" i="1"/>
  <c r="C18191" i="1"/>
  <c r="B18192" i="1"/>
  <c r="C18192" i="1"/>
  <c r="B18193" i="1"/>
  <c r="C18193" i="1"/>
  <c r="B18194" i="1"/>
  <c r="C18194" i="1"/>
  <c r="B18195" i="1"/>
  <c r="C18195" i="1"/>
  <c r="B18196" i="1"/>
  <c r="C18196" i="1"/>
  <c r="B18197" i="1"/>
  <c r="C18197" i="1"/>
  <c r="B18198" i="1"/>
  <c r="C18198" i="1"/>
  <c r="B18199" i="1"/>
  <c r="C18199" i="1"/>
  <c r="B18200" i="1"/>
  <c r="C18200" i="1"/>
  <c r="B18201" i="1"/>
  <c r="C18201" i="1"/>
  <c r="B18202" i="1"/>
  <c r="C18202" i="1"/>
  <c r="B18203" i="1"/>
  <c r="C18203" i="1"/>
  <c r="B18204" i="1"/>
  <c r="C18204" i="1"/>
  <c r="B18205" i="1"/>
  <c r="C18205" i="1"/>
  <c r="B18206" i="1"/>
  <c r="C18206" i="1"/>
  <c r="B18207" i="1"/>
  <c r="C18207" i="1"/>
  <c r="B18208" i="1"/>
  <c r="C18208" i="1"/>
  <c r="B18209" i="1"/>
  <c r="C18209" i="1"/>
  <c r="B18210" i="1"/>
  <c r="C18210" i="1"/>
  <c r="B18211" i="1"/>
  <c r="C18211" i="1"/>
  <c r="B18212" i="1"/>
  <c r="C18212" i="1"/>
  <c r="B18213" i="1"/>
  <c r="C18213" i="1"/>
  <c r="B18214" i="1"/>
  <c r="C18214" i="1"/>
  <c r="B18215" i="1"/>
  <c r="C18215" i="1"/>
  <c r="B18216" i="1"/>
  <c r="C18216" i="1"/>
  <c r="B18217" i="1"/>
  <c r="C18217" i="1"/>
  <c r="B18218" i="1"/>
  <c r="C18218" i="1"/>
  <c r="B18219" i="1"/>
  <c r="C18219" i="1"/>
  <c r="B18220" i="1"/>
  <c r="C18220" i="1"/>
  <c r="B18221" i="1"/>
  <c r="C18221" i="1"/>
  <c r="B18222" i="1"/>
  <c r="C18222" i="1"/>
  <c r="B18223" i="1"/>
  <c r="C18223" i="1"/>
  <c r="B18224" i="1"/>
  <c r="C18224" i="1"/>
  <c r="B18225" i="1"/>
  <c r="C18225" i="1"/>
  <c r="B18226" i="1"/>
  <c r="C18226" i="1"/>
  <c r="B18227" i="1"/>
  <c r="C18227" i="1"/>
  <c r="B18228" i="1"/>
  <c r="C18228" i="1"/>
  <c r="B18229" i="1"/>
  <c r="C18229" i="1"/>
  <c r="B18230" i="1"/>
  <c r="C18230" i="1"/>
  <c r="B18231" i="1"/>
  <c r="C18231" i="1"/>
  <c r="B18232" i="1"/>
  <c r="C18232" i="1"/>
  <c r="B18233" i="1"/>
  <c r="C18233" i="1"/>
  <c r="B18234" i="1"/>
  <c r="C18234" i="1"/>
  <c r="B18235" i="1"/>
  <c r="C18235" i="1"/>
  <c r="B18236" i="1"/>
  <c r="C18236" i="1"/>
  <c r="B18237" i="1"/>
  <c r="C18237" i="1"/>
  <c r="B18238" i="1"/>
  <c r="C18238" i="1"/>
  <c r="B18239" i="1"/>
  <c r="C18239" i="1"/>
  <c r="B18240" i="1"/>
  <c r="C18240" i="1"/>
  <c r="B18241" i="1"/>
  <c r="C18241" i="1"/>
  <c r="B18242" i="1"/>
  <c r="C18242" i="1"/>
  <c r="B18243" i="1"/>
  <c r="C18243" i="1"/>
  <c r="B18244" i="1"/>
  <c r="C18244" i="1"/>
  <c r="B18245" i="1"/>
  <c r="C18245" i="1"/>
  <c r="B18246" i="1"/>
  <c r="C18246" i="1"/>
  <c r="B18247" i="1"/>
  <c r="C18247" i="1"/>
  <c r="B18248" i="1"/>
  <c r="C18248" i="1"/>
  <c r="B18249" i="1"/>
  <c r="C18249" i="1"/>
  <c r="B18250" i="1"/>
  <c r="C18250" i="1"/>
  <c r="B18251" i="1"/>
  <c r="C18251" i="1"/>
  <c r="B18252" i="1"/>
  <c r="C18252" i="1"/>
  <c r="B18253" i="1"/>
  <c r="C18253" i="1"/>
  <c r="B18254" i="1"/>
  <c r="C18254" i="1"/>
  <c r="B18255" i="1"/>
  <c r="C18255" i="1"/>
  <c r="B18256" i="1"/>
  <c r="C18256" i="1"/>
  <c r="B18257" i="1"/>
  <c r="C18257" i="1"/>
  <c r="B18258" i="1"/>
  <c r="C18258" i="1"/>
  <c r="B18259" i="1"/>
  <c r="C18259" i="1"/>
  <c r="B18260" i="1"/>
  <c r="C18260" i="1"/>
  <c r="B18261" i="1"/>
  <c r="C18261" i="1"/>
  <c r="B18262" i="1"/>
  <c r="C18262" i="1"/>
  <c r="B18263" i="1"/>
  <c r="C18263" i="1"/>
  <c r="B18264" i="1"/>
  <c r="C18264" i="1"/>
  <c r="B18265" i="1"/>
  <c r="C18265" i="1"/>
  <c r="B18266" i="1"/>
  <c r="C18266" i="1"/>
  <c r="B18267" i="1"/>
  <c r="C18267" i="1"/>
  <c r="B18268" i="1"/>
  <c r="C18268" i="1"/>
  <c r="B18269" i="1"/>
  <c r="C18269" i="1"/>
  <c r="B18270" i="1"/>
  <c r="C18270" i="1"/>
  <c r="B18271" i="1"/>
  <c r="C18271" i="1"/>
  <c r="B18272" i="1"/>
  <c r="C18272" i="1"/>
  <c r="B18273" i="1"/>
  <c r="C18273" i="1"/>
  <c r="B18274" i="1"/>
  <c r="C18274" i="1"/>
  <c r="B18275" i="1"/>
  <c r="C18275" i="1"/>
  <c r="B18276" i="1"/>
  <c r="C18276" i="1"/>
  <c r="B18277" i="1"/>
  <c r="C18277" i="1"/>
  <c r="B18278" i="1"/>
  <c r="C18278" i="1"/>
  <c r="B18279" i="1"/>
  <c r="C18279" i="1"/>
  <c r="B18280" i="1"/>
  <c r="C18280" i="1"/>
  <c r="B18281" i="1"/>
  <c r="C18281" i="1"/>
  <c r="B18282" i="1"/>
  <c r="C18282" i="1"/>
  <c r="B18283" i="1"/>
  <c r="C18283" i="1"/>
  <c r="B18284" i="1"/>
  <c r="C18284" i="1"/>
  <c r="B18285" i="1"/>
  <c r="C18285" i="1"/>
  <c r="B18286" i="1"/>
  <c r="C18286" i="1"/>
  <c r="B18287" i="1"/>
  <c r="C18287" i="1"/>
  <c r="B18288" i="1"/>
  <c r="C18288" i="1"/>
  <c r="B18289" i="1"/>
  <c r="C18289" i="1"/>
  <c r="B18290" i="1"/>
  <c r="C18290" i="1"/>
  <c r="B18291" i="1"/>
  <c r="C18291" i="1"/>
  <c r="B18292" i="1"/>
  <c r="C18292" i="1"/>
  <c r="B18293" i="1"/>
  <c r="C18293" i="1"/>
  <c r="B18294" i="1"/>
  <c r="C18294" i="1"/>
  <c r="B18295" i="1"/>
  <c r="C18295" i="1"/>
  <c r="B18296" i="1"/>
  <c r="C18296" i="1"/>
  <c r="B18297" i="1"/>
  <c r="C18297" i="1"/>
  <c r="B18298" i="1"/>
  <c r="C18298" i="1"/>
  <c r="B18299" i="1"/>
  <c r="C18299" i="1"/>
  <c r="B18300" i="1"/>
  <c r="C18300" i="1"/>
  <c r="B18301" i="1"/>
  <c r="C18301" i="1"/>
  <c r="B18302" i="1"/>
  <c r="C18302" i="1"/>
  <c r="B18303" i="1"/>
  <c r="C18303" i="1"/>
  <c r="B18304" i="1"/>
  <c r="C18304" i="1"/>
  <c r="B18305" i="1"/>
  <c r="C18305" i="1"/>
  <c r="B18306" i="1"/>
  <c r="C18306" i="1"/>
  <c r="B18307" i="1"/>
  <c r="C18307" i="1"/>
  <c r="B18308" i="1"/>
  <c r="C18308" i="1"/>
  <c r="B18309" i="1"/>
  <c r="C18309" i="1"/>
  <c r="B18310" i="1"/>
  <c r="C18310" i="1"/>
  <c r="B18311" i="1"/>
  <c r="C18311" i="1"/>
  <c r="B18312" i="1"/>
  <c r="C18312" i="1"/>
  <c r="B18313" i="1"/>
  <c r="C18313" i="1"/>
  <c r="B18314" i="1"/>
  <c r="C18314" i="1"/>
  <c r="B18315" i="1"/>
  <c r="C18315" i="1"/>
  <c r="B18316" i="1"/>
  <c r="C18316" i="1"/>
  <c r="B18317" i="1"/>
  <c r="C18317" i="1"/>
  <c r="B18318" i="1"/>
  <c r="C18318" i="1"/>
  <c r="B18319" i="1"/>
  <c r="C18319" i="1"/>
  <c r="B18320" i="1"/>
  <c r="C18320" i="1"/>
  <c r="B18321" i="1"/>
  <c r="C18321" i="1"/>
  <c r="B18322" i="1"/>
  <c r="C18322" i="1"/>
  <c r="B18323" i="1"/>
  <c r="C18323" i="1"/>
  <c r="B18324" i="1"/>
  <c r="C18324" i="1"/>
  <c r="B18325" i="1"/>
  <c r="C18325" i="1"/>
  <c r="B18326" i="1"/>
  <c r="C18326" i="1"/>
  <c r="B18327" i="1"/>
  <c r="C18327" i="1"/>
  <c r="B18328" i="1"/>
  <c r="C18328" i="1"/>
  <c r="B18329" i="1"/>
  <c r="C18329" i="1"/>
  <c r="B18330" i="1"/>
  <c r="C18330" i="1"/>
  <c r="B18331" i="1"/>
  <c r="C18331" i="1"/>
  <c r="B18332" i="1"/>
  <c r="C18332" i="1"/>
  <c r="B18333" i="1"/>
  <c r="C18333" i="1"/>
  <c r="B18334" i="1"/>
  <c r="C18334" i="1"/>
  <c r="B18335" i="1"/>
  <c r="C18335" i="1"/>
  <c r="B18336" i="1"/>
  <c r="C18336" i="1"/>
  <c r="B18337" i="1"/>
  <c r="C18337" i="1"/>
  <c r="B18338" i="1"/>
  <c r="C18338" i="1"/>
  <c r="B18339" i="1"/>
  <c r="C18339" i="1"/>
  <c r="B18340" i="1"/>
  <c r="C18340" i="1"/>
  <c r="B18341" i="1"/>
  <c r="C18341" i="1"/>
  <c r="B18342" i="1"/>
  <c r="C18342" i="1"/>
  <c r="B18343" i="1"/>
  <c r="C18343" i="1"/>
  <c r="B18344" i="1"/>
  <c r="C18344" i="1"/>
  <c r="B18345" i="1"/>
  <c r="C18345" i="1"/>
  <c r="B18346" i="1"/>
  <c r="C18346" i="1"/>
  <c r="B18347" i="1"/>
  <c r="C18347" i="1"/>
  <c r="B18348" i="1"/>
  <c r="C18348" i="1"/>
  <c r="B18349" i="1"/>
  <c r="C18349" i="1"/>
  <c r="B18350" i="1"/>
  <c r="C18350" i="1"/>
  <c r="B18351" i="1"/>
  <c r="C18351" i="1"/>
  <c r="B18352" i="1"/>
  <c r="C18352" i="1"/>
  <c r="B18353" i="1"/>
  <c r="C18353" i="1"/>
  <c r="B18354" i="1"/>
  <c r="C18354" i="1"/>
  <c r="B18355" i="1"/>
  <c r="C18355" i="1"/>
  <c r="B18356" i="1"/>
  <c r="C18356" i="1"/>
  <c r="B18357" i="1"/>
  <c r="C18357" i="1"/>
  <c r="B18358" i="1"/>
  <c r="C18358" i="1"/>
  <c r="B18359" i="1"/>
  <c r="C18359" i="1"/>
  <c r="B18360" i="1"/>
  <c r="C18360" i="1"/>
  <c r="B18361" i="1"/>
  <c r="C18361" i="1"/>
  <c r="B18362" i="1"/>
  <c r="C18362" i="1"/>
  <c r="B18363" i="1"/>
  <c r="C18363" i="1"/>
  <c r="B18364" i="1"/>
  <c r="C18364" i="1"/>
  <c r="B18365" i="1"/>
  <c r="C18365" i="1"/>
  <c r="B18366" i="1"/>
  <c r="C18366" i="1"/>
  <c r="B18367" i="1"/>
  <c r="C18367" i="1"/>
  <c r="B18368" i="1"/>
  <c r="C18368" i="1"/>
  <c r="B18369" i="1"/>
  <c r="C18369" i="1"/>
  <c r="B18370" i="1"/>
  <c r="C18370" i="1"/>
  <c r="B18371" i="1"/>
  <c r="C18371" i="1"/>
  <c r="B18372" i="1"/>
  <c r="C18372" i="1"/>
  <c r="B18373" i="1"/>
  <c r="C18373" i="1"/>
  <c r="B18374" i="1"/>
  <c r="C18374" i="1"/>
  <c r="B18375" i="1"/>
  <c r="C18375" i="1"/>
  <c r="B18376" i="1"/>
  <c r="C18376" i="1"/>
  <c r="B18377" i="1"/>
  <c r="C18377" i="1"/>
  <c r="B18378" i="1"/>
  <c r="C18378" i="1"/>
  <c r="B18379" i="1"/>
  <c r="C18379" i="1"/>
  <c r="B18380" i="1"/>
  <c r="C18380" i="1"/>
  <c r="B18381" i="1"/>
  <c r="C18381" i="1"/>
  <c r="B18382" i="1"/>
  <c r="C18382" i="1"/>
  <c r="B18383" i="1"/>
  <c r="C18383" i="1"/>
  <c r="B18384" i="1"/>
  <c r="C18384" i="1"/>
  <c r="B18385" i="1"/>
  <c r="C18385" i="1"/>
  <c r="B18386" i="1"/>
  <c r="C18386" i="1"/>
  <c r="B18387" i="1"/>
  <c r="C18387" i="1"/>
  <c r="B18388" i="1"/>
  <c r="C18388" i="1"/>
  <c r="B18389" i="1"/>
  <c r="C18389" i="1"/>
  <c r="B18390" i="1"/>
  <c r="C18390" i="1"/>
  <c r="B18391" i="1"/>
  <c r="C18391" i="1"/>
  <c r="B18392" i="1"/>
  <c r="C18392" i="1"/>
  <c r="B18393" i="1"/>
  <c r="C18393" i="1"/>
  <c r="B18394" i="1"/>
  <c r="C18394" i="1"/>
  <c r="B18395" i="1"/>
  <c r="C18395" i="1"/>
  <c r="B18396" i="1"/>
  <c r="C18396" i="1"/>
  <c r="B18397" i="1"/>
  <c r="C18397" i="1"/>
  <c r="B18398" i="1"/>
  <c r="C18398" i="1"/>
  <c r="B18399" i="1"/>
  <c r="C18399" i="1"/>
  <c r="B18400" i="1"/>
  <c r="C18400" i="1"/>
  <c r="B18401" i="1"/>
  <c r="C18401" i="1"/>
  <c r="B18402" i="1"/>
  <c r="C18402" i="1"/>
  <c r="B18403" i="1"/>
  <c r="C18403" i="1"/>
  <c r="B18404" i="1"/>
  <c r="C18404" i="1"/>
  <c r="B18405" i="1"/>
  <c r="C18405" i="1"/>
  <c r="B18406" i="1"/>
  <c r="C18406" i="1"/>
  <c r="B18407" i="1"/>
  <c r="C18407" i="1"/>
  <c r="B18408" i="1"/>
  <c r="C18408" i="1"/>
  <c r="B18409" i="1"/>
  <c r="C18409" i="1"/>
  <c r="B18410" i="1"/>
  <c r="C18410" i="1"/>
  <c r="B18411" i="1"/>
  <c r="C18411" i="1"/>
  <c r="B18412" i="1"/>
  <c r="C18412" i="1"/>
  <c r="B18413" i="1"/>
  <c r="C18413" i="1"/>
  <c r="B18414" i="1"/>
  <c r="C18414" i="1"/>
  <c r="B18415" i="1"/>
  <c r="C18415" i="1"/>
  <c r="B18416" i="1"/>
  <c r="C18416" i="1"/>
  <c r="B18417" i="1"/>
  <c r="C18417" i="1"/>
  <c r="B18418" i="1"/>
  <c r="C18418" i="1"/>
  <c r="B18419" i="1"/>
  <c r="C18419" i="1"/>
  <c r="B18420" i="1"/>
  <c r="C18420" i="1"/>
  <c r="B18421" i="1"/>
  <c r="C18421" i="1"/>
  <c r="B18422" i="1"/>
  <c r="C18422" i="1"/>
  <c r="B18423" i="1"/>
  <c r="C18423" i="1"/>
  <c r="B18424" i="1"/>
  <c r="C18424" i="1"/>
  <c r="B18425" i="1"/>
  <c r="C18425" i="1"/>
  <c r="B18426" i="1"/>
  <c r="C18426" i="1"/>
  <c r="B18427" i="1"/>
  <c r="C18427" i="1"/>
  <c r="B18428" i="1"/>
  <c r="C18428" i="1"/>
  <c r="B18429" i="1"/>
  <c r="C18429" i="1"/>
  <c r="B18430" i="1"/>
  <c r="C18430" i="1"/>
  <c r="B18431" i="1"/>
  <c r="C18431" i="1"/>
  <c r="B18432" i="1"/>
  <c r="C18432" i="1"/>
  <c r="B18433" i="1"/>
  <c r="C18433" i="1"/>
  <c r="B18434" i="1"/>
  <c r="C18434" i="1"/>
  <c r="B18435" i="1"/>
  <c r="C18435" i="1"/>
  <c r="B18436" i="1"/>
  <c r="C18436" i="1"/>
  <c r="B18437" i="1"/>
  <c r="C18437" i="1"/>
  <c r="B18438" i="1"/>
  <c r="C18438" i="1"/>
  <c r="B18439" i="1"/>
  <c r="C18439" i="1"/>
  <c r="B18440" i="1"/>
  <c r="C18440" i="1"/>
  <c r="B18441" i="1"/>
  <c r="C18441" i="1"/>
  <c r="B18442" i="1"/>
  <c r="C18442" i="1"/>
  <c r="B18443" i="1"/>
  <c r="C18443" i="1"/>
  <c r="B18444" i="1"/>
  <c r="C18444" i="1"/>
  <c r="B18445" i="1"/>
  <c r="C18445" i="1"/>
  <c r="B18446" i="1"/>
  <c r="C18446" i="1"/>
  <c r="B18447" i="1"/>
  <c r="C18447" i="1"/>
  <c r="B18448" i="1"/>
  <c r="C18448" i="1"/>
  <c r="B18449" i="1"/>
  <c r="C18449" i="1"/>
  <c r="B18450" i="1"/>
  <c r="C18450" i="1"/>
  <c r="B18451" i="1"/>
  <c r="C18451" i="1"/>
  <c r="B18452" i="1"/>
  <c r="C18452" i="1"/>
  <c r="B18453" i="1"/>
  <c r="C18453" i="1"/>
  <c r="B18454" i="1"/>
  <c r="C18454" i="1"/>
  <c r="B18455" i="1"/>
  <c r="C18455" i="1"/>
  <c r="B18456" i="1"/>
  <c r="C18456" i="1"/>
  <c r="B18457" i="1"/>
  <c r="C18457" i="1"/>
  <c r="B18458" i="1"/>
  <c r="C18458" i="1"/>
  <c r="B18459" i="1"/>
  <c r="C18459" i="1"/>
  <c r="B18460" i="1"/>
  <c r="C18460" i="1"/>
  <c r="B18461" i="1"/>
  <c r="C18461" i="1"/>
  <c r="B18462" i="1"/>
  <c r="C18462" i="1"/>
  <c r="B18463" i="1"/>
  <c r="C18463" i="1"/>
  <c r="B18464" i="1"/>
  <c r="C18464" i="1"/>
  <c r="B18465" i="1"/>
  <c r="C18465" i="1"/>
  <c r="B18466" i="1"/>
  <c r="C18466" i="1"/>
  <c r="B18467" i="1"/>
  <c r="C18467" i="1"/>
  <c r="B18468" i="1"/>
  <c r="C18468" i="1"/>
  <c r="B18469" i="1"/>
  <c r="C18469" i="1"/>
  <c r="B18470" i="1"/>
  <c r="C18470" i="1"/>
  <c r="B18471" i="1"/>
  <c r="C18471" i="1"/>
  <c r="B18472" i="1"/>
  <c r="C18472" i="1"/>
  <c r="B18473" i="1"/>
  <c r="C18473" i="1"/>
  <c r="B18474" i="1"/>
  <c r="C18474" i="1"/>
  <c r="B18475" i="1"/>
  <c r="C18475" i="1"/>
  <c r="B18476" i="1"/>
  <c r="C18476" i="1"/>
  <c r="B18477" i="1"/>
  <c r="C18477" i="1"/>
  <c r="B18478" i="1"/>
  <c r="C18478" i="1"/>
  <c r="B18479" i="1"/>
  <c r="C18479" i="1"/>
  <c r="B18480" i="1"/>
  <c r="C18480" i="1"/>
  <c r="B18481" i="1"/>
  <c r="C18481" i="1"/>
  <c r="B18482" i="1"/>
  <c r="C18482" i="1"/>
  <c r="B18483" i="1"/>
  <c r="C18483" i="1"/>
  <c r="B18484" i="1"/>
  <c r="C18484" i="1"/>
  <c r="B18485" i="1"/>
  <c r="C18485" i="1"/>
  <c r="B18486" i="1"/>
  <c r="C18486" i="1"/>
  <c r="B18487" i="1"/>
  <c r="C18487" i="1"/>
  <c r="B18488" i="1"/>
  <c r="C18488" i="1"/>
  <c r="B18489" i="1"/>
  <c r="C18489" i="1"/>
  <c r="B18490" i="1"/>
  <c r="C18490" i="1"/>
  <c r="B18491" i="1"/>
  <c r="C18491" i="1"/>
  <c r="B18492" i="1"/>
  <c r="C18492" i="1"/>
  <c r="B18493" i="1"/>
  <c r="C18493" i="1"/>
  <c r="B18494" i="1"/>
  <c r="C18494" i="1"/>
  <c r="B18495" i="1"/>
  <c r="C18495" i="1"/>
  <c r="B18496" i="1"/>
  <c r="C18496" i="1"/>
  <c r="B18497" i="1"/>
  <c r="C18497" i="1"/>
  <c r="B18498" i="1"/>
  <c r="C18498" i="1"/>
  <c r="B18499" i="1"/>
  <c r="C18499" i="1"/>
  <c r="B18500" i="1"/>
  <c r="C18500" i="1"/>
  <c r="B18501" i="1"/>
  <c r="C18501" i="1"/>
  <c r="B18502" i="1"/>
  <c r="C18502" i="1"/>
  <c r="B18503" i="1"/>
  <c r="C18503" i="1"/>
  <c r="B18504" i="1"/>
  <c r="C18504" i="1"/>
  <c r="B18505" i="1"/>
  <c r="C18505" i="1"/>
  <c r="B18506" i="1"/>
  <c r="C18506" i="1"/>
  <c r="B18507" i="1"/>
  <c r="C18507" i="1"/>
  <c r="B18508" i="1"/>
  <c r="C18508" i="1"/>
  <c r="B18509" i="1"/>
  <c r="C18509" i="1"/>
  <c r="B18510" i="1"/>
  <c r="C18510" i="1"/>
  <c r="B18511" i="1"/>
  <c r="C18511" i="1"/>
  <c r="B18512" i="1"/>
  <c r="C18512" i="1"/>
  <c r="B18513" i="1"/>
  <c r="C18513" i="1"/>
  <c r="B18514" i="1"/>
  <c r="C18514" i="1"/>
  <c r="B18515" i="1"/>
  <c r="C18515" i="1"/>
  <c r="B18516" i="1"/>
  <c r="C18516" i="1"/>
  <c r="B18517" i="1"/>
  <c r="C18517" i="1"/>
  <c r="B18518" i="1"/>
  <c r="C18518" i="1"/>
  <c r="B18519" i="1"/>
  <c r="C18519" i="1"/>
  <c r="B18520" i="1"/>
  <c r="C18520" i="1"/>
  <c r="B18521" i="1"/>
  <c r="C18521" i="1"/>
  <c r="B18522" i="1"/>
  <c r="C18522" i="1"/>
  <c r="B18523" i="1"/>
  <c r="C18523" i="1"/>
  <c r="B18524" i="1"/>
  <c r="C18524" i="1"/>
  <c r="B18525" i="1"/>
  <c r="C18525" i="1"/>
  <c r="B18526" i="1"/>
  <c r="C18526" i="1"/>
  <c r="B18527" i="1"/>
  <c r="C18527" i="1"/>
  <c r="B18528" i="1"/>
  <c r="C18528" i="1"/>
  <c r="B18529" i="1"/>
  <c r="C18529" i="1"/>
  <c r="B18530" i="1"/>
  <c r="C18530" i="1"/>
  <c r="B18531" i="1"/>
  <c r="C18531" i="1"/>
  <c r="B18532" i="1"/>
  <c r="C18532" i="1"/>
  <c r="B18533" i="1"/>
  <c r="C18533" i="1"/>
  <c r="B18534" i="1"/>
  <c r="C18534" i="1"/>
  <c r="B18535" i="1"/>
  <c r="C18535" i="1"/>
  <c r="B18536" i="1"/>
  <c r="C18536" i="1"/>
  <c r="B18537" i="1"/>
  <c r="C18537" i="1"/>
  <c r="B18538" i="1"/>
  <c r="C18538" i="1"/>
  <c r="B18539" i="1"/>
  <c r="C18539" i="1"/>
  <c r="B18540" i="1"/>
  <c r="C18540" i="1"/>
  <c r="B18541" i="1"/>
  <c r="C18541" i="1"/>
  <c r="B18542" i="1"/>
  <c r="C18542" i="1"/>
  <c r="B18543" i="1"/>
  <c r="C18543" i="1"/>
  <c r="B18544" i="1"/>
  <c r="C18544" i="1"/>
  <c r="B18545" i="1"/>
  <c r="C18545" i="1"/>
  <c r="B18546" i="1"/>
  <c r="C18546" i="1"/>
  <c r="B18547" i="1"/>
  <c r="C18547" i="1"/>
  <c r="B18548" i="1"/>
  <c r="C18548" i="1"/>
  <c r="B18549" i="1"/>
  <c r="C18549" i="1"/>
  <c r="B18550" i="1"/>
  <c r="C18550" i="1"/>
  <c r="B18551" i="1"/>
  <c r="C18551" i="1"/>
  <c r="B18552" i="1"/>
  <c r="C18552" i="1"/>
  <c r="B18553" i="1"/>
  <c r="C18553" i="1"/>
  <c r="B18554" i="1"/>
  <c r="C18554" i="1"/>
  <c r="B18555" i="1"/>
  <c r="C18555" i="1"/>
  <c r="B18556" i="1"/>
  <c r="C18556" i="1"/>
  <c r="B18557" i="1"/>
  <c r="C18557" i="1"/>
  <c r="B18558" i="1"/>
  <c r="C18558" i="1"/>
  <c r="B18559" i="1"/>
  <c r="C18559" i="1"/>
  <c r="B18560" i="1"/>
  <c r="C18560" i="1"/>
  <c r="B18561" i="1"/>
  <c r="C18561" i="1"/>
  <c r="B18562" i="1"/>
  <c r="C18562" i="1"/>
  <c r="B18563" i="1"/>
  <c r="C18563" i="1"/>
  <c r="B18564" i="1"/>
  <c r="C18564" i="1"/>
  <c r="B18565" i="1"/>
  <c r="C18565" i="1"/>
  <c r="B18566" i="1"/>
  <c r="C18566" i="1"/>
  <c r="B18567" i="1"/>
  <c r="C18567" i="1"/>
  <c r="B18568" i="1"/>
  <c r="C18568" i="1"/>
  <c r="B18569" i="1"/>
  <c r="C18569" i="1"/>
  <c r="B18570" i="1"/>
  <c r="C18570" i="1"/>
  <c r="B18571" i="1"/>
  <c r="C18571" i="1"/>
  <c r="B18572" i="1"/>
  <c r="C18572" i="1"/>
  <c r="B18573" i="1"/>
  <c r="C18573" i="1"/>
  <c r="B18574" i="1"/>
  <c r="C18574" i="1"/>
  <c r="B18575" i="1"/>
  <c r="C18575" i="1"/>
  <c r="B18576" i="1"/>
  <c r="C18576" i="1"/>
  <c r="B18577" i="1"/>
  <c r="C18577" i="1"/>
  <c r="B18578" i="1"/>
  <c r="C18578" i="1"/>
  <c r="B18579" i="1"/>
  <c r="C18579" i="1"/>
  <c r="B18580" i="1"/>
  <c r="C18580" i="1"/>
  <c r="B18581" i="1"/>
  <c r="C18581" i="1"/>
  <c r="B18582" i="1"/>
  <c r="C18582" i="1"/>
  <c r="B18583" i="1"/>
  <c r="C18583" i="1"/>
  <c r="B18584" i="1"/>
  <c r="C18584" i="1"/>
  <c r="B18585" i="1"/>
  <c r="C18585" i="1"/>
  <c r="B18586" i="1"/>
  <c r="C18586" i="1"/>
  <c r="B18587" i="1"/>
  <c r="C18587" i="1"/>
  <c r="B18588" i="1"/>
  <c r="C18588" i="1"/>
  <c r="B18589" i="1"/>
  <c r="C18589" i="1"/>
  <c r="B18590" i="1"/>
  <c r="C18590" i="1"/>
  <c r="B18591" i="1"/>
  <c r="C18591" i="1"/>
  <c r="B18592" i="1"/>
  <c r="C18592" i="1"/>
  <c r="B18593" i="1"/>
  <c r="C18593" i="1"/>
  <c r="B18594" i="1"/>
  <c r="C18594" i="1"/>
  <c r="B18595" i="1"/>
  <c r="C18595" i="1"/>
  <c r="B18596" i="1"/>
  <c r="C18596" i="1"/>
  <c r="B18597" i="1"/>
  <c r="C18597" i="1"/>
  <c r="B18598" i="1"/>
  <c r="C18598" i="1"/>
  <c r="B18599" i="1"/>
  <c r="C18599" i="1"/>
  <c r="B18600" i="1"/>
  <c r="C18600" i="1"/>
  <c r="B18601" i="1"/>
  <c r="C18601" i="1"/>
  <c r="B18602" i="1"/>
  <c r="C18602" i="1"/>
  <c r="B18603" i="1"/>
  <c r="C18603" i="1"/>
  <c r="B18604" i="1"/>
  <c r="C18604" i="1"/>
  <c r="B18605" i="1"/>
  <c r="C18605" i="1"/>
  <c r="B18606" i="1"/>
  <c r="C18606" i="1"/>
  <c r="B18607" i="1"/>
  <c r="C18607" i="1"/>
  <c r="B18608" i="1"/>
  <c r="C18608" i="1"/>
  <c r="B18609" i="1"/>
  <c r="C18609" i="1"/>
  <c r="B18610" i="1"/>
  <c r="C18610" i="1"/>
  <c r="B18611" i="1"/>
  <c r="C18611" i="1"/>
  <c r="B18612" i="1"/>
  <c r="C18612" i="1"/>
  <c r="B18613" i="1"/>
  <c r="C18613" i="1"/>
  <c r="B18614" i="1"/>
  <c r="C18614" i="1"/>
  <c r="B18615" i="1"/>
  <c r="C18615" i="1"/>
  <c r="B18616" i="1"/>
  <c r="C18616" i="1"/>
  <c r="B18617" i="1"/>
  <c r="C18617" i="1"/>
  <c r="B18618" i="1"/>
  <c r="C18618" i="1"/>
  <c r="B18619" i="1"/>
  <c r="C18619" i="1"/>
  <c r="B18620" i="1"/>
  <c r="C18620" i="1"/>
  <c r="B18621" i="1"/>
  <c r="C18621" i="1"/>
  <c r="B18622" i="1"/>
  <c r="C18622" i="1"/>
  <c r="B18623" i="1"/>
  <c r="C18623" i="1"/>
  <c r="B18624" i="1"/>
  <c r="C18624" i="1"/>
  <c r="B18625" i="1"/>
  <c r="C18625" i="1"/>
  <c r="B18626" i="1"/>
  <c r="C18626" i="1"/>
  <c r="B18627" i="1"/>
  <c r="C18627" i="1"/>
  <c r="B18628" i="1"/>
  <c r="C18628" i="1"/>
  <c r="B18629" i="1"/>
  <c r="C18629" i="1"/>
  <c r="B18630" i="1"/>
  <c r="C18630" i="1"/>
  <c r="B18631" i="1"/>
  <c r="C18631" i="1"/>
  <c r="B18632" i="1"/>
  <c r="C18632" i="1"/>
  <c r="B18633" i="1"/>
  <c r="C18633" i="1"/>
  <c r="B18634" i="1"/>
  <c r="C18634" i="1"/>
  <c r="B18635" i="1"/>
  <c r="C18635" i="1"/>
  <c r="B18636" i="1"/>
  <c r="C18636" i="1"/>
  <c r="B18637" i="1"/>
  <c r="C18637" i="1"/>
  <c r="B18638" i="1"/>
  <c r="C18638" i="1"/>
  <c r="B18639" i="1"/>
  <c r="C18639" i="1"/>
  <c r="B18640" i="1"/>
  <c r="C18640" i="1"/>
  <c r="B18641" i="1"/>
  <c r="C18641" i="1"/>
  <c r="B18642" i="1"/>
  <c r="C18642" i="1"/>
  <c r="B18643" i="1"/>
  <c r="C18643" i="1"/>
  <c r="B18644" i="1"/>
  <c r="C18644" i="1"/>
  <c r="B18645" i="1"/>
  <c r="C18645" i="1"/>
  <c r="B18646" i="1"/>
  <c r="C18646" i="1"/>
  <c r="B18647" i="1"/>
  <c r="C18647" i="1"/>
  <c r="B18648" i="1"/>
  <c r="C18648" i="1"/>
  <c r="B18649" i="1"/>
  <c r="C18649" i="1"/>
  <c r="B18650" i="1"/>
  <c r="C18650" i="1"/>
  <c r="B18651" i="1"/>
  <c r="C18651" i="1"/>
  <c r="B18652" i="1"/>
  <c r="C18652" i="1"/>
  <c r="B18653" i="1"/>
  <c r="C18653" i="1"/>
  <c r="B18654" i="1"/>
  <c r="C18654" i="1"/>
  <c r="B18655" i="1"/>
  <c r="C18655" i="1"/>
  <c r="B18656" i="1"/>
  <c r="C18656" i="1"/>
  <c r="B18657" i="1"/>
  <c r="C18657" i="1"/>
  <c r="B18658" i="1"/>
  <c r="C18658" i="1"/>
  <c r="B18659" i="1"/>
  <c r="C18659" i="1"/>
  <c r="B18660" i="1"/>
  <c r="C18660" i="1"/>
  <c r="B18661" i="1"/>
  <c r="C18661" i="1"/>
  <c r="B18662" i="1"/>
  <c r="C18662" i="1"/>
  <c r="B18663" i="1"/>
  <c r="C18663" i="1"/>
  <c r="B18664" i="1"/>
  <c r="C18664" i="1"/>
  <c r="B18665" i="1"/>
  <c r="C18665" i="1"/>
  <c r="B18666" i="1"/>
  <c r="C18666" i="1"/>
  <c r="B18667" i="1"/>
  <c r="C18667" i="1"/>
  <c r="B18668" i="1"/>
  <c r="C18668" i="1"/>
  <c r="B18669" i="1"/>
  <c r="C18669" i="1"/>
  <c r="B18670" i="1"/>
  <c r="C18670" i="1"/>
  <c r="B18671" i="1"/>
  <c r="C18671" i="1"/>
  <c r="B18672" i="1"/>
  <c r="C18672" i="1"/>
  <c r="B18673" i="1"/>
  <c r="C18673" i="1"/>
  <c r="B18674" i="1"/>
  <c r="C18674" i="1"/>
  <c r="B18675" i="1"/>
  <c r="C18675" i="1"/>
  <c r="B18676" i="1"/>
  <c r="C18676" i="1"/>
  <c r="B18677" i="1"/>
  <c r="C18677" i="1"/>
  <c r="B18678" i="1"/>
  <c r="C18678" i="1"/>
  <c r="B18679" i="1"/>
  <c r="C18679" i="1"/>
  <c r="B18680" i="1"/>
  <c r="C18680" i="1"/>
  <c r="B18681" i="1"/>
  <c r="C18681" i="1"/>
  <c r="B18682" i="1"/>
  <c r="C18682" i="1"/>
  <c r="B18683" i="1"/>
  <c r="C18683" i="1"/>
  <c r="B18684" i="1"/>
  <c r="C18684" i="1"/>
  <c r="B18685" i="1"/>
  <c r="C18685" i="1"/>
  <c r="B18686" i="1"/>
  <c r="C18686" i="1"/>
  <c r="B18687" i="1"/>
  <c r="C18687" i="1"/>
  <c r="B18688" i="1"/>
  <c r="C18688" i="1"/>
  <c r="B18689" i="1"/>
  <c r="C18689" i="1"/>
  <c r="B18690" i="1"/>
  <c r="C18690" i="1"/>
  <c r="B18691" i="1"/>
  <c r="C18691" i="1"/>
  <c r="B18692" i="1"/>
  <c r="C18692" i="1"/>
  <c r="B18693" i="1"/>
  <c r="C18693" i="1"/>
  <c r="B18694" i="1"/>
  <c r="C18694" i="1"/>
  <c r="B18695" i="1"/>
  <c r="C18695" i="1"/>
  <c r="B18696" i="1"/>
  <c r="C18696" i="1"/>
  <c r="B18697" i="1"/>
  <c r="C18697" i="1"/>
  <c r="B18698" i="1"/>
  <c r="C18698" i="1"/>
  <c r="B18699" i="1"/>
  <c r="C18699" i="1"/>
  <c r="B18700" i="1"/>
  <c r="C18700" i="1"/>
  <c r="B18701" i="1"/>
  <c r="C18701" i="1"/>
  <c r="B18702" i="1"/>
  <c r="C18702" i="1"/>
  <c r="B18703" i="1"/>
  <c r="C18703" i="1"/>
  <c r="B18704" i="1"/>
  <c r="C18704" i="1"/>
  <c r="B18705" i="1"/>
  <c r="C18705" i="1"/>
  <c r="B18706" i="1"/>
  <c r="C18706" i="1"/>
  <c r="B18707" i="1"/>
  <c r="C18707" i="1"/>
  <c r="B18708" i="1"/>
  <c r="C18708" i="1"/>
  <c r="B18709" i="1"/>
  <c r="C18709" i="1"/>
  <c r="B18710" i="1"/>
  <c r="C18710" i="1"/>
  <c r="B18711" i="1"/>
  <c r="C18711" i="1"/>
  <c r="B18712" i="1"/>
  <c r="C18712" i="1"/>
  <c r="B18713" i="1"/>
  <c r="C18713" i="1"/>
  <c r="B18714" i="1"/>
  <c r="C18714" i="1"/>
  <c r="B18715" i="1"/>
  <c r="C18715" i="1"/>
  <c r="B18716" i="1"/>
  <c r="C18716" i="1"/>
  <c r="B18717" i="1"/>
  <c r="C18717" i="1"/>
  <c r="B18718" i="1"/>
  <c r="C18718" i="1"/>
  <c r="B18719" i="1"/>
  <c r="C18719" i="1"/>
  <c r="B18720" i="1"/>
  <c r="C18720" i="1"/>
  <c r="B18721" i="1"/>
  <c r="C18721" i="1"/>
  <c r="B18722" i="1"/>
  <c r="C18722" i="1"/>
  <c r="B18723" i="1"/>
  <c r="C18723" i="1"/>
  <c r="B18724" i="1"/>
  <c r="C18724" i="1"/>
  <c r="B18725" i="1"/>
  <c r="C18725" i="1"/>
  <c r="B18726" i="1"/>
  <c r="C18726" i="1"/>
  <c r="B18727" i="1"/>
  <c r="C18727" i="1"/>
  <c r="B18728" i="1"/>
  <c r="C18728" i="1"/>
  <c r="B18729" i="1"/>
  <c r="C18729" i="1"/>
  <c r="B18730" i="1"/>
  <c r="C18730" i="1"/>
  <c r="B18731" i="1"/>
  <c r="C18731" i="1"/>
  <c r="B18732" i="1"/>
  <c r="C18732" i="1"/>
  <c r="B18733" i="1"/>
  <c r="C18733" i="1"/>
  <c r="B18734" i="1"/>
  <c r="C18734" i="1"/>
  <c r="B18735" i="1"/>
  <c r="C18735" i="1"/>
  <c r="B18736" i="1"/>
  <c r="C18736" i="1"/>
  <c r="B18737" i="1"/>
  <c r="C18737" i="1"/>
  <c r="B18738" i="1"/>
  <c r="C18738" i="1"/>
  <c r="B18739" i="1"/>
  <c r="C18739" i="1"/>
  <c r="B18740" i="1"/>
  <c r="C18740" i="1"/>
  <c r="B18741" i="1"/>
  <c r="C18741" i="1"/>
  <c r="B18742" i="1"/>
  <c r="C18742" i="1"/>
  <c r="B18743" i="1"/>
  <c r="C18743" i="1"/>
  <c r="B18744" i="1"/>
  <c r="C18744" i="1"/>
  <c r="B18745" i="1"/>
  <c r="C18745" i="1"/>
  <c r="B18746" i="1"/>
  <c r="C18746" i="1"/>
  <c r="B18747" i="1"/>
  <c r="C18747" i="1"/>
  <c r="B18748" i="1"/>
  <c r="C18748" i="1"/>
  <c r="B18749" i="1"/>
  <c r="C18749" i="1"/>
  <c r="B18750" i="1"/>
  <c r="C18750" i="1"/>
  <c r="B18751" i="1"/>
  <c r="C18751" i="1"/>
  <c r="B18752" i="1"/>
  <c r="C18752" i="1"/>
  <c r="B18753" i="1"/>
  <c r="C18753" i="1"/>
  <c r="B18754" i="1"/>
  <c r="C18754" i="1"/>
  <c r="B18755" i="1"/>
  <c r="C18755" i="1"/>
  <c r="B18756" i="1"/>
  <c r="C18756" i="1"/>
  <c r="B18757" i="1"/>
  <c r="C18757" i="1"/>
  <c r="B18758" i="1"/>
  <c r="C18758" i="1"/>
  <c r="B18759" i="1"/>
  <c r="C18759" i="1"/>
  <c r="B18760" i="1"/>
  <c r="C18760" i="1"/>
  <c r="B18761" i="1"/>
  <c r="C18761" i="1"/>
  <c r="B18762" i="1"/>
  <c r="C18762" i="1"/>
  <c r="B18763" i="1"/>
  <c r="C18763" i="1"/>
  <c r="B18764" i="1"/>
  <c r="C18764" i="1"/>
  <c r="B18765" i="1"/>
  <c r="C18765" i="1"/>
  <c r="B18766" i="1"/>
  <c r="C18766" i="1"/>
  <c r="B18767" i="1"/>
  <c r="C18767" i="1"/>
  <c r="B18768" i="1"/>
  <c r="C18768" i="1"/>
  <c r="B18769" i="1"/>
  <c r="C18769" i="1"/>
  <c r="B18770" i="1"/>
  <c r="C18770" i="1"/>
  <c r="B18771" i="1"/>
  <c r="C18771" i="1"/>
  <c r="B18772" i="1"/>
  <c r="C18772" i="1"/>
  <c r="B18773" i="1"/>
  <c r="C18773" i="1"/>
  <c r="B18774" i="1"/>
  <c r="C18774" i="1"/>
  <c r="B18775" i="1"/>
  <c r="C18775" i="1"/>
  <c r="B18776" i="1"/>
  <c r="C18776" i="1"/>
  <c r="B18777" i="1"/>
  <c r="C18777" i="1"/>
  <c r="B18778" i="1"/>
  <c r="C18778" i="1"/>
  <c r="B18779" i="1"/>
  <c r="C18779" i="1"/>
  <c r="B18780" i="1"/>
  <c r="C18780" i="1"/>
  <c r="B18781" i="1"/>
  <c r="C18781" i="1"/>
  <c r="B18782" i="1"/>
  <c r="C18782" i="1"/>
  <c r="B18783" i="1"/>
  <c r="C18783" i="1"/>
  <c r="B18784" i="1"/>
  <c r="C18784" i="1"/>
  <c r="B18785" i="1"/>
  <c r="C18785" i="1"/>
  <c r="B18786" i="1"/>
  <c r="C18786" i="1"/>
  <c r="B18787" i="1"/>
  <c r="C18787" i="1"/>
  <c r="B18788" i="1"/>
  <c r="C18788" i="1"/>
  <c r="B18789" i="1"/>
  <c r="C18789" i="1"/>
  <c r="B18790" i="1"/>
  <c r="C18790" i="1"/>
  <c r="B18791" i="1"/>
  <c r="C18791" i="1"/>
  <c r="B18792" i="1"/>
  <c r="C18792" i="1"/>
  <c r="B18793" i="1"/>
  <c r="C18793" i="1"/>
  <c r="B18794" i="1"/>
  <c r="C18794" i="1"/>
  <c r="B18795" i="1"/>
  <c r="C18795" i="1"/>
  <c r="B18796" i="1"/>
  <c r="C18796" i="1"/>
  <c r="B18797" i="1"/>
  <c r="C18797" i="1"/>
  <c r="B18798" i="1"/>
  <c r="C18798" i="1"/>
  <c r="B18799" i="1"/>
  <c r="C18799" i="1"/>
  <c r="B18800" i="1"/>
  <c r="C18800" i="1"/>
  <c r="B18801" i="1"/>
  <c r="C18801" i="1"/>
  <c r="B18802" i="1"/>
  <c r="C18802" i="1"/>
  <c r="B18803" i="1"/>
  <c r="C18803" i="1"/>
  <c r="B18804" i="1"/>
  <c r="C18804" i="1"/>
  <c r="B18805" i="1"/>
  <c r="C18805" i="1"/>
  <c r="B18806" i="1"/>
  <c r="C18806" i="1"/>
  <c r="B18807" i="1"/>
  <c r="C18807" i="1"/>
  <c r="B18808" i="1"/>
  <c r="C18808" i="1"/>
  <c r="B18809" i="1"/>
  <c r="C18809" i="1"/>
  <c r="B18810" i="1"/>
  <c r="C18810" i="1"/>
  <c r="B18811" i="1"/>
  <c r="C18811" i="1"/>
  <c r="B18812" i="1"/>
  <c r="C18812" i="1"/>
  <c r="B18813" i="1"/>
  <c r="C18813" i="1"/>
  <c r="B18814" i="1"/>
  <c r="C18814" i="1"/>
  <c r="B18815" i="1"/>
  <c r="C18815" i="1"/>
  <c r="B18816" i="1"/>
  <c r="C18816" i="1"/>
  <c r="B18817" i="1"/>
  <c r="C18817" i="1"/>
  <c r="B18818" i="1"/>
  <c r="C18818" i="1"/>
  <c r="B18819" i="1"/>
  <c r="C18819" i="1"/>
  <c r="B18820" i="1"/>
  <c r="C18820" i="1"/>
  <c r="B18821" i="1"/>
  <c r="C18821" i="1"/>
  <c r="B18822" i="1"/>
  <c r="C18822" i="1"/>
  <c r="B18823" i="1"/>
  <c r="C18823" i="1"/>
  <c r="B18824" i="1"/>
  <c r="C18824" i="1"/>
  <c r="B18825" i="1"/>
  <c r="C18825" i="1"/>
  <c r="B18826" i="1"/>
  <c r="C18826" i="1"/>
  <c r="B18827" i="1"/>
  <c r="C18827" i="1"/>
  <c r="B18828" i="1"/>
  <c r="C18828" i="1"/>
  <c r="B18829" i="1"/>
  <c r="C18829" i="1"/>
  <c r="B18830" i="1"/>
  <c r="C18830" i="1"/>
  <c r="B18831" i="1"/>
  <c r="C18831" i="1"/>
  <c r="B18832" i="1"/>
  <c r="C18832" i="1"/>
  <c r="B18833" i="1"/>
  <c r="C18833" i="1"/>
  <c r="B18834" i="1"/>
  <c r="C18834" i="1"/>
  <c r="B18835" i="1"/>
  <c r="C18835" i="1"/>
  <c r="B18836" i="1"/>
  <c r="C18836" i="1"/>
  <c r="B18837" i="1"/>
  <c r="C18837" i="1"/>
  <c r="B18838" i="1"/>
  <c r="C18838" i="1"/>
  <c r="B18839" i="1"/>
  <c r="C18839" i="1"/>
  <c r="B18840" i="1"/>
  <c r="C18840" i="1"/>
  <c r="B18841" i="1"/>
  <c r="C18841" i="1"/>
  <c r="B18842" i="1"/>
  <c r="C18842" i="1"/>
  <c r="B18843" i="1"/>
  <c r="C18843" i="1"/>
  <c r="B18844" i="1"/>
  <c r="C18844" i="1"/>
  <c r="B18845" i="1"/>
  <c r="C18845" i="1"/>
  <c r="B18846" i="1"/>
  <c r="C18846" i="1"/>
  <c r="B18847" i="1"/>
  <c r="C18847" i="1"/>
  <c r="B18848" i="1"/>
  <c r="C18848" i="1"/>
  <c r="B18849" i="1"/>
  <c r="C18849" i="1"/>
  <c r="B18850" i="1"/>
  <c r="C18850" i="1"/>
  <c r="B18851" i="1"/>
  <c r="C18851" i="1"/>
  <c r="B18852" i="1"/>
  <c r="C18852" i="1"/>
  <c r="B18853" i="1"/>
  <c r="C18853" i="1"/>
  <c r="B18854" i="1"/>
  <c r="C18854" i="1"/>
  <c r="B18855" i="1"/>
  <c r="C18855" i="1"/>
  <c r="B18856" i="1"/>
  <c r="C18856" i="1"/>
  <c r="B18857" i="1"/>
  <c r="C18857" i="1"/>
  <c r="B18858" i="1"/>
  <c r="C18858" i="1"/>
  <c r="B18859" i="1"/>
  <c r="C18859" i="1"/>
  <c r="B18860" i="1"/>
  <c r="C18860" i="1"/>
  <c r="B18861" i="1"/>
  <c r="C18861" i="1"/>
  <c r="B18862" i="1"/>
  <c r="C18862" i="1"/>
  <c r="B18863" i="1"/>
  <c r="C18863" i="1"/>
  <c r="B18864" i="1"/>
  <c r="C18864" i="1"/>
  <c r="B18865" i="1"/>
  <c r="C18865" i="1"/>
  <c r="B18866" i="1"/>
  <c r="C18866" i="1"/>
  <c r="B18867" i="1"/>
  <c r="C18867" i="1"/>
  <c r="B18868" i="1"/>
  <c r="C18868" i="1"/>
  <c r="B18869" i="1"/>
  <c r="C18869" i="1"/>
  <c r="B18870" i="1"/>
  <c r="C18870" i="1"/>
  <c r="B18871" i="1"/>
  <c r="C18871" i="1"/>
  <c r="B18872" i="1"/>
  <c r="C18872" i="1"/>
  <c r="B18873" i="1"/>
  <c r="C18873" i="1"/>
  <c r="B18874" i="1"/>
  <c r="C18874" i="1"/>
  <c r="B18875" i="1"/>
  <c r="C18875" i="1"/>
  <c r="B18876" i="1"/>
  <c r="C18876" i="1"/>
  <c r="B18877" i="1"/>
  <c r="C18877" i="1"/>
  <c r="B18878" i="1"/>
  <c r="C18878" i="1"/>
  <c r="B18879" i="1"/>
  <c r="C18879" i="1"/>
  <c r="B18880" i="1"/>
  <c r="C18880" i="1"/>
  <c r="B18881" i="1"/>
  <c r="C18881" i="1"/>
  <c r="B18882" i="1"/>
  <c r="C18882" i="1"/>
  <c r="B18883" i="1"/>
  <c r="C18883" i="1"/>
  <c r="B18884" i="1"/>
  <c r="C18884" i="1"/>
  <c r="B18885" i="1"/>
  <c r="C18885" i="1"/>
  <c r="B18886" i="1"/>
  <c r="C18886" i="1"/>
  <c r="B18887" i="1"/>
  <c r="C18887" i="1"/>
  <c r="B18888" i="1"/>
  <c r="C18888" i="1"/>
  <c r="B18889" i="1"/>
  <c r="C18889" i="1"/>
  <c r="B18890" i="1"/>
  <c r="C18890" i="1"/>
  <c r="B18891" i="1"/>
  <c r="C18891" i="1"/>
  <c r="B18892" i="1"/>
  <c r="C18892" i="1"/>
  <c r="B18893" i="1"/>
  <c r="C18893" i="1"/>
  <c r="B18894" i="1"/>
  <c r="C18894" i="1"/>
  <c r="B18895" i="1"/>
  <c r="C18895" i="1"/>
  <c r="B18896" i="1"/>
  <c r="C18896" i="1"/>
  <c r="B18897" i="1"/>
  <c r="C18897" i="1"/>
  <c r="B18898" i="1"/>
  <c r="C18898" i="1"/>
  <c r="B18899" i="1"/>
  <c r="C18899" i="1"/>
  <c r="B18900" i="1"/>
  <c r="C18900" i="1"/>
  <c r="B18901" i="1"/>
  <c r="C18901" i="1"/>
  <c r="B18902" i="1"/>
  <c r="C18902" i="1"/>
  <c r="B18903" i="1"/>
  <c r="C18903" i="1"/>
  <c r="B18904" i="1"/>
  <c r="C18904" i="1"/>
  <c r="B18905" i="1"/>
  <c r="C18905" i="1"/>
  <c r="B18906" i="1"/>
  <c r="C18906" i="1"/>
  <c r="B18907" i="1"/>
  <c r="C18907" i="1"/>
  <c r="B18908" i="1"/>
  <c r="C18908" i="1"/>
  <c r="B18909" i="1"/>
  <c r="C18909" i="1"/>
  <c r="B18910" i="1"/>
  <c r="C18910" i="1"/>
  <c r="B18911" i="1"/>
  <c r="C18911" i="1"/>
  <c r="B18912" i="1"/>
  <c r="C18912" i="1"/>
  <c r="B18913" i="1"/>
  <c r="C18913" i="1"/>
  <c r="B18914" i="1"/>
  <c r="C18914" i="1"/>
  <c r="B18915" i="1"/>
  <c r="C18915" i="1"/>
  <c r="B18916" i="1"/>
  <c r="C18916" i="1"/>
  <c r="B18917" i="1"/>
  <c r="C18917" i="1"/>
  <c r="B18918" i="1"/>
  <c r="C18918" i="1"/>
  <c r="B18919" i="1"/>
  <c r="C18919" i="1"/>
  <c r="B18920" i="1"/>
  <c r="C18920" i="1"/>
  <c r="B18921" i="1"/>
  <c r="C18921" i="1"/>
  <c r="B18922" i="1"/>
  <c r="C18922" i="1"/>
  <c r="B18923" i="1"/>
  <c r="C18923" i="1"/>
  <c r="B18924" i="1"/>
  <c r="C18924" i="1"/>
  <c r="B18925" i="1"/>
  <c r="C18925" i="1"/>
  <c r="B18926" i="1"/>
  <c r="C18926" i="1"/>
  <c r="B18927" i="1"/>
  <c r="C18927" i="1"/>
  <c r="B18928" i="1"/>
  <c r="C18928" i="1"/>
  <c r="B18929" i="1"/>
  <c r="C18929" i="1"/>
  <c r="B18930" i="1"/>
  <c r="C18930" i="1"/>
  <c r="B18931" i="1"/>
  <c r="C18931" i="1"/>
  <c r="B18932" i="1"/>
  <c r="C18932" i="1"/>
  <c r="B18933" i="1"/>
  <c r="C18933" i="1"/>
  <c r="B18934" i="1"/>
  <c r="C18934" i="1"/>
  <c r="B18935" i="1"/>
  <c r="C18935" i="1"/>
  <c r="B18936" i="1"/>
  <c r="C18936" i="1"/>
  <c r="B18937" i="1"/>
  <c r="C18937" i="1"/>
  <c r="B18938" i="1"/>
  <c r="C18938" i="1"/>
  <c r="B18939" i="1"/>
  <c r="C18939" i="1"/>
  <c r="B18940" i="1"/>
  <c r="C18940" i="1"/>
  <c r="B18941" i="1"/>
  <c r="C18941" i="1"/>
  <c r="B18942" i="1"/>
  <c r="C18942" i="1"/>
  <c r="B18943" i="1"/>
  <c r="C18943" i="1"/>
  <c r="B18944" i="1"/>
  <c r="C18944" i="1"/>
  <c r="B18945" i="1"/>
  <c r="C18945" i="1"/>
  <c r="B18946" i="1"/>
  <c r="C18946" i="1"/>
  <c r="B18947" i="1"/>
  <c r="C18947" i="1"/>
  <c r="B18948" i="1"/>
  <c r="C18948" i="1"/>
  <c r="B18949" i="1"/>
  <c r="C18949" i="1"/>
  <c r="B18950" i="1"/>
  <c r="C18950" i="1"/>
  <c r="B18951" i="1"/>
  <c r="C18951" i="1"/>
  <c r="B18952" i="1"/>
  <c r="C18952" i="1"/>
  <c r="B18953" i="1"/>
  <c r="C18953" i="1"/>
  <c r="B18954" i="1"/>
  <c r="C18954" i="1"/>
  <c r="B18955" i="1"/>
  <c r="C18955" i="1"/>
  <c r="B18956" i="1"/>
  <c r="C18956" i="1"/>
  <c r="B18957" i="1"/>
  <c r="C18957" i="1"/>
  <c r="B18958" i="1"/>
  <c r="C18958" i="1"/>
  <c r="B18959" i="1"/>
  <c r="C18959" i="1"/>
  <c r="B18960" i="1"/>
  <c r="C18960" i="1"/>
  <c r="B18961" i="1"/>
  <c r="C18961" i="1"/>
  <c r="B18962" i="1"/>
  <c r="C18962" i="1"/>
  <c r="B18963" i="1"/>
  <c r="C18963" i="1"/>
  <c r="B18964" i="1"/>
  <c r="C18964" i="1"/>
  <c r="B18965" i="1"/>
  <c r="C18965" i="1"/>
  <c r="B18966" i="1"/>
  <c r="C18966" i="1"/>
  <c r="B18967" i="1"/>
  <c r="C18967" i="1"/>
  <c r="B18968" i="1"/>
  <c r="C18968" i="1"/>
  <c r="B18969" i="1"/>
  <c r="C18969" i="1"/>
  <c r="B18970" i="1"/>
  <c r="C18970" i="1"/>
  <c r="B18971" i="1"/>
  <c r="C18971" i="1"/>
  <c r="B18972" i="1"/>
  <c r="C18972" i="1"/>
  <c r="B18973" i="1"/>
  <c r="C18973" i="1"/>
  <c r="B18974" i="1"/>
  <c r="C18974" i="1"/>
  <c r="B18975" i="1"/>
  <c r="C18975" i="1"/>
  <c r="B18976" i="1"/>
  <c r="C18976" i="1"/>
  <c r="B18977" i="1"/>
  <c r="C18977" i="1"/>
  <c r="B18978" i="1"/>
  <c r="C18978" i="1"/>
  <c r="B18979" i="1"/>
  <c r="C18979" i="1"/>
  <c r="B18980" i="1"/>
  <c r="C18980" i="1"/>
  <c r="B18981" i="1"/>
  <c r="C18981" i="1"/>
  <c r="B18982" i="1"/>
  <c r="C18982" i="1"/>
  <c r="B18983" i="1"/>
  <c r="C18983" i="1"/>
  <c r="B18984" i="1"/>
  <c r="C18984" i="1"/>
  <c r="B18985" i="1"/>
  <c r="C18985" i="1"/>
  <c r="B18986" i="1"/>
  <c r="C18986" i="1"/>
  <c r="B18987" i="1"/>
  <c r="C18987" i="1"/>
  <c r="B18988" i="1"/>
  <c r="C18988" i="1"/>
  <c r="B18989" i="1"/>
  <c r="C18989" i="1"/>
  <c r="B18990" i="1"/>
  <c r="C18990" i="1"/>
  <c r="B18991" i="1"/>
  <c r="C18991" i="1"/>
  <c r="B18992" i="1"/>
  <c r="C18992" i="1"/>
  <c r="B18993" i="1"/>
  <c r="C18993" i="1"/>
  <c r="B18994" i="1"/>
  <c r="C18994" i="1"/>
  <c r="B18995" i="1"/>
  <c r="C18995" i="1"/>
  <c r="B18996" i="1"/>
  <c r="C18996" i="1"/>
  <c r="B18997" i="1"/>
  <c r="C18997" i="1"/>
  <c r="B18998" i="1"/>
  <c r="C18998" i="1"/>
  <c r="B18999" i="1"/>
  <c r="C18999" i="1"/>
  <c r="B19000" i="1"/>
  <c r="C19000" i="1"/>
  <c r="B19001" i="1"/>
  <c r="C19001" i="1"/>
  <c r="B19002" i="1"/>
  <c r="C19002" i="1"/>
  <c r="B19003" i="1"/>
  <c r="C19003" i="1"/>
  <c r="B19004" i="1"/>
  <c r="C19004" i="1"/>
  <c r="B19005" i="1"/>
  <c r="C19005" i="1"/>
  <c r="B19006" i="1"/>
  <c r="C19006" i="1"/>
  <c r="B19007" i="1"/>
  <c r="C19007" i="1"/>
  <c r="B19008" i="1"/>
  <c r="C19008" i="1"/>
  <c r="B19009" i="1"/>
  <c r="C19009" i="1"/>
  <c r="B19010" i="1"/>
  <c r="C19010" i="1"/>
  <c r="B19011" i="1"/>
  <c r="C19011" i="1"/>
  <c r="B19012" i="1"/>
  <c r="C19012" i="1"/>
  <c r="B19013" i="1"/>
  <c r="C19013" i="1"/>
  <c r="B19014" i="1"/>
  <c r="C19014" i="1"/>
  <c r="B19015" i="1"/>
  <c r="C19015" i="1"/>
  <c r="B19016" i="1"/>
  <c r="C19016" i="1"/>
  <c r="B19017" i="1"/>
  <c r="C19017" i="1"/>
  <c r="B19018" i="1"/>
  <c r="C19018" i="1"/>
  <c r="B19019" i="1"/>
  <c r="C19019" i="1"/>
  <c r="B19020" i="1"/>
  <c r="C19020" i="1"/>
  <c r="B19021" i="1"/>
  <c r="C19021" i="1"/>
  <c r="B19022" i="1"/>
  <c r="C19022" i="1"/>
  <c r="B19023" i="1"/>
  <c r="C19023" i="1"/>
  <c r="B19024" i="1"/>
  <c r="C19024" i="1"/>
  <c r="B19025" i="1"/>
  <c r="C19025" i="1"/>
  <c r="B19026" i="1"/>
  <c r="C19026" i="1"/>
  <c r="B19027" i="1"/>
  <c r="C19027" i="1"/>
  <c r="B19028" i="1"/>
  <c r="C19028" i="1"/>
  <c r="B19029" i="1"/>
  <c r="C19029" i="1"/>
  <c r="B19030" i="1"/>
  <c r="C19030" i="1"/>
  <c r="B19031" i="1"/>
  <c r="C19031" i="1"/>
  <c r="B19032" i="1"/>
  <c r="C19032" i="1"/>
  <c r="B19033" i="1"/>
  <c r="C19033" i="1"/>
  <c r="B19034" i="1"/>
  <c r="C19034" i="1"/>
  <c r="B19035" i="1"/>
  <c r="C19035" i="1"/>
  <c r="B19036" i="1"/>
  <c r="C19036" i="1"/>
  <c r="B19037" i="1"/>
  <c r="C19037" i="1"/>
  <c r="B19038" i="1"/>
  <c r="C19038" i="1"/>
  <c r="B19039" i="1"/>
  <c r="C19039" i="1"/>
  <c r="B19040" i="1"/>
  <c r="C19040" i="1"/>
  <c r="B19041" i="1"/>
  <c r="C19041" i="1"/>
  <c r="B19042" i="1"/>
  <c r="C19042" i="1"/>
  <c r="B19043" i="1"/>
  <c r="C19043" i="1"/>
  <c r="B19044" i="1"/>
  <c r="C19044" i="1"/>
  <c r="B19045" i="1"/>
  <c r="C19045" i="1"/>
  <c r="B19046" i="1"/>
  <c r="C19046" i="1"/>
  <c r="B19047" i="1"/>
  <c r="C19047" i="1"/>
  <c r="B19048" i="1"/>
  <c r="C19048" i="1"/>
  <c r="B19049" i="1"/>
  <c r="C19049" i="1"/>
  <c r="B19050" i="1"/>
  <c r="C19050" i="1"/>
  <c r="B19051" i="1"/>
  <c r="C19051" i="1"/>
  <c r="B19052" i="1"/>
  <c r="C19052" i="1"/>
  <c r="B19053" i="1"/>
  <c r="C19053" i="1"/>
  <c r="B19054" i="1"/>
  <c r="C19054" i="1"/>
  <c r="B19055" i="1"/>
  <c r="C19055" i="1"/>
  <c r="B19056" i="1"/>
  <c r="C19056" i="1"/>
  <c r="B19057" i="1"/>
  <c r="C19057" i="1"/>
  <c r="B19058" i="1"/>
  <c r="C19058" i="1"/>
  <c r="B19059" i="1"/>
  <c r="C19059" i="1"/>
  <c r="B19060" i="1"/>
  <c r="C19060" i="1"/>
  <c r="B19061" i="1"/>
  <c r="C19061" i="1"/>
  <c r="B19062" i="1"/>
  <c r="C19062" i="1"/>
  <c r="B19063" i="1"/>
  <c r="C19063" i="1"/>
  <c r="B19064" i="1"/>
  <c r="C19064" i="1"/>
  <c r="B19065" i="1"/>
  <c r="C19065" i="1"/>
  <c r="B19066" i="1"/>
  <c r="C19066" i="1"/>
  <c r="B19067" i="1"/>
  <c r="C19067" i="1"/>
  <c r="B19068" i="1"/>
  <c r="C19068" i="1"/>
  <c r="B19069" i="1"/>
  <c r="C19069" i="1"/>
  <c r="B19070" i="1"/>
  <c r="C19070" i="1"/>
  <c r="B19071" i="1"/>
  <c r="C19071" i="1"/>
  <c r="B19072" i="1"/>
  <c r="C19072" i="1"/>
  <c r="B19073" i="1"/>
  <c r="C19073" i="1"/>
  <c r="B19074" i="1"/>
  <c r="C19074" i="1"/>
  <c r="B19075" i="1"/>
  <c r="C19075" i="1"/>
  <c r="B19076" i="1"/>
  <c r="C19076" i="1"/>
  <c r="B19077" i="1"/>
  <c r="C19077" i="1"/>
  <c r="B19078" i="1"/>
  <c r="C19078" i="1"/>
  <c r="B19079" i="1"/>
  <c r="C19079" i="1"/>
  <c r="B19080" i="1"/>
  <c r="C19080" i="1"/>
  <c r="B19081" i="1"/>
  <c r="C19081" i="1"/>
  <c r="B19082" i="1"/>
  <c r="C19082" i="1"/>
  <c r="B19083" i="1"/>
  <c r="C19083" i="1"/>
  <c r="B19084" i="1"/>
  <c r="C19084" i="1"/>
  <c r="B19085" i="1"/>
  <c r="C19085" i="1"/>
  <c r="B19086" i="1"/>
  <c r="C19086" i="1"/>
  <c r="B19087" i="1"/>
  <c r="C19087" i="1"/>
  <c r="B19088" i="1"/>
  <c r="C19088" i="1"/>
  <c r="B19089" i="1"/>
  <c r="C19089" i="1"/>
  <c r="B19090" i="1"/>
  <c r="C19090" i="1"/>
  <c r="B19091" i="1"/>
  <c r="C19091" i="1"/>
  <c r="B19092" i="1"/>
  <c r="C19092" i="1"/>
  <c r="B19093" i="1"/>
  <c r="C19093" i="1"/>
  <c r="B19094" i="1"/>
  <c r="C19094" i="1"/>
  <c r="B19095" i="1"/>
  <c r="C19095" i="1"/>
  <c r="B19096" i="1"/>
  <c r="C19096" i="1"/>
  <c r="B19097" i="1"/>
  <c r="C19097" i="1"/>
  <c r="B19098" i="1"/>
  <c r="C19098" i="1"/>
  <c r="B19099" i="1"/>
  <c r="C19099" i="1"/>
  <c r="B19100" i="1"/>
  <c r="C19100" i="1"/>
  <c r="B19101" i="1"/>
  <c r="C19101" i="1"/>
  <c r="B19102" i="1"/>
  <c r="C19102" i="1"/>
  <c r="B19103" i="1"/>
  <c r="C19103" i="1"/>
  <c r="B19104" i="1"/>
  <c r="C19104" i="1"/>
  <c r="B19105" i="1"/>
  <c r="C19105" i="1"/>
  <c r="B19106" i="1"/>
  <c r="C19106" i="1"/>
  <c r="B19107" i="1"/>
  <c r="C19107" i="1"/>
  <c r="B19108" i="1"/>
  <c r="C19108" i="1"/>
  <c r="B19109" i="1"/>
  <c r="C19109" i="1"/>
  <c r="B19110" i="1"/>
  <c r="C19110" i="1"/>
  <c r="B19111" i="1"/>
  <c r="C19111" i="1"/>
  <c r="B19112" i="1"/>
  <c r="C19112" i="1"/>
  <c r="B19113" i="1"/>
  <c r="C19113" i="1"/>
  <c r="B19114" i="1"/>
  <c r="C19114" i="1"/>
  <c r="B19115" i="1"/>
  <c r="C19115" i="1"/>
  <c r="B19116" i="1"/>
  <c r="C19116" i="1"/>
  <c r="B19117" i="1"/>
  <c r="C19117" i="1"/>
  <c r="B19118" i="1"/>
  <c r="C19118" i="1"/>
  <c r="B19119" i="1"/>
  <c r="C19119" i="1"/>
  <c r="B19120" i="1"/>
  <c r="C19120" i="1"/>
  <c r="B19121" i="1"/>
  <c r="C19121" i="1"/>
  <c r="B19122" i="1"/>
  <c r="C19122" i="1"/>
  <c r="B19123" i="1"/>
  <c r="C19123" i="1"/>
  <c r="B19124" i="1"/>
  <c r="C19124" i="1"/>
  <c r="B19125" i="1"/>
  <c r="C19125" i="1"/>
  <c r="B19126" i="1"/>
  <c r="C19126" i="1"/>
  <c r="B19127" i="1"/>
  <c r="C19127" i="1"/>
  <c r="B19128" i="1"/>
  <c r="C19128" i="1"/>
  <c r="B19129" i="1"/>
  <c r="C19129" i="1"/>
  <c r="B19130" i="1"/>
  <c r="C19130" i="1"/>
  <c r="B19131" i="1"/>
  <c r="C19131" i="1"/>
  <c r="B19132" i="1"/>
  <c r="C19132" i="1"/>
  <c r="B19133" i="1"/>
  <c r="C19133" i="1"/>
  <c r="B19134" i="1"/>
  <c r="C19134" i="1"/>
  <c r="B19135" i="1"/>
  <c r="C19135" i="1"/>
  <c r="B19136" i="1"/>
  <c r="C19136" i="1"/>
  <c r="B19137" i="1"/>
  <c r="C19137" i="1"/>
  <c r="B19138" i="1"/>
  <c r="C19138" i="1"/>
  <c r="B19139" i="1"/>
  <c r="C19139" i="1"/>
  <c r="B19140" i="1"/>
  <c r="C19140" i="1"/>
  <c r="B19141" i="1"/>
  <c r="C19141" i="1"/>
  <c r="B19142" i="1"/>
  <c r="C19142" i="1"/>
  <c r="B19143" i="1"/>
  <c r="C19143" i="1"/>
  <c r="B19144" i="1"/>
  <c r="C19144" i="1"/>
  <c r="B19145" i="1"/>
  <c r="C19145" i="1"/>
  <c r="B19146" i="1"/>
  <c r="C19146" i="1"/>
  <c r="B19147" i="1"/>
  <c r="C19147" i="1"/>
  <c r="B19148" i="1"/>
  <c r="C19148" i="1"/>
  <c r="B19149" i="1"/>
  <c r="C19149" i="1"/>
  <c r="B19150" i="1"/>
  <c r="C19150" i="1"/>
  <c r="B19151" i="1"/>
  <c r="C19151" i="1"/>
  <c r="B19152" i="1"/>
  <c r="C19152" i="1"/>
  <c r="B19153" i="1"/>
  <c r="C19153" i="1"/>
  <c r="B19154" i="1"/>
  <c r="C19154" i="1"/>
  <c r="B19155" i="1"/>
  <c r="C19155" i="1"/>
  <c r="B19156" i="1"/>
  <c r="C19156" i="1"/>
  <c r="B19157" i="1"/>
  <c r="C19157" i="1"/>
  <c r="B19158" i="1"/>
  <c r="C19158" i="1"/>
  <c r="B19159" i="1"/>
  <c r="C19159" i="1"/>
  <c r="B19160" i="1"/>
  <c r="C19160" i="1"/>
  <c r="B19161" i="1"/>
  <c r="C19161" i="1"/>
  <c r="B19162" i="1"/>
  <c r="C19162" i="1"/>
  <c r="B19163" i="1"/>
  <c r="C19163" i="1"/>
  <c r="B19164" i="1"/>
  <c r="C19164" i="1"/>
  <c r="B19165" i="1"/>
  <c r="C19165" i="1"/>
  <c r="B19166" i="1"/>
  <c r="C19166" i="1"/>
  <c r="B19167" i="1"/>
  <c r="C19167" i="1"/>
  <c r="B19168" i="1"/>
  <c r="C19168" i="1"/>
  <c r="B19169" i="1"/>
  <c r="C19169" i="1"/>
  <c r="B19170" i="1"/>
  <c r="C19170" i="1"/>
  <c r="B19171" i="1"/>
  <c r="C19171" i="1"/>
  <c r="B19172" i="1"/>
  <c r="C19172" i="1"/>
  <c r="B19173" i="1"/>
  <c r="C19173" i="1"/>
  <c r="B19174" i="1"/>
  <c r="C19174" i="1"/>
  <c r="B19175" i="1"/>
  <c r="C19175" i="1"/>
  <c r="B19176" i="1"/>
  <c r="C19176" i="1"/>
  <c r="B19177" i="1"/>
  <c r="C19177" i="1"/>
  <c r="B19178" i="1"/>
  <c r="C19178" i="1"/>
  <c r="B19179" i="1"/>
  <c r="C19179" i="1"/>
  <c r="B19180" i="1"/>
  <c r="C19180" i="1"/>
  <c r="B19181" i="1"/>
  <c r="C19181" i="1"/>
  <c r="B19182" i="1"/>
  <c r="C19182" i="1"/>
  <c r="B19183" i="1"/>
  <c r="C19183" i="1"/>
  <c r="B19184" i="1"/>
  <c r="C19184" i="1"/>
  <c r="B19185" i="1"/>
  <c r="C19185" i="1"/>
  <c r="B19186" i="1"/>
  <c r="C19186" i="1"/>
  <c r="B19187" i="1"/>
  <c r="C19187" i="1"/>
  <c r="B19188" i="1"/>
  <c r="C19188" i="1"/>
  <c r="B19189" i="1"/>
  <c r="C19189" i="1"/>
  <c r="B19190" i="1"/>
  <c r="C19190" i="1"/>
  <c r="B19191" i="1"/>
  <c r="C19191" i="1"/>
  <c r="B19192" i="1"/>
  <c r="C19192" i="1"/>
  <c r="B19193" i="1"/>
  <c r="C19193" i="1"/>
  <c r="B19194" i="1"/>
  <c r="C19194" i="1"/>
  <c r="B19195" i="1"/>
  <c r="C19195" i="1"/>
  <c r="B19196" i="1"/>
  <c r="C19196" i="1"/>
  <c r="B19197" i="1"/>
  <c r="C19197" i="1"/>
  <c r="B19198" i="1"/>
  <c r="C19198" i="1"/>
  <c r="B19199" i="1"/>
  <c r="C19199" i="1"/>
  <c r="B19200" i="1"/>
  <c r="C19200" i="1"/>
  <c r="B19201" i="1"/>
  <c r="C19201" i="1"/>
  <c r="B19202" i="1"/>
  <c r="C19202" i="1"/>
  <c r="B19203" i="1"/>
  <c r="C19203" i="1"/>
  <c r="B19204" i="1"/>
  <c r="C19204" i="1"/>
  <c r="B19205" i="1"/>
  <c r="C19205" i="1"/>
  <c r="B19206" i="1"/>
  <c r="C19206" i="1"/>
  <c r="B19207" i="1"/>
  <c r="C19207" i="1"/>
  <c r="B19208" i="1"/>
  <c r="C19208" i="1"/>
  <c r="B19209" i="1"/>
  <c r="C19209" i="1"/>
  <c r="B19210" i="1"/>
  <c r="C19210" i="1"/>
  <c r="B19211" i="1"/>
  <c r="C19211" i="1"/>
  <c r="B19212" i="1"/>
  <c r="C19212" i="1"/>
  <c r="B19213" i="1"/>
  <c r="C19213" i="1"/>
  <c r="B19214" i="1"/>
  <c r="C19214" i="1"/>
  <c r="B19215" i="1"/>
  <c r="C19215" i="1"/>
  <c r="B19216" i="1"/>
  <c r="C19216" i="1"/>
  <c r="B19217" i="1"/>
  <c r="C19217" i="1"/>
  <c r="B19218" i="1"/>
  <c r="C19218" i="1"/>
  <c r="B19219" i="1"/>
  <c r="C19219" i="1"/>
  <c r="B19220" i="1"/>
  <c r="C19220" i="1"/>
  <c r="B19221" i="1"/>
  <c r="C19221" i="1"/>
  <c r="B19222" i="1"/>
  <c r="C19222" i="1"/>
  <c r="B19223" i="1"/>
  <c r="C19223" i="1"/>
  <c r="B19224" i="1"/>
  <c r="C19224" i="1"/>
  <c r="B19225" i="1"/>
  <c r="C19225" i="1"/>
  <c r="B19226" i="1"/>
  <c r="C19226" i="1"/>
  <c r="B19227" i="1"/>
  <c r="C19227" i="1"/>
  <c r="B19228" i="1"/>
  <c r="C19228" i="1"/>
  <c r="B19229" i="1"/>
  <c r="C19229" i="1"/>
  <c r="B19230" i="1"/>
  <c r="C19230" i="1"/>
  <c r="B19231" i="1"/>
  <c r="C19231" i="1"/>
  <c r="B19232" i="1"/>
  <c r="C19232" i="1"/>
  <c r="B19233" i="1"/>
  <c r="C19233" i="1"/>
  <c r="B19234" i="1"/>
  <c r="C19234" i="1"/>
  <c r="B19235" i="1"/>
  <c r="C19235" i="1"/>
  <c r="B19236" i="1"/>
  <c r="C19236" i="1"/>
  <c r="B19237" i="1"/>
  <c r="C19237" i="1"/>
  <c r="B19238" i="1"/>
  <c r="C19238" i="1"/>
  <c r="B19239" i="1"/>
  <c r="C19239" i="1"/>
  <c r="B19240" i="1"/>
  <c r="C19240" i="1"/>
  <c r="B19241" i="1"/>
  <c r="C19241" i="1"/>
  <c r="B19242" i="1"/>
  <c r="C19242" i="1"/>
  <c r="B19243" i="1"/>
  <c r="C19243" i="1"/>
  <c r="B19244" i="1"/>
  <c r="C19244" i="1"/>
  <c r="B19245" i="1"/>
  <c r="C19245" i="1"/>
  <c r="B19246" i="1"/>
  <c r="C19246" i="1"/>
  <c r="B19247" i="1"/>
  <c r="C19247" i="1"/>
  <c r="B19248" i="1"/>
  <c r="C19248" i="1"/>
  <c r="B19249" i="1"/>
  <c r="C19249" i="1"/>
  <c r="B19250" i="1"/>
  <c r="C19250" i="1"/>
  <c r="B19251" i="1"/>
  <c r="C19251" i="1"/>
  <c r="B19252" i="1"/>
  <c r="C19252" i="1"/>
  <c r="B19253" i="1"/>
  <c r="C19253" i="1"/>
  <c r="B19254" i="1"/>
  <c r="C19254" i="1"/>
  <c r="B19255" i="1"/>
  <c r="C19255" i="1"/>
  <c r="B19256" i="1"/>
  <c r="C19256" i="1"/>
  <c r="B19257" i="1"/>
  <c r="C19257" i="1"/>
  <c r="B19258" i="1"/>
  <c r="C19258" i="1"/>
  <c r="B19259" i="1"/>
  <c r="C19259" i="1"/>
  <c r="B19260" i="1"/>
  <c r="C19260" i="1"/>
  <c r="B19261" i="1"/>
  <c r="C19261" i="1"/>
  <c r="B19262" i="1"/>
  <c r="C19262" i="1"/>
  <c r="B19263" i="1"/>
  <c r="C19263" i="1"/>
  <c r="B19264" i="1"/>
  <c r="C19264" i="1"/>
  <c r="B19265" i="1"/>
  <c r="C19265" i="1"/>
  <c r="B19266" i="1"/>
  <c r="C19266" i="1"/>
  <c r="B19267" i="1"/>
  <c r="C19267" i="1"/>
  <c r="B19268" i="1"/>
  <c r="C19268" i="1"/>
  <c r="B19269" i="1"/>
  <c r="C19269" i="1"/>
  <c r="B19270" i="1"/>
  <c r="C19270" i="1"/>
  <c r="B19271" i="1"/>
  <c r="C19271" i="1"/>
  <c r="B19272" i="1"/>
  <c r="C19272" i="1"/>
  <c r="B19273" i="1"/>
  <c r="C19273" i="1"/>
  <c r="B19274" i="1"/>
  <c r="C19274" i="1"/>
  <c r="B19275" i="1"/>
  <c r="C19275" i="1"/>
  <c r="B19276" i="1"/>
  <c r="C19276" i="1"/>
  <c r="B19277" i="1"/>
  <c r="C19277" i="1"/>
  <c r="B19278" i="1"/>
  <c r="C19278" i="1"/>
  <c r="B19279" i="1"/>
  <c r="C19279" i="1"/>
  <c r="B19280" i="1"/>
  <c r="C19280" i="1"/>
  <c r="B19281" i="1"/>
  <c r="C19281" i="1"/>
  <c r="B19282" i="1"/>
  <c r="C19282" i="1"/>
  <c r="B19283" i="1"/>
  <c r="C19283" i="1"/>
  <c r="B19284" i="1"/>
  <c r="C19284" i="1"/>
  <c r="B19285" i="1"/>
  <c r="C19285" i="1"/>
  <c r="B19286" i="1"/>
  <c r="C19286" i="1"/>
  <c r="B19287" i="1"/>
  <c r="C19287" i="1"/>
  <c r="B19288" i="1"/>
  <c r="C19288" i="1"/>
  <c r="B19289" i="1"/>
  <c r="C19289" i="1"/>
  <c r="B19290" i="1"/>
  <c r="C19290" i="1"/>
  <c r="B19291" i="1"/>
  <c r="C19291" i="1"/>
  <c r="B19292" i="1"/>
  <c r="C19292" i="1"/>
  <c r="B19293" i="1"/>
  <c r="C19293" i="1"/>
  <c r="B19294" i="1"/>
  <c r="C19294" i="1"/>
  <c r="B19295" i="1"/>
  <c r="C19295" i="1"/>
  <c r="B19296" i="1"/>
  <c r="C19296" i="1"/>
  <c r="B19297" i="1"/>
  <c r="C19297" i="1"/>
  <c r="B19298" i="1"/>
  <c r="C19298" i="1"/>
  <c r="B19299" i="1"/>
  <c r="C19299" i="1"/>
  <c r="B19300" i="1"/>
  <c r="C19300" i="1"/>
  <c r="B19301" i="1"/>
  <c r="C19301" i="1"/>
  <c r="B19302" i="1"/>
  <c r="C19302" i="1"/>
  <c r="B19303" i="1"/>
  <c r="C19303" i="1"/>
  <c r="B19304" i="1"/>
  <c r="C19304" i="1"/>
  <c r="B19305" i="1"/>
  <c r="C19305" i="1"/>
  <c r="B19306" i="1"/>
  <c r="C19306" i="1"/>
  <c r="B19307" i="1"/>
  <c r="C19307" i="1"/>
  <c r="B19308" i="1"/>
  <c r="C19308" i="1"/>
  <c r="B19309" i="1"/>
  <c r="C19309" i="1"/>
  <c r="B19310" i="1"/>
  <c r="C19310" i="1"/>
  <c r="B19311" i="1"/>
  <c r="C19311" i="1"/>
  <c r="B19312" i="1"/>
  <c r="C19312" i="1"/>
  <c r="B19313" i="1"/>
  <c r="C19313" i="1"/>
  <c r="B19314" i="1"/>
  <c r="C19314" i="1"/>
  <c r="B19315" i="1"/>
  <c r="C19315" i="1"/>
  <c r="B19316" i="1"/>
  <c r="C19316" i="1"/>
  <c r="B19317" i="1"/>
  <c r="C19317" i="1"/>
  <c r="B19318" i="1"/>
  <c r="C19318" i="1"/>
  <c r="B19319" i="1"/>
  <c r="C19319" i="1"/>
  <c r="B19320" i="1"/>
  <c r="C19320" i="1"/>
  <c r="B19321" i="1"/>
  <c r="C19321" i="1"/>
  <c r="B19322" i="1"/>
  <c r="C19322" i="1"/>
  <c r="B19323" i="1"/>
  <c r="C19323" i="1"/>
  <c r="B19324" i="1"/>
  <c r="C19324" i="1"/>
  <c r="B19325" i="1"/>
  <c r="C19325" i="1"/>
  <c r="B19326" i="1"/>
  <c r="C19326" i="1"/>
  <c r="B19327" i="1"/>
  <c r="C19327" i="1"/>
  <c r="B19328" i="1"/>
  <c r="C19328" i="1"/>
  <c r="B19329" i="1"/>
  <c r="C19329" i="1"/>
  <c r="B19330" i="1"/>
  <c r="C19330" i="1"/>
  <c r="B19331" i="1"/>
  <c r="C19331" i="1"/>
  <c r="B19332" i="1"/>
  <c r="C19332" i="1"/>
  <c r="B19333" i="1"/>
  <c r="C19333" i="1"/>
  <c r="B19334" i="1"/>
  <c r="C19334" i="1"/>
  <c r="B19335" i="1"/>
  <c r="C19335" i="1"/>
  <c r="B19336" i="1"/>
  <c r="C19336" i="1"/>
  <c r="B19337" i="1"/>
  <c r="C19337" i="1"/>
  <c r="B19338" i="1"/>
  <c r="C19338" i="1"/>
  <c r="B19339" i="1"/>
  <c r="C19339" i="1"/>
  <c r="B19340" i="1"/>
  <c r="C19340" i="1"/>
  <c r="B19341" i="1"/>
  <c r="C19341" i="1"/>
  <c r="B19342" i="1"/>
  <c r="C19342" i="1"/>
  <c r="B19343" i="1"/>
  <c r="C19343" i="1"/>
  <c r="B19344" i="1"/>
  <c r="C19344" i="1"/>
  <c r="B19345" i="1"/>
  <c r="C19345" i="1"/>
  <c r="B19346" i="1"/>
  <c r="C19346" i="1"/>
  <c r="B19347" i="1"/>
  <c r="C19347" i="1"/>
  <c r="B19348" i="1"/>
  <c r="C19348" i="1"/>
  <c r="B19349" i="1"/>
  <c r="C19349" i="1"/>
  <c r="B19350" i="1"/>
  <c r="C19350" i="1"/>
  <c r="B19351" i="1"/>
  <c r="C19351" i="1"/>
  <c r="B19352" i="1"/>
  <c r="C19352" i="1"/>
  <c r="B19353" i="1"/>
  <c r="C19353" i="1"/>
  <c r="B19354" i="1"/>
  <c r="C19354" i="1"/>
  <c r="B19355" i="1"/>
  <c r="C19355" i="1"/>
  <c r="B19356" i="1"/>
  <c r="C19356" i="1"/>
  <c r="B19357" i="1"/>
  <c r="C19357" i="1"/>
  <c r="B19358" i="1"/>
  <c r="C19358" i="1"/>
  <c r="B19359" i="1"/>
  <c r="C19359" i="1"/>
  <c r="B19360" i="1"/>
  <c r="C19360" i="1"/>
  <c r="B19361" i="1"/>
  <c r="C19361" i="1"/>
  <c r="B19362" i="1"/>
  <c r="C19362" i="1"/>
  <c r="B19363" i="1"/>
  <c r="C19363" i="1"/>
  <c r="B19364" i="1"/>
  <c r="C19364" i="1"/>
  <c r="B19365" i="1"/>
  <c r="C19365" i="1"/>
  <c r="B19366" i="1"/>
  <c r="C19366" i="1"/>
  <c r="B19367" i="1"/>
  <c r="C19367" i="1"/>
  <c r="B19368" i="1"/>
  <c r="C19368" i="1"/>
  <c r="B19369" i="1"/>
  <c r="C19369" i="1"/>
  <c r="B19370" i="1"/>
  <c r="C19370" i="1"/>
  <c r="B19371" i="1"/>
  <c r="C19371" i="1"/>
  <c r="B19372" i="1"/>
  <c r="C19372" i="1"/>
  <c r="B19373" i="1"/>
  <c r="C19373" i="1"/>
  <c r="B19374" i="1"/>
  <c r="C19374" i="1"/>
  <c r="B19375" i="1"/>
  <c r="C19375" i="1"/>
  <c r="B19376" i="1"/>
  <c r="C19376" i="1"/>
  <c r="B19377" i="1"/>
  <c r="C19377" i="1"/>
  <c r="B19378" i="1"/>
  <c r="C19378" i="1"/>
  <c r="B19379" i="1"/>
  <c r="C19379" i="1"/>
  <c r="B19380" i="1"/>
  <c r="C19380" i="1"/>
  <c r="B19381" i="1"/>
  <c r="C19381" i="1"/>
  <c r="B19382" i="1"/>
  <c r="C19382" i="1"/>
  <c r="B19383" i="1"/>
  <c r="C19383" i="1"/>
  <c r="B19384" i="1"/>
  <c r="C19384" i="1"/>
  <c r="B19385" i="1"/>
  <c r="C19385" i="1"/>
  <c r="B19386" i="1"/>
  <c r="C19386" i="1"/>
  <c r="B19387" i="1"/>
  <c r="C19387" i="1"/>
  <c r="B19388" i="1"/>
  <c r="C19388" i="1"/>
  <c r="B19389" i="1"/>
  <c r="C19389" i="1"/>
  <c r="B19390" i="1"/>
  <c r="C19390" i="1"/>
  <c r="B19391" i="1"/>
  <c r="C19391" i="1"/>
  <c r="B19392" i="1"/>
  <c r="C19392" i="1"/>
  <c r="B19393" i="1"/>
  <c r="C19393" i="1"/>
  <c r="B19394" i="1"/>
  <c r="C19394" i="1"/>
  <c r="B19395" i="1"/>
  <c r="C19395" i="1"/>
  <c r="B19396" i="1"/>
  <c r="C19396" i="1"/>
  <c r="B19397" i="1"/>
  <c r="C19397" i="1"/>
  <c r="B19398" i="1"/>
  <c r="C19398" i="1"/>
  <c r="B19399" i="1"/>
  <c r="C19399" i="1"/>
  <c r="B19400" i="1"/>
  <c r="C19400" i="1"/>
  <c r="B19401" i="1"/>
  <c r="C19401" i="1"/>
  <c r="B19402" i="1"/>
  <c r="C19402" i="1"/>
  <c r="B19403" i="1"/>
  <c r="C19403" i="1"/>
  <c r="B19404" i="1"/>
  <c r="C19404" i="1"/>
  <c r="B19405" i="1"/>
  <c r="C19405" i="1"/>
  <c r="B19406" i="1"/>
  <c r="C19406" i="1"/>
  <c r="B19407" i="1"/>
  <c r="C19407" i="1"/>
  <c r="B19408" i="1"/>
  <c r="C19408" i="1"/>
  <c r="B19409" i="1"/>
  <c r="C19409" i="1"/>
  <c r="B19410" i="1"/>
  <c r="C19410" i="1"/>
  <c r="B19411" i="1"/>
  <c r="C19411" i="1"/>
  <c r="B19412" i="1"/>
  <c r="C19412" i="1"/>
  <c r="B19413" i="1"/>
  <c r="C19413" i="1"/>
  <c r="B19414" i="1"/>
  <c r="C19414" i="1"/>
  <c r="B19415" i="1"/>
  <c r="C19415" i="1"/>
  <c r="B19416" i="1"/>
  <c r="C19416" i="1"/>
  <c r="B19417" i="1"/>
  <c r="C19417" i="1"/>
  <c r="B19418" i="1"/>
  <c r="C19418" i="1"/>
  <c r="B19419" i="1"/>
  <c r="C19419" i="1"/>
  <c r="B19420" i="1"/>
  <c r="C19420" i="1"/>
  <c r="B19421" i="1"/>
  <c r="C19421" i="1"/>
  <c r="B19422" i="1"/>
  <c r="C19422" i="1"/>
  <c r="B19423" i="1"/>
  <c r="C19423" i="1"/>
  <c r="B19424" i="1"/>
  <c r="C19424" i="1"/>
  <c r="B19425" i="1"/>
  <c r="C19425" i="1"/>
  <c r="B19426" i="1"/>
  <c r="C19426" i="1"/>
  <c r="B19427" i="1"/>
  <c r="C19427" i="1"/>
  <c r="B19428" i="1"/>
  <c r="C19428" i="1"/>
  <c r="B19429" i="1"/>
  <c r="C19429" i="1"/>
  <c r="B19430" i="1"/>
  <c r="C19430" i="1"/>
  <c r="B19431" i="1"/>
  <c r="C19431" i="1"/>
  <c r="B19432" i="1"/>
  <c r="C19432" i="1"/>
  <c r="B19433" i="1"/>
  <c r="C19433" i="1"/>
  <c r="B19434" i="1"/>
  <c r="C19434" i="1"/>
  <c r="B19435" i="1"/>
  <c r="C19435" i="1"/>
  <c r="B19436" i="1"/>
  <c r="C19436" i="1"/>
  <c r="B19437" i="1"/>
  <c r="C19437" i="1"/>
  <c r="B19438" i="1"/>
  <c r="C19438" i="1"/>
  <c r="B19439" i="1"/>
  <c r="C19439" i="1"/>
  <c r="B19440" i="1"/>
  <c r="C19440" i="1"/>
  <c r="B19441" i="1"/>
  <c r="C19441" i="1"/>
  <c r="B19442" i="1"/>
  <c r="C19442" i="1"/>
  <c r="B19443" i="1"/>
  <c r="C19443" i="1"/>
  <c r="B19444" i="1"/>
  <c r="C19444" i="1"/>
  <c r="B19445" i="1"/>
  <c r="C19445" i="1"/>
  <c r="B19446" i="1"/>
  <c r="C19446" i="1"/>
  <c r="B19447" i="1"/>
  <c r="C19447" i="1"/>
  <c r="B19448" i="1"/>
  <c r="C19448" i="1"/>
  <c r="B19449" i="1"/>
  <c r="C19449" i="1"/>
  <c r="B19450" i="1"/>
  <c r="C19450" i="1"/>
  <c r="B19451" i="1"/>
  <c r="C19451" i="1"/>
  <c r="B19452" i="1"/>
  <c r="C19452" i="1"/>
  <c r="B19453" i="1"/>
  <c r="C19453" i="1"/>
  <c r="B19454" i="1"/>
  <c r="C19454" i="1"/>
  <c r="B19455" i="1"/>
  <c r="C19455" i="1"/>
  <c r="B19456" i="1"/>
  <c r="C19456" i="1"/>
  <c r="B19457" i="1"/>
  <c r="C19457" i="1"/>
  <c r="B19458" i="1"/>
  <c r="C19458" i="1"/>
  <c r="B19459" i="1"/>
  <c r="C19459" i="1"/>
  <c r="B19460" i="1"/>
  <c r="C19460" i="1"/>
  <c r="B19461" i="1"/>
  <c r="C19461" i="1"/>
  <c r="B19462" i="1"/>
  <c r="C19462" i="1"/>
  <c r="B19463" i="1"/>
  <c r="C19463" i="1"/>
  <c r="B19464" i="1"/>
  <c r="C19464" i="1"/>
  <c r="B19465" i="1"/>
  <c r="C19465" i="1"/>
  <c r="B19466" i="1"/>
  <c r="C19466" i="1"/>
  <c r="B19467" i="1"/>
  <c r="C19467" i="1"/>
  <c r="B19468" i="1"/>
  <c r="C19468" i="1"/>
  <c r="B19469" i="1"/>
  <c r="C19469" i="1"/>
  <c r="B19470" i="1"/>
  <c r="C19470" i="1"/>
  <c r="B19471" i="1"/>
  <c r="C19471" i="1"/>
  <c r="B19472" i="1"/>
  <c r="C19472" i="1"/>
  <c r="B19473" i="1"/>
  <c r="C19473" i="1"/>
  <c r="B19474" i="1"/>
  <c r="C19474" i="1"/>
  <c r="B19475" i="1"/>
  <c r="C19475" i="1"/>
  <c r="B19476" i="1"/>
  <c r="C19476" i="1"/>
  <c r="B19477" i="1"/>
  <c r="C19477" i="1"/>
  <c r="B19478" i="1"/>
  <c r="C19478" i="1"/>
  <c r="B19479" i="1"/>
  <c r="C19479" i="1"/>
  <c r="B19480" i="1"/>
  <c r="C19480" i="1"/>
  <c r="B19481" i="1"/>
  <c r="C19481" i="1"/>
  <c r="B19482" i="1"/>
  <c r="C19482" i="1"/>
  <c r="B19483" i="1"/>
  <c r="C19483" i="1"/>
  <c r="B19484" i="1"/>
  <c r="C19484" i="1"/>
  <c r="B19485" i="1"/>
  <c r="C19485" i="1"/>
  <c r="B19486" i="1"/>
  <c r="C19486" i="1"/>
  <c r="B19487" i="1"/>
  <c r="C19487" i="1"/>
  <c r="B19488" i="1"/>
  <c r="C19488" i="1"/>
  <c r="B19489" i="1"/>
  <c r="C19489" i="1"/>
  <c r="B19490" i="1"/>
  <c r="C19490" i="1"/>
  <c r="B19491" i="1"/>
  <c r="C19491" i="1"/>
  <c r="B19492" i="1"/>
  <c r="C19492" i="1"/>
  <c r="B19493" i="1"/>
  <c r="C19493" i="1"/>
  <c r="B19494" i="1"/>
  <c r="C19494" i="1"/>
  <c r="B19495" i="1"/>
  <c r="C19495" i="1"/>
  <c r="B19496" i="1"/>
  <c r="C19496" i="1"/>
  <c r="B19497" i="1"/>
  <c r="C19497" i="1"/>
  <c r="B19498" i="1"/>
  <c r="C19498" i="1"/>
  <c r="B19499" i="1"/>
  <c r="C19499" i="1"/>
  <c r="B19500" i="1"/>
  <c r="C19500" i="1"/>
  <c r="B19501" i="1"/>
  <c r="C19501" i="1"/>
  <c r="B19502" i="1"/>
  <c r="C19502" i="1"/>
  <c r="B19503" i="1"/>
  <c r="C19503" i="1"/>
  <c r="B19504" i="1"/>
  <c r="C19504" i="1"/>
  <c r="B19505" i="1"/>
  <c r="C19505" i="1"/>
  <c r="B19506" i="1"/>
  <c r="C19506" i="1"/>
  <c r="B19507" i="1"/>
  <c r="C19507" i="1"/>
  <c r="B19508" i="1"/>
  <c r="C19508" i="1"/>
  <c r="B19509" i="1"/>
  <c r="C19509" i="1"/>
  <c r="B19510" i="1"/>
  <c r="C19510" i="1"/>
  <c r="B19511" i="1"/>
  <c r="C19511" i="1"/>
  <c r="B19512" i="1"/>
  <c r="C19512" i="1"/>
  <c r="B19513" i="1"/>
  <c r="C19513" i="1"/>
  <c r="B19514" i="1"/>
  <c r="C19514" i="1"/>
  <c r="B19515" i="1"/>
  <c r="C19515" i="1"/>
  <c r="B19516" i="1"/>
  <c r="C19516" i="1"/>
  <c r="B19517" i="1"/>
  <c r="C19517" i="1"/>
  <c r="B19518" i="1"/>
  <c r="C19518" i="1"/>
  <c r="B19519" i="1"/>
  <c r="C19519" i="1"/>
  <c r="B19520" i="1"/>
  <c r="C19520" i="1"/>
  <c r="B19521" i="1"/>
  <c r="C19521" i="1"/>
  <c r="B19522" i="1"/>
  <c r="C19522" i="1"/>
  <c r="B19523" i="1"/>
  <c r="C19523" i="1"/>
  <c r="B19524" i="1"/>
  <c r="C19524" i="1"/>
  <c r="B19525" i="1"/>
  <c r="C19525" i="1"/>
  <c r="B19526" i="1"/>
  <c r="C19526" i="1"/>
  <c r="B19527" i="1"/>
  <c r="C19527" i="1"/>
  <c r="B19528" i="1"/>
  <c r="C19528" i="1"/>
  <c r="B19529" i="1"/>
  <c r="C19529" i="1"/>
  <c r="B19530" i="1"/>
  <c r="C19530" i="1"/>
  <c r="B19531" i="1"/>
  <c r="C19531" i="1"/>
  <c r="B19532" i="1"/>
  <c r="C19532" i="1"/>
  <c r="B19533" i="1"/>
  <c r="C19533" i="1"/>
  <c r="B19534" i="1"/>
  <c r="C19534" i="1"/>
  <c r="B19535" i="1"/>
  <c r="C19535" i="1"/>
  <c r="B19536" i="1"/>
  <c r="C19536" i="1"/>
  <c r="B19537" i="1"/>
  <c r="C19537" i="1"/>
  <c r="B19538" i="1"/>
  <c r="C19538" i="1"/>
  <c r="B19539" i="1"/>
  <c r="C19539" i="1"/>
  <c r="B19540" i="1"/>
  <c r="C19540" i="1"/>
  <c r="B19541" i="1"/>
  <c r="C19541" i="1"/>
  <c r="B19542" i="1"/>
  <c r="C19542" i="1"/>
  <c r="B19543" i="1"/>
  <c r="C19543" i="1"/>
  <c r="B19544" i="1"/>
  <c r="C19544" i="1"/>
  <c r="B19545" i="1"/>
  <c r="C19545" i="1"/>
  <c r="B19546" i="1"/>
  <c r="C19546" i="1"/>
  <c r="B19547" i="1"/>
  <c r="C19547" i="1"/>
  <c r="B19548" i="1"/>
  <c r="C19548" i="1"/>
  <c r="B19549" i="1"/>
  <c r="C19549" i="1"/>
  <c r="B19550" i="1"/>
  <c r="C19550" i="1"/>
  <c r="B19551" i="1"/>
  <c r="C19551" i="1"/>
  <c r="B19552" i="1"/>
  <c r="C19552" i="1"/>
  <c r="B19553" i="1"/>
  <c r="C19553" i="1"/>
  <c r="B19554" i="1"/>
  <c r="C19554" i="1"/>
  <c r="B19555" i="1"/>
  <c r="C19555" i="1"/>
  <c r="B19556" i="1"/>
  <c r="C19556" i="1"/>
  <c r="B19557" i="1"/>
  <c r="C19557" i="1"/>
  <c r="B19558" i="1"/>
  <c r="C19558" i="1"/>
  <c r="B19559" i="1"/>
  <c r="C19559" i="1"/>
  <c r="B19560" i="1"/>
  <c r="C19560" i="1"/>
  <c r="B19561" i="1"/>
  <c r="C19561" i="1"/>
  <c r="B19562" i="1"/>
  <c r="C19562" i="1"/>
  <c r="B19563" i="1"/>
  <c r="C19563" i="1"/>
  <c r="B19564" i="1"/>
  <c r="C19564" i="1"/>
  <c r="B19565" i="1"/>
  <c r="C19565" i="1"/>
  <c r="B19566" i="1"/>
  <c r="C19566" i="1"/>
  <c r="B19567" i="1"/>
  <c r="C19567" i="1"/>
  <c r="B19568" i="1"/>
  <c r="C19568" i="1"/>
  <c r="B19569" i="1"/>
  <c r="C19569" i="1"/>
  <c r="B19570" i="1"/>
  <c r="C19570" i="1"/>
  <c r="B19571" i="1"/>
  <c r="C19571" i="1"/>
  <c r="B19572" i="1"/>
  <c r="C19572" i="1"/>
  <c r="B19573" i="1"/>
  <c r="C19573" i="1"/>
  <c r="B19574" i="1"/>
  <c r="C19574" i="1"/>
  <c r="B19575" i="1"/>
  <c r="C19575" i="1"/>
  <c r="B19576" i="1"/>
  <c r="C19576" i="1"/>
  <c r="B19577" i="1"/>
  <c r="C19577" i="1"/>
  <c r="B19578" i="1"/>
  <c r="C19578" i="1"/>
  <c r="B19579" i="1"/>
  <c r="C19579" i="1"/>
  <c r="B19580" i="1"/>
  <c r="C19580" i="1"/>
  <c r="B19581" i="1"/>
  <c r="C19581" i="1"/>
  <c r="B19582" i="1"/>
  <c r="C19582" i="1"/>
  <c r="B19583" i="1"/>
  <c r="C19583" i="1"/>
  <c r="B19584" i="1"/>
  <c r="C19584" i="1"/>
  <c r="B19585" i="1"/>
  <c r="C19585" i="1"/>
  <c r="B19586" i="1"/>
  <c r="C19586" i="1"/>
  <c r="B19587" i="1"/>
  <c r="C19587" i="1"/>
  <c r="B19588" i="1"/>
  <c r="C19588" i="1"/>
  <c r="B19589" i="1"/>
  <c r="C19589" i="1"/>
  <c r="B19590" i="1"/>
  <c r="C19590" i="1"/>
  <c r="B19591" i="1"/>
  <c r="C19591" i="1"/>
  <c r="B19592" i="1"/>
  <c r="C19592" i="1"/>
  <c r="B19593" i="1"/>
  <c r="C19593" i="1"/>
  <c r="B19594" i="1"/>
  <c r="C19594" i="1"/>
  <c r="B19595" i="1"/>
  <c r="C19595" i="1"/>
  <c r="B19596" i="1"/>
  <c r="C19596" i="1"/>
  <c r="B19597" i="1"/>
  <c r="C19597" i="1"/>
  <c r="B19598" i="1"/>
  <c r="C19598" i="1"/>
  <c r="B19599" i="1"/>
  <c r="C19599" i="1"/>
  <c r="B19600" i="1"/>
  <c r="C19600" i="1"/>
  <c r="B19601" i="1"/>
  <c r="C19601" i="1"/>
  <c r="B19602" i="1"/>
  <c r="C19602" i="1"/>
  <c r="B19603" i="1"/>
  <c r="C19603" i="1"/>
  <c r="B19604" i="1"/>
  <c r="C19604" i="1"/>
  <c r="B19605" i="1"/>
  <c r="C19605" i="1"/>
  <c r="B19606" i="1"/>
  <c r="C19606" i="1"/>
  <c r="B19607" i="1"/>
  <c r="C19607" i="1"/>
  <c r="B19608" i="1"/>
  <c r="C19608" i="1"/>
  <c r="B19609" i="1"/>
  <c r="C19609" i="1"/>
  <c r="B19610" i="1"/>
  <c r="C19610" i="1"/>
  <c r="B19611" i="1"/>
  <c r="C19611" i="1"/>
  <c r="B19612" i="1"/>
  <c r="C19612" i="1"/>
  <c r="B19613" i="1"/>
  <c r="C19613" i="1"/>
  <c r="B19614" i="1"/>
  <c r="C19614" i="1"/>
  <c r="B19615" i="1"/>
  <c r="C19615" i="1"/>
  <c r="B19616" i="1"/>
  <c r="C19616" i="1"/>
  <c r="B19617" i="1"/>
  <c r="C19617" i="1"/>
  <c r="B19618" i="1"/>
  <c r="C19618" i="1"/>
  <c r="B19619" i="1"/>
  <c r="C19619" i="1"/>
  <c r="B19620" i="1"/>
  <c r="C19620" i="1"/>
  <c r="B19621" i="1"/>
  <c r="C19621" i="1"/>
  <c r="B19622" i="1"/>
  <c r="C19622" i="1"/>
  <c r="B19623" i="1"/>
  <c r="C19623" i="1"/>
  <c r="B19624" i="1"/>
  <c r="C19624" i="1"/>
  <c r="B19625" i="1"/>
  <c r="C19625" i="1"/>
  <c r="B19626" i="1"/>
  <c r="C19626" i="1"/>
  <c r="B19627" i="1"/>
  <c r="C19627" i="1"/>
  <c r="B19628" i="1"/>
  <c r="C19628" i="1"/>
  <c r="B19629" i="1"/>
  <c r="C19629" i="1"/>
  <c r="B19630" i="1"/>
  <c r="C19630" i="1"/>
  <c r="B19631" i="1"/>
  <c r="C19631" i="1"/>
  <c r="B19632" i="1"/>
  <c r="C19632" i="1"/>
  <c r="B19633" i="1"/>
  <c r="C19633" i="1"/>
  <c r="B19634" i="1"/>
  <c r="C19634" i="1"/>
  <c r="B19635" i="1"/>
  <c r="C19635" i="1"/>
  <c r="B19636" i="1"/>
  <c r="C19636" i="1"/>
  <c r="B19637" i="1"/>
  <c r="C19637" i="1"/>
  <c r="B19638" i="1"/>
  <c r="C19638" i="1"/>
  <c r="B19639" i="1"/>
  <c r="C19639" i="1"/>
  <c r="B19640" i="1"/>
  <c r="C19640" i="1"/>
  <c r="B19641" i="1"/>
  <c r="C19641" i="1"/>
  <c r="B19642" i="1"/>
  <c r="C19642" i="1"/>
  <c r="B19643" i="1"/>
  <c r="C19643" i="1"/>
  <c r="B19644" i="1"/>
  <c r="C19644" i="1"/>
  <c r="B19645" i="1"/>
  <c r="C19645" i="1"/>
  <c r="B19646" i="1"/>
  <c r="C19646" i="1"/>
  <c r="B19647" i="1"/>
  <c r="C19647" i="1"/>
  <c r="B19648" i="1"/>
  <c r="C19648" i="1"/>
  <c r="B19649" i="1"/>
  <c r="C19649" i="1"/>
  <c r="B19650" i="1"/>
  <c r="C19650" i="1"/>
  <c r="B19651" i="1"/>
  <c r="C19651" i="1"/>
  <c r="B19652" i="1"/>
  <c r="C19652" i="1"/>
  <c r="B19653" i="1"/>
  <c r="C19653" i="1"/>
  <c r="B19654" i="1"/>
  <c r="C19654" i="1"/>
  <c r="B19655" i="1"/>
  <c r="C19655" i="1"/>
  <c r="B19656" i="1"/>
  <c r="C19656" i="1"/>
  <c r="B19657" i="1"/>
  <c r="C19657" i="1"/>
  <c r="B19658" i="1"/>
  <c r="C19658" i="1"/>
  <c r="B19659" i="1"/>
  <c r="C19659" i="1"/>
  <c r="B19660" i="1"/>
  <c r="C19660" i="1"/>
  <c r="B19661" i="1"/>
  <c r="C19661" i="1"/>
  <c r="B19662" i="1"/>
  <c r="C19662" i="1"/>
  <c r="B19663" i="1"/>
  <c r="C19663" i="1"/>
  <c r="B19664" i="1"/>
  <c r="C19664" i="1"/>
  <c r="B19665" i="1"/>
  <c r="C19665" i="1"/>
  <c r="B19666" i="1"/>
  <c r="C19666" i="1"/>
  <c r="B19667" i="1"/>
  <c r="C19667" i="1"/>
  <c r="B19668" i="1"/>
  <c r="C19668" i="1"/>
  <c r="B19669" i="1"/>
  <c r="C19669" i="1"/>
  <c r="B19670" i="1"/>
  <c r="C19670" i="1"/>
  <c r="B19671" i="1"/>
  <c r="C19671" i="1"/>
  <c r="B19672" i="1"/>
  <c r="C19672" i="1"/>
  <c r="B19673" i="1"/>
  <c r="C19673" i="1"/>
  <c r="B19674" i="1"/>
  <c r="C19674" i="1"/>
  <c r="B19675" i="1"/>
  <c r="C19675" i="1"/>
  <c r="B19676" i="1"/>
  <c r="C19676" i="1"/>
  <c r="B19677" i="1"/>
  <c r="C19677" i="1"/>
  <c r="B19678" i="1"/>
  <c r="C19678" i="1"/>
  <c r="B19679" i="1"/>
  <c r="C19679" i="1"/>
  <c r="B19680" i="1"/>
  <c r="C19680" i="1"/>
  <c r="B19681" i="1"/>
  <c r="C19681" i="1"/>
  <c r="B19682" i="1"/>
  <c r="C19682" i="1"/>
  <c r="B19683" i="1"/>
  <c r="C19683" i="1"/>
  <c r="B19684" i="1"/>
  <c r="C19684" i="1"/>
  <c r="B19685" i="1"/>
  <c r="C19685" i="1"/>
  <c r="B19686" i="1"/>
  <c r="C19686" i="1"/>
  <c r="B19687" i="1"/>
  <c r="C19687" i="1"/>
  <c r="B19688" i="1"/>
  <c r="C19688" i="1"/>
  <c r="B19689" i="1"/>
  <c r="C19689" i="1"/>
  <c r="B19690" i="1"/>
  <c r="C19690" i="1"/>
  <c r="B19691" i="1"/>
  <c r="C19691" i="1"/>
  <c r="B19692" i="1"/>
  <c r="C19692" i="1"/>
  <c r="B19693" i="1"/>
  <c r="C19693" i="1"/>
  <c r="B19694" i="1"/>
  <c r="C19694" i="1"/>
  <c r="B19695" i="1"/>
  <c r="C19695" i="1"/>
  <c r="B19696" i="1"/>
  <c r="C19696" i="1"/>
  <c r="B19697" i="1"/>
  <c r="C19697" i="1"/>
  <c r="B19698" i="1"/>
  <c r="C19698" i="1"/>
  <c r="B19699" i="1"/>
  <c r="C19699" i="1"/>
  <c r="B19700" i="1"/>
  <c r="C19700" i="1"/>
  <c r="B19701" i="1"/>
  <c r="C19701" i="1"/>
  <c r="B19702" i="1"/>
  <c r="C19702" i="1"/>
  <c r="B19703" i="1"/>
  <c r="C19703" i="1"/>
  <c r="B19704" i="1"/>
  <c r="C19704" i="1"/>
  <c r="B19705" i="1"/>
  <c r="C19705" i="1"/>
  <c r="B19706" i="1"/>
  <c r="C19706" i="1"/>
  <c r="B19707" i="1"/>
  <c r="C19707" i="1"/>
  <c r="B19708" i="1"/>
  <c r="C19708" i="1"/>
  <c r="B19709" i="1"/>
  <c r="C19709" i="1"/>
  <c r="B19710" i="1"/>
  <c r="C19710" i="1"/>
  <c r="B19711" i="1"/>
  <c r="C19711" i="1"/>
  <c r="B19712" i="1"/>
  <c r="C19712" i="1"/>
  <c r="B19713" i="1"/>
  <c r="C19713" i="1"/>
  <c r="B19714" i="1"/>
  <c r="C19714" i="1"/>
  <c r="B19715" i="1"/>
  <c r="C19715" i="1"/>
  <c r="B19716" i="1"/>
  <c r="C19716" i="1"/>
  <c r="B19717" i="1"/>
  <c r="C19717" i="1"/>
  <c r="B19718" i="1"/>
  <c r="C19718" i="1"/>
  <c r="B19719" i="1"/>
  <c r="C19719" i="1"/>
  <c r="B19720" i="1"/>
  <c r="C19720" i="1"/>
  <c r="B19721" i="1"/>
  <c r="C19721" i="1"/>
  <c r="B19722" i="1"/>
  <c r="C19722" i="1"/>
  <c r="B19723" i="1"/>
  <c r="C19723" i="1"/>
  <c r="B19724" i="1"/>
  <c r="C19724" i="1"/>
  <c r="B19725" i="1"/>
  <c r="C19725" i="1"/>
  <c r="B19726" i="1"/>
  <c r="C19726" i="1"/>
  <c r="B19727" i="1"/>
  <c r="C19727" i="1"/>
  <c r="B19728" i="1"/>
  <c r="C19728" i="1"/>
  <c r="B19729" i="1"/>
  <c r="C19729" i="1"/>
  <c r="B19730" i="1"/>
  <c r="C19730" i="1"/>
  <c r="B19731" i="1"/>
  <c r="C19731" i="1"/>
  <c r="B19732" i="1"/>
  <c r="C19732" i="1"/>
  <c r="B19733" i="1"/>
  <c r="C19733" i="1"/>
  <c r="B19734" i="1"/>
  <c r="C19734" i="1"/>
  <c r="B19735" i="1"/>
  <c r="C19735" i="1"/>
  <c r="B19736" i="1"/>
  <c r="C19736" i="1"/>
  <c r="B19737" i="1"/>
  <c r="C19737" i="1"/>
  <c r="B19738" i="1"/>
  <c r="C19738" i="1"/>
  <c r="B19739" i="1"/>
  <c r="C19739" i="1"/>
  <c r="B19740" i="1"/>
  <c r="C19740" i="1"/>
  <c r="B19741" i="1"/>
  <c r="C19741" i="1"/>
  <c r="B19742" i="1"/>
  <c r="C19742" i="1"/>
  <c r="B19743" i="1"/>
  <c r="C19743" i="1"/>
  <c r="B19744" i="1"/>
  <c r="C19744" i="1"/>
  <c r="B19745" i="1"/>
  <c r="C19745" i="1"/>
  <c r="B19746" i="1"/>
  <c r="C19746" i="1"/>
  <c r="B19747" i="1"/>
  <c r="C19747" i="1"/>
  <c r="B19748" i="1"/>
  <c r="C19748" i="1"/>
  <c r="B19749" i="1"/>
  <c r="C19749" i="1"/>
  <c r="B19750" i="1"/>
  <c r="C19750" i="1"/>
  <c r="B19751" i="1"/>
  <c r="C19751" i="1"/>
  <c r="B19752" i="1"/>
  <c r="C19752" i="1"/>
  <c r="B19753" i="1"/>
  <c r="C19753" i="1"/>
  <c r="B19754" i="1"/>
  <c r="C19754" i="1"/>
  <c r="B19755" i="1"/>
  <c r="C19755" i="1"/>
  <c r="B19756" i="1"/>
  <c r="C19756" i="1"/>
  <c r="B19757" i="1"/>
  <c r="C19757" i="1"/>
  <c r="B19758" i="1"/>
  <c r="C19758" i="1"/>
  <c r="B19759" i="1"/>
  <c r="C19759" i="1"/>
  <c r="B19760" i="1"/>
  <c r="C19760" i="1"/>
  <c r="B19761" i="1"/>
  <c r="C19761" i="1"/>
  <c r="B19762" i="1"/>
  <c r="C19762" i="1"/>
  <c r="B19763" i="1"/>
  <c r="C19763" i="1"/>
  <c r="B19764" i="1"/>
  <c r="C19764" i="1"/>
  <c r="B19765" i="1"/>
  <c r="C19765" i="1"/>
  <c r="B19766" i="1"/>
  <c r="C19766" i="1"/>
  <c r="B19767" i="1"/>
  <c r="C19767" i="1"/>
  <c r="B19768" i="1"/>
  <c r="C19768" i="1"/>
  <c r="B19769" i="1"/>
  <c r="C19769" i="1"/>
  <c r="B19770" i="1"/>
  <c r="C19770" i="1"/>
  <c r="B19771" i="1"/>
  <c r="C19771" i="1"/>
  <c r="B19772" i="1"/>
  <c r="C19772" i="1"/>
  <c r="B19773" i="1"/>
  <c r="C19773" i="1"/>
  <c r="B19774" i="1"/>
  <c r="C19774" i="1"/>
  <c r="B19775" i="1"/>
  <c r="C19775" i="1"/>
  <c r="B19776" i="1"/>
  <c r="C19776" i="1"/>
  <c r="B19777" i="1"/>
  <c r="C19777" i="1"/>
  <c r="B19778" i="1"/>
  <c r="C19778" i="1"/>
  <c r="B19779" i="1"/>
  <c r="C19779" i="1"/>
  <c r="B19780" i="1"/>
  <c r="C19780" i="1"/>
  <c r="B19781" i="1"/>
  <c r="C19781" i="1"/>
  <c r="B19782" i="1"/>
  <c r="C19782" i="1"/>
  <c r="B19783" i="1"/>
  <c r="C19783" i="1"/>
  <c r="B19784" i="1"/>
  <c r="C19784" i="1"/>
  <c r="B19785" i="1"/>
  <c r="C19785" i="1"/>
  <c r="B19786" i="1"/>
  <c r="C19786" i="1"/>
  <c r="B19787" i="1"/>
  <c r="C19787" i="1"/>
  <c r="B19788" i="1"/>
  <c r="C19788" i="1"/>
  <c r="B19789" i="1"/>
  <c r="C19789" i="1"/>
  <c r="B19790" i="1"/>
  <c r="C19790" i="1"/>
  <c r="B19791" i="1"/>
  <c r="C19791" i="1"/>
  <c r="B19792" i="1"/>
  <c r="C19792" i="1"/>
  <c r="B19793" i="1"/>
  <c r="C19793" i="1"/>
  <c r="B19794" i="1"/>
  <c r="C19794" i="1"/>
  <c r="B19795" i="1"/>
  <c r="C19795" i="1"/>
  <c r="B19796" i="1"/>
  <c r="C19796" i="1"/>
  <c r="B19797" i="1"/>
  <c r="C19797" i="1"/>
  <c r="B19798" i="1"/>
  <c r="C19798" i="1"/>
  <c r="B19799" i="1"/>
  <c r="C19799" i="1"/>
  <c r="B19800" i="1"/>
  <c r="C19800" i="1"/>
  <c r="B19801" i="1"/>
  <c r="C19801" i="1"/>
  <c r="B19802" i="1"/>
  <c r="C19802" i="1"/>
  <c r="B19803" i="1"/>
  <c r="C19803" i="1"/>
  <c r="B19804" i="1"/>
  <c r="C19804" i="1"/>
  <c r="B19805" i="1"/>
  <c r="C19805" i="1"/>
  <c r="B19806" i="1"/>
  <c r="C19806" i="1"/>
  <c r="B19807" i="1"/>
  <c r="C19807" i="1"/>
  <c r="B19808" i="1"/>
  <c r="C19808" i="1"/>
  <c r="B19809" i="1"/>
  <c r="C19809" i="1"/>
  <c r="B19810" i="1"/>
  <c r="C19810" i="1"/>
  <c r="B19811" i="1"/>
  <c r="C19811" i="1"/>
  <c r="B19812" i="1"/>
  <c r="C19812" i="1"/>
  <c r="B19813" i="1"/>
  <c r="C19813" i="1"/>
  <c r="B19814" i="1"/>
  <c r="C19814" i="1"/>
  <c r="B19815" i="1"/>
  <c r="C19815" i="1"/>
  <c r="B19816" i="1"/>
  <c r="C19816" i="1"/>
  <c r="B19817" i="1"/>
  <c r="C19817" i="1"/>
  <c r="B19818" i="1"/>
  <c r="C19818" i="1"/>
  <c r="B19819" i="1"/>
  <c r="C19819" i="1"/>
  <c r="B19820" i="1"/>
  <c r="C19820" i="1"/>
  <c r="B19821" i="1"/>
  <c r="C19821" i="1"/>
  <c r="B19822" i="1"/>
  <c r="C19822" i="1"/>
  <c r="B19823" i="1"/>
  <c r="C19823" i="1"/>
  <c r="B19824" i="1"/>
  <c r="C19824" i="1"/>
  <c r="B19825" i="1"/>
  <c r="C19825" i="1"/>
  <c r="B19826" i="1"/>
  <c r="C19826" i="1"/>
  <c r="B19827" i="1"/>
  <c r="C19827" i="1"/>
  <c r="B19828" i="1"/>
  <c r="C19828" i="1"/>
  <c r="B19829" i="1"/>
  <c r="C19829" i="1"/>
  <c r="B19830" i="1"/>
  <c r="C19830" i="1"/>
  <c r="B19831" i="1"/>
  <c r="C19831" i="1"/>
  <c r="B19832" i="1"/>
  <c r="C19832" i="1"/>
  <c r="B19833" i="1"/>
  <c r="C19833" i="1"/>
  <c r="B19834" i="1"/>
  <c r="C19834" i="1"/>
  <c r="B19835" i="1"/>
  <c r="C19835" i="1"/>
  <c r="B19836" i="1"/>
  <c r="C19836" i="1"/>
  <c r="B19837" i="1"/>
  <c r="C19837" i="1"/>
  <c r="B19838" i="1"/>
  <c r="C19838" i="1"/>
  <c r="B19839" i="1"/>
  <c r="C19839" i="1"/>
  <c r="B19840" i="1"/>
  <c r="C19840" i="1"/>
  <c r="B19841" i="1"/>
  <c r="C19841" i="1"/>
  <c r="B19842" i="1"/>
  <c r="C19842" i="1"/>
  <c r="B19843" i="1"/>
  <c r="C19843" i="1"/>
  <c r="B19844" i="1"/>
  <c r="C19844" i="1"/>
  <c r="B19845" i="1"/>
  <c r="C19845" i="1"/>
  <c r="B19846" i="1"/>
  <c r="C19846" i="1"/>
  <c r="B19847" i="1"/>
  <c r="C19847" i="1"/>
  <c r="B19848" i="1"/>
  <c r="C19848" i="1"/>
  <c r="B19849" i="1"/>
  <c r="C19849" i="1"/>
  <c r="B19850" i="1"/>
  <c r="C19850" i="1"/>
  <c r="B19851" i="1"/>
  <c r="C19851" i="1"/>
  <c r="B19852" i="1"/>
  <c r="C19852" i="1"/>
  <c r="B19853" i="1"/>
  <c r="C19853" i="1"/>
  <c r="B19854" i="1"/>
  <c r="C19854" i="1"/>
  <c r="B19855" i="1"/>
  <c r="C19855" i="1"/>
  <c r="B19856" i="1"/>
  <c r="C19856" i="1"/>
  <c r="B19857" i="1"/>
  <c r="C19857" i="1"/>
  <c r="B19858" i="1"/>
  <c r="C19858" i="1"/>
  <c r="B19859" i="1"/>
  <c r="C19859" i="1"/>
  <c r="B19860" i="1"/>
  <c r="C19860" i="1"/>
  <c r="B19861" i="1"/>
  <c r="C19861" i="1"/>
  <c r="B19862" i="1"/>
  <c r="C19862" i="1"/>
  <c r="B19863" i="1"/>
  <c r="C19863" i="1"/>
  <c r="B19864" i="1"/>
  <c r="C19864" i="1"/>
  <c r="B19865" i="1"/>
  <c r="C19865" i="1"/>
  <c r="B19866" i="1"/>
  <c r="C19866" i="1"/>
  <c r="B19867" i="1"/>
  <c r="C19867" i="1"/>
  <c r="B19868" i="1"/>
  <c r="C19868" i="1"/>
  <c r="B19869" i="1"/>
  <c r="C19869" i="1"/>
  <c r="B19870" i="1"/>
  <c r="C19870" i="1"/>
  <c r="B19871" i="1"/>
  <c r="C19871" i="1"/>
  <c r="B19872" i="1"/>
  <c r="C19872" i="1"/>
  <c r="B19873" i="1"/>
  <c r="C19873" i="1"/>
  <c r="B19874" i="1"/>
  <c r="C19874" i="1"/>
  <c r="B19875" i="1"/>
  <c r="C19875" i="1"/>
  <c r="B19876" i="1"/>
  <c r="C19876" i="1"/>
  <c r="B19877" i="1"/>
  <c r="C19877" i="1"/>
  <c r="B19878" i="1"/>
  <c r="C19878" i="1"/>
  <c r="B19879" i="1"/>
  <c r="C19879" i="1"/>
  <c r="B19880" i="1"/>
  <c r="C19880" i="1"/>
  <c r="B19881" i="1"/>
  <c r="C19881" i="1"/>
  <c r="B19882" i="1"/>
  <c r="C19882" i="1"/>
  <c r="B19883" i="1"/>
  <c r="C19883" i="1"/>
  <c r="B19884" i="1"/>
  <c r="C19884" i="1"/>
  <c r="B19885" i="1"/>
  <c r="C19885" i="1"/>
  <c r="B19886" i="1"/>
  <c r="C19886" i="1"/>
  <c r="B19887" i="1"/>
  <c r="C19887" i="1"/>
  <c r="B19888" i="1"/>
  <c r="C19888" i="1"/>
  <c r="B19889" i="1"/>
  <c r="C19889" i="1"/>
  <c r="B19890" i="1"/>
  <c r="C19890" i="1"/>
  <c r="B19891" i="1"/>
  <c r="C19891" i="1"/>
  <c r="B19892" i="1"/>
  <c r="C19892" i="1"/>
  <c r="B19893" i="1"/>
  <c r="C19893" i="1"/>
  <c r="B19894" i="1"/>
  <c r="C19894" i="1"/>
  <c r="B19895" i="1"/>
  <c r="C19895" i="1"/>
  <c r="B19896" i="1"/>
  <c r="C19896" i="1"/>
  <c r="B19897" i="1"/>
  <c r="C19897" i="1"/>
  <c r="B19898" i="1"/>
  <c r="C19898" i="1"/>
  <c r="B19899" i="1"/>
  <c r="C19899" i="1"/>
  <c r="B19900" i="1"/>
  <c r="C19900" i="1"/>
  <c r="B19901" i="1"/>
  <c r="C19901" i="1"/>
  <c r="B19902" i="1"/>
  <c r="C19902" i="1"/>
  <c r="B19903" i="1"/>
  <c r="C19903" i="1"/>
  <c r="B19904" i="1"/>
  <c r="C19904" i="1"/>
  <c r="B19905" i="1"/>
  <c r="C19905" i="1"/>
  <c r="B19906" i="1"/>
  <c r="C19906" i="1"/>
  <c r="B19907" i="1"/>
  <c r="C19907" i="1"/>
  <c r="B19908" i="1"/>
  <c r="C19908" i="1"/>
  <c r="B19909" i="1"/>
  <c r="C19909" i="1"/>
  <c r="B19910" i="1"/>
  <c r="C19910" i="1"/>
  <c r="B19911" i="1"/>
  <c r="C19911" i="1"/>
  <c r="B19912" i="1"/>
  <c r="C19912" i="1"/>
  <c r="B19913" i="1"/>
  <c r="C19913" i="1"/>
  <c r="B19914" i="1"/>
  <c r="C19914" i="1"/>
  <c r="B19915" i="1"/>
  <c r="C19915" i="1"/>
  <c r="B19916" i="1"/>
  <c r="C19916" i="1"/>
  <c r="B19917" i="1"/>
  <c r="C19917" i="1"/>
  <c r="B19918" i="1"/>
  <c r="C19918" i="1"/>
  <c r="B19919" i="1"/>
  <c r="C19919" i="1"/>
  <c r="B19920" i="1"/>
  <c r="C19920" i="1"/>
  <c r="B19921" i="1"/>
  <c r="C19921" i="1"/>
  <c r="B19922" i="1"/>
  <c r="C19922" i="1"/>
  <c r="B19923" i="1"/>
  <c r="C19923" i="1"/>
  <c r="B19924" i="1"/>
  <c r="C19924" i="1"/>
  <c r="B19925" i="1"/>
  <c r="C19925" i="1"/>
  <c r="B19926" i="1"/>
  <c r="C19926" i="1"/>
  <c r="B19927" i="1"/>
  <c r="C19927" i="1"/>
  <c r="B19928" i="1"/>
  <c r="C19928" i="1"/>
  <c r="B19929" i="1"/>
  <c r="C19929" i="1"/>
  <c r="B19930" i="1"/>
  <c r="C19930" i="1"/>
  <c r="B19931" i="1"/>
  <c r="C19931" i="1"/>
  <c r="B19932" i="1"/>
  <c r="C19932" i="1"/>
  <c r="B19933" i="1"/>
  <c r="C19933" i="1"/>
  <c r="B19934" i="1"/>
  <c r="C19934" i="1"/>
  <c r="B19935" i="1"/>
  <c r="C19935" i="1"/>
  <c r="B19936" i="1"/>
  <c r="C19936" i="1"/>
  <c r="B19937" i="1"/>
  <c r="C19937" i="1"/>
  <c r="B19938" i="1"/>
  <c r="C19938" i="1"/>
  <c r="B19939" i="1"/>
  <c r="C19939" i="1"/>
  <c r="B19940" i="1"/>
  <c r="C19940" i="1"/>
  <c r="B19941" i="1"/>
  <c r="C19941" i="1"/>
  <c r="B19942" i="1"/>
  <c r="C19942" i="1"/>
  <c r="B19943" i="1"/>
  <c r="C19943" i="1"/>
  <c r="B19944" i="1"/>
  <c r="C19944" i="1"/>
  <c r="B19945" i="1"/>
  <c r="C19945" i="1"/>
  <c r="B19946" i="1"/>
  <c r="C19946" i="1"/>
  <c r="B19947" i="1"/>
  <c r="C19947" i="1"/>
  <c r="B19948" i="1"/>
  <c r="C19948" i="1"/>
  <c r="B19949" i="1"/>
  <c r="C19949" i="1"/>
  <c r="B19950" i="1"/>
  <c r="C19950" i="1"/>
  <c r="B19951" i="1"/>
  <c r="C19951" i="1"/>
  <c r="B19952" i="1"/>
  <c r="C19952" i="1"/>
  <c r="B19953" i="1"/>
  <c r="C19953" i="1"/>
  <c r="B19954" i="1"/>
  <c r="C19954" i="1"/>
  <c r="B19955" i="1"/>
  <c r="C19955" i="1"/>
  <c r="B19956" i="1"/>
  <c r="C19956" i="1"/>
  <c r="B19957" i="1"/>
  <c r="C19957" i="1"/>
  <c r="B19958" i="1"/>
  <c r="C19958" i="1"/>
  <c r="B19959" i="1"/>
  <c r="C19959" i="1"/>
  <c r="B19960" i="1"/>
  <c r="C19960" i="1"/>
  <c r="B19961" i="1"/>
  <c r="C19961" i="1"/>
  <c r="B19962" i="1"/>
  <c r="C19962" i="1"/>
  <c r="B19963" i="1"/>
  <c r="C19963" i="1"/>
  <c r="B19964" i="1"/>
  <c r="C19964" i="1"/>
  <c r="B19965" i="1"/>
  <c r="C19965" i="1"/>
  <c r="B19966" i="1"/>
  <c r="C19966" i="1"/>
  <c r="B19967" i="1"/>
  <c r="C19967" i="1"/>
  <c r="B19968" i="1"/>
  <c r="C19968" i="1"/>
  <c r="B19969" i="1"/>
  <c r="C19969" i="1"/>
  <c r="B19970" i="1"/>
  <c r="C19970" i="1"/>
  <c r="B19971" i="1"/>
  <c r="C19971" i="1"/>
  <c r="B19972" i="1"/>
  <c r="C19972" i="1"/>
  <c r="B19973" i="1"/>
  <c r="C19973" i="1"/>
  <c r="B19974" i="1"/>
  <c r="C19974" i="1"/>
  <c r="B19975" i="1"/>
  <c r="C19975" i="1"/>
  <c r="B19976" i="1"/>
  <c r="C19976" i="1"/>
  <c r="B19977" i="1"/>
  <c r="C19977" i="1"/>
  <c r="B19978" i="1"/>
  <c r="C19978" i="1"/>
  <c r="B19979" i="1"/>
  <c r="C19979" i="1"/>
  <c r="B19980" i="1"/>
  <c r="C19980" i="1"/>
  <c r="B19981" i="1"/>
  <c r="C19981" i="1"/>
  <c r="B19982" i="1"/>
  <c r="C19982" i="1"/>
  <c r="B19983" i="1"/>
  <c r="C19983" i="1"/>
  <c r="B19984" i="1"/>
  <c r="C19984" i="1"/>
  <c r="B19985" i="1"/>
  <c r="C19985" i="1"/>
  <c r="B19986" i="1"/>
  <c r="C19986" i="1"/>
  <c r="B19987" i="1"/>
  <c r="C19987" i="1"/>
  <c r="B19988" i="1"/>
  <c r="C19988" i="1"/>
  <c r="B19989" i="1"/>
  <c r="C19989" i="1"/>
  <c r="B19990" i="1"/>
  <c r="C19990" i="1"/>
  <c r="B19991" i="1"/>
  <c r="C19991" i="1"/>
  <c r="B19992" i="1"/>
  <c r="C19992" i="1"/>
  <c r="B19993" i="1"/>
  <c r="C19993" i="1"/>
  <c r="B19994" i="1"/>
  <c r="C19994" i="1"/>
  <c r="B19995" i="1"/>
  <c r="C19995" i="1"/>
  <c r="B19996" i="1"/>
  <c r="C19996" i="1"/>
  <c r="B19997" i="1"/>
  <c r="C19997" i="1"/>
  <c r="B19998" i="1"/>
  <c r="C19998" i="1"/>
  <c r="B19999" i="1"/>
  <c r="C19999" i="1"/>
  <c r="B20000" i="1"/>
  <c r="C20000" i="1"/>
  <c r="B20001" i="1"/>
  <c r="C20001" i="1"/>
  <c r="B20002" i="1"/>
  <c r="C20002" i="1"/>
  <c r="B20003" i="1"/>
  <c r="C20003" i="1"/>
  <c r="B20004" i="1"/>
  <c r="C20004" i="1"/>
  <c r="B20005" i="1"/>
  <c r="C20005" i="1"/>
  <c r="B20006" i="1"/>
  <c r="C20006" i="1"/>
  <c r="B20007" i="1"/>
  <c r="C20007" i="1"/>
  <c r="B20008" i="1"/>
  <c r="C20008" i="1"/>
  <c r="B20009" i="1"/>
  <c r="C20009" i="1"/>
  <c r="B20010" i="1"/>
  <c r="C20010" i="1"/>
  <c r="B20011" i="1"/>
  <c r="C20011" i="1"/>
  <c r="B20012" i="1"/>
  <c r="C20012" i="1"/>
  <c r="B20013" i="1"/>
  <c r="C20013" i="1"/>
  <c r="B20014" i="1"/>
  <c r="C20014" i="1"/>
  <c r="B20015" i="1"/>
  <c r="C20015" i="1"/>
  <c r="B20016" i="1"/>
  <c r="C20016" i="1"/>
  <c r="B20017" i="1"/>
  <c r="C20017" i="1"/>
  <c r="B20018" i="1"/>
  <c r="C20018" i="1"/>
  <c r="B20019" i="1"/>
  <c r="C20019" i="1"/>
  <c r="B20020" i="1"/>
  <c r="C20020" i="1"/>
  <c r="B20021" i="1"/>
  <c r="C20021" i="1"/>
  <c r="B20022" i="1"/>
  <c r="C20022" i="1"/>
  <c r="B20023" i="1"/>
  <c r="C20023" i="1"/>
  <c r="B20024" i="1"/>
  <c r="C20024" i="1"/>
  <c r="B20025" i="1"/>
  <c r="C20025" i="1"/>
  <c r="B20026" i="1"/>
  <c r="C20026" i="1"/>
  <c r="B20027" i="1"/>
  <c r="C20027" i="1"/>
  <c r="B20028" i="1"/>
  <c r="C20028" i="1"/>
  <c r="B20029" i="1"/>
  <c r="C20029" i="1"/>
  <c r="B20030" i="1"/>
  <c r="C20030" i="1"/>
  <c r="B20031" i="1"/>
  <c r="C20031" i="1"/>
  <c r="B20032" i="1"/>
  <c r="C20032" i="1"/>
  <c r="B20033" i="1"/>
  <c r="C20033" i="1"/>
  <c r="B20034" i="1"/>
  <c r="C20034" i="1"/>
  <c r="B20035" i="1"/>
  <c r="C20035" i="1"/>
  <c r="B20036" i="1"/>
  <c r="C20036" i="1"/>
  <c r="B20037" i="1"/>
  <c r="C20037" i="1"/>
  <c r="B20038" i="1"/>
  <c r="C20038" i="1"/>
  <c r="B20039" i="1"/>
  <c r="C20039" i="1"/>
  <c r="B20040" i="1"/>
  <c r="C20040" i="1"/>
  <c r="B20041" i="1"/>
  <c r="C20041" i="1"/>
  <c r="B20042" i="1"/>
  <c r="C20042" i="1"/>
  <c r="B20043" i="1"/>
  <c r="C20043" i="1"/>
  <c r="B20044" i="1"/>
  <c r="C20044" i="1"/>
  <c r="B20045" i="1"/>
  <c r="C20045" i="1"/>
  <c r="B20046" i="1"/>
  <c r="C20046" i="1"/>
  <c r="B20047" i="1"/>
  <c r="C20047" i="1"/>
  <c r="B20048" i="1"/>
  <c r="C20048" i="1"/>
  <c r="B20049" i="1"/>
  <c r="C20049" i="1"/>
  <c r="B20050" i="1"/>
  <c r="C20050" i="1"/>
  <c r="B20051" i="1"/>
  <c r="C20051" i="1"/>
  <c r="B20052" i="1"/>
  <c r="C20052" i="1"/>
  <c r="B20053" i="1"/>
  <c r="C20053" i="1"/>
  <c r="B20054" i="1"/>
  <c r="C20054" i="1"/>
  <c r="B20055" i="1"/>
  <c r="C20055" i="1"/>
  <c r="B20056" i="1"/>
  <c r="C20056" i="1"/>
  <c r="B20057" i="1"/>
  <c r="C20057" i="1"/>
  <c r="B20058" i="1"/>
  <c r="C20058" i="1"/>
  <c r="B20059" i="1"/>
  <c r="C20059" i="1"/>
  <c r="B20060" i="1"/>
  <c r="C20060" i="1"/>
  <c r="B20061" i="1"/>
  <c r="C20061" i="1"/>
  <c r="B20062" i="1"/>
  <c r="C20062" i="1"/>
  <c r="B20063" i="1"/>
  <c r="C20063" i="1"/>
  <c r="B20064" i="1"/>
  <c r="C20064" i="1"/>
  <c r="B20065" i="1"/>
  <c r="C20065" i="1"/>
  <c r="B20066" i="1"/>
  <c r="C20066" i="1"/>
  <c r="B20067" i="1"/>
  <c r="C20067" i="1"/>
  <c r="B20068" i="1"/>
  <c r="C20068" i="1"/>
  <c r="B20069" i="1"/>
  <c r="C20069" i="1"/>
  <c r="B20070" i="1"/>
  <c r="C20070" i="1"/>
  <c r="B20071" i="1"/>
  <c r="C20071" i="1"/>
  <c r="B20072" i="1"/>
  <c r="C20072" i="1"/>
  <c r="B20073" i="1"/>
  <c r="C20073" i="1"/>
  <c r="B20074" i="1"/>
  <c r="C20074" i="1"/>
  <c r="B20075" i="1"/>
  <c r="C20075" i="1"/>
  <c r="B20076" i="1"/>
  <c r="C20076" i="1"/>
  <c r="B20077" i="1"/>
  <c r="C20077" i="1"/>
  <c r="B20078" i="1"/>
  <c r="C20078" i="1"/>
  <c r="B20079" i="1"/>
  <c r="C20079" i="1"/>
  <c r="B20080" i="1"/>
  <c r="C20080" i="1"/>
  <c r="B20081" i="1"/>
  <c r="C20081" i="1"/>
  <c r="B20082" i="1"/>
  <c r="C20082" i="1"/>
  <c r="B20083" i="1"/>
  <c r="C20083" i="1"/>
  <c r="B20084" i="1"/>
  <c r="C20084" i="1"/>
  <c r="B20085" i="1"/>
  <c r="C20085" i="1"/>
  <c r="B20086" i="1"/>
  <c r="C20086" i="1"/>
  <c r="B20087" i="1"/>
  <c r="C20087" i="1"/>
  <c r="B20088" i="1"/>
  <c r="C20088" i="1"/>
  <c r="B20089" i="1"/>
  <c r="C20089" i="1"/>
  <c r="B20090" i="1"/>
  <c r="C20090" i="1"/>
  <c r="B20091" i="1"/>
  <c r="C20091" i="1"/>
  <c r="B20092" i="1"/>
  <c r="C20092" i="1"/>
  <c r="B20093" i="1"/>
  <c r="C20093" i="1"/>
  <c r="B20094" i="1"/>
  <c r="C20094" i="1"/>
  <c r="B20095" i="1"/>
  <c r="C20095" i="1"/>
  <c r="B20096" i="1"/>
  <c r="C20096" i="1"/>
  <c r="B20097" i="1"/>
  <c r="C20097" i="1"/>
  <c r="B20098" i="1"/>
  <c r="C20098" i="1"/>
  <c r="B20099" i="1"/>
  <c r="C20099" i="1"/>
  <c r="B20100" i="1"/>
  <c r="C20100" i="1"/>
  <c r="B20101" i="1"/>
  <c r="C20101" i="1"/>
  <c r="B20102" i="1"/>
  <c r="C20102" i="1"/>
  <c r="B20103" i="1"/>
  <c r="C20103" i="1"/>
  <c r="B20104" i="1"/>
  <c r="C20104" i="1"/>
  <c r="B20105" i="1"/>
  <c r="C20105" i="1"/>
  <c r="B20106" i="1"/>
  <c r="C20106" i="1"/>
  <c r="B20107" i="1"/>
  <c r="C20107" i="1"/>
  <c r="B20108" i="1"/>
  <c r="C20108" i="1"/>
  <c r="B20109" i="1"/>
  <c r="C20109" i="1"/>
  <c r="B20110" i="1"/>
  <c r="C20110" i="1"/>
  <c r="B20111" i="1"/>
  <c r="C20111" i="1"/>
  <c r="B20112" i="1"/>
  <c r="C20112" i="1"/>
  <c r="B20113" i="1"/>
  <c r="C20113" i="1"/>
  <c r="B20114" i="1"/>
  <c r="C20114" i="1"/>
  <c r="B20115" i="1"/>
  <c r="C20115" i="1"/>
  <c r="B20116" i="1"/>
  <c r="C20116" i="1"/>
  <c r="B20117" i="1"/>
  <c r="C20117" i="1"/>
  <c r="B20118" i="1"/>
  <c r="C20118" i="1"/>
  <c r="B20119" i="1"/>
  <c r="C20119" i="1"/>
  <c r="B20120" i="1"/>
  <c r="C20120" i="1"/>
  <c r="B20121" i="1"/>
  <c r="C20121" i="1"/>
  <c r="B20122" i="1"/>
  <c r="C20122" i="1"/>
  <c r="B20123" i="1"/>
  <c r="C20123" i="1"/>
  <c r="B20124" i="1"/>
  <c r="C20124" i="1"/>
  <c r="B20125" i="1"/>
  <c r="C20125" i="1"/>
  <c r="B20126" i="1"/>
  <c r="C20126" i="1"/>
  <c r="B20127" i="1"/>
  <c r="C20127" i="1"/>
  <c r="B20128" i="1"/>
  <c r="C20128" i="1"/>
  <c r="B20129" i="1"/>
  <c r="C20129" i="1"/>
  <c r="B20130" i="1"/>
  <c r="C20130" i="1"/>
  <c r="B20131" i="1"/>
  <c r="C20131" i="1"/>
  <c r="B20132" i="1"/>
  <c r="C20132" i="1"/>
  <c r="B20133" i="1"/>
  <c r="C20133" i="1"/>
  <c r="B20134" i="1"/>
  <c r="C20134" i="1"/>
  <c r="B20135" i="1"/>
  <c r="C20135" i="1"/>
  <c r="B20136" i="1"/>
  <c r="C20136" i="1"/>
  <c r="B20137" i="1"/>
  <c r="C20137" i="1"/>
  <c r="B20138" i="1"/>
  <c r="C20138" i="1"/>
  <c r="B20139" i="1"/>
  <c r="C20139" i="1"/>
  <c r="B20140" i="1"/>
  <c r="C20140" i="1"/>
  <c r="B20141" i="1"/>
  <c r="C20141" i="1"/>
  <c r="B20142" i="1"/>
  <c r="C20142" i="1"/>
  <c r="B20143" i="1"/>
  <c r="C20143" i="1"/>
  <c r="B20144" i="1"/>
  <c r="C20144" i="1"/>
  <c r="B20145" i="1"/>
  <c r="C20145" i="1"/>
  <c r="B20146" i="1"/>
  <c r="C20146" i="1"/>
  <c r="B20147" i="1"/>
  <c r="C20147" i="1"/>
  <c r="B20148" i="1"/>
  <c r="C20148" i="1"/>
  <c r="B20149" i="1"/>
  <c r="C20149" i="1"/>
  <c r="B20150" i="1"/>
  <c r="C20150" i="1"/>
  <c r="B20151" i="1"/>
  <c r="C20151" i="1"/>
  <c r="B20152" i="1"/>
  <c r="C20152" i="1"/>
  <c r="B20153" i="1"/>
  <c r="C20153" i="1"/>
  <c r="B20154" i="1"/>
  <c r="C20154" i="1"/>
  <c r="B20155" i="1"/>
  <c r="C20155" i="1"/>
  <c r="B20156" i="1"/>
  <c r="C20156" i="1"/>
  <c r="B20157" i="1"/>
  <c r="C20157" i="1"/>
  <c r="B20158" i="1"/>
  <c r="C20158" i="1"/>
  <c r="B20159" i="1"/>
  <c r="C20159" i="1"/>
  <c r="B20160" i="1"/>
  <c r="C20160" i="1"/>
  <c r="B20161" i="1"/>
  <c r="C20161" i="1"/>
  <c r="B20162" i="1"/>
  <c r="C20162" i="1"/>
  <c r="B20163" i="1"/>
  <c r="C20163" i="1"/>
  <c r="B20164" i="1"/>
  <c r="C20164" i="1"/>
  <c r="B20165" i="1"/>
  <c r="C20165" i="1"/>
  <c r="B20166" i="1"/>
  <c r="C20166" i="1"/>
  <c r="B20167" i="1"/>
  <c r="C20167" i="1"/>
  <c r="B20168" i="1"/>
  <c r="C20168" i="1"/>
  <c r="B20169" i="1"/>
  <c r="C20169" i="1"/>
  <c r="B20170" i="1"/>
  <c r="C20170" i="1"/>
  <c r="B20171" i="1"/>
  <c r="C20171" i="1"/>
  <c r="B20172" i="1"/>
  <c r="C20172" i="1"/>
  <c r="B20173" i="1"/>
  <c r="C20173" i="1"/>
  <c r="B20174" i="1"/>
  <c r="C20174" i="1"/>
  <c r="B20175" i="1"/>
  <c r="C20175" i="1"/>
  <c r="B20176" i="1"/>
  <c r="C20176" i="1"/>
  <c r="B20177" i="1"/>
  <c r="C20177" i="1"/>
  <c r="B20178" i="1"/>
  <c r="C20178" i="1"/>
  <c r="B20179" i="1"/>
  <c r="C20179" i="1"/>
  <c r="B20180" i="1"/>
  <c r="C20180" i="1"/>
  <c r="B20181" i="1"/>
  <c r="C20181" i="1"/>
  <c r="B20182" i="1"/>
  <c r="C20182" i="1"/>
  <c r="B20183" i="1"/>
  <c r="C20183" i="1"/>
  <c r="B20184" i="1"/>
  <c r="C20184" i="1"/>
  <c r="B20185" i="1"/>
  <c r="C20185" i="1"/>
  <c r="B20186" i="1"/>
  <c r="C20186" i="1"/>
  <c r="B20187" i="1"/>
  <c r="C20187" i="1"/>
  <c r="B20188" i="1"/>
  <c r="C20188" i="1"/>
  <c r="B20189" i="1"/>
  <c r="C20189" i="1"/>
  <c r="B20190" i="1"/>
  <c r="C20190" i="1"/>
  <c r="B20191" i="1"/>
  <c r="C20191" i="1"/>
  <c r="B20192" i="1"/>
  <c r="C20192" i="1"/>
  <c r="B20193" i="1"/>
  <c r="C20193" i="1"/>
  <c r="B20194" i="1"/>
  <c r="C20194" i="1"/>
  <c r="B20195" i="1"/>
  <c r="C20195" i="1"/>
  <c r="B20196" i="1"/>
  <c r="C20196" i="1"/>
  <c r="B20197" i="1"/>
  <c r="C20197" i="1"/>
  <c r="B20198" i="1"/>
  <c r="C20198" i="1"/>
  <c r="B20199" i="1"/>
  <c r="C20199" i="1"/>
  <c r="B20200" i="1"/>
  <c r="C20200" i="1"/>
  <c r="B20201" i="1"/>
  <c r="C20201" i="1"/>
  <c r="B20202" i="1"/>
  <c r="C20202" i="1"/>
  <c r="B20203" i="1"/>
  <c r="C20203" i="1"/>
  <c r="B20204" i="1"/>
  <c r="C20204" i="1"/>
  <c r="B20205" i="1"/>
  <c r="C20205" i="1"/>
  <c r="B20206" i="1"/>
  <c r="C20206" i="1"/>
  <c r="B20207" i="1"/>
  <c r="C20207" i="1"/>
  <c r="B20208" i="1"/>
  <c r="C20208" i="1"/>
  <c r="B20209" i="1"/>
  <c r="C20209" i="1"/>
  <c r="B20210" i="1"/>
  <c r="C20210" i="1"/>
  <c r="B20211" i="1"/>
  <c r="C20211" i="1"/>
  <c r="B20212" i="1"/>
  <c r="C20212" i="1"/>
  <c r="B20213" i="1"/>
  <c r="C20213" i="1"/>
  <c r="B20214" i="1"/>
  <c r="C20214" i="1"/>
  <c r="B20215" i="1"/>
  <c r="C20215" i="1"/>
  <c r="B20216" i="1"/>
  <c r="C20216" i="1"/>
  <c r="B20217" i="1"/>
  <c r="C20217" i="1"/>
  <c r="B20218" i="1"/>
  <c r="C20218" i="1"/>
  <c r="B20219" i="1"/>
  <c r="C20219" i="1"/>
  <c r="B20220" i="1"/>
  <c r="C20220" i="1"/>
  <c r="B20221" i="1"/>
  <c r="C20221" i="1"/>
  <c r="B20222" i="1"/>
  <c r="C20222" i="1"/>
  <c r="B20223" i="1"/>
  <c r="C20223" i="1"/>
  <c r="B20224" i="1"/>
  <c r="C20224" i="1"/>
  <c r="B20225" i="1"/>
  <c r="C20225" i="1"/>
  <c r="B20226" i="1"/>
  <c r="C20226" i="1"/>
  <c r="B20227" i="1"/>
  <c r="C20227" i="1"/>
  <c r="B20228" i="1"/>
  <c r="C20228" i="1"/>
  <c r="B20229" i="1"/>
  <c r="C20229" i="1"/>
  <c r="B20230" i="1"/>
  <c r="C20230" i="1"/>
  <c r="B20231" i="1"/>
  <c r="C20231" i="1"/>
  <c r="B20232" i="1"/>
  <c r="C20232" i="1"/>
  <c r="B20233" i="1"/>
  <c r="C20233" i="1"/>
  <c r="B20234" i="1"/>
  <c r="C20234" i="1"/>
  <c r="B20235" i="1"/>
  <c r="C20235" i="1"/>
  <c r="B20236" i="1"/>
  <c r="C20236" i="1"/>
  <c r="B20237" i="1"/>
  <c r="C20237" i="1"/>
  <c r="B20238" i="1"/>
  <c r="C20238" i="1"/>
  <c r="B20239" i="1"/>
  <c r="C20239" i="1"/>
  <c r="B20240" i="1"/>
  <c r="C20240" i="1"/>
  <c r="B20241" i="1"/>
  <c r="C20241" i="1"/>
  <c r="B20242" i="1"/>
  <c r="C20242" i="1"/>
  <c r="B20243" i="1"/>
  <c r="C20243" i="1"/>
  <c r="B20244" i="1"/>
  <c r="C20244" i="1"/>
  <c r="B20245" i="1"/>
  <c r="C20245" i="1"/>
  <c r="B20246" i="1"/>
  <c r="C20246" i="1"/>
  <c r="B20247" i="1"/>
  <c r="C20247" i="1"/>
  <c r="B20248" i="1"/>
  <c r="C20248" i="1"/>
  <c r="B20249" i="1"/>
  <c r="C20249" i="1"/>
  <c r="B20250" i="1"/>
  <c r="C20250" i="1"/>
  <c r="B20251" i="1"/>
  <c r="C20251" i="1"/>
  <c r="B20252" i="1"/>
  <c r="C20252" i="1"/>
  <c r="B20253" i="1"/>
  <c r="C20253" i="1"/>
  <c r="B20254" i="1"/>
  <c r="C20254" i="1"/>
  <c r="B20255" i="1"/>
  <c r="C20255" i="1"/>
  <c r="B20256" i="1"/>
  <c r="C20256" i="1"/>
  <c r="B20257" i="1"/>
  <c r="C20257" i="1"/>
  <c r="B20258" i="1"/>
  <c r="C20258" i="1"/>
  <c r="B20259" i="1"/>
  <c r="C20259" i="1"/>
  <c r="B20260" i="1"/>
  <c r="C20260" i="1"/>
  <c r="B20261" i="1"/>
  <c r="C20261" i="1"/>
  <c r="B20262" i="1"/>
  <c r="C20262" i="1"/>
  <c r="B20263" i="1"/>
  <c r="C20263" i="1"/>
  <c r="B20264" i="1"/>
  <c r="C20264" i="1"/>
  <c r="B20265" i="1"/>
  <c r="C20265" i="1"/>
  <c r="B20266" i="1"/>
  <c r="C20266" i="1"/>
  <c r="B20267" i="1"/>
  <c r="C20267" i="1"/>
  <c r="B20268" i="1"/>
  <c r="C20268" i="1"/>
  <c r="B20269" i="1"/>
  <c r="C20269" i="1"/>
  <c r="B20270" i="1"/>
  <c r="C20270" i="1"/>
  <c r="B20271" i="1"/>
  <c r="C20271" i="1"/>
  <c r="B20272" i="1"/>
  <c r="C20272" i="1"/>
  <c r="B20273" i="1"/>
  <c r="C20273" i="1"/>
  <c r="B20274" i="1"/>
  <c r="C20274" i="1"/>
  <c r="B20275" i="1"/>
  <c r="C20275" i="1"/>
  <c r="B20276" i="1"/>
  <c r="C20276" i="1"/>
  <c r="B20277" i="1"/>
  <c r="C20277" i="1"/>
  <c r="B20278" i="1"/>
  <c r="C20278" i="1"/>
  <c r="B20279" i="1"/>
  <c r="C20279" i="1"/>
  <c r="B20280" i="1"/>
  <c r="C20280" i="1"/>
  <c r="B20281" i="1"/>
  <c r="C20281" i="1"/>
  <c r="B20282" i="1"/>
  <c r="C20282" i="1"/>
  <c r="B20283" i="1"/>
  <c r="C20283" i="1"/>
  <c r="B20284" i="1"/>
  <c r="C20284" i="1"/>
  <c r="B20285" i="1"/>
  <c r="C20285" i="1"/>
  <c r="B20286" i="1"/>
  <c r="C20286" i="1"/>
  <c r="B20287" i="1"/>
  <c r="C20287" i="1"/>
  <c r="B20288" i="1"/>
  <c r="C20288" i="1"/>
  <c r="B20289" i="1"/>
  <c r="C20289" i="1"/>
  <c r="B20290" i="1"/>
  <c r="C20290" i="1"/>
  <c r="B20291" i="1"/>
  <c r="C20291" i="1"/>
  <c r="B20292" i="1"/>
  <c r="C20292" i="1"/>
  <c r="B20293" i="1"/>
  <c r="C20293" i="1"/>
  <c r="B20294" i="1"/>
  <c r="C20294" i="1"/>
  <c r="B20295" i="1"/>
  <c r="C20295" i="1"/>
  <c r="B20296" i="1"/>
  <c r="C20296" i="1"/>
  <c r="B20297" i="1"/>
  <c r="C20297" i="1"/>
  <c r="B20298" i="1"/>
  <c r="C20298" i="1"/>
  <c r="B20299" i="1"/>
  <c r="C20299" i="1"/>
  <c r="B20300" i="1"/>
  <c r="C20300" i="1"/>
  <c r="B20301" i="1"/>
  <c r="C20301" i="1"/>
  <c r="B20302" i="1"/>
  <c r="C20302" i="1"/>
  <c r="B20303" i="1"/>
  <c r="C20303" i="1"/>
  <c r="B20304" i="1"/>
  <c r="C20304" i="1"/>
  <c r="B20305" i="1"/>
  <c r="C20305" i="1"/>
  <c r="B20306" i="1"/>
  <c r="C20306" i="1"/>
  <c r="B20307" i="1"/>
  <c r="C20307" i="1"/>
  <c r="B20308" i="1"/>
  <c r="C20308" i="1"/>
  <c r="B20309" i="1"/>
  <c r="C20309" i="1"/>
  <c r="B20310" i="1"/>
  <c r="C20310" i="1"/>
  <c r="B20311" i="1"/>
  <c r="C20311" i="1"/>
  <c r="B20312" i="1"/>
  <c r="C20312" i="1"/>
  <c r="B20313" i="1"/>
  <c r="C20313" i="1"/>
  <c r="B20314" i="1"/>
  <c r="C20314" i="1"/>
  <c r="B20315" i="1"/>
  <c r="C20315" i="1"/>
  <c r="B20316" i="1"/>
  <c r="C20316" i="1"/>
  <c r="B20317" i="1"/>
  <c r="C20317" i="1"/>
  <c r="B20318" i="1"/>
  <c r="C20318" i="1"/>
  <c r="B20319" i="1"/>
  <c r="C20319" i="1"/>
  <c r="B20320" i="1"/>
  <c r="C20320" i="1"/>
  <c r="B20321" i="1"/>
  <c r="C20321" i="1"/>
  <c r="B20322" i="1"/>
  <c r="C20322" i="1"/>
  <c r="B20323" i="1"/>
  <c r="C20323" i="1"/>
  <c r="B20324" i="1"/>
  <c r="C20324" i="1"/>
  <c r="B20325" i="1"/>
  <c r="C20325" i="1"/>
  <c r="B20326" i="1"/>
  <c r="C20326" i="1"/>
  <c r="B20327" i="1"/>
  <c r="C20327" i="1"/>
  <c r="B20328" i="1"/>
  <c r="C20328" i="1"/>
  <c r="B20329" i="1"/>
  <c r="C20329" i="1"/>
  <c r="B20330" i="1"/>
  <c r="C20330" i="1"/>
  <c r="B20331" i="1"/>
  <c r="C20331" i="1"/>
  <c r="B20332" i="1"/>
  <c r="C20332" i="1"/>
  <c r="B20333" i="1"/>
  <c r="C20333" i="1"/>
  <c r="B20334" i="1"/>
  <c r="C20334" i="1"/>
  <c r="B20335" i="1"/>
  <c r="C20335" i="1"/>
  <c r="B20336" i="1"/>
  <c r="C20336" i="1"/>
  <c r="B20337" i="1"/>
  <c r="C20337" i="1"/>
  <c r="B20338" i="1"/>
  <c r="C20338" i="1"/>
  <c r="B20339" i="1"/>
  <c r="C20339" i="1"/>
  <c r="B20340" i="1"/>
  <c r="C20340" i="1"/>
  <c r="B20341" i="1"/>
  <c r="C20341" i="1"/>
  <c r="B20342" i="1"/>
  <c r="C20342" i="1"/>
  <c r="B20343" i="1"/>
  <c r="C20343" i="1"/>
  <c r="B20344" i="1"/>
  <c r="C20344" i="1"/>
  <c r="B20345" i="1"/>
  <c r="C20345" i="1"/>
  <c r="B20346" i="1"/>
  <c r="C20346" i="1"/>
  <c r="B20347" i="1"/>
  <c r="C20347" i="1"/>
  <c r="B20348" i="1"/>
  <c r="C20348" i="1"/>
  <c r="B20349" i="1"/>
  <c r="C20349" i="1"/>
  <c r="B20350" i="1"/>
  <c r="C20350" i="1"/>
  <c r="B20351" i="1"/>
  <c r="C20351" i="1"/>
  <c r="B20352" i="1"/>
  <c r="C20352" i="1"/>
  <c r="B20353" i="1"/>
  <c r="C20353" i="1"/>
  <c r="B20354" i="1"/>
  <c r="C20354" i="1"/>
  <c r="B20355" i="1"/>
  <c r="C20355" i="1"/>
  <c r="B20356" i="1"/>
  <c r="C20356" i="1"/>
  <c r="B20357" i="1"/>
  <c r="C20357" i="1"/>
  <c r="B20358" i="1"/>
  <c r="C20358" i="1"/>
  <c r="B20359" i="1"/>
  <c r="C20359" i="1"/>
  <c r="B20360" i="1"/>
  <c r="C20360" i="1"/>
  <c r="B20361" i="1"/>
  <c r="C20361" i="1"/>
  <c r="B20362" i="1"/>
  <c r="C20362" i="1"/>
  <c r="B20363" i="1"/>
  <c r="C20363" i="1"/>
  <c r="B20364" i="1"/>
  <c r="C20364" i="1"/>
  <c r="B20365" i="1"/>
  <c r="C20365" i="1"/>
  <c r="B20366" i="1"/>
  <c r="C20366" i="1"/>
  <c r="B20367" i="1"/>
  <c r="C20367" i="1"/>
  <c r="B20368" i="1"/>
  <c r="C20368" i="1"/>
  <c r="B20369" i="1"/>
  <c r="C20369" i="1"/>
  <c r="B20370" i="1"/>
  <c r="C20370" i="1"/>
  <c r="B20371" i="1"/>
  <c r="C20371" i="1"/>
  <c r="B20372" i="1"/>
  <c r="C20372" i="1"/>
  <c r="B20373" i="1"/>
  <c r="C20373" i="1"/>
  <c r="B20374" i="1"/>
  <c r="C20374" i="1"/>
  <c r="B20375" i="1"/>
  <c r="C20375" i="1"/>
  <c r="B20376" i="1"/>
  <c r="C20376" i="1"/>
  <c r="B20377" i="1"/>
  <c r="C20377" i="1"/>
  <c r="B20378" i="1"/>
  <c r="C20378" i="1"/>
  <c r="B20379" i="1"/>
  <c r="C20379" i="1"/>
  <c r="B20380" i="1"/>
  <c r="C20380" i="1"/>
  <c r="B20381" i="1"/>
  <c r="C20381" i="1"/>
  <c r="B20382" i="1"/>
  <c r="C20382" i="1"/>
  <c r="B20383" i="1"/>
  <c r="C20383" i="1"/>
  <c r="B20384" i="1"/>
  <c r="C20384" i="1"/>
  <c r="B20385" i="1"/>
  <c r="C20385" i="1"/>
  <c r="B20386" i="1"/>
  <c r="C20386" i="1"/>
  <c r="B20387" i="1"/>
  <c r="C20387" i="1"/>
  <c r="B20388" i="1"/>
  <c r="C20388" i="1"/>
  <c r="B20389" i="1"/>
  <c r="C20389" i="1"/>
  <c r="B20390" i="1"/>
  <c r="C20390" i="1"/>
  <c r="B20391" i="1"/>
  <c r="C20391" i="1"/>
  <c r="B20392" i="1"/>
  <c r="C20392" i="1"/>
  <c r="B20393" i="1"/>
  <c r="C20393" i="1"/>
  <c r="B20394" i="1"/>
  <c r="C20394" i="1"/>
  <c r="B20395" i="1"/>
  <c r="C20395" i="1"/>
  <c r="B20396" i="1"/>
  <c r="C20396" i="1"/>
  <c r="B20397" i="1"/>
  <c r="C20397" i="1"/>
  <c r="B20398" i="1"/>
  <c r="C20398" i="1"/>
  <c r="B20399" i="1"/>
  <c r="C20399" i="1"/>
  <c r="B20400" i="1"/>
  <c r="C20400" i="1"/>
  <c r="B20401" i="1"/>
  <c r="C20401" i="1"/>
  <c r="B20402" i="1"/>
  <c r="C20402" i="1"/>
  <c r="B20403" i="1"/>
  <c r="C20403" i="1"/>
  <c r="B20404" i="1"/>
  <c r="C20404" i="1"/>
  <c r="B20405" i="1"/>
  <c r="C20405" i="1"/>
  <c r="B20406" i="1"/>
  <c r="C20406" i="1"/>
  <c r="B20407" i="1"/>
  <c r="C20407" i="1"/>
  <c r="B20408" i="1"/>
  <c r="C20408" i="1"/>
  <c r="B20409" i="1"/>
  <c r="C20409" i="1"/>
  <c r="B20410" i="1"/>
  <c r="C20410" i="1"/>
  <c r="B20411" i="1"/>
  <c r="C20411" i="1"/>
  <c r="B20412" i="1"/>
  <c r="C20412" i="1"/>
  <c r="B20413" i="1"/>
  <c r="C20413" i="1"/>
  <c r="B20414" i="1"/>
  <c r="C20414" i="1"/>
  <c r="B20415" i="1"/>
  <c r="C20415" i="1"/>
  <c r="B20416" i="1"/>
  <c r="C20416" i="1"/>
  <c r="B20417" i="1"/>
  <c r="C20417" i="1"/>
  <c r="B20418" i="1"/>
  <c r="C20418" i="1"/>
  <c r="B20419" i="1"/>
  <c r="C20419" i="1"/>
  <c r="B20420" i="1"/>
  <c r="C20420" i="1"/>
  <c r="B20421" i="1"/>
  <c r="C20421" i="1"/>
  <c r="B20422" i="1"/>
  <c r="C20422" i="1"/>
  <c r="B20423" i="1"/>
  <c r="C20423" i="1"/>
  <c r="B20424" i="1"/>
  <c r="C20424" i="1"/>
  <c r="B20425" i="1"/>
  <c r="C20425" i="1"/>
  <c r="B20426" i="1"/>
  <c r="C20426" i="1"/>
  <c r="B20427" i="1"/>
  <c r="C20427" i="1"/>
  <c r="B20428" i="1"/>
  <c r="C20428" i="1"/>
  <c r="B20429" i="1"/>
  <c r="C20429" i="1"/>
  <c r="B20430" i="1"/>
  <c r="C20430" i="1"/>
  <c r="B20431" i="1"/>
  <c r="C20431" i="1"/>
  <c r="B20432" i="1"/>
  <c r="C20432" i="1"/>
  <c r="B20433" i="1"/>
  <c r="C20433" i="1"/>
  <c r="B20434" i="1"/>
  <c r="C20434" i="1"/>
  <c r="B20435" i="1"/>
  <c r="C20435" i="1"/>
  <c r="B20436" i="1"/>
  <c r="C20436" i="1"/>
  <c r="B20437" i="1"/>
  <c r="C20437" i="1"/>
  <c r="B20438" i="1"/>
  <c r="C20438" i="1"/>
  <c r="B20439" i="1"/>
  <c r="C20439" i="1"/>
  <c r="B20440" i="1"/>
  <c r="C20440" i="1"/>
  <c r="B20441" i="1"/>
  <c r="C20441" i="1"/>
  <c r="B20442" i="1"/>
  <c r="C20442" i="1"/>
  <c r="B20443" i="1"/>
  <c r="C20443" i="1"/>
  <c r="B20444" i="1"/>
  <c r="C20444" i="1"/>
  <c r="B20445" i="1"/>
  <c r="C20445" i="1"/>
  <c r="B20446" i="1"/>
  <c r="C20446" i="1"/>
  <c r="B20447" i="1"/>
  <c r="C20447" i="1"/>
  <c r="B20448" i="1"/>
  <c r="C20448" i="1"/>
  <c r="B20449" i="1"/>
  <c r="C20449" i="1"/>
  <c r="B20450" i="1"/>
  <c r="C20450" i="1"/>
  <c r="B20451" i="1"/>
  <c r="C20451" i="1"/>
  <c r="B20452" i="1"/>
  <c r="C20452" i="1"/>
  <c r="B20453" i="1"/>
  <c r="C20453" i="1"/>
  <c r="B20454" i="1"/>
  <c r="C20454" i="1"/>
  <c r="B20455" i="1"/>
  <c r="C20455" i="1"/>
  <c r="B20456" i="1"/>
  <c r="C20456" i="1"/>
  <c r="B20457" i="1"/>
  <c r="C20457" i="1"/>
  <c r="B20458" i="1"/>
  <c r="C20458" i="1"/>
  <c r="B20459" i="1"/>
  <c r="C20459" i="1"/>
  <c r="B20460" i="1"/>
  <c r="C20460" i="1"/>
  <c r="B20461" i="1"/>
  <c r="C20461" i="1"/>
  <c r="B20462" i="1"/>
  <c r="C20462" i="1"/>
  <c r="B20463" i="1"/>
  <c r="C20463" i="1"/>
  <c r="B20464" i="1"/>
  <c r="C20464" i="1"/>
  <c r="B20465" i="1"/>
  <c r="C20465" i="1"/>
  <c r="B20466" i="1"/>
  <c r="C20466" i="1"/>
  <c r="B20467" i="1"/>
  <c r="C20467" i="1"/>
  <c r="B20468" i="1"/>
  <c r="C20468" i="1"/>
  <c r="B20469" i="1"/>
  <c r="C20469" i="1"/>
  <c r="B20470" i="1"/>
  <c r="C20470" i="1"/>
  <c r="B20471" i="1"/>
  <c r="C20471" i="1"/>
  <c r="B20472" i="1"/>
  <c r="C20472" i="1"/>
  <c r="B20473" i="1"/>
  <c r="C20473" i="1"/>
  <c r="B20474" i="1"/>
  <c r="C20474" i="1"/>
  <c r="B20475" i="1"/>
  <c r="C20475" i="1"/>
  <c r="B20476" i="1"/>
  <c r="C20476" i="1"/>
  <c r="B20477" i="1"/>
  <c r="C20477" i="1"/>
  <c r="B20478" i="1"/>
  <c r="C20478" i="1"/>
  <c r="B20479" i="1"/>
  <c r="C20479" i="1"/>
  <c r="B20480" i="1"/>
  <c r="C20480" i="1"/>
  <c r="B20481" i="1"/>
  <c r="C20481" i="1"/>
  <c r="B20482" i="1"/>
  <c r="C20482" i="1"/>
  <c r="B20483" i="1"/>
  <c r="C20483" i="1"/>
  <c r="B20484" i="1"/>
  <c r="C20484" i="1"/>
  <c r="B20485" i="1"/>
  <c r="C20485" i="1"/>
  <c r="B20486" i="1"/>
  <c r="C20486" i="1"/>
  <c r="B20487" i="1"/>
  <c r="C20487" i="1"/>
  <c r="B20488" i="1"/>
  <c r="C20488" i="1"/>
  <c r="B20489" i="1"/>
  <c r="C20489" i="1"/>
  <c r="B20490" i="1"/>
  <c r="C20490" i="1"/>
  <c r="B20491" i="1"/>
  <c r="C20491" i="1"/>
  <c r="B20492" i="1"/>
  <c r="C20492" i="1"/>
  <c r="B20493" i="1"/>
  <c r="C20493" i="1"/>
  <c r="B20494" i="1"/>
  <c r="C20494" i="1"/>
  <c r="B20495" i="1"/>
  <c r="C20495" i="1"/>
  <c r="B20496" i="1"/>
  <c r="C20496" i="1"/>
  <c r="B20497" i="1"/>
  <c r="C20497" i="1"/>
  <c r="B20498" i="1"/>
  <c r="C20498" i="1"/>
  <c r="B20499" i="1"/>
  <c r="C20499" i="1"/>
  <c r="B20500" i="1"/>
  <c r="C20500" i="1"/>
  <c r="B20501" i="1"/>
  <c r="C20501" i="1"/>
  <c r="B20502" i="1"/>
  <c r="C20502" i="1"/>
  <c r="B20503" i="1"/>
  <c r="C20503" i="1"/>
  <c r="B20504" i="1"/>
  <c r="C20504" i="1"/>
  <c r="B20505" i="1"/>
  <c r="C20505" i="1"/>
  <c r="B20506" i="1"/>
  <c r="C20506" i="1"/>
  <c r="B20507" i="1"/>
  <c r="C20507" i="1"/>
  <c r="B20508" i="1"/>
  <c r="C20508" i="1"/>
  <c r="B20509" i="1"/>
  <c r="C20509" i="1"/>
  <c r="B20510" i="1"/>
  <c r="C20510" i="1"/>
  <c r="B20511" i="1"/>
  <c r="C20511" i="1"/>
  <c r="B20512" i="1"/>
  <c r="C20512" i="1"/>
  <c r="B20513" i="1"/>
  <c r="C20513" i="1"/>
  <c r="B20514" i="1"/>
  <c r="C20514" i="1"/>
  <c r="B20515" i="1"/>
  <c r="C20515" i="1"/>
  <c r="B20516" i="1"/>
  <c r="C20516" i="1"/>
  <c r="B20517" i="1"/>
  <c r="C20517" i="1"/>
  <c r="B20518" i="1"/>
  <c r="C20518" i="1"/>
  <c r="B20519" i="1"/>
  <c r="C20519" i="1"/>
  <c r="B20520" i="1"/>
  <c r="C20520" i="1"/>
  <c r="B20521" i="1"/>
  <c r="C20521" i="1"/>
  <c r="B20522" i="1"/>
  <c r="C20522" i="1"/>
  <c r="B20523" i="1"/>
  <c r="C20523" i="1"/>
  <c r="B20524" i="1"/>
  <c r="C20524" i="1"/>
  <c r="B20525" i="1"/>
  <c r="C20525" i="1"/>
  <c r="B20526" i="1"/>
  <c r="C20526" i="1"/>
  <c r="B20527" i="1"/>
  <c r="C20527" i="1"/>
  <c r="B20528" i="1"/>
  <c r="C20528" i="1"/>
  <c r="B20529" i="1"/>
  <c r="C20529" i="1"/>
  <c r="B20530" i="1"/>
  <c r="C20530" i="1"/>
  <c r="B20531" i="1"/>
  <c r="C20531" i="1"/>
  <c r="B20532" i="1"/>
  <c r="C20532" i="1"/>
  <c r="B20533" i="1"/>
  <c r="C20533" i="1"/>
  <c r="B20534" i="1"/>
  <c r="C20534" i="1"/>
  <c r="B20535" i="1"/>
  <c r="C20535" i="1"/>
  <c r="B20536" i="1"/>
  <c r="C20536" i="1"/>
  <c r="B20537" i="1"/>
  <c r="C20537" i="1"/>
  <c r="B20538" i="1"/>
  <c r="C20538" i="1"/>
  <c r="B20539" i="1"/>
  <c r="C20539" i="1"/>
  <c r="B20540" i="1"/>
  <c r="C20540" i="1"/>
  <c r="B20541" i="1"/>
  <c r="C20541" i="1"/>
  <c r="B20542" i="1"/>
  <c r="C20542" i="1"/>
  <c r="B20543" i="1"/>
  <c r="C20543" i="1"/>
  <c r="B20544" i="1"/>
  <c r="C20544" i="1"/>
  <c r="B20545" i="1"/>
  <c r="C20545" i="1"/>
  <c r="B20546" i="1"/>
  <c r="C20546" i="1"/>
  <c r="B20547" i="1"/>
  <c r="C20547" i="1"/>
  <c r="B20548" i="1"/>
  <c r="C20548" i="1"/>
  <c r="B20549" i="1"/>
  <c r="C20549" i="1"/>
  <c r="B20550" i="1"/>
  <c r="C20550" i="1"/>
  <c r="B20551" i="1"/>
  <c r="C20551" i="1"/>
  <c r="B20552" i="1"/>
  <c r="C20552" i="1"/>
  <c r="B20553" i="1"/>
  <c r="C20553" i="1"/>
  <c r="B20554" i="1"/>
  <c r="C20554" i="1"/>
  <c r="B20555" i="1"/>
  <c r="C20555" i="1"/>
  <c r="B20556" i="1"/>
  <c r="C20556" i="1"/>
  <c r="B20557" i="1"/>
  <c r="C20557" i="1"/>
  <c r="B20558" i="1"/>
  <c r="C20558" i="1"/>
  <c r="B20559" i="1"/>
  <c r="C20559" i="1"/>
  <c r="B20560" i="1"/>
  <c r="C20560" i="1"/>
  <c r="B20561" i="1"/>
  <c r="C20561" i="1"/>
  <c r="B20562" i="1"/>
  <c r="C20562" i="1"/>
  <c r="B20563" i="1"/>
  <c r="C20563" i="1"/>
  <c r="B20564" i="1"/>
  <c r="C20564" i="1"/>
  <c r="B20565" i="1"/>
  <c r="C20565" i="1"/>
  <c r="B20566" i="1"/>
  <c r="C20566" i="1"/>
  <c r="B20567" i="1"/>
  <c r="C20567" i="1"/>
  <c r="B20568" i="1"/>
  <c r="C20568" i="1"/>
  <c r="B20569" i="1"/>
  <c r="C20569" i="1"/>
  <c r="B20570" i="1"/>
  <c r="C20570" i="1"/>
  <c r="B20571" i="1"/>
  <c r="C20571" i="1"/>
  <c r="B20572" i="1"/>
  <c r="C20572" i="1"/>
  <c r="B20573" i="1"/>
  <c r="C20573" i="1"/>
  <c r="B20574" i="1"/>
  <c r="C20574" i="1"/>
  <c r="B20575" i="1"/>
  <c r="C20575" i="1"/>
  <c r="B20576" i="1"/>
  <c r="C20576" i="1"/>
  <c r="B20577" i="1"/>
  <c r="C20577" i="1"/>
  <c r="B20578" i="1"/>
  <c r="C20578" i="1"/>
  <c r="B20579" i="1"/>
  <c r="C20579" i="1"/>
  <c r="B20580" i="1"/>
  <c r="C20580" i="1"/>
  <c r="B20581" i="1"/>
  <c r="C20581" i="1"/>
  <c r="B20582" i="1"/>
  <c r="C20582" i="1"/>
  <c r="B20583" i="1"/>
  <c r="C20583" i="1"/>
  <c r="B20584" i="1"/>
  <c r="C20584" i="1"/>
  <c r="B20585" i="1"/>
  <c r="C20585" i="1"/>
  <c r="B20586" i="1"/>
  <c r="C20586" i="1"/>
  <c r="B20587" i="1"/>
  <c r="C20587" i="1"/>
  <c r="B20588" i="1"/>
  <c r="C20588" i="1"/>
  <c r="B20589" i="1"/>
  <c r="C20589" i="1"/>
  <c r="B20590" i="1"/>
  <c r="C20590" i="1"/>
  <c r="B20591" i="1"/>
  <c r="C20591" i="1"/>
  <c r="B20592" i="1"/>
  <c r="C20592" i="1"/>
  <c r="B20593" i="1"/>
  <c r="C20593" i="1"/>
  <c r="B20594" i="1"/>
  <c r="C20594" i="1"/>
  <c r="B20595" i="1"/>
  <c r="C20595" i="1"/>
  <c r="B20596" i="1"/>
  <c r="C20596" i="1"/>
  <c r="B20597" i="1"/>
  <c r="C20597" i="1"/>
  <c r="B20598" i="1"/>
  <c r="C20598" i="1"/>
  <c r="B20599" i="1"/>
  <c r="C20599" i="1"/>
  <c r="B20600" i="1"/>
  <c r="C20600" i="1"/>
  <c r="B20601" i="1"/>
  <c r="C20601" i="1"/>
  <c r="B20602" i="1"/>
  <c r="C20602" i="1"/>
  <c r="B20603" i="1"/>
  <c r="C20603" i="1"/>
  <c r="B20604" i="1"/>
  <c r="C20604" i="1"/>
  <c r="B20605" i="1"/>
  <c r="C20605" i="1"/>
  <c r="B20606" i="1"/>
  <c r="C20606" i="1"/>
  <c r="B20607" i="1"/>
  <c r="C20607" i="1"/>
  <c r="B20608" i="1"/>
  <c r="C20608" i="1"/>
  <c r="B20609" i="1"/>
  <c r="C20609" i="1"/>
  <c r="B20610" i="1"/>
  <c r="C20610" i="1"/>
  <c r="B20611" i="1"/>
  <c r="C20611" i="1"/>
  <c r="B20612" i="1"/>
  <c r="C20612" i="1"/>
  <c r="B20613" i="1"/>
  <c r="C20613" i="1"/>
  <c r="B20614" i="1"/>
  <c r="C20614" i="1"/>
  <c r="B20615" i="1"/>
  <c r="C20615" i="1"/>
  <c r="B20616" i="1"/>
  <c r="C20616" i="1"/>
  <c r="B20617" i="1"/>
  <c r="C20617" i="1"/>
  <c r="B20618" i="1"/>
  <c r="C20618" i="1"/>
  <c r="B20619" i="1"/>
  <c r="C20619" i="1"/>
  <c r="B20620" i="1"/>
  <c r="C20620" i="1"/>
  <c r="B20621" i="1"/>
  <c r="C20621" i="1"/>
  <c r="B20622" i="1"/>
  <c r="C20622" i="1"/>
  <c r="B20623" i="1"/>
  <c r="C20623" i="1"/>
  <c r="B20624" i="1"/>
  <c r="C20624" i="1"/>
  <c r="B20625" i="1"/>
  <c r="C20625" i="1"/>
  <c r="B20626" i="1"/>
  <c r="C20626" i="1"/>
  <c r="B20627" i="1"/>
  <c r="C20627" i="1"/>
  <c r="B20628" i="1"/>
  <c r="C20628" i="1"/>
  <c r="B20629" i="1"/>
  <c r="C20629" i="1"/>
  <c r="B20630" i="1"/>
  <c r="C20630" i="1"/>
  <c r="B20631" i="1"/>
  <c r="C20631" i="1"/>
  <c r="B20632" i="1"/>
  <c r="C20632" i="1"/>
  <c r="B20633" i="1"/>
  <c r="C20633" i="1"/>
  <c r="B20634" i="1"/>
  <c r="C20634" i="1"/>
  <c r="B20635" i="1"/>
  <c r="C20635" i="1"/>
  <c r="B20636" i="1"/>
  <c r="C20636" i="1"/>
  <c r="B20637" i="1"/>
  <c r="C20637" i="1"/>
  <c r="B20638" i="1"/>
  <c r="C20638" i="1"/>
  <c r="B20639" i="1"/>
  <c r="C20639" i="1"/>
  <c r="B20640" i="1"/>
  <c r="C20640" i="1"/>
  <c r="B20641" i="1"/>
  <c r="C20641" i="1"/>
  <c r="B20642" i="1"/>
  <c r="C20642" i="1"/>
  <c r="B20643" i="1"/>
  <c r="C20643" i="1"/>
  <c r="B20644" i="1"/>
  <c r="C20644" i="1"/>
  <c r="B20645" i="1"/>
  <c r="C20645" i="1"/>
  <c r="B20646" i="1"/>
  <c r="C20646" i="1"/>
  <c r="B20647" i="1"/>
  <c r="C20647" i="1"/>
  <c r="B20648" i="1"/>
  <c r="C20648" i="1"/>
  <c r="B20649" i="1"/>
  <c r="C20649" i="1"/>
  <c r="B20650" i="1"/>
  <c r="C20650" i="1"/>
  <c r="B20651" i="1"/>
  <c r="C20651" i="1"/>
  <c r="B20652" i="1"/>
  <c r="C20652" i="1"/>
  <c r="B20653" i="1"/>
  <c r="C20653" i="1"/>
  <c r="B20654" i="1"/>
  <c r="C20654" i="1"/>
  <c r="B20655" i="1"/>
  <c r="C20655" i="1"/>
  <c r="B20656" i="1"/>
  <c r="C20656" i="1"/>
  <c r="B20657" i="1"/>
  <c r="C20657" i="1"/>
  <c r="B20658" i="1"/>
  <c r="C20658" i="1"/>
  <c r="B20659" i="1"/>
  <c r="C20659" i="1"/>
  <c r="B20660" i="1"/>
  <c r="C20660" i="1"/>
  <c r="B20661" i="1"/>
  <c r="C20661" i="1"/>
  <c r="B20662" i="1"/>
  <c r="C20662" i="1"/>
  <c r="B20663" i="1"/>
  <c r="C20663" i="1"/>
  <c r="B20664" i="1"/>
  <c r="C20664" i="1"/>
  <c r="B20665" i="1"/>
  <c r="C20665" i="1"/>
  <c r="B20666" i="1"/>
  <c r="C20666" i="1"/>
  <c r="B20667" i="1"/>
  <c r="C20667" i="1"/>
  <c r="B20668" i="1"/>
  <c r="C20668" i="1"/>
  <c r="B20669" i="1"/>
  <c r="C20669" i="1"/>
  <c r="B20670" i="1"/>
  <c r="C20670" i="1"/>
  <c r="B20671" i="1"/>
  <c r="C20671" i="1"/>
  <c r="B20672" i="1"/>
  <c r="C20672" i="1"/>
  <c r="B20673" i="1"/>
  <c r="C20673" i="1"/>
  <c r="B20674" i="1"/>
  <c r="C20674" i="1"/>
  <c r="B20675" i="1"/>
  <c r="C20675" i="1"/>
  <c r="B20676" i="1"/>
  <c r="C20676" i="1"/>
  <c r="B20677" i="1"/>
  <c r="C20677" i="1"/>
  <c r="B20678" i="1"/>
  <c r="C20678" i="1"/>
  <c r="B20679" i="1"/>
  <c r="C20679" i="1"/>
  <c r="B20680" i="1"/>
  <c r="C20680" i="1"/>
  <c r="B20681" i="1"/>
  <c r="C20681" i="1"/>
  <c r="B20682" i="1"/>
  <c r="C20682" i="1"/>
  <c r="B20683" i="1"/>
  <c r="C20683" i="1"/>
  <c r="B20684" i="1"/>
  <c r="C20684" i="1"/>
  <c r="B20685" i="1"/>
  <c r="C20685" i="1"/>
  <c r="B20686" i="1"/>
  <c r="C20686" i="1"/>
  <c r="B20687" i="1"/>
  <c r="C20687" i="1"/>
  <c r="B20688" i="1"/>
  <c r="C20688" i="1"/>
  <c r="B20689" i="1"/>
  <c r="C20689" i="1"/>
  <c r="B20690" i="1"/>
  <c r="C20690" i="1"/>
  <c r="B20691" i="1"/>
  <c r="C20691" i="1"/>
  <c r="B20692" i="1"/>
  <c r="C20692" i="1"/>
  <c r="B20693" i="1"/>
  <c r="C20693" i="1"/>
  <c r="B20694" i="1"/>
  <c r="C20694" i="1"/>
  <c r="B20695" i="1"/>
  <c r="C20695" i="1"/>
  <c r="B20696" i="1"/>
  <c r="C20696" i="1"/>
  <c r="B20697" i="1"/>
  <c r="C20697" i="1"/>
  <c r="B20698" i="1"/>
  <c r="C20698" i="1"/>
  <c r="B20699" i="1"/>
  <c r="C20699" i="1"/>
  <c r="B20700" i="1"/>
  <c r="C20700" i="1"/>
  <c r="B20701" i="1"/>
  <c r="C20701" i="1"/>
  <c r="B20702" i="1"/>
  <c r="C20702" i="1"/>
  <c r="B20703" i="1"/>
  <c r="C20703" i="1"/>
  <c r="B20704" i="1"/>
  <c r="C20704" i="1"/>
  <c r="B20705" i="1"/>
  <c r="C20705" i="1"/>
  <c r="B20706" i="1"/>
  <c r="C20706" i="1"/>
  <c r="B20707" i="1"/>
  <c r="C20707" i="1"/>
  <c r="B20708" i="1"/>
  <c r="C20708" i="1"/>
  <c r="B20709" i="1"/>
  <c r="C20709" i="1"/>
  <c r="B20710" i="1"/>
  <c r="C20710" i="1"/>
  <c r="B20711" i="1"/>
  <c r="C20711" i="1"/>
  <c r="B20712" i="1"/>
  <c r="C20712" i="1"/>
  <c r="B20713" i="1"/>
  <c r="C20713" i="1"/>
  <c r="B20714" i="1"/>
  <c r="C20714" i="1"/>
  <c r="B20715" i="1"/>
  <c r="C20715" i="1"/>
  <c r="B20716" i="1"/>
  <c r="C20716" i="1"/>
  <c r="B20717" i="1"/>
  <c r="C20717" i="1"/>
  <c r="B20718" i="1"/>
  <c r="C20718" i="1"/>
  <c r="B20719" i="1"/>
  <c r="C20719" i="1"/>
  <c r="B20720" i="1"/>
  <c r="C20720" i="1"/>
  <c r="B20721" i="1"/>
  <c r="C20721" i="1"/>
  <c r="B20722" i="1"/>
  <c r="C20722" i="1"/>
  <c r="B20723" i="1"/>
  <c r="C20723" i="1"/>
  <c r="B20724" i="1"/>
  <c r="C20724" i="1"/>
  <c r="B20725" i="1"/>
  <c r="C20725" i="1"/>
  <c r="B20726" i="1"/>
  <c r="C20726" i="1"/>
  <c r="B20727" i="1"/>
  <c r="C20727" i="1"/>
  <c r="B20728" i="1"/>
  <c r="C20728" i="1"/>
  <c r="B20729" i="1"/>
  <c r="C20729" i="1"/>
  <c r="B20730" i="1"/>
  <c r="C20730" i="1"/>
  <c r="B20731" i="1"/>
  <c r="C20731" i="1"/>
  <c r="B20732" i="1"/>
  <c r="C20732" i="1"/>
  <c r="B20733" i="1"/>
  <c r="C20733" i="1"/>
  <c r="B20734" i="1"/>
  <c r="C20734" i="1"/>
  <c r="B20735" i="1"/>
  <c r="C20735" i="1"/>
  <c r="B20736" i="1"/>
  <c r="C20736" i="1"/>
  <c r="B20737" i="1"/>
  <c r="C20737" i="1"/>
  <c r="B20738" i="1"/>
  <c r="C20738" i="1"/>
  <c r="B20739" i="1"/>
  <c r="C20739" i="1"/>
  <c r="B20740" i="1"/>
  <c r="C20740" i="1"/>
  <c r="B20741" i="1"/>
  <c r="C20741" i="1"/>
  <c r="B20742" i="1"/>
  <c r="C20742" i="1"/>
  <c r="B20743" i="1"/>
  <c r="C20743" i="1"/>
  <c r="B20744" i="1"/>
  <c r="C20744" i="1"/>
  <c r="B20745" i="1"/>
  <c r="C20745" i="1"/>
  <c r="B20746" i="1"/>
  <c r="C20746" i="1"/>
  <c r="B20747" i="1"/>
  <c r="C20747" i="1"/>
  <c r="B20748" i="1"/>
  <c r="C20748" i="1"/>
  <c r="B20749" i="1"/>
  <c r="C20749" i="1"/>
  <c r="B20750" i="1"/>
  <c r="C20750" i="1"/>
  <c r="B20751" i="1"/>
  <c r="C20751" i="1"/>
  <c r="B20752" i="1"/>
  <c r="C20752" i="1"/>
  <c r="B20753" i="1"/>
  <c r="C20753" i="1"/>
  <c r="B20754" i="1"/>
  <c r="C20754" i="1"/>
  <c r="B20755" i="1"/>
  <c r="C20755" i="1"/>
  <c r="B20756" i="1"/>
  <c r="C20756" i="1"/>
  <c r="B20757" i="1"/>
  <c r="C20757" i="1"/>
  <c r="B20758" i="1"/>
  <c r="C20758" i="1"/>
  <c r="B20759" i="1"/>
  <c r="C20759" i="1"/>
  <c r="B20760" i="1"/>
  <c r="C20760" i="1"/>
  <c r="B20761" i="1"/>
  <c r="C20761" i="1"/>
  <c r="B20762" i="1"/>
  <c r="C20762" i="1"/>
  <c r="B20763" i="1"/>
  <c r="C20763" i="1"/>
  <c r="B20764" i="1"/>
  <c r="C20764" i="1"/>
  <c r="B20765" i="1"/>
  <c r="C20765" i="1"/>
  <c r="B20766" i="1"/>
  <c r="C20766" i="1"/>
  <c r="B20767" i="1"/>
  <c r="C20767" i="1"/>
  <c r="B20768" i="1"/>
  <c r="C20768" i="1"/>
  <c r="B20769" i="1"/>
  <c r="C20769" i="1"/>
  <c r="B20770" i="1"/>
  <c r="C20770" i="1"/>
  <c r="B20771" i="1"/>
  <c r="C20771" i="1"/>
  <c r="B20772" i="1"/>
  <c r="C20772" i="1"/>
  <c r="B20773" i="1"/>
  <c r="C20773" i="1"/>
  <c r="B20774" i="1"/>
  <c r="C20774" i="1"/>
  <c r="B20775" i="1"/>
  <c r="C20775" i="1"/>
  <c r="B20776" i="1"/>
  <c r="C20776" i="1"/>
  <c r="B20777" i="1"/>
  <c r="C20777" i="1"/>
  <c r="B20778" i="1"/>
  <c r="C20778" i="1"/>
  <c r="B20779" i="1"/>
  <c r="C20779" i="1"/>
  <c r="B20780" i="1"/>
  <c r="C20780" i="1"/>
  <c r="B20781" i="1"/>
  <c r="C20781" i="1"/>
  <c r="B20782" i="1"/>
  <c r="C20782" i="1"/>
  <c r="B20783" i="1"/>
  <c r="C20783" i="1"/>
  <c r="B20784" i="1"/>
  <c r="C20784" i="1"/>
  <c r="B20785" i="1"/>
  <c r="C20785" i="1"/>
  <c r="B20786" i="1"/>
  <c r="C20786" i="1"/>
  <c r="B20787" i="1"/>
  <c r="C20787" i="1"/>
  <c r="B20788" i="1"/>
  <c r="C20788" i="1"/>
  <c r="B20789" i="1"/>
  <c r="C20789" i="1"/>
  <c r="B20790" i="1"/>
  <c r="C20790" i="1"/>
  <c r="B20791" i="1"/>
  <c r="C20791" i="1"/>
  <c r="B20792" i="1"/>
  <c r="C20792" i="1"/>
  <c r="B20793" i="1"/>
  <c r="C20793" i="1"/>
  <c r="B20794" i="1"/>
  <c r="C20794" i="1"/>
  <c r="B20795" i="1"/>
  <c r="C20795" i="1"/>
  <c r="B20796" i="1"/>
  <c r="C20796" i="1"/>
  <c r="B20797" i="1"/>
  <c r="C20797" i="1"/>
  <c r="B20798" i="1"/>
  <c r="C20798" i="1"/>
  <c r="B20799" i="1"/>
  <c r="C20799" i="1"/>
  <c r="B20800" i="1"/>
  <c r="C20800" i="1"/>
  <c r="B20801" i="1"/>
  <c r="C20801" i="1"/>
  <c r="B20802" i="1"/>
  <c r="C20802" i="1"/>
  <c r="B20803" i="1"/>
  <c r="C20803" i="1"/>
  <c r="B20804" i="1"/>
  <c r="C20804" i="1"/>
  <c r="B20805" i="1"/>
  <c r="C20805" i="1"/>
  <c r="B20806" i="1"/>
  <c r="C20806" i="1"/>
  <c r="B20807" i="1"/>
  <c r="C20807" i="1"/>
  <c r="B20808" i="1"/>
  <c r="C20808" i="1"/>
  <c r="B20809" i="1"/>
  <c r="C20809" i="1"/>
  <c r="B20810" i="1"/>
  <c r="C20810" i="1"/>
  <c r="B20811" i="1"/>
  <c r="C20811" i="1"/>
  <c r="B20812" i="1"/>
  <c r="C20812" i="1"/>
  <c r="B20813" i="1"/>
  <c r="C20813" i="1"/>
  <c r="B20814" i="1"/>
  <c r="C20814" i="1"/>
  <c r="B20815" i="1"/>
  <c r="C20815" i="1"/>
  <c r="B20816" i="1"/>
  <c r="C20816" i="1"/>
  <c r="B20817" i="1"/>
  <c r="C20817" i="1"/>
  <c r="B20818" i="1"/>
  <c r="C20818" i="1"/>
  <c r="B20819" i="1"/>
  <c r="C20819" i="1"/>
  <c r="B20820" i="1"/>
  <c r="C20820" i="1"/>
  <c r="B20821" i="1"/>
  <c r="C20821" i="1"/>
  <c r="B20822" i="1"/>
  <c r="C20822" i="1"/>
  <c r="B20823" i="1"/>
  <c r="C20823" i="1"/>
  <c r="B20824" i="1"/>
  <c r="C20824" i="1"/>
  <c r="B20825" i="1"/>
  <c r="C20825" i="1"/>
  <c r="B20826" i="1"/>
  <c r="C20826" i="1"/>
  <c r="B20827" i="1"/>
  <c r="C20827" i="1"/>
  <c r="B20828" i="1"/>
  <c r="C20828" i="1"/>
  <c r="B20829" i="1"/>
  <c r="C20829" i="1"/>
  <c r="B20830" i="1"/>
  <c r="C20830" i="1"/>
  <c r="B20831" i="1"/>
  <c r="C20831" i="1"/>
  <c r="B20832" i="1"/>
  <c r="C20832" i="1"/>
  <c r="B20833" i="1"/>
  <c r="C20833" i="1"/>
  <c r="B20834" i="1"/>
  <c r="C20834" i="1"/>
  <c r="B20835" i="1"/>
  <c r="C20835" i="1"/>
  <c r="B20836" i="1"/>
  <c r="C20836" i="1"/>
  <c r="B20837" i="1"/>
  <c r="C20837" i="1"/>
  <c r="B20838" i="1"/>
  <c r="C20838" i="1"/>
  <c r="B20839" i="1"/>
  <c r="C20839" i="1"/>
  <c r="B20840" i="1"/>
  <c r="C20840" i="1"/>
  <c r="B20841" i="1"/>
  <c r="C20841" i="1"/>
  <c r="B20842" i="1"/>
  <c r="C20842" i="1"/>
  <c r="B20843" i="1"/>
  <c r="C20843" i="1"/>
  <c r="B20844" i="1"/>
  <c r="C20844" i="1"/>
  <c r="B20845" i="1"/>
  <c r="C20845" i="1"/>
  <c r="B20846" i="1"/>
  <c r="C20846" i="1"/>
  <c r="B20847" i="1"/>
  <c r="C20847" i="1"/>
  <c r="B20848" i="1"/>
  <c r="C20848" i="1"/>
  <c r="B20849" i="1"/>
  <c r="C20849" i="1"/>
  <c r="B20850" i="1"/>
  <c r="C20850" i="1"/>
  <c r="B20851" i="1"/>
  <c r="C20851" i="1"/>
  <c r="B20852" i="1"/>
  <c r="C20852" i="1"/>
  <c r="B20853" i="1"/>
  <c r="C20853" i="1"/>
  <c r="B20854" i="1"/>
  <c r="C20854" i="1"/>
  <c r="B20855" i="1"/>
  <c r="C20855" i="1"/>
  <c r="B20856" i="1"/>
  <c r="C20856" i="1"/>
  <c r="B20857" i="1"/>
  <c r="C20857" i="1"/>
  <c r="B20858" i="1"/>
  <c r="C20858" i="1"/>
  <c r="B20859" i="1"/>
  <c r="C20859" i="1"/>
  <c r="B20860" i="1"/>
  <c r="C20860" i="1"/>
  <c r="B20861" i="1"/>
  <c r="C20861" i="1"/>
  <c r="B20862" i="1"/>
  <c r="C20862" i="1"/>
  <c r="B20863" i="1"/>
  <c r="C20863" i="1"/>
  <c r="B20864" i="1"/>
  <c r="C20864" i="1"/>
  <c r="B20865" i="1"/>
  <c r="C20865" i="1"/>
  <c r="B20866" i="1"/>
  <c r="C20866" i="1"/>
  <c r="B20867" i="1"/>
  <c r="C20867" i="1"/>
  <c r="B20868" i="1"/>
  <c r="C20868" i="1"/>
  <c r="B20869" i="1"/>
  <c r="C20869" i="1"/>
  <c r="B20870" i="1"/>
  <c r="C20870" i="1"/>
  <c r="B20871" i="1"/>
  <c r="C20871" i="1"/>
  <c r="B20872" i="1"/>
  <c r="C20872" i="1"/>
  <c r="B20873" i="1"/>
  <c r="C20873" i="1"/>
  <c r="B20874" i="1"/>
  <c r="C20874" i="1"/>
  <c r="B20875" i="1"/>
  <c r="C20875" i="1"/>
  <c r="B20876" i="1"/>
  <c r="C20876" i="1"/>
  <c r="B20877" i="1"/>
  <c r="C20877" i="1"/>
  <c r="B20878" i="1"/>
  <c r="C20878" i="1"/>
  <c r="B20879" i="1"/>
  <c r="C20879" i="1"/>
  <c r="B20880" i="1"/>
  <c r="C20880" i="1"/>
  <c r="B20881" i="1"/>
  <c r="C20881" i="1"/>
  <c r="B20882" i="1"/>
  <c r="C20882" i="1"/>
  <c r="B20883" i="1"/>
  <c r="C20883" i="1"/>
  <c r="B20884" i="1"/>
  <c r="C20884" i="1"/>
  <c r="B20885" i="1"/>
  <c r="C20885" i="1"/>
  <c r="B20886" i="1"/>
  <c r="C20886" i="1"/>
  <c r="B20887" i="1"/>
  <c r="C20887" i="1"/>
  <c r="B20888" i="1"/>
  <c r="C20888" i="1"/>
  <c r="B20889" i="1"/>
  <c r="C20889" i="1"/>
  <c r="B20890" i="1"/>
  <c r="C20890" i="1"/>
  <c r="B20891" i="1"/>
  <c r="C20891" i="1"/>
  <c r="B20892" i="1"/>
  <c r="C20892" i="1"/>
  <c r="B20893" i="1"/>
  <c r="C20893" i="1"/>
  <c r="B20894" i="1"/>
  <c r="C20894" i="1"/>
  <c r="B20895" i="1"/>
  <c r="C20895" i="1"/>
  <c r="B20896" i="1"/>
  <c r="C20896" i="1"/>
  <c r="B20897" i="1"/>
  <c r="C20897" i="1"/>
  <c r="B20898" i="1"/>
  <c r="C20898" i="1"/>
  <c r="B20899" i="1"/>
  <c r="C20899" i="1"/>
  <c r="B20900" i="1"/>
  <c r="C20900" i="1"/>
  <c r="B20901" i="1"/>
  <c r="C20901" i="1"/>
  <c r="B20902" i="1"/>
  <c r="C20902" i="1"/>
  <c r="B20903" i="1"/>
  <c r="C20903" i="1"/>
  <c r="B20904" i="1"/>
  <c r="C20904" i="1"/>
  <c r="B20905" i="1"/>
  <c r="C20905" i="1"/>
  <c r="B20906" i="1"/>
  <c r="C20906" i="1"/>
  <c r="B20907" i="1"/>
  <c r="C20907" i="1"/>
  <c r="B20908" i="1"/>
  <c r="C20908" i="1"/>
  <c r="B20909" i="1"/>
  <c r="C20909" i="1"/>
  <c r="B20910" i="1"/>
  <c r="C20910" i="1"/>
  <c r="B20911" i="1"/>
  <c r="C20911" i="1"/>
  <c r="B20912" i="1"/>
  <c r="C20912" i="1"/>
  <c r="B20913" i="1"/>
  <c r="C20913" i="1"/>
  <c r="B20914" i="1"/>
  <c r="C20914" i="1"/>
  <c r="B20915" i="1"/>
  <c r="C20915" i="1"/>
  <c r="B20916" i="1"/>
  <c r="C20916" i="1"/>
  <c r="B20917" i="1"/>
  <c r="C20917" i="1"/>
  <c r="B20918" i="1"/>
  <c r="C20918" i="1"/>
  <c r="B20919" i="1"/>
  <c r="C20919" i="1"/>
  <c r="B20920" i="1"/>
  <c r="C20920" i="1"/>
  <c r="B20921" i="1"/>
  <c r="C20921" i="1"/>
  <c r="B20922" i="1"/>
  <c r="C20922" i="1"/>
  <c r="B20923" i="1"/>
  <c r="C20923" i="1"/>
  <c r="B20924" i="1"/>
  <c r="C20924" i="1"/>
  <c r="B20925" i="1"/>
  <c r="C20925" i="1"/>
  <c r="B20926" i="1"/>
  <c r="C20926" i="1"/>
  <c r="B20927" i="1"/>
  <c r="C20927" i="1"/>
  <c r="B20928" i="1"/>
  <c r="C20928" i="1"/>
  <c r="B20929" i="1"/>
  <c r="C20929" i="1"/>
  <c r="B20930" i="1"/>
  <c r="C20930" i="1"/>
  <c r="B20931" i="1"/>
  <c r="C20931" i="1"/>
  <c r="B20932" i="1"/>
  <c r="C20932" i="1"/>
  <c r="B20933" i="1"/>
  <c r="C20933" i="1"/>
  <c r="B20934" i="1"/>
  <c r="C20934" i="1"/>
  <c r="B20935" i="1"/>
  <c r="C20935" i="1"/>
  <c r="B20936" i="1"/>
  <c r="C20936" i="1"/>
  <c r="B20937" i="1"/>
  <c r="C20937" i="1"/>
  <c r="B20938" i="1"/>
  <c r="C20938" i="1"/>
  <c r="B20939" i="1"/>
  <c r="C20939" i="1"/>
  <c r="B20940" i="1"/>
  <c r="C20940" i="1"/>
  <c r="B20941" i="1"/>
  <c r="C20941" i="1"/>
  <c r="B20942" i="1"/>
  <c r="C20942" i="1"/>
  <c r="B20943" i="1"/>
  <c r="C20943" i="1"/>
  <c r="B20944" i="1"/>
  <c r="C20944" i="1"/>
  <c r="B20945" i="1"/>
  <c r="C20945" i="1"/>
  <c r="B20946" i="1"/>
  <c r="C20946" i="1"/>
  <c r="B20947" i="1"/>
  <c r="C20947" i="1"/>
  <c r="B20948" i="1"/>
  <c r="C20948" i="1"/>
  <c r="B20949" i="1"/>
  <c r="C20949" i="1"/>
  <c r="B20950" i="1"/>
  <c r="C20950" i="1"/>
  <c r="B20951" i="1"/>
  <c r="C20951" i="1"/>
  <c r="B20952" i="1"/>
  <c r="C20952" i="1"/>
  <c r="B20953" i="1"/>
  <c r="C20953" i="1"/>
  <c r="B20954" i="1"/>
  <c r="C20954" i="1"/>
  <c r="B20955" i="1"/>
  <c r="C20955" i="1"/>
  <c r="B20956" i="1"/>
  <c r="C20956" i="1"/>
  <c r="B20957" i="1"/>
  <c r="C20957" i="1"/>
  <c r="B20958" i="1"/>
  <c r="C20958" i="1"/>
  <c r="B20959" i="1"/>
  <c r="C20959" i="1"/>
  <c r="B20960" i="1"/>
  <c r="C20960" i="1"/>
  <c r="B20961" i="1"/>
  <c r="C20961" i="1"/>
  <c r="B20962" i="1"/>
  <c r="C20962" i="1"/>
  <c r="B20963" i="1"/>
  <c r="C20963" i="1"/>
  <c r="B20964" i="1"/>
  <c r="C20964" i="1"/>
  <c r="B20965" i="1"/>
  <c r="C20965" i="1"/>
  <c r="B20966" i="1"/>
  <c r="C20966" i="1"/>
  <c r="B20967" i="1"/>
  <c r="C20967" i="1"/>
  <c r="B20968" i="1"/>
  <c r="C20968" i="1"/>
  <c r="B20969" i="1"/>
  <c r="C20969" i="1"/>
  <c r="B20970" i="1"/>
  <c r="C20970" i="1"/>
  <c r="B20971" i="1"/>
  <c r="C20971" i="1"/>
  <c r="B20972" i="1"/>
  <c r="C20972" i="1"/>
  <c r="B20973" i="1"/>
  <c r="C20973" i="1"/>
  <c r="B20974" i="1"/>
  <c r="C20974" i="1"/>
  <c r="B20975" i="1"/>
  <c r="C20975" i="1"/>
  <c r="B20976" i="1"/>
  <c r="C20976" i="1"/>
  <c r="B20977" i="1"/>
  <c r="C20977" i="1"/>
  <c r="B20978" i="1"/>
  <c r="C20978" i="1"/>
  <c r="B20979" i="1"/>
  <c r="C20979" i="1"/>
  <c r="B20980" i="1"/>
  <c r="C20980" i="1"/>
  <c r="B20981" i="1"/>
  <c r="C20981" i="1"/>
  <c r="B20982" i="1"/>
  <c r="C20982" i="1"/>
  <c r="B20983" i="1"/>
  <c r="C20983" i="1"/>
  <c r="B20984" i="1"/>
  <c r="C20984" i="1"/>
  <c r="B20985" i="1"/>
  <c r="C20985" i="1"/>
  <c r="B20986" i="1"/>
  <c r="C20986" i="1"/>
  <c r="B20987" i="1"/>
  <c r="C20987" i="1"/>
  <c r="B20988" i="1"/>
  <c r="C20988" i="1"/>
  <c r="B20989" i="1"/>
  <c r="C20989" i="1"/>
  <c r="B20990" i="1"/>
  <c r="C20990" i="1"/>
  <c r="B20991" i="1"/>
  <c r="C20991" i="1"/>
  <c r="B20992" i="1"/>
  <c r="C20992" i="1"/>
  <c r="B20993" i="1"/>
  <c r="C20993" i="1"/>
  <c r="B20994" i="1"/>
  <c r="C20994" i="1"/>
  <c r="B20995" i="1"/>
  <c r="C20995" i="1"/>
  <c r="B20996" i="1"/>
  <c r="C20996" i="1"/>
  <c r="B20997" i="1"/>
  <c r="C20997" i="1"/>
  <c r="B20998" i="1"/>
  <c r="C20998" i="1"/>
  <c r="B20999" i="1"/>
  <c r="C20999" i="1"/>
  <c r="B21000" i="1"/>
  <c r="C21000" i="1"/>
  <c r="B21001" i="1"/>
  <c r="C21001" i="1"/>
  <c r="B21002" i="1"/>
  <c r="C21002" i="1"/>
  <c r="B21003" i="1"/>
  <c r="C21003" i="1"/>
  <c r="B21004" i="1"/>
  <c r="C21004" i="1"/>
  <c r="B21005" i="1"/>
  <c r="C21005" i="1"/>
  <c r="B21006" i="1"/>
  <c r="C21006" i="1"/>
  <c r="B21007" i="1"/>
  <c r="C21007" i="1"/>
  <c r="B21008" i="1"/>
  <c r="C21008" i="1"/>
  <c r="B21009" i="1"/>
  <c r="C21009" i="1"/>
  <c r="B21010" i="1"/>
  <c r="C21010" i="1"/>
  <c r="B21011" i="1"/>
  <c r="C21011" i="1"/>
  <c r="B21012" i="1"/>
  <c r="C21012" i="1"/>
  <c r="B21013" i="1"/>
  <c r="C21013" i="1"/>
  <c r="B21014" i="1"/>
  <c r="C21014" i="1"/>
  <c r="B21015" i="1"/>
  <c r="C21015" i="1"/>
  <c r="B21016" i="1"/>
  <c r="C21016" i="1"/>
  <c r="B21017" i="1"/>
  <c r="C21017" i="1"/>
  <c r="B21018" i="1"/>
  <c r="C21018" i="1"/>
  <c r="B21019" i="1"/>
  <c r="C21019" i="1"/>
  <c r="B21020" i="1"/>
  <c r="C21020" i="1"/>
  <c r="B21021" i="1"/>
  <c r="C21021" i="1"/>
  <c r="B21022" i="1"/>
  <c r="C21022" i="1"/>
  <c r="B21023" i="1"/>
  <c r="C21023" i="1"/>
  <c r="B21024" i="1"/>
  <c r="C21024" i="1"/>
  <c r="B21025" i="1"/>
  <c r="C21025" i="1"/>
  <c r="B21026" i="1"/>
  <c r="C21026" i="1"/>
  <c r="B21027" i="1"/>
  <c r="C21027" i="1"/>
  <c r="B21028" i="1"/>
  <c r="C21028" i="1"/>
  <c r="B21029" i="1"/>
  <c r="C21029" i="1"/>
  <c r="B21030" i="1"/>
  <c r="C21030" i="1"/>
  <c r="B21031" i="1"/>
  <c r="C21031" i="1"/>
  <c r="B21032" i="1"/>
  <c r="C21032" i="1"/>
  <c r="B21033" i="1"/>
  <c r="C21033" i="1"/>
  <c r="B21034" i="1"/>
  <c r="C21034" i="1"/>
  <c r="B21035" i="1"/>
  <c r="C21035" i="1"/>
  <c r="B21036" i="1"/>
  <c r="C21036" i="1"/>
  <c r="B21037" i="1"/>
  <c r="C21037" i="1"/>
  <c r="B21038" i="1"/>
  <c r="C21038" i="1"/>
  <c r="B21039" i="1"/>
  <c r="C21039" i="1"/>
  <c r="B21040" i="1"/>
  <c r="C21040" i="1"/>
  <c r="B21041" i="1"/>
  <c r="C21041" i="1"/>
  <c r="B21042" i="1"/>
  <c r="C21042" i="1"/>
  <c r="B21043" i="1"/>
  <c r="C21043" i="1"/>
  <c r="B21044" i="1"/>
  <c r="C21044" i="1"/>
  <c r="B21045" i="1"/>
  <c r="C21045" i="1"/>
  <c r="B21046" i="1"/>
  <c r="C21046" i="1"/>
  <c r="B21047" i="1"/>
  <c r="C21047" i="1"/>
  <c r="B21048" i="1"/>
  <c r="C21048" i="1"/>
  <c r="B21049" i="1"/>
  <c r="C21049" i="1"/>
  <c r="B21050" i="1"/>
  <c r="C21050" i="1"/>
  <c r="B21051" i="1"/>
  <c r="C21051" i="1"/>
  <c r="B21052" i="1"/>
  <c r="C21052" i="1"/>
  <c r="B21053" i="1"/>
  <c r="C21053" i="1"/>
  <c r="B21054" i="1"/>
  <c r="C21054" i="1"/>
  <c r="B21055" i="1"/>
  <c r="C21055" i="1"/>
  <c r="B21056" i="1"/>
  <c r="C21056" i="1"/>
  <c r="B21057" i="1"/>
  <c r="C21057" i="1"/>
  <c r="B21058" i="1"/>
  <c r="C21058" i="1"/>
  <c r="B21059" i="1"/>
  <c r="C21059" i="1"/>
  <c r="B21060" i="1"/>
  <c r="C21060" i="1"/>
  <c r="B21061" i="1"/>
  <c r="C21061" i="1"/>
  <c r="B21062" i="1"/>
  <c r="C21062" i="1"/>
  <c r="B21063" i="1"/>
  <c r="C21063" i="1"/>
  <c r="B21064" i="1"/>
  <c r="C21064" i="1"/>
  <c r="B21065" i="1"/>
  <c r="C21065" i="1"/>
  <c r="B21066" i="1"/>
  <c r="C21066" i="1"/>
  <c r="B21067" i="1"/>
  <c r="C21067" i="1"/>
  <c r="B21068" i="1"/>
  <c r="C21068" i="1"/>
  <c r="B21069" i="1"/>
  <c r="C21069" i="1"/>
  <c r="B21070" i="1"/>
  <c r="C21070" i="1"/>
  <c r="B21071" i="1"/>
  <c r="C21071" i="1"/>
  <c r="B21072" i="1"/>
  <c r="C21072" i="1"/>
  <c r="B21073" i="1"/>
  <c r="C21073" i="1"/>
  <c r="B21074" i="1"/>
  <c r="C21074" i="1"/>
  <c r="B21075" i="1"/>
  <c r="C21075" i="1"/>
  <c r="B21076" i="1"/>
  <c r="C21076" i="1"/>
  <c r="B21077" i="1"/>
  <c r="C21077" i="1"/>
  <c r="B21078" i="1"/>
  <c r="C21078" i="1"/>
  <c r="B21079" i="1"/>
  <c r="C21079" i="1"/>
  <c r="B21080" i="1"/>
  <c r="C21080" i="1"/>
  <c r="B21081" i="1"/>
  <c r="C21081" i="1"/>
  <c r="B21082" i="1"/>
  <c r="C21082" i="1"/>
  <c r="B21083" i="1"/>
  <c r="C21083" i="1"/>
  <c r="B21084" i="1"/>
  <c r="C21084" i="1"/>
  <c r="B21085" i="1"/>
  <c r="C21085" i="1"/>
  <c r="B21086" i="1"/>
  <c r="C21086" i="1"/>
  <c r="B21087" i="1"/>
  <c r="C21087" i="1"/>
  <c r="B21088" i="1"/>
  <c r="C21088" i="1"/>
  <c r="B21089" i="1"/>
  <c r="C21089" i="1"/>
  <c r="B21090" i="1"/>
  <c r="C21090" i="1"/>
  <c r="B21091" i="1"/>
  <c r="C21091" i="1"/>
  <c r="B21092" i="1"/>
  <c r="C21092" i="1"/>
  <c r="B21093" i="1"/>
  <c r="C21093" i="1"/>
  <c r="B21094" i="1"/>
  <c r="C21094" i="1"/>
  <c r="B21095" i="1"/>
  <c r="C21095" i="1"/>
  <c r="B21096" i="1"/>
  <c r="C21096" i="1"/>
  <c r="B21097" i="1"/>
  <c r="C21097" i="1"/>
  <c r="B21098" i="1"/>
  <c r="C21098" i="1"/>
  <c r="B21099" i="1"/>
  <c r="C21099" i="1"/>
  <c r="B21100" i="1"/>
  <c r="C21100" i="1"/>
  <c r="B21101" i="1"/>
  <c r="C21101" i="1"/>
  <c r="B21102" i="1"/>
  <c r="C21102" i="1"/>
  <c r="B21103" i="1"/>
  <c r="C21103" i="1"/>
  <c r="B21104" i="1"/>
  <c r="C21104" i="1"/>
  <c r="B21105" i="1"/>
  <c r="C21105" i="1"/>
  <c r="B21106" i="1"/>
  <c r="C21106" i="1"/>
  <c r="B21107" i="1"/>
  <c r="C21107" i="1"/>
  <c r="B21108" i="1"/>
  <c r="C21108" i="1"/>
  <c r="B21109" i="1"/>
  <c r="C21109" i="1"/>
  <c r="B21110" i="1"/>
  <c r="C21110" i="1"/>
  <c r="B21111" i="1"/>
  <c r="C21111" i="1"/>
  <c r="B21112" i="1"/>
  <c r="C21112" i="1"/>
  <c r="B21113" i="1"/>
  <c r="C21113" i="1"/>
  <c r="B21114" i="1"/>
  <c r="C21114" i="1"/>
  <c r="B21115" i="1"/>
  <c r="C21115" i="1"/>
  <c r="B21116" i="1"/>
  <c r="C21116" i="1"/>
  <c r="B21117" i="1"/>
  <c r="C21117" i="1"/>
  <c r="B21118" i="1"/>
  <c r="C21118" i="1"/>
  <c r="B21119" i="1"/>
  <c r="C21119" i="1"/>
  <c r="B21120" i="1"/>
  <c r="C21120" i="1"/>
  <c r="B21121" i="1"/>
  <c r="C21121" i="1"/>
  <c r="B21122" i="1"/>
  <c r="C21122" i="1"/>
  <c r="B21123" i="1"/>
  <c r="C21123" i="1"/>
  <c r="B21124" i="1"/>
  <c r="C21124" i="1"/>
  <c r="B21125" i="1"/>
  <c r="C21125" i="1"/>
  <c r="B21126" i="1"/>
  <c r="C21126" i="1"/>
  <c r="B21127" i="1"/>
  <c r="C21127" i="1"/>
  <c r="B21128" i="1"/>
  <c r="C21128" i="1"/>
  <c r="B21129" i="1"/>
  <c r="C21129" i="1"/>
  <c r="B21130" i="1"/>
  <c r="C21130" i="1"/>
  <c r="B21131" i="1"/>
  <c r="C21131" i="1"/>
  <c r="B21132" i="1"/>
  <c r="C21132" i="1"/>
  <c r="B21133" i="1"/>
  <c r="C21133" i="1"/>
  <c r="B21134" i="1"/>
  <c r="C21134" i="1"/>
  <c r="B21135" i="1"/>
  <c r="C21135" i="1"/>
  <c r="B21136" i="1"/>
  <c r="C21136" i="1"/>
  <c r="B21137" i="1"/>
  <c r="C21137" i="1"/>
  <c r="B21138" i="1"/>
  <c r="C21138" i="1"/>
  <c r="B21139" i="1"/>
  <c r="C21139" i="1"/>
  <c r="B21140" i="1"/>
  <c r="C21140" i="1"/>
  <c r="B21141" i="1"/>
  <c r="C21141" i="1"/>
  <c r="B21142" i="1"/>
  <c r="C21142" i="1"/>
  <c r="B21143" i="1"/>
  <c r="C21143" i="1"/>
  <c r="B21144" i="1"/>
  <c r="C21144" i="1"/>
  <c r="B21145" i="1"/>
  <c r="C21145" i="1"/>
  <c r="B21146" i="1"/>
  <c r="C21146" i="1"/>
  <c r="B21147" i="1"/>
  <c r="C21147" i="1"/>
  <c r="B21148" i="1"/>
  <c r="C21148" i="1"/>
  <c r="B21149" i="1"/>
  <c r="C21149" i="1"/>
  <c r="B21150" i="1"/>
  <c r="C21150" i="1"/>
  <c r="B21151" i="1"/>
  <c r="C21151" i="1"/>
  <c r="B21152" i="1"/>
  <c r="C21152" i="1"/>
  <c r="B21153" i="1"/>
  <c r="C21153" i="1"/>
  <c r="B21154" i="1"/>
  <c r="C21154" i="1"/>
  <c r="B21155" i="1"/>
  <c r="C21155" i="1"/>
  <c r="B21156" i="1"/>
  <c r="C21156" i="1"/>
  <c r="B21157" i="1"/>
  <c r="C21157" i="1"/>
  <c r="B21158" i="1"/>
  <c r="C21158" i="1"/>
  <c r="B21159" i="1"/>
  <c r="C21159" i="1"/>
  <c r="B21160" i="1"/>
  <c r="C21160" i="1"/>
  <c r="B21161" i="1"/>
  <c r="C21161" i="1"/>
  <c r="B21162" i="1"/>
  <c r="C21162" i="1"/>
  <c r="B21163" i="1"/>
  <c r="C21163" i="1"/>
  <c r="B21164" i="1"/>
  <c r="C21164" i="1"/>
  <c r="B21165" i="1"/>
  <c r="C21165" i="1"/>
  <c r="B21166" i="1"/>
  <c r="C21166" i="1"/>
  <c r="B21167" i="1"/>
  <c r="C21167" i="1"/>
  <c r="B21168" i="1"/>
  <c r="C21168" i="1"/>
  <c r="B21169" i="1"/>
  <c r="C21169" i="1"/>
  <c r="B21170" i="1"/>
  <c r="C21170" i="1"/>
  <c r="B21171" i="1"/>
  <c r="C21171" i="1"/>
  <c r="B21172" i="1"/>
  <c r="C21172" i="1"/>
  <c r="B21173" i="1"/>
  <c r="C21173" i="1"/>
  <c r="B21174" i="1"/>
  <c r="C21174" i="1"/>
  <c r="B21175" i="1"/>
  <c r="C21175" i="1"/>
  <c r="B21176" i="1"/>
  <c r="C21176" i="1"/>
  <c r="B21177" i="1"/>
  <c r="C21177" i="1"/>
  <c r="B21178" i="1"/>
  <c r="C21178" i="1"/>
  <c r="B21179" i="1"/>
  <c r="C21179" i="1"/>
  <c r="B21180" i="1"/>
  <c r="C21180" i="1"/>
  <c r="B21181" i="1"/>
  <c r="C21181" i="1"/>
  <c r="B21182" i="1"/>
  <c r="C21182" i="1"/>
  <c r="B21183" i="1"/>
  <c r="C21183" i="1"/>
  <c r="B21184" i="1"/>
  <c r="C21184" i="1"/>
  <c r="B21185" i="1"/>
  <c r="C21185" i="1"/>
  <c r="B21186" i="1"/>
  <c r="C21186" i="1"/>
  <c r="B21187" i="1"/>
  <c r="C21187" i="1"/>
  <c r="B21188" i="1"/>
  <c r="C21188" i="1"/>
  <c r="B21189" i="1"/>
  <c r="C21189" i="1"/>
  <c r="B21190" i="1"/>
  <c r="C21190" i="1"/>
  <c r="B21191" i="1"/>
  <c r="C21191" i="1"/>
  <c r="B21192" i="1"/>
  <c r="C21192" i="1"/>
  <c r="B21193" i="1"/>
  <c r="C21193" i="1"/>
  <c r="B21194" i="1"/>
  <c r="C21194" i="1"/>
  <c r="B21195" i="1"/>
  <c r="C21195" i="1"/>
  <c r="B21196" i="1"/>
  <c r="C21196" i="1"/>
  <c r="B21197" i="1"/>
  <c r="C21197" i="1"/>
  <c r="B21198" i="1"/>
  <c r="C21198" i="1"/>
  <c r="B21199" i="1"/>
  <c r="C21199" i="1"/>
  <c r="B21200" i="1"/>
  <c r="C21200" i="1"/>
  <c r="B21201" i="1"/>
  <c r="C21201" i="1"/>
  <c r="B21202" i="1"/>
  <c r="C21202" i="1"/>
  <c r="B21203" i="1"/>
  <c r="C21203" i="1"/>
  <c r="B21204" i="1"/>
  <c r="C21204" i="1"/>
  <c r="B21205" i="1"/>
  <c r="C21205" i="1"/>
  <c r="B21206" i="1"/>
  <c r="C21206" i="1"/>
  <c r="B21207" i="1"/>
  <c r="C21207" i="1"/>
  <c r="B21208" i="1"/>
  <c r="C21208" i="1"/>
  <c r="B21209" i="1"/>
  <c r="C21209" i="1"/>
  <c r="B21210" i="1"/>
  <c r="C21210" i="1"/>
  <c r="B21211" i="1"/>
  <c r="C21211" i="1"/>
  <c r="B21212" i="1"/>
  <c r="C21212" i="1"/>
  <c r="B21213" i="1"/>
  <c r="C21213" i="1"/>
  <c r="B21214" i="1"/>
  <c r="C21214" i="1"/>
  <c r="B21215" i="1"/>
  <c r="C21215" i="1"/>
  <c r="B21216" i="1"/>
  <c r="C21216" i="1"/>
  <c r="B21217" i="1"/>
  <c r="C21217" i="1"/>
  <c r="B21218" i="1"/>
  <c r="C21218" i="1"/>
  <c r="B21219" i="1"/>
  <c r="C21219" i="1"/>
  <c r="B21220" i="1"/>
  <c r="C21220" i="1"/>
  <c r="B21221" i="1"/>
  <c r="C21221" i="1"/>
  <c r="B21222" i="1"/>
  <c r="C21222" i="1"/>
  <c r="B21223" i="1"/>
  <c r="C21223" i="1"/>
  <c r="B21224" i="1"/>
  <c r="C21224" i="1"/>
  <c r="B21225" i="1"/>
  <c r="C21225" i="1"/>
  <c r="B21226" i="1"/>
  <c r="C21226" i="1"/>
  <c r="B21227" i="1"/>
  <c r="C21227" i="1"/>
  <c r="B21228" i="1"/>
  <c r="C21228" i="1"/>
  <c r="B21229" i="1"/>
  <c r="C21229" i="1"/>
  <c r="B21230" i="1"/>
  <c r="C21230" i="1"/>
  <c r="B21231" i="1"/>
  <c r="C21231" i="1"/>
  <c r="B21232" i="1"/>
  <c r="C21232" i="1"/>
  <c r="B21233" i="1"/>
  <c r="C21233" i="1"/>
  <c r="B21234" i="1"/>
  <c r="C21234" i="1"/>
  <c r="B21235" i="1"/>
  <c r="C21235" i="1"/>
  <c r="B21236" i="1"/>
  <c r="C21236" i="1"/>
  <c r="B21237" i="1"/>
  <c r="C21237" i="1"/>
  <c r="B21238" i="1"/>
  <c r="C21238" i="1"/>
  <c r="B21239" i="1"/>
  <c r="C21239" i="1"/>
  <c r="B21240" i="1"/>
  <c r="C21240" i="1"/>
  <c r="B21241" i="1"/>
  <c r="C21241" i="1"/>
  <c r="B21242" i="1"/>
  <c r="C21242" i="1"/>
  <c r="B21243" i="1"/>
  <c r="C21243" i="1"/>
  <c r="B21244" i="1"/>
  <c r="C21244" i="1"/>
  <c r="B21245" i="1"/>
  <c r="C21245" i="1"/>
  <c r="B21246" i="1"/>
  <c r="C21246" i="1"/>
  <c r="B21247" i="1"/>
  <c r="C21247" i="1"/>
  <c r="B21248" i="1"/>
  <c r="C21248" i="1"/>
  <c r="B21249" i="1"/>
  <c r="C21249" i="1"/>
  <c r="B21250" i="1"/>
  <c r="C21250" i="1"/>
  <c r="B21251" i="1"/>
  <c r="C21251" i="1"/>
  <c r="B21252" i="1"/>
  <c r="C21252" i="1"/>
  <c r="B21253" i="1"/>
  <c r="C21253" i="1"/>
  <c r="B21254" i="1"/>
  <c r="C21254" i="1"/>
  <c r="B21255" i="1"/>
  <c r="C21255" i="1"/>
  <c r="B21256" i="1"/>
  <c r="C21256" i="1"/>
  <c r="B21257" i="1"/>
  <c r="C21257" i="1"/>
  <c r="B21258" i="1"/>
  <c r="C21258" i="1"/>
  <c r="B21259" i="1"/>
  <c r="C21259" i="1"/>
  <c r="B21260" i="1"/>
  <c r="C21260" i="1"/>
  <c r="B21261" i="1"/>
  <c r="C21261" i="1"/>
  <c r="B21262" i="1"/>
  <c r="C21262" i="1"/>
  <c r="B21263" i="1"/>
  <c r="C21263" i="1"/>
  <c r="B21264" i="1"/>
  <c r="C21264" i="1"/>
  <c r="B21265" i="1"/>
  <c r="C21265" i="1"/>
  <c r="B21266" i="1"/>
  <c r="C21266" i="1"/>
  <c r="B21267" i="1"/>
  <c r="C21267" i="1"/>
  <c r="B21268" i="1"/>
  <c r="C21268" i="1"/>
  <c r="B21269" i="1"/>
  <c r="C21269" i="1"/>
  <c r="B21270" i="1"/>
  <c r="C21270" i="1"/>
  <c r="B21271" i="1"/>
  <c r="C21271" i="1"/>
  <c r="B21272" i="1"/>
  <c r="C21272" i="1"/>
  <c r="B21273" i="1"/>
  <c r="C21273" i="1"/>
  <c r="B21274" i="1"/>
  <c r="C21274" i="1"/>
  <c r="B21275" i="1"/>
  <c r="C21275" i="1"/>
  <c r="B21276" i="1"/>
  <c r="C21276" i="1"/>
  <c r="B21277" i="1"/>
  <c r="C21277" i="1"/>
  <c r="B21278" i="1"/>
  <c r="C21278" i="1"/>
  <c r="B21279" i="1"/>
  <c r="C21279" i="1"/>
  <c r="B21280" i="1"/>
  <c r="C21280" i="1"/>
  <c r="B21281" i="1"/>
  <c r="C21281" i="1"/>
  <c r="B21282" i="1"/>
  <c r="C21282" i="1"/>
  <c r="B21283" i="1"/>
  <c r="C21283" i="1"/>
  <c r="B21284" i="1"/>
  <c r="C21284" i="1"/>
  <c r="B21285" i="1"/>
  <c r="C21285" i="1"/>
  <c r="B21286" i="1"/>
  <c r="C21286" i="1"/>
  <c r="B21287" i="1"/>
  <c r="C21287" i="1"/>
  <c r="B21288" i="1"/>
  <c r="C21288" i="1"/>
  <c r="B21289" i="1"/>
  <c r="C21289" i="1"/>
  <c r="B21290" i="1"/>
  <c r="C21290" i="1"/>
  <c r="B21291" i="1"/>
  <c r="C21291" i="1"/>
  <c r="B21292" i="1"/>
  <c r="C21292" i="1"/>
  <c r="B21293" i="1"/>
  <c r="C21293" i="1"/>
  <c r="B21294" i="1"/>
  <c r="C21294" i="1"/>
  <c r="B21295" i="1"/>
  <c r="C21295" i="1"/>
  <c r="B21296" i="1"/>
  <c r="C21296" i="1"/>
  <c r="B21297" i="1"/>
  <c r="C21297" i="1"/>
  <c r="B21298" i="1"/>
  <c r="C21298" i="1"/>
  <c r="B21299" i="1"/>
  <c r="C21299" i="1"/>
  <c r="B21300" i="1"/>
  <c r="C21300" i="1"/>
  <c r="B21301" i="1"/>
  <c r="C21301" i="1"/>
  <c r="B21302" i="1"/>
  <c r="C21302" i="1"/>
  <c r="B21303" i="1"/>
  <c r="C21303" i="1"/>
  <c r="B21304" i="1"/>
  <c r="C21304" i="1"/>
  <c r="B21305" i="1"/>
  <c r="C21305" i="1"/>
  <c r="B21306" i="1"/>
  <c r="C21306" i="1"/>
  <c r="B21307" i="1"/>
  <c r="C21307" i="1"/>
  <c r="B21308" i="1"/>
  <c r="C21308" i="1"/>
  <c r="B21309" i="1"/>
  <c r="C21309" i="1"/>
  <c r="B21310" i="1"/>
  <c r="C21310" i="1"/>
  <c r="B21311" i="1"/>
  <c r="C21311" i="1"/>
  <c r="B21312" i="1"/>
  <c r="C21312" i="1"/>
  <c r="B21313" i="1"/>
  <c r="C21313" i="1"/>
  <c r="B21314" i="1"/>
  <c r="C21314" i="1"/>
  <c r="B21315" i="1"/>
  <c r="C21315" i="1"/>
  <c r="B21316" i="1"/>
  <c r="C21316" i="1"/>
  <c r="B21317" i="1"/>
  <c r="C21317" i="1"/>
  <c r="B21318" i="1"/>
  <c r="C21318" i="1"/>
  <c r="B21319" i="1"/>
  <c r="C21319" i="1"/>
  <c r="B21320" i="1"/>
  <c r="C21320" i="1"/>
  <c r="B21321" i="1"/>
  <c r="C21321" i="1"/>
  <c r="B21322" i="1"/>
  <c r="C21322" i="1"/>
  <c r="B21323" i="1"/>
  <c r="C21323" i="1"/>
  <c r="B21324" i="1"/>
  <c r="C21324" i="1"/>
  <c r="B21325" i="1"/>
  <c r="C21325" i="1"/>
  <c r="B21326" i="1"/>
  <c r="C21326" i="1"/>
  <c r="B21327" i="1"/>
  <c r="C21327" i="1"/>
  <c r="B21328" i="1"/>
  <c r="C21328" i="1"/>
  <c r="B21329" i="1"/>
  <c r="C21329" i="1"/>
  <c r="B21330" i="1"/>
  <c r="C21330" i="1"/>
  <c r="B21331" i="1"/>
  <c r="C21331" i="1"/>
  <c r="B21332" i="1"/>
  <c r="C21332" i="1"/>
  <c r="B21333" i="1"/>
  <c r="C21333" i="1"/>
  <c r="B21334" i="1"/>
  <c r="C21334" i="1"/>
  <c r="B21335" i="1"/>
  <c r="C21335" i="1"/>
  <c r="B21336" i="1"/>
  <c r="C21336" i="1"/>
  <c r="B21337" i="1"/>
  <c r="C21337" i="1"/>
  <c r="B21338" i="1"/>
  <c r="C21338" i="1"/>
  <c r="B21339" i="1"/>
  <c r="C21339" i="1"/>
  <c r="B21340" i="1"/>
  <c r="C21340" i="1"/>
  <c r="B21341" i="1"/>
  <c r="C21341" i="1"/>
  <c r="B21342" i="1"/>
  <c r="C21342" i="1"/>
  <c r="B21343" i="1"/>
  <c r="C21343" i="1"/>
  <c r="B21344" i="1"/>
  <c r="C21344" i="1"/>
  <c r="B21345" i="1"/>
  <c r="C21345" i="1"/>
  <c r="B21346" i="1"/>
  <c r="C21346" i="1"/>
  <c r="B21347" i="1"/>
  <c r="C21347" i="1"/>
  <c r="B21348" i="1"/>
  <c r="C21348" i="1"/>
  <c r="B21349" i="1"/>
  <c r="C21349" i="1"/>
  <c r="B21350" i="1"/>
  <c r="C21350" i="1"/>
  <c r="B21351" i="1"/>
  <c r="C21351" i="1"/>
  <c r="B21352" i="1"/>
  <c r="C21352" i="1"/>
  <c r="B21353" i="1"/>
  <c r="C21353" i="1"/>
  <c r="B21354" i="1"/>
  <c r="C21354" i="1"/>
  <c r="B21355" i="1"/>
  <c r="C21355" i="1"/>
  <c r="B21356" i="1"/>
  <c r="C21356" i="1"/>
  <c r="B21357" i="1"/>
  <c r="C21357" i="1"/>
  <c r="B21358" i="1"/>
  <c r="C21358" i="1"/>
  <c r="B21359" i="1"/>
  <c r="C21359" i="1"/>
  <c r="B21360" i="1"/>
  <c r="C21360" i="1"/>
  <c r="B21361" i="1"/>
  <c r="C21361" i="1"/>
  <c r="B21362" i="1"/>
  <c r="C21362" i="1"/>
  <c r="B21363" i="1"/>
  <c r="C21363" i="1"/>
  <c r="B21364" i="1"/>
  <c r="C21364" i="1"/>
  <c r="B21365" i="1"/>
  <c r="C21365" i="1"/>
  <c r="B21366" i="1"/>
  <c r="C21366" i="1"/>
  <c r="B21367" i="1"/>
  <c r="C21367" i="1"/>
  <c r="B21368" i="1"/>
  <c r="C21368" i="1"/>
  <c r="B21369" i="1"/>
  <c r="C21369" i="1"/>
  <c r="B21370" i="1"/>
  <c r="C21370" i="1"/>
  <c r="B21371" i="1"/>
  <c r="C21371" i="1"/>
  <c r="B21372" i="1"/>
  <c r="C21372" i="1"/>
  <c r="B21373" i="1"/>
  <c r="C21373" i="1"/>
  <c r="B21374" i="1"/>
  <c r="C21374" i="1"/>
  <c r="B21375" i="1"/>
  <c r="C21375" i="1"/>
  <c r="B21376" i="1"/>
  <c r="C21376" i="1"/>
  <c r="B21377" i="1"/>
  <c r="C21377" i="1"/>
  <c r="B21378" i="1"/>
  <c r="C21378" i="1"/>
  <c r="B21379" i="1"/>
  <c r="C21379" i="1"/>
  <c r="B21380" i="1"/>
  <c r="C21380" i="1"/>
  <c r="B21381" i="1"/>
  <c r="C21381" i="1"/>
  <c r="B21382" i="1"/>
  <c r="C21382" i="1"/>
  <c r="B21383" i="1"/>
  <c r="C21383" i="1"/>
  <c r="B21384" i="1"/>
  <c r="C21384" i="1"/>
  <c r="B21385" i="1"/>
  <c r="C21385" i="1"/>
  <c r="B21386" i="1"/>
  <c r="C21386" i="1"/>
  <c r="B21387" i="1"/>
  <c r="C21387" i="1"/>
  <c r="B21388" i="1"/>
  <c r="C21388" i="1"/>
  <c r="B21389" i="1"/>
  <c r="C21389" i="1"/>
  <c r="B21390" i="1"/>
  <c r="C21390" i="1"/>
  <c r="B21391" i="1"/>
  <c r="C21391" i="1"/>
  <c r="B21392" i="1"/>
  <c r="C21392" i="1"/>
  <c r="B21393" i="1"/>
  <c r="C21393" i="1"/>
  <c r="B21394" i="1"/>
  <c r="C21394" i="1"/>
  <c r="B21395" i="1"/>
  <c r="C21395" i="1"/>
  <c r="B21396" i="1"/>
  <c r="C21396" i="1"/>
  <c r="B21397" i="1"/>
  <c r="C21397" i="1"/>
  <c r="B21398" i="1"/>
  <c r="C21398" i="1"/>
  <c r="B21399" i="1"/>
  <c r="C21399" i="1"/>
  <c r="B21400" i="1"/>
  <c r="C21400" i="1"/>
  <c r="B21401" i="1"/>
  <c r="C21401" i="1"/>
  <c r="B21402" i="1"/>
  <c r="C21402" i="1"/>
  <c r="B21403" i="1"/>
  <c r="C21403" i="1"/>
  <c r="B21404" i="1"/>
  <c r="C21404" i="1"/>
  <c r="B21405" i="1"/>
  <c r="C21405" i="1"/>
  <c r="B21406" i="1"/>
  <c r="C21406" i="1"/>
  <c r="B21407" i="1"/>
  <c r="C21407" i="1"/>
  <c r="B21408" i="1"/>
  <c r="C21408" i="1"/>
  <c r="B21409" i="1"/>
  <c r="C21409" i="1"/>
  <c r="B21410" i="1"/>
  <c r="C21410" i="1"/>
  <c r="B21411" i="1"/>
  <c r="C21411" i="1"/>
  <c r="B21412" i="1"/>
  <c r="C21412" i="1"/>
  <c r="B21413" i="1"/>
  <c r="C21413" i="1"/>
  <c r="B21414" i="1"/>
  <c r="C21414" i="1"/>
  <c r="B21415" i="1"/>
  <c r="C21415" i="1"/>
  <c r="B21416" i="1"/>
  <c r="C21416" i="1"/>
  <c r="B21417" i="1"/>
  <c r="C21417" i="1"/>
  <c r="B21418" i="1"/>
  <c r="C21418" i="1"/>
  <c r="B21419" i="1"/>
  <c r="C21419" i="1"/>
  <c r="B21420" i="1"/>
  <c r="C21420" i="1"/>
  <c r="B21421" i="1"/>
  <c r="C21421" i="1"/>
  <c r="B21422" i="1"/>
  <c r="C21422" i="1"/>
  <c r="B21423" i="1"/>
  <c r="C21423" i="1"/>
  <c r="B21424" i="1"/>
  <c r="C21424" i="1"/>
  <c r="B21425" i="1"/>
  <c r="C21425" i="1"/>
  <c r="B21426" i="1"/>
  <c r="C21426" i="1"/>
  <c r="B21427" i="1"/>
  <c r="C21427" i="1"/>
  <c r="B21428" i="1"/>
  <c r="C21428" i="1"/>
  <c r="B21429" i="1"/>
  <c r="C21429" i="1"/>
  <c r="B21430" i="1"/>
  <c r="C21430" i="1"/>
  <c r="B21431" i="1"/>
  <c r="C21431" i="1"/>
  <c r="B21432" i="1"/>
  <c r="C21432" i="1"/>
  <c r="B21433" i="1"/>
  <c r="C21433" i="1"/>
  <c r="B21434" i="1"/>
  <c r="C21434" i="1"/>
  <c r="B21435" i="1"/>
  <c r="C21435" i="1"/>
  <c r="B21436" i="1"/>
  <c r="C21436" i="1"/>
  <c r="B21437" i="1"/>
  <c r="C21437" i="1"/>
  <c r="B21438" i="1"/>
  <c r="C21438" i="1"/>
  <c r="B21439" i="1"/>
  <c r="C21439" i="1"/>
  <c r="B21440" i="1"/>
  <c r="C21440" i="1"/>
  <c r="B21441" i="1"/>
  <c r="C21441" i="1"/>
  <c r="B21442" i="1"/>
  <c r="C21442" i="1"/>
  <c r="B21443" i="1"/>
  <c r="C21443" i="1"/>
  <c r="B21444" i="1"/>
  <c r="C21444" i="1"/>
  <c r="B21445" i="1"/>
  <c r="C21445" i="1"/>
  <c r="B21446" i="1"/>
  <c r="C21446" i="1"/>
  <c r="B21447" i="1"/>
  <c r="C21447" i="1"/>
  <c r="B21448" i="1"/>
  <c r="C21448" i="1"/>
  <c r="B21449" i="1"/>
  <c r="C21449" i="1"/>
  <c r="B21450" i="1"/>
  <c r="C21450" i="1"/>
  <c r="B21451" i="1"/>
  <c r="C21451" i="1"/>
  <c r="B21452" i="1"/>
  <c r="C21452" i="1"/>
  <c r="B21453" i="1"/>
  <c r="C21453" i="1"/>
  <c r="B21454" i="1"/>
  <c r="C21454" i="1"/>
  <c r="B21455" i="1"/>
  <c r="C21455" i="1"/>
  <c r="B21456" i="1"/>
  <c r="C21456" i="1"/>
  <c r="B21457" i="1"/>
  <c r="C21457" i="1"/>
  <c r="B21458" i="1"/>
  <c r="C21458" i="1"/>
  <c r="B21459" i="1"/>
  <c r="C21459" i="1"/>
  <c r="B21460" i="1"/>
  <c r="C21460" i="1"/>
  <c r="B21461" i="1"/>
  <c r="C21461" i="1"/>
  <c r="B21462" i="1"/>
  <c r="C21462" i="1"/>
  <c r="B21463" i="1"/>
  <c r="C21463" i="1"/>
  <c r="B21464" i="1"/>
  <c r="C21464" i="1"/>
  <c r="B21465" i="1"/>
  <c r="C21465" i="1"/>
  <c r="B21466" i="1"/>
  <c r="C21466" i="1"/>
  <c r="B21467" i="1"/>
  <c r="C21467" i="1"/>
  <c r="B21468" i="1"/>
  <c r="C21468" i="1"/>
  <c r="B21469" i="1"/>
  <c r="C21469" i="1"/>
  <c r="B21470" i="1"/>
  <c r="C21470" i="1"/>
  <c r="B21471" i="1"/>
  <c r="C21471" i="1"/>
  <c r="B21472" i="1"/>
  <c r="C21472" i="1"/>
  <c r="B21473" i="1"/>
  <c r="C21473" i="1"/>
  <c r="B21474" i="1"/>
  <c r="C21474" i="1"/>
  <c r="B21475" i="1"/>
  <c r="C21475" i="1"/>
  <c r="B21476" i="1"/>
  <c r="C21476" i="1"/>
  <c r="B21477" i="1"/>
  <c r="C21477" i="1"/>
  <c r="B21478" i="1"/>
  <c r="C21478" i="1"/>
  <c r="B21479" i="1"/>
  <c r="C21479" i="1"/>
  <c r="B21480" i="1"/>
  <c r="C21480" i="1"/>
  <c r="B21481" i="1"/>
  <c r="C21481" i="1"/>
  <c r="B21482" i="1"/>
  <c r="C21482" i="1"/>
  <c r="B21483" i="1"/>
  <c r="C21483" i="1"/>
  <c r="B21484" i="1"/>
  <c r="C21484" i="1"/>
  <c r="B21485" i="1"/>
  <c r="C21485" i="1"/>
  <c r="B21486" i="1"/>
  <c r="C21486" i="1"/>
  <c r="B21487" i="1"/>
  <c r="C21487" i="1"/>
  <c r="B21488" i="1"/>
  <c r="C21488" i="1"/>
  <c r="B21489" i="1"/>
  <c r="C21489" i="1"/>
  <c r="B21490" i="1"/>
  <c r="C21490" i="1"/>
  <c r="B21491" i="1"/>
  <c r="C21491" i="1"/>
  <c r="B21492" i="1"/>
  <c r="C21492" i="1"/>
  <c r="B21493" i="1"/>
  <c r="C21493" i="1"/>
  <c r="B21494" i="1"/>
  <c r="C21494" i="1"/>
  <c r="B21495" i="1"/>
  <c r="C21495" i="1"/>
  <c r="B21496" i="1"/>
  <c r="C21496" i="1"/>
  <c r="B21497" i="1"/>
  <c r="C21497" i="1"/>
  <c r="B21498" i="1"/>
  <c r="C21498" i="1"/>
  <c r="B21499" i="1"/>
  <c r="C21499" i="1"/>
  <c r="B21500" i="1"/>
  <c r="C21500" i="1"/>
  <c r="B21501" i="1"/>
  <c r="C21501" i="1"/>
  <c r="B21502" i="1"/>
  <c r="C21502" i="1"/>
  <c r="B21503" i="1"/>
  <c r="C21503" i="1"/>
  <c r="B21504" i="1"/>
  <c r="C21504" i="1"/>
  <c r="B21505" i="1"/>
  <c r="C21505" i="1"/>
  <c r="B21506" i="1"/>
  <c r="C21506" i="1"/>
  <c r="B21507" i="1"/>
  <c r="C21507" i="1"/>
  <c r="B21508" i="1"/>
  <c r="C21508" i="1"/>
  <c r="B21509" i="1"/>
  <c r="C21509" i="1"/>
  <c r="B21510" i="1"/>
  <c r="C21510" i="1"/>
  <c r="B21511" i="1"/>
  <c r="C21511" i="1"/>
  <c r="B21512" i="1"/>
  <c r="C21512" i="1"/>
  <c r="B21513" i="1"/>
  <c r="C21513" i="1"/>
  <c r="B21514" i="1"/>
  <c r="C21514" i="1"/>
  <c r="B21515" i="1"/>
  <c r="C21515" i="1"/>
  <c r="B21516" i="1"/>
  <c r="C21516" i="1"/>
  <c r="B21517" i="1"/>
  <c r="C21517" i="1"/>
  <c r="B21518" i="1"/>
  <c r="C21518" i="1"/>
  <c r="B21519" i="1"/>
  <c r="C21519" i="1"/>
  <c r="B21520" i="1"/>
  <c r="C21520" i="1"/>
  <c r="B21521" i="1"/>
  <c r="C21521" i="1"/>
  <c r="B21522" i="1"/>
  <c r="C21522" i="1"/>
  <c r="B21523" i="1"/>
  <c r="C21523" i="1"/>
  <c r="B21524" i="1"/>
  <c r="C21524" i="1"/>
  <c r="B21525" i="1"/>
  <c r="C21525" i="1"/>
  <c r="B21526" i="1"/>
  <c r="C21526" i="1"/>
  <c r="B21527" i="1"/>
  <c r="C21527" i="1"/>
  <c r="B21528" i="1"/>
  <c r="C21528" i="1"/>
  <c r="B21529" i="1"/>
  <c r="C21529" i="1"/>
  <c r="B21530" i="1"/>
  <c r="C21530" i="1"/>
  <c r="B21531" i="1"/>
  <c r="C21531" i="1"/>
  <c r="B21532" i="1"/>
  <c r="C21532" i="1"/>
  <c r="B21533" i="1"/>
  <c r="C21533" i="1"/>
  <c r="B21534" i="1"/>
  <c r="C21534" i="1"/>
  <c r="B21535" i="1"/>
  <c r="C21535" i="1"/>
  <c r="B21536" i="1"/>
  <c r="C21536" i="1"/>
  <c r="B21537" i="1"/>
  <c r="C21537" i="1"/>
  <c r="B21538" i="1"/>
  <c r="C21538" i="1"/>
  <c r="B21539" i="1"/>
  <c r="C21539" i="1"/>
  <c r="B21540" i="1"/>
  <c r="C21540" i="1"/>
  <c r="B21541" i="1"/>
  <c r="C21541" i="1"/>
  <c r="B21542" i="1"/>
  <c r="C21542" i="1"/>
  <c r="B21543" i="1"/>
  <c r="C21543" i="1"/>
  <c r="B21544" i="1"/>
  <c r="C21544" i="1"/>
  <c r="B21545" i="1"/>
  <c r="C21545" i="1"/>
  <c r="B21546" i="1"/>
  <c r="C21546" i="1"/>
  <c r="B21547" i="1"/>
  <c r="C21547" i="1"/>
  <c r="B21548" i="1"/>
  <c r="C21548" i="1"/>
  <c r="B21549" i="1"/>
  <c r="C21549" i="1"/>
  <c r="B21550" i="1"/>
  <c r="C21550" i="1"/>
  <c r="B21551" i="1"/>
  <c r="C21551" i="1"/>
  <c r="B21552" i="1"/>
  <c r="C21552" i="1"/>
  <c r="B21553" i="1"/>
  <c r="C21553" i="1"/>
  <c r="B21554" i="1"/>
  <c r="C21554" i="1"/>
  <c r="B21555" i="1"/>
  <c r="C21555" i="1"/>
  <c r="B21556" i="1"/>
  <c r="C21556" i="1"/>
  <c r="B21557" i="1"/>
  <c r="C21557" i="1"/>
  <c r="B21558" i="1"/>
  <c r="C21558" i="1"/>
  <c r="B21559" i="1"/>
  <c r="C21559" i="1"/>
  <c r="B21560" i="1"/>
  <c r="C21560" i="1"/>
  <c r="B21561" i="1"/>
  <c r="C21561" i="1"/>
  <c r="B21562" i="1"/>
  <c r="C21562" i="1"/>
  <c r="B21563" i="1"/>
  <c r="C21563" i="1"/>
  <c r="B21564" i="1"/>
  <c r="C21564" i="1"/>
  <c r="B21565" i="1"/>
  <c r="C21565" i="1"/>
  <c r="B21566" i="1"/>
  <c r="C21566" i="1"/>
  <c r="B21567" i="1"/>
  <c r="C21567" i="1"/>
  <c r="B21568" i="1"/>
  <c r="C21568" i="1"/>
  <c r="B21569" i="1"/>
  <c r="C21569" i="1"/>
  <c r="B21570" i="1"/>
  <c r="C21570" i="1"/>
  <c r="B21571" i="1"/>
  <c r="C21571" i="1"/>
  <c r="B21572" i="1"/>
  <c r="C21572" i="1"/>
  <c r="B21573" i="1"/>
  <c r="C21573" i="1"/>
  <c r="B21574" i="1"/>
  <c r="C21574" i="1"/>
  <c r="B21575" i="1"/>
  <c r="C21575" i="1"/>
  <c r="B21576" i="1"/>
  <c r="C21576" i="1"/>
  <c r="B21577" i="1"/>
  <c r="C21577" i="1"/>
  <c r="B21578" i="1"/>
  <c r="C21578" i="1"/>
  <c r="B21579" i="1"/>
  <c r="C21579" i="1"/>
  <c r="B21580" i="1"/>
  <c r="C21580" i="1"/>
  <c r="B21581" i="1"/>
  <c r="C21581" i="1"/>
  <c r="B21582" i="1"/>
  <c r="C21582" i="1"/>
  <c r="B21583" i="1"/>
  <c r="C21583" i="1"/>
  <c r="B21584" i="1"/>
  <c r="C21584" i="1"/>
  <c r="B21585" i="1"/>
  <c r="C21585" i="1"/>
  <c r="B21586" i="1"/>
  <c r="C21586" i="1"/>
  <c r="B21587" i="1"/>
  <c r="C21587" i="1"/>
  <c r="B21588" i="1"/>
  <c r="C21588" i="1"/>
  <c r="B21589" i="1"/>
  <c r="C21589" i="1"/>
  <c r="B21590" i="1"/>
  <c r="C21590" i="1"/>
  <c r="B21591" i="1"/>
  <c r="C21591" i="1"/>
  <c r="B21592" i="1"/>
  <c r="C21592" i="1"/>
  <c r="B21593" i="1"/>
  <c r="C21593" i="1"/>
  <c r="B21594" i="1"/>
  <c r="C21594" i="1"/>
  <c r="B21595" i="1"/>
  <c r="C21595" i="1"/>
  <c r="B21596" i="1"/>
  <c r="C21596" i="1"/>
  <c r="B21597" i="1"/>
  <c r="C21597" i="1"/>
  <c r="B21598" i="1"/>
  <c r="C21598" i="1"/>
  <c r="B21599" i="1"/>
  <c r="C21599" i="1"/>
  <c r="B21600" i="1"/>
  <c r="C21600" i="1"/>
  <c r="B21601" i="1"/>
  <c r="C21601" i="1"/>
  <c r="B21602" i="1"/>
  <c r="C21602" i="1"/>
  <c r="B21603" i="1"/>
  <c r="C21603" i="1"/>
  <c r="B21604" i="1"/>
  <c r="C21604" i="1"/>
  <c r="B21605" i="1"/>
  <c r="C21605" i="1"/>
  <c r="B21606" i="1"/>
  <c r="C21606" i="1"/>
  <c r="B21607" i="1"/>
  <c r="C21607" i="1"/>
  <c r="B21608" i="1"/>
  <c r="C21608" i="1"/>
  <c r="B21609" i="1"/>
  <c r="C21609" i="1"/>
  <c r="B21610" i="1"/>
  <c r="C21610" i="1"/>
  <c r="B21611" i="1"/>
  <c r="C21611" i="1"/>
  <c r="B21612" i="1"/>
  <c r="C21612" i="1"/>
  <c r="B21613" i="1"/>
  <c r="C21613" i="1"/>
  <c r="B21614" i="1"/>
  <c r="C21614" i="1"/>
  <c r="B21615" i="1"/>
  <c r="C21615" i="1"/>
  <c r="B21616" i="1"/>
  <c r="C21616" i="1"/>
  <c r="B21617" i="1"/>
  <c r="C21617" i="1"/>
  <c r="B21618" i="1"/>
  <c r="C21618" i="1"/>
  <c r="B21619" i="1"/>
  <c r="C21619" i="1"/>
  <c r="B21620" i="1"/>
  <c r="C21620" i="1"/>
  <c r="B21621" i="1"/>
  <c r="C21621" i="1"/>
  <c r="B21622" i="1"/>
  <c r="C21622" i="1"/>
  <c r="B21623" i="1"/>
  <c r="C21623" i="1"/>
  <c r="B21624" i="1"/>
  <c r="C21624" i="1"/>
  <c r="B21625" i="1"/>
  <c r="C21625" i="1"/>
  <c r="B21626" i="1"/>
  <c r="C21626" i="1"/>
  <c r="B21627" i="1"/>
  <c r="C21627" i="1"/>
  <c r="B21628" i="1"/>
  <c r="C21628" i="1"/>
  <c r="B21629" i="1"/>
  <c r="C21629" i="1"/>
  <c r="B21630" i="1"/>
  <c r="C21630" i="1"/>
  <c r="B21631" i="1"/>
  <c r="C21631" i="1"/>
  <c r="B21632" i="1"/>
  <c r="C21632" i="1"/>
  <c r="B21633" i="1"/>
  <c r="C21633" i="1"/>
  <c r="B21634" i="1"/>
  <c r="C21634" i="1"/>
  <c r="B21635" i="1"/>
  <c r="C21635" i="1"/>
  <c r="B21636" i="1"/>
  <c r="C21636" i="1"/>
  <c r="B21637" i="1"/>
  <c r="C21637" i="1"/>
  <c r="B21638" i="1"/>
  <c r="C21638" i="1"/>
  <c r="B21639" i="1"/>
  <c r="C21639" i="1"/>
  <c r="B21640" i="1"/>
  <c r="C21640" i="1"/>
  <c r="B21641" i="1"/>
  <c r="C21641" i="1"/>
  <c r="B21642" i="1"/>
  <c r="C21642" i="1"/>
  <c r="B21643" i="1"/>
  <c r="C21643" i="1"/>
  <c r="B21644" i="1"/>
  <c r="C21644" i="1"/>
  <c r="B21645" i="1"/>
  <c r="C21645" i="1"/>
  <c r="B21646" i="1"/>
  <c r="C21646" i="1"/>
  <c r="B21647" i="1"/>
  <c r="C21647" i="1"/>
  <c r="B21648" i="1"/>
  <c r="C21648" i="1"/>
  <c r="B21649" i="1"/>
  <c r="C21649" i="1"/>
  <c r="B21650" i="1"/>
  <c r="C21650" i="1"/>
  <c r="B21651" i="1"/>
  <c r="C21651" i="1"/>
  <c r="B21652" i="1"/>
  <c r="C21652" i="1"/>
  <c r="B21653" i="1"/>
  <c r="C21653" i="1"/>
  <c r="B21654" i="1"/>
  <c r="C21654" i="1"/>
  <c r="B21655" i="1"/>
  <c r="C21655" i="1"/>
  <c r="B21656" i="1"/>
  <c r="C21656" i="1"/>
  <c r="B21657" i="1"/>
  <c r="C21657" i="1"/>
  <c r="B21658" i="1"/>
  <c r="C21658" i="1"/>
  <c r="B21659" i="1"/>
  <c r="C21659" i="1"/>
  <c r="B21660" i="1"/>
  <c r="C21660" i="1"/>
  <c r="B21661" i="1"/>
  <c r="C21661" i="1"/>
  <c r="B21662" i="1"/>
  <c r="C21662" i="1"/>
  <c r="B21663" i="1"/>
  <c r="C21663" i="1"/>
  <c r="B21664" i="1"/>
  <c r="C21664" i="1"/>
  <c r="B21665" i="1"/>
  <c r="C21665" i="1"/>
  <c r="B21666" i="1"/>
  <c r="C21666" i="1"/>
  <c r="B21667" i="1"/>
  <c r="C21667" i="1"/>
  <c r="B21668" i="1"/>
  <c r="C21668" i="1"/>
  <c r="B21669" i="1"/>
  <c r="C21669" i="1"/>
  <c r="B21670" i="1"/>
  <c r="C21670" i="1"/>
  <c r="B21671" i="1"/>
  <c r="C21671" i="1"/>
  <c r="B21672" i="1"/>
  <c r="C21672" i="1"/>
  <c r="B21673" i="1"/>
  <c r="C21673" i="1"/>
  <c r="B21674" i="1"/>
  <c r="C21674" i="1"/>
  <c r="B21675" i="1"/>
  <c r="C21675" i="1"/>
  <c r="B21676" i="1"/>
  <c r="C21676" i="1"/>
  <c r="B21677" i="1"/>
  <c r="C21677" i="1"/>
  <c r="B21678" i="1"/>
  <c r="C21678" i="1"/>
  <c r="B21679" i="1"/>
  <c r="C21679" i="1"/>
  <c r="B21680" i="1"/>
  <c r="C21680" i="1"/>
  <c r="B21681" i="1"/>
  <c r="C21681" i="1"/>
  <c r="B21682" i="1"/>
  <c r="C21682" i="1"/>
  <c r="B21683" i="1"/>
  <c r="C21683" i="1"/>
  <c r="B21684" i="1"/>
  <c r="C21684" i="1"/>
  <c r="B21685" i="1"/>
  <c r="C21685" i="1"/>
  <c r="B21686" i="1"/>
  <c r="C21686" i="1"/>
  <c r="B21687" i="1"/>
  <c r="C21687" i="1"/>
  <c r="B21688" i="1"/>
  <c r="C21688" i="1"/>
  <c r="B21689" i="1"/>
  <c r="C21689" i="1"/>
  <c r="B21690" i="1"/>
  <c r="C21690" i="1"/>
  <c r="B21691" i="1"/>
  <c r="C21691" i="1"/>
  <c r="B21692" i="1"/>
  <c r="C21692" i="1"/>
  <c r="B21693" i="1"/>
  <c r="C21693" i="1"/>
  <c r="B21694" i="1"/>
  <c r="C21694" i="1"/>
  <c r="B21695" i="1"/>
  <c r="C21695" i="1"/>
  <c r="B21696" i="1"/>
  <c r="C21696" i="1"/>
  <c r="B21697" i="1"/>
  <c r="C21697" i="1"/>
  <c r="B21698" i="1"/>
  <c r="C21698" i="1"/>
  <c r="B21699" i="1"/>
  <c r="C21699" i="1"/>
  <c r="B21700" i="1"/>
  <c r="C21700" i="1"/>
  <c r="B21701" i="1"/>
  <c r="C21701" i="1"/>
  <c r="B21702" i="1"/>
  <c r="C21702" i="1"/>
  <c r="B21703" i="1"/>
  <c r="C21703" i="1"/>
  <c r="B21704" i="1"/>
  <c r="C21704" i="1"/>
  <c r="B21705" i="1"/>
  <c r="C21705" i="1"/>
  <c r="B21706" i="1"/>
  <c r="C21706" i="1"/>
  <c r="B21707" i="1"/>
  <c r="C21707" i="1"/>
  <c r="B21708" i="1"/>
  <c r="C21708" i="1"/>
  <c r="B21709" i="1"/>
  <c r="C21709" i="1"/>
  <c r="B21710" i="1"/>
  <c r="C21710" i="1"/>
  <c r="B21711" i="1"/>
  <c r="C21711" i="1"/>
  <c r="B21712" i="1"/>
  <c r="C21712" i="1"/>
  <c r="B21713" i="1"/>
  <c r="C21713" i="1"/>
  <c r="B21714" i="1"/>
  <c r="C21714" i="1"/>
  <c r="B21715" i="1"/>
  <c r="C21715" i="1"/>
  <c r="B21716" i="1"/>
  <c r="C21716" i="1"/>
  <c r="B21717" i="1"/>
  <c r="C21717" i="1"/>
  <c r="B21718" i="1"/>
  <c r="C21718" i="1"/>
  <c r="B21719" i="1"/>
  <c r="C21719" i="1"/>
  <c r="B21720" i="1"/>
  <c r="C21720" i="1"/>
  <c r="B21721" i="1"/>
  <c r="C21721" i="1"/>
  <c r="B21722" i="1"/>
  <c r="C21722" i="1"/>
  <c r="B21723" i="1"/>
  <c r="C21723" i="1"/>
  <c r="B21724" i="1"/>
  <c r="C21724" i="1"/>
  <c r="B21725" i="1"/>
  <c r="C21725" i="1"/>
  <c r="B21726" i="1"/>
  <c r="C21726" i="1"/>
  <c r="B21727" i="1"/>
  <c r="C21727" i="1"/>
  <c r="B21728" i="1"/>
  <c r="C21728" i="1"/>
  <c r="B21729" i="1"/>
  <c r="C21729" i="1"/>
  <c r="B21730" i="1"/>
  <c r="C21730" i="1"/>
  <c r="B21731" i="1"/>
  <c r="C21731" i="1"/>
  <c r="B21732" i="1"/>
  <c r="C21732" i="1"/>
  <c r="B21733" i="1"/>
  <c r="C21733" i="1"/>
  <c r="B21734" i="1"/>
  <c r="C21734" i="1"/>
  <c r="B21735" i="1"/>
  <c r="C21735" i="1"/>
  <c r="B21736" i="1"/>
  <c r="C21736" i="1"/>
  <c r="B21737" i="1"/>
  <c r="C21737" i="1"/>
  <c r="B21738" i="1"/>
  <c r="C21738" i="1"/>
  <c r="B21739" i="1"/>
  <c r="C21739" i="1"/>
  <c r="B21740" i="1"/>
  <c r="C21740" i="1"/>
  <c r="B21741" i="1"/>
  <c r="C21741" i="1"/>
  <c r="B21742" i="1"/>
  <c r="C21742" i="1"/>
  <c r="B21743" i="1"/>
  <c r="C21743" i="1"/>
  <c r="B21744" i="1"/>
  <c r="C21744" i="1"/>
  <c r="B21745" i="1"/>
  <c r="C21745" i="1"/>
  <c r="B21746" i="1"/>
  <c r="C21746" i="1"/>
  <c r="B21747" i="1"/>
  <c r="C21747" i="1"/>
  <c r="B21748" i="1"/>
  <c r="C21748" i="1"/>
  <c r="B21749" i="1"/>
  <c r="C21749" i="1"/>
  <c r="B21750" i="1"/>
  <c r="C21750" i="1"/>
  <c r="B21751" i="1"/>
  <c r="C21751" i="1"/>
  <c r="B21752" i="1"/>
  <c r="C21752" i="1"/>
  <c r="B21753" i="1"/>
  <c r="C21753" i="1"/>
  <c r="B21754" i="1"/>
  <c r="C21754" i="1"/>
  <c r="B21755" i="1"/>
  <c r="C21755" i="1"/>
  <c r="B21756" i="1"/>
  <c r="C21756" i="1"/>
  <c r="B21757" i="1"/>
  <c r="C21757" i="1"/>
  <c r="B21758" i="1"/>
  <c r="C21758" i="1"/>
  <c r="B21759" i="1"/>
  <c r="C21759" i="1"/>
  <c r="B21760" i="1"/>
  <c r="C21760" i="1"/>
  <c r="B21761" i="1"/>
  <c r="C21761" i="1"/>
  <c r="B21762" i="1"/>
  <c r="C21762" i="1"/>
  <c r="B21763" i="1"/>
  <c r="C21763" i="1"/>
  <c r="B21764" i="1"/>
  <c r="C21764" i="1"/>
  <c r="B21765" i="1"/>
  <c r="C21765" i="1"/>
  <c r="B21766" i="1"/>
  <c r="C21766" i="1"/>
  <c r="B21767" i="1"/>
  <c r="C21767" i="1"/>
  <c r="B21768" i="1"/>
  <c r="C21768" i="1"/>
  <c r="B21769" i="1"/>
  <c r="C21769" i="1"/>
  <c r="B21770" i="1"/>
  <c r="C21770" i="1"/>
  <c r="B21771" i="1"/>
  <c r="C21771" i="1"/>
  <c r="B21772" i="1"/>
  <c r="C21772" i="1"/>
  <c r="B21773" i="1"/>
  <c r="C21773" i="1"/>
  <c r="B21774" i="1"/>
  <c r="C21774" i="1"/>
  <c r="B21775" i="1"/>
  <c r="C21775" i="1"/>
  <c r="B21776" i="1"/>
  <c r="C21776" i="1"/>
  <c r="B21777" i="1"/>
  <c r="C21777" i="1"/>
  <c r="B21778" i="1"/>
  <c r="C21778" i="1"/>
  <c r="B21779" i="1"/>
  <c r="C21779" i="1"/>
  <c r="B21780" i="1"/>
  <c r="C21780" i="1"/>
  <c r="B21781" i="1"/>
  <c r="C21781" i="1"/>
  <c r="B21782" i="1"/>
  <c r="C21782" i="1"/>
  <c r="B21783" i="1"/>
  <c r="C21783" i="1"/>
  <c r="B21784" i="1"/>
  <c r="C21784" i="1"/>
  <c r="B21785" i="1"/>
  <c r="C21785" i="1"/>
  <c r="B21786" i="1"/>
  <c r="C21786" i="1"/>
  <c r="B21787" i="1"/>
  <c r="C21787" i="1"/>
  <c r="B21788" i="1"/>
  <c r="C21788" i="1"/>
  <c r="B21789" i="1"/>
  <c r="C21789" i="1"/>
  <c r="B21790" i="1"/>
  <c r="C21790" i="1"/>
  <c r="B21791" i="1"/>
  <c r="C21791" i="1"/>
  <c r="B21792" i="1"/>
  <c r="C21792" i="1"/>
  <c r="B21793" i="1"/>
  <c r="C21793" i="1"/>
  <c r="B21794" i="1"/>
  <c r="C21794" i="1"/>
  <c r="B21795" i="1"/>
  <c r="C21795" i="1"/>
  <c r="B21796" i="1"/>
  <c r="C21796" i="1"/>
  <c r="B21797" i="1"/>
  <c r="C21797" i="1"/>
  <c r="B21798" i="1"/>
  <c r="C21798" i="1"/>
  <c r="B21799" i="1"/>
  <c r="C21799" i="1"/>
  <c r="B21800" i="1"/>
  <c r="C21800" i="1"/>
  <c r="B21801" i="1"/>
  <c r="C21801" i="1"/>
  <c r="B21802" i="1"/>
  <c r="C21802" i="1"/>
  <c r="B21803" i="1"/>
  <c r="C21803" i="1"/>
  <c r="B21804" i="1"/>
  <c r="C21804" i="1"/>
  <c r="B21805" i="1"/>
  <c r="C21805" i="1"/>
  <c r="B21806" i="1"/>
  <c r="C21806" i="1"/>
  <c r="B21807" i="1"/>
  <c r="C21807" i="1"/>
  <c r="B21808" i="1"/>
  <c r="C21808" i="1"/>
  <c r="B21809" i="1"/>
  <c r="C21809" i="1"/>
  <c r="B21810" i="1"/>
  <c r="C21810" i="1"/>
  <c r="B21811" i="1"/>
  <c r="C21811" i="1"/>
  <c r="B21812" i="1"/>
  <c r="C21812" i="1"/>
  <c r="B21813" i="1"/>
  <c r="C21813" i="1"/>
  <c r="B21814" i="1"/>
  <c r="C21814" i="1"/>
  <c r="B21815" i="1"/>
  <c r="C21815" i="1"/>
  <c r="B21816" i="1"/>
  <c r="C21816" i="1"/>
  <c r="B21817" i="1"/>
  <c r="C21817" i="1"/>
  <c r="B21818" i="1"/>
  <c r="C21818" i="1"/>
  <c r="B21819" i="1"/>
  <c r="C21819" i="1"/>
  <c r="B21820" i="1"/>
  <c r="C21820" i="1"/>
  <c r="B21821" i="1"/>
  <c r="C21821" i="1"/>
  <c r="B21822" i="1"/>
  <c r="C21822" i="1"/>
  <c r="B21823" i="1"/>
  <c r="C21823" i="1"/>
  <c r="B21824" i="1"/>
  <c r="C21824" i="1"/>
  <c r="B21825" i="1"/>
  <c r="C21825" i="1"/>
  <c r="B21826" i="1"/>
  <c r="C21826" i="1"/>
  <c r="B21827" i="1"/>
  <c r="C21827" i="1"/>
  <c r="B21828" i="1"/>
  <c r="C21828" i="1"/>
  <c r="B21829" i="1"/>
  <c r="C21829" i="1"/>
  <c r="B21830" i="1"/>
  <c r="C21830" i="1"/>
  <c r="B21831" i="1"/>
  <c r="C21831" i="1"/>
  <c r="B21832" i="1"/>
  <c r="C21832" i="1"/>
  <c r="B21833" i="1"/>
  <c r="C21833" i="1"/>
  <c r="B21834" i="1"/>
  <c r="C21834" i="1"/>
  <c r="B21835" i="1"/>
  <c r="C21835" i="1"/>
  <c r="B21836" i="1"/>
  <c r="C21836" i="1"/>
  <c r="B21837" i="1"/>
  <c r="C21837" i="1"/>
  <c r="B21838" i="1"/>
  <c r="C21838" i="1"/>
  <c r="B21839" i="1"/>
  <c r="C21839" i="1"/>
  <c r="B21840" i="1"/>
  <c r="C21840" i="1"/>
  <c r="B21841" i="1"/>
  <c r="C21841" i="1"/>
  <c r="B21842" i="1"/>
  <c r="C21842" i="1"/>
  <c r="B21843" i="1"/>
  <c r="C21843" i="1"/>
  <c r="B21844" i="1"/>
  <c r="C21844" i="1"/>
  <c r="B21845" i="1"/>
  <c r="C21845" i="1"/>
  <c r="B21846" i="1"/>
  <c r="C21846" i="1"/>
  <c r="B21847" i="1"/>
  <c r="C21847" i="1"/>
  <c r="B21848" i="1"/>
  <c r="C21848" i="1"/>
  <c r="B21849" i="1"/>
  <c r="C21849" i="1"/>
  <c r="B21850" i="1"/>
  <c r="C21850" i="1"/>
  <c r="B21851" i="1"/>
  <c r="C21851" i="1"/>
  <c r="B21852" i="1"/>
  <c r="C21852" i="1"/>
  <c r="B21853" i="1"/>
  <c r="C21853" i="1"/>
  <c r="B21854" i="1"/>
  <c r="C21854" i="1"/>
  <c r="B21855" i="1"/>
  <c r="C21855" i="1"/>
  <c r="B21856" i="1"/>
  <c r="C21856" i="1"/>
  <c r="B21857" i="1"/>
  <c r="C21857" i="1"/>
  <c r="B21858" i="1"/>
  <c r="C21858" i="1"/>
  <c r="B21859" i="1"/>
  <c r="C21859" i="1"/>
  <c r="B21860" i="1"/>
  <c r="C21860" i="1"/>
  <c r="B21861" i="1"/>
  <c r="C21861" i="1"/>
  <c r="B21862" i="1"/>
  <c r="C21862" i="1"/>
  <c r="B21863" i="1"/>
  <c r="C21863" i="1"/>
  <c r="B21864" i="1"/>
  <c r="C21864" i="1"/>
  <c r="B21865" i="1"/>
  <c r="C21865" i="1"/>
  <c r="B21866" i="1"/>
  <c r="C21866" i="1"/>
  <c r="B21867" i="1"/>
  <c r="C21867" i="1"/>
  <c r="B21868" i="1"/>
  <c r="C21868" i="1"/>
  <c r="B21869" i="1"/>
  <c r="C21869" i="1"/>
  <c r="B21870" i="1"/>
  <c r="C21870" i="1"/>
  <c r="B21871" i="1"/>
  <c r="C21871" i="1"/>
  <c r="B21872" i="1"/>
  <c r="C21872" i="1"/>
  <c r="B21873" i="1"/>
  <c r="C21873" i="1"/>
  <c r="B21874" i="1"/>
  <c r="C21874" i="1"/>
  <c r="B21875" i="1"/>
  <c r="C21875" i="1"/>
  <c r="B21876" i="1"/>
  <c r="C21876" i="1"/>
  <c r="B21877" i="1"/>
  <c r="C21877" i="1"/>
  <c r="B21878" i="1"/>
  <c r="C21878" i="1"/>
  <c r="B21879" i="1"/>
  <c r="C21879" i="1"/>
  <c r="B21880" i="1"/>
  <c r="C21880" i="1"/>
  <c r="B21881" i="1"/>
  <c r="C21881" i="1"/>
  <c r="B21882" i="1"/>
  <c r="C21882" i="1"/>
  <c r="B21883" i="1"/>
  <c r="C21883" i="1"/>
  <c r="B21884" i="1"/>
  <c r="C21884" i="1"/>
  <c r="B21885" i="1"/>
  <c r="C21885" i="1"/>
  <c r="B21886" i="1"/>
  <c r="C21886" i="1"/>
  <c r="B21887" i="1"/>
  <c r="C21887" i="1"/>
  <c r="B21888" i="1"/>
  <c r="C21888" i="1"/>
  <c r="B21889" i="1"/>
  <c r="C21889" i="1"/>
  <c r="B21890" i="1"/>
  <c r="C21890" i="1"/>
  <c r="B21891" i="1"/>
  <c r="C21891" i="1"/>
  <c r="B21892" i="1"/>
  <c r="C21892" i="1"/>
  <c r="B21893" i="1"/>
  <c r="C21893" i="1"/>
  <c r="B21894" i="1"/>
  <c r="C21894" i="1"/>
  <c r="B21895" i="1"/>
  <c r="C21895" i="1"/>
  <c r="B21896" i="1"/>
  <c r="C21896" i="1"/>
  <c r="B21897" i="1"/>
  <c r="C21897" i="1"/>
  <c r="B21898" i="1"/>
  <c r="C21898" i="1"/>
  <c r="B21899" i="1"/>
  <c r="C21899" i="1"/>
  <c r="B21900" i="1"/>
  <c r="C21900" i="1"/>
  <c r="B21901" i="1"/>
  <c r="C21901" i="1"/>
  <c r="B21902" i="1"/>
  <c r="C21902" i="1"/>
  <c r="B21903" i="1"/>
  <c r="C21903" i="1"/>
  <c r="B21904" i="1"/>
  <c r="C21904" i="1"/>
  <c r="B21905" i="1"/>
  <c r="C21905" i="1"/>
  <c r="B21906" i="1"/>
  <c r="C21906" i="1"/>
  <c r="B21907" i="1"/>
  <c r="C21907" i="1"/>
  <c r="B21908" i="1"/>
  <c r="C21908" i="1"/>
  <c r="B21909" i="1"/>
  <c r="C21909" i="1"/>
  <c r="B21910" i="1"/>
  <c r="C21910" i="1"/>
  <c r="B21911" i="1"/>
  <c r="C21911" i="1"/>
  <c r="B21912" i="1"/>
  <c r="C21912" i="1"/>
  <c r="B21913" i="1"/>
  <c r="C21913" i="1"/>
  <c r="B21914" i="1"/>
  <c r="C21914" i="1"/>
  <c r="B21915" i="1"/>
  <c r="C21915" i="1"/>
  <c r="B21916" i="1"/>
  <c r="C21916" i="1"/>
  <c r="B21917" i="1"/>
  <c r="C21917" i="1"/>
  <c r="B21918" i="1"/>
  <c r="C21918" i="1"/>
  <c r="B21919" i="1"/>
  <c r="C21919" i="1"/>
  <c r="B21920" i="1"/>
  <c r="C21920" i="1"/>
  <c r="B21921" i="1"/>
  <c r="C21921" i="1"/>
  <c r="B21922" i="1"/>
  <c r="C21922" i="1"/>
  <c r="B21923" i="1"/>
  <c r="C21923" i="1"/>
  <c r="B21924" i="1"/>
  <c r="C21924" i="1"/>
  <c r="B21925" i="1"/>
  <c r="C21925" i="1"/>
  <c r="B21926" i="1"/>
  <c r="C21926" i="1"/>
  <c r="B21927" i="1"/>
  <c r="C21927" i="1"/>
  <c r="B21928" i="1"/>
  <c r="C21928" i="1"/>
  <c r="B21929" i="1"/>
  <c r="C21929" i="1"/>
  <c r="B21930" i="1"/>
  <c r="C21930" i="1"/>
  <c r="B21931" i="1"/>
  <c r="C21931" i="1"/>
  <c r="B21932" i="1"/>
  <c r="C21932" i="1"/>
  <c r="B21933" i="1"/>
  <c r="C21933" i="1"/>
  <c r="B21934" i="1"/>
  <c r="C21934" i="1"/>
  <c r="B21935" i="1"/>
  <c r="C21935" i="1"/>
  <c r="B21936" i="1"/>
  <c r="C21936" i="1"/>
  <c r="B21937" i="1"/>
  <c r="C21937" i="1"/>
  <c r="B21938" i="1"/>
  <c r="C21938" i="1"/>
  <c r="B21939" i="1"/>
  <c r="C21939" i="1"/>
  <c r="B21940" i="1"/>
  <c r="C21940" i="1"/>
  <c r="B21941" i="1"/>
  <c r="C21941" i="1"/>
  <c r="B21942" i="1"/>
  <c r="C21942" i="1"/>
  <c r="B21943" i="1"/>
  <c r="C21943" i="1"/>
  <c r="B21944" i="1"/>
  <c r="C21944" i="1"/>
  <c r="B21945" i="1"/>
  <c r="C21945" i="1"/>
  <c r="B21946" i="1"/>
  <c r="C21946" i="1"/>
  <c r="B21947" i="1"/>
  <c r="C21947" i="1"/>
  <c r="B21948" i="1"/>
  <c r="C21948" i="1"/>
  <c r="B21949" i="1"/>
  <c r="C21949" i="1"/>
  <c r="B21950" i="1"/>
  <c r="C21950" i="1"/>
  <c r="B21951" i="1"/>
  <c r="C21951" i="1"/>
  <c r="B21952" i="1"/>
  <c r="C21952" i="1"/>
  <c r="B21953" i="1"/>
  <c r="C21953" i="1"/>
  <c r="B21954" i="1"/>
  <c r="C21954" i="1"/>
  <c r="B21955" i="1"/>
  <c r="C21955" i="1"/>
  <c r="B21956" i="1"/>
  <c r="C21956" i="1"/>
  <c r="B21957" i="1"/>
  <c r="C21957" i="1"/>
  <c r="B21958" i="1"/>
  <c r="C21958" i="1"/>
  <c r="B21959" i="1"/>
  <c r="C21959" i="1"/>
  <c r="B21960" i="1"/>
  <c r="C21960" i="1"/>
  <c r="B21961" i="1"/>
  <c r="C21961" i="1"/>
  <c r="B21962" i="1"/>
  <c r="C21962" i="1"/>
  <c r="B21963" i="1"/>
  <c r="C21963" i="1"/>
  <c r="B21964" i="1"/>
  <c r="C21964" i="1"/>
  <c r="B21965" i="1"/>
  <c r="C21965" i="1"/>
  <c r="B21966" i="1"/>
  <c r="C21966" i="1"/>
  <c r="B21967" i="1"/>
  <c r="C21967" i="1"/>
  <c r="B21968" i="1"/>
  <c r="C21968" i="1"/>
  <c r="B21969" i="1"/>
  <c r="C21969" i="1"/>
  <c r="B21970" i="1"/>
  <c r="C21970" i="1"/>
  <c r="B21971" i="1"/>
  <c r="C21971" i="1"/>
  <c r="B21972" i="1"/>
  <c r="C21972" i="1"/>
  <c r="B21973" i="1"/>
  <c r="C21973" i="1"/>
  <c r="B21974" i="1"/>
  <c r="C21974" i="1"/>
  <c r="B21975" i="1"/>
  <c r="C21975" i="1"/>
  <c r="B21976" i="1"/>
  <c r="C21976" i="1"/>
  <c r="B21977" i="1"/>
  <c r="C21977" i="1"/>
  <c r="B21978" i="1"/>
  <c r="C21978" i="1"/>
  <c r="B21979" i="1"/>
  <c r="C21979" i="1"/>
  <c r="B21980" i="1"/>
  <c r="C21980" i="1"/>
  <c r="B21981" i="1"/>
  <c r="C21981" i="1"/>
  <c r="B21982" i="1"/>
  <c r="C21982" i="1"/>
  <c r="B21983" i="1"/>
  <c r="C21983" i="1"/>
  <c r="B21984" i="1"/>
  <c r="C21984" i="1"/>
  <c r="B21985" i="1"/>
  <c r="C21985" i="1"/>
  <c r="B21986" i="1"/>
  <c r="C21986" i="1"/>
  <c r="B21987" i="1"/>
  <c r="C21987" i="1"/>
  <c r="B21988" i="1"/>
  <c r="C21988" i="1"/>
  <c r="B21989" i="1"/>
  <c r="C21989" i="1"/>
  <c r="B21990" i="1"/>
  <c r="C21990" i="1"/>
  <c r="B21991" i="1"/>
  <c r="C21991" i="1"/>
  <c r="B21992" i="1"/>
  <c r="C21992" i="1"/>
  <c r="B21993" i="1"/>
  <c r="C21993" i="1"/>
  <c r="B21994" i="1"/>
  <c r="C21994" i="1"/>
  <c r="B21995" i="1"/>
  <c r="C21995" i="1"/>
  <c r="B21996" i="1"/>
  <c r="C21996" i="1"/>
  <c r="B21997" i="1"/>
  <c r="C21997" i="1"/>
  <c r="B21998" i="1"/>
  <c r="C21998" i="1"/>
  <c r="B21999" i="1"/>
  <c r="C21999" i="1"/>
  <c r="B22000" i="1"/>
  <c r="C22000" i="1"/>
  <c r="B22001" i="1"/>
  <c r="C22001" i="1"/>
  <c r="B22002" i="1"/>
  <c r="C22002" i="1"/>
  <c r="B22003" i="1"/>
  <c r="C22003" i="1"/>
  <c r="B22004" i="1"/>
  <c r="C22004" i="1"/>
  <c r="B22005" i="1"/>
  <c r="C22005" i="1"/>
  <c r="B22006" i="1"/>
  <c r="C22006" i="1"/>
  <c r="B22007" i="1"/>
  <c r="C22007" i="1"/>
  <c r="B22008" i="1"/>
  <c r="C22008" i="1"/>
  <c r="B22009" i="1"/>
  <c r="C22009" i="1"/>
  <c r="B22010" i="1"/>
  <c r="C22010" i="1"/>
  <c r="B22011" i="1"/>
  <c r="C22011" i="1"/>
  <c r="B22012" i="1"/>
  <c r="C22012" i="1"/>
  <c r="B22013" i="1"/>
  <c r="C22013" i="1"/>
  <c r="B22014" i="1"/>
  <c r="C22014" i="1"/>
  <c r="B22015" i="1"/>
  <c r="C22015" i="1"/>
  <c r="B22016" i="1"/>
  <c r="C22016" i="1"/>
  <c r="B22017" i="1"/>
  <c r="C22017" i="1"/>
  <c r="B22018" i="1"/>
  <c r="C22018" i="1"/>
  <c r="B22019" i="1"/>
  <c r="C22019" i="1"/>
  <c r="B22020" i="1"/>
  <c r="C22020" i="1"/>
  <c r="B22021" i="1"/>
  <c r="C22021" i="1"/>
  <c r="B22022" i="1"/>
  <c r="C22022" i="1"/>
  <c r="B22023" i="1"/>
  <c r="C22023" i="1"/>
  <c r="B22024" i="1"/>
  <c r="C22024" i="1"/>
  <c r="B22025" i="1"/>
  <c r="C22025" i="1"/>
  <c r="B22026" i="1"/>
  <c r="C22026" i="1"/>
  <c r="B22027" i="1"/>
  <c r="C22027" i="1"/>
  <c r="B22028" i="1"/>
  <c r="C22028" i="1"/>
  <c r="B22029" i="1"/>
  <c r="C22029" i="1"/>
  <c r="B22030" i="1"/>
  <c r="C22030" i="1"/>
  <c r="B22031" i="1"/>
  <c r="C22031" i="1"/>
  <c r="B22032" i="1"/>
  <c r="C22032" i="1"/>
  <c r="B22033" i="1"/>
  <c r="C22033" i="1"/>
  <c r="B22034" i="1"/>
  <c r="C22034" i="1"/>
  <c r="B22035" i="1"/>
  <c r="C22035" i="1"/>
  <c r="B22036" i="1"/>
  <c r="C22036" i="1"/>
  <c r="B22037" i="1"/>
  <c r="C22037" i="1"/>
  <c r="B22038" i="1"/>
  <c r="C22038" i="1"/>
  <c r="B22039" i="1"/>
  <c r="C22039" i="1"/>
  <c r="B22040" i="1"/>
  <c r="C22040" i="1"/>
  <c r="B22041" i="1"/>
  <c r="C22041" i="1"/>
  <c r="B22042" i="1"/>
  <c r="C22042" i="1"/>
  <c r="B22043" i="1"/>
  <c r="C22043" i="1"/>
  <c r="B22044" i="1"/>
  <c r="C22044" i="1"/>
  <c r="B22045" i="1"/>
  <c r="C22045" i="1"/>
  <c r="B22046" i="1"/>
  <c r="C22046" i="1"/>
  <c r="B22047" i="1"/>
  <c r="C22047" i="1"/>
  <c r="B22048" i="1"/>
  <c r="C22048" i="1"/>
  <c r="B22049" i="1"/>
  <c r="C22049" i="1"/>
  <c r="B22050" i="1"/>
  <c r="C22050" i="1"/>
  <c r="B22051" i="1"/>
  <c r="C22051" i="1"/>
  <c r="B22052" i="1"/>
  <c r="C22052" i="1"/>
  <c r="B22053" i="1"/>
  <c r="C22053" i="1"/>
  <c r="B22054" i="1"/>
  <c r="C22054" i="1"/>
  <c r="B22055" i="1"/>
  <c r="C22055" i="1"/>
  <c r="B22056" i="1"/>
  <c r="C22056" i="1"/>
  <c r="B22057" i="1"/>
  <c r="C22057" i="1"/>
  <c r="B22058" i="1"/>
  <c r="C22058" i="1"/>
  <c r="B22059" i="1"/>
  <c r="C22059" i="1"/>
  <c r="B22060" i="1"/>
  <c r="C22060" i="1"/>
  <c r="B22061" i="1"/>
  <c r="C22061" i="1"/>
  <c r="B22062" i="1"/>
  <c r="C22062" i="1"/>
  <c r="B22063" i="1"/>
  <c r="C22063" i="1"/>
  <c r="B22064" i="1"/>
  <c r="C22064" i="1"/>
  <c r="B22065" i="1"/>
  <c r="C22065" i="1"/>
  <c r="B22066" i="1"/>
  <c r="C22066" i="1"/>
  <c r="B22067" i="1"/>
  <c r="C22067" i="1"/>
  <c r="B22068" i="1"/>
  <c r="C22068" i="1"/>
  <c r="B22069" i="1"/>
  <c r="C22069" i="1"/>
  <c r="B22070" i="1"/>
  <c r="C22070" i="1"/>
  <c r="B22071" i="1"/>
  <c r="C22071" i="1"/>
  <c r="B22072" i="1"/>
  <c r="C22072" i="1"/>
  <c r="B22073" i="1"/>
  <c r="C22073" i="1"/>
  <c r="B22074" i="1"/>
  <c r="C22074" i="1"/>
  <c r="B22075" i="1"/>
  <c r="C22075" i="1"/>
  <c r="B22076" i="1"/>
  <c r="C22076" i="1"/>
  <c r="B22077" i="1"/>
  <c r="C22077" i="1"/>
  <c r="B22078" i="1"/>
  <c r="C22078" i="1"/>
  <c r="B22079" i="1"/>
  <c r="C22079" i="1"/>
  <c r="B22080" i="1"/>
  <c r="C22080" i="1"/>
  <c r="B22081" i="1"/>
  <c r="C22081" i="1"/>
  <c r="B22082" i="1"/>
  <c r="C22082" i="1"/>
  <c r="B22083" i="1"/>
  <c r="C22083" i="1"/>
  <c r="B22084" i="1"/>
  <c r="C22084" i="1"/>
  <c r="B22085" i="1"/>
  <c r="C22085" i="1"/>
  <c r="B22086" i="1"/>
  <c r="C22086" i="1"/>
  <c r="B22087" i="1"/>
  <c r="C22087" i="1"/>
  <c r="B22088" i="1"/>
  <c r="C22088" i="1"/>
  <c r="B22089" i="1"/>
  <c r="C22089" i="1"/>
  <c r="B22090" i="1"/>
  <c r="C22090" i="1"/>
  <c r="B22091" i="1"/>
  <c r="C22091" i="1"/>
  <c r="B22092" i="1"/>
  <c r="C22092" i="1"/>
  <c r="B22093" i="1"/>
  <c r="C22093" i="1"/>
  <c r="B22094" i="1"/>
  <c r="C22094" i="1"/>
  <c r="B22095" i="1"/>
  <c r="C22095" i="1"/>
  <c r="B22096" i="1"/>
  <c r="C22096" i="1"/>
  <c r="B22097" i="1"/>
  <c r="C22097" i="1"/>
  <c r="B22098" i="1"/>
  <c r="C22098" i="1"/>
  <c r="B22099" i="1"/>
  <c r="C22099" i="1"/>
  <c r="B22100" i="1"/>
  <c r="C22100" i="1"/>
  <c r="B22101" i="1"/>
  <c r="C22101" i="1"/>
  <c r="B22102" i="1"/>
  <c r="C22102" i="1"/>
  <c r="B22103" i="1"/>
  <c r="C22103" i="1"/>
  <c r="B22104" i="1"/>
  <c r="C22104" i="1"/>
  <c r="B22105" i="1"/>
  <c r="C22105" i="1"/>
  <c r="B22106" i="1"/>
  <c r="C22106" i="1"/>
  <c r="B22107" i="1"/>
  <c r="C22107" i="1"/>
  <c r="B22108" i="1"/>
  <c r="C22108" i="1"/>
  <c r="B22109" i="1"/>
  <c r="C22109" i="1"/>
  <c r="B22110" i="1"/>
  <c r="C22110" i="1"/>
  <c r="B22111" i="1"/>
  <c r="C22111" i="1"/>
  <c r="B22112" i="1"/>
  <c r="C22112" i="1"/>
  <c r="B22113" i="1"/>
  <c r="C22113" i="1"/>
  <c r="B22114" i="1"/>
  <c r="C22114" i="1"/>
  <c r="B22115" i="1"/>
  <c r="C22115" i="1"/>
  <c r="B22116" i="1"/>
  <c r="C22116" i="1"/>
  <c r="B22117" i="1"/>
  <c r="C22117" i="1"/>
  <c r="B22118" i="1"/>
  <c r="C22118" i="1"/>
  <c r="B22119" i="1"/>
  <c r="C22119" i="1"/>
  <c r="B22120" i="1"/>
  <c r="C22120" i="1"/>
  <c r="B22121" i="1"/>
  <c r="C22121" i="1"/>
  <c r="B22122" i="1"/>
  <c r="C22122" i="1"/>
  <c r="B22123" i="1"/>
  <c r="C22123" i="1"/>
  <c r="B22124" i="1"/>
  <c r="C22124" i="1"/>
  <c r="B22125" i="1"/>
  <c r="C22125" i="1"/>
  <c r="B22126" i="1"/>
  <c r="C22126" i="1"/>
  <c r="B22127" i="1"/>
  <c r="C22127" i="1"/>
  <c r="B22128" i="1"/>
  <c r="C22128" i="1"/>
  <c r="B22129" i="1"/>
  <c r="C22129" i="1"/>
  <c r="B22130" i="1"/>
  <c r="C22130" i="1"/>
  <c r="B22131" i="1"/>
  <c r="C22131" i="1"/>
  <c r="B22132" i="1"/>
  <c r="C22132" i="1"/>
  <c r="B22133" i="1"/>
  <c r="C22133" i="1"/>
  <c r="B22134" i="1"/>
  <c r="C22134" i="1"/>
  <c r="B22135" i="1"/>
  <c r="C22135" i="1"/>
  <c r="B22136" i="1"/>
  <c r="C22136" i="1"/>
  <c r="B22137" i="1"/>
  <c r="C22137" i="1"/>
  <c r="B22138" i="1"/>
  <c r="C22138" i="1"/>
  <c r="B22139" i="1"/>
  <c r="C22139" i="1"/>
  <c r="B22140" i="1"/>
  <c r="C22140" i="1"/>
  <c r="B22141" i="1"/>
  <c r="C22141" i="1"/>
  <c r="B22142" i="1"/>
  <c r="C22142" i="1"/>
  <c r="B22143" i="1"/>
  <c r="C22143" i="1"/>
  <c r="B22144" i="1"/>
  <c r="C22144" i="1"/>
  <c r="B22145" i="1"/>
  <c r="C22145" i="1"/>
  <c r="B22146" i="1"/>
  <c r="C22146" i="1"/>
  <c r="B22147" i="1"/>
  <c r="C22147" i="1"/>
  <c r="B22148" i="1"/>
  <c r="C22148" i="1"/>
  <c r="B22149" i="1"/>
  <c r="C22149" i="1"/>
  <c r="B22150" i="1"/>
  <c r="C22150" i="1"/>
  <c r="B22151" i="1"/>
  <c r="C22151" i="1"/>
  <c r="B22152" i="1"/>
  <c r="C22152" i="1"/>
  <c r="B22153" i="1"/>
  <c r="C22153" i="1"/>
  <c r="B22154" i="1"/>
  <c r="C22154" i="1"/>
  <c r="B22155" i="1"/>
  <c r="C22155" i="1"/>
  <c r="B22156" i="1"/>
  <c r="C22156" i="1"/>
  <c r="B22157" i="1"/>
  <c r="C22157" i="1"/>
  <c r="B22158" i="1"/>
  <c r="C22158" i="1"/>
  <c r="B22159" i="1"/>
  <c r="C22159" i="1"/>
  <c r="B22160" i="1"/>
  <c r="C22160" i="1"/>
  <c r="B22161" i="1"/>
  <c r="C22161" i="1"/>
  <c r="B22162" i="1"/>
  <c r="C22162" i="1"/>
  <c r="B22163" i="1"/>
  <c r="C22163" i="1"/>
  <c r="B22164" i="1"/>
  <c r="C22164" i="1"/>
  <c r="B22165" i="1"/>
  <c r="C22165" i="1"/>
  <c r="B22166" i="1"/>
  <c r="C22166" i="1"/>
  <c r="B22167" i="1"/>
  <c r="C22167" i="1"/>
  <c r="B22168" i="1"/>
  <c r="C22168" i="1"/>
  <c r="B22169" i="1"/>
  <c r="C22169" i="1"/>
  <c r="B22170" i="1"/>
  <c r="C22170" i="1"/>
  <c r="B22171" i="1"/>
  <c r="C22171" i="1"/>
  <c r="B22172" i="1"/>
  <c r="C22172" i="1"/>
  <c r="B22173" i="1"/>
  <c r="C22173" i="1"/>
  <c r="B22174" i="1"/>
  <c r="C22174" i="1"/>
  <c r="B22175" i="1"/>
  <c r="C22175" i="1"/>
  <c r="B22176" i="1"/>
  <c r="C22176" i="1"/>
  <c r="B22177" i="1"/>
  <c r="C22177" i="1"/>
  <c r="B22178" i="1"/>
  <c r="C22178" i="1"/>
  <c r="B22179" i="1"/>
  <c r="C22179" i="1"/>
  <c r="B22180" i="1"/>
  <c r="C22180" i="1"/>
  <c r="B22181" i="1"/>
  <c r="C22181" i="1"/>
  <c r="B22182" i="1"/>
  <c r="C22182" i="1"/>
  <c r="B22183" i="1"/>
  <c r="C22183" i="1"/>
  <c r="B22184" i="1"/>
  <c r="C22184" i="1"/>
  <c r="B22185" i="1"/>
  <c r="C22185" i="1"/>
  <c r="B22186" i="1"/>
  <c r="C22186" i="1"/>
  <c r="B22187" i="1"/>
  <c r="C22187" i="1"/>
  <c r="B22188" i="1"/>
  <c r="C22188" i="1"/>
  <c r="B22189" i="1"/>
  <c r="C22189" i="1"/>
  <c r="B22190" i="1"/>
  <c r="C22190" i="1"/>
  <c r="B22191" i="1"/>
  <c r="C22191" i="1"/>
  <c r="B22192" i="1"/>
  <c r="C22192" i="1"/>
  <c r="B22193" i="1"/>
  <c r="C22193" i="1"/>
  <c r="B22194" i="1"/>
  <c r="C22194" i="1"/>
  <c r="B22195" i="1"/>
  <c r="C22195" i="1"/>
  <c r="B22196" i="1"/>
  <c r="C22196" i="1"/>
  <c r="B22197" i="1"/>
  <c r="C22197" i="1"/>
  <c r="B22198" i="1"/>
  <c r="C22198" i="1"/>
  <c r="B22199" i="1"/>
  <c r="C22199" i="1"/>
  <c r="B22200" i="1"/>
  <c r="C22200" i="1"/>
  <c r="B22201" i="1"/>
  <c r="C22201" i="1"/>
  <c r="B22202" i="1"/>
  <c r="C22202" i="1"/>
  <c r="B22203" i="1"/>
  <c r="C22203" i="1"/>
  <c r="B22204" i="1"/>
  <c r="C22204" i="1"/>
  <c r="B22205" i="1"/>
  <c r="C22205" i="1"/>
  <c r="B22206" i="1"/>
  <c r="C22206" i="1"/>
  <c r="B22207" i="1"/>
  <c r="C22207" i="1"/>
  <c r="B22208" i="1"/>
  <c r="C22208" i="1"/>
  <c r="B22209" i="1"/>
  <c r="C22209" i="1"/>
  <c r="B22210" i="1"/>
  <c r="C22210" i="1"/>
  <c r="B22211" i="1"/>
  <c r="C22211" i="1"/>
  <c r="B22212" i="1"/>
  <c r="C22212" i="1"/>
  <c r="B22213" i="1"/>
  <c r="C22213" i="1"/>
  <c r="B22214" i="1"/>
  <c r="C22214" i="1"/>
  <c r="B22215" i="1"/>
  <c r="C22215" i="1"/>
  <c r="B22216" i="1"/>
  <c r="C22216" i="1"/>
  <c r="B22217" i="1"/>
  <c r="C22217" i="1"/>
  <c r="B22218" i="1"/>
  <c r="C22218" i="1"/>
  <c r="B22219" i="1"/>
  <c r="C22219" i="1"/>
  <c r="B22220" i="1"/>
  <c r="C22220" i="1"/>
  <c r="B22221" i="1"/>
  <c r="C22221" i="1"/>
  <c r="B22222" i="1"/>
  <c r="C22222" i="1"/>
  <c r="B22223" i="1"/>
  <c r="C22223" i="1"/>
  <c r="B22224" i="1"/>
  <c r="C22224" i="1"/>
  <c r="B22225" i="1"/>
  <c r="C22225" i="1"/>
  <c r="B22226" i="1"/>
  <c r="C22226" i="1"/>
  <c r="B22227" i="1"/>
  <c r="C22227" i="1"/>
  <c r="B22228" i="1"/>
  <c r="C22228" i="1"/>
  <c r="B22229" i="1"/>
  <c r="C22229" i="1"/>
  <c r="B22230" i="1"/>
  <c r="C22230" i="1"/>
  <c r="B22231" i="1"/>
  <c r="C22231" i="1"/>
  <c r="B22232" i="1"/>
  <c r="C22232" i="1"/>
  <c r="B22233" i="1"/>
  <c r="C22233" i="1"/>
  <c r="B22234" i="1"/>
  <c r="C22234" i="1"/>
  <c r="B22235" i="1"/>
  <c r="C22235" i="1"/>
  <c r="B22236" i="1"/>
  <c r="C22236" i="1"/>
  <c r="B22237" i="1"/>
  <c r="C22237" i="1"/>
  <c r="B22238" i="1"/>
  <c r="C22238" i="1"/>
  <c r="B22239" i="1"/>
  <c r="C22239" i="1"/>
  <c r="B22240" i="1"/>
  <c r="C22240" i="1"/>
  <c r="B22241" i="1"/>
  <c r="C22241" i="1"/>
  <c r="B22242" i="1"/>
  <c r="C22242" i="1"/>
  <c r="B22243" i="1"/>
  <c r="C22243" i="1"/>
  <c r="B22244" i="1"/>
  <c r="C22244" i="1"/>
  <c r="B22245" i="1"/>
  <c r="C22245" i="1"/>
  <c r="B22246" i="1"/>
  <c r="C22246" i="1"/>
  <c r="B22247" i="1"/>
  <c r="C22247" i="1"/>
  <c r="B22248" i="1"/>
  <c r="C22248" i="1"/>
  <c r="B22249" i="1"/>
  <c r="C22249" i="1"/>
  <c r="B22250" i="1"/>
  <c r="C22250" i="1"/>
  <c r="B22251" i="1"/>
  <c r="C22251" i="1"/>
  <c r="B22252" i="1"/>
  <c r="C22252" i="1"/>
  <c r="B22253" i="1"/>
  <c r="C22253" i="1"/>
  <c r="B22254" i="1"/>
  <c r="C22254" i="1"/>
  <c r="B22255" i="1"/>
  <c r="C22255" i="1"/>
  <c r="B22256" i="1"/>
  <c r="C22256" i="1"/>
  <c r="B22257" i="1"/>
  <c r="C22257" i="1"/>
  <c r="B22258" i="1"/>
  <c r="C22258" i="1"/>
  <c r="B22259" i="1"/>
  <c r="C22259" i="1"/>
  <c r="B22260" i="1"/>
  <c r="C22260" i="1"/>
  <c r="B22261" i="1"/>
  <c r="C22261" i="1"/>
  <c r="B22262" i="1"/>
  <c r="C22262" i="1"/>
  <c r="B22263" i="1"/>
  <c r="C22263" i="1"/>
  <c r="B22264" i="1"/>
  <c r="C22264" i="1"/>
  <c r="B22265" i="1"/>
  <c r="C22265" i="1"/>
  <c r="B22266" i="1"/>
  <c r="C22266" i="1"/>
  <c r="B22267" i="1"/>
  <c r="C22267" i="1"/>
  <c r="B22268" i="1"/>
  <c r="C22268" i="1"/>
  <c r="B22269" i="1"/>
  <c r="C22269" i="1"/>
  <c r="B22270" i="1"/>
  <c r="C22270" i="1"/>
  <c r="B22271" i="1"/>
  <c r="C22271" i="1"/>
  <c r="B22272" i="1"/>
  <c r="C22272" i="1"/>
  <c r="B22273" i="1"/>
  <c r="C22273" i="1"/>
  <c r="B22274" i="1"/>
  <c r="C22274" i="1"/>
  <c r="B22275" i="1"/>
  <c r="C22275" i="1"/>
  <c r="B22276" i="1"/>
  <c r="C22276" i="1"/>
  <c r="B22277" i="1"/>
  <c r="C22277" i="1"/>
  <c r="B22278" i="1"/>
  <c r="C22278" i="1"/>
  <c r="B22279" i="1"/>
  <c r="C22279" i="1"/>
  <c r="B22280" i="1"/>
  <c r="C22280" i="1"/>
  <c r="B22281" i="1"/>
  <c r="C22281" i="1"/>
  <c r="B22282" i="1"/>
  <c r="C22282" i="1"/>
  <c r="B22283" i="1"/>
  <c r="C22283" i="1"/>
  <c r="B22284" i="1"/>
  <c r="C22284" i="1"/>
  <c r="B22285" i="1"/>
  <c r="C22285" i="1"/>
  <c r="B22286" i="1"/>
  <c r="C22286" i="1"/>
  <c r="B22287" i="1"/>
  <c r="C22287" i="1"/>
  <c r="B22288" i="1"/>
  <c r="C22288" i="1"/>
  <c r="B22289" i="1"/>
  <c r="C22289" i="1"/>
  <c r="B22290" i="1"/>
  <c r="C22290" i="1"/>
  <c r="B22291" i="1"/>
  <c r="C22291" i="1"/>
  <c r="B22292" i="1"/>
  <c r="C22292" i="1"/>
  <c r="B22293" i="1"/>
  <c r="C22293" i="1"/>
  <c r="B22294" i="1"/>
  <c r="C22294" i="1"/>
  <c r="B22295" i="1"/>
  <c r="C22295" i="1"/>
  <c r="B22296" i="1"/>
  <c r="C22296" i="1"/>
  <c r="B22297" i="1"/>
  <c r="C22297" i="1"/>
  <c r="B22298" i="1"/>
  <c r="C22298" i="1"/>
  <c r="B22299" i="1"/>
  <c r="C22299" i="1"/>
  <c r="B22300" i="1"/>
  <c r="C22300" i="1"/>
  <c r="B22301" i="1"/>
  <c r="C22301" i="1"/>
  <c r="B22302" i="1"/>
  <c r="C22302" i="1"/>
  <c r="B22303" i="1"/>
  <c r="C22303" i="1"/>
  <c r="B22304" i="1"/>
  <c r="C22304" i="1"/>
  <c r="B22305" i="1"/>
  <c r="C22305" i="1"/>
  <c r="B22306" i="1"/>
  <c r="C22306" i="1"/>
  <c r="B22307" i="1"/>
  <c r="C22307" i="1"/>
  <c r="B22308" i="1"/>
  <c r="C22308" i="1"/>
  <c r="B22309" i="1"/>
  <c r="C22309" i="1"/>
  <c r="B22310" i="1"/>
  <c r="C22310" i="1"/>
  <c r="B22311" i="1"/>
  <c r="C22311" i="1"/>
  <c r="B22312" i="1"/>
  <c r="C22312" i="1"/>
  <c r="B22313" i="1"/>
  <c r="C22313" i="1"/>
  <c r="B22314" i="1"/>
  <c r="C22314" i="1"/>
  <c r="B22315" i="1"/>
  <c r="C22315" i="1"/>
  <c r="B22316" i="1"/>
  <c r="C22316" i="1"/>
  <c r="B22317" i="1"/>
  <c r="C22317" i="1"/>
  <c r="B22318" i="1"/>
  <c r="C22318" i="1"/>
  <c r="B22319" i="1"/>
  <c r="C22319" i="1"/>
  <c r="B22320" i="1"/>
  <c r="C22320" i="1"/>
  <c r="B22321" i="1"/>
  <c r="C22321" i="1"/>
  <c r="B22322" i="1"/>
  <c r="C22322" i="1"/>
  <c r="B22323" i="1"/>
  <c r="C22323" i="1"/>
  <c r="B22324" i="1"/>
  <c r="C22324" i="1"/>
  <c r="B22325" i="1"/>
  <c r="C22325" i="1"/>
  <c r="B22326" i="1"/>
  <c r="C22326" i="1"/>
  <c r="B22327" i="1"/>
  <c r="C22327" i="1"/>
  <c r="B22328" i="1"/>
  <c r="C22328" i="1"/>
  <c r="B22329" i="1"/>
  <c r="C22329" i="1"/>
  <c r="B22330" i="1"/>
  <c r="C22330" i="1"/>
  <c r="B22331" i="1"/>
  <c r="C22331" i="1"/>
  <c r="B22332" i="1"/>
  <c r="C22332" i="1"/>
  <c r="B22333" i="1"/>
  <c r="C22333" i="1"/>
  <c r="B22334" i="1"/>
  <c r="C22334" i="1"/>
  <c r="B22335" i="1"/>
  <c r="C22335" i="1"/>
  <c r="B22336" i="1"/>
  <c r="C22336" i="1"/>
  <c r="B22337" i="1"/>
  <c r="C22337" i="1"/>
  <c r="B22338" i="1"/>
  <c r="C22338" i="1"/>
  <c r="B22339" i="1"/>
  <c r="C22339" i="1"/>
  <c r="B22340" i="1"/>
  <c r="C22340" i="1"/>
  <c r="B22341" i="1"/>
  <c r="C22341" i="1"/>
  <c r="B22342" i="1"/>
  <c r="C22342" i="1"/>
  <c r="B22343" i="1"/>
  <c r="C22343" i="1"/>
  <c r="B22344" i="1"/>
  <c r="C22344" i="1"/>
  <c r="B22345" i="1"/>
  <c r="C22345" i="1"/>
  <c r="B22346" i="1"/>
  <c r="C22346" i="1"/>
  <c r="B22347" i="1"/>
  <c r="C22347" i="1"/>
  <c r="B22348" i="1"/>
  <c r="C22348" i="1"/>
  <c r="B22349" i="1"/>
  <c r="C22349" i="1"/>
  <c r="B22350" i="1"/>
  <c r="C22350" i="1"/>
  <c r="B22351" i="1"/>
  <c r="C22351" i="1"/>
  <c r="B22352" i="1"/>
  <c r="C22352" i="1"/>
  <c r="B22353" i="1"/>
  <c r="C22353" i="1"/>
  <c r="B22354" i="1"/>
  <c r="C22354" i="1"/>
  <c r="B22355" i="1"/>
  <c r="C22355" i="1"/>
  <c r="B22356" i="1"/>
  <c r="C22356" i="1"/>
  <c r="B22357" i="1"/>
  <c r="C22357" i="1"/>
  <c r="B22358" i="1"/>
  <c r="C22358" i="1"/>
  <c r="B22359" i="1"/>
  <c r="C22359" i="1"/>
  <c r="B22360" i="1"/>
  <c r="C22360" i="1"/>
  <c r="B22361" i="1"/>
  <c r="C22361" i="1"/>
  <c r="B22362" i="1"/>
  <c r="C22362" i="1"/>
  <c r="B22363" i="1"/>
  <c r="C22363" i="1"/>
  <c r="B22364" i="1"/>
  <c r="C22364" i="1"/>
  <c r="B22365" i="1"/>
  <c r="C22365" i="1"/>
  <c r="B22366" i="1"/>
  <c r="C22366" i="1"/>
  <c r="B22367" i="1"/>
  <c r="C22367" i="1"/>
  <c r="B22368" i="1"/>
  <c r="C22368" i="1"/>
  <c r="B22369" i="1"/>
  <c r="C22369" i="1"/>
  <c r="B22370" i="1"/>
  <c r="C22370" i="1"/>
  <c r="B22371" i="1"/>
  <c r="C22371" i="1"/>
  <c r="B22372" i="1"/>
  <c r="C22372" i="1"/>
  <c r="B22373" i="1"/>
  <c r="C22373" i="1"/>
  <c r="B22374" i="1"/>
  <c r="C22374" i="1"/>
  <c r="B22375" i="1"/>
  <c r="C22375" i="1"/>
  <c r="B22376" i="1"/>
  <c r="C22376" i="1"/>
  <c r="B22377" i="1"/>
  <c r="C22377" i="1"/>
  <c r="B22378" i="1"/>
  <c r="C22378" i="1"/>
  <c r="B22379" i="1"/>
  <c r="C22379" i="1"/>
  <c r="B22380" i="1"/>
  <c r="C22380" i="1"/>
  <c r="B22381" i="1"/>
  <c r="C22381" i="1"/>
  <c r="B22382" i="1"/>
  <c r="C22382" i="1"/>
  <c r="B22383" i="1"/>
  <c r="C22383" i="1"/>
  <c r="B22384" i="1"/>
  <c r="C22384" i="1"/>
  <c r="B22385" i="1"/>
  <c r="C22385" i="1"/>
  <c r="B22386" i="1"/>
  <c r="C22386" i="1"/>
  <c r="B22387" i="1"/>
  <c r="C22387" i="1"/>
  <c r="B22388" i="1"/>
  <c r="C22388" i="1"/>
  <c r="B22389" i="1"/>
  <c r="C22389" i="1"/>
  <c r="B22390" i="1"/>
  <c r="C22390" i="1"/>
  <c r="B22391" i="1"/>
  <c r="C22391" i="1"/>
  <c r="B22392" i="1"/>
  <c r="C22392" i="1"/>
  <c r="B22393" i="1"/>
  <c r="C22393" i="1"/>
  <c r="B22394" i="1"/>
  <c r="C22394" i="1"/>
  <c r="B22395" i="1"/>
  <c r="C22395" i="1"/>
  <c r="B22396" i="1"/>
  <c r="C22396" i="1"/>
  <c r="B22397" i="1"/>
  <c r="C22397" i="1"/>
  <c r="B22398" i="1"/>
  <c r="C22398" i="1"/>
  <c r="B22399" i="1"/>
  <c r="C22399" i="1"/>
  <c r="B22400" i="1"/>
  <c r="C22400" i="1"/>
  <c r="B22401" i="1"/>
  <c r="C22401" i="1"/>
  <c r="B22402" i="1"/>
  <c r="C22402" i="1"/>
  <c r="B22403" i="1"/>
  <c r="C22403" i="1"/>
  <c r="B22404" i="1"/>
  <c r="C22404" i="1"/>
  <c r="B22405" i="1"/>
  <c r="C22405" i="1"/>
  <c r="B22406" i="1"/>
  <c r="C22406" i="1"/>
  <c r="B22407" i="1"/>
  <c r="C22407" i="1"/>
  <c r="B22408" i="1"/>
  <c r="C22408" i="1"/>
  <c r="B22409" i="1"/>
  <c r="C22409" i="1"/>
  <c r="B22410" i="1"/>
  <c r="C22410" i="1"/>
  <c r="B22411" i="1"/>
  <c r="C22411" i="1"/>
  <c r="B22412" i="1"/>
  <c r="C22412" i="1"/>
  <c r="B22413" i="1"/>
  <c r="C22413" i="1"/>
  <c r="B22414" i="1"/>
  <c r="C22414" i="1"/>
  <c r="B22415" i="1"/>
  <c r="C22415" i="1"/>
  <c r="B22416" i="1"/>
  <c r="C22416" i="1"/>
  <c r="B22417" i="1"/>
  <c r="C22417" i="1"/>
  <c r="B22418" i="1"/>
  <c r="C22418" i="1"/>
  <c r="B22419" i="1"/>
  <c r="C22419" i="1"/>
  <c r="B22420" i="1"/>
  <c r="C22420" i="1"/>
  <c r="B22421" i="1"/>
  <c r="C22421" i="1"/>
  <c r="B22422" i="1"/>
  <c r="C22422" i="1"/>
  <c r="B22423" i="1"/>
  <c r="C22423" i="1"/>
  <c r="B22424" i="1"/>
  <c r="C22424" i="1"/>
  <c r="B22425" i="1"/>
  <c r="C22425" i="1"/>
  <c r="B22426" i="1"/>
  <c r="C22426" i="1"/>
  <c r="B22427" i="1"/>
  <c r="C22427" i="1"/>
  <c r="B22428" i="1"/>
  <c r="C22428" i="1"/>
  <c r="B22429" i="1"/>
  <c r="C22429" i="1"/>
  <c r="B22430" i="1"/>
  <c r="C22430" i="1"/>
  <c r="B22431" i="1"/>
  <c r="C22431" i="1"/>
  <c r="B22432" i="1"/>
  <c r="C22432" i="1"/>
  <c r="B22433" i="1"/>
  <c r="C22433" i="1"/>
  <c r="B22434" i="1"/>
  <c r="C22434" i="1"/>
  <c r="B22435" i="1"/>
  <c r="C22435" i="1"/>
  <c r="B22436" i="1"/>
  <c r="C22436" i="1"/>
  <c r="B22437" i="1"/>
  <c r="C22437" i="1"/>
  <c r="B22438" i="1"/>
  <c r="C22438" i="1"/>
  <c r="B22439" i="1"/>
  <c r="C22439" i="1"/>
  <c r="B22440" i="1"/>
  <c r="C22440" i="1"/>
  <c r="B22441" i="1"/>
  <c r="C22441" i="1"/>
  <c r="B22442" i="1"/>
  <c r="C22442" i="1"/>
  <c r="B22443" i="1"/>
  <c r="C22443" i="1"/>
  <c r="B22444" i="1"/>
  <c r="C22444" i="1"/>
  <c r="B22445" i="1"/>
  <c r="C22445" i="1"/>
  <c r="B22446" i="1"/>
  <c r="C22446" i="1"/>
  <c r="B22447" i="1"/>
  <c r="C22447" i="1"/>
  <c r="B22448" i="1"/>
  <c r="C22448" i="1"/>
  <c r="B22449" i="1"/>
  <c r="C22449" i="1"/>
  <c r="B22450" i="1"/>
  <c r="C22450" i="1"/>
  <c r="B22451" i="1"/>
  <c r="C22451" i="1"/>
  <c r="B22452" i="1"/>
  <c r="C22452" i="1"/>
  <c r="B22453" i="1"/>
  <c r="C22453" i="1"/>
  <c r="B22454" i="1"/>
  <c r="C22454" i="1"/>
  <c r="B22455" i="1"/>
  <c r="C22455" i="1"/>
  <c r="B22456" i="1"/>
  <c r="C22456" i="1"/>
  <c r="B22457" i="1"/>
  <c r="C22457" i="1"/>
  <c r="B22458" i="1"/>
  <c r="C22458" i="1"/>
  <c r="B22459" i="1"/>
  <c r="C22459" i="1"/>
  <c r="B22460" i="1"/>
  <c r="C22460" i="1"/>
  <c r="B22461" i="1"/>
  <c r="C22461" i="1"/>
  <c r="B22462" i="1"/>
  <c r="C22462" i="1"/>
  <c r="B22463" i="1"/>
  <c r="C22463" i="1"/>
  <c r="B22464" i="1"/>
  <c r="C22464" i="1"/>
  <c r="B22465" i="1"/>
  <c r="C22465" i="1"/>
  <c r="B22466" i="1"/>
  <c r="C22466" i="1"/>
  <c r="B22467" i="1"/>
  <c r="C22467" i="1"/>
  <c r="B22468" i="1"/>
  <c r="C22468" i="1"/>
  <c r="B22469" i="1"/>
  <c r="C22469" i="1"/>
  <c r="B22470" i="1"/>
  <c r="C22470" i="1"/>
  <c r="B22471" i="1"/>
  <c r="C22471" i="1"/>
  <c r="B22472" i="1"/>
  <c r="C22472" i="1"/>
  <c r="B22473" i="1"/>
  <c r="C22473" i="1"/>
  <c r="B22474" i="1"/>
  <c r="C22474" i="1"/>
  <c r="B22475" i="1"/>
  <c r="C22475" i="1"/>
  <c r="B22476" i="1"/>
  <c r="C22476" i="1"/>
  <c r="B22477" i="1"/>
  <c r="C22477" i="1"/>
  <c r="B22478" i="1"/>
  <c r="C22478" i="1"/>
  <c r="B22479" i="1"/>
  <c r="C22479" i="1"/>
  <c r="B22480" i="1"/>
  <c r="C22480" i="1"/>
  <c r="B22481" i="1"/>
  <c r="C22481" i="1"/>
  <c r="B22482" i="1"/>
  <c r="C22482" i="1"/>
  <c r="B22483" i="1"/>
  <c r="C22483" i="1"/>
  <c r="B22484" i="1"/>
  <c r="C22484" i="1"/>
  <c r="B22485" i="1"/>
  <c r="C22485" i="1"/>
  <c r="B22486" i="1"/>
  <c r="C22486" i="1"/>
  <c r="B22487" i="1"/>
  <c r="C22487" i="1"/>
  <c r="B22488" i="1"/>
  <c r="C22488" i="1"/>
  <c r="B22489" i="1"/>
  <c r="C22489" i="1"/>
  <c r="B22490" i="1"/>
  <c r="C22490" i="1"/>
  <c r="B22491" i="1"/>
  <c r="C22491" i="1"/>
  <c r="B22492" i="1"/>
  <c r="C22492" i="1"/>
  <c r="B22493" i="1"/>
  <c r="C22493" i="1"/>
  <c r="B22494" i="1"/>
  <c r="C22494" i="1"/>
  <c r="B22495" i="1"/>
  <c r="C22495" i="1"/>
  <c r="B22496" i="1"/>
  <c r="C22496" i="1"/>
  <c r="B22497" i="1"/>
  <c r="C22497" i="1"/>
  <c r="B22498" i="1"/>
  <c r="C22498" i="1"/>
  <c r="B22499" i="1"/>
  <c r="C22499" i="1"/>
  <c r="B22500" i="1"/>
  <c r="C22500" i="1"/>
  <c r="B22501" i="1"/>
  <c r="C22501" i="1"/>
  <c r="B22502" i="1"/>
  <c r="C22502" i="1"/>
  <c r="B22503" i="1"/>
  <c r="C22503" i="1"/>
  <c r="B22504" i="1"/>
  <c r="C22504" i="1"/>
  <c r="B22505" i="1"/>
  <c r="C22505" i="1"/>
  <c r="B22506" i="1"/>
  <c r="C22506" i="1"/>
  <c r="B22507" i="1"/>
  <c r="C22507" i="1"/>
  <c r="B22508" i="1"/>
  <c r="C22508" i="1"/>
  <c r="B22509" i="1"/>
  <c r="C22509" i="1"/>
  <c r="B22510" i="1"/>
  <c r="C22510" i="1"/>
  <c r="B22511" i="1"/>
  <c r="C22511" i="1"/>
  <c r="B22512" i="1"/>
  <c r="C22512" i="1"/>
  <c r="B22513" i="1"/>
  <c r="C22513" i="1"/>
  <c r="B22514" i="1"/>
  <c r="C22514" i="1"/>
  <c r="B22515" i="1"/>
  <c r="C22515" i="1"/>
  <c r="B22516" i="1"/>
  <c r="C22516" i="1"/>
  <c r="B22517" i="1"/>
  <c r="C22517" i="1"/>
  <c r="B22518" i="1"/>
  <c r="C22518" i="1"/>
  <c r="B22519" i="1"/>
  <c r="C22519" i="1"/>
  <c r="B22520" i="1"/>
  <c r="C22520" i="1"/>
  <c r="B22521" i="1"/>
  <c r="C22521" i="1"/>
  <c r="B22522" i="1"/>
  <c r="C22522" i="1"/>
  <c r="B22523" i="1"/>
  <c r="C22523" i="1"/>
  <c r="B22524" i="1"/>
  <c r="C22524" i="1"/>
  <c r="B22525" i="1"/>
  <c r="C22525" i="1"/>
  <c r="B22526" i="1"/>
  <c r="C22526" i="1"/>
  <c r="B22527" i="1"/>
  <c r="C22527" i="1"/>
  <c r="B22528" i="1"/>
  <c r="C22528" i="1"/>
  <c r="B22529" i="1"/>
  <c r="C22529" i="1"/>
  <c r="B22530" i="1"/>
  <c r="C22530" i="1"/>
  <c r="B22531" i="1"/>
  <c r="C22531" i="1"/>
  <c r="B22532" i="1"/>
  <c r="C22532" i="1"/>
  <c r="B22533" i="1"/>
  <c r="C22533" i="1"/>
  <c r="B22534" i="1"/>
  <c r="C22534" i="1"/>
  <c r="B22535" i="1"/>
  <c r="C22535" i="1"/>
  <c r="B22536" i="1"/>
  <c r="C22536" i="1"/>
  <c r="B22537" i="1"/>
  <c r="C22537" i="1"/>
  <c r="B22538" i="1"/>
  <c r="C22538" i="1"/>
  <c r="B22539" i="1"/>
  <c r="C22539" i="1"/>
  <c r="B22540" i="1"/>
  <c r="C22540" i="1"/>
  <c r="B22541" i="1"/>
  <c r="C22541" i="1"/>
  <c r="B22542" i="1"/>
  <c r="C22542" i="1"/>
  <c r="B22543" i="1"/>
  <c r="C22543" i="1"/>
  <c r="B22544" i="1"/>
  <c r="C22544" i="1"/>
  <c r="B22545" i="1"/>
  <c r="C22545" i="1"/>
  <c r="B22546" i="1"/>
  <c r="C22546" i="1"/>
  <c r="B22547" i="1"/>
  <c r="C22547" i="1"/>
  <c r="B22548" i="1"/>
  <c r="C22548" i="1"/>
  <c r="B22549" i="1"/>
  <c r="C22549" i="1"/>
  <c r="B22550" i="1"/>
  <c r="C22550" i="1"/>
  <c r="B22551" i="1"/>
  <c r="C22551" i="1"/>
  <c r="B22552" i="1"/>
  <c r="C22552" i="1"/>
  <c r="B22553" i="1"/>
  <c r="C22553" i="1"/>
  <c r="B22554" i="1"/>
  <c r="C22554" i="1"/>
  <c r="B22555" i="1"/>
  <c r="C22555" i="1"/>
  <c r="B22556" i="1"/>
  <c r="C22556" i="1"/>
  <c r="B22557" i="1"/>
  <c r="C22557" i="1"/>
  <c r="B22558" i="1"/>
  <c r="C22558" i="1"/>
  <c r="B22559" i="1"/>
  <c r="C22559" i="1"/>
  <c r="B22560" i="1"/>
  <c r="C22560" i="1"/>
  <c r="B22561" i="1"/>
  <c r="C22561" i="1"/>
  <c r="B22562" i="1"/>
  <c r="C22562" i="1"/>
  <c r="B22563" i="1"/>
  <c r="C22563" i="1"/>
  <c r="B22564" i="1"/>
  <c r="C22564" i="1"/>
  <c r="B22565" i="1"/>
  <c r="C22565" i="1"/>
  <c r="B22566" i="1"/>
  <c r="C22566" i="1"/>
  <c r="B22567" i="1"/>
  <c r="C22567" i="1"/>
  <c r="B22568" i="1"/>
  <c r="C22568" i="1"/>
  <c r="B22569" i="1"/>
  <c r="C22569" i="1"/>
  <c r="B22570" i="1"/>
  <c r="C22570" i="1"/>
  <c r="B22571" i="1"/>
  <c r="C22571" i="1"/>
  <c r="B22572" i="1"/>
  <c r="C22572" i="1"/>
  <c r="B22573" i="1"/>
  <c r="C22573" i="1"/>
  <c r="B22574" i="1"/>
  <c r="C22574" i="1"/>
  <c r="B22575" i="1"/>
  <c r="C22575" i="1"/>
  <c r="B22576" i="1"/>
  <c r="C22576" i="1"/>
  <c r="B22577" i="1"/>
  <c r="C22577" i="1"/>
  <c r="B22578" i="1"/>
  <c r="C22578" i="1"/>
  <c r="B22579" i="1"/>
  <c r="C22579" i="1"/>
  <c r="B22580" i="1"/>
  <c r="C22580" i="1"/>
  <c r="B22581" i="1"/>
  <c r="C22581" i="1"/>
  <c r="B22582" i="1"/>
  <c r="C22582" i="1"/>
  <c r="B22583" i="1"/>
  <c r="C22583" i="1"/>
  <c r="B22584" i="1"/>
  <c r="C22584" i="1"/>
  <c r="B22585" i="1"/>
  <c r="C22585" i="1"/>
  <c r="B22586" i="1"/>
  <c r="C22586" i="1"/>
  <c r="B22587" i="1"/>
  <c r="C22587" i="1"/>
  <c r="B22588" i="1"/>
  <c r="C22588" i="1"/>
  <c r="B22589" i="1"/>
  <c r="C22589" i="1"/>
  <c r="B22590" i="1"/>
  <c r="C22590" i="1"/>
  <c r="B22591" i="1"/>
  <c r="C22591" i="1"/>
  <c r="B22592" i="1"/>
  <c r="C22592" i="1"/>
  <c r="B22593" i="1"/>
  <c r="C22593" i="1"/>
  <c r="B22594" i="1"/>
  <c r="C22594" i="1"/>
  <c r="B22595" i="1"/>
  <c r="C22595" i="1"/>
  <c r="B22596" i="1"/>
  <c r="C22596" i="1"/>
  <c r="B22597" i="1"/>
  <c r="C22597" i="1"/>
  <c r="B22598" i="1"/>
  <c r="C22598" i="1"/>
  <c r="B22599" i="1"/>
  <c r="C22599" i="1"/>
  <c r="B22600" i="1"/>
  <c r="C22600" i="1"/>
  <c r="B22601" i="1"/>
  <c r="C22601" i="1"/>
  <c r="B22602" i="1"/>
  <c r="C22602" i="1"/>
  <c r="B22603" i="1"/>
  <c r="C22603" i="1"/>
  <c r="B22604" i="1"/>
  <c r="C22604" i="1"/>
  <c r="B22605" i="1"/>
  <c r="C22605" i="1"/>
  <c r="B22606" i="1"/>
  <c r="C22606" i="1"/>
  <c r="B22607" i="1"/>
  <c r="C22607" i="1"/>
  <c r="B22608" i="1"/>
  <c r="C22608" i="1"/>
  <c r="B22609" i="1"/>
  <c r="C22609" i="1"/>
  <c r="B22610" i="1"/>
  <c r="C22610" i="1"/>
  <c r="B22611" i="1"/>
  <c r="C22611" i="1"/>
  <c r="B22612" i="1"/>
  <c r="C22612" i="1"/>
  <c r="B22613" i="1"/>
  <c r="C22613" i="1"/>
  <c r="B22614" i="1"/>
  <c r="C22614" i="1"/>
  <c r="B22615" i="1"/>
  <c r="C22615" i="1"/>
  <c r="B22616" i="1"/>
  <c r="C22616" i="1"/>
  <c r="B22617" i="1"/>
  <c r="C22617" i="1"/>
  <c r="B22618" i="1"/>
  <c r="C22618" i="1"/>
  <c r="B22619" i="1"/>
  <c r="C22619" i="1"/>
  <c r="B22620" i="1"/>
  <c r="C22620" i="1"/>
  <c r="B22621" i="1"/>
  <c r="C22621" i="1"/>
  <c r="B22622" i="1"/>
  <c r="C22622" i="1"/>
  <c r="B22623" i="1"/>
  <c r="C22623" i="1"/>
  <c r="B22624" i="1"/>
  <c r="C22624" i="1"/>
  <c r="B22625" i="1"/>
  <c r="C22625" i="1"/>
  <c r="B22626" i="1"/>
  <c r="C22626" i="1"/>
  <c r="B22627" i="1"/>
  <c r="C22627" i="1"/>
  <c r="B22628" i="1"/>
  <c r="C22628" i="1"/>
  <c r="B22629" i="1"/>
  <c r="C22629" i="1"/>
  <c r="B22630" i="1"/>
  <c r="C22630" i="1"/>
  <c r="B22631" i="1"/>
  <c r="C22631" i="1"/>
  <c r="B22632" i="1"/>
  <c r="C22632" i="1"/>
  <c r="B22633" i="1"/>
  <c r="C22633" i="1"/>
  <c r="B22634" i="1"/>
  <c r="C22634" i="1"/>
  <c r="B22635" i="1"/>
  <c r="C22635" i="1"/>
  <c r="B22636" i="1"/>
  <c r="C22636" i="1"/>
  <c r="B22637" i="1"/>
  <c r="C22637" i="1"/>
  <c r="B22638" i="1"/>
  <c r="C22638" i="1"/>
  <c r="B22639" i="1"/>
  <c r="C22639" i="1"/>
  <c r="B22640" i="1"/>
  <c r="C22640" i="1"/>
  <c r="B22641" i="1"/>
  <c r="C22641" i="1"/>
  <c r="B22642" i="1"/>
  <c r="C22642" i="1"/>
  <c r="B22643" i="1"/>
  <c r="C22643" i="1"/>
  <c r="B22644" i="1"/>
  <c r="C22644" i="1"/>
  <c r="B22645" i="1"/>
  <c r="C22645" i="1"/>
  <c r="B22646" i="1"/>
  <c r="C22646" i="1"/>
  <c r="B22647" i="1"/>
  <c r="C22647" i="1"/>
  <c r="B22648" i="1"/>
  <c r="C22648" i="1"/>
  <c r="B22649" i="1"/>
  <c r="C22649" i="1"/>
  <c r="B22650" i="1"/>
  <c r="C22650" i="1"/>
  <c r="B22651" i="1"/>
  <c r="C22651" i="1"/>
  <c r="B22652" i="1"/>
  <c r="C22652" i="1"/>
  <c r="B22653" i="1"/>
  <c r="C22653" i="1"/>
  <c r="B22654" i="1"/>
  <c r="C22654" i="1"/>
  <c r="B22655" i="1"/>
  <c r="C22655" i="1"/>
  <c r="B22656" i="1"/>
  <c r="C22656" i="1"/>
  <c r="B22657" i="1"/>
  <c r="C22657" i="1"/>
  <c r="B22658" i="1"/>
  <c r="C22658" i="1"/>
  <c r="B22659" i="1"/>
  <c r="C22659" i="1"/>
  <c r="B22660" i="1"/>
  <c r="C22660" i="1"/>
  <c r="B22661" i="1"/>
  <c r="C22661" i="1"/>
  <c r="B22662" i="1"/>
  <c r="C22662" i="1"/>
  <c r="B22663" i="1"/>
  <c r="C22663" i="1"/>
  <c r="B22664" i="1"/>
  <c r="C22664" i="1"/>
  <c r="B22665" i="1"/>
  <c r="C22665" i="1"/>
  <c r="B22666" i="1"/>
  <c r="C22666" i="1"/>
  <c r="B22667" i="1"/>
  <c r="C22667" i="1"/>
  <c r="B22668" i="1"/>
  <c r="C22668" i="1"/>
  <c r="B22669" i="1"/>
  <c r="C22669" i="1"/>
  <c r="B22670" i="1"/>
  <c r="C22670" i="1"/>
  <c r="B22671" i="1"/>
  <c r="C22671" i="1"/>
  <c r="B22672" i="1"/>
  <c r="C22672" i="1"/>
  <c r="B22673" i="1"/>
  <c r="C22673" i="1"/>
  <c r="B22674" i="1"/>
  <c r="C22674" i="1"/>
  <c r="B22675" i="1"/>
  <c r="C22675" i="1"/>
  <c r="B22676" i="1"/>
  <c r="C22676" i="1"/>
  <c r="B22677" i="1"/>
  <c r="C22677" i="1"/>
  <c r="B22678" i="1"/>
  <c r="C22678" i="1"/>
  <c r="B22679" i="1"/>
  <c r="C22679" i="1"/>
  <c r="B22680" i="1"/>
  <c r="C22680" i="1"/>
  <c r="B22681" i="1"/>
  <c r="C22681" i="1"/>
  <c r="B22682" i="1"/>
  <c r="C22682" i="1"/>
  <c r="B22683" i="1"/>
  <c r="C22683" i="1"/>
  <c r="B22684" i="1"/>
  <c r="C22684" i="1"/>
  <c r="B22685" i="1"/>
  <c r="C22685" i="1"/>
  <c r="B22686" i="1"/>
  <c r="C22686" i="1"/>
  <c r="B22687" i="1"/>
  <c r="C22687" i="1"/>
  <c r="B22688" i="1"/>
  <c r="C22688" i="1"/>
  <c r="B22689" i="1"/>
  <c r="C22689" i="1"/>
  <c r="B22690" i="1"/>
  <c r="C22690" i="1"/>
  <c r="B22691" i="1"/>
  <c r="C22691" i="1"/>
  <c r="B22692" i="1"/>
  <c r="C22692" i="1"/>
  <c r="B22693" i="1"/>
  <c r="C22693" i="1"/>
  <c r="B22694" i="1"/>
  <c r="C22694" i="1"/>
  <c r="B22695" i="1"/>
  <c r="C22695" i="1"/>
  <c r="B22696" i="1"/>
  <c r="C22696" i="1"/>
  <c r="B22697" i="1"/>
  <c r="C22697" i="1"/>
  <c r="B22698" i="1"/>
  <c r="C22698" i="1"/>
  <c r="B22699" i="1"/>
  <c r="C22699" i="1"/>
  <c r="B22700" i="1"/>
  <c r="C22700" i="1"/>
  <c r="B22701" i="1"/>
  <c r="C22701" i="1"/>
  <c r="B22702" i="1"/>
  <c r="C22702" i="1"/>
  <c r="B22703" i="1"/>
  <c r="C22703" i="1"/>
  <c r="B22704" i="1"/>
  <c r="C22704" i="1"/>
  <c r="B22705" i="1"/>
  <c r="C22705" i="1"/>
  <c r="B22706" i="1"/>
  <c r="C22706" i="1"/>
  <c r="B22707" i="1"/>
  <c r="C22707" i="1"/>
  <c r="B22708" i="1"/>
  <c r="C22708" i="1"/>
  <c r="B22709" i="1"/>
  <c r="C22709" i="1"/>
  <c r="B22710" i="1"/>
  <c r="C22710" i="1"/>
  <c r="B22711" i="1"/>
  <c r="C22711" i="1"/>
  <c r="B22712" i="1"/>
  <c r="C22712" i="1"/>
  <c r="B22713" i="1"/>
  <c r="C22713" i="1"/>
  <c r="B22714" i="1"/>
  <c r="C22714" i="1"/>
  <c r="B22715" i="1"/>
  <c r="C22715" i="1"/>
  <c r="B22716" i="1"/>
  <c r="C22716" i="1"/>
  <c r="B22717" i="1"/>
  <c r="C22717" i="1"/>
  <c r="B22718" i="1"/>
  <c r="C22718" i="1"/>
  <c r="B22719" i="1"/>
  <c r="C22719" i="1"/>
  <c r="B22720" i="1"/>
  <c r="C22720" i="1"/>
  <c r="B22721" i="1"/>
  <c r="C22721" i="1"/>
  <c r="B22722" i="1"/>
  <c r="C22722" i="1"/>
  <c r="B22723" i="1"/>
  <c r="C22723" i="1"/>
  <c r="B22724" i="1"/>
  <c r="C22724" i="1"/>
  <c r="B22725" i="1"/>
  <c r="C22725" i="1"/>
  <c r="B22726" i="1"/>
  <c r="C22726" i="1"/>
  <c r="B22727" i="1"/>
  <c r="C22727" i="1"/>
  <c r="B22728" i="1"/>
  <c r="C22728" i="1"/>
  <c r="B22729" i="1"/>
  <c r="C22729" i="1"/>
  <c r="B22730" i="1"/>
  <c r="C22730" i="1"/>
  <c r="B22731" i="1"/>
  <c r="C22731" i="1"/>
  <c r="B22732" i="1"/>
  <c r="C22732" i="1"/>
  <c r="B22733" i="1"/>
  <c r="C22733" i="1"/>
  <c r="B22734" i="1"/>
  <c r="C22734" i="1"/>
  <c r="B22735" i="1"/>
  <c r="C22735" i="1"/>
  <c r="B22736" i="1"/>
  <c r="C22736" i="1"/>
  <c r="B22737" i="1"/>
  <c r="C22737" i="1"/>
  <c r="B22738" i="1"/>
  <c r="C22738" i="1"/>
  <c r="B22739" i="1"/>
  <c r="C22739" i="1"/>
  <c r="B22740" i="1"/>
  <c r="C22740" i="1"/>
  <c r="B22741" i="1"/>
  <c r="C22741" i="1"/>
  <c r="B22742" i="1"/>
  <c r="C22742" i="1"/>
  <c r="B22743" i="1"/>
  <c r="C22743" i="1"/>
  <c r="B22744" i="1"/>
  <c r="C22744" i="1"/>
  <c r="B22745" i="1"/>
  <c r="C22745" i="1"/>
  <c r="B22746" i="1"/>
  <c r="C22746" i="1"/>
  <c r="B22747" i="1"/>
  <c r="C22747" i="1"/>
  <c r="B22748" i="1"/>
  <c r="C22748" i="1"/>
  <c r="B22749" i="1"/>
  <c r="C22749" i="1"/>
  <c r="B22750" i="1"/>
  <c r="C22750" i="1"/>
  <c r="B22751" i="1"/>
  <c r="C22751" i="1"/>
  <c r="B22752" i="1"/>
  <c r="C22752" i="1"/>
  <c r="B22753" i="1"/>
  <c r="C22753" i="1"/>
  <c r="B22754" i="1"/>
  <c r="C22754" i="1"/>
  <c r="B22755" i="1"/>
  <c r="C22755" i="1"/>
  <c r="B22756" i="1"/>
  <c r="C22756" i="1"/>
  <c r="B22757" i="1"/>
  <c r="C22757" i="1"/>
  <c r="B22758" i="1"/>
  <c r="C22758" i="1"/>
  <c r="B22759" i="1"/>
  <c r="C22759" i="1"/>
  <c r="B22760" i="1"/>
  <c r="C22760" i="1"/>
  <c r="B22761" i="1"/>
  <c r="C22761" i="1"/>
  <c r="B22762" i="1"/>
  <c r="C22762" i="1"/>
  <c r="B22763" i="1"/>
  <c r="C22763" i="1"/>
  <c r="B22764" i="1"/>
  <c r="C22764" i="1"/>
  <c r="B22765" i="1"/>
  <c r="C22765" i="1"/>
  <c r="B22766" i="1"/>
  <c r="C22766" i="1"/>
  <c r="B22767" i="1"/>
  <c r="C22767" i="1"/>
  <c r="B22768" i="1"/>
  <c r="C22768" i="1"/>
  <c r="B22769" i="1"/>
  <c r="C22769" i="1"/>
  <c r="B22770" i="1"/>
  <c r="C22770" i="1"/>
  <c r="B22771" i="1"/>
  <c r="C22771" i="1"/>
  <c r="B22772" i="1"/>
  <c r="C22772" i="1"/>
  <c r="B22773" i="1"/>
  <c r="C22773" i="1"/>
  <c r="B22774" i="1"/>
  <c r="C22774" i="1"/>
  <c r="B22775" i="1"/>
  <c r="C22775" i="1"/>
  <c r="B22776" i="1"/>
  <c r="C22776" i="1"/>
  <c r="B22777" i="1"/>
  <c r="C22777" i="1"/>
  <c r="B22778" i="1"/>
  <c r="C22778" i="1"/>
  <c r="B22779" i="1"/>
  <c r="C22779" i="1"/>
  <c r="B22780" i="1"/>
  <c r="C22780" i="1"/>
  <c r="B22781" i="1"/>
  <c r="C22781" i="1"/>
  <c r="B22782" i="1"/>
  <c r="C22782" i="1"/>
  <c r="B22783" i="1"/>
  <c r="C22783" i="1"/>
  <c r="B22784" i="1"/>
  <c r="C22784" i="1"/>
  <c r="B22785" i="1"/>
  <c r="C22785" i="1"/>
  <c r="B22786" i="1"/>
  <c r="C22786" i="1"/>
  <c r="B22787" i="1"/>
  <c r="C22787" i="1"/>
  <c r="B22788" i="1"/>
  <c r="C22788" i="1"/>
  <c r="B22789" i="1"/>
  <c r="C22789" i="1"/>
  <c r="B22790" i="1"/>
  <c r="C22790" i="1"/>
  <c r="B22791" i="1"/>
  <c r="C22791" i="1"/>
  <c r="B22792" i="1"/>
  <c r="C22792" i="1"/>
  <c r="B22793" i="1"/>
  <c r="C22793" i="1"/>
  <c r="B22794" i="1"/>
  <c r="C22794" i="1"/>
  <c r="B22795" i="1"/>
  <c r="C22795" i="1"/>
  <c r="B22796" i="1"/>
  <c r="C22796" i="1"/>
  <c r="B22797" i="1"/>
  <c r="C22797" i="1"/>
  <c r="B22798" i="1"/>
  <c r="C22798" i="1"/>
  <c r="B22799" i="1"/>
  <c r="C22799" i="1"/>
  <c r="B22800" i="1"/>
  <c r="C22800" i="1"/>
  <c r="B22801" i="1"/>
  <c r="C22801" i="1"/>
  <c r="B22802" i="1"/>
  <c r="C22802" i="1"/>
  <c r="B22803" i="1"/>
  <c r="C22803" i="1"/>
  <c r="B22804" i="1"/>
  <c r="C22804" i="1"/>
  <c r="B22805" i="1"/>
  <c r="C22805" i="1"/>
  <c r="B22806" i="1"/>
  <c r="C22806" i="1"/>
  <c r="B22807" i="1"/>
  <c r="C22807" i="1"/>
  <c r="B22808" i="1"/>
  <c r="C22808" i="1"/>
  <c r="B22809" i="1"/>
  <c r="C22809" i="1"/>
  <c r="B22810" i="1"/>
  <c r="C22810" i="1"/>
  <c r="B22811" i="1"/>
  <c r="C22811" i="1"/>
  <c r="B22812" i="1"/>
  <c r="C22812" i="1"/>
  <c r="B22813" i="1"/>
  <c r="C22813" i="1"/>
  <c r="B22814" i="1"/>
  <c r="C22814" i="1"/>
  <c r="B22815" i="1"/>
  <c r="C22815" i="1"/>
  <c r="B22816" i="1"/>
  <c r="C22816" i="1"/>
  <c r="B22817" i="1"/>
  <c r="C22817" i="1"/>
  <c r="B22818" i="1"/>
  <c r="C22818" i="1"/>
  <c r="B22819" i="1"/>
  <c r="C22819" i="1"/>
  <c r="B22820" i="1"/>
  <c r="C22820" i="1"/>
  <c r="B22821" i="1"/>
  <c r="C22821" i="1"/>
  <c r="B22822" i="1"/>
  <c r="C22822" i="1"/>
  <c r="B22823" i="1"/>
  <c r="C22823" i="1"/>
  <c r="B22824" i="1"/>
  <c r="C22824" i="1"/>
  <c r="B22825" i="1"/>
  <c r="C22825" i="1"/>
  <c r="B22826" i="1"/>
  <c r="C22826" i="1"/>
  <c r="B22827" i="1"/>
  <c r="C22827" i="1"/>
  <c r="B22828" i="1"/>
  <c r="C22828" i="1"/>
  <c r="B22829" i="1"/>
  <c r="C22829" i="1"/>
  <c r="B22830" i="1"/>
  <c r="C22830" i="1"/>
  <c r="B22831" i="1"/>
  <c r="C22831" i="1"/>
  <c r="B22832" i="1"/>
  <c r="C22832" i="1"/>
  <c r="B22833" i="1"/>
  <c r="C22833" i="1"/>
  <c r="B22834" i="1"/>
  <c r="C22834" i="1"/>
  <c r="B22835" i="1"/>
  <c r="C22835" i="1"/>
  <c r="B22836" i="1"/>
  <c r="C22836" i="1"/>
  <c r="B22837" i="1"/>
  <c r="C22837" i="1"/>
  <c r="B22838" i="1"/>
  <c r="C22838" i="1"/>
  <c r="B22839" i="1"/>
  <c r="C22839" i="1"/>
  <c r="B22840" i="1"/>
  <c r="C22840" i="1"/>
  <c r="B22841" i="1"/>
  <c r="C22841" i="1"/>
  <c r="B22842" i="1"/>
  <c r="C22842" i="1"/>
  <c r="B22843" i="1"/>
  <c r="C22843" i="1"/>
  <c r="B22844" i="1"/>
  <c r="C22844" i="1"/>
  <c r="B22845" i="1"/>
  <c r="C22845" i="1"/>
  <c r="B22846" i="1"/>
  <c r="C22846" i="1"/>
  <c r="B22847" i="1"/>
  <c r="C22847" i="1"/>
  <c r="B22848" i="1"/>
  <c r="C22848" i="1"/>
  <c r="B22849" i="1"/>
  <c r="C22849" i="1"/>
  <c r="B22850" i="1"/>
  <c r="C22850" i="1"/>
  <c r="B22851" i="1"/>
  <c r="C22851" i="1"/>
  <c r="B22852" i="1"/>
  <c r="C22852" i="1"/>
  <c r="B22853" i="1"/>
  <c r="C22853" i="1"/>
  <c r="B22854" i="1"/>
  <c r="C22854" i="1"/>
  <c r="B22855" i="1"/>
  <c r="C22855" i="1"/>
  <c r="B22856" i="1"/>
  <c r="C22856" i="1"/>
  <c r="B22857" i="1"/>
  <c r="C22857" i="1"/>
  <c r="B22858" i="1"/>
  <c r="C22858" i="1"/>
  <c r="B22859" i="1"/>
  <c r="C22859" i="1"/>
  <c r="B22860" i="1"/>
  <c r="C22860" i="1"/>
  <c r="B22861" i="1"/>
  <c r="C22861" i="1"/>
  <c r="B22862" i="1"/>
  <c r="C22862" i="1"/>
  <c r="B22863" i="1"/>
  <c r="C22863" i="1"/>
  <c r="B22864" i="1"/>
  <c r="C22864" i="1"/>
  <c r="B22865" i="1"/>
  <c r="C22865" i="1"/>
  <c r="B22866" i="1"/>
  <c r="C22866" i="1"/>
  <c r="B22867" i="1"/>
  <c r="C22867" i="1"/>
  <c r="B22868" i="1"/>
  <c r="C22868" i="1"/>
  <c r="B22869" i="1"/>
  <c r="C22869" i="1"/>
  <c r="B22870" i="1"/>
  <c r="C22870" i="1"/>
  <c r="B22871" i="1"/>
  <c r="C22871" i="1"/>
  <c r="B22872" i="1"/>
  <c r="C22872" i="1"/>
  <c r="B22873" i="1"/>
  <c r="C22873" i="1"/>
  <c r="B22874" i="1"/>
  <c r="C22874" i="1"/>
  <c r="B22875" i="1"/>
  <c r="C22875" i="1"/>
  <c r="B22876" i="1"/>
  <c r="C22876" i="1"/>
  <c r="B22877" i="1"/>
  <c r="C22877" i="1"/>
  <c r="B22878" i="1"/>
  <c r="C22878" i="1"/>
  <c r="B22879" i="1"/>
  <c r="C22879" i="1"/>
  <c r="B22880" i="1"/>
  <c r="C22880" i="1"/>
  <c r="B22881" i="1"/>
  <c r="C22881" i="1"/>
  <c r="B22882" i="1"/>
  <c r="C22882" i="1"/>
  <c r="B22883" i="1"/>
  <c r="C22883" i="1"/>
  <c r="B22884" i="1"/>
  <c r="C22884" i="1"/>
  <c r="B22885" i="1"/>
  <c r="C22885" i="1"/>
  <c r="B22886" i="1"/>
  <c r="C22886" i="1"/>
  <c r="B22887" i="1"/>
  <c r="C22887" i="1"/>
  <c r="B22888" i="1"/>
  <c r="C22888" i="1"/>
  <c r="B22889" i="1"/>
  <c r="C22889" i="1"/>
  <c r="B22890" i="1"/>
  <c r="C22890" i="1"/>
  <c r="B22891" i="1"/>
  <c r="C22891" i="1"/>
  <c r="B22892" i="1"/>
  <c r="C22892" i="1"/>
  <c r="B22893" i="1"/>
  <c r="C22893" i="1"/>
  <c r="B22894" i="1"/>
  <c r="C22894" i="1"/>
  <c r="B22895" i="1"/>
  <c r="C22895" i="1"/>
  <c r="B22896" i="1"/>
  <c r="C22896" i="1"/>
  <c r="B22897" i="1"/>
  <c r="C22897" i="1"/>
  <c r="B22898" i="1"/>
  <c r="C22898" i="1"/>
  <c r="B22899" i="1"/>
  <c r="C22899" i="1"/>
  <c r="B22900" i="1"/>
  <c r="C22900" i="1"/>
  <c r="B22901" i="1"/>
  <c r="C22901" i="1"/>
  <c r="B22902" i="1"/>
  <c r="C22902" i="1"/>
  <c r="B22903" i="1"/>
  <c r="C22903" i="1"/>
  <c r="B22904" i="1"/>
  <c r="C22904" i="1"/>
  <c r="B22905" i="1"/>
  <c r="C22905" i="1"/>
  <c r="B22906" i="1"/>
  <c r="C22906" i="1"/>
  <c r="B22907" i="1"/>
  <c r="C22907" i="1"/>
  <c r="B22908" i="1"/>
  <c r="C22908" i="1"/>
  <c r="B22909" i="1"/>
  <c r="C22909" i="1"/>
  <c r="B22910" i="1"/>
  <c r="C22910" i="1"/>
  <c r="B22911" i="1"/>
  <c r="C22911" i="1"/>
  <c r="B22912" i="1"/>
  <c r="C22912" i="1"/>
  <c r="B22913" i="1"/>
  <c r="C22913" i="1"/>
  <c r="B22914" i="1"/>
  <c r="C22914" i="1"/>
  <c r="B22915" i="1"/>
  <c r="C22915" i="1"/>
  <c r="B22916" i="1"/>
  <c r="C22916" i="1"/>
  <c r="B22917" i="1"/>
  <c r="C22917" i="1"/>
  <c r="B22918" i="1"/>
  <c r="C22918" i="1"/>
  <c r="B22919" i="1"/>
  <c r="C22919" i="1"/>
  <c r="B22920" i="1"/>
  <c r="C22920" i="1"/>
  <c r="B22921" i="1"/>
  <c r="C22921" i="1"/>
  <c r="B22922" i="1"/>
  <c r="C22922" i="1"/>
  <c r="B22923" i="1"/>
  <c r="C22923" i="1"/>
  <c r="B22924" i="1"/>
  <c r="C22924" i="1"/>
  <c r="B22925" i="1"/>
  <c r="C22925" i="1"/>
  <c r="B22926" i="1"/>
  <c r="C22926" i="1"/>
  <c r="B22927" i="1"/>
  <c r="C22927" i="1"/>
  <c r="B22928" i="1"/>
  <c r="C22928" i="1"/>
  <c r="B22929" i="1"/>
  <c r="C22929" i="1"/>
  <c r="B22930" i="1"/>
  <c r="C22930" i="1"/>
  <c r="B22931" i="1"/>
  <c r="C22931" i="1"/>
  <c r="B22932" i="1"/>
  <c r="C22932" i="1"/>
  <c r="B22933" i="1"/>
  <c r="C22933" i="1"/>
  <c r="B22934" i="1"/>
  <c r="C22934" i="1"/>
  <c r="B22935" i="1"/>
  <c r="C22935" i="1"/>
  <c r="B22936" i="1"/>
  <c r="C22936" i="1"/>
  <c r="B22937" i="1"/>
  <c r="C22937" i="1"/>
  <c r="B22938" i="1"/>
  <c r="C22938" i="1"/>
  <c r="B22939" i="1"/>
  <c r="C22939" i="1"/>
  <c r="B22940" i="1"/>
  <c r="C22940" i="1"/>
  <c r="B22941" i="1"/>
  <c r="C22941" i="1"/>
  <c r="B22942" i="1"/>
  <c r="C22942" i="1"/>
  <c r="B22943" i="1"/>
  <c r="C22943" i="1"/>
  <c r="B22944" i="1"/>
  <c r="C22944" i="1"/>
  <c r="B22945" i="1"/>
  <c r="C22945" i="1"/>
  <c r="B22946" i="1"/>
  <c r="C22946" i="1"/>
  <c r="B22947" i="1"/>
  <c r="C22947" i="1"/>
  <c r="B22948" i="1"/>
  <c r="C22948" i="1"/>
  <c r="B22949" i="1"/>
  <c r="C22949" i="1"/>
  <c r="B22950" i="1"/>
  <c r="C22950" i="1"/>
  <c r="B22951" i="1"/>
  <c r="C22951" i="1"/>
  <c r="B22952" i="1"/>
  <c r="C22952" i="1"/>
  <c r="B22953" i="1"/>
  <c r="C22953" i="1"/>
  <c r="B22954" i="1"/>
  <c r="C22954" i="1"/>
  <c r="B22955" i="1"/>
  <c r="C22955" i="1"/>
  <c r="B22956" i="1"/>
  <c r="C22956" i="1"/>
  <c r="B22957" i="1"/>
  <c r="C22957" i="1"/>
  <c r="B22958" i="1"/>
  <c r="C22958" i="1"/>
  <c r="B22959" i="1"/>
  <c r="C22959" i="1"/>
  <c r="B22960" i="1"/>
  <c r="C22960" i="1"/>
  <c r="B22961" i="1"/>
  <c r="C22961" i="1"/>
  <c r="B22962" i="1"/>
  <c r="C22962" i="1"/>
  <c r="B22963" i="1"/>
  <c r="C22963" i="1"/>
  <c r="B22964" i="1"/>
  <c r="C22964" i="1"/>
  <c r="B22965" i="1"/>
  <c r="C22965" i="1"/>
  <c r="B22966" i="1"/>
  <c r="C22966" i="1"/>
  <c r="B22967" i="1"/>
  <c r="C22967" i="1"/>
  <c r="B22968" i="1"/>
  <c r="C22968" i="1"/>
  <c r="B22969" i="1"/>
  <c r="C22969" i="1"/>
  <c r="B22970" i="1"/>
  <c r="C22970" i="1"/>
  <c r="B22971" i="1"/>
  <c r="C22971" i="1"/>
  <c r="B22972" i="1"/>
  <c r="C22972" i="1"/>
  <c r="B22973" i="1"/>
  <c r="C22973" i="1"/>
  <c r="B22974" i="1"/>
  <c r="C22974" i="1"/>
  <c r="B22975" i="1"/>
  <c r="C22975" i="1"/>
  <c r="B22976" i="1"/>
  <c r="C22976" i="1"/>
  <c r="B22977" i="1"/>
  <c r="C22977" i="1"/>
  <c r="B22978" i="1"/>
  <c r="C22978" i="1"/>
  <c r="B22979" i="1"/>
  <c r="C22979" i="1"/>
  <c r="B22980" i="1"/>
  <c r="C22980" i="1"/>
  <c r="B22981" i="1"/>
  <c r="C22981" i="1"/>
  <c r="B22982" i="1"/>
  <c r="C22982" i="1"/>
  <c r="B22983" i="1"/>
  <c r="C22983" i="1"/>
  <c r="B22984" i="1"/>
  <c r="C22984" i="1"/>
  <c r="B22985" i="1"/>
  <c r="C22985" i="1"/>
  <c r="B22986" i="1"/>
  <c r="C22986" i="1"/>
  <c r="B22987" i="1"/>
  <c r="C22987" i="1"/>
  <c r="B22988" i="1"/>
  <c r="C22988" i="1"/>
  <c r="B22989" i="1"/>
  <c r="C22989" i="1"/>
  <c r="B22990" i="1"/>
  <c r="C22990" i="1"/>
  <c r="B22991" i="1"/>
  <c r="C22991" i="1"/>
  <c r="B22992" i="1"/>
  <c r="C22992" i="1"/>
  <c r="B22993" i="1"/>
  <c r="C22993" i="1"/>
  <c r="B22994" i="1"/>
  <c r="C22994" i="1"/>
  <c r="B22995" i="1"/>
  <c r="C22995" i="1"/>
  <c r="B22996" i="1"/>
  <c r="C22996" i="1"/>
  <c r="B22997" i="1"/>
  <c r="C22997" i="1"/>
  <c r="B22998" i="1"/>
  <c r="C22998" i="1"/>
  <c r="B22999" i="1"/>
  <c r="C22999" i="1"/>
  <c r="B23000" i="1"/>
  <c r="C23000" i="1"/>
  <c r="B23001" i="1"/>
  <c r="C23001" i="1"/>
  <c r="B23002" i="1"/>
  <c r="C23002" i="1"/>
  <c r="B23003" i="1"/>
  <c r="C23003" i="1"/>
  <c r="B23004" i="1"/>
  <c r="C23004" i="1"/>
  <c r="B23005" i="1"/>
  <c r="C23005" i="1"/>
  <c r="B23006" i="1"/>
  <c r="C23006" i="1"/>
  <c r="B23007" i="1"/>
  <c r="C23007" i="1"/>
  <c r="B23008" i="1"/>
  <c r="C23008" i="1"/>
  <c r="B23009" i="1"/>
  <c r="C23009" i="1"/>
  <c r="B23010" i="1"/>
  <c r="C23010" i="1"/>
  <c r="B23011" i="1"/>
  <c r="C23011" i="1"/>
  <c r="B23012" i="1"/>
  <c r="C23012" i="1"/>
  <c r="B23013" i="1"/>
  <c r="C23013" i="1"/>
  <c r="B23014" i="1"/>
  <c r="C23014" i="1"/>
  <c r="B23015" i="1"/>
  <c r="C23015" i="1"/>
  <c r="B23016" i="1"/>
  <c r="C23016" i="1"/>
  <c r="B23017" i="1"/>
  <c r="C23017" i="1"/>
  <c r="B23018" i="1"/>
  <c r="C23018" i="1"/>
  <c r="B23019" i="1"/>
  <c r="C23019" i="1"/>
  <c r="B23020" i="1"/>
  <c r="C23020" i="1"/>
  <c r="B23021" i="1"/>
  <c r="C23021" i="1"/>
  <c r="B23022" i="1"/>
  <c r="C23022" i="1"/>
  <c r="B23023" i="1"/>
  <c r="C23023" i="1"/>
  <c r="B23024" i="1"/>
  <c r="C23024" i="1"/>
  <c r="B23025" i="1"/>
  <c r="C23025" i="1"/>
  <c r="B23026" i="1"/>
  <c r="C23026" i="1"/>
  <c r="B23027" i="1"/>
  <c r="C23027" i="1"/>
  <c r="B23028" i="1"/>
  <c r="C23028" i="1"/>
  <c r="B23029" i="1"/>
  <c r="C23029" i="1"/>
  <c r="B23030" i="1"/>
  <c r="C23030" i="1"/>
  <c r="B23031" i="1"/>
  <c r="C23031" i="1"/>
  <c r="B23032" i="1"/>
  <c r="C23032" i="1"/>
  <c r="B23033" i="1"/>
  <c r="C23033" i="1"/>
  <c r="B23034" i="1"/>
  <c r="C23034" i="1"/>
  <c r="B23035" i="1"/>
  <c r="C23035" i="1"/>
  <c r="B23036" i="1"/>
  <c r="C23036" i="1"/>
  <c r="B23037" i="1"/>
  <c r="C23037" i="1"/>
  <c r="B23038" i="1"/>
  <c r="C23038" i="1"/>
  <c r="B23039" i="1"/>
  <c r="C23039" i="1"/>
  <c r="B23040" i="1"/>
  <c r="C23040" i="1"/>
  <c r="B23041" i="1"/>
  <c r="C23041" i="1"/>
  <c r="B23042" i="1"/>
  <c r="C23042" i="1"/>
  <c r="B23043" i="1"/>
  <c r="C23043" i="1"/>
  <c r="B23044" i="1"/>
  <c r="C23044" i="1"/>
  <c r="B23045" i="1"/>
  <c r="C23045" i="1"/>
  <c r="B23046" i="1"/>
  <c r="C23046" i="1"/>
  <c r="B23047" i="1"/>
  <c r="C23047" i="1"/>
  <c r="B23048" i="1"/>
  <c r="C23048" i="1"/>
  <c r="B23049" i="1"/>
  <c r="C23049" i="1"/>
  <c r="B23050" i="1"/>
  <c r="C23050" i="1"/>
  <c r="B23051" i="1"/>
  <c r="C23051" i="1"/>
  <c r="B23052" i="1"/>
  <c r="C23052" i="1"/>
  <c r="B23053" i="1"/>
  <c r="C23053" i="1"/>
  <c r="B23054" i="1"/>
  <c r="C23054" i="1"/>
  <c r="B23055" i="1"/>
  <c r="C23055" i="1"/>
  <c r="B23056" i="1"/>
  <c r="C23056" i="1"/>
  <c r="B23057" i="1"/>
  <c r="C23057" i="1"/>
  <c r="B23058" i="1"/>
  <c r="C23058" i="1"/>
  <c r="B23059" i="1"/>
  <c r="C23059" i="1"/>
  <c r="B23060" i="1"/>
  <c r="C23060" i="1"/>
  <c r="B23061" i="1"/>
  <c r="C23061" i="1"/>
  <c r="B23062" i="1"/>
  <c r="C23062" i="1"/>
  <c r="B23063" i="1"/>
  <c r="C23063" i="1"/>
  <c r="B23064" i="1"/>
  <c r="C23064" i="1"/>
  <c r="B23065" i="1"/>
  <c r="C23065" i="1"/>
  <c r="B23066" i="1"/>
  <c r="C23066" i="1"/>
  <c r="B23067" i="1"/>
  <c r="C23067" i="1"/>
  <c r="B23068" i="1"/>
  <c r="C23068" i="1"/>
  <c r="B23069" i="1"/>
  <c r="C23069" i="1"/>
  <c r="B23070" i="1"/>
  <c r="C23070" i="1"/>
  <c r="B23071" i="1"/>
  <c r="C23071" i="1"/>
  <c r="B23072" i="1"/>
  <c r="C23072" i="1"/>
  <c r="B23073" i="1"/>
  <c r="C23073" i="1"/>
  <c r="B23074" i="1"/>
  <c r="C23074" i="1"/>
  <c r="B23075" i="1"/>
  <c r="C23075" i="1"/>
  <c r="B23076" i="1"/>
  <c r="C23076" i="1"/>
  <c r="B23077" i="1"/>
  <c r="C23077" i="1"/>
  <c r="B23078" i="1"/>
  <c r="C23078" i="1"/>
  <c r="B23079" i="1"/>
  <c r="C23079" i="1"/>
  <c r="B23080" i="1"/>
  <c r="C23080" i="1"/>
  <c r="B23081" i="1"/>
  <c r="C23081" i="1"/>
  <c r="B23082" i="1"/>
  <c r="C23082" i="1"/>
  <c r="B23083" i="1"/>
  <c r="C23083" i="1"/>
  <c r="B23084" i="1"/>
  <c r="C23084" i="1"/>
  <c r="B23085" i="1"/>
  <c r="C23085" i="1"/>
  <c r="B23086" i="1"/>
  <c r="C23086" i="1"/>
  <c r="B23087" i="1"/>
  <c r="C23087" i="1"/>
  <c r="B23088" i="1"/>
  <c r="C23088" i="1"/>
  <c r="B23089" i="1"/>
  <c r="C23089" i="1"/>
  <c r="B23090" i="1"/>
  <c r="C23090" i="1"/>
  <c r="B23091" i="1"/>
  <c r="C23091" i="1"/>
  <c r="B23092" i="1"/>
  <c r="C23092" i="1"/>
  <c r="B23093" i="1"/>
  <c r="C23093" i="1"/>
  <c r="B23094" i="1"/>
  <c r="C23094" i="1"/>
  <c r="B23095" i="1"/>
  <c r="C23095" i="1"/>
  <c r="B23096" i="1"/>
  <c r="C23096" i="1"/>
  <c r="B23097" i="1"/>
  <c r="C23097" i="1"/>
  <c r="B23098" i="1"/>
  <c r="C23098" i="1"/>
  <c r="B23099" i="1"/>
  <c r="C23099" i="1"/>
  <c r="B23100" i="1"/>
  <c r="C23100" i="1"/>
  <c r="B23101" i="1"/>
  <c r="C23101" i="1"/>
  <c r="B23102" i="1"/>
  <c r="C23102" i="1"/>
  <c r="B23103" i="1"/>
  <c r="C23103" i="1"/>
  <c r="B23104" i="1"/>
  <c r="C23104" i="1"/>
  <c r="B23105" i="1"/>
  <c r="C23105" i="1"/>
  <c r="B23106" i="1"/>
  <c r="C23106" i="1"/>
  <c r="B23107" i="1"/>
  <c r="C23107" i="1"/>
  <c r="B23108" i="1"/>
  <c r="C23108" i="1"/>
  <c r="B23109" i="1"/>
  <c r="C23109" i="1"/>
  <c r="B23110" i="1"/>
  <c r="C23110" i="1"/>
  <c r="B23111" i="1"/>
  <c r="C23111" i="1"/>
  <c r="B23112" i="1"/>
  <c r="C23112" i="1"/>
  <c r="B23113" i="1"/>
  <c r="C23113" i="1"/>
  <c r="B23114" i="1"/>
  <c r="C23114" i="1"/>
  <c r="B23115" i="1"/>
  <c r="C23115" i="1"/>
  <c r="B23116" i="1"/>
  <c r="C23116" i="1"/>
  <c r="B23117" i="1"/>
  <c r="C23117" i="1"/>
  <c r="B23118" i="1"/>
  <c r="C23118" i="1"/>
  <c r="B23119" i="1"/>
  <c r="C23119" i="1"/>
  <c r="B23120" i="1"/>
  <c r="C23120" i="1"/>
  <c r="B23121" i="1"/>
  <c r="C23121" i="1"/>
  <c r="B23122" i="1"/>
  <c r="C23122" i="1"/>
  <c r="B23123" i="1"/>
  <c r="C23123" i="1"/>
  <c r="B23124" i="1"/>
  <c r="C23124" i="1"/>
  <c r="B23125" i="1"/>
  <c r="C23125" i="1"/>
  <c r="B23126" i="1"/>
  <c r="C23126" i="1"/>
  <c r="B23127" i="1"/>
  <c r="C23127" i="1"/>
  <c r="B23128" i="1"/>
  <c r="C23128" i="1"/>
  <c r="B23129" i="1"/>
  <c r="C23129" i="1"/>
  <c r="B23130" i="1"/>
  <c r="C23130" i="1"/>
  <c r="B23131" i="1"/>
  <c r="C23131" i="1"/>
  <c r="B23132" i="1"/>
  <c r="C23132" i="1"/>
  <c r="B23133" i="1"/>
  <c r="C23133" i="1"/>
  <c r="B23134" i="1"/>
  <c r="C23134" i="1"/>
  <c r="B23135" i="1"/>
  <c r="C23135" i="1"/>
  <c r="B23136" i="1"/>
  <c r="C23136" i="1"/>
  <c r="B23137" i="1"/>
  <c r="C23137" i="1"/>
  <c r="B23138" i="1"/>
  <c r="C23138" i="1"/>
  <c r="B23139" i="1"/>
  <c r="C23139" i="1"/>
  <c r="B23140" i="1"/>
  <c r="C23140" i="1"/>
  <c r="B23141" i="1"/>
  <c r="C23141" i="1"/>
  <c r="B23142" i="1"/>
  <c r="C23142" i="1"/>
  <c r="B23143" i="1"/>
  <c r="C23143" i="1"/>
  <c r="B23144" i="1"/>
  <c r="C23144" i="1"/>
  <c r="B23145" i="1"/>
  <c r="C23145" i="1"/>
  <c r="B23146" i="1"/>
  <c r="C23146" i="1"/>
  <c r="B23147" i="1"/>
  <c r="C23147" i="1"/>
  <c r="B23148" i="1"/>
  <c r="C23148" i="1"/>
  <c r="B23149" i="1"/>
  <c r="C23149" i="1"/>
  <c r="B23150" i="1"/>
  <c r="C23150" i="1"/>
  <c r="B23151" i="1"/>
  <c r="C23151" i="1"/>
  <c r="B23152" i="1"/>
  <c r="C23152" i="1"/>
  <c r="B23153" i="1"/>
  <c r="C23153" i="1"/>
  <c r="B23154" i="1"/>
  <c r="C23154" i="1"/>
  <c r="B23155" i="1"/>
  <c r="C23155" i="1"/>
  <c r="B23156" i="1"/>
  <c r="C23156" i="1"/>
  <c r="B23157" i="1"/>
  <c r="C23157" i="1"/>
  <c r="B23158" i="1"/>
  <c r="C23158" i="1"/>
  <c r="B23159" i="1"/>
  <c r="C23159" i="1"/>
  <c r="B23160" i="1"/>
  <c r="C23160" i="1"/>
  <c r="B23161" i="1"/>
  <c r="C23161" i="1"/>
  <c r="B23162" i="1"/>
  <c r="C23162" i="1"/>
  <c r="B23163" i="1"/>
  <c r="C23163" i="1"/>
  <c r="B23164" i="1"/>
  <c r="C23164" i="1"/>
  <c r="B23165" i="1"/>
  <c r="C23165" i="1"/>
  <c r="B23166" i="1"/>
  <c r="C23166" i="1"/>
  <c r="B23167" i="1"/>
  <c r="C23167" i="1"/>
  <c r="B23168" i="1"/>
  <c r="C23168" i="1"/>
  <c r="B23169" i="1"/>
  <c r="C23169" i="1"/>
  <c r="B23170" i="1"/>
  <c r="C23170" i="1"/>
  <c r="B23171" i="1"/>
  <c r="C23171" i="1"/>
  <c r="B23172" i="1"/>
  <c r="C23172" i="1"/>
  <c r="B23173" i="1"/>
  <c r="C23173" i="1"/>
  <c r="B23174" i="1"/>
  <c r="C23174" i="1"/>
  <c r="B23175" i="1"/>
  <c r="C23175" i="1"/>
  <c r="B23176" i="1"/>
  <c r="C23176" i="1"/>
  <c r="B23177" i="1"/>
  <c r="C23177" i="1"/>
  <c r="B23178" i="1"/>
  <c r="C23178" i="1"/>
  <c r="B23179" i="1"/>
  <c r="C23179" i="1"/>
  <c r="B23180" i="1"/>
  <c r="C23180" i="1"/>
  <c r="B23181" i="1"/>
  <c r="C23181" i="1"/>
  <c r="B23182" i="1"/>
  <c r="C23182" i="1"/>
  <c r="B23183" i="1"/>
  <c r="C23183" i="1"/>
  <c r="B23184" i="1"/>
  <c r="C23184" i="1"/>
  <c r="B23185" i="1"/>
  <c r="C23185" i="1"/>
  <c r="B23186" i="1"/>
  <c r="C23186" i="1"/>
  <c r="B23187" i="1"/>
  <c r="C23187" i="1"/>
  <c r="B23188" i="1"/>
  <c r="C23188" i="1"/>
  <c r="B23189" i="1"/>
  <c r="C23189" i="1"/>
  <c r="B23190" i="1"/>
  <c r="C23190" i="1"/>
  <c r="B23191" i="1"/>
  <c r="C23191" i="1"/>
  <c r="B23192" i="1"/>
  <c r="C23192" i="1"/>
  <c r="B23193" i="1"/>
  <c r="C23193" i="1"/>
  <c r="B23194" i="1"/>
  <c r="C23194" i="1"/>
  <c r="B23195" i="1"/>
  <c r="C23195" i="1"/>
  <c r="B23196" i="1"/>
  <c r="C23196" i="1"/>
  <c r="B23197" i="1"/>
  <c r="C23197" i="1"/>
  <c r="B23198" i="1"/>
  <c r="C23198" i="1"/>
  <c r="B23199" i="1"/>
  <c r="C23199" i="1"/>
  <c r="B23200" i="1"/>
  <c r="C23200" i="1"/>
  <c r="B23201" i="1"/>
  <c r="C23201" i="1"/>
  <c r="B23202" i="1"/>
  <c r="C23202" i="1"/>
  <c r="B23203" i="1"/>
  <c r="C23203" i="1"/>
  <c r="B23204" i="1"/>
  <c r="C23204" i="1"/>
  <c r="B23205" i="1"/>
  <c r="C23205" i="1"/>
  <c r="B23206" i="1"/>
  <c r="C23206" i="1"/>
  <c r="B23207" i="1"/>
  <c r="C23207" i="1"/>
  <c r="B23208" i="1"/>
  <c r="C23208" i="1"/>
  <c r="B23209" i="1"/>
  <c r="C23209" i="1"/>
  <c r="B23210" i="1"/>
  <c r="C23210" i="1"/>
  <c r="B23211" i="1"/>
  <c r="C23211" i="1"/>
  <c r="B23212" i="1"/>
  <c r="C23212" i="1"/>
  <c r="B23213" i="1"/>
  <c r="C23213" i="1"/>
  <c r="B23214" i="1"/>
  <c r="C23214" i="1"/>
  <c r="B23215" i="1"/>
  <c r="C23215" i="1"/>
  <c r="B23216" i="1"/>
  <c r="C23216" i="1"/>
  <c r="B23217" i="1"/>
  <c r="C23217" i="1"/>
  <c r="B23218" i="1"/>
  <c r="C23218" i="1"/>
  <c r="B23219" i="1"/>
  <c r="C23219" i="1"/>
  <c r="B23220" i="1"/>
  <c r="C23220" i="1"/>
  <c r="B23221" i="1"/>
  <c r="C23221" i="1"/>
  <c r="B23222" i="1"/>
  <c r="C23222" i="1"/>
  <c r="B23223" i="1"/>
  <c r="C23223" i="1"/>
  <c r="B23224" i="1"/>
  <c r="C23224" i="1"/>
  <c r="B23225" i="1"/>
  <c r="C23225" i="1"/>
  <c r="B23226" i="1"/>
  <c r="C23226" i="1"/>
  <c r="B23227" i="1"/>
  <c r="C23227" i="1"/>
  <c r="B23228" i="1"/>
  <c r="C23228" i="1"/>
  <c r="B23229" i="1"/>
  <c r="C23229" i="1"/>
  <c r="B23230" i="1"/>
  <c r="C23230" i="1"/>
  <c r="B23231" i="1"/>
  <c r="C23231" i="1"/>
  <c r="B23232" i="1"/>
  <c r="C23232" i="1"/>
  <c r="B23233" i="1"/>
  <c r="C23233" i="1"/>
  <c r="B23234" i="1"/>
  <c r="C23234" i="1"/>
  <c r="B23235" i="1"/>
  <c r="C23235" i="1"/>
  <c r="B23236" i="1"/>
  <c r="C23236" i="1"/>
  <c r="B23237" i="1"/>
  <c r="C23237" i="1"/>
  <c r="B23238" i="1"/>
  <c r="C23238" i="1"/>
  <c r="B23239" i="1"/>
  <c r="C23239" i="1"/>
  <c r="B23240" i="1"/>
  <c r="C23240" i="1"/>
  <c r="B23241" i="1"/>
  <c r="C23241" i="1"/>
  <c r="B23242" i="1"/>
  <c r="C23242" i="1"/>
  <c r="B23243" i="1"/>
  <c r="C23243" i="1"/>
  <c r="B23244" i="1"/>
  <c r="C23244" i="1"/>
  <c r="B23245" i="1"/>
  <c r="C23245" i="1"/>
  <c r="B23246" i="1"/>
  <c r="C23246" i="1"/>
  <c r="B23247" i="1"/>
  <c r="C23247" i="1"/>
  <c r="B23248" i="1"/>
  <c r="C23248" i="1"/>
  <c r="B23249" i="1"/>
  <c r="C23249" i="1"/>
  <c r="B23250" i="1"/>
  <c r="C23250" i="1"/>
  <c r="B23251" i="1"/>
  <c r="C23251" i="1"/>
  <c r="B23252" i="1"/>
  <c r="C23252" i="1"/>
  <c r="B23253" i="1"/>
  <c r="C23253" i="1"/>
  <c r="B23254" i="1"/>
  <c r="C23254" i="1"/>
  <c r="B23255" i="1"/>
  <c r="C23255" i="1"/>
  <c r="B23256" i="1"/>
  <c r="C23256" i="1"/>
  <c r="B23257" i="1"/>
  <c r="C23257" i="1"/>
  <c r="B23258" i="1"/>
  <c r="C23258" i="1"/>
  <c r="B23259" i="1"/>
  <c r="C23259" i="1"/>
  <c r="B23260" i="1"/>
  <c r="C23260" i="1"/>
  <c r="B23261" i="1"/>
  <c r="C23261" i="1"/>
  <c r="B23262" i="1"/>
  <c r="C23262" i="1"/>
  <c r="B23263" i="1"/>
  <c r="C23263" i="1"/>
  <c r="B23264" i="1"/>
  <c r="C23264" i="1"/>
  <c r="B23265" i="1"/>
  <c r="C23265" i="1"/>
  <c r="B23266" i="1"/>
  <c r="C23266" i="1"/>
  <c r="B23267" i="1"/>
  <c r="C23267" i="1"/>
  <c r="B23268" i="1"/>
  <c r="C23268" i="1"/>
  <c r="B23269" i="1"/>
  <c r="C23269" i="1"/>
  <c r="B23270" i="1"/>
  <c r="C23270" i="1"/>
  <c r="B23271" i="1"/>
  <c r="C23271" i="1"/>
  <c r="B23272" i="1"/>
  <c r="C23272" i="1"/>
  <c r="B23273" i="1"/>
  <c r="C23273" i="1"/>
  <c r="B23274" i="1"/>
  <c r="C23274" i="1"/>
  <c r="B23275" i="1"/>
  <c r="C23275" i="1"/>
  <c r="B23276" i="1"/>
  <c r="C23276" i="1"/>
  <c r="B23277" i="1"/>
  <c r="C23277" i="1"/>
  <c r="B23278" i="1"/>
  <c r="C23278" i="1"/>
  <c r="B23279" i="1"/>
  <c r="C23279" i="1"/>
  <c r="B23280" i="1"/>
  <c r="C23280" i="1"/>
  <c r="B23281" i="1"/>
  <c r="C23281" i="1"/>
  <c r="B23282" i="1"/>
  <c r="C23282" i="1"/>
  <c r="B23283" i="1"/>
  <c r="C23283" i="1"/>
  <c r="B23284" i="1"/>
  <c r="C23284" i="1"/>
  <c r="B23285" i="1"/>
  <c r="C23285" i="1"/>
  <c r="B23286" i="1"/>
  <c r="C23286" i="1"/>
  <c r="B23287" i="1"/>
  <c r="C23287" i="1"/>
  <c r="B23288" i="1"/>
  <c r="C23288" i="1"/>
  <c r="B23289" i="1"/>
  <c r="C23289" i="1"/>
  <c r="B23290" i="1"/>
  <c r="C23290" i="1"/>
  <c r="B23291" i="1"/>
  <c r="C23291" i="1"/>
  <c r="B23292" i="1"/>
  <c r="C23292" i="1"/>
  <c r="B23293" i="1"/>
  <c r="C23293" i="1"/>
  <c r="B23294" i="1"/>
  <c r="C23294" i="1"/>
  <c r="B23295" i="1"/>
  <c r="C23295" i="1"/>
  <c r="B23296" i="1"/>
  <c r="C23296" i="1"/>
  <c r="B23297" i="1"/>
  <c r="C23297" i="1"/>
  <c r="B23298" i="1"/>
  <c r="C23298" i="1"/>
  <c r="B23299" i="1"/>
  <c r="C23299" i="1"/>
  <c r="B23300" i="1"/>
  <c r="C23300" i="1"/>
  <c r="B23301" i="1"/>
  <c r="C23301" i="1"/>
  <c r="B23302" i="1"/>
  <c r="C23302" i="1"/>
  <c r="B23303" i="1"/>
  <c r="C23303" i="1"/>
  <c r="B23304" i="1"/>
  <c r="C23304" i="1"/>
  <c r="B23305" i="1"/>
  <c r="C23305" i="1"/>
  <c r="B23306" i="1"/>
  <c r="C23306" i="1"/>
  <c r="B23307" i="1"/>
  <c r="C23307" i="1"/>
  <c r="B23308" i="1"/>
  <c r="C23308" i="1"/>
  <c r="B23309" i="1"/>
  <c r="C23309" i="1"/>
  <c r="B23310" i="1"/>
  <c r="C23310" i="1"/>
  <c r="B23311" i="1"/>
  <c r="C23311" i="1"/>
  <c r="B23312" i="1"/>
  <c r="C23312" i="1"/>
  <c r="B23313" i="1"/>
  <c r="C23313" i="1"/>
  <c r="B23314" i="1"/>
  <c r="C23314" i="1"/>
  <c r="B23315" i="1"/>
  <c r="C23315" i="1"/>
  <c r="B23316" i="1"/>
  <c r="C23316" i="1"/>
  <c r="B23317" i="1"/>
  <c r="C23317" i="1"/>
  <c r="B23318" i="1"/>
  <c r="C23318" i="1"/>
  <c r="B23319" i="1"/>
  <c r="C23319" i="1"/>
  <c r="B23320" i="1"/>
  <c r="C23320" i="1"/>
  <c r="B23321" i="1"/>
  <c r="C23321" i="1"/>
  <c r="B23322" i="1"/>
  <c r="C23322" i="1"/>
  <c r="B23323" i="1"/>
  <c r="C23323" i="1"/>
  <c r="B23324" i="1"/>
  <c r="C23324" i="1"/>
  <c r="B23325" i="1"/>
  <c r="C23325" i="1"/>
  <c r="B23326" i="1"/>
  <c r="C23326" i="1"/>
  <c r="B23327" i="1"/>
  <c r="C23327" i="1"/>
  <c r="B23328" i="1"/>
  <c r="C23328" i="1"/>
  <c r="B23329" i="1"/>
  <c r="C23329" i="1"/>
  <c r="B23330" i="1"/>
  <c r="C23330" i="1"/>
  <c r="B23331" i="1"/>
  <c r="C23331" i="1"/>
  <c r="B23332" i="1"/>
  <c r="C23332" i="1"/>
  <c r="B23333" i="1"/>
  <c r="C23333" i="1"/>
  <c r="B23334" i="1"/>
  <c r="C23334" i="1"/>
  <c r="B23335" i="1"/>
  <c r="C23335" i="1"/>
  <c r="B23336" i="1"/>
  <c r="C23336" i="1"/>
  <c r="B23337" i="1"/>
  <c r="C23337" i="1"/>
  <c r="B23338" i="1"/>
  <c r="C23338" i="1"/>
  <c r="B23339" i="1"/>
  <c r="C23339" i="1"/>
  <c r="B23340" i="1"/>
  <c r="C23340" i="1"/>
  <c r="B23341" i="1"/>
  <c r="C23341" i="1"/>
  <c r="B23342" i="1"/>
  <c r="C23342" i="1"/>
  <c r="B23343" i="1"/>
  <c r="C23343" i="1"/>
  <c r="B23344" i="1"/>
  <c r="C23344" i="1"/>
  <c r="B23345" i="1"/>
  <c r="C23345" i="1"/>
  <c r="B23346" i="1"/>
  <c r="C23346" i="1"/>
  <c r="B23347" i="1"/>
  <c r="C23347" i="1"/>
  <c r="B23348" i="1"/>
  <c r="C23348" i="1"/>
  <c r="B23349" i="1"/>
  <c r="C23349" i="1"/>
  <c r="B23350" i="1"/>
  <c r="C23350" i="1"/>
  <c r="B23351" i="1"/>
  <c r="C23351" i="1"/>
  <c r="B23352" i="1"/>
  <c r="C23352" i="1"/>
  <c r="B23353" i="1"/>
  <c r="C23353" i="1"/>
  <c r="B23354" i="1"/>
  <c r="C23354" i="1"/>
  <c r="B23355" i="1"/>
  <c r="C23355" i="1"/>
  <c r="B23356" i="1"/>
  <c r="C23356" i="1"/>
  <c r="B23357" i="1"/>
  <c r="C23357" i="1"/>
  <c r="B23358" i="1"/>
  <c r="C23358" i="1"/>
  <c r="B23359" i="1"/>
  <c r="C23359" i="1"/>
  <c r="B23360" i="1"/>
  <c r="C23360" i="1"/>
  <c r="B23361" i="1"/>
  <c r="C23361" i="1"/>
  <c r="B23362" i="1"/>
  <c r="C23362" i="1"/>
  <c r="B23363" i="1"/>
  <c r="C23363" i="1"/>
  <c r="B23364" i="1"/>
  <c r="C23364" i="1"/>
  <c r="B23365" i="1"/>
  <c r="C23365" i="1"/>
  <c r="B23366" i="1"/>
  <c r="C23366" i="1"/>
  <c r="B23367" i="1"/>
  <c r="C23367" i="1"/>
  <c r="B23368" i="1"/>
  <c r="C23368" i="1"/>
  <c r="B23369" i="1"/>
  <c r="C23369" i="1"/>
  <c r="B23370" i="1"/>
  <c r="C23370" i="1"/>
  <c r="B23371" i="1"/>
  <c r="C23371" i="1"/>
  <c r="B23372" i="1"/>
  <c r="C23372" i="1"/>
  <c r="B23373" i="1"/>
  <c r="C23373" i="1"/>
  <c r="B23374" i="1"/>
  <c r="C23374" i="1"/>
  <c r="B23375" i="1"/>
  <c r="C23375" i="1"/>
  <c r="B23376" i="1"/>
  <c r="C23376" i="1"/>
  <c r="B23377" i="1"/>
  <c r="C23377" i="1"/>
  <c r="B23378" i="1"/>
  <c r="C23378" i="1"/>
  <c r="B23379" i="1"/>
  <c r="C23379" i="1"/>
  <c r="B23380" i="1"/>
  <c r="C23380" i="1"/>
  <c r="B23381" i="1"/>
  <c r="C23381" i="1"/>
  <c r="B23382" i="1"/>
  <c r="C23382" i="1"/>
  <c r="B23383" i="1"/>
  <c r="C23383" i="1"/>
  <c r="B23384" i="1"/>
  <c r="C23384" i="1"/>
  <c r="B23385" i="1"/>
  <c r="C23385" i="1"/>
  <c r="B23386" i="1"/>
  <c r="C23386" i="1"/>
  <c r="B23387" i="1"/>
  <c r="C23387" i="1"/>
  <c r="B23388" i="1"/>
  <c r="C23388" i="1"/>
  <c r="B23389" i="1"/>
  <c r="C23389" i="1"/>
  <c r="B23390" i="1"/>
  <c r="C23390" i="1"/>
  <c r="B23391" i="1"/>
  <c r="C23391" i="1"/>
  <c r="B23392" i="1"/>
  <c r="C23392" i="1"/>
  <c r="B23393" i="1"/>
  <c r="C23393" i="1"/>
  <c r="B23394" i="1"/>
  <c r="C23394" i="1"/>
  <c r="B23395" i="1"/>
  <c r="C23395" i="1"/>
  <c r="B23396" i="1"/>
  <c r="C23396" i="1"/>
  <c r="B23397" i="1"/>
  <c r="C23397" i="1"/>
  <c r="B23398" i="1"/>
  <c r="C23398" i="1"/>
  <c r="B23399" i="1"/>
  <c r="C23399" i="1"/>
  <c r="B23400" i="1"/>
  <c r="C23400" i="1"/>
  <c r="B23401" i="1"/>
  <c r="C23401" i="1"/>
  <c r="B23402" i="1"/>
  <c r="C23402" i="1"/>
  <c r="B23403" i="1"/>
  <c r="C23403" i="1"/>
  <c r="B23404" i="1"/>
  <c r="C23404" i="1"/>
  <c r="B23405" i="1"/>
  <c r="C23405" i="1"/>
  <c r="B23406" i="1"/>
  <c r="C23406" i="1"/>
  <c r="B23407" i="1"/>
  <c r="C23407" i="1"/>
  <c r="B23408" i="1"/>
  <c r="C23408" i="1"/>
  <c r="B23409" i="1"/>
  <c r="C23409" i="1"/>
  <c r="B23410" i="1"/>
  <c r="C23410" i="1"/>
  <c r="B23411" i="1"/>
  <c r="C23411" i="1"/>
  <c r="B23412" i="1"/>
  <c r="C23412" i="1"/>
  <c r="B23413" i="1"/>
  <c r="C23413" i="1"/>
  <c r="B23414" i="1"/>
  <c r="C23414" i="1"/>
  <c r="B23415" i="1"/>
  <c r="C23415" i="1"/>
  <c r="B23416" i="1"/>
  <c r="C23416" i="1"/>
  <c r="B23417" i="1"/>
  <c r="C23417" i="1"/>
  <c r="B23418" i="1"/>
  <c r="C23418" i="1"/>
  <c r="B23419" i="1"/>
  <c r="C23419" i="1"/>
  <c r="B23420" i="1"/>
  <c r="C23420" i="1"/>
  <c r="B23421" i="1"/>
  <c r="C23421" i="1"/>
  <c r="B23422" i="1"/>
  <c r="C23422" i="1"/>
  <c r="B23423" i="1"/>
  <c r="C23423" i="1"/>
  <c r="B23424" i="1"/>
  <c r="C23424" i="1"/>
  <c r="B23425" i="1"/>
  <c r="C23425" i="1"/>
  <c r="B23426" i="1"/>
  <c r="C23426" i="1"/>
  <c r="B23427" i="1"/>
  <c r="C23427" i="1"/>
  <c r="B23428" i="1"/>
  <c r="C23428" i="1"/>
  <c r="B23429" i="1"/>
  <c r="C23429" i="1"/>
  <c r="B23430" i="1"/>
  <c r="C23430" i="1"/>
  <c r="B23431" i="1"/>
  <c r="C23431" i="1"/>
  <c r="B23432" i="1"/>
  <c r="C23432" i="1"/>
  <c r="B23433" i="1"/>
  <c r="C23433" i="1"/>
  <c r="B23434" i="1"/>
  <c r="C23434" i="1"/>
  <c r="B23435" i="1"/>
  <c r="C23435" i="1"/>
  <c r="B23436" i="1"/>
  <c r="C23436" i="1"/>
  <c r="B23437" i="1"/>
  <c r="C23437" i="1"/>
  <c r="B23438" i="1"/>
  <c r="C23438" i="1"/>
  <c r="B23439" i="1"/>
  <c r="C23439" i="1"/>
  <c r="B23440" i="1"/>
  <c r="C23440" i="1"/>
  <c r="B23441" i="1"/>
  <c r="C23441" i="1"/>
  <c r="B23442" i="1"/>
  <c r="C23442" i="1"/>
  <c r="B23443" i="1"/>
  <c r="C23443" i="1"/>
  <c r="B23444" i="1"/>
  <c r="C23444" i="1"/>
  <c r="B23445" i="1"/>
  <c r="C23445" i="1"/>
  <c r="B23446" i="1"/>
  <c r="C23446" i="1"/>
  <c r="B23447" i="1"/>
  <c r="C23447" i="1"/>
  <c r="B23448" i="1"/>
  <c r="C23448" i="1"/>
  <c r="B23449" i="1"/>
  <c r="C23449" i="1"/>
  <c r="B23450" i="1"/>
  <c r="C23450" i="1"/>
  <c r="B23451" i="1"/>
  <c r="C23451" i="1"/>
  <c r="B23452" i="1"/>
  <c r="C23452" i="1"/>
  <c r="B23453" i="1"/>
  <c r="C23453" i="1"/>
  <c r="B23454" i="1"/>
  <c r="C23454" i="1"/>
  <c r="B23455" i="1"/>
  <c r="C23455" i="1"/>
  <c r="B23456" i="1"/>
  <c r="C23456" i="1"/>
  <c r="B23457" i="1"/>
  <c r="C23457" i="1"/>
  <c r="B23458" i="1"/>
  <c r="C23458" i="1"/>
  <c r="B23459" i="1"/>
  <c r="C23459" i="1"/>
  <c r="B23460" i="1"/>
  <c r="C23460" i="1"/>
  <c r="B23461" i="1"/>
  <c r="C23461" i="1"/>
  <c r="B23462" i="1"/>
  <c r="C23462" i="1"/>
  <c r="B23463" i="1"/>
  <c r="C23463" i="1"/>
  <c r="B23464" i="1"/>
  <c r="C23464" i="1"/>
  <c r="B23465" i="1"/>
  <c r="C23465" i="1"/>
  <c r="B23466" i="1"/>
  <c r="C23466" i="1"/>
  <c r="B23467" i="1"/>
  <c r="C23467" i="1"/>
  <c r="B23468" i="1"/>
  <c r="C23468" i="1"/>
  <c r="B23469" i="1"/>
  <c r="C23469" i="1"/>
  <c r="B23470" i="1"/>
  <c r="C23470" i="1"/>
  <c r="B23471" i="1"/>
  <c r="C23471" i="1"/>
  <c r="B23472" i="1"/>
  <c r="C23472" i="1"/>
  <c r="B23473" i="1"/>
  <c r="C23473" i="1"/>
  <c r="B23474" i="1"/>
  <c r="C23474" i="1"/>
  <c r="B23475" i="1"/>
  <c r="C23475" i="1"/>
  <c r="B23476" i="1"/>
  <c r="C23476" i="1"/>
  <c r="B23477" i="1"/>
  <c r="C23477" i="1"/>
  <c r="B23478" i="1"/>
  <c r="C23478" i="1"/>
  <c r="B23479" i="1"/>
  <c r="C23479" i="1"/>
  <c r="B23480" i="1"/>
  <c r="C23480" i="1"/>
  <c r="B23481" i="1"/>
  <c r="C23481" i="1"/>
  <c r="B23482" i="1"/>
  <c r="C23482" i="1"/>
  <c r="B23483" i="1"/>
  <c r="C23483" i="1"/>
  <c r="B23484" i="1"/>
  <c r="C23484" i="1"/>
  <c r="B23485" i="1"/>
  <c r="C23485" i="1"/>
  <c r="B23486" i="1"/>
  <c r="C23486" i="1"/>
  <c r="B23487" i="1"/>
  <c r="C23487" i="1"/>
  <c r="B23488" i="1"/>
  <c r="C23488" i="1"/>
  <c r="B23489" i="1"/>
  <c r="C23489" i="1"/>
  <c r="B23490" i="1"/>
  <c r="C23490" i="1"/>
  <c r="B23491" i="1"/>
  <c r="C23491" i="1"/>
  <c r="B23492" i="1"/>
  <c r="C23492" i="1"/>
  <c r="B23493" i="1"/>
  <c r="C23493" i="1"/>
  <c r="B23494" i="1"/>
  <c r="C23494" i="1"/>
  <c r="B23495" i="1"/>
  <c r="C23495" i="1"/>
  <c r="B23496" i="1"/>
  <c r="C23496" i="1"/>
  <c r="B23497" i="1"/>
  <c r="C23497" i="1"/>
  <c r="B23498" i="1"/>
  <c r="C23498" i="1"/>
  <c r="B23499" i="1"/>
  <c r="C23499" i="1"/>
  <c r="B23500" i="1"/>
  <c r="C23500" i="1"/>
  <c r="B23501" i="1"/>
  <c r="C23501" i="1"/>
  <c r="B23502" i="1"/>
  <c r="C23502" i="1"/>
  <c r="B23503" i="1"/>
  <c r="C23503" i="1"/>
  <c r="B23504" i="1"/>
  <c r="C23504" i="1"/>
  <c r="B23505" i="1"/>
  <c r="C23505" i="1"/>
  <c r="B23506" i="1"/>
  <c r="C23506" i="1"/>
  <c r="B23507" i="1"/>
  <c r="C23507" i="1"/>
  <c r="B23508" i="1"/>
  <c r="C23508" i="1"/>
  <c r="B23509" i="1"/>
  <c r="C23509" i="1"/>
  <c r="B23510" i="1"/>
  <c r="C23510" i="1"/>
  <c r="B23511" i="1"/>
  <c r="C23511" i="1"/>
  <c r="B23512" i="1"/>
  <c r="C23512" i="1"/>
  <c r="B23513" i="1"/>
  <c r="C23513" i="1"/>
  <c r="B23514" i="1"/>
  <c r="C23514" i="1"/>
  <c r="B23515" i="1"/>
  <c r="C23515" i="1"/>
  <c r="B23516" i="1"/>
  <c r="C23516" i="1"/>
  <c r="B23517" i="1"/>
  <c r="C23517" i="1"/>
  <c r="B23518" i="1"/>
  <c r="C23518" i="1"/>
  <c r="B23519" i="1"/>
  <c r="C23519" i="1"/>
  <c r="B23520" i="1"/>
  <c r="C23520" i="1"/>
  <c r="B23521" i="1"/>
  <c r="C23521" i="1"/>
  <c r="B23522" i="1"/>
  <c r="C23522" i="1"/>
  <c r="B23523" i="1"/>
  <c r="C23523" i="1"/>
  <c r="B23524" i="1"/>
  <c r="C23524" i="1"/>
  <c r="B23525" i="1"/>
  <c r="C23525" i="1"/>
  <c r="B23526" i="1"/>
  <c r="C23526" i="1"/>
  <c r="B23527" i="1"/>
  <c r="C23527" i="1"/>
  <c r="B23528" i="1"/>
  <c r="C23528" i="1"/>
  <c r="B23529" i="1"/>
  <c r="C23529" i="1"/>
  <c r="B23530" i="1"/>
  <c r="C23530" i="1"/>
  <c r="B23531" i="1"/>
  <c r="C23531" i="1"/>
  <c r="B23532" i="1"/>
  <c r="C23532" i="1"/>
  <c r="B23533" i="1"/>
  <c r="C23533" i="1"/>
  <c r="B23534" i="1"/>
  <c r="C23534" i="1"/>
  <c r="B23535" i="1"/>
  <c r="C23535" i="1"/>
  <c r="B23536" i="1"/>
  <c r="C23536" i="1"/>
  <c r="B23537" i="1"/>
  <c r="C23537" i="1"/>
  <c r="B23538" i="1"/>
  <c r="C23538" i="1"/>
  <c r="B23539" i="1"/>
  <c r="C23539" i="1"/>
  <c r="B23540" i="1"/>
  <c r="C23540" i="1"/>
  <c r="B23541" i="1"/>
  <c r="C23541" i="1"/>
  <c r="B23542" i="1"/>
  <c r="C23542" i="1"/>
  <c r="B23543" i="1"/>
  <c r="C23543" i="1"/>
  <c r="B23544" i="1"/>
  <c r="C23544" i="1"/>
  <c r="B23545" i="1"/>
  <c r="C23545" i="1"/>
  <c r="B23546" i="1"/>
  <c r="C23546" i="1"/>
  <c r="B23547" i="1"/>
  <c r="C23547" i="1"/>
  <c r="B23548" i="1"/>
  <c r="C23548" i="1"/>
  <c r="B23549" i="1"/>
  <c r="C23549" i="1"/>
  <c r="B23550" i="1"/>
  <c r="C23550" i="1"/>
  <c r="B23551" i="1"/>
  <c r="C23551" i="1"/>
  <c r="B23552" i="1"/>
  <c r="C23552" i="1"/>
  <c r="B23553" i="1"/>
  <c r="C23553" i="1"/>
  <c r="B23554" i="1"/>
  <c r="C23554" i="1"/>
  <c r="B23555" i="1"/>
  <c r="C23555" i="1"/>
  <c r="B23556" i="1"/>
  <c r="C23556" i="1"/>
  <c r="B23557" i="1"/>
  <c r="C23557" i="1"/>
  <c r="B23558" i="1"/>
  <c r="C23558" i="1"/>
  <c r="B23559" i="1"/>
  <c r="C23559" i="1"/>
  <c r="B23560" i="1"/>
  <c r="C23560" i="1"/>
  <c r="B23561" i="1"/>
  <c r="C23561" i="1"/>
  <c r="B23562" i="1"/>
  <c r="C23562" i="1"/>
  <c r="B23563" i="1"/>
  <c r="C23563" i="1"/>
  <c r="B23564" i="1"/>
  <c r="C23564" i="1"/>
  <c r="B23565" i="1"/>
  <c r="C23565" i="1"/>
  <c r="B23566" i="1"/>
  <c r="C23566" i="1"/>
  <c r="B23567" i="1"/>
  <c r="C23567" i="1"/>
  <c r="B23568" i="1"/>
  <c r="C23568" i="1"/>
  <c r="B23569" i="1"/>
  <c r="C23569" i="1"/>
  <c r="B23570" i="1"/>
  <c r="C23570" i="1"/>
  <c r="B23571" i="1"/>
  <c r="C23571" i="1"/>
  <c r="B23572" i="1"/>
  <c r="C23572" i="1"/>
  <c r="B23573" i="1"/>
  <c r="C23573" i="1"/>
  <c r="B23574" i="1"/>
  <c r="C23574" i="1"/>
  <c r="B23575" i="1"/>
  <c r="C23575" i="1"/>
  <c r="B23576" i="1"/>
  <c r="C23576" i="1"/>
  <c r="B23577" i="1"/>
  <c r="C23577" i="1"/>
  <c r="B23578" i="1"/>
  <c r="C23578" i="1"/>
  <c r="B23579" i="1"/>
  <c r="C23579" i="1"/>
  <c r="B23580" i="1"/>
  <c r="C23580" i="1"/>
  <c r="B23581" i="1"/>
  <c r="C23581" i="1"/>
  <c r="B23582" i="1"/>
  <c r="C23582" i="1"/>
  <c r="B23583" i="1"/>
  <c r="C23583" i="1"/>
  <c r="B23584" i="1"/>
  <c r="C23584" i="1"/>
  <c r="B23585" i="1"/>
  <c r="C23585" i="1"/>
  <c r="B23586" i="1"/>
  <c r="C23586" i="1"/>
  <c r="B23587" i="1"/>
  <c r="C23587" i="1"/>
  <c r="B23588" i="1"/>
  <c r="C23588" i="1"/>
  <c r="B23589" i="1"/>
  <c r="C23589" i="1"/>
  <c r="B23590" i="1"/>
  <c r="C23590" i="1"/>
  <c r="B23591" i="1"/>
  <c r="C23591" i="1"/>
  <c r="B23592" i="1"/>
  <c r="C23592" i="1"/>
  <c r="B23593" i="1"/>
  <c r="C23593" i="1"/>
  <c r="B23594" i="1"/>
  <c r="C23594" i="1"/>
  <c r="B23595" i="1"/>
  <c r="C23595" i="1"/>
  <c r="B23596" i="1"/>
  <c r="C23596" i="1"/>
  <c r="B23597" i="1"/>
  <c r="C23597" i="1"/>
  <c r="B23598" i="1"/>
  <c r="C23598" i="1"/>
  <c r="B23599" i="1"/>
  <c r="C23599" i="1"/>
  <c r="B23600" i="1"/>
  <c r="C23600" i="1"/>
  <c r="B23601" i="1"/>
  <c r="C23601" i="1"/>
  <c r="B23602" i="1"/>
  <c r="C23602" i="1"/>
  <c r="B23603" i="1"/>
  <c r="C23603" i="1"/>
  <c r="B23604" i="1"/>
  <c r="C23604" i="1"/>
  <c r="B23605" i="1"/>
  <c r="C23605" i="1"/>
  <c r="B23606" i="1"/>
  <c r="C23606" i="1"/>
  <c r="B23607" i="1"/>
  <c r="C23607" i="1"/>
  <c r="B23608" i="1"/>
  <c r="C23608" i="1"/>
  <c r="B23609" i="1"/>
  <c r="C23609" i="1"/>
  <c r="B23610" i="1"/>
  <c r="C23610" i="1"/>
  <c r="B23611" i="1"/>
  <c r="C23611" i="1"/>
  <c r="B23612" i="1"/>
  <c r="C23612" i="1"/>
  <c r="B23613" i="1"/>
  <c r="C23613" i="1"/>
  <c r="B23614" i="1"/>
  <c r="C23614" i="1"/>
  <c r="B23615" i="1"/>
  <c r="C23615" i="1"/>
  <c r="B23616" i="1"/>
  <c r="C23616" i="1"/>
  <c r="B23617" i="1"/>
  <c r="C23617" i="1"/>
  <c r="B23618" i="1"/>
  <c r="C23618" i="1"/>
  <c r="B23619" i="1"/>
  <c r="C23619" i="1"/>
  <c r="B23620" i="1"/>
  <c r="C23620" i="1"/>
  <c r="B23621" i="1"/>
  <c r="C23621" i="1"/>
  <c r="B23622" i="1"/>
  <c r="C23622" i="1"/>
  <c r="B23623" i="1"/>
  <c r="C23623" i="1"/>
  <c r="B23624" i="1"/>
  <c r="C23624" i="1"/>
  <c r="B23625" i="1"/>
  <c r="C23625" i="1"/>
  <c r="B23626" i="1"/>
  <c r="C23626" i="1"/>
  <c r="B23627" i="1"/>
  <c r="C23627" i="1"/>
  <c r="B23628" i="1"/>
  <c r="C23628" i="1"/>
  <c r="B23629" i="1"/>
  <c r="C23629" i="1"/>
  <c r="B23630" i="1"/>
  <c r="C23630" i="1"/>
  <c r="B23631" i="1"/>
  <c r="C23631" i="1"/>
  <c r="B23632" i="1"/>
  <c r="C23632" i="1"/>
  <c r="B23633" i="1"/>
  <c r="C23633" i="1"/>
  <c r="B23634" i="1"/>
  <c r="C23634" i="1"/>
  <c r="B23635" i="1"/>
  <c r="C23635" i="1"/>
  <c r="B23636" i="1"/>
  <c r="C23636" i="1"/>
  <c r="B23637" i="1"/>
  <c r="C23637" i="1"/>
  <c r="B23638" i="1"/>
  <c r="C23638" i="1"/>
  <c r="B23639" i="1"/>
  <c r="C23639" i="1"/>
  <c r="B23640" i="1"/>
  <c r="C23640" i="1"/>
  <c r="B23641" i="1"/>
  <c r="C23641" i="1"/>
  <c r="B23642" i="1"/>
  <c r="C23642" i="1"/>
  <c r="B23643" i="1"/>
  <c r="C23643" i="1"/>
  <c r="B23644" i="1"/>
  <c r="C23644" i="1"/>
  <c r="B23645" i="1"/>
  <c r="C23645" i="1"/>
  <c r="B23646" i="1"/>
  <c r="C23646" i="1"/>
  <c r="B23647" i="1"/>
  <c r="C23647" i="1"/>
  <c r="B23648" i="1"/>
  <c r="C23648" i="1"/>
  <c r="B23649" i="1"/>
  <c r="C23649" i="1"/>
  <c r="B23650" i="1"/>
  <c r="C23650" i="1"/>
  <c r="B23651" i="1"/>
  <c r="C23651" i="1"/>
  <c r="B23652" i="1"/>
  <c r="C23652" i="1"/>
  <c r="B23653" i="1"/>
  <c r="C23653" i="1"/>
  <c r="B23654" i="1"/>
  <c r="C23654" i="1"/>
  <c r="B23655" i="1"/>
  <c r="C23655" i="1"/>
  <c r="B23656" i="1"/>
  <c r="C23656" i="1"/>
  <c r="B23657" i="1"/>
  <c r="C23657" i="1"/>
  <c r="B23658" i="1"/>
  <c r="C23658" i="1"/>
  <c r="B23659" i="1"/>
  <c r="C23659" i="1"/>
  <c r="B23660" i="1"/>
  <c r="C23660" i="1"/>
  <c r="B23661" i="1"/>
  <c r="C23661" i="1"/>
  <c r="B23662" i="1"/>
  <c r="C23662" i="1"/>
  <c r="B23663" i="1"/>
  <c r="C23663" i="1"/>
  <c r="B23664" i="1"/>
  <c r="C23664" i="1"/>
  <c r="B23665" i="1"/>
  <c r="C23665" i="1"/>
  <c r="B23666" i="1"/>
  <c r="C23666" i="1"/>
  <c r="B23667" i="1"/>
  <c r="C23667" i="1"/>
  <c r="B23668" i="1"/>
  <c r="C23668" i="1"/>
  <c r="B23669" i="1"/>
  <c r="C23669" i="1"/>
  <c r="B23670" i="1"/>
  <c r="C23670" i="1"/>
  <c r="B23671" i="1"/>
  <c r="C23671" i="1"/>
  <c r="B23672" i="1"/>
  <c r="C23672" i="1"/>
  <c r="B23673" i="1"/>
  <c r="C23673" i="1"/>
  <c r="B23674" i="1"/>
  <c r="C23674" i="1"/>
  <c r="B23675" i="1"/>
  <c r="C23675" i="1"/>
  <c r="B23676" i="1"/>
  <c r="C23676" i="1"/>
  <c r="B23677" i="1"/>
  <c r="C23677" i="1"/>
  <c r="B23678" i="1"/>
  <c r="C23678" i="1"/>
  <c r="B23679" i="1"/>
  <c r="C23679" i="1"/>
  <c r="B23680" i="1"/>
  <c r="C23680" i="1"/>
  <c r="B23681" i="1"/>
  <c r="C23681" i="1"/>
  <c r="B23682" i="1"/>
  <c r="C23682" i="1"/>
  <c r="B23683" i="1"/>
  <c r="C23683" i="1"/>
  <c r="B23684" i="1"/>
  <c r="C23684" i="1"/>
  <c r="B23685" i="1"/>
  <c r="C23685" i="1"/>
  <c r="B23686" i="1"/>
  <c r="C23686" i="1"/>
  <c r="B23687" i="1"/>
  <c r="C23687" i="1"/>
  <c r="B23688" i="1"/>
  <c r="C23688" i="1"/>
  <c r="B23689" i="1"/>
  <c r="C23689" i="1"/>
  <c r="B23690" i="1"/>
  <c r="C23690" i="1"/>
  <c r="B23691" i="1"/>
  <c r="C23691" i="1"/>
  <c r="B23692" i="1"/>
  <c r="C23692" i="1"/>
  <c r="B23693" i="1"/>
  <c r="C23693" i="1"/>
  <c r="B23694" i="1"/>
  <c r="C23694" i="1"/>
  <c r="B23695" i="1"/>
  <c r="C23695" i="1"/>
  <c r="B23696" i="1"/>
  <c r="C23696" i="1"/>
  <c r="B23697" i="1"/>
  <c r="C23697" i="1"/>
  <c r="B23698" i="1"/>
  <c r="C23698" i="1"/>
  <c r="B23699" i="1"/>
  <c r="C23699" i="1"/>
  <c r="B23700" i="1"/>
  <c r="C23700" i="1"/>
  <c r="B23701" i="1"/>
  <c r="C23701" i="1"/>
  <c r="B23702" i="1"/>
  <c r="C23702" i="1"/>
  <c r="B23703" i="1"/>
  <c r="C23703" i="1"/>
  <c r="B23704" i="1"/>
  <c r="C23704" i="1"/>
  <c r="B23705" i="1"/>
  <c r="C23705" i="1"/>
  <c r="B23706" i="1"/>
  <c r="C23706" i="1"/>
  <c r="B23707" i="1"/>
  <c r="C23707" i="1"/>
  <c r="B23708" i="1"/>
  <c r="C23708" i="1"/>
  <c r="B23709" i="1"/>
  <c r="C23709" i="1"/>
  <c r="B23710" i="1"/>
  <c r="C23710" i="1"/>
  <c r="B23711" i="1"/>
  <c r="C23711" i="1"/>
  <c r="B23712" i="1"/>
  <c r="C23712" i="1"/>
  <c r="B23713" i="1"/>
  <c r="C23713" i="1"/>
  <c r="B23714" i="1"/>
  <c r="C23714" i="1"/>
  <c r="B23715" i="1"/>
  <c r="C23715" i="1"/>
  <c r="B23716" i="1"/>
  <c r="C23716" i="1"/>
  <c r="B23717" i="1"/>
  <c r="C23717" i="1"/>
  <c r="B23718" i="1"/>
  <c r="C23718" i="1"/>
  <c r="B23719" i="1"/>
  <c r="C23719" i="1"/>
  <c r="B23720" i="1"/>
  <c r="C23720" i="1"/>
  <c r="B23721" i="1"/>
  <c r="C23721" i="1"/>
  <c r="B23722" i="1"/>
  <c r="C23722" i="1"/>
  <c r="B23723" i="1"/>
  <c r="C23723" i="1"/>
  <c r="B23724" i="1"/>
  <c r="C23724" i="1"/>
  <c r="B23725" i="1"/>
  <c r="C23725" i="1"/>
  <c r="B23726" i="1"/>
  <c r="C23726" i="1"/>
  <c r="B23727" i="1"/>
  <c r="C23727" i="1"/>
  <c r="B23728" i="1"/>
  <c r="C23728" i="1"/>
  <c r="B23729" i="1"/>
  <c r="C23729" i="1"/>
  <c r="B23730" i="1"/>
  <c r="C23730" i="1"/>
  <c r="B23731" i="1"/>
  <c r="C23731" i="1"/>
  <c r="B23732" i="1"/>
  <c r="C23732" i="1"/>
  <c r="B23733" i="1"/>
  <c r="C23733" i="1"/>
  <c r="B23734" i="1"/>
  <c r="C23734" i="1"/>
  <c r="B23735" i="1"/>
  <c r="C23735" i="1"/>
  <c r="B23736" i="1"/>
  <c r="C23736" i="1"/>
  <c r="B23737" i="1"/>
  <c r="C23737" i="1"/>
  <c r="B23738" i="1"/>
  <c r="C23738" i="1"/>
  <c r="B23739" i="1"/>
  <c r="C23739" i="1"/>
  <c r="B23740" i="1"/>
  <c r="C23740" i="1"/>
  <c r="B23741" i="1"/>
  <c r="C23741" i="1"/>
  <c r="B23742" i="1"/>
  <c r="C23742" i="1"/>
  <c r="B23743" i="1"/>
  <c r="C23743" i="1"/>
  <c r="B23744" i="1"/>
  <c r="C23744" i="1"/>
  <c r="B23745" i="1"/>
  <c r="C23745" i="1"/>
  <c r="B23746" i="1"/>
  <c r="C23746" i="1"/>
  <c r="B23747" i="1"/>
  <c r="C23747" i="1"/>
  <c r="B23748" i="1"/>
  <c r="C23748" i="1"/>
  <c r="B23749" i="1"/>
  <c r="C23749" i="1"/>
  <c r="B23750" i="1"/>
  <c r="C23750" i="1"/>
  <c r="B23751" i="1"/>
  <c r="C23751" i="1"/>
  <c r="B23752" i="1"/>
  <c r="C23752" i="1"/>
  <c r="B23753" i="1"/>
  <c r="C23753" i="1"/>
  <c r="B23754" i="1"/>
  <c r="C23754" i="1"/>
  <c r="B23755" i="1"/>
  <c r="C23755" i="1"/>
  <c r="B23756" i="1"/>
  <c r="C23756" i="1"/>
  <c r="B23757" i="1"/>
  <c r="C23757" i="1"/>
  <c r="B23758" i="1"/>
  <c r="C23758" i="1"/>
  <c r="B23759" i="1"/>
  <c r="C23759" i="1"/>
  <c r="B23760" i="1"/>
  <c r="C23760" i="1"/>
  <c r="B23761" i="1"/>
  <c r="C23761" i="1"/>
  <c r="B23762" i="1"/>
  <c r="C23762" i="1"/>
  <c r="B23763" i="1"/>
  <c r="C23763" i="1"/>
  <c r="B23764" i="1"/>
  <c r="C23764" i="1"/>
  <c r="B23765" i="1"/>
  <c r="C23765" i="1"/>
  <c r="B23766" i="1"/>
  <c r="C23766" i="1"/>
  <c r="B23767" i="1"/>
  <c r="C23767" i="1"/>
  <c r="B23768" i="1"/>
  <c r="C23768" i="1"/>
  <c r="B23769" i="1"/>
  <c r="C23769" i="1"/>
  <c r="B23770" i="1"/>
  <c r="C23770" i="1"/>
  <c r="B23771" i="1"/>
  <c r="C23771" i="1"/>
  <c r="B23772" i="1"/>
  <c r="C23772" i="1"/>
  <c r="B23773" i="1"/>
  <c r="C23773" i="1"/>
  <c r="B23774" i="1"/>
  <c r="C23774" i="1"/>
  <c r="B23775" i="1"/>
  <c r="C23775" i="1"/>
  <c r="B23776" i="1"/>
  <c r="C23776" i="1"/>
  <c r="B23777" i="1"/>
  <c r="C23777" i="1"/>
  <c r="B23778" i="1"/>
  <c r="C23778" i="1"/>
  <c r="B23779" i="1"/>
  <c r="C23779" i="1"/>
  <c r="B23780" i="1"/>
  <c r="C23780" i="1"/>
  <c r="B23781" i="1"/>
  <c r="C23781" i="1"/>
  <c r="B23782" i="1"/>
  <c r="C23782" i="1"/>
  <c r="B23783" i="1"/>
  <c r="C23783" i="1"/>
  <c r="B23784" i="1"/>
  <c r="C23784" i="1"/>
  <c r="B23785" i="1"/>
  <c r="C23785" i="1"/>
  <c r="B23786" i="1"/>
  <c r="C23786" i="1"/>
  <c r="B23787" i="1"/>
  <c r="C23787" i="1"/>
  <c r="B23788" i="1"/>
  <c r="C23788" i="1"/>
  <c r="B23789" i="1"/>
  <c r="C23789" i="1"/>
  <c r="B23790" i="1"/>
  <c r="C23790" i="1"/>
  <c r="B23791" i="1"/>
  <c r="C23791" i="1"/>
  <c r="B23792" i="1"/>
  <c r="C23792" i="1"/>
  <c r="B23793" i="1"/>
  <c r="C23793" i="1"/>
  <c r="B23794" i="1"/>
  <c r="C23794" i="1"/>
  <c r="B23795" i="1"/>
  <c r="C23795" i="1"/>
  <c r="B23796" i="1"/>
  <c r="C23796" i="1"/>
  <c r="B23797" i="1"/>
  <c r="C23797" i="1"/>
  <c r="B23798" i="1"/>
  <c r="C23798" i="1"/>
  <c r="B23799" i="1"/>
  <c r="C23799" i="1"/>
  <c r="B23800" i="1"/>
  <c r="C23800" i="1"/>
  <c r="B23801" i="1"/>
  <c r="C23801" i="1"/>
  <c r="B23802" i="1"/>
  <c r="C23802" i="1"/>
  <c r="B23803" i="1"/>
  <c r="C23803" i="1"/>
  <c r="B23804" i="1"/>
  <c r="C23804" i="1"/>
  <c r="B23805" i="1"/>
  <c r="C23805" i="1"/>
  <c r="B23806" i="1"/>
  <c r="C23806" i="1"/>
  <c r="B23807" i="1"/>
  <c r="C23807" i="1"/>
  <c r="B23808" i="1"/>
  <c r="C23808" i="1"/>
  <c r="B23809" i="1"/>
  <c r="C23809" i="1"/>
  <c r="B23810" i="1"/>
  <c r="C23810" i="1"/>
  <c r="B23811" i="1"/>
  <c r="C23811" i="1"/>
  <c r="B23812" i="1"/>
  <c r="C23812" i="1"/>
  <c r="B23813" i="1"/>
  <c r="C23813" i="1"/>
  <c r="B23814" i="1"/>
  <c r="C23814" i="1"/>
  <c r="B23815" i="1"/>
  <c r="C23815" i="1"/>
  <c r="B23816" i="1"/>
  <c r="C23816" i="1"/>
  <c r="B23817" i="1"/>
  <c r="C23817" i="1"/>
  <c r="B23818" i="1"/>
  <c r="C23818" i="1"/>
  <c r="B23819" i="1"/>
  <c r="C23819" i="1"/>
  <c r="B23820" i="1"/>
  <c r="C23820" i="1"/>
  <c r="B23821" i="1"/>
  <c r="C23821" i="1"/>
  <c r="B23822" i="1"/>
  <c r="C23822" i="1"/>
  <c r="B23823" i="1"/>
  <c r="C23823" i="1"/>
  <c r="B23824" i="1"/>
  <c r="C23824" i="1"/>
  <c r="B23825" i="1"/>
  <c r="C23825" i="1"/>
  <c r="B23826" i="1"/>
  <c r="C23826" i="1"/>
  <c r="B23827" i="1"/>
  <c r="C23827" i="1"/>
  <c r="B23828" i="1"/>
  <c r="C23828" i="1"/>
  <c r="B23829" i="1"/>
  <c r="C23829" i="1"/>
  <c r="B23830" i="1"/>
  <c r="C23830" i="1"/>
  <c r="B23831" i="1"/>
  <c r="C23831" i="1"/>
  <c r="B23832" i="1"/>
  <c r="C23832" i="1"/>
  <c r="B23833" i="1"/>
  <c r="C23833" i="1"/>
  <c r="B23834" i="1"/>
  <c r="C23834" i="1"/>
  <c r="B23835" i="1"/>
  <c r="C23835" i="1"/>
  <c r="B23836" i="1"/>
  <c r="C23836" i="1"/>
  <c r="B23837" i="1"/>
  <c r="C23837" i="1"/>
  <c r="B23838" i="1"/>
  <c r="C23838" i="1"/>
  <c r="B23839" i="1"/>
  <c r="C23839" i="1"/>
  <c r="B23840" i="1"/>
  <c r="C23840" i="1"/>
  <c r="B23841" i="1"/>
  <c r="C23841" i="1"/>
  <c r="B23842" i="1"/>
  <c r="C23842" i="1"/>
  <c r="B23843" i="1"/>
  <c r="C23843" i="1"/>
  <c r="B23844" i="1"/>
  <c r="C23844" i="1"/>
  <c r="B23845" i="1"/>
  <c r="C23845" i="1"/>
  <c r="B23846" i="1"/>
  <c r="C23846" i="1"/>
  <c r="B23847" i="1"/>
  <c r="C23847" i="1"/>
  <c r="B23848" i="1"/>
  <c r="C23848" i="1"/>
  <c r="B23849" i="1"/>
  <c r="C23849" i="1"/>
  <c r="B23850" i="1"/>
  <c r="C23850" i="1"/>
  <c r="B23851" i="1"/>
  <c r="C23851" i="1"/>
  <c r="B23852" i="1"/>
  <c r="C23852" i="1"/>
  <c r="B23853" i="1"/>
  <c r="C23853" i="1"/>
  <c r="B23854" i="1"/>
  <c r="C23854" i="1"/>
  <c r="B23855" i="1"/>
  <c r="C23855" i="1"/>
  <c r="B23856" i="1"/>
  <c r="C23856" i="1"/>
  <c r="B23857" i="1"/>
  <c r="C23857" i="1"/>
  <c r="B23858" i="1"/>
  <c r="C23858" i="1"/>
  <c r="B23859" i="1"/>
  <c r="C23859" i="1"/>
  <c r="B23860" i="1"/>
  <c r="C23860" i="1"/>
  <c r="B23861" i="1"/>
  <c r="C23861" i="1"/>
  <c r="B23862" i="1"/>
  <c r="C23862" i="1"/>
  <c r="B23863" i="1"/>
  <c r="C23863" i="1"/>
  <c r="B23864" i="1"/>
  <c r="C23864" i="1"/>
  <c r="B23865" i="1"/>
  <c r="C23865" i="1"/>
  <c r="B23866" i="1"/>
  <c r="C23866" i="1"/>
  <c r="B23867" i="1"/>
  <c r="C23867" i="1"/>
  <c r="B23868" i="1"/>
  <c r="C23868" i="1"/>
  <c r="B23869" i="1"/>
  <c r="C23869" i="1"/>
  <c r="B23870" i="1"/>
  <c r="C23870" i="1"/>
  <c r="B23871" i="1"/>
  <c r="C23871" i="1"/>
  <c r="B23872" i="1"/>
  <c r="C23872" i="1"/>
  <c r="B23873" i="1"/>
  <c r="C23873" i="1"/>
  <c r="B23874" i="1"/>
  <c r="C23874" i="1"/>
  <c r="B23875" i="1"/>
  <c r="C23875" i="1"/>
  <c r="B23876" i="1"/>
  <c r="C23876" i="1"/>
  <c r="B23877" i="1"/>
  <c r="C23877" i="1"/>
  <c r="B23878" i="1"/>
  <c r="C23878" i="1"/>
  <c r="B23879" i="1"/>
  <c r="C23879" i="1"/>
  <c r="B23880" i="1"/>
  <c r="C23880" i="1"/>
  <c r="B23881" i="1"/>
  <c r="C23881" i="1"/>
  <c r="B23882" i="1"/>
  <c r="C23882" i="1"/>
  <c r="B23883" i="1"/>
  <c r="C23883" i="1"/>
  <c r="B23884" i="1"/>
  <c r="C23884" i="1"/>
  <c r="B23885" i="1"/>
  <c r="C23885" i="1"/>
  <c r="B23886" i="1"/>
  <c r="C23886" i="1"/>
  <c r="B23887" i="1"/>
  <c r="C23887" i="1"/>
  <c r="B23888" i="1"/>
  <c r="C23888" i="1"/>
  <c r="B23889" i="1"/>
  <c r="C23889" i="1"/>
  <c r="B23890" i="1"/>
  <c r="C23890" i="1"/>
  <c r="B23891" i="1"/>
  <c r="C23891" i="1"/>
  <c r="B23892" i="1"/>
  <c r="C23892" i="1"/>
  <c r="B23893" i="1"/>
  <c r="C23893" i="1"/>
  <c r="B23894" i="1"/>
  <c r="C23894" i="1"/>
  <c r="B23895" i="1"/>
  <c r="C23895" i="1"/>
  <c r="B23896" i="1"/>
  <c r="C23896" i="1"/>
  <c r="B23897" i="1"/>
  <c r="C23897" i="1"/>
  <c r="B23898" i="1"/>
  <c r="C23898" i="1"/>
  <c r="B23899" i="1"/>
  <c r="C23899" i="1"/>
  <c r="B23900" i="1"/>
  <c r="C23900" i="1"/>
  <c r="B23901" i="1"/>
  <c r="C23901" i="1"/>
  <c r="B23902" i="1"/>
  <c r="C23902" i="1"/>
  <c r="B23903" i="1"/>
  <c r="C23903" i="1"/>
  <c r="O109" i="1" l="1"/>
  <c r="P108" i="1"/>
  <c r="S107" i="1"/>
  <c r="P107" i="1"/>
  <c r="Q106" i="1"/>
  <c r="Q104" i="1"/>
  <c r="Q102" i="1"/>
  <c r="P98" i="1"/>
  <c r="S97" i="1"/>
  <c r="Q96" i="1"/>
  <c r="P94" i="1"/>
  <c r="O91" i="1"/>
  <c r="R86" i="1"/>
  <c r="S85" i="1"/>
  <c r="P82" i="1"/>
  <c r="S81" i="1"/>
  <c r="O81" i="1"/>
  <c r="R78" i="1"/>
  <c r="R77" i="1"/>
  <c r="Q76" i="1"/>
  <c r="Q73" i="1"/>
  <c r="S72" i="1"/>
  <c r="P72" i="1"/>
  <c r="R71" i="1"/>
  <c r="Q69" i="1"/>
  <c r="Q68" i="1"/>
  <c r="O67" i="1"/>
  <c r="Q65" i="1"/>
  <c r="Q61" i="1"/>
  <c r="O61" i="1"/>
  <c r="Q60" i="1"/>
  <c r="R59" i="1"/>
  <c r="R57" i="1"/>
  <c r="O55" i="1"/>
  <c r="S54" i="1"/>
  <c r="P54" i="1"/>
  <c r="S53" i="1"/>
  <c r="Q51" i="1"/>
  <c r="O50" i="1"/>
  <c r="R49" i="1"/>
  <c r="O49" i="1"/>
  <c r="R48" i="1"/>
  <c r="O48" i="1"/>
  <c r="S47" i="1"/>
  <c r="P47" i="1"/>
  <c r="Q46" i="1"/>
  <c r="R45" i="1"/>
  <c r="O45" i="1"/>
  <c r="R44" i="1"/>
  <c r="O44" i="1"/>
  <c r="O42" i="1"/>
  <c r="P40" i="1"/>
  <c r="R34" i="1"/>
  <c r="P34" i="1"/>
  <c r="R32" i="1"/>
  <c r="P32" i="1"/>
  <c r="R29" i="1"/>
  <c r="P29" i="1"/>
  <c r="S27" i="1"/>
  <c r="P27" i="1"/>
  <c r="S25" i="1"/>
  <c r="Q25" i="1"/>
  <c r="P25" i="1"/>
  <c r="O25" i="1"/>
  <c r="S24" i="1"/>
  <c r="R24" i="1"/>
  <c r="Q24" i="1"/>
  <c r="P24" i="1"/>
  <c r="O24" i="1"/>
  <c r="S23" i="1"/>
  <c r="R22" i="1"/>
  <c r="R20" i="1"/>
  <c r="Q20" i="1"/>
  <c r="P20" i="1"/>
  <c r="O20" i="1"/>
  <c r="R19" i="1"/>
  <c r="P19" i="1"/>
  <c r="R18" i="1"/>
  <c r="P18" i="1"/>
  <c r="S17" i="1"/>
  <c r="R17" i="1"/>
  <c r="P17" i="1"/>
  <c r="O17" i="1"/>
  <c r="R16" i="1"/>
  <c r="P16" i="1"/>
  <c r="R15" i="1"/>
  <c r="P15" i="1"/>
  <c r="S14" i="1"/>
  <c r="Q14" i="1"/>
  <c r="P14" i="1"/>
  <c r="O14" i="1"/>
  <c r="S13" i="1"/>
  <c r="R13" i="1"/>
  <c r="Q13" i="1"/>
  <c r="O13" i="1"/>
  <c r="S12" i="1"/>
  <c r="R12" i="1"/>
  <c r="Q12" i="1"/>
  <c r="P12" i="1"/>
  <c r="O12" i="1"/>
  <c r="S11" i="1"/>
  <c r="R11" i="1"/>
  <c r="Q11" i="1"/>
  <c r="P11" i="1"/>
  <c r="O11" i="1"/>
  <c r="S10" i="1"/>
  <c r="R10" i="1"/>
  <c r="Q10" i="1"/>
  <c r="P10" i="1"/>
  <c r="O10" i="1"/>
  <c r="S9" i="1"/>
  <c r="R9" i="1"/>
  <c r="Q9" i="1"/>
  <c r="P9" i="1"/>
  <c r="O9" i="1"/>
  <c r="S8" i="1"/>
  <c r="S7" i="1"/>
  <c r="R7" i="1"/>
  <c r="Q7" i="1"/>
  <c r="P7" i="1"/>
  <c r="O7" i="1"/>
  <c r="S6" i="1"/>
  <c r="R6" i="1"/>
  <c r="Q6" i="1"/>
  <c r="P6" i="1"/>
  <c r="O6" i="1"/>
  <c r="S5" i="1"/>
  <c r="R5" i="1"/>
  <c r="Q5" i="1"/>
  <c r="P5" i="1"/>
  <c r="O5" i="1"/>
  <c r="S4" i="1"/>
  <c r="R4" i="1"/>
  <c r="Q4" i="1"/>
  <c r="P4" i="1"/>
  <c r="O4" i="1"/>
  <c r="S3" i="1"/>
  <c r="R3" i="1"/>
  <c r="Q3" i="1"/>
  <c r="P3" i="1"/>
  <c r="O3" i="1"/>
  <c r="N2" i="1"/>
  <c r="R111" i="1"/>
  <c r="P110" i="1"/>
  <c r="Q108" i="1"/>
  <c r="O106" i="1"/>
  <c r="S104" i="1"/>
  <c r="S100" i="1"/>
  <c r="Q99" i="1"/>
  <c r="O99" i="1"/>
  <c r="Q97" i="1"/>
  <c r="S95" i="1"/>
  <c r="O95" i="1"/>
  <c r="P92" i="1"/>
  <c r="R87" i="1"/>
  <c r="R84" i="1"/>
  <c r="O84" i="1"/>
  <c r="O83" i="1"/>
  <c r="P80" i="1"/>
  <c r="P79" i="1"/>
  <c r="Q78" i="1"/>
  <c r="P74" i="1"/>
  <c r="O72" i="1"/>
  <c r="O69" i="1"/>
  <c r="S68" i="1"/>
  <c r="Q66" i="1"/>
  <c r="R65" i="1"/>
  <c r="R64" i="1"/>
  <c r="R63" i="1"/>
  <c r="S62" i="1"/>
  <c r="O62" i="1"/>
  <c r="Q59" i="1"/>
  <c r="S58" i="1"/>
  <c r="P56" i="1"/>
  <c r="Q55" i="1"/>
  <c r="Q54" i="1"/>
  <c r="R52" i="1"/>
  <c r="R50" i="1"/>
  <c r="Q49" i="1"/>
  <c r="S48" i="1"/>
  <c r="P48" i="1"/>
  <c r="P45" i="1"/>
  <c r="S41" i="1"/>
  <c r="O41" i="1"/>
  <c r="S40" i="1"/>
  <c r="S39" i="1"/>
  <c r="O28" i="1"/>
  <c r="S111" i="1"/>
  <c r="P109" i="1"/>
  <c r="O108" i="1"/>
  <c r="R107" i="1"/>
  <c r="P106" i="1"/>
  <c r="P103" i="1"/>
  <c r="R102" i="1"/>
  <c r="O100" i="1"/>
  <c r="S98" i="1"/>
  <c r="R92" i="1"/>
  <c r="P91" i="1"/>
  <c r="Q90" i="1"/>
  <c r="P87" i="1"/>
  <c r="O86" i="1"/>
  <c r="Q80" i="1"/>
  <c r="R76" i="1"/>
  <c r="S75" i="1"/>
  <c r="S74" i="1"/>
  <c r="R73" i="1"/>
  <c r="R72" i="1"/>
  <c r="O70" i="1"/>
  <c r="R69" i="1"/>
  <c r="P66" i="1"/>
  <c r="P59" i="1"/>
  <c r="P58" i="1"/>
  <c r="S57" i="1"/>
  <c r="O57" i="1"/>
  <c r="S56" i="1"/>
  <c r="S55" i="1"/>
  <c r="P53" i="1"/>
  <c r="S52" i="1"/>
  <c r="P52" i="1"/>
  <c r="P51" i="1"/>
  <c r="S50" i="1"/>
  <c r="Q48" i="1"/>
  <c r="R46" i="1"/>
  <c r="O46" i="1"/>
  <c r="S45" i="1"/>
  <c r="P43" i="1"/>
  <c r="S42" i="1"/>
  <c r="Q42" i="1"/>
  <c r="R40" i="1"/>
  <c r="O40" i="1"/>
  <c r="R38" i="1"/>
  <c r="O38" i="1"/>
  <c r="S37" i="1"/>
  <c r="Q37" i="1"/>
  <c r="P37" i="1"/>
  <c r="S36" i="1"/>
  <c r="Q36" i="1"/>
  <c r="O36" i="1"/>
  <c r="S35" i="1"/>
  <c r="Q35" i="1"/>
  <c r="O35" i="1"/>
  <c r="S34" i="1"/>
  <c r="Q34" i="1"/>
  <c r="O34" i="1"/>
  <c r="S32" i="1"/>
  <c r="Q32" i="1"/>
  <c r="O32" i="1"/>
  <c r="Q31" i="1"/>
  <c r="P31" i="1"/>
  <c r="O31" i="1"/>
  <c r="S29" i="1"/>
  <c r="Q29" i="1"/>
  <c r="O29" i="1"/>
  <c r="S28" i="1"/>
  <c r="O27" i="1"/>
  <c r="Q8" i="1"/>
  <c r="O107" i="1"/>
  <c r="Q105" i="1"/>
  <c r="P102" i="1"/>
  <c r="R101" i="1"/>
  <c r="Q100" i="1"/>
  <c r="R97" i="1"/>
  <c r="S96" i="1"/>
  <c r="O96" i="1"/>
  <c r="R95" i="1"/>
  <c r="Q94" i="1"/>
  <c r="O93" i="1"/>
  <c r="P89" i="1"/>
  <c r="R88" i="1"/>
  <c r="O85" i="1"/>
  <c r="S84" i="1"/>
  <c r="P83" i="1"/>
  <c r="Q82" i="1"/>
  <c r="S80" i="1"/>
  <c r="S79" i="1"/>
  <c r="O79" i="1"/>
  <c r="P78" i="1"/>
  <c r="Q77" i="1"/>
  <c r="P75" i="1"/>
  <c r="P71" i="1"/>
  <c r="P70" i="1"/>
  <c r="R67" i="1"/>
  <c r="S66" i="1"/>
  <c r="P62" i="1"/>
  <c r="S61" i="1"/>
  <c r="S60" i="1"/>
  <c r="Q56" i="1"/>
  <c r="O56" i="1"/>
  <c r="R55" i="1"/>
  <c r="Q53" i="1"/>
  <c r="Q52" i="1"/>
  <c r="S51" i="1"/>
  <c r="Q50" i="1"/>
  <c r="P8" i="1"/>
  <c r="S105" i="1"/>
  <c r="P105" i="1"/>
  <c r="O104" i="1"/>
  <c r="O103" i="1"/>
  <c r="S102" i="1"/>
  <c r="Q101" i="1"/>
  <c r="R100" i="1"/>
  <c r="R99" i="1"/>
  <c r="O98" i="1"/>
  <c r="Q95" i="1"/>
  <c r="R93" i="1"/>
  <c r="Q92" i="1"/>
  <c r="S91" i="1"/>
  <c r="O89" i="1"/>
  <c r="S88" i="1"/>
  <c r="Q87" i="1"/>
  <c r="S86" i="1"/>
  <c r="Q85" i="1"/>
  <c r="Q83" i="1"/>
  <c r="S82" i="1"/>
  <c r="R81" i="1"/>
  <c r="O80" i="1"/>
  <c r="R79" i="1"/>
  <c r="Q75" i="1"/>
  <c r="S71" i="1"/>
  <c r="Q70" i="1"/>
  <c r="P68" i="1"/>
  <c r="Q67" i="1"/>
  <c r="R66" i="1"/>
  <c r="S65" i="1"/>
  <c r="P64" i="1"/>
  <c r="S63" i="1"/>
  <c r="P63" i="1"/>
  <c r="R62" i="1"/>
  <c r="O60" i="1"/>
  <c r="R58" i="1"/>
  <c r="O58" i="1"/>
  <c r="Q57" i="1"/>
  <c r="P55" i="1"/>
  <c r="R54" i="1"/>
  <c r="R53" i="1"/>
  <c r="Q47" i="1"/>
  <c r="S46" i="1"/>
  <c r="P46" i="1"/>
  <c r="R43" i="1"/>
  <c r="Q41" i="1"/>
  <c r="R39" i="1"/>
  <c r="O39" i="1"/>
  <c r="R37" i="1"/>
  <c r="O37" i="1"/>
  <c r="R35" i="1"/>
  <c r="P35" i="1"/>
  <c r="R33" i="1"/>
  <c r="O33" i="1"/>
  <c r="S31" i="1"/>
  <c r="R30" i="1"/>
  <c r="Q28" i="1"/>
  <c r="P28" i="1"/>
  <c r="R27" i="1"/>
  <c r="R25" i="1"/>
  <c r="R23" i="1"/>
  <c r="Q22" i="1"/>
  <c r="P22" i="1"/>
  <c r="O22" i="1"/>
  <c r="S21" i="1"/>
  <c r="O19" i="1"/>
  <c r="R8" i="1"/>
  <c r="S110" i="1"/>
  <c r="S109" i="1"/>
  <c r="R103" i="1"/>
  <c r="S101" i="1"/>
  <c r="P97" i="1"/>
  <c r="P96" i="1"/>
  <c r="S94" i="1"/>
  <c r="O94" i="1"/>
  <c r="Q91" i="1"/>
  <c r="S90" i="1"/>
  <c r="O88" i="1"/>
  <c r="S87" i="1"/>
  <c r="O87" i="1"/>
  <c r="Q86" i="1"/>
  <c r="R80" i="1"/>
  <c r="O74" i="1"/>
  <c r="Q71" i="1"/>
  <c r="R70" i="1"/>
  <c r="O68" i="1"/>
  <c r="O65" i="1"/>
  <c r="Q64" i="1"/>
  <c r="P60" i="1"/>
  <c r="S59" i="1"/>
  <c r="P57" i="1"/>
  <c r="R56" i="1"/>
  <c r="O52" i="1"/>
  <c r="P50" i="1"/>
  <c r="S49" i="1"/>
  <c r="R47" i="1"/>
  <c r="O47" i="1"/>
  <c r="Q45" i="1"/>
  <c r="S44" i="1"/>
  <c r="Q44" i="1"/>
  <c r="P44" i="1"/>
  <c r="S43" i="1"/>
  <c r="Q43" i="1"/>
  <c r="O43" i="1"/>
  <c r="R42" i="1"/>
  <c r="P42" i="1"/>
  <c r="R41" i="1"/>
  <c r="P41" i="1"/>
  <c r="Q39" i="1"/>
  <c r="P39" i="1"/>
  <c r="S38" i="1"/>
  <c r="Q38" i="1"/>
  <c r="P38" i="1"/>
  <c r="R36" i="1"/>
  <c r="P36" i="1"/>
  <c r="S33" i="1"/>
  <c r="Q33" i="1"/>
  <c r="P33" i="1"/>
  <c r="R31" i="1"/>
  <c r="S30" i="1"/>
  <c r="Q30" i="1"/>
  <c r="P30" i="1"/>
  <c r="O30" i="1"/>
  <c r="R28" i="1"/>
  <c r="Q27" i="1"/>
  <c r="S26" i="1"/>
  <c r="R26" i="1"/>
  <c r="Q26" i="1"/>
  <c r="P26" i="1"/>
  <c r="O26" i="1"/>
  <c r="Q23" i="1"/>
  <c r="P23" i="1"/>
  <c r="O23" i="1"/>
  <c r="S22" i="1"/>
  <c r="R21" i="1"/>
  <c r="Q21" i="1"/>
  <c r="P21" i="1"/>
  <c r="O21" i="1"/>
  <c r="S20" i="1"/>
  <c r="S19" i="1"/>
  <c r="Q19" i="1"/>
  <c r="S18" i="1"/>
  <c r="Q18" i="1"/>
  <c r="O18" i="1"/>
  <c r="Q17" i="1"/>
  <c r="S16" i="1"/>
  <c r="Q16" i="1"/>
  <c r="O16" i="1"/>
  <c r="S15" i="1"/>
  <c r="Q15" i="1"/>
  <c r="O15" i="1"/>
  <c r="R14" i="1"/>
  <c r="P13" i="1"/>
  <c r="O8" i="1"/>
  <c r="Q111" i="1"/>
  <c r="R110" i="1"/>
  <c r="R109" i="1"/>
  <c r="Q107" i="1"/>
  <c r="R106" i="1"/>
  <c r="R105" i="1"/>
  <c r="R104" i="1"/>
  <c r="P104" i="1"/>
  <c r="S103" i="1"/>
  <c r="O101" i="1"/>
  <c r="P90" i="1"/>
  <c r="R82" i="1"/>
  <c r="P81" i="1"/>
  <c r="S78" i="1"/>
  <c r="O78" i="1"/>
  <c r="O75" i="1"/>
  <c r="S73" i="1"/>
  <c r="P73" i="1"/>
  <c r="Q72" i="1"/>
  <c r="S69" i="1"/>
  <c r="R68" i="1"/>
  <c r="O64" i="1"/>
  <c r="O63" i="1"/>
  <c r="Q62" i="1"/>
  <c r="R61" i="1"/>
  <c r="P61" i="1"/>
  <c r="R60" i="1"/>
  <c r="O59" i="1"/>
  <c r="Q58" i="1"/>
  <c r="O54" i="1"/>
  <c r="O53" i="1"/>
  <c r="Q40" i="1"/>
  <c r="O111" i="1"/>
  <c r="S108" i="1"/>
  <c r="P101" i="1"/>
  <c r="R98" i="1"/>
  <c r="O97" i="1"/>
  <c r="Q93" i="1"/>
  <c r="R90" i="1"/>
  <c r="Q89" i="1"/>
  <c r="P88" i="1"/>
  <c r="P85" i="1"/>
  <c r="P84" i="1"/>
  <c r="S83" i="1"/>
  <c r="P77" i="1"/>
  <c r="S76" i="1"/>
  <c r="O76" i="1"/>
  <c r="R75" i="1"/>
  <c r="Q74" i="1"/>
  <c r="S70" i="1"/>
  <c r="P69" i="1"/>
  <c r="P67" i="1"/>
  <c r="O66" i="1"/>
  <c r="P65" i="1"/>
  <c r="S64" i="1"/>
  <c r="Q63" i="1"/>
  <c r="P49" i="1"/>
  <c r="P111" i="1"/>
  <c r="O110" i="1"/>
  <c r="S106" i="1"/>
  <c r="Q103" i="1"/>
  <c r="O102" i="1"/>
  <c r="P99" i="1"/>
  <c r="Q98" i="1"/>
  <c r="R96" i="1"/>
  <c r="P95" i="1"/>
  <c r="R94" i="1"/>
  <c r="S93" i="1"/>
  <c r="P93" i="1"/>
  <c r="S92" i="1"/>
  <c r="S89" i="1"/>
  <c r="Q84" i="1"/>
  <c r="O82" i="1"/>
  <c r="Q81" i="1"/>
  <c r="Q79" i="1"/>
  <c r="S77" i="1"/>
  <c r="O77" i="1"/>
  <c r="P76" i="1"/>
  <c r="R74" i="1"/>
  <c r="O73" i="1"/>
  <c r="O51" i="1"/>
  <c r="Q110" i="1"/>
  <c r="Q109" i="1"/>
  <c r="R108" i="1"/>
  <c r="O105" i="1"/>
  <c r="P100" i="1"/>
  <c r="S99" i="1"/>
  <c r="O92" i="1"/>
  <c r="R91" i="1"/>
  <c r="O90" i="1"/>
  <c r="R89" i="1"/>
  <c r="Q88" i="1"/>
  <c r="P86" i="1"/>
  <c r="R85" i="1"/>
  <c r="R83" i="1"/>
  <c r="O71" i="1"/>
  <c r="S67" i="1"/>
  <c r="R5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<sst xmlns="http://schemas.openxmlformats.org/spreadsheetml/2006/main" count="58764" uniqueCount="19">
  <si>
    <t/>
  </si>
  <si>
    <t>ES</t>
  </si>
  <si>
    <t>Unbranded</t>
  </si>
  <si>
    <t>Rexulti</t>
  </si>
  <si>
    <t>Inaqovi</t>
  </si>
  <si>
    <t>Abilify Maintena</t>
  </si>
  <si>
    <t>Lupkynis</t>
  </si>
  <si>
    <t>Brand</t>
  </si>
  <si>
    <t>Sent</t>
  </si>
  <si>
    <t>Total Clicks</t>
  </si>
  <si>
    <t>Clicked</t>
  </si>
  <si>
    <t>Total Opens</t>
  </si>
  <si>
    <t>Opened</t>
  </si>
  <si>
    <t>Sent Date</t>
  </si>
  <si>
    <t>Last Click</t>
  </si>
  <si>
    <t>Last Open</t>
  </si>
  <si>
    <t>Sent Email Name</t>
  </si>
  <si>
    <t>Approved Document Name</t>
  </si>
  <si>
    <t>Primary Country [**]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</si>
</sst>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809]dd\ mmm\ yyyy\ hh:mm\ ;@"/>
  </numFmts>
  <fonts count="5" x14ac:knownFonts="1">
    <font>
      <sz val="11"/>
      <color indexed="8"/>
      <name val="Aptos Narrow"/>
      <family val="2"/>
      <scheme val="minor"/>
    </font>
    <font>
      <u/>
      <sz val="11"/>
      <color indexed="12"/>
      <name val="Calibri"/>
      <family val="2"/>
    </font>
    <font>
      <b/>
      <sz val="11"/>
      <color indexed="8"/>
      <name val="Aptos Narrow"/>
      <family val="2"/>
      <scheme val="minor"/>
    </font>
    <font>
      <b/>
      <sz val="12"/>
      <color indexed="8"/>
      <name val="Aptos Narrow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64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/>
    <xf numFmtId="0" fontId="4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9CBC6-03E9-C44E-AFCD-FB3C11D1ACA8}">
  <dimension ref="A1:T23903"/>
  <sheetViews>
    <sheetView tabSelected="1" topLeftCell="A564" zoomScale="80" zoomScaleNormal="80" workbookViewId="0">
      <selection activeCell="D607" sqref="D607"/>
    </sheetView>
  </sheetViews>
  <sheetFormatPr baseColWidth="10" defaultColWidth="8.83203125" defaultRowHeight="15" x14ac:dyDescent="0.2"/>
  <cols>
    <col min="2" max="2" width="64" customWidth="1"/>
    <col min="3" max="3" width="23" customWidth="1"/>
    <col min="4" max="4" width="24.5" customWidth="1"/>
    <col min="8" max="8" width="31.33203125" customWidth="1"/>
    <col min="10" max="10" width="21.83203125" customWidth="1"/>
    <col min="14" max="14" width="65.1640625" customWidth="1"/>
    <col min="20" max="20" width="15.33203125" bestFit="1" customWidth="1"/>
  </cols>
  <sheetData>
    <row r="1" spans="1:20" ht="48" x14ac:dyDescent="0.2">
      <c r="A1" s="8" t="s">
        <v>18</v>
      </c>
      <c r="B1" s="8" t="s">
        <v>17</v>
      </c>
      <c r="C1" s="8" t="s">
        <v>16</v>
      </c>
      <c r="D1" s="8" t="s">
        <v>15</v>
      </c>
      <c r="E1" s="8" t="s">
        <v>12</v>
      </c>
      <c r="F1" s="8" t="s">
        <v>11</v>
      </c>
      <c r="G1" s="8" t="s">
        <v>10</v>
      </c>
      <c r="H1" s="8" t="s">
        <v>14</v>
      </c>
      <c r="I1" s="8" t="s">
        <v>9</v>
      </c>
      <c r="J1" s="8" t="s">
        <v>13</v>
      </c>
    </row>
    <row r="2" spans="1:20" ht="32" x14ac:dyDescent="0.2">
      <c r="A2" s="4" t="s">
        <v>1</v>
      </c>
      <c r="B2" s="3" t="str">
        <f>HYPERLINK("https://otsuka-europe-crm.veevavault.com/ui/#object/approved_document__v/V5OZ025E82TFUPI", "Spain - HCP Survey Email - June 2025")</f>
        <v>Spain - HCP Survey Email - June 2025</v>
      </c>
      <c r="C2" s="3" t="str">
        <f>HYPERLINK("https://otsuka-europe-crm.veevavault.com/ui/#object/sent_email__v/VBLZ025E82GMTAD", "SE-000267053")</f>
        <v>SE-000267053</v>
      </c>
      <c r="D2" s="1" t="s">
        <v>0</v>
      </c>
      <c r="E2" s="2">
        <v>0</v>
      </c>
      <c r="F2" s="2">
        <v>0</v>
      </c>
      <c r="G2" s="2">
        <v>0</v>
      </c>
      <c r="H2" s="1" t="s">
        <v>0</v>
      </c>
      <c r="I2" s="2">
        <v>0</v>
      </c>
      <c r="J2" s="1">
        <v>45915.37945601852</v>
      </c>
      <c r="N2" s="7" t="str" cm="1">
        <f t="array" ref="N2:N112">_xlfn.UNIQUE(B:B)</f>
        <v>Approved Document Name</v>
      </c>
      <c r="O2" s="6" t="s">
        <v>12</v>
      </c>
      <c r="P2" s="6" t="s">
        <v>11</v>
      </c>
      <c r="Q2" s="6" t="s">
        <v>10</v>
      </c>
      <c r="R2" s="6" t="s">
        <v>9</v>
      </c>
      <c r="S2" s="6" t="s">
        <v>8</v>
      </c>
      <c r="T2" s="6" t="s">
        <v>7</v>
      </c>
    </row>
    <row r="3" spans="1:20" x14ac:dyDescent="0.2">
      <c r="A3" s="4" t="s">
        <v>1</v>
      </c>
      <c r="B3" s="3" t="str">
        <f>HYPERLINK("https://otsuka-europe-crm.veevavault.com/ui/#object/approved_document__v/V5OZ025E82TFUPI", "Spain - HCP Survey Email - June 2025")</f>
        <v>Spain - HCP Survey Email - June 2025</v>
      </c>
      <c r="C3" s="3" t="str">
        <f>HYPERLINK("https://otsuka-europe-crm.veevavault.com/ui/#object/sent_email__v/VBLZ025E82GMTAE", "SE-000267054")</f>
        <v>SE-000267054</v>
      </c>
      <c r="D3" s="1">
        <v>45917.545995370368</v>
      </c>
      <c r="E3" s="2">
        <v>1</v>
      </c>
      <c r="F3" s="2">
        <v>1</v>
      </c>
      <c r="G3" s="2">
        <v>1</v>
      </c>
      <c r="H3" s="1">
        <v>45917.545995370368</v>
      </c>
      <c r="I3" s="2">
        <v>1</v>
      </c>
      <c r="J3" s="1">
        <v>45915.37771990741</v>
      </c>
      <c r="N3" t="str">
        <v>Spain - HCP Survey Email - June 2025</v>
      </c>
      <c r="O3">
        <f>SUMIF($B:$B,$N3,$E:$E)</f>
        <v>2868</v>
      </c>
      <c r="P3">
        <f>SUMIF($B:$B,$N3,$F:$F)</f>
        <v>5176</v>
      </c>
      <c r="Q3">
        <f>SUMIF($B:$B,$N3,$G:$G)</f>
        <v>623</v>
      </c>
      <c r="R3">
        <f>SUMIF($B:$B,$N3,$I:$I)</f>
        <v>884</v>
      </c>
      <c r="S3">
        <f>COUNTIF($B:$B,$N3)</f>
        <v>5772</v>
      </c>
      <c r="T3" s="5" t="s">
        <v>2</v>
      </c>
    </row>
    <row r="4" spans="1:20" x14ac:dyDescent="0.2">
      <c r="A4" s="4" t="s">
        <v>1</v>
      </c>
      <c r="B4" s="3" t="str">
        <f>HYPERLINK("https://otsuka-europe-crm.veevavault.com/ui/#object/approved_document__v/V5OZ025E82TFUPI", "Spain - HCP Survey Email - June 2025")</f>
        <v>Spain - HCP Survey Email - June 2025</v>
      </c>
      <c r="C4" s="3" t="str">
        <f>HYPERLINK("https://otsuka-europe-crm.veevavault.com/ui/#object/sent_email__v/VBLZ025E82GMTAF", "SE-000267055")</f>
        <v>SE-000267055</v>
      </c>
      <c r="D4" s="1" t="s">
        <v>0</v>
      </c>
      <c r="E4" s="2">
        <v>0</v>
      </c>
      <c r="F4" s="2">
        <v>0</v>
      </c>
      <c r="G4" s="2">
        <v>0</v>
      </c>
      <c r="H4" s="1" t="s">
        <v>0</v>
      </c>
      <c r="I4" s="2">
        <v>0</v>
      </c>
      <c r="J4" s="1">
        <v>45915.378449074073</v>
      </c>
      <c r="N4" t="str">
        <v>VAE - Manuscrito SECA</v>
      </c>
      <c r="O4">
        <f>SUMIF($B:$B,$N4,$E:$E)</f>
        <v>0</v>
      </c>
      <c r="P4">
        <f>SUMIF($B:$B,$N4,$F:$F)</f>
        <v>0</v>
      </c>
      <c r="Q4">
        <f>SUMIF($B:$B,$N4,$G:$G)</f>
        <v>0</v>
      </c>
      <c r="R4">
        <f>SUMIF($B:$B,$N4,$I:$I)</f>
        <v>0</v>
      </c>
      <c r="S4">
        <f>COUNTIF($B:$B,$N4)</f>
        <v>8</v>
      </c>
      <c r="T4" s="5" t="s">
        <v>2</v>
      </c>
    </row>
    <row r="5" spans="1:20" x14ac:dyDescent="0.2">
      <c r="A5" s="4" t="s">
        <v>1</v>
      </c>
      <c r="B5" s="3" t="str">
        <f>HYPERLINK("https://otsuka-europe-crm.veevavault.com/ui/#object/approved_document__v/V5OZ025E82TFUPI", "Spain - HCP Survey Email - June 2025")</f>
        <v>Spain - HCP Survey Email - June 2025</v>
      </c>
      <c r="C5" s="3" t="str">
        <f>HYPERLINK("https://otsuka-europe-crm.veevavault.com/ui/#object/sent_email__v/VBLZ025E82GMTAG", "SE-000267056")</f>
        <v>SE-000267056</v>
      </c>
      <c r="D5" s="1">
        <v>45915.758113425924</v>
      </c>
      <c r="E5" s="2">
        <v>1</v>
      </c>
      <c r="F5" s="2">
        <v>1</v>
      </c>
      <c r="G5" s="2">
        <v>0</v>
      </c>
      <c r="H5" s="1" t="s">
        <v>0</v>
      </c>
      <c r="I5" s="2">
        <v>0</v>
      </c>
      <c r="J5" s="1">
        <v>45915.378009259257</v>
      </c>
      <c r="N5" t="str">
        <v>VAE Resultados Análisis Inermedio Sibeprenlimab</v>
      </c>
      <c r="O5">
        <f>SUMIF($B:$B,$N5,$E:$E)</f>
        <v>6</v>
      </c>
      <c r="P5">
        <f>SUMIF($B:$B,$N5,$F:$F)</f>
        <v>19</v>
      </c>
      <c r="Q5">
        <f>SUMIF($B:$B,$N5,$G:$G)</f>
        <v>0</v>
      </c>
      <c r="R5">
        <f>SUMIF($B:$B,$N5,$I:$I)</f>
        <v>0</v>
      </c>
      <c r="S5">
        <f>COUNTIF($B:$B,$N5)</f>
        <v>7</v>
      </c>
      <c r="T5" s="5" t="s">
        <v>2</v>
      </c>
    </row>
    <row r="6" spans="1:20" x14ac:dyDescent="0.2">
      <c r="A6" s="4" t="s">
        <v>1</v>
      </c>
      <c r="B6" s="3" t="str">
        <f>HYPERLINK("https://otsuka-europe-crm.veevavault.com/ui/#object/approved_document__v/V5OZ025E82TFUPI", "Spain - HCP Survey Email - June 2025")</f>
        <v>Spain - HCP Survey Email - June 2025</v>
      </c>
      <c r="C6" s="3" t="str">
        <f>HYPERLINK("https://otsuka-europe-crm.veevavault.com/ui/#object/sent_email__v/VBLZ025E82GMTAH", "SE-000267057")</f>
        <v>SE-000267057</v>
      </c>
      <c r="D6" s="1">
        <v>45968.945833333331</v>
      </c>
      <c r="E6" s="2">
        <v>1</v>
      </c>
      <c r="F6" s="2">
        <v>4</v>
      </c>
      <c r="G6" s="2">
        <v>1</v>
      </c>
      <c r="H6" s="1">
        <v>45915.380509259259</v>
      </c>
      <c r="I6" s="2">
        <v>2</v>
      </c>
      <c r="J6" s="1">
        <v>45915.378703703704</v>
      </c>
      <c r="N6" t="str">
        <v>VAE tercer episodio Nosquedamosencasa - El rol del equipo asistencial</v>
      </c>
      <c r="O6">
        <f>SUMIF($B:$B,$N6,$E:$E)</f>
        <v>0</v>
      </c>
      <c r="P6">
        <f>SUMIF($B:$B,$N6,$F:$F)</f>
        <v>0</v>
      </c>
      <c r="Q6">
        <f>SUMIF($B:$B,$N6,$G:$G)</f>
        <v>0</v>
      </c>
      <c r="R6">
        <f>SUMIF($B:$B,$N6,$I:$I)</f>
        <v>0</v>
      </c>
      <c r="S6">
        <f>COUNTIF($B:$B,$N6)</f>
        <v>1</v>
      </c>
      <c r="T6" s="5" t="s">
        <v>2</v>
      </c>
    </row>
    <row r="7" spans="1:20" x14ac:dyDescent="0.2">
      <c r="A7" s="4" t="s">
        <v>1</v>
      </c>
      <c r="B7" s="3" t="str">
        <f>HYPERLINK("https://otsuka-europe-crm.veevavault.com/ui/#object/approved_document__v/V5OZ025E82TFUPI", "Spain - HCP Survey Email - June 2025")</f>
        <v>Spain - HCP Survey Email - June 2025</v>
      </c>
      <c r="C7" s="3" t="str">
        <f>HYPERLINK("https://otsuka-europe-crm.veevavault.com/ui/#object/sent_email__v/VBLZ025E82GMTAI", "SE-000267058")</f>
        <v>SE-000267058</v>
      </c>
      <c r="D7" s="1" t="s">
        <v>0</v>
      </c>
      <c r="E7" s="2">
        <v>0</v>
      </c>
      <c r="F7" s="2">
        <v>0</v>
      </c>
      <c r="G7" s="2">
        <v>0</v>
      </c>
      <c r="H7" s="1" t="s">
        <v>0</v>
      </c>
      <c r="I7" s="2">
        <v>0</v>
      </c>
      <c r="J7" s="1">
        <v>45915.379710648151</v>
      </c>
      <c r="N7" t="str">
        <v>¿Conoces RXULTI?</v>
      </c>
      <c r="O7">
        <f>SUMIF($B:$B,$N7,$E:$E)</f>
        <v>1</v>
      </c>
      <c r="P7">
        <f>SUMIF($B:$B,$N7,$F:$F)</f>
        <v>1</v>
      </c>
      <c r="Q7">
        <f>SUMIF($B:$B,$N7,$G:$G)</f>
        <v>0</v>
      </c>
      <c r="R7">
        <f>SUMIF($B:$B,$N7,$I:$I)</f>
        <v>0</v>
      </c>
      <c r="S7">
        <f>COUNTIF($B:$B,$N7)</f>
        <v>1</v>
      </c>
      <c r="T7" s="5" t="s">
        <v>3</v>
      </c>
    </row>
    <row r="8" spans="1:20" x14ac:dyDescent="0.2">
      <c r="A8" s="4" t="s">
        <v>1</v>
      </c>
      <c r="B8" s="3" t="str">
        <f>HYPERLINK("https://otsuka-europe-crm.veevavault.com/ui/#object/approved_document__v/V5OZ025E82TFUPI", "Spain - HCP Survey Email - June 2025")</f>
        <v>Spain - HCP Survey Email - June 2025</v>
      </c>
      <c r="C8" s="3" t="str">
        <f>HYPERLINK("https://otsuka-europe-crm.veevavault.com/ui/#object/sent_email__v/VBLZ025E82GMTAJ", "SE-000267059")</f>
        <v>SE-000267059</v>
      </c>
      <c r="D8" s="1" t="s">
        <v>0</v>
      </c>
      <c r="E8" s="2">
        <v>0</v>
      </c>
      <c r="F8" s="2">
        <v>0</v>
      </c>
      <c r="G8" s="2">
        <v>0</v>
      </c>
      <c r="H8" s="1" t="s">
        <v>0</v>
      </c>
      <c r="I8" s="2">
        <v>0</v>
      </c>
      <c r="J8" s="1">
        <v>45915.37777777778</v>
      </c>
      <c r="N8" t="str">
        <v>AEESME 2026: Programa simposio</v>
      </c>
      <c r="O8">
        <f>SUMIF($B:$B,$N8,$E:$E)</f>
        <v>30</v>
      </c>
      <c r="P8">
        <f>SUMIF($B:$B,$N8,$F:$F)</f>
        <v>59</v>
      </c>
      <c r="Q8">
        <f>SUMIF($B:$B,$N8,$G:$G)</f>
        <v>18</v>
      </c>
      <c r="R8">
        <f>SUMIF($B:$B,$N8,$I:$I)</f>
        <v>29</v>
      </c>
      <c r="S8">
        <f>COUNTIF($B:$B,$N8)</f>
        <v>82</v>
      </c>
      <c r="T8" s="5" t="s">
        <v>2</v>
      </c>
    </row>
    <row r="9" spans="1:20" x14ac:dyDescent="0.2">
      <c r="A9" s="4" t="s">
        <v>1</v>
      </c>
      <c r="B9" s="3" t="str">
        <f>HYPERLINK("https://otsuka-europe-crm.veevavault.com/ui/#object/approved_document__v/V5OZ025E82TFUPI", "Spain - HCP Survey Email - June 2025")</f>
        <v>Spain - HCP Survey Email - June 2025</v>
      </c>
      <c r="C9" s="3" t="str">
        <f>HYPERLINK("https://otsuka-europe-crm.veevavault.com/ui/#object/sent_email__v/VBLZ025E82GMTAK", "SE-000267060")</f>
        <v>SE-000267060</v>
      </c>
      <c r="D9" s="1" t="s">
        <v>0</v>
      </c>
      <c r="E9" s="2">
        <v>0</v>
      </c>
      <c r="F9" s="2">
        <v>0</v>
      </c>
      <c r="G9" s="2">
        <v>0</v>
      </c>
      <c r="H9" s="1" t="s">
        <v>0</v>
      </c>
      <c r="I9" s="2">
        <v>0</v>
      </c>
      <c r="J9" s="1">
        <v>45915.378587962965</v>
      </c>
      <c r="N9" t="str">
        <v>AM2M - AGUDOS</v>
      </c>
      <c r="O9">
        <f>SUMIF($B:$B,$N9,$E:$E)</f>
        <v>1</v>
      </c>
      <c r="P9">
        <f>SUMIF($B:$B,$N9,$F:$F)</f>
        <v>1</v>
      </c>
      <c r="Q9">
        <f>SUMIF($B:$B,$N9,$G:$G)</f>
        <v>0</v>
      </c>
      <c r="R9">
        <f>SUMIF($B:$B,$N9,$I:$I)</f>
        <v>0</v>
      </c>
      <c r="S9">
        <f>COUNTIF($B:$B,$N9)</f>
        <v>3</v>
      </c>
      <c r="T9" s="5" t="s">
        <v>5</v>
      </c>
    </row>
    <row r="10" spans="1:20" x14ac:dyDescent="0.2">
      <c r="A10" s="4" t="s">
        <v>1</v>
      </c>
      <c r="B10" s="3" t="str">
        <f>HYPERLINK("https://otsuka-europe-crm.veevavault.com/ui/#object/approved_document__v/V5OZ025E82TFUPI", "Spain - HCP Survey Email - June 2025")</f>
        <v>Spain - HCP Survey Email - June 2025</v>
      </c>
      <c r="C10" s="3" t="str">
        <f>HYPERLINK("https://otsuka-europe-crm.veevavault.com/ui/#object/sent_email__v/VBLZ025E82GMTAL", "SE-000267061")</f>
        <v>SE-000267061</v>
      </c>
      <c r="D10" s="1" t="s">
        <v>0</v>
      </c>
      <c r="E10" s="2">
        <v>0</v>
      </c>
      <c r="F10" s="2">
        <v>0</v>
      </c>
      <c r="G10" s="2">
        <v>0</v>
      </c>
      <c r="H10" s="1" t="s">
        <v>0</v>
      </c>
      <c r="I10" s="2">
        <v>0</v>
      </c>
      <c r="J10" s="1">
        <v>45915.37809027778</v>
      </c>
      <c r="N10" t="str">
        <v>AM2M - ENFERMERÍA - ¿Sabes cómo se administra Abilify Maintena 960 mg?</v>
      </c>
      <c r="O10">
        <f>SUMIF($B:$B,$N10,$E:$E)</f>
        <v>0</v>
      </c>
      <c r="P10">
        <f>SUMIF($B:$B,$N10,$F:$F)</f>
        <v>0</v>
      </c>
      <c r="Q10">
        <f>SUMIF($B:$B,$N10,$G:$G)</f>
        <v>0</v>
      </c>
      <c r="R10">
        <f>SUMIF($B:$B,$N10,$I:$I)</f>
        <v>0</v>
      </c>
      <c r="S10">
        <f>COUNTIF($B:$B,$N10)</f>
        <v>1</v>
      </c>
      <c r="T10" s="5" t="s">
        <v>5</v>
      </c>
    </row>
    <row r="11" spans="1:20" x14ac:dyDescent="0.2">
      <c r="A11" s="4" t="s">
        <v>1</v>
      </c>
      <c r="B11" s="3" t="str">
        <f>HYPERLINK("https://otsuka-europe-crm.veevavault.com/ui/#object/approved_document__v/V5OZ025E82TFUPI", "Spain - HCP Survey Email - June 2025")</f>
        <v>Spain - HCP Survey Email - June 2025</v>
      </c>
      <c r="C11" s="3" t="str">
        <f>HYPERLINK("https://otsuka-europe-crm.veevavault.com/ui/#object/sent_email__v/VBLZ025E82GMTAM", "SE-000267062")</f>
        <v>SE-000267062</v>
      </c>
      <c r="D11" s="1">
        <v>45915.508668981478</v>
      </c>
      <c r="E11" s="2">
        <v>1</v>
      </c>
      <c r="F11" s="2">
        <v>2</v>
      </c>
      <c r="G11" s="2">
        <v>0</v>
      </c>
      <c r="H11" s="1" t="s">
        <v>0</v>
      </c>
      <c r="I11" s="2">
        <v>0</v>
      </c>
      <c r="J11" s="1">
        <v>45915.378622685188</v>
      </c>
      <c r="N11" t="str">
        <v>AM2M - ENFERMERÍA - Guía manejo práctico AM2M</v>
      </c>
      <c r="O11">
        <f>SUMIF($B:$B,$N11,$E:$E)</f>
        <v>34</v>
      </c>
      <c r="P11">
        <f>SUMIF($B:$B,$N11,$F:$F)</f>
        <v>45</v>
      </c>
      <c r="Q11">
        <f>SUMIF($B:$B,$N11,$G:$G)</f>
        <v>5</v>
      </c>
      <c r="R11">
        <f>SUMIF($B:$B,$N11,$I:$I)</f>
        <v>5</v>
      </c>
      <c r="S11">
        <f>COUNTIF($B:$B,$N11)</f>
        <v>90</v>
      </c>
      <c r="T11" s="5" t="s">
        <v>5</v>
      </c>
    </row>
    <row r="12" spans="1:20" x14ac:dyDescent="0.2">
      <c r="A12" s="4" t="s">
        <v>1</v>
      </c>
      <c r="B12" s="3" t="str">
        <f>HYPERLINK("https://otsuka-europe-crm.veevavault.com/ui/#object/approved_document__v/V5OZ025E82TFUPI", "Spain - HCP Survey Email - June 2025")</f>
        <v>Spain - HCP Survey Email - June 2025</v>
      </c>
      <c r="C12" s="3" t="str">
        <f>HYPERLINK("https://otsuka-europe-crm.veevavault.com/ui/#object/sent_email__v/VBLZ025E82GMTAN", "SE-000267063")</f>
        <v>SE-000267063</v>
      </c>
      <c r="D12" s="1" t="s">
        <v>0</v>
      </c>
      <c r="E12" s="2">
        <v>0</v>
      </c>
      <c r="F12" s="2">
        <v>0</v>
      </c>
      <c r="G12" s="2">
        <v>0</v>
      </c>
      <c r="H12" s="1" t="s">
        <v>0</v>
      </c>
      <c r="I12" s="2">
        <v>0</v>
      </c>
      <c r="J12" s="1">
        <v>45915.379548611112</v>
      </c>
      <c r="N12" t="str">
        <v>AM2M - ENFERMERÍA - Guía preguntas pacientes</v>
      </c>
      <c r="O12">
        <f>SUMIF($B:$B,$N12,$E:$E)</f>
        <v>86</v>
      </c>
      <c r="P12">
        <f>SUMIF($B:$B,$N12,$F:$F)</f>
        <v>141</v>
      </c>
      <c r="Q12">
        <f>SUMIF($B:$B,$N12,$G:$G)</f>
        <v>10</v>
      </c>
      <c r="R12">
        <f>SUMIF($B:$B,$N12,$I:$I)</f>
        <v>14</v>
      </c>
      <c r="S12">
        <f>COUNTIF($B:$B,$N12)</f>
        <v>167</v>
      </c>
      <c r="T12" s="5" t="s">
        <v>5</v>
      </c>
    </row>
    <row r="13" spans="1:20" x14ac:dyDescent="0.2">
      <c r="A13" s="4" t="s">
        <v>1</v>
      </c>
      <c r="B13" s="3" t="str">
        <f>HYPERLINK("https://otsuka-europe-crm.veevavault.com/ui/#object/approved_document__v/V5OZ025E82TFUPI", "Spain - HCP Survey Email - June 2025")</f>
        <v>Spain - HCP Survey Email - June 2025</v>
      </c>
      <c r="C13" s="3" t="str">
        <f>HYPERLINK("https://otsuka-europe-crm.veevavault.com/ui/#object/sent_email__v/VBLZ025E82GMTAO", "SE-000267064")</f>
        <v>SE-000267064</v>
      </c>
      <c r="D13" s="1" t="s">
        <v>0</v>
      </c>
      <c r="E13" s="2">
        <v>0</v>
      </c>
      <c r="F13" s="2">
        <v>0</v>
      </c>
      <c r="G13" s="2">
        <v>0</v>
      </c>
      <c r="H13" s="1" t="s">
        <v>0</v>
      </c>
      <c r="I13" s="2">
        <v>0</v>
      </c>
      <c r="J13" s="1">
        <v>45915.377824074072</v>
      </c>
      <c r="N13" t="str">
        <v>AM2M - ENFERMERÍA - Vídeo simpo AEESME</v>
      </c>
      <c r="O13">
        <f>SUMIF($B:$B,$N13,$E:$E)</f>
        <v>0</v>
      </c>
      <c r="P13">
        <f>SUMIF($B:$B,$N13,$F:$F)</f>
        <v>0</v>
      </c>
      <c r="Q13">
        <f>SUMIF($B:$B,$N13,$G:$G)</f>
        <v>0</v>
      </c>
      <c r="R13">
        <f>SUMIF($B:$B,$N13,$I:$I)</f>
        <v>0</v>
      </c>
      <c r="S13">
        <f>COUNTIF($B:$B,$N13)</f>
        <v>1</v>
      </c>
      <c r="T13" s="5" t="s">
        <v>5</v>
      </c>
    </row>
    <row r="14" spans="1:20" x14ac:dyDescent="0.2">
      <c r="A14" s="4" t="s">
        <v>1</v>
      </c>
      <c r="B14" s="3" t="str">
        <f>HYPERLINK("https://otsuka-europe-crm.veevavault.com/ui/#object/approved_document__v/V5OZ025E82TFUPI", "Spain - HCP Survey Email - June 2025")</f>
        <v>Spain - HCP Survey Email - June 2025</v>
      </c>
      <c r="C14" s="3" t="str">
        <f>HYPERLINK("https://otsuka-europe-crm.veevavault.com/ui/#object/sent_email__v/VBLZ025E82GMTAP", "SE-000267065")</f>
        <v>SE-000267065</v>
      </c>
      <c r="D14" s="1" t="s">
        <v>0</v>
      </c>
      <c r="E14" s="2">
        <v>0</v>
      </c>
      <c r="F14" s="2">
        <v>0</v>
      </c>
      <c r="G14" s="2">
        <v>0</v>
      </c>
      <c r="H14" s="1" t="s">
        <v>0</v>
      </c>
      <c r="I14" s="2">
        <v>0</v>
      </c>
      <c r="J14" s="1">
        <v>45915.377500000002</v>
      </c>
      <c r="N14" t="str">
        <v>AM2M - Material adherencia</v>
      </c>
      <c r="O14">
        <f>SUMIF($B:$B,$N14,$E:$E)</f>
        <v>13</v>
      </c>
      <c r="P14">
        <f>SUMIF($B:$B,$N14,$F:$F)</f>
        <v>25</v>
      </c>
      <c r="Q14">
        <f>SUMIF($B:$B,$N14,$G:$G)</f>
        <v>2</v>
      </c>
      <c r="R14">
        <f>SUMIF($B:$B,$N14,$I:$I)</f>
        <v>2</v>
      </c>
      <c r="S14">
        <f>COUNTIF($B:$B,$N14)</f>
        <v>36</v>
      </c>
      <c r="T14" s="5" t="s">
        <v>5</v>
      </c>
    </row>
    <row r="15" spans="1:20" x14ac:dyDescent="0.2">
      <c r="A15" s="4" t="s">
        <v>1</v>
      </c>
      <c r="B15" s="3" t="str">
        <f>HYPERLINK("https://otsuka-europe-crm.veevavault.com/ui/#object/approved_document__v/V5OZ025E82TFUPI", "Spain - HCP Survey Email - June 2025")</f>
        <v>Spain - HCP Survey Email - June 2025</v>
      </c>
      <c r="C15" s="3" t="str">
        <f>HYPERLINK("https://otsuka-europe-crm.veevavault.com/ui/#object/sent_email__v/VBLZ025E82GMTAQ", "SE-000267066")</f>
        <v>SE-000267066</v>
      </c>
      <c r="D15" s="1" t="s">
        <v>0</v>
      </c>
      <c r="E15" s="2">
        <v>0</v>
      </c>
      <c r="F15" s="2">
        <v>0</v>
      </c>
      <c r="G15" s="2">
        <v>0</v>
      </c>
      <c r="H15" s="1" t="s">
        <v>0</v>
      </c>
      <c r="I15" s="2">
        <v>0</v>
      </c>
      <c r="J15" s="1">
        <v>45915.378171296295</v>
      </c>
      <c r="N15" t="str">
        <v>AM2M - Programa Masterclass Esquizofrenia 2025</v>
      </c>
      <c r="O15">
        <f>SUMIF($B:$B,$N15,$E:$E)</f>
        <v>78</v>
      </c>
      <c r="P15">
        <f>SUMIF($B:$B,$N15,$F:$F)</f>
        <v>162</v>
      </c>
      <c r="Q15">
        <f>SUMIF($B:$B,$N15,$G:$G)</f>
        <v>11</v>
      </c>
      <c r="R15">
        <f>SUMIF($B:$B,$N15,$I:$I)</f>
        <v>21</v>
      </c>
      <c r="S15">
        <f>COUNTIF($B:$B,$N15)</f>
        <v>132</v>
      </c>
      <c r="T15" s="5" t="s">
        <v>5</v>
      </c>
    </row>
    <row r="16" spans="1:20" x14ac:dyDescent="0.2">
      <c r="A16" s="4" t="s">
        <v>1</v>
      </c>
      <c r="B16" s="3" t="str">
        <f>HYPERLINK("https://otsuka-europe-crm.veevavault.com/ui/#object/approved_document__v/V5OZ025E82TFUPI", "Spain - HCP Survey Email - June 2025")</f>
        <v>Spain - HCP Survey Email - June 2025</v>
      </c>
      <c r="C16" s="3" t="str">
        <f>HYPERLINK("https://otsuka-europe-crm.veevavault.com/ui/#object/sent_email__v/VBLZ025E82GMTAR", "SE-000267067")</f>
        <v>SE-000267067</v>
      </c>
      <c r="D16" s="1">
        <v>45915.387592592589</v>
      </c>
      <c r="E16" s="2">
        <v>1</v>
      </c>
      <c r="F16" s="2">
        <v>1</v>
      </c>
      <c r="G16" s="2">
        <v>0</v>
      </c>
      <c r="H16" s="1" t="s">
        <v>0</v>
      </c>
      <c r="I16" s="2">
        <v>0</v>
      </c>
      <c r="J16" s="1">
        <v>45915.378784722219</v>
      </c>
      <c r="N16" t="str">
        <v>AM2M - PSIQUIATRÍA - Cómo iniciar el tratamiento</v>
      </c>
      <c r="O16">
        <f>SUMIF($B:$B,$N16,$E:$E)</f>
        <v>7</v>
      </c>
      <c r="P16">
        <f>SUMIF($B:$B,$N16,$F:$F)</f>
        <v>9</v>
      </c>
      <c r="Q16">
        <f>SUMIF($B:$B,$N16,$G:$G)</f>
        <v>0</v>
      </c>
      <c r="R16">
        <f>SUMIF($B:$B,$N16,$I:$I)</f>
        <v>0</v>
      </c>
      <c r="S16">
        <f>COUNTIF($B:$B,$N16)</f>
        <v>16</v>
      </c>
      <c r="T16" s="5" t="s">
        <v>5</v>
      </c>
    </row>
    <row r="17" spans="1:20" x14ac:dyDescent="0.2">
      <c r="A17" s="4" t="s">
        <v>1</v>
      </c>
      <c r="B17" s="3" t="str">
        <f>HYPERLINK("https://otsuka-europe-crm.veevavault.com/ui/#object/approved_document__v/V5OZ025E82TFUPI", "Spain - HCP Survey Email - June 2025")</f>
        <v>Spain - HCP Survey Email - June 2025</v>
      </c>
      <c r="C17" s="3" t="str">
        <f>HYPERLINK("https://otsuka-europe-crm.veevavault.com/ui/#object/sent_email__v/VBLZ025E82GMTAS", "SE-000267068")</f>
        <v>SE-000267068</v>
      </c>
      <c r="D17" s="1" t="s">
        <v>0</v>
      </c>
      <c r="E17" s="2">
        <v>0</v>
      </c>
      <c r="F17" s="2">
        <v>0</v>
      </c>
      <c r="G17" s="2">
        <v>0</v>
      </c>
      <c r="H17" s="1" t="s">
        <v>0</v>
      </c>
      <c r="I17" s="2">
        <v>0</v>
      </c>
      <c r="J17" s="1">
        <v>45915.378611111111</v>
      </c>
      <c r="N17" t="str">
        <v>AM2M - PSIQUIATRÍA - Eficacia desde el primer día (Fagiolini)</v>
      </c>
      <c r="O17">
        <f>SUMIF($B:$B,$N17,$E:$E)</f>
        <v>52</v>
      </c>
      <c r="P17">
        <f>SUMIF($B:$B,$N17,$F:$F)</f>
        <v>87</v>
      </c>
      <c r="Q17">
        <f>SUMIF($B:$B,$N17,$G:$G)</f>
        <v>4</v>
      </c>
      <c r="R17">
        <f>SUMIF($B:$B,$N17,$I:$I)</f>
        <v>7</v>
      </c>
      <c r="S17">
        <f>COUNTIF($B:$B,$N17)</f>
        <v>100</v>
      </c>
      <c r="T17" s="5" t="s">
        <v>5</v>
      </c>
    </row>
    <row r="18" spans="1:20" x14ac:dyDescent="0.2">
      <c r="A18" s="4" t="s">
        <v>1</v>
      </c>
      <c r="B18" s="3" t="str">
        <f>HYPERLINK("https://otsuka-europe-crm.veevavault.com/ui/#object/approved_document__v/V5OZ025E82TFUPI", "Spain - HCP Survey Email - June 2025")</f>
        <v>Spain - HCP Survey Email - June 2025</v>
      </c>
      <c r="C18" s="3" t="str">
        <f>HYPERLINK("https://otsuka-europe-crm.veevavault.com/ui/#object/sent_email__v/VBLZ025E82GMTAT", "SE-000267069")</f>
        <v>SE-000267069</v>
      </c>
      <c r="D18" s="1">
        <v>45915.403831018521</v>
      </c>
      <c r="E18" s="2">
        <v>1</v>
      </c>
      <c r="F18" s="2">
        <v>1</v>
      </c>
      <c r="G18" s="2">
        <v>0</v>
      </c>
      <c r="H18" s="1" t="s">
        <v>0</v>
      </c>
      <c r="I18" s="2">
        <v>0</v>
      </c>
      <c r="J18" s="1">
        <v>45915.379386574074</v>
      </c>
      <c r="N18" t="str">
        <v>AM2M - PSIQUIATRIA - Guía manejo práctico AM2M</v>
      </c>
      <c r="O18">
        <f>SUMIF($B:$B,$N18,$E:$E)</f>
        <v>1</v>
      </c>
      <c r="P18">
        <f>SUMIF($B:$B,$N18,$F:$F)</f>
        <v>1</v>
      </c>
      <c r="Q18">
        <f>SUMIF($B:$B,$N18,$G:$G)</f>
        <v>0</v>
      </c>
      <c r="R18">
        <f>SUMIF($B:$B,$N18,$I:$I)</f>
        <v>0</v>
      </c>
      <c r="S18">
        <f>COUNTIF($B:$B,$N18)</f>
        <v>6</v>
      </c>
      <c r="T18" s="5" t="s">
        <v>5</v>
      </c>
    </row>
    <row r="19" spans="1:20" x14ac:dyDescent="0.2">
      <c r="A19" s="4" t="s">
        <v>1</v>
      </c>
      <c r="B19" s="3" t="str">
        <f>HYPERLINK("https://otsuka-europe-crm.veevavault.com/ui/#object/approved_document__v/V5OZ025E82TFUPI", "Spain - HCP Survey Email - June 2025")</f>
        <v>Spain - HCP Survey Email - June 2025</v>
      </c>
      <c r="C19" s="3" t="str">
        <f>HYPERLINK("https://otsuka-europe-crm.veevavault.com/ui/#object/sent_email__v/VBLZ025E82GMTAU", "SE-000267070")</f>
        <v>SE-000267070</v>
      </c>
      <c r="D19" s="1" t="s">
        <v>0</v>
      </c>
      <c r="E19" s="2">
        <v>0</v>
      </c>
      <c r="F19" s="2">
        <v>0</v>
      </c>
      <c r="G19" s="2">
        <v>0</v>
      </c>
      <c r="H19" s="1" t="s">
        <v>0</v>
      </c>
      <c r="I19" s="2">
        <v>0</v>
      </c>
      <c r="J19" s="1">
        <v>45915.377824074072</v>
      </c>
      <c r="N19" t="str">
        <v>AM2M - PSIQUIATRÍA - Guía preguntas pacientes</v>
      </c>
      <c r="O19">
        <f>SUMIF($B:$B,$N19,$E:$E)</f>
        <v>61</v>
      </c>
      <c r="P19">
        <f>SUMIF($B:$B,$N19,$F:$F)</f>
        <v>94</v>
      </c>
      <c r="Q19">
        <f>SUMIF($B:$B,$N19,$G:$G)</f>
        <v>0</v>
      </c>
      <c r="R19">
        <f>SUMIF($B:$B,$N19,$I:$I)</f>
        <v>0</v>
      </c>
      <c r="S19">
        <f>COUNTIF($B:$B,$N19)</f>
        <v>104</v>
      </c>
      <c r="T19" s="5" t="s">
        <v>5</v>
      </c>
    </row>
    <row r="20" spans="1:20" x14ac:dyDescent="0.2">
      <c r="A20" s="4" t="s">
        <v>1</v>
      </c>
      <c r="B20" s="3" t="str">
        <f>HYPERLINK("https://otsuka-europe-crm.veevavault.com/ui/#object/approved_document__v/V5OZ025E82TFUPI", "Spain - HCP Survey Email - June 2025")</f>
        <v>Spain - HCP Survey Email - June 2025</v>
      </c>
      <c r="C20" s="3" t="str">
        <f>HYPERLINK("https://otsuka-europe-crm.veevavault.com/ui/#object/sent_email__v/VBLZ025E82GMTAV", "SE-000267071")</f>
        <v>SE-000267071</v>
      </c>
      <c r="D20" s="1" t="s">
        <v>0</v>
      </c>
      <c r="E20" s="2">
        <v>0</v>
      </c>
      <c r="F20" s="2">
        <v>0</v>
      </c>
      <c r="G20" s="2">
        <v>0</v>
      </c>
      <c r="H20" s="1" t="s">
        <v>0</v>
      </c>
      <c r="I20" s="2">
        <v>0</v>
      </c>
      <c r="J20" s="1">
        <v>45915.378472222219</v>
      </c>
      <c r="N20" t="str">
        <v>AM2M - Valor clínico</v>
      </c>
      <c r="O20">
        <f>SUMIF($B:$B,$N20,$E:$E)</f>
        <v>1</v>
      </c>
      <c r="P20">
        <f>SUMIF($B:$B,$N20,$F:$F)</f>
        <v>1</v>
      </c>
      <c r="Q20">
        <f>SUMIF($B:$B,$N20,$G:$G)</f>
        <v>0</v>
      </c>
      <c r="R20">
        <f>SUMIF($B:$B,$N20,$I:$I)</f>
        <v>0</v>
      </c>
      <c r="S20">
        <f>COUNTIF($B:$B,$N20)</f>
        <v>2</v>
      </c>
      <c r="T20" s="5" t="s">
        <v>5</v>
      </c>
    </row>
    <row r="21" spans="1:20" x14ac:dyDescent="0.2">
      <c r="A21" s="4" t="s">
        <v>1</v>
      </c>
      <c r="B21" s="3" t="str">
        <f>HYPERLINK("https://otsuka-europe-crm.veevavault.com/ui/#object/approved_document__v/V5OZ025E82TFUPI", "Spain - HCP Survey Email - June 2025")</f>
        <v>Spain - HCP Survey Email - June 2025</v>
      </c>
      <c r="C21" s="3" t="str">
        <f>HYPERLINK("https://otsuka-europe-crm.veevavault.com/ui/#object/sent_email__v/VBLZ025E82GMTAW", "SE-000267072")</f>
        <v>SE-000267072</v>
      </c>
      <c r="D21" s="1" t="s">
        <v>0</v>
      </c>
      <c r="E21" s="2">
        <v>0</v>
      </c>
      <c r="F21" s="2">
        <v>0</v>
      </c>
      <c r="G21" s="2">
        <v>0</v>
      </c>
      <c r="H21" s="1" t="s">
        <v>0</v>
      </c>
      <c r="I21" s="2">
        <v>0</v>
      </c>
      <c r="J21" s="1">
        <v>45915.378055555557</v>
      </c>
      <c r="N21" t="str">
        <v>Approved Email Consent - 2</v>
      </c>
      <c r="O21">
        <f>SUMIF($B:$B,$N21,$E:$E)</f>
        <v>121</v>
      </c>
      <c r="P21">
        <f>SUMIF($B:$B,$N21,$F:$F)</f>
        <v>273</v>
      </c>
      <c r="Q21">
        <f>SUMIF($B:$B,$N21,$G:$G)</f>
        <v>106</v>
      </c>
      <c r="R21">
        <f>SUMIF($B:$B,$N21,$I:$I)</f>
        <v>178</v>
      </c>
      <c r="S21">
        <f>COUNTIF($B:$B,$N21)</f>
        <v>153</v>
      </c>
      <c r="T21" s="5" t="s">
        <v>2</v>
      </c>
    </row>
    <row r="22" spans="1:20" x14ac:dyDescent="0.2">
      <c r="A22" s="4" t="s">
        <v>1</v>
      </c>
      <c r="B22" s="3" t="str">
        <f>HYPERLINK("https://otsuka-europe-crm.veevavault.com/ui/#object/approved_document__v/V5OZ025E82TFUPI", "Spain - HCP Survey Email - June 2025")</f>
        <v>Spain - HCP Survey Email - June 2025</v>
      </c>
      <c r="C22" s="3" t="str">
        <f>HYPERLINK("https://otsuka-europe-crm.veevavault.com/ui/#object/sent_email__v/VBLZ025E82GMTAX", "SE-000267073")</f>
        <v>SE-000267073</v>
      </c>
      <c r="D22" s="1" t="s">
        <v>0</v>
      </c>
      <c r="E22" s="2">
        <v>0</v>
      </c>
      <c r="F22" s="2">
        <v>0</v>
      </c>
      <c r="G22" s="2">
        <v>0</v>
      </c>
      <c r="H22" s="1" t="s">
        <v>0</v>
      </c>
      <c r="I22" s="2">
        <v>0</v>
      </c>
      <c r="J22" s="1">
        <v>45915.378703703704</v>
      </c>
      <c r="N22" t="str">
        <v>CNS - Porfolio Otsuka</v>
      </c>
      <c r="O22">
        <f>SUMIF($B:$B,$N22,$E:$E)</f>
        <v>2</v>
      </c>
      <c r="P22">
        <f>SUMIF($B:$B,$N22,$F:$F)</f>
        <v>4</v>
      </c>
      <c r="Q22">
        <f>SUMIF($B:$B,$N22,$G:$G)</f>
        <v>0</v>
      </c>
      <c r="R22">
        <f>SUMIF($B:$B,$N22,$I:$I)</f>
        <v>0</v>
      </c>
      <c r="S22">
        <f>COUNTIF($B:$B,$N22)</f>
        <v>4</v>
      </c>
      <c r="T22" s="5" t="s">
        <v>5</v>
      </c>
    </row>
    <row r="23" spans="1:20" x14ac:dyDescent="0.2">
      <c r="A23" s="4" t="s">
        <v>1</v>
      </c>
      <c r="B23" s="3" t="str">
        <f>HYPERLINK("https://otsuka-europe-crm.veevavault.com/ui/#object/approved_document__v/V5OZ025E82TFUPI", "Spain - HCP Survey Email - June 2025")</f>
        <v>Spain - HCP Survey Email - June 2025</v>
      </c>
      <c r="C23" s="3" t="str">
        <f>HYPERLINK("https://otsuka-europe-crm.veevavault.com/ui/#object/sent_email__v/VBLZ025E82GMTAY", "SE-000267074")</f>
        <v>SE-000267074</v>
      </c>
      <c r="D23" s="1">
        <v>45916.418715277781</v>
      </c>
      <c r="E23" s="2">
        <v>1</v>
      </c>
      <c r="F23" s="2">
        <v>2</v>
      </c>
      <c r="G23" s="2">
        <v>0</v>
      </c>
      <c r="H23" s="1" t="s">
        <v>0</v>
      </c>
      <c r="I23" s="2">
        <v>0</v>
      </c>
      <c r="J23" s="1">
        <v>45915.379444444443</v>
      </c>
      <c r="N23" t="str">
        <v>Documento Autorizaciขn Centro Empleador</v>
      </c>
      <c r="O23">
        <f>SUMIF($B:$B,$N23,$E:$E)</f>
        <v>456</v>
      </c>
      <c r="P23">
        <f>SUMIF($B:$B,$N23,$F:$F)</f>
        <v>1348</v>
      </c>
      <c r="Q23">
        <f>SUMIF($B:$B,$N23,$G:$G)</f>
        <v>413</v>
      </c>
      <c r="R23">
        <f>SUMIF($B:$B,$N23,$I:$I)</f>
        <v>797</v>
      </c>
      <c r="S23">
        <f>COUNTIF($B:$B,$N23)</f>
        <v>508</v>
      </c>
      <c r="T23" s="5" t="s">
        <v>2</v>
      </c>
    </row>
    <row r="24" spans="1:20" x14ac:dyDescent="0.2">
      <c r="A24" s="4" t="s">
        <v>1</v>
      </c>
      <c r="B24" s="3" t="str">
        <f>HYPERLINK("https://otsuka-europe-crm.veevavault.com/ui/#object/approved_document__v/V5OZ025E82TFUPI", "Spain - HCP Survey Email - June 2025")</f>
        <v>Spain - HCP Survey Email - June 2025</v>
      </c>
      <c r="C24" s="3" t="str">
        <f>HYPERLINK("https://otsuka-europe-crm.veevavault.com/ui/#object/sent_email__v/VBLZ025E82GMTAZ", "SE-000267075")</f>
        <v>SE-000267075</v>
      </c>
      <c r="D24" s="1" t="s">
        <v>0</v>
      </c>
      <c r="E24" s="2">
        <v>0</v>
      </c>
      <c r="F24" s="2">
        <v>0</v>
      </c>
      <c r="G24" s="2">
        <v>0</v>
      </c>
      <c r="H24" s="1" t="s">
        <v>0</v>
      </c>
      <c r="I24" s="2">
        <v>0</v>
      </c>
      <c r="J24" s="1">
        <v>45915.377812500003</v>
      </c>
      <c r="N24" t="str">
        <v>ENFERMERÍA - Casos clínicos AM2M Revista Peplau</v>
      </c>
      <c r="O24">
        <f>SUMIF($B:$B,$N24,$E:$E)</f>
        <v>45</v>
      </c>
      <c r="P24">
        <f>SUMIF($B:$B,$N24,$F:$F)</f>
        <v>102</v>
      </c>
      <c r="Q24">
        <f>SUMIF($B:$B,$N24,$G:$G)</f>
        <v>5</v>
      </c>
      <c r="R24">
        <f>SUMIF($B:$B,$N24,$I:$I)</f>
        <v>8</v>
      </c>
      <c r="S24">
        <f>COUNTIF($B:$B,$N24)</f>
        <v>72</v>
      </c>
      <c r="T24" s="5" t="s">
        <v>2</v>
      </c>
    </row>
    <row r="25" spans="1:20" x14ac:dyDescent="0.2">
      <c r="A25" s="4" t="s">
        <v>1</v>
      </c>
      <c r="B25" s="3" t="str">
        <f>HYPERLINK("https://otsuka-europe-crm.veevavault.com/ui/#object/approved_document__v/V5OZ025E82TFUPI", "Spain - HCP Survey Email - June 2025")</f>
        <v>Spain - HCP Survey Email - June 2025</v>
      </c>
      <c r="C25" s="3" t="str">
        <f>HYPERLINK("https://otsuka-europe-crm.veevavault.com/ui/#object/sent_email__v/VBLZ025E82GMTB0", "SE-000267076")</f>
        <v>SE-000267076</v>
      </c>
      <c r="D25" s="1">
        <v>45935.723564814813</v>
      </c>
      <c r="E25" s="2">
        <v>1</v>
      </c>
      <c r="F25" s="2">
        <v>5</v>
      </c>
      <c r="G25" s="2">
        <v>0</v>
      </c>
      <c r="H25" s="1" t="s">
        <v>0</v>
      </c>
      <c r="I25" s="2">
        <v>0</v>
      </c>
      <c r="J25" s="1">
        <v>45915.377488425926</v>
      </c>
      <c r="N25" t="str">
        <v>ENFERMERÍA - Curso acreditado RETO TMG</v>
      </c>
      <c r="O25">
        <f>SUMIF($B:$B,$N25,$E:$E)</f>
        <v>2</v>
      </c>
      <c r="P25">
        <f>SUMIF($B:$B,$N25,$F:$F)</f>
        <v>4</v>
      </c>
      <c r="Q25">
        <f>SUMIF($B:$B,$N25,$G:$G)</f>
        <v>1</v>
      </c>
      <c r="R25">
        <f>SUMIF($B:$B,$N25,$I:$I)</f>
        <v>1</v>
      </c>
      <c r="S25">
        <f>COUNTIF($B:$B,$N25)</f>
        <v>3</v>
      </c>
      <c r="T25" s="5" t="s">
        <v>2</v>
      </c>
    </row>
    <row r="26" spans="1:20" x14ac:dyDescent="0.2">
      <c r="A26" s="4" t="s">
        <v>1</v>
      </c>
      <c r="B26" s="3" t="str">
        <f>HYPERLINK("https://otsuka-europe-crm.veevavault.com/ui/#object/approved_document__v/V5OZ025E82TFUPI", "Spain - HCP Survey Email - June 2025")</f>
        <v>Spain - HCP Survey Email - June 2025</v>
      </c>
      <c r="C26" s="3" t="str">
        <f>HYPERLINK("https://otsuka-europe-crm.veevavault.com/ui/#object/sent_email__v/VBLZ025E82GMTB1", "SE-000267077")</f>
        <v>SE-000267077</v>
      </c>
      <c r="D26" s="1">
        <v>45915.616423611114</v>
      </c>
      <c r="E26" s="2">
        <v>1</v>
      </c>
      <c r="F26" s="2">
        <v>1</v>
      </c>
      <c r="G26" s="2">
        <v>0</v>
      </c>
      <c r="H26" s="1" t="s">
        <v>0</v>
      </c>
      <c r="I26" s="2">
        <v>0</v>
      </c>
      <c r="J26" s="1">
        <v>45915.378148148149</v>
      </c>
      <c r="N26" t="str">
        <v>ENFERMERÍA - Guía de Manejo Psicoterapéutico</v>
      </c>
      <c r="O26">
        <f>SUMIF($B:$B,$N26,$E:$E)</f>
        <v>105</v>
      </c>
      <c r="P26">
        <f>SUMIF($B:$B,$N26,$F:$F)</f>
        <v>188</v>
      </c>
      <c r="Q26">
        <f>SUMIF($B:$B,$N26,$G:$G)</f>
        <v>32</v>
      </c>
      <c r="R26">
        <f>SUMIF($B:$B,$N26,$I:$I)</f>
        <v>49</v>
      </c>
      <c r="S26">
        <f>COUNTIF($B:$B,$N26)</f>
        <v>212</v>
      </c>
      <c r="T26" s="5" t="s">
        <v>2</v>
      </c>
    </row>
    <row r="27" spans="1:20" x14ac:dyDescent="0.2">
      <c r="A27" s="4" t="s">
        <v>1</v>
      </c>
      <c r="B27" s="3" t="str">
        <f>HYPERLINK("https://otsuka-europe-crm.veevavault.com/ui/#object/approved_document__v/V5OZ025E82TFUPI", "Spain - HCP Survey Email - June 2025")</f>
        <v>Spain - HCP Survey Email - June 2025</v>
      </c>
      <c r="C27" s="3" t="str">
        <f>HYPERLINK("https://otsuka-europe-crm.veevavault.com/ui/#object/sent_email__v/VBLZ025E82GMTB2", "SE-000267078")</f>
        <v>SE-000267078</v>
      </c>
      <c r="D27" s="1">
        <v>45917.073020833333</v>
      </c>
      <c r="E27" s="2">
        <v>1</v>
      </c>
      <c r="F27" s="2">
        <v>1</v>
      </c>
      <c r="G27" s="2">
        <v>0</v>
      </c>
      <c r="H27" s="1" t="s">
        <v>0</v>
      </c>
      <c r="I27" s="2">
        <v>0</v>
      </c>
      <c r="J27" s="1">
        <v>45915.37903935185</v>
      </c>
      <c r="N27" t="str">
        <v>ENFERMERíA - PODCAST Ep3 Alimentación</v>
      </c>
      <c r="O27">
        <f>SUMIF($B:$B,$N27,$E:$E)</f>
        <v>1</v>
      </c>
      <c r="P27">
        <f>SUMIF($B:$B,$N27,$F:$F)</f>
        <v>4</v>
      </c>
      <c r="Q27">
        <f>SUMIF($B:$B,$N27,$G:$G)</f>
        <v>1</v>
      </c>
      <c r="R27">
        <f>SUMIF($B:$B,$N27,$I:$I)</f>
        <v>3</v>
      </c>
      <c r="S27">
        <f>COUNTIF($B:$B,$N27)</f>
        <v>2</v>
      </c>
      <c r="T27" s="5" t="s">
        <v>2</v>
      </c>
    </row>
    <row r="28" spans="1:20" x14ac:dyDescent="0.2">
      <c r="A28" s="4" t="s">
        <v>1</v>
      </c>
      <c r="B28" s="3" t="str">
        <f>HYPERLINK("https://otsuka-europe-crm.veevavault.com/ui/#object/approved_document__v/V5OZ025E82TFUPI", "Spain - HCP Survey Email - June 2025")</f>
        <v>Spain - HCP Survey Email - June 2025</v>
      </c>
      <c r="C28" s="3" t="str">
        <f>HYPERLINK("https://otsuka-europe-crm.veevavault.com/ui/#object/sent_email__v/VBLZ025E82GMTB3", "SE-000267079")</f>
        <v>SE-000267079</v>
      </c>
      <c r="D28" s="1">
        <v>45916.14329861111</v>
      </c>
      <c r="E28" s="2">
        <v>1</v>
      </c>
      <c r="F28" s="2">
        <v>1</v>
      </c>
      <c r="G28" s="2">
        <v>0</v>
      </c>
      <c r="H28" s="1" t="s">
        <v>0</v>
      </c>
      <c r="I28" s="2">
        <v>0</v>
      </c>
      <c r="J28" s="1">
        <v>45915.378703703704</v>
      </c>
      <c r="N28" t="str">
        <v>ENFERMERÍA - PODCAST:  presentación proyecto + Ep. 1 Salud Mental</v>
      </c>
      <c r="O28">
        <f>SUMIF($B:$B,$N28,$E:$E)</f>
        <v>24</v>
      </c>
      <c r="P28">
        <f>SUMIF($B:$B,$N28,$F:$F)</f>
        <v>36</v>
      </c>
      <c r="Q28">
        <f>SUMIF($B:$B,$N28,$G:$G)</f>
        <v>4</v>
      </c>
      <c r="R28">
        <f>SUMIF($B:$B,$N28,$I:$I)</f>
        <v>4</v>
      </c>
      <c r="S28">
        <f>COUNTIF($B:$B,$N28)</f>
        <v>53</v>
      </c>
      <c r="T28" s="5" t="s">
        <v>2</v>
      </c>
    </row>
    <row r="29" spans="1:20" x14ac:dyDescent="0.2">
      <c r="A29" s="4" t="s">
        <v>1</v>
      </c>
      <c r="B29" s="3" t="str">
        <f>HYPERLINK("https://otsuka-europe-crm.veevavault.com/ui/#object/approved_document__v/V5OZ025E82TFUPI", "Spain - HCP Survey Email - June 2025")</f>
        <v>Spain - HCP Survey Email - June 2025</v>
      </c>
      <c r="C29" s="3" t="str">
        <f>HYPERLINK("https://otsuka-europe-crm.veevavault.com/ui/#object/sent_email__v/VBLZ025E82GMTB4", "SE-000267080")</f>
        <v>SE-000267080</v>
      </c>
      <c r="D29" s="1">
        <v>45915.41306712963</v>
      </c>
      <c r="E29" s="2">
        <v>1</v>
      </c>
      <c r="F29" s="2">
        <v>1</v>
      </c>
      <c r="G29" s="2">
        <v>1</v>
      </c>
      <c r="H29" s="1">
        <v>45915.413587962961</v>
      </c>
      <c r="I29" s="2">
        <v>1</v>
      </c>
      <c r="J29" s="1">
        <v>45915.379513888889</v>
      </c>
      <c r="N29" t="str">
        <v>ENFERMERÍA - PODCAST: Ep. 2 Calma Mental</v>
      </c>
      <c r="O29">
        <f>SUMIF($B:$B,$N29,$E:$E)</f>
        <v>128</v>
      </c>
      <c r="P29">
        <f>SUMIF($B:$B,$N29,$F:$F)</f>
        <v>276</v>
      </c>
      <c r="Q29">
        <f>SUMIF($B:$B,$N29,$G:$G)</f>
        <v>15</v>
      </c>
      <c r="R29">
        <f>SUMIF($B:$B,$N29,$I:$I)</f>
        <v>26</v>
      </c>
      <c r="S29">
        <f>COUNTIF($B:$B,$N29)</f>
        <v>234</v>
      </c>
      <c r="T29" s="5" t="s">
        <v>2</v>
      </c>
    </row>
    <row r="30" spans="1:20" x14ac:dyDescent="0.2">
      <c r="A30" s="4" t="s">
        <v>1</v>
      </c>
      <c r="B30" s="3" t="str">
        <f>HYPERLINK("https://otsuka-europe-crm.veevavault.com/ui/#object/approved_document__v/V5OZ025E82TFUPI", "Spain - HCP Survey Email - June 2025")</f>
        <v>Spain - HCP Survey Email - June 2025</v>
      </c>
      <c r="C30" s="3" t="str">
        <f>HYPERLINK("https://otsuka-europe-crm.veevavault.com/ui/#object/sent_email__v/VBLZ025E82GMTB5", "SE-000267081")</f>
        <v>SE-000267081</v>
      </c>
      <c r="D30" s="1" t="s">
        <v>0</v>
      </c>
      <c r="E30" s="2">
        <v>0</v>
      </c>
      <c r="F30" s="2">
        <v>0</v>
      </c>
      <c r="G30" s="2">
        <v>0</v>
      </c>
      <c r="H30" s="1" t="s">
        <v>0</v>
      </c>
      <c r="I30" s="2">
        <v>0</v>
      </c>
      <c r="J30" s="1">
        <v>45915.377812500003</v>
      </c>
      <c r="N30" t="str">
        <v>ENFERMERÍA - PODCAST: Ep4 Sueño</v>
      </c>
      <c r="O30">
        <f>SUMIF($B:$B,$N30,$E:$E)</f>
        <v>0</v>
      </c>
      <c r="P30">
        <f>SUMIF($B:$B,$N30,$F:$F)</f>
        <v>0</v>
      </c>
      <c r="Q30">
        <f>SUMIF($B:$B,$N30,$G:$G)</f>
        <v>0</v>
      </c>
      <c r="R30">
        <f>SUMIF($B:$B,$N30,$I:$I)</f>
        <v>0</v>
      </c>
      <c r="S30">
        <f>COUNTIF($B:$B,$N30)</f>
        <v>1</v>
      </c>
      <c r="T30" s="5" t="s">
        <v>2</v>
      </c>
    </row>
    <row r="31" spans="1:20" x14ac:dyDescent="0.2">
      <c r="A31" s="4" t="s">
        <v>1</v>
      </c>
      <c r="B31" s="3" t="str">
        <f>HYPERLINK("https://otsuka-europe-crm.veevavault.com/ui/#object/approved_document__v/V5OZ025E82TFUPI", "Spain - HCP Survey Email - June 2025")</f>
        <v>Spain - HCP Survey Email - June 2025</v>
      </c>
      <c r="C31" s="3" t="str">
        <f>HYPERLINK("https://otsuka-europe-crm.veevavault.com/ui/#object/sent_email__v/VBLZ025E82GMTB6", "SE-000267082")</f>
        <v>SE-000267082</v>
      </c>
      <c r="D31" s="1">
        <v>45917.771469907406</v>
      </c>
      <c r="E31" s="2">
        <v>1</v>
      </c>
      <c r="F31" s="2">
        <v>1</v>
      </c>
      <c r="G31" s="2">
        <v>0</v>
      </c>
      <c r="H31" s="1" t="s">
        <v>0</v>
      </c>
      <c r="I31" s="2">
        <v>0</v>
      </c>
      <c r="J31" s="1">
        <v>45915.378437500003</v>
      </c>
      <c r="N31" t="str">
        <v>ENFERMERíA - PODCAST: Ep5 Autoestima</v>
      </c>
      <c r="O31">
        <f>SUMIF($B:$B,$N31,$E:$E)</f>
        <v>0</v>
      </c>
      <c r="P31">
        <f>SUMIF($B:$B,$N31,$F:$F)</f>
        <v>0</v>
      </c>
      <c r="Q31">
        <f>SUMIF($B:$B,$N31,$G:$G)</f>
        <v>0</v>
      </c>
      <c r="R31">
        <f>SUMIF($B:$B,$N31,$I:$I)</f>
        <v>0</v>
      </c>
      <c r="S31">
        <f>COUNTIF($B:$B,$N31)</f>
        <v>1</v>
      </c>
      <c r="T31" s="5" t="s">
        <v>2</v>
      </c>
    </row>
    <row r="32" spans="1:20" x14ac:dyDescent="0.2">
      <c r="A32" s="4" t="s">
        <v>1</v>
      </c>
      <c r="B32" s="3" t="str">
        <f>HYPERLINK("https://otsuka-europe-crm.veevavault.com/ui/#object/approved_document__v/V5OZ025E82TFUPI", "Spain - HCP Survey Email - June 2025")</f>
        <v>Spain - HCP Survey Email - June 2025</v>
      </c>
      <c r="C32" s="3" t="str">
        <f>HYPERLINK("https://otsuka-europe-crm.veevavault.com/ui/#object/sent_email__v/VBLZ025E82GMTB7", "SE-000267083")</f>
        <v>SE-000267083</v>
      </c>
      <c r="D32" s="1" t="s">
        <v>0</v>
      </c>
      <c r="E32" s="2">
        <v>0</v>
      </c>
      <c r="F32" s="2">
        <v>0</v>
      </c>
      <c r="G32" s="2">
        <v>0</v>
      </c>
      <c r="H32" s="1" t="s">
        <v>0</v>
      </c>
      <c r="I32" s="2">
        <v>0</v>
      </c>
      <c r="J32" s="1">
        <v>45915.378020833334</v>
      </c>
      <c r="N32" t="str">
        <v>ENFERMERÍA - Revista Peplau nº5</v>
      </c>
      <c r="O32">
        <f>SUMIF($B:$B,$N32,$E:$E)</f>
        <v>46</v>
      </c>
      <c r="P32">
        <f>SUMIF($B:$B,$N32,$F:$F)</f>
        <v>91</v>
      </c>
      <c r="Q32">
        <f>SUMIF($B:$B,$N32,$G:$G)</f>
        <v>7</v>
      </c>
      <c r="R32">
        <f>SUMIF($B:$B,$N32,$I:$I)</f>
        <v>10</v>
      </c>
      <c r="S32">
        <f>COUNTIF($B:$B,$N32)</f>
        <v>98</v>
      </c>
      <c r="T32" s="5" t="s">
        <v>2</v>
      </c>
    </row>
    <row r="33" spans="1:20" x14ac:dyDescent="0.2">
      <c r="A33" s="4" t="s">
        <v>1</v>
      </c>
      <c r="B33" s="3" t="str">
        <f>HYPERLINK("https://otsuka-europe-crm.veevavault.com/ui/#object/approved_document__v/V5OZ025E82TFUPI", "Spain - HCP Survey Email - June 2025")</f>
        <v>Spain - HCP Survey Email - June 2025</v>
      </c>
      <c r="C33" s="3" t="str">
        <f>HYPERLINK("https://otsuka-europe-crm.veevavault.com/ui/#object/sent_email__v/VBLZ025E82GMTB8", "SE-000267084")</f>
        <v>SE-000267084</v>
      </c>
      <c r="D33" s="1" t="s">
        <v>0</v>
      </c>
      <c r="E33" s="2">
        <v>0</v>
      </c>
      <c r="F33" s="2">
        <v>0</v>
      </c>
      <c r="G33" s="2">
        <v>0</v>
      </c>
      <c r="H33" s="1" t="s">
        <v>0</v>
      </c>
      <c r="I33" s="2">
        <v>0</v>
      </c>
      <c r="J33" s="1">
        <v>45915.378680555557</v>
      </c>
      <c r="N33" t="str">
        <v>ES Veeva Privacy Notice Email</v>
      </c>
      <c r="O33">
        <f>SUMIF($B:$B,$N33,$E:$E)</f>
        <v>182</v>
      </c>
      <c r="P33">
        <f>SUMIF($B:$B,$N33,$F:$F)</f>
        <v>458</v>
      </c>
      <c r="Q33">
        <f>SUMIF($B:$B,$N33,$G:$G)</f>
        <v>9</v>
      </c>
      <c r="R33">
        <f>SUMIF($B:$B,$N33,$I:$I)</f>
        <v>36</v>
      </c>
      <c r="S33">
        <f>COUNTIF($B:$B,$N33)</f>
        <v>377</v>
      </c>
      <c r="T33" s="5" t="s">
        <v>2</v>
      </c>
    </row>
    <row r="34" spans="1:20" x14ac:dyDescent="0.2">
      <c r="A34" s="4" t="s">
        <v>1</v>
      </c>
      <c r="B34" s="3" t="str">
        <f>HYPERLINK("https://otsuka-europe-crm.veevavault.com/ui/#object/approved_document__v/V5OZ025E82TFUPI", "Spain - HCP Survey Email - June 2025")</f>
        <v>Spain - HCP Survey Email - June 2025</v>
      </c>
      <c r="C34" s="3" t="str">
        <f>HYPERLINK("https://otsuka-europe-crm.veevavault.com/ui/#object/sent_email__v/VBLZ025E82GMTB9", "SE-000267085")</f>
        <v>SE-000267085</v>
      </c>
      <c r="D34" s="1" t="s">
        <v>0</v>
      </c>
      <c r="E34" s="2">
        <v>0</v>
      </c>
      <c r="F34" s="2">
        <v>0</v>
      </c>
      <c r="G34" s="2">
        <v>0</v>
      </c>
      <c r="H34" s="1" t="s">
        <v>0</v>
      </c>
      <c r="I34" s="2">
        <v>0</v>
      </c>
      <c r="J34" s="1">
        <v>45915.379629629628</v>
      </c>
      <c r="N34" t="str">
        <v>ES Veeva Samples Confirmation Email Receipt</v>
      </c>
      <c r="O34">
        <f>SUMIF($B:$B,$N34,$E:$E)</f>
        <v>1</v>
      </c>
      <c r="P34">
        <f>SUMIF($B:$B,$N34,$F:$F)</f>
        <v>5</v>
      </c>
      <c r="Q34">
        <f>SUMIF($B:$B,$N34,$G:$G)</f>
        <v>0</v>
      </c>
      <c r="R34">
        <f>SUMIF($B:$B,$N34,$I:$I)</f>
        <v>0</v>
      </c>
      <c r="S34">
        <f>COUNTIF($B:$B,$N34)</f>
        <v>1</v>
      </c>
      <c r="T34" s="5" t="s">
        <v>2</v>
      </c>
    </row>
    <row r="35" spans="1:20" x14ac:dyDescent="0.2">
      <c r="A35" s="4" t="s">
        <v>1</v>
      </c>
      <c r="B35" s="3" t="str">
        <f>HYPERLINK("https://otsuka-europe-crm.veevavault.com/ui/#object/approved_document__v/V5OZ025E82TFUPI", "Spain - HCP Survey Email - June 2025")</f>
        <v>Spain - HCP Survey Email - June 2025</v>
      </c>
      <c r="C35" s="3" t="str">
        <f>HYPERLINK("https://otsuka-europe-crm.veevavault.com/ui/#object/sent_email__v/VBLZ025E82GMTBA", "SE-000267086")</f>
        <v>SE-000267086</v>
      </c>
      <c r="D35" s="1" t="s">
        <v>0</v>
      </c>
      <c r="E35" s="2">
        <v>0</v>
      </c>
      <c r="F35" s="2">
        <v>0</v>
      </c>
      <c r="G35" s="2">
        <v>0</v>
      </c>
      <c r="H35" s="1" t="s">
        <v>0</v>
      </c>
      <c r="I35" s="2">
        <v>0</v>
      </c>
      <c r="J35" s="1">
        <v>45915.377835648149</v>
      </c>
      <c r="N35" t="str">
        <v>FH - Curso Fundamentos SCZ APA</v>
      </c>
      <c r="O35">
        <f>SUMIF($B:$B,$N35,$E:$E)</f>
        <v>1</v>
      </c>
      <c r="P35">
        <f>SUMIF($B:$B,$N35,$F:$F)</f>
        <v>2</v>
      </c>
      <c r="Q35">
        <f>SUMIF($B:$B,$N35,$G:$G)</f>
        <v>0</v>
      </c>
      <c r="R35">
        <f>SUMIF($B:$B,$N35,$I:$I)</f>
        <v>0</v>
      </c>
      <c r="S35">
        <f>COUNTIF($B:$B,$N35)</f>
        <v>1</v>
      </c>
      <c r="T35" s="5" t="s">
        <v>2</v>
      </c>
    </row>
    <row r="36" spans="1:20" x14ac:dyDescent="0.2">
      <c r="A36" s="4" t="s">
        <v>1</v>
      </c>
      <c r="B36" s="3" t="str">
        <f>HYPERLINK("https://otsuka-europe-crm.veevavault.com/ui/#object/approved_document__v/V5OZ025E82TFUPI", "Spain - HCP Survey Email - June 2025")</f>
        <v>Spain - HCP Survey Email - June 2025</v>
      </c>
      <c r="C36" s="3" t="str">
        <f>HYPERLINK("https://otsuka-europe-crm.veevavault.com/ui/#object/sent_email__v/VBLZ025E82GMTBB", "SE-000267087")</f>
        <v>SE-000267087</v>
      </c>
      <c r="D36" s="1" t="s">
        <v>0</v>
      </c>
      <c r="E36" s="2">
        <v>0</v>
      </c>
      <c r="F36" s="2">
        <v>0</v>
      </c>
      <c r="G36" s="2">
        <v>0</v>
      </c>
      <c r="H36" s="1" t="s">
        <v>0</v>
      </c>
      <c r="I36" s="2">
        <v>0</v>
      </c>
      <c r="J36" s="1">
        <v>45915.377442129633</v>
      </c>
      <c r="N36" t="str">
        <v>FH - Curso IA en Salud</v>
      </c>
      <c r="O36">
        <f>SUMIF($B:$B,$N36,$E:$E)</f>
        <v>1</v>
      </c>
      <c r="P36">
        <f>SUMIF($B:$B,$N36,$F:$F)</f>
        <v>2</v>
      </c>
      <c r="Q36">
        <f>SUMIF($B:$B,$N36,$G:$G)</f>
        <v>0</v>
      </c>
      <c r="R36">
        <f>SUMIF($B:$B,$N36,$I:$I)</f>
        <v>0</v>
      </c>
      <c r="S36">
        <f>COUNTIF($B:$B,$N36)</f>
        <v>1</v>
      </c>
      <c r="T36" s="5" t="s">
        <v>2</v>
      </c>
    </row>
    <row r="37" spans="1:20" x14ac:dyDescent="0.2">
      <c r="A37" s="4" t="s">
        <v>1</v>
      </c>
      <c r="B37" s="3" t="str">
        <f>HYPERLINK("https://otsuka-europe-crm.veevavault.com/ui/#object/approved_document__v/V5OZ025E82TFUPI", "Spain - HCP Survey Email - June 2025")</f>
        <v>Spain - HCP Survey Email - June 2025</v>
      </c>
      <c r="C37" s="3" t="str">
        <f>HYPERLINK("https://otsuka-europe-crm.veevavault.com/ui/#object/sent_email__v/VBLZ025E82GMTBC", "SE-000267088")</f>
        <v>SE-000267088</v>
      </c>
      <c r="D37" s="1" t="s">
        <v>0</v>
      </c>
      <c r="E37" s="2">
        <v>0</v>
      </c>
      <c r="F37" s="2">
        <v>0</v>
      </c>
      <c r="G37" s="2">
        <v>0</v>
      </c>
      <c r="H37" s="1" t="s">
        <v>0</v>
      </c>
      <c r="I37" s="2">
        <v>0</v>
      </c>
      <c r="J37" s="1">
        <v>45915.378067129626</v>
      </c>
      <c r="N37" t="str">
        <v>INA - "30 minutos en casa" - 19 de marzo</v>
      </c>
      <c r="O37">
        <f>SUMIF($B:$B,$N37,$E:$E)</f>
        <v>0</v>
      </c>
      <c r="P37">
        <f>SUMIF($B:$B,$N37,$F:$F)</f>
        <v>0</v>
      </c>
      <c r="Q37">
        <f>SUMIF($B:$B,$N37,$G:$G)</f>
        <v>0</v>
      </c>
      <c r="R37">
        <f>SUMIF($B:$B,$N37,$I:$I)</f>
        <v>0</v>
      </c>
      <c r="S37">
        <f>COUNTIF($B:$B,$N37)</f>
        <v>1</v>
      </c>
      <c r="T37" s="5" t="s">
        <v>4</v>
      </c>
    </row>
    <row r="38" spans="1:20" x14ac:dyDescent="0.2">
      <c r="A38" s="4" t="s">
        <v>1</v>
      </c>
      <c r="B38" s="3" t="str">
        <f>HYPERLINK("https://otsuka-europe-crm.veevavault.com/ui/#object/approved_document__v/V5OZ025E82TFUPI", "Spain - HCP Survey Email - June 2025")</f>
        <v>Spain - HCP Survey Email - June 2025</v>
      </c>
      <c r="C38" s="3" t="str">
        <f>HYPERLINK("https://otsuka-europe-crm.veevavault.com/ui/#object/sent_email__v/VBLZ025E82GMTBD", "SE-000267089")</f>
        <v>SE-000267089</v>
      </c>
      <c r="D38" s="1">
        <v>45919.28197916667</v>
      </c>
      <c r="E38" s="2">
        <v>1</v>
      </c>
      <c r="F38" s="2">
        <v>1</v>
      </c>
      <c r="G38" s="2">
        <v>0</v>
      </c>
      <c r="H38" s="1" t="s">
        <v>0</v>
      </c>
      <c r="I38" s="2">
        <v>0</v>
      </c>
      <c r="J38" s="1">
        <v>45915.378854166665</v>
      </c>
      <c r="N38" t="str">
        <v>INA - 3r episodio Nosquedamosencasa - El rol del equipo asistencial</v>
      </c>
      <c r="O38">
        <f>SUMIF($B:$B,$N38,$E:$E)</f>
        <v>61</v>
      </c>
      <c r="P38">
        <f>SUMIF($B:$B,$N38,$F:$F)</f>
        <v>131</v>
      </c>
      <c r="Q38">
        <f>SUMIF($B:$B,$N38,$G:$G)</f>
        <v>6</v>
      </c>
      <c r="R38">
        <f>SUMIF($B:$B,$N38,$I:$I)</f>
        <v>47</v>
      </c>
      <c r="S38">
        <f>COUNTIF($B:$B,$N38)</f>
        <v>231</v>
      </c>
      <c r="T38" s="5" t="s">
        <v>4</v>
      </c>
    </row>
    <row r="39" spans="1:20" x14ac:dyDescent="0.2">
      <c r="A39" s="4" t="s">
        <v>1</v>
      </c>
      <c r="B39" s="3" t="str">
        <f>HYPERLINK("https://otsuka-europe-crm.veevavault.com/ui/#object/approved_document__v/V5OZ025E82TFUPI", "Spain - HCP Survey Email - June 2025")</f>
        <v>Spain - HCP Survey Email - June 2025</v>
      </c>
      <c r="C39" s="3" t="str">
        <f>HYPERLINK("https://otsuka-europe-crm.veevavault.com/ui/#object/sent_email__v/VBLZ025E82GMTBE", "SE-000267090")</f>
        <v>SE-000267090</v>
      </c>
      <c r="D39" s="1" t="s">
        <v>0</v>
      </c>
      <c r="E39" s="2">
        <v>0</v>
      </c>
      <c r="F39" s="2">
        <v>0</v>
      </c>
      <c r="G39" s="2">
        <v>0</v>
      </c>
      <c r="H39" s="1" t="s">
        <v>0</v>
      </c>
      <c r="I39" s="2">
        <v>0</v>
      </c>
      <c r="J39" s="1">
        <v>45915.378599537034</v>
      </c>
      <c r="N39" t="str">
        <v>INA - CC Neutropenia en varón de 75 años Dra. Gil</v>
      </c>
      <c r="O39">
        <f>SUMIF($B:$B,$N39,$E:$E)</f>
        <v>2</v>
      </c>
      <c r="P39">
        <f>SUMIF($B:$B,$N39,$F:$F)</f>
        <v>10</v>
      </c>
      <c r="Q39">
        <f>SUMIF($B:$B,$N39,$G:$G)</f>
        <v>1</v>
      </c>
      <c r="R39">
        <f>SUMIF($B:$B,$N39,$I:$I)</f>
        <v>2</v>
      </c>
      <c r="S39">
        <f>COUNTIF($B:$B,$N39)</f>
        <v>2</v>
      </c>
      <c r="T39" s="5" t="s">
        <v>4</v>
      </c>
    </row>
    <row r="40" spans="1:20" x14ac:dyDescent="0.2">
      <c r="A40" s="4" t="s">
        <v>1</v>
      </c>
      <c r="B40" s="3" t="str">
        <f>HYPERLINK("https://otsuka-europe-crm.veevavault.com/ui/#object/approved_document__v/V5OZ025E82TFUPI", "Spain - HCP Survey Email - June 2025")</f>
        <v>Spain - HCP Survey Email - June 2025</v>
      </c>
      <c r="C40" s="3" t="str">
        <f>HYPERLINK("https://otsuka-europe-crm.veevavault.com/ui/#object/sent_email__v/VBLZ025E82GMTBF", "SE-000267091")</f>
        <v>SE-000267091</v>
      </c>
      <c r="D40" s="1" t="s">
        <v>0</v>
      </c>
      <c r="E40" s="2">
        <v>0</v>
      </c>
      <c r="F40" s="2">
        <v>0</v>
      </c>
      <c r="G40" s="2">
        <v>0</v>
      </c>
      <c r="H40" s="1" t="s">
        <v>0</v>
      </c>
      <c r="I40" s="2">
        <v>0</v>
      </c>
      <c r="J40" s="1">
        <v>45915.379421296297</v>
      </c>
      <c r="N40" t="str">
        <v>INA - CC Paciente vulnerable con LMA TP53 Dra. Tormo</v>
      </c>
      <c r="O40">
        <f>SUMIF($B:$B,$N40,$E:$E)</f>
        <v>4</v>
      </c>
      <c r="P40">
        <f>SUMIF($B:$B,$N40,$F:$F)</f>
        <v>17</v>
      </c>
      <c r="Q40">
        <f>SUMIF($B:$B,$N40,$G:$G)</f>
        <v>2</v>
      </c>
      <c r="R40">
        <f>SUMIF($B:$B,$N40,$I:$I)</f>
        <v>11</v>
      </c>
      <c r="S40">
        <f>COUNTIF($B:$B,$N40)</f>
        <v>33</v>
      </c>
      <c r="T40" s="5" t="s">
        <v>4</v>
      </c>
    </row>
    <row r="41" spans="1:20" x14ac:dyDescent="0.2">
      <c r="A41" s="4" t="s">
        <v>1</v>
      </c>
      <c r="B41" s="3" t="str">
        <f>HYPERLINK("https://otsuka-europe-crm.veevavault.com/ui/#object/approved_document__v/V5OZ025E82TFUPI", "Spain - HCP Survey Email - June 2025")</f>
        <v>Spain - HCP Survey Email - June 2025</v>
      </c>
      <c r="C41" s="3" t="str">
        <f>HYPERLINK("https://otsuka-europe-crm.veevavault.com/ui/#object/sent_email__v/VBLZ025E82GMTBG", "SE-000267092")</f>
        <v>SE-000267092</v>
      </c>
      <c r="D41" s="1" t="s">
        <v>0</v>
      </c>
      <c r="E41" s="2">
        <v>0</v>
      </c>
      <c r="F41" s="2">
        <v>0</v>
      </c>
      <c r="G41" s="2">
        <v>0</v>
      </c>
      <c r="H41" s="1" t="s">
        <v>0</v>
      </c>
      <c r="I41" s="2">
        <v>0</v>
      </c>
      <c r="J41" s="1">
        <v>45915.377662037034</v>
      </c>
      <c r="N41" t="str">
        <v>INA - Episodio 1 Videopodcast Nos Quedamos En Casa</v>
      </c>
      <c r="O41">
        <f>SUMIF($B:$B,$N41,$E:$E)</f>
        <v>80</v>
      </c>
      <c r="P41">
        <f>SUMIF($B:$B,$N41,$F:$F)</f>
        <v>157</v>
      </c>
      <c r="Q41">
        <f>SUMIF($B:$B,$N41,$G:$G)</f>
        <v>9</v>
      </c>
      <c r="R41">
        <f>SUMIF($B:$B,$N41,$I:$I)</f>
        <v>17</v>
      </c>
      <c r="S41">
        <f>COUNTIF($B:$B,$N41)</f>
        <v>269</v>
      </c>
      <c r="T41" s="5" t="s">
        <v>4</v>
      </c>
    </row>
    <row r="42" spans="1:20" x14ac:dyDescent="0.2">
      <c r="A42" s="4" t="s">
        <v>1</v>
      </c>
      <c r="B42" s="3" t="str">
        <f>HYPERLINK("https://otsuka-europe-crm.veevavault.com/ui/#object/approved_document__v/V5OZ025E82TFUPI", "Spain - HCP Survey Email - June 2025")</f>
        <v>Spain - HCP Survey Email - June 2025</v>
      </c>
      <c r="C42" s="3" t="str">
        <f>HYPERLINK("https://otsuka-europe-crm.veevavault.com/ui/#object/sent_email__v/VBLZ025E82GMTBH", "SE-000267093")</f>
        <v>SE-000267093</v>
      </c>
      <c r="D42" s="1" t="s">
        <v>0</v>
      </c>
      <c r="E42" s="2">
        <v>0</v>
      </c>
      <c r="F42" s="2">
        <v>0</v>
      </c>
      <c r="G42" s="2">
        <v>0</v>
      </c>
      <c r="H42" s="1" t="s">
        <v>0</v>
      </c>
      <c r="I42" s="2">
        <v>0</v>
      </c>
      <c r="J42" s="1">
        <v>45915.378587962965</v>
      </c>
      <c r="N42" t="str">
        <v>INA - Episodio 2 Videopodcast Nos Quedamos En Casa</v>
      </c>
      <c r="O42">
        <f>SUMIF($B:$B,$N42,$E:$E)</f>
        <v>83</v>
      </c>
      <c r="P42">
        <f>SUMIF($B:$B,$N42,$F:$F)</f>
        <v>165</v>
      </c>
      <c r="Q42">
        <f>SUMIF($B:$B,$N42,$G:$G)</f>
        <v>4</v>
      </c>
      <c r="R42">
        <f>SUMIF($B:$B,$N42,$I:$I)</f>
        <v>13</v>
      </c>
      <c r="S42">
        <f>COUNTIF($B:$B,$N42)</f>
        <v>245</v>
      </c>
      <c r="T42" s="5" t="s">
        <v>4</v>
      </c>
    </row>
    <row r="43" spans="1:20" x14ac:dyDescent="0.2">
      <c r="A43" s="4" t="s">
        <v>1</v>
      </c>
      <c r="B43" s="3" t="str">
        <f>HYPERLINK("https://otsuka-europe-crm.veevavault.com/ui/#object/approved_document__v/V5OZ025E82TFUPI", "Spain - HCP Survey Email - June 2025")</f>
        <v>Spain - HCP Survey Email - June 2025</v>
      </c>
      <c r="C43" s="3" t="str">
        <f>HYPERLINK("https://otsuka-europe-crm.veevavault.com/ui/#object/sent_email__v/VBLZ025E82GMTBI", "SE-000267094")</f>
        <v>SE-000267094</v>
      </c>
      <c r="D43" s="1" t="s">
        <v>0</v>
      </c>
      <c r="E43" s="2">
        <v>0</v>
      </c>
      <c r="F43" s="2">
        <v>0</v>
      </c>
      <c r="G43" s="2">
        <v>0</v>
      </c>
      <c r="H43" s="1" t="s">
        <v>0</v>
      </c>
      <c r="I43" s="2">
        <v>0</v>
      </c>
      <c r="J43" s="1">
        <v>45915.377986111111</v>
      </c>
      <c r="N43" t="str">
        <v>INA - Invitación y programa Simposio SEHH 2025</v>
      </c>
      <c r="O43">
        <f>SUMIF($B:$B,$N43,$E:$E)</f>
        <v>190</v>
      </c>
      <c r="P43">
        <f>SUMIF($B:$B,$N43,$F:$F)</f>
        <v>436</v>
      </c>
      <c r="Q43">
        <f>SUMIF($B:$B,$N43,$G:$G)</f>
        <v>42</v>
      </c>
      <c r="R43">
        <f>SUMIF($B:$B,$N43,$I:$I)</f>
        <v>91</v>
      </c>
      <c r="S43">
        <f>COUNTIF($B:$B,$N43)</f>
        <v>468</v>
      </c>
      <c r="T43" s="5" t="s">
        <v>4</v>
      </c>
    </row>
    <row r="44" spans="1:20" x14ac:dyDescent="0.2">
      <c r="A44" s="4" t="s">
        <v>1</v>
      </c>
      <c r="B44" s="3" t="str">
        <f>HYPERLINK("https://otsuka-europe-crm.veevavault.com/ui/#object/approved_document__v/V5OZ025E82TFUPI", "Spain - HCP Survey Email - June 2025")</f>
        <v>Spain - HCP Survey Email - June 2025</v>
      </c>
      <c r="C44" s="3" t="str">
        <f>HYPERLINK("https://otsuka-europe-crm.veevavault.com/ui/#object/sent_email__v/VBLZ025E82GMTBJ", "SE-000267095")</f>
        <v>SE-000267095</v>
      </c>
      <c r="D44" s="1" t="s">
        <v>0</v>
      </c>
      <c r="E44" s="2">
        <v>0</v>
      </c>
      <c r="F44" s="2">
        <v>0</v>
      </c>
      <c r="G44" s="2">
        <v>0</v>
      </c>
      <c r="H44" s="1" t="s">
        <v>0</v>
      </c>
      <c r="I44" s="2">
        <v>0</v>
      </c>
      <c r="J44" s="1">
        <v>45915.378703703704</v>
      </c>
      <c r="N44" t="str">
        <v>INA - VAE Videos Simposio SEHH 2025</v>
      </c>
      <c r="O44">
        <f>SUMIF($B:$B,$N44,$E:$E)</f>
        <v>18</v>
      </c>
      <c r="P44">
        <f>SUMIF($B:$B,$N44,$F:$F)</f>
        <v>28</v>
      </c>
      <c r="Q44">
        <f>SUMIF($B:$B,$N44,$G:$G)</f>
        <v>0</v>
      </c>
      <c r="R44">
        <f>SUMIF($B:$B,$N44,$I:$I)</f>
        <v>0</v>
      </c>
      <c r="S44">
        <f>COUNTIF($B:$B,$N44)</f>
        <v>32</v>
      </c>
      <c r="T44" s="5" t="s">
        <v>4</v>
      </c>
    </row>
    <row r="45" spans="1:20" x14ac:dyDescent="0.2">
      <c r="A45" s="4" t="s">
        <v>1</v>
      </c>
      <c r="B45" s="3" t="str">
        <f>HYPERLINK("https://otsuka-europe-crm.veevavault.com/ui/#object/approved_document__v/V5OZ025E82TFUPI", "Spain - HCP Survey Email - June 2025")</f>
        <v>Spain - HCP Survey Email - June 2025</v>
      </c>
      <c r="C45" s="3" t="str">
        <f>HYPERLINK("https://otsuka-europe-crm.veevavault.com/ui/#object/sent_email__v/VBLZ025E82GMTBK", "SE-000267096")</f>
        <v>SE-000267096</v>
      </c>
      <c r="D45" s="1">
        <v>45915.432430555556</v>
      </c>
      <c r="E45" s="2">
        <v>1</v>
      </c>
      <c r="F45" s="2">
        <v>1</v>
      </c>
      <c r="G45" s="2">
        <v>0</v>
      </c>
      <c r="H45" s="1" t="s">
        <v>0</v>
      </c>
      <c r="I45" s="2">
        <v>0</v>
      </c>
      <c r="J45" s="1">
        <v>45915.377812500003</v>
      </c>
      <c r="N45" t="str">
        <v>INA - Videos Primeras experiencias con decitabina oral</v>
      </c>
      <c r="O45">
        <f>SUMIF($B:$B,$N45,$E:$E)</f>
        <v>17</v>
      </c>
      <c r="P45">
        <f>SUMIF($B:$B,$N45,$F:$F)</f>
        <v>32</v>
      </c>
      <c r="Q45">
        <f>SUMIF($B:$B,$N45,$G:$G)</f>
        <v>2</v>
      </c>
      <c r="R45">
        <f>SUMIF($B:$B,$N45,$I:$I)</f>
        <v>11</v>
      </c>
      <c r="S45">
        <f>COUNTIF($B:$B,$N45)</f>
        <v>23</v>
      </c>
      <c r="T45" s="5" t="s">
        <v>4</v>
      </c>
    </row>
    <row r="46" spans="1:20" x14ac:dyDescent="0.2">
      <c r="A46" s="4" t="s">
        <v>1</v>
      </c>
      <c r="B46" s="3" t="str">
        <f>HYPERLINK("https://otsuka-europe-crm.veevavault.com/ui/#object/approved_document__v/V5OZ025E82TFUPI", "Spain - HCP Survey Email - June 2025")</f>
        <v>Spain - HCP Survey Email - June 2025</v>
      </c>
      <c r="C46" s="3" t="str">
        <f>HYPERLINK("https://otsuka-europe-crm.veevavault.com/ui/#object/sent_email__v/VBLZ025E82GMTBL", "SE-000267097")</f>
        <v>SE-000267097</v>
      </c>
      <c r="D46" s="1">
        <v>45936.654849537037</v>
      </c>
      <c r="E46" s="2">
        <v>1</v>
      </c>
      <c r="F46" s="2">
        <v>2</v>
      </c>
      <c r="G46" s="2">
        <v>0</v>
      </c>
      <c r="H46" s="1" t="s">
        <v>0</v>
      </c>
      <c r="I46" s="2">
        <v>0</v>
      </c>
      <c r="J46" s="1">
        <v>45915.378483796296</v>
      </c>
      <c r="N46" t="str">
        <v>Invitación IX Jornada UHB 2025</v>
      </c>
      <c r="O46">
        <f>SUMIF($B:$B,$N46,$E:$E)</f>
        <v>43</v>
      </c>
      <c r="P46">
        <f>SUMIF($B:$B,$N46,$F:$F)</f>
        <v>139</v>
      </c>
      <c r="Q46">
        <f>SUMIF($B:$B,$N46,$G:$G)</f>
        <v>22</v>
      </c>
      <c r="R46">
        <f>SUMIF($B:$B,$N46,$I:$I)</f>
        <v>44</v>
      </c>
      <c r="S46">
        <f>COUNTIF($B:$B,$N46)</f>
        <v>66</v>
      </c>
      <c r="T46" s="5" t="s">
        <v>2</v>
      </c>
    </row>
    <row r="47" spans="1:20" x14ac:dyDescent="0.2">
      <c r="A47" s="4" t="s">
        <v>1</v>
      </c>
      <c r="B47" s="3" t="str">
        <f>HYPERLINK("https://otsuka-europe-crm.veevavault.com/ui/#object/approved_document__v/V5OZ025E82TFUPI", "Spain - HCP Survey Email - June 2025")</f>
        <v>Spain - HCP Survey Email - June 2025</v>
      </c>
      <c r="C47" s="3" t="str">
        <f>HYPERLINK("https://otsuka-europe-crm.veevavault.com/ui/#object/sent_email__v/VBLZ025E82GMTBM", "SE-000267098")</f>
        <v>SE-000267098</v>
      </c>
      <c r="D47" s="1">
        <v>45915.592685185184</v>
      </c>
      <c r="E47" s="2">
        <v>1</v>
      </c>
      <c r="F47" s="2">
        <v>2</v>
      </c>
      <c r="G47" s="2">
        <v>0</v>
      </c>
      <c r="H47" s="1" t="s">
        <v>0</v>
      </c>
      <c r="I47" s="2">
        <v>0</v>
      </c>
      <c r="J47" s="1">
        <v>45915.378101851849</v>
      </c>
      <c r="N47" t="str">
        <v>Libro IA en psiquiatría</v>
      </c>
      <c r="O47">
        <f>SUMIF($B:$B,$N47,$E:$E)</f>
        <v>267</v>
      </c>
      <c r="P47">
        <f>SUMIF($B:$B,$N47,$F:$F)</f>
        <v>610</v>
      </c>
      <c r="Q47">
        <f>SUMIF($B:$B,$N47,$G:$G)</f>
        <v>77</v>
      </c>
      <c r="R47">
        <f>SUMIF($B:$B,$N47,$I:$I)</f>
        <v>124</v>
      </c>
      <c r="S47">
        <f>COUNTIF($B:$B,$N47)</f>
        <v>428</v>
      </c>
      <c r="T47" s="5" t="s">
        <v>2</v>
      </c>
    </row>
    <row r="48" spans="1:20" x14ac:dyDescent="0.2">
      <c r="A48" s="4" t="s">
        <v>1</v>
      </c>
      <c r="B48" s="3" t="str">
        <f>HYPERLINK("https://otsuka-europe-crm.veevavault.com/ui/#object/approved_document__v/V5OZ025E82TFUPI", "Spain - HCP Survey Email - June 2025")</f>
        <v>Spain - HCP Survey Email - June 2025</v>
      </c>
      <c r="C48" s="3" t="str">
        <f>HYPERLINK("https://otsuka-europe-crm.veevavault.com/ui/#object/sent_email__v/VBLZ025E82GMTBN", "SE-000267099")</f>
        <v>SE-000267099</v>
      </c>
      <c r="D48" s="1">
        <v>45916.050185185188</v>
      </c>
      <c r="E48" s="2">
        <v>1</v>
      </c>
      <c r="F48" s="2">
        <v>1</v>
      </c>
      <c r="G48" s="2">
        <v>0</v>
      </c>
      <c r="H48" s="1" t="s">
        <v>0</v>
      </c>
      <c r="I48" s="2">
        <v>0</v>
      </c>
      <c r="J48" s="1">
        <v>45915.378657407404</v>
      </c>
      <c r="N48" t="str">
        <v>LUP - 10 cuestiones para pensar: ¿Dónde quedó la lesión vascular? - nefro</v>
      </c>
      <c r="O48">
        <f>SUMIF($B:$B,$N48,$E:$E)</f>
        <v>51</v>
      </c>
      <c r="P48">
        <f>SUMIF($B:$B,$N48,$F:$F)</f>
        <v>78</v>
      </c>
      <c r="Q48">
        <f>SUMIF($B:$B,$N48,$G:$G)</f>
        <v>5</v>
      </c>
      <c r="R48">
        <f>SUMIF($B:$B,$N48,$I:$I)</f>
        <v>8</v>
      </c>
      <c r="S48">
        <f>COUNTIF($B:$B,$N48)</f>
        <v>379</v>
      </c>
      <c r="T48" s="5" t="s">
        <v>6</v>
      </c>
    </row>
    <row r="49" spans="1:20" x14ac:dyDescent="0.2">
      <c r="A49" s="4" t="s">
        <v>1</v>
      </c>
      <c r="B49" s="3" t="str">
        <f>HYPERLINK("https://otsuka-europe-crm.veevavault.com/ui/#object/approved_document__v/V5OZ025E82TFUPI", "Spain - HCP Survey Email - June 2025")</f>
        <v>Spain - HCP Survey Email - June 2025</v>
      </c>
      <c r="C49" s="3" t="str">
        <f>HYPERLINK("https://otsuka-europe-crm.veevavault.com/ui/#object/sent_email__v/VBLZ025E82GMTBO", "SE-000267100")</f>
        <v>SE-000267100</v>
      </c>
      <c r="D49" s="1" t="s">
        <v>0</v>
      </c>
      <c r="E49" s="2">
        <v>0</v>
      </c>
      <c r="F49" s="2">
        <v>0</v>
      </c>
      <c r="G49" s="2">
        <v>0</v>
      </c>
      <c r="H49" s="1" t="s">
        <v>0</v>
      </c>
      <c r="I49" s="2">
        <v>0</v>
      </c>
      <c r="J49" s="1">
        <v>45915.379502314812</v>
      </c>
      <c r="N49" t="str">
        <v>LUP - 10 cuestiones para pensar: ¿Dónde quedó la lesión vascular? - reuma</v>
      </c>
      <c r="O49">
        <f>SUMIF($B:$B,$N49,$E:$E)</f>
        <v>58</v>
      </c>
      <c r="P49">
        <f>SUMIF($B:$B,$N49,$F:$F)</f>
        <v>96</v>
      </c>
      <c r="Q49">
        <f>SUMIF($B:$B,$N49,$G:$G)</f>
        <v>3</v>
      </c>
      <c r="R49">
        <f>SUMIF($B:$B,$N49,$I:$I)</f>
        <v>4</v>
      </c>
      <c r="S49">
        <f>COUNTIF($B:$B,$N49)</f>
        <v>167</v>
      </c>
      <c r="T49" s="5" t="s">
        <v>6</v>
      </c>
    </row>
    <row r="50" spans="1:20" x14ac:dyDescent="0.2">
      <c r="A50" s="4" t="s">
        <v>1</v>
      </c>
      <c r="B50" s="3" t="str">
        <f>HYPERLINK("https://otsuka-europe-crm.veevavault.com/ui/#object/approved_document__v/V5OZ025E82TFUPI", "Spain - HCP Survey Email - June 2025")</f>
        <v>Spain - HCP Survey Email - June 2025</v>
      </c>
      <c r="C50" s="3" t="str">
        <f>HYPERLINK("https://otsuka-europe-crm.veevavault.com/ui/#object/sent_email__v/VBLZ025E82GMTBP", "SE-000267101")</f>
        <v>SE-000267101</v>
      </c>
      <c r="D50" s="1" t="s">
        <v>0</v>
      </c>
      <c r="E50" s="2">
        <v>0</v>
      </c>
      <c r="F50" s="2">
        <v>0</v>
      </c>
      <c r="G50" s="2">
        <v>0</v>
      </c>
      <c r="H50" s="1" t="s">
        <v>0</v>
      </c>
      <c r="I50" s="2">
        <v>0</v>
      </c>
      <c r="J50" s="1">
        <v>45915.377789351849</v>
      </c>
      <c r="N50" t="str">
        <v>LUP - 10 cuestiones para pensar: Albuminuria - nefro</v>
      </c>
      <c r="O50">
        <f>SUMIF($B:$B,$N50,$E:$E)</f>
        <v>350</v>
      </c>
      <c r="P50">
        <f>SUMIF($B:$B,$N50,$F:$F)</f>
        <v>548</v>
      </c>
      <c r="Q50">
        <f>SUMIF($B:$B,$N50,$G:$G)</f>
        <v>44</v>
      </c>
      <c r="R50">
        <f>SUMIF($B:$B,$N50,$I:$I)</f>
        <v>66</v>
      </c>
      <c r="S50">
        <f>COUNTIF($B:$B,$N50)</f>
        <v>876</v>
      </c>
      <c r="T50" s="5" t="s">
        <v>6</v>
      </c>
    </row>
    <row r="51" spans="1:20" x14ac:dyDescent="0.2">
      <c r="A51" s="4" t="s">
        <v>1</v>
      </c>
      <c r="B51" s="3" t="str">
        <f>HYPERLINK("https://otsuka-europe-crm.veevavault.com/ui/#object/approved_document__v/V5OZ025E82TFUPI", "Spain - HCP Survey Email - June 2025")</f>
        <v>Spain - HCP Survey Email - June 2025</v>
      </c>
      <c r="C51" s="3" t="str">
        <f>HYPERLINK("https://otsuka-europe-crm.veevavault.com/ui/#object/sent_email__v/VBLZ025E82GMTBQ", "SE-000267102")</f>
        <v>SE-000267102</v>
      </c>
      <c r="D51" s="1" t="s">
        <v>0</v>
      </c>
      <c r="E51" s="2">
        <v>0</v>
      </c>
      <c r="F51" s="2">
        <v>0</v>
      </c>
      <c r="G51" s="2">
        <v>0</v>
      </c>
      <c r="H51" s="1" t="s">
        <v>0</v>
      </c>
      <c r="I51" s="2">
        <v>0</v>
      </c>
      <c r="J51" s="1">
        <v>45915.377465277779</v>
      </c>
      <c r="N51" t="str">
        <v>LUP - 10 cuestiones para pensar: Albuminuria - reuma</v>
      </c>
      <c r="O51">
        <f>SUMIF($B:$B,$N51,$E:$E)</f>
        <v>135</v>
      </c>
      <c r="P51">
        <f>SUMIF($B:$B,$N51,$F:$F)</f>
        <v>251</v>
      </c>
      <c r="Q51">
        <f>SUMIF($B:$B,$N51,$G:$G)</f>
        <v>7</v>
      </c>
      <c r="R51">
        <f>SUMIF($B:$B,$N51,$I:$I)</f>
        <v>10</v>
      </c>
      <c r="S51">
        <f>COUNTIF($B:$B,$N51)</f>
        <v>292</v>
      </c>
      <c r="T51" s="5" t="s">
        <v>6</v>
      </c>
    </row>
    <row r="52" spans="1:20" x14ac:dyDescent="0.2">
      <c r="A52" s="4" t="s">
        <v>1</v>
      </c>
      <c r="B52" s="3" t="str">
        <f>HYPERLINK("https://otsuka-europe-crm.veevavault.com/ui/#object/approved_document__v/V5OZ025E82TFUPI", "Spain - HCP Survey Email - June 2025")</f>
        <v>Spain - HCP Survey Email - June 2025</v>
      </c>
      <c r="C52" s="3" t="str">
        <f>HYPERLINK("https://otsuka-europe-crm.veevavault.com/ui/#object/sent_email__v/VBLZ025E82GMTBR", "SE-000267103")</f>
        <v>SE-000267103</v>
      </c>
      <c r="D52" s="1" t="s">
        <v>0</v>
      </c>
      <c r="E52" s="2">
        <v>0</v>
      </c>
      <c r="F52" s="2">
        <v>0</v>
      </c>
      <c r="G52" s="2">
        <v>0</v>
      </c>
      <c r="H52" s="1" t="s">
        <v>0</v>
      </c>
      <c r="I52" s="2">
        <v>0</v>
      </c>
      <c r="J52" s="1">
        <v>45915.378148148149</v>
      </c>
      <c r="N52" t="str">
        <v>LUP - 10 cuestiones para pensar: índices de actividad y cronicidad - nefro</v>
      </c>
      <c r="O52">
        <f>SUMIF($B:$B,$N52,$E:$E)</f>
        <v>220</v>
      </c>
      <c r="P52">
        <f>SUMIF($B:$B,$N52,$F:$F)</f>
        <v>416</v>
      </c>
      <c r="Q52">
        <f>SUMIF($B:$B,$N52,$G:$G)</f>
        <v>34</v>
      </c>
      <c r="R52">
        <f>SUMIF($B:$B,$N52,$I:$I)</f>
        <v>46</v>
      </c>
      <c r="S52">
        <f>COUNTIF($B:$B,$N52)</f>
        <v>677</v>
      </c>
      <c r="T52" s="5" t="s">
        <v>6</v>
      </c>
    </row>
    <row r="53" spans="1:20" x14ac:dyDescent="0.2">
      <c r="A53" s="4" t="s">
        <v>1</v>
      </c>
      <c r="B53" s="3" t="str">
        <f>HYPERLINK("https://otsuka-europe-crm.veevavault.com/ui/#object/approved_document__v/V5OZ025E82TFUPI", "Spain - HCP Survey Email - June 2025")</f>
        <v>Spain - HCP Survey Email - June 2025</v>
      </c>
      <c r="C53" s="3" t="str">
        <f>HYPERLINK("https://otsuka-europe-crm.veevavault.com/ui/#object/sent_email__v/VBLZ025E82GMTBS", "SE-000267104")</f>
        <v>SE-000267104</v>
      </c>
      <c r="D53" s="1" t="s">
        <v>0</v>
      </c>
      <c r="E53" s="2">
        <v>0</v>
      </c>
      <c r="F53" s="2">
        <v>0</v>
      </c>
      <c r="G53" s="2">
        <v>0</v>
      </c>
      <c r="H53" s="1" t="s">
        <v>0</v>
      </c>
      <c r="I53" s="2">
        <v>0</v>
      </c>
      <c r="J53" s="1">
        <v>45915.378842592596</v>
      </c>
      <c r="N53" t="str">
        <v>LUP - 10 cuestiones para pensar: índices de actividad y cronicidad - reuma</v>
      </c>
      <c r="O53">
        <f>SUMIF($B:$B,$N53,$E:$E)</f>
        <v>100</v>
      </c>
      <c r="P53">
        <f>SUMIF($B:$B,$N53,$F:$F)</f>
        <v>163</v>
      </c>
      <c r="Q53">
        <f>SUMIF($B:$B,$N53,$G:$G)</f>
        <v>4</v>
      </c>
      <c r="R53">
        <f>SUMIF($B:$B,$N53,$I:$I)</f>
        <v>12</v>
      </c>
      <c r="S53">
        <f>COUNTIF($B:$B,$N53)</f>
        <v>282</v>
      </c>
      <c r="T53" s="5" t="s">
        <v>6</v>
      </c>
    </row>
    <row r="54" spans="1:20" x14ac:dyDescent="0.2">
      <c r="A54" s="4" t="s">
        <v>1</v>
      </c>
      <c r="B54" s="3" t="str">
        <f>HYPERLINK("https://otsuka-europe-crm.veevavault.com/ui/#object/approved_document__v/V5OZ025E82TFUPI", "Spain - HCP Survey Email - June 2025")</f>
        <v>Spain - HCP Survey Email - June 2025</v>
      </c>
      <c r="C54" s="3" t="str">
        <f>HYPERLINK("https://otsuka-europe-crm.veevavault.com/ui/#object/sent_email__v/VBLZ025E82GMTBT", "SE-000267105")</f>
        <v>SE-000267105</v>
      </c>
      <c r="D54" s="1" t="s">
        <v>0</v>
      </c>
      <c r="E54" s="2">
        <v>0</v>
      </c>
      <c r="F54" s="2">
        <v>0</v>
      </c>
      <c r="G54" s="2">
        <v>0</v>
      </c>
      <c r="H54" s="1" t="s">
        <v>0</v>
      </c>
      <c r="I54" s="2">
        <v>0</v>
      </c>
      <c r="J54" s="1">
        <v>45915.378530092596</v>
      </c>
      <c r="N54" t="str">
        <v>LUP - 10 cuestiones para pensar: Score Pronóstico - nefro</v>
      </c>
      <c r="O54">
        <f>SUMIF($B:$B,$N54,$E:$E)</f>
        <v>84</v>
      </c>
      <c r="P54">
        <f>SUMIF($B:$B,$N54,$F:$F)</f>
        <v>201</v>
      </c>
      <c r="Q54">
        <f>SUMIF($B:$B,$N54,$G:$G)</f>
        <v>5</v>
      </c>
      <c r="R54">
        <f>SUMIF($B:$B,$N54,$I:$I)</f>
        <v>10</v>
      </c>
      <c r="S54">
        <f>COUNTIF($B:$B,$N54)</f>
        <v>437</v>
      </c>
      <c r="T54" s="5" t="s">
        <v>6</v>
      </c>
    </row>
    <row r="55" spans="1:20" x14ac:dyDescent="0.2">
      <c r="A55" s="4" t="s">
        <v>1</v>
      </c>
      <c r="B55" s="3" t="str">
        <f>HYPERLINK("https://otsuka-europe-crm.veevavault.com/ui/#object/approved_document__v/V5OZ025E82TFUPI", "Spain - HCP Survey Email - June 2025")</f>
        <v>Spain - HCP Survey Email - June 2025</v>
      </c>
      <c r="C55" s="3" t="str">
        <f>HYPERLINK("https://otsuka-europe-crm.veevavault.com/ui/#object/sent_email__v/VBLZ025E82GMTBU", "SE-000267106")</f>
        <v>SE-000267106</v>
      </c>
      <c r="D55" s="1">
        <v>45916.368379629632</v>
      </c>
      <c r="E55" s="2">
        <v>1</v>
      </c>
      <c r="F55" s="2">
        <v>1</v>
      </c>
      <c r="G55" s="2">
        <v>0</v>
      </c>
      <c r="H55" s="1" t="s">
        <v>0</v>
      </c>
      <c r="I55" s="2">
        <v>0</v>
      </c>
      <c r="J55" s="1">
        <v>45915.379386574074</v>
      </c>
      <c r="N55" t="str">
        <v>LUP - 10 cuestiones para pensar: Score Pronóstico - reuma</v>
      </c>
      <c r="O55">
        <f>SUMIF($B:$B,$N55,$E:$E)</f>
        <v>38</v>
      </c>
      <c r="P55">
        <f>SUMIF($B:$B,$N55,$F:$F)</f>
        <v>86</v>
      </c>
      <c r="Q55">
        <f>SUMIF($B:$B,$N55,$G:$G)</f>
        <v>2</v>
      </c>
      <c r="R55">
        <f>SUMIF($B:$B,$N55,$I:$I)</f>
        <v>3</v>
      </c>
      <c r="S55">
        <f>COUNTIF($B:$B,$N55)</f>
        <v>191</v>
      </c>
      <c r="T55" s="5" t="s">
        <v>6</v>
      </c>
    </row>
    <row r="56" spans="1:20" x14ac:dyDescent="0.2">
      <c r="A56" s="4" t="s">
        <v>1</v>
      </c>
      <c r="B56" s="3" t="str">
        <f>HYPERLINK("https://otsuka-europe-crm.veevavault.com/ui/#object/approved_document__v/V5OZ025E82TFUPI", "Spain - HCP Survey Email - June 2025")</f>
        <v>Spain - HCP Survey Email - June 2025</v>
      </c>
      <c r="C56" s="3" t="str">
        <f>HYPERLINK("https://otsuka-europe-crm.veevavault.com/ui/#object/sent_email__v/VBLZ025E82GMTBV", "SE-000267107")</f>
        <v>SE-000267107</v>
      </c>
      <c r="D56" s="1" t="s">
        <v>0</v>
      </c>
      <c r="E56" s="2">
        <v>0</v>
      </c>
      <c r="F56" s="2">
        <v>0</v>
      </c>
      <c r="G56" s="2">
        <v>0</v>
      </c>
      <c r="H56" s="1" t="s">
        <v>0</v>
      </c>
      <c r="I56" s="2">
        <v>0</v>
      </c>
      <c r="J56" s="1">
        <v>45915.377743055556</v>
      </c>
      <c r="N56" t="str">
        <v>LUP - 10 cuestiones: Inmunosupresión - nefro</v>
      </c>
      <c r="O56">
        <f>SUMIF($B:$B,$N56,$E:$E)</f>
        <v>84</v>
      </c>
      <c r="P56">
        <f>SUMIF($B:$B,$N56,$F:$F)</f>
        <v>145</v>
      </c>
      <c r="Q56">
        <f>SUMIF($B:$B,$N56,$G:$G)</f>
        <v>18</v>
      </c>
      <c r="R56">
        <f>SUMIF($B:$B,$N56,$I:$I)</f>
        <v>89</v>
      </c>
      <c r="S56">
        <f>COUNTIF($B:$B,$N56)</f>
        <v>275</v>
      </c>
      <c r="T56" s="5" t="s">
        <v>6</v>
      </c>
    </row>
    <row r="57" spans="1:20" x14ac:dyDescent="0.2">
      <c r="A57" s="4" t="s">
        <v>1</v>
      </c>
      <c r="B57" s="3" t="str">
        <f>HYPERLINK("https://otsuka-europe-crm.veevavault.com/ui/#object/approved_document__v/V5OZ025E82TFUPI", "Spain - HCP Survey Email - June 2025")</f>
        <v>Spain - HCP Survey Email - June 2025</v>
      </c>
      <c r="C57" s="3" t="str">
        <f>HYPERLINK("https://otsuka-europe-crm.veevavault.com/ui/#object/sent_email__v/VBLZ025E82GMTBW", "SE-000267108")</f>
        <v>SE-000267108</v>
      </c>
      <c r="D57" s="1" t="s">
        <v>0</v>
      </c>
      <c r="E57" s="2">
        <v>0</v>
      </c>
      <c r="F57" s="2">
        <v>0</v>
      </c>
      <c r="G57" s="2">
        <v>0</v>
      </c>
      <c r="H57" s="1" t="s">
        <v>0</v>
      </c>
      <c r="I57" s="2">
        <v>0</v>
      </c>
      <c r="J57" s="1">
        <v>45915.378530092596</v>
      </c>
      <c r="N57" t="str">
        <v>LUP - 10 cuestiones: Inmunosupresión - reuma</v>
      </c>
      <c r="O57">
        <f>SUMIF($B:$B,$N57,$E:$E)</f>
        <v>107</v>
      </c>
      <c r="P57">
        <f>SUMIF($B:$B,$N57,$F:$F)</f>
        <v>187</v>
      </c>
      <c r="Q57">
        <f>SUMIF($B:$B,$N57,$G:$G)</f>
        <v>19</v>
      </c>
      <c r="R57">
        <f>SUMIF($B:$B,$N57,$I:$I)</f>
        <v>133</v>
      </c>
      <c r="S57">
        <f>COUNTIF($B:$B,$N57)</f>
        <v>249</v>
      </c>
      <c r="T57" s="5" t="s">
        <v>6</v>
      </c>
    </row>
    <row r="58" spans="1:20" x14ac:dyDescent="0.2">
      <c r="A58" s="4" t="s">
        <v>1</v>
      </c>
      <c r="B58" s="3" t="str">
        <f>HYPERLINK("https://otsuka-europe-crm.veevavault.com/ui/#object/approved_document__v/V5OZ025E82TFUPI", "Spain - HCP Survey Email - June 2025")</f>
        <v>Spain - HCP Survey Email - June 2025</v>
      </c>
      <c r="C58" s="3" t="str">
        <f>HYPERLINK("https://otsuka-europe-crm.veevavault.com/ui/#object/sent_email__v/VBLZ025E82GMTBX", "SE-000267109")</f>
        <v>SE-000267109</v>
      </c>
      <c r="D58" s="1" t="s">
        <v>0</v>
      </c>
      <c r="E58" s="2">
        <v>0</v>
      </c>
      <c r="F58" s="2">
        <v>0</v>
      </c>
      <c r="G58" s="2">
        <v>0</v>
      </c>
      <c r="H58" s="1" t="s">
        <v>0</v>
      </c>
      <c r="I58" s="2">
        <v>0</v>
      </c>
      <c r="J58" s="1">
        <v>45915.378009259257</v>
      </c>
      <c r="N58" t="str">
        <v>LUP - Congreso EAS- SER 2026 - nefro</v>
      </c>
      <c r="O58">
        <f>SUMIF($B:$B,$N58,$E:$E)</f>
        <v>106</v>
      </c>
      <c r="P58">
        <f>SUMIF($B:$B,$N58,$F:$F)</f>
        <v>188</v>
      </c>
      <c r="Q58">
        <f>SUMIF($B:$B,$N58,$G:$G)</f>
        <v>8</v>
      </c>
      <c r="R58">
        <f>SUMIF($B:$B,$N58,$I:$I)</f>
        <v>44</v>
      </c>
      <c r="S58">
        <f>COUNTIF($B:$B,$N58)</f>
        <v>319</v>
      </c>
      <c r="T58" s="5" t="s">
        <v>6</v>
      </c>
    </row>
    <row r="59" spans="1:20" x14ac:dyDescent="0.2">
      <c r="A59" s="4" t="s">
        <v>1</v>
      </c>
      <c r="B59" s="3" t="str">
        <f>HYPERLINK("https://otsuka-europe-crm.veevavault.com/ui/#object/approved_document__v/V5OZ025E82TFUPI", "Spain - HCP Survey Email - June 2025")</f>
        <v>Spain - HCP Survey Email - June 2025</v>
      </c>
      <c r="C59" s="3" t="str">
        <f>HYPERLINK("https://otsuka-europe-crm.veevavault.com/ui/#object/sent_email__v/VBLZ025E82GMTBY", "SE-000267110")</f>
        <v>SE-000267110</v>
      </c>
      <c r="D59" s="1">
        <v>45915.965763888889</v>
      </c>
      <c r="E59" s="2">
        <v>1</v>
      </c>
      <c r="F59" s="2">
        <v>1</v>
      </c>
      <c r="G59" s="2">
        <v>0</v>
      </c>
      <c r="H59" s="1" t="s">
        <v>0</v>
      </c>
      <c r="I59" s="2">
        <v>0</v>
      </c>
      <c r="J59" s="1">
        <v>45915.378668981481</v>
      </c>
      <c r="N59" t="str">
        <v>LUP - Congreso EAS- SER 2026 - reuma</v>
      </c>
      <c r="O59">
        <f>SUMIF($B:$B,$N59,$E:$E)</f>
        <v>26</v>
      </c>
      <c r="P59">
        <f>SUMIF($B:$B,$N59,$F:$F)</f>
        <v>45</v>
      </c>
      <c r="Q59">
        <f>SUMIF($B:$B,$N59,$G:$G)</f>
        <v>2</v>
      </c>
      <c r="R59">
        <f>SUMIF($B:$B,$N59,$I:$I)</f>
        <v>8</v>
      </c>
      <c r="S59">
        <f>COUNTIF($B:$B,$N59)</f>
        <v>102</v>
      </c>
      <c r="T59" s="5" t="s">
        <v>6</v>
      </c>
    </row>
    <row r="60" spans="1:20" x14ac:dyDescent="0.2">
      <c r="A60" s="4" t="s">
        <v>1</v>
      </c>
      <c r="B60" s="3" t="str">
        <f>HYPERLINK("https://otsuka-europe-crm.veevavault.com/ui/#object/approved_document__v/V5OZ025E82TFUPI", "Spain - HCP Survey Email - June 2025")</f>
        <v>Spain - HCP Survey Email - June 2025</v>
      </c>
      <c r="C60" s="3" t="str">
        <f>HYPERLINK("https://otsuka-europe-crm.veevavault.com/ui/#object/sent_email__v/VBLZ025E82GMTBZ", "SE-000267111")</f>
        <v>SE-000267111</v>
      </c>
      <c r="D60" s="1">
        <v>45915.616909722223</v>
      </c>
      <c r="E60" s="2">
        <v>1</v>
      </c>
      <c r="F60" s="2">
        <v>2</v>
      </c>
      <c r="G60" s="2">
        <v>0</v>
      </c>
      <c r="H60" s="1" t="s">
        <v>0</v>
      </c>
      <c r="I60" s="2">
        <v>0</v>
      </c>
      <c r="J60" s="1">
        <v>45915.379560185182</v>
      </c>
      <c r="N60" t="str">
        <v>LUP - Invitación simposio SEN 2025 - nefro</v>
      </c>
      <c r="O60">
        <f>SUMIF($B:$B,$N60,$E:$E)</f>
        <v>186</v>
      </c>
      <c r="P60">
        <f>SUMIF($B:$B,$N60,$F:$F)</f>
        <v>375</v>
      </c>
      <c r="Q60">
        <f>SUMIF($B:$B,$N60,$G:$G)</f>
        <v>39</v>
      </c>
      <c r="R60">
        <f>SUMIF($B:$B,$N60,$I:$I)</f>
        <v>59</v>
      </c>
      <c r="S60">
        <f>COUNTIF($B:$B,$N60)</f>
        <v>503</v>
      </c>
      <c r="T60" s="5" t="s">
        <v>6</v>
      </c>
    </row>
    <row r="61" spans="1:20" x14ac:dyDescent="0.2">
      <c r="A61" s="4" t="s">
        <v>1</v>
      </c>
      <c r="B61" s="3" t="str">
        <f>HYPERLINK("https://otsuka-europe-crm.veevavault.com/ui/#object/approved_document__v/V5OZ025E82TFUPI", "Spain - HCP Survey Email - June 2025")</f>
        <v>Spain - HCP Survey Email - June 2025</v>
      </c>
      <c r="C61" s="3" t="str">
        <f>HYPERLINK("https://otsuka-europe-crm.veevavault.com/ui/#object/sent_email__v/VBLZ025E82GMTC0", "SE-000267112")</f>
        <v>SE-000267112</v>
      </c>
      <c r="D61" s="1">
        <v>45915.957951388889</v>
      </c>
      <c r="E61" s="2">
        <v>1</v>
      </c>
      <c r="F61" s="2">
        <v>1</v>
      </c>
      <c r="G61" s="2">
        <v>0</v>
      </c>
      <c r="H61" s="1" t="s">
        <v>0</v>
      </c>
      <c r="I61" s="2">
        <v>0</v>
      </c>
      <c r="J61" s="1">
        <v>45915.377766203703</v>
      </c>
      <c r="N61" t="str">
        <v>LUP - Invitación webinar "The importance of proteinuria management" - nefro</v>
      </c>
      <c r="O61">
        <f>SUMIF($B:$B,$N61,$E:$E)</f>
        <v>11</v>
      </c>
      <c r="P61">
        <f>SUMIF($B:$B,$N61,$F:$F)</f>
        <v>16</v>
      </c>
      <c r="Q61">
        <f>SUMIF($B:$B,$N61,$G:$G)</f>
        <v>0</v>
      </c>
      <c r="R61">
        <f>SUMIF($B:$B,$N61,$I:$I)</f>
        <v>0</v>
      </c>
      <c r="S61">
        <f>COUNTIF($B:$B,$N61)</f>
        <v>185</v>
      </c>
      <c r="T61" s="5" t="s">
        <v>6</v>
      </c>
    </row>
    <row r="62" spans="1:20" x14ac:dyDescent="0.2">
      <c r="A62" s="4" t="s">
        <v>1</v>
      </c>
      <c r="B62" s="3" t="str">
        <f>HYPERLINK("https://otsuka-europe-crm.veevavault.com/ui/#object/approved_document__v/V5OZ025E82TFUPI", "Spain - HCP Survey Email - June 2025")</f>
        <v>Spain - HCP Survey Email - June 2025</v>
      </c>
      <c r="C62" s="3" t="str">
        <f>HYPERLINK("https://otsuka-europe-crm.veevavault.com/ui/#object/sent_email__v/VBLZ025E82GMTC1", "SE-000267113")</f>
        <v>SE-000267113</v>
      </c>
      <c r="D62" s="1" t="s">
        <v>0</v>
      </c>
      <c r="E62" s="2">
        <v>0</v>
      </c>
      <c r="F62" s="2">
        <v>0</v>
      </c>
      <c r="G62" s="2">
        <v>0</v>
      </c>
      <c r="H62" s="1" t="s">
        <v>0</v>
      </c>
      <c r="I62" s="2">
        <v>0</v>
      </c>
      <c r="J62" s="1">
        <v>45915.377453703702</v>
      </c>
      <c r="N62" t="str">
        <v>LUP - Invitación webinar "The importance of proteinuria management" - reuma</v>
      </c>
      <c r="O62">
        <f>SUMIF($B:$B,$N62,$E:$E)</f>
        <v>5</v>
      </c>
      <c r="P62">
        <f>SUMIF($B:$B,$N62,$F:$F)</f>
        <v>10</v>
      </c>
      <c r="Q62">
        <f>SUMIF($B:$B,$N62,$G:$G)</f>
        <v>1</v>
      </c>
      <c r="R62">
        <f>SUMIF($B:$B,$N62,$I:$I)</f>
        <v>1</v>
      </c>
      <c r="S62">
        <f>COUNTIF($B:$B,$N62)</f>
        <v>38</v>
      </c>
      <c r="T62" s="5" t="s">
        <v>6</v>
      </c>
    </row>
    <row r="63" spans="1:20" x14ac:dyDescent="0.2">
      <c r="A63" s="4" t="s">
        <v>1</v>
      </c>
      <c r="B63" s="3" t="str">
        <f>HYPERLINK("https://otsuka-europe-crm.veevavault.com/ui/#object/approved_document__v/V5OZ025E82TFUPI", "Spain - HCP Survey Email - June 2025")</f>
        <v>Spain - HCP Survey Email - June 2025</v>
      </c>
      <c r="C63" s="3" t="str">
        <f>HYPERLINK("https://otsuka-europe-crm.veevavault.com/ui/#object/sent_email__v/VBLZ025E82GMTC2", "SE-000267114")</f>
        <v>SE-000267114</v>
      </c>
      <c r="D63" s="1">
        <v>45915.527465277781</v>
      </c>
      <c r="E63" s="2">
        <v>1</v>
      </c>
      <c r="F63" s="2">
        <v>1</v>
      </c>
      <c r="G63" s="2">
        <v>0</v>
      </c>
      <c r="H63" s="1" t="s">
        <v>0</v>
      </c>
      <c r="I63" s="2">
        <v>0</v>
      </c>
      <c r="J63" s="1">
        <v>45915.378101851849</v>
      </c>
      <c r="N63" t="str">
        <v>LUP - Invitación webinar 13N - nefro</v>
      </c>
      <c r="O63">
        <f>SUMIF($B:$B,$N63,$E:$E)</f>
        <v>89</v>
      </c>
      <c r="P63">
        <f>SUMIF($B:$B,$N63,$F:$F)</f>
        <v>169</v>
      </c>
      <c r="Q63">
        <f>SUMIF($B:$B,$N63,$G:$G)</f>
        <v>5</v>
      </c>
      <c r="R63">
        <f>SUMIF($B:$B,$N63,$I:$I)</f>
        <v>8</v>
      </c>
      <c r="S63">
        <f>COUNTIF($B:$B,$N63)</f>
        <v>275</v>
      </c>
      <c r="T63" s="5" t="s">
        <v>6</v>
      </c>
    </row>
    <row r="64" spans="1:20" x14ac:dyDescent="0.2">
      <c r="A64" s="4" t="s">
        <v>1</v>
      </c>
      <c r="B64" s="3" t="str">
        <f>HYPERLINK("https://otsuka-europe-crm.veevavault.com/ui/#object/approved_document__v/V5OZ025E82TFUPI", "Spain - HCP Survey Email - June 2025")</f>
        <v>Spain - HCP Survey Email - June 2025</v>
      </c>
      <c r="C64" s="3" t="str">
        <f>HYPERLINK("https://otsuka-europe-crm.veevavault.com/ui/#object/sent_email__v/VBLZ025E82GMTC3", "SE-000267115")</f>
        <v>SE-000267115</v>
      </c>
      <c r="D64" s="1" t="s">
        <v>0</v>
      </c>
      <c r="E64" s="2">
        <v>0</v>
      </c>
      <c r="F64" s="2">
        <v>0</v>
      </c>
      <c r="G64" s="2">
        <v>0</v>
      </c>
      <c r="H64" s="1" t="s">
        <v>0</v>
      </c>
      <c r="I64" s="2">
        <v>0</v>
      </c>
      <c r="J64" s="1">
        <v>45915.379074074073</v>
      </c>
      <c r="N64" t="str">
        <v>LUP - Invitación webinar 13N - reuma</v>
      </c>
      <c r="O64">
        <f>SUMIF($B:$B,$N64,$E:$E)</f>
        <v>20</v>
      </c>
      <c r="P64">
        <f>SUMIF($B:$B,$N64,$F:$F)</f>
        <v>40</v>
      </c>
      <c r="Q64">
        <f>SUMIF($B:$B,$N64,$G:$G)</f>
        <v>2</v>
      </c>
      <c r="R64">
        <f>SUMIF($B:$B,$N64,$I:$I)</f>
        <v>2</v>
      </c>
      <c r="S64">
        <f>COUNTIF($B:$B,$N64)</f>
        <v>118</v>
      </c>
      <c r="T64" s="5" t="s">
        <v>6</v>
      </c>
    </row>
    <row r="65" spans="1:20" x14ac:dyDescent="0.2">
      <c r="A65" s="4" t="s">
        <v>1</v>
      </c>
      <c r="B65" s="3" t="str">
        <f>HYPERLINK("https://otsuka-europe-crm.veevavault.com/ui/#object/approved_document__v/V5OZ025E82TFUPI", "Spain - HCP Survey Email - June 2025")</f>
        <v>Spain - HCP Survey Email - June 2025</v>
      </c>
      <c r="C65" s="3" t="str">
        <f>HYPERLINK("https://otsuka-europe-crm.veevavault.com/ui/#object/sent_email__v/VBLZ025E82GMTC4", "SE-000267116")</f>
        <v>SE-000267116</v>
      </c>
      <c r="D65" s="1" t="s">
        <v>0</v>
      </c>
      <c r="E65" s="2">
        <v>0</v>
      </c>
      <c r="F65" s="2">
        <v>0</v>
      </c>
      <c r="G65" s="2">
        <v>0</v>
      </c>
      <c r="H65" s="1" t="s">
        <v>0</v>
      </c>
      <c r="I65" s="2">
        <v>0</v>
      </c>
      <c r="J65" s="1">
        <v>45915.378657407404</v>
      </c>
      <c r="N65" t="str">
        <v>LUP - Invitación webinar NL y RCV - nefro</v>
      </c>
      <c r="O65">
        <f>SUMIF($B:$B,$N65,$E:$E)</f>
        <v>144</v>
      </c>
      <c r="P65">
        <f>SUMIF($B:$B,$N65,$F:$F)</f>
        <v>229</v>
      </c>
      <c r="Q65">
        <f>SUMIF($B:$B,$N65,$G:$G)</f>
        <v>17</v>
      </c>
      <c r="R65">
        <f>SUMIF($B:$B,$N65,$I:$I)</f>
        <v>26</v>
      </c>
      <c r="S65">
        <f>COUNTIF($B:$B,$N65)</f>
        <v>412</v>
      </c>
      <c r="T65" s="5" t="s">
        <v>6</v>
      </c>
    </row>
    <row r="66" spans="1:20" x14ac:dyDescent="0.2">
      <c r="A66" s="4" t="s">
        <v>1</v>
      </c>
      <c r="B66" s="3" t="str">
        <f>HYPERLINK("https://otsuka-europe-crm.veevavault.com/ui/#object/approved_document__v/V5OZ025E82TFUPI", "Spain - HCP Survey Email - June 2025")</f>
        <v>Spain - HCP Survey Email - June 2025</v>
      </c>
      <c r="C66" s="3" t="str">
        <f>HYPERLINK("https://otsuka-europe-crm.veevavault.com/ui/#object/sent_email__v/VBLZ025E82GMTC5", "SE-000267117")</f>
        <v>SE-000267117</v>
      </c>
      <c r="D66" s="1">
        <v>45915.550868055558</v>
      </c>
      <c r="E66" s="2">
        <v>1</v>
      </c>
      <c r="F66" s="2">
        <v>1</v>
      </c>
      <c r="G66" s="2">
        <v>0</v>
      </c>
      <c r="H66" s="1" t="s">
        <v>0</v>
      </c>
      <c r="I66" s="2">
        <v>0</v>
      </c>
      <c r="J66" s="1">
        <v>45915.379490740743</v>
      </c>
      <c r="N66" t="str">
        <v>LUP - Invitación webinar NL y RCV - reuma</v>
      </c>
      <c r="O66">
        <f>SUMIF($B:$B,$N66,$E:$E)</f>
        <v>83</v>
      </c>
      <c r="P66">
        <f>SUMIF($B:$B,$N66,$F:$F)</f>
        <v>134</v>
      </c>
      <c r="Q66">
        <f>SUMIF($B:$B,$N66,$G:$G)</f>
        <v>7</v>
      </c>
      <c r="R66">
        <f>SUMIF($B:$B,$N66,$I:$I)</f>
        <v>9</v>
      </c>
      <c r="S66">
        <f>COUNTIF($B:$B,$N66)</f>
        <v>201</v>
      </c>
      <c r="T66" s="5" t="s">
        <v>6</v>
      </c>
    </row>
    <row r="67" spans="1:20" x14ac:dyDescent="0.2">
      <c r="A67" s="4" t="s">
        <v>1</v>
      </c>
      <c r="B67" s="3" t="str">
        <f>HYPERLINK("https://otsuka-europe-crm.veevavault.com/ui/#object/approved_document__v/V5OZ025E82TFUPI", "Spain - HCP Survey Email - June 2025")</f>
        <v>Spain - HCP Survey Email - June 2025</v>
      </c>
      <c r="C67" s="3" t="str">
        <f>HYPERLINK("https://otsuka-europe-crm.veevavault.com/ui/#object/sent_email__v/VBLZ025E82GMTC6", "SE-000267118")</f>
        <v>SE-000267118</v>
      </c>
      <c r="D67" s="1" t="s">
        <v>0</v>
      </c>
      <c r="E67" s="2">
        <v>0</v>
      </c>
      <c r="F67" s="2">
        <v>0</v>
      </c>
      <c r="G67" s="2">
        <v>0</v>
      </c>
      <c r="H67" s="1" t="s">
        <v>0</v>
      </c>
      <c r="I67" s="2">
        <v>0</v>
      </c>
      <c r="J67" s="1">
        <v>45915.377789351849</v>
      </c>
      <c r="N67" t="str">
        <v>LUP - Poster Deep Response - nefro</v>
      </c>
      <c r="O67">
        <f>SUMIF($B:$B,$N67,$E:$E)</f>
        <v>9</v>
      </c>
      <c r="P67">
        <f>SUMIF($B:$B,$N67,$F:$F)</f>
        <v>23</v>
      </c>
      <c r="Q67">
        <f>SUMIF($B:$B,$N67,$G:$G)</f>
        <v>2</v>
      </c>
      <c r="R67">
        <f>SUMIF($B:$B,$N67,$I:$I)</f>
        <v>5</v>
      </c>
      <c r="S67">
        <f>COUNTIF($B:$B,$N67)</f>
        <v>89</v>
      </c>
      <c r="T67" s="5" t="s">
        <v>6</v>
      </c>
    </row>
    <row r="68" spans="1:20" x14ac:dyDescent="0.2">
      <c r="A68" s="4" t="s">
        <v>1</v>
      </c>
      <c r="B68" s="3" t="str">
        <f>HYPERLINK("https://otsuka-europe-crm.veevavault.com/ui/#object/approved_document__v/V5OZ025E82TFUPI", "Spain - HCP Survey Email - June 2025")</f>
        <v>Spain - HCP Survey Email - June 2025</v>
      </c>
      <c r="C68" s="3" t="str">
        <f>HYPERLINK("https://otsuka-europe-crm.veevavault.com/ui/#object/sent_email__v/VBLZ025E82GMTC7", "SE-000267119")</f>
        <v>SE-000267119</v>
      </c>
      <c r="D68" s="1">
        <v>45915.915960648148</v>
      </c>
      <c r="E68" s="2">
        <v>1</v>
      </c>
      <c r="F68" s="2">
        <v>1</v>
      </c>
      <c r="G68" s="2">
        <v>1</v>
      </c>
      <c r="H68" s="1">
        <v>45915.915960648148</v>
      </c>
      <c r="I68" s="2">
        <v>1</v>
      </c>
      <c r="J68" s="1">
        <v>45915.378495370373</v>
      </c>
      <c r="N68" t="str">
        <v>LUP - Poster Deep Response - reuma</v>
      </c>
      <c r="O68">
        <f>SUMIF($B:$B,$N68,$E:$E)</f>
        <v>1</v>
      </c>
      <c r="P68">
        <f>SUMIF($B:$B,$N68,$F:$F)</f>
        <v>2</v>
      </c>
      <c r="Q68">
        <f>SUMIF($B:$B,$N68,$G:$G)</f>
        <v>0</v>
      </c>
      <c r="R68">
        <f>SUMIF($B:$B,$N68,$I:$I)</f>
        <v>0</v>
      </c>
      <c r="S68">
        <f>COUNTIF($B:$B,$N68)</f>
        <v>49</v>
      </c>
      <c r="T68" s="5" t="s">
        <v>6</v>
      </c>
    </row>
    <row r="69" spans="1:20" x14ac:dyDescent="0.2">
      <c r="A69" s="4" t="s">
        <v>1</v>
      </c>
      <c r="B69" s="3" t="str">
        <f>HYPERLINK("https://otsuka-europe-crm.veevavault.com/ui/#object/approved_document__v/V5OZ025E82TFUPI", "Spain - HCP Survey Email - June 2025")</f>
        <v>Spain - HCP Survey Email - June 2025</v>
      </c>
      <c r="C69" s="3" t="str">
        <f>HYPERLINK("https://otsuka-europe-crm.veevavault.com/ui/#object/sent_email__v/VBLZ025E82GMTC8", "SE-000267120")</f>
        <v>SE-000267120</v>
      </c>
      <c r="D69" s="1" t="s">
        <v>0</v>
      </c>
      <c r="E69" s="2">
        <v>0</v>
      </c>
      <c r="F69" s="2">
        <v>0</v>
      </c>
      <c r="G69" s="2">
        <v>0</v>
      </c>
      <c r="H69" s="1" t="s">
        <v>0</v>
      </c>
      <c r="I69" s="2">
        <v>0</v>
      </c>
      <c r="J69" s="1">
        <v>45915.37804398148</v>
      </c>
      <c r="N69" t="str">
        <v>LUP – Programa e invitación LUPSTARS 2025 - nefro</v>
      </c>
      <c r="O69">
        <f>SUMIF($B:$B,$N69,$E:$E)</f>
        <v>52</v>
      </c>
      <c r="P69">
        <f>SUMIF($B:$B,$N69,$F:$F)</f>
        <v>172</v>
      </c>
      <c r="Q69">
        <f>SUMIF($B:$B,$N69,$G:$G)</f>
        <v>21</v>
      </c>
      <c r="R69">
        <f>SUMIF($B:$B,$N69,$I:$I)</f>
        <v>32</v>
      </c>
      <c r="S69">
        <f>COUNTIF($B:$B,$N69)</f>
        <v>91</v>
      </c>
      <c r="T69" s="5" t="s">
        <v>6</v>
      </c>
    </row>
    <row r="70" spans="1:20" x14ac:dyDescent="0.2">
      <c r="A70" s="4" t="s">
        <v>1</v>
      </c>
      <c r="B70" s="3" t="str">
        <f>HYPERLINK("https://otsuka-europe-crm.veevavault.com/ui/#object/approved_document__v/V5OZ025E82TFUPI", "Spain - HCP Survey Email - June 2025")</f>
        <v>Spain - HCP Survey Email - June 2025</v>
      </c>
      <c r="C70" s="3" t="str">
        <f>HYPERLINK("https://otsuka-europe-crm.veevavault.com/ui/#object/sent_email__v/VBLZ025E82GMTC9", "SE-000267121")</f>
        <v>SE-000267121</v>
      </c>
      <c r="D70" s="1" t="s">
        <v>0</v>
      </c>
      <c r="E70" s="2">
        <v>0</v>
      </c>
      <c r="F70" s="2">
        <v>0</v>
      </c>
      <c r="G70" s="2">
        <v>0</v>
      </c>
      <c r="H70" s="1" t="s">
        <v>0</v>
      </c>
      <c r="I70" s="2">
        <v>0</v>
      </c>
      <c r="J70" s="1">
        <v>45915.378657407404</v>
      </c>
      <c r="N70" t="str">
        <v>LUP – Programa e invitación LUPSTARS 2025 - reuma/mi</v>
      </c>
      <c r="O70">
        <f>SUMIF($B:$B,$N70,$E:$E)</f>
        <v>4</v>
      </c>
      <c r="P70">
        <f>SUMIF($B:$B,$N70,$F:$F)</f>
        <v>10</v>
      </c>
      <c r="Q70">
        <f>SUMIF($B:$B,$N70,$G:$G)</f>
        <v>2</v>
      </c>
      <c r="R70">
        <f>SUMIF($B:$B,$N70,$I:$I)</f>
        <v>4</v>
      </c>
      <c r="S70">
        <f>COUNTIF($B:$B,$N70)</f>
        <v>15</v>
      </c>
      <c r="T70" s="5" t="s">
        <v>6</v>
      </c>
    </row>
    <row r="71" spans="1:20" x14ac:dyDescent="0.2">
      <c r="A71" s="4" t="s">
        <v>1</v>
      </c>
      <c r="B71" s="3" t="str">
        <f>HYPERLINK("https://otsuka-europe-crm.veevavault.com/ui/#object/approved_document__v/V5OZ025E82TFUPI", "Spain - HCP Survey Email - June 2025")</f>
        <v>Spain - HCP Survey Email - June 2025</v>
      </c>
      <c r="C71" s="3" t="str">
        <f>HYPERLINK("https://otsuka-europe-crm.veevavault.com/ui/#object/sent_email__v/VBLZ025E82GMTCA", "SE-000267122")</f>
        <v>SE-000267122</v>
      </c>
      <c r="D71" s="1" t="s">
        <v>0</v>
      </c>
      <c r="E71" s="2">
        <v>0</v>
      </c>
      <c r="F71" s="2">
        <v>0</v>
      </c>
      <c r="G71" s="2">
        <v>0</v>
      </c>
      <c r="H71" s="1" t="s">
        <v>0</v>
      </c>
      <c r="I71" s="2">
        <v>0</v>
      </c>
      <c r="J71" s="1">
        <v>45915.379328703704</v>
      </c>
      <c r="N71" t="str">
        <v>LUP – Programa e invitación LUPSTARS 2025 – reuma/mi</v>
      </c>
      <c r="O71">
        <f>SUMIF($B:$B,$N71,$E:$E)</f>
        <v>17</v>
      </c>
      <c r="P71">
        <f>SUMIF($B:$B,$N71,$F:$F)</f>
        <v>49</v>
      </c>
      <c r="Q71">
        <f>SUMIF($B:$B,$N71,$G:$G)</f>
        <v>8</v>
      </c>
      <c r="R71">
        <f>SUMIF($B:$B,$N71,$I:$I)</f>
        <v>16</v>
      </c>
      <c r="S71">
        <f>COUNTIF($B:$B,$N71)</f>
        <v>31</v>
      </c>
      <c r="T71" s="5" t="s">
        <v>6</v>
      </c>
    </row>
    <row r="72" spans="1:20" x14ac:dyDescent="0.2">
      <c r="A72" s="4" t="s">
        <v>1</v>
      </c>
      <c r="B72" s="3" t="str">
        <f>HYPERLINK("https://otsuka-europe-crm.veevavault.com/ui/#object/approved_document__v/V5OZ025E82TFUPI", "Spain - HCP Survey Email - June 2025")</f>
        <v>Spain - HCP Survey Email - June 2025</v>
      </c>
      <c r="C72" s="3" t="str">
        <f>HYPERLINK("https://otsuka-europe-crm.veevavault.com/ui/#object/sent_email__v/VBLZ025E82GMTCB", "SE-000267123")</f>
        <v>SE-000267123</v>
      </c>
      <c r="D72" s="1">
        <v>45916.049328703702</v>
      </c>
      <c r="E72" s="2">
        <v>1</v>
      </c>
      <c r="F72" s="2">
        <v>3</v>
      </c>
      <c r="G72" s="2">
        <v>0</v>
      </c>
      <c r="H72" s="1" t="s">
        <v>0</v>
      </c>
      <c r="I72" s="2">
        <v>0</v>
      </c>
      <c r="J72" s="1">
        <v>45915.377754629626</v>
      </c>
      <c r="N72" t="str">
        <v>LUP - Video 3 _10 cuestiones para pensar: Enfermedad Renal Cronica - nefro</v>
      </c>
      <c r="O72">
        <f>SUMIF($B:$B,$N72,$E:$E)</f>
        <v>33</v>
      </c>
      <c r="P72">
        <f>SUMIF($B:$B,$N72,$F:$F)</f>
        <v>65</v>
      </c>
      <c r="Q72">
        <f>SUMIF($B:$B,$N72,$G:$G)</f>
        <v>5</v>
      </c>
      <c r="R72">
        <f>SUMIF($B:$B,$N72,$I:$I)</f>
        <v>11</v>
      </c>
      <c r="S72">
        <f>COUNTIF($B:$B,$N72)</f>
        <v>91</v>
      </c>
      <c r="T72" s="5" t="s">
        <v>6</v>
      </c>
    </row>
    <row r="73" spans="1:20" x14ac:dyDescent="0.2">
      <c r="A73" s="4" t="s">
        <v>1</v>
      </c>
      <c r="B73" s="3" t="str">
        <f>HYPERLINK("https://otsuka-europe-crm.veevavault.com/ui/#object/approved_document__v/V5OZ025E82TFUPI", "Spain - HCP Survey Email - June 2025")</f>
        <v>Spain - HCP Survey Email - June 2025</v>
      </c>
      <c r="C73" s="3" t="str">
        <f>HYPERLINK("https://otsuka-europe-crm.veevavault.com/ui/#object/sent_email__v/VBLZ025E82GMTCC", "SE-000267124")</f>
        <v>SE-000267124</v>
      </c>
      <c r="D73" s="1" t="s">
        <v>0</v>
      </c>
      <c r="E73" s="2">
        <v>0</v>
      </c>
      <c r="F73" s="2">
        <v>0</v>
      </c>
      <c r="G73" s="2">
        <v>0</v>
      </c>
      <c r="H73" s="1" t="s">
        <v>0</v>
      </c>
      <c r="I73" s="2">
        <v>0</v>
      </c>
      <c r="J73" s="1">
        <v>45915.378460648149</v>
      </c>
      <c r="N73" t="str">
        <v>LUP - Video 3 _10 cuestiones para pensar: Enfermedad Renal Cronica - reuma</v>
      </c>
      <c r="O73">
        <f>SUMIF($B:$B,$N73,$E:$E)</f>
        <v>21</v>
      </c>
      <c r="P73">
        <f>SUMIF($B:$B,$N73,$F:$F)</f>
        <v>37</v>
      </c>
      <c r="Q73">
        <f>SUMIF($B:$B,$N73,$G:$G)</f>
        <v>1</v>
      </c>
      <c r="R73">
        <f>SUMIF($B:$B,$N73,$I:$I)</f>
        <v>1</v>
      </c>
      <c r="S73">
        <f>COUNTIF($B:$B,$N73)</f>
        <v>52</v>
      </c>
      <c r="T73" s="5" t="s">
        <v>6</v>
      </c>
    </row>
    <row r="74" spans="1:20" x14ac:dyDescent="0.2">
      <c r="A74" s="4" t="s">
        <v>1</v>
      </c>
      <c r="B74" s="3" t="str">
        <f>HYPERLINK("https://otsuka-europe-crm.veevavault.com/ui/#object/approved_document__v/V5OZ025E82TFUPI", "Spain - HCP Survey Email - June 2025")</f>
        <v>Spain - HCP Survey Email - June 2025</v>
      </c>
      <c r="C74" s="3" t="str">
        <f>HYPERLINK("https://otsuka-europe-crm.veevavault.com/ui/#object/sent_email__v/VBLZ025E82GMTCD", "SE-000267125")</f>
        <v>SE-000267125</v>
      </c>
      <c r="D74" s="1" t="s">
        <v>0</v>
      </c>
      <c r="E74" s="2">
        <v>0</v>
      </c>
      <c r="F74" s="2">
        <v>0</v>
      </c>
      <c r="G74" s="2">
        <v>0</v>
      </c>
      <c r="H74" s="1" t="s">
        <v>0</v>
      </c>
      <c r="I74" s="2">
        <v>0</v>
      </c>
      <c r="J74" s="1">
        <v>45915.377986111111</v>
      </c>
      <c r="N74" t="str">
        <v>LUP - Video 8 10 cuestiones - Glucocorticoides_nefro</v>
      </c>
      <c r="O74">
        <f>SUMIF($B:$B,$N74,$E:$E)</f>
        <v>54</v>
      </c>
      <c r="P74">
        <f>SUMIF($B:$B,$N74,$F:$F)</f>
        <v>86</v>
      </c>
      <c r="Q74">
        <f>SUMIF($B:$B,$N74,$G:$G)</f>
        <v>4</v>
      </c>
      <c r="R74">
        <f>SUMIF($B:$B,$N74,$I:$I)</f>
        <v>22</v>
      </c>
      <c r="S74">
        <f>COUNTIF($B:$B,$N74)</f>
        <v>397</v>
      </c>
      <c r="T74" s="5" t="s">
        <v>6</v>
      </c>
    </row>
    <row r="75" spans="1:20" x14ac:dyDescent="0.2">
      <c r="A75" s="4" t="s">
        <v>1</v>
      </c>
      <c r="B75" s="3" t="str">
        <f>HYPERLINK("https://otsuka-europe-crm.veevavault.com/ui/#object/approved_document__v/V5OZ025E82TFUPI", "Spain - HCP Survey Email - June 2025")</f>
        <v>Spain - HCP Survey Email - June 2025</v>
      </c>
      <c r="C75" s="3" t="str">
        <f>HYPERLINK("https://otsuka-europe-crm.veevavault.com/ui/#object/sent_email__v/VBLZ025E82GMTCE", "SE-000267126")</f>
        <v>SE-000267126</v>
      </c>
      <c r="D75" s="1" t="s">
        <v>0</v>
      </c>
      <c r="E75" s="2">
        <v>0</v>
      </c>
      <c r="F75" s="2">
        <v>0</v>
      </c>
      <c r="G75" s="2">
        <v>0</v>
      </c>
      <c r="H75" s="1" t="s">
        <v>0</v>
      </c>
      <c r="I75" s="2">
        <v>0</v>
      </c>
      <c r="J75" s="1">
        <v>45915.37877314815</v>
      </c>
      <c r="N75" t="str">
        <v>LUP - Video 8 10 cuestiones - Glucocorticoides_reuma</v>
      </c>
      <c r="O75">
        <f>SUMIF($B:$B,$N75,$E:$E)</f>
        <v>23</v>
      </c>
      <c r="P75">
        <f>SUMIF($B:$B,$N75,$F:$F)</f>
        <v>45</v>
      </c>
      <c r="Q75">
        <f>SUMIF($B:$B,$N75,$G:$G)</f>
        <v>2</v>
      </c>
      <c r="R75">
        <f>SUMIF($B:$B,$N75,$I:$I)</f>
        <v>3</v>
      </c>
      <c r="S75">
        <f>COUNTIF($B:$B,$N75)</f>
        <v>94</v>
      </c>
      <c r="T75" s="5" t="s">
        <v>6</v>
      </c>
    </row>
    <row r="76" spans="1:20" x14ac:dyDescent="0.2">
      <c r="A76" s="4" t="s">
        <v>1</v>
      </c>
      <c r="B76" s="3" t="str">
        <f>HYPERLINK("https://otsuka-europe-crm.veevavault.com/ui/#object/approved_document__v/V5OZ025E82TFUPI", "Spain - HCP Survey Email - June 2025")</f>
        <v>Spain - HCP Survey Email - June 2025</v>
      </c>
      <c r="C76" s="3" t="str">
        <f>HYPERLINK("https://otsuka-europe-crm.veevavault.com/ui/#object/sent_email__v/VBLZ025E82GMTCF", "SE-000267127")</f>
        <v>SE-000267127</v>
      </c>
      <c r="D76" s="1" t="s">
        <v>0</v>
      </c>
      <c r="E76" s="2">
        <v>0</v>
      </c>
      <c r="F76" s="2">
        <v>0</v>
      </c>
      <c r="G76" s="2">
        <v>0</v>
      </c>
      <c r="H76" s="1" t="s">
        <v>0</v>
      </c>
      <c r="I76" s="2">
        <v>0</v>
      </c>
      <c r="J76" s="1">
        <v>45915.379571759258</v>
      </c>
      <c r="N76" t="str">
        <v>LUP - videos cc experiencias en vida real con voclosporina - nefro</v>
      </c>
      <c r="O76">
        <f>SUMIF($B:$B,$N76,$E:$E)</f>
        <v>19</v>
      </c>
      <c r="P76">
        <f>SUMIF($B:$B,$N76,$F:$F)</f>
        <v>28</v>
      </c>
      <c r="Q76">
        <f>SUMIF($B:$B,$N76,$G:$G)</f>
        <v>0</v>
      </c>
      <c r="R76">
        <f>SUMIF($B:$B,$N76,$I:$I)</f>
        <v>0</v>
      </c>
      <c r="S76">
        <f>COUNTIF($B:$B,$N76)</f>
        <v>129</v>
      </c>
      <c r="T76" s="5" t="s">
        <v>6</v>
      </c>
    </row>
    <row r="77" spans="1:20" x14ac:dyDescent="0.2">
      <c r="A77" s="4" t="s">
        <v>1</v>
      </c>
      <c r="B77" s="3" t="str">
        <f>HYPERLINK("https://otsuka-europe-crm.veevavault.com/ui/#object/approved_document__v/V5OZ025E82TFUPI", "Spain - HCP Survey Email - June 2025")</f>
        <v>Spain - HCP Survey Email - June 2025</v>
      </c>
      <c r="C77" s="3" t="str">
        <f>HYPERLINK("https://otsuka-europe-crm.veevavault.com/ui/#object/sent_email__v/VBLZ025E82GMTCG", "SE-000267128")</f>
        <v>SE-000267128</v>
      </c>
      <c r="D77" s="1" t="s">
        <v>0</v>
      </c>
      <c r="E77" s="2">
        <v>0</v>
      </c>
      <c r="F77" s="2">
        <v>0</v>
      </c>
      <c r="G77" s="2">
        <v>0</v>
      </c>
      <c r="H77" s="1" t="s">
        <v>0</v>
      </c>
      <c r="I77" s="2">
        <v>0</v>
      </c>
      <c r="J77" s="1">
        <v>45915.377835648149</v>
      </c>
      <c r="N77" t="str">
        <v>LUP-Invitación webinar 16 de diciembre - Nefro</v>
      </c>
      <c r="O77">
        <f>SUMIF($B:$B,$N77,$E:$E)</f>
        <v>0</v>
      </c>
      <c r="P77">
        <f>SUMIF($B:$B,$N77,$F:$F)</f>
        <v>0</v>
      </c>
      <c r="Q77">
        <f>SUMIF($B:$B,$N77,$G:$G)</f>
        <v>0</v>
      </c>
      <c r="R77">
        <f>SUMIF($B:$B,$N77,$I:$I)</f>
        <v>0</v>
      </c>
      <c r="S77">
        <f>COUNTIF($B:$B,$N77)</f>
        <v>46</v>
      </c>
      <c r="T77" s="5" t="s">
        <v>6</v>
      </c>
    </row>
    <row r="78" spans="1:20" x14ac:dyDescent="0.2">
      <c r="A78" s="4" t="s">
        <v>1</v>
      </c>
      <c r="B78" s="3" t="str">
        <f>HYPERLINK("https://otsuka-europe-crm.veevavault.com/ui/#object/approved_document__v/V5OZ025E82TFUPI", "Spain - HCP Survey Email - June 2025")</f>
        <v>Spain - HCP Survey Email - June 2025</v>
      </c>
      <c r="C78" s="3" t="str">
        <f>HYPERLINK("https://otsuka-europe-crm.veevavault.com/ui/#object/sent_email__v/VBLZ025E82GMTCH", "SE-000267129")</f>
        <v>SE-000267129</v>
      </c>
      <c r="D78" s="1">
        <v>45915.843182870369</v>
      </c>
      <c r="E78" s="2">
        <v>1</v>
      </c>
      <c r="F78" s="2">
        <v>7</v>
      </c>
      <c r="G78" s="2">
        <v>1</v>
      </c>
      <c r="H78" s="1">
        <v>45915.843229166669</v>
      </c>
      <c r="I78" s="2">
        <v>1</v>
      </c>
      <c r="J78" s="1">
        <v>45915.377500000002</v>
      </c>
      <c r="N78" t="str">
        <v>LUP-Invitación webinar 16 de diciembre - Reuma</v>
      </c>
      <c r="O78">
        <f>SUMIF($B:$B,$N78,$E:$E)</f>
        <v>0</v>
      </c>
      <c r="P78">
        <f>SUMIF($B:$B,$N78,$F:$F)</f>
        <v>0</v>
      </c>
      <c r="Q78">
        <f>SUMIF($B:$B,$N78,$G:$G)</f>
        <v>0</v>
      </c>
      <c r="R78">
        <f>SUMIF($B:$B,$N78,$I:$I)</f>
        <v>0</v>
      </c>
      <c r="S78">
        <f>COUNTIF($B:$B,$N78)</f>
        <v>34</v>
      </c>
      <c r="T78" s="5" t="s">
        <v>6</v>
      </c>
    </row>
    <row r="79" spans="1:20" x14ac:dyDescent="0.2">
      <c r="A79" s="4" t="s">
        <v>1</v>
      </c>
      <c r="B79" s="3" t="str">
        <f>HYPERLINK("https://otsuka-europe-crm.veevavault.com/ui/#object/approved_document__v/V5OZ025E82TFUPI", "Spain - HCP Survey Email - June 2025")</f>
        <v>Spain - HCP Survey Email - June 2025</v>
      </c>
      <c r="C79" s="3" t="str">
        <f>HYPERLINK("https://otsuka-europe-crm.veevavault.com/ui/#object/sent_email__v/VBLZ025E82GMTCI", "SE-000267130")</f>
        <v>SE-000267130</v>
      </c>
      <c r="D79" s="1" t="s">
        <v>0</v>
      </c>
      <c r="E79" s="2">
        <v>0</v>
      </c>
      <c r="F79" s="2">
        <v>0</v>
      </c>
      <c r="G79" s="2">
        <v>0</v>
      </c>
      <c r="H79" s="1" t="s">
        <v>0</v>
      </c>
      <c r="I79" s="2">
        <v>0</v>
      </c>
      <c r="J79" s="1">
        <v>45915.378125000003</v>
      </c>
      <c r="N79" t="str">
        <v>LUP-Material riñones CLM</v>
      </c>
      <c r="O79">
        <f>SUMIF($B:$B,$N79,$E:$E)</f>
        <v>105</v>
      </c>
      <c r="P79">
        <f>SUMIF($B:$B,$N79,$F:$F)</f>
        <v>237</v>
      </c>
      <c r="Q79">
        <f>SUMIF($B:$B,$N79,$G:$G)</f>
        <v>45</v>
      </c>
      <c r="R79">
        <f>SUMIF($B:$B,$N79,$I:$I)</f>
        <v>182</v>
      </c>
      <c r="S79">
        <f>COUNTIF($B:$B,$N79)</f>
        <v>303</v>
      </c>
      <c r="T79" s="5" t="s">
        <v>6</v>
      </c>
    </row>
    <row r="80" spans="1:20" x14ac:dyDescent="0.2">
      <c r="A80" s="4" t="s">
        <v>1</v>
      </c>
      <c r="B80" s="3" t="str">
        <f>HYPERLINK("https://otsuka-europe-crm.veevavault.com/ui/#object/approved_document__v/V5OZ025E82TFUPI", "Spain - HCP Survey Email - June 2025")</f>
        <v>Spain - HCP Survey Email - June 2025</v>
      </c>
      <c r="C80" s="3" t="str">
        <f>HYPERLINK("https://otsuka-europe-crm.veevavault.com/ui/#object/sent_email__v/VBLZ025E82GMTCK", "SE-000267132")</f>
        <v>SE-000267132</v>
      </c>
      <c r="D80" s="1">
        <v>45915.386689814812</v>
      </c>
      <c r="E80" s="2">
        <v>1</v>
      </c>
      <c r="F80" s="2">
        <v>1</v>
      </c>
      <c r="G80" s="2">
        <v>0</v>
      </c>
      <c r="H80" s="1" t="s">
        <v>0</v>
      </c>
      <c r="I80" s="2">
        <v>0</v>
      </c>
      <c r="J80" s="1">
        <v>45915.378599537034</v>
      </c>
      <c r="N80" t="str">
        <v>Maintena Talks: webinar 24 febrero</v>
      </c>
      <c r="O80">
        <f>SUMIF($B:$B,$N80,$E:$E)</f>
        <v>39</v>
      </c>
      <c r="P80">
        <f>SUMIF($B:$B,$N80,$F:$F)</f>
        <v>144</v>
      </c>
      <c r="Q80">
        <f>SUMIF($B:$B,$N80,$G:$G)</f>
        <v>17</v>
      </c>
      <c r="R80">
        <f>SUMIF($B:$B,$N80,$I:$I)</f>
        <v>101</v>
      </c>
      <c r="S80">
        <f>COUNTIF($B:$B,$N80)</f>
        <v>52</v>
      </c>
      <c r="T80" s="5" t="s">
        <v>5</v>
      </c>
    </row>
    <row r="81" spans="1:20" x14ac:dyDescent="0.2">
      <c r="A81" s="4" t="s">
        <v>1</v>
      </c>
      <c r="B81" s="3" t="str">
        <f>HYPERLINK("https://otsuka-europe-crm.veevavault.com/ui/#object/approved_document__v/V5OZ025E82TFUPI", "Spain - HCP Survey Email - June 2025")</f>
        <v>Spain - HCP Survey Email - June 2025</v>
      </c>
      <c r="C81" s="3" t="str">
        <f>HYPERLINK("https://otsuka-europe-crm.veevavault.com/ui/#object/sent_email__v/VBLZ025E82GMTCL", "SE-000267133")</f>
        <v>SE-000267133</v>
      </c>
      <c r="D81" s="1">
        <v>45915.398472222223</v>
      </c>
      <c r="E81" s="2">
        <v>1</v>
      </c>
      <c r="F81" s="2">
        <v>1</v>
      </c>
      <c r="G81" s="2">
        <v>0</v>
      </c>
      <c r="H81" s="1" t="s">
        <v>0</v>
      </c>
      <c r="I81" s="2">
        <v>0</v>
      </c>
      <c r="J81" s="1">
        <v>45915.379374999997</v>
      </c>
      <c r="N81" t="str">
        <v>MENTORA Reunión enfermería 13-14 Febrero</v>
      </c>
      <c r="O81">
        <f>SUMIF($B:$B,$N81,$E:$E)</f>
        <v>3</v>
      </c>
      <c r="P81">
        <f>SUMIF($B:$B,$N81,$F:$F)</f>
        <v>8</v>
      </c>
      <c r="Q81">
        <f>SUMIF($B:$B,$N81,$G:$G)</f>
        <v>2</v>
      </c>
      <c r="R81">
        <f>SUMIF($B:$B,$N81,$I:$I)</f>
        <v>10</v>
      </c>
      <c r="S81">
        <f>COUNTIF($B:$B,$N81)</f>
        <v>4</v>
      </c>
      <c r="T81" s="5" t="s">
        <v>2</v>
      </c>
    </row>
    <row r="82" spans="1:20" x14ac:dyDescent="0.2">
      <c r="A82" s="4" t="s">
        <v>1</v>
      </c>
      <c r="B82" s="3" t="str">
        <f>HYPERLINK("https://otsuka-europe-crm.veevavault.com/ui/#object/approved_document__v/V5OZ025E82TFUPI", "Spain - HCP Survey Email - June 2025")</f>
        <v>Spain - HCP Survey Email - June 2025</v>
      </c>
      <c r="C82" s="3" t="str">
        <f>HYPERLINK("https://otsuka-europe-crm.veevavault.com/ui/#object/sent_email__v/VBLZ025E82GMTCM", "SE-000267134")</f>
        <v>SE-000267134</v>
      </c>
      <c r="D82" s="1" t="s">
        <v>0</v>
      </c>
      <c r="E82" s="2">
        <v>0</v>
      </c>
      <c r="F82" s="2">
        <v>0</v>
      </c>
      <c r="G82" s="2">
        <v>0</v>
      </c>
      <c r="H82" s="1" t="s">
        <v>0</v>
      </c>
      <c r="I82" s="2">
        <v>0</v>
      </c>
      <c r="J82" s="1">
        <v>45915.37773148148</v>
      </c>
      <c r="N82" t="str">
        <v>Peplau - Registro a la web</v>
      </c>
      <c r="O82">
        <f>SUMIF($B:$B,$N82,$E:$E)</f>
        <v>1</v>
      </c>
      <c r="P82">
        <f>SUMIF($B:$B,$N82,$F:$F)</f>
        <v>2</v>
      </c>
      <c r="Q82">
        <f>SUMIF($B:$B,$N82,$G:$G)</f>
        <v>1</v>
      </c>
      <c r="R82">
        <f>SUMIF($B:$B,$N82,$I:$I)</f>
        <v>1</v>
      </c>
      <c r="S82">
        <f>COUNTIF($B:$B,$N82)</f>
        <v>1</v>
      </c>
      <c r="T82" s="5" t="s">
        <v>2</v>
      </c>
    </row>
    <row r="83" spans="1:20" x14ac:dyDescent="0.2">
      <c r="A83" s="4" t="s">
        <v>1</v>
      </c>
      <c r="B83" s="3" t="str">
        <f>HYPERLINK("https://otsuka-europe-crm.veevavault.com/ui/#object/approved_document__v/V5OZ025E82TFUPI", "Spain - HCP Survey Email - June 2025")</f>
        <v>Spain - HCP Survey Email - June 2025</v>
      </c>
      <c r="C83" s="3" t="str">
        <f>HYPERLINK("https://otsuka-europe-crm.veevavault.com/ui/#object/sent_email__v/VBLZ025E82GMTCN", "SE-000267135")</f>
        <v>SE-000267135</v>
      </c>
      <c r="D83" s="1" t="s">
        <v>0</v>
      </c>
      <c r="E83" s="2">
        <v>0</v>
      </c>
      <c r="F83" s="2">
        <v>0</v>
      </c>
      <c r="G83" s="2">
        <v>0</v>
      </c>
      <c r="H83" s="1" t="s">
        <v>0</v>
      </c>
      <c r="I83" s="2">
        <v>0</v>
      </c>
      <c r="J83" s="1">
        <v>45915.378460648149</v>
      </c>
      <c r="N83" t="str">
        <v>Postal Navidad 2025</v>
      </c>
      <c r="O83">
        <f>SUMIF($B:$B,$N83,$E:$E)</f>
        <v>317</v>
      </c>
      <c r="P83">
        <f>SUMIF($B:$B,$N83,$F:$F)</f>
        <v>576</v>
      </c>
      <c r="Q83">
        <f>SUMIF($B:$B,$N83,$G:$G)</f>
        <v>3</v>
      </c>
      <c r="R83">
        <f>SUMIF($B:$B,$N83,$I:$I)</f>
        <v>3</v>
      </c>
      <c r="S83">
        <f>COUNTIF($B:$B,$N83)</f>
        <v>538</v>
      </c>
      <c r="T83" s="5" t="s">
        <v>2</v>
      </c>
    </row>
    <row r="84" spans="1:20" x14ac:dyDescent="0.2">
      <c r="A84" s="4" t="s">
        <v>1</v>
      </c>
      <c r="B84" s="3" t="str">
        <f>HYPERLINK("https://otsuka-europe-crm.veevavault.com/ui/#object/approved_document__v/V5OZ025E82TFUPI", "Spain - HCP Survey Email - June 2025")</f>
        <v>Spain - HCP Survey Email - June 2025</v>
      </c>
      <c r="C84" s="3" t="str">
        <f>HYPERLINK("https://otsuka-europe-crm.veevavault.com/ui/#object/sent_email__v/VBLZ025E82GMTCO", "SE-000267136")</f>
        <v>SE-000267136</v>
      </c>
      <c r="D84" s="1" t="s">
        <v>0</v>
      </c>
      <c r="E84" s="2">
        <v>0</v>
      </c>
      <c r="F84" s="2">
        <v>0</v>
      </c>
      <c r="G84" s="2">
        <v>0</v>
      </c>
      <c r="H84" s="1" t="s">
        <v>0</v>
      </c>
      <c r="I84" s="2">
        <v>0</v>
      </c>
      <c r="J84" s="1">
        <v>45915.377986111111</v>
      </c>
      <c r="N84" t="str">
        <v>Postal Navidad 2025 - INAQOVI</v>
      </c>
      <c r="O84">
        <f>SUMIF($B:$B,$N84,$E:$E)</f>
        <v>36</v>
      </c>
      <c r="P84">
        <f>SUMIF($B:$B,$N84,$F:$F)</f>
        <v>52</v>
      </c>
      <c r="Q84">
        <f>SUMIF($B:$B,$N84,$G:$G)</f>
        <v>1</v>
      </c>
      <c r="R84">
        <f>SUMIF($B:$B,$N84,$I:$I)</f>
        <v>1</v>
      </c>
      <c r="S84">
        <f>COUNTIF($B:$B,$N84)</f>
        <v>96</v>
      </c>
      <c r="T84" s="5" t="s">
        <v>4</v>
      </c>
    </row>
    <row r="85" spans="1:20" x14ac:dyDescent="0.2">
      <c r="A85" s="4" t="s">
        <v>1</v>
      </c>
      <c r="B85" s="3" t="str">
        <f>HYPERLINK("https://otsuka-europe-crm.veevavault.com/ui/#object/approved_document__v/V5OZ025E82TFUPI", "Spain - HCP Survey Email - June 2025")</f>
        <v>Spain - HCP Survey Email - June 2025</v>
      </c>
      <c r="C85" s="3" t="str">
        <f>HYPERLINK("https://otsuka-europe-crm.veevavault.com/ui/#object/sent_email__v/VBLZ025E82GMTCP", "SE-000267137")</f>
        <v>SE-000267137</v>
      </c>
      <c r="D85" s="1">
        <v>45915.507187499999</v>
      </c>
      <c r="E85" s="2">
        <v>1</v>
      </c>
      <c r="F85" s="2">
        <v>1</v>
      </c>
      <c r="G85" s="2">
        <v>0</v>
      </c>
      <c r="H85" s="1" t="s">
        <v>0</v>
      </c>
      <c r="I85" s="2">
        <v>0</v>
      </c>
      <c r="J85" s="1">
        <v>45915.378738425927</v>
      </c>
      <c r="N85" t="str">
        <v>Postal Navidad 2025 - Nefro</v>
      </c>
      <c r="O85">
        <f>SUMIF($B:$B,$N85,$E:$E)</f>
        <v>12</v>
      </c>
      <c r="P85">
        <f>SUMIF($B:$B,$N85,$F:$F)</f>
        <v>16</v>
      </c>
      <c r="Q85">
        <f>SUMIF($B:$B,$N85,$G:$G)</f>
        <v>1</v>
      </c>
      <c r="R85">
        <f>SUMIF($B:$B,$N85,$I:$I)</f>
        <v>1</v>
      </c>
      <c r="S85">
        <f>COUNTIF($B:$B,$N85)</f>
        <v>55</v>
      </c>
      <c r="T85" s="5" t="s">
        <v>2</v>
      </c>
    </row>
    <row r="86" spans="1:20" x14ac:dyDescent="0.2">
      <c r="A86" s="4" t="s">
        <v>1</v>
      </c>
      <c r="B86" s="3" t="str">
        <f>HYPERLINK("https://otsuka-europe-crm.veevavault.com/ui/#object/approved_document__v/V5OZ025E82TFUPI", "Spain - HCP Survey Email - June 2025")</f>
        <v>Spain - HCP Survey Email - June 2025</v>
      </c>
      <c r="C86" s="3" t="str">
        <f>HYPERLINK("https://otsuka-europe-crm.veevavault.com/ui/#object/sent_email__v/VBLZ025E82GMTCQ", "SE-000267138")</f>
        <v>SE-000267138</v>
      </c>
      <c r="D86" s="1">
        <v>45923.344733796293</v>
      </c>
      <c r="E86" s="2">
        <v>1</v>
      </c>
      <c r="F86" s="2">
        <v>2</v>
      </c>
      <c r="G86" s="2">
        <v>1</v>
      </c>
      <c r="H86" s="1">
        <v>45916.537453703706</v>
      </c>
      <c r="I86" s="2">
        <v>2</v>
      </c>
      <c r="J86" s="1">
        <v>45915.379629629628</v>
      </c>
      <c r="N86" t="str">
        <v>Postal Navidad 2025 - Reuma</v>
      </c>
      <c r="O86">
        <f>SUMIF($B:$B,$N86,$E:$E)</f>
        <v>2</v>
      </c>
      <c r="P86">
        <f>SUMIF($B:$B,$N86,$F:$F)</f>
        <v>3</v>
      </c>
      <c r="Q86">
        <f>SUMIF($B:$B,$N86,$G:$G)</f>
        <v>0</v>
      </c>
      <c r="R86">
        <f>SUMIF($B:$B,$N86,$I:$I)</f>
        <v>0</v>
      </c>
      <c r="S86">
        <f>COUNTIF($B:$B,$N86)</f>
        <v>10</v>
      </c>
      <c r="T86" s="5" t="s">
        <v>2</v>
      </c>
    </row>
    <row r="87" spans="1:20" x14ac:dyDescent="0.2">
      <c r="A87" s="4" t="s">
        <v>1</v>
      </c>
      <c r="B87" s="3" t="str">
        <f>HYPERLINK("https://otsuka-europe-crm.veevavault.com/ui/#object/approved_document__v/V5OZ025E82TFUPI", "Spain - HCP Survey Email - June 2025")</f>
        <v>Spain - HCP Survey Email - June 2025</v>
      </c>
      <c r="C87" s="3" t="str">
        <f>HYPERLINK("https://otsuka-europe-crm.veevavault.com/ui/#object/sent_email__v/VBLZ025E82GMTCR", "SE-000267139")</f>
        <v>SE-000267139</v>
      </c>
      <c r="D87" s="1" t="s">
        <v>0</v>
      </c>
      <c r="E87" s="2">
        <v>0</v>
      </c>
      <c r="F87" s="2">
        <v>0</v>
      </c>
      <c r="G87" s="2">
        <v>0</v>
      </c>
      <c r="H87" s="1" t="s">
        <v>0</v>
      </c>
      <c r="I87" s="2">
        <v>0</v>
      </c>
      <c r="J87" s="1">
        <v>45915.377847222226</v>
      </c>
      <c r="N87" t="str">
        <v>PSIQUIATRÍA - Guía de Manejo Psicoterapéutico</v>
      </c>
      <c r="O87">
        <f>SUMIF($B:$B,$N87,$E:$E)</f>
        <v>79</v>
      </c>
      <c r="P87">
        <f>SUMIF($B:$B,$N87,$F:$F)</f>
        <v>234</v>
      </c>
      <c r="Q87">
        <f>SUMIF($B:$B,$N87,$G:$G)</f>
        <v>36</v>
      </c>
      <c r="R87">
        <f>SUMIF($B:$B,$N87,$I:$I)</f>
        <v>74</v>
      </c>
      <c r="S87">
        <f>COUNTIF($B:$B,$N87)</f>
        <v>133</v>
      </c>
      <c r="T87" s="5" t="s">
        <v>2</v>
      </c>
    </row>
    <row r="88" spans="1:20" x14ac:dyDescent="0.2">
      <c r="A88" s="4" t="s">
        <v>1</v>
      </c>
      <c r="B88" s="3" t="str">
        <f>HYPERLINK("https://otsuka-europe-crm.veevavault.com/ui/#object/approved_document__v/V5OZ025E82TFUPI", "Spain - HCP Survey Email - June 2025")</f>
        <v>Spain - HCP Survey Email - June 2025</v>
      </c>
      <c r="C88" s="3" t="str">
        <f>HYPERLINK("https://otsuka-europe-crm.veevavault.com/ui/#object/sent_email__v/VBLZ025E82GMTCS", "SE-000267140")</f>
        <v>SE-000267140</v>
      </c>
      <c r="D88" s="1">
        <v>45915.496354166666</v>
      </c>
      <c r="E88" s="2">
        <v>1</v>
      </c>
      <c r="F88" s="2">
        <v>1</v>
      </c>
      <c r="G88" s="2">
        <v>0</v>
      </c>
      <c r="H88" s="1" t="s">
        <v>0</v>
      </c>
      <c r="I88" s="2">
        <v>0</v>
      </c>
      <c r="J88" s="1">
        <v>45915.377500000002</v>
      </c>
      <c r="N88" t="str">
        <v>PSIQUIATRÍA - Programas ECNP 2025</v>
      </c>
      <c r="O88">
        <f>SUMIF($B:$B,$N88,$E:$E)</f>
        <v>138</v>
      </c>
      <c r="P88">
        <f>SUMIF($B:$B,$N88,$F:$F)</f>
        <v>328</v>
      </c>
      <c r="Q88">
        <f>SUMIF($B:$B,$N88,$G:$G)</f>
        <v>15</v>
      </c>
      <c r="R88">
        <f>SUMIF($B:$B,$N88,$I:$I)</f>
        <v>32</v>
      </c>
      <c r="S88">
        <f>COUNTIF($B:$B,$N88)</f>
        <v>206</v>
      </c>
      <c r="T88" s="5" t="s">
        <v>2</v>
      </c>
    </row>
    <row r="89" spans="1:20" x14ac:dyDescent="0.2">
      <c r="A89" s="4" t="s">
        <v>1</v>
      </c>
      <c r="B89" s="3" t="str">
        <f>HYPERLINK("https://otsuka-europe-crm.veevavault.com/ui/#object/approved_document__v/V5OZ025E82TFUPI", "Spain - HCP Survey Email - June 2025")</f>
        <v>Spain - HCP Survey Email - June 2025</v>
      </c>
      <c r="C89" s="3" t="str">
        <f>HYPERLINK("https://otsuka-europe-crm.veevavault.com/ui/#object/sent_email__v/VBLZ025E82GMTCT", "SE-000267141")</f>
        <v>SE-000267141</v>
      </c>
      <c r="D89" s="1" t="s">
        <v>0</v>
      </c>
      <c r="E89" s="2">
        <v>0</v>
      </c>
      <c r="F89" s="2">
        <v>0</v>
      </c>
      <c r="G89" s="2">
        <v>0</v>
      </c>
      <c r="H89" s="1" t="s">
        <v>0</v>
      </c>
      <c r="I89" s="2">
        <v>0</v>
      </c>
      <c r="J89" s="1">
        <v>45915.378148148149</v>
      </c>
      <c r="N89" t="str">
        <v>Reuniones Online Consent - 2</v>
      </c>
      <c r="O89">
        <f>SUMIF($B:$B,$N89,$E:$E)</f>
        <v>171</v>
      </c>
      <c r="P89">
        <f>SUMIF($B:$B,$N89,$F:$F)</f>
        <v>358</v>
      </c>
      <c r="Q89">
        <f>SUMIF($B:$B,$N89,$G:$G)</f>
        <v>150</v>
      </c>
      <c r="R89">
        <f>SUMIF($B:$B,$N89,$I:$I)</f>
        <v>219</v>
      </c>
      <c r="S89">
        <f>COUNTIF($B:$B,$N89)</f>
        <v>202</v>
      </c>
      <c r="T89" s="5" t="s">
        <v>2</v>
      </c>
    </row>
    <row r="90" spans="1:20" x14ac:dyDescent="0.2">
      <c r="A90" s="4" t="s">
        <v>1</v>
      </c>
      <c r="B90" s="3" t="str">
        <f>HYPERLINK("https://otsuka-europe-crm.veevavault.com/ui/#object/approved_document__v/V5OZ025E82TFUPI", "Spain - HCP Survey Email - June 2025")</f>
        <v>Spain - HCP Survey Email - June 2025</v>
      </c>
      <c r="C90" s="3" t="str">
        <f>HYPERLINK("https://otsuka-europe-crm.veevavault.com/ui/#object/sent_email__v/VBLZ025E82GMTCU", "SE-000267142")</f>
        <v>SE-000267142</v>
      </c>
      <c r="D90" s="1" t="s">
        <v>0</v>
      </c>
      <c r="E90" s="2">
        <v>0</v>
      </c>
      <c r="F90" s="2">
        <v>0</v>
      </c>
      <c r="G90" s="2">
        <v>0</v>
      </c>
      <c r="H90" s="1" t="s">
        <v>0</v>
      </c>
      <c r="I90" s="2">
        <v>0</v>
      </c>
      <c r="J90" s="1">
        <v>45915.379027777781</v>
      </c>
      <c r="N90" t="str">
        <v>RXULTI - Caso Clínico ansiedad e irritabilidad</v>
      </c>
      <c r="O90">
        <f>SUMIF($B:$B,$N90,$E:$E)</f>
        <v>70</v>
      </c>
      <c r="P90">
        <f>SUMIF($B:$B,$N90,$F:$F)</f>
        <v>115</v>
      </c>
      <c r="Q90">
        <f>SUMIF($B:$B,$N90,$G:$G)</f>
        <v>8</v>
      </c>
      <c r="R90">
        <f>SUMIF($B:$B,$N90,$I:$I)</f>
        <v>12</v>
      </c>
      <c r="S90">
        <f>COUNTIF($B:$B,$N90)</f>
        <v>129</v>
      </c>
      <c r="T90" s="5" t="s">
        <v>3</v>
      </c>
    </row>
    <row r="91" spans="1:20" x14ac:dyDescent="0.2">
      <c r="A91" s="4" t="s">
        <v>1</v>
      </c>
      <c r="B91" s="3" t="str">
        <f>HYPERLINK("https://otsuka-europe-crm.veevavault.com/ui/#object/approved_document__v/V5OZ025E82TFUPI", "Spain - HCP Survey Email - June 2025")</f>
        <v>Spain - HCP Survey Email - June 2025</v>
      </c>
      <c r="C91" s="3" t="str">
        <f>HYPERLINK("https://otsuka-europe-crm.veevavault.com/ui/#object/sent_email__v/VBLZ025E82GMTCV", "SE-000267143")</f>
        <v>SE-000267143</v>
      </c>
      <c r="D91" s="1" t="s">
        <v>0</v>
      </c>
      <c r="E91" s="2">
        <v>0</v>
      </c>
      <c r="F91" s="2">
        <v>0</v>
      </c>
      <c r="G91" s="2">
        <v>0</v>
      </c>
      <c r="H91" s="1" t="s">
        <v>0</v>
      </c>
      <c r="I91" s="2">
        <v>0</v>
      </c>
      <c r="J91" s="1">
        <v>45915.378611111111</v>
      </c>
      <c r="N91" t="str">
        <v>RXULTI - Caso Clínico cambio de ILP antagonista</v>
      </c>
      <c r="O91">
        <f>SUMIF($B:$B,$N91,$E:$E)</f>
        <v>1</v>
      </c>
      <c r="P91">
        <f>SUMIF($B:$B,$N91,$F:$F)</f>
        <v>3</v>
      </c>
      <c r="Q91">
        <f>SUMIF($B:$B,$N91,$G:$G)</f>
        <v>1</v>
      </c>
      <c r="R91">
        <f>SUMIF($B:$B,$N91,$I:$I)</f>
        <v>1</v>
      </c>
      <c r="S91">
        <f>COUNTIF($B:$B,$N91)</f>
        <v>2</v>
      </c>
      <c r="T91" s="5" t="s">
        <v>3</v>
      </c>
    </row>
    <row r="92" spans="1:20" x14ac:dyDescent="0.2">
      <c r="A92" s="4" t="s">
        <v>1</v>
      </c>
      <c r="B92" s="3" t="str">
        <f>HYPERLINK("https://otsuka-europe-crm.veevavault.com/ui/#object/approved_document__v/V5OZ025E82TFUPI", "Spain - HCP Survey Email - June 2025")</f>
        <v>Spain - HCP Survey Email - June 2025</v>
      </c>
      <c r="C92" s="3" t="str">
        <f>HYPERLINK("https://otsuka-europe-crm.veevavault.com/ui/#object/sent_email__v/VBLZ025E82GMTCW", "SE-000267144")</f>
        <v>SE-000267144</v>
      </c>
      <c r="D92" s="1">
        <v>45932.292881944442</v>
      </c>
      <c r="E92" s="2">
        <v>1</v>
      </c>
      <c r="F92" s="2">
        <v>2</v>
      </c>
      <c r="G92" s="2">
        <v>0</v>
      </c>
      <c r="H92" s="1" t="s">
        <v>0</v>
      </c>
      <c r="I92" s="2">
        <v>0</v>
      </c>
      <c r="J92" s="1">
        <v>45915.379606481481</v>
      </c>
      <c r="N92" t="str">
        <v>RXULTI - Caso Clínico cuando los ILPs no son una opción</v>
      </c>
      <c r="O92">
        <f>SUMIF($B:$B,$N92,$E:$E)</f>
        <v>3</v>
      </c>
      <c r="P92">
        <f>SUMIF($B:$B,$N92,$F:$F)</f>
        <v>7</v>
      </c>
      <c r="Q92">
        <f>SUMIF($B:$B,$N92,$G:$G)</f>
        <v>2</v>
      </c>
      <c r="R92">
        <f>SUMIF($B:$B,$N92,$I:$I)</f>
        <v>3</v>
      </c>
      <c r="S92">
        <f>COUNTIF($B:$B,$N92)</f>
        <v>4</v>
      </c>
      <c r="T92" s="5" t="s">
        <v>3</v>
      </c>
    </row>
    <row r="93" spans="1:20" x14ac:dyDescent="0.2">
      <c r="A93" s="4" t="s">
        <v>1</v>
      </c>
      <c r="B93" s="3" t="str">
        <f>HYPERLINK("https://otsuka-europe-crm.veevavault.com/ui/#object/approved_document__v/V5OZ025E82TFUPI", "Spain - HCP Survey Email - June 2025")</f>
        <v>Spain - HCP Survey Email - June 2025</v>
      </c>
      <c r="C93" s="3" t="str">
        <f>HYPERLINK("https://otsuka-europe-crm.veevavault.com/ui/#object/sent_email__v/VBLZ025E82GMTCX", "SE-000267145")</f>
        <v>SE-000267145</v>
      </c>
      <c r="D93" s="1">
        <v>45916.365300925929</v>
      </c>
      <c r="E93" s="2">
        <v>1</v>
      </c>
      <c r="F93" s="2">
        <v>1</v>
      </c>
      <c r="G93" s="2">
        <v>0</v>
      </c>
      <c r="H93" s="1" t="s">
        <v>0</v>
      </c>
      <c r="I93" s="2">
        <v>0</v>
      </c>
      <c r="J93" s="1">
        <v>45915.37771990741</v>
      </c>
      <c r="N93" t="str">
        <v>RXULTI - Comparativa antipsicóticos</v>
      </c>
      <c r="O93">
        <f>SUMIF($B:$B,$N93,$E:$E)</f>
        <v>56</v>
      </c>
      <c r="P93">
        <f>SUMIF($B:$B,$N93,$F:$F)</f>
        <v>107</v>
      </c>
      <c r="Q93">
        <f>SUMIF($B:$B,$N93,$G:$G)</f>
        <v>6</v>
      </c>
      <c r="R93">
        <f>SUMIF($B:$B,$N93,$I:$I)</f>
        <v>7</v>
      </c>
      <c r="S93">
        <f>COUNTIF($B:$B,$N93)</f>
        <v>120</v>
      </c>
      <c r="T93" s="5" t="s">
        <v>3</v>
      </c>
    </row>
    <row r="94" spans="1:20" x14ac:dyDescent="0.2">
      <c r="A94" s="4" t="s">
        <v>1</v>
      </c>
      <c r="B94" s="3" t="str">
        <f>HYPERLINK("https://otsuka-europe-crm.veevavault.com/ui/#object/approved_document__v/V5OZ025E82TFUPI", "Spain - HCP Survey Email - June 2025")</f>
        <v>Spain - HCP Survey Email - June 2025</v>
      </c>
      <c r="C94" s="3" t="str">
        <f>HYPERLINK("https://otsuka-europe-crm.veevavault.com/ui/#object/sent_email__v/VBLZ025E82GMTCY", "SE-000267146")</f>
        <v>SE-000267146</v>
      </c>
      <c r="D94" s="1" t="s">
        <v>0</v>
      </c>
      <c r="E94" s="2">
        <v>0</v>
      </c>
      <c r="F94" s="2">
        <v>0</v>
      </c>
      <c r="G94" s="2">
        <v>0</v>
      </c>
      <c r="H94" s="1" t="s">
        <v>0</v>
      </c>
      <c r="I94" s="2">
        <v>0</v>
      </c>
      <c r="J94" s="1">
        <v>45915.378495370373</v>
      </c>
      <c r="N94" t="str">
        <v>RXULTI - efectividad en esquizofrenia y TCS</v>
      </c>
      <c r="O94">
        <f>SUMIF($B:$B,$N94,$E:$E)</f>
        <v>6</v>
      </c>
      <c r="P94">
        <f>SUMIF($B:$B,$N94,$F:$F)</f>
        <v>15</v>
      </c>
      <c r="Q94">
        <f>SUMIF($B:$B,$N94,$G:$G)</f>
        <v>2</v>
      </c>
      <c r="R94">
        <f>SUMIF($B:$B,$N94,$I:$I)</f>
        <v>14</v>
      </c>
      <c r="S94">
        <f>COUNTIF($B:$B,$N94)</f>
        <v>10</v>
      </c>
      <c r="T94" s="5" t="s">
        <v>3</v>
      </c>
    </row>
    <row r="95" spans="1:20" x14ac:dyDescent="0.2">
      <c r="A95" s="4" t="s">
        <v>1</v>
      </c>
      <c r="B95" s="3" t="str">
        <f>HYPERLINK("https://otsuka-europe-crm.veevavault.com/ui/#object/approved_document__v/V5OZ025E82TFUPI", "Spain - HCP Survey Email - June 2025")</f>
        <v>Spain - HCP Survey Email - June 2025</v>
      </c>
      <c r="C95" s="3" t="str">
        <f>HYPERLINK("https://otsuka-europe-crm.veevavault.com/ui/#object/sent_email__v/VBLZ025E82GMTCZ", "SE-000267147")</f>
        <v>SE-000267147</v>
      </c>
      <c r="D95" s="1" t="s">
        <v>0</v>
      </c>
      <c r="E95" s="2">
        <v>0</v>
      </c>
      <c r="F95" s="2">
        <v>0</v>
      </c>
      <c r="G95" s="2">
        <v>0</v>
      </c>
      <c r="H95" s="1" t="s">
        <v>0</v>
      </c>
      <c r="I95" s="2">
        <v>0</v>
      </c>
      <c r="J95" s="1">
        <v>45915.377939814818</v>
      </c>
      <c r="N95" t="str">
        <v>RXULTI - Eficaz y fácil de iniciar</v>
      </c>
      <c r="O95">
        <f>SUMIF($B:$B,$N95,$E:$E)</f>
        <v>11</v>
      </c>
      <c r="P95">
        <f>SUMIF($B:$B,$N95,$F:$F)</f>
        <v>27</v>
      </c>
      <c r="Q95">
        <f>SUMIF($B:$B,$N95,$G:$G)</f>
        <v>5</v>
      </c>
      <c r="R95">
        <f>SUMIF($B:$B,$N95,$I:$I)</f>
        <v>18</v>
      </c>
      <c r="S95">
        <f>COUNTIF($B:$B,$N95)</f>
        <v>19</v>
      </c>
      <c r="T95" s="5" t="s">
        <v>3</v>
      </c>
    </row>
    <row r="96" spans="1:20" x14ac:dyDescent="0.2">
      <c r="A96" s="4" t="s">
        <v>1</v>
      </c>
      <c r="B96" s="3" t="str">
        <f>HYPERLINK("https://otsuka-europe-crm.veevavault.com/ui/#object/approved_document__v/V5OZ025E82TFUPI", "Spain - HCP Survey Email - June 2025")</f>
        <v>Spain - HCP Survey Email - June 2025</v>
      </c>
      <c r="C96" s="3" t="str">
        <f>HYPERLINK("https://otsuka-europe-crm.veevavault.com/ui/#object/sent_email__v/VBLZ025E82GMTD0", "SE-000267148")</f>
        <v>SE-000267148</v>
      </c>
      <c r="D96" s="1" t="s">
        <v>0</v>
      </c>
      <c r="E96" s="2">
        <v>0</v>
      </c>
      <c r="F96" s="2">
        <v>0</v>
      </c>
      <c r="G96" s="2">
        <v>0</v>
      </c>
      <c r="H96" s="1" t="s">
        <v>0</v>
      </c>
      <c r="I96" s="2">
        <v>0</v>
      </c>
      <c r="J96" s="1">
        <v>45915.378634259258</v>
      </c>
      <c r="N96" t="str">
        <v>RXULTI - Monografía de producto</v>
      </c>
      <c r="O96">
        <f>SUMIF($B:$B,$N96,$E:$E)</f>
        <v>12</v>
      </c>
      <c r="P96">
        <f>SUMIF($B:$B,$N96,$F:$F)</f>
        <v>25</v>
      </c>
      <c r="Q96">
        <f>SUMIF($B:$B,$N96,$G:$G)</f>
        <v>6</v>
      </c>
      <c r="R96">
        <f>SUMIF($B:$B,$N96,$I:$I)</f>
        <v>7</v>
      </c>
      <c r="S96">
        <f>COUNTIF($B:$B,$N96)</f>
        <v>16</v>
      </c>
      <c r="T96" s="5" t="s">
        <v>3</v>
      </c>
    </row>
    <row r="97" spans="1:20" x14ac:dyDescent="0.2">
      <c r="A97" s="4" t="s">
        <v>1</v>
      </c>
      <c r="B97" s="3" t="str">
        <f>HYPERLINK("https://otsuka-europe-crm.veevavault.com/ui/#object/approved_document__v/V5OZ025E82TFUPI", "Spain - HCP Survey Email - June 2025")</f>
        <v>Spain - HCP Survey Email - June 2025</v>
      </c>
      <c r="C97" s="3" t="str">
        <f>HYPERLINK("https://otsuka-europe-crm.veevavault.com/ui/#object/sent_email__v/VBLZ025E82GMTD1", "SE-000267149")</f>
        <v>SE-000267149</v>
      </c>
      <c r="D97" s="1" t="s">
        <v>0</v>
      </c>
      <c r="E97" s="2">
        <v>0</v>
      </c>
      <c r="F97" s="2">
        <v>0</v>
      </c>
      <c r="G97" s="2">
        <v>0</v>
      </c>
      <c r="H97" s="1" t="s">
        <v>0</v>
      </c>
      <c r="I97" s="2">
        <v>0</v>
      </c>
      <c r="J97" s="1">
        <v>45915.37945601852</v>
      </c>
      <c r="N97" t="str">
        <v>RXULTI - Presentación indicación adolescentes y dosis 0,5 mg</v>
      </c>
      <c r="O97">
        <f>SUMIF($B:$B,$N97,$E:$E)</f>
        <v>1117</v>
      </c>
      <c r="P97">
        <f>SUMIF($B:$B,$N97,$F:$F)</f>
        <v>2179</v>
      </c>
      <c r="Q97">
        <f>SUMIF($B:$B,$N97,$G:$G)</f>
        <v>72</v>
      </c>
      <c r="R97">
        <f>SUMIF($B:$B,$N97,$I:$I)</f>
        <v>145</v>
      </c>
      <c r="S97">
        <f>COUNTIF($B:$B,$N97)</f>
        <v>2144</v>
      </c>
      <c r="T97" s="5" t="s">
        <v>3</v>
      </c>
    </row>
    <row r="98" spans="1:20" x14ac:dyDescent="0.2">
      <c r="A98" s="4" t="s">
        <v>1</v>
      </c>
      <c r="B98" s="3" t="str">
        <f>HYPERLINK("https://otsuka-europe-crm.veevavault.com/ui/#object/approved_document__v/V5OZ025E82TFUPI", "Spain - HCP Survey Email - June 2025")</f>
        <v>Spain - HCP Survey Email - June 2025</v>
      </c>
      <c r="C98" s="3" t="str">
        <f>HYPERLINK("https://otsuka-europe-crm.veevavault.com/ui/#object/sent_email__v/VBLZ025E82GMTD2", "SE-000267150")</f>
        <v>SE-000267150</v>
      </c>
      <c r="D98" s="1">
        <v>45931.488668981481</v>
      </c>
      <c r="E98" s="2">
        <v>1</v>
      </c>
      <c r="F98" s="2">
        <v>3</v>
      </c>
      <c r="G98" s="2">
        <v>0</v>
      </c>
      <c r="H98" s="1" t="s">
        <v>0</v>
      </c>
      <c r="I98" s="2">
        <v>0</v>
      </c>
      <c r="J98" s="1">
        <v>45915.377812500003</v>
      </c>
      <c r="N98" t="str">
        <v>RXULTI - Programa Barcelona Lanzamiento Indicación adolescente</v>
      </c>
      <c r="O98">
        <f>SUMIF($B:$B,$N98,$E:$E)</f>
        <v>113</v>
      </c>
      <c r="P98">
        <f>SUMIF($B:$B,$N98,$F:$F)</f>
        <v>225</v>
      </c>
      <c r="Q98">
        <f>SUMIF($B:$B,$N98,$G:$G)</f>
        <v>24</v>
      </c>
      <c r="R98">
        <f>SUMIF($B:$B,$N98,$I:$I)</f>
        <v>37</v>
      </c>
      <c r="S98">
        <f>COUNTIF($B:$B,$N98)</f>
        <v>187</v>
      </c>
      <c r="T98" s="5" t="s">
        <v>3</v>
      </c>
    </row>
    <row r="99" spans="1:20" x14ac:dyDescent="0.2">
      <c r="A99" s="4" t="s">
        <v>1</v>
      </c>
      <c r="B99" s="3" t="str">
        <f>HYPERLINK("https://otsuka-europe-crm.veevavault.com/ui/#object/approved_document__v/V5OZ025E82TFUPI", "Spain - HCP Survey Email - June 2025")</f>
        <v>Spain - HCP Survey Email - June 2025</v>
      </c>
      <c r="C99" s="3" t="str">
        <f>HYPERLINK("https://otsuka-europe-crm.veevavault.com/ui/#object/sent_email__v/VBLZ025E82GMTD3", "SE-000267151")</f>
        <v>SE-000267151</v>
      </c>
      <c r="D99" s="1">
        <v>45915.479548611111</v>
      </c>
      <c r="E99" s="2">
        <v>1</v>
      </c>
      <c r="F99" s="2">
        <v>1</v>
      </c>
      <c r="G99" s="2">
        <v>0</v>
      </c>
      <c r="H99" s="1" t="s">
        <v>0</v>
      </c>
      <c r="I99" s="2">
        <v>0</v>
      </c>
      <c r="J99" s="1">
        <v>45915.377453703702</v>
      </c>
      <c r="N99" t="str">
        <v>RXULTI - Programa Madrid Lanzamiento Indicación adolescente</v>
      </c>
      <c r="O99">
        <f>SUMIF($B:$B,$N99,$E:$E)</f>
        <v>20</v>
      </c>
      <c r="P99">
        <f>SUMIF($B:$B,$N99,$F:$F)</f>
        <v>54</v>
      </c>
      <c r="Q99">
        <f>SUMIF($B:$B,$N99,$G:$G)</f>
        <v>7</v>
      </c>
      <c r="R99">
        <f>SUMIF($B:$B,$N99,$I:$I)</f>
        <v>22</v>
      </c>
      <c r="S99">
        <f>COUNTIF($B:$B,$N99)</f>
        <v>29</v>
      </c>
      <c r="T99" s="5" t="s">
        <v>3</v>
      </c>
    </row>
    <row r="100" spans="1:20" x14ac:dyDescent="0.2">
      <c r="A100" s="4" t="s">
        <v>1</v>
      </c>
      <c r="B100" s="3" t="str">
        <f>HYPERLINK("https://otsuka-europe-crm.veevavault.com/ui/#object/approved_document__v/V5OZ025E82TFUPI", "Spain - HCP Survey Email - June 2025")</f>
        <v>Spain - HCP Survey Email - June 2025</v>
      </c>
      <c r="C100" s="3" t="str">
        <f>HYPERLINK("https://otsuka-europe-crm.veevavault.com/ui/#object/sent_email__v/VBLZ025E82GMTD4", "SE-000267152")</f>
        <v>SE-000267152</v>
      </c>
      <c r="D100" s="1">
        <v>45919.575231481482</v>
      </c>
      <c r="E100" s="2">
        <v>1</v>
      </c>
      <c r="F100" s="2">
        <v>4</v>
      </c>
      <c r="G100" s="2">
        <v>0</v>
      </c>
      <c r="H100" s="1" t="s">
        <v>0</v>
      </c>
      <c r="I100" s="2">
        <v>0</v>
      </c>
      <c r="J100" s="1">
        <v>45915.378113425926</v>
      </c>
      <c r="N100" t="str">
        <v>RXULTI - Programa reunión Malaga 11 diciembre</v>
      </c>
      <c r="O100">
        <f>SUMIF($B:$B,$N100,$E:$E)</f>
        <v>10</v>
      </c>
      <c r="P100">
        <f>SUMIF($B:$B,$N100,$F:$F)</f>
        <v>23</v>
      </c>
      <c r="Q100">
        <f>SUMIF($B:$B,$N100,$G:$G)</f>
        <v>1</v>
      </c>
      <c r="R100">
        <f>SUMIF($B:$B,$N100,$I:$I)</f>
        <v>1</v>
      </c>
      <c r="S100">
        <f>COUNTIF($B:$B,$N100)</f>
        <v>23</v>
      </c>
      <c r="T100" s="5" t="s">
        <v>3</v>
      </c>
    </row>
    <row r="101" spans="1:20" x14ac:dyDescent="0.2">
      <c r="A101" s="4" t="s">
        <v>1</v>
      </c>
      <c r="B101" s="3" t="str">
        <f>HYPERLINK("https://otsuka-europe-crm.veevavault.com/ui/#object/approved_document__v/V5OZ025E82TFUPI", "Spain - HCP Survey Email - June 2025")</f>
        <v>Spain - HCP Survey Email - June 2025</v>
      </c>
      <c r="C101" s="3" t="str">
        <f>HYPERLINK("https://otsuka-europe-crm.veevavault.com/ui/#object/sent_email__v/VBLZ025E82GMTD5", "SE-000267153")</f>
        <v>SE-000267153</v>
      </c>
      <c r="D101" s="1" t="s">
        <v>0</v>
      </c>
      <c r="E101" s="2">
        <v>0</v>
      </c>
      <c r="F101" s="2">
        <v>0</v>
      </c>
      <c r="G101" s="2">
        <v>0</v>
      </c>
      <c r="H101" s="1" t="s">
        <v>0</v>
      </c>
      <c r="I101" s="2">
        <v>0</v>
      </c>
      <c r="J101" s="1">
        <v>45915.379016203704</v>
      </c>
      <c r="N101" t="str">
        <v>RXULTI - Programa reunión Malaga 25 noviembre</v>
      </c>
      <c r="O101">
        <f>SUMIF($B:$B,$N101,$E:$E)</f>
        <v>0</v>
      </c>
      <c r="P101">
        <f>SUMIF($B:$B,$N101,$F:$F)</f>
        <v>0</v>
      </c>
      <c r="Q101">
        <f>SUMIF($B:$B,$N101,$G:$G)</f>
        <v>0</v>
      </c>
      <c r="R101">
        <f>SUMIF($B:$B,$N101,$I:$I)</f>
        <v>0</v>
      </c>
      <c r="S101">
        <f>COUNTIF($B:$B,$N101)</f>
        <v>1</v>
      </c>
      <c r="T101" s="5" t="s">
        <v>3</v>
      </c>
    </row>
    <row r="102" spans="1:20" x14ac:dyDescent="0.2">
      <c r="A102" s="4" t="s">
        <v>1</v>
      </c>
      <c r="B102" s="3" t="str">
        <f>HYPERLINK("https://otsuka-europe-crm.veevavault.com/ui/#object/approved_document__v/V5OZ025E82TFUPI", "Spain - HCP Survey Email - June 2025")</f>
        <v>Spain - HCP Survey Email - June 2025</v>
      </c>
      <c r="C102" s="3" t="str">
        <f>HYPERLINK("https://otsuka-europe-crm.veevavault.com/ui/#object/sent_email__v/VBLZ025E82GMTD6", "SE-000267154")</f>
        <v>SE-000267154</v>
      </c>
      <c r="D102" s="1">
        <v>45915.515011574076</v>
      </c>
      <c r="E102" s="2">
        <v>1</v>
      </c>
      <c r="F102" s="2">
        <v>1</v>
      </c>
      <c r="G102" s="2">
        <v>0</v>
      </c>
      <c r="H102" s="1" t="s">
        <v>0</v>
      </c>
      <c r="I102" s="2">
        <v>0</v>
      </c>
      <c r="J102" s="1">
        <v>45915.378622685188</v>
      </c>
      <c r="N102" t="str">
        <v>RXULTI - Programa webinar Neurocienas Lanzamiento Indicación adolescente</v>
      </c>
      <c r="O102">
        <f>SUMIF($B:$B,$N102,$E:$E)</f>
        <v>845</v>
      </c>
      <c r="P102">
        <f>SUMIF($B:$B,$N102,$F:$F)</f>
        <v>1600</v>
      </c>
      <c r="Q102">
        <f>SUMIF($B:$B,$N102,$G:$G)</f>
        <v>78</v>
      </c>
      <c r="R102">
        <f>SUMIF($B:$B,$N102,$I:$I)</f>
        <v>253</v>
      </c>
      <c r="S102">
        <f>COUNTIF($B:$B,$N102)</f>
        <v>1550</v>
      </c>
      <c r="T102" s="5" t="s">
        <v>3</v>
      </c>
    </row>
    <row r="103" spans="1:20" x14ac:dyDescent="0.2">
      <c r="A103" s="4" t="s">
        <v>1</v>
      </c>
      <c r="B103" s="3" t="str">
        <f>HYPERLINK("https://otsuka-europe-crm.veevavault.com/ui/#object/approved_document__v/V5OZ025E82TFUPI", "Spain - HCP Survey Email - June 2025")</f>
        <v>Spain - HCP Survey Email - June 2025</v>
      </c>
      <c r="C103" s="3" t="str">
        <f>HYPERLINK("https://otsuka-europe-crm.veevavault.com/ui/#object/sent_email__v/VBLZ025E82GMTD7", "SE-000267155")</f>
        <v>SE-000267155</v>
      </c>
      <c r="D103" s="1" t="s">
        <v>0</v>
      </c>
      <c r="E103" s="2">
        <v>0</v>
      </c>
      <c r="F103" s="2">
        <v>0</v>
      </c>
      <c r="G103" s="2">
        <v>0</v>
      </c>
      <c r="H103" s="1" t="s">
        <v>0</v>
      </c>
      <c r="I103" s="2">
        <v>0</v>
      </c>
      <c r="J103" s="1">
        <v>45915.379548611112</v>
      </c>
      <c r="N103" t="str">
        <v>RXULTI - Recordatorio webinar Neurociencias lanzamiento indicación adolescente</v>
      </c>
      <c r="O103">
        <f>SUMIF($B:$B,$N103,$E:$E)</f>
        <v>0</v>
      </c>
      <c r="P103">
        <f>SUMIF($B:$B,$N103,$F:$F)</f>
        <v>0</v>
      </c>
      <c r="Q103">
        <f>SUMIF($B:$B,$N103,$G:$G)</f>
        <v>0</v>
      </c>
      <c r="R103">
        <f>SUMIF($B:$B,$N103,$I:$I)</f>
        <v>0</v>
      </c>
      <c r="S103">
        <f>COUNTIF($B:$B,$N103)</f>
        <v>127</v>
      </c>
      <c r="T103" s="5" t="s">
        <v>3</v>
      </c>
    </row>
    <row r="104" spans="1:20" x14ac:dyDescent="0.2">
      <c r="A104" s="4" t="s">
        <v>1</v>
      </c>
      <c r="B104" s="3" t="str">
        <f>HYPERLINK("https://otsuka-europe-crm.veevavault.com/ui/#object/approved_document__v/V5OZ025E82TFUPI", "Spain - HCP Survey Email - June 2025")</f>
        <v>Spain - HCP Survey Email - June 2025</v>
      </c>
      <c r="C104" s="3" t="str">
        <f>HYPERLINK("https://otsuka-europe-crm.veevavault.com/ui/#object/sent_email__v/VBLZ025E82GMTD8", "SE-000267156")</f>
        <v>SE-000267156</v>
      </c>
      <c r="D104" s="1" t="s">
        <v>0</v>
      </c>
      <c r="E104" s="2">
        <v>0</v>
      </c>
      <c r="F104" s="2">
        <v>0</v>
      </c>
      <c r="G104" s="2">
        <v>0</v>
      </c>
      <c r="H104" s="1" t="s">
        <v>0</v>
      </c>
      <c r="I104" s="2">
        <v>0</v>
      </c>
      <c r="J104" s="1">
        <v>45915.377835648149</v>
      </c>
      <c r="N104" t="str">
        <v>RXULTI - Reunión Madrid Hotel Príncipe Vergara 25 noviembre</v>
      </c>
      <c r="O104">
        <f>SUMIF($B:$B,$N104,$E:$E)</f>
        <v>37</v>
      </c>
      <c r="P104">
        <f>SUMIF($B:$B,$N104,$F:$F)</f>
        <v>72</v>
      </c>
      <c r="Q104">
        <f>SUMIF($B:$B,$N104,$G:$G)</f>
        <v>12</v>
      </c>
      <c r="R104">
        <f>SUMIF($B:$B,$N104,$I:$I)</f>
        <v>16</v>
      </c>
      <c r="S104">
        <f>COUNTIF($B:$B,$N104)</f>
        <v>62</v>
      </c>
      <c r="T104" s="5" t="s">
        <v>3</v>
      </c>
    </row>
    <row r="105" spans="1:20" x14ac:dyDescent="0.2">
      <c r="A105" s="4" t="s">
        <v>1</v>
      </c>
      <c r="B105" s="3" t="str">
        <f>HYPERLINK("https://otsuka-europe-crm.veevavault.com/ui/#object/approved_document__v/V5OZ025E82TFUPI", "Spain - HCP Survey Email - June 2025")</f>
        <v>Spain - HCP Survey Email - June 2025</v>
      </c>
      <c r="C105" s="3" t="str">
        <f>HYPERLINK("https://otsuka-europe-crm.veevavault.com/ui/#object/sent_email__v/VBLZ025E82GMTDA", "SE-000267158")</f>
        <v>SE-000267158</v>
      </c>
      <c r="D105" s="1">
        <v>45916.249965277777</v>
      </c>
      <c r="E105" s="2">
        <v>1</v>
      </c>
      <c r="F105" s="2">
        <v>1</v>
      </c>
      <c r="G105" s="2">
        <v>0</v>
      </c>
      <c r="H105" s="1" t="s">
        <v>0</v>
      </c>
      <c r="I105" s="2">
        <v>0</v>
      </c>
      <c r="J105" s="1">
        <v>45915.378576388888</v>
      </c>
      <c r="N105" t="str">
        <v>RXULTI - Vídeo Carmen Moreno - Retos y necesidades de la esquizofrenia infantojuvenil</v>
      </c>
      <c r="O105">
        <f>SUMIF($B:$B,$N105,$E:$E)</f>
        <v>1</v>
      </c>
      <c r="P105">
        <f>SUMIF($B:$B,$N105,$F:$F)</f>
        <v>1</v>
      </c>
      <c r="Q105">
        <f>SUMIF($B:$B,$N105,$G:$G)</f>
        <v>0</v>
      </c>
      <c r="R105">
        <f>SUMIF($B:$B,$N105,$I:$I)</f>
        <v>0</v>
      </c>
      <c r="S105">
        <f>COUNTIF($B:$B,$N105)</f>
        <v>3</v>
      </c>
      <c r="T105" s="5" t="s">
        <v>3</v>
      </c>
    </row>
    <row r="106" spans="1:20" x14ac:dyDescent="0.2">
      <c r="A106" s="4" t="s">
        <v>1</v>
      </c>
      <c r="B106" s="3" t="str">
        <f>HYPERLINK("https://otsuka-europe-crm.veevavault.com/ui/#object/approved_document__v/V5OZ025E82TFUPI", "Spain - HCP Survey Email - June 2025")</f>
        <v>Spain - HCP Survey Email - June 2025</v>
      </c>
      <c r="C106" s="3" t="str">
        <f>HYPERLINK("https://otsuka-europe-crm.veevavault.com/ui/#object/sent_email__v/VBLZ025E82GMTDB", "SE-000267159")</f>
        <v>SE-000267159</v>
      </c>
      <c r="D106" s="1" t="s">
        <v>0</v>
      </c>
      <c r="E106" s="2">
        <v>0</v>
      </c>
      <c r="F106" s="2">
        <v>0</v>
      </c>
      <c r="G106" s="2">
        <v>0</v>
      </c>
      <c r="H106" s="1" t="s">
        <v>0</v>
      </c>
      <c r="I106" s="2">
        <v>0</v>
      </c>
      <c r="J106" s="1">
        <v>45915.37940972222</v>
      </c>
      <c r="N106" t="str">
        <v>RXULTI - Vídeo Isabel Hernández - RXULTI, nueva alternativa para adolescentes con esquizofrenia</v>
      </c>
      <c r="O106">
        <f>SUMIF($B:$B,$N106,$E:$E)</f>
        <v>59</v>
      </c>
      <c r="P106">
        <f>SUMIF($B:$B,$N106,$F:$F)</f>
        <v>97</v>
      </c>
      <c r="Q106">
        <f>SUMIF($B:$B,$N106,$G:$G)</f>
        <v>2</v>
      </c>
      <c r="R106">
        <f>SUMIF($B:$B,$N106,$I:$I)</f>
        <v>2</v>
      </c>
      <c r="S106">
        <f>COUNTIF($B:$B,$N106)</f>
        <v>243</v>
      </c>
      <c r="T106" s="5" t="s">
        <v>3</v>
      </c>
    </row>
    <row r="107" spans="1:20" x14ac:dyDescent="0.2">
      <c r="A107" s="4" t="s">
        <v>1</v>
      </c>
      <c r="B107" s="3" t="str">
        <f>HYPERLINK("https://otsuka-europe-crm.veevavault.com/ui/#object/approved_document__v/V5OZ025E82TFUPI", "Spain - HCP Survey Email - June 2025")</f>
        <v>Spain - HCP Survey Email - June 2025</v>
      </c>
      <c r="C107" s="3" t="str">
        <f>HYPERLINK("https://otsuka-europe-crm.veevavault.com/ui/#object/sent_email__v/VBLZ025E82GMTDC", "SE-000267160")</f>
        <v>SE-000267160</v>
      </c>
      <c r="D107" s="1" t="s">
        <v>0</v>
      </c>
      <c r="E107" s="2">
        <v>0</v>
      </c>
      <c r="F107" s="2">
        <v>0</v>
      </c>
      <c r="G107" s="2">
        <v>0</v>
      </c>
      <c r="H107" s="1" t="s">
        <v>0</v>
      </c>
      <c r="I107" s="2">
        <v>0</v>
      </c>
      <c r="J107" s="1">
        <v>45915.377754629626</v>
      </c>
      <c r="N107" t="str">
        <v>RXULTI - Webinar 30 octubre Madrid lanzamiento indicación adolescente</v>
      </c>
      <c r="O107">
        <f>SUMIF($B:$B,$N107,$E:$E)</f>
        <v>5</v>
      </c>
      <c r="P107">
        <f>SUMIF($B:$B,$N107,$F:$F)</f>
        <v>8</v>
      </c>
      <c r="Q107">
        <f>SUMIF($B:$B,$N107,$G:$G)</f>
        <v>0</v>
      </c>
      <c r="R107">
        <f>SUMIF($B:$B,$N107,$I:$I)</f>
        <v>0</v>
      </c>
      <c r="S107">
        <f>COUNTIF($B:$B,$N107)</f>
        <v>11</v>
      </c>
      <c r="T107" s="5" t="s">
        <v>3</v>
      </c>
    </row>
    <row r="108" spans="1:20" x14ac:dyDescent="0.2">
      <c r="A108" s="4" t="s">
        <v>1</v>
      </c>
      <c r="B108" s="3" t="str">
        <f>HYPERLINK("https://otsuka-europe-crm.veevavault.com/ui/#object/approved_document__v/V5OZ025E82TFUPI", "Spain - HCP Survey Email - June 2025")</f>
        <v>Spain - HCP Survey Email - June 2025</v>
      </c>
      <c r="C108" s="3" t="str">
        <f>HYPERLINK("https://otsuka-europe-crm.veevavault.com/ui/#object/sent_email__v/VBLZ025E82GMX41", "SE-000267163")</f>
        <v>SE-000267163</v>
      </c>
      <c r="D108" s="1">
        <v>45915.397430555553</v>
      </c>
      <c r="E108" s="2">
        <v>1</v>
      </c>
      <c r="F108" s="2">
        <v>1</v>
      </c>
      <c r="G108" s="2">
        <v>0</v>
      </c>
      <c r="H108" s="1" t="s">
        <v>0</v>
      </c>
      <c r="I108" s="2">
        <v>0</v>
      </c>
      <c r="J108" s="1">
        <v>45915.378240740742</v>
      </c>
      <c r="N108" t="str">
        <v>RXULTI: Mecanismo de acción único</v>
      </c>
      <c r="O108">
        <f>SUMIF($B:$B,$N108,$E:$E)</f>
        <v>1</v>
      </c>
      <c r="P108">
        <f>SUMIF($B:$B,$N108,$F:$F)</f>
        <v>1</v>
      </c>
      <c r="Q108">
        <f>SUMIF($B:$B,$N108,$G:$G)</f>
        <v>0</v>
      </c>
      <c r="R108">
        <f>SUMIF($B:$B,$N108,$I:$I)</f>
        <v>0</v>
      </c>
      <c r="S108">
        <f>COUNTIF($B:$B,$N108)</f>
        <v>2</v>
      </c>
      <c r="T108" s="5" t="s">
        <v>3</v>
      </c>
    </row>
    <row r="109" spans="1:20" x14ac:dyDescent="0.2">
      <c r="A109" s="4" t="s">
        <v>1</v>
      </c>
      <c r="B109" s="3" t="str">
        <f>HYPERLINK("https://otsuka-europe-crm.veevavault.com/ui/#object/approved_document__v/V5OZ025E82TFUPI", "Spain - HCP Survey Email - June 2025")</f>
        <v>Spain - HCP Survey Email - June 2025</v>
      </c>
      <c r="C109" s="3" t="str">
        <f>HYPERLINK("https://otsuka-europe-crm.veevavault.com/ui/#object/sent_email__v/VBLZ025E82GMX42", "SE-000267164")</f>
        <v>SE-000267164</v>
      </c>
      <c r="D109" s="1">
        <v>45948.828888888886</v>
      </c>
      <c r="E109" s="2">
        <v>1</v>
      </c>
      <c r="F109" s="2">
        <v>3</v>
      </c>
      <c r="G109" s="2">
        <v>0</v>
      </c>
      <c r="H109" s="1" t="s">
        <v>0</v>
      </c>
      <c r="I109" s="2">
        <v>0</v>
      </c>
      <c r="J109" s="1">
        <v>45915.379016203704</v>
      </c>
      <c r="N109" t="str">
        <v>RXULTIP Dr. Crespo - RXULTI paciente privada</v>
      </c>
      <c r="O109">
        <f>SUMIF($B:$B,$N109,$E:$E)</f>
        <v>52</v>
      </c>
      <c r="P109">
        <f>SUMIF($B:$B,$N109,$F:$F)</f>
        <v>82</v>
      </c>
      <c r="Q109">
        <f>SUMIF($B:$B,$N109,$G:$G)</f>
        <v>5</v>
      </c>
      <c r="R109">
        <f>SUMIF($B:$B,$N109,$I:$I)</f>
        <v>7</v>
      </c>
      <c r="S109">
        <f>COUNTIF($B:$B,$N109)</f>
        <v>127</v>
      </c>
      <c r="T109" s="5" t="s">
        <v>3</v>
      </c>
    </row>
    <row r="110" spans="1:20" x14ac:dyDescent="0.2">
      <c r="A110" s="4" t="s">
        <v>1</v>
      </c>
      <c r="B110" s="3" t="str">
        <f>HYPERLINK("https://otsuka-europe-crm.veevavault.com/ui/#object/approved_document__v/V5OZ025E82TFUPI", "Spain - HCP Survey Email - June 2025")</f>
        <v>Spain - HCP Survey Email - June 2025</v>
      </c>
      <c r="C110" s="3" t="str">
        <f>HYPERLINK("https://otsuka-europe-crm.veevavault.com/ui/#object/sent_email__v/VBLZ025E82GMX43", "SE-000267165")</f>
        <v>SE-000267165</v>
      </c>
      <c r="D110" s="1" t="s">
        <v>0</v>
      </c>
      <c r="E110" s="2">
        <v>0</v>
      </c>
      <c r="F110" s="2">
        <v>0</v>
      </c>
      <c r="G110" s="2">
        <v>0</v>
      </c>
      <c r="H110" s="1" t="s">
        <v>0</v>
      </c>
      <c r="I110" s="2">
        <v>0</v>
      </c>
      <c r="J110" s="1">
        <v>45915.37871527778</v>
      </c>
      <c r="N110" t="str">
        <v>SEP 2025: invitación simposio Alianza</v>
      </c>
      <c r="O110">
        <f>SUMIF($B:$B,$N110,$E:$E)</f>
        <v>154</v>
      </c>
      <c r="P110">
        <f>SUMIF($B:$B,$N110,$F:$F)</f>
        <v>295</v>
      </c>
      <c r="Q110">
        <f>SUMIF($B:$B,$N110,$G:$G)</f>
        <v>23</v>
      </c>
      <c r="R110">
        <f>SUMIF($B:$B,$N110,$I:$I)</f>
        <v>32</v>
      </c>
      <c r="S110">
        <f>COUNTIF($B:$B,$N110)</f>
        <v>268</v>
      </c>
      <c r="T110" s="5" t="s">
        <v>2</v>
      </c>
    </row>
    <row r="111" spans="1:20" x14ac:dyDescent="0.2">
      <c r="A111" s="4" t="s">
        <v>1</v>
      </c>
      <c r="B111" s="3" t="str">
        <f>HYPERLINK("https://otsuka-europe-crm.veevavault.com/ui/#object/approved_document__v/V5OZ025E82TFUPI", "Spain - HCP Survey Email - June 2025")</f>
        <v>Spain - HCP Survey Email - June 2025</v>
      </c>
      <c r="C111" s="3" t="str">
        <f>HYPERLINK("https://otsuka-europe-crm.veevavault.com/ui/#object/sent_email__v/VBLZ025E82GMX44", "SE-000267166")</f>
        <v>SE-000267166</v>
      </c>
      <c r="D111" s="1" t="s">
        <v>0</v>
      </c>
      <c r="E111" s="2">
        <v>0</v>
      </c>
      <c r="F111" s="2">
        <v>0</v>
      </c>
      <c r="G111" s="2">
        <v>0</v>
      </c>
      <c r="H111" s="1" t="s">
        <v>0</v>
      </c>
      <c r="I111" s="2">
        <v>0</v>
      </c>
      <c r="J111" s="1">
        <v>45915.379479166666</v>
      </c>
      <c r="N111" t="str">
        <v>Spain - Consent Email 1 Aug 25</v>
      </c>
      <c r="O111">
        <f>SUMIF($B:$B,$N111,$E:$E)</f>
        <v>64</v>
      </c>
      <c r="P111">
        <f>SUMIF($B:$B,$N111,$F:$F)</f>
        <v>139</v>
      </c>
      <c r="Q111">
        <f>SUMIF($B:$B,$N111,$G:$G)</f>
        <v>55</v>
      </c>
      <c r="R111">
        <f>SUMIF($B:$B,$N111,$I:$I)</f>
        <v>84</v>
      </c>
      <c r="S111">
        <f>COUNTIF($B:$B,$N111)</f>
        <v>81</v>
      </c>
      <c r="T111" s="5" t="s">
        <v>2</v>
      </c>
    </row>
    <row r="112" spans="1:20" x14ac:dyDescent="0.2">
      <c r="A112" s="4" t="s">
        <v>1</v>
      </c>
      <c r="B112" s="3" t="str">
        <f>HYPERLINK("https://otsuka-europe-crm.veevavault.com/ui/#object/approved_document__v/V5OZ025E82TFUPI", "Spain - HCP Survey Email - June 2025")</f>
        <v>Spain - HCP Survey Email - June 2025</v>
      </c>
      <c r="C112" s="3" t="str">
        <f>HYPERLINK("https://otsuka-europe-crm.veevavault.com/ui/#object/sent_email__v/VBLZ025E82GMX45", "SE-000267167")</f>
        <v>SE-000267167</v>
      </c>
      <c r="D112" s="1">
        <v>45915.474351851852</v>
      </c>
      <c r="E112" s="2">
        <v>1</v>
      </c>
      <c r="F112" s="2">
        <v>1</v>
      </c>
      <c r="G112" s="2">
        <v>0</v>
      </c>
      <c r="H112" s="1" t="s">
        <v>0</v>
      </c>
      <c r="I112" s="2">
        <v>0</v>
      </c>
      <c r="J112" s="1">
        <v>45915.37771990741</v>
      </c>
      <c r="N112">
        <v>0</v>
      </c>
    </row>
    <row r="113" spans="1:10" x14ac:dyDescent="0.2">
      <c r="A113" s="4" t="s">
        <v>1</v>
      </c>
      <c r="B113" s="3" t="str">
        <f>HYPERLINK("https://otsuka-europe-crm.veevavault.com/ui/#object/approved_document__v/V5OZ025E82TFUPI", "Spain - HCP Survey Email - June 2025")</f>
        <v>Spain - HCP Survey Email - June 2025</v>
      </c>
      <c r="C113" s="3" t="str">
        <f>HYPERLINK("https://otsuka-europe-crm.veevavault.com/ui/#object/sent_email__v/VBLZ025E82GMX46", "SE-000267168")</f>
        <v>SE-000267168</v>
      </c>
      <c r="D113" s="1">
        <v>45915.477719907409</v>
      </c>
      <c r="E113" s="2">
        <v>1</v>
      </c>
      <c r="F113" s="2">
        <v>1</v>
      </c>
      <c r="G113" s="2">
        <v>0</v>
      </c>
      <c r="H113" s="1" t="s">
        <v>0</v>
      </c>
      <c r="I113" s="2">
        <v>0</v>
      </c>
      <c r="J113" s="1">
        <v>45915.378483796296</v>
      </c>
    </row>
    <row r="114" spans="1:10" x14ac:dyDescent="0.2">
      <c r="A114" s="4" t="s">
        <v>1</v>
      </c>
      <c r="B114" s="3" t="str">
        <f>HYPERLINK("https://otsuka-europe-crm.veevavault.com/ui/#object/approved_document__v/V5OZ025E82TFUPI", "Spain - HCP Survey Email - June 2025")</f>
        <v>Spain - HCP Survey Email - June 2025</v>
      </c>
      <c r="C114" s="3" t="str">
        <f>HYPERLINK("https://otsuka-europe-crm.veevavault.com/ui/#object/sent_email__v/VBLZ025E82GMX47", "SE-000267169")</f>
        <v>SE-000267169</v>
      </c>
      <c r="D114" s="1">
        <v>45915.969675925924</v>
      </c>
      <c r="E114" s="2">
        <v>1</v>
      </c>
      <c r="F114" s="2">
        <v>4</v>
      </c>
      <c r="G114" s="2">
        <v>1</v>
      </c>
      <c r="H114" s="1">
        <v>45915.379293981481</v>
      </c>
      <c r="I114" s="2">
        <v>1</v>
      </c>
      <c r="J114" s="1">
        <v>45915.377916666665</v>
      </c>
    </row>
    <row r="115" spans="1:10" x14ac:dyDescent="0.2">
      <c r="A115" s="4" t="s">
        <v>1</v>
      </c>
      <c r="B115" s="3" t="str">
        <f>HYPERLINK("https://otsuka-europe-crm.veevavault.com/ui/#object/approved_document__v/V5OZ025E82TFUPI", "Spain - HCP Survey Email - June 2025")</f>
        <v>Spain - HCP Survey Email - June 2025</v>
      </c>
      <c r="C115" s="3" t="str">
        <f>HYPERLINK("https://otsuka-europe-crm.veevavault.com/ui/#object/sent_email__v/VBLZ025E82GMX48", "SE-000267170")</f>
        <v>SE-000267170</v>
      </c>
      <c r="D115" s="1">
        <v>45916.643761574072</v>
      </c>
      <c r="E115" s="2">
        <v>1</v>
      </c>
      <c r="F115" s="2">
        <v>1</v>
      </c>
      <c r="G115" s="2">
        <v>1</v>
      </c>
      <c r="H115" s="1">
        <v>45916.643946759257</v>
      </c>
      <c r="I115" s="2">
        <v>1</v>
      </c>
      <c r="J115" s="1">
        <v>45915.37877314815</v>
      </c>
    </row>
    <row r="116" spans="1:10" x14ac:dyDescent="0.2">
      <c r="A116" s="4" t="s">
        <v>1</v>
      </c>
      <c r="B116" s="3" t="str">
        <f>HYPERLINK("https://otsuka-europe-crm.veevavault.com/ui/#object/approved_document__v/V5OZ025E82TFUPI", "Spain - HCP Survey Email - June 2025")</f>
        <v>Spain - HCP Survey Email - June 2025</v>
      </c>
      <c r="C116" s="3" t="str">
        <f>HYPERLINK("https://otsuka-europe-crm.veevavault.com/ui/#object/sent_email__v/VBLZ025E82GMX49", "SE-000267171")</f>
        <v>SE-000267171</v>
      </c>
      <c r="D116" s="1" t="s">
        <v>0</v>
      </c>
      <c r="E116" s="2">
        <v>0</v>
      </c>
      <c r="F116" s="2">
        <v>0</v>
      </c>
      <c r="G116" s="2">
        <v>0</v>
      </c>
      <c r="H116" s="1" t="s">
        <v>0</v>
      </c>
      <c r="I116" s="2">
        <v>0</v>
      </c>
      <c r="J116" s="1">
        <v>45915.379548611112</v>
      </c>
    </row>
    <row r="117" spans="1:10" x14ac:dyDescent="0.2">
      <c r="A117" s="4" t="s">
        <v>1</v>
      </c>
      <c r="B117" s="3" t="str">
        <f>HYPERLINK("https://otsuka-europe-crm.veevavault.com/ui/#object/approved_document__v/V5OZ025E82TFUPI", "Spain - HCP Survey Email - June 2025")</f>
        <v>Spain - HCP Survey Email - June 2025</v>
      </c>
      <c r="C117" s="3" t="str">
        <f>HYPERLINK("https://otsuka-europe-crm.veevavault.com/ui/#object/sent_email__v/VBLZ025E82GMX4A", "SE-000267172")</f>
        <v>SE-000267172</v>
      </c>
      <c r="D117" s="1">
        <v>45915.388657407406</v>
      </c>
      <c r="E117" s="2">
        <v>1</v>
      </c>
      <c r="F117" s="2">
        <v>1</v>
      </c>
      <c r="G117" s="2">
        <v>1</v>
      </c>
      <c r="H117" s="1">
        <v>45915.388715277775</v>
      </c>
      <c r="I117" s="2">
        <v>1</v>
      </c>
      <c r="J117" s="1">
        <v>45915.377835648149</v>
      </c>
    </row>
    <row r="118" spans="1:10" x14ac:dyDescent="0.2">
      <c r="A118" s="4" t="s">
        <v>1</v>
      </c>
      <c r="B118" s="3" t="str">
        <f>HYPERLINK("https://otsuka-europe-crm.veevavault.com/ui/#object/approved_document__v/V5OZ025E82TFUPI", "Spain - HCP Survey Email - June 2025")</f>
        <v>Spain - HCP Survey Email - June 2025</v>
      </c>
      <c r="C118" s="3" t="str">
        <f>HYPERLINK("https://otsuka-europe-crm.veevavault.com/ui/#object/sent_email__v/VBLZ025E82GMX4B", "SE-000267173")</f>
        <v>SE-000267173</v>
      </c>
      <c r="D118" s="1" t="s">
        <v>0</v>
      </c>
      <c r="E118" s="2">
        <v>0</v>
      </c>
      <c r="F118" s="2">
        <v>0</v>
      </c>
      <c r="G118" s="2">
        <v>0</v>
      </c>
      <c r="H118" s="1" t="s">
        <v>0</v>
      </c>
      <c r="I118" s="2">
        <v>0</v>
      </c>
      <c r="J118" s="1">
        <v>45915.377581018518</v>
      </c>
    </row>
    <row r="119" spans="1:10" x14ac:dyDescent="0.2">
      <c r="A119" s="4" t="s">
        <v>1</v>
      </c>
      <c r="B119" s="3" t="str">
        <f>HYPERLINK("https://otsuka-europe-crm.veevavault.com/ui/#object/approved_document__v/V5OZ025E82TFUPI", "Spain - HCP Survey Email - June 2025")</f>
        <v>Spain - HCP Survey Email - June 2025</v>
      </c>
      <c r="C119" s="3" t="str">
        <f>HYPERLINK("https://otsuka-europe-crm.veevavault.com/ui/#object/sent_email__v/VBLZ025E82GMX4C", "SE-000267174")</f>
        <v>SE-000267174</v>
      </c>
      <c r="D119" s="1">
        <v>45915.722129629627</v>
      </c>
      <c r="E119" s="2">
        <v>1</v>
      </c>
      <c r="F119" s="2">
        <v>1</v>
      </c>
      <c r="G119" s="2">
        <v>0</v>
      </c>
      <c r="H119" s="1" t="s">
        <v>0</v>
      </c>
      <c r="I119" s="2">
        <v>0</v>
      </c>
      <c r="J119" s="1">
        <v>45915.377893518518</v>
      </c>
    </row>
    <row r="120" spans="1:10" x14ac:dyDescent="0.2">
      <c r="A120" s="4" t="s">
        <v>1</v>
      </c>
      <c r="B120" s="3" t="str">
        <f>HYPERLINK("https://otsuka-europe-crm.veevavault.com/ui/#object/approved_document__v/V5OZ025E82TFUPI", "Spain - HCP Survey Email - June 2025")</f>
        <v>Spain - HCP Survey Email - June 2025</v>
      </c>
      <c r="C120" s="3" t="str">
        <f>HYPERLINK("https://otsuka-europe-crm.veevavault.com/ui/#object/sent_email__v/VBLZ025E82GMX4D", "SE-000267175")</f>
        <v>SE-000267175</v>
      </c>
      <c r="D120" s="1" t="s">
        <v>0</v>
      </c>
      <c r="E120" s="2">
        <v>0</v>
      </c>
      <c r="F120" s="2">
        <v>0</v>
      </c>
      <c r="G120" s="2">
        <v>0</v>
      </c>
      <c r="H120" s="1" t="s">
        <v>0</v>
      </c>
      <c r="I120" s="2">
        <v>0</v>
      </c>
      <c r="J120" s="1">
        <v>45915.378645833334</v>
      </c>
    </row>
    <row r="121" spans="1:10" x14ac:dyDescent="0.2">
      <c r="A121" s="4" t="s">
        <v>1</v>
      </c>
      <c r="B121" s="3" t="str">
        <f>HYPERLINK("https://otsuka-europe-crm.veevavault.com/ui/#object/approved_document__v/V5OZ025E82TFUPI", "Spain - HCP Survey Email - June 2025")</f>
        <v>Spain - HCP Survey Email - June 2025</v>
      </c>
      <c r="C121" s="3" t="str">
        <f>HYPERLINK("https://otsuka-europe-crm.veevavault.com/ui/#object/sent_email__v/VBLZ025E82GMX4E", "SE-000267176")</f>
        <v>SE-000267176</v>
      </c>
      <c r="D121" s="1">
        <v>45915.730694444443</v>
      </c>
      <c r="E121" s="2">
        <v>1</v>
      </c>
      <c r="F121" s="2">
        <v>2</v>
      </c>
      <c r="G121" s="2">
        <v>1</v>
      </c>
      <c r="H121" s="1">
        <v>45915.730983796297</v>
      </c>
      <c r="I121" s="2">
        <v>1</v>
      </c>
      <c r="J121" s="1">
        <v>45915.379652777781</v>
      </c>
    </row>
    <row r="122" spans="1:10" x14ac:dyDescent="0.2">
      <c r="A122" s="4" t="s">
        <v>1</v>
      </c>
      <c r="B122" s="3" t="str">
        <f>HYPERLINK("https://otsuka-europe-crm.veevavault.com/ui/#object/approved_document__v/V5OZ025E82TFUPI", "Spain - HCP Survey Email - June 2025")</f>
        <v>Spain - HCP Survey Email - June 2025</v>
      </c>
      <c r="C122" s="3" t="str">
        <f>HYPERLINK("https://otsuka-europe-crm.veevavault.com/ui/#object/sent_email__v/VBLZ025E82GMX4F", "SE-000267177")</f>
        <v>SE-000267177</v>
      </c>
      <c r="D122" s="1">
        <v>45915.386446759258</v>
      </c>
      <c r="E122" s="2">
        <v>1</v>
      </c>
      <c r="F122" s="2">
        <v>1</v>
      </c>
      <c r="G122" s="2">
        <v>0</v>
      </c>
      <c r="H122" s="1" t="s">
        <v>0</v>
      </c>
      <c r="I122" s="2">
        <v>0</v>
      </c>
      <c r="J122" s="1">
        <v>45915.377800925926</v>
      </c>
    </row>
    <row r="123" spans="1:10" x14ac:dyDescent="0.2">
      <c r="A123" s="4" t="s">
        <v>1</v>
      </c>
      <c r="B123" s="3" t="str">
        <f>HYPERLINK("https://otsuka-europe-crm.veevavault.com/ui/#object/approved_document__v/V5OZ025E82TFUPI", "Spain - HCP Survey Email - June 2025")</f>
        <v>Spain - HCP Survey Email - June 2025</v>
      </c>
      <c r="C123" s="3" t="str">
        <f>HYPERLINK("https://otsuka-europe-crm.veevavault.com/ui/#object/sent_email__v/VBLZ025E82GMX4G", "SE-000267178")</f>
        <v>SE-000267178</v>
      </c>
      <c r="D123" s="1" t="s">
        <v>0</v>
      </c>
      <c r="E123" s="2">
        <v>0</v>
      </c>
      <c r="F123" s="2">
        <v>0</v>
      </c>
      <c r="G123" s="2">
        <v>0</v>
      </c>
      <c r="H123" s="1" t="s">
        <v>0</v>
      </c>
      <c r="I123" s="2">
        <v>0</v>
      </c>
      <c r="J123" s="1">
        <v>45915.377627314818</v>
      </c>
    </row>
    <row r="124" spans="1:10" x14ac:dyDescent="0.2">
      <c r="A124" s="4" t="s">
        <v>1</v>
      </c>
      <c r="B124" s="3" t="str">
        <f>HYPERLINK("https://otsuka-europe-crm.veevavault.com/ui/#object/approved_document__v/V5OZ025E82TFUPI", "Spain - HCP Survey Email - June 2025")</f>
        <v>Spain - HCP Survey Email - June 2025</v>
      </c>
      <c r="C124" s="3" t="str">
        <f>HYPERLINK("https://otsuka-europe-crm.veevavault.com/ui/#object/sent_email__v/VBLZ025E82GMX4H", "SE-000267179")</f>
        <v>SE-000267179</v>
      </c>
      <c r="D124" s="1">
        <v>45915.477777777778</v>
      </c>
      <c r="E124" s="2">
        <v>1</v>
      </c>
      <c r="F124" s="2">
        <v>1</v>
      </c>
      <c r="G124" s="2">
        <v>0</v>
      </c>
      <c r="H124" s="1" t="s">
        <v>0</v>
      </c>
      <c r="I124" s="2">
        <v>0</v>
      </c>
      <c r="J124" s="1">
        <v>45915.378310185188</v>
      </c>
    </row>
    <row r="125" spans="1:10" x14ac:dyDescent="0.2">
      <c r="A125" s="4" t="s">
        <v>1</v>
      </c>
      <c r="B125" s="3" t="str">
        <f>HYPERLINK("https://otsuka-europe-crm.veevavault.com/ui/#object/approved_document__v/V5OZ025E82TFUPI", "Spain - HCP Survey Email - June 2025")</f>
        <v>Spain - HCP Survey Email - June 2025</v>
      </c>
      <c r="C125" s="3" t="str">
        <f>HYPERLINK("https://otsuka-europe-crm.veevavault.com/ui/#object/sent_email__v/VBLZ025E82GMX4I", "SE-000267180")</f>
        <v>SE-000267180</v>
      </c>
      <c r="D125" s="1">
        <v>45915.453009259261</v>
      </c>
      <c r="E125" s="2">
        <v>1</v>
      </c>
      <c r="F125" s="2">
        <v>1</v>
      </c>
      <c r="G125" s="2">
        <v>0</v>
      </c>
      <c r="H125" s="1" t="s">
        <v>0</v>
      </c>
      <c r="I125" s="2">
        <v>0</v>
      </c>
      <c r="J125" s="1">
        <v>45915.379050925927</v>
      </c>
    </row>
    <row r="126" spans="1:10" x14ac:dyDescent="0.2">
      <c r="A126" s="4" t="s">
        <v>1</v>
      </c>
      <c r="B126" s="3" t="str">
        <f>HYPERLINK("https://otsuka-europe-crm.veevavault.com/ui/#object/approved_document__v/V5OZ025E82TFUPI", "Spain - HCP Survey Email - June 2025")</f>
        <v>Spain - HCP Survey Email - June 2025</v>
      </c>
      <c r="C126" s="3" t="str">
        <f>HYPERLINK("https://otsuka-europe-crm.veevavault.com/ui/#object/sent_email__v/VBLZ025E82GMX4J", "SE-000267181")</f>
        <v>SE-000267181</v>
      </c>
      <c r="D126" s="1">
        <v>45915.631145833337</v>
      </c>
      <c r="E126" s="2">
        <v>1</v>
      </c>
      <c r="F126" s="2">
        <v>1</v>
      </c>
      <c r="G126" s="2">
        <v>1</v>
      </c>
      <c r="H126" s="1">
        <v>45915.631273148145</v>
      </c>
      <c r="I126" s="2">
        <v>1</v>
      </c>
      <c r="J126" s="1">
        <v>45915.378703703704</v>
      </c>
    </row>
    <row r="127" spans="1:10" x14ac:dyDescent="0.2">
      <c r="A127" s="4" t="s">
        <v>1</v>
      </c>
      <c r="B127" s="3" t="str">
        <f>HYPERLINK("https://otsuka-europe-crm.veevavault.com/ui/#object/approved_document__v/V5OZ025E82TFUPI", "Spain - HCP Survey Email - June 2025")</f>
        <v>Spain - HCP Survey Email - June 2025</v>
      </c>
      <c r="C127" s="3" t="str">
        <f>HYPERLINK("https://otsuka-europe-crm.veevavault.com/ui/#object/sent_email__v/VBLZ025E82GMX4K", "SE-000267182")</f>
        <v>SE-000267182</v>
      </c>
      <c r="D127" s="1" t="s">
        <v>0</v>
      </c>
      <c r="E127" s="2">
        <v>0</v>
      </c>
      <c r="F127" s="2">
        <v>0</v>
      </c>
      <c r="G127" s="2">
        <v>0</v>
      </c>
      <c r="H127" s="1" t="s">
        <v>0</v>
      </c>
      <c r="I127" s="2">
        <v>0</v>
      </c>
      <c r="J127" s="1">
        <v>45915.379444444443</v>
      </c>
    </row>
    <row r="128" spans="1:10" x14ac:dyDescent="0.2">
      <c r="A128" s="4" t="s">
        <v>1</v>
      </c>
      <c r="B128" s="3" t="str">
        <f>HYPERLINK("https://otsuka-europe-crm.veevavault.com/ui/#object/approved_document__v/V5OZ025E82TFUPI", "Spain - HCP Survey Email - June 2025")</f>
        <v>Spain - HCP Survey Email - June 2025</v>
      </c>
      <c r="C128" s="3" t="str">
        <f>HYPERLINK("https://otsuka-europe-crm.veevavault.com/ui/#object/sent_email__v/VBLZ025E82GMX4L", "SE-000267183")</f>
        <v>SE-000267183</v>
      </c>
      <c r="D128" s="1" t="s">
        <v>0</v>
      </c>
      <c r="E128" s="2">
        <v>0</v>
      </c>
      <c r="F128" s="2">
        <v>0</v>
      </c>
      <c r="G128" s="2">
        <v>0</v>
      </c>
      <c r="H128" s="1" t="s">
        <v>0</v>
      </c>
      <c r="I128" s="2">
        <v>0</v>
      </c>
      <c r="J128" s="1">
        <v>45915.377662037034</v>
      </c>
    </row>
    <row r="129" spans="1:10" x14ac:dyDescent="0.2">
      <c r="A129" s="4" t="s">
        <v>1</v>
      </c>
      <c r="B129" s="3" t="str">
        <f>HYPERLINK("https://otsuka-europe-crm.veevavault.com/ui/#object/approved_document__v/V5OZ025E82TFUPI", "Spain - HCP Survey Email - June 2025")</f>
        <v>Spain - HCP Survey Email - June 2025</v>
      </c>
      <c r="C129" s="3" t="str">
        <f>HYPERLINK("https://otsuka-europe-crm.veevavault.com/ui/#object/sent_email__v/VBLZ025E82GMX4M", "SE-000267184")</f>
        <v>SE-000267184</v>
      </c>
      <c r="D129" s="1">
        <v>45915.906099537038</v>
      </c>
      <c r="E129" s="2">
        <v>1</v>
      </c>
      <c r="F129" s="2">
        <v>1</v>
      </c>
      <c r="G129" s="2">
        <v>1</v>
      </c>
      <c r="H129" s="1">
        <v>45915.906273148146</v>
      </c>
      <c r="I129" s="2">
        <v>1</v>
      </c>
      <c r="J129" s="1">
        <v>45915.378344907411</v>
      </c>
    </row>
    <row r="130" spans="1:10" x14ac:dyDescent="0.2">
      <c r="A130" s="4" t="s">
        <v>1</v>
      </c>
      <c r="B130" s="3" t="str">
        <f>HYPERLINK("https://otsuka-europe-crm.veevavault.com/ui/#object/approved_document__v/V5OZ025E82TFUPI", "Spain - HCP Survey Email - June 2025")</f>
        <v>Spain - HCP Survey Email - June 2025</v>
      </c>
      <c r="C130" s="3" t="str">
        <f>HYPERLINK("https://otsuka-europe-crm.veevavault.com/ui/#object/sent_email__v/VBLZ025E82GMX4N", "SE-000267185")</f>
        <v>SE-000267185</v>
      </c>
      <c r="D130" s="1">
        <v>45915.789722222224</v>
      </c>
      <c r="E130" s="2">
        <v>1</v>
      </c>
      <c r="F130" s="2">
        <v>1</v>
      </c>
      <c r="G130" s="2">
        <v>0</v>
      </c>
      <c r="H130" s="1" t="s">
        <v>0</v>
      </c>
      <c r="I130" s="2">
        <v>0</v>
      </c>
      <c r="J130" s="1">
        <v>45915.377916666665</v>
      </c>
    </row>
    <row r="131" spans="1:10" x14ac:dyDescent="0.2">
      <c r="A131" s="4" t="s">
        <v>1</v>
      </c>
      <c r="B131" s="3" t="str">
        <f>HYPERLINK("https://otsuka-europe-crm.veevavault.com/ui/#object/approved_document__v/V5OZ025E82TFUPI", "Spain - HCP Survey Email - June 2025")</f>
        <v>Spain - HCP Survey Email - June 2025</v>
      </c>
      <c r="C131" s="3" t="str">
        <f>HYPERLINK("https://otsuka-europe-crm.veevavault.com/ui/#object/sent_email__v/VBLZ025E82GMX4O", "SE-000267186")</f>
        <v>SE-000267186</v>
      </c>
      <c r="D131" s="1" t="s">
        <v>0</v>
      </c>
      <c r="E131" s="2">
        <v>0</v>
      </c>
      <c r="F131" s="2">
        <v>0</v>
      </c>
      <c r="G131" s="2">
        <v>0</v>
      </c>
      <c r="H131" s="1" t="s">
        <v>0</v>
      </c>
      <c r="I131" s="2">
        <v>0</v>
      </c>
      <c r="J131" s="1">
        <v>45915.378738425927</v>
      </c>
    </row>
    <row r="132" spans="1:10" x14ac:dyDescent="0.2">
      <c r="A132" s="4" t="s">
        <v>1</v>
      </c>
      <c r="B132" s="3" t="str">
        <f>HYPERLINK("https://otsuka-europe-crm.veevavault.com/ui/#object/approved_document__v/V5OZ025E82TFUPI", "Spain - HCP Survey Email - June 2025")</f>
        <v>Spain - HCP Survey Email - June 2025</v>
      </c>
      <c r="C132" s="3" t="str">
        <f>HYPERLINK("https://otsuka-europe-crm.veevavault.com/ui/#object/sent_email__v/VBLZ025E82GMX4P", "SE-000267187")</f>
        <v>SE-000267187</v>
      </c>
      <c r="D132" s="1">
        <v>45915.433263888888</v>
      </c>
      <c r="E132" s="2">
        <v>1</v>
      </c>
      <c r="F132" s="2">
        <v>1</v>
      </c>
      <c r="G132" s="2">
        <v>1</v>
      </c>
      <c r="H132" s="1">
        <v>45915.433483796296</v>
      </c>
      <c r="I132" s="2">
        <v>2</v>
      </c>
      <c r="J132" s="1">
        <v>45915.379548611112</v>
      </c>
    </row>
    <row r="133" spans="1:10" x14ac:dyDescent="0.2">
      <c r="A133" s="4" t="s">
        <v>1</v>
      </c>
      <c r="B133" s="3" t="str">
        <f>HYPERLINK("https://otsuka-europe-crm.veevavault.com/ui/#object/approved_document__v/V5OZ025E82TFUPI", "Spain - HCP Survey Email - June 2025")</f>
        <v>Spain - HCP Survey Email - June 2025</v>
      </c>
      <c r="C133" s="3" t="str">
        <f>HYPERLINK("https://otsuka-europe-crm.veevavault.com/ui/#object/sent_email__v/VBLZ025E82GMX4Q", "SE-000267188")</f>
        <v>SE-000267188</v>
      </c>
      <c r="D133" s="1">
        <v>45915.912511574075</v>
      </c>
      <c r="E133" s="2">
        <v>1</v>
      </c>
      <c r="F133" s="2">
        <v>1</v>
      </c>
      <c r="G133" s="2">
        <v>0</v>
      </c>
      <c r="H133" s="1" t="s">
        <v>0</v>
      </c>
      <c r="I133" s="2">
        <v>0</v>
      </c>
      <c r="J133" s="1">
        <v>45915.379178240742</v>
      </c>
    </row>
    <row r="134" spans="1:10" x14ac:dyDescent="0.2">
      <c r="A134" s="4" t="s">
        <v>1</v>
      </c>
      <c r="B134" s="3" t="str">
        <f>HYPERLINK("https://otsuka-europe-crm.veevavault.com/ui/#object/approved_document__v/V5OZ025E82TFUPI", "Spain - HCP Survey Email - June 2025")</f>
        <v>Spain - HCP Survey Email - June 2025</v>
      </c>
      <c r="C134" s="3" t="str">
        <f>HYPERLINK("https://otsuka-europe-crm.veevavault.com/ui/#object/sent_email__v/VBLZ025E82GMX4R", "SE-000267189")</f>
        <v>SE-000267189</v>
      </c>
      <c r="D134" s="1">
        <v>45915.378240740742</v>
      </c>
      <c r="E134" s="2">
        <v>1</v>
      </c>
      <c r="F134" s="2">
        <v>1</v>
      </c>
      <c r="G134" s="2">
        <v>0</v>
      </c>
      <c r="H134" s="1" t="s">
        <v>0</v>
      </c>
      <c r="I134" s="2">
        <v>0</v>
      </c>
      <c r="J134" s="1">
        <v>45915.377685185187</v>
      </c>
    </row>
    <row r="135" spans="1:10" x14ac:dyDescent="0.2">
      <c r="A135" s="4" t="s">
        <v>1</v>
      </c>
      <c r="B135" s="3" t="str">
        <f>HYPERLINK("https://otsuka-europe-crm.veevavault.com/ui/#object/approved_document__v/V5OZ025E82TFUPI", "Spain - HCP Survey Email - June 2025")</f>
        <v>Spain - HCP Survey Email - June 2025</v>
      </c>
      <c r="C135" s="3" t="str">
        <f>HYPERLINK("https://otsuka-europe-crm.veevavault.com/ui/#object/sent_email__v/VBLZ025E82GMX4S", "SE-000267190")</f>
        <v>SE-000267190</v>
      </c>
      <c r="D135" s="1" t="s">
        <v>0</v>
      </c>
      <c r="E135" s="2">
        <v>0</v>
      </c>
      <c r="F135" s="2">
        <v>0</v>
      </c>
      <c r="G135" s="2">
        <v>0</v>
      </c>
      <c r="H135" s="1" t="s">
        <v>0</v>
      </c>
      <c r="I135" s="2">
        <v>0</v>
      </c>
      <c r="J135" s="1">
        <v>45915.37835648148</v>
      </c>
    </row>
    <row r="136" spans="1:10" x14ac:dyDescent="0.2">
      <c r="A136" s="4" t="s">
        <v>1</v>
      </c>
      <c r="B136" s="3" t="str">
        <f>HYPERLINK("https://otsuka-europe-crm.veevavault.com/ui/#object/approved_document__v/V5OZ025E82TFUPI", "Spain - HCP Survey Email - June 2025")</f>
        <v>Spain - HCP Survey Email - June 2025</v>
      </c>
      <c r="C136" s="3" t="str">
        <f>HYPERLINK("https://otsuka-europe-crm.veevavault.com/ui/#object/sent_email__v/VBLZ025E82GMX4T", "SE-000267191")</f>
        <v>SE-000267191</v>
      </c>
      <c r="D136" s="1">
        <v>45915.599120370367</v>
      </c>
      <c r="E136" s="2">
        <v>1</v>
      </c>
      <c r="F136" s="2">
        <v>1</v>
      </c>
      <c r="G136" s="2">
        <v>1</v>
      </c>
      <c r="H136" s="1">
        <v>45915.599479166667</v>
      </c>
      <c r="I136" s="2">
        <v>1</v>
      </c>
      <c r="J136" s="1">
        <v>45915.378958333335</v>
      </c>
    </row>
    <row r="137" spans="1:10" x14ac:dyDescent="0.2">
      <c r="A137" s="4" t="s">
        <v>1</v>
      </c>
      <c r="B137" s="3" t="str">
        <f>HYPERLINK("https://otsuka-europe-crm.veevavault.com/ui/#object/approved_document__v/V5OZ025E82TFUPI", "Spain - HCP Survey Email - June 2025")</f>
        <v>Spain - HCP Survey Email - June 2025</v>
      </c>
      <c r="C137" s="3" t="str">
        <f>HYPERLINK("https://otsuka-europe-crm.veevavault.com/ui/#object/sent_email__v/VBLZ025E82GMX4V", "SE-000267193")</f>
        <v>SE-000267193</v>
      </c>
      <c r="D137" s="1">
        <v>45915.886412037034</v>
      </c>
      <c r="E137" s="2">
        <v>1</v>
      </c>
      <c r="F137" s="2">
        <v>1</v>
      </c>
      <c r="G137" s="2">
        <v>0</v>
      </c>
      <c r="H137" s="1" t="s">
        <v>0</v>
      </c>
      <c r="I137" s="2">
        <v>0</v>
      </c>
      <c r="J137" s="1">
        <v>45915.37940972222</v>
      </c>
    </row>
    <row r="138" spans="1:10" x14ac:dyDescent="0.2">
      <c r="A138" s="4" t="s">
        <v>1</v>
      </c>
      <c r="B138" s="3" t="str">
        <f>HYPERLINK("https://otsuka-europe-crm.veevavault.com/ui/#object/approved_document__v/V5OZ025E82TFUPI", "Spain - HCP Survey Email - June 2025")</f>
        <v>Spain - HCP Survey Email - June 2025</v>
      </c>
      <c r="C138" s="3" t="str">
        <f>HYPERLINK("https://otsuka-europe-crm.veevavault.com/ui/#object/sent_email__v/VBLZ025E82GMX4W", "SE-000267194")</f>
        <v>SE-000267194</v>
      </c>
      <c r="D138" s="1" t="s">
        <v>0</v>
      </c>
      <c r="E138" s="2">
        <v>0</v>
      </c>
      <c r="F138" s="2">
        <v>0</v>
      </c>
      <c r="G138" s="2">
        <v>0</v>
      </c>
      <c r="H138" s="1" t="s">
        <v>0</v>
      </c>
      <c r="I138" s="2">
        <v>0</v>
      </c>
      <c r="J138" s="1">
        <v>45915.377662037034</v>
      </c>
    </row>
    <row r="139" spans="1:10" x14ac:dyDescent="0.2">
      <c r="A139" s="4" t="s">
        <v>1</v>
      </c>
      <c r="B139" s="3" t="str">
        <f>HYPERLINK("https://otsuka-europe-crm.veevavault.com/ui/#object/approved_document__v/V5OZ025E82TFUPI", "Spain - HCP Survey Email - June 2025")</f>
        <v>Spain - HCP Survey Email - June 2025</v>
      </c>
      <c r="C139" s="3" t="str">
        <f>HYPERLINK("https://otsuka-europe-crm.veevavault.com/ui/#object/sent_email__v/VBLZ025E82GMX4X", "SE-000267195")</f>
        <v>SE-000267195</v>
      </c>
      <c r="D139" s="1" t="s">
        <v>0</v>
      </c>
      <c r="E139" s="2">
        <v>0</v>
      </c>
      <c r="F139" s="2">
        <v>0</v>
      </c>
      <c r="G139" s="2">
        <v>0</v>
      </c>
      <c r="H139" s="1" t="s">
        <v>0</v>
      </c>
      <c r="I139" s="2">
        <v>0</v>
      </c>
      <c r="J139" s="1">
        <v>45915.37840277778</v>
      </c>
    </row>
    <row r="140" spans="1:10" x14ac:dyDescent="0.2">
      <c r="A140" s="4" t="s">
        <v>1</v>
      </c>
      <c r="B140" s="3" t="str">
        <f>HYPERLINK("https://otsuka-europe-crm.veevavault.com/ui/#object/approved_document__v/V5OZ025E82TFUPI", "Spain - HCP Survey Email - June 2025")</f>
        <v>Spain - HCP Survey Email - June 2025</v>
      </c>
      <c r="C140" s="3" t="str">
        <f>HYPERLINK("https://otsuka-europe-crm.veevavault.com/ui/#object/sent_email__v/VBLZ025E82GMX4Y", "SE-000267196")</f>
        <v>SE-000267196</v>
      </c>
      <c r="D140" s="1">
        <v>45915.508819444447</v>
      </c>
      <c r="E140" s="2">
        <v>1</v>
      </c>
      <c r="F140" s="2">
        <v>1</v>
      </c>
      <c r="G140" s="2">
        <v>1</v>
      </c>
      <c r="H140" s="1">
        <v>45915.508912037039</v>
      </c>
      <c r="I140" s="2">
        <v>1</v>
      </c>
      <c r="J140" s="1">
        <v>45915.377905092595</v>
      </c>
    </row>
    <row r="141" spans="1:10" x14ac:dyDescent="0.2">
      <c r="A141" s="4" t="s">
        <v>1</v>
      </c>
      <c r="B141" s="3" t="str">
        <f>HYPERLINK("https://otsuka-europe-crm.veevavault.com/ui/#object/approved_document__v/V5OZ025E82TFUPI", "Spain - HCP Survey Email - June 2025")</f>
        <v>Spain - HCP Survey Email - June 2025</v>
      </c>
      <c r="C141" s="3" t="str">
        <f>HYPERLINK("https://otsuka-europe-crm.veevavault.com/ui/#object/sent_email__v/VBLZ025E82GMX4Z", "SE-000267197")</f>
        <v>SE-000267197</v>
      </c>
      <c r="D141" s="1" t="s">
        <v>0</v>
      </c>
      <c r="E141" s="2">
        <v>0</v>
      </c>
      <c r="F141" s="2">
        <v>0</v>
      </c>
      <c r="G141" s="2">
        <v>0</v>
      </c>
      <c r="H141" s="1" t="s">
        <v>0</v>
      </c>
      <c r="I141" s="2">
        <v>0</v>
      </c>
      <c r="J141" s="1">
        <v>45915.378599537034</v>
      </c>
    </row>
    <row r="142" spans="1:10" x14ac:dyDescent="0.2">
      <c r="A142" s="4" t="s">
        <v>1</v>
      </c>
      <c r="B142" s="3" t="str">
        <f>HYPERLINK("https://otsuka-europe-crm.veevavault.com/ui/#object/approved_document__v/V5OZ025E82TFUPI", "Spain - HCP Survey Email - June 2025")</f>
        <v>Spain - HCP Survey Email - June 2025</v>
      </c>
      <c r="C142" s="3" t="str">
        <f>HYPERLINK("https://otsuka-europe-crm.veevavault.com/ui/#object/sent_email__v/VBLZ025E82GMX50", "SE-000267198")</f>
        <v>SE-000267198</v>
      </c>
      <c r="D142" s="1">
        <v>45916.018067129633</v>
      </c>
      <c r="E142" s="2">
        <v>1</v>
      </c>
      <c r="F142" s="2">
        <v>1</v>
      </c>
      <c r="G142" s="2">
        <v>0</v>
      </c>
      <c r="H142" s="1" t="s">
        <v>0</v>
      </c>
      <c r="I142" s="2">
        <v>0</v>
      </c>
      <c r="J142" s="1">
        <v>45915.379525462966</v>
      </c>
    </row>
    <row r="143" spans="1:10" x14ac:dyDescent="0.2">
      <c r="A143" s="4" t="s">
        <v>1</v>
      </c>
      <c r="B143" s="3" t="str">
        <f>HYPERLINK("https://otsuka-europe-crm.veevavault.com/ui/#object/approved_document__v/V5OZ025E82TFUPI", "Spain - HCP Survey Email - June 2025")</f>
        <v>Spain - HCP Survey Email - June 2025</v>
      </c>
      <c r="C143" s="3" t="str">
        <f>HYPERLINK("https://otsuka-europe-crm.veevavault.com/ui/#object/sent_email__v/VBLZ025E82GMX51", "SE-000267199")</f>
        <v>SE-000267199</v>
      </c>
      <c r="D143" s="1">
        <v>45915.661041666666</v>
      </c>
      <c r="E143" s="2">
        <v>1</v>
      </c>
      <c r="F143" s="2">
        <v>2</v>
      </c>
      <c r="G143" s="2">
        <v>1</v>
      </c>
      <c r="H143" s="1">
        <v>45915.661956018521</v>
      </c>
      <c r="I143" s="2">
        <v>2</v>
      </c>
      <c r="J143" s="1">
        <v>45915.379155092596</v>
      </c>
    </row>
    <row r="144" spans="1:10" x14ac:dyDescent="0.2">
      <c r="A144" s="4" t="s">
        <v>1</v>
      </c>
      <c r="B144" s="3" t="str">
        <f>HYPERLINK("https://otsuka-europe-crm.veevavault.com/ui/#object/approved_document__v/V5OZ025E82TFUPI", "Spain - HCP Survey Email - June 2025")</f>
        <v>Spain - HCP Survey Email - June 2025</v>
      </c>
      <c r="C144" s="3" t="str">
        <f>HYPERLINK("https://otsuka-europe-crm.veevavault.com/ui/#object/sent_email__v/VBLZ025E82GMX52", "SE-000267200")</f>
        <v>SE-000267200</v>
      </c>
      <c r="D144" s="1">
        <v>45915.557268518518</v>
      </c>
      <c r="E144" s="2">
        <v>1</v>
      </c>
      <c r="F144" s="2">
        <v>1</v>
      </c>
      <c r="G144" s="2">
        <v>0</v>
      </c>
      <c r="H144" s="1" t="s">
        <v>0</v>
      </c>
      <c r="I144" s="2">
        <v>0</v>
      </c>
      <c r="J144" s="1">
        <v>45915.377650462964</v>
      </c>
    </row>
    <row r="145" spans="1:10" x14ac:dyDescent="0.2">
      <c r="A145" s="4" t="s">
        <v>1</v>
      </c>
      <c r="B145" s="3" t="str">
        <f>HYPERLINK("https://otsuka-europe-crm.veevavault.com/ui/#object/approved_document__v/V5OZ025E82TFUPI", "Spain - HCP Survey Email - June 2025")</f>
        <v>Spain - HCP Survey Email - June 2025</v>
      </c>
      <c r="C145" s="3" t="str">
        <f>HYPERLINK("https://otsuka-europe-crm.veevavault.com/ui/#object/sent_email__v/VBLZ025E82GMX53", "SE-000267201")</f>
        <v>SE-000267201</v>
      </c>
      <c r="D145" s="1" t="s">
        <v>0</v>
      </c>
      <c r="E145" s="2">
        <v>0</v>
      </c>
      <c r="F145" s="2">
        <v>0</v>
      </c>
      <c r="G145" s="2">
        <v>0</v>
      </c>
      <c r="H145" s="1" t="s">
        <v>0</v>
      </c>
      <c r="I145" s="2">
        <v>0</v>
      </c>
      <c r="J145" s="1">
        <v>45915.378240740742</v>
      </c>
    </row>
    <row r="146" spans="1:10" x14ac:dyDescent="0.2">
      <c r="A146" s="4" t="s">
        <v>1</v>
      </c>
      <c r="B146" s="3" t="str">
        <f>HYPERLINK("https://otsuka-europe-crm.veevavault.com/ui/#object/approved_document__v/V5OZ025E82TFUPI", "Spain - HCP Survey Email - June 2025")</f>
        <v>Spain - HCP Survey Email - June 2025</v>
      </c>
      <c r="C146" s="3" t="str">
        <f>HYPERLINK("https://otsuka-europe-crm.veevavault.com/ui/#object/sent_email__v/VBLZ025E82GMX54", "SE-000267202")</f>
        <v>SE-000267202</v>
      </c>
      <c r="D146" s="1">
        <v>45924.002511574072</v>
      </c>
      <c r="E146" s="2">
        <v>1</v>
      </c>
      <c r="F146" s="2">
        <v>4</v>
      </c>
      <c r="G146" s="2">
        <v>1</v>
      </c>
      <c r="H146" s="1">
        <v>45916.92</v>
      </c>
      <c r="I146" s="2">
        <v>1</v>
      </c>
      <c r="J146" s="1">
        <v>45915.37903935185</v>
      </c>
    </row>
    <row r="147" spans="1:10" x14ac:dyDescent="0.2">
      <c r="A147" s="4" t="s">
        <v>1</v>
      </c>
      <c r="B147" s="3" t="str">
        <f>HYPERLINK("https://otsuka-europe-crm.veevavault.com/ui/#object/approved_document__v/V5OZ025E82TFUPI", "Spain - HCP Survey Email - June 2025")</f>
        <v>Spain - HCP Survey Email - June 2025</v>
      </c>
      <c r="C147" s="3" t="str">
        <f>HYPERLINK("https://otsuka-europe-crm.veevavault.com/ui/#object/sent_email__v/VBLZ025E82GMX55", "SE-000267203")</f>
        <v>SE-000267203</v>
      </c>
      <c r="D147" s="1" t="s">
        <v>0</v>
      </c>
      <c r="E147" s="2">
        <v>0</v>
      </c>
      <c r="F147" s="2">
        <v>0</v>
      </c>
      <c r="G147" s="2">
        <v>0</v>
      </c>
      <c r="H147" s="1" t="s">
        <v>0</v>
      </c>
      <c r="I147" s="2">
        <v>0</v>
      </c>
      <c r="J147" s="1">
        <v>45915.378634259258</v>
      </c>
    </row>
    <row r="148" spans="1:10" x14ac:dyDescent="0.2">
      <c r="A148" s="4" t="s">
        <v>1</v>
      </c>
      <c r="B148" s="3" t="str">
        <f>HYPERLINK("https://otsuka-europe-crm.veevavault.com/ui/#object/approved_document__v/V5OZ025E82TFUPI", "Spain - HCP Survey Email - June 2025")</f>
        <v>Spain - HCP Survey Email - June 2025</v>
      </c>
      <c r="C148" s="3" t="str">
        <f>HYPERLINK("https://otsuka-europe-crm.veevavault.com/ui/#object/sent_email__v/VBLZ025E82GMX56", "SE-000267204")</f>
        <v>SE-000267204</v>
      </c>
      <c r="D148" s="1">
        <v>45915.492407407408</v>
      </c>
      <c r="E148" s="2">
        <v>1</v>
      </c>
      <c r="F148" s="2">
        <v>4</v>
      </c>
      <c r="G148" s="2">
        <v>1</v>
      </c>
      <c r="H148" s="1">
        <v>45915.4925</v>
      </c>
      <c r="I148" s="2">
        <v>1</v>
      </c>
      <c r="J148" s="1">
        <v>45915.379560185182</v>
      </c>
    </row>
    <row r="149" spans="1:10" x14ac:dyDescent="0.2">
      <c r="A149" s="4" t="s">
        <v>1</v>
      </c>
      <c r="B149" s="3" t="str">
        <f>HYPERLINK("https://otsuka-europe-crm.veevavault.com/ui/#object/approved_document__v/V5OZ025E82TFUPI", "Spain - HCP Survey Email - June 2025")</f>
        <v>Spain - HCP Survey Email - June 2025</v>
      </c>
      <c r="C149" s="3" t="str">
        <f>HYPERLINK("https://otsuka-europe-crm.veevavault.com/ui/#object/sent_email__v/VBLZ025E82GMX57", "SE-000267205")</f>
        <v>SE-000267205</v>
      </c>
      <c r="D149" s="1">
        <v>45917.937569444446</v>
      </c>
      <c r="E149" s="2">
        <v>1</v>
      </c>
      <c r="F149" s="2">
        <v>2</v>
      </c>
      <c r="G149" s="2">
        <v>0</v>
      </c>
      <c r="H149" s="1" t="s">
        <v>0</v>
      </c>
      <c r="I149" s="2">
        <v>0</v>
      </c>
      <c r="J149" s="1">
        <v>45915.377696759257</v>
      </c>
    </row>
    <row r="150" spans="1:10" x14ac:dyDescent="0.2">
      <c r="A150" s="4" t="s">
        <v>1</v>
      </c>
      <c r="B150" s="3" t="str">
        <f>HYPERLINK("https://otsuka-europe-crm.veevavault.com/ui/#object/approved_document__v/V5OZ025E82TFUPI", "Spain - HCP Survey Email - June 2025")</f>
        <v>Spain - HCP Survey Email - June 2025</v>
      </c>
      <c r="C150" s="3" t="str">
        <f>HYPERLINK("https://otsuka-europe-crm.veevavault.com/ui/#object/sent_email__v/VBLZ025E82GMX58", "SE-000267206")</f>
        <v>SE-000267206</v>
      </c>
      <c r="D150" s="1" t="s">
        <v>0</v>
      </c>
      <c r="E150" s="2">
        <v>0</v>
      </c>
      <c r="F150" s="2">
        <v>0</v>
      </c>
      <c r="G150" s="2">
        <v>0</v>
      </c>
      <c r="H150" s="1" t="s">
        <v>0</v>
      </c>
      <c r="I150" s="2">
        <v>0</v>
      </c>
      <c r="J150" s="1">
        <v>45915.378437500003</v>
      </c>
    </row>
    <row r="151" spans="1:10" x14ac:dyDescent="0.2">
      <c r="A151" s="4" t="s">
        <v>1</v>
      </c>
      <c r="B151" s="3" t="str">
        <f>HYPERLINK("https://otsuka-europe-crm.veevavault.com/ui/#object/approved_document__v/V5OZ025E82TFUPI", "Spain - HCP Survey Email - June 2025")</f>
        <v>Spain - HCP Survey Email - June 2025</v>
      </c>
      <c r="C151" s="3" t="str">
        <f>HYPERLINK("https://otsuka-europe-crm.veevavault.com/ui/#object/sent_email__v/VBLZ025E82GMX59", "SE-000267207")</f>
        <v>SE-000267207</v>
      </c>
      <c r="D151" s="1" t="s">
        <v>0</v>
      </c>
      <c r="E151" s="2">
        <v>0</v>
      </c>
      <c r="F151" s="2">
        <v>0</v>
      </c>
      <c r="G151" s="2">
        <v>0</v>
      </c>
      <c r="H151" s="1" t="s">
        <v>0</v>
      </c>
      <c r="I151" s="2">
        <v>0</v>
      </c>
      <c r="J151" s="1">
        <v>45915.377916666665</v>
      </c>
    </row>
    <row r="152" spans="1:10" x14ac:dyDescent="0.2">
      <c r="A152" s="4" t="s">
        <v>1</v>
      </c>
      <c r="B152" s="3" t="str">
        <f>HYPERLINK("https://otsuka-europe-crm.veevavault.com/ui/#object/approved_document__v/V5OZ025E82TFUPI", "Spain - HCP Survey Email - June 2025")</f>
        <v>Spain - HCP Survey Email - June 2025</v>
      </c>
      <c r="C152" s="3" t="str">
        <f>HYPERLINK("https://otsuka-europe-crm.veevavault.com/ui/#object/sent_email__v/VBLZ025E82GMX5A", "SE-000267208")</f>
        <v>SE-000267208</v>
      </c>
      <c r="D152" s="1" t="s">
        <v>0</v>
      </c>
      <c r="E152" s="2">
        <v>0</v>
      </c>
      <c r="F152" s="2">
        <v>0</v>
      </c>
      <c r="G152" s="2">
        <v>0</v>
      </c>
      <c r="H152" s="1" t="s">
        <v>0</v>
      </c>
      <c r="I152" s="2">
        <v>0</v>
      </c>
      <c r="J152" s="1">
        <v>45915.378680555557</v>
      </c>
    </row>
    <row r="153" spans="1:10" x14ac:dyDescent="0.2">
      <c r="A153" s="4" t="s">
        <v>1</v>
      </c>
      <c r="B153" s="3" t="str">
        <f>HYPERLINK("https://otsuka-europe-crm.veevavault.com/ui/#object/approved_document__v/V5OZ025E82TFUPI", "Spain - HCP Survey Email - June 2025")</f>
        <v>Spain - HCP Survey Email - June 2025</v>
      </c>
      <c r="C153" s="3" t="str">
        <f>HYPERLINK("https://otsuka-europe-crm.veevavault.com/ui/#object/sent_email__v/VBLZ025E82GMX5C", "SE-000267210")</f>
        <v>SE-000267210</v>
      </c>
      <c r="D153" s="1">
        <v>45915.477002314816</v>
      </c>
      <c r="E153" s="2">
        <v>1</v>
      </c>
      <c r="F153" s="2">
        <v>1</v>
      </c>
      <c r="G153" s="2">
        <v>0</v>
      </c>
      <c r="H153" s="1" t="s">
        <v>0</v>
      </c>
      <c r="I153" s="2">
        <v>0</v>
      </c>
      <c r="J153" s="1">
        <v>45915.378391203703</v>
      </c>
    </row>
    <row r="154" spans="1:10" x14ac:dyDescent="0.2">
      <c r="A154" s="4" t="s">
        <v>1</v>
      </c>
      <c r="B154" s="3" t="str">
        <f>HYPERLINK("https://otsuka-europe-crm.veevavault.com/ui/#object/approved_document__v/V5OZ025E82TFUPI", "Spain - HCP Survey Email - June 2025")</f>
        <v>Spain - HCP Survey Email - June 2025</v>
      </c>
      <c r="C154" s="3" t="str">
        <f>HYPERLINK("https://otsuka-europe-crm.veevavault.com/ui/#object/sent_email__v/VBLZ025E82GMX5D", "SE-000267211")</f>
        <v>SE-000267211</v>
      </c>
      <c r="D154" s="1" t="s">
        <v>0</v>
      </c>
      <c r="E154" s="2">
        <v>0</v>
      </c>
      <c r="F154" s="2">
        <v>0</v>
      </c>
      <c r="G154" s="2">
        <v>0</v>
      </c>
      <c r="H154" s="1" t="s">
        <v>0</v>
      </c>
      <c r="I154" s="2">
        <v>0</v>
      </c>
      <c r="J154" s="1">
        <v>45915.377928240741</v>
      </c>
    </row>
    <row r="155" spans="1:10" x14ac:dyDescent="0.2">
      <c r="A155" s="4" t="s">
        <v>1</v>
      </c>
      <c r="B155" s="3" t="str">
        <f>HYPERLINK("https://otsuka-europe-crm.veevavault.com/ui/#object/approved_document__v/V5OZ025E82TFUPI", "Spain - HCP Survey Email - June 2025")</f>
        <v>Spain - HCP Survey Email - June 2025</v>
      </c>
      <c r="C155" s="3" t="str">
        <f>HYPERLINK("https://otsuka-europe-crm.veevavault.com/ui/#object/sent_email__v/VBLZ025E82GMX5E", "SE-000267212")</f>
        <v>SE-000267212</v>
      </c>
      <c r="D155" s="1" t="s">
        <v>0</v>
      </c>
      <c r="E155" s="2">
        <v>0</v>
      </c>
      <c r="F155" s="2">
        <v>0</v>
      </c>
      <c r="G155" s="2">
        <v>0</v>
      </c>
      <c r="H155" s="1" t="s">
        <v>0</v>
      </c>
      <c r="I155" s="2">
        <v>0</v>
      </c>
      <c r="J155" s="1">
        <v>45915.378692129627</v>
      </c>
    </row>
    <row r="156" spans="1:10" x14ac:dyDescent="0.2">
      <c r="A156" s="4" t="s">
        <v>1</v>
      </c>
      <c r="B156" s="3" t="str">
        <f>HYPERLINK("https://otsuka-europe-crm.veevavault.com/ui/#object/approved_document__v/V5OZ025E82TFUPI", "Spain - HCP Survey Email - June 2025")</f>
        <v>Spain - HCP Survey Email - June 2025</v>
      </c>
      <c r="C156" s="3" t="str">
        <f>HYPERLINK("https://otsuka-europe-crm.veevavault.com/ui/#object/sent_email__v/VBLZ025E82GMX5G", "SE-000267214")</f>
        <v>SE-000267214</v>
      </c>
      <c r="D156" s="1" t="s">
        <v>0</v>
      </c>
      <c r="E156" s="2">
        <v>0</v>
      </c>
      <c r="F156" s="2">
        <v>0</v>
      </c>
      <c r="G156" s="2">
        <v>0</v>
      </c>
      <c r="H156" s="1" t="s">
        <v>0</v>
      </c>
      <c r="I156" s="2">
        <v>0</v>
      </c>
      <c r="J156" s="1">
        <v>45915.379166666666</v>
      </c>
    </row>
    <row r="157" spans="1:10" x14ac:dyDescent="0.2">
      <c r="A157" s="4" t="s">
        <v>1</v>
      </c>
      <c r="B157" s="3" t="str">
        <f>HYPERLINK("https://otsuka-europe-crm.veevavault.com/ui/#object/approved_document__v/V5OZ025E82TFUPI", "Spain - HCP Survey Email - June 2025")</f>
        <v>Spain - HCP Survey Email - June 2025</v>
      </c>
      <c r="C157" s="3" t="str">
        <f>HYPERLINK("https://otsuka-europe-crm.veevavault.com/ui/#object/sent_email__v/VBLZ025E82GMX5H", "SE-000267215")</f>
        <v>SE-000267215</v>
      </c>
      <c r="D157" s="1" t="s">
        <v>0</v>
      </c>
      <c r="E157" s="2">
        <v>0</v>
      </c>
      <c r="F157" s="2">
        <v>0</v>
      </c>
      <c r="G157" s="2">
        <v>0</v>
      </c>
      <c r="H157" s="1" t="s">
        <v>0</v>
      </c>
      <c r="I157" s="2">
        <v>0</v>
      </c>
      <c r="J157" s="1">
        <v>45915.377557870372</v>
      </c>
    </row>
    <row r="158" spans="1:10" x14ac:dyDescent="0.2">
      <c r="A158" s="4" t="s">
        <v>1</v>
      </c>
      <c r="B158" s="3" t="str">
        <f>HYPERLINK("https://otsuka-europe-crm.veevavault.com/ui/#object/approved_document__v/V5OZ025E82TFUPI", "Spain - HCP Survey Email - June 2025")</f>
        <v>Spain - HCP Survey Email - June 2025</v>
      </c>
      <c r="C158" s="3" t="str">
        <f>HYPERLINK("https://otsuka-europe-crm.veevavault.com/ui/#object/sent_email__v/VBLZ025E82GMX5I", "SE-000267216")</f>
        <v>SE-000267216</v>
      </c>
      <c r="D158" s="1">
        <v>45915.495729166665</v>
      </c>
      <c r="E158" s="2">
        <v>1</v>
      </c>
      <c r="F158" s="2">
        <v>1</v>
      </c>
      <c r="G158" s="2">
        <v>1</v>
      </c>
      <c r="H158" s="1">
        <v>45915.495844907404</v>
      </c>
      <c r="I158" s="2">
        <v>1</v>
      </c>
      <c r="J158" s="1">
        <v>45915.378240740742</v>
      </c>
    </row>
    <row r="159" spans="1:10" x14ac:dyDescent="0.2">
      <c r="A159" s="4" t="s">
        <v>1</v>
      </c>
      <c r="B159" s="3" t="str">
        <f>HYPERLINK("https://otsuka-europe-crm.veevavault.com/ui/#object/approved_document__v/V5OZ025E82TFUPI", "Spain - HCP Survey Email - June 2025")</f>
        <v>Spain - HCP Survey Email - June 2025</v>
      </c>
      <c r="C159" s="3" t="str">
        <f>HYPERLINK("https://otsuka-europe-crm.veevavault.com/ui/#object/sent_email__v/VBLZ025E82GMX5J", "SE-000267217")</f>
        <v>SE-000267217</v>
      </c>
      <c r="D159" s="1">
        <v>45916.805520833332</v>
      </c>
      <c r="E159" s="2">
        <v>1</v>
      </c>
      <c r="F159" s="2">
        <v>1</v>
      </c>
      <c r="G159" s="2">
        <v>0</v>
      </c>
      <c r="H159" s="1" t="s">
        <v>0</v>
      </c>
      <c r="I159" s="2">
        <v>0</v>
      </c>
      <c r="J159" s="1">
        <v>45915.379027777781</v>
      </c>
    </row>
    <row r="160" spans="1:10" x14ac:dyDescent="0.2">
      <c r="A160" s="4" t="s">
        <v>1</v>
      </c>
      <c r="B160" s="3" t="str">
        <f>HYPERLINK("https://otsuka-europe-crm.veevavault.com/ui/#object/approved_document__v/V5OZ025E82TFUPI", "Spain - HCP Survey Email - June 2025")</f>
        <v>Spain - HCP Survey Email - June 2025</v>
      </c>
      <c r="C160" s="3" t="str">
        <f>HYPERLINK("https://otsuka-europe-crm.veevavault.com/ui/#object/sent_email__v/VBLZ025E82GMX5K", "SE-000267218")</f>
        <v>SE-000267218</v>
      </c>
      <c r="D160" s="1" t="s">
        <v>0</v>
      </c>
      <c r="E160" s="2">
        <v>0</v>
      </c>
      <c r="F160" s="2">
        <v>0</v>
      </c>
      <c r="G160" s="2">
        <v>0</v>
      </c>
      <c r="H160" s="1" t="s">
        <v>0</v>
      </c>
      <c r="I160" s="2">
        <v>0</v>
      </c>
      <c r="J160" s="1">
        <v>45915.378622685188</v>
      </c>
    </row>
    <row r="161" spans="1:10" x14ac:dyDescent="0.2">
      <c r="A161" s="4" t="s">
        <v>1</v>
      </c>
      <c r="B161" s="3" t="str">
        <f>HYPERLINK("https://otsuka-europe-crm.veevavault.com/ui/#object/approved_document__v/V5OZ025E82TFUPI", "Spain - HCP Survey Email - June 2025")</f>
        <v>Spain - HCP Survey Email - June 2025</v>
      </c>
      <c r="C161" s="3" t="str">
        <f>HYPERLINK("https://otsuka-europe-crm.veevavault.com/ui/#object/sent_email__v/VBLZ025E82GMX5L", "SE-000267219")</f>
        <v>SE-000267219</v>
      </c>
      <c r="D161" s="1" t="s">
        <v>0</v>
      </c>
      <c r="E161" s="2">
        <v>0</v>
      </c>
      <c r="F161" s="2">
        <v>0</v>
      </c>
      <c r="G161" s="2">
        <v>0</v>
      </c>
      <c r="H161" s="1" t="s">
        <v>0</v>
      </c>
      <c r="I161" s="2">
        <v>0</v>
      </c>
      <c r="J161" s="1">
        <v>45915.379490740743</v>
      </c>
    </row>
    <row r="162" spans="1:10" x14ac:dyDescent="0.2">
      <c r="A162" s="4" t="s">
        <v>1</v>
      </c>
      <c r="B162" s="3" t="str">
        <f>HYPERLINK("https://otsuka-europe-crm.veevavault.com/ui/#object/approved_document__v/V5OZ025E82TFUPI", "Spain - HCP Survey Email - June 2025")</f>
        <v>Spain - HCP Survey Email - June 2025</v>
      </c>
      <c r="C162" s="3" t="str">
        <f>HYPERLINK("https://otsuka-europe-crm.veevavault.com/ui/#object/sent_email__v/VBLZ025E82GMX5M", "SE-000267220")</f>
        <v>SE-000267220</v>
      </c>
      <c r="D162" s="1" t="s">
        <v>0</v>
      </c>
      <c r="E162" s="2">
        <v>0</v>
      </c>
      <c r="F162" s="2">
        <v>0</v>
      </c>
      <c r="G162" s="2">
        <v>0</v>
      </c>
      <c r="H162" s="1" t="s">
        <v>0</v>
      </c>
      <c r="I162" s="2">
        <v>0</v>
      </c>
      <c r="J162" s="1">
        <v>45915.377696759257</v>
      </c>
    </row>
    <row r="163" spans="1:10" x14ac:dyDescent="0.2">
      <c r="A163" s="4" t="s">
        <v>1</v>
      </c>
      <c r="B163" s="3" t="str">
        <f>HYPERLINK("https://otsuka-europe-crm.veevavault.com/ui/#object/approved_document__v/V5OZ025E82TFUPI", "Spain - HCP Survey Email - June 2025")</f>
        <v>Spain - HCP Survey Email - June 2025</v>
      </c>
      <c r="C163" s="3" t="str">
        <f>HYPERLINK("https://otsuka-europe-crm.veevavault.com/ui/#object/sent_email__v/VBLZ025E82GMX5N", "SE-000267221")</f>
        <v>SE-000267221</v>
      </c>
      <c r="D163" s="1">
        <v>45915.444641203707</v>
      </c>
      <c r="E163" s="2">
        <v>1</v>
      </c>
      <c r="F163" s="2">
        <v>1</v>
      </c>
      <c r="G163" s="2">
        <v>0</v>
      </c>
      <c r="H163" s="1" t="s">
        <v>0</v>
      </c>
      <c r="I163" s="2">
        <v>0</v>
      </c>
      <c r="J163" s="1">
        <v>45915.378437500003</v>
      </c>
    </row>
    <row r="164" spans="1:10" x14ac:dyDescent="0.2">
      <c r="A164" s="4" t="s">
        <v>1</v>
      </c>
      <c r="B164" s="3" t="str">
        <f>HYPERLINK("https://otsuka-europe-crm.veevavault.com/ui/#object/approved_document__v/V5OZ025E82TFUPI", "Spain - HCP Survey Email - June 2025")</f>
        <v>Spain - HCP Survey Email - June 2025</v>
      </c>
      <c r="C164" s="3" t="str">
        <f>HYPERLINK("https://otsuka-europe-crm.veevavault.com/ui/#object/sent_email__v/VBLZ025E82GMX5O", "SE-000267222")</f>
        <v>SE-000267222</v>
      </c>
      <c r="D164" s="1">
        <v>45916.25141203704</v>
      </c>
      <c r="E164" s="2">
        <v>1</v>
      </c>
      <c r="F164" s="2">
        <v>1</v>
      </c>
      <c r="G164" s="2">
        <v>0</v>
      </c>
      <c r="H164" s="1" t="s">
        <v>0</v>
      </c>
      <c r="I164" s="2">
        <v>0</v>
      </c>
      <c r="J164" s="1">
        <v>45915.377974537034</v>
      </c>
    </row>
    <row r="165" spans="1:10" x14ac:dyDescent="0.2">
      <c r="A165" s="4" t="s">
        <v>1</v>
      </c>
      <c r="B165" s="3" t="str">
        <f>HYPERLINK("https://otsuka-europe-crm.veevavault.com/ui/#object/approved_document__v/V5OZ025E82TFUPI", "Spain - HCP Survey Email - June 2025")</f>
        <v>Spain - HCP Survey Email - June 2025</v>
      </c>
      <c r="C165" s="3" t="str">
        <f>HYPERLINK("https://otsuka-europe-crm.veevavault.com/ui/#object/sent_email__v/VBLZ025E82GMX5P", "SE-000267223")</f>
        <v>SE-000267223</v>
      </c>
      <c r="D165" s="1">
        <v>45917.598611111112</v>
      </c>
      <c r="E165" s="2">
        <v>1</v>
      </c>
      <c r="F165" s="2">
        <v>1</v>
      </c>
      <c r="G165" s="2">
        <v>0</v>
      </c>
      <c r="H165" s="1" t="s">
        <v>0</v>
      </c>
      <c r="I165" s="2">
        <v>0</v>
      </c>
      <c r="J165" s="1">
        <v>45915.378761574073</v>
      </c>
    </row>
    <row r="166" spans="1:10" x14ac:dyDescent="0.2">
      <c r="A166" s="4" t="s">
        <v>1</v>
      </c>
      <c r="B166" s="3" t="str">
        <f>HYPERLINK("https://otsuka-europe-crm.veevavault.com/ui/#object/approved_document__v/V5OZ025E82TFUPI", "Spain - HCP Survey Email - June 2025")</f>
        <v>Spain - HCP Survey Email - June 2025</v>
      </c>
      <c r="C166" s="3" t="str">
        <f>HYPERLINK("https://otsuka-europe-crm.veevavault.com/ui/#object/sent_email__v/VBLZ025E82GMX5Q", "SE-000267224")</f>
        <v>SE-000267224</v>
      </c>
      <c r="D166" s="1" t="s">
        <v>0</v>
      </c>
      <c r="E166" s="2">
        <v>0</v>
      </c>
      <c r="F166" s="2">
        <v>0</v>
      </c>
      <c r="G166" s="2">
        <v>0</v>
      </c>
      <c r="H166" s="1" t="s">
        <v>0</v>
      </c>
      <c r="I166" s="2">
        <v>0</v>
      </c>
      <c r="J166" s="1">
        <v>45915.379560185182</v>
      </c>
    </row>
    <row r="167" spans="1:10" x14ac:dyDescent="0.2">
      <c r="A167" s="4" t="s">
        <v>1</v>
      </c>
      <c r="B167" s="3" t="str">
        <f>HYPERLINK("https://otsuka-europe-crm.veevavault.com/ui/#object/approved_document__v/V5OZ025E82TFUPI", "Spain - HCP Survey Email - June 2025")</f>
        <v>Spain - HCP Survey Email - June 2025</v>
      </c>
      <c r="C167" s="3" t="str">
        <f>HYPERLINK("https://otsuka-europe-crm.veevavault.com/ui/#object/sent_email__v/VBLZ025E82GMX5R", "SE-000267225")</f>
        <v>SE-000267225</v>
      </c>
      <c r="D167" s="1">
        <v>45915.379201388889</v>
      </c>
      <c r="E167" s="2">
        <v>1</v>
      </c>
      <c r="F167" s="2">
        <v>1</v>
      </c>
      <c r="G167" s="2">
        <v>0</v>
      </c>
      <c r="H167" s="1" t="s">
        <v>0</v>
      </c>
      <c r="I167" s="2">
        <v>0</v>
      </c>
      <c r="J167" s="1">
        <v>45915.379131944443</v>
      </c>
    </row>
    <row r="168" spans="1:10" x14ac:dyDescent="0.2">
      <c r="A168" s="4" t="s">
        <v>1</v>
      </c>
      <c r="B168" s="3" t="str">
        <f>HYPERLINK("https://otsuka-europe-crm.veevavault.com/ui/#object/approved_document__v/V5OZ025E82TFUPI", "Spain - HCP Survey Email - June 2025")</f>
        <v>Spain - HCP Survey Email - June 2025</v>
      </c>
      <c r="C168" s="3" t="str">
        <f>HYPERLINK("https://otsuka-europe-crm.veevavault.com/ui/#object/sent_email__v/VBLZ025E82GMX5S", "SE-000267226")</f>
        <v>SE-000267226</v>
      </c>
      <c r="D168" s="1">
        <v>45937.888437499998</v>
      </c>
      <c r="E168" s="2">
        <v>1</v>
      </c>
      <c r="F168" s="2">
        <v>3</v>
      </c>
      <c r="G168" s="2">
        <v>0</v>
      </c>
      <c r="H168" s="1" t="s">
        <v>0</v>
      </c>
      <c r="I168" s="2">
        <v>0</v>
      </c>
      <c r="J168" s="1">
        <v>45915.37767361111</v>
      </c>
    </row>
    <row r="169" spans="1:10" x14ac:dyDescent="0.2">
      <c r="A169" s="4" t="s">
        <v>1</v>
      </c>
      <c r="B169" s="3" t="str">
        <f>HYPERLINK("https://otsuka-europe-crm.veevavault.com/ui/#object/approved_document__v/V5OZ025E82TFUPI", "Spain - HCP Survey Email - June 2025")</f>
        <v>Spain - HCP Survey Email - June 2025</v>
      </c>
      <c r="C169" s="3" t="str">
        <f>HYPERLINK("https://otsuka-europe-crm.veevavault.com/ui/#object/sent_email__v/VBLZ025E82GMX5T", "SE-000267227")</f>
        <v>SE-000267227</v>
      </c>
      <c r="D169" s="1" t="s">
        <v>0</v>
      </c>
      <c r="E169" s="2">
        <v>0</v>
      </c>
      <c r="F169" s="2">
        <v>0</v>
      </c>
      <c r="G169" s="2">
        <v>0</v>
      </c>
      <c r="H169" s="1" t="s">
        <v>0</v>
      </c>
      <c r="I169" s="2">
        <v>0</v>
      </c>
      <c r="J169" s="1">
        <v>45915.37835648148</v>
      </c>
    </row>
    <row r="170" spans="1:10" x14ac:dyDescent="0.2">
      <c r="A170" s="4" t="s">
        <v>1</v>
      </c>
      <c r="B170" s="3" t="str">
        <f>HYPERLINK("https://otsuka-europe-crm.veevavault.com/ui/#object/approved_document__v/V5OZ025E82TFUPI", "Spain - HCP Survey Email - June 2025")</f>
        <v>Spain - HCP Survey Email - June 2025</v>
      </c>
      <c r="C170" s="3" t="str">
        <f>HYPERLINK("https://otsuka-europe-crm.veevavault.com/ui/#object/sent_email__v/VBLZ025E82GMX5U", "SE-000267228")</f>
        <v>SE-000267228</v>
      </c>
      <c r="D170" s="1">
        <v>46074.650312500002</v>
      </c>
      <c r="E170" s="2">
        <v>1</v>
      </c>
      <c r="F170" s="2">
        <v>5</v>
      </c>
      <c r="G170" s="2">
        <v>0</v>
      </c>
      <c r="H170" s="1" t="s">
        <v>0</v>
      </c>
      <c r="I170" s="2">
        <v>0</v>
      </c>
      <c r="J170" s="1">
        <v>45915.379027777781</v>
      </c>
    </row>
    <row r="171" spans="1:10" x14ac:dyDescent="0.2">
      <c r="A171" s="4" t="s">
        <v>1</v>
      </c>
      <c r="B171" s="3" t="str">
        <f>HYPERLINK("https://otsuka-europe-crm.veevavault.com/ui/#object/approved_document__v/V5OZ025E82TFUPI", "Spain - HCP Survey Email - June 2025")</f>
        <v>Spain - HCP Survey Email - June 2025</v>
      </c>
      <c r="C171" s="3" t="str">
        <f>HYPERLINK("https://otsuka-europe-crm.veevavault.com/ui/#object/sent_email__v/VBLZ025E82GMX5V", "SE-000267229")</f>
        <v>SE-000267229</v>
      </c>
      <c r="D171" s="1">
        <v>45915.905115740738</v>
      </c>
      <c r="E171" s="2">
        <v>1</v>
      </c>
      <c r="F171" s="2">
        <v>1</v>
      </c>
      <c r="G171" s="2">
        <v>0</v>
      </c>
      <c r="H171" s="1" t="s">
        <v>0</v>
      </c>
      <c r="I171" s="2">
        <v>0</v>
      </c>
      <c r="J171" s="1">
        <v>45915.378495370373</v>
      </c>
    </row>
    <row r="172" spans="1:10" x14ac:dyDescent="0.2">
      <c r="A172" s="4" t="s">
        <v>1</v>
      </c>
      <c r="B172" s="3" t="str">
        <f>HYPERLINK("https://otsuka-europe-crm.veevavault.com/ui/#object/approved_document__v/V5OZ025E82TFUPI", "Spain - HCP Survey Email - June 2025")</f>
        <v>Spain - HCP Survey Email - June 2025</v>
      </c>
      <c r="C172" s="3" t="str">
        <f>HYPERLINK("https://otsuka-europe-crm.veevavault.com/ui/#object/sent_email__v/VBLZ025E82GMX5W", "SE-000267230")</f>
        <v>SE-000267230</v>
      </c>
      <c r="D172" s="1" t="s">
        <v>0</v>
      </c>
      <c r="E172" s="2">
        <v>0</v>
      </c>
      <c r="F172" s="2">
        <v>0</v>
      </c>
      <c r="G172" s="2">
        <v>0</v>
      </c>
      <c r="H172" s="1" t="s">
        <v>0</v>
      </c>
      <c r="I172" s="2">
        <v>0</v>
      </c>
      <c r="J172" s="1">
        <v>45915.379571759258</v>
      </c>
    </row>
    <row r="173" spans="1:10" x14ac:dyDescent="0.2">
      <c r="A173" s="4" t="s">
        <v>1</v>
      </c>
      <c r="B173" s="3" t="str">
        <f>HYPERLINK("https://otsuka-europe-crm.veevavault.com/ui/#object/approved_document__v/V5OZ025E82TFUPI", "Spain - HCP Survey Email - June 2025")</f>
        <v>Spain - HCP Survey Email - June 2025</v>
      </c>
      <c r="C173" s="3" t="str">
        <f>HYPERLINK("https://otsuka-europe-crm.veevavault.com/ui/#object/sent_email__v/VBLZ025E82GMX5X", "SE-000267231")</f>
        <v>SE-000267231</v>
      </c>
      <c r="D173" s="1">
        <v>45915.682268518518</v>
      </c>
      <c r="E173" s="2">
        <v>1</v>
      </c>
      <c r="F173" s="2">
        <v>2</v>
      </c>
      <c r="G173" s="2">
        <v>0</v>
      </c>
      <c r="H173" s="1" t="s">
        <v>0</v>
      </c>
      <c r="I173" s="2">
        <v>0</v>
      </c>
      <c r="J173" s="1">
        <v>45915.377685185187</v>
      </c>
    </row>
    <row r="174" spans="1:10" x14ac:dyDescent="0.2">
      <c r="A174" s="4" t="s">
        <v>1</v>
      </c>
      <c r="B174" s="3" t="str">
        <f>HYPERLINK("https://otsuka-europe-crm.veevavault.com/ui/#object/approved_document__v/V5OZ025E82TFUPI", "Spain - HCP Survey Email - June 2025")</f>
        <v>Spain - HCP Survey Email - June 2025</v>
      </c>
      <c r="C174" s="3" t="str">
        <f>HYPERLINK("https://otsuka-europe-crm.veevavault.com/ui/#object/sent_email__v/VBLZ025E82GMX5Y", "SE-000267232")</f>
        <v>SE-000267232</v>
      </c>
      <c r="D174" s="1">
        <v>45915.78634259259</v>
      </c>
      <c r="E174" s="2">
        <v>1</v>
      </c>
      <c r="F174" s="2">
        <v>3</v>
      </c>
      <c r="G174" s="2">
        <v>0</v>
      </c>
      <c r="H174" s="1" t="s">
        <v>0</v>
      </c>
      <c r="I174" s="2">
        <v>0</v>
      </c>
      <c r="J174" s="1">
        <v>45915.37835648148</v>
      </c>
    </row>
    <row r="175" spans="1:10" x14ac:dyDescent="0.2">
      <c r="A175" s="4" t="s">
        <v>1</v>
      </c>
      <c r="B175" s="3" t="str">
        <f>HYPERLINK("https://otsuka-europe-crm.veevavault.com/ui/#object/approved_document__v/V5OZ025E82TFUPI", "Spain - HCP Survey Email - June 2025")</f>
        <v>Spain - HCP Survey Email - June 2025</v>
      </c>
      <c r="C175" s="3" t="str">
        <f>HYPERLINK("https://otsuka-europe-crm.veevavault.com/ui/#object/sent_email__v/VBLZ025E82GMX5Z", "SE-000267233")</f>
        <v>SE-000267233</v>
      </c>
      <c r="D175" s="1">
        <v>45915.437465277777</v>
      </c>
      <c r="E175" s="2">
        <v>1</v>
      </c>
      <c r="F175" s="2">
        <v>3</v>
      </c>
      <c r="G175" s="2">
        <v>0</v>
      </c>
      <c r="H175" s="1" t="s">
        <v>0</v>
      </c>
      <c r="I175" s="2">
        <v>0</v>
      </c>
      <c r="J175" s="1">
        <v>45915.377939814818</v>
      </c>
    </row>
    <row r="176" spans="1:10" x14ac:dyDescent="0.2">
      <c r="A176" s="4" t="s">
        <v>1</v>
      </c>
      <c r="B176" s="3" t="str">
        <f>HYPERLINK("https://otsuka-europe-crm.veevavault.com/ui/#object/approved_document__v/V5OZ025E82TFUPI", "Spain - HCP Survey Email - June 2025")</f>
        <v>Spain - HCP Survey Email - June 2025</v>
      </c>
      <c r="C176" s="3" t="str">
        <f>HYPERLINK("https://otsuka-europe-crm.veevavault.com/ui/#object/sent_email__v/VBLZ025E82GMX60", "SE-000267234")</f>
        <v>SE-000267234</v>
      </c>
      <c r="D176" s="1" t="s">
        <v>0</v>
      </c>
      <c r="E176" s="2">
        <v>0</v>
      </c>
      <c r="F176" s="2">
        <v>0</v>
      </c>
      <c r="G176" s="2">
        <v>0</v>
      </c>
      <c r="H176" s="1" t="s">
        <v>0</v>
      </c>
      <c r="I176" s="2">
        <v>0</v>
      </c>
      <c r="J176" s="1">
        <v>45915.378599537034</v>
      </c>
    </row>
    <row r="177" spans="1:10" x14ac:dyDescent="0.2">
      <c r="A177" s="4" t="s">
        <v>1</v>
      </c>
      <c r="B177" s="3" t="str">
        <f>HYPERLINK("https://otsuka-europe-crm.veevavault.com/ui/#object/approved_document__v/V5OZ025E82TFUPI", "Spain - HCP Survey Email - June 2025")</f>
        <v>Spain - HCP Survey Email - June 2025</v>
      </c>
      <c r="C177" s="3" t="str">
        <f>HYPERLINK("https://otsuka-europe-crm.veevavault.com/ui/#object/sent_email__v/VBLZ025E82GMX61", "SE-000267235")</f>
        <v>SE-000267235</v>
      </c>
      <c r="D177" s="1">
        <v>45915.920243055552</v>
      </c>
      <c r="E177" s="2">
        <v>1</v>
      </c>
      <c r="F177" s="2">
        <v>2</v>
      </c>
      <c r="G177" s="2">
        <v>0</v>
      </c>
      <c r="H177" s="1" t="s">
        <v>0</v>
      </c>
      <c r="I177" s="2">
        <v>0</v>
      </c>
      <c r="J177" s="1">
        <v>45915.379629629628</v>
      </c>
    </row>
    <row r="178" spans="1:10" x14ac:dyDescent="0.2">
      <c r="A178" s="4" t="s">
        <v>1</v>
      </c>
      <c r="B178" s="3" t="str">
        <f>HYPERLINK("https://otsuka-europe-crm.veevavault.com/ui/#object/approved_document__v/V5OZ025E82TFUPI", "Spain - HCP Survey Email - June 2025")</f>
        <v>Spain - HCP Survey Email - June 2025</v>
      </c>
      <c r="C178" s="3" t="str">
        <f>HYPERLINK("https://otsuka-europe-crm.veevavault.com/ui/#object/sent_email__v/VBLZ025E82GMX62", "SE-000267236")</f>
        <v>SE-000267236</v>
      </c>
      <c r="D178" s="1">
        <v>45915.773726851854</v>
      </c>
      <c r="E178" s="2">
        <v>1</v>
      </c>
      <c r="F178" s="2">
        <v>1</v>
      </c>
      <c r="G178" s="2">
        <v>0</v>
      </c>
      <c r="H178" s="1" t="s">
        <v>0</v>
      </c>
      <c r="I178" s="2">
        <v>0</v>
      </c>
      <c r="J178" s="1">
        <v>45915.377696759257</v>
      </c>
    </row>
    <row r="179" spans="1:10" x14ac:dyDescent="0.2">
      <c r="A179" s="4" t="s">
        <v>1</v>
      </c>
      <c r="B179" s="3" t="str">
        <f>HYPERLINK("https://otsuka-europe-crm.veevavault.com/ui/#object/approved_document__v/V5OZ025E82TFUPI", "Spain - HCP Survey Email - June 2025")</f>
        <v>Spain - HCP Survey Email - June 2025</v>
      </c>
      <c r="C179" s="3" t="str">
        <f>HYPERLINK("https://otsuka-europe-crm.veevavault.com/ui/#object/sent_email__v/VBLZ025E82GMX63", "SE-000267237")</f>
        <v>SE-000267237</v>
      </c>
      <c r="D179" s="1" t="s">
        <v>0</v>
      </c>
      <c r="E179" s="2">
        <v>0</v>
      </c>
      <c r="F179" s="2">
        <v>0</v>
      </c>
      <c r="G179" s="2">
        <v>0</v>
      </c>
      <c r="H179" s="1" t="s">
        <v>0</v>
      </c>
      <c r="I179" s="2">
        <v>0</v>
      </c>
      <c r="J179" s="1">
        <v>45915.378391203703</v>
      </c>
    </row>
    <row r="180" spans="1:10" x14ac:dyDescent="0.2">
      <c r="A180" s="4" t="s">
        <v>1</v>
      </c>
      <c r="B180" s="3" t="str">
        <f>HYPERLINK("https://otsuka-europe-crm.veevavault.com/ui/#object/approved_document__v/V5OZ025E82TFUPI", "Spain - HCP Survey Email - June 2025")</f>
        <v>Spain - HCP Survey Email - June 2025</v>
      </c>
      <c r="C180" s="3" t="str">
        <f>HYPERLINK("https://otsuka-europe-crm.veevavault.com/ui/#object/sent_email__v/VBLZ025E82GMX64", "SE-000267238")</f>
        <v>SE-000267238</v>
      </c>
      <c r="D180" s="1">
        <v>45917.73778935185</v>
      </c>
      <c r="E180" s="2">
        <v>1</v>
      </c>
      <c r="F180" s="2">
        <v>4</v>
      </c>
      <c r="G180" s="2">
        <v>0</v>
      </c>
      <c r="H180" s="1" t="s">
        <v>0</v>
      </c>
      <c r="I180" s="2">
        <v>0</v>
      </c>
      <c r="J180" s="1">
        <v>45915.377928240741</v>
      </c>
    </row>
    <row r="181" spans="1:10" x14ac:dyDescent="0.2">
      <c r="A181" s="4" t="s">
        <v>1</v>
      </c>
      <c r="B181" s="3" t="str">
        <f>HYPERLINK("https://otsuka-europe-crm.veevavault.com/ui/#object/approved_document__v/V5OZ025E82TFUPI", "Spain - HCP Survey Email - June 2025")</f>
        <v>Spain - HCP Survey Email - June 2025</v>
      </c>
      <c r="C181" s="3" t="str">
        <f>HYPERLINK("https://otsuka-europe-crm.veevavault.com/ui/#object/sent_email__v/VBLZ025E82GMX65", "SE-000267239")</f>
        <v>SE-000267239</v>
      </c>
      <c r="D181" s="1">
        <v>45943.672615740739</v>
      </c>
      <c r="E181" s="2">
        <v>1</v>
      </c>
      <c r="F181" s="2">
        <v>2</v>
      </c>
      <c r="G181" s="2">
        <v>0</v>
      </c>
      <c r="H181" s="1" t="s">
        <v>0</v>
      </c>
      <c r="I181" s="2">
        <v>0</v>
      </c>
      <c r="J181" s="1">
        <v>45915.378692129627</v>
      </c>
    </row>
    <row r="182" spans="1:10" x14ac:dyDescent="0.2">
      <c r="A182" s="4" t="s">
        <v>1</v>
      </c>
      <c r="B182" s="3" t="str">
        <f>HYPERLINK("https://otsuka-europe-crm.veevavault.com/ui/#object/approved_document__v/V5OZ025E82TFUPI", "Spain - HCP Survey Email - June 2025")</f>
        <v>Spain - HCP Survey Email - June 2025</v>
      </c>
      <c r="C182" s="3" t="str">
        <f>HYPERLINK("https://otsuka-europe-crm.veevavault.com/ui/#object/sent_email__v/VBLZ025E82GMX66", "SE-000267240")</f>
        <v>SE-000267240</v>
      </c>
      <c r="D182" s="1">
        <v>45915.510914351849</v>
      </c>
      <c r="E182" s="2">
        <v>1</v>
      </c>
      <c r="F182" s="2">
        <v>5</v>
      </c>
      <c r="G182" s="2">
        <v>0</v>
      </c>
      <c r="H182" s="1" t="s">
        <v>0</v>
      </c>
      <c r="I182" s="2">
        <v>0</v>
      </c>
      <c r="J182" s="1">
        <v>45915.379583333335</v>
      </c>
    </row>
    <row r="183" spans="1:10" x14ac:dyDescent="0.2">
      <c r="A183" s="4" t="s">
        <v>1</v>
      </c>
      <c r="B183" s="3" t="str">
        <f>HYPERLINK("https://otsuka-europe-crm.veevavault.com/ui/#object/approved_document__v/V5OZ025E82TFUPI", "Spain - HCP Survey Email - June 2025")</f>
        <v>Spain - HCP Survey Email - June 2025</v>
      </c>
      <c r="C183" s="3" t="str">
        <f>HYPERLINK("https://otsuka-europe-crm.veevavault.com/ui/#object/sent_email__v/VBLZ025E82GMX67", "SE-000267241")</f>
        <v>SE-000267241</v>
      </c>
      <c r="D183" s="1">
        <v>45915.518067129633</v>
      </c>
      <c r="E183" s="2">
        <v>1</v>
      </c>
      <c r="F183" s="2">
        <v>1</v>
      </c>
      <c r="G183" s="2">
        <v>1</v>
      </c>
      <c r="H183" s="1">
        <v>45915.518645833334</v>
      </c>
      <c r="I183" s="2">
        <v>2</v>
      </c>
      <c r="J183" s="1">
        <v>45915.379155092596</v>
      </c>
    </row>
    <row r="184" spans="1:10" x14ac:dyDescent="0.2">
      <c r="A184" s="4" t="s">
        <v>1</v>
      </c>
      <c r="B184" s="3" t="str">
        <f>HYPERLINK("https://otsuka-europe-crm.veevavault.com/ui/#object/approved_document__v/V5OZ025E82TFUPI", "Spain - HCP Survey Email - June 2025")</f>
        <v>Spain - HCP Survey Email - June 2025</v>
      </c>
      <c r="C184" s="3" t="str">
        <f>HYPERLINK("https://otsuka-europe-crm.veevavault.com/ui/#object/sent_email__v/VBLZ025E82GMX68", "SE-000267242")</f>
        <v>SE-000267242</v>
      </c>
      <c r="D184" s="1">
        <v>45915.382233796299</v>
      </c>
      <c r="E184" s="2">
        <v>1</v>
      </c>
      <c r="F184" s="2">
        <v>1</v>
      </c>
      <c r="G184" s="2">
        <v>1</v>
      </c>
      <c r="H184" s="1">
        <v>45915.382534722223</v>
      </c>
      <c r="I184" s="2">
        <v>1</v>
      </c>
      <c r="J184" s="1">
        <v>45915.377685185187</v>
      </c>
    </row>
    <row r="185" spans="1:10" x14ac:dyDescent="0.2">
      <c r="A185" s="4" t="s">
        <v>1</v>
      </c>
      <c r="B185" s="3" t="str">
        <f>HYPERLINK("https://otsuka-europe-crm.veevavault.com/ui/#object/approved_document__v/V5OZ025E82TFUPI", "Spain - HCP Survey Email - June 2025")</f>
        <v>Spain - HCP Survey Email - June 2025</v>
      </c>
      <c r="C185" s="3" t="str">
        <f>HYPERLINK("https://otsuka-europe-crm.veevavault.com/ui/#object/sent_email__v/VBLZ025E82GMX69", "SE-000267243")</f>
        <v>SE-000267243</v>
      </c>
      <c r="D185" s="1" t="s">
        <v>0</v>
      </c>
      <c r="E185" s="2">
        <v>0</v>
      </c>
      <c r="F185" s="2">
        <v>0</v>
      </c>
      <c r="G185" s="2">
        <v>0</v>
      </c>
      <c r="H185" s="1" t="s">
        <v>0</v>
      </c>
      <c r="I185" s="2">
        <v>0</v>
      </c>
      <c r="J185" s="1">
        <v>45915.378321759257</v>
      </c>
    </row>
    <row r="186" spans="1:10" x14ac:dyDescent="0.2">
      <c r="A186" s="4" t="s">
        <v>1</v>
      </c>
      <c r="B186" s="3" t="str">
        <f>HYPERLINK("https://otsuka-europe-crm.veevavault.com/ui/#object/approved_document__v/V5OZ025E82TFUPI", "Spain - HCP Survey Email - June 2025")</f>
        <v>Spain - HCP Survey Email - June 2025</v>
      </c>
      <c r="C186" s="3" t="str">
        <f>HYPERLINK("https://otsuka-europe-crm.veevavault.com/ui/#object/sent_email__v/VBLZ025E82GMX6A", "SE-000267244")</f>
        <v>SE-000267244</v>
      </c>
      <c r="D186" s="1">
        <v>45936.861145833333</v>
      </c>
      <c r="E186" s="2">
        <v>1</v>
      </c>
      <c r="F186" s="2">
        <v>3</v>
      </c>
      <c r="G186" s="2">
        <v>0</v>
      </c>
      <c r="H186" s="1" t="s">
        <v>0</v>
      </c>
      <c r="I186" s="2">
        <v>0</v>
      </c>
      <c r="J186" s="1">
        <v>45915.378981481481</v>
      </c>
    </row>
    <row r="187" spans="1:10" x14ac:dyDescent="0.2">
      <c r="A187" s="4" t="s">
        <v>1</v>
      </c>
      <c r="B187" s="3" t="str">
        <f>HYPERLINK("https://otsuka-europe-crm.veevavault.com/ui/#object/approved_document__v/V5OZ025E82TFUPI", "Spain - HCP Survey Email - June 2025")</f>
        <v>Spain - HCP Survey Email - June 2025</v>
      </c>
      <c r="C187" s="3" t="str">
        <f>HYPERLINK("https://otsuka-europe-crm.veevavault.com/ui/#object/sent_email__v/VBLZ025E82GMX6B", "SE-000267245")</f>
        <v>SE-000267245</v>
      </c>
      <c r="D187" s="1">
        <v>45915.388981481483</v>
      </c>
      <c r="E187" s="2">
        <v>1</v>
      </c>
      <c r="F187" s="2">
        <v>1</v>
      </c>
      <c r="G187" s="2">
        <v>0</v>
      </c>
      <c r="H187" s="1" t="s">
        <v>0</v>
      </c>
      <c r="I187" s="2">
        <v>0</v>
      </c>
      <c r="J187" s="1">
        <v>45915.378680555557</v>
      </c>
    </row>
    <row r="188" spans="1:10" x14ac:dyDescent="0.2">
      <c r="A188" s="4" t="s">
        <v>1</v>
      </c>
      <c r="B188" s="3" t="str">
        <f>HYPERLINK("https://otsuka-europe-crm.veevavault.com/ui/#object/approved_document__v/V5OZ025E82TFUPI", "Spain - HCP Survey Email - June 2025")</f>
        <v>Spain - HCP Survey Email - June 2025</v>
      </c>
      <c r="C188" s="3" t="str">
        <f>HYPERLINK("https://otsuka-europe-crm.veevavault.com/ui/#object/sent_email__v/VBLZ025E82GMX6C", "SE-000267246")</f>
        <v>SE-000267246</v>
      </c>
      <c r="D188" s="1" t="s">
        <v>0</v>
      </c>
      <c r="E188" s="2">
        <v>0</v>
      </c>
      <c r="F188" s="2">
        <v>0</v>
      </c>
      <c r="G188" s="2">
        <v>0</v>
      </c>
      <c r="H188" s="1" t="s">
        <v>0</v>
      </c>
      <c r="I188" s="2">
        <v>0</v>
      </c>
      <c r="J188" s="1">
        <v>45915.379270833335</v>
      </c>
    </row>
    <row r="189" spans="1:10" x14ac:dyDescent="0.2">
      <c r="A189" s="4" t="s">
        <v>1</v>
      </c>
      <c r="B189" s="3" t="str">
        <f>HYPERLINK("https://otsuka-europe-crm.veevavault.com/ui/#object/approved_document__v/V5OZ025E82TFUPI", "Spain - HCP Survey Email - June 2025")</f>
        <v>Spain - HCP Survey Email - June 2025</v>
      </c>
      <c r="C189" s="3" t="str">
        <f>HYPERLINK("https://otsuka-europe-crm.veevavault.com/ui/#object/sent_email__v/VBLZ025E82GMX6D", "SE-000267247")</f>
        <v>SE-000267247</v>
      </c>
      <c r="D189" s="1" t="s">
        <v>0</v>
      </c>
      <c r="E189" s="2">
        <v>0</v>
      </c>
      <c r="F189" s="2">
        <v>0</v>
      </c>
      <c r="G189" s="2">
        <v>0</v>
      </c>
      <c r="H189" s="1" t="s">
        <v>0</v>
      </c>
      <c r="I189" s="2">
        <v>0</v>
      </c>
      <c r="J189" s="1">
        <v>45915.377708333333</v>
      </c>
    </row>
    <row r="190" spans="1:10" x14ac:dyDescent="0.2">
      <c r="A190" s="4" t="s">
        <v>1</v>
      </c>
      <c r="B190" s="3" t="str">
        <f>HYPERLINK("https://otsuka-europe-crm.veevavault.com/ui/#object/approved_document__v/V5OZ025E82TFUPI", "Spain - HCP Survey Email - June 2025")</f>
        <v>Spain - HCP Survey Email - June 2025</v>
      </c>
      <c r="C190" s="3" t="str">
        <f>HYPERLINK("https://otsuka-europe-crm.veevavault.com/ui/#object/sent_email__v/VBLZ025E82GMX6E", "SE-000267248")</f>
        <v>SE-000267248</v>
      </c>
      <c r="D190" s="1">
        <v>45915.570625</v>
      </c>
      <c r="E190" s="2">
        <v>1</v>
      </c>
      <c r="F190" s="2">
        <v>1</v>
      </c>
      <c r="G190" s="2">
        <v>1</v>
      </c>
      <c r="H190" s="1">
        <v>45915.570625</v>
      </c>
      <c r="I190" s="2">
        <v>1</v>
      </c>
      <c r="J190" s="1">
        <v>45915.378472222219</v>
      </c>
    </row>
    <row r="191" spans="1:10" x14ac:dyDescent="0.2">
      <c r="A191" s="4" t="s">
        <v>1</v>
      </c>
      <c r="B191" s="3" t="str">
        <f>HYPERLINK("https://otsuka-europe-crm.veevavault.com/ui/#object/approved_document__v/V5OZ025E82TFUPI", "Spain - HCP Survey Email - June 2025")</f>
        <v>Spain - HCP Survey Email - June 2025</v>
      </c>
      <c r="C191" s="3" t="str">
        <f>HYPERLINK("https://otsuka-europe-crm.veevavault.com/ui/#object/sent_email__v/VBLZ025E82GMX6F", "SE-000267249")</f>
        <v>SE-000267249</v>
      </c>
      <c r="D191" s="1">
        <v>45933.003622685188</v>
      </c>
      <c r="E191" s="2">
        <v>1</v>
      </c>
      <c r="F191" s="2">
        <v>4</v>
      </c>
      <c r="G191" s="2">
        <v>0</v>
      </c>
      <c r="H191" s="1" t="s">
        <v>0</v>
      </c>
      <c r="I191" s="2">
        <v>0</v>
      </c>
      <c r="J191" s="1">
        <v>45915.377916666665</v>
      </c>
    </row>
    <row r="192" spans="1:10" x14ac:dyDescent="0.2">
      <c r="A192" s="4" t="s">
        <v>1</v>
      </c>
      <c r="B192" s="3" t="str">
        <f>HYPERLINK("https://otsuka-europe-crm.veevavault.com/ui/#object/approved_document__v/V5OZ025E82TFUPI", "Spain - HCP Survey Email - June 2025")</f>
        <v>Spain - HCP Survey Email - June 2025</v>
      </c>
      <c r="C192" s="3" t="str">
        <f>HYPERLINK("https://otsuka-europe-crm.veevavault.com/ui/#object/sent_email__v/VBLZ025E82GMX6G", "SE-000267250")</f>
        <v>SE-000267250</v>
      </c>
      <c r="D192" s="1">
        <v>45918.252662037034</v>
      </c>
      <c r="E192" s="2">
        <v>1</v>
      </c>
      <c r="F192" s="2">
        <v>1</v>
      </c>
      <c r="G192" s="2">
        <v>0</v>
      </c>
      <c r="H192" s="1" t="s">
        <v>0</v>
      </c>
      <c r="I192" s="2">
        <v>0</v>
      </c>
      <c r="J192" s="1">
        <v>45915.378611111111</v>
      </c>
    </row>
    <row r="193" spans="1:10" x14ac:dyDescent="0.2">
      <c r="A193" s="4" t="s">
        <v>1</v>
      </c>
      <c r="B193" s="3" t="str">
        <f>HYPERLINK("https://otsuka-europe-crm.veevavault.com/ui/#object/approved_document__v/V5OZ025E82TFUPI", "Spain - HCP Survey Email - June 2025")</f>
        <v>Spain - HCP Survey Email - June 2025</v>
      </c>
      <c r="C193" s="3" t="str">
        <f>HYPERLINK("https://otsuka-europe-crm.veevavault.com/ui/#object/sent_email__v/VBLZ025E82GMX6H", "SE-000267251")</f>
        <v>SE-000267251</v>
      </c>
      <c r="D193" s="1" t="s">
        <v>0</v>
      </c>
      <c r="E193" s="2">
        <v>0</v>
      </c>
      <c r="F193" s="2">
        <v>0</v>
      </c>
      <c r="G193" s="2">
        <v>0</v>
      </c>
      <c r="H193" s="1" t="s">
        <v>0</v>
      </c>
      <c r="I193" s="2">
        <v>0</v>
      </c>
      <c r="J193" s="1">
        <v>45915.379537037035</v>
      </c>
    </row>
    <row r="194" spans="1:10" x14ac:dyDescent="0.2">
      <c r="A194" s="4" t="s">
        <v>1</v>
      </c>
      <c r="B194" s="3" t="str">
        <f>HYPERLINK("https://otsuka-europe-crm.veevavault.com/ui/#object/approved_document__v/V5OZ025E82TFUPI", "Spain - HCP Survey Email - June 2025")</f>
        <v>Spain - HCP Survey Email - June 2025</v>
      </c>
      <c r="C194" s="3" t="str">
        <f>HYPERLINK("https://otsuka-europe-crm.veevavault.com/ui/#object/sent_email__v/VBLZ025E82GMX6I", "SE-000267252")</f>
        <v>SE-000267252</v>
      </c>
      <c r="D194" s="1">
        <v>45916.422060185185</v>
      </c>
      <c r="E194" s="2">
        <v>1</v>
      </c>
      <c r="F194" s="2">
        <v>2</v>
      </c>
      <c r="G194" s="2">
        <v>1</v>
      </c>
      <c r="H194" s="1">
        <v>45915.382407407407</v>
      </c>
      <c r="I194" s="2">
        <v>1</v>
      </c>
      <c r="J194" s="1">
        <v>45915.379259259258</v>
      </c>
    </row>
    <row r="195" spans="1:10" x14ac:dyDescent="0.2">
      <c r="A195" s="4" t="s">
        <v>1</v>
      </c>
      <c r="B195" s="3" t="str">
        <f>HYPERLINK("https://otsuka-europe-crm.veevavault.com/ui/#object/approved_document__v/V5OZ025E82TFUPI", "Spain - HCP Survey Email - June 2025")</f>
        <v>Spain - HCP Survey Email - June 2025</v>
      </c>
      <c r="C195" s="3" t="str">
        <f>HYPERLINK("https://otsuka-europe-crm.veevavault.com/ui/#object/sent_email__v/VBLZ025E82GMX6J", "SE-000267253")</f>
        <v>SE-000267253</v>
      </c>
      <c r="D195" s="1">
        <v>45915.994444444441</v>
      </c>
      <c r="E195" s="2">
        <v>1</v>
      </c>
      <c r="F195" s="2">
        <v>1</v>
      </c>
      <c r="G195" s="2">
        <v>0</v>
      </c>
      <c r="H195" s="1" t="s">
        <v>0</v>
      </c>
      <c r="I195" s="2">
        <v>0</v>
      </c>
      <c r="J195" s="1">
        <v>45915.377627314818</v>
      </c>
    </row>
    <row r="196" spans="1:10" x14ac:dyDescent="0.2">
      <c r="A196" s="4" t="s">
        <v>1</v>
      </c>
      <c r="B196" s="3" t="str">
        <f>HYPERLINK("https://otsuka-europe-crm.veevavault.com/ui/#object/approved_document__v/V5OZ025E82TFUPI", "Spain - HCP Survey Email - June 2025")</f>
        <v>Spain - HCP Survey Email - June 2025</v>
      </c>
      <c r="C196" s="3" t="str">
        <f>HYPERLINK("https://otsuka-europe-crm.veevavault.com/ui/#object/sent_email__v/VBLZ025E82GMX6K", "SE-000267254")</f>
        <v>SE-000267254</v>
      </c>
      <c r="D196" s="1" t="s">
        <v>0</v>
      </c>
      <c r="E196" s="2">
        <v>0</v>
      </c>
      <c r="F196" s="2">
        <v>0</v>
      </c>
      <c r="G196" s="2">
        <v>0</v>
      </c>
      <c r="H196" s="1" t="s">
        <v>0</v>
      </c>
      <c r="I196" s="2">
        <v>0</v>
      </c>
      <c r="J196" s="1">
        <v>45915.378182870372</v>
      </c>
    </row>
    <row r="197" spans="1:10" x14ac:dyDescent="0.2">
      <c r="A197" s="4" t="s">
        <v>1</v>
      </c>
      <c r="B197" s="3" t="str">
        <f>HYPERLINK("https://otsuka-europe-crm.veevavault.com/ui/#object/approved_document__v/V5OZ025E82TFUPI", "Spain - HCP Survey Email - June 2025")</f>
        <v>Spain - HCP Survey Email - June 2025</v>
      </c>
      <c r="C197" s="3" t="str">
        <f>HYPERLINK("https://otsuka-europe-crm.veevavault.com/ui/#object/sent_email__v/VBLZ025E82GMX6L", "SE-000267255")</f>
        <v>SE-000267255</v>
      </c>
      <c r="D197" s="1" t="s">
        <v>0</v>
      </c>
      <c r="E197" s="2">
        <v>0</v>
      </c>
      <c r="F197" s="2">
        <v>0</v>
      </c>
      <c r="G197" s="2">
        <v>0</v>
      </c>
      <c r="H197" s="1" t="s">
        <v>0</v>
      </c>
      <c r="I197" s="2">
        <v>0</v>
      </c>
      <c r="J197" s="1">
        <v>45915.378993055558</v>
      </c>
    </row>
    <row r="198" spans="1:10" x14ac:dyDescent="0.2">
      <c r="A198" s="4" t="s">
        <v>1</v>
      </c>
      <c r="B198" s="3" t="str">
        <f>HYPERLINK("https://otsuka-europe-crm.veevavault.com/ui/#object/approved_document__v/V5OZ025E82TFUPI", "Spain - HCP Survey Email - June 2025")</f>
        <v>Spain - HCP Survey Email - June 2025</v>
      </c>
      <c r="C198" s="3" t="str">
        <f>HYPERLINK("https://otsuka-europe-crm.veevavault.com/ui/#object/sent_email__v/VBLZ025E82GMX6M", "SE-000267256")</f>
        <v>SE-000267256</v>
      </c>
      <c r="D198" s="1">
        <v>45915.405023148145</v>
      </c>
      <c r="E198" s="2">
        <v>1</v>
      </c>
      <c r="F198" s="2">
        <v>2</v>
      </c>
      <c r="G198" s="2">
        <v>0</v>
      </c>
      <c r="H198" s="1" t="s">
        <v>0</v>
      </c>
      <c r="I198" s="2">
        <v>0</v>
      </c>
      <c r="J198" s="1">
        <v>45915.378657407404</v>
      </c>
    </row>
    <row r="199" spans="1:10" x14ac:dyDescent="0.2">
      <c r="A199" s="4" t="s">
        <v>1</v>
      </c>
      <c r="B199" s="3" t="str">
        <f>HYPERLINK("https://otsuka-europe-crm.veevavault.com/ui/#object/approved_document__v/V5OZ025E82TFUPI", "Spain - HCP Survey Email - June 2025")</f>
        <v>Spain - HCP Survey Email - June 2025</v>
      </c>
      <c r="C199" s="3" t="str">
        <f>HYPERLINK("https://otsuka-europe-crm.veevavault.com/ui/#object/sent_email__v/VBLZ025E82GMX6N", "SE-000267257")</f>
        <v>SE-000267257</v>
      </c>
      <c r="D199" s="1" t="s">
        <v>0</v>
      </c>
      <c r="E199" s="2">
        <v>0</v>
      </c>
      <c r="F199" s="2">
        <v>0</v>
      </c>
      <c r="G199" s="2">
        <v>0</v>
      </c>
      <c r="H199" s="1" t="s">
        <v>0</v>
      </c>
      <c r="I199" s="2">
        <v>0</v>
      </c>
      <c r="J199" s="1">
        <v>45915.379421296297</v>
      </c>
    </row>
    <row r="200" spans="1:10" x14ac:dyDescent="0.2">
      <c r="A200" s="4" t="s">
        <v>1</v>
      </c>
      <c r="B200" s="3" t="str">
        <f>HYPERLINK("https://otsuka-europe-crm.veevavault.com/ui/#object/approved_document__v/V5OZ025E82TFUPI", "Spain - HCP Survey Email - June 2025")</f>
        <v>Spain - HCP Survey Email - June 2025</v>
      </c>
      <c r="C200" s="3" t="str">
        <f>HYPERLINK("https://otsuka-europe-crm.veevavault.com/ui/#object/sent_email__v/VBLZ025E82GMX6O", "SE-000267258")</f>
        <v>SE-000267258</v>
      </c>
      <c r="D200" s="1" t="s">
        <v>0</v>
      </c>
      <c r="E200" s="2">
        <v>0</v>
      </c>
      <c r="F200" s="2">
        <v>0</v>
      </c>
      <c r="G200" s="2">
        <v>0</v>
      </c>
      <c r="H200" s="1" t="s">
        <v>0</v>
      </c>
      <c r="I200" s="2">
        <v>0</v>
      </c>
      <c r="J200" s="1">
        <v>45915.37773148148</v>
      </c>
    </row>
    <row r="201" spans="1:10" x14ac:dyDescent="0.2">
      <c r="A201" s="4" t="s">
        <v>1</v>
      </c>
      <c r="B201" s="3" t="str">
        <f>HYPERLINK("https://otsuka-europe-crm.veevavault.com/ui/#object/approved_document__v/V5OZ025E82TFUPI", "Spain - HCP Survey Email - June 2025")</f>
        <v>Spain - HCP Survey Email - June 2025</v>
      </c>
      <c r="C201" s="3" t="str">
        <f>HYPERLINK("https://otsuka-europe-crm.veevavault.com/ui/#object/sent_email__v/VBLZ025E82GMX6P", "SE-000267259")</f>
        <v>SE-000267259</v>
      </c>
      <c r="D201" s="1" t="s">
        <v>0</v>
      </c>
      <c r="E201" s="2">
        <v>0</v>
      </c>
      <c r="F201" s="2">
        <v>0</v>
      </c>
      <c r="G201" s="2">
        <v>0</v>
      </c>
      <c r="H201" s="1" t="s">
        <v>0</v>
      </c>
      <c r="I201" s="2">
        <v>0</v>
      </c>
      <c r="J201" s="1">
        <v>45915.378460648149</v>
      </c>
    </row>
    <row r="202" spans="1:10" x14ac:dyDescent="0.2">
      <c r="A202" s="4" t="s">
        <v>1</v>
      </c>
      <c r="B202" s="3" t="str">
        <f>HYPERLINK("https://otsuka-europe-crm.veevavault.com/ui/#object/approved_document__v/V5OZ025E82TFUPI", "Spain - HCP Survey Email - June 2025")</f>
        <v>Spain - HCP Survey Email - June 2025</v>
      </c>
      <c r="C202" s="3" t="str">
        <f>HYPERLINK("https://otsuka-europe-crm.veevavault.com/ui/#object/sent_email__v/VBLZ025E82GMX6Q", "SE-000267260")</f>
        <v>SE-000267260</v>
      </c>
      <c r="D202" s="1">
        <v>45940.460601851853</v>
      </c>
      <c r="E202" s="2">
        <v>1</v>
      </c>
      <c r="F202" s="2">
        <v>2</v>
      </c>
      <c r="G202" s="2">
        <v>0</v>
      </c>
      <c r="H202" s="1" t="s">
        <v>0</v>
      </c>
      <c r="I202" s="2">
        <v>0</v>
      </c>
      <c r="J202" s="1">
        <v>45915.377893518518</v>
      </c>
    </row>
    <row r="203" spans="1:10" x14ac:dyDescent="0.2">
      <c r="A203" s="4" t="s">
        <v>1</v>
      </c>
      <c r="B203" s="3" t="str">
        <f>HYPERLINK("https://otsuka-europe-crm.veevavault.com/ui/#object/approved_document__v/V5OZ025E82TFUPI", "Spain - HCP Survey Email - June 2025")</f>
        <v>Spain - HCP Survey Email - June 2025</v>
      </c>
      <c r="C203" s="3" t="str">
        <f>HYPERLINK("https://otsuka-europe-crm.veevavault.com/ui/#object/sent_email__v/VBLZ025E82GMX6R", "SE-000267261")</f>
        <v>SE-000267261</v>
      </c>
      <c r="D203" s="1">
        <v>45915.418668981481</v>
      </c>
      <c r="E203" s="2">
        <v>1</v>
      </c>
      <c r="F203" s="2">
        <v>1</v>
      </c>
      <c r="G203" s="2">
        <v>0</v>
      </c>
      <c r="H203" s="1" t="s">
        <v>0</v>
      </c>
      <c r="I203" s="2">
        <v>0</v>
      </c>
      <c r="J203" s="1">
        <v>45915.378622685188</v>
      </c>
    </row>
    <row r="204" spans="1:10" x14ac:dyDescent="0.2">
      <c r="A204" s="4" t="s">
        <v>1</v>
      </c>
      <c r="B204" s="3" t="str">
        <f>HYPERLINK("https://otsuka-europe-crm.veevavault.com/ui/#object/approved_document__v/V5OZ025E82TFUPI", "Spain - HCP Survey Email - June 2025")</f>
        <v>Spain - HCP Survey Email - June 2025</v>
      </c>
      <c r="C204" s="3" t="str">
        <f>HYPERLINK("https://otsuka-europe-crm.veevavault.com/ui/#object/sent_email__v/VBLZ025E82GMX6S", "SE-000267262")</f>
        <v>SE-000267262</v>
      </c>
      <c r="D204" s="1">
        <v>45915.980381944442</v>
      </c>
      <c r="E204" s="2">
        <v>1</v>
      </c>
      <c r="F204" s="2">
        <v>1</v>
      </c>
      <c r="G204" s="2">
        <v>0</v>
      </c>
      <c r="H204" s="1" t="s">
        <v>0</v>
      </c>
      <c r="I204" s="2">
        <v>0</v>
      </c>
      <c r="J204" s="1">
        <v>45915.377557870372</v>
      </c>
    </row>
    <row r="205" spans="1:10" x14ac:dyDescent="0.2">
      <c r="A205" s="4" t="s">
        <v>1</v>
      </c>
      <c r="B205" s="3" t="str">
        <f>HYPERLINK("https://otsuka-europe-crm.veevavault.com/ui/#object/approved_document__v/V5OZ025E82TFUPI", "Spain - HCP Survey Email - June 2025")</f>
        <v>Spain - HCP Survey Email - June 2025</v>
      </c>
      <c r="C205" s="3" t="str">
        <f>HYPERLINK("https://otsuka-europe-crm.veevavault.com/ui/#object/sent_email__v/VBLZ025E82GMX6T", "SE-000267263")</f>
        <v>SE-000267263</v>
      </c>
      <c r="D205" s="1">
        <v>45916.27447916667</v>
      </c>
      <c r="E205" s="2">
        <v>1</v>
      </c>
      <c r="F205" s="2">
        <v>6</v>
      </c>
      <c r="G205" s="2">
        <v>1</v>
      </c>
      <c r="H205" s="1">
        <v>45916.274247685185</v>
      </c>
      <c r="I205" s="2">
        <v>2</v>
      </c>
      <c r="J205" s="1">
        <v>45915.378229166665</v>
      </c>
    </row>
    <row r="206" spans="1:10" x14ac:dyDescent="0.2">
      <c r="A206" s="4" t="s">
        <v>1</v>
      </c>
      <c r="B206" s="3" t="str">
        <f>HYPERLINK("https://otsuka-europe-crm.veevavault.com/ui/#object/approved_document__v/V5OZ025E82TFUPI", "Spain - HCP Survey Email - June 2025")</f>
        <v>Spain - HCP Survey Email - June 2025</v>
      </c>
      <c r="C206" s="3" t="str">
        <f>HYPERLINK("https://otsuka-europe-crm.veevavault.com/ui/#object/sent_email__v/VBLZ025E82GMX6U", "SE-000267264")</f>
        <v>SE-000267264</v>
      </c>
      <c r="D206" s="1" t="s">
        <v>0</v>
      </c>
      <c r="E206" s="2">
        <v>0</v>
      </c>
      <c r="F206" s="2">
        <v>0</v>
      </c>
      <c r="G206" s="2">
        <v>0</v>
      </c>
      <c r="H206" s="1" t="s">
        <v>0</v>
      </c>
      <c r="I206" s="2">
        <v>0</v>
      </c>
      <c r="J206" s="1">
        <v>45915.378946759258</v>
      </c>
    </row>
    <row r="207" spans="1:10" x14ac:dyDescent="0.2">
      <c r="A207" s="4" t="s">
        <v>1</v>
      </c>
      <c r="B207" s="3" t="str">
        <f>HYPERLINK("https://otsuka-europe-crm.veevavault.com/ui/#object/approved_document__v/V5OZ025E82TFUPI", "Spain - HCP Survey Email - June 2025")</f>
        <v>Spain - HCP Survey Email - June 2025</v>
      </c>
      <c r="C207" s="3" t="str">
        <f>HYPERLINK("https://otsuka-europe-crm.veevavault.com/ui/#object/sent_email__v/VBLZ025E82GMX6V", "SE-000267265")</f>
        <v>SE-000267265</v>
      </c>
      <c r="D207" s="1">
        <v>45915.887928240743</v>
      </c>
      <c r="E207" s="2">
        <v>1</v>
      </c>
      <c r="F207" s="2">
        <v>2</v>
      </c>
      <c r="G207" s="2">
        <v>1</v>
      </c>
      <c r="H207" s="1">
        <v>45915.435150462959</v>
      </c>
      <c r="I207" s="2">
        <v>2</v>
      </c>
      <c r="J207" s="1">
        <v>45915.379965277774</v>
      </c>
    </row>
    <row r="208" spans="1:10" x14ac:dyDescent="0.2">
      <c r="A208" s="4" t="s">
        <v>1</v>
      </c>
      <c r="B208" s="3" t="str">
        <f>HYPERLINK("https://otsuka-europe-crm.veevavault.com/ui/#object/approved_document__v/V5OZ025E82TFUPI", "Spain - HCP Survey Email - June 2025")</f>
        <v>Spain - HCP Survey Email - June 2025</v>
      </c>
      <c r="C208" s="3" t="str">
        <f>HYPERLINK("https://otsuka-europe-crm.veevavault.com/ui/#object/sent_email__v/VBLZ025E82GMX6W", "SE-000267266")</f>
        <v>SE-000267266</v>
      </c>
      <c r="D208" s="1" t="s">
        <v>0</v>
      </c>
      <c r="E208" s="2">
        <v>0</v>
      </c>
      <c r="F208" s="2">
        <v>0</v>
      </c>
      <c r="G208" s="2">
        <v>0</v>
      </c>
      <c r="H208" s="1" t="s">
        <v>0</v>
      </c>
      <c r="I208" s="2">
        <v>0</v>
      </c>
      <c r="J208" s="1">
        <v>45915.379108796296</v>
      </c>
    </row>
    <row r="209" spans="1:10" x14ac:dyDescent="0.2">
      <c r="A209" s="4" t="s">
        <v>1</v>
      </c>
      <c r="B209" s="3" t="str">
        <f>HYPERLINK("https://otsuka-europe-crm.veevavault.com/ui/#object/approved_document__v/V5OZ025E82TFUPI", "Spain - HCP Survey Email - June 2025")</f>
        <v>Spain - HCP Survey Email - June 2025</v>
      </c>
      <c r="C209" s="3" t="str">
        <f>HYPERLINK("https://otsuka-europe-crm.veevavault.com/ui/#object/sent_email__v/VBLZ025E82GMX6X", "SE-000267267")</f>
        <v>SE-000267267</v>
      </c>
      <c r="D209" s="1" t="s">
        <v>0</v>
      </c>
      <c r="E209" s="2">
        <v>0</v>
      </c>
      <c r="F209" s="2">
        <v>0</v>
      </c>
      <c r="G209" s="2">
        <v>0</v>
      </c>
      <c r="H209" s="1" t="s">
        <v>0</v>
      </c>
      <c r="I209" s="2">
        <v>0</v>
      </c>
      <c r="J209" s="1">
        <v>45915.377569444441</v>
      </c>
    </row>
    <row r="210" spans="1:10" x14ac:dyDescent="0.2">
      <c r="A210" s="4" t="s">
        <v>1</v>
      </c>
      <c r="B210" s="3" t="str">
        <f>HYPERLINK("https://otsuka-europe-crm.veevavault.com/ui/#object/approved_document__v/V5OZ025E82TFUPI", "Spain - HCP Survey Email - June 2025")</f>
        <v>Spain - HCP Survey Email - June 2025</v>
      </c>
      <c r="C210" s="3" t="str">
        <f>HYPERLINK("https://otsuka-europe-crm.veevavault.com/ui/#object/sent_email__v/VBLZ025E82GMX6Y", "SE-000267268")</f>
        <v>SE-000267268</v>
      </c>
      <c r="D210" s="1" t="s">
        <v>0</v>
      </c>
      <c r="E210" s="2">
        <v>0</v>
      </c>
      <c r="F210" s="2">
        <v>0</v>
      </c>
      <c r="G210" s="2">
        <v>0</v>
      </c>
      <c r="H210" s="1" t="s">
        <v>0</v>
      </c>
      <c r="I210" s="2">
        <v>0</v>
      </c>
      <c r="J210" s="1">
        <v>45915.378298611111</v>
      </c>
    </row>
    <row r="211" spans="1:10" x14ac:dyDescent="0.2">
      <c r="A211" s="4" t="s">
        <v>1</v>
      </c>
      <c r="B211" s="3" t="str">
        <f>HYPERLINK("https://otsuka-europe-crm.veevavault.com/ui/#object/approved_document__v/V5OZ025E82TFUPI", "Spain - HCP Survey Email - June 2025")</f>
        <v>Spain - HCP Survey Email - June 2025</v>
      </c>
      <c r="C211" s="3" t="str">
        <f>HYPERLINK("https://otsuka-europe-crm.veevavault.com/ui/#object/sent_email__v/VBLZ025E82GMX6Z", "SE-000267269")</f>
        <v>SE-000267269</v>
      </c>
      <c r="D211" s="1">
        <v>45920.73541666667</v>
      </c>
      <c r="E211" s="2">
        <v>1</v>
      </c>
      <c r="F211" s="2">
        <v>3</v>
      </c>
      <c r="G211" s="2">
        <v>0</v>
      </c>
      <c r="H211" s="1" t="s">
        <v>0</v>
      </c>
      <c r="I211" s="2">
        <v>0</v>
      </c>
      <c r="J211" s="1">
        <v>45915.378900462965</v>
      </c>
    </row>
    <row r="212" spans="1:10" x14ac:dyDescent="0.2">
      <c r="A212" s="4" t="s">
        <v>1</v>
      </c>
      <c r="B212" s="3" t="str">
        <f>HYPERLINK("https://otsuka-europe-crm.veevavault.com/ui/#object/approved_document__v/V5OZ025E82TFUPI", "Spain - HCP Survey Email - June 2025")</f>
        <v>Spain - HCP Survey Email - June 2025</v>
      </c>
      <c r="C212" s="3" t="str">
        <f>HYPERLINK("https://otsuka-europe-crm.veevavault.com/ui/#object/sent_email__v/VBLZ025E82GMX70", "SE-000267270")</f>
        <v>SE-000267270</v>
      </c>
      <c r="D212" s="1">
        <v>45918.900856481479</v>
      </c>
      <c r="E212" s="2">
        <v>1</v>
      </c>
      <c r="F212" s="2">
        <v>2</v>
      </c>
      <c r="G212" s="2">
        <v>1</v>
      </c>
      <c r="H212" s="1">
        <v>45918.901087962964</v>
      </c>
      <c r="I212" s="2">
        <v>1</v>
      </c>
      <c r="J212" s="1">
        <v>45915.378483796296</v>
      </c>
    </row>
    <row r="213" spans="1:10" x14ac:dyDescent="0.2">
      <c r="A213" s="4" t="s">
        <v>1</v>
      </c>
      <c r="B213" s="3" t="str">
        <f>HYPERLINK("https://otsuka-europe-crm.veevavault.com/ui/#object/approved_document__v/V5OZ025E82TFUPI", "Spain - HCP Survey Email - June 2025")</f>
        <v>Spain - HCP Survey Email - June 2025</v>
      </c>
      <c r="C213" s="3" t="str">
        <f>HYPERLINK("https://otsuka-europe-crm.veevavault.com/ui/#object/sent_email__v/VBLZ025E82GMX71", "SE-000267271")</f>
        <v>SE-000267271</v>
      </c>
      <c r="D213" s="1">
        <v>45915.574756944443</v>
      </c>
      <c r="E213" s="2">
        <v>1</v>
      </c>
      <c r="F213" s="2">
        <v>2</v>
      </c>
      <c r="G213" s="2">
        <v>0</v>
      </c>
      <c r="H213" s="1" t="s">
        <v>0</v>
      </c>
      <c r="I213" s="2">
        <v>0</v>
      </c>
      <c r="J213" s="1">
        <v>45915.379374999997</v>
      </c>
    </row>
    <row r="214" spans="1:10" x14ac:dyDescent="0.2">
      <c r="A214" s="4" t="s">
        <v>1</v>
      </c>
      <c r="B214" s="3" t="str">
        <f>HYPERLINK("https://otsuka-europe-crm.veevavault.com/ui/#object/approved_document__v/V5OZ025E82TFUPI", "Spain - HCP Survey Email - June 2025")</f>
        <v>Spain - HCP Survey Email - June 2025</v>
      </c>
      <c r="C214" s="3" t="str">
        <f>HYPERLINK("https://otsuka-europe-crm.veevavault.com/ui/#object/sent_email__v/VBLZ025E82GMX72", "SE-000267272")</f>
        <v>SE-000267272</v>
      </c>
      <c r="D214" s="1" t="s">
        <v>0</v>
      </c>
      <c r="E214" s="2">
        <v>0</v>
      </c>
      <c r="F214" s="2">
        <v>0</v>
      </c>
      <c r="G214" s="2">
        <v>0</v>
      </c>
      <c r="H214" s="1" t="s">
        <v>0</v>
      </c>
      <c r="I214" s="2">
        <v>0</v>
      </c>
      <c r="J214" s="1">
        <v>45915.378275462965</v>
      </c>
    </row>
    <row r="215" spans="1:10" x14ac:dyDescent="0.2">
      <c r="A215" s="4" t="s">
        <v>1</v>
      </c>
      <c r="B215" s="3" t="str">
        <f>HYPERLINK("https://otsuka-europe-crm.veevavault.com/ui/#object/approved_document__v/V5OZ025E82TFUPI", "Spain - HCP Survey Email - June 2025")</f>
        <v>Spain - HCP Survey Email - June 2025</v>
      </c>
      <c r="C215" s="3" t="str">
        <f>HYPERLINK("https://otsuka-europe-crm.veevavault.com/ui/#object/sent_email__v/VBLZ025E82GMX73", "SE-000267273")</f>
        <v>SE-000267273</v>
      </c>
      <c r="D215" s="1" t="s">
        <v>0</v>
      </c>
      <c r="E215" s="2">
        <v>0</v>
      </c>
      <c r="F215" s="2">
        <v>0</v>
      </c>
      <c r="G215" s="2">
        <v>0</v>
      </c>
      <c r="H215" s="1" t="s">
        <v>0</v>
      </c>
      <c r="I215" s="2">
        <v>0</v>
      </c>
      <c r="J215" s="1">
        <v>45915.378958333335</v>
      </c>
    </row>
    <row r="216" spans="1:10" x14ac:dyDescent="0.2">
      <c r="A216" s="4" t="s">
        <v>1</v>
      </c>
      <c r="B216" s="3" t="str">
        <f>HYPERLINK("https://otsuka-europe-crm.veevavault.com/ui/#object/approved_document__v/V5OZ025E82TFUPI", "Spain - HCP Survey Email - June 2025")</f>
        <v>Spain - HCP Survey Email - June 2025</v>
      </c>
      <c r="C216" s="3" t="str">
        <f>HYPERLINK("https://otsuka-europe-crm.veevavault.com/ui/#object/sent_email__v/VBLZ025E82GMX74", "SE-000267274")</f>
        <v>SE-000267274</v>
      </c>
      <c r="D216" s="1">
        <v>45916.263391203705</v>
      </c>
      <c r="E216" s="2">
        <v>1</v>
      </c>
      <c r="F216" s="2">
        <v>2</v>
      </c>
      <c r="G216" s="2">
        <v>0</v>
      </c>
      <c r="H216" s="1" t="s">
        <v>0</v>
      </c>
      <c r="I216" s="2">
        <v>0</v>
      </c>
      <c r="J216" s="1">
        <v>45915.378506944442</v>
      </c>
    </row>
    <row r="217" spans="1:10" x14ac:dyDescent="0.2">
      <c r="A217" s="4" t="s">
        <v>1</v>
      </c>
      <c r="B217" s="3" t="str">
        <f>HYPERLINK("https://otsuka-europe-crm.veevavault.com/ui/#object/approved_document__v/V5OZ025E82TFUPI", "Spain - HCP Survey Email - June 2025")</f>
        <v>Spain - HCP Survey Email - June 2025</v>
      </c>
      <c r="C217" s="3" t="str">
        <f>HYPERLINK("https://otsuka-europe-crm.veevavault.com/ui/#object/sent_email__v/VBLZ025E82GMX75", "SE-000267275")</f>
        <v>SE-000267275</v>
      </c>
      <c r="D217" s="1" t="s">
        <v>0</v>
      </c>
      <c r="E217" s="2">
        <v>0</v>
      </c>
      <c r="F217" s="2">
        <v>0</v>
      </c>
      <c r="G217" s="2">
        <v>0</v>
      </c>
      <c r="H217" s="1" t="s">
        <v>0</v>
      </c>
      <c r="I217" s="2">
        <v>0</v>
      </c>
      <c r="J217" s="1">
        <v>45915.379305555558</v>
      </c>
    </row>
    <row r="218" spans="1:10" x14ac:dyDescent="0.2">
      <c r="A218" s="4" t="s">
        <v>1</v>
      </c>
      <c r="B218" s="3" t="str">
        <f>HYPERLINK("https://otsuka-europe-crm.veevavault.com/ui/#object/approved_document__v/V5OZ025E82TFUPI", "Spain - HCP Survey Email - June 2025")</f>
        <v>Spain - HCP Survey Email - June 2025</v>
      </c>
      <c r="C218" s="3" t="str">
        <f>HYPERLINK("https://otsuka-europe-crm.veevavault.com/ui/#object/sent_email__v/VBLZ025E82GMX76", "SE-000267276")</f>
        <v>SE-000267276</v>
      </c>
      <c r="D218" s="1" t="s">
        <v>0</v>
      </c>
      <c r="E218" s="2">
        <v>0</v>
      </c>
      <c r="F218" s="2">
        <v>0</v>
      </c>
      <c r="G218" s="2">
        <v>0</v>
      </c>
      <c r="H218" s="1" t="s">
        <v>0</v>
      </c>
      <c r="I218" s="2">
        <v>0</v>
      </c>
      <c r="J218" s="1">
        <v>45915.377696759257</v>
      </c>
    </row>
    <row r="219" spans="1:10" x14ac:dyDescent="0.2">
      <c r="A219" s="4" t="s">
        <v>1</v>
      </c>
      <c r="B219" s="3" t="str">
        <f>HYPERLINK("https://otsuka-europe-crm.veevavault.com/ui/#object/approved_document__v/V5OZ025E82TFUPI", "Spain - HCP Survey Email - June 2025")</f>
        <v>Spain - HCP Survey Email - June 2025</v>
      </c>
      <c r="C219" s="3" t="str">
        <f>HYPERLINK("https://otsuka-europe-crm.veevavault.com/ui/#object/sent_email__v/VBLZ025E82GMX77", "SE-000267277")</f>
        <v>SE-000267277</v>
      </c>
      <c r="D219" s="1">
        <v>45920.724780092591</v>
      </c>
      <c r="E219" s="2">
        <v>1</v>
      </c>
      <c r="F219" s="2">
        <v>2</v>
      </c>
      <c r="G219" s="2">
        <v>0</v>
      </c>
      <c r="H219" s="1" t="s">
        <v>0</v>
      </c>
      <c r="I219" s="2">
        <v>0</v>
      </c>
      <c r="J219" s="1">
        <v>45915.377511574072</v>
      </c>
    </row>
    <row r="220" spans="1:10" x14ac:dyDescent="0.2">
      <c r="A220" s="4" t="s">
        <v>1</v>
      </c>
      <c r="B220" s="3" t="str">
        <f>HYPERLINK("https://otsuka-europe-crm.veevavault.com/ui/#object/approved_document__v/V5OZ025E82TFUPI", "Spain - HCP Survey Email - June 2025")</f>
        <v>Spain - HCP Survey Email - June 2025</v>
      </c>
      <c r="C220" s="3" t="str">
        <f>HYPERLINK("https://otsuka-europe-crm.veevavault.com/ui/#object/sent_email__v/VBLZ025E82GMX79", "SE-000267279")</f>
        <v>SE-000267279</v>
      </c>
      <c r="D220" s="1" t="s">
        <v>0</v>
      </c>
      <c r="E220" s="2">
        <v>0</v>
      </c>
      <c r="F220" s="2">
        <v>0</v>
      </c>
      <c r="G220" s="2">
        <v>0</v>
      </c>
      <c r="H220" s="1" t="s">
        <v>0</v>
      </c>
      <c r="I220" s="2">
        <v>0</v>
      </c>
      <c r="J220" s="1">
        <v>45915.378935185188</v>
      </c>
    </row>
    <row r="221" spans="1:10" x14ac:dyDescent="0.2">
      <c r="A221" s="4" t="s">
        <v>1</v>
      </c>
      <c r="B221" s="3" t="str">
        <f>HYPERLINK("https://otsuka-europe-crm.veevavault.com/ui/#object/approved_document__v/V5OZ025E82TFUPI", "Spain - HCP Survey Email - June 2025")</f>
        <v>Spain - HCP Survey Email - June 2025</v>
      </c>
      <c r="C221" s="3" t="str">
        <f>HYPERLINK("https://otsuka-europe-crm.veevavault.com/ui/#object/sent_email__v/VBLZ025E82GMX7A", "SE-000267280")</f>
        <v>SE-000267280</v>
      </c>
      <c r="D221" s="1">
        <v>45915.502974537034</v>
      </c>
      <c r="E221" s="2">
        <v>1</v>
      </c>
      <c r="F221" s="2">
        <v>1</v>
      </c>
      <c r="G221" s="2">
        <v>0</v>
      </c>
      <c r="H221" s="1" t="s">
        <v>0</v>
      </c>
      <c r="I221" s="2">
        <v>0</v>
      </c>
      <c r="J221" s="1">
        <v>45915.379837962966</v>
      </c>
    </row>
    <row r="222" spans="1:10" x14ac:dyDescent="0.2">
      <c r="A222" s="4" t="s">
        <v>1</v>
      </c>
      <c r="B222" s="3" t="str">
        <f>HYPERLINK("https://otsuka-europe-crm.veevavault.com/ui/#object/approved_document__v/V5OZ025E82TFUPI", "Spain - HCP Survey Email - June 2025")</f>
        <v>Spain - HCP Survey Email - June 2025</v>
      </c>
      <c r="C222" s="3" t="str">
        <f>HYPERLINK("https://otsuka-europe-crm.veevavault.com/ui/#object/sent_email__v/VBLZ025E82GMX7B", "SE-000267281")</f>
        <v>SE-000267281</v>
      </c>
      <c r="D222" s="1" t="s">
        <v>0</v>
      </c>
      <c r="E222" s="2">
        <v>0</v>
      </c>
      <c r="F222" s="2">
        <v>0</v>
      </c>
      <c r="G222" s="2">
        <v>0</v>
      </c>
      <c r="H222" s="1" t="s">
        <v>0</v>
      </c>
      <c r="I222" s="2">
        <v>0</v>
      </c>
      <c r="J222" s="1">
        <v>45915.379155092596</v>
      </c>
    </row>
    <row r="223" spans="1:10" x14ac:dyDescent="0.2">
      <c r="A223" s="4" t="s">
        <v>1</v>
      </c>
      <c r="B223" s="3" t="str">
        <f>HYPERLINK("https://otsuka-europe-crm.veevavault.com/ui/#object/approved_document__v/V5OZ025E82TFUPI", "Spain - HCP Survey Email - June 2025")</f>
        <v>Spain - HCP Survey Email - June 2025</v>
      </c>
      <c r="C223" s="3" t="str">
        <f>HYPERLINK("https://otsuka-europe-crm.veevavault.com/ui/#object/sent_email__v/VBLZ025E82GMX7C", "SE-000267282")</f>
        <v>SE-000267282</v>
      </c>
      <c r="D223" s="1" t="s">
        <v>0</v>
      </c>
      <c r="E223" s="2">
        <v>0</v>
      </c>
      <c r="F223" s="2">
        <v>0</v>
      </c>
      <c r="G223" s="2">
        <v>0</v>
      </c>
      <c r="H223" s="1" t="s">
        <v>0</v>
      </c>
      <c r="I223" s="2">
        <v>0</v>
      </c>
      <c r="J223" s="1">
        <v>45915.377557870372</v>
      </c>
    </row>
    <row r="224" spans="1:10" x14ac:dyDescent="0.2">
      <c r="A224" s="4" t="s">
        <v>1</v>
      </c>
      <c r="B224" s="3" t="str">
        <f>HYPERLINK("https://otsuka-europe-crm.veevavault.com/ui/#object/approved_document__v/V5OZ025E82TFUPI", "Spain - HCP Survey Email - June 2025")</f>
        <v>Spain - HCP Survey Email - June 2025</v>
      </c>
      <c r="C224" s="3" t="str">
        <f>HYPERLINK("https://otsuka-europe-crm.veevavault.com/ui/#object/sent_email__v/VBLZ025E82GMX7D", "SE-000267283")</f>
        <v>SE-000267283</v>
      </c>
      <c r="D224" s="1" t="s">
        <v>0</v>
      </c>
      <c r="E224" s="2">
        <v>0</v>
      </c>
      <c r="F224" s="2">
        <v>0</v>
      </c>
      <c r="G224" s="2">
        <v>0</v>
      </c>
      <c r="H224" s="1" t="s">
        <v>0</v>
      </c>
      <c r="I224" s="2">
        <v>0</v>
      </c>
      <c r="J224" s="1">
        <v>45915.378252314818</v>
      </c>
    </row>
    <row r="225" spans="1:10" x14ac:dyDescent="0.2">
      <c r="A225" s="4" t="s">
        <v>1</v>
      </c>
      <c r="B225" s="3" t="str">
        <f>HYPERLINK("https://otsuka-europe-crm.veevavault.com/ui/#object/approved_document__v/V5OZ025E82TFUPI", "Spain - HCP Survey Email - June 2025")</f>
        <v>Spain - HCP Survey Email - June 2025</v>
      </c>
      <c r="C225" s="3" t="str">
        <f>HYPERLINK("https://otsuka-europe-crm.veevavault.com/ui/#object/sent_email__v/VBLZ025E82GMX7E", "SE-000267284")</f>
        <v>SE-000267284</v>
      </c>
      <c r="D225" s="1">
        <v>45915.38554398148</v>
      </c>
      <c r="E225" s="2">
        <v>1</v>
      </c>
      <c r="F225" s="2">
        <v>1</v>
      </c>
      <c r="G225" s="2">
        <v>1</v>
      </c>
      <c r="H225" s="1">
        <v>45915.385821759257</v>
      </c>
      <c r="I225" s="2">
        <v>1</v>
      </c>
      <c r="J225" s="1">
        <v>45915.378969907404</v>
      </c>
    </row>
    <row r="226" spans="1:10" x14ac:dyDescent="0.2">
      <c r="A226" s="4" t="s">
        <v>1</v>
      </c>
      <c r="B226" s="3" t="str">
        <f>HYPERLINK("https://otsuka-europe-crm.veevavault.com/ui/#object/approved_document__v/V5OZ025E82TFUPI", "Spain - HCP Survey Email - June 2025")</f>
        <v>Spain - HCP Survey Email - June 2025</v>
      </c>
      <c r="C226" s="3" t="str">
        <f>HYPERLINK("https://otsuka-europe-crm.veevavault.com/ui/#object/sent_email__v/VBLZ025E82GMX7F", "SE-000267285")</f>
        <v>SE-000267285</v>
      </c>
      <c r="D226" s="1">
        <v>45915.926238425927</v>
      </c>
      <c r="E226" s="2">
        <v>1</v>
      </c>
      <c r="F226" s="2">
        <v>1</v>
      </c>
      <c r="G226" s="2">
        <v>0</v>
      </c>
      <c r="H226" s="1" t="s">
        <v>0</v>
      </c>
      <c r="I226" s="2">
        <v>0</v>
      </c>
      <c r="J226" s="1">
        <v>45915.378483796296</v>
      </c>
    </row>
    <row r="227" spans="1:10" x14ac:dyDescent="0.2">
      <c r="A227" s="4" t="s">
        <v>1</v>
      </c>
      <c r="B227" s="3" t="str">
        <f>HYPERLINK("https://otsuka-europe-crm.veevavault.com/ui/#object/approved_document__v/V5OZ025E82TFUPI", "Spain - HCP Survey Email - June 2025")</f>
        <v>Spain - HCP Survey Email - June 2025</v>
      </c>
      <c r="C227" s="3" t="str">
        <f>HYPERLINK("https://otsuka-europe-crm.veevavault.com/ui/#object/sent_email__v/VBLZ025E82GMX7G", "SE-000267286")</f>
        <v>SE-000267286</v>
      </c>
      <c r="D227" s="1" t="s">
        <v>0</v>
      </c>
      <c r="E227" s="2">
        <v>0</v>
      </c>
      <c r="F227" s="2">
        <v>0</v>
      </c>
      <c r="G227" s="2">
        <v>0</v>
      </c>
      <c r="H227" s="1" t="s">
        <v>0</v>
      </c>
      <c r="I227" s="2">
        <v>0</v>
      </c>
      <c r="J227" s="1">
        <v>45915.379444444443</v>
      </c>
    </row>
    <row r="228" spans="1:10" x14ac:dyDescent="0.2">
      <c r="A228" s="4" t="s">
        <v>1</v>
      </c>
      <c r="B228" s="3" t="str">
        <f>HYPERLINK("https://otsuka-europe-crm.veevavault.com/ui/#object/approved_document__v/V5OZ025E82TFUPI", "Spain - HCP Survey Email - June 2025")</f>
        <v>Spain - HCP Survey Email - June 2025</v>
      </c>
      <c r="C228" s="3" t="str">
        <f>HYPERLINK("https://otsuka-europe-crm.veevavault.com/ui/#object/sent_email__v/VBLZ025E82GMX7H", "SE-000267287")</f>
        <v>SE-000267287</v>
      </c>
      <c r="D228" s="1">
        <v>45922.171666666669</v>
      </c>
      <c r="E228" s="2">
        <v>1</v>
      </c>
      <c r="F228" s="2">
        <v>2</v>
      </c>
      <c r="G228" s="2">
        <v>0</v>
      </c>
      <c r="H228" s="1" t="s">
        <v>0</v>
      </c>
      <c r="I228" s="2">
        <v>0</v>
      </c>
      <c r="J228" s="1">
        <v>45915.377893518518</v>
      </c>
    </row>
    <row r="229" spans="1:10" x14ac:dyDescent="0.2">
      <c r="A229" s="4" t="s">
        <v>1</v>
      </c>
      <c r="B229" s="3" t="str">
        <f>HYPERLINK("https://otsuka-europe-crm.veevavault.com/ui/#object/approved_document__v/V5OZ025E82TFUPI", "Spain - HCP Survey Email - June 2025")</f>
        <v>Spain - HCP Survey Email - June 2025</v>
      </c>
      <c r="C229" s="3" t="str">
        <f>HYPERLINK("https://otsuka-europe-crm.veevavault.com/ui/#object/sent_email__v/VBLZ025E82GMX7I", "SE-000267288")</f>
        <v>SE-000267288</v>
      </c>
      <c r="D229" s="1">
        <v>45916.309791666667</v>
      </c>
      <c r="E229" s="2">
        <v>1</v>
      </c>
      <c r="F229" s="2">
        <v>1</v>
      </c>
      <c r="G229" s="2">
        <v>1</v>
      </c>
      <c r="H229" s="1">
        <v>45916.309791666667</v>
      </c>
      <c r="I229" s="2">
        <v>1</v>
      </c>
      <c r="J229" s="1">
        <v>45915.377511574072</v>
      </c>
    </row>
    <row r="230" spans="1:10" x14ac:dyDescent="0.2">
      <c r="A230" s="4" t="s">
        <v>1</v>
      </c>
      <c r="B230" s="3" t="str">
        <f>HYPERLINK("https://otsuka-europe-crm.veevavault.com/ui/#object/approved_document__v/V5OZ025E82TFUPI", "Spain - HCP Survey Email - June 2025")</f>
        <v>Spain - HCP Survey Email - June 2025</v>
      </c>
      <c r="C230" s="3" t="str">
        <f>HYPERLINK("https://otsuka-europe-crm.veevavault.com/ui/#object/sent_email__v/VBLZ025E82GMX7J", "SE-000267289")</f>
        <v>SE-000267289</v>
      </c>
      <c r="D230" s="1" t="s">
        <v>0</v>
      </c>
      <c r="E230" s="2">
        <v>0</v>
      </c>
      <c r="F230" s="2">
        <v>0</v>
      </c>
      <c r="G230" s="2">
        <v>0</v>
      </c>
      <c r="H230" s="1" t="s">
        <v>0</v>
      </c>
      <c r="I230" s="2">
        <v>0</v>
      </c>
      <c r="J230" s="1">
        <v>45915.378113425926</v>
      </c>
    </row>
    <row r="231" spans="1:10" x14ac:dyDescent="0.2">
      <c r="A231" s="4" t="s">
        <v>1</v>
      </c>
      <c r="B231" s="3" t="str">
        <f>HYPERLINK("https://otsuka-europe-crm.veevavault.com/ui/#object/approved_document__v/V5OZ025E82TFUPI", "Spain - HCP Survey Email - June 2025")</f>
        <v>Spain - HCP Survey Email - June 2025</v>
      </c>
      <c r="C231" s="3" t="str">
        <f>HYPERLINK("https://otsuka-europe-crm.veevavault.com/ui/#object/sent_email__v/VBLZ025E82GMX7K", "SE-000267290")</f>
        <v>SE-000267290</v>
      </c>
      <c r="D231" s="1">
        <v>45917.985775462963</v>
      </c>
      <c r="E231" s="2">
        <v>1</v>
      </c>
      <c r="F231" s="2">
        <v>1</v>
      </c>
      <c r="G231" s="2">
        <v>0</v>
      </c>
      <c r="H231" s="1" t="s">
        <v>0</v>
      </c>
      <c r="I231" s="2">
        <v>0</v>
      </c>
      <c r="J231" s="1">
        <v>45915.378877314812</v>
      </c>
    </row>
    <row r="232" spans="1:10" x14ac:dyDescent="0.2">
      <c r="A232" s="4" t="s">
        <v>1</v>
      </c>
      <c r="B232" s="3" t="str">
        <f>HYPERLINK("https://otsuka-europe-crm.veevavault.com/ui/#object/approved_document__v/V5OZ025E82TFUPI", "Spain - HCP Survey Email - June 2025")</f>
        <v>Spain - HCP Survey Email - June 2025</v>
      </c>
      <c r="C232" s="3" t="str">
        <f>HYPERLINK("https://otsuka-europe-crm.veevavault.com/ui/#object/sent_email__v/VBLZ025E82GMX7L", "SE-000267291")</f>
        <v>SE-000267291</v>
      </c>
      <c r="D232" s="1" t="s">
        <v>0</v>
      </c>
      <c r="E232" s="2">
        <v>0</v>
      </c>
      <c r="F232" s="2">
        <v>0</v>
      </c>
      <c r="G232" s="2">
        <v>0</v>
      </c>
      <c r="H232" s="1" t="s">
        <v>0</v>
      </c>
      <c r="I232" s="2">
        <v>0</v>
      </c>
      <c r="J232" s="1">
        <v>45915.379918981482</v>
      </c>
    </row>
    <row r="233" spans="1:10" x14ac:dyDescent="0.2">
      <c r="A233" s="4" t="s">
        <v>1</v>
      </c>
      <c r="B233" s="3" t="str">
        <f>HYPERLINK("https://otsuka-europe-crm.veevavault.com/ui/#object/approved_document__v/V5OZ025E82TFUPI", "Spain - HCP Survey Email - June 2025")</f>
        <v>Spain - HCP Survey Email - June 2025</v>
      </c>
      <c r="C233" s="3" t="str">
        <f>HYPERLINK("https://otsuka-europe-crm.veevavault.com/ui/#object/sent_email__v/VBLZ025E82GMX7M", "SE-000267292")</f>
        <v>SE-000267292</v>
      </c>
      <c r="D233" s="1">
        <v>45915.687673611108</v>
      </c>
      <c r="E233" s="2">
        <v>1</v>
      </c>
      <c r="F233" s="2">
        <v>1</v>
      </c>
      <c r="G233" s="2">
        <v>0</v>
      </c>
      <c r="H233" s="1" t="s">
        <v>0</v>
      </c>
      <c r="I233" s="2">
        <v>0</v>
      </c>
      <c r="J233" s="1">
        <v>45915.379155092596</v>
      </c>
    </row>
    <row r="234" spans="1:10" x14ac:dyDescent="0.2">
      <c r="A234" s="4" t="s">
        <v>1</v>
      </c>
      <c r="B234" s="3" t="str">
        <f>HYPERLINK("https://otsuka-europe-crm.veevavault.com/ui/#object/approved_document__v/V5OZ025E82TFUPI", "Spain - HCP Survey Email - June 2025")</f>
        <v>Spain - HCP Survey Email - June 2025</v>
      </c>
      <c r="C234" s="3" t="str">
        <f>HYPERLINK("https://otsuka-europe-crm.veevavault.com/ui/#object/sent_email__v/VBLZ025E82GMX7N", "SE-000267293")</f>
        <v>SE-000267293</v>
      </c>
      <c r="D234" s="1">
        <v>45916.022546296299</v>
      </c>
      <c r="E234" s="2">
        <v>1</v>
      </c>
      <c r="F234" s="2">
        <v>2</v>
      </c>
      <c r="G234" s="2">
        <v>0</v>
      </c>
      <c r="H234" s="1" t="s">
        <v>0</v>
      </c>
      <c r="I234" s="2">
        <v>0</v>
      </c>
      <c r="J234" s="1">
        <v>45915.377557870372</v>
      </c>
    </row>
    <row r="235" spans="1:10" x14ac:dyDescent="0.2">
      <c r="A235" s="4" t="s">
        <v>1</v>
      </c>
      <c r="B235" s="3" t="str">
        <f>HYPERLINK("https://otsuka-europe-crm.veevavault.com/ui/#object/approved_document__v/V5OZ025E82TFUPI", "Spain - HCP Survey Email - June 2025")</f>
        <v>Spain - HCP Survey Email - June 2025</v>
      </c>
      <c r="C235" s="3" t="str">
        <f>HYPERLINK("https://otsuka-europe-crm.veevavault.com/ui/#object/sent_email__v/VBLZ025E82GMX7O", "SE-000267294")</f>
        <v>SE-000267294</v>
      </c>
      <c r="D235" s="1">
        <v>45920.664259259262</v>
      </c>
      <c r="E235" s="2">
        <v>1</v>
      </c>
      <c r="F235" s="2">
        <v>2</v>
      </c>
      <c r="G235" s="2">
        <v>0</v>
      </c>
      <c r="H235" s="1" t="s">
        <v>0</v>
      </c>
      <c r="I235" s="2">
        <v>0</v>
      </c>
      <c r="J235" s="1">
        <v>45915.378287037034</v>
      </c>
    </row>
    <row r="236" spans="1:10" x14ac:dyDescent="0.2">
      <c r="A236" s="4" t="s">
        <v>1</v>
      </c>
      <c r="B236" s="3" t="str">
        <f>HYPERLINK("https://otsuka-europe-crm.veevavault.com/ui/#object/approved_document__v/V5OZ025E82TFUPI", "Spain - HCP Survey Email - June 2025")</f>
        <v>Spain - HCP Survey Email - June 2025</v>
      </c>
      <c r="C236" s="3" t="str">
        <f>HYPERLINK("https://otsuka-europe-crm.veevavault.com/ui/#object/sent_email__v/VBLZ025E82GMX7P", "SE-000267295")</f>
        <v>SE-000267295</v>
      </c>
      <c r="D236" s="1">
        <v>45916.114965277775</v>
      </c>
      <c r="E236" s="2">
        <v>1</v>
      </c>
      <c r="F236" s="2">
        <v>1</v>
      </c>
      <c r="G236" s="2">
        <v>0</v>
      </c>
      <c r="H236" s="1" t="s">
        <v>0</v>
      </c>
      <c r="I236" s="2">
        <v>0</v>
      </c>
      <c r="J236" s="1">
        <v>45915.378958333335</v>
      </c>
    </row>
    <row r="237" spans="1:10" x14ac:dyDescent="0.2">
      <c r="A237" s="4" t="s">
        <v>1</v>
      </c>
      <c r="B237" s="3" t="str">
        <f>HYPERLINK("https://otsuka-europe-crm.veevavault.com/ui/#object/approved_document__v/V5OZ025E82TFUPI", "Spain - HCP Survey Email - June 2025")</f>
        <v>Spain - HCP Survey Email - June 2025</v>
      </c>
      <c r="C237" s="3" t="str">
        <f>HYPERLINK("https://otsuka-europe-crm.veevavault.com/ui/#object/sent_email__v/VBLZ025E82GMX7Q", "SE-000267296")</f>
        <v>SE-000267296</v>
      </c>
      <c r="D237" s="1">
        <v>45916.541921296295</v>
      </c>
      <c r="E237" s="2">
        <v>1</v>
      </c>
      <c r="F237" s="2">
        <v>2</v>
      </c>
      <c r="G237" s="2">
        <v>0</v>
      </c>
      <c r="H237" s="1" t="s">
        <v>0</v>
      </c>
      <c r="I237" s="2">
        <v>0</v>
      </c>
      <c r="J237" s="1">
        <v>45915.378518518519</v>
      </c>
    </row>
    <row r="238" spans="1:10" x14ac:dyDescent="0.2">
      <c r="A238" s="4" t="s">
        <v>1</v>
      </c>
      <c r="B238" s="3" t="str">
        <f>HYPERLINK("https://otsuka-europe-crm.veevavault.com/ui/#object/approved_document__v/V5OZ025E82TFUPI", "Spain - HCP Survey Email - June 2025")</f>
        <v>Spain - HCP Survey Email - June 2025</v>
      </c>
      <c r="C238" s="3" t="str">
        <f>HYPERLINK("https://otsuka-europe-crm.veevavault.com/ui/#object/sent_email__v/VBLZ025E82GMX7R", "SE-000267297")</f>
        <v>SE-000267297</v>
      </c>
      <c r="D238" s="1">
        <v>45927.89984953704</v>
      </c>
      <c r="E238" s="2">
        <v>1</v>
      </c>
      <c r="F238" s="2">
        <v>2</v>
      </c>
      <c r="G238" s="2">
        <v>0</v>
      </c>
      <c r="H238" s="1" t="s">
        <v>0</v>
      </c>
      <c r="I238" s="2">
        <v>0</v>
      </c>
      <c r="J238" s="1">
        <v>45915.379282407404</v>
      </c>
    </row>
    <row r="239" spans="1:10" x14ac:dyDescent="0.2">
      <c r="A239" s="4" t="s">
        <v>1</v>
      </c>
      <c r="B239" s="3" t="str">
        <f>HYPERLINK("https://otsuka-europe-crm.veevavault.com/ui/#object/approved_document__v/V5OZ025E82TFUPI", "Spain - HCP Survey Email - June 2025")</f>
        <v>Spain - HCP Survey Email - June 2025</v>
      </c>
      <c r="C239" s="3" t="str">
        <f>HYPERLINK("https://otsuka-europe-crm.veevavault.com/ui/#object/sent_email__v/VBLZ025E82GMX7S", "SE-000267298")</f>
        <v>SE-000267298</v>
      </c>
      <c r="D239" s="1" t="s">
        <v>0</v>
      </c>
      <c r="E239" s="2">
        <v>0</v>
      </c>
      <c r="F239" s="2">
        <v>0</v>
      </c>
      <c r="G239" s="2">
        <v>0</v>
      </c>
      <c r="H239" s="1" t="s">
        <v>0</v>
      </c>
      <c r="I239" s="2">
        <v>0</v>
      </c>
      <c r="J239" s="1">
        <v>45915.377523148149</v>
      </c>
    </row>
    <row r="240" spans="1:10" x14ac:dyDescent="0.2">
      <c r="A240" s="4" t="s">
        <v>1</v>
      </c>
      <c r="B240" s="3" t="str">
        <f>HYPERLINK("https://otsuka-europe-crm.veevavault.com/ui/#object/approved_document__v/V5OZ025E82TFUPI", "Spain - HCP Survey Email - June 2025")</f>
        <v>Spain - HCP Survey Email - June 2025</v>
      </c>
      <c r="C240" s="3" t="str">
        <f>HYPERLINK("https://otsuka-europe-crm.veevavault.com/ui/#object/sent_email__v/VBLZ025E82GMX7T", "SE-000267299")</f>
        <v>SE-000267299</v>
      </c>
      <c r="D240" s="1" t="s">
        <v>0</v>
      </c>
      <c r="E240" s="2">
        <v>0</v>
      </c>
      <c r="F240" s="2">
        <v>0</v>
      </c>
      <c r="G240" s="2">
        <v>0</v>
      </c>
      <c r="H240" s="1" t="s">
        <v>0</v>
      </c>
      <c r="I240" s="2">
        <v>0</v>
      </c>
      <c r="J240" s="1">
        <v>45915.378217592595</v>
      </c>
    </row>
    <row r="241" spans="1:10" x14ac:dyDescent="0.2">
      <c r="A241" s="4" t="s">
        <v>1</v>
      </c>
      <c r="B241" s="3" t="str">
        <f>HYPERLINK("https://otsuka-europe-crm.veevavault.com/ui/#object/approved_document__v/V5OZ025E82TFUPI", "Spain - HCP Survey Email - June 2025")</f>
        <v>Spain - HCP Survey Email - June 2025</v>
      </c>
      <c r="C241" s="3" t="str">
        <f>HYPERLINK("https://otsuka-europe-crm.veevavault.com/ui/#object/sent_email__v/VBLZ025E82GMX7U", "SE-000267300")</f>
        <v>SE-000267300</v>
      </c>
      <c r="D241" s="1" t="s">
        <v>0</v>
      </c>
      <c r="E241" s="2">
        <v>0</v>
      </c>
      <c r="F241" s="2">
        <v>0</v>
      </c>
      <c r="G241" s="2">
        <v>0</v>
      </c>
      <c r="H241" s="1" t="s">
        <v>0</v>
      </c>
      <c r="I241" s="2">
        <v>0</v>
      </c>
      <c r="J241" s="1">
        <v>45915.378969907404</v>
      </c>
    </row>
    <row r="242" spans="1:10" x14ac:dyDescent="0.2">
      <c r="A242" s="4" t="s">
        <v>1</v>
      </c>
      <c r="B242" s="3" t="str">
        <f>HYPERLINK("https://otsuka-europe-crm.veevavault.com/ui/#object/approved_document__v/V5OZ025E82TFUPI", "Spain - HCP Survey Email - June 2025")</f>
        <v>Spain - HCP Survey Email - June 2025</v>
      </c>
      <c r="C242" s="3" t="str">
        <f>HYPERLINK("https://otsuka-europe-crm.veevavault.com/ui/#object/sent_email__v/VBLZ025E82GMX7V", "SE-000267301")</f>
        <v>SE-000267301</v>
      </c>
      <c r="D242" s="1">
        <v>45924.789525462962</v>
      </c>
      <c r="E242" s="2">
        <v>1</v>
      </c>
      <c r="F242" s="2">
        <v>2</v>
      </c>
      <c r="G242" s="2">
        <v>0</v>
      </c>
      <c r="H242" s="1" t="s">
        <v>0</v>
      </c>
      <c r="I242" s="2">
        <v>0</v>
      </c>
      <c r="J242" s="1">
        <v>45915.378541666665</v>
      </c>
    </row>
    <row r="243" spans="1:10" x14ac:dyDescent="0.2">
      <c r="A243" s="4" t="s">
        <v>1</v>
      </c>
      <c r="B243" s="3" t="str">
        <f>HYPERLINK("https://otsuka-europe-crm.veevavault.com/ui/#object/approved_document__v/V5OZ025E82TFUPI", "Spain - HCP Survey Email - June 2025")</f>
        <v>Spain - HCP Survey Email - June 2025</v>
      </c>
      <c r="C243" s="3" t="str">
        <f>HYPERLINK("https://otsuka-europe-crm.veevavault.com/ui/#object/sent_email__v/VBLZ025E82GMX7W", "SE-000267302")</f>
        <v>SE-000267302</v>
      </c>
      <c r="D243" s="1">
        <v>45916.210127314815</v>
      </c>
      <c r="E243" s="2">
        <v>1</v>
      </c>
      <c r="F243" s="2">
        <v>2</v>
      </c>
      <c r="G243" s="2">
        <v>0</v>
      </c>
      <c r="H243" s="1" t="s">
        <v>0</v>
      </c>
      <c r="I243" s="2">
        <v>0</v>
      </c>
      <c r="J243" s="1">
        <v>45915.379317129627</v>
      </c>
    </row>
    <row r="244" spans="1:10" x14ac:dyDescent="0.2">
      <c r="A244" s="4" t="s">
        <v>1</v>
      </c>
      <c r="B244" s="3" t="str">
        <f>HYPERLINK("https://otsuka-europe-crm.veevavault.com/ui/#object/approved_document__v/V5OZ025E82TFUPI", "Spain - HCP Survey Email - June 2025")</f>
        <v>Spain - HCP Survey Email - June 2025</v>
      </c>
      <c r="C244" s="3" t="str">
        <f>HYPERLINK("https://otsuka-europe-crm.veevavault.com/ui/#object/sent_email__v/VBLZ025E82GMX7X", "SE-000267303")</f>
        <v>SE-000267303</v>
      </c>
      <c r="D244" s="1" t="s">
        <v>0</v>
      </c>
      <c r="E244" s="2">
        <v>0</v>
      </c>
      <c r="F244" s="2">
        <v>0</v>
      </c>
      <c r="G244" s="2">
        <v>0</v>
      </c>
      <c r="H244" s="1" t="s">
        <v>0</v>
      </c>
      <c r="I244" s="2">
        <v>0</v>
      </c>
      <c r="J244" s="1">
        <v>45915.377916666665</v>
      </c>
    </row>
    <row r="245" spans="1:10" x14ac:dyDescent="0.2">
      <c r="A245" s="4" t="s">
        <v>1</v>
      </c>
      <c r="B245" s="3" t="str">
        <f>HYPERLINK("https://otsuka-europe-crm.veevavault.com/ui/#object/approved_document__v/V5OZ025E82TFUPI", "Spain - HCP Survey Email - June 2025")</f>
        <v>Spain - HCP Survey Email - June 2025</v>
      </c>
      <c r="C245" s="3" t="str">
        <f>HYPERLINK("https://otsuka-europe-crm.veevavault.com/ui/#object/sent_email__v/VBLZ025E82GMX7Y", "SE-000267304")</f>
        <v>SE-000267304</v>
      </c>
      <c r="D245" s="1">
        <v>45915.519652777781</v>
      </c>
      <c r="E245" s="2">
        <v>1</v>
      </c>
      <c r="F245" s="2">
        <v>1</v>
      </c>
      <c r="G245" s="2">
        <v>0</v>
      </c>
      <c r="H245" s="1" t="s">
        <v>0</v>
      </c>
      <c r="I245" s="2">
        <v>0</v>
      </c>
      <c r="J245" s="1">
        <v>45915.377511574072</v>
      </c>
    </row>
    <row r="246" spans="1:10" x14ac:dyDescent="0.2">
      <c r="A246" s="4" t="s">
        <v>1</v>
      </c>
      <c r="B246" s="3" t="str">
        <f>HYPERLINK("https://otsuka-europe-crm.veevavault.com/ui/#object/approved_document__v/V5OZ025E82TFUPI", "Spain - HCP Survey Email - June 2025")</f>
        <v>Spain - HCP Survey Email - June 2025</v>
      </c>
      <c r="C246" s="3" t="str">
        <f>HYPERLINK("https://otsuka-europe-crm.veevavault.com/ui/#object/sent_email__v/VBLZ025E82GMX7Z", "SE-000267305")</f>
        <v>SE-000267305</v>
      </c>
      <c r="D246" s="1" t="s">
        <v>0</v>
      </c>
      <c r="E246" s="2">
        <v>0</v>
      </c>
      <c r="F246" s="2">
        <v>0</v>
      </c>
      <c r="G246" s="2">
        <v>0</v>
      </c>
      <c r="H246" s="1" t="s">
        <v>0</v>
      </c>
      <c r="I246" s="2">
        <v>0</v>
      </c>
      <c r="J246" s="1">
        <v>45915.37809027778</v>
      </c>
    </row>
    <row r="247" spans="1:10" x14ac:dyDescent="0.2">
      <c r="A247" s="4" t="s">
        <v>1</v>
      </c>
      <c r="B247" s="3" t="str">
        <f>HYPERLINK("https://otsuka-europe-crm.veevavault.com/ui/#object/approved_document__v/V5OZ025E82TFUPI", "Spain - HCP Survey Email - June 2025")</f>
        <v>Spain - HCP Survey Email - June 2025</v>
      </c>
      <c r="C247" s="3" t="str">
        <f>HYPERLINK("https://otsuka-europe-crm.veevavault.com/ui/#object/sent_email__v/VBLZ025E82GMX80", "SE-000267306")</f>
        <v>SE-000267306</v>
      </c>
      <c r="D247" s="1" t="s">
        <v>0</v>
      </c>
      <c r="E247" s="2">
        <v>0</v>
      </c>
      <c r="F247" s="2">
        <v>0</v>
      </c>
      <c r="G247" s="2">
        <v>0</v>
      </c>
      <c r="H247" s="1" t="s">
        <v>0</v>
      </c>
      <c r="I247" s="2">
        <v>0</v>
      </c>
      <c r="J247" s="1">
        <v>45915.378854166665</v>
      </c>
    </row>
    <row r="248" spans="1:10" x14ac:dyDescent="0.2">
      <c r="A248" s="4" t="s">
        <v>1</v>
      </c>
      <c r="B248" s="3" t="str">
        <f>HYPERLINK("https://otsuka-europe-crm.veevavault.com/ui/#object/approved_document__v/V5OZ025E82TFUPI", "Spain - HCP Survey Email - June 2025")</f>
        <v>Spain - HCP Survey Email - June 2025</v>
      </c>
      <c r="C248" s="3" t="str">
        <f>HYPERLINK("https://otsuka-europe-crm.veevavault.com/ui/#object/sent_email__v/VBLZ025E82GMX81", "SE-000267307")</f>
        <v>SE-000267307</v>
      </c>
      <c r="D248" s="1">
        <v>45922.264791666668</v>
      </c>
      <c r="E248" s="2">
        <v>1</v>
      </c>
      <c r="F248" s="2">
        <v>1</v>
      </c>
      <c r="G248" s="2">
        <v>1</v>
      </c>
      <c r="H248" s="1">
        <v>45922.265046296299</v>
      </c>
      <c r="I248" s="2">
        <v>1</v>
      </c>
      <c r="J248" s="1">
        <v>45915.380057870374</v>
      </c>
    </row>
    <row r="249" spans="1:10" x14ac:dyDescent="0.2">
      <c r="A249" s="4" t="s">
        <v>1</v>
      </c>
      <c r="B249" s="3" t="str">
        <f>HYPERLINK("https://otsuka-europe-crm.veevavault.com/ui/#object/approved_document__v/V5OZ025E82TFUPI", "Spain - HCP Survey Email - June 2025")</f>
        <v>Spain - HCP Survey Email - June 2025</v>
      </c>
      <c r="C249" s="3" t="str">
        <f>HYPERLINK("https://otsuka-europe-crm.veevavault.com/ui/#object/sent_email__v/VBLZ025E82GMX82", "SE-000267308")</f>
        <v>SE-000267308</v>
      </c>
      <c r="D249" s="1" t="s">
        <v>0</v>
      </c>
      <c r="E249" s="2">
        <v>0</v>
      </c>
      <c r="F249" s="2">
        <v>0</v>
      </c>
      <c r="G249" s="2">
        <v>0</v>
      </c>
      <c r="H249" s="1" t="s">
        <v>0</v>
      </c>
      <c r="I249" s="2">
        <v>0</v>
      </c>
      <c r="J249" s="1">
        <v>45915.379143518519</v>
      </c>
    </row>
    <row r="250" spans="1:10" x14ac:dyDescent="0.2">
      <c r="A250" s="4" t="s">
        <v>1</v>
      </c>
      <c r="B250" s="3" t="str">
        <f>HYPERLINK("https://otsuka-europe-crm.veevavault.com/ui/#object/approved_document__v/V5OZ025E82TFUPI", "Spain - HCP Survey Email - June 2025")</f>
        <v>Spain - HCP Survey Email - June 2025</v>
      </c>
      <c r="C250" s="3" t="str">
        <f>HYPERLINK("https://otsuka-europe-crm.veevavault.com/ui/#object/sent_email__v/VBLZ025E82GMX83", "SE-000267309")</f>
        <v>SE-000267309</v>
      </c>
      <c r="D250" s="1" t="s">
        <v>0</v>
      </c>
      <c r="E250" s="2">
        <v>0</v>
      </c>
      <c r="F250" s="2">
        <v>0</v>
      </c>
      <c r="G250" s="2">
        <v>0</v>
      </c>
      <c r="H250" s="1" t="s">
        <v>0</v>
      </c>
      <c r="I250" s="2">
        <v>0</v>
      </c>
      <c r="J250" s="1">
        <v>45915.377546296295</v>
      </c>
    </row>
    <row r="251" spans="1:10" x14ac:dyDescent="0.2">
      <c r="A251" s="4" t="s">
        <v>1</v>
      </c>
      <c r="B251" s="3" t="str">
        <f>HYPERLINK("https://otsuka-europe-crm.veevavault.com/ui/#object/approved_document__v/V5OZ025E82TFUPI", "Spain - HCP Survey Email - June 2025")</f>
        <v>Spain - HCP Survey Email - June 2025</v>
      </c>
      <c r="C251" s="3" t="str">
        <f>HYPERLINK("https://otsuka-europe-crm.veevavault.com/ui/#object/sent_email__v/VBLZ025E82GMX84", "SE-000267310")</f>
        <v>SE-000267310</v>
      </c>
      <c r="D251" s="1">
        <v>45942.13212962963</v>
      </c>
      <c r="E251" s="2">
        <v>1</v>
      </c>
      <c r="F251" s="2">
        <v>4</v>
      </c>
      <c r="G251" s="2">
        <v>0</v>
      </c>
      <c r="H251" s="1" t="s">
        <v>0</v>
      </c>
      <c r="I251" s="2">
        <v>0</v>
      </c>
      <c r="J251" s="1">
        <v>45915.378229166665</v>
      </c>
    </row>
    <row r="252" spans="1:10" x14ac:dyDescent="0.2">
      <c r="A252" s="4" t="s">
        <v>1</v>
      </c>
      <c r="B252" s="3" t="str">
        <f>HYPERLINK("https://otsuka-europe-crm.veevavault.com/ui/#object/approved_document__v/V5OZ025E82TFUPI", "Spain - HCP Survey Email - June 2025")</f>
        <v>Spain - HCP Survey Email - June 2025</v>
      </c>
      <c r="C252" s="3" t="str">
        <f>HYPERLINK("https://otsuka-europe-crm.veevavault.com/ui/#object/sent_email__v/VBLZ025E82GMX85", "SE-000267311")</f>
        <v>SE-000267311</v>
      </c>
      <c r="D252" s="1" t="s">
        <v>0</v>
      </c>
      <c r="E252" s="2">
        <v>0</v>
      </c>
      <c r="F252" s="2">
        <v>0</v>
      </c>
      <c r="G252" s="2">
        <v>0</v>
      </c>
      <c r="H252" s="1" t="s">
        <v>0</v>
      </c>
      <c r="I252" s="2">
        <v>0</v>
      </c>
      <c r="J252" s="1">
        <v>45915.378993055558</v>
      </c>
    </row>
    <row r="253" spans="1:10" x14ac:dyDescent="0.2">
      <c r="A253" s="4" t="s">
        <v>1</v>
      </c>
      <c r="B253" s="3" t="str">
        <f>HYPERLINK("https://otsuka-europe-crm.veevavault.com/ui/#object/approved_document__v/V5OZ025E82TFUPI", "Spain - HCP Survey Email - June 2025")</f>
        <v>Spain - HCP Survey Email - June 2025</v>
      </c>
      <c r="C253" s="3" t="str">
        <f>HYPERLINK("https://otsuka-europe-crm.veevavault.com/ui/#object/sent_email__v/VBLZ025E82GMX86", "SE-000267312")</f>
        <v>SE-000267312</v>
      </c>
      <c r="D253" s="1" t="s">
        <v>0</v>
      </c>
      <c r="E253" s="2">
        <v>0</v>
      </c>
      <c r="F253" s="2">
        <v>0</v>
      </c>
      <c r="G253" s="2">
        <v>0</v>
      </c>
      <c r="H253" s="1" t="s">
        <v>0</v>
      </c>
      <c r="I253" s="2">
        <v>0</v>
      </c>
      <c r="J253" s="1">
        <v>45915.378541666665</v>
      </c>
    </row>
    <row r="254" spans="1:10" x14ac:dyDescent="0.2">
      <c r="A254" s="4" t="s">
        <v>1</v>
      </c>
      <c r="B254" s="3" t="str">
        <f>HYPERLINK("https://otsuka-europe-crm.veevavault.com/ui/#object/approved_document__v/V5OZ025E82TFUPI", "Spain - HCP Survey Email - June 2025")</f>
        <v>Spain - HCP Survey Email - June 2025</v>
      </c>
      <c r="C254" s="3" t="str">
        <f>HYPERLINK("https://otsuka-europe-crm.veevavault.com/ui/#object/sent_email__v/VBLZ025E82GMX87", "SE-000267313")</f>
        <v>SE-000267313</v>
      </c>
      <c r="D254" s="1">
        <v>45915.416030092594</v>
      </c>
      <c r="E254" s="2">
        <v>1</v>
      </c>
      <c r="F254" s="2">
        <v>1</v>
      </c>
      <c r="G254" s="2">
        <v>0</v>
      </c>
      <c r="H254" s="1" t="s">
        <v>0</v>
      </c>
      <c r="I254" s="2">
        <v>0</v>
      </c>
      <c r="J254" s="1">
        <v>45915.379224537035</v>
      </c>
    </row>
    <row r="255" spans="1:10" x14ac:dyDescent="0.2">
      <c r="A255" s="4" t="s">
        <v>1</v>
      </c>
      <c r="B255" s="3" t="str">
        <f>HYPERLINK("https://otsuka-europe-crm.veevavault.com/ui/#object/approved_document__v/V5OZ025E82TFUPI", "Spain - HCP Survey Email - June 2025")</f>
        <v>Spain - HCP Survey Email - June 2025</v>
      </c>
      <c r="C255" s="3" t="str">
        <f>HYPERLINK("https://otsuka-europe-crm.veevavault.com/ui/#object/sent_email__v/VBLZ025E82GMX88", "SE-000267314")</f>
        <v>SE-000267314</v>
      </c>
      <c r="D255" s="1" t="s">
        <v>0</v>
      </c>
      <c r="E255" s="2">
        <v>0</v>
      </c>
      <c r="F255" s="2">
        <v>0</v>
      </c>
      <c r="G255" s="2">
        <v>0</v>
      </c>
      <c r="H255" s="1" t="s">
        <v>0</v>
      </c>
      <c r="I255" s="2">
        <v>0</v>
      </c>
      <c r="J255" s="1">
        <v>45915.377974537034</v>
      </c>
    </row>
    <row r="256" spans="1:10" x14ac:dyDescent="0.2">
      <c r="A256" s="4" t="s">
        <v>1</v>
      </c>
      <c r="B256" s="3" t="str">
        <f>HYPERLINK("https://otsuka-europe-crm.veevavault.com/ui/#object/approved_document__v/V5OZ025E82TFUPI", "Spain - HCP Survey Email - June 2025")</f>
        <v>Spain - HCP Survey Email - June 2025</v>
      </c>
      <c r="C256" s="3" t="str">
        <f>HYPERLINK("https://otsuka-europe-crm.veevavault.com/ui/#object/sent_email__v/VBLZ025E82GMX89", "SE-000267315")</f>
        <v>SE-000267315</v>
      </c>
      <c r="D256" s="1">
        <v>45915.453819444447</v>
      </c>
      <c r="E256" s="2">
        <v>1</v>
      </c>
      <c r="F256" s="2">
        <v>1</v>
      </c>
      <c r="G256" s="2">
        <v>0</v>
      </c>
      <c r="H256" s="1" t="s">
        <v>0</v>
      </c>
      <c r="I256" s="2">
        <v>0</v>
      </c>
      <c r="J256" s="1">
        <v>45915.377476851849</v>
      </c>
    </row>
    <row r="257" spans="1:10" x14ac:dyDescent="0.2">
      <c r="A257" s="4" t="s">
        <v>1</v>
      </c>
      <c r="B257" s="3" t="str">
        <f>HYPERLINK("https://otsuka-europe-crm.veevavault.com/ui/#object/approved_document__v/V5OZ025E82TFUPI", "Spain - HCP Survey Email - June 2025")</f>
        <v>Spain - HCP Survey Email - June 2025</v>
      </c>
      <c r="C257" s="3" t="str">
        <f>HYPERLINK("https://otsuka-europe-crm.veevavault.com/ui/#object/sent_email__v/VBLZ025E82GMX8A", "SE-000267316")</f>
        <v>SE-000267316</v>
      </c>
      <c r="D257" s="1">
        <v>45916.105694444443</v>
      </c>
      <c r="E257" s="2">
        <v>1</v>
      </c>
      <c r="F257" s="2">
        <v>1</v>
      </c>
      <c r="G257" s="2">
        <v>0</v>
      </c>
      <c r="H257" s="1" t="s">
        <v>0</v>
      </c>
      <c r="I257" s="2">
        <v>0</v>
      </c>
      <c r="J257" s="1">
        <v>45915.378125000003</v>
      </c>
    </row>
    <row r="258" spans="1:10" x14ac:dyDescent="0.2">
      <c r="A258" s="4" t="s">
        <v>1</v>
      </c>
      <c r="B258" s="3" t="str">
        <f>HYPERLINK("https://otsuka-europe-crm.veevavault.com/ui/#object/approved_document__v/V5OZ025E82TFUPI", "Spain - HCP Survey Email - June 2025")</f>
        <v>Spain - HCP Survey Email - June 2025</v>
      </c>
      <c r="C258" s="3" t="str">
        <f>HYPERLINK("https://otsuka-europe-crm.veevavault.com/ui/#object/sent_email__v/VBLZ025E82GMX8B", "SE-000267317")</f>
        <v>SE-000267317</v>
      </c>
      <c r="D258" s="1" t="s">
        <v>0</v>
      </c>
      <c r="E258" s="2">
        <v>0</v>
      </c>
      <c r="F258" s="2">
        <v>0</v>
      </c>
      <c r="G258" s="2">
        <v>0</v>
      </c>
      <c r="H258" s="1" t="s">
        <v>0</v>
      </c>
      <c r="I258" s="2">
        <v>0</v>
      </c>
      <c r="J258" s="1">
        <v>45915.378958333335</v>
      </c>
    </row>
    <row r="259" spans="1:10" x14ac:dyDescent="0.2">
      <c r="A259" s="4" t="s">
        <v>1</v>
      </c>
      <c r="B259" s="3" t="str">
        <f>HYPERLINK("https://otsuka-europe-crm.veevavault.com/ui/#object/approved_document__v/V5OZ025E82TFUPI", "Spain - HCP Survey Email - June 2025")</f>
        <v>Spain - HCP Survey Email - June 2025</v>
      </c>
      <c r="C259" s="3" t="str">
        <f>HYPERLINK("https://otsuka-europe-crm.veevavault.com/ui/#object/sent_email__v/VBLZ025E82GMX8C", "SE-000267318")</f>
        <v>SE-000267318</v>
      </c>
      <c r="D259" s="1">
        <v>45915.433229166665</v>
      </c>
      <c r="E259" s="2">
        <v>1</v>
      </c>
      <c r="F259" s="2">
        <v>1</v>
      </c>
      <c r="G259" s="2">
        <v>0</v>
      </c>
      <c r="H259" s="1" t="s">
        <v>0</v>
      </c>
      <c r="I259" s="2">
        <v>0</v>
      </c>
      <c r="J259" s="1">
        <v>45915.380011574074</v>
      </c>
    </row>
    <row r="260" spans="1:10" x14ac:dyDescent="0.2">
      <c r="A260" s="4" t="s">
        <v>1</v>
      </c>
      <c r="B260" s="3" t="str">
        <f>HYPERLINK("https://otsuka-europe-crm.veevavault.com/ui/#object/approved_document__v/V5OZ025E82TFUPI", "Spain - HCP Survey Email - June 2025")</f>
        <v>Spain - HCP Survey Email - June 2025</v>
      </c>
      <c r="C260" s="3" t="str">
        <f>HYPERLINK("https://otsuka-europe-crm.veevavault.com/ui/#object/sent_email__v/VBLZ025E82GMX8D", "SE-000267319")</f>
        <v>SE-000267319</v>
      </c>
      <c r="D260" s="1">
        <v>45938.615787037037</v>
      </c>
      <c r="E260" s="2">
        <v>1</v>
      </c>
      <c r="F260" s="2">
        <v>2</v>
      </c>
      <c r="G260" s="2">
        <v>0</v>
      </c>
      <c r="H260" s="1" t="s">
        <v>0</v>
      </c>
      <c r="I260" s="2">
        <v>0</v>
      </c>
      <c r="J260" s="1">
        <v>45915.379155092596</v>
      </c>
    </row>
    <row r="261" spans="1:10" x14ac:dyDescent="0.2">
      <c r="A261" s="4" t="s">
        <v>1</v>
      </c>
      <c r="B261" s="3" t="str">
        <f>HYPERLINK("https://otsuka-europe-crm.veevavault.com/ui/#object/approved_document__v/V5OZ025E82TFUPI", "Spain - HCP Survey Email - June 2025")</f>
        <v>Spain - HCP Survey Email - June 2025</v>
      </c>
      <c r="C261" s="3" t="str">
        <f>HYPERLINK("https://otsuka-europe-crm.veevavault.com/ui/#object/sent_email__v/VBLZ025E82GMX8E", "SE-000267320")</f>
        <v>SE-000267320</v>
      </c>
      <c r="D261" s="1">
        <v>45944.968923611108</v>
      </c>
      <c r="E261" s="2">
        <v>1</v>
      </c>
      <c r="F261" s="2">
        <v>4</v>
      </c>
      <c r="G261" s="2">
        <v>0</v>
      </c>
      <c r="H261" s="1" t="s">
        <v>0</v>
      </c>
      <c r="I261" s="2">
        <v>0</v>
      </c>
      <c r="J261" s="1">
        <v>45915.377534722225</v>
      </c>
    </row>
    <row r="262" spans="1:10" x14ac:dyDescent="0.2">
      <c r="A262" s="4" t="s">
        <v>1</v>
      </c>
      <c r="B262" s="3" t="str">
        <f>HYPERLINK("https://otsuka-europe-crm.veevavault.com/ui/#object/approved_document__v/V5OZ025E82TFUPI", "Spain - HCP Survey Email - June 2025")</f>
        <v>Spain - HCP Survey Email - June 2025</v>
      </c>
      <c r="C262" s="3" t="str">
        <f>HYPERLINK("https://otsuka-europe-crm.veevavault.com/ui/#object/sent_email__v/VBLZ025E82GMX8F", "SE-000267321")</f>
        <v>SE-000267321</v>
      </c>
      <c r="D262" s="1">
        <v>45916.380231481482</v>
      </c>
      <c r="E262" s="2">
        <v>1</v>
      </c>
      <c r="F262" s="2">
        <v>1</v>
      </c>
      <c r="G262" s="2">
        <v>0</v>
      </c>
      <c r="H262" s="1" t="s">
        <v>0</v>
      </c>
      <c r="I262" s="2">
        <v>0</v>
      </c>
      <c r="J262" s="1">
        <v>45915.378217592595</v>
      </c>
    </row>
    <row r="263" spans="1:10" x14ac:dyDescent="0.2">
      <c r="A263" s="4" t="s">
        <v>1</v>
      </c>
      <c r="B263" s="3" t="str">
        <f>HYPERLINK("https://otsuka-europe-crm.veevavault.com/ui/#object/approved_document__v/V5OZ025E82TFUPI", "Spain - HCP Survey Email - June 2025")</f>
        <v>Spain - HCP Survey Email - June 2025</v>
      </c>
      <c r="C263" s="3" t="str">
        <f>HYPERLINK("https://otsuka-europe-crm.veevavault.com/ui/#object/sent_email__v/VBLZ025E82GMX8G", "SE-000267322")</f>
        <v>SE-000267322</v>
      </c>
      <c r="D263" s="1" t="s">
        <v>0</v>
      </c>
      <c r="E263" s="2">
        <v>0</v>
      </c>
      <c r="F263" s="2">
        <v>0</v>
      </c>
      <c r="G263" s="2">
        <v>0</v>
      </c>
      <c r="H263" s="1" t="s">
        <v>0</v>
      </c>
      <c r="I263" s="2">
        <v>0</v>
      </c>
      <c r="J263" s="1">
        <v>45915.378993055558</v>
      </c>
    </row>
    <row r="264" spans="1:10" x14ac:dyDescent="0.2">
      <c r="A264" s="4" t="s">
        <v>1</v>
      </c>
      <c r="B264" s="3" t="str">
        <f>HYPERLINK("https://otsuka-europe-crm.veevavault.com/ui/#object/approved_document__v/V5OZ025E82TFUPI", "Spain - HCP Survey Email - June 2025")</f>
        <v>Spain - HCP Survey Email - June 2025</v>
      </c>
      <c r="C264" s="3" t="str">
        <f>HYPERLINK("https://otsuka-europe-crm.veevavault.com/ui/#object/sent_email__v/VBLZ025E82GMX8H", "SE-000267323")</f>
        <v>SE-000267323</v>
      </c>
      <c r="D264" s="1">
        <v>45916.452118055553</v>
      </c>
      <c r="E264" s="2">
        <v>1</v>
      </c>
      <c r="F264" s="2">
        <v>1</v>
      </c>
      <c r="G264" s="2">
        <v>0</v>
      </c>
      <c r="H264" s="1" t="s">
        <v>0</v>
      </c>
      <c r="I264" s="2">
        <v>0</v>
      </c>
      <c r="J264" s="1">
        <v>45915.378506944442</v>
      </c>
    </row>
    <row r="265" spans="1:10" x14ac:dyDescent="0.2">
      <c r="A265" s="4" t="s">
        <v>1</v>
      </c>
      <c r="B265" s="3" t="str">
        <f>HYPERLINK("https://otsuka-europe-crm.veevavault.com/ui/#object/approved_document__v/V5OZ025E82TFUPI", "Spain - HCP Survey Email - June 2025")</f>
        <v>Spain - HCP Survey Email - June 2025</v>
      </c>
      <c r="C265" s="3" t="str">
        <f>HYPERLINK("https://otsuka-europe-crm.veevavault.com/ui/#object/sent_email__v/VBLZ025E82GMX8I", "SE-000267324")</f>
        <v>SE-000267324</v>
      </c>
      <c r="D265" s="1">
        <v>45915.753159722219</v>
      </c>
      <c r="E265" s="2">
        <v>1</v>
      </c>
      <c r="F265" s="2">
        <v>2</v>
      </c>
      <c r="G265" s="2">
        <v>0</v>
      </c>
      <c r="H265" s="1" t="s">
        <v>0</v>
      </c>
      <c r="I265" s="2">
        <v>0</v>
      </c>
      <c r="J265" s="1">
        <v>45915.379282407404</v>
      </c>
    </row>
    <row r="266" spans="1:10" x14ac:dyDescent="0.2">
      <c r="A266" s="4" t="s">
        <v>1</v>
      </c>
      <c r="B266" s="3" t="str">
        <f>HYPERLINK("https://otsuka-europe-crm.veevavault.com/ui/#object/approved_document__v/V5OZ025E82TFUPI", "Spain - HCP Survey Email - June 2025")</f>
        <v>Spain - HCP Survey Email - June 2025</v>
      </c>
      <c r="C266" s="3" t="str">
        <f>HYPERLINK("https://otsuka-europe-crm.veevavault.com/ui/#object/sent_email__v/VBLZ025E82GMX8J", "SE-000267325")</f>
        <v>SE-000267325</v>
      </c>
      <c r="D266" s="1">
        <v>45916.664525462962</v>
      </c>
      <c r="E266" s="2">
        <v>1</v>
      </c>
      <c r="F266" s="2">
        <v>1</v>
      </c>
      <c r="G266" s="2">
        <v>1</v>
      </c>
      <c r="H266" s="1">
        <v>45916.664664351854</v>
      </c>
      <c r="I266" s="2">
        <v>2</v>
      </c>
      <c r="J266" s="1">
        <v>45915.377893518518</v>
      </c>
    </row>
    <row r="267" spans="1:10" x14ac:dyDescent="0.2">
      <c r="A267" s="4" t="s">
        <v>1</v>
      </c>
      <c r="B267" s="3" t="str">
        <f>HYPERLINK("https://otsuka-europe-crm.veevavault.com/ui/#object/approved_document__v/V5OZ025E82TFUPI", "Spain - HCP Survey Email - June 2025")</f>
        <v>Spain - HCP Survey Email - June 2025</v>
      </c>
      <c r="C267" s="3" t="str">
        <f>HYPERLINK("https://otsuka-europe-crm.veevavault.com/ui/#object/sent_email__v/VBLZ025E82GMX8K", "SE-000267326")</f>
        <v>SE-000267326</v>
      </c>
      <c r="D267" s="1" t="s">
        <v>0</v>
      </c>
      <c r="E267" s="2">
        <v>0</v>
      </c>
      <c r="F267" s="2">
        <v>0</v>
      </c>
      <c r="G267" s="2">
        <v>0</v>
      </c>
      <c r="H267" s="1" t="s">
        <v>0</v>
      </c>
      <c r="I267" s="2">
        <v>0</v>
      </c>
      <c r="J267" s="1">
        <v>45915.377511574072</v>
      </c>
    </row>
    <row r="268" spans="1:10" x14ac:dyDescent="0.2">
      <c r="A268" s="4" t="s">
        <v>1</v>
      </c>
      <c r="B268" s="3" t="str">
        <f>HYPERLINK("https://otsuka-europe-crm.veevavault.com/ui/#object/approved_document__v/V5OZ025E82TFUPI", "Spain - HCP Survey Email - June 2025")</f>
        <v>Spain - HCP Survey Email - June 2025</v>
      </c>
      <c r="C268" s="3" t="str">
        <f>HYPERLINK("https://otsuka-europe-crm.veevavault.com/ui/#object/sent_email__v/VBLZ025E82GMX8L", "SE-000267327")</f>
        <v>SE-000267327</v>
      </c>
      <c r="D268" s="1">
        <v>45915.521782407406</v>
      </c>
      <c r="E268" s="2">
        <v>1</v>
      </c>
      <c r="F268" s="2">
        <v>2</v>
      </c>
      <c r="G268" s="2">
        <v>0</v>
      </c>
      <c r="H268" s="1" t="s">
        <v>0</v>
      </c>
      <c r="I268" s="2">
        <v>0</v>
      </c>
      <c r="J268" s="1">
        <v>45915.378171296295</v>
      </c>
    </row>
    <row r="269" spans="1:10" x14ac:dyDescent="0.2">
      <c r="A269" s="4" t="s">
        <v>1</v>
      </c>
      <c r="B269" s="3" t="str">
        <f>HYPERLINK("https://otsuka-europe-crm.veevavault.com/ui/#object/approved_document__v/V5OZ025E82TFUPI", "Spain - HCP Survey Email - June 2025")</f>
        <v>Spain - HCP Survey Email - June 2025</v>
      </c>
      <c r="C269" s="3" t="str">
        <f>HYPERLINK("https://otsuka-europe-crm.veevavault.com/ui/#object/sent_email__v/VBLZ025E82GMX8M", "SE-000267328")</f>
        <v>SE-000267328</v>
      </c>
      <c r="D269" s="1">
        <v>45923.737824074073</v>
      </c>
      <c r="E269" s="2">
        <v>1</v>
      </c>
      <c r="F269" s="2">
        <v>4</v>
      </c>
      <c r="G269" s="2">
        <v>0</v>
      </c>
      <c r="H269" s="1" t="s">
        <v>0</v>
      </c>
      <c r="I269" s="2">
        <v>0</v>
      </c>
      <c r="J269" s="1">
        <v>45915.378819444442</v>
      </c>
    </row>
    <row r="270" spans="1:10" x14ac:dyDescent="0.2">
      <c r="A270" s="4" t="s">
        <v>1</v>
      </c>
      <c r="B270" s="3" t="str">
        <f>HYPERLINK("https://otsuka-europe-crm.veevavault.com/ui/#object/approved_document__v/V5OZ025E82TFUPI", "Spain - HCP Survey Email - June 2025")</f>
        <v>Spain - HCP Survey Email - June 2025</v>
      </c>
      <c r="C270" s="3" t="str">
        <f>HYPERLINK("https://otsuka-europe-crm.veevavault.com/ui/#object/sent_email__v/VBLZ025E82GMX8N", "SE-000267329")</f>
        <v>SE-000267329</v>
      </c>
      <c r="D270" s="1">
        <v>45915.731226851851</v>
      </c>
      <c r="E270" s="2">
        <v>1</v>
      </c>
      <c r="F270" s="2">
        <v>3</v>
      </c>
      <c r="G270" s="2">
        <v>1</v>
      </c>
      <c r="H270" s="1">
        <v>45915.459537037037</v>
      </c>
      <c r="I270" s="2">
        <v>1</v>
      </c>
      <c r="J270" s="1">
        <v>45915.379814814813</v>
      </c>
    </row>
    <row r="271" spans="1:10" x14ac:dyDescent="0.2">
      <c r="A271" s="4" t="s">
        <v>1</v>
      </c>
      <c r="B271" s="3" t="str">
        <f>HYPERLINK("https://otsuka-europe-crm.veevavault.com/ui/#object/approved_document__v/V5OZ025E82TFUPI", "Spain - HCP Survey Email - June 2025")</f>
        <v>Spain - HCP Survey Email - June 2025</v>
      </c>
      <c r="C271" s="3" t="str">
        <f>HYPERLINK("https://otsuka-europe-crm.veevavault.com/ui/#object/sent_email__v/VBLZ025E82GMX8O", "SE-000267330")</f>
        <v>SE-000267330</v>
      </c>
      <c r="D271" s="1">
        <v>45915.631643518522</v>
      </c>
      <c r="E271" s="2">
        <v>1</v>
      </c>
      <c r="F271" s="2">
        <v>1</v>
      </c>
      <c r="G271" s="2">
        <v>1</v>
      </c>
      <c r="H271" s="1">
        <v>45915.631886574076</v>
      </c>
      <c r="I271" s="2">
        <v>1</v>
      </c>
      <c r="J271" s="1">
        <v>45915.379143518519</v>
      </c>
    </row>
    <row r="272" spans="1:10" x14ac:dyDescent="0.2">
      <c r="A272" s="4" t="s">
        <v>1</v>
      </c>
      <c r="B272" s="3" t="str">
        <f>HYPERLINK("https://otsuka-europe-crm.veevavault.com/ui/#object/approved_document__v/V5OZ025E82TFUPI", "Spain - HCP Survey Email - June 2025")</f>
        <v>Spain - HCP Survey Email - June 2025</v>
      </c>
      <c r="C272" s="3" t="str">
        <f>HYPERLINK("https://otsuka-europe-crm.veevavault.com/ui/#object/sent_email__v/VBLZ025E82GMX8P", "SE-000267331")</f>
        <v>SE-000267331</v>
      </c>
      <c r="D272" s="1" t="s">
        <v>0</v>
      </c>
      <c r="E272" s="2">
        <v>0</v>
      </c>
      <c r="F272" s="2">
        <v>0</v>
      </c>
      <c r="G272" s="2">
        <v>0</v>
      </c>
      <c r="H272" s="1" t="s">
        <v>0</v>
      </c>
      <c r="I272" s="2">
        <v>0</v>
      </c>
      <c r="J272" s="1">
        <v>45915.377569444441</v>
      </c>
    </row>
    <row r="273" spans="1:10" x14ac:dyDescent="0.2">
      <c r="A273" s="4" t="s">
        <v>1</v>
      </c>
      <c r="B273" s="3" t="str">
        <f>HYPERLINK("https://otsuka-europe-crm.veevavault.com/ui/#object/approved_document__v/V5OZ025E82TFUPI", "Spain - HCP Survey Email - June 2025")</f>
        <v>Spain - HCP Survey Email - June 2025</v>
      </c>
      <c r="C273" s="3" t="str">
        <f>HYPERLINK("https://otsuka-europe-crm.veevavault.com/ui/#object/sent_email__v/VBLZ025E82GMX8Q", "SE-000267332")</f>
        <v>SE-000267332</v>
      </c>
      <c r="D273" s="1">
        <v>45915.401377314818</v>
      </c>
      <c r="E273" s="2">
        <v>1</v>
      </c>
      <c r="F273" s="2">
        <v>1</v>
      </c>
      <c r="G273" s="2">
        <v>1</v>
      </c>
      <c r="H273" s="1">
        <v>45915.401377314818</v>
      </c>
      <c r="I273" s="2">
        <v>1</v>
      </c>
      <c r="J273" s="1">
        <v>45915.378344907411</v>
      </c>
    </row>
    <row r="274" spans="1:10" x14ac:dyDescent="0.2">
      <c r="A274" s="4" t="s">
        <v>1</v>
      </c>
      <c r="B274" s="3" t="str">
        <f>HYPERLINK("https://otsuka-europe-crm.veevavault.com/ui/#object/approved_document__v/V5OZ025E82TFUPI", "Spain - HCP Survey Email - June 2025")</f>
        <v>Spain - HCP Survey Email - June 2025</v>
      </c>
      <c r="C274" s="3" t="str">
        <f>HYPERLINK("https://otsuka-europe-crm.veevavault.com/ui/#object/sent_email__v/VBLZ025E82GMX8R", "SE-000267333")</f>
        <v>SE-000267333</v>
      </c>
      <c r="D274" s="1">
        <v>45916.946898148148</v>
      </c>
      <c r="E274" s="2">
        <v>1</v>
      </c>
      <c r="F274" s="2">
        <v>2</v>
      </c>
      <c r="G274" s="2">
        <v>0</v>
      </c>
      <c r="H274" s="1" t="s">
        <v>0</v>
      </c>
      <c r="I274" s="2">
        <v>0</v>
      </c>
      <c r="J274" s="1">
        <v>45915.378912037035</v>
      </c>
    </row>
    <row r="275" spans="1:10" x14ac:dyDescent="0.2">
      <c r="A275" s="4" t="s">
        <v>1</v>
      </c>
      <c r="B275" s="3" t="str">
        <f>HYPERLINK("https://otsuka-europe-crm.veevavault.com/ui/#object/approved_document__v/V5OZ025E82TFUPI", "Spain - HCP Survey Email - June 2025")</f>
        <v>Spain - HCP Survey Email - June 2025</v>
      </c>
      <c r="C275" s="3" t="str">
        <f>HYPERLINK("https://otsuka-europe-crm.veevavault.com/ui/#object/sent_email__v/VBLZ025E82GMX8S", "SE-000267334")</f>
        <v>SE-000267334</v>
      </c>
      <c r="D275" s="1">
        <v>45917.327673611115</v>
      </c>
      <c r="E275" s="2">
        <v>1</v>
      </c>
      <c r="F275" s="2">
        <v>1</v>
      </c>
      <c r="G275" s="2">
        <v>0</v>
      </c>
      <c r="H275" s="1" t="s">
        <v>0</v>
      </c>
      <c r="I275" s="2">
        <v>0</v>
      </c>
      <c r="J275" s="1">
        <v>45915.379155092596</v>
      </c>
    </row>
    <row r="276" spans="1:10" x14ac:dyDescent="0.2">
      <c r="A276" s="4" t="s">
        <v>1</v>
      </c>
      <c r="B276" s="3" t="str">
        <f>HYPERLINK("https://otsuka-europe-crm.veevavault.com/ui/#object/approved_document__v/V5OZ025E82TFUPI", "Spain - HCP Survey Email - June 2025")</f>
        <v>Spain - HCP Survey Email - June 2025</v>
      </c>
      <c r="C276" s="3" t="str">
        <f>HYPERLINK("https://otsuka-europe-crm.veevavault.com/ui/#object/sent_email__v/VBLZ025E82GMXQ9", "SE-000267335")</f>
        <v>SE-000267335</v>
      </c>
      <c r="D276" s="1" t="s">
        <v>0</v>
      </c>
      <c r="E276" s="2">
        <v>0</v>
      </c>
      <c r="F276" s="2">
        <v>0</v>
      </c>
      <c r="G276" s="2">
        <v>0</v>
      </c>
      <c r="H276" s="1" t="s">
        <v>0</v>
      </c>
      <c r="I276" s="2">
        <v>0</v>
      </c>
      <c r="J276" s="1">
        <v>45915.379143518519</v>
      </c>
    </row>
    <row r="277" spans="1:10" x14ac:dyDescent="0.2">
      <c r="A277" s="4" t="s">
        <v>1</v>
      </c>
      <c r="B277" s="3" t="str">
        <f>HYPERLINK("https://otsuka-europe-crm.veevavault.com/ui/#object/approved_document__v/V5OZ025E82TFUPI", "Spain - HCP Survey Email - June 2025")</f>
        <v>Spain - HCP Survey Email - June 2025</v>
      </c>
      <c r="C277" s="3" t="str">
        <f>HYPERLINK("https://otsuka-europe-crm.veevavault.com/ui/#object/sent_email__v/VBLZ025E82GMXQA", "SE-000267336")</f>
        <v>SE-000267336</v>
      </c>
      <c r="D277" s="1">
        <v>45916.643194444441</v>
      </c>
      <c r="E277" s="2">
        <v>1</v>
      </c>
      <c r="F277" s="2">
        <v>1</v>
      </c>
      <c r="G277" s="2">
        <v>0</v>
      </c>
      <c r="H277" s="1" t="s">
        <v>0</v>
      </c>
      <c r="I277" s="2">
        <v>0</v>
      </c>
      <c r="J277" s="1">
        <v>45915.377847222226</v>
      </c>
    </row>
    <row r="278" spans="1:10" x14ac:dyDescent="0.2">
      <c r="A278" s="4" t="s">
        <v>1</v>
      </c>
      <c r="B278" s="3" t="str">
        <f>HYPERLINK("https://otsuka-europe-crm.veevavault.com/ui/#object/approved_document__v/V5OZ025E82TFUPI", "Spain - HCP Survey Email - June 2025")</f>
        <v>Spain - HCP Survey Email - June 2025</v>
      </c>
      <c r="C278" s="3" t="str">
        <f>HYPERLINK("https://otsuka-europe-crm.veevavault.com/ui/#object/sent_email__v/VBLZ025E82GMXQB", "SE-000267337")</f>
        <v>SE-000267337</v>
      </c>
      <c r="D278" s="1">
        <v>45916.234189814815</v>
      </c>
      <c r="E278" s="2">
        <v>1</v>
      </c>
      <c r="F278" s="2">
        <v>1</v>
      </c>
      <c r="G278" s="2">
        <v>0</v>
      </c>
      <c r="H278" s="1" t="s">
        <v>0</v>
      </c>
      <c r="I278" s="2">
        <v>0</v>
      </c>
      <c r="J278" s="1">
        <v>45915.378275462965</v>
      </c>
    </row>
    <row r="279" spans="1:10" x14ac:dyDescent="0.2">
      <c r="A279" s="4" t="s">
        <v>1</v>
      </c>
      <c r="B279" s="3" t="str">
        <f>HYPERLINK("https://otsuka-europe-crm.veevavault.com/ui/#object/approved_document__v/V5OZ025E82TFUPI", "Spain - HCP Survey Email - June 2025")</f>
        <v>Spain - HCP Survey Email - June 2025</v>
      </c>
      <c r="C279" s="3" t="str">
        <f>HYPERLINK("https://otsuka-europe-crm.veevavault.com/ui/#object/sent_email__v/VBLZ025E82GMXQC", "SE-000267338")</f>
        <v>SE-000267338</v>
      </c>
      <c r="D279" s="1" t="s">
        <v>0</v>
      </c>
      <c r="E279" s="2">
        <v>0</v>
      </c>
      <c r="F279" s="2">
        <v>0</v>
      </c>
      <c r="G279" s="2">
        <v>0</v>
      </c>
      <c r="H279" s="1" t="s">
        <v>0</v>
      </c>
      <c r="I279" s="2">
        <v>0</v>
      </c>
      <c r="J279" s="1">
        <v>45915.378055555557</v>
      </c>
    </row>
    <row r="280" spans="1:10" x14ac:dyDescent="0.2">
      <c r="A280" s="4" t="s">
        <v>1</v>
      </c>
      <c r="B280" s="3" t="str">
        <f>HYPERLINK("https://otsuka-europe-crm.veevavault.com/ui/#object/approved_document__v/V5OZ025E82TFUPI", "Spain - HCP Survey Email - June 2025")</f>
        <v>Spain - HCP Survey Email - June 2025</v>
      </c>
      <c r="C280" s="3" t="str">
        <f>HYPERLINK("https://otsuka-europe-crm.veevavault.com/ui/#object/sent_email__v/VBLZ025E82GMXQD", "SE-000267339")</f>
        <v>SE-000267339</v>
      </c>
      <c r="D280" s="1">
        <v>45929.733680555553</v>
      </c>
      <c r="E280" s="2">
        <v>1</v>
      </c>
      <c r="F280" s="2">
        <v>2</v>
      </c>
      <c r="G280" s="2">
        <v>0</v>
      </c>
      <c r="H280" s="1" t="s">
        <v>0</v>
      </c>
      <c r="I280" s="2">
        <v>0</v>
      </c>
      <c r="J280" s="1">
        <v>45915.378576388888</v>
      </c>
    </row>
    <row r="281" spans="1:10" x14ac:dyDescent="0.2">
      <c r="A281" s="4" t="s">
        <v>1</v>
      </c>
      <c r="B281" s="3" t="str">
        <f>HYPERLINK("https://otsuka-europe-crm.veevavault.com/ui/#object/approved_document__v/V5OZ025E82TFUPI", "Spain - HCP Survey Email - June 2025")</f>
        <v>Spain - HCP Survey Email - June 2025</v>
      </c>
      <c r="C281" s="3" t="str">
        <f>HYPERLINK("https://otsuka-europe-crm.veevavault.com/ui/#object/sent_email__v/VBLZ025E82GMXQE", "SE-000267340")</f>
        <v>SE-000267340</v>
      </c>
      <c r="D281" s="1" t="s">
        <v>0</v>
      </c>
      <c r="E281" s="2">
        <v>0</v>
      </c>
      <c r="F281" s="2">
        <v>0</v>
      </c>
      <c r="G281" s="2">
        <v>0</v>
      </c>
      <c r="H281" s="1" t="s">
        <v>0</v>
      </c>
      <c r="I281" s="2">
        <v>0</v>
      </c>
      <c r="J281" s="1">
        <v>45915.379884259259</v>
      </c>
    </row>
    <row r="282" spans="1:10" x14ac:dyDescent="0.2">
      <c r="A282" s="4" t="s">
        <v>1</v>
      </c>
      <c r="B282" s="3" t="str">
        <f>HYPERLINK("https://otsuka-europe-crm.veevavault.com/ui/#object/approved_document__v/V5OZ025E82TFUPI", "Spain - HCP Survey Email - June 2025")</f>
        <v>Spain - HCP Survey Email - June 2025</v>
      </c>
      <c r="C282" s="3" t="str">
        <f>HYPERLINK("https://otsuka-europe-crm.veevavault.com/ui/#object/sent_email__v/VBLZ025E82GMXQF", "SE-000267341")</f>
        <v>SE-000267341</v>
      </c>
      <c r="D282" s="1">
        <v>45915.378032407411</v>
      </c>
      <c r="E282" s="2">
        <v>1</v>
      </c>
      <c r="F282" s="2">
        <v>1</v>
      </c>
      <c r="G282" s="2">
        <v>1</v>
      </c>
      <c r="H282" s="1">
        <v>45915.378275462965</v>
      </c>
      <c r="I282" s="2">
        <v>2</v>
      </c>
      <c r="J282" s="1">
        <v>45915.377766203703</v>
      </c>
    </row>
    <row r="283" spans="1:10" x14ac:dyDescent="0.2">
      <c r="A283" s="4" t="s">
        <v>1</v>
      </c>
      <c r="B283" s="3" t="str">
        <f>HYPERLINK("https://otsuka-europe-crm.veevavault.com/ui/#object/approved_document__v/V5OZ025E82TFUPI", "Spain - HCP Survey Email - June 2025")</f>
        <v>Spain - HCP Survey Email - June 2025</v>
      </c>
      <c r="C283" s="3" t="str">
        <f>HYPERLINK("https://otsuka-europe-crm.veevavault.com/ui/#object/sent_email__v/VBLZ025E82GMXQG", "SE-000267342")</f>
        <v>SE-000267342</v>
      </c>
      <c r="D283" s="1">
        <v>45915.395937499998</v>
      </c>
      <c r="E283" s="2">
        <v>1</v>
      </c>
      <c r="F283" s="2">
        <v>1</v>
      </c>
      <c r="G283" s="2">
        <v>0</v>
      </c>
      <c r="H283" s="1" t="s">
        <v>0</v>
      </c>
      <c r="I283" s="2">
        <v>0</v>
      </c>
      <c r="J283" s="1">
        <v>45915.377662037034</v>
      </c>
    </row>
    <row r="284" spans="1:10" x14ac:dyDescent="0.2">
      <c r="A284" s="4" t="s">
        <v>1</v>
      </c>
      <c r="B284" s="3" t="str">
        <f>HYPERLINK("https://otsuka-europe-crm.veevavault.com/ui/#object/approved_document__v/V5OZ025E82TFUPI", "Spain - HCP Survey Email - June 2025")</f>
        <v>Spain - HCP Survey Email - June 2025</v>
      </c>
      <c r="C284" s="3" t="str">
        <f>HYPERLINK("https://otsuka-europe-crm.veevavault.com/ui/#object/sent_email__v/VBLZ025E82GMXQH", "SE-000267343")</f>
        <v>SE-000267343</v>
      </c>
      <c r="D284" s="1" t="s">
        <v>0</v>
      </c>
      <c r="E284" s="2">
        <v>0</v>
      </c>
      <c r="F284" s="2">
        <v>0</v>
      </c>
      <c r="G284" s="2">
        <v>0</v>
      </c>
      <c r="H284" s="1" t="s">
        <v>0</v>
      </c>
      <c r="I284" s="2">
        <v>0</v>
      </c>
      <c r="J284" s="1">
        <v>45915.378009259257</v>
      </c>
    </row>
    <row r="285" spans="1:10" x14ac:dyDescent="0.2">
      <c r="A285" s="4" t="s">
        <v>1</v>
      </c>
      <c r="B285" s="3" t="str">
        <f>HYPERLINK("https://otsuka-europe-crm.veevavault.com/ui/#object/approved_document__v/V5OZ025E82TFUPI", "Spain - HCP Survey Email - June 2025")</f>
        <v>Spain - HCP Survey Email - June 2025</v>
      </c>
      <c r="C285" s="3" t="str">
        <f>HYPERLINK("https://otsuka-europe-crm.veevavault.com/ui/#object/sent_email__v/VBLZ025E82GMXQI", "SE-000267344")</f>
        <v>SE-000267344</v>
      </c>
      <c r="D285" s="1" t="s">
        <v>0</v>
      </c>
      <c r="E285" s="2">
        <v>0</v>
      </c>
      <c r="F285" s="2">
        <v>0</v>
      </c>
      <c r="G285" s="2">
        <v>0</v>
      </c>
      <c r="H285" s="1" t="s">
        <v>0</v>
      </c>
      <c r="I285" s="2">
        <v>0</v>
      </c>
      <c r="J285" s="1">
        <v>45915.379131944443</v>
      </c>
    </row>
    <row r="286" spans="1:10" x14ac:dyDescent="0.2">
      <c r="A286" s="4" t="s">
        <v>1</v>
      </c>
      <c r="B286" s="3" t="str">
        <f>HYPERLINK("https://otsuka-europe-crm.veevavault.com/ui/#object/approved_document__v/V5OZ025E82TFUPI", "Spain - HCP Survey Email - June 2025")</f>
        <v>Spain - HCP Survey Email - June 2025</v>
      </c>
      <c r="C286" s="3" t="str">
        <f>HYPERLINK("https://otsuka-europe-crm.veevavault.com/ui/#object/sent_email__v/VBLZ025E82GMXQJ", "SE-000267345")</f>
        <v>SE-000267345</v>
      </c>
      <c r="D286" s="1">
        <v>45915.933668981481</v>
      </c>
      <c r="E286" s="2">
        <v>1</v>
      </c>
      <c r="F286" s="2">
        <v>2</v>
      </c>
      <c r="G286" s="2">
        <v>0</v>
      </c>
      <c r="H286" s="1" t="s">
        <v>0</v>
      </c>
      <c r="I286" s="2">
        <v>0</v>
      </c>
      <c r="J286" s="1">
        <v>45915.378703703704</v>
      </c>
    </row>
    <row r="287" spans="1:10" x14ac:dyDescent="0.2">
      <c r="A287" s="4" t="s">
        <v>1</v>
      </c>
      <c r="B287" s="3" t="str">
        <f>HYPERLINK("https://otsuka-europe-crm.veevavault.com/ui/#object/approved_document__v/V5OZ025E82TFUPI", "Spain - HCP Survey Email - June 2025")</f>
        <v>Spain - HCP Survey Email - June 2025</v>
      </c>
      <c r="C287" s="3" t="str">
        <f>HYPERLINK("https://otsuka-europe-crm.veevavault.com/ui/#object/sent_email__v/VBLZ025E82GMXQK", "SE-000267346")</f>
        <v>SE-000267346</v>
      </c>
      <c r="D287" s="1">
        <v>45917.267997685187</v>
      </c>
      <c r="E287" s="2">
        <v>1</v>
      </c>
      <c r="F287" s="2">
        <v>1</v>
      </c>
      <c r="G287" s="2">
        <v>0</v>
      </c>
      <c r="H287" s="1" t="s">
        <v>0</v>
      </c>
      <c r="I287" s="2">
        <v>0</v>
      </c>
      <c r="J287" s="1">
        <v>45915.379224537035</v>
      </c>
    </row>
    <row r="288" spans="1:10" x14ac:dyDescent="0.2">
      <c r="A288" s="4" t="s">
        <v>1</v>
      </c>
      <c r="B288" s="3" t="str">
        <f>HYPERLINK("https://otsuka-europe-crm.veevavault.com/ui/#object/approved_document__v/V5OZ025E82TFUPI", "Spain - HCP Survey Email - June 2025")</f>
        <v>Spain - HCP Survey Email - June 2025</v>
      </c>
      <c r="C288" s="3" t="str">
        <f>HYPERLINK("https://otsuka-europe-crm.veevavault.com/ui/#object/sent_email__v/VBLZ025E82GMXQL", "SE-000267347")</f>
        <v>SE-000267347</v>
      </c>
      <c r="D288" s="1" t="s">
        <v>0</v>
      </c>
      <c r="E288" s="2">
        <v>0</v>
      </c>
      <c r="F288" s="2">
        <v>0</v>
      </c>
      <c r="G288" s="2">
        <v>0</v>
      </c>
      <c r="H288" s="1" t="s">
        <v>0</v>
      </c>
      <c r="I288" s="2">
        <v>0</v>
      </c>
      <c r="J288" s="1">
        <v>45915.377858796295</v>
      </c>
    </row>
    <row r="289" spans="1:10" x14ac:dyDescent="0.2">
      <c r="A289" s="4" t="s">
        <v>1</v>
      </c>
      <c r="B289" s="3" t="str">
        <f>HYPERLINK("https://otsuka-europe-crm.veevavault.com/ui/#object/approved_document__v/V5OZ025E82TFUPI", "Spain - HCP Survey Email - June 2025")</f>
        <v>Spain - HCP Survey Email - June 2025</v>
      </c>
      <c r="C289" s="3" t="str">
        <f>HYPERLINK("https://otsuka-europe-crm.veevavault.com/ui/#object/sent_email__v/VBLZ025E82GMXQM", "SE-000267348")</f>
        <v>SE-000267348</v>
      </c>
      <c r="D289" s="1" t="s">
        <v>0</v>
      </c>
      <c r="E289" s="2">
        <v>0</v>
      </c>
      <c r="F289" s="2">
        <v>0</v>
      </c>
      <c r="G289" s="2">
        <v>0</v>
      </c>
      <c r="H289" s="1" t="s">
        <v>0</v>
      </c>
      <c r="I289" s="2">
        <v>0</v>
      </c>
      <c r="J289" s="1">
        <v>45915.378206018519</v>
      </c>
    </row>
    <row r="290" spans="1:10" x14ac:dyDescent="0.2">
      <c r="A290" s="4" t="s">
        <v>1</v>
      </c>
      <c r="B290" s="3" t="str">
        <f>HYPERLINK("https://otsuka-europe-crm.veevavault.com/ui/#object/approved_document__v/V5OZ025E82TFUPI", "Spain - HCP Survey Email - June 2025")</f>
        <v>Spain - HCP Survey Email - June 2025</v>
      </c>
      <c r="C290" s="3" t="str">
        <f>HYPERLINK("https://otsuka-europe-crm.veevavault.com/ui/#object/sent_email__v/VBLZ025E82GMXQN", "SE-000267349")</f>
        <v>SE-000267349</v>
      </c>
      <c r="D290" s="1" t="s">
        <v>0</v>
      </c>
      <c r="E290" s="2">
        <v>0</v>
      </c>
      <c r="F290" s="2">
        <v>0</v>
      </c>
      <c r="G290" s="2">
        <v>0</v>
      </c>
      <c r="H290" s="1" t="s">
        <v>0</v>
      </c>
      <c r="I290" s="2">
        <v>0</v>
      </c>
      <c r="J290" s="1">
        <v>45915.378113425926</v>
      </c>
    </row>
    <row r="291" spans="1:10" x14ac:dyDescent="0.2">
      <c r="A291" s="4" t="s">
        <v>1</v>
      </c>
      <c r="B291" s="3" t="str">
        <f>HYPERLINK("https://otsuka-europe-crm.veevavault.com/ui/#object/approved_document__v/V5OZ025E82TFUPI", "Spain - HCP Survey Email - June 2025")</f>
        <v>Spain - HCP Survey Email - June 2025</v>
      </c>
      <c r="C291" s="3" t="str">
        <f>HYPERLINK("https://otsuka-europe-crm.veevavault.com/ui/#object/sent_email__v/VBLZ025E82GMXQO", "SE-000267350")</f>
        <v>SE-000267350</v>
      </c>
      <c r="D291" s="1">
        <v>45916.268622685187</v>
      </c>
      <c r="E291" s="2">
        <v>1</v>
      </c>
      <c r="F291" s="2">
        <v>1</v>
      </c>
      <c r="G291" s="2">
        <v>0</v>
      </c>
      <c r="H291" s="1" t="s">
        <v>0</v>
      </c>
      <c r="I291" s="2">
        <v>0</v>
      </c>
      <c r="J291" s="1">
        <v>45915.378495370373</v>
      </c>
    </row>
    <row r="292" spans="1:10" x14ac:dyDescent="0.2">
      <c r="A292" s="4" t="s">
        <v>1</v>
      </c>
      <c r="B292" s="3" t="str">
        <f>HYPERLINK("https://otsuka-europe-crm.veevavault.com/ui/#object/approved_document__v/V5OZ025E82TFUPI", "Spain - HCP Survey Email - June 2025")</f>
        <v>Spain - HCP Survey Email - June 2025</v>
      </c>
      <c r="C292" s="3" t="str">
        <f>HYPERLINK("https://otsuka-europe-crm.veevavault.com/ui/#object/sent_email__v/VBLZ025E82GMXQP", "SE-000267351")</f>
        <v>SE-000267351</v>
      </c>
      <c r="D292" s="1" t="s">
        <v>0</v>
      </c>
      <c r="E292" s="2">
        <v>0</v>
      </c>
      <c r="F292" s="2">
        <v>0</v>
      </c>
      <c r="G292" s="2">
        <v>0</v>
      </c>
      <c r="H292" s="1" t="s">
        <v>0</v>
      </c>
      <c r="I292" s="2">
        <v>0</v>
      </c>
      <c r="J292" s="1">
        <v>45915.379861111112</v>
      </c>
    </row>
    <row r="293" spans="1:10" x14ac:dyDescent="0.2">
      <c r="A293" s="4" t="s">
        <v>1</v>
      </c>
      <c r="B293" s="3" t="str">
        <f>HYPERLINK("https://otsuka-europe-crm.veevavault.com/ui/#object/approved_document__v/V5OZ025E82TFUPI", "Spain - HCP Survey Email - June 2025")</f>
        <v>Spain - HCP Survey Email - June 2025</v>
      </c>
      <c r="C293" s="3" t="str">
        <f>HYPERLINK("https://otsuka-europe-crm.veevavault.com/ui/#object/sent_email__v/VBLZ025E82GMXQQ", "SE-000267352")</f>
        <v>SE-000267352</v>
      </c>
      <c r="D293" s="1" t="s">
        <v>0</v>
      </c>
      <c r="E293" s="2">
        <v>0</v>
      </c>
      <c r="F293" s="2">
        <v>0</v>
      </c>
      <c r="G293" s="2">
        <v>0</v>
      </c>
      <c r="H293" s="1" t="s">
        <v>0</v>
      </c>
      <c r="I293" s="2">
        <v>0</v>
      </c>
      <c r="J293" s="1">
        <v>45915.37777777778</v>
      </c>
    </row>
    <row r="294" spans="1:10" x14ac:dyDescent="0.2">
      <c r="A294" s="4" t="s">
        <v>1</v>
      </c>
      <c r="B294" s="3" t="str">
        <f>HYPERLINK("https://otsuka-europe-crm.veevavault.com/ui/#object/approved_document__v/V5OZ025E82TFUPI", "Spain - HCP Survey Email - June 2025")</f>
        <v>Spain - HCP Survey Email - June 2025</v>
      </c>
      <c r="C294" s="3" t="str">
        <f>HYPERLINK("https://otsuka-europe-crm.veevavault.com/ui/#object/sent_email__v/VBLZ025E82GMXQR", "SE-000267353")</f>
        <v>SE-000267353</v>
      </c>
      <c r="D294" s="1" t="s">
        <v>0</v>
      </c>
      <c r="E294" s="2">
        <v>0</v>
      </c>
      <c r="F294" s="2">
        <v>0</v>
      </c>
      <c r="G294" s="2">
        <v>0</v>
      </c>
      <c r="H294" s="1" t="s">
        <v>0</v>
      </c>
      <c r="I294" s="2">
        <v>0</v>
      </c>
      <c r="J294" s="1">
        <v>45915.378206018519</v>
      </c>
    </row>
    <row r="295" spans="1:10" x14ac:dyDescent="0.2">
      <c r="A295" s="4" t="s">
        <v>1</v>
      </c>
      <c r="B295" s="3" t="str">
        <f>HYPERLINK("https://otsuka-europe-crm.veevavault.com/ui/#object/approved_document__v/V5OZ025E82TFUPI", "Spain - HCP Survey Email - June 2025")</f>
        <v>Spain - HCP Survey Email - June 2025</v>
      </c>
      <c r="C295" s="3" t="str">
        <f>HYPERLINK("https://otsuka-europe-crm.veevavault.com/ui/#object/sent_email__v/VBLZ025E82GMXQS", "SE-000267354")</f>
        <v>SE-000267354</v>
      </c>
      <c r="D295" s="1">
        <v>46008.761759259258</v>
      </c>
      <c r="E295" s="2">
        <v>1</v>
      </c>
      <c r="F295" s="2">
        <v>3</v>
      </c>
      <c r="G295" s="2">
        <v>1</v>
      </c>
      <c r="H295" s="1">
        <v>45916.348946759259</v>
      </c>
      <c r="I295" s="2">
        <v>1</v>
      </c>
      <c r="J295" s="1">
        <v>45915.378101851849</v>
      </c>
    </row>
    <row r="296" spans="1:10" x14ac:dyDescent="0.2">
      <c r="A296" s="4" t="s">
        <v>1</v>
      </c>
      <c r="B296" s="3" t="str">
        <f>HYPERLINK("https://otsuka-europe-crm.veevavault.com/ui/#object/approved_document__v/V5OZ025E82TFUPI", "Spain - HCP Survey Email - June 2025")</f>
        <v>Spain - HCP Survey Email - June 2025</v>
      </c>
      <c r="C296" s="3" t="str">
        <f>HYPERLINK("https://otsuka-europe-crm.veevavault.com/ui/#object/sent_email__v/VBLZ025E82GMXQT", "SE-000267355")</f>
        <v>SE-000267355</v>
      </c>
      <c r="D296" s="1">
        <v>45915.435682870368</v>
      </c>
      <c r="E296" s="2">
        <v>1</v>
      </c>
      <c r="F296" s="2">
        <v>1</v>
      </c>
      <c r="G296" s="2">
        <v>0</v>
      </c>
      <c r="H296" s="1" t="s">
        <v>0</v>
      </c>
      <c r="I296" s="2">
        <v>0</v>
      </c>
      <c r="J296" s="1">
        <v>45915.378564814811</v>
      </c>
    </row>
    <row r="297" spans="1:10" x14ac:dyDescent="0.2">
      <c r="A297" s="4" t="s">
        <v>1</v>
      </c>
      <c r="B297" s="3" t="str">
        <f>HYPERLINK("https://otsuka-europe-crm.veevavault.com/ui/#object/approved_document__v/V5OZ025E82TFUPI", "Spain - HCP Survey Email - June 2025")</f>
        <v>Spain - HCP Survey Email - June 2025</v>
      </c>
      <c r="C297" s="3" t="str">
        <f>HYPERLINK("https://otsuka-europe-crm.veevavault.com/ui/#object/sent_email__v/VBLZ025E82GMXQU", "SE-000267356")</f>
        <v>SE-000267356</v>
      </c>
      <c r="D297" s="1">
        <v>45915.428020833337</v>
      </c>
      <c r="E297" s="2">
        <v>1</v>
      </c>
      <c r="F297" s="2">
        <v>1</v>
      </c>
      <c r="G297" s="2">
        <v>1</v>
      </c>
      <c r="H297" s="1">
        <v>45915.428402777776</v>
      </c>
      <c r="I297" s="2">
        <v>2</v>
      </c>
      <c r="J297" s="1">
        <v>45915.379930555559</v>
      </c>
    </row>
    <row r="298" spans="1:10" x14ac:dyDescent="0.2">
      <c r="A298" s="4" t="s">
        <v>1</v>
      </c>
      <c r="B298" s="3" t="str">
        <f>HYPERLINK("https://otsuka-europe-crm.veevavault.com/ui/#object/approved_document__v/V5OZ025E82TFUPI", "Spain - HCP Survey Email - June 2025")</f>
        <v>Spain - HCP Survey Email - June 2025</v>
      </c>
      <c r="C298" s="3" t="str">
        <f>HYPERLINK("https://otsuka-europe-crm.veevavault.com/ui/#object/sent_email__v/VBLZ025E82GMXQV", "SE-000267357")</f>
        <v>SE-000267357</v>
      </c>
      <c r="D298" s="1" t="s">
        <v>0</v>
      </c>
      <c r="E298" s="2">
        <v>0</v>
      </c>
      <c r="F298" s="2">
        <v>0</v>
      </c>
      <c r="G298" s="2">
        <v>0</v>
      </c>
      <c r="H298" s="1" t="s">
        <v>0</v>
      </c>
      <c r="I298" s="2">
        <v>0</v>
      </c>
      <c r="J298" s="1">
        <v>45915.377708333333</v>
      </c>
    </row>
    <row r="299" spans="1:10" x14ac:dyDescent="0.2">
      <c r="A299" s="4" t="s">
        <v>1</v>
      </c>
      <c r="B299" s="3" t="str">
        <f>HYPERLINK("https://otsuka-europe-crm.veevavault.com/ui/#object/approved_document__v/V5OZ025E82TFUPI", "Spain - HCP Survey Email - June 2025")</f>
        <v>Spain - HCP Survey Email - June 2025</v>
      </c>
      <c r="C299" s="3" t="str">
        <f>HYPERLINK("https://otsuka-europe-crm.veevavault.com/ui/#object/sent_email__v/VBLZ025E82GMXQW", "SE-000267358")</f>
        <v>SE-000267358</v>
      </c>
      <c r="D299" s="1" t="s">
        <v>0</v>
      </c>
      <c r="E299" s="2">
        <v>0</v>
      </c>
      <c r="F299" s="2">
        <v>0</v>
      </c>
      <c r="G299" s="2">
        <v>0</v>
      </c>
      <c r="H299" s="1" t="s">
        <v>0</v>
      </c>
      <c r="I299" s="2">
        <v>0</v>
      </c>
      <c r="J299" s="1">
        <v>45915.377592592595</v>
      </c>
    </row>
    <row r="300" spans="1:10" x14ac:dyDescent="0.2">
      <c r="A300" s="4" t="s">
        <v>1</v>
      </c>
      <c r="B300" s="3" t="str">
        <f>HYPERLINK("https://otsuka-europe-crm.veevavault.com/ui/#object/approved_document__v/V5OZ025E82TFUPI", "Spain - HCP Survey Email - June 2025")</f>
        <v>Spain - HCP Survey Email - June 2025</v>
      </c>
      <c r="C300" s="3" t="str">
        <f>HYPERLINK("https://otsuka-europe-crm.veevavault.com/ui/#object/sent_email__v/VBLZ025E82GMXQX", "SE-000267359")</f>
        <v>SE-000267359</v>
      </c>
      <c r="D300" s="1">
        <v>45915.877013888887</v>
      </c>
      <c r="E300" s="2">
        <v>1</v>
      </c>
      <c r="F300" s="2">
        <v>1</v>
      </c>
      <c r="G300" s="2">
        <v>0</v>
      </c>
      <c r="H300" s="1" t="s">
        <v>0</v>
      </c>
      <c r="I300" s="2">
        <v>0</v>
      </c>
      <c r="J300" s="1">
        <v>45915.378125000003</v>
      </c>
    </row>
    <row r="301" spans="1:10" x14ac:dyDescent="0.2">
      <c r="A301" s="4" t="s">
        <v>1</v>
      </c>
      <c r="B301" s="3" t="str">
        <f>HYPERLINK("https://otsuka-europe-crm.veevavault.com/ui/#object/approved_document__v/V5OZ025E82TFUPI", "Spain - HCP Survey Email - June 2025")</f>
        <v>Spain - HCP Survey Email - June 2025</v>
      </c>
      <c r="C301" s="3" t="str">
        <f>HYPERLINK("https://otsuka-europe-crm.veevavault.com/ui/#object/sent_email__v/VBLZ025E82GMXQY", "SE-000267360")</f>
        <v>SE-000267360</v>
      </c>
      <c r="D301" s="1">
        <v>45932.663425925923</v>
      </c>
      <c r="E301" s="2">
        <v>1</v>
      </c>
      <c r="F301" s="2">
        <v>9</v>
      </c>
      <c r="G301" s="2">
        <v>0</v>
      </c>
      <c r="H301" s="1" t="s">
        <v>0</v>
      </c>
      <c r="I301" s="2">
        <v>0</v>
      </c>
      <c r="J301" s="1">
        <v>45915.379016203704</v>
      </c>
    </row>
    <row r="302" spans="1:10" x14ac:dyDescent="0.2">
      <c r="A302" s="4" t="s">
        <v>1</v>
      </c>
      <c r="B302" s="3" t="str">
        <f>HYPERLINK("https://otsuka-europe-crm.veevavault.com/ui/#object/approved_document__v/V5OZ025E82TFUPI", "Spain - HCP Survey Email - June 2025")</f>
        <v>Spain - HCP Survey Email - June 2025</v>
      </c>
      <c r="C302" s="3" t="str">
        <f>HYPERLINK("https://otsuka-europe-crm.veevavault.com/ui/#object/sent_email__v/VBLZ025E82GMXQZ", "SE-000267361")</f>
        <v>SE-000267361</v>
      </c>
      <c r="D302" s="1">
        <v>45919.364317129628</v>
      </c>
      <c r="E302" s="2">
        <v>1</v>
      </c>
      <c r="F302" s="2">
        <v>2</v>
      </c>
      <c r="G302" s="2">
        <v>0</v>
      </c>
      <c r="H302" s="1" t="s">
        <v>0</v>
      </c>
      <c r="I302" s="2">
        <v>0</v>
      </c>
      <c r="J302" s="1">
        <v>45915.378622685188</v>
      </c>
    </row>
    <row r="303" spans="1:10" x14ac:dyDescent="0.2">
      <c r="A303" s="4" t="s">
        <v>1</v>
      </c>
      <c r="B303" s="3" t="str">
        <f>HYPERLINK("https://otsuka-europe-crm.veevavault.com/ui/#object/approved_document__v/V5OZ025E82TFUPI", "Spain - HCP Survey Email - June 2025")</f>
        <v>Spain - HCP Survey Email - June 2025</v>
      </c>
      <c r="C303" s="3" t="str">
        <f>HYPERLINK("https://otsuka-europe-crm.veevavault.com/ui/#object/sent_email__v/VBLZ025E82GMXR0", "SE-000267362")</f>
        <v>SE-000267362</v>
      </c>
      <c r="D303" s="1" t="s">
        <v>0</v>
      </c>
      <c r="E303" s="2">
        <v>0</v>
      </c>
      <c r="F303" s="2">
        <v>0</v>
      </c>
      <c r="G303" s="2">
        <v>0</v>
      </c>
      <c r="H303" s="1" t="s">
        <v>0</v>
      </c>
      <c r="I303" s="2">
        <v>0</v>
      </c>
      <c r="J303" s="1">
        <v>45915.379062499997</v>
      </c>
    </row>
    <row r="304" spans="1:10" x14ac:dyDescent="0.2">
      <c r="A304" s="4" t="s">
        <v>1</v>
      </c>
      <c r="B304" s="3" t="str">
        <f>HYPERLINK("https://otsuka-europe-crm.veevavault.com/ui/#object/approved_document__v/V5OZ025E82TFUPI", "Spain - HCP Survey Email - June 2025")</f>
        <v>Spain - HCP Survey Email - June 2025</v>
      </c>
      <c r="C304" s="3" t="str">
        <f>HYPERLINK("https://otsuka-europe-crm.veevavault.com/ui/#object/sent_email__v/VBLZ025E82GMXR1", "SE-000267363")</f>
        <v>SE-000267363</v>
      </c>
      <c r="D304" s="1" t="s">
        <v>0</v>
      </c>
      <c r="E304" s="2">
        <v>0</v>
      </c>
      <c r="F304" s="2">
        <v>0</v>
      </c>
      <c r="G304" s="2">
        <v>0</v>
      </c>
      <c r="H304" s="1" t="s">
        <v>0</v>
      </c>
      <c r="I304" s="2">
        <v>0</v>
      </c>
      <c r="J304" s="1">
        <v>45915.377800925926</v>
      </c>
    </row>
    <row r="305" spans="1:10" x14ac:dyDescent="0.2">
      <c r="A305" s="4" t="s">
        <v>1</v>
      </c>
      <c r="B305" s="3" t="str">
        <f>HYPERLINK("https://otsuka-europe-crm.veevavault.com/ui/#object/approved_document__v/V5OZ025E82TFUPI", "Spain - HCP Survey Email - June 2025")</f>
        <v>Spain - HCP Survey Email - June 2025</v>
      </c>
      <c r="C305" s="3" t="str">
        <f>HYPERLINK("https://otsuka-europe-crm.veevavault.com/ui/#object/sent_email__v/VBLZ025E82GMXR2", "SE-000267364")</f>
        <v>SE-000267364</v>
      </c>
      <c r="D305" s="1">
        <v>45915.378530092596</v>
      </c>
      <c r="E305" s="2">
        <v>1</v>
      </c>
      <c r="F305" s="2">
        <v>1</v>
      </c>
      <c r="G305" s="2">
        <v>0</v>
      </c>
      <c r="H305" s="1" t="s">
        <v>0</v>
      </c>
      <c r="I305" s="2">
        <v>0</v>
      </c>
      <c r="J305" s="1">
        <v>45915.378229166665</v>
      </c>
    </row>
    <row r="306" spans="1:10" x14ac:dyDescent="0.2">
      <c r="A306" s="4" t="s">
        <v>1</v>
      </c>
      <c r="B306" s="3" t="str">
        <f>HYPERLINK("https://otsuka-europe-crm.veevavault.com/ui/#object/approved_document__v/V5OZ025E82TFUPI", "Spain - HCP Survey Email - June 2025")</f>
        <v>Spain - HCP Survey Email - June 2025</v>
      </c>
      <c r="C306" s="3" t="str">
        <f>HYPERLINK("https://otsuka-europe-crm.veevavault.com/ui/#object/sent_email__v/VBLZ025E82GMXR3", "SE-000267365")</f>
        <v>SE-000267365</v>
      </c>
      <c r="D306" s="1" t="s">
        <v>0</v>
      </c>
      <c r="E306" s="2">
        <v>0</v>
      </c>
      <c r="F306" s="2">
        <v>0</v>
      </c>
      <c r="G306" s="2">
        <v>0</v>
      </c>
      <c r="H306" s="1" t="s">
        <v>0</v>
      </c>
      <c r="I306" s="2">
        <v>0</v>
      </c>
      <c r="J306" s="1">
        <v>45915.378078703703</v>
      </c>
    </row>
    <row r="307" spans="1:10" x14ac:dyDescent="0.2">
      <c r="A307" s="4" t="s">
        <v>1</v>
      </c>
      <c r="B307" s="3" t="str">
        <f>HYPERLINK("https://otsuka-europe-crm.veevavault.com/ui/#object/approved_document__v/V5OZ025E82TFUPI", "Spain - HCP Survey Email - June 2025")</f>
        <v>Spain - HCP Survey Email - June 2025</v>
      </c>
      <c r="C307" s="3" t="str">
        <f>HYPERLINK("https://otsuka-europe-crm.veevavault.com/ui/#object/sent_email__v/VBLZ025E82GMXR4", "SE-000267366")</f>
        <v>SE-000267366</v>
      </c>
      <c r="D307" s="1" t="s">
        <v>0</v>
      </c>
      <c r="E307" s="2">
        <v>0</v>
      </c>
      <c r="F307" s="2">
        <v>0</v>
      </c>
      <c r="G307" s="2">
        <v>0</v>
      </c>
      <c r="H307" s="1" t="s">
        <v>0</v>
      </c>
      <c r="I307" s="2">
        <v>0</v>
      </c>
      <c r="J307" s="1">
        <v>45915.378657407404</v>
      </c>
    </row>
    <row r="308" spans="1:10" x14ac:dyDescent="0.2">
      <c r="A308" s="4" t="s">
        <v>1</v>
      </c>
      <c r="B308" s="3" t="str">
        <f>HYPERLINK("https://otsuka-europe-crm.veevavault.com/ui/#object/approved_document__v/V5OZ025E82TFUPI", "Spain - HCP Survey Email - June 2025")</f>
        <v>Spain - HCP Survey Email - June 2025</v>
      </c>
      <c r="C308" s="3" t="str">
        <f>HYPERLINK("https://otsuka-europe-crm.veevavault.com/ui/#object/sent_email__v/VBLZ025E82GMXR5", "SE-000267367")</f>
        <v>SE-000267367</v>
      </c>
      <c r="D308" s="1" t="s">
        <v>0</v>
      </c>
      <c r="E308" s="2">
        <v>0</v>
      </c>
      <c r="F308" s="2">
        <v>0</v>
      </c>
      <c r="G308" s="2">
        <v>0</v>
      </c>
      <c r="H308" s="1" t="s">
        <v>0</v>
      </c>
      <c r="I308" s="2">
        <v>0</v>
      </c>
      <c r="J308" s="1">
        <v>45915.379884259259</v>
      </c>
    </row>
    <row r="309" spans="1:10" x14ac:dyDescent="0.2">
      <c r="A309" s="4" t="s">
        <v>1</v>
      </c>
      <c r="B309" s="3" t="str">
        <f>HYPERLINK("https://otsuka-europe-crm.veevavault.com/ui/#object/approved_document__v/V5OZ025E82TFUPI", "Spain - HCP Survey Email - June 2025")</f>
        <v>Spain - HCP Survey Email - June 2025</v>
      </c>
      <c r="C309" s="3" t="str">
        <f>HYPERLINK("https://otsuka-europe-crm.veevavault.com/ui/#object/sent_email__v/VBLZ025E82GMXR6", "SE-000267368")</f>
        <v>SE-000267368</v>
      </c>
      <c r="D309" s="1" t="s">
        <v>0</v>
      </c>
      <c r="E309" s="2">
        <v>0</v>
      </c>
      <c r="F309" s="2">
        <v>0</v>
      </c>
      <c r="G309" s="2">
        <v>0</v>
      </c>
      <c r="H309" s="1" t="s">
        <v>0</v>
      </c>
      <c r="I309" s="2">
        <v>0</v>
      </c>
      <c r="J309" s="1">
        <v>45915.37773148148</v>
      </c>
    </row>
    <row r="310" spans="1:10" x14ac:dyDescent="0.2">
      <c r="A310" s="4" t="s">
        <v>1</v>
      </c>
      <c r="B310" s="3" t="str">
        <f>HYPERLINK("https://otsuka-europe-crm.veevavault.com/ui/#object/approved_document__v/V5OZ025E82TFUPI", "Spain - HCP Survey Email - June 2025")</f>
        <v>Spain - HCP Survey Email - June 2025</v>
      </c>
      <c r="C310" s="3" t="str">
        <f>HYPERLINK("https://otsuka-europe-crm.veevavault.com/ui/#object/sent_email__v/VBLZ025E82GMXR7", "SE-000267369")</f>
        <v>SE-000267369</v>
      </c>
      <c r="D310" s="1">
        <v>45924.545081018521</v>
      </c>
      <c r="E310" s="2">
        <v>1</v>
      </c>
      <c r="F310" s="2">
        <v>1</v>
      </c>
      <c r="G310" s="2">
        <v>1</v>
      </c>
      <c r="H310" s="1">
        <v>45924.545081018521</v>
      </c>
      <c r="I310" s="2">
        <v>1</v>
      </c>
      <c r="J310" s="1">
        <v>45915.377615740741</v>
      </c>
    </row>
    <row r="311" spans="1:10" x14ac:dyDescent="0.2">
      <c r="A311" s="4" t="s">
        <v>1</v>
      </c>
      <c r="B311" s="3" t="str">
        <f>HYPERLINK("https://otsuka-europe-crm.veevavault.com/ui/#object/approved_document__v/V5OZ025E82TFUPI", "Spain - HCP Survey Email - June 2025")</f>
        <v>Spain - HCP Survey Email - June 2025</v>
      </c>
      <c r="C311" s="3" t="str">
        <f>HYPERLINK("https://otsuka-europe-crm.veevavault.com/ui/#object/sent_email__v/VBLZ025E82GMXR8", "SE-000267370")</f>
        <v>SE-000267370</v>
      </c>
      <c r="D311" s="1" t="s">
        <v>0</v>
      </c>
      <c r="E311" s="2">
        <v>0</v>
      </c>
      <c r="F311" s="2">
        <v>0</v>
      </c>
      <c r="G311" s="2">
        <v>0</v>
      </c>
      <c r="H311" s="1" t="s">
        <v>0</v>
      </c>
      <c r="I311" s="2">
        <v>0</v>
      </c>
      <c r="J311" s="1">
        <v>45915.378055555557</v>
      </c>
    </row>
    <row r="312" spans="1:10" x14ac:dyDescent="0.2">
      <c r="A312" s="4" t="s">
        <v>1</v>
      </c>
      <c r="B312" s="3" t="str">
        <f>HYPERLINK("https://otsuka-europe-crm.veevavault.com/ui/#object/approved_document__v/V5OZ025E82TFUPI", "Spain - HCP Survey Email - June 2025")</f>
        <v>Spain - HCP Survey Email - June 2025</v>
      </c>
      <c r="C312" s="3" t="str">
        <f>HYPERLINK("https://otsuka-europe-crm.veevavault.com/ui/#object/sent_email__v/VBLZ025E82GMXR9", "SE-000267371")</f>
        <v>SE-000267371</v>
      </c>
      <c r="D312" s="1" t="s">
        <v>0</v>
      </c>
      <c r="E312" s="2">
        <v>0</v>
      </c>
      <c r="F312" s="2">
        <v>0</v>
      </c>
      <c r="G312" s="2">
        <v>0</v>
      </c>
      <c r="H312" s="1" t="s">
        <v>0</v>
      </c>
      <c r="I312" s="2">
        <v>0</v>
      </c>
      <c r="J312" s="1">
        <v>45915.378831018519</v>
      </c>
    </row>
    <row r="313" spans="1:10" x14ac:dyDescent="0.2">
      <c r="A313" s="4" t="s">
        <v>1</v>
      </c>
      <c r="B313" s="3" t="str">
        <f>HYPERLINK("https://otsuka-europe-crm.veevavault.com/ui/#object/approved_document__v/V5OZ025E82TFUPI", "Spain - HCP Survey Email - June 2025")</f>
        <v>Spain - HCP Survey Email - June 2025</v>
      </c>
      <c r="C313" s="3" t="str">
        <f>HYPERLINK("https://otsuka-europe-crm.veevavault.com/ui/#object/sent_email__v/VBLZ025E82GMXRA", "SE-000267372")</f>
        <v>SE-000267372</v>
      </c>
      <c r="D313" s="1" t="s">
        <v>0</v>
      </c>
      <c r="E313" s="2">
        <v>0</v>
      </c>
      <c r="F313" s="2">
        <v>0</v>
      </c>
      <c r="G313" s="2">
        <v>0</v>
      </c>
      <c r="H313" s="1" t="s">
        <v>0</v>
      </c>
      <c r="I313" s="2">
        <v>0</v>
      </c>
      <c r="J313" s="1">
        <v>45915.378703703704</v>
      </c>
    </row>
    <row r="314" spans="1:10" x14ac:dyDescent="0.2">
      <c r="A314" s="4" t="s">
        <v>1</v>
      </c>
      <c r="B314" s="3" t="str">
        <f>HYPERLINK("https://otsuka-europe-crm.veevavault.com/ui/#object/approved_document__v/V5OZ025E82TFUPI", "Spain - HCP Survey Email - June 2025")</f>
        <v>Spain - HCP Survey Email - June 2025</v>
      </c>
      <c r="C314" s="3" t="str">
        <f>HYPERLINK("https://otsuka-europe-crm.veevavault.com/ui/#object/sent_email__v/VBLZ025E82GMXRB", "SE-000267373")</f>
        <v>SE-000267373</v>
      </c>
      <c r="D314" s="1">
        <v>45915.430659722224</v>
      </c>
      <c r="E314" s="2">
        <v>1</v>
      </c>
      <c r="F314" s="2">
        <v>1</v>
      </c>
      <c r="G314" s="2">
        <v>0</v>
      </c>
      <c r="H314" s="1" t="s">
        <v>0</v>
      </c>
      <c r="I314" s="2">
        <v>0</v>
      </c>
      <c r="J314" s="1">
        <v>45915.37909722222</v>
      </c>
    </row>
    <row r="315" spans="1:10" x14ac:dyDescent="0.2">
      <c r="A315" s="4" t="s">
        <v>1</v>
      </c>
      <c r="B315" s="3" t="str">
        <f>HYPERLINK("https://otsuka-europe-crm.veevavault.com/ui/#object/approved_document__v/V5OZ025E82TFUPI", "Spain - HCP Survey Email - June 2025")</f>
        <v>Spain - HCP Survey Email - June 2025</v>
      </c>
      <c r="C315" s="3" t="str">
        <f>HYPERLINK("https://otsuka-europe-crm.veevavault.com/ui/#object/sent_email__v/VBLZ025E82GMXRC", "SE-000267374")</f>
        <v>SE-000267374</v>
      </c>
      <c r="D315" s="1">
        <v>45949.713043981479</v>
      </c>
      <c r="E315" s="2">
        <v>1</v>
      </c>
      <c r="F315" s="2">
        <v>3</v>
      </c>
      <c r="G315" s="2">
        <v>1</v>
      </c>
      <c r="H315" s="1">
        <v>45915.394629629627</v>
      </c>
      <c r="I315" s="2">
        <v>1</v>
      </c>
      <c r="J315" s="1">
        <v>45915.377800925926</v>
      </c>
    </row>
    <row r="316" spans="1:10" x14ac:dyDescent="0.2">
      <c r="A316" s="4" t="s">
        <v>1</v>
      </c>
      <c r="B316" s="3" t="str">
        <f>HYPERLINK("https://otsuka-europe-crm.veevavault.com/ui/#object/approved_document__v/V5OZ025E82TFUPI", "Spain - HCP Survey Email - June 2025")</f>
        <v>Spain - HCP Survey Email - June 2025</v>
      </c>
      <c r="C316" s="3" t="str">
        <f>HYPERLINK("https://otsuka-europe-crm.veevavault.com/ui/#object/sent_email__v/VBLZ025E82GMXRD", "SE-000267375")</f>
        <v>SE-000267375</v>
      </c>
      <c r="D316" s="1" t="s">
        <v>0</v>
      </c>
      <c r="E316" s="2">
        <v>0</v>
      </c>
      <c r="F316" s="2">
        <v>0</v>
      </c>
      <c r="G316" s="2">
        <v>0</v>
      </c>
      <c r="H316" s="1" t="s">
        <v>0</v>
      </c>
      <c r="I316" s="2">
        <v>0</v>
      </c>
      <c r="J316" s="1">
        <v>45915.378287037034</v>
      </c>
    </row>
    <row r="317" spans="1:10" x14ac:dyDescent="0.2">
      <c r="A317" s="4" t="s">
        <v>1</v>
      </c>
      <c r="B317" s="3" t="str">
        <f>HYPERLINK("https://otsuka-europe-crm.veevavault.com/ui/#object/approved_document__v/V5OZ025E82TFUPI", "Spain - HCP Survey Email - June 2025")</f>
        <v>Spain - HCP Survey Email - June 2025</v>
      </c>
      <c r="C317" s="3" t="str">
        <f>HYPERLINK("https://otsuka-europe-crm.veevavault.com/ui/#object/sent_email__v/VBLZ025E82GMXRE", "SE-000267376")</f>
        <v>SE-000267376</v>
      </c>
      <c r="D317" s="1">
        <v>45915.97724537037</v>
      </c>
      <c r="E317" s="2">
        <v>1</v>
      </c>
      <c r="F317" s="2">
        <v>1</v>
      </c>
      <c r="G317" s="2">
        <v>0</v>
      </c>
      <c r="H317" s="1" t="s">
        <v>0</v>
      </c>
      <c r="I317" s="2">
        <v>0</v>
      </c>
      <c r="J317" s="1">
        <v>45915.37809027778</v>
      </c>
    </row>
    <row r="318" spans="1:10" x14ac:dyDescent="0.2">
      <c r="A318" s="4" t="s">
        <v>1</v>
      </c>
      <c r="B318" s="3" t="str">
        <f>HYPERLINK("https://otsuka-europe-crm.veevavault.com/ui/#object/approved_document__v/V5OZ025E82TFUPI", "Spain - HCP Survey Email - June 2025")</f>
        <v>Spain - HCP Survey Email - June 2025</v>
      </c>
      <c r="C318" s="3" t="str">
        <f>HYPERLINK("https://otsuka-europe-crm.veevavault.com/ui/#object/sent_email__v/VBLZ025E82GMXRF", "SE-000267377")</f>
        <v>SE-000267377</v>
      </c>
      <c r="D318" s="1">
        <v>45915.961678240739</v>
      </c>
      <c r="E318" s="2">
        <v>1</v>
      </c>
      <c r="F318" s="2">
        <v>1</v>
      </c>
      <c r="G318" s="2">
        <v>0</v>
      </c>
      <c r="H318" s="1" t="s">
        <v>0</v>
      </c>
      <c r="I318" s="2">
        <v>0</v>
      </c>
      <c r="J318" s="1">
        <v>45915.378495370373</v>
      </c>
    </row>
    <row r="319" spans="1:10" x14ac:dyDescent="0.2">
      <c r="A319" s="4" t="s">
        <v>1</v>
      </c>
      <c r="B319" s="3" t="str">
        <f>HYPERLINK("https://otsuka-europe-crm.veevavault.com/ui/#object/approved_document__v/V5OZ025E82TFUPI", "Spain - HCP Survey Email - June 2025")</f>
        <v>Spain - HCP Survey Email - June 2025</v>
      </c>
      <c r="C319" s="3" t="str">
        <f>HYPERLINK("https://otsuka-europe-crm.veevavault.com/ui/#object/sent_email__v/VBLZ025E82GMXRG", "SE-000267378")</f>
        <v>SE-000267378</v>
      </c>
      <c r="D319" s="1" t="s">
        <v>0</v>
      </c>
      <c r="E319" s="2">
        <v>0</v>
      </c>
      <c r="F319" s="2">
        <v>0</v>
      </c>
      <c r="G319" s="2">
        <v>0</v>
      </c>
      <c r="H319" s="1" t="s">
        <v>0</v>
      </c>
      <c r="I319" s="2">
        <v>0</v>
      </c>
      <c r="J319" s="1">
        <v>45915.379930555559</v>
      </c>
    </row>
    <row r="320" spans="1:10" x14ac:dyDescent="0.2">
      <c r="A320" s="4" t="s">
        <v>1</v>
      </c>
      <c r="B320" s="3" t="str">
        <f>HYPERLINK("https://otsuka-europe-crm.veevavault.com/ui/#object/approved_document__v/V5OZ025E82TFUPI", "Spain - HCP Survey Email - June 2025")</f>
        <v>Spain - HCP Survey Email - June 2025</v>
      </c>
      <c r="C320" s="3" t="str">
        <f>HYPERLINK("https://otsuka-europe-crm.veevavault.com/ui/#object/sent_email__v/VBLZ025E82GMXRH", "SE-000267379")</f>
        <v>SE-000267379</v>
      </c>
      <c r="D320" s="1">
        <v>45933.473668981482</v>
      </c>
      <c r="E320" s="2">
        <v>1</v>
      </c>
      <c r="F320" s="2">
        <v>1</v>
      </c>
      <c r="G320" s="2">
        <v>0</v>
      </c>
      <c r="H320" s="1" t="s">
        <v>0</v>
      </c>
      <c r="I320" s="2">
        <v>0</v>
      </c>
      <c r="J320" s="1">
        <v>45915.377708333333</v>
      </c>
    </row>
    <row r="321" spans="1:10" x14ac:dyDescent="0.2">
      <c r="A321" s="4" t="s">
        <v>1</v>
      </c>
      <c r="B321" s="3" t="str">
        <f>HYPERLINK("https://otsuka-europe-crm.veevavault.com/ui/#object/approved_document__v/V5OZ025E82TFUPI", "Spain - HCP Survey Email - June 2025")</f>
        <v>Spain - HCP Survey Email - June 2025</v>
      </c>
      <c r="C321" s="3" t="str">
        <f>HYPERLINK("https://otsuka-europe-crm.veevavault.com/ui/#object/sent_email__v/VBLZ025E82GMXRI", "SE-000267380")</f>
        <v>SE-000267380</v>
      </c>
      <c r="D321" s="1" t="s">
        <v>0</v>
      </c>
      <c r="E321" s="2">
        <v>0</v>
      </c>
      <c r="F321" s="2">
        <v>0</v>
      </c>
      <c r="G321" s="2">
        <v>0</v>
      </c>
      <c r="H321" s="1" t="s">
        <v>0</v>
      </c>
      <c r="I321" s="2">
        <v>0</v>
      </c>
      <c r="J321" s="1">
        <v>45915.377604166664</v>
      </c>
    </row>
    <row r="322" spans="1:10" x14ac:dyDescent="0.2">
      <c r="A322" s="4" t="s">
        <v>1</v>
      </c>
      <c r="B322" s="3" t="str">
        <f>HYPERLINK("https://otsuka-europe-crm.veevavault.com/ui/#object/approved_document__v/V5OZ025E82TFUPI", "Spain - HCP Survey Email - June 2025")</f>
        <v>Spain - HCP Survey Email - June 2025</v>
      </c>
      <c r="C322" s="3" t="str">
        <f>HYPERLINK("https://otsuka-europe-crm.veevavault.com/ui/#object/sent_email__v/VBLZ025E82GMXRJ", "SE-000267381")</f>
        <v>SE-000267381</v>
      </c>
      <c r="D322" s="1">
        <v>45915.378275462965</v>
      </c>
      <c r="E322" s="2">
        <v>1</v>
      </c>
      <c r="F322" s="2">
        <v>1</v>
      </c>
      <c r="G322" s="2">
        <v>1</v>
      </c>
      <c r="H322" s="1">
        <v>45915.378703703704</v>
      </c>
      <c r="I322" s="2">
        <v>2</v>
      </c>
      <c r="J322" s="1">
        <v>45915.377986111111</v>
      </c>
    </row>
    <row r="323" spans="1:10" x14ac:dyDescent="0.2">
      <c r="A323" s="4" t="s">
        <v>1</v>
      </c>
      <c r="B323" s="3" t="str">
        <f>HYPERLINK("https://otsuka-europe-crm.veevavault.com/ui/#object/approved_document__v/V5OZ025E82TFUPI", "Spain - HCP Survey Email - June 2025")</f>
        <v>Spain - HCP Survey Email - June 2025</v>
      </c>
      <c r="C323" s="3" t="str">
        <f>HYPERLINK("https://otsuka-europe-crm.veevavault.com/ui/#object/sent_email__v/VBLZ025E82GMXRK", "SE-000267382")</f>
        <v>SE-000267382</v>
      </c>
      <c r="D323" s="1" t="s">
        <v>0</v>
      </c>
      <c r="E323" s="2">
        <v>0</v>
      </c>
      <c r="F323" s="2">
        <v>0</v>
      </c>
      <c r="G323" s="2">
        <v>0</v>
      </c>
      <c r="H323" s="1" t="s">
        <v>0</v>
      </c>
      <c r="I323" s="2">
        <v>0</v>
      </c>
      <c r="J323" s="1">
        <v>45915.37903935185</v>
      </c>
    </row>
    <row r="324" spans="1:10" x14ac:dyDescent="0.2">
      <c r="A324" s="4" t="s">
        <v>1</v>
      </c>
      <c r="B324" s="3" t="str">
        <f>HYPERLINK("https://otsuka-europe-crm.veevavault.com/ui/#object/approved_document__v/V5OZ025E82TFUPI", "Spain - HCP Survey Email - June 2025")</f>
        <v>Spain - HCP Survey Email - June 2025</v>
      </c>
      <c r="C324" s="3" t="str">
        <f>HYPERLINK("https://otsuka-europe-crm.veevavault.com/ui/#object/sent_email__v/VBLZ025E82GMXRL", "SE-000267383")</f>
        <v>SE-000267383</v>
      </c>
      <c r="D324" s="1" t="s">
        <v>0</v>
      </c>
      <c r="E324" s="2">
        <v>0</v>
      </c>
      <c r="F324" s="2">
        <v>0</v>
      </c>
      <c r="G324" s="2">
        <v>0</v>
      </c>
      <c r="H324" s="1" t="s">
        <v>0</v>
      </c>
      <c r="I324" s="2">
        <v>0</v>
      </c>
      <c r="J324" s="1">
        <v>45915.378645833334</v>
      </c>
    </row>
    <row r="325" spans="1:10" x14ac:dyDescent="0.2">
      <c r="A325" s="4" t="s">
        <v>1</v>
      </c>
      <c r="B325" s="3" t="str">
        <f>HYPERLINK("https://otsuka-europe-crm.veevavault.com/ui/#object/approved_document__v/V5OZ025E82TFUPI", "Spain - HCP Survey Email - June 2025")</f>
        <v>Spain - HCP Survey Email - June 2025</v>
      </c>
      <c r="C325" s="3" t="str">
        <f>HYPERLINK("https://otsuka-europe-crm.veevavault.com/ui/#object/sent_email__v/VBLZ025E82GMXRM", "SE-000267384")</f>
        <v>SE-000267384</v>
      </c>
      <c r="D325" s="1">
        <v>45917.880347222221</v>
      </c>
      <c r="E325" s="2">
        <v>1</v>
      </c>
      <c r="F325" s="2">
        <v>3</v>
      </c>
      <c r="G325" s="2">
        <v>0</v>
      </c>
      <c r="H325" s="1" t="s">
        <v>0</v>
      </c>
      <c r="I325" s="2">
        <v>0</v>
      </c>
      <c r="J325" s="1">
        <v>45915.37903935185</v>
      </c>
    </row>
    <row r="326" spans="1:10" x14ac:dyDescent="0.2">
      <c r="A326" s="4" t="s">
        <v>1</v>
      </c>
      <c r="B326" s="3" t="str">
        <f>HYPERLINK("https://otsuka-europe-crm.veevavault.com/ui/#object/approved_document__v/V5OZ025E82TFUPI", "Spain - HCP Survey Email - June 2025")</f>
        <v>Spain - HCP Survey Email - June 2025</v>
      </c>
      <c r="C326" s="3" t="str">
        <f>HYPERLINK("https://otsuka-europe-crm.veevavault.com/ui/#object/sent_email__v/VBLZ025E82GMXRN", "SE-000267385")</f>
        <v>SE-000267385</v>
      </c>
      <c r="D326" s="1">
        <v>45916.534259259257</v>
      </c>
      <c r="E326" s="2">
        <v>1</v>
      </c>
      <c r="F326" s="2">
        <v>1</v>
      </c>
      <c r="G326" s="2">
        <v>0</v>
      </c>
      <c r="H326" s="1" t="s">
        <v>0</v>
      </c>
      <c r="I326" s="2">
        <v>0</v>
      </c>
      <c r="J326" s="1">
        <v>45915.377766203703</v>
      </c>
    </row>
    <row r="327" spans="1:10" x14ac:dyDescent="0.2">
      <c r="A327" s="4" t="s">
        <v>1</v>
      </c>
      <c r="B327" s="3" t="str">
        <f>HYPERLINK("https://otsuka-europe-crm.veevavault.com/ui/#object/approved_document__v/V5OZ025E82TFUPI", "Spain - HCP Survey Email - June 2025")</f>
        <v>Spain - HCP Survey Email - June 2025</v>
      </c>
      <c r="C327" s="3" t="str">
        <f>HYPERLINK("https://otsuka-europe-crm.veevavault.com/ui/#object/sent_email__v/VBLZ025E82GMXRO", "SE-000267386")</f>
        <v>SE-000267386</v>
      </c>
      <c r="D327" s="1" t="s">
        <v>0</v>
      </c>
      <c r="E327" s="2">
        <v>0</v>
      </c>
      <c r="F327" s="2">
        <v>0</v>
      </c>
      <c r="G327" s="2">
        <v>0</v>
      </c>
      <c r="H327" s="1" t="s">
        <v>0</v>
      </c>
      <c r="I327" s="2">
        <v>0</v>
      </c>
      <c r="J327" s="1">
        <v>45915.378217592595</v>
      </c>
    </row>
    <row r="328" spans="1:10" x14ac:dyDescent="0.2">
      <c r="A328" s="4" t="s">
        <v>1</v>
      </c>
      <c r="B328" s="3" t="str">
        <f>HYPERLINK("https://otsuka-europe-crm.veevavault.com/ui/#object/approved_document__v/V5OZ025E82TFUPI", "Spain - HCP Survey Email - June 2025")</f>
        <v>Spain - HCP Survey Email - June 2025</v>
      </c>
      <c r="C328" s="3" t="str">
        <f>HYPERLINK("https://otsuka-europe-crm.veevavault.com/ui/#object/sent_email__v/VBLZ025E82GMXRP", "SE-000267387")</f>
        <v>SE-000267387</v>
      </c>
      <c r="D328" s="1" t="s">
        <v>0</v>
      </c>
      <c r="E328" s="2">
        <v>0</v>
      </c>
      <c r="F328" s="2">
        <v>0</v>
      </c>
      <c r="G328" s="2">
        <v>0</v>
      </c>
      <c r="H328" s="1" t="s">
        <v>0</v>
      </c>
      <c r="I328" s="2">
        <v>0</v>
      </c>
      <c r="J328" s="1">
        <v>45915.37809027778</v>
      </c>
    </row>
    <row r="329" spans="1:10" x14ac:dyDescent="0.2">
      <c r="A329" s="4" t="s">
        <v>1</v>
      </c>
      <c r="B329" s="3" t="str">
        <f>HYPERLINK("https://otsuka-europe-crm.veevavault.com/ui/#object/approved_document__v/V5OZ025E82TFUPI", "Spain - HCP Survey Email - June 2025")</f>
        <v>Spain - HCP Survey Email - June 2025</v>
      </c>
      <c r="C329" s="3" t="str">
        <f>HYPERLINK("https://otsuka-europe-crm.veevavault.com/ui/#object/sent_email__v/VBLZ025E82GMXRQ", "SE-000267388")</f>
        <v>SE-000267388</v>
      </c>
      <c r="D329" s="1">
        <v>45918.991053240738</v>
      </c>
      <c r="E329" s="2">
        <v>1</v>
      </c>
      <c r="F329" s="2">
        <v>2</v>
      </c>
      <c r="G329" s="2">
        <v>0</v>
      </c>
      <c r="H329" s="1" t="s">
        <v>0</v>
      </c>
      <c r="I329" s="2">
        <v>0</v>
      </c>
      <c r="J329" s="1">
        <v>45915.379143518519</v>
      </c>
    </row>
    <row r="330" spans="1:10" x14ac:dyDescent="0.2">
      <c r="A330" s="4" t="s">
        <v>1</v>
      </c>
      <c r="B330" s="3" t="str">
        <f>HYPERLINK("https://otsuka-europe-crm.veevavault.com/ui/#object/approved_document__v/V5OZ025E82TFUPI", "Spain - HCP Survey Email - June 2025")</f>
        <v>Spain - HCP Survey Email - June 2025</v>
      </c>
      <c r="C330" s="3" t="str">
        <f>HYPERLINK("https://otsuka-europe-crm.veevavault.com/ui/#object/sent_email__v/VBLZ025E82GMXRR", "SE-000267389")</f>
        <v>SE-000267389</v>
      </c>
      <c r="D330" s="1" t="s">
        <v>0</v>
      </c>
      <c r="E330" s="2">
        <v>0</v>
      </c>
      <c r="F330" s="2">
        <v>0</v>
      </c>
      <c r="G330" s="2">
        <v>0</v>
      </c>
      <c r="H330" s="1" t="s">
        <v>0</v>
      </c>
      <c r="I330" s="2">
        <v>0</v>
      </c>
      <c r="J330" s="1">
        <v>45915.377800925926</v>
      </c>
    </row>
    <row r="331" spans="1:10" x14ac:dyDescent="0.2">
      <c r="A331" s="4" t="s">
        <v>1</v>
      </c>
      <c r="B331" s="3" t="str">
        <f>HYPERLINK("https://otsuka-europe-crm.veevavault.com/ui/#object/approved_document__v/V5OZ025E82TFUPI", "Spain - HCP Survey Email - June 2025")</f>
        <v>Spain - HCP Survey Email - June 2025</v>
      </c>
      <c r="C331" s="3" t="str">
        <f>HYPERLINK("https://otsuka-europe-crm.veevavault.com/ui/#object/sent_email__v/VBLZ025E82GMXRS", "SE-000267390")</f>
        <v>SE-000267390</v>
      </c>
      <c r="D331" s="1" t="s">
        <v>0</v>
      </c>
      <c r="E331" s="2">
        <v>0</v>
      </c>
      <c r="F331" s="2">
        <v>0</v>
      </c>
      <c r="G331" s="2">
        <v>0</v>
      </c>
      <c r="H331" s="1" t="s">
        <v>0</v>
      </c>
      <c r="I331" s="2">
        <v>0</v>
      </c>
      <c r="J331" s="1">
        <v>45915.378194444442</v>
      </c>
    </row>
    <row r="332" spans="1:10" x14ac:dyDescent="0.2">
      <c r="A332" s="4" t="s">
        <v>1</v>
      </c>
      <c r="B332" s="3" t="str">
        <f>HYPERLINK("https://otsuka-europe-crm.veevavault.com/ui/#object/approved_document__v/V5OZ025E82TFUPI", "Spain - HCP Survey Email - June 2025")</f>
        <v>Spain - HCP Survey Email - June 2025</v>
      </c>
      <c r="C332" s="3" t="str">
        <f>HYPERLINK("https://otsuka-europe-crm.veevavault.com/ui/#object/sent_email__v/VBLZ025E82GMXRT", "SE-000267391")</f>
        <v>SE-000267391</v>
      </c>
      <c r="D332" s="1">
        <v>45915.516724537039</v>
      </c>
      <c r="E332" s="2">
        <v>1</v>
      </c>
      <c r="F332" s="2">
        <v>2</v>
      </c>
      <c r="G332" s="2">
        <v>0</v>
      </c>
      <c r="H332" s="1" t="s">
        <v>0</v>
      </c>
      <c r="I332" s="2">
        <v>0</v>
      </c>
      <c r="J332" s="1">
        <v>45915.378113425926</v>
      </c>
    </row>
    <row r="333" spans="1:10" x14ac:dyDescent="0.2">
      <c r="A333" s="4" t="s">
        <v>1</v>
      </c>
      <c r="B333" s="3" t="str">
        <f>HYPERLINK("https://otsuka-europe-crm.veevavault.com/ui/#object/approved_document__v/V5OZ025E82TFUPI", "Spain - HCP Survey Email - June 2025")</f>
        <v>Spain - HCP Survey Email - June 2025</v>
      </c>
      <c r="C333" s="3" t="str">
        <f>HYPERLINK("https://otsuka-europe-crm.veevavault.com/ui/#object/sent_email__v/VBLZ025E82GMXRU", "SE-000267392")</f>
        <v>SE-000267392</v>
      </c>
      <c r="D333" s="1" t="s">
        <v>0</v>
      </c>
      <c r="E333" s="2">
        <v>0</v>
      </c>
      <c r="F333" s="2">
        <v>0</v>
      </c>
      <c r="G333" s="2">
        <v>0</v>
      </c>
      <c r="H333" s="1" t="s">
        <v>0</v>
      </c>
      <c r="I333" s="2">
        <v>0</v>
      </c>
      <c r="J333" s="1">
        <v>45915.378483796296</v>
      </c>
    </row>
    <row r="334" spans="1:10" x14ac:dyDescent="0.2">
      <c r="A334" s="4" t="s">
        <v>1</v>
      </c>
      <c r="B334" s="3" t="str">
        <f>HYPERLINK("https://otsuka-europe-crm.veevavault.com/ui/#object/approved_document__v/V5OZ025E82TFUPI", "Spain - HCP Survey Email - June 2025")</f>
        <v>Spain - HCP Survey Email - June 2025</v>
      </c>
      <c r="C334" s="3" t="str">
        <f>HYPERLINK("https://otsuka-europe-crm.veevavault.com/ui/#object/sent_email__v/VBLZ025E82GMXRV", "SE-000267393")</f>
        <v>SE-000267393</v>
      </c>
      <c r="D334" s="1" t="s">
        <v>0</v>
      </c>
      <c r="E334" s="2">
        <v>0</v>
      </c>
      <c r="F334" s="2">
        <v>0</v>
      </c>
      <c r="G334" s="2">
        <v>0</v>
      </c>
      <c r="H334" s="1" t="s">
        <v>0</v>
      </c>
      <c r="I334" s="2">
        <v>0</v>
      </c>
      <c r="J334" s="1">
        <v>45915.380069444444</v>
      </c>
    </row>
    <row r="335" spans="1:10" x14ac:dyDescent="0.2">
      <c r="A335" s="4" t="s">
        <v>1</v>
      </c>
      <c r="B335" s="3" t="str">
        <f>HYPERLINK("https://otsuka-europe-crm.veevavault.com/ui/#object/approved_document__v/V5OZ025E82TFUPI", "Spain - HCP Survey Email - June 2025")</f>
        <v>Spain - HCP Survey Email - June 2025</v>
      </c>
      <c r="C335" s="3" t="str">
        <f>HYPERLINK("https://otsuka-europe-crm.veevavault.com/ui/#object/sent_email__v/VBLZ025E82GMXRW", "SE-000267394")</f>
        <v>SE-000267394</v>
      </c>
      <c r="D335" s="1" t="s">
        <v>0</v>
      </c>
      <c r="E335" s="2">
        <v>0</v>
      </c>
      <c r="F335" s="2">
        <v>0</v>
      </c>
      <c r="G335" s="2">
        <v>0</v>
      </c>
      <c r="H335" s="1" t="s">
        <v>0</v>
      </c>
      <c r="I335" s="2">
        <v>0</v>
      </c>
      <c r="J335" s="1">
        <v>45915.37773148148</v>
      </c>
    </row>
    <row r="336" spans="1:10" x14ac:dyDescent="0.2">
      <c r="A336" s="4" t="s">
        <v>1</v>
      </c>
      <c r="B336" s="3" t="str">
        <f>HYPERLINK("https://otsuka-europe-crm.veevavault.com/ui/#object/approved_document__v/V5OZ025E82TFUPI", "Spain - HCP Survey Email - June 2025")</f>
        <v>Spain - HCP Survey Email - June 2025</v>
      </c>
      <c r="C336" s="3" t="str">
        <f>HYPERLINK("https://otsuka-europe-crm.veevavault.com/ui/#object/sent_email__v/VBLZ025E82GMXRX", "SE-000267395")</f>
        <v>SE-000267395</v>
      </c>
      <c r="D336" s="1">
        <v>45915.947013888886</v>
      </c>
      <c r="E336" s="2">
        <v>1</v>
      </c>
      <c r="F336" s="2">
        <v>1</v>
      </c>
      <c r="G336" s="2">
        <v>0</v>
      </c>
      <c r="H336" s="1" t="s">
        <v>0</v>
      </c>
      <c r="I336" s="2">
        <v>0</v>
      </c>
      <c r="J336" s="1">
        <v>45915.377604166664</v>
      </c>
    </row>
    <row r="337" spans="1:10" x14ac:dyDescent="0.2">
      <c r="A337" s="4" t="s">
        <v>1</v>
      </c>
      <c r="B337" s="3" t="str">
        <f>HYPERLINK("https://otsuka-europe-crm.veevavault.com/ui/#object/approved_document__v/V5OZ025E82TFUPI", "Spain - HCP Survey Email - June 2025")</f>
        <v>Spain - HCP Survey Email - June 2025</v>
      </c>
      <c r="C337" s="3" t="str">
        <f>HYPERLINK("https://otsuka-europe-crm.veevavault.com/ui/#object/sent_email__v/VBLZ025E82GMXRY", "SE-000267396")</f>
        <v>SE-000267396</v>
      </c>
      <c r="D337" s="1" t="s">
        <v>0</v>
      </c>
      <c r="E337" s="2">
        <v>0</v>
      </c>
      <c r="F337" s="2">
        <v>0</v>
      </c>
      <c r="G337" s="2">
        <v>0</v>
      </c>
      <c r="H337" s="1" t="s">
        <v>0</v>
      </c>
      <c r="I337" s="2">
        <v>0</v>
      </c>
      <c r="J337" s="1">
        <v>45915.378020833334</v>
      </c>
    </row>
    <row r="338" spans="1:10" x14ac:dyDescent="0.2">
      <c r="A338" s="4" t="s">
        <v>1</v>
      </c>
      <c r="B338" s="3" t="str">
        <f>HYPERLINK("https://otsuka-europe-crm.veevavault.com/ui/#object/approved_document__v/V5OZ025E82TFUPI", "Spain - HCP Survey Email - June 2025")</f>
        <v>Spain - HCP Survey Email - June 2025</v>
      </c>
      <c r="C338" s="3" t="str">
        <f>HYPERLINK("https://otsuka-europe-crm.veevavault.com/ui/#object/sent_email__v/VBLZ025E82GMXRZ", "SE-000267397")</f>
        <v>SE-000267397</v>
      </c>
      <c r="D338" s="1" t="s">
        <v>0</v>
      </c>
      <c r="E338" s="2">
        <v>0</v>
      </c>
      <c r="F338" s="2">
        <v>0</v>
      </c>
      <c r="G338" s="2">
        <v>0</v>
      </c>
      <c r="H338" s="1" t="s">
        <v>0</v>
      </c>
      <c r="I338" s="2">
        <v>0</v>
      </c>
      <c r="J338" s="1">
        <v>45915.379027777781</v>
      </c>
    </row>
    <row r="339" spans="1:10" x14ac:dyDescent="0.2">
      <c r="A339" s="4" t="s">
        <v>1</v>
      </c>
      <c r="B339" s="3" t="str">
        <f>HYPERLINK("https://otsuka-europe-crm.veevavault.com/ui/#object/approved_document__v/V5OZ025E82TFUPI", "Spain - HCP Survey Email - June 2025")</f>
        <v>Spain - HCP Survey Email - June 2025</v>
      </c>
      <c r="C339" s="3" t="str">
        <f>HYPERLINK("https://otsuka-europe-crm.veevavault.com/ui/#object/sent_email__v/VBLZ025E82GMXS0", "SE-000267398")</f>
        <v>SE-000267398</v>
      </c>
      <c r="D339" s="1" t="s">
        <v>0</v>
      </c>
      <c r="E339" s="2">
        <v>0</v>
      </c>
      <c r="F339" s="2">
        <v>0</v>
      </c>
      <c r="G339" s="2">
        <v>0</v>
      </c>
      <c r="H339" s="1" t="s">
        <v>0</v>
      </c>
      <c r="I339" s="2">
        <v>0</v>
      </c>
      <c r="J339" s="1">
        <v>45915.378668981481</v>
      </c>
    </row>
    <row r="340" spans="1:10" x14ac:dyDescent="0.2">
      <c r="A340" s="4" t="s">
        <v>1</v>
      </c>
      <c r="B340" s="3" t="str">
        <f>HYPERLINK("https://otsuka-europe-crm.veevavault.com/ui/#object/approved_document__v/V5OZ025E82TFUPI", "Spain - HCP Survey Email - June 2025")</f>
        <v>Spain - HCP Survey Email - June 2025</v>
      </c>
      <c r="C340" s="3" t="str">
        <f>HYPERLINK("https://otsuka-europe-crm.veevavault.com/ui/#object/sent_email__v/VBLZ025E82GMXS1", "SE-000267399")</f>
        <v>SE-000267399</v>
      </c>
      <c r="D340" s="1" t="s">
        <v>0</v>
      </c>
      <c r="E340" s="2">
        <v>0</v>
      </c>
      <c r="F340" s="2">
        <v>0</v>
      </c>
      <c r="G340" s="2">
        <v>0</v>
      </c>
      <c r="H340" s="1" t="s">
        <v>0</v>
      </c>
      <c r="I340" s="2">
        <v>0</v>
      </c>
      <c r="J340" s="1">
        <v>45915.378993055558</v>
      </c>
    </row>
    <row r="341" spans="1:10" x14ac:dyDescent="0.2">
      <c r="A341" s="4" t="s">
        <v>1</v>
      </c>
      <c r="B341" s="3" t="str">
        <f>HYPERLINK("https://otsuka-europe-crm.veevavault.com/ui/#object/approved_document__v/V5OZ025E82TFUPI", "Spain - HCP Survey Email - June 2025")</f>
        <v>Spain - HCP Survey Email - June 2025</v>
      </c>
      <c r="C341" s="3" t="str">
        <f>HYPERLINK("https://otsuka-europe-crm.veevavault.com/ui/#object/sent_email__v/VBLZ025E82GMXS2", "SE-000267400")</f>
        <v>SE-000267400</v>
      </c>
      <c r="D341" s="1" t="s">
        <v>0</v>
      </c>
      <c r="E341" s="2">
        <v>0</v>
      </c>
      <c r="F341" s="2">
        <v>0</v>
      </c>
      <c r="G341" s="2">
        <v>0</v>
      </c>
      <c r="H341" s="1" t="s">
        <v>0</v>
      </c>
      <c r="I341" s="2">
        <v>0</v>
      </c>
      <c r="J341" s="1">
        <v>45915.37777777778</v>
      </c>
    </row>
    <row r="342" spans="1:10" x14ac:dyDescent="0.2">
      <c r="A342" s="4" t="s">
        <v>1</v>
      </c>
      <c r="B342" s="3" t="str">
        <f>HYPERLINK("https://otsuka-europe-crm.veevavault.com/ui/#object/approved_document__v/V5OZ025E82TFUPI", "Spain - HCP Survey Email - June 2025")</f>
        <v>Spain - HCP Survey Email - June 2025</v>
      </c>
      <c r="C342" s="3" t="str">
        <f>HYPERLINK("https://otsuka-europe-crm.veevavault.com/ui/#object/sent_email__v/VBLZ025E82GMXS3", "SE-000267401")</f>
        <v>SE-000267401</v>
      </c>
      <c r="D342" s="1">
        <v>45915.378460648149</v>
      </c>
      <c r="E342" s="2">
        <v>1</v>
      </c>
      <c r="F342" s="2">
        <v>2</v>
      </c>
      <c r="G342" s="2">
        <v>0</v>
      </c>
      <c r="H342" s="1" t="s">
        <v>0</v>
      </c>
      <c r="I342" s="2">
        <v>0</v>
      </c>
      <c r="J342" s="1">
        <v>45915.378194444442</v>
      </c>
    </row>
    <row r="343" spans="1:10" x14ac:dyDescent="0.2">
      <c r="A343" s="4" t="s">
        <v>1</v>
      </c>
      <c r="B343" s="3" t="str">
        <f>HYPERLINK("https://otsuka-europe-crm.veevavault.com/ui/#object/approved_document__v/V5OZ025E82TFUPI", "Spain - HCP Survey Email - June 2025")</f>
        <v>Spain - HCP Survey Email - June 2025</v>
      </c>
      <c r="C343" s="3" t="str">
        <f>HYPERLINK("https://otsuka-europe-crm.veevavault.com/ui/#object/sent_email__v/VBLZ025E82GMXS4", "SE-000267402")</f>
        <v>SE-000267402</v>
      </c>
      <c r="D343" s="1">
        <v>45915.443726851852</v>
      </c>
      <c r="E343" s="2">
        <v>1</v>
      </c>
      <c r="F343" s="2">
        <v>1</v>
      </c>
      <c r="G343" s="2">
        <v>0</v>
      </c>
      <c r="H343" s="1" t="s">
        <v>0</v>
      </c>
      <c r="I343" s="2">
        <v>0</v>
      </c>
      <c r="J343" s="1">
        <v>45915.378101851849</v>
      </c>
    </row>
    <row r="344" spans="1:10" x14ac:dyDescent="0.2">
      <c r="A344" s="4" t="s">
        <v>1</v>
      </c>
      <c r="B344" s="3" t="str">
        <f>HYPERLINK("https://otsuka-europe-crm.veevavault.com/ui/#object/approved_document__v/V5OZ025E82TFUPI", "Spain - HCP Survey Email - June 2025")</f>
        <v>Spain - HCP Survey Email - June 2025</v>
      </c>
      <c r="C344" s="3" t="str">
        <f>HYPERLINK("https://otsuka-europe-crm.veevavault.com/ui/#object/sent_email__v/VBLZ025E82GMXS5", "SE-000267403")</f>
        <v>SE-000267403</v>
      </c>
      <c r="D344" s="1" t="s">
        <v>0</v>
      </c>
      <c r="E344" s="2">
        <v>0</v>
      </c>
      <c r="F344" s="2">
        <v>0</v>
      </c>
      <c r="G344" s="2">
        <v>0</v>
      </c>
      <c r="H344" s="1" t="s">
        <v>0</v>
      </c>
      <c r="I344" s="2">
        <v>0</v>
      </c>
      <c r="J344" s="1">
        <v>45915.378634259258</v>
      </c>
    </row>
    <row r="345" spans="1:10" x14ac:dyDescent="0.2">
      <c r="A345" s="4" t="s">
        <v>1</v>
      </c>
      <c r="B345" s="3" t="str">
        <f>HYPERLINK("https://otsuka-europe-crm.veevavault.com/ui/#object/approved_document__v/V5OZ025E82TFUPI", "Spain - HCP Survey Email - June 2025")</f>
        <v>Spain - HCP Survey Email - June 2025</v>
      </c>
      <c r="C345" s="3" t="str">
        <f>HYPERLINK("https://otsuka-europe-crm.veevavault.com/ui/#object/sent_email__v/VBLZ025E82GMXS6", "SE-000267404")</f>
        <v>SE-000267404</v>
      </c>
      <c r="D345" s="1" t="s">
        <v>0</v>
      </c>
      <c r="E345" s="2">
        <v>0</v>
      </c>
      <c r="F345" s="2">
        <v>0</v>
      </c>
      <c r="G345" s="2">
        <v>0</v>
      </c>
      <c r="H345" s="1" t="s">
        <v>0</v>
      </c>
      <c r="I345" s="2">
        <v>0</v>
      </c>
      <c r="J345" s="1">
        <v>45915.380023148151</v>
      </c>
    </row>
    <row r="346" spans="1:10" x14ac:dyDescent="0.2">
      <c r="A346" s="4" t="s">
        <v>1</v>
      </c>
      <c r="B346" s="3" t="str">
        <f>HYPERLINK("https://otsuka-europe-crm.veevavault.com/ui/#object/approved_document__v/V5OZ025E82TFUPI", "Spain - HCP Survey Email - June 2025")</f>
        <v>Spain - HCP Survey Email - June 2025</v>
      </c>
      <c r="C346" s="3" t="str">
        <f>HYPERLINK("https://otsuka-europe-crm.veevavault.com/ui/#object/sent_email__v/VBLZ025E82GMXS7", "SE-000267405")</f>
        <v>SE-000267405</v>
      </c>
      <c r="D346" s="1" t="s">
        <v>0</v>
      </c>
      <c r="E346" s="2">
        <v>0</v>
      </c>
      <c r="F346" s="2">
        <v>0</v>
      </c>
      <c r="G346" s="2">
        <v>0</v>
      </c>
      <c r="H346" s="1" t="s">
        <v>0</v>
      </c>
      <c r="I346" s="2">
        <v>0</v>
      </c>
      <c r="J346" s="1">
        <v>45915.377696759257</v>
      </c>
    </row>
    <row r="347" spans="1:10" x14ac:dyDescent="0.2">
      <c r="A347" s="4" t="s">
        <v>1</v>
      </c>
      <c r="B347" s="3" t="str">
        <f>HYPERLINK("https://otsuka-europe-crm.veevavault.com/ui/#object/approved_document__v/V5OZ025E82TFUPI", "Spain - HCP Survey Email - June 2025")</f>
        <v>Spain - HCP Survey Email - June 2025</v>
      </c>
      <c r="C347" s="3" t="str">
        <f>HYPERLINK("https://otsuka-europe-crm.veevavault.com/ui/#object/sent_email__v/VBLZ025E82GMXS8", "SE-000267406")</f>
        <v>SE-000267406</v>
      </c>
      <c r="D347" s="1">
        <v>45915.623888888891</v>
      </c>
      <c r="E347" s="2">
        <v>1</v>
      </c>
      <c r="F347" s="2">
        <v>1</v>
      </c>
      <c r="G347" s="2">
        <v>0</v>
      </c>
      <c r="H347" s="1" t="s">
        <v>0</v>
      </c>
      <c r="I347" s="2">
        <v>0</v>
      </c>
      <c r="J347" s="1">
        <v>45915.377604166664</v>
      </c>
    </row>
    <row r="348" spans="1:10" x14ac:dyDescent="0.2">
      <c r="A348" s="4" t="s">
        <v>1</v>
      </c>
      <c r="B348" s="3" t="str">
        <f>HYPERLINK("https://otsuka-europe-crm.veevavault.com/ui/#object/approved_document__v/V5OZ025E82TFUPI", "Spain - HCP Survey Email - June 2025")</f>
        <v>Spain - HCP Survey Email - June 2025</v>
      </c>
      <c r="C348" s="3" t="str">
        <f>HYPERLINK("https://otsuka-europe-crm.veevavault.com/ui/#object/sent_email__v/VBLZ025E82GMXS9", "SE-000267407")</f>
        <v>SE-000267407</v>
      </c>
      <c r="D348" s="1" t="s">
        <v>0</v>
      </c>
      <c r="E348" s="2">
        <v>0</v>
      </c>
      <c r="F348" s="2">
        <v>0</v>
      </c>
      <c r="G348" s="2">
        <v>0</v>
      </c>
      <c r="H348" s="1" t="s">
        <v>0</v>
      </c>
      <c r="I348" s="2">
        <v>0</v>
      </c>
      <c r="J348" s="1">
        <v>45915.377997685187</v>
      </c>
    </row>
    <row r="349" spans="1:10" x14ac:dyDescent="0.2">
      <c r="A349" s="4" t="s">
        <v>1</v>
      </c>
      <c r="B349" s="3" t="str">
        <f>HYPERLINK("https://otsuka-europe-crm.veevavault.com/ui/#object/approved_document__v/V5OZ025E82TFUPI", "Spain - HCP Survey Email - June 2025")</f>
        <v>Spain - HCP Survey Email - June 2025</v>
      </c>
      <c r="C349" s="3" t="str">
        <f>HYPERLINK("https://otsuka-europe-crm.veevavault.com/ui/#object/sent_email__v/VBLZ025E82GMXSA", "SE-000267408")</f>
        <v>SE-000267408</v>
      </c>
      <c r="D349" s="1" t="s">
        <v>0</v>
      </c>
      <c r="E349" s="2">
        <v>0</v>
      </c>
      <c r="F349" s="2">
        <v>0</v>
      </c>
      <c r="G349" s="2">
        <v>0</v>
      </c>
      <c r="H349" s="1" t="s">
        <v>0</v>
      </c>
      <c r="I349" s="2">
        <v>0</v>
      </c>
      <c r="J349" s="1">
        <v>45915.378993055558</v>
      </c>
    </row>
    <row r="350" spans="1:10" x14ac:dyDescent="0.2">
      <c r="A350" s="4" t="s">
        <v>1</v>
      </c>
      <c r="B350" s="3" t="str">
        <f>HYPERLINK("https://otsuka-europe-crm.veevavault.com/ui/#object/approved_document__v/V5OZ025E82TFUPI", "Spain - HCP Survey Email - June 2025")</f>
        <v>Spain - HCP Survey Email - June 2025</v>
      </c>
      <c r="C350" s="3" t="str">
        <f>HYPERLINK("https://otsuka-europe-crm.veevavault.com/ui/#object/sent_email__v/VBLZ025E82GMXSB", "SE-000267409")</f>
        <v>SE-000267409</v>
      </c>
      <c r="D350" s="1" t="s">
        <v>0</v>
      </c>
      <c r="E350" s="2">
        <v>0</v>
      </c>
      <c r="F350" s="2">
        <v>0</v>
      </c>
      <c r="G350" s="2">
        <v>0</v>
      </c>
      <c r="H350" s="1" t="s">
        <v>0</v>
      </c>
      <c r="I350" s="2">
        <v>0</v>
      </c>
      <c r="J350" s="1">
        <v>45915.378668981481</v>
      </c>
    </row>
    <row r="351" spans="1:10" x14ac:dyDescent="0.2">
      <c r="A351" s="4" t="s">
        <v>1</v>
      </c>
      <c r="B351" s="3" t="str">
        <f>HYPERLINK("https://otsuka-europe-crm.veevavault.com/ui/#object/approved_document__v/V5OZ025E82TFUPI", "Spain - HCP Survey Email - June 2025")</f>
        <v>Spain - HCP Survey Email - June 2025</v>
      </c>
      <c r="C351" s="3" t="str">
        <f>HYPERLINK("https://otsuka-europe-crm.veevavault.com/ui/#object/sent_email__v/VBLZ025E82GMXSC", "SE-000267410")</f>
        <v>SE-000267410</v>
      </c>
      <c r="D351" s="1">
        <v>45915.388344907406</v>
      </c>
      <c r="E351" s="2">
        <v>1</v>
      </c>
      <c r="F351" s="2">
        <v>1</v>
      </c>
      <c r="G351" s="2">
        <v>0</v>
      </c>
      <c r="H351" s="1" t="s">
        <v>0</v>
      </c>
      <c r="I351" s="2">
        <v>0</v>
      </c>
      <c r="J351" s="1">
        <v>45915.379074074073</v>
      </c>
    </row>
    <row r="352" spans="1:10" x14ac:dyDescent="0.2">
      <c r="A352" s="4" t="s">
        <v>1</v>
      </c>
      <c r="B352" s="3" t="str">
        <f>HYPERLINK("https://otsuka-europe-crm.veevavault.com/ui/#object/approved_document__v/V5OZ025E82TFUPI", "Spain - HCP Survey Email - June 2025")</f>
        <v>Spain - HCP Survey Email - June 2025</v>
      </c>
      <c r="C352" s="3" t="str">
        <f>HYPERLINK("https://otsuka-europe-crm.veevavault.com/ui/#object/sent_email__v/VBLZ025E82GMXSD", "SE-000267411")</f>
        <v>SE-000267411</v>
      </c>
      <c r="D352" s="1" t="s">
        <v>0</v>
      </c>
      <c r="E352" s="2">
        <v>0</v>
      </c>
      <c r="F352" s="2">
        <v>0</v>
      </c>
      <c r="G352" s="2">
        <v>0</v>
      </c>
      <c r="H352" s="1" t="s">
        <v>0</v>
      </c>
      <c r="I352" s="2">
        <v>0</v>
      </c>
      <c r="J352" s="1">
        <v>45915.377824074072</v>
      </c>
    </row>
    <row r="353" spans="1:10" x14ac:dyDescent="0.2">
      <c r="A353" s="4" t="s">
        <v>1</v>
      </c>
      <c r="B353" s="3" t="str">
        <f>HYPERLINK("https://otsuka-europe-crm.veevavault.com/ui/#object/approved_document__v/V5OZ025E82TFUPI", "Spain - HCP Survey Email - June 2025")</f>
        <v>Spain - HCP Survey Email - June 2025</v>
      </c>
      <c r="C353" s="3" t="str">
        <f>HYPERLINK("https://otsuka-europe-crm.veevavault.com/ui/#object/sent_email__v/VBLZ025E82GMXSE", "SE-000267412")</f>
        <v>SE-000267412</v>
      </c>
      <c r="D353" s="1">
        <v>45931.719606481478</v>
      </c>
      <c r="E353" s="2">
        <v>1</v>
      </c>
      <c r="F353" s="2">
        <v>1</v>
      </c>
      <c r="G353" s="2">
        <v>0</v>
      </c>
      <c r="H353" s="1" t="s">
        <v>0</v>
      </c>
      <c r="I353" s="2">
        <v>0</v>
      </c>
      <c r="J353" s="1">
        <v>45915.378263888888</v>
      </c>
    </row>
    <row r="354" spans="1:10" x14ac:dyDescent="0.2">
      <c r="A354" s="4" t="s">
        <v>1</v>
      </c>
      <c r="B354" s="3" t="str">
        <f>HYPERLINK("https://otsuka-europe-crm.veevavault.com/ui/#object/approved_document__v/V5OZ025E82TFUPI", "Spain - HCP Survey Email - June 2025")</f>
        <v>Spain - HCP Survey Email - June 2025</v>
      </c>
      <c r="C354" s="3" t="str">
        <f>HYPERLINK("https://otsuka-europe-crm.veevavault.com/ui/#object/sent_email__v/VBLZ025E82GMXSF", "SE-000267413")</f>
        <v>SE-000267413</v>
      </c>
      <c r="D354" s="1" t="s">
        <v>0</v>
      </c>
      <c r="E354" s="2">
        <v>0</v>
      </c>
      <c r="F354" s="2">
        <v>0</v>
      </c>
      <c r="G354" s="2">
        <v>0</v>
      </c>
      <c r="H354" s="1" t="s">
        <v>0</v>
      </c>
      <c r="I354" s="2">
        <v>0</v>
      </c>
      <c r="J354" s="1">
        <v>45915.378101851849</v>
      </c>
    </row>
    <row r="355" spans="1:10" x14ac:dyDescent="0.2">
      <c r="A355" s="4" t="s">
        <v>1</v>
      </c>
      <c r="B355" s="3" t="str">
        <f>HYPERLINK("https://otsuka-europe-crm.veevavault.com/ui/#object/approved_document__v/V5OZ025E82TFUPI", "Spain - HCP Survey Email - June 2025")</f>
        <v>Spain - HCP Survey Email - June 2025</v>
      </c>
      <c r="C355" s="3" t="str">
        <f>HYPERLINK("https://otsuka-europe-crm.veevavault.com/ui/#object/sent_email__v/VBLZ025E82GMXSG", "SE-000267414")</f>
        <v>SE-000267414</v>
      </c>
      <c r="D355" s="1" t="s">
        <v>0</v>
      </c>
      <c r="E355" s="2">
        <v>0</v>
      </c>
      <c r="F355" s="2">
        <v>0</v>
      </c>
      <c r="G355" s="2">
        <v>0</v>
      </c>
      <c r="H355" s="1" t="s">
        <v>0</v>
      </c>
      <c r="I355" s="2">
        <v>0</v>
      </c>
      <c r="J355" s="1">
        <v>45915.378703703704</v>
      </c>
    </row>
    <row r="356" spans="1:10" x14ac:dyDescent="0.2">
      <c r="A356" s="4" t="s">
        <v>1</v>
      </c>
      <c r="B356" s="3" t="str">
        <f>HYPERLINK("https://otsuka-europe-crm.veevavault.com/ui/#object/approved_document__v/V5OZ025E82TFUPI", "Spain - HCP Survey Email - June 2025")</f>
        <v>Spain - HCP Survey Email - June 2025</v>
      </c>
      <c r="C356" s="3" t="str">
        <f>HYPERLINK("https://otsuka-europe-crm.veevavault.com/ui/#object/sent_email__v/VBLZ025E82GMXSH", "SE-000267415")</f>
        <v>SE-000267415</v>
      </c>
      <c r="D356" s="1">
        <v>45915.549259259256</v>
      </c>
      <c r="E356" s="2">
        <v>1</v>
      </c>
      <c r="F356" s="2">
        <v>1</v>
      </c>
      <c r="G356" s="2">
        <v>0</v>
      </c>
      <c r="H356" s="1" t="s">
        <v>0</v>
      </c>
      <c r="I356" s="2">
        <v>0</v>
      </c>
      <c r="J356" s="1">
        <v>45915.379062499997</v>
      </c>
    </row>
    <row r="357" spans="1:10" x14ac:dyDescent="0.2">
      <c r="A357" s="4" t="s">
        <v>1</v>
      </c>
      <c r="B357" s="3" t="str">
        <f>HYPERLINK("https://otsuka-europe-crm.veevavault.com/ui/#object/approved_document__v/V5OZ025E82TFUPI", "Spain - HCP Survey Email - June 2025")</f>
        <v>Spain - HCP Survey Email - June 2025</v>
      </c>
      <c r="C357" s="3" t="str">
        <f>HYPERLINK("https://otsuka-europe-crm.veevavault.com/ui/#object/sent_email__v/VBLZ025E82GMXSI", "SE-000267416")</f>
        <v>SE-000267416</v>
      </c>
      <c r="D357" s="1" t="s">
        <v>0</v>
      </c>
      <c r="E357" s="2">
        <v>0</v>
      </c>
      <c r="F357" s="2">
        <v>0</v>
      </c>
      <c r="G357" s="2">
        <v>0</v>
      </c>
      <c r="H357" s="1" t="s">
        <v>0</v>
      </c>
      <c r="I357" s="2">
        <v>0</v>
      </c>
      <c r="J357" s="1">
        <v>45915.377812500003</v>
      </c>
    </row>
    <row r="358" spans="1:10" x14ac:dyDescent="0.2">
      <c r="A358" s="4" t="s">
        <v>1</v>
      </c>
      <c r="B358" s="3" t="str">
        <f>HYPERLINK("https://otsuka-europe-crm.veevavault.com/ui/#object/approved_document__v/V5OZ025E82TFUPI", "Spain - HCP Survey Email - June 2025")</f>
        <v>Spain - HCP Survey Email - June 2025</v>
      </c>
      <c r="C358" s="3" t="str">
        <f>HYPERLINK("https://otsuka-europe-crm.veevavault.com/ui/#object/sent_email__v/VBLZ025E82GMXSJ", "SE-000267417")</f>
        <v>SE-000267417</v>
      </c>
      <c r="D358" s="1">
        <v>45915.742662037039</v>
      </c>
      <c r="E358" s="2">
        <v>1</v>
      </c>
      <c r="F358" s="2">
        <v>2</v>
      </c>
      <c r="G358" s="2">
        <v>1</v>
      </c>
      <c r="H358" s="1">
        <v>45915.773587962962</v>
      </c>
      <c r="I358" s="2">
        <v>1</v>
      </c>
      <c r="J358" s="1">
        <v>45915.378194444442</v>
      </c>
    </row>
    <row r="359" spans="1:10" x14ac:dyDescent="0.2">
      <c r="A359" s="4" t="s">
        <v>1</v>
      </c>
      <c r="B359" s="3" t="str">
        <f>HYPERLINK("https://otsuka-europe-crm.veevavault.com/ui/#object/approved_document__v/V5OZ025E82TFUPI", "Spain - HCP Survey Email - June 2025")</f>
        <v>Spain - HCP Survey Email - June 2025</v>
      </c>
      <c r="C359" s="3" t="str">
        <f>HYPERLINK("https://otsuka-europe-crm.veevavault.com/ui/#object/sent_email__v/VBLZ025E82GMXSK", "SE-000267418")</f>
        <v>SE-000267418</v>
      </c>
      <c r="D359" s="1" t="s">
        <v>0</v>
      </c>
      <c r="E359" s="2">
        <v>0</v>
      </c>
      <c r="F359" s="2">
        <v>0</v>
      </c>
      <c r="G359" s="2">
        <v>0</v>
      </c>
      <c r="H359" s="1" t="s">
        <v>0</v>
      </c>
      <c r="I359" s="2">
        <v>0</v>
      </c>
      <c r="J359" s="1">
        <v>45915.378125000003</v>
      </c>
    </row>
    <row r="360" spans="1:10" x14ac:dyDescent="0.2">
      <c r="A360" s="4" t="s">
        <v>1</v>
      </c>
      <c r="B360" s="3" t="str">
        <f>HYPERLINK("https://otsuka-europe-crm.veevavault.com/ui/#object/approved_document__v/V5OZ025E82TFUPI", "Spain - HCP Survey Email - June 2025")</f>
        <v>Spain - HCP Survey Email - June 2025</v>
      </c>
      <c r="C360" s="3" t="str">
        <f>HYPERLINK("https://otsuka-europe-crm.veevavault.com/ui/#object/sent_email__v/VBLZ025E82GMXSL", "SE-000267419")</f>
        <v>SE-000267419</v>
      </c>
      <c r="D360" s="1" t="s">
        <v>0</v>
      </c>
      <c r="E360" s="2">
        <v>0</v>
      </c>
      <c r="F360" s="2">
        <v>0</v>
      </c>
      <c r="G360" s="2">
        <v>0</v>
      </c>
      <c r="H360" s="1" t="s">
        <v>0</v>
      </c>
      <c r="I360" s="2">
        <v>0</v>
      </c>
      <c r="J360" s="1">
        <v>45915.378553240742</v>
      </c>
    </row>
    <row r="361" spans="1:10" x14ac:dyDescent="0.2">
      <c r="A361" s="4" t="s">
        <v>1</v>
      </c>
      <c r="B361" s="3" t="str">
        <f>HYPERLINK("https://otsuka-europe-crm.veevavault.com/ui/#object/approved_document__v/V5OZ025E82TFUPI", "Spain - HCP Survey Email - June 2025")</f>
        <v>Spain - HCP Survey Email - June 2025</v>
      </c>
      <c r="C361" s="3" t="str">
        <f>HYPERLINK("https://otsuka-europe-crm.veevavault.com/ui/#object/sent_email__v/VBLZ025E82GMXSM", "SE-000267420")</f>
        <v>SE-000267420</v>
      </c>
      <c r="D361" s="1">
        <v>45916.337997685187</v>
      </c>
      <c r="E361" s="2">
        <v>1</v>
      </c>
      <c r="F361" s="2">
        <v>4</v>
      </c>
      <c r="G361" s="2">
        <v>1</v>
      </c>
      <c r="H361" s="1">
        <v>45916.338090277779</v>
      </c>
      <c r="I361" s="2">
        <v>1</v>
      </c>
      <c r="J361" s="1">
        <v>45915.379895833335</v>
      </c>
    </row>
    <row r="362" spans="1:10" x14ac:dyDescent="0.2">
      <c r="A362" s="4" t="s">
        <v>1</v>
      </c>
      <c r="B362" s="3" t="str">
        <f>HYPERLINK("https://otsuka-europe-crm.veevavault.com/ui/#object/approved_document__v/V5OZ025E82TFUPI", "Spain - HCP Survey Email - June 2025")</f>
        <v>Spain - HCP Survey Email - June 2025</v>
      </c>
      <c r="C362" s="3" t="str">
        <f>HYPERLINK("https://otsuka-europe-crm.veevavault.com/ui/#object/sent_email__v/VBLZ025E82GMXSN", "SE-000267421")</f>
        <v>SE-000267421</v>
      </c>
      <c r="D362" s="1" t="s">
        <v>0</v>
      </c>
      <c r="E362" s="2">
        <v>0</v>
      </c>
      <c r="F362" s="2">
        <v>0</v>
      </c>
      <c r="G362" s="2">
        <v>0</v>
      </c>
      <c r="H362" s="1" t="s">
        <v>0</v>
      </c>
      <c r="I362" s="2">
        <v>0</v>
      </c>
      <c r="J362" s="1">
        <v>45915.377800925926</v>
      </c>
    </row>
    <row r="363" spans="1:10" x14ac:dyDescent="0.2">
      <c r="A363" s="4" t="s">
        <v>1</v>
      </c>
      <c r="B363" s="3" t="str">
        <f>HYPERLINK("https://otsuka-europe-crm.veevavault.com/ui/#object/approved_document__v/V5OZ025E82TFUPI", "Spain - HCP Survey Email - June 2025")</f>
        <v>Spain - HCP Survey Email - June 2025</v>
      </c>
      <c r="C363" s="3" t="str">
        <f>HYPERLINK("https://otsuka-europe-crm.veevavault.com/ui/#object/sent_email__v/VBLZ025E82GMXSO", "SE-000267422")</f>
        <v>SE-000267422</v>
      </c>
      <c r="D363" s="1">
        <v>45915.554351851853</v>
      </c>
      <c r="E363" s="2">
        <v>1</v>
      </c>
      <c r="F363" s="2">
        <v>3</v>
      </c>
      <c r="G363" s="2">
        <v>0</v>
      </c>
      <c r="H363" s="1" t="s">
        <v>0</v>
      </c>
      <c r="I363" s="2">
        <v>0</v>
      </c>
      <c r="J363" s="1">
        <v>45915.377662037034</v>
      </c>
    </row>
    <row r="364" spans="1:10" x14ac:dyDescent="0.2">
      <c r="A364" s="4" t="s">
        <v>1</v>
      </c>
      <c r="B364" s="3" t="str">
        <f>HYPERLINK("https://otsuka-europe-crm.veevavault.com/ui/#object/approved_document__v/V5OZ025E82TFUPI", "Spain - HCP Survey Email - June 2025")</f>
        <v>Spain - HCP Survey Email - June 2025</v>
      </c>
      <c r="C364" s="3" t="str">
        <f>HYPERLINK("https://otsuka-europe-crm.veevavault.com/ui/#object/sent_email__v/VBLZ025E82GMXSP", "SE-000267423")</f>
        <v>SE-000267423</v>
      </c>
      <c r="D364" s="1">
        <v>45915.386921296296</v>
      </c>
      <c r="E364" s="2">
        <v>1</v>
      </c>
      <c r="F364" s="2">
        <v>2</v>
      </c>
      <c r="G364" s="2">
        <v>0</v>
      </c>
      <c r="H364" s="1" t="s">
        <v>0</v>
      </c>
      <c r="I364" s="2">
        <v>0</v>
      </c>
      <c r="J364" s="1">
        <v>45915.378101851849</v>
      </c>
    </row>
    <row r="365" spans="1:10" x14ac:dyDescent="0.2">
      <c r="A365" s="4" t="s">
        <v>1</v>
      </c>
      <c r="B365" s="3" t="str">
        <f>HYPERLINK("https://otsuka-europe-crm.veevavault.com/ui/#object/approved_document__v/V5OZ025E82TFUPI", "Spain - HCP Survey Email - June 2025")</f>
        <v>Spain - HCP Survey Email - June 2025</v>
      </c>
      <c r="C365" s="3" t="str">
        <f>HYPERLINK("https://otsuka-europe-crm.veevavault.com/ui/#object/sent_email__v/VBLZ025E82GMXSQ", "SE-000267424")</f>
        <v>SE-000267424</v>
      </c>
      <c r="D365" s="1" t="s">
        <v>0</v>
      </c>
      <c r="E365" s="2">
        <v>0</v>
      </c>
      <c r="F365" s="2">
        <v>0</v>
      </c>
      <c r="G365" s="2">
        <v>0</v>
      </c>
      <c r="H365" s="1" t="s">
        <v>0</v>
      </c>
      <c r="I365" s="2">
        <v>0</v>
      </c>
      <c r="J365" s="1">
        <v>45915.378738425927</v>
      </c>
    </row>
    <row r="366" spans="1:10" x14ac:dyDescent="0.2">
      <c r="A366" s="4" t="s">
        <v>1</v>
      </c>
      <c r="B366" s="3" t="str">
        <f>HYPERLINK("https://otsuka-europe-crm.veevavault.com/ui/#object/approved_document__v/V5OZ025E82TFUPI", "Spain - HCP Survey Email - June 2025")</f>
        <v>Spain - HCP Survey Email - June 2025</v>
      </c>
      <c r="C366" s="3" t="str">
        <f>HYPERLINK("https://otsuka-europe-crm.veevavault.com/ui/#object/sent_email__v/VBLZ025E82GMXSR", "SE-000267425")</f>
        <v>SE-000267425</v>
      </c>
      <c r="D366" s="1">
        <v>45915.466747685183</v>
      </c>
      <c r="E366" s="2">
        <v>1</v>
      </c>
      <c r="F366" s="2">
        <v>2</v>
      </c>
      <c r="G366" s="2">
        <v>0</v>
      </c>
      <c r="H366" s="1" t="s">
        <v>0</v>
      </c>
      <c r="I366" s="2">
        <v>0</v>
      </c>
      <c r="J366" s="1">
        <v>45915.378680555557</v>
      </c>
    </row>
    <row r="367" spans="1:10" x14ac:dyDescent="0.2">
      <c r="A367" s="4" t="s">
        <v>1</v>
      </c>
      <c r="B367" s="3" t="str">
        <f>HYPERLINK("https://otsuka-europe-crm.veevavault.com/ui/#object/approved_document__v/V5OZ025E82TFUPI", "Spain - HCP Survey Email - June 2025")</f>
        <v>Spain - HCP Survey Email - June 2025</v>
      </c>
      <c r="C367" s="3" t="str">
        <f>HYPERLINK("https://otsuka-europe-crm.veevavault.com/ui/#object/sent_email__v/VBLZ025E82GMXSS", "SE-000267426")</f>
        <v>SE-000267426</v>
      </c>
      <c r="D367" s="1" t="s">
        <v>0</v>
      </c>
      <c r="E367" s="2">
        <v>0</v>
      </c>
      <c r="F367" s="2">
        <v>0</v>
      </c>
      <c r="G367" s="2">
        <v>0</v>
      </c>
      <c r="H367" s="1" t="s">
        <v>0</v>
      </c>
      <c r="I367" s="2">
        <v>0</v>
      </c>
      <c r="J367" s="1">
        <v>45915.37908564815</v>
      </c>
    </row>
    <row r="368" spans="1:10" x14ac:dyDescent="0.2">
      <c r="A368" s="4" t="s">
        <v>1</v>
      </c>
      <c r="B368" s="3" t="str">
        <f>HYPERLINK("https://otsuka-europe-crm.veevavault.com/ui/#object/approved_document__v/V5OZ025E82TFUPI", "Spain - HCP Survey Email - June 2025")</f>
        <v>Spain - HCP Survey Email - June 2025</v>
      </c>
      <c r="C368" s="3" t="str">
        <f>HYPERLINK("https://otsuka-europe-crm.veevavault.com/ui/#object/sent_email__v/VBLZ025E82GMXST", "SE-000267427")</f>
        <v>SE-000267427</v>
      </c>
      <c r="D368" s="1">
        <v>45915.3830787037</v>
      </c>
      <c r="E368" s="2">
        <v>1</v>
      </c>
      <c r="F368" s="2">
        <v>1</v>
      </c>
      <c r="G368" s="2">
        <v>0</v>
      </c>
      <c r="H368" s="1" t="s">
        <v>0</v>
      </c>
      <c r="I368" s="2">
        <v>0</v>
      </c>
      <c r="J368" s="1">
        <v>45915.377870370372</v>
      </c>
    </row>
    <row r="369" spans="1:10" x14ac:dyDescent="0.2">
      <c r="A369" s="4" t="s">
        <v>1</v>
      </c>
      <c r="B369" s="3" t="str">
        <f>HYPERLINK("https://otsuka-europe-crm.veevavault.com/ui/#object/approved_document__v/V5OZ025E82TFUPI", "Spain - HCP Survey Email - June 2025")</f>
        <v>Spain - HCP Survey Email - June 2025</v>
      </c>
      <c r="C369" s="3" t="str">
        <f>HYPERLINK("https://otsuka-europe-crm.veevavault.com/ui/#object/sent_email__v/VBLZ025E82GMXSU", "SE-000267428")</f>
        <v>SE-000267428</v>
      </c>
      <c r="D369" s="1">
        <v>45915.612245370372</v>
      </c>
      <c r="E369" s="2">
        <v>1</v>
      </c>
      <c r="F369" s="2">
        <v>1</v>
      </c>
      <c r="G369" s="2">
        <v>0</v>
      </c>
      <c r="H369" s="1" t="s">
        <v>0</v>
      </c>
      <c r="I369" s="2">
        <v>0</v>
      </c>
      <c r="J369" s="1">
        <v>45915.378217592595</v>
      </c>
    </row>
    <row r="370" spans="1:10" x14ac:dyDescent="0.2">
      <c r="A370" s="4" t="s">
        <v>1</v>
      </c>
      <c r="B370" s="3" t="str">
        <f>HYPERLINK("https://otsuka-europe-crm.veevavault.com/ui/#object/approved_document__v/V5OZ025E82TFUPI", "Spain - HCP Survey Email - June 2025")</f>
        <v>Spain - HCP Survey Email - June 2025</v>
      </c>
      <c r="C370" s="3" t="str">
        <f>HYPERLINK("https://otsuka-europe-crm.veevavault.com/ui/#object/sent_email__v/VBLZ025E82GMXSV", "SE-000267429")</f>
        <v>SE-000267429</v>
      </c>
      <c r="D370" s="1" t="s">
        <v>0</v>
      </c>
      <c r="E370" s="2">
        <v>0</v>
      </c>
      <c r="F370" s="2">
        <v>0</v>
      </c>
      <c r="G370" s="2">
        <v>0</v>
      </c>
      <c r="H370" s="1" t="s">
        <v>0</v>
      </c>
      <c r="I370" s="2">
        <v>0</v>
      </c>
      <c r="J370" s="1">
        <v>45915.378136574072</v>
      </c>
    </row>
    <row r="371" spans="1:10" x14ac:dyDescent="0.2">
      <c r="A371" s="4" t="s">
        <v>1</v>
      </c>
      <c r="B371" s="3" t="str">
        <f>HYPERLINK("https://otsuka-europe-crm.veevavault.com/ui/#object/approved_document__v/V5OZ025E82TFUPI", "Spain - HCP Survey Email - June 2025")</f>
        <v>Spain - HCP Survey Email - June 2025</v>
      </c>
      <c r="C371" s="3" t="str">
        <f>HYPERLINK("https://otsuka-europe-crm.veevavault.com/ui/#object/sent_email__v/VBLZ025E82GMXSX", "SE-000267431")</f>
        <v>SE-000267431</v>
      </c>
      <c r="D371" s="1">
        <v>45928.924479166664</v>
      </c>
      <c r="E371" s="2">
        <v>1</v>
      </c>
      <c r="F371" s="2">
        <v>5</v>
      </c>
      <c r="G371" s="2">
        <v>1</v>
      </c>
      <c r="H371" s="1">
        <v>45915.853437500002</v>
      </c>
      <c r="I371" s="2">
        <v>1</v>
      </c>
      <c r="J371" s="1">
        <v>45915.379861111112</v>
      </c>
    </row>
    <row r="372" spans="1:10" x14ac:dyDescent="0.2">
      <c r="A372" s="4" t="s">
        <v>1</v>
      </c>
      <c r="B372" s="3" t="str">
        <f>HYPERLINK("https://otsuka-europe-crm.veevavault.com/ui/#object/approved_document__v/V5OZ025E82TFUPI", "Spain - HCP Survey Email - June 2025")</f>
        <v>Spain - HCP Survey Email - June 2025</v>
      </c>
      <c r="C372" s="3" t="str">
        <f>HYPERLINK("https://otsuka-europe-crm.veevavault.com/ui/#object/sent_email__v/VBLZ025E82GMXSY", "SE-000267432")</f>
        <v>SE-000267432</v>
      </c>
      <c r="D372" s="1" t="s">
        <v>0</v>
      </c>
      <c r="E372" s="2">
        <v>0</v>
      </c>
      <c r="F372" s="2">
        <v>0</v>
      </c>
      <c r="G372" s="2">
        <v>0</v>
      </c>
      <c r="H372" s="1" t="s">
        <v>0</v>
      </c>
      <c r="I372" s="2">
        <v>0</v>
      </c>
      <c r="J372" s="1">
        <v>45915.377789351849</v>
      </c>
    </row>
    <row r="373" spans="1:10" x14ac:dyDescent="0.2">
      <c r="A373" s="4" t="s">
        <v>1</v>
      </c>
      <c r="B373" s="3" t="str">
        <f>HYPERLINK("https://otsuka-europe-crm.veevavault.com/ui/#object/approved_document__v/V5OZ025E82TFUPI", "Spain - HCP Survey Email - June 2025")</f>
        <v>Spain - HCP Survey Email - June 2025</v>
      </c>
      <c r="C373" s="3" t="str">
        <f>HYPERLINK("https://otsuka-europe-crm.veevavault.com/ui/#object/sent_email__v/VBLZ025E82GMXSZ", "SE-000267433")</f>
        <v>SE-000267433</v>
      </c>
      <c r="D373" s="1" t="s">
        <v>0</v>
      </c>
      <c r="E373" s="2">
        <v>0</v>
      </c>
      <c r="F373" s="2">
        <v>0</v>
      </c>
      <c r="G373" s="2">
        <v>0</v>
      </c>
      <c r="H373" s="1" t="s">
        <v>0</v>
      </c>
      <c r="I373" s="2">
        <v>0</v>
      </c>
      <c r="J373" s="1">
        <v>45915.377627314818</v>
      </c>
    </row>
    <row r="374" spans="1:10" x14ac:dyDescent="0.2">
      <c r="A374" s="4" t="s">
        <v>1</v>
      </c>
      <c r="B374" s="3" t="str">
        <f>HYPERLINK("https://otsuka-europe-crm.veevavault.com/ui/#object/approved_document__v/V5OZ025E82TFUPI", "Spain - HCP Survey Email - June 2025")</f>
        <v>Spain - HCP Survey Email - June 2025</v>
      </c>
      <c r="C374" s="3" t="str">
        <f>HYPERLINK("https://otsuka-europe-crm.veevavault.com/ui/#object/sent_email__v/VBLZ025E82GMXT0", "SE-000267434")</f>
        <v>SE-000267434</v>
      </c>
      <c r="D374" s="1">
        <v>45916.826041666667</v>
      </c>
      <c r="E374" s="2">
        <v>1</v>
      </c>
      <c r="F374" s="2">
        <v>1</v>
      </c>
      <c r="G374" s="2">
        <v>0</v>
      </c>
      <c r="H374" s="1" t="s">
        <v>0</v>
      </c>
      <c r="I374" s="2">
        <v>0</v>
      </c>
      <c r="J374" s="1">
        <v>45915.378009259257</v>
      </c>
    </row>
    <row r="375" spans="1:10" x14ac:dyDescent="0.2">
      <c r="A375" s="4" t="s">
        <v>1</v>
      </c>
      <c r="B375" s="3" t="str">
        <f>HYPERLINK("https://otsuka-europe-crm.veevavault.com/ui/#object/approved_document__v/V5OZ025E82TFUPI", "Spain - HCP Survey Email - June 2025")</f>
        <v>Spain - HCP Survey Email - June 2025</v>
      </c>
      <c r="C375" s="3" t="str">
        <f>HYPERLINK("https://otsuka-europe-crm.veevavault.com/ui/#object/sent_email__v/VBLZ025E82GMXT1", "SE-000267435")</f>
        <v>SE-000267435</v>
      </c>
      <c r="D375" s="1">
        <v>45925.392974537041</v>
      </c>
      <c r="E375" s="2">
        <v>1</v>
      </c>
      <c r="F375" s="2">
        <v>4</v>
      </c>
      <c r="G375" s="2">
        <v>0</v>
      </c>
      <c r="H375" s="1" t="s">
        <v>0</v>
      </c>
      <c r="I375" s="2">
        <v>0</v>
      </c>
      <c r="J375" s="1">
        <v>45915.378796296296</v>
      </c>
    </row>
    <row r="376" spans="1:10" x14ac:dyDescent="0.2">
      <c r="A376" s="4" t="s">
        <v>1</v>
      </c>
      <c r="B376" s="3" t="str">
        <f>HYPERLINK("https://otsuka-europe-crm.veevavault.com/ui/#object/approved_document__v/V5OZ025E82TFUPI", "Spain - HCP Survey Email - June 2025")</f>
        <v>Spain - HCP Survey Email - June 2025</v>
      </c>
      <c r="C376" s="3" t="str">
        <f>HYPERLINK("https://otsuka-europe-crm.veevavault.com/ui/#object/sent_email__v/VBLZ025E82GMXT2", "SE-000267436")</f>
        <v>SE-000267436</v>
      </c>
      <c r="D376" s="1" t="s">
        <v>0</v>
      </c>
      <c r="E376" s="2">
        <v>0</v>
      </c>
      <c r="F376" s="2">
        <v>0</v>
      </c>
      <c r="G376" s="2">
        <v>0</v>
      </c>
      <c r="H376" s="1" t="s">
        <v>0</v>
      </c>
      <c r="I376" s="2">
        <v>0</v>
      </c>
      <c r="J376" s="1">
        <v>45915.378645833334</v>
      </c>
    </row>
    <row r="377" spans="1:10" x14ac:dyDescent="0.2">
      <c r="A377" s="4" t="s">
        <v>1</v>
      </c>
      <c r="B377" s="3" t="str">
        <f>HYPERLINK("https://otsuka-europe-crm.veevavault.com/ui/#object/approved_document__v/V5OZ025E82TFUPI", "Spain - HCP Survey Email - June 2025")</f>
        <v>Spain - HCP Survey Email - June 2025</v>
      </c>
      <c r="C377" s="3" t="str">
        <f>HYPERLINK("https://otsuka-europe-crm.veevavault.com/ui/#object/sent_email__v/VBLZ025E82GMXT3", "SE-000267437")</f>
        <v>SE-000267437</v>
      </c>
      <c r="D377" s="1" t="s">
        <v>0</v>
      </c>
      <c r="E377" s="2">
        <v>0</v>
      </c>
      <c r="F377" s="2">
        <v>0</v>
      </c>
      <c r="G377" s="2">
        <v>0</v>
      </c>
      <c r="H377" s="1" t="s">
        <v>0</v>
      </c>
      <c r="I377" s="2">
        <v>0</v>
      </c>
      <c r="J377" s="1">
        <v>45915.379155092596</v>
      </c>
    </row>
    <row r="378" spans="1:10" x14ac:dyDescent="0.2">
      <c r="A378" s="4" t="s">
        <v>1</v>
      </c>
      <c r="B378" s="3" t="str">
        <f>HYPERLINK("https://otsuka-europe-crm.veevavault.com/ui/#object/approved_document__v/V5OZ025E82TFUPI", "Spain - HCP Survey Email - June 2025")</f>
        <v>Spain - HCP Survey Email - June 2025</v>
      </c>
      <c r="C378" s="3" t="str">
        <f>HYPERLINK("https://otsuka-europe-crm.veevavault.com/ui/#object/sent_email__v/VBLZ025E82GMXT4", "SE-000267438")</f>
        <v>SE-000267438</v>
      </c>
      <c r="D378" s="1">
        <v>45915.671030092592</v>
      </c>
      <c r="E378" s="2">
        <v>1</v>
      </c>
      <c r="F378" s="2">
        <v>3</v>
      </c>
      <c r="G378" s="2">
        <v>1</v>
      </c>
      <c r="H378" s="1">
        <v>45915.668946759259</v>
      </c>
      <c r="I378" s="2">
        <v>1</v>
      </c>
      <c r="J378" s="1">
        <v>45915.377893518518</v>
      </c>
    </row>
    <row r="379" spans="1:10" x14ac:dyDescent="0.2">
      <c r="A379" s="4" t="s">
        <v>1</v>
      </c>
      <c r="B379" s="3" t="str">
        <f>HYPERLINK("https://otsuka-europe-crm.veevavault.com/ui/#object/approved_document__v/V5OZ025E82TFUPI", "Spain - HCP Survey Email - June 2025")</f>
        <v>Spain - HCP Survey Email - June 2025</v>
      </c>
      <c r="C379" s="3" t="str">
        <f>HYPERLINK("https://otsuka-europe-crm.veevavault.com/ui/#object/sent_email__v/VBLZ025E82GMXT5", "SE-000267439")</f>
        <v>SE-000267439</v>
      </c>
      <c r="D379" s="1">
        <v>45915.411273148151</v>
      </c>
      <c r="E379" s="2">
        <v>1</v>
      </c>
      <c r="F379" s="2">
        <v>1</v>
      </c>
      <c r="G379" s="2">
        <v>0</v>
      </c>
      <c r="H379" s="1" t="s">
        <v>0</v>
      </c>
      <c r="I379" s="2">
        <v>0</v>
      </c>
      <c r="J379" s="1">
        <v>45915.378240740742</v>
      </c>
    </row>
    <row r="380" spans="1:10" x14ac:dyDescent="0.2">
      <c r="A380" s="4" t="s">
        <v>1</v>
      </c>
      <c r="B380" s="3" t="str">
        <f>HYPERLINK("https://otsuka-europe-crm.veevavault.com/ui/#object/approved_document__v/V5OZ025E82TFUPI", "Spain - HCP Survey Email - June 2025")</f>
        <v>Spain - HCP Survey Email - June 2025</v>
      </c>
      <c r="C380" s="3" t="str">
        <f>HYPERLINK("https://otsuka-europe-crm.veevavault.com/ui/#object/sent_email__v/VBLZ025E82GMXT6", "SE-000267440")</f>
        <v>SE-000267440</v>
      </c>
      <c r="D380" s="1" t="s">
        <v>0</v>
      </c>
      <c r="E380" s="2">
        <v>0</v>
      </c>
      <c r="F380" s="2">
        <v>0</v>
      </c>
      <c r="G380" s="2">
        <v>0</v>
      </c>
      <c r="H380" s="1" t="s">
        <v>0</v>
      </c>
      <c r="I380" s="2">
        <v>0</v>
      </c>
      <c r="J380" s="1">
        <v>45915.378078703703</v>
      </c>
    </row>
    <row r="381" spans="1:10" x14ac:dyDescent="0.2">
      <c r="A381" s="4" t="s">
        <v>1</v>
      </c>
      <c r="B381" s="3" t="str">
        <f>HYPERLINK("https://otsuka-europe-crm.veevavault.com/ui/#object/approved_document__v/V5OZ025E82TFUPI", "Spain - HCP Survey Email - June 2025")</f>
        <v>Spain - HCP Survey Email - June 2025</v>
      </c>
      <c r="C381" s="3" t="str">
        <f>HYPERLINK("https://otsuka-europe-crm.veevavault.com/ui/#object/sent_email__v/VBLZ025E82GMXT7", "SE-000267441")</f>
        <v>SE-000267441</v>
      </c>
      <c r="D381" s="1">
        <v>45915.934548611112</v>
      </c>
      <c r="E381" s="2">
        <v>1</v>
      </c>
      <c r="F381" s="2">
        <v>1</v>
      </c>
      <c r="G381" s="2">
        <v>0</v>
      </c>
      <c r="H381" s="1" t="s">
        <v>0</v>
      </c>
      <c r="I381" s="2">
        <v>0</v>
      </c>
      <c r="J381" s="1">
        <v>45915.378611111111</v>
      </c>
    </row>
    <row r="382" spans="1:10" x14ac:dyDescent="0.2">
      <c r="A382" s="4" t="s">
        <v>1</v>
      </c>
      <c r="B382" s="3" t="str">
        <f>HYPERLINK("https://otsuka-europe-crm.veevavault.com/ui/#object/approved_document__v/V5OZ025E82TFUPI", "Spain - HCP Survey Email - June 2025")</f>
        <v>Spain - HCP Survey Email - June 2025</v>
      </c>
      <c r="C382" s="3" t="str">
        <f>HYPERLINK("https://otsuka-europe-crm.veevavault.com/ui/#object/sent_email__v/VBLZ025E82GMXT8", "SE-000267442")</f>
        <v>SE-000267442</v>
      </c>
      <c r="D382" s="1" t="s">
        <v>0</v>
      </c>
      <c r="E382" s="2">
        <v>0</v>
      </c>
      <c r="F382" s="2">
        <v>0</v>
      </c>
      <c r="G382" s="2">
        <v>0</v>
      </c>
      <c r="H382" s="1" t="s">
        <v>0</v>
      </c>
      <c r="I382" s="2">
        <v>0</v>
      </c>
      <c r="J382" s="1">
        <v>45915.379942129628</v>
      </c>
    </row>
    <row r="383" spans="1:10" x14ac:dyDescent="0.2">
      <c r="A383" s="4" t="s">
        <v>1</v>
      </c>
      <c r="B383" s="3" t="str">
        <f>HYPERLINK("https://otsuka-europe-crm.veevavault.com/ui/#object/approved_document__v/V5OZ025E82TFUPI", "Spain - HCP Survey Email - June 2025")</f>
        <v>Spain - HCP Survey Email - June 2025</v>
      </c>
      <c r="C383" s="3" t="str">
        <f>HYPERLINK("https://otsuka-europe-crm.veevavault.com/ui/#object/sent_email__v/VBLZ025E82GMXT9", "SE-000267443")</f>
        <v>SE-000267443</v>
      </c>
      <c r="D383" s="1" t="s">
        <v>0</v>
      </c>
      <c r="E383" s="2">
        <v>0</v>
      </c>
      <c r="F383" s="2">
        <v>0</v>
      </c>
      <c r="G383" s="2">
        <v>0</v>
      </c>
      <c r="H383" s="1" t="s">
        <v>0</v>
      </c>
      <c r="I383" s="2">
        <v>0</v>
      </c>
      <c r="J383" s="1">
        <v>45915.37771990741</v>
      </c>
    </row>
    <row r="384" spans="1:10" x14ac:dyDescent="0.2">
      <c r="A384" s="4" t="s">
        <v>1</v>
      </c>
      <c r="B384" s="3" t="str">
        <f>HYPERLINK("https://otsuka-europe-crm.veevavault.com/ui/#object/approved_document__v/V5OZ025E82TFUPI", "Spain - HCP Survey Email - June 2025")</f>
        <v>Spain - HCP Survey Email - June 2025</v>
      </c>
      <c r="C384" s="3" t="str">
        <f>HYPERLINK("https://otsuka-europe-crm.veevavault.com/ui/#object/sent_email__v/VBLZ025E82GMXTB", "SE-000267445")</f>
        <v>SE-000267445</v>
      </c>
      <c r="D384" s="1" t="s">
        <v>0</v>
      </c>
      <c r="E384" s="2">
        <v>0</v>
      </c>
      <c r="F384" s="2">
        <v>0</v>
      </c>
      <c r="G384" s="2">
        <v>0</v>
      </c>
      <c r="H384" s="1" t="s">
        <v>0</v>
      </c>
      <c r="I384" s="2">
        <v>0</v>
      </c>
      <c r="J384" s="1">
        <v>45915.378078703703</v>
      </c>
    </row>
    <row r="385" spans="1:10" x14ac:dyDescent="0.2">
      <c r="A385" s="4" t="s">
        <v>1</v>
      </c>
      <c r="B385" s="3" t="str">
        <f>HYPERLINK("https://otsuka-europe-crm.veevavault.com/ui/#object/approved_document__v/V5OZ025E82TFUPI", "Spain - HCP Survey Email - June 2025")</f>
        <v>Spain - HCP Survey Email - June 2025</v>
      </c>
      <c r="C385" s="3" t="str">
        <f>HYPERLINK("https://otsuka-europe-crm.veevavault.com/ui/#object/sent_email__v/VBLZ025E82GMXTC", "SE-000267446")</f>
        <v>SE-000267446</v>
      </c>
      <c r="D385" s="1" t="s">
        <v>0</v>
      </c>
      <c r="E385" s="2">
        <v>0</v>
      </c>
      <c r="F385" s="2">
        <v>0</v>
      </c>
      <c r="G385" s="2">
        <v>0</v>
      </c>
      <c r="H385" s="1" t="s">
        <v>0</v>
      </c>
      <c r="I385" s="2">
        <v>0</v>
      </c>
      <c r="J385" s="1">
        <v>45915.378761574073</v>
      </c>
    </row>
    <row r="386" spans="1:10" x14ac:dyDescent="0.2">
      <c r="A386" s="4" t="s">
        <v>1</v>
      </c>
      <c r="B386" s="3" t="str">
        <f>HYPERLINK("https://otsuka-europe-crm.veevavault.com/ui/#object/approved_document__v/V5OZ025E82TFUPI", "Spain - HCP Survey Email - June 2025")</f>
        <v>Spain - HCP Survey Email - June 2025</v>
      </c>
      <c r="C386" s="3" t="str">
        <f>HYPERLINK("https://otsuka-europe-crm.veevavault.com/ui/#object/sent_email__v/VBLZ025E82GMXTD", "SE-000267447")</f>
        <v>SE-000267447</v>
      </c>
      <c r="D386" s="1" t="s">
        <v>0</v>
      </c>
      <c r="E386" s="2">
        <v>0</v>
      </c>
      <c r="F386" s="2">
        <v>0</v>
      </c>
      <c r="G386" s="2">
        <v>0</v>
      </c>
      <c r="H386" s="1" t="s">
        <v>0</v>
      </c>
      <c r="I386" s="2">
        <v>0</v>
      </c>
      <c r="J386" s="1">
        <v>45915.378587962965</v>
      </c>
    </row>
    <row r="387" spans="1:10" x14ac:dyDescent="0.2">
      <c r="A387" s="4" t="s">
        <v>1</v>
      </c>
      <c r="B387" s="3" t="str">
        <f>HYPERLINK("https://otsuka-europe-crm.veevavault.com/ui/#object/approved_document__v/V5OZ025E82TFUPI", "Spain - HCP Survey Email - June 2025")</f>
        <v>Spain - HCP Survey Email - June 2025</v>
      </c>
      <c r="C387" s="3" t="str">
        <f>HYPERLINK("https://otsuka-europe-crm.veevavault.com/ui/#object/sent_email__v/VBLZ025E82GMXTE", "SE-000267448")</f>
        <v>SE-000267448</v>
      </c>
      <c r="D387" s="1">
        <v>45986.483935185184</v>
      </c>
      <c r="E387" s="2">
        <v>1</v>
      </c>
      <c r="F387" s="2">
        <v>3</v>
      </c>
      <c r="G387" s="2">
        <v>0</v>
      </c>
      <c r="H387" s="1" t="s">
        <v>0</v>
      </c>
      <c r="I387" s="2">
        <v>0</v>
      </c>
      <c r="J387" s="1">
        <v>45915.378993055558</v>
      </c>
    </row>
    <row r="388" spans="1:10" x14ac:dyDescent="0.2">
      <c r="A388" s="4" t="s">
        <v>1</v>
      </c>
      <c r="B388" s="3" t="str">
        <f>HYPERLINK("https://otsuka-europe-crm.veevavault.com/ui/#object/approved_document__v/V5OZ025E82TFUPI", "Spain - HCP Survey Email - June 2025")</f>
        <v>Spain - HCP Survey Email - June 2025</v>
      </c>
      <c r="C388" s="3" t="str">
        <f>HYPERLINK("https://otsuka-europe-crm.veevavault.com/ui/#object/sent_email__v/VBLZ025E82GMXTF", "SE-000267449")</f>
        <v>SE-000267449</v>
      </c>
      <c r="D388" s="1" t="s">
        <v>0</v>
      </c>
      <c r="E388" s="2">
        <v>0</v>
      </c>
      <c r="F388" s="2">
        <v>0</v>
      </c>
      <c r="G388" s="2">
        <v>0</v>
      </c>
      <c r="H388" s="1" t="s">
        <v>0</v>
      </c>
      <c r="I388" s="2">
        <v>0</v>
      </c>
      <c r="J388" s="1">
        <v>45915.377789351849</v>
      </c>
    </row>
    <row r="389" spans="1:10" x14ac:dyDescent="0.2">
      <c r="A389" s="4" t="s">
        <v>1</v>
      </c>
      <c r="B389" s="3" t="str">
        <f>HYPERLINK("https://otsuka-europe-crm.veevavault.com/ui/#object/approved_document__v/V5OZ025E82TFUPI", "Spain - HCP Survey Email - June 2025")</f>
        <v>Spain - HCP Survey Email - June 2025</v>
      </c>
      <c r="C389" s="3" t="str">
        <f>HYPERLINK("https://otsuka-europe-crm.veevavault.com/ui/#object/sent_email__v/VBLZ025E82GMXTG", "SE-000267450")</f>
        <v>SE-000267450</v>
      </c>
      <c r="D389" s="1">
        <v>45916.509340277778</v>
      </c>
      <c r="E389" s="2">
        <v>1</v>
      </c>
      <c r="F389" s="2">
        <v>2</v>
      </c>
      <c r="G389" s="2">
        <v>1</v>
      </c>
      <c r="H389" s="1">
        <v>45916.516122685185</v>
      </c>
      <c r="I389" s="2">
        <v>2</v>
      </c>
      <c r="J389" s="1">
        <v>45915.379004629627</v>
      </c>
    </row>
    <row r="390" spans="1:10" x14ac:dyDescent="0.2">
      <c r="A390" s="4" t="s">
        <v>1</v>
      </c>
      <c r="B390" s="3" t="str">
        <f>HYPERLINK("https://otsuka-europe-crm.veevavault.com/ui/#object/approved_document__v/V5OZ025E82TFUPI", "Spain - HCP Survey Email - June 2025")</f>
        <v>Spain - HCP Survey Email - June 2025</v>
      </c>
      <c r="C390" s="3" t="str">
        <f>HYPERLINK("https://otsuka-europe-crm.veevavault.com/ui/#object/sent_email__v/VBLZ025E82GMXTH", "SE-000267451")</f>
        <v>SE-000267451</v>
      </c>
      <c r="D390" s="1" t="s">
        <v>0</v>
      </c>
      <c r="E390" s="2">
        <v>0</v>
      </c>
      <c r="F390" s="2">
        <v>0</v>
      </c>
      <c r="G390" s="2">
        <v>0</v>
      </c>
      <c r="H390" s="1" t="s">
        <v>0</v>
      </c>
      <c r="I390" s="2">
        <v>0</v>
      </c>
      <c r="J390" s="1">
        <v>45915.378599537034</v>
      </c>
    </row>
    <row r="391" spans="1:10" x14ac:dyDescent="0.2">
      <c r="A391" s="4" t="s">
        <v>1</v>
      </c>
      <c r="B391" s="3" t="str">
        <f>HYPERLINK("https://otsuka-europe-crm.veevavault.com/ui/#object/approved_document__v/V5OZ025E82TFUPI", "Spain - HCP Survey Email - June 2025")</f>
        <v>Spain - HCP Survey Email - June 2025</v>
      </c>
      <c r="C391" s="3" t="str">
        <f>HYPERLINK("https://otsuka-europe-crm.veevavault.com/ui/#object/sent_email__v/VBLZ025E82GMXTI", "SE-000267452")</f>
        <v>SE-000267452</v>
      </c>
      <c r="D391" s="1" t="s">
        <v>0</v>
      </c>
      <c r="E391" s="2">
        <v>0</v>
      </c>
      <c r="F391" s="2">
        <v>0</v>
      </c>
      <c r="G391" s="2">
        <v>0</v>
      </c>
      <c r="H391" s="1" t="s">
        <v>0</v>
      </c>
      <c r="I391" s="2">
        <v>0</v>
      </c>
      <c r="J391" s="1">
        <v>45915.379027777781</v>
      </c>
    </row>
    <row r="392" spans="1:10" x14ac:dyDescent="0.2">
      <c r="A392" s="4" t="s">
        <v>1</v>
      </c>
      <c r="B392" s="3" t="str">
        <f>HYPERLINK("https://otsuka-europe-crm.veevavault.com/ui/#object/approved_document__v/V5OZ025E82TFUPI", "Spain - HCP Survey Email - June 2025")</f>
        <v>Spain - HCP Survey Email - June 2025</v>
      </c>
      <c r="C392" s="3" t="str">
        <f>HYPERLINK("https://otsuka-europe-crm.veevavault.com/ui/#object/sent_email__v/VBLZ025E82GMXTJ", "SE-000267453")</f>
        <v>SE-000267453</v>
      </c>
      <c r="D392" s="1" t="s">
        <v>0</v>
      </c>
      <c r="E392" s="2">
        <v>0</v>
      </c>
      <c r="F392" s="2">
        <v>0</v>
      </c>
      <c r="G392" s="2">
        <v>0</v>
      </c>
      <c r="H392" s="1" t="s">
        <v>0</v>
      </c>
      <c r="I392" s="2">
        <v>0</v>
      </c>
      <c r="J392" s="1">
        <v>45915.37777777778</v>
      </c>
    </row>
    <row r="393" spans="1:10" x14ac:dyDescent="0.2">
      <c r="A393" s="4" t="s">
        <v>1</v>
      </c>
      <c r="B393" s="3" t="str">
        <f>HYPERLINK("https://otsuka-europe-crm.veevavault.com/ui/#object/approved_document__v/V5OZ025E82TFUPI", "Spain - HCP Survey Email - June 2025")</f>
        <v>Spain - HCP Survey Email - June 2025</v>
      </c>
      <c r="C393" s="3" t="str">
        <f>HYPERLINK("https://otsuka-europe-crm.veevavault.com/ui/#object/sent_email__v/VBLZ025E82GMXTL", "SE-000267455")</f>
        <v>SE-000267455</v>
      </c>
      <c r="D393" s="1">
        <v>45916.479930555557</v>
      </c>
      <c r="E393" s="2">
        <v>1</v>
      </c>
      <c r="F393" s="2">
        <v>2</v>
      </c>
      <c r="G393" s="2">
        <v>0</v>
      </c>
      <c r="H393" s="1" t="s">
        <v>0</v>
      </c>
      <c r="I393" s="2">
        <v>0</v>
      </c>
      <c r="J393" s="1">
        <v>45915.378067129626</v>
      </c>
    </row>
    <row r="394" spans="1:10" x14ac:dyDescent="0.2">
      <c r="A394" s="4" t="s">
        <v>1</v>
      </c>
      <c r="B394" s="3" t="str">
        <f>HYPERLINK("https://otsuka-europe-crm.veevavault.com/ui/#object/approved_document__v/V5OZ025E82TFUPI", "Spain - HCP Survey Email - June 2025")</f>
        <v>Spain - HCP Survey Email - June 2025</v>
      </c>
      <c r="C394" s="3" t="str">
        <f>HYPERLINK("https://otsuka-europe-crm.veevavault.com/ui/#object/sent_email__v/VBLZ025E82GMXTM", "SE-000267456")</f>
        <v>SE-000267456</v>
      </c>
      <c r="D394" s="1">
        <v>45928.527986111112</v>
      </c>
      <c r="E394" s="2">
        <v>1</v>
      </c>
      <c r="F394" s="2">
        <v>4</v>
      </c>
      <c r="G394" s="2">
        <v>0</v>
      </c>
      <c r="H394" s="1" t="s">
        <v>0</v>
      </c>
      <c r="I394" s="2">
        <v>0</v>
      </c>
      <c r="J394" s="1">
        <v>45915.378587962965</v>
      </c>
    </row>
    <row r="395" spans="1:10" x14ac:dyDescent="0.2">
      <c r="A395" s="4" t="s">
        <v>1</v>
      </c>
      <c r="B395" s="3" t="str">
        <f>HYPERLINK("https://otsuka-europe-crm.veevavault.com/ui/#object/approved_document__v/V5OZ025E82TFUPI", "Spain - HCP Survey Email - June 2025")</f>
        <v>Spain - HCP Survey Email - June 2025</v>
      </c>
      <c r="C395" s="3" t="str">
        <f>HYPERLINK("https://otsuka-europe-crm.veevavault.com/ui/#object/sent_email__v/VBLZ025E82GMXTN", "SE-000267457")</f>
        <v>SE-000267457</v>
      </c>
      <c r="D395" s="1" t="s">
        <v>0</v>
      </c>
      <c r="E395" s="2">
        <v>0</v>
      </c>
      <c r="F395" s="2">
        <v>0</v>
      </c>
      <c r="G395" s="2">
        <v>0</v>
      </c>
      <c r="H395" s="1" t="s">
        <v>0</v>
      </c>
      <c r="I395" s="2">
        <v>0</v>
      </c>
      <c r="J395" s="1">
        <v>45915.38009259259</v>
      </c>
    </row>
    <row r="396" spans="1:10" x14ac:dyDescent="0.2">
      <c r="A396" s="4" t="s">
        <v>1</v>
      </c>
      <c r="B396" s="3" t="str">
        <f>HYPERLINK("https://otsuka-europe-crm.veevavault.com/ui/#object/approved_document__v/V5OZ025E82TFUPI", "Spain - HCP Survey Email - June 2025")</f>
        <v>Spain - HCP Survey Email - June 2025</v>
      </c>
      <c r="C396" s="3" t="str">
        <f>HYPERLINK("https://otsuka-europe-crm.veevavault.com/ui/#object/sent_email__v/VBLZ025E82GMXTO", "SE-000267458")</f>
        <v>SE-000267458</v>
      </c>
      <c r="D396" s="1">
        <v>45915.851793981485</v>
      </c>
      <c r="E396" s="2">
        <v>1</v>
      </c>
      <c r="F396" s="2">
        <v>2</v>
      </c>
      <c r="G396" s="2">
        <v>1</v>
      </c>
      <c r="H396" s="1">
        <v>45915.784317129626</v>
      </c>
      <c r="I396" s="2">
        <v>1</v>
      </c>
      <c r="J396" s="1">
        <v>45915.377685185187</v>
      </c>
    </row>
    <row r="397" spans="1:10" x14ac:dyDescent="0.2">
      <c r="A397" s="4" t="s">
        <v>1</v>
      </c>
      <c r="B397" s="3" t="str">
        <f>HYPERLINK("https://otsuka-europe-crm.veevavault.com/ui/#object/approved_document__v/V5OZ025E82TFUPI", "Spain - HCP Survey Email - June 2025")</f>
        <v>Spain - HCP Survey Email - June 2025</v>
      </c>
      <c r="C397" s="3" t="str">
        <f>HYPERLINK("https://otsuka-europe-crm.veevavault.com/ui/#object/sent_email__v/VBLZ025E82GMXTP", "SE-000267459")</f>
        <v>SE-000267459</v>
      </c>
      <c r="D397" s="1" t="s">
        <v>0</v>
      </c>
      <c r="E397" s="2">
        <v>0</v>
      </c>
      <c r="F397" s="2">
        <v>0</v>
      </c>
      <c r="G397" s="2">
        <v>0</v>
      </c>
      <c r="H397" s="1" t="s">
        <v>0</v>
      </c>
      <c r="I397" s="2">
        <v>0</v>
      </c>
      <c r="J397" s="1">
        <v>45915.377685185187</v>
      </c>
    </row>
    <row r="398" spans="1:10" x14ac:dyDescent="0.2">
      <c r="A398" s="4" t="s">
        <v>1</v>
      </c>
      <c r="B398" s="3" t="str">
        <f>HYPERLINK("https://otsuka-europe-crm.veevavault.com/ui/#object/approved_document__v/V5OZ025E82TFUPI", "Spain - HCP Survey Email - June 2025")</f>
        <v>Spain - HCP Survey Email - June 2025</v>
      </c>
      <c r="C398" s="3" t="str">
        <f>HYPERLINK("https://otsuka-europe-crm.veevavault.com/ui/#object/sent_email__v/VBLZ025E82GMXTQ", "SE-000267460")</f>
        <v>SE-000267460</v>
      </c>
      <c r="D398" s="1">
        <v>45920.377187500002</v>
      </c>
      <c r="E398" s="2">
        <v>1</v>
      </c>
      <c r="F398" s="2">
        <v>1</v>
      </c>
      <c r="G398" s="2">
        <v>0</v>
      </c>
      <c r="H398" s="1" t="s">
        <v>0</v>
      </c>
      <c r="I398" s="2">
        <v>0</v>
      </c>
      <c r="J398" s="1">
        <v>45915.378055555557</v>
      </c>
    </row>
    <row r="399" spans="1:10" x14ac:dyDescent="0.2">
      <c r="A399" s="4" t="s">
        <v>1</v>
      </c>
      <c r="B399" s="3" t="str">
        <f>HYPERLINK("https://otsuka-europe-crm.veevavault.com/ui/#object/approved_document__v/V5OZ025E82TFUPI", "Spain - HCP Survey Email - June 2025")</f>
        <v>Spain - HCP Survey Email - June 2025</v>
      </c>
      <c r="C399" s="3" t="str">
        <f>HYPERLINK("https://otsuka-europe-crm.veevavault.com/ui/#object/sent_email__v/VBLZ025E82GMXTR", "SE-000267461")</f>
        <v>SE-000267461</v>
      </c>
      <c r="D399" s="1" t="s">
        <v>0</v>
      </c>
      <c r="E399" s="2">
        <v>0</v>
      </c>
      <c r="F399" s="2">
        <v>0</v>
      </c>
      <c r="G399" s="2">
        <v>0</v>
      </c>
      <c r="H399" s="1" t="s">
        <v>0</v>
      </c>
      <c r="I399" s="2">
        <v>0</v>
      </c>
      <c r="J399" s="1">
        <v>45915.378877314812</v>
      </c>
    </row>
    <row r="400" spans="1:10" x14ac:dyDescent="0.2">
      <c r="A400" s="4" t="s">
        <v>1</v>
      </c>
      <c r="B400" s="3" t="str">
        <f>HYPERLINK("https://otsuka-europe-crm.veevavault.com/ui/#object/approved_document__v/V5OZ025E82TFUPI", "Spain - HCP Survey Email - June 2025")</f>
        <v>Spain - HCP Survey Email - June 2025</v>
      </c>
      <c r="C400" s="3" t="str">
        <f>HYPERLINK("https://otsuka-europe-crm.veevavault.com/ui/#object/sent_email__v/VBLZ025E82GMXTS", "SE-000267462")</f>
        <v>SE-000267462</v>
      </c>
      <c r="D400" s="1" t="s">
        <v>0</v>
      </c>
      <c r="E400" s="2">
        <v>0</v>
      </c>
      <c r="F400" s="2">
        <v>0</v>
      </c>
      <c r="G400" s="2">
        <v>0</v>
      </c>
      <c r="H400" s="1" t="s">
        <v>0</v>
      </c>
      <c r="I400" s="2">
        <v>0</v>
      </c>
      <c r="J400" s="1">
        <v>45915.378680555557</v>
      </c>
    </row>
    <row r="401" spans="1:10" x14ac:dyDescent="0.2">
      <c r="A401" s="4" t="s">
        <v>1</v>
      </c>
      <c r="B401" s="3" t="str">
        <f>HYPERLINK("https://otsuka-europe-crm.veevavault.com/ui/#object/approved_document__v/V5OZ025E82TFUPI", "Spain - HCP Survey Email - June 2025")</f>
        <v>Spain - HCP Survey Email - June 2025</v>
      </c>
      <c r="C401" s="3" t="str">
        <f>HYPERLINK("https://otsuka-europe-crm.veevavault.com/ui/#object/sent_email__v/VBLZ025E82GMXTT", "SE-000267463")</f>
        <v>SE-000267463</v>
      </c>
      <c r="D401" s="1">
        <v>45917.305497685185</v>
      </c>
      <c r="E401" s="2">
        <v>1</v>
      </c>
      <c r="F401" s="2">
        <v>1</v>
      </c>
      <c r="G401" s="2">
        <v>1</v>
      </c>
      <c r="H401" s="1">
        <v>45917.305671296293</v>
      </c>
      <c r="I401" s="2">
        <v>2</v>
      </c>
      <c r="J401" s="1">
        <v>45915.379131944443</v>
      </c>
    </row>
    <row r="402" spans="1:10" x14ac:dyDescent="0.2">
      <c r="A402" s="4" t="s">
        <v>1</v>
      </c>
      <c r="B402" s="3" t="str">
        <f>HYPERLINK("https://otsuka-europe-crm.veevavault.com/ui/#object/approved_document__v/V5OZ025E82TFUPI", "Spain - HCP Survey Email - June 2025")</f>
        <v>Spain - HCP Survey Email - June 2025</v>
      </c>
      <c r="C402" s="3" t="str">
        <f>HYPERLINK("https://otsuka-europe-crm.veevavault.com/ui/#object/sent_email__v/VBLZ025E82GMXTU", "SE-000267464")</f>
        <v>SE-000267464</v>
      </c>
      <c r="D402" s="1" t="s">
        <v>0</v>
      </c>
      <c r="E402" s="2">
        <v>0</v>
      </c>
      <c r="F402" s="2">
        <v>0</v>
      </c>
      <c r="G402" s="2">
        <v>0</v>
      </c>
      <c r="H402" s="1" t="s">
        <v>0</v>
      </c>
      <c r="I402" s="2">
        <v>0</v>
      </c>
      <c r="J402" s="1">
        <v>45915.377800925926</v>
      </c>
    </row>
    <row r="403" spans="1:10" x14ac:dyDescent="0.2">
      <c r="A403" s="4" t="s">
        <v>1</v>
      </c>
      <c r="B403" s="3" t="str">
        <f>HYPERLINK("https://otsuka-europe-crm.veevavault.com/ui/#object/approved_document__v/V5OZ025E82TFUPI", "Spain - HCP Survey Email - June 2025")</f>
        <v>Spain - HCP Survey Email - June 2025</v>
      </c>
      <c r="C403" s="3" t="str">
        <f>HYPERLINK("https://otsuka-europe-crm.veevavault.com/ui/#object/sent_email__v/VBLZ025E82GMXTW", "SE-000267466")</f>
        <v>SE-000267466</v>
      </c>
      <c r="D403" s="1">
        <v>45916.87222222222</v>
      </c>
      <c r="E403" s="2">
        <v>1</v>
      </c>
      <c r="F403" s="2">
        <v>2</v>
      </c>
      <c r="G403" s="2">
        <v>0</v>
      </c>
      <c r="H403" s="1" t="s">
        <v>0</v>
      </c>
      <c r="I403" s="2">
        <v>0</v>
      </c>
      <c r="J403" s="1">
        <v>45915.378067129626</v>
      </c>
    </row>
    <row r="404" spans="1:10" x14ac:dyDescent="0.2">
      <c r="A404" s="4" t="s">
        <v>1</v>
      </c>
      <c r="B404" s="3" t="str">
        <f>HYPERLINK("https://otsuka-europe-crm.veevavault.com/ui/#object/approved_document__v/V5OZ025E82TFUPI", "Spain - HCP Survey Email - June 2025")</f>
        <v>Spain - HCP Survey Email - June 2025</v>
      </c>
      <c r="C404" s="3" t="str">
        <f>HYPERLINK("https://otsuka-europe-crm.veevavault.com/ui/#object/sent_email__v/VBLZ025E82GMXTX", "SE-000267467")</f>
        <v>SE-000267467</v>
      </c>
      <c r="D404" s="1" t="s">
        <v>0</v>
      </c>
      <c r="E404" s="2">
        <v>0</v>
      </c>
      <c r="F404" s="2">
        <v>0</v>
      </c>
      <c r="G404" s="2">
        <v>0</v>
      </c>
      <c r="H404" s="1" t="s">
        <v>0</v>
      </c>
      <c r="I404" s="2">
        <v>0</v>
      </c>
      <c r="J404" s="1">
        <v>45915.378541666665</v>
      </c>
    </row>
    <row r="405" spans="1:10" x14ac:dyDescent="0.2">
      <c r="A405" s="4" t="s">
        <v>1</v>
      </c>
      <c r="B405" s="3" t="str">
        <f>HYPERLINK("https://otsuka-europe-crm.veevavault.com/ui/#object/approved_document__v/V5OZ025E82TFUPI", "Spain - HCP Survey Email - June 2025")</f>
        <v>Spain - HCP Survey Email - June 2025</v>
      </c>
      <c r="C405" s="3" t="str">
        <f>HYPERLINK("https://otsuka-europe-crm.veevavault.com/ui/#object/sent_email__v/VBLZ025E82GMXTY", "SE-000267468")</f>
        <v>SE-000267468</v>
      </c>
      <c r="D405" s="1">
        <v>45916.292546296296</v>
      </c>
      <c r="E405" s="2">
        <v>1</v>
      </c>
      <c r="F405" s="2">
        <v>2</v>
      </c>
      <c r="G405" s="2">
        <v>1</v>
      </c>
      <c r="H405" s="1">
        <v>45916.684039351851</v>
      </c>
      <c r="I405" s="2">
        <v>1</v>
      </c>
      <c r="J405" s="1">
        <v>45915.379965277774</v>
      </c>
    </row>
    <row r="406" spans="1:10" x14ac:dyDescent="0.2">
      <c r="A406" s="4" t="s">
        <v>1</v>
      </c>
      <c r="B406" s="3" t="str">
        <f>HYPERLINK("https://otsuka-europe-crm.veevavault.com/ui/#object/approved_document__v/V5OZ025E82TFUPI", "Spain - HCP Survey Email - June 2025")</f>
        <v>Spain - HCP Survey Email - June 2025</v>
      </c>
      <c r="C406" s="3" t="str">
        <f>HYPERLINK("https://otsuka-europe-crm.veevavault.com/ui/#object/sent_email__v/VBLZ025E82GMXTZ", "SE-000267469")</f>
        <v>SE-000267469</v>
      </c>
      <c r="D406" s="1">
        <v>45918.569641203707</v>
      </c>
      <c r="E406" s="2">
        <v>1</v>
      </c>
      <c r="F406" s="2">
        <v>1</v>
      </c>
      <c r="G406" s="2">
        <v>0</v>
      </c>
      <c r="H406" s="1" t="s">
        <v>0</v>
      </c>
      <c r="I406" s="2">
        <v>0</v>
      </c>
      <c r="J406" s="1">
        <v>45915.377743055556</v>
      </c>
    </row>
    <row r="407" spans="1:10" x14ac:dyDescent="0.2">
      <c r="A407" s="4" t="s">
        <v>1</v>
      </c>
      <c r="B407" s="3" t="str">
        <f>HYPERLINK("https://otsuka-europe-crm.veevavault.com/ui/#object/approved_document__v/V5OZ025E82TFUPI", "Spain - HCP Survey Email - June 2025")</f>
        <v>Spain - HCP Survey Email - June 2025</v>
      </c>
      <c r="C407" s="3" t="str">
        <f>HYPERLINK("https://otsuka-europe-crm.veevavault.com/ui/#object/sent_email__v/VBLZ025E82GMXU0", "SE-000267470")</f>
        <v>SE-000267470</v>
      </c>
      <c r="D407" s="1" t="s">
        <v>0</v>
      </c>
      <c r="E407" s="2">
        <v>0</v>
      </c>
      <c r="F407" s="2">
        <v>0</v>
      </c>
      <c r="G407" s="2">
        <v>0</v>
      </c>
      <c r="H407" s="1" t="s">
        <v>0</v>
      </c>
      <c r="I407" s="2">
        <v>0</v>
      </c>
      <c r="J407" s="1">
        <v>45915.377604166664</v>
      </c>
    </row>
    <row r="408" spans="1:10" x14ac:dyDescent="0.2">
      <c r="A408" s="4" t="s">
        <v>1</v>
      </c>
      <c r="B408" s="3" t="str">
        <f>HYPERLINK("https://otsuka-europe-crm.veevavault.com/ui/#object/approved_document__v/V5OZ025E82TFUPI", "Spain - HCP Survey Email - June 2025")</f>
        <v>Spain - HCP Survey Email - June 2025</v>
      </c>
      <c r="C408" s="3" t="str">
        <f>HYPERLINK("https://otsuka-europe-crm.veevavault.com/ui/#object/sent_email__v/VBLZ025E82GMXU1", "SE-000267471")</f>
        <v>SE-000267471</v>
      </c>
      <c r="D408" s="1">
        <v>45917.383912037039</v>
      </c>
      <c r="E408" s="2">
        <v>1</v>
      </c>
      <c r="F408" s="2">
        <v>2</v>
      </c>
      <c r="G408" s="2">
        <v>0</v>
      </c>
      <c r="H408" s="1" t="s">
        <v>0</v>
      </c>
      <c r="I408" s="2">
        <v>0</v>
      </c>
      <c r="J408" s="1">
        <v>45915.378009259257</v>
      </c>
    </row>
    <row r="409" spans="1:10" x14ac:dyDescent="0.2">
      <c r="A409" s="4" t="s">
        <v>1</v>
      </c>
      <c r="B409" s="3" t="str">
        <f>HYPERLINK("https://otsuka-europe-crm.veevavault.com/ui/#object/approved_document__v/V5OZ025E82TFUPI", "Spain - HCP Survey Email - June 2025")</f>
        <v>Spain - HCP Survey Email - June 2025</v>
      </c>
      <c r="C409" s="3" t="str">
        <f>HYPERLINK("https://otsuka-europe-crm.veevavault.com/ui/#object/sent_email__v/VBLZ025E82GMXU2", "SE-000267472")</f>
        <v>SE-000267472</v>
      </c>
      <c r="D409" s="1">
        <v>45915.402743055558</v>
      </c>
      <c r="E409" s="2">
        <v>1</v>
      </c>
      <c r="F409" s="2">
        <v>1</v>
      </c>
      <c r="G409" s="2">
        <v>0</v>
      </c>
      <c r="H409" s="1" t="s">
        <v>0</v>
      </c>
      <c r="I409" s="2">
        <v>0</v>
      </c>
      <c r="J409" s="1">
        <v>45915.378854166665</v>
      </c>
    </row>
    <row r="410" spans="1:10" x14ac:dyDescent="0.2">
      <c r="A410" s="4" t="s">
        <v>1</v>
      </c>
      <c r="B410" s="3" t="str">
        <f>HYPERLINK("https://otsuka-europe-crm.veevavault.com/ui/#object/approved_document__v/V5OZ025E82TFUPI", "Spain - HCP Survey Email - June 2025")</f>
        <v>Spain - HCP Survey Email - June 2025</v>
      </c>
      <c r="C410" s="3" t="str">
        <f>HYPERLINK("https://otsuka-europe-crm.veevavault.com/ui/#object/sent_email__v/VBLZ025E82GMXU3", "SE-000267473")</f>
        <v>SE-000267473</v>
      </c>
      <c r="D410" s="1" t="s">
        <v>0</v>
      </c>
      <c r="E410" s="2">
        <v>0</v>
      </c>
      <c r="F410" s="2">
        <v>0</v>
      </c>
      <c r="G410" s="2">
        <v>0</v>
      </c>
      <c r="H410" s="1" t="s">
        <v>0</v>
      </c>
      <c r="I410" s="2">
        <v>0</v>
      </c>
      <c r="J410" s="1">
        <v>45915.378738425927</v>
      </c>
    </row>
    <row r="411" spans="1:10" x14ac:dyDescent="0.2">
      <c r="A411" s="4" t="s">
        <v>1</v>
      </c>
      <c r="B411" s="3" t="str">
        <f>HYPERLINK("https://otsuka-europe-crm.veevavault.com/ui/#object/approved_document__v/V5OZ025E82TFUPI", "Spain - HCP Survey Email - June 2025")</f>
        <v>Spain - HCP Survey Email - June 2025</v>
      </c>
      <c r="C411" s="3" t="str">
        <f>HYPERLINK("https://otsuka-europe-crm.veevavault.com/ui/#object/sent_email__v/VBLZ025E82GMXU4", "SE-000267474")</f>
        <v>SE-000267474</v>
      </c>
      <c r="D411" s="1">
        <v>45915.402071759258</v>
      </c>
      <c r="E411" s="2">
        <v>1</v>
      </c>
      <c r="F411" s="2">
        <v>1</v>
      </c>
      <c r="G411" s="2">
        <v>1</v>
      </c>
      <c r="H411" s="1">
        <v>45915.402349537035</v>
      </c>
      <c r="I411" s="2">
        <v>2</v>
      </c>
      <c r="J411" s="1">
        <v>45915.379108796296</v>
      </c>
    </row>
    <row r="412" spans="1:10" x14ac:dyDescent="0.2">
      <c r="A412" s="4" t="s">
        <v>1</v>
      </c>
      <c r="B412" s="3" t="str">
        <f>HYPERLINK("https://otsuka-europe-crm.veevavault.com/ui/#object/approved_document__v/V5OZ025E82TFUPI", "Spain - HCP Survey Email - June 2025")</f>
        <v>Spain - HCP Survey Email - June 2025</v>
      </c>
      <c r="C412" s="3" t="str">
        <f>HYPERLINK("https://otsuka-europe-crm.veevavault.com/ui/#object/sent_email__v/VBLZ025E82GMXU5", "SE-000267475")</f>
        <v>SE-000267475</v>
      </c>
      <c r="D412" s="1" t="s">
        <v>0</v>
      </c>
      <c r="E412" s="2">
        <v>0</v>
      </c>
      <c r="F412" s="2">
        <v>0</v>
      </c>
      <c r="G412" s="2">
        <v>0</v>
      </c>
      <c r="H412" s="1" t="s">
        <v>0</v>
      </c>
      <c r="I412" s="2">
        <v>0</v>
      </c>
      <c r="J412" s="1">
        <v>45915.377939814818</v>
      </c>
    </row>
    <row r="413" spans="1:10" x14ac:dyDescent="0.2">
      <c r="A413" s="4" t="s">
        <v>1</v>
      </c>
      <c r="B413" s="3" t="str">
        <f>HYPERLINK("https://otsuka-europe-crm.veevavault.com/ui/#object/approved_document__v/V5OZ025E82TFUPI", "Spain - HCP Survey Email - June 2025")</f>
        <v>Spain - HCP Survey Email - June 2025</v>
      </c>
      <c r="C413" s="3" t="str">
        <f>HYPERLINK("https://otsuka-europe-crm.veevavault.com/ui/#object/sent_email__v/VBLZ025E82GMXU6", "SE-000267476")</f>
        <v>SE-000267476</v>
      </c>
      <c r="D413" s="1">
        <v>45915.879710648151</v>
      </c>
      <c r="E413" s="2">
        <v>1</v>
      </c>
      <c r="F413" s="2">
        <v>1</v>
      </c>
      <c r="G413" s="2">
        <v>1</v>
      </c>
      <c r="H413" s="1">
        <v>45915.880358796298</v>
      </c>
      <c r="I413" s="2">
        <v>1</v>
      </c>
      <c r="J413" s="1">
        <v>45915.378020833334</v>
      </c>
    </row>
    <row r="414" spans="1:10" x14ac:dyDescent="0.2">
      <c r="A414" s="4" t="s">
        <v>1</v>
      </c>
      <c r="B414" s="3" t="str">
        <f>HYPERLINK("https://otsuka-europe-crm.veevavault.com/ui/#object/approved_document__v/V5OZ025E82TFUPI", "Spain - HCP Survey Email - June 2025")</f>
        <v>Spain - HCP Survey Email - June 2025</v>
      </c>
      <c r="C414" s="3" t="str">
        <f>HYPERLINK("https://otsuka-europe-crm.veevavault.com/ui/#object/sent_email__v/VBLZ025E82GMXU7", "SE-000267477")</f>
        <v>SE-000267477</v>
      </c>
      <c r="D414" s="1">
        <v>45920.280081018522</v>
      </c>
      <c r="E414" s="2">
        <v>1</v>
      </c>
      <c r="F414" s="2">
        <v>1</v>
      </c>
      <c r="G414" s="2">
        <v>1</v>
      </c>
      <c r="H414" s="1">
        <v>45920.280312499999</v>
      </c>
      <c r="I414" s="2">
        <v>1</v>
      </c>
      <c r="J414" s="1">
        <v>45915.378842592596</v>
      </c>
    </row>
    <row r="415" spans="1:10" x14ac:dyDescent="0.2">
      <c r="A415" s="4" t="s">
        <v>1</v>
      </c>
      <c r="B415" s="3" t="str">
        <f>HYPERLINK("https://otsuka-europe-crm.veevavault.com/ui/#object/approved_document__v/V5OZ025E82TFUPI", "Spain - HCP Survey Email - June 2025")</f>
        <v>Spain - HCP Survey Email - June 2025</v>
      </c>
      <c r="C415" s="3" t="str">
        <f>HYPERLINK("https://otsuka-europe-crm.veevavault.com/ui/#object/sent_email__v/VBLZ025E82GMXU8", "SE-000267478")</f>
        <v>SE-000267478</v>
      </c>
      <c r="D415" s="1" t="s">
        <v>0</v>
      </c>
      <c r="E415" s="2">
        <v>0</v>
      </c>
      <c r="F415" s="2">
        <v>0</v>
      </c>
      <c r="G415" s="2">
        <v>0</v>
      </c>
      <c r="H415" s="1" t="s">
        <v>0</v>
      </c>
      <c r="I415" s="2">
        <v>0</v>
      </c>
      <c r="J415" s="1">
        <v>45915.378680555557</v>
      </c>
    </row>
    <row r="416" spans="1:10" x14ac:dyDescent="0.2">
      <c r="A416" s="4" t="s">
        <v>1</v>
      </c>
      <c r="B416" s="3" t="str">
        <f>HYPERLINK("https://otsuka-europe-crm.veevavault.com/ui/#object/approved_document__v/V5OZ025E82TFUPI", "Spain - HCP Survey Email - June 2025")</f>
        <v>Spain - HCP Survey Email - June 2025</v>
      </c>
      <c r="C416" s="3" t="str">
        <f>HYPERLINK("https://otsuka-europe-crm.veevavault.com/ui/#object/sent_email__v/VBLZ025E82GMXU9", "SE-000267479")</f>
        <v>SE-000267479</v>
      </c>
      <c r="D416" s="1" t="s">
        <v>0</v>
      </c>
      <c r="E416" s="2">
        <v>0</v>
      </c>
      <c r="F416" s="2">
        <v>0</v>
      </c>
      <c r="G416" s="2">
        <v>0</v>
      </c>
      <c r="H416" s="1" t="s">
        <v>0</v>
      </c>
      <c r="I416" s="2">
        <v>0</v>
      </c>
      <c r="J416" s="1">
        <v>45915.37908564815</v>
      </c>
    </row>
    <row r="417" spans="1:10" x14ac:dyDescent="0.2">
      <c r="A417" s="4" t="s">
        <v>1</v>
      </c>
      <c r="B417" s="3" t="str">
        <f>HYPERLINK("https://otsuka-europe-crm.veevavault.com/ui/#object/approved_document__v/V5OZ025E82TFUPI", "Spain - HCP Survey Email - June 2025")</f>
        <v>Spain - HCP Survey Email - June 2025</v>
      </c>
      <c r="C417" s="3" t="str">
        <f>HYPERLINK("https://otsuka-europe-crm.veevavault.com/ui/#object/sent_email__v/VBLZ025E82GMXUA", "SE-000267480")</f>
        <v>SE-000267480</v>
      </c>
      <c r="D417" s="1">
        <v>45915.426481481481</v>
      </c>
      <c r="E417" s="2">
        <v>1</v>
      </c>
      <c r="F417" s="2">
        <v>1</v>
      </c>
      <c r="G417" s="2">
        <v>0</v>
      </c>
      <c r="H417" s="1" t="s">
        <v>0</v>
      </c>
      <c r="I417" s="2">
        <v>0</v>
      </c>
      <c r="J417" s="1">
        <v>45915.377835648149</v>
      </c>
    </row>
    <row r="418" spans="1:10" x14ac:dyDescent="0.2">
      <c r="A418" s="4" t="s">
        <v>1</v>
      </c>
      <c r="B418" s="3" t="str">
        <f>HYPERLINK("https://otsuka-europe-crm.veevavault.com/ui/#object/approved_document__v/V5OZ025E82TFUPI", "Spain - HCP Survey Email - June 2025")</f>
        <v>Spain - HCP Survey Email - June 2025</v>
      </c>
      <c r="C418" s="3" t="str">
        <f>HYPERLINK("https://otsuka-europe-crm.veevavault.com/ui/#object/sent_email__v/VBLZ025E82GMXUB", "SE-000267481")</f>
        <v>SE-000267481</v>
      </c>
      <c r="D418" s="1" t="s">
        <v>0</v>
      </c>
      <c r="E418" s="2">
        <v>0</v>
      </c>
      <c r="F418" s="2">
        <v>0</v>
      </c>
      <c r="G418" s="2">
        <v>0</v>
      </c>
      <c r="H418" s="1" t="s">
        <v>0</v>
      </c>
      <c r="I418" s="2">
        <v>0</v>
      </c>
      <c r="J418" s="1">
        <v>45915.378240740742</v>
      </c>
    </row>
    <row r="419" spans="1:10" x14ac:dyDescent="0.2">
      <c r="A419" s="4" t="s">
        <v>1</v>
      </c>
      <c r="B419" s="3" t="str">
        <f>HYPERLINK("https://otsuka-europe-crm.veevavault.com/ui/#object/approved_document__v/V5OZ025E82TFUPI", "Spain - HCP Survey Email - June 2025")</f>
        <v>Spain - HCP Survey Email - June 2025</v>
      </c>
      <c r="C419" s="3" t="str">
        <f>HYPERLINK("https://otsuka-europe-crm.veevavault.com/ui/#object/sent_email__v/VBLZ025E82GMXUC", "SE-000267482")</f>
        <v>SE-000267482</v>
      </c>
      <c r="D419" s="1" t="s">
        <v>0</v>
      </c>
      <c r="E419" s="2">
        <v>0</v>
      </c>
      <c r="F419" s="2">
        <v>0</v>
      </c>
      <c r="G419" s="2">
        <v>0</v>
      </c>
      <c r="H419" s="1" t="s">
        <v>0</v>
      </c>
      <c r="I419" s="2">
        <v>0</v>
      </c>
      <c r="J419" s="1">
        <v>45915.37809027778</v>
      </c>
    </row>
    <row r="420" spans="1:10" x14ac:dyDescent="0.2">
      <c r="A420" s="4" t="s">
        <v>1</v>
      </c>
      <c r="B420" s="3" t="str">
        <f>HYPERLINK("https://otsuka-europe-crm.veevavault.com/ui/#object/approved_document__v/V5OZ025E82TFUPI", "Spain - HCP Survey Email - June 2025")</f>
        <v>Spain - HCP Survey Email - June 2025</v>
      </c>
      <c r="C420" s="3" t="str">
        <f>HYPERLINK("https://otsuka-europe-crm.veevavault.com/ui/#object/sent_email__v/VBLZ025E82GMXUD", "SE-000267483")</f>
        <v>SE-000267483</v>
      </c>
      <c r="D420" s="1">
        <v>45915.404456018521</v>
      </c>
      <c r="E420" s="2">
        <v>1</v>
      </c>
      <c r="F420" s="2">
        <v>2</v>
      </c>
      <c r="G420" s="2">
        <v>1</v>
      </c>
      <c r="H420" s="1">
        <v>45915.404583333337</v>
      </c>
      <c r="I420" s="2">
        <v>1</v>
      </c>
      <c r="J420" s="1">
        <v>45915.378622685188</v>
      </c>
    </row>
    <row r="421" spans="1:10" x14ac:dyDescent="0.2">
      <c r="A421" s="4" t="s">
        <v>1</v>
      </c>
      <c r="B421" s="3" t="str">
        <f>HYPERLINK("https://otsuka-europe-crm.veevavault.com/ui/#object/approved_document__v/V5OZ025E82TFUPI", "Spain - HCP Survey Email - June 2025")</f>
        <v>Spain - HCP Survey Email - June 2025</v>
      </c>
      <c r="C421" s="3" t="str">
        <f>HYPERLINK("https://otsuka-europe-crm.veevavault.com/ui/#object/sent_email__v/VBLZ025E82GMXUE", "SE-000267484")</f>
        <v>SE-000267484</v>
      </c>
      <c r="D421" s="1">
        <v>45915.546550925923</v>
      </c>
      <c r="E421" s="2">
        <v>1</v>
      </c>
      <c r="F421" s="2">
        <v>1</v>
      </c>
      <c r="G421" s="2">
        <v>0</v>
      </c>
      <c r="H421" s="1" t="s">
        <v>0</v>
      </c>
      <c r="I421" s="2">
        <v>0</v>
      </c>
      <c r="J421" s="1">
        <v>45915.379837962966</v>
      </c>
    </row>
    <row r="422" spans="1:10" x14ac:dyDescent="0.2">
      <c r="A422" s="4" t="s">
        <v>1</v>
      </c>
      <c r="B422" s="3" t="str">
        <f>HYPERLINK("https://otsuka-europe-crm.veevavault.com/ui/#object/approved_document__v/V5OZ025E82TFUPI", "Spain - HCP Survey Email - June 2025")</f>
        <v>Spain - HCP Survey Email - June 2025</v>
      </c>
      <c r="C422" s="3" t="str">
        <f>HYPERLINK("https://otsuka-europe-crm.veevavault.com/ui/#object/sent_email__v/VBLZ025E82GMXUF", "SE-000267485")</f>
        <v>SE-000267485</v>
      </c>
      <c r="D422" s="1">
        <v>45916.951516203706</v>
      </c>
      <c r="E422" s="2">
        <v>1</v>
      </c>
      <c r="F422" s="2">
        <v>3</v>
      </c>
      <c r="G422" s="2">
        <v>0</v>
      </c>
      <c r="H422" s="1" t="s">
        <v>0</v>
      </c>
      <c r="I422" s="2">
        <v>0</v>
      </c>
      <c r="J422" s="1">
        <v>45915.377766203703</v>
      </c>
    </row>
    <row r="423" spans="1:10" x14ac:dyDescent="0.2">
      <c r="A423" s="4" t="s">
        <v>1</v>
      </c>
      <c r="B423" s="3" t="str">
        <f>HYPERLINK("https://otsuka-europe-crm.veevavault.com/ui/#object/approved_document__v/V5OZ025E82TFUPI", "Spain - HCP Survey Email - June 2025")</f>
        <v>Spain - HCP Survey Email - June 2025</v>
      </c>
      <c r="C423" s="3" t="str">
        <f>HYPERLINK("https://otsuka-europe-crm.veevavault.com/ui/#object/sent_email__v/VBLZ025E82GMXUG", "SE-000267486")</f>
        <v>SE-000267486</v>
      </c>
      <c r="D423" s="1" t="s">
        <v>0</v>
      </c>
      <c r="E423" s="2">
        <v>0</v>
      </c>
      <c r="F423" s="2">
        <v>0</v>
      </c>
      <c r="G423" s="2">
        <v>0</v>
      </c>
      <c r="H423" s="1" t="s">
        <v>0</v>
      </c>
      <c r="I423" s="2">
        <v>0</v>
      </c>
      <c r="J423" s="1">
        <v>45915.377627314818</v>
      </c>
    </row>
    <row r="424" spans="1:10" x14ac:dyDescent="0.2">
      <c r="A424" s="4" t="s">
        <v>1</v>
      </c>
      <c r="B424" s="3" t="str">
        <f>HYPERLINK("https://otsuka-europe-crm.veevavault.com/ui/#object/approved_document__v/V5OZ025E82TFUPI", "Spain - HCP Survey Email - June 2025")</f>
        <v>Spain - HCP Survey Email - June 2025</v>
      </c>
      <c r="C424" s="3" t="str">
        <f>HYPERLINK("https://otsuka-europe-crm.veevavault.com/ui/#object/sent_email__v/VBLZ025E82GMXUH", "SE-000267487")</f>
        <v>SE-000267487</v>
      </c>
      <c r="D424" s="1">
        <v>45915.421030092592</v>
      </c>
      <c r="E424" s="2">
        <v>1</v>
      </c>
      <c r="F424" s="2">
        <v>1</v>
      </c>
      <c r="G424" s="2">
        <v>0</v>
      </c>
      <c r="H424" s="1" t="s">
        <v>0</v>
      </c>
      <c r="I424" s="2">
        <v>0</v>
      </c>
      <c r="J424" s="1">
        <v>45915.378310185188</v>
      </c>
    </row>
    <row r="425" spans="1:10" x14ac:dyDescent="0.2">
      <c r="A425" s="4" t="s">
        <v>1</v>
      </c>
      <c r="B425" s="3" t="str">
        <f>HYPERLINK("https://otsuka-europe-crm.veevavault.com/ui/#object/approved_document__v/V5OZ025E82TFUPI", "Spain - HCP Survey Email - June 2025")</f>
        <v>Spain - HCP Survey Email - June 2025</v>
      </c>
      <c r="C425" s="3" t="str">
        <f>HYPERLINK("https://otsuka-europe-crm.veevavault.com/ui/#object/sent_email__v/VBLZ025E82GMXUI", "SE-000267488")</f>
        <v>SE-000267488</v>
      </c>
      <c r="D425" s="1" t="s">
        <v>0</v>
      </c>
      <c r="E425" s="2">
        <v>0</v>
      </c>
      <c r="F425" s="2">
        <v>0</v>
      </c>
      <c r="G425" s="2">
        <v>0</v>
      </c>
      <c r="H425" s="1" t="s">
        <v>0</v>
      </c>
      <c r="I425" s="2">
        <v>0</v>
      </c>
      <c r="J425" s="1">
        <v>45915.37877314815</v>
      </c>
    </row>
    <row r="426" spans="1:10" x14ac:dyDescent="0.2">
      <c r="A426" s="4" t="s">
        <v>1</v>
      </c>
      <c r="B426" s="3" t="str">
        <f>HYPERLINK("https://otsuka-europe-crm.veevavault.com/ui/#object/approved_document__v/V5OZ025E82TFUPI", "Spain - HCP Survey Email - June 2025")</f>
        <v>Spain - HCP Survey Email - June 2025</v>
      </c>
      <c r="C426" s="3" t="str">
        <f>HYPERLINK("https://otsuka-europe-crm.veevavault.com/ui/#object/sent_email__v/VBLZ025E82GMXUJ", "SE-000267489")</f>
        <v>SE-000267489</v>
      </c>
      <c r="D426" s="1">
        <v>45915.425115740742</v>
      </c>
      <c r="E426" s="2">
        <v>1</v>
      </c>
      <c r="F426" s="2">
        <v>1</v>
      </c>
      <c r="G426" s="2">
        <v>1</v>
      </c>
      <c r="H426" s="1">
        <v>45915.42528935185</v>
      </c>
      <c r="I426" s="2">
        <v>1</v>
      </c>
      <c r="J426" s="1">
        <v>45915.378680555557</v>
      </c>
    </row>
    <row r="427" spans="1:10" x14ac:dyDescent="0.2">
      <c r="A427" s="4" t="s">
        <v>1</v>
      </c>
      <c r="B427" s="3" t="str">
        <f>HYPERLINK("https://otsuka-europe-crm.veevavault.com/ui/#object/approved_document__v/V5OZ025E82TFUPI", "Spain - HCP Survey Email - June 2025")</f>
        <v>Spain - HCP Survey Email - June 2025</v>
      </c>
      <c r="C427" s="3" t="str">
        <f>HYPERLINK("https://otsuka-europe-crm.veevavault.com/ui/#object/sent_email__v/VBLZ025E82GMXUK", "SE-000267490")</f>
        <v>SE-000267490</v>
      </c>
      <c r="D427" s="1" t="s">
        <v>0</v>
      </c>
      <c r="E427" s="2">
        <v>0</v>
      </c>
      <c r="F427" s="2">
        <v>0</v>
      </c>
      <c r="G427" s="2">
        <v>0</v>
      </c>
      <c r="H427" s="1" t="s">
        <v>0</v>
      </c>
      <c r="I427" s="2">
        <v>0</v>
      </c>
      <c r="J427" s="1">
        <v>45915.379027777781</v>
      </c>
    </row>
    <row r="428" spans="1:10" x14ac:dyDescent="0.2">
      <c r="A428" s="4" t="s">
        <v>1</v>
      </c>
      <c r="B428" s="3" t="str">
        <f>HYPERLINK("https://otsuka-europe-crm.veevavault.com/ui/#object/approved_document__v/V5OZ025E82TFUPI", "Spain - HCP Survey Email - June 2025")</f>
        <v>Spain - HCP Survey Email - June 2025</v>
      </c>
      <c r="C428" s="3" t="str">
        <f>HYPERLINK("https://otsuka-europe-crm.veevavault.com/ui/#object/sent_email__v/VBLZ025E82GMXUL", "SE-000267491")</f>
        <v>SE-000267491</v>
      </c>
      <c r="D428" s="1" t="s">
        <v>0</v>
      </c>
      <c r="E428" s="2">
        <v>0</v>
      </c>
      <c r="F428" s="2">
        <v>0</v>
      </c>
      <c r="G428" s="2">
        <v>0</v>
      </c>
      <c r="H428" s="1" t="s">
        <v>0</v>
      </c>
      <c r="I428" s="2">
        <v>0</v>
      </c>
      <c r="J428" s="1">
        <v>45915.377858796295</v>
      </c>
    </row>
    <row r="429" spans="1:10" x14ac:dyDescent="0.2">
      <c r="A429" s="4" t="s">
        <v>1</v>
      </c>
      <c r="B429" s="3" t="str">
        <f>HYPERLINK("https://otsuka-europe-crm.veevavault.com/ui/#object/approved_document__v/V5OZ025E82TFUPI", "Spain - HCP Survey Email - June 2025")</f>
        <v>Spain - HCP Survey Email - June 2025</v>
      </c>
      <c r="C429" s="3" t="str">
        <f>HYPERLINK("https://otsuka-europe-crm.veevavault.com/ui/#object/sent_email__v/VBLZ025E82GMXUM", "SE-000267492")</f>
        <v>SE-000267492</v>
      </c>
      <c r="D429" s="1" t="s">
        <v>0</v>
      </c>
      <c r="E429" s="2">
        <v>0</v>
      </c>
      <c r="F429" s="2">
        <v>0</v>
      </c>
      <c r="G429" s="2">
        <v>0</v>
      </c>
      <c r="H429" s="1" t="s">
        <v>0</v>
      </c>
      <c r="I429" s="2">
        <v>0</v>
      </c>
      <c r="J429" s="1">
        <v>45915.378229166665</v>
      </c>
    </row>
    <row r="430" spans="1:10" x14ac:dyDescent="0.2">
      <c r="A430" s="4" t="s">
        <v>1</v>
      </c>
      <c r="B430" s="3" t="str">
        <f>HYPERLINK("https://otsuka-europe-crm.veevavault.com/ui/#object/approved_document__v/V5OZ025E82TFUPI", "Spain - HCP Survey Email - June 2025")</f>
        <v>Spain - HCP Survey Email - June 2025</v>
      </c>
      <c r="C430" s="3" t="str">
        <f>HYPERLINK("https://otsuka-europe-crm.veevavault.com/ui/#object/sent_email__v/VBLZ025E82GMXUN", "SE-000267493")</f>
        <v>SE-000267493</v>
      </c>
      <c r="D430" s="1" t="s">
        <v>0</v>
      </c>
      <c r="E430" s="2">
        <v>0</v>
      </c>
      <c r="F430" s="2">
        <v>0</v>
      </c>
      <c r="G430" s="2">
        <v>0</v>
      </c>
      <c r="H430" s="1" t="s">
        <v>0</v>
      </c>
      <c r="I430" s="2">
        <v>0</v>
      </c>
      <c r="J430" s="1">
        <v>45915.378067129626</v>
      </c>
    </row>
    <row r="431" spans="1:10" x14ac:dyDescent="0.2">
      <c r="A431" s="4" t="s">
        <v>1</v>
      </c>
      <c r="B431" s="3" t="str">
        <f>HYPERLINK("https://otsuka-europe-crm.veevavault.com/ui/#object/approved_document__v/V5OZ025E82TFUPI", "Spain - HCP Survey Email - June 2025")</f>
        <v>Spain - HCP Survey Email - June 2025</v>
      </c>
      <c r="C431" s="3" t="str">
        <f>HYPERLINK("https://otsuka-europe-crm.veevavault.com/ui/#object/sent_email__v/VBLZ025E82GMXUO", "SE-000267494")</f>
        <v>SE-000267494</v>
      </c>
      <c r="D431" s="1" t="s">
        <v>0</v>
      </c>
      <c r="E431" s="2">
        <v>0</v>
      </c>
      <c r="F431" s="2">
        <v>0</v>
      </c>
      <c r="G431" s="2">
        <v>0</v>
      </c>
      <c r="H431" s="1" t="s">
        <v>0</v>
      </c>
      <c r="I431" s="2">
        <v>0</v>
      </c>
      <c r="J431" s="1">
        <v>45915.378634259258</v>
      </c>
    </row>
    <row r="432" spans="1:10" x14ac:dyDescent="0.2">
      <c r="A432" s="4" t="s">
        <v>1</v>
      </c>
      <c r="B432" s="3" t="str">
        <f>HYPERLINK("https://otsuka-europe-crm.veevavault.com/ui/#object/approved_document__v/V5OZ025E82TFUPI", "Spain - HCP Survey Email - June 2025")</f>
        <v>Spain - HCP Survey Email - June 2025</v>
      </c>
      <c r="C432" s="3" t="str">
        <f>HYPERLINK("https://otsuka-europe-crm.veevavault.com/ui/#object/sent_email__v/VBLZ025E82GMXUP", "SE-000267495")</f>
        <v>SE-000267495</v>
      </c>
      <c r="D432" s="1" t="s">
        <v>0</v>
      </c>
      <c r="E432" s="2">
        <v>0</v>
      </c>
      <c r="F432" s="2">
        <v>0</v>
      </c>
      <c r="G432" s="2">
        <v>0</v>
      </c>
      <c r="H432" s="1" t="s">
        <v>0</v>
      </c>
      <c r="I432" s="2">
        <v>0</v>
      </c>
      <c r="J432" s="1">
        <v>45915.379942129628</v>
      </c>
    </row>
    <row r="433" spans="1:10" x14ac:dyDescent="0.2">
      <c r="A433" s="4" t="s">
        <v>1</v>
      </c>
      <c r="B433" s="3" t="str">
        <f>HYPERLINK("https://otsuka-europe-crm.veevavault.com/ui/#object/approved_document__v/V5OZ025E82TFUPI", "Spain - HCP Survey Email - June 2025")</f>
        <v>Spain - HCP Survey Email - June 2025</v>
      </c>
      <c r="C433" s="3" t="str">
        <f>HYPERLINK("https://otsuka-europe-crm.veevavault.com/ui/#object/sent_email__v/VBLZ025E82GMXUQ", "SE-000267496")</f>
        <v>SE-000267496</v>
      </c>
      <c r="D433" s="1">
        <v>45922.889166666668</v>
      </c>
      <c r="E433" s="2">
        <v>1</v>
      </c>
      <c r="F433" s="2">
        <v>1</v>
      </c>
      <c r="G433" s="2">
        <v>0</v>
      </c>
      <c r="H433" s="1" t="s">
        <v>0</v>
      </c>
      <c r="I433" s="2">
        <v>0</v>
      </c>
      <c r="J433" s="1">
        <v>45915.377754629626</v>
      </c>
    </row>
    <row r="434" spans="1:10" x14ac:dyDescent="0.2">
      <c r="A434" s="4" t="s">
        <v>1</v>
      </c>
      <c r="B434" s="3" t="str">
        <f>HYPERLINK("https://otsuka-europe-crm.veevavault.com/ui/#object/approved_document__v/V5OZ025E82TFUPI", "Spain - HCP Survey Email - June 2025")</f>
        <v>Spain - HCP Survey Email - June 2025</v>
      </c>
      <c r="C434" s="3" t="str">
        <f>HYPERLINK("https://otsuka-europe-crm.veevavault.com/ui/#object/sent_email__v/VBLZ025E82GMXUR", "SE-000267497")</f>
        <v>SE-000267497</v>
      </c>
      <c r="D434" s="1" t="s">
        <v>0</v>
      </c>
      <c r="E434" s="2">
        <v>0</v>
      </c>
      <c r="F434" s="2">
        <v>0</v>
      </c>
      <c r="G434" s="2">
        <v>0</v>
      </c>
      <c r="H434" s="1" t="s">
        <v>0</v>
      </c>
      <c r="I434" s="2">
        <v>0</v>
      </c>
      <c r="J434" s="1">
        <v>45915.377696759257</v>
      </c>
    </row>
    <row r="435" spans="1:10" x14ac:dyDescent="0.2">
      <c r="A435" s="4" t="s">
        <v>1</v>
      </c>
      <c r="B435" s="3" t="str">
        <f>HYPERLINK("https://otsuka-europe-crm.veevavault.com/ui/#object/approved_document__v/V5OZ025E82TFUPI", "Spain - HCP Survey Email - June 2025")</f>
        <v>Spain - HCP Survey Email - June 2025</v>
      </c>
      <c r="C435" s="3" t="str">
        <f>HYPERLINK("https://otsuka-europe-crm.veevavault.com/ui/#object/sent_email__v/VBLZ025E82GMXUS", "SE-000267498")</f>
        <v>SE-000267498</v>
      </c>
      <c r="D435" s="1" t="s">
        <v>0</v>
      </c>
      <c r="E435" s="2">
        <v>0</v>
      </c>
      <c r="F435" s="2">
        <v>0</v>
      </c>
      <c r="G435" s="2">
        <v>0</v>
      </c>
      <c r="H435" s="1" t="s">
        <v>0</v>
      </c>
      <c r="I435" s="2">
        <v>0</v>
      </c>
      <c r="J435" s="1">
        <v>45915.378298611111</v>
      </c>
    </row>
    <row r="436" spans="1:10" x14ac:dyDescent="0.2">
      <c r="A436" s="4" t="s">
        <v>1</v>
      </c>
      <c r="B436" s="3" t="str">
        <f>HYPERLINK("https://otsuka-europe-crm.veevavault.com/ui/#object/approved_document__v/V5OZ025E82TFUPI", "Spain - HCP Survey Email - June 2025")</f>
        <v>Spain - HCP Survey Email - June 2025</v>
      </c>
      <c r="C436" s="3" t="str">
        <f>HYPERLINK("https://otsuka-europe-crm.veevavault.com/ui/#object/sent_email__v/VBLZ025E82GMXUT", "SE-000267499")</f>
        <v>SE-000267499</v>
      </c>
      <c r="D436" s="1" t="s">
        <v>0</v>
      </c>
      <c r="E436" s="2">
        <v>0</v>
      </c>
      <c r="F436" s="2">
        <v>0</v>
      </c>
      <c r="G436" s="2">
        <v>0</v>
      </c>
      <c r="H436" s="1" t="s">
        <v>0</v>
      </c>
      <c r="I436" s="2">
        <v>0</v>
      </c>
      <c r="J436" s="1">
        <v>45915.378888888888</v>
      </c>
    </row>
    <row r="437" spans="1:10" x14ac:dyDescent="0.2">
      <c r="A437" s="4" t="s">
        <v>1</v>
      </c>
      <c r="B437" s="3" t="str">
        <f>HYPERLINK("https://otsuka-europe-crm.veevavault.com/ui/#object/approved_document__v/V5OZ025E82TFUPI", "Spain - HCP Survey Email - June 2025")</f>
        <v>Spain - HCP Survey Email - June 2025</v>
      </c>
      <c r="C437" s="3" t="str">
        <f>HYPERLINK("https://otsuka-europe-crm.veevavault.com/ui/#object/sent_email__v/VBLZ025E82GMXUU", "SE-000267500")</f>
        <v>SE-000267500</v>
      </c>
      <c r="D437" s="1">
        <v>45928.69734953704</v>
      </c>
      <c r="E437" s="2">
        <v>1</v>
      </c>
      <c r="F437" s="2">
        <v>3</v>
      </c>
      <c r="G437" s="2">
        <v>0</v>
      </c>
      <c r="H437" s="1" t="s">
        <v>0</v>
      </c>
      <c r="I437" s="2">
        <v>0</v>
      </c>
      <c r="J437" s="1">
        <v>45915.378657407404</v>
      </c>
    </row>
    <row r="438" spans="1:10" x14ac:dyDescent="0.2">
      <c r="A438" s="4" t="s">
        <v>1</v>
      </c>
      <c r="B438" s="3" t="str">
        <f>HYPERLINK("https://otsuka-europe-crm.veevavault.com/ui/#object/approved_document__v/V5OZ025E82TFUPI", "Spain - HCP Survey Email - June 2025")</f>
        <v>Spain - HCP Survey Email - June 2025</v>
      </c>
      <c r="C438" s="3" t="str">
        <f>HYPERLINK("https://otsuka-europe-crm.veevavault.com/ui/#object/sent_email__v/VBLZ025E82GMXUV", "SE-000267501")</f>
        <v>SE-000267501</v>
      </c>
      <c r="D438" s="1">
        <v>45917.750069444446</v>
      </c>
      <c r="E438" s="2">
        <v>1</v>
      </c>
      <c r="F438" s="2">
        <v>1</v>
      </c>
      <c r="G438" s="2">
        <v>0</v>
      </c>
      <c r="H438" s="1" t="s">
        <v>0</v>
      </c>
      <c r="I438" s="2">
        <v>0</v>
      </c>
      <c r="J438" s="1">
        <v>45915.37909722222</v>
      </c>
    </row>
    <row r="439" spans="1:10" x14ac:dyDescent="0.2">
      <c r="A439" s="4" t="s">
        <v>1</v>
      </c>
      <c r="B439" s="3" t="str">
        <f>HYPERLINK("https://otsuka-europe-crm.veevavault.com/ui/#object/approved_document__v/V5OZ025E82TFUPI", "Spain - HCP Survey Email - June 2025")</f>
        <v>Spain - HCP Survey Email - June 2025</v>
      </c>
      <c r="C439" s="3" t="str">
        <f>HYPERLINK("https://otsuka-europe-crm.veevavault.com/ui/#object/sent_email__v/VBLZ025E82GMXUW", "SE-000267502")</f>
        <v>SE-000267502</v>
      </c>
      <c r="D439" s="1">
        <v>45922.717673611114</v>
      </c>
      <c r="E439" s="2">
        <v>1</v>
      </c>
      <c r="F439" s="2">
        <v>2</v>
      </c>
      <c r="G439" s="2">
        <v>1</v>
      </c>
      <c r="H439" s="1">
        <v>45922.721597222226</v>
      </c>
      <c r="I439" s="2">
        <v>1</v>
      </c>
      <c r="J439" s="1">
        <v>45915.377870370372</v>
      </c>
    </row>
    <row r="440" spans="1:10" x14ac:dyDescent="0.2">
      <c r="A440" s="4" t="s">
        <v>1</v>
      </c>
      <c r="B440" s="3" t="str">
        <f>HYPERLINK("https://otsuka-europe-crm.veevavault.com/ui/#object/approved_document__v/V5OZ025E82TFUPI", "Spain - HCP Survey Email - June 2025")</f>
        <v>Spain - HCP Survey Email - June 2025</v>
      </c>
      <c r="C440" s="3" t="str">
        <f>HYPERLINK("https://otsuka-europe-crm.veevavault.com/ui/#object/sent_email__v/VBLZ025E82GMXUX", "SE-000267503")</f>
        <v>SE-000267503</v>
      </c>
      <c r="D440" s="1" t="s">
        <v>0</v>
      </c>
      <c r="E440" s="2">
        <v>0</v>
      </c>
      <c r="F440" s="2">
        <v>0</v>
      </c>
      <c r="G440" s="2">
        <v>0</v>
      </c>
      <c r="H440" s="1" t="s">
        <v>0</v>
      </c>
      <c r="I440" s="2">
        <v>0</v>
      </c>
      <c r="J440" s="1">
        <v>45915.378217592595</v>
      </c>
    </row>
    <row r="441" spans="1:10" x14ac:dyDescent="0.2">
      <c r="A441" s="4" t="s">
        <v>1</v>
      </c>
      <c r="B441" s="3" t="str">
        <f>HYPERLINK("https://otsuka-europe-crm.veevavault.com/ui/#object/approved_document__v/V5OZ025E82TFUPI", "Spain - HCP Survey Email - June 2025")</f>
        <v>Spain - HCP Survey Email - June 2025</v>
      </c>
      <c r="C441" s="3" t="str">
        <f>HYPERLINK("https://otsuka-europe-crm.veevavault.com/ui/#object/sent_email__v/VBLZ025E82GMXUY", "SE-000267504")</f>
        <v>SE-000267504</v>
      </c>
      <c r="D441" s="1">
        <v>45915.930497685185</v>
      </c>
      <c r="E441" s="2">
        <v>1</v>
      </c>
      <c r="F441" s="2">
        <v>1</v>
      </c>
      <c r="G441" s="2">
        <v>0</v>
      </c>
      <c r="H441" s="1" t="s">
        <v>0</v>
      </c>
      <c r="I441" s="2">
        <v>0</v>
      </c>
      <c r="J441" s="1">
        <v>45915.378148148149</v>
      </c>
    </row>
    <row r="442" spans="1:10" x14ac:dyDescent="0.2">
      <c r="A442" s="4" t="s">
        <v>1</v>
      </c>
      <c r="B442" s="3" t="str">
        <f>HYPERLINK("https://otsuka-europe-crm.veevavault.com/ui/#object/approved_document__v/V5OZ025E82TFUPI", "Spain - HCP Survey Email - June 2025")</f>
        <v>Spain - HCP Survey Email - June 2025</v>
      </c>
      <c r="C442" s="3" t="str">
        <f>HYPERLINK("https://otsuka-europe-crm.veevavault.com/ui/#object/sent_email__v/VBLZ025E82GMXUZ", "SE-000267505")</f>
        <v>SE-000267505</v>
      </c>
      <c r="D442" s="1" t="s">
        <v>0</v>
      </c>
      <c r="E442" s="2">
        <v>0</v>
      </c>
      <c r="F442" s="2">
        <v>0</v>
      </c>
      <c r="G442" s="2">
        <v>0</v>
      </c>
      <c r="H442" s="1" t="s">
        <v>0</v>
      </c>
      <c r="I442" s="2">
        <v>0</v>
      </c>
      <c r="J442" s="1">
        <v>45915.378564814811</v>
      </c>
    </row>
    <row r="443" spans="1:10" x14ac:dyDescent="0.2">
      <c r="A443" s="4" t="s">
        <v>1</v>
      </c>
      <c r="B443" s="3" t="str">
        <f>HYPERLINK("https://otsuka-europe-crm.veevavault.com/ui/#object/approved_document__v/V5OZ025E82TFUPI", "Spain - HCP Survey Email - June 2025")</f>
        <v>Spain - HCP Survey Email - June 2025</v>
      </c>
      <c r="C443" s="3" t="str">
        <f>HYPERLINK("https://otsuka-europe-crm.veevavault.com/ui/#object/sent_email__v/VBLZ025E82GMXV0", "SE-000267506")</f>
        <v>SE-000267506</v>
      </c>
      <c r="D443" s="1" t="s">
        <v>0</v>
      </c>
      <c r="E443" s="2">
        <v>0</v>
      </c>
      <c r="F443" s="2">
        <v>0</v>
      </c>
      <c r="G443" s="2">
        <v>0</v>
      </c>
      <c r="H443" s="1" t="s">
        <v>0</v>
      </c>
      <c r="I443" s="2">
        <v>0</v>
      </c>
      <c r="J443" s="1">
        <v>45915.379965277774</v>
      </c>
    </row>
    <row r="444" spans="1:10" x14ac:dyDescent="0.2">
      <c r="A444" s="4" t="s">
        <v>1</v>
      </c>
      <c r="B444" s="3" t="str">
        <f>HYPERLINK("https://otsuka-europe-crm.veevavault.com/ui/#object/approved_document__v/V5OZ025E82TFUPI", "Spain - HCP Survey Email - June 2025")</f>
        <v>Spain - HCP Survey Email - June 2025</v>
      </c>
      <c r="C444" s="3" t="str">
        <f>HYPERLINK("https://otsuka-europe-crm.veevavault.com/ui/#object/sent_email__v/VBLZ025E82GMXV1", "SE-000267507")</f>
        <v>SE-000267507</v>
      </c>
      <c r="D444" s="1">
        <v>45915.377916666665</v>
      </c>
      <c r="E444" s="2">
        <v>1</v>
      </c>
      <c r="F444" s="2">
        <v>1</v>
      </c>
      <c r="G444" s="2">
        <v>0</v>
      </c>
      <c r="H444" s="1" t="s">
        <v>0</v>
      </c>
      <c r="I444" s="2">
        <v>0</v>
      </c>
      <c r="J444" s="1">
        <v>45915.377800925926</v>
      </c>
    </row>
    <row r="445" spans="1:10" x14ac:dyDescent="0.2">
      <c r="A445" s="4" t="s">
        <v>1</v>
      </c>
      <c r="B445" s="3" t="str">
        <f>HYPERLINK("https://otsuka-europe-crm.veevavault.com/ui/#object/approved_document__v/V5OZ025E82TFUPI", "Spain - HCP Survey Email - June 2025")</f>
        <v>Spain - HCP Survey Email - June 2025</v>
      </c>
      <c r="C445" s="3" t="str">
        <f>HYPERLINK("https://otsuka-europe-crm.veevavault.com/ui/#object/sent_email__v/VBLZ025E82GMXV2", "SE-000267508")</f>
        <v>SE-000267508</v>
      </c>
      <c r="D445" s="1" t="s">
        <v>0</v>
      </c>
      <c r="E445" s="2">
        <v>0</v>
      </c>
      <c r="F445" s="2">
        <v>0</v>
      </c>
      <c r="G445" s="2">
        <v>0</v>
      </c>
      <c r="H445" s="1" t="s">
        <v>0</v>
      </c>
      <c r="I445" s="2">
        <v>0</v>
      </c>
      <c r="J445" s="1">
        <v>45915.37767361111</v>
      </c>
    </row>
    <row r="446" spans="1:10" x14ac:dyDescent="0.2">
      <c r="A446" s="4" t="s">
        <v>1</v>
      </c>
      <c r="B446" s="3" t="str">
        <f>HYPERLINK("https://otsuka-europe-crm.veevavault.com/ui/#object/approved_document__v/V5OZ025E82TFUPI", "Spain - HCP Survey Email - June 2025")</f>
        <v>Spain - HCP Survey Email - June 2025</v>
      </c>
      <c r="C446" s="3" t="str">
        <f>HYPERLINK("https://otsuka-europe-crm.veevavault.com/ui/#object/sent_email__v/VBLZ025E82GMXV3", "SE-000267509")</f>
        <v>SE-000267509</v>
      </c>
      <c r="D446" s="1">
        <v>45915.712013888886</v>
      </c>
      <c r="E446" s="2">
        <v>1</v>
      </c>
      <c r="F446" s="2">
        <v>5</v>
      </c>
      <c r="G446" s="2">
        <v>1</v>
      </c>
      <c r="H446" s="1">
        <v>45915.416967592595</v>
      </c>
      <c r="I446" s="2">
        <v>1</v>
      </c>
      <c r="J446" s="1">
        <v>45915.378020833334</v>
      </c>
    </row>
    <row r="447" spans="1:10" x14ac:dyDescent="0.2">
      <c r="A447" s="4" t="s">
        <v>1</v>
      </c>
      <c r="B447" s="3" t="str">
        <f>HYPERLINK("https://otsuka-europe-crm.veevavault.com/ui/#object/approved_document__v/V5OZ025E82TFUPI", "Spain - HCP Survey Email - June 2025")</f>
        <v>Spain - HCP Survey Email - June 2025</v>
      </c>
      <c r="C447" s="3" t="str">
        <f>HYPERLINK("https://otsuka-europe-crm.veevavault.com/ui/#object/sent_email__v/VBLZ025E82GMXV4", "SE-000267510")</f>
        <v>SE-000267510</v>
      </c>
      <c r="D447" s="1" t="s">
        <v>0</v>
      </c>
      <c r="E447" s="2">
        <v>0</v>
      </c>
      <c r="F447" s="2">
        <v>0</v>
      </c>
      <c r="G447" s="2">
        <v>0</v>
      </c>
      <c r="H447" s="1" t="s">
        <v>0</v>
      </c>
      <c r="I447" s="2">
        <v>0</v>
      </c>
      <c r="J447" s="1">
        <v>45915.378807870373</v>
      </c>
    </row>
    <row r="448" spans="1:10" x14ac:dyDescent="0.2">
      <c r="A448" s="4" t="s">
        <v>1</v>
      </c>
      <c r="B448" s="3" t="str">
        <f>HYPERLINK("https://otsuka-europe-crm.veevavault.com/ui/#object/approved_document__v/V5OZ025E82TFUPI", "Spain - HCP Survey Email - June 2025")</f>
        <v>Spain - HCP Survey Email - June 2025</v>
      </c>
      <c r="C448" s="3" t="str">
        <f>HYPERLINK("https://otsuka-europe-crm.veevavault.com/ui/#object/sent_email__v/VBLZ025E82GMXV5", "SE-000267511")</f>
        <v>SE-000267511</v>
      </c>
      <c r="D448" s="1" t="s">
        <v>0</v>
      </c>
      <c r="E448" s="2">
        <v>0</v>
      </c>
      <c r="F448" s="2">
        <v>0</v>
      </c>
      <c r="G448" s="2">
        <v>0</v>
      </c>
      <c r="H448" s="1" t="s">
        <v>0</v>
      </c>
      <c r="I448" s="2">
        <v>0</v>
      </c>
      <c r="J448" s="1">
        <v>45915.378645833334</v>
      </c>
    </row>
    <row r="449" spans="1:10" x14ac:dyDescent="0.2">
      <c r="A449" s="4" t="s">
        <v>1</v>
      </c>
      <c r="B449" s="3" t="str">
        <f>HYPERLINK("https://otsuka-europe-crm.veevavault.com/ui/#object/approved_document__v/V5OZ025E82TFUPI", "Spain - HCP Survey Email - June 2025")</f>
        <v>Spain - HCP Survey Email - June 2025</v>
      </c>
      <c r="C449" s="3" t="str">
        <f>HYPERLINK("https://otsuka-europe-crm.veevavault.com/ui/#object/sent_email__v/VBLZ025E82GMXV6", "SE-000267512")</f>
        <v>SE-000267512</v>
      </c>
      <c r="D449" s="1" t="s">
        <v>0</v>
      </c>
      <c r="E449" s="2">
        <v>0</v>
      </c>
      <c r="F449" s="2">
        <v>0</v>
      </c>
      <c r="G449" s="2">
        <v>0</v>
      </c>
      <c r="H449" s="1" t="s">
        <v>0</v>
      </c>
      <c r="I449" s="2">
        <v>0</v>
      </c>
      <c r="J449" s="1">
        <v>45915.377638888887</v>
      </c>
    </row>
    <row r="450" spans="1:10" x14ac:dyDescent="0.2">
      <c r="A450" s="4" t="s">
        <v>1</v>
      </c>
      <c r="B450" s="3" t="str">
        <f>HYPERLINK("https://otsuka-europe-crm.veevavault.com/ui/#object/approved_document__v/V5OZ025E82TFUPI", "Spain - HCP Survey Email - June 2025")</f>
        <v>Spain - HCP Survey Email - June 2025</v>
      </c>
      <c r="C450" s="3" t="str">
        <f>HYPERLINK("https://otsuka-europe-crm.veevavault.com/ui/#object/sent_email__v/VBLZ025E82GMXV7", "SE-000267513")</f>
        <v>SE-000267513</v>
      </c>
      <c r="D450" s="1" t="s">
        <v>0</v>
      </c>
      <c r="E450" s="2">
        <v>0</v>
      </c>
      <c r="F450" s="2">
        <v>0</v>
      </c>
      <c r="G450" s="2">
        <v>0</v>
      </c>
      <c r="H450" s="1" t="s">
        <v>0</v>
      </c>
      <c r="I450" s="2">
        <v>0</v>
      </c>
      <c r="J450" s="1">
        <v>45915.377974537034</v>
      </c>
    </row>
    <row r="451" spans="1:10" x14ac:dyDescent="0.2">
      <c r="A451" s="4" t="s">
        <v>1</v>
      </c>
      <c r="B451" s="3" t="str">
        <f>HYPERLINK("https://otsuka-europe-crm.veevavault.com/ui/#object/approved_document__v/V5OZ025E82TFUPI", "Spain - HCP Survey Email - June 2025")</f>
        <v>Spain - HCP Survey Email - June 2025</v>
      </c>
      <c r="C451" s="3" t="str">
        <f>HYPERLINK("https://otsuka-europe-crm.veevavault.com/ui/#object/sent_email__v/VBLZ025E82GMXV8", "SE-000267514")</f>
        <v>SE-000267514</v>
      </c>
      <c r="D451" s="1" t="s">
        <v>0</v>
      </c>
      <c r="E451" s="2">
        <v>0</v>
      </c>
      <c r="F451" s="2">
        <v>0</v>
      </c>
      <c r="G451" s="2">
        <v>0</v>
      </c>
      <c r="H451" s="1" t="s">
        <v>0</v>
      </c>
      <c r="I451" s="2">
        <v>0</v>
      </c>
      <c r="J451" s="1">
        <v>45915.378761574073</v>
      </c>
    </row>
    <row r="452" spans="1:10" x14ac:dyDescent="0.2">
      <c r="A452" s="4" t="s">
        <v>1</v>
      </c>
      <c r="B452" s="3" t="str">
        <f>HYPERLINK("https://otsuka-europe-crm.veevavault.com/ui/#object/approved_document__v/V5OZ025E82TFUPI", "Spain - HCP Survey Email - June 2025")</f>
        <v>Spain - HCP Survey Email - June 2025</v>
      </c>
      <c r="C452" s="3" t="str">
        <f>HYPERLINK("https://otsuka-europe-crm.veevavault.com/ui/#object/sent_email__v/VBLZ025E82GMXV9", "SE-000267515")</f>
        <v>SE-000267515</v>
      </c>
      <c r="D452" s="1" t="s">
        <v>0</v>
      </c>
      <c r="E452" s="2">
        <v>0</v>
      </c>
      <c r="F452" s="2">
        <v>0</v>
      </c>
      <c r="G452" s="2">
        <v>0</v>
      </c>
      <c r="H452" s="1" t="s">
        <v>0</v>
      </c>
      <c r="I452" s="2">
        <v>0</v>
      </c>
      <c r="J452" s="1">
        <v>45915.378692129627</v>
      </c>
    </row>
    <row r="453" spans="1:10" x14ac:dyDescent="0.2">
      <c r="A453" s="4" t="s">
        <v>1</v>
      </c>
      <c r="B453" s="3" t="str">
        <f>HYPERLINK("https://otsuka-europe-crm.veevavault.com/ui/#object/approved_document__v/V5OZ025E82TFUPI", "Spain - HCP Survey Email - June 2025")</f>
        <v>Spain - HCP Survey Email - June 2025</v>
      </c>
      <c r="C453" s="3" t="str">
        <f>HYPERLINK("https://otsuka-europe-crm.veevavault.com/ui/#object/sent_email__v/VBLZ025E82GMXVA", "SE-000267516")</f>
        <v>SE-000267516</v>
      </c>
      <c r="D453" s="1">
        <v>45915.400509259256</v>
      </c>
      <c r="E453" s="2">
        <v>1</v>
      </c>
      <c r="F453" s="2">
        <v>1</v>
      </c>
      <c r="G453" s="2">
        <v>1</v>
      </c>
      <c r="H453" s="1">
        <v>45915.400625000002</v>
      </c>
      <c r="I453" s="2">
        <v>1</v>
      </c>
      <c r="J453" s="1">
        <v>45915.379155092596</v>
      </c>
    </row>
    <row r="454" spans="1:10" x14ac:dyDescent="0.2">
      <c r="A454" s="4" t="s">
        <v>1</v>
      </c>
      <c r="B454" s="3" t="str">
        <f>HYPERLINK("https://otsuka-europe-crm.veevavault.com/ui/#object/approved_document__v/V5OZ025E82TFUPI", "Spain - HCP Survey Email - June 2025")</f>
        <v>Spain - HCP Survey Email - June 2025</v>
      </c>
      <c r="C454" s="3" t="str">
        <f>HYPERLINK("https://otsuka-europe-crm.veevavault.com/ui/#object/sent_email__v/VBLZ025E82GMXVB", "SE-000267517")</f>
        <v>SE-000267517</v>
      </c>
      <c r="D454" s="1">
        <v>45915.383206018516</v>
      </c>
      <c r="E454" s="2">
        <v>1</v>
      </c>
      <c r="F454" s="2">
        <v>1</v>
      </c>
      <c r="G454" s="2">
        <v>0</v>
      </c>
      <c r="H454" s="1" t="s">
        <v>0</v>
      </c>
      <c r="I454" s="2">
        <v>0</v>
      </c>
      <c r="J454" s="1">
        <v>45915.377893518518</v>
      </c>
    </row>
    <row r="455" spans="1:10" x14ac:dyDescent="0.2">
      <c r="A455" s="4" t="s">
        <v>1</v>
      </c>
      <c r="B455" s="3" t="str">
        <f>HYPERLINK("https://otsuka-europe-crm.veevavault.com/ui/#object/approved_document__v/V5OZ025E82TFUPI", "Spain - HCP Survey Email - June 2025")</f>
        <v>Spain - HCP Survey Email - June 2025</v>
      </c>
      <c r="C455" s="3" t="str">
        <f>HYPERLINK("https://otsuka-europe-crm.veevavault.com/ui/#object/sent_email__v/VBLZ025E82GMXVC", "SE-000267518")</f>
        <v>SE-000267518</v>
      </c>
      <c r="D455" s="1">
        <v>46006.818831018521</v>
      </c>
      <c r="E455" s="2">
        <v>1</v>
      </c>
      <c r="F455" s="2">
        <v>1</v>
      </c>
      <c r="G455" s="2">
        <v>0</v>
      </c>
      <c r="H455" s="1" t="s">
        <v>0</v>
      </c>
      <c r="I455" s="2">
        <v>0</v>
      </c>
      <c r="J455" s="1">
        <v>45915.378171296295</v>
      </c>
    </row>
    <row r="456" spans="1:10" x14ac:dyDescent="0.2">
      <c r="A456" s="4" t="s">
        <v>1</v>
      </c>
      <c r="B456" s="3" t="str">
        <f>HYPERLINK("https://otsuka-europe-crm.veevavault.com/ui/#object/approved_document__v/V5OZ025E82TFUPI", "Spain - HCP Survey Email - June 2025")</f>
        <v>Spain - HCP Survey Email - June 2025</v>
      </c>
      <c r="C456" s="3" t="str">
        <f>HYPERLINK("https://otsuka-europe-crm.veevavault.com/ui/#object/sent_email__v/VBLZ025E82GMXVD", "SE-000267519")</f>
        <v>SE-000267519</v>
      </c>
      <c r="D456" s="1" t="s">
        <v>0</v>
      </c>
      <c r="E456" s="2">
        <v>0</v>
      </c>
      <c r="F456" s="2">
        <v>0</v>
      </c>
      <c r="G456" s="2">
        <v>0</v>
      </c>
      <c r="H456" s="1" t="s">
        <v>0</v>
      </c>
      <c r="I456" s="2">
        <v>0</v>
      </c>
      <c r="J456" s="1">
        <v>45915.37809027778</v>
      </c>
    </row>
    <row r="457" spans="1:10" x14ac:dyDescent="0.2">
      <c r="A457" s="4" t="s">
        <v>1</v>
      </c>
      <c r="B457" s="3" t="str">
        <f>HYPERLINK("https://otsuka-europe-crm.veevavault.com/ui/#object/approved_document__v/V5OZ025E82TFUPI", "Spain - HCP Survey Email - June 2025")</f>
        <v>Spain - HCP Survey Email - June 2025</v>
      </c>
      <c r="C457" s="3" t="str">
        <f>HYPERLINK("https://otsuka-europe-crm.veevavault.com/ui/#object/sent_email__v/VBLZ025E82GMXVE", "SE-000267520")</f>
        <v>SE-000267520</v>
      </c>
      <c r="D457" s="1" t="s">
        <v>0</v>
      </c>
      <c r="E457" s="2">
        <v>0</v>
      </c>
      <c r="F457" s="2">
        <v>0</v>
      </c>
      <c r="G457" s="2">
        <v>0</v>
      </c>
      <c r="H457" s="1" t="s">
        <v>0</v>
      </c>
      <c r="I457" s="2">
        <v>0</v>
      </c>
      <c r="J457" s="1">
        <v>45915.378564814811</v>
      </c>
    </row>
    <row r="458" spans="1:10" x14ac:dyDescent="0.2">
      <c r="A458" s="4" t="s">
        <v>1</v>
      </c>
      <c r="B458" s="3" t="str">
        <f>HYPERLINK("https://otsuka-europe-crm.veevavault.com/ui/#object/approved_document__v/V5OZ025E82TFUPI", "Spain - HCP Survey Email - June 2025")</f>
        <v>Spain - HCP Survey Email - June 2025</v>
      </c>
      <c r="C458" s="3" t="str">
        <f>HYPERLINK("https://otsuka-europe-crm.veevavault.com/ui/#object/sent_email__v/VBLZ025E82GMXVF", "SE-000267521")</f>
        <v>SE-000267521</v>
      </c>
      <c r="D458" s="1" t="s">
        <v>0</v>
      </c>
      <c r="E458" s="2">
        <v>0</v>
      </c>
      <c r="F458" s="2">
        <v>0</v>
      </c>
      <c r="G458" s="2">
        <v>0</v>
      </c>
      <c r="H458" s="1" t="s">
        <v>0</v>
      </c>
      <c r="I458" s="2">
        <v>0</v>
      </c>
      <c r="J458" s="1">
        <v>45915.379872685182</v>
      </c>
    </row>
    <row r="459" spans="1:10" x14ac:dyDescent="0.2">
      <c r="A459" s="4" t="s">
        <v>1</v>
      </c>
      <c r="B459" s="3" t="str">
        <f>HYPERLINK("https://otsuka-europe-crm.veevavault.com/ui/#object/approved_document__v/V5OZ025E82TFUPI", "Spain - HCP Survey Email - June 2025")</f>
        <v>Spain - HCP Survey Email - June 2025</v>
      </c>
      <c r="C459" s="3" t="str">
        <f>HYPERLINK("https://otsuka-europe-crm.veevavault.com/ui/#object/sent_email__v/VBLZ025E82GMXVG", "SE-000267522")</f>
        <v>SE-000267522</v>
      </c>
      <c r="D459" s="1" t="s">
        <v>0</v>
      </c>
      <c r="E459" s="2">
        <v>0</v>
      </c>
      <c r="F459" s="2">
        <v>0</v>
      </c>
      <c r="G459" s="2">
        <v>0</v>
      </c>
      <c r="H459" s="1" t="s">
        <v>0</v>
      </c>
      <c r="I459" s="2">
        <v>0</v>
      </c>
      <c r="J459" s="1">
        <v>45915.377708333333</v>
      </c>
    </row>
    <row r="460" spans="1:10" x14ac:dyDescent="0.2">
      <c r="A460" s="4" t="s">
        <v>1</v>
      </c>
      <c r="B460" s="3" t="str">
        <f>HYPERLINK("https://otsuka-europe-crm.veevavault.com/ui/#object/approved_document__v/V5OZ025E82TFUPI", "Spain - HCP Survey Email - June 2025")</f>
        <v>Spain - HCP Survey Email - June 2025</v>
      </c>
      <c r="C460" s="3" t="str">
        <f>HYPERLINK("https://otsuka-europe-crm.veevavault.com/ui/#object/sent_email__v/VBLZ025E82GMXVH", "SE-000267523")</f>
        <v>SE-000267523</v>
      </c>
      <c r="D460" s="1" t="s">
        <v>0</v>
      </c>
      <c r="E460" s="2">
        <v>0</v>
      </c>
      <c r="F460" s="2">
        <v>0</v>
      </c>
      <c r="G460" s="2">
        <v>0</v>
      </c>
      <c r="H460" s="1" t="s">
        <v>0</v>
      </c>
      <c r="I460" s="2">
        <v>0</v>
      </c>
      <c r="J460" s="1">
        <v>45915.377604166664</v>
      </c>
    </row>
    <row r="461" spans="1:10" x14ac:dyDescent="0.2">
      <c r="A461" s="4" t="s">
        <v>1</v>
      </c>
      <c r="B461" s="3" t="str">
        <f>HYPERLINK("https://otsuka-europe-crm.veevavault.com/ui/#object/approved_document__v/V5OZ025E82TFUPI", "Spain - HCP Survey Email - June 2025")</f>
        <v>Spain - HCP Survey Email - June 2025</v>
      </c>
      <c r="C461" s="3" t="str">
        <f>HYPERLINK("https://otsuka-europe-crm.veevavault.com/ui/#object/sent_email__v/VBLZ025E82GMXVI", "SE-000267524")</f>
        <v>SE-000267524</v>
      </c>
      <c r="D461" s="1">
        <v>45915.614768518521</v>
      </c>
      <c r="E461" s="2">
        <v>1</v>
      </c>
      <c r="F461" s="2">
        <v>2</v>
      </c>
      <c r="G461" s="2">
        <v>1</v>
      </c>
      <c r="H461" s="1">
        <v>45919.74894675926</v>
      </c>
      <c r="I461" s="2">
        <v>1</v>
      </c>
      <c r="J461" s="1">
        <v>45915.378009259257</v>
      </c>
    </row>
    <row r="462" spans="1:10" x14ac:dyDescent="0.2">
      <c r="A462" s="4" t="s">
        <v>1</v>
      </c>
      <c r="B462" s="3" t="str">
        <f>HYPERLINK("https://otsuka-europe-crm.veevavault.com/ui/#object/approved_document__v/V5OZ025E82TFUPI", "Spain - HCP Survey Email - June 2025")</f>
        <v>Spain - HCP Survey Email - June 2025</v>
      </c>
      <c r="C462" s="3" t="str">
        <f>HYPERLINK("https://otsuka-europe-crm.veevavault.com/ui/#object/sent_email__v/VBLZ025E82GMXVJ", "SE-000267525")</f>
        <v>SE-000267525</v>
      </c>
      <c r="D462" s="1">
        <v>45915.40048611111</v>
      </c>
      <c r="E462" s="2">
        <v>1</v>
      </c>
      <c r="F462" s="2">
        <v>1</v>
      </c>
      <c r="G462" s="2">
        <v>0</v>
      </c>
      <c r="H462" s="1" t="s">
        <v>0</v>
      </c>
      <c r="I462" s="2">
        <v>0</v>
      </c>
      <c r="J462" s="1">
        <v>45915.378784722219</v>
      </c>
    </row>
    <row r="463" spans="1:10" x14ac:dyDescent="0.2">
      <c r="A463" s="4" t="s">
        <v>1</v>
      </c>
      <c r="B463" s="3" t="str">
        <f>HYPERLINK("https://otsuka-europe-crm.veevavault.com/ui/#object/approved_document__v/V5OZ025E82TFUPI", "Spain - HCP Survey Email - June 2025")</f>
        <v>Spain - HCP Survey Email - June 2025</v>
      </c>
      <c r="C463" s="3" t="str">
        <f>HYPERLINK("https://otsuka-europe-crm.veevavault.com/ui/#object/sent_email__v/VBLZ025E82GMXVK", "SE-000267526")</f>
        <v>SE-000267526</v>
      </c>
      <c r="D463" s="1">
        <v>45917.696481481478</v>
      </c>
      <c r="E463" s="2">
        <v>1</v>
      </c>
      <c r="F463" s="2">
        <v>3</v>
      </c>
      <c r="G463" s="2">
        <v>0</v>
      </c>
      <c r="H463" s="1" t="s">
        <v>0</v>
      </c>
      <c r="I463" s="2">
        <v>0</v>
      </c>
      <c r="J463" s="1">
        <v>45915.378576388888</v>
      </c>
    </row>
    <row r="464" spans="1:10" x14ac:dyDescent="0.2">
      <c r="A464" s="4" t="s">
        <v>1</v>
      </c>
      <c r="B464" s="3" t="str">
        <f>HYPERLINK("https://otsuka-europe-crm.veevavault.com/ui/#object/approved_document__v/V5OZ025E82TFUPI", "Spain - HCP Survey Email - June 2025")</f>
        <v>Spain - HCP Survey Email - June 2025</v>
      </c>
      <c r="C464" s="3" t="str">
        <f>HYPERLINK("https://otsuka-europe-crm.veevavault.com/ui/#object/sent_email__v/VBLZ025E82GMXVL", "SE-000267527")</f>
        <v>SE-000267527</v>
      </c>
      <c r="D464" s="1">
        <v>45916.342106481483</v>
      </c>
      <c r="E464" s="2">
        <v>1</v>
      </c>
      <c r="F464" s="2">
        <v>1</v>
      </c>
      <c r="G464" s="2">
        <v>1</v>
      </c>
      <c r="H464" s="1">
        <v>45916.342280092591</v>
      </c>
      <c r="I464" s="2">
        <v>2</v>
      </c>
      <c r="J464" s="1">
        <v>45915.379131944443</v>
      </c>
    </row>
    <row r="465" spans="1:10" x14ac:dyDescent="0.2">
      <c r="A465" s="4" t="s">
        <v>1</v>
      </c>
      <c r="B465" s="3" t="str">
        <f>HYPERLINK("https://otsuka-europe-crm.veevavault.com/ui/#object/approved_document__v/V5OZ025E82TFUPI", "Spain - HCP Survey Email - June 2025")</f>
        <v>Spain - HCP Survey Email - June 2025</v>
      </c>
      <c r="C465" s="3" t="str">
        <f>HYPERLINK("https://otsuka-europe-crm.veevavault.com/ui/#object/sent_email__v/VBLZ025E82GMXVM", "SE-000267528")</f>
        <v>SE-000267528</v>
      </c>
      <c r="D465" s="1">
        <v>45916.617662037039</v>
      </c>
      <c r="E465" s="2">
        <v>1</v>
      </c>
      <c r="F465" s="2">
        <v>2</v>
      </c>
      <c r="G465" s="2">
        <v>0</v>
      </c>
      <c r="H465" s="1" t="s">
        <v>0</v>
      </c>
      <c r="I465" s="2">
        <v>0</v>
      </c>
      <c r="J465" s="1">
        <v>45915.377766203703</v>
      </c>
    </row>
    <row r="466" spans="1:10" x14ac:dyDescent="0.2">
      <c r="A466" s="4" t="s">
        <v>1</v>
      </c>
      <c r="B466" s="3" t="str">
        <f>HYPERLINK("https://otsuka-europe-crm.veevavault.com/ui/#object/approved_document__v/V5OZ025E82TFUPI", "Spain - HCP Survey Email - June 2025")</f>
        <v>Spain - HCP Survey Email - June 2025</v>
      </c>
      <c r="C466" s="3" t="str">
        <f>HYPERLINK("https://otsuka-europe-crm.veevavault.com/ui/#object/sent_email__v/VBLZ025E82GMXVN", "SE-000267529")</f>
        <v>SE-000267529</v>
      </c>
      <c r="D466" s="1">
        <v>45940.436412037037</v>
      </c>
      <c r="E466" s="2">
        <v>1</v>
      </c>
      <c r="F466" s="2">
        <v>2</v>
      </c>
      <c r="G466" s="2">
        <v>0</v>
      </c>
      <c r="H466" s="1" t="s">
        <v>0</v>
      </c>
      <c r="I466" s="2">
        <v>0</v>
      </c>
      <c r="J466" s="1">
        <v>45915.378298611111</v>
      </c>
    </row>
    <row r="467" spans="1:10" x14ac:dyDescent="0.2">
      <c r="A467" s="4" t="s">
        <v>1</v>
      </c>
      <c r="B467" s="3" t="str">
        <f>HYPERLINK("https://otsuka-europe-crm.veevavault.com/ui/#object/approved_document__v/V5OZ025E82TFUPI", "Spain - HCP Survey Email - June 2025")</f>
        <v>Spain - HCP Survey Email - June 2025</v>
      </c>
      <c r="C467" s="3" t="str">
        <f>HYPERLINK("https://otsuka-europe-crm.veevavault.com/ui/#object/sent_email__v/VBLZ025E82GMXVO", "SE-000267530")</f>
        <v>SE-000267530</v>
      </c>
      <c r="D467" s="1" t="s">
        <v>0</v>
      </c>
      <c r="E467" s="2">
        <v>0</v>
      </c>
      <c r="F467" s="2">
        <v>0</v>
      </c>
      <c r="G467" s="2">
        <v>0</v>
      </c>
      <c r="H467" s="1" t="s">
        <v>0</v>
      </c>
      <c r="I467" s="2">
        <v>0</v>
      </c>
      <c r="J467" s="1">
        <v>45915.378113425926</v>
      </c>
    </row>
    <row r="468" spans="1:10" x14ac:dyDescent="0.2">
      <c r="A468" s="4" t="s">
        <v>1</v>
      </c>
      <c r="B468" s="3" t="str">
        <f>HYPERLINK("https://otsuka-europe-crm.veevavault.com/ui/#object/approved_document__v/V5OZ025E82TFUPI", "Spain - HCP Survey Email - June 2025")</f>
        <v>Spain - HCP Survey Email - June 2025</v>
      </c>
      <c r="C468" s="3" t="str">
        <f>HYPERLINK("https://otsuka-europe-crm.veevavault.com/ui/#object/sent_email__v/VBLZ025E82GMXVP", "SE-000267531")</f>
        <v>SE-000267531</v>
      </c>
      <c r="D468" s="1">
        <v>46001.367465277777</v>
      </c>
      <c r="E468" s="2">
        <v>1</v>
      </c>
      <c r="F468" s="2">
        <v>4</v>
      </c>
      <c r="G468" s="2">
        <v>0</v>
      </c>
      <c r="H468" s="1" t="s">
        <v>0</v>
      </c>
      <c r="I468" s="2">
        <v>0</v>
      </c>
      <c r="J468" s="1">
        <v>45915.378576388888</v>
      </c>
    </row>
    <row r="469" spans="1:10" x14ac:dyDescent="0.2">
      <c r="A469" s="4" t="s">
        <v>1</v>
      </c>
      <c r="B469" s="3" t="str">
        <f>HYPERLINK("https://otsuka-europe-crm.veevavault.com/ui/#object/approved_document__v/V5OZ025E82TFUPI", "Spain - HCP Survey Email - June 2025")</f>
        <v>Spain - HCP Survey Email - June 2025</v>
      </c>
      <c r="C469" s="3" t="str">
        <f>HYPERLINK("https://otsuka-europe-crm.veevavault.com/ui/#object/sent_email__v/VBLZ025E82GMXVQ", "SE-000267532")</f>
        <v>SE-000267532</v>
      </c>
      <c r="D469" s="1">
        <v>45915.39466435185</v>
      </c>
      <c r="E469" s="2">
        <v>1</v>
      </c>
      <c r="F469" s="2">
        <v>2</v>
      </c>
      <c r="G469" s="2">
        <v>1</v>
      </c>
      <c r="H469" s="1">
        <v>45915.458414351851</v>
      </c>
      <c r="I469" s="2">
        <v>2</v>
      </c>
      <c r="J469" s="1">
        <v>45915.379861111112</v>
      </c>
    </row>
    <row r="470" spans="1:10" x14ac:dyDescent="0.2">
      <c r="A470" s="4" t="s">
        <v>1</v>
      </c>
      <c r="B470" s="3" t="str">
        <f>HYPERLINK("https://otsuka-europe-crm.veevavault.com/ui/#object/approved_document__v/V5OZ025E82TFUPI", "Spain - HCP Survey Email - June 2025")</f>
        <v>Spain - HCP Survey Email - June 2025</v>
      </c>
      <c r="C470" s="3" t="str">
        <f>HYPERLINK("https://otsuka-europe-crm.veevavault.com/ui/#object/sent_email__v/VBLZ025E82GMXVR", "SE-000267533")</f>
        <v>SE-000267533</v>
      </c>
      <c r="D470" s="1" t="s">
        <v>0</v>
      </c>
      <c r="E470" s="2">
        <v>0</v>
      </c>
      <c r="F470" s="2">
        <v>0</v>
      </c>
      <c r="G470" s="2">
        <v>0</v>
      </c>
      <c r="H470" s="1" t="s">
        <v>0</v>
      </c>
      <c r="I470" s="2">
        <v>0</v>
      </c>
      <c r="J470" s="1">
        <v>45915.37773148148</v>
      </c>
    </row>
    <row r="471" spans="1:10" x14ac:dyDescent="0.2">
      <c r="A471" s="4" t="s">
        <v>1</v>
      </c>
      <c r="B471" s="3" t="str">
        <f>HYPERLINK("https://otsuka-europe-crm.veevavault.com/ui/#object/approved_document__v/V5OZ025E82TFUPI", "Spain - HCP Survey Email - June 2025")</f>
        <v>Spain - HCP Survey Email - June 2025</v>
      </c>
      <c r="C471" s="3" t="str">
        <f>HYPERLINK("https://otsuka-europe-crm.veevavault.com/ui/#object/sent_email__v/VBLZ025E82GMXVS", "SE-000267534")</f>
        <v>SE-000267534</v>
      </c>
      <c r="D471" s="1">
        <v>45915.45208333333</v>
      </c>
      <c r="E471" s="2">
        <v>1</v>
      </c>
      <c r="F471" s="2">
        <v>2</v>
      </c>
      <c r="G471" s="2">
        <v>1</v>
      </c>
      <c r="H471" s="1">
        <v>45915.452407407407</v>
      </c>
      <c r="I471" s="2">
        <v>2</v>
      </c>
      <c r="J471" s="1">
        <v>45915.377627314818</v>
      </c>
    </row>
    <row r="472" spans="1:10" x14ac:dyDescent="0.2">
      <c r="A472" s="4" t="s">
        <v>1</v>
      </c>
      <c r="B472" s="3" t="str">
        <f>HYPERLINK("https://otsuka-europe-crm.veevavault.com/ui/#object/approved_document__v/V5OZ025E82TFUPI", "Spain - HCP Survey Email - June 2025")</f>
        <v>Spain - HCP Survey Email - June 2025</v>
      </c>
      <c r="C472" s="3" t="str">
        <f>HYPERLINK("https://otsuka-europe-crm.veevavault.com/ui/#object/sent_email__v/VBLZ025E82GMXVT", "SE-000267535")</f>
        <v>SE-000267535</v>
      </c>
      <c r="D472" s="1">
        <v>45916.014826388891</v>
      </c>
      <c r="E472" s="2">
        <v>1</v>
      </c>
      <c r="F472" s="2">
        <v>1</v>
      </c>
      <c r="G472" s="2">
        <v>0</v>
      </c>
      <c r="H472" s="1" t="s">
        <v>0</v>
      </c>
      <c r="I472" s="2">
        <v>0</v>
      </c>
      <c r="J472" s="1">
        <v>45915.378275462965</v>
      </c>
    </row>
    <row r="473" spans="1:10" x14ac:dyDescent="0.2">
      <c r="A473" s="4" t="s">
        <v>1</v>
      </c>
      <c r="B473" s="3" t="str">
        <f>HYPERLINK("https://otsuka-europe-crm.veevavault.com/ui/#object/approved_document__v/V5OZ025E82TFUPI", "Spain - HCP Survey Email - June 2025")</f>
        <v>Spain - HCP Survey Email - June 2025</v>
      </c>
      <c r="C473" s="3" t="str">
        <f>HYPERLINK("https://otsuka-europe-crm.veevavault.com/ui/#object/sent_email__v/VBLZ025E82GMXVU", "SE-000267536")</f>
        <v>SE-000267536</v>
      </c>
      <c r="D473" s="1" t="s">
        <v>0</v>
      </c>
      <c r="E473" s="2">
        <v>0</v>
      </c>
      <c r="F473" s="2">
        <v>0</v>
      </c>
      <c r="G473" s="2">
        <v>0</v>
      </c>
      <c r="H473" s="1" t="s">
        <v>0</v>
      </c>
      <c r="I473" s="2">
        <v>0</v>
      </c>
      <c r="J473" s="1">
        <v>45915.378796296296</v>
      </c>
    </row>
    <row r="474" spans="1:10" x14ac:dyDescent="0.2">
      <c r="A474" s="4" t="s">
        <v>1</v>
      </c>
      <c r="B474" s="3" t="str">
        <f>HYPERLINK("https://otsuka-europe-crm.veevavault.com/ui/#object/approved_document__v/V5OZ025E82TFUPI", "Spain - HCP Survey Email - June 2025")</f>
        <v>Spain - HCP Survey Email - June 2025</v>
      </c>
      <c r="C474" s="3" t="str">
        <f>HYPERLINK("https://otsuka-europe-crm.veevavault.com/ui/#object/sent_email__v/VBLZ025E82GMXVV", "SE-000267537")</f>
        <v>SE-000267537</v>
      </c>
      <c r="D474" s="1">
        <v>45915.448819444442</v>
      </c>
      <c r="E474" s="2">
        <v>1</v>
      </c>
      <c r="F474" s="2">
        <v>2</v>
      </c>
      <c r="G474" s="2">
        <v>1</v>
      </c>
      <c r="H474" s="1">
        <v>45915.449282407404</v>
      </c>
      <c r="I474" s="2">
        <v>2</v>
      </c>
      <c r="J474" s="1">
        <v>45915.378668981481</v>
      </c>
    </row>
    <row r="475" spans="1:10" x14ac:dyDescent="0.2">
      <c r="A475" s="4" t="s">
        <v>1</v>
      </c>
      <c r="B475" s="3" t="str">
        <f>HYPERLINK("https://otsuka-europe-crm.veevavault.com/ui/#object/approved_document__v/V5OZ025E82TFUPI", "Spain - HCP Survey Email - June 2025")</f>
        <v>Spain - HCP Survey Email - June 2025</v>
      </c>
      <c r="C475" s="3" t="str">
        <f>HYPERLINK("https://otsuka-europe-crm.veevavault.com/ui/#object/sent_email__v/VBLZ025E82GMXVW", "SE-000267538")</f>
        <v>SE-000267538</v>
      </c>
      <c r="D475" s="1" t="s">
        <v>0</v>
      </c>
      <c r="E475" s="2">
        <v>0</v>
      </c>
      <c r="F475" s="2">
        <v>0</v>
      </c>
      <c r="G475" s="2">
        <v>0</v>
      </c>
      <c r="H475" s="1" t="s">
        <v>0</v>
      </c>
      <c r="I475" s="2">
        <v>0</v>
      </c>
      <c r="J475" s="1">
        <v>45915.377754629626</v>
      </c>
    </row>
    <row r="476" spans="1:10" x14ac:dyDescent="0.2">
      <c r="A476" s="4" t="s">
        <v>1</v>
      </c>
      <c r="B476" s="3" t="str">
        <f>HYPERLINK("https://otsuka-europe-crm.veevavault.com/ui/#object/approved_document__v/V5OZ025E82TFUPI", "Spain - HCP Survey Email - June 2025")</f>
        <v>Spain - HCP Survey Email - June 2025</v>
      </c>
      <c r="C476" s="3" t="str">
        <f>HYPERLINK("https://otsuka-europe-crm.veevavault.com/ui/#object/sent_email__v/VBLZ025E82GMXVX", "SE-000267539")</f>
        <v>SE-000267539</v>
      </c>
      <c r="D476" s="1">
        <v>45915.831712962965</v>
      </c>
      <c r="E476" s="2">
        <v>1</v>
      </c>
      <c r="F476" s="2">
        <v>1</v>
      </c>
      <c r="G476" s="2">
        <v>0</v>
      </c>
      <c r="H476" s="1" t="s">
        <v>0</v>
      </c>
      <c r="I476" s="2">
        <v>0</v>
      </c>
      <c r="J476" s="1">
        <v>45915.377627314818</v>
      </c>
    </row>
    <row r="477" spans="1:10" x14ac:dyDescent="0.2">
      <c r="A477" s="4" t="s">
        <v>1</v>
      </c>
      <c r="B477" s="3" t="str">
        <f>HYPERLINK("https://otsuka-europe-crm.veevavault.com/ui/#object/approved_document__v/V5OZ025E82TFUPI", "Spain - HCP Survey Email - June 2025")</f>
        <v>Spain - HCP Survey Email - June 2025</v>
      </c>
      <c r="C477" s="3" t="str">
        <f>HYPERLINK("https://otsuka-europe-crm.veevavault.com/ui/#object/sent_email__v/VBLZ025E82GMXVY", "SE-000267540")</f>
        <v>SE-000267540</v>
      </c>
      <c r="D477" s="1" t="s">
        <v>0</v>
      </c>
      <c r="E477" s="2">
        <v>0</v>
      </c>
      <c r="F477" s="2">
        <v>0</v>
      </c>
      <c r="G477" s="2">
        <v>0</v>
      </c>
      <c r="H477" s="1" t="s">
        <v>0</v>
      </c>
      <c r="I477" s="2">
        <v>0</v>
      </c>
      <c r="J477" s="1">
        <v>45915.378321759257</v>
      </c>
    </row>
    <row r="478" spans="1:10" x14ac:dyDescent="0.2">
      <c r="A478" s="4" t="s">
        <v>1</v>
      </c>
      <c r="B478" s="3" t="str">
        <f>HYPERLINK("https://otsuka-europe-crm.veevavault.com/ui/#object/approved_document__v/V5OZ025E82TFUPI", "Spain - HCP Survey Email - June 2025")</f>
        <v>Spain - HCP Survey Email - June 2025</v>
      </c>
      <c r="C478" s="3" t="str">
        <f>HYPERLINK("https://otsuka-europe-crm.veevavault.com/ui/#object/sent_email__v/VBLZ025E82GMXVZ", "SE-000267541")</f>
        <v>SE-000267541</v>
      </c>
      <c r="D478" s="1">
        <v>45915.952025462961</v>
      </c>
      <c r="E478" s="2">
        <v>1</v>
      </c>
      <c r="F478" s="2">
        <v>1</v>
      </c>
      <c r="G478" s="2">
        <v>0</v>
      </c>
      <c r="H478" s="1" t="s">
        <v>0</v>
      </c>
      <c r="I478" s="2">
        <v>0</v>
      </c>
      <c r="J478" s="1">
        <v>45915.378784722219</v>
      </c>
    </row>
    <row r="479" spans="1:10" x14ac:dyDescent="0.2">
      <c r="A479" s="4" t="s">
        <v>1</v>
      </c>
      <c r="B479" s="3" t="str">
        <f>HYPERLINK("https://otsuka-europe-crm.veevavault.com/ui/#object/approved_document__v/V5OZ025E82TFUPI", "Spain - HCP Survey Email - June 2025")</f>
        <v>Spain - HCP Survey Email - June 2025</v>
      </c>
      <c r="C479" s="3" t="str">
        <f>HYPERLINK("https://otsuka-europe-crm.veevavault.com/ui/#object/sent_email__v/VBLZ025E82GMXW0", "SE-000267542")</f>
        <v>SE-000267542</v>
      </c>
      <c r="D479" s="1" t="s">
        <v>0</v>
      </c>
      <c r="E479" s="2">
        <v>0</v>
      </c>
      <c r="F479" s="2">
        <v>0</v>
      </c>
      <c r="G479" s="2">
        <v>0</v>
      </c>
      <c r="H479" s="1" t="s">
        <v>0</v>
      </c>
      <c r="I479" s="2">
        <v>0</v>
      </c>
      <c r="J479" s="1">
        <v>45915.378738425927</v>
      </c>
    </row>
    <row r="480" spans="1:10" x14ac:dyDescent="0.2">
      <c r="A480" s="4" t="s">
        <v>1</v>
      </c>
      <c r="B480" s="3" t="str">
        <f>HYPERLINK("https://otsuka-europe-crm.veevavault.com/ui/#object/approved_document__v/V5OZ025E82TFUPI", "Spain - HCP Survey Email - June 2025")</f>
        <v>Spain - HCP Survey Email - June 2025</v>
      </c>
      <c r="C480" s="3" t="str">
        <f>HYPERLINK("https://otsuka-europe-crm.veevavault.com/ui/#object/sent_email__v/VBLZ025E82GMXW1", "SE-000267543")</f>
        <v>SE-000267543</v>
      </c>
      <c r="D480" s="1">
        <v>45917.001944444448</v>
      </c>
      <c r="E480" s="2">
        <v>1</v>
      </c>
      <c r="F480" s="2">
        <v>3</v>
      </c>
      <c r="G480" s="2">
        <v>1</v>
      </c>
      <c r="H480" s="1">
        <v>45917.00199074074</v>
      </c>
      <c r="I480" s="2">
        <v>1</v>
      </c>
      <c r="J480" s="1">
        <v>45915.378993055558</v>
      </c>
    </row>
    <row r="481" spans="1:10" x14ac:dyDescent="0.2">
      <c r="A481" s="4" t="s">
        <v>1</v>
      </c>
      <c r="B481" s="3" t="str">
        <f>HYPERLINK("https://otsuka-europe-crm.veevavault.com/ui/#object/approved_document__v/V5OZ025E82TFUPI", "Spain - HCP Survey Email - June 2025")</f>
        <v>Spain - HCP Survey Email - June 2025</v>
      </c>
      <c r="C481" s="3" t="str">
        <f>HYPERLINK("https://otsuka-europe-crm.veevavault.com/ui/#object/sent_email__v/VBLZ025E82GMXW2", "SE-000267544")</f>
        <v>SE-000267544</v>
      </c>
      <c r="D481" s="1">
        <v>45931.013182870367</v>
      </c>
      <c r="E481" s="2">
        <v>1</v>
      </c>
      <c r="F481" s="2">
        <v>2</v>
      </c>
      <c r="G481" s="2">
        <v>0</v>
      </c>
      <c r="H481" s="1" t="s">
        <v>0</v>
      </c>
      <c r="I481" s="2">
        <v>0</v>
      </c>
      <c r="J481" s="1">
        <v>45915.377835648149</v>
      </c>
    </row>
    <row r="482" spans="1:10" x14ac:dyDescent="0.2">
      <c r="A482" s="4" t="s">
        <v>1</v>
      </c>
      <c r="B482" s="3" t="str">
        <f>HYPERLINK("https://otsuka-europe-crm.veevavault.com/ui/#object/approved_document__v/V5OZ025E82TFUPI", "Spain - HCP Survey Email - June 2025")</f>
        <v>Spain - HCP Survey Email - June 2025</v>
      </c>
      <c r="C482" s="3" t="str">
        <f>HYPERLINK("https://otsuka-europe-crm.veevavault.com/ui/#object/sent_email__v/VBLZ025E82GMXW3", "SE-000267545")</f>
        <v>SE-000267545</v>
      </c>
      <c r="D482" s="1" t="s">
        <v>0</v>
      </c>
      <c r="E482" s="2">
        <v>0</v>
      </c>
      <c r="F482" s="2">
        <v>0</v>
      </c>
      <c r="G482" s="2">
        <v>0</v>
      </c>
      <c r="H482" s="1" t="s">
        <v>0</v>
      </c>
      <c r="I482" s="2">
        <v>0</v>
      </c>
      <c r="J482" s="1">
        <v>45915.378275462965</v>
      </c>
    </row>
    <row r="483" spans="1:10" x14ac:dyDescent="0.2">
      <c r="A483" s="4" t="s">
        <v>1</v>
      </c>
      <c r="B483" s="3" t="str">
        <f>HYPERLINK("https://otsuka-europe-crm.veevavault.com/ui/#object/approved_document__v/V5OZ025E82TFUPI", "Spain - HCP Survey Email - June 2025")</f>
        <v>Spain - HCP Survey Email - June 2025</v>
      </c>
      <c r="C483" s="3" t="str">
        <f>HYPERLINK("https://otsuka-europe-crm.veevavault.com/ui/#object/sent_email__v/VBLZ025E82GMXW4", "SE-000267546")</f>
        <v>SE-000267546</v>
      </c>
      <c r="D483" s="1" t="s">
        <v>0</v>
      </c>
      <c r="E483" s="2">
        <v>0</v>
      </c>
      <c r="F483" s="2">
        <v>0</v>
      </c>
      <c r="G483" s="2">
        <v>0</v>
      </c>
      <c r="H483" s="1" t="s">
        <v>0</v>
      </c>
      <c r="I483" s="2">
        <v>0</v>
      </c>
      <c r="J483" s="1">
        <v>45915.378101851849</v>
      </c>
    </row>
    <row r="484" spans="1:10" x14ac:dyDescent="0.2">
      <c r="A484" s="4" t="s">
        <v>1</v>
      </c>
      <c r="B484" s="3" t="str">
        <f>HYPERLINK("https://otsuka-europe-crm.veevavault.com/ui/#object/approved_document__v/V5OZ025E82TFUPI", "Spain - HCP Survey Email - June 2025")</f>
        <v>Spain - HCP Survey Email - June 2025</v>
      </c>
      <c r="C484" s="3" t="str">
        <f>HYPERLINK("https://otsuka-europe-crm.veevavault.com/ui/#object/sent_email__v/VBLZ025E82GMXW5", "SE-000267547")</f>
        <v>SE-000267547</v>
      </c>
      <c r="D484" s="1" t="s">
        <v>0</v>
      </c>
      <c r="E484" s="2">
        <v>0</v>
      </c>
      <c r="F484" s="2">
        <v>0</v>
      </c>
      <c r="G484" s="2">
        <v>0</v>
      </c>
      <c r="H484" s="1" t="s">
        <v>0</v>
      </c>
      <c r="I484" s="2">
        <v>0</v>
      </c>
      <c r="J484" s="1">
        <v>45915.378622685188</v>
      </c>
    </row>
    <row r="485" spans="1:10" x14ac:dyDescent="0.2">
      <c r="A485" s="4" t="s">
        <v>1</v>
      </c>
      <c r="B485" s="3" t="str">
        <f>HYPERLINK("https://otsuka-europe-crm.veevavault.com/ui/#object/approved_document__v/V5OZ025E82TFUPI", "Spain - HCP Survey Email - June 2025")</f>
        <v>Spain - HCP Survey Email - June 2025</v>
      </c>
      <c r="C485" s="3" t="str">
        <f>HYPERLINK("https://otsuka-europe-crm.veevavault.com/ui/#object/sent_email__v/VBLZ025E82GMXW6", "SE-000267548")</f>
        <v>SE-000267548</v>
      </c>
      <c r="D485" s="1">
        <v>45915.399016203701</v>
      </c>
      <c r="E485" s="2">
        <v>1</v>
      </c>
      <c r="F485" s="2">
        <v>1</v>
      </c>
      <c r="G485" s="2">
        <v>0</v>
      </c>
      <c r="H485" s="1" t="s">
        <v>0</v>
      </c>
      <c r="I485" s="2">
        <v>0</v>
      </c>
      <c r="J485" s="1">
        <v>45915.379872685182</v>
      </c>
    </row>
    <row r="486" spans="1:10" x14ac:dyDescent="0.2">
      <c r="A486" s="4" t="s">
        <v>1</v>
      </c>
      <c r="B486" s="3" t="str">
        <f>HYPERLINK("https://otsuka-europe-crm.veevavault.com/ui/#object/approved_document__v/V5OZ025E82TFUPI", "Spain - HCP Survey Email - June 2025")</f>
        <v>Spain - HCP Survey Email - June 2025</v>
      </c>
      <c r="C486" s="3" t="str">
        <f>HYPERLINK("https://otsuka-europe-crm.veevavault.com/ui/#object/sent_email__v/VBLZ025E82GMXW7", "SE-000267549")</f>
        <v>SE-000267549</v>
      </c>
      <c r="D486" s="1">
        <v>45915.401643518519</v>
      </c>
      <c r="E486" s="2">
        <v>1</v>
      </c>
      <c r="F486" s="2">
        <v>1</v>
      </c>
      <c r="G486" s="2">
        <v>1</v>
      </c>
      <c r="H486" s="1">
        <v>45915.401701388888</v>
      </c>
      <c r="I486" s="2">
        <v>1</v>
      </c>
      <c r="J486" s="1">
        <v>45915.377766203703</v>
      </c>
    </row>
    <row r="487" spans="1:10" x14ac:dyDescent="0.2">
      <c r="A487" s="4" t="s">
        <v>1</v>
      </c>
      <c r="B487" s="3" t="str">
        <f>HYPERLINK("https://otsuka-europe-crm.veevavault.com/ui/#object/approved_document__v/V5OZ025E82TFUPI", "Spain - HCP Survey Email - June 2025")</f>
        <v>Spain - HCP Survey Email - June 2025</v>
      </c>
      <c r="C487" s="3" t="str">
        <f>HYPERLINK("https://otsuka-europe-crm.veevavault.com/ui/#object/sent_email__v/VBLZ025E82GMXW8", "SE-000267550")</f>
        <v>SE-000267550</v>
      </c>
      <c r="D487" s="1">
        <v>45943.692650462966</v>
      </c>
      <c r="E487" s="2">
        <v>1</v>
      </c>
      <c r="F487" s="2">
        <v>5</v>
      </c>
      <c r="G487" s="2">
        <v>1</v>
      </c>
      <c r="H487" s="1">
        <v>45915.380752314813</v>
      </c>
      <c r="I487" s="2">
        <v>1</v>
      </c>
      <c r="J487" s="1">
        <v>45915.377638888887</v>
      </c>
    </row>
    <row r="488" spans="1:10" x14ac:dyDescent="0.2">
      <c r="A488" s="4" t="s">
        <v>1</v>
      </c>
      <c r="B488" s="3" t="str">
        <f>HYPERLINK("https://otsuka-europe-crm.veevavault.com/ui/#object/approved_document__v/V5OZ025E82TFUPI", "Spain - HCP Survey Email - June 2025")</f>
        <v>Spain - HCP Survey Email - June 2025</v>
      </c>
      <c r="C488" s="3" t="str">
        <f>HYPERLINK("https://otsuka-europe-crm.veevavault.com/ui/#object/sent_email__v/VBLZ025E82GMXW9", "SE-000267551")</f>
        <v>SE-000267551</v>
      </c>
      <c r="D488" s="1">
        <v>45915.422835648147</v>
      </c>
      <c r="E488" s="2">
        <v>1</v>
      </c>
      <c r="F488" s="2">
        <v>1</v>
      </c>
      <c r="G488" s="2">
        <v>1</v>
      </c>
      <c r="H488" s="1">
        <v>45915.422835648147</v>
      </c>
      <c r="I488" s="2">
        <v>1</v>
      </c>
      <c r="J488" s="1">
        <v>45915.378333333334</v>
      </c>
    </row>
    <row r="489" spans="1:10" x14ac:dyDescent="0.2">
      <c r="A489" s="4" t="s">
        <v>1</v>
      </c>
      <c r="B489" s="3" t="str">
        <f>HYPERLINK("https://otsuka-europe-crm.veevavault.com/ui/#object/approved_document__v/V5OZ025E82TFUPI", "Spain - HCP Survey Email - June 2025")</f>
        <v>Spain - HCP Survey Email - June 2025</v>
      </c>
      <c r="C489" s="3" t="str">
        <f>HYPERLINK("https://otsuka-europe-crm.veevavault.com/ui/#object/sent_email__v/VBLZ025E82GMXWA", "SE-000267552")</f>
        <v>SE-000267552</v>
      </c>
      <c r="D489" s="1">
        <v>45915.77</v>
      </c>
      <c r="E489" s="2">
        <v>1</v>
      </c>
      <c r="F489" s="2">
        <v>2</v>
      </c>
      <c r="G489" s="2">
        <v>0</v>
      </c>
      <c r="H489" s="1" t="s">
        <v>0</v>
      </c>
      <c r="I489" s="2">
        <v>0</v>
      </c>
      <c r="J489" s="1">
        <v>45915.378819444442</v>
      </c>
    </row>
    <row r="490" spans="1:10" x14ac:dyDescent="0.2">
      <c r="A490" s="4" t="s">
        <v>1</v>
      </c>
      <c r="B490" s="3" t="str">
        <f>HYPERLINK("https://otsuka-europe-crm.veevavault.com/ui/#object/approved_document__v/V5OZ025E82TFUPI", "Spain - HCP Survey Email - June 2025")</f>
        <v>Spain - HCP Survey Email - June 2025</v>
      </c>
      <c r="C490" s="3" t="str">
        <f>HYPERLINK("https://otsuka-europe-crm.veevavault.com/ui/#object/sent_email__v/VBLZ025E82GMXWB", "SE-000267553")</f>
        <v>SE-000267553</v>
      </c>
      <c r="D490" s="1">
        <v>45915.88721064815</v>
      </c>
      <c r="E490" s="2">
        <v>1</v>
      </c>
      <c r="F490" s="2">
        <v>1</v>
      </c>
      <c r="G490" s="2">
        <v>0</v>
      </c>
      <c r="H490" s="1" t="s">
        <v>0</v>
      </c>
      <c r="I490" s="2">
        <v>0</v>
      </c>
      <c r="J490" s="1">
        <v>45915.37872685185</v>
      </c>
    </row>
    <row r="491" spans="1:10" x14ac:dyDescent="0.2">
      <c r="A491" s="4" t="s">
        <v>1</v>
      </c>
      <c r="B491" s="3" t="str">
        <f>HYPERLINK("https://otsuka-europe-crm.veevavault.com/ui/#object/approved_document__v/V5OZ025E82TFUPI", "Spain - HCP Survey Email - June 2025")</f>
        <v>Spain - HCP Survey Email - June 2025</v>
      </c>
      <c r="C491" s="3" t="str">
        <f>HYPERLINK("https://otsuka-europe-crm.veevavault.com/ui/#object/sent_email__v/VBLZ025E82GMXWC", "SE-000267554")</f>
        <v>SE-000267554</v>
      </c>
      <c r="D491" s="1">
        <v>45915.983576388891</v>
      </c>
      <c r="E491" s="2">
        <v>1</v>
      </c>
      <c r="F491" s="2">
        <v>2</v>
      </c>
      <c r="G491" s="2">
        <v>1</v>
      </c>
      <c r="H491" s="1">
        <v>45915.400567129633</v>
      </c>
      <c r="I491" s="2">
        <v>2</v>
      </c>
      <c r="J491" s="1">
        <v>45915.379120370373</v>
      </c>
    </row>
    <row r="492" spans="1:10" x14ac:dyDescent="0.2">
      <c r="A492" s="4" t="s">
        <v>1</v>
      </c>
      <c r="B492" s="3" t="str">
        <f>HYPERLINK("https://otsuka-europe-crm.veevavault.com/ui/#object/approved_document__v/V5OZ025E82TFUPI", "Spain - HCP Survey Email - June 2025")</f>
        <v>Spain - HCP Survey Email - June 2025</v>
      </c>
      <c r="C492" s="3" t="str">
        <f>HYPERLINK("https://otsuka-europe-crm.veevavault.com/ui/#object/sent_email__v/VBLZ025E82GMXWD", "SE-000267555")</f>
        <v>SE-000267555</v>
      </c>
      <c r="D492" s="1">
        <v>45925.778368055559</v>
      </c>
      <c r="E492" s="2">
        <v>1</v>
      </c>
      <c r="F492" s="2">
        <v>2</v>
      </c>
      <c r="G492" s="2">
        <v>0</v>
      </c>
      <c r="H492" s="1" t="s">
        <v>0</v>
      </c>
      <c r="I492" s="2">
        <v>0</v>
      </c>
      <c r="J492" s="1">
        <v>45915.377824074072</v>
      </c>
    </row>
    <row r="493" spans="1:10" x14ac:dyDescent="0.2">
      <c r="A493" s="4" t="s">
        <v>1</v>
      </c>
      <c r="B493" s="3" t="str">
        <f>HYPERLINK("https://otsuka-europe-crm.veevavault.com/ui/#object/approved_document__v/V5OZ025E82TFUPI", "Spain - HCP Survey Email - June 2025")</f>
        <v>Spain - HCP Survey Email - June 2025</v>
      </c>
      <c r="C493" s="3" t="str">
        <f>HYPERLINK("https://otsuka-europe-crm.veevavault.com/ui/#object/sent_email__v/VBLZ025E82GMXWE", "SE-000267556")</f>
        <v>SE-000267556</v>
      </c>
      <c r="D493" s="1" t="s">
        <v>0</v>
      </c>
      <c r="E493" s="2">
        <v>0</v>
      </c>
      <c r="F493" s="2">
        <v>0</v>
      </c>
      <c r="G493" s="2">
        <v>0</v>
      </c>
      <c r="H493" s="1" t="s">
        <v>0</v>
      </c>
      <c r="I493" s="2">
        <v>0</v>
      </c>
      <c r="J493" s="1">
        <v>45915.378287037034</v>
      </c>
    </row>
    <row r="494" spans="1:10" x14ac:dyDescent="0.2">
      <c r="A494" s="4" t="s">
        <v>1</v>
      </c>
      <c r="B494" s="3" t="str">
        <f>HYPERLINK("https://otsuka-europe-crm.veevavault.com/ui/#object/approved_document__v/V5OZ025E82TFUPI", "Spain - HCP Survey Email - June 2025")</f>
        <v>Spain - HCP Survey Email - June 2025</v>
      </c>
      <c r="C494" s="3" t="str">
        <f>HYPERLINK("https://otsuka-europe-crm.veevavault.com/ui/#object/sent_email__v/VBLZ025E82GMXWF", "SE-000267557")</f>
        <v>SE-000267557</v>
      </c>
      <c r="D494" s="1">
        <v>45924.354097222225</v>
      </c>
      <c r="E494" s="2">
        <v>1</v>
      </c>
      <c r="F494" s="2">
        <v>3</v>
      </c>
      <c r="G494" s="2">
        <v>0</v>
      </c>
      <c r="H494" s="1" t="s">
        <v>0</v>
      </c>
      <c r="I494" s="2">
        <v>0</v>
      </c>
      <c r="J494" s="1">
        <v>45915.378101851849</v>
      </c>
    </row>
    <row r="495" spans="1:10" x14ac:dyDescent="0.2">
      <c r="A495" s="4" t="s">
        <v>1</v>
      </c>
      <c r="B495" s="3" t="str">
        <f>HYPERLINK("https://otsuka-europe-crm.veevavault.com/ui/#object/approved_document__v/V5OZ025E82TFUPI", "Spain - HCP Survey Email - June 2025")</f>
        <v>Spain - HCP Survey Email - June 2025</v>
      </c>
      <c r="C495" s="3" t="str">
        <f>HYPERLINK("https://otsuka-europe-crm.veevavault.com/ui/#object/sent_email__v/VBLZ025E82GMXWG", "SE-000267558")</f>
        <v>SE-000267558</v>
      </c>
      <c r="D495" s="1">
        <v>45919.371504629627</v>
      </c>
      <c r="E495" s="2">
        <v>1</v>
      </c>
      <c r="F495" s="2">
        <v>2</v>
      </c>
      <c r="G495" s="2">
        <v>0</v>
      </c>
      <c r="H495" s="1" t="s">
        <v>0</v>
      </c>
      <c r="I495" s="2">
        <v>0</v>
      </c>
      <c r="J495" s="1">
        <v>45915.378611111111</v>
      </c>
    </row>
    <row r="496" spans="1:10" x14ac:dyDescent="0.2">
      <c r="A496" s="4" t="s">
        <v>1</v>
      </c>
      <c r="B496" s="3" t="str">
        <f>HYPERLINK("https://otsuka-europe-crm.veevavault.com/ui/#object/approved_document__v/V5OZ025E82TFUPI", "Spain - HCP Survey Email - June 2025")</f>
        <v>Spain - HCP Survey Email - June 2025</v>
      </c>
      <c r="C496" s="3" t="str">
        <f>HYPERLINK("https://otsuka-europe-crm.veevavault.com/ui/#object/sent_email__v/VBLZ025E82GMXWH", "SE-000267559")</f>
        <v>SE-000267559</v>
      </c>
      <c r="D496" s="1" t="s">
        <v>0</v>
      </c>
      <c r="E496" s="2">
        <v>0</v>
      </c>
      <c r="F496" s="2">
        <v>0</v>
      </c>
      <c r="G496" s="2">
        <v>0</v>
      </c>
      <c r="H496" s="1" t="s">
        <v>0</v>
      </c>
      <c r="I496" s="2">
        <v>0</v>
      </c>
      <c r="J496" s="1">
        <v>45915.379895833335</v>
      </c>
    </row>
    <row r="497" spans="1:10" x14ac:dyDescent="0.2">
      <c r="A497" s="4" t="s">
        <v>1</v>
      </c>
      <c r="B497" s="3" t="str">
        <f>HYPERLINK("https://otsuka-europe-crm.veevavault.com/ui/#object/approved_document__v/V5OZ025E82TFUPI", "Spain - HCP Survey Email - June 2025")</f>
        <v>Spain - HCP Survey Email - June 2025</v>
      </c>
      <c r="C497" s="3" t="str">
        <f>HYPERLINK("https://otsuka-europe-crm.veevavault.com/ui/#object/sent_email__v/VBLZ025E82GMXWI", "SE-000267560")</f>
        <v>SE-000267560</v>
      </c>
      <c r="D497" s="1">
        <v>45915.387083333335</v>
      </c>
      <c r="E497" s="2">
        <v>1</v>
      </c>
      <c r="F497" s="2">
        <v>1</v>
      </c>
      <c r="G497" s="2">
        <v>0</v>
      </c>
      <c r="H497" s="1" t="s">
        <v>0</v>
      </c>
      <c r="I497" s="2">
        <v>0</v>
      </c>
      <c r="J497" s="1">
        <v>45915.377743055556</v>
      </c>
    </row>
    <row r="498" spans="1:10" x14ac:dyDescent="0.2">
      <c r="A498" s="4" t="s">
        <v>1</v>
      </c>
      <c r="B498" s="3" t="str">
        <f>HYPERLINK("https://otsuka-europe-crm.veevavault.com/ui/#object/approved_document__v/V5OZ025E82TFUPI", "Spain - HCP Survey Email - June 2025")</f>
        <v>Spain - HCP Survey Email - June 2025</v>
      </c>
      <c r="C498" s="3" t="str">
        <f>HYPERLINK("https://otsuka-europe-crm.veevavault.com/ui/#object/sent_email__v/VBLZ025E82GMXWJ", "SE-000267561")</f>
        <v>SE-000267561</v>
      </c>
      <c r="D498" s="1" t="s">
        <v>0</v>
      </c>
      <c r="E498" s="2">
        <v>0</v>
      </c>
      <c r="F498" s="2">
        <v>0</v>
      </c>
      <c r="G498" s="2">
        <v>0</v>
      </c>
      <c r="H498" s="1" t="s">
        <v>0</v>
      </c>
      <c r="I498" s="2">
        <v>0</v>
      </c>
      <c r="J498" s="1">
        <v>45915.377372685187</v>
      </c>
    </row>
    <row r="499" spans="1:10" x14ac:dyDescent="0.2">
      <c r="A499" s="4" t="s">
        <v>1</v>
      </c>
      <c r="B499" s="3" t="str">
        <f>HYPERLINK("https://otsuka-europe-crm.veevavault.com/ui/#object/approved_document__v/V5OZ025E82TFUPI", "Spain - HCP Survey Email - June 2025")</f>
        <v>Spain - HCP Survey Email - June 2025</v>
      </c>
      <c r="C499" s="3" t="str">
        <f>HYPERLINK("https://otsuka-europe-crm.veevavault.com/ui/#object/sent_email__v/VBLZ025E82GMXWK", "SE-000267562")</f>
        <v>SE-000267562</v>
      </c>
      <c r="D499" s="1" t="s">
        <v>0</v>
      </c>
      <c r="E499" s="2">
        <v>0</v>
      </c>
      <c r="F499" s="2">
        <v>0</v>
      </c>
      <c r="G499" s="2">
        <v>0</v>
      </c>
      <c r="H499" s="1" t="s">
        <v>0</v>
      </c>
      <c r="I499" s="2">
        <v>0</v>
      </c>
      <c r="J499" s="1">
        <v>45915.378321759257</v>
      </c>
    </row>
    <row r="500" spans="1:10" x14ac:dyDescent="0.2">
      <c r="A500" s="4" t="s">
        <v>1</v>
      </c>
      <c r="B500" s="3" t="str">
        <f>HYPERLINK("https://otsuka-europe-crm.veevavault.com/ui/#object/approved_document__v/V5OZ025E82TFUPI", "Spain - HCP Survey Email - June 2025")</f>
        <v>Spain - HCP Survey Email - June 2025</v>
      </c>
      <c r="C500" s="3" t="str">
        <f>HYPERLINK("https://otsuka-europe-crm.veevavault.com/ui/#object/sent_email__v/VBLZ025E82GMXWL", "SE-000267563")</f>
        <v>SE-000267563</v>
      </c>
      <c r="D500" s="1" t="s">
        <v>0</v>
      </c>
      <c r="E500" s="2">
        <v>0</v>
      </c>
      <c r="F500" s="2">
        <v>0</v>
      </c>
      <c r="G500" s="2">
        <v>0</v>
      </c>
      <c r="H500" s="1" t="s">
        <v>0</v>
      </c>
      <c r="I500" s="2">
        <v>0</v>
      </c>
      <c r="J500" s="1">
        <v>45915.378703703704</v>
      </c>
    </row>
    <row r="501" spans="1:10" x14ac:dyDescent="0.2">
      <c r="A501" s="4" t="s">
        <v>1</v>
      </c>
      <c r="B501" s="3" t="str">
        <f>HYPERLINK("https://otsuka-europe-crm.veevavault.com/ui/#object/approved_document__v/V5OZ025E82TFUPI", "Spain - HCP Survey Email - June 2025")</f>
        <v>Spain - HCP Survey Email - June 2025</v>
      </c>
      <c r="C501" s="3" t="str">
        <f>HYPERLINK("https://otsuka-europe-crm.veevavault.com/ui/#object/sent_email__v/VBLZ025E82GMXWM", "SE-000267564")</f>
        <v>SE-000267564</v>
      </c>
      <c r="D501" s="1" t="s">
        <v>0</v>
      </c>
      <c r="E501" s="2">
        <v>0</v>
      </c>
      <c r="F501" s="2">
        <v>0</v>
      </c>
      <c r="G501" s="2">
        <v>0</v>
      </c>
      <c r="H501" s="1" t="s">
        <v>0</v>
      </c>
      <c r="I501" s="2">
        <v>0</v>
      </c>
      <c r="J501" s="1">
        <v>45915.378703703704</v>
      </c>
    </row>
    <row r="502" spans="1:10" x14ac:dyDescent="0.2">
      <c r="A502" s="4" t="s">
        <v>1</v>
      </c>
      <c r="B502" s="3" t="str">
        <f>HYPERLINK("https://otsuka-europe-crm.veevavault.com/ui/#object/approved_document__v/V5OZ025E82TFUPI", "Spain - HCP Survey Email - June 2025")</f>
        <v>Spain - HCP Survey Email - June 2025</v>
      </c>
      <c r="C502" s="3" t="str">
        <f>HYPERLINK("https://otsuka-europe-crm.veevavault.com/ui/#object/sent_email__v/VBLZ025E82GMXWN", "SE-000267565")</f>
        <v>SE-000267565</v>
      </c>
      <c r="D502" s="1">
        <v>45917.260636574072</v>
      </c>
      <c r="E502" s="2">
        <v>1</v>
      </c>
      <c r="F502" s="2">
        <v>1</v>
      </c>
      <c r="G502" s="2">
        <v>0</v>
      </c>
      <c r="H502" s="1" t="s">
        <v>0</v>
      </c>
      <c r="I502" s="2">
        <v>0</v>
      </c>
      <c r="J502" s="1">
        <v>45915.379004629627</v>
      </c>
    </row>
    <row r="503" spans="1:10" x14ac:dyDescent="0.2">
      <c r="A503" s="4" t="s">
        <v>1</v>
      </c>
      <c r="B503" s="3" t="str">
        <f>HYPERLINK("https://otsuka-europe-crm.veevavault.com/ui/#object/approved_document__v/V5OZ025E82TFUPI", "Spain - HCP Survey Email - June 2025")</f>
        <v>Spain - HCP Survey Email - June 2025</v>
      </c>
      <c r="C503" s="3" t="str">
        <f>HYPERLINK("https://otsuka-europe-crm.veevavault.com/ui/#object/sent_email__v/VBLZ025E82GMXWO", "SE-000267566")</f>
        <v>SE-000267566</v>
      </c>
      <c r="D503" s="1">
        <v>45915.587905092594</v>
      </c>
      <c r="E503" s="2">
        <v>1</v>
      </c>
      <c r="F503" s="2">
        <v>1</v>
      </c>
      <c r="G503" s="2">
        <v>0</v>
      </c>
      <c r="H503" s="1" t="s">
        <v>0</v>
      </c>
      <c r="I503" s="2">
        <v>0</v>
      </c>
      <c r="J503" s="1">
        <v>45915.377939814818</v>
      </c>
    </row>
    <row r="504" spans="1:10" x14ac:dyDescent="0.2">
      <c r="A504" s="4" t="s">
        <v>1</v>
      </c>
      <c r="B504" s="3" t="str">
        <f>HYPERLINK("https://otsuka-europe-crm.veevavault.com/ui/#object/approved_document__v/V5OZ025E82TFUPI", "Spain - HCP Survey Email - June 2025")</f>
        <v>Spain - HCP Survey Email - June 2025</v>
      </c>
      <c r="C504" s="3" t="str">
        <f>HYPERLINK("https://otsuka-europe-crm.veevavault.com/ui/#object/sent_email__v/VBLZ025E82GMXWP", "SE-000267567")</f>
        <v>SE-000267567</v>
      </c>
      <c r="D504" s="1">
        <v>45915.623368055552</v>
      </c>
      <c r="E504" s="2">
        <v>1</v>
      </c>
      <c r="F504" s="2">
        <v>1</v>
      </c>
      <c r="G504" s="2">
        <v>0</v>
      </c>
      <c r="H504" s="1" t="s">
        <v>0</v>
      </c>
      <c r="I504" s="2">
        <v>0</v>
      </c>
      <c r="J504" s="1">
        <v>45915.378240740742</v>
      </c>
    </row>
    <row r="505" spans="1:10" x14ac:dyDescent="0.2">
      <c r="A505" s="4" t="s">
        <v>1</v>
      </c>
      <c r="B505" s="3" t="str">
        <f>HYPERLINK("https://otsuka-europe-crm.veevavault.com/ui/#object/approved_document__v/V5OZ025E82TFUPI", "Spain - HCP Survey Email - June 2025")</f>
        <v>Spain - HCP Survey Email - June 2025</v>
      </c>
      <c r="C505" s="3" t="str">
        <f>HYPERLINK("https://otsuka-europe-crm.veevavault.com/ui/#object/sent_email__v/VBLZ025E82GMXWQ", "SE-000267568")</f>
        <v>SE-000267568</v>
      </c>
      <c r="D505" s="1">
        <v>45915.386712962965</v>
      </c>
      <c r="E505" s="2">
        <v>1</v>
      </c>
      <c r="F505" s="2">
        <v>1</v>
      </c>
      <c r="G505" s="2">
        <v>1</v>
      </c>
      <c r="H505" s="1">
        <v>45915.386712962965</v>
      </c>
      <c r="I505" s="2">
        <v>1</v>
      </c>
      <c r="J505" s="1">
        <v>45915.378078703703</v>
      </c>
    </row>
    <row r="506" spans="1:10" x14ac:dyDescent="0.2">
      <c r="A506" s="4" t="s">
        <v>1</v>
      </c>
      <c r="B506" s="3" t="str">
        <f>HYPERLINK("https://otsuka-europe-crm.veevavault.com/ui/#object/approved_document__v/V5OZ025E82TFUPI", "Spain - HCP Survey Email - June 2025")</f>
        <v>Spain - HCP Survey Email - June 2025</v>
      </c>
      <c r="C506" s="3" t="str">
        <f>HYPERLINK("https://otsuka-europe-crm.veevavault.com/ui/#object/sent_email__v/VBLZ025E82GMXWR", "SE-000267569")</f>
        <v>SE-000267569</v>
      </c>
      <c r="D506" s="1" t="s">
        <v>0</v>
      </c>
      <c r="E506" s="2">
        <v>0</v>
      </c>
      <c r="F506" s="2">
        <v>0</v>
      </c>
      <c r="G506" s="2">
        <v>0</v>
      </c>
      <c r="H506" s="1" t="s">
        <v>0</v>
      </c>
      <c r="I506" s="2">
        <v>0</v>
      </c>
      <c r="J506" s="1">
        <v>45915.378622685188</v>
      </c>
    </row>
    <row r="507" spans="1:10" x14ac:dyDescent="0.2">
      <c r="A507" s="4" t="s">
        <v>1</v>
      </c>
      <c r="B507" s="3" t="str">
        <f>HYPERLINK("https://otsuka-europe-crm.veevavault.com/ui/#object/approved_document__v/V5OZ025E82TFUPI", "Spain - HCP Survey Email - June 2025")</f>
        <v>Spain - HCP Survey Email - June 2025</v>
      </c>
      <c r="C507" s="3" t="str">
        <f>HYPERLINK("https://otsuka-europe-crm.veevavault.com/ui/#object/sent_email__v/VBLZ025E82GMXWS", "SE-000267570")</f>
        <v>SE-000267570</v>
      </c>
      <c r="D507" s="1">
        <v>45915.394537037035</v>
      </c>
      <c r="E507" s="2">
        <v>1</v>
      </c>
      <c r="F507" s="2">
        <v>1</v>
      </c>
      <c r="G507" s="2">
        <v>0</v>
      </c>
      <c r="H507" s="1" t="s">
        <v>0</v>
      </c>
      <c r="I507" s="2">
        <v>0</v>
      </c>
      <c r="J507" s="1">
        <v>45915.379988425928</v>
      </c>
    </row>
    <row r="508" spans="1:10" x14ac:dyDescent="0.2">
      <c r="A508" s="4" t="s">
        <v>1</v>
      </c>
      <c r="B508" s="3" t="str">
        <f>HYPERLINK("https://otsuka-europe-crm.veevavault.com/ui/#object/approved_document__v/V5OZ025E82TFUPI", "Spain - HCP Survey Email - June 2025")</f>
        <v>Spain - HCP Survey Email - June 2025</v>
      </c>
      <c r="C508" s="3" t="str">
        <f>HYPERLINK("https://otsuka-europe-crm.veevavault.com/ui/#object/sent_email__v/VBLZ025E82GMXWT", "SE-000267571")</f>
        <v>SE-000267571</v>
      </c>
      <c r="D508" s="1">
        <v>45916.659247685187</v>
      </c>
      <c r="E508" s="2">
        <v>1</v>
      </c>
      <c r="F508" s="2">
        <v>1</v>
      </c>
      <c r="G508" s="2">
        <v>0</v>
      </c>
      <c r="H508" s="1" t="s">
        <v>0</v>
      </c>
      <c r="I508" s="2">
        <v>0</v>
      </c>
      <c r="J508" s="1">
        <v>45915.37773148148</v>
      </c>
    </row>
    <row r="509" spans="1:10" x14ac:dyDescent="0.2">
      <c r="A509" s="4" t="s">
        <v>1</v>
      </c>
      <c r="B509" s="3" t="str">
        <f>HYPERLINK("https://otsuka-europe-crm.veevavault.com/ui/#object/approved_document__v/V5OZ025E82TFUPI", "Spain - HCP Survey Email - June 2025")</f>
        <v>Spain - HCP Survey Email - June 2025</v>
      </c>
      <c r="C509" s="3" t="str">
        <f>HYPERLINK("https://otsuka-europe-crm.veevavault.com/ui/#object/sent_email__v/VBLZ025E82GMXWU", "SE-000267572")</f>
        <v>SE-000267572</v>
      </c>
      <c r="D509" s="1">
        <v>45915.519305555557</v>
      </c>
      <c r="E509" s="2">
        <v>1</v>
      </c>
      <c r="F509" s="2">
        <v>2</v>
      </c>
      <c r="G509" s="2">
        <v>0</v>
      </c>
      <c r="H509" s="1" t="s">
        <v>0</v>
      </c>
      <c r="I509" s="2">
        <v>0</v>
      </c>
      <c r="J509" s="1">
        <v>45915.377685185187</v>
      </c>
    </row>
    <row r="510" spans="1:10" x14ac:dyDescent="0.2">
      <c r="A510" s="4" t="s">
        <v>1</v>
      </c>
      <c r="B510" s="3" t="str">
        <f>HYPERLINK("https://otsuka-europe-crm.veevavault.com/ui/#object/approved_document__v/V5OZ025E82TFUPI", "Spain - HCP Survey Email - June 2025")</f>
        <v>Spain - HCP Survey Email - June 2025</v>
      </c>
      <c r="C510" s="3" t="str">
        <f>HYPERLINK("https://otsuka-europe-crm.veevavault.com/ui/#object/sent_email__v/VBLZ025E82GMXWV", "SE-000267573")</f>
        <v>SE-000267573</v>
      </c>
      <c r="D510" s="1">
        <v>45916.420162037037</v>
      </c>
      <c r="E510" s="2">
        <v>1</v>
      </c>
      <c r="F510" s="2">
        <v>1</v>
      </c>
      <c r="G510" s="2">
        <v>1</v>
      </c>
      <c r="H510" s="1">
        <v>45916.420370370368</v>
      </c>
      <c r="I510" s="2">
        <v>2</v>
      </c>
      <c r="J510" s="1">
        <v>45915.378298611111</v>
      </c>
    </row>
    <row r="511" spans="1:10" x14ac:dyDescent="0.2">
      <c r="A511" s="4" t="s">
        <v>1</v>
      </c>
      <c r="B511" s="3" t="str">
        <f>HYPERLINK("https://otsuka-europe-crm.veevavault.com/ui/#object/approved_document__v/V5OZ025E82TFUPI", "Spain - HCP Survey Email - June 2025")</f>
        <v>Spain - HCP Survey Email - June 2025</v>
      </c>
      <c r="C511" s="3" t="str">
        <f>HYPERLINK("https://otsuka-europe-crm.veevavault.com/ui/#object/sent_email__v/VBLZ025E82GMXWW", "SE-000267574")</f>
        <v>SE-000267574</v>
      </c>
      <c r="D511" s="1">
        <v>45915.399421296293</v>
      </c>
      <c r="E511" s="2">
        <v>1</v>
      </c>
      <c r="F511" s="2">
        <v>2</v>
      </c>
      <c r="G511" s="2">
        <v>0</v>
      </c>
      <c r="H511" s="1" t="s">
        <v>0</v>
      </c>
      <c r="I511" s="2">
        <v>0</v>
      </c>
      <c r="J511" s="1">
        <v>45915.379780092589</v>
      </c>
    </row>
    <row r="512" spans="1:10" x14ac:dyDescent="0.2">
      <c r="A512" s="4" t="s">
        <v>1</v>
      </c>
      <c r="B512" s="3" t="str">
        <f>HYPERLINK("https://otsuka-europe-crm.veevavault.com/ui/#object/approved_document__v/V5OZ025E82TFUPI", "Spain - HCP Survey Email - June 2025")</f>
        <v>Spain - HCP Survey Email - June 2025</v>
      </c>
      <c r="C512" s="3" t="str">
        <f>HYPERLINK("https://otsuka-europe-crm.veevavault.com/ui/#object/sent_email__v/VBLZ025E82GMXWX", "SE-000267575")</f>
        <v>SE-000267575</v>
      </c>
      <c r="D512" s="1">
        <v>45915.828692129631</v>
      </c>
      <c r="E512" s="2">
        <v>1</v>
      </c>
      <c r="F512" s="2">
        <v>1</v>
      </c>
      <c r="G512" s="2">
        <v>1</v>
      </c>
      <c r="H512" s="1">
        <v>45915.828981481478</v>
      </c>
      <c r="I512" s="2">
        <v>1</v>
      </c>
      <c r="J512" s="1">
        <v>45915.37777777778</v>
      </c>
    </row>
    <row r="513" spans="1:10" x14ac:dyDescent="0.2">
      <c r="A513" s="4" t="s">
        <v>1</v>
      </c>
      <c r="B513" s="3" t="str">
        <f>HYPERLINK("https://otsuka-europe-crm.veevavault.com/ui/#object/approved_document__v/V5OZ025E82TFUPI", "Spain - HCP Survey Email - June 2025")</f>
        <v>Spain - HCP Survey Email - June 2025</v>
      </c>
      <c r="C513" s="3" t="str">
        <f>HYPERLINK("https://otsuka-europe-crm.veevavault.com/ui/#object/sent_email__v/VBLZ025E82GMXWY", "SE-000267576")</f>
        <v>SE-000267576</v>
      </c>
      <c r="D513" s="1" t="s">
        <v>0</v>
      </c>
      <c r="E513" s="2">
        <v>0</v>
      </c>
      <c r="F513" s="2">
        <v>0</v>
      </c>
      <c r="G513" s="2">
        <v>0</v>
      </c>
      <c r="H513" s="1" t="s">
        <v>0</v>
      </c>
      <c r="I513" s="2">
        <v>0</v>
      </c>
      <c r="J513" s="1">
        <v>45915.377662037034</v>
      </c>
    </row>
    <row r="514" spans="1:10" x14ac:dyDescent="0.2">
      <c r="A514" s="4" t="s">
        <v>1</v>
      </c>
      <c r="B514" s="3" t="str">
        <f>HYPERLINK("https://otsuka-europe-crm.veevavault.com/ui/#object/approved_document__v/V5OZ025E82TFUPI", "Spain - HCP Survey Email - June 2025")</f>
        <v>Spain - HCP Survey Email - June 2025</v>
      </c>
      <c r="C514" s="3" t="str">
        <f>HYPERLINK("https://otsuka-europe-crm.veevavault.com/ui/#object/sent_email__v/VBLZ025E82GMXWZ", "SE-000267577")</f>
        <v>SE-000267577</v>
      </c>
      <c r="D514" s="1">
        <v>45915.379664351851</v>
      </c>
      <c r="E514" s="2">
        <v>1</v>
      </c>
      <c r="F514" s="2">
        <v>1</v>
      </c>
      <c r="G514" s="2">
        <v>1</v>
      </c>
      <c r="H514" s="1">
        <v>45915.379826388889</v>
      </c>
      <c r="I514" s="2">
        <v>2</v>
      </c>
      <c r="J514" s="1">
        <v>45915.378333333334</v>
      </c>
    </row>
    <row r="515" spans="1:10" x14ac:dyDescent="0.2">
      <c r="A515" s="4" t="s">
        <v>1</v>
      </c>
      <c r="B515" s="3" t="str">
        <f>HYPERLINK("https://otsuka-europe-crm.veevavault.com/ui/#object/approved_document__v/V5OZ025E82TFUPI", "Spain - HCP Survey Email - June 2025")</f>
        <v>Spain - HCP Survey Email - June 2025</v>
      </c>
      <c r="C515" s="3" t="str">
        <f>HYPERLINK("https://otsuka-europe-crm.veevavault.com/ui/#object/sent_email__v/VBLZ025E82GMXX0", "SE-000267578")</f>
        <v>SE-000267578</v>
      </c>
      <c r="D515" s="1" t="s">
        <v>0</v>
      </c>
      <c r="E515" s="2">
        <v>0</v>
      </c>
      <c r="F515" s="2">
        <v>0</v>
      </c>
      <c r="G515" s="2">
        <v>0</v>
      </c>
      <c r="H515" s="1" t="s">
        <v>0</v>
      </c>
      <c r="I515" s="2">
        <v>0</v>
      </c>
      <c r="J515" s="1">
        <v>45915.378842592596</v>
      </c>
    </row>
    <row r="516" spans="1:10" x14ac:dyDescent="0.2">
      <c r="A516" s="4" t="s">
        <v>1</v>
      </c>
      <c r="B516" s="3" t="str">
        <f>HYPERLINK("https://otsuka-europe-crm.veevavault.com/ui/#object/approved_document__v/V5OZ025E82TFUPI", "Spain - HCP Survey Email - June 2025")</f>
        <v>Spain - HCP Survey Email - June 2025</v>
      </c>
      <c r="C516" s="3" t="str">
        <f>HYPERLINK("https://otsuka-europe-crm.veevavault.com/ui/#object/sent_email__v/VBLZ025E82GMXX1", "SE-000267579")</f>
        <v>SE-000267579</v>
      </c>
      <c r="D516" s="1">
        <v>45926.320844907408</v>
      </c>
      <c r="E516" s="2">
        <v>1</v>
      </c>
      <c r="F516" s="2">
        <v>2</v>
      </c>
      <c r="G516" s="2">
        <v>0</v>
      </c>
      <c r="H516" s="1" t="s">
        <v>0</v>
      </c>
      <c r="I516" s="2">
        <v>0</v>
      </c>
      <c r="J516" s="1">
        <v>45915.37872685185</v>
      </c>
    </row>
    <row r="517" spans="1:10" x14ac:dyDescent="0.2">
      <c r="A517" s="4" t="s">
        <v>1</v>
      </c>
      <c r="B517" s="3" t="str">
        <f>HYPERLINK("https://otsuka-europe-crm.veevavault.com/ui/#object/approved_document__v/V5OZ025E82TFUPI", "Spain - HCP Survey Email - June 2025")</f>
        <v>Spain - HCP Survey Email - June 2025</v>
      </c>
      <c r="C517" s="3" t="str">
        <f>HYPERLINK("https://otsuka-europe-crm.veevavault.com/ui/#object/sent_email__v/VBLZ025E82GMXX2", "SE-000267580")</f>
        <v>SE-000267580</v>
      </c>
      <c r="D517" s="1" t="s">
        <v>0</v>
      </c>
      <c r="E517" s="2">
        <v>0</v>
      </c>
      <c r="F517" s="2">
        <v>0</v>
      </c>
      <c r="G517" s="2">
        <v>0</v>
      </c>
      <c r="H517" s="1" t="s">
        <v>0</v>
      </c>
      <c r="I517" s="2">
        <v>0</v>
      </c>
      <c r="J517" s="1">
        <v>45915.379074074073</v>
      </c>
    </row>
    <row r="518" spans="1:10" x14ac:dyDescent="0.2">
      <c r="A518" s="4" t="s">
        <v>1</v>
      </c>
      <c r="B518" s="3" t="str">
        <f>HYPERLINK("https://otsuka-europe-crm.veevavault.com/ui/#object/approved_document__v/V5OZ025E82TFUPI", "Spain - HCP Survey Email - June 2025")</f>
        <v>Spain - HCP Survey Email - June 2025</v>
      </c>
      <c r="C518" s="3" t="str">
        <f>HYPERLINK("https://otsuka-europe-crm.veevavault.com/ui/#object/sent_email__v/VBLZ025E82GMXX3", "SE-000267581")</f>
        <v>SE-000267581</v>
      </c>
      <c r="D518" s="1" t="s">
        <v>0</v>
      </c>
      <c r="E518" s="2">
        <v>0</v>
      </c>
      <c r="F518" s="2">
        <v>0</v>
      </c>
      <c r="G518" s="2">
        <v>0</v>
      </c>
      <c r="H518" s="1" t="s">
        <v>0</v>
      </c>
      <c r="I518" s="2">
        <v>0</v>
      </c>
      <c r="J518" s="1">
        <v>45915.377824074072</v>
      </c>
    </row>
    <row r="519" spans="1:10" x14ac:dyDescent="0.2">
      <c r="A519" s="4" t="s">
        <v>1</v>
      </c>
      <c r="B519" s="3" t="str">
        <f>HYPERLINK("https://otsuka-europe-crm.veevavault.com/ui/#object/approved_document__v/V5OZ025E82TFUPI", "Spain - HCP Survey Email - June 2025")</f>
        <v>Spain - HCP Survey Email - June 2025</v>
      </c>
      <c r="C519" s="3" t="str">
        <f>HYPERLINK("https://otsuka-europe-crm.veevavault.com/ui/#object/sent_email__v/VBLZ025E82GMXX4", "SE-000267582")</f>
        <v>SE-000267582</v>
      </c>
      <c r="D519" s="1">
        <v>45916.372662037036</v>
      </c>
      <c r="E519" s="2">
        <v>1</v>
      </c>
      <c r="F519" s="2">
        <v>2</v>
      </c>
      <c r="G519" s="2">
        <v>1</v>
      </c>
      <c r="H519" s="1">
        <v>45916.37290509259</v>
      </c>
      <c r="I519" s="2">
        <v>1</v>
      </c>
      <c r="J519" s="1">
        <v>45915.378206018519</v>
      </c>
    </row>
    <row r="520" spans="1:10" x14ac:dyDescent="0.2">
      <c r="A520" s="4" t="s">
        <v>1</v>
      </c>
      <c r="B520" s="3" t="str">
        <f>HYPERLINK("https://otsuka-europe-crm.veevavault.com/ui/#object/approved_document__v/V5OZ025E82TFUPI", "Spain - HCP Survey Email - June 2025")</f>
        <v>Spain - HCP Survey Email - June 2025</v>
      </c>
      <c r="C520" s="3" t="str">
        <f>HYPERLINK("https://otsuka-europe-crm.veevavault.com/ui/#object/sent_email__v/VBLZ025E82GMXX5", "SE-000267583")</f>
        <v>SE-000267583</v>
      </c>
      <c r="D520" s="1" t="s">
        <v>0</v>
      </c>
      <c r="E520" s="2">
        <v>0</v>
      </c>
      <c r="F520" s="2">
        <v>0</v>
      </c>
      <c r="G520" s="2">
        <v>0</v>
      </c>
      <c r="H520" s="1" t="s">
        <v>0</v>
      </c>
      <c r="I520" s="2">
        <v>0</v>
      </c>
      <c r="J520" s="1">
        <v>45915.378113425926</v>
      </c>
    </row>
    <row r="521" spans="1:10" x14ac:dyDescent="0.2">
      <c r="A521" s="4" t="s">
        <v>1</v>
      </c>
      <c r="B521" s="3" t="str">
        <f>HYPERLINK("https://otsuka-europe-crm.veevavault.com/ui/#object/approved_document__v/V5OZ025E82TFUPI", "Spain - HCP Survey Email - June 2025")</f>
        <v>Spain - HCP Survey Email - June 2025</v>
      </c>
      <c r="C521" s="3" t="str">
        <f>HYPERLINK("https://otsuka-europe-crm.veevavault.com/ui/#object/sent_email__v/VBLZ025E82GMXX6", "SE-000267584")</f>
        <v>SE-000267584</v>
      </c>
      <c r="D521" s="1" t="s">
        <v>0</v>
      </c>
      <c r="E521" s="2">
        <v>0</v>
      </c>
      <c r="F521" s="2">
        <v>0</v>
      </c>
      <c r="G521" s="2">
        <v>0</v>
      </c>
      <c r="H521" s="1" t="s">
        <v>0</v>
      </c>
      <c r="I521" s="2">
        <v>0</v>
      </c>
      <c r="J521" s="1">
        <v>45915.378645833334</v>
      </c>
    </row>
    <row r="522" spans="1:10" x14ac:dyDescent="0.2">
      <c r="A522" s="4" t="s">
        <v>1</v>
      </c>
      <c r="B522" s="3" t="str">
        <f>HYPERLINK("https://otsuka-europe-crm.veevavault.com/ui/#object/approved_document__v/V5OZ025E82TFUPI", "Spain - HCP Survey Email - June 2025")</f>
        <v>Spain - HCP Survey Email - June 2025</v>
      </c>
      <c r="C522" s="3" t="str">
        <f>HYPERLINK("https://otsuka-europe-crm.veevavault.com/ui/#object/sent_email__v/VBLZ025E82GMXX7", "SE-000267585")</f>
        <v>SE-000267585</v>
      </c>
      <c r="D522" s="1" t="s">
        <v>0</v>
      </c>
      <c r="E522" s="2">
        <v>0</v>
      </c>
      <c r="F522" s="2">
        <v>0</v>
      </c>
      <c r="G522" s="2">
        <v>0</v>
      </c>
      <c r="H522" s="1" t="s">
        <v>0</v>
      </c>
      <c r="I522" s="2">
        <v>0</v>
      </c>
      <c r="J522" s="1">
        <v>45915.38003472222</v>
      </c>
    </row>
    <row r="523" spans="1:10" x14ac:dyDescent="0.2">
      <c r="A523" s="4" t="s">
        <v>1</v>
      </c>
      <c r="B523" s="3" t="str">
        <f>HYPERLINK("https://otsuka-europe-crm.veevavault.com/ui/#object/approved_document__v/V5OZ025E82TFUPI", "Spain - HCP Survey Email - June 2025")</f>
        <v>Spain - HCP Survey Email - June 2025</v>
      </c>
      <c r="C523" s="3" t="str">
        <f>HYPERLINK("https://otsuka-europe-crm.veevavault.com/ui/#object/sent_email__v/VBLZ025E82GMXX8", "SE-000267586")</f>
        <v>SE-000267586</v>
      </c>
      <c r="D523" s="1" t="s">
        <v>0</v>
      </c>
      <c r="E523" s="2">
        <v>0</v>
      </c>
      <c r="F523" s="2">
        <v>0</v>
      </c>
      <c r="G523" s="2">
        <v>0</v>
      </c>
      <c r="H523" s="1" t="s">
        <v>0</v>
      </c>
      <c r="I523" s="2">
        <v>0</v>
      </c>
      <c r="J523" s="1">
        <v>45915.37771990741</v>
      </c>
    </row>
    <row r="524" spans="1:10" x14ac:dyDescent="0.2">
      <c r="A524" s="4" t="s">
        <v>1</v>
      </c>
      <c r="B524" s="3" t="str">
        <f>HYPERLINK("https://otsuka-europe-crm.veevavault.com/ui/#object/approved_document__v/V5OZ025E82TFUPI", "Spain - HCP Survey Email - June 2025")</f>
        <v>Spain - HCP Survey Email - June 2025</v>
      </c>
      <c r="C524" s="3" t="str">
        <f>HYPERLINK("https://otsuka-europe-crm.veevavault.com/ui/#object/sent_email__v/VBLZ025E82GMXX9", "SE-000267587")</f>
        <v>SE-000267587</v>
      </c>
      <c r="D524" s="1" t="s">
        <v>0</v>
      </c>
      <c r="E524" s="2">
        <v>0</v>
      </c>
      <c r="F524" s="2">
        <v>0</v>
      </c>
      <c r="G524" s="2">
        <v>0</v>
      </c>
      <c r="H524" s="1" t="s">
        <v>0</v>
      </c>
      <c r="I524" s="2">
        <v>0</v>
      </c>
      <c r="J524" s="1">
        <v>45915.377638888887</v>
      </c>
    </row>
    <row r="525" spans="1:10" x14ac:dyDescent="0.2">
      <c r="A525" s="4" t="s">
        <v>1</v>
      </c>
      <c r="B525" s="3" t="str">
        <f>HYPERLINK("https://otsuka-europe-crm.veevavault.com/ui/#object/approved_document__v/V5OZ025E82TFUPI", "Spain - HCP Survey Email - June 2025")</f>
        <v>Spain - HCP Survey Email - June 2025</v>
      </c>
      <c r="C525" s="3" t="str">
        <f>HYPERLINK("https://otsuka-europe-crm.veevavault.com/ui/#object/sent_email__v/VBLZ025E82GMXXA", "SE-000267588")</f>
        <v>SE-000267588</v>
      </c>
      <c r="D525" s="1" t="s">
        <v>0</v>
      </c>
      <c r="E525" s="2">
        <v>0</v>
      </c>
      <c r="F525" s="2">
        <v>0</v>
      </c>
      <c r="G525" s="2">
        <v>0</v>
      </c>
      <c r="H525" s="1" t="s">
        <v>0</v>
      </c>
      <c r="I525" s="2">
        <v>0</v>
      </c>
      <c r="J525" s="1">
        <v>45915.378321759257</v>
      </c>
    </row>
    <row r="526" spans="1:10" x14ac:dyDescent="0.2">
      <c r="A526" s="4" t="s">
        <v>1</v>
      </c>
      <c r="B526" s="3" t="str">
        <f>HYPERLINK("https://otsuka-europe-crm.veevavault.com/ui/#object/approved_document__v/V5OZ025E82TFUPI", "Spain - HCP Survey Email - June 2025")</f>
        <v>Spain - HCP Survey Email - June 2025</v>
      </c>
      <c r="C526" s="3" t="str">
        <f>HYPERLINK("https://otsuka-europe-crm.veevavault.com/ui/#object/sent_email__v/VBLZ025E82GMXXB", "SE-000267589")</f>
        <v>SE-000267589</v>
      </c>
      <c r="D526" s="1" t="s">
        <v>0</v>
      </c>
      <c r="E526" s="2">
        <v>0</v>
      </c>
      <c r="F526" s="2">
        <v>0</v>
      </c>
      <c r="G526" s="2">
        <v>0</v>
      </c>
      <c r="H526" s="1" t="s">
        <v>0</v>
      </c>
      <c r="I526" s="2">
        <v>0</v>
      </c>
      <c r="J526" s="1">
        <v>45915.378831018519</v>
      </c>
    </row>
    <row r="527" spans="1:10" x14ac:dyDescent="0.2">
      <c r="A527" s="4" t="s">
        <v>1</v>
      </c>
      <c r="B527" s="3" t="str">
        <f>HYPERLINK("https://otsuka-europe-crm.veevavault.com/ui/#object/approved_document__v/V5OZ025E82TFUPI", "Spain - HCP Survey Email - June 2025")</f>
        <v>Spain - HCP Survey Email - June 2025</v>
      </c>
      <c r="C527" s="3" t="str">
        <f>HYPERLINK("https://otsuka-europe-crm.veevavault.com/ui/#object/sent_email__v/VBLZ025E82GMXXC", "SE-000267590")</f>
        <v>SE-000267590</v>
      </c>
      <c r="D527" s="1">
        <v>45915.569745370369</v>
      </c>
      <c r="E527" s="2">
        <v>1</v>
      </c>
      <c r="F527" s="2">
        <v>2</v>
      </c>
      <c r="G527" s="2">
        <v>0</v>
      </c>
      <c r="H527" s="1" t="s">
        <v>0</v>
      </c>
      <c r="I527" s="2">
        <v>0</v>
      </c>
      <c r="J527" s="1">
        <v>45915.37871527778</v>
      </c>
    </row>
    <row r="528" spans="1:10" x14ac:dyDescent="0.2">
      <c r="A528" s="4" t="s">
        <v>1</v>
      </c>
      <c r="B528" s="3" t="str">
        <f>HYPERLINK("https://otsuka-europe-crm.veevavault.com/ui/#object/approved_document__v/V5OZ025E82TFUPI", "Spain - HCP Survey Email - June 2025")</f>
        <v>Spain - HCP Survey Email - June 2025</v>
      </c>
      <c r="C528" s="3" t="str">
        <f>HYPERLINK("https://otsuka-europe-crm.veevavault.com/ui/#object/sent_email__v/VBLZ025E82GMXXD", "SE-000267591")</f>
        <v>SE-000267591</v>
      </c>
      <c r="D528" s="1">
        <v>45934.855092592596</v>
      </c>
      <c r="E528" s="2">
        <v>1</v>
      </c>
      <c r="F528" s="2">
        <v>4</v>
      </c>
      <c r="G528" s="2">
        <v>0</v>
      </c>
      <c r="H528" s="1" t="s">
        <v>0</v>
      </c>
      <c r="I528" s="2">
        <v>0</v>
      </c>
      <c r="J528" s="1">
        <v>45915.379120370373</v>
      </c>
    </row>
    <row r="529" spans="1:10" x14ac:dyDescent="0.2">
      <c r="A529" s="4" t="s">
        <v>1</v>
      </c>
      <c r="B529" s="3" t="str">
        <f>HYPERLINK("https://otsuka-europe-crm.veevavault.com/ui/#object/approved_document__v/V5OZ025E82TFUPI", "Spain - HCP Survey Email - June 2025")</f>
        <v>Spain - HCP Survey Email - June 2025</v>
      </c>
      <c r="C529" s="3" t="str">
        <f>HYPERLINK("https://otsuka-europe-crm.veevavault.com/ui/#object/sent_email__v/VBLZ025E82GMXXE", "SE-000267592")</f>
        <v>SE-000267592</v>
      </c>
      <c r="D529" s="1" t="s">
        <v>0</v>
      </c>
      <c r="E529" s="2">
        <v>0</v>
      </c>
      <c r="F529" s="2">
        <v>0</v>
      </c>
      <c r="G529" s="2">
        <v>0</v>
      </c>
      <c r="H529" s="1" t="s">
        <v>0</v>
      </c>
      <c r="I529" s="2">
        <v>0</v>
      </c>
      <c r="J529" s="1">
        <v>45915.377928240741</v>
      </c>
    </row>
    <row r="530" spans="1:10" x14ac:dyDescent="0.2">
      <c r="A530" s="4" t="s">
        <v>1</v>
      </c>
      <c r="B530" s="3" t="str">
        <f>HYPERLINK("https://otsuka-europe-crm.veevavault.com/ui/#object/approved_document__v/V5OZ025E82TFUPI", "Spain - HCP Survey Email - June 2025")</f>
        <v>Spain - HCP Survey Email - June 2025</v>
      </c>
      <c r="C530" s="3" t="str">
        <f>HYPERLINK("https://otsuka-europe-crm.veevavault.com/ui/#object/sent_email__v/VBLZ025E82GMXXF", "SE-000267593")</f>
        <v>SE-000267593</v>
      </c>
      <c r="D530" s="1" t="s">
        <v>0</v>
      </c>
      <c r="E530" s="2">
        <v>0</v>
      </c>
      <c r="F530" s="2">
        <v>0</v>
      </c>
      <c r="G530" s="2">
        <v>0</v>
      </c>
      <c r="H530" s="1" t="s">
        <v>0</v>
      </c>
      <c r="I530" s="2">
        <v>0</v>
      </c>
      <c r="J530" s="1">
        <v>45915.37835648148</v>
      </c>
    </row>
    <row r="531" spans="1:10" x14ac:dyDescent="0.2">
      <c r="A531" s="4" t="s">
        <v>1</v>
      </c>
      <c r="B531" s="3" t="str">
        <f>HYPERLINK("https://otsuka-europe-crm.veevavault.com/ui/#object/approved_document__v/V5OZ025E82TFUPI", "Spain - HCP Survey Email - June 2025")</f>
        <v>Spain - HCP Survey Email - June 2025</v>
      </c>
      <c r="C531" s="3" t="str">
        <f>HYPERLINK("https://otsuka-europe-crm.veevavault.com/ui/#object/sent_email__v/VBLZ025E82GMXXG", "SE-000267594")</f>
        <v>SE-000267594</v>
      </c>
      <c r="D531" s="1" t="s">
        <v>0</v>
      </c>
      <c r="E531" s="2">
        <v>0</v>
      </c>
      <c r="F531" s="2">
        <v>0</v>
      </c>
      <c r="G531" s="2">
        <v>0</v>
      </c>
      <c r="H531" s="1" t="s">
        <v>0</v>
      </c>
      <c r="I531" s="2">
        <v>0</v>
      </c>
      <c r="J531" s="1">
        <v>45915.378125000003</v>
      </c>
    </row>
    <row r="532" spans="1:10" x14ac:dyDescent="0.2">
      <c r="A532" s="4" t="s">
        <v>1</v>
      </c>
      <c r="B532" s="3" t="str">
        <f>HYPERLINK("https://otsuka-europe-crm.veevavault.com/ui/#object/approved_document__v/V5OZ025E82TFUPI", "Spain - HCP Survey Email - June 2025")</f>
        <v>Spain - HCP Survey Email - June 2025</v>
      </c>
      <c r="C532" s="3" t="str">
        <f>HYPERLINK("https://otsuka-europe-crm.veevavault.com/ui/#object/sent_email__v/VBLZ025E82GMXXH", "SE-000267595")</f>
        <v>SE-000267595</v>
      </c>
      <c r="D532" s="1">
        <v>45915.418043981481</v>
      </c>
      <c r="E532" s="2">
        <v>1</v>
      </c>
      <c r="F532" s="2">
        <v>2</v>
      </c>
      <c r="G532" s="2">
        <v>0</v>
      </c>
      <c r="H532" s="1" t="s">
        <v>0</v>
      </c>
      <c r="I532" s="2">
        <v>0</v>
      </c>
      <c r="J532" s="1">
        <v>45915.378495370373</v>
      </c>
    </row>
    <row r="533" spans="1:10" x14ac:dyDescent="0.2">
      <c r="A533" s="4" t="s">
        <v>1</v>
      </c>
      <c r="B533" s="3" t="str">
        <f>HYPERLINK("https://otsuka-europe-crm.veevavault.com/ui/#object/approved_document__v/V5OZ025E82TFUPI", "Spain - HCP Survey Email - June 2025")</f>
        <v>Spain - HCP Survey Email - June 2025</v>
      </c>
      <c r="C533" s="3" t="str">
        <f>HYPERLINK("https://otsuka-europe-crm.veevavault.com/ui/#object/sent_email__v/VBLZ025E82GMXXI", "SE-000267596")</f>
        <v>SE-000267596</v>
      </c>
      <c r="D533" s="1">
        <v>45915.383923611109</v>
      </c>
      <c r="E533" s="2">
        <v>1</v>
      </c>
      <c r="F533" s="2">
        <v>2</v>
      </c>
      <c r="G533" s="2">
        <v>0</v>
      </c>
      <c r="H533" s="1" t="s">
        <v>0</v>
      </c>
      <c r="I533" s="2">
        <v>0</v>
      </c>
      <c r="J533" s="1">
        <v>45915.379907407405</v>
      </c>
    </row>
    <row r="534" spans="1:10" x14ac:dyDescent="0.2">
      <c r="A534" s="4" t="s">
        <v>1</v>
      </c>
      <c r="B534" s="3" t="str">
        <f>HYPERLINK("https://otsuka-europe-crm.veevavault.com/ui/#object/approved_document__v/V5OZ025E82TFUPI", "Spain - HCP Survey Email - June 2025")</f>
        <v>Spain - HCP Survey Email - June 2025</v>
      </c>
      <c r="C534" s="3" t="str">
        <f>HYPERLINK("https://otsuka-europe-crm.veevavault.com/ui/#object/sent_email__v/VBLZ025E82GMXXJ", "SE-000267597")</f>
        <v>SE-000267597</v>
      </c>
      <c r="D534" s="1">
        <v>45915.419282407405</v>
      </c>
      <c r="E534" s="2">
        <v>1</v>
      </c>
      <c r="F534" s="2">
        <v>1</v>
      </c>
      <c r="G534" s="2">
        <v>0</v>
      </c>
      <c r="H534" s="1" t="s">
        <v>0</v>
      </c>
      <c r="I534" s="2">
        <v>0</v>
      </c>
      <c r="J534" s="1">
        <v>45915.377824074072</v>
      </c>
    </row>
    <row r="535" spans="1:10" x14ac:dyDescent="0.2">
      <c r="A535" s="4" t="s">
        <v>1</v>
      </c>
      <c r="B535" s="3" t="str">
        <f>HYPERLINK("https://otsuka-europe-crm.veevavault.com/ui/#object/approved_document__v/V5OZ025E82TFUPI", "Spain - HCP Survey Email - June 2025")</f>
        <v>Spain - HCP Survey Email - June 2025</v>
      </c>
      <c r="C535" s="3" t="str">
        <f>HYPERLINK("https://otsuka-europe-crm.veevavault.com/ui/#object/sent_email__v/VBLZ025E82GMXXK", "SE-000267598")</f>
        <v>SE-000267598</v>
      </c>
      <c r="D535" s="1">
        <v>45916.264884259261</v>
      </c>
      <c r="E535" s="2">
        <v>1</v>
      </c>
      <c r="F535" s="2">
        <v>1</v>
      </c>
      <c r="G535" s="2">
        <v>0</v>
      </c>
      <c r="H535" s="1" t="s">
        <v>0</v>
      </c>
      <c r="I535" s="2">
        <v>0</v>
      </c>
      <c r="J535" s="1">
        <v>45915.377592592595</v>
      </c>
    </row>
    <row r="536" spans="1:10" x14ac:dyDescent="0.2">
      <c r="A536" s="4" t="s">
        <v>1</v>
      </c>
      <c r="B536" s="3" t="str">
        <f>HYPERLINK("https://otsuka-europe-crm.veevavault.com/ui/#object/approved_document__v/V5OZ025E82TFUPI", "Spain - HCP Survey Email - June 2025")</f>
        <v>Spain - HCP Survey Email - June 2025</v>
      </c>
      <c r="C536" s="3" t="str">
        <f>HYPERLINK("https://otsuka-europe-crm.veevavault.com/ui/#object/sent_email__v/VBLZ025E82GMXXL", "SE-000267599")</f>
        <v>SE-000267599</v>
      </c>
      <c r="D536" s="1">
        <v>45915.445752314816</v>
      </c>
      <c r="E536" s="2">
        <v>1</v>
      </c>
      <c r="F536" s="2">
        <v>1</v>
      </c>
      <c r="G536" s="2">
        <v>0</v>
      </c>
      <c r="H536" s="1" t="s">
        <v>0</v>
      </c>
      <c r="I536" s="2">
        <v>0</v>
      </c>
      <c r="J536" s="1">
        <v>45915.378321759257</v>
      </c>
    </row>
    <row r="537" spans="1:10" x14ac:dyDescent="0.2">
      <c r="A537" s="4" t="s">
        <v>1</v>
      </c>
      <c r="B537" s="3" t="str">
        <f>HYPERLINK("https://otsuka-europe-crm.veevavault.com/ui/#object/approved_document__v/V5OZ025E82TFUPI", "Spain - HCP Survey Email - June 2025")</f>
        <v>Spain - HCP Survey Email - June 2025</v>
      </c>
      <c r="C537" s="3" t="str">
        <f>HYPERLINK("https://otsuka-europe-crm.veevavault.com/ui/#object/sent_email__v/VBLZ025E82GMXXM", "SE-000267600")</f>
        <v>SE-000267600</v>
      </c>
      <c r="D537" s="1">
        <v>45925.400740740741</v>
      </c>
      <c r="E537" s="2">
        <v>1</v>
      </c>
      <c r="F537" s="2">
        <v>2</v>
      </c>
      <c r="G537" s="2">
        <v>0</v>
      </c>
      <c r="H537" s="1" t="s">
        <v>0</v>
      </c>
      <c r="I537" s="2">
        <v>0</v>
      </c>
      <c r="J537" s="1">
        <v>45915.37871527778</v>
      </c>
    </row>
    <row r="538" spans="1:10" x14ac:dyDescent="0.2">
      <c r="A538" s="4" t="s">
        <v>1</v>
      </c>
      <c r="B538" s="3" t="str">
        <f>HYPERLINK("https://otsuka-europe-crm.veevavault.com/ui/#object/approved_document__v/V5OZ025E82TFUPI", "Spain - HCP Survey Email - June 2025")</f>
        <v>Spain - HCP Survey Email - June 2025</v>
      </c>
      <c r="C538" s="3" t="str">
        <f>HYPERLINK("https://otsuka-europe-crm.veevavault.com/ui/#object/sent_email__v/VBLZ025E82GMXXN", "SE-000267601")</f>
        <v>SE-000267601</v>
      </c>
      <c r="D538" s="1" t="s">
        <v>0</v>
      </c>
      <c r="E538" s="2">
        <v>0</v>
      </c>
      <c r="F538" s="2">
        <v>0</v>
      </c>
      <c r="G538" s="2">
        <v>0</v>
      </c>
      <c r="H538" s="1" t="s">
        <v>0</v>
      </c>
      <c r="I538" s="2">
        <v>0</v>
      </c>
      <c r="J538" s="1">
        <v>45915.379988425928</v>
      </c>
    </row>
    <row r="539" spans="1:10" x14ac:dyDescent="0.2">
      <c r="A539" s="4" t="s">
        <v>1</v>
      </c>
      <c r="B539" s="3" t="str">
        <f>HYPERLINK("https://otsuka-europe-crm.veevavault.com/ui/#object/approved_document__v/V5OZ025E82TFUPI", "Spain - HCP Survey Email - June 2025")</f>
        <v>Spain - HCP Survey Email - June 2025</v>
      </c>
      <c r="C539" s="3" t="str">
        <f>HYPERLINK("https://otsuka-europe-crm.veevavault.com/ui/#object/sent_email__v/VBLZ025E82GMXXO", "SE-000267602")</f>
        <v>SE-000267602</v>
      </c>
      <c r="D539" s="1">
        <v>45915.377951388888</v>
      </c>
      <c r="E539" s="2">
        <v>1</v>
      </c>
      <c r="F539" s="2">
        <v>1</v>
      </c>
      <c r="G539" s="2">
        <v>0</v>
      </c>
      <c r="H539" s="1" t="s">
        <v>0</v>
      </c>
      <c r="I539" s="2">
        <v>0</v>
      </c>
      <c r="J539" s="1">
        <v>45915.37777777778</v>
      </c>
    </row>
    <row r="540" spans="1:10" x14ac:dyDescent="0.2">
      <c r="A540" s="4" t="s">
        <v>1</v>
      </c>
      <c r="B540" s="3" t="str">
        <f>HYPERLINK("https://otsuka-europe-crm.veevavault.com/ui/#object/approved_document__v/V5OZ025E82TFUPI", "Spain - HCP Survey Email - June 2025")</f>
        <v>Spain - HCP Survey Email - June 2025</v>
      </c>
      <c r="C540" s="3" t="str">
        <f>HYPERLINK("https://otsuka-europe-crm.veevavault.com/ui/#object/sent_email__v/VBLZ025E82GMXXP", "SE-000267603")</f>
        <v>SE-000267603</v>
      </c>
      <c r="D540" s="1">
        <v>45915.507534722223</v>
      </c>
      <c r="E540" s="2">
        <v>1</v>
      </c>
      <c r="F540" s="2">
        <v>1</v>
      </c>
      <c r="G540" s="2">
        <v>0</v>
      </c>
      <c r="H540" s="1" t="s">
        <v>0</v>
      </c>
      <c r="I540" s="2">
        <v>0</v>
      </c>
      <c r="J540" s="1">
        <v>45915.377372685187</v>
      </c>
    </row>
    <row r="541" spans="1:10" x14ac:dyDescent="0.2">
      <c r="A541" s="4" t="s">
        <v>1</v>
      </c>
      <c r="B541" s="3" t="str">
        <f>HYPERLINK("https://otsuka-europe-crm.veevavault.com/ui/#object/approved_document__v/V5OZ025E82TFUPI", "Spain - HCP Survey Email - June 2025")</f>
        <v>Spain - HCP Survey Email - June 2025</v>
      </c>
      <c r="C541" s="3" t="str">
        <f>HYPERLINK("https://otsuka-europe-crm.veevavault.com/ui/#object/sent_email__v/VBLZ025E82GMXXQ", "SE-000267604")</f>
        <v>SE-000267604</v>
      </c>
      <c r="D541" s="1" t="s">
        <v>0</v>
      </c>
      <c r="E541" s="2">
        <v>0</v>
      </c>
      <c r="F541" s="2">
        <v>0</v>
      </c>
      <c r="G541" s="2">
        <v>0</v>
      </c>
      <c r="H541" s="1" t="s">
        <v>0</v>
      </c>
      <c r="I541" s="2">
        <v>0</v>
      </c>
      <c r="J541" s="1">
        <v>45915.378275462965</v>
      </c>
    </row>
    <row r="542" spans="1:10" x14ac:dyDescent="0.2">
      <c r="A542" s="4" t="s">
        <v>1</v>
      </c>
      <c r="B542" s="3" t="str">
        <f>HYPERLINK("https://otsuka-europe-crm.veevavault.com/ui/#object/approved_document__v/V5OZ025E82TFUPI", "Spain - HCP Survey Email - June 2025")</f>
        <v>Spain - HCP Survey Email - June 2025</v>
      </c>
      <c r="C542" s="3" t="str">
        <f>HYPERLINK("https://otsuka-europe-crm.veevavault.com/ui/#object/sent_email__v/VBLZ025E82GMXXR", "SE-000267605")</f>
        <v>SE-000267605</v>
      </c>
      <c r="D542" s="1">
        <v>45916.728935185187</v>
      </c>
      <c r="E542" s="2">
        <v>1</v>
      </c>
      <c r="F542" s="2">
        <v>1</v>
      </c>
      <c r="G542" s="2">
        <v>0</v>
      </c>
      <c r="H542" s="1" t="s">
        <v>0</v>
      </c>
      <c r="I542" s="2">
        <v>0</v>
      </c>
      <c r="J542" s="1">
        <v>45915.378784722219</v>
      </c>
    </row>
    <row r="543" spans="1:10" x14ac:dyDescent="0.2">
      <c r="A543" s="4" t="s">
        <v>1</v>
      </c>
      <c r="B543" s="3" t="str">
        <f>HYPERLINK("https://otsuka-europe-crm.veevavault.com/ui/#object/approved_document__v/V5OZ025E82TFUPI", "Spain - HCP Survey Email - June 2025")</f>
        <v>Spain - HCP Survey Email - June 2025</v>
      </c>
      <c r="C543" s="3" t="str">
        <f>HYPERLINK("https://otsuka-europe-crm.veevavault.com/ui/#object/sent_email__v/VBLZ025E82GMXXS", "SE-000267606")</f>
        <v>SE-000267606</v>
      </c>
      <c r="D543" s="1">
        <v>45933.147569444445</v>
      </c>
      <c r="E543" s="2">
        <v>1</v>
      </c>
      <c r="F543" s="2">
        <v>3</v>
      </c>
      <c r="G543" s="2">
        <v>0</v>
      </c>
      <c r="H543" s="1" t="s">
        <v>0</v>
      </c>
      <c r="I543" s="2">
        <v>0</v>
      </c>
      <c r="J543" s="1">
        <v>45915.378703703704</v>
      </c>
    </row>
    <row r="544" spans="1:10" x14ac:dyDescent="0.2">
      <c r="A544" s="4" t="s">
        <v>1</v>
      </c>
      <c r="B544" s="3" t="str">
        <f>HYPERLINK("https://otsuka-europe-crm.veevavault.com/ui/#object/approved_document__v/V5OZ025E82TFUPI", "Spain - HCP Survey Email - June 2025")</f>
        <v>Spain - HCP Survey Email - June 2025</v>
      </c>
      <c r="C544" s="3" t="str">
        <f>HYPERLINK("https://otsuka-europe-crm.veevavault.com/ui/#object/sent_email__v/VBLZ025E82GMXXT", "SE-000267607")</f>
        <v>SE-000267607</v>
      </c>
      <c r="D544" s="1">
        <v>45915.391238425924</v>
      </c>
      <c r="E544" s="2">
        <v>1</v>
      </c>
      <c r="F544" s="2">
        <v>1</v>
      </c>
      <c r="G544" s="2">
        <v>0</v>
      </c>
      <c r="H544" s="1" t="s">
        <v>0</v>
      </c>
      <c r="I544" s="2">
        <v>0</v>
      </c>
      <c r="J544" s="1">
        <v>45915.379155092596</v>
      </c>
    </row>
    <row r="545" spans="1:10" x14ac:dyDescent="0.2">
      <c r="A545" s="4" t="s">
        <v>1</v>
      </c>
      <c r="B545" s="3" t="str">
        <f>HYPERLINK("https://otsuka-europe-crm.veevavault.com/ui/#object/approved_document__v/V5OZ025E82TFUPI", "Spain - HCP Survey Email - June 2025")</f>
        <v>Spain - HCP Survey Email - June 2025</v>
      </c>
      <c r="C545" s="3" t="str">
        <f>HYPERLINK("https://otsuka-europe-crm.veevavault.com/ui/#object/sent_email__v/VBLZ025E82GMXXU", "SE-000267608")</f>
        <v>SE-000267608</v>
      </c>
      <c r="D545" s="1" t="s">
        <v>0</v>
      </c>
      <c r="E545" s="2">
        <v>0</v>
      </c>
      <c r="F545" s="2">
        <v>0</v>
      </c>
      <c r="G545" s="2">
        <v>0</v>
      </c>
      <c r="H545" s="1" t="s">
        <v>0</v>
      </c>
      <c r="I545" s="2">
        <v>0</v>
      </c>
      <c r="J545" s="1">
        <v>45915.377858796295</v>
      </c>
    </row>
    <row r="546" spans="1:10" x14ac:dyDescent="0.2">
      <c r="A546" s="4" t="s">
        <v>1</v>
      </c>
      <c r="B546" s="3" t="str">
        <f>HYPERLINK("https://otsuka-europe-crm.veevavault.com/ui/#object/approved_document__v/V5OZ025E82TFUPI", "Spain - HCP Survey Email - June 2025")</f>
        <v>Spain - HCP Survey Email - June 2025</v>
      </c>
      <c r="C546" s="3" t="str">
        <f>HYPERLINK("https://otsuka-europe-crm.veevavault.com/ui/#object/sent_email__v/VBLZ025E82GMXXV", "SE-000267609")</f>
        <v>SE-000267609</v>
      </c>
      <c r="D546" s="1">
        <v>45915.39403935185</v>
      </c>
      <c r="E546" s="2">
        <v>1</v>
      </c>
      <c r="F546" s="2">
        <v>2</v>
      </c>
      <c r="G546" s="2">
        <v>0</v>
      </c>
      <c r="H546" s="1" t="s">
        <v>0</v>
      </c>
      <c r="I546" s="2">
        <v>0</v>
      </c>
      <c r="J546" s="1">
        <v>45915.378287037034</v>
      </c>
    </row>
    <row r="547" spans="1:10" x14ac:dyDescent="0.2">
      <c r="A547" s="4" t="s">
        <v>1</v>
      </c>
      <c r="B547" s="3" t="str">
        <f>HYPERLINK("https://otsuka-europe-crm.veevavault.com/ui/#object/approved_document__v/V5OZ025E82TFUPI", "Spain - HCP Survey Email - June 2025")</f>
        <v>Spain - HCP Survey Email - June 2025</v>
      </c>
      <c r="C547" s="3" t="str">
        <f>HYPERLINK("https://otsuka-europe-crm.veevavault.com/ui/#object/sent_email__v/VBLZ025E82GMXXW", "SE-000267610")</f>
        <v>SE-000267610</v>
      </c>
      <c r="D547" s="1" t="s">
        <v>0</v>
      </c>
      <c r="E547" s="2">
        <v>0</v>
      </c>
      <c r="F547" s="2">
        <v>0</v>
      </c>
      <c r="G547" s="2">
        <v>0</v>
      </c>
      <c r="H547" s="1" t="s">
        <v>0</v>
      </c>
      <c r="I547" s="2">
        <v>0</v>
      </c>
      <c r="J547" s="1">
        <v>45915.378206018519</v>
      </c>
    </row>
    <row r="548" spans="1:10" x14ac:dyDescent="0.2">
      <c r="A548" s="4" t="s">
        <v>1</v>
      </c>
      <c r="B548" s="3" t="str">
        <f>HYPERLINK("https://otsuka-europe-crm.veevavault.com/ui/#object/approved_document__v/V5OZ025E82TFUPI", "Spain - HCP Survey Email - June 2025")</f>
        <v>Spain - HCP Survey Email - June 2025</v>
      </c>
      <c r="C548" s="3" t="str">
        <f>HYPERLINK("https://otsuka-europe-crm.veevavault.com/ui/#object/sent_email__v/VBLZ025E82GMXXX", "SE-000267611")</f>
        <v>SE-000267611</v>
      </c>
      <c r="D548" s="1">
        <v>45915.421087962961</v>
      </c>
      <c r="E548" s="2">
        <v>1</v>
      </c>
      <c r="F548" s="2">
        <v>2</v>
      </c>
      <c r="G548" s="2">
        <v>0</v>
      </c>
      <c r="H548" s="1" t="s">
        <v>0</v>
      </c>
      <c r="I548" s="2">
        <v>0</v>
      </c>
      <c r="J548" s="1">
        <v>45915.378599537034</v>
      </c>
    </row>
    <row r="549" spans="1:10" x14ac:dyDescent="0.2">
      <c r="A549" s="4" t="s">
        <v>1</v>
      </c>
      <c r="B549" s="3" t="str">
        <f>HYPERLINK("https://otsuka-europe-crm.veevavault.com/ui/#object/approved_document__v/V5OZ025E82TFUPI", "Spain - HCP Survey Email - June 2025")</f>
        <v>Spain - HCP Survey Email - June 2025</v>
      </c>
      <c r="C549" s="3" t="str">
        <f>HYPERLINK("https://otsuka-europe-crm.veevavault.com/ui/#object/sent_email__v/VBLZ025E82GMXXY", "SE-000267612")</f>
        <v>SE-000267612</v>
      </c>
      <c r="D549" s="1" t="s">
        <v>0</v>
      </c>
      <c r="E549" s="2">
        <v>0</v>
      </c>
      <c r="F549" s="2">
        <v>0</v>
      </c>
      <c r="G549" s="2">
        <v>0</v>
      </c>
      <c r="H549" s="1" t="s">
        <v>0</v>
      </c>
      <c r="I549" s="2">
        <v>0</v>
      </c>
      <c r="J549" s="1">
        <v>45915.379895833335</v>
      </c>
    </row>
    <row r="550" spans="1:10" x14ac:dyDescent="0.2">
      <c r="A550" s="4" t="s">
        <v>1</v>
      </c>
      <c r="B550" s="3" t="str">
        <f>HYPERLINK("https://otsuka-europe-crm.veevavault.com/ui/#object/approved_document__v/V5OZ025E82TFUPI", "Spain - HCP Survey Email - June 2025")</f>
        <v>Spain - HCP Survey Email - June 2025</v>
      </c>
      <c r="C550" s="3" t="str">
        <f>HYPERLINK("https://otsuka-europe-crm.veevavault.com/ui/#object/sent_email__v/VBLZ025E82GMXXZ", "SE-000267613")</f>
        <v>SE-000267613</v>
      </c>
      <c r="D550" s="1">
        <v>45915.592986111114</v>
      </c>
      <c r="E550" s="2">
        <v>1</v>
      </c>
      <c r="F550" s="2">
        <v>1</v>
      </c>
      <c r="G550" s="2">
        <v>0</v>
      </c>
      <c r="H550" s="1" t="s">
        <v>0</v>
      </c>
      <c r="I550" s="2">
        <v>0</v>
      </c>
      <c r="J550" s="1">
        <v>45915.377800925926</v>
      </c>
    </row>
    <row r="551" spans="1:10" x14ac:dyDescent="0.2">
      <c r="A551" s="4" t="s">
        <v>1</v>
      </c>
      <c r="B551" s="3" t="str">
        <f>HYPERLINK("https://otsuka-europe-crm.veevavault.com/ui/#object/approved_document__v/V5OZ025E82TFUPI", "Spain - HCP Survey Email - June 2025")</f>
        <v>Spain - HCP Survey Email - June 2025</v>
      </c>
      <c r="C551" s="3" t="str">
        <f>HYPERLINK("https://otsuka-europe-crm.veevavault.com/ui/#object/sent_email__v/VBLZ025E82GMXY0", "SE-000267614")</f>
        <v>SE-000267614</v>
      </c>
      <c r="D551" s="1" t="s">
        <v>0</v>
      </c>
      <c r="E551" s="2">
        <v>0</v>
      </c>
      <c r="F551" s="2">
        <v>0</v>
      </c>
      <c r="G551" s="2">
        <v>0</v>
      </c>
      <c r="H551" s="1" t="s">
        <v>0</v>
      </c>
      <c r="I551" s="2">
        <v>0</v>
      </c>
      <c r="J551" s="1">
        <v>45915.377384259256</v>
      </c>
    </row>
    <row r="552" spans="1:10" x14ac:dyDescent="0.2">
      <c r="A552" s="4" t="s">
        <v>1</v>
      </c>
      <c r="B552" s="3" t="str">
        <f>HYPERLINK("https://otsuka-europe-crm.veevavault.com/ui/#object/approved_document__v/V5OZ025E82TFUPI", "Spain - HCP Survey Email - June 2025")</f>
        <v>Spain - HCP Survey Email - June 2025</v>
      </c>
      <c r="C552" s="3" t="str">
        <f>HYPERLINK("https://otsuka-europe-crm.veevavault.com/ui/#object/sent_email__v/VBLZ025E82GMXY1", "SE-000267615")</f>
        <v>SE-000267615</v>
      </c>
      <c r="D552" s="1">
        <v>45915.66002314815</v>
      </c>
      <c r="E552" s="2">
        <v>1</v>
      </c>
      <c r="F552" s="2">
        <v>1</v>
      </c>
      <c r="G552" s="2">
        <v>0</v>
      </c>
      <c r="H552" s="1" t="s">
        <v>0</v>
      </c>
      <c r="I552" s="2">
        <v>0</v>
      </c>
      <c r="J552" s="1">
        <v>45915.378321759257</v>
      </c>
    </row>
    <row r="553" spans="1:10" x14ac:dyDescent="0.2">
      <c r="A553" s="4" t="s">
        <v>1</v>
      </c>
      <c r="B553" s="3" t="str">
        <f>HYPERLINK("https://otsuka-europe-crm.veevavault.com/ui/#object/approved_document__v/V5OZ025E82TFUPI", "Spain - HCP Survey Email - June 2025")</f>
        <v>Spain - HCP Survey Email - June 2025</v>
      </c>
      <c r="C553" s="3" t="str">
        <f>HYPERLINK("https://otsuka-europe-crm.veevavault.com/ui/#object/sent_email__v/VBLZ025E82GMXY2", "SE-000267616")</f>
        <v>SE-000267616</v>
      </c>
      <c r="D553" s="1">
        <v>45915.700324074074</v>
      </c>
      <c r="E553" s="2">
        <v>1</v>
      </c>
      <c r="F553" s="2">
        <v>2</v>
      </c>
      <c r="G553" s="2">
        <v>0</v>
      </c>
      <c r="H553" s="1" t="s">
        <v>0</v>
      </c>
      <c r="I553" s="2">
        <v>0</v>
      </c>
      <c r="J553" s="1">
        <v>45915.378923611112</v>
      </c>
    </row>
    <row r="554" spans="1:10" x14ac:dyDescent="0.2">
      <c r="A554" s="4" t="s">
        <v>1</v>
      </c>
      <c r="B554" s="3" t="str">
        <f>HYPERLINK("https://otsuka-europe-crm.veevavault.com/ui/#object/approved_document__v/V5OZ025E82TFUPI", "Spain - HCP Survey Email - June 2025")</f>
        <v>Spain - HCP Survey Email - June 2025</v>
      </c>
      <c r="C554" s="3" t="str">
        <f>HYPERLINK("https://otsuka-europe-crm.veevavault.com/ui/#object/sent_email__v/VBLZ025E82GMXY4", "SE-000267618")</f>
        <v>SE-000267618</v>
      </c>
      <c r="D554" s="1">
        <v>45915.385717592595</v>
      </c>
      <c r="E554" s="2">
        <v>1</v>
      </c>
      <c r="F554" s="2">
        <v>1</v>
      </c>
      <c r="G554" s="2">
        <v>0</v>
      </c>
      <c r="H554" s="1" t="s">
        <v>0</v>
      </c>
      <c r="I554" s="2">
        <v>0</v>
      </c>
      <c r="J554" s="1">
        <v>45915.37903935185</v>
      </c>
    </row>
    <row r="555" spans="1:10" x14ac:dyDescent="0.2">
      <c r="A555" s="4" t="s">
        <v>1</v>
      </c>
      <c r="B555" s="3" t="str">
        <f>HYPERLINK("https://otsuka-europe-crm.veevavault.com/ui/#object/approved_document__v/V5OZ025E82TFUPI", "Spain - HCP Survey Email - June 2025")</f>
        <v>Spain - HCP Survey Email - June 2025</v>
      </c>
      <c r="C555" s="3" t="str">
        <f>HYPERLINK("https://otsuka-europe-crm.veevavault.com/ui/#object/sent_email__v/VBLZ025E82GMXY5", "SE-000267619")</f>
        <v>SE-000267619</v>
      </c>
      <c r="D555" s="1" t="s">
        <v>0</v>
      </c>
      <c r="E555" s="2">
        <v>0</v>
      </c>
      <c r="F555" s="2">
        <v>0</v>
      </c>
      <c r="G555" s="2">
        <v>0</v>
      </c>
      <c r="H555" s="1" t="s">
        <v>0</v>
      </c>
      <c r="I555" s="2">
        <v>0</v>
      </c>
      <c r="J555" s="1">
        <v>45915.377812500003</v>
      </c>
    </row>
    <row r="556" spans="1:10" x14ac:dyDescent="0.2">
      <c r="A556" s="4" t="s">
        <v>1</v>
      </c>
      <c r="B556" s="3" t="str">
        <f>HYPERLINK("https://otsuka-europe-crm.veevavault.com/ui/#object/approved_document__v/V5OZ025E82TFUPI", "Spain - HCP Survey Email - June 2025")</f>
        <v>Spain - HCP Survey Email - June 2025</v>
      </c>
      <c r="C556" s="3" t="str">
        <f>HYPERLINK("https://otsuka-europe-crm.veevavault.com/ui/#object/sent_email__v/VBLZ025E82GMXY6", "SE-000267620")</f>
        <v>SE-000267620</v>
      </c>
      <c r="D556" s="1">
        <v>45915.705555555556</v>
      </c>
      <c r="E556" s="2">
        <v>1</v>
      </c>
      <c r="F556" s="2">
        <v>3</v>
      </c>
      <c r="G556" s="2">
        <v>0</v>
      </c>
      <c r="H556" s="1" t="s">
        <v>0</v>
      </c>
      <c r="I556" s="2">
        <v>0</v>
      </c>
      <c r="J556" s="1">
        <v>45915.378217592595</v>
      </c>
    </row>
    <row r="557" spans="1:10" x14ac:dyDescent="0.2">
      <c r="A557" s="4" t="s">
        <v>1</v>
      </c>
      <c r="B557" s="3" t="str">
        <f>HYPERLINK("https://otsuka-europe-crm.veevavault.com/ui/#object/approved_document__v/V5OZ025E82TFUPI", "Spain - HCP Survey Email - June 2025")</f>
        <v>Spain - HCP Survey Email - June 2025</v>
      </c>
      <c r="C557" s="3" t="str">
        <f>HYPERLINK("https://otsuka-europe-crm.veevavault.com/ui/#object/sent_email__v/VBLZ025E82GMXY7", "SE-000267621")</f>
        <v>SE-000267621</v>
      </c>
      <c r="D557" s="1" t="s">
        <v>0</v>
      </c>
      <c r="E557" s="2">
        <v>0</v>
      </c>
      <c r="F557" s="2">
        <v>0</v>
      </c>
      <c r="G557" s="2">
        <v>0</v>
      </c>
      <c r="H557" s="1" t="s">
        <v>0</v>
      </c>
      <c r="I557" s="2">
        <v>0</v>
      </c>
      <c r="J557" s="1">
        <v>45915.378101851849</v>
      </c>
    </row>
    <row r="558" spans="1:10" x14ac:dyDescent="0.2">
      <c r="A558" s="4" t="s">
        <v>1</v>
      </c>
      <c r="B558" s="3" t="str">
        <f>HYPERLINK("https://otsuka-europe-crm.veevavault.com/ui/#object/approved_document__v/V5OZ025E82TFUPI", "Spain - HCP Survey Email - June 2025")</f>
        <v>Spain - HCP Survey Email - June 2025</v>
      </c>
      <c r="C558" s="3" t="str">
        <f>HYPERLINK("https://otsuka-europe-crm.veevavault.com/ui/#object/sent_email__v/VBLZ025E82GMXY8", "SE-000267622")</f>
        <v>SE-000267622</v>
      </c>
      <c r="D558" s="1" t="s">
        <v>0</v>
      </c>
      <c r="E558" s="2">
        <v>0</v>
      </c>
      <c r="F558" s="2">
        <v>0</v>
      </c>
      <c r="G558" s="2">
        <v>0</v>
      </c>
      <c r="H558" s="1" t="s">
        <v>0</v>
      </c>
      <c r="I558" s="2">
        <v>0</v>
      </c>
      <c r="J558" s="1">
        <v>45915.378611111111</v>
      </c>
    </row>
    <row r="559" spans="1:10" x14ac:dyDescent="0.2">
      <c r="A559" s="4" t="s">
        <v>1</v>
      </c>
      <c r="B559" s="3" t="str">
        <f>HYPERLINK("https://otsuka-europe-crm.veevavault.com/ui/#object/approved_document__v/V5OZ025E82TFUPI", "Spain - HCP Survey Email - June 2025")</f>
        <v>Spain - HCP Survey Email - June 2025</v>
      </c>
      <c r="C559" s="3" t="str">
        <f>HYPERLINK("https://otsuka-europe-crm.veevavault.com/ui/#object/sent_email__v/VBLZ025E82GMXY9", "SE-000267623")</f>
        <v>SE-000267623</v>
      </c>
      <c r="D559" s="1">
        <v>45918.778275462966</v>
      </c>
      <c r="E559" s="2">
        <v>1</v>
      </c>
      <c r="F559" s="2">
        <v>2</v>
      </c>
      <c r="G559" s="2">
        <v>0</v>
      </c>
      <c r="H559" s="1" t="s">
        <v>0</v>
      </c>
      <c r="I559" s="2">
        <v>0</v>
      </c>
      <c r="J559" s="1">
        <v>45915.379861111112</v>
      </c>
    </row>
    <row r="560" spans="1:10" x14ac:dyDescent="0.2">
      <c r="A560" s="4" t="s">
        <v>1</v>
      </c>
      <c r="B560" s="3" t="str">
        <f>HYPERLINK("https://otsuka-europe-crm.veevavault.com/ui/#object/approved_document__v/V5OZ025E82TFUPI", "Spain - HCP Survey Email - June 2025")</f>
        <v>Spain - HCP Survey Email - June 2025</v>
      </c>
      <c r="C560" s="3" t="str">
        <f>HYPERLINK("https://otsuka-europe-crm.veevavault.com/ui/#object/sent_email__v/VBLZ025E82GMXYA", "SE-000267624")</f>
        <v>SE-000267624</v>
      </c>
      <c r="D560" s="1" t="s">
        <v>0</v>
      </c>
      <c r="E560" s="2">
        <v>0</v>
      </c>
      <c r="F560" s="2">
        <v>0</v>
      </c>
      <c r="G560" s="2">
        <v>0</v>
      </c>
      <c r="H560" s="1" t="s">
        <v>0</v>
      </c>
      <c r="I560" s="2">
        <v>0</v>
      </c>
      <c r="J560" s="1">
        <v>45915.377824074072</v>
      </c>
    </row>
    <row r="561" spans="1:10" x14ac:dyDescent="0.2">
      <c r="A561" s="4" t="s">
        <v>1</v>
      </c>
      <c r="B561" s="3" t="str">
        <f>HYPERLINK("https://otsuka-europe-crm.veevavault.com/ui/#object/approved_document__v/V5OZ025E82TFUPI", "Spain - HCP Survey Email - June 2025")</f>
        <v>Spain - HCP Survey Email - June 2025</v>
      </c>
      <c r="C561" s="3" t="str">
        <f>HYPERLINK("https://otsuka-europe-crm.veevavault.com/ui/#object/sent_email__v/VBLZ025E82GMXYB", "SE-000267625")</f>
        <v>SE-000267625</v>
      </c>
      <c r="D561" s="1">
        <v>45924.588229166664</v>
      </c>
      <c r="E561" s="2">
        <v>1</v>
      </c>
      <c r="F561" s="2">
        <v>2</v>
      </c>
      <c r="G561" s="2">
        <v>0</v>
      </c>
      <c r="H561" s="1" t="s">
        <v>0</v>
      </c>
      <c r="I561" s="2">
        <v>0</v>
      </c>
      <c r="J561" s="1">
        <v>45915.37740740741</v>
      </c>
    </row>
    <row r="562" spans="1:10" x14ac:dyDescent="0.2">
      <c r="A562" s="4" t="s">
        <v>1</v>
      </c>
      <c r="B562" s="3" t="str">
        <f>HYPERLINK("https://otsuka-europe-crm.veevavault.com/ui/#object/approved_document__v/V5OZ025E82TFUPI", "Spain - HCP Survey Email - June 2025")</f>
        <v>Spain - HCP Survey Email - June 2025</v>
      </c>
      <c r="C562" s="3" t="str">
        <f>HYPERLINK("https://otsuka-europe-crm.veevavault.com/ui/#object/sent_email__v/VBLZ025E82GMXYC", "SE-000267626")</f>
        <v>SE-000267626</v>
      </c>
      <c r="D562" s="1">
        <v>45915.443680555552</v>
      </c>
      <c r="E562" s="2">
        <v>1</v>
      </c>
      <c r="F562" s="2">
        <v>1</v>
      </c>
      <c r="G562" s="2">
        <v>0</v>
      </c>
      <c r="H562" s="1" t="s">
        <v>0</v>
      </c>
      <c r="I562" s="2">
        <v>0</v>
      </c>
      <c r="J562" s="1">
        <v>45915.378310185188</v>
      </c>
    </row>
    <row r="563" spans="1:10" x14ac:dyDescent="0.2">
      <c r="A563" s="4" t="s">
        <v>1</v>
      </c>
      <c r="B563" s="3" t="str">
        <f>HYPERLINK("https://otsuka-europe-crm.veevavault.com/ui/#object/approved_document__v/V5OZ025E82TFUPI", "Spain - HCP Survey Email - June 2025")</f>
        <v>Spain - HCP Survey Email - June 2025</v>
      </c>
      <c r="C563" s="3" t="str">
        <f>HYPERLINK("https://otsuka-europe-crm.veevavault.com/ui/#object/sent_email__v/VBLZ025E82GMXYD", "SE-000267627")</f>
        <v>SE-000267627</v>
      </c>
      <c r="D563" s="1">
        <v>45915.380902777775</v>
      </c>
      <c r="E563" s="2">
        <v>1</v>
      </c>
      <c r="F563" s="2">
        <v>1</v>
      </c>
      <c r="G563" s="2">
        <v>0</v>
      </c>
      <c r="H563" s="1" t="s">
        <v>0</v>
      </c>
      <c r="I563" s="2">
        <v>0</v>
      </c>
      <c r="J563" s="1">
        <v>45915.378819444442</v>
      </c>
    </row>
    <row r="564" spans="1:10" x14ac:dyDescent="0.2">
      <c r="A564" s="4" t="s">
        <v>1</v>
      </c>
      <c r="B564" s="3" t="str">
        <f>HYPERLINK("https://otsuka-europe-crm.veevavault.com/ui/#object/approved_document__v/V5OZ025E82TFUPI", "Spain - HCP Survey Email - June 2025")</f>
        <v>Spain - HCP Survey Email - June 2025</v>
      </c>
      <c r="C564" s="3" t="str">
        <f>HYPERLINK("https://otsuka-europe-crm.veevavault.com/ui/#object/sent_email__v/VBLZ025E82GMXYE", "SE-000267628")</f>
        <v>SE-000267628</v>
      </c>
      <c r="D564" s="1">
        <v>45917.340613425928</v>
      </c>
      <c r="E564" s="2">
        <v>1</v>
      </c>
      <c r="F564" s="2">
        <v>3</v>
      </c>
      <c r="G564" s="2">
        <v>0</v>
      </c>
      <c r="H564" s="1" t="s">
        <v>0</v>
      </c>
      <c r="I564" s="2">
        <v>0</v>
      </c>
      <c r="J564" s="1">
        <v>45915.37871527778</v>
      </c>
    </row>
    <row r="565" spans="1:10" x14ac:dyDescent="0.2">
      <c r="A565" s="4" t="s">
        <v>1</v>
      </c>
      <c r="B565" s="3" t="str">
        <f>HYPERLINK("https://otsuka-europe-crm.veevavault.com/ui/#object/approved_document__v/V5OZ025E82TFUPI", "Spain - HCP Survey Email - June 2025")</f>
        <v>Spain - HCP Survey Email - June 2025</v>
      </c>
      <c r="C565" s="3" t="str">
        <f>HYPERLINK("https://otsuka-europe-crm.veevavault.com/ui/#object/sent_email__v/VBLZ025E82GMXYF", "SE-000267629")</f>
        <v>SE-000267629</v>
      </c>
      <c r="D565" s="1">
        <v>45918.610578703701</v>
      </c>
      <c r="E565" s="2">
        <v>1</v>
      </c>
      <c r="F565" s="2">
        <v>5</v>
      </c>
      <c r="G565" s="2">
        <v>0</v>
      </c>
      <c r="H565" s="1" t="s">
        <v>0</v>
      </c>
      <c r="I565" s="2">
        <v>0</v>
      </c>
      <c r="J565" s="1">
        <v>45915.37903935185</v>
      </c>
    </row>
    <row r="566" spans="1:10" x14ac:dyDescent="0.2">
      <c r="A566" s="4" t="s">
        <v>1</v>
      </c>
      <c r="B566" s="3" t="str">
        <f>HYPERLINK("https://otsuka-europe-crm.veevavault.com/ui/#object/approved_document__v/V5OZ025E82TFUPI", "Spain - HCP Survey Email - June 2025")</f>
        <v>Spain - HCP Survey Email - June 2025</v>
      </c>
      <c r="C566" s="3" t="str">
        <f>HYPERLINK("https://otsuka-europe-crm.veevavault.com/ui/#object/sent_email__v/VBLZ025E82GMXYG", "SE-000267630")</f>
        <v>SE-000267630</v>
      </c>
      <c r="D566" s="1">
        <v>45915.870138888888</v>
      </c>
      <c r="E566" s="2">
        <v>1</v>
      </c>
      <c r="F566" s="2">
        <v>2</v>
      </c>
      <c r="G566" s="2">
        <v>0</v>
      </c>
      <c r="H566" s="1" t="s">
        <v>0</v>
      </c>
      <c r="I566" s="2">
        <v>0</v>
      </c>
      <c r="J566" s="1">
        <v>45915.377812500003</v>
      </c>
    </row>
    <row r="567" spans="1:10" x14ac:dyDescent="0.2">
      <c r="A567" s="4" t="s">
        <v>1</v>
      </c>
      <c r="B567" s="3" t="str">
        <f>HYPERLINK("https://otsuka-europe-crm.veevavault.com/ui/#object/approved_document__v/V5OZ025E82TFUPI", "Spain - HCP Survey Email - June 2025")</f>
        <v>Spain - HCP Survey Email - June 2025</v>
      </c>
      <c r="C567" s="3" t="str">
        <f>HYPERLINK("https://otsuka-europe-crm.veevavault.com/ui/#object/sent_email__v/VBLZ025E82GMXYH", "SE-000267631")</f>
        <v>SE-000267631</v>
      </c>
      <c r="D567" s="1">
        <v>45915.805162037039</v>
      </c>
      <c r="E567" s="2">
        <v>1</v>
      </c>
      <c r="F567" s="2">
        <v>1</v>
      </c>
      <c r="G567" s="2">
        <v>0</v>
      </c>
      <c r="H567" s="1" t="s">
        <v>0</v>
      </c>
      <c r="I567" s="2">
        <v>0</v>
      </c>
      <c r="J567" s="1">
        <v>45915.378217592595</v>
      </c>
    </row>
    <row r="568" spans="1:10" x14ac:dyDescent="0.2">
      <c r="A568" s="4" t="s">
        <v>1</v>
      </c>
      <c r="B568" s="3" t="str">
        <f>HYPERLINK("https://otsuka-europe-crm.veevavault.com/ui/#object/approved_document__v/V5OZ025E82TFUPI", "Spain - HCP Survey Email - June 2025")</f>
        <v>Spain - HCP Survey Email - June 2025</v>
      </c>
      <c r="C568" s="3" t="str">
        <f>HYPERLINK("https://otsuka-europe-crm.veevavault.com/ui/#object/sent_email__v/VBLZ025E82GMXYI", "SE-000267632")</f>
        <v>SE-000267632</v>
      </c>
      <c r="D568" s="1">
        <v>45915.659432870372</v>
      </c>
      <c r="E568" s="2">
        <v>1</v>
      </c>
      <c r="F568" s="2">
        <v>1</v>
      </c>
      <c r="G568" s="2">
        <v>0</v>
      </c>
      <c r="H568" s="1" t="s">
        <v>0</v>
      </c>
      <c r="I568" s="2">
        <v>0</v>
      </c>
      <c r="J568" s="1">
        <v>45915.378148148149</v>
      </c>
    </row>
    <row r="569" spans="1:10" x14ac:dyDescent="0.2">
      <c r="A569" s="4" t="s">
        <v>1</v>
      </c>
      <c r="B569" s="3" t="str">
        <f>HYPERLINK("https://otsuka-europe-crm.veevavault.com/ui/#object/approved_document__v/V5OZ025E82TFUPI", "Spain - HCP Survey Email - June 2025")</f>
        <v>Spain - HCP Survey Email - June 2025</v>
      </c>
      <c r="C569" s="3" t="str">
        <f>HYPERLINK("https://otsuka-europe-crm.veevavault.com/ui/#object/sent_email__v/VBLZ025E82GMXYJ", "SE-000267633")</f>
        <v>SE-000267633</v>
      </c>
      <c r="D569" s="1" t="s">
        <v>0</v>
      </c>
      <c r="E569" s="2">
        <v>0</v>
      </c>
      <c r="F569" s="2">
        <v>0</v>
      </c>
      <c r="G569" s="2">
        <v>0</v>
      </c>
      <c r="H569" s="1" t="s">
        <v>0</v>
      </c>
      <c r="I569" s="2">
        <v>0</v>
      </c>
      <c r="J569" s="1">
        <v>45915.378576388888</v>
      </c>
    </row>
    <row r="570" spans="1:10" x14ac:dyDescent="0.2">
      <c r="A570" s="4" t="s">
        <v>1</v>
      </c>
      <c r="B570" s="3" t="str">
        <f>HYPERLINK("https://otsuka-europe-crm.veevavault.com/ui/#object/approved_document__v/V5OZ025E82TFUPI", "Spain - HCP Survey Email - June 2025")</f>
        <v>Spain - HCP Survey Email - June 2025</v>
      </c>
      <c r="C570" s="3" t="str">
        <f>HYPERLINK("https://otsuka-europe-crm.veevavault.com/ui/#object/sent_email__v/VBLZ025E82GMXYK", "SE-000267634")</f>
        <v>SE-000267634</v>
      </c>
      <c r="D570" s="1" t="s">
        <v>0</v>
      </c>
      <c r="E570" s="2">
        <v>0</v>
      </c>
      <c r="F570" s="2">
        <v>0</v>
      </c>
      <c r="G570" s="2">
        <v>0</v>
      </c>
      <c r="H570" s="1" t="s">
        <v>0</v>
      </c>
      <c r="I570" s="2">
        <v>0</v>
      </c>
      <c r="J570" s="1">
        <v>45915.379988425928</v>
      </c>
    </row>
    <row r="571" spans="1:10" x14ac:dyDescent="0.2">
      <c r="A571" s="4" t="s">
        <v>1</v>
      </c>
      <c r="B571" s="3" t="str">
        <f>HYPERLINK("https://otsuka-europe-crm.veevavault.com/ui/#object/approved_document__v/V5OZ025E82TFUPI", "Spain - HCP Survey Email - June 2025")</f>
        <v>Spain - HCP Survey Email - June 2025</v>
      </c>
      <c r="C571" s="3" t="str">
        <f>HYPERLINK("https://otsuka-europe-crm.veevavault.com/ui/#object/sent_email__v/VBLZ025E82GMXYL", "SE-000267635")</f>
        <v>SE-000267635</v>
      </c>
      <c r="D571" s="1" t="s">
        <v>0</v>
      </c>
      <c r="E571" s="2">
        <v>0</v>
      </c>
      <c r="F571" s="2">
        <v>0</v>
      </c>
      <c r="G571" s="2">
        <v>0</v>
      </c>
      <c r="H571" s="1" t="s">
        <v>0</v>
      </c>
      <c r="I571" s="2">
        <v>0</v>
      </c>
      <c r="J571" s="1">
        <v>45915.37777777778</v>
      </c>
    </row>
    <row r="572" spans="1:10" x14ac:dyDescent="0.2">
      <c r="A572" s="4" t="s">
        <v>1</v>
      </c>
      <c r="B572" s="3" t="str">
        <f>HYPERLINK("https://otsuka-europe-crm.veevavault.com/ui/#object/approved_document__v/V5OZ025E82TFUPI", "Spain - HCP Survey Email - June 2025")</f>
        <v>Spain - HCP Survey Email - June 2025</v>
      </c>
      <c r="C572" s="3" t="str">
        <f>HYPERLINK("https://otsuka-europe-crm.veevavault.com/ui/#object/sent_email__v/VBLZ025E82GMXYM", "SE-000267636")</f>
        <v>SE-000267636</v>
      </c>
      <c r="D572" s="1" t="s">
        <v>0</v>
      </c>
      <c r="E572" s="2">
        <v>0</v>
      </c>
      <c r="F572" s="2">
        <v>0</v>
      </c>
      <c r="G572" s="2">
        <v>0</v>
      </c>
      <c r="H572" s="1" t="s">
        <v>0</v>
      </c>
      <c r="I572" s="2">
        <v>0</v>
      </c>
      <c r="J572" s="1">
        <v>45915.378194444442</v>
      </c>
    </row>
    <row r="573" spans="1:10" x14ac:dyDescent="0.2">
      <c r="A573" s="4" t="s">
        <v>1</v>
      </c>
      <c r="B573" s="3" t="str">
        <f>HYPERLINK("https://otsuka-europe-crm.veevavault.com/ui/#object/approved_document__v/V5OZ025E82TFUPI", "Spain - HCP Survey Email - June 2025")</f>
        <v>Spain - HCP Survey Email - June 2025</v>
      </c>
      <c r="C573" s="3" t="str">
        <f>HYPERLINK("https://otsuka-europe-crm.veevavault.com/ui/#object/sent_email__v/VBLZ025E82GMXYN", "SE-000267637")</f>
        <v>SE-000267637</v>
      </c>
      <c r="D573" s="1" t="s">
        <v>0</v>
      </c>
      <c r="E573" s="2">
        <v>0</v>
      </c>
      <c r="F573" s="2">
        <v>0</v>
      </c>
      <c r="G573" s="2">
        <v>0</v>
      </c>
      <c r="H573" s="1" t="s">
        <v>0</v>
      </c>
      <c r="I573" s="2">
        <v>0</v>
      </c>
      <c r="J573" s="1">
        <v>45915.378657407404</v>
      </c>
    </row>
    <row r="574" spans="1:10" x14ac:dyDescent="0.2">
      <c r="A574" s="4" t="s">
        <v>1</v>
      </c>
      <c r="B574" s="3" t="str">
        <f>HYPERLINK("https://otsuka-europe-crm.veevavault.com/ui/#object/approved_document__v/V5OZ025E82TFUPI", "Spain - HCP Survey Email - June 2025")</f>
        <v>Spain - HCP Survey Email - June 2025</v>
      </c>
      <c r="C574" s="3" t="str">
        <f>HYPERLINK("https://otsuka-europe-crm.veevavault.com/ui/#object/sent_email__v/VBLZ025E82GMXYO", "SE-000267638")</f>
        <v>SE-000267638</v>
      </c>
      <c r="D574" s="1">
        <v>45915.379965277774</v>
      </c>
      <c r="E574" s="2">
        <v>1</v>
      </c>
      <c r="F574" s="2">
        <v>1</v>
      </c>
      <c r="G574" s="2">
        <v>0</v>
      </c>
      <c r="H574" s="1" t="s">
        <v>0</v>
      </c>
      <c r="I574" s="2">
        <v>0</v>
      </c>
      <c r="J574" s="1">
        <v>45915.379884259259</v>
      </c>
    </row>
    <row r="575" spans="1:10" x14ac:dyDescent="0.2">
      <c r="A575" s="4" t="s">
        <v>1</v>
      </c>
      <c r="B575" s="3" t="str">
        <f>HYPERLINK("https://otsuka-europe-crm.veevavault.com/ui/#object/approved_document__v/V5OZ025E82TFUPI", "Spain - HCP Survey Email - June 2025")</f>
        <v>Spain - HCP Survey Email - June 2025</v>
      </c>
      <c r="C575" s="3" t="str">
        <f>HYPERLINK("https://otsuka-europe-crm.veevavault.com/ui/#object/sent_email__v/VBLZ025E82GMXYP", "SE-000267639")</f>
        <v>SE-000267639</v>
      </c>
      <c r="D575" s="1">
        <v>45915.965740740743</v>
      </c>
      <c r="E575" s="2">
        <v>1</v>
      </c>
      <c r="F575" s="2">
        <v>2</v>
      </c>
      <c r="G575" s="2">
        <v>0</v>
      </c>
      <c r="H575" s="1" t="s">
        <v>0</v>
      </c>
      <c r="I575" s="2">
        <v>0</v>
      </c>
      <c r="J575" s="1">
        <v>45915.377835648149</v>
      </c>
    </row>
    <row r="576" spans="1:10" x14ac:dyDescent="0.2">
      <c r="A576" s="4" t="s">
        <v>1</v>
      </c>
      <c r="B576" s="3" t="str">
        <f>HYPERLINK("https://otsuka-europe-crm.veevavault.com/ui/#object/approved_document__v/V5OZ025E82TFUPI", "Spain - HCP Survey Email - June 2025")</f>
        <v>Spain - HCP Survey Email - June 2025</v>
      </c>
      <c r="C576" s="3" t="str">
        <f>HYPERLINK("https://otsuka-europe-crm.veevavault.com/ui/#object/sent_email__v/VBLZ025E82GMXYQ", "SE-000267640")</f>
        <v>SE-000267640</v>
      </c>
      <c r="D576" s="1">
        <v>45915.627546296295</v>
      </c>
      <c r="E576" s="2">
        <v>1</v>
      </c>
      <c r="F576" s="2">
        <v>1</v>
      </c>
      <c r="G576" s="2">
        <v>1</v>
      </c>
      <c r="H576" s="1">
        <v>45915.628032407411</v>
      </c>
      <c r="I576" s="2">
        <v>2</v>
      </c>
      <c r="J576" s="1">
        <v>45915.377627314818</v>
      </c>
    </row>
    <row r="577" spans="1:10" x14ac:dyDescent="0.2">
      <c r="A577" s="4" t="s">
        <v>1</v>
      </c>
      <c r="B577" s="3" t="str">
        <f>HYPERLINK("https://otsuka-europe-crm.veevavault.com/ui/#object/approved_document__v/V5OZ025E82TFUPI", "Spain - HCP Survey Email - June 2025")</f>
        <v>Spain - HCP Survey Email - June 2025</v>
      </c>
      <c r="C577" s="3" t="str">
        <f>HYPERLINK("https://otsuka-europe-crm.veevavault.com/ui/#object/sent_email__v/VBLZ025E82GMXYR", "SE-000267641")</f>
        <v>SE-000267641</v>
      </c>
      <c r="D577" s="1">
        <v>45915.378530092596</v>
      </c>
      <c r="E577" s="2">
        <v>1</v>
      </c>
      <c r="F577" s="2">
        <v>1</v>
      </c>
      <c r="G577" s="2">
        <v>0</v>
      </c>
      <c r="H577" s="1" t="s">
        <v>0</v>
      </c>
      <c r="I577" s="2">
        <v>0</v>
      </c>
      <c r="J577" s="1">
        <v>45915.378321759257</v>
      </c>
    </row>
    <row r="578" spans="1:10" x14ac:dyDescent="0.2">
      <c r="A578" s="4" t="s">
        <v>1</v>
      </c>
      <c r="B578" s="3" t="str">
        <f>HYPERLINK("https://otsuka-europe-crm.veevavault.com/ui/#object/approved_document__v/V5OZ025E82TFUPI", "Spain - HCP Survey Email - June 2025")</f>
        <v>Spain - HCP Survey Email - June 2025</v>
      </c>
      <c r="C578" s="3" t="str">
        <f>HYPERLINK("https://otsuka-europe-crm.veevavault.com/ui/#object/sent_email__v/VBLZ025E82GMXYS", "SE-000267642")</f>
        <v>SE-000267642</v>
      </c>
      <c r="D578" s="1" t="s">
        <v>0</v>
      </c>
      <c r="E578" s="2">
        <v>0</v>
      </c>
      <c r="F578" s="2">
        <v>0</v>
      </c>
      <c r="G578" s="2">
        <v>0</v>
      </c>
      <c r="H578" s="1" t="s">
        <v>0</v>
      </c>
      <c r="I578" s="2">
        <v>0</v>
      </c>
      <c r="J578" s="1">
        <v>45915.378877314812</v>
      </c>
    </row>
    <row r="579" spans="1:10" x14ac:dyDescent="0.2">
      <c r="A579" s="4" t="s">
        <v>1</v>
      </c>
      <c r="B579" s="3" t="str">
        <f>HYPERLINK("https://otsuka-europe-crm.veevavault.com/ui/#object/approved_document__v/V5OZ025E82TFUPI", "Spain - HCP Survey Email - June 2025")</f>
        <v>Spain - HCP Survey Email - June 2025</v>
      </c>
      <c r="C579" s="3" t="str">
        <f>HYPERLINK("https://otsuka-europe-crm.veevavault.com/ui/#object/sent_email__v/VBLZ025E82GMXYT", "SE-000267643")</f>
        <v>SE-000267643</v>
      </c>
      <c r="D579" s="1">
        <v>45917.579305555555</v>
      </c>
      <c r="E579" s="2">
        <v>1</v>
      </c>
      <c r="F579" s="2">
        <v>4</v>
      </c>
      <c r="G579" s="2">
        <v>1</v>
      </c>
      <c r="H579" s="1">
        <v>45916.20952546296</v>
      </c>
      <c r="I579" s="2">
        <v>1</v>
      </c>
      <c r="J579" s="1">
        <v>45915.378738425927</v>
      </c>
    </row>
    <row r="580" spans="1:10" x14ac:dyDescent="0.2">
      <c r="A580" s="4" t="s">
        <v>1</v>
      </c>
      <c r="B580" s="3" t="str">
        <f>HYPERLINK("https://otsuka-europe-crm.veevavault.com/ui/#object/approved_document__v/V5OZ025E82TFUPI", "Spain - HCP Survey Email - June 2025")</f>
        <v>Spain - HCP Survey Email - June 2025</v>
      </c>
      <c r="C580" s="3" t="str">
        <f>HYPERLINK("https://otsuka-europe-crm.veevavault.com/ui/#object/sent_email__v/VBLZ025E82GMXYU", "SE-000267644")</f>
        <v>SE-000267644</v>
      </c>
      <c r="D580" s="1">
        <v>45915.381712962961</v>
      </c>
      <c r="E580" s="2">
        <v>1</v>
      </c>
      <c r="F580" s="2">
        <v>1</v>
      </c>
      <c r="G580" s="2">
        <v>0</v>
      </c>
      <c r="H580" s="1" t="s">
        <v>0</v>
      </c>
      <c r="I580" s="2">
        <v>0</v>
      </c>
      <c r="J580" s="1">
        <v>45915.379062499997</v>
      </c>
    </row>
    <row r="581" spans="1:10" x14ac:dyDescent="0.2">
      <c r="A581" s="4" t="s">
        <v>1</v>
      </c>
      <c r="B581" s="3" t="str">
        <f>HYPERLINK("https://otsuka-europe-crm.veevavault.com/ui/#object/approved_document__v/V5OZ025E82TFUPI", "Spain - HCP Survey Email - June 2025")</f>
        <v>Spain - HCP Survey Email - June 2025</v>
      </c>
      <c r="C581" s="3" t="str">
        <f>HYPERLINK("https://otsuka-europe-crm.veevavault.com/ui/#object/sent_email__v/VBLZ025E82GMXYV", "SE-000267645")</f>
        <v>SE-000267645</v>
      </c>
      <c r="D581" s="1" t="s">
        <v>0</v>
      </c>
      <c r="E581" s="2">
        <v>0</v>
      </c>
      <c r="F581" s="2">
        <v>0</v>
      </c>
      <c r="G581" s="2">
        <v>0</v>
      </c>
      <c r="H581" s="1" t="s">
        <v>0</v>
      </c>
      <c r="I581" s="2">
        <v>0</v>
      </c>
      <c r="J581" s="1">
        <v>45915.377847222226</v>
      </c>
    </row>
    <row r="582" spans="1:10" x14ac:dyDescent="0.2">
      <c r="A582" s="4" t="s">
        <v>1</v>
      </c>
      <c r="B582" s="3" t="str">
        <f>HYPERLINK("https://otsuka-europe-crm.veevavault.com/ui/#object/approved_document__v/V5OZ025E82TFUPI", "Spain - HCP Survey Email - June 2025")</f>
        <v>Spain - HCP Survey Email - June 2025</v>
      </c>
      <c r="C582" s="3" t="str">
        <f>HYPERLINK("https://otsuka-europe-crm.veevavault.com/ui/#object/sent_email__v/VBLZ025E82GMXYW", "SE-000267646")</f>
        <v>SE-000267646</v>
      </c>
      <c r="D582" s="1" t="s">
        <v>0</v>
      </c>
      <c r="E582" s="2">
        <v>0</v>
      </c>
      <c r="F582" s="2">
        <v>0</v>
      </c>
      <c r="G582" s="2">
        <v>0</v>
      </c>
      <c r="H582" s="1" t="s">
        <v>0</v>
      </c>
      <c r="I582" s="2">
        <v>0</v>
      </c>
      <c r="J582" s="1">
        <v>45915.378275462965</v>
      </c>
    </row>
    <row r="583" spans="1:10" x14ac:dyDescent="0.2">
      <c r="A583" s="4" t="s">
        <v>1</v>
      </c>
      <c r="B583" s="3" t="str">
        <f>HYPERLINK("https://otsuka-europe-crm.veevavault.com/ui/#object/approved_document__v/V5OZ025E82TFUPI", "Spain - HCP Survey Email - June 2025")</f>
        <v>Spain - HCP Survey Email - June 2025</v>
      </c>
      <c r="C583" s="3" t="str">
        <f>HYPERLINK("https://otsuka-europe-crm.veevavault.com/ui/#object/sent_email__v/VBLZ025E82GMXYX", "SE-000267647")</f>
        <v>SE-000267647</v>
      </c>
      <c r="D583" s="1">
        <v>45915.406724537039</v>
      </c>
      <c r="E583" s="2">
        <v>1</v>
      </c>
      <c r="F583" s="2">
        <v>1</v>
      </c>
      <c r="G583" s="2">
        <v>1</v>
      </c>
      <c r="H583" s="1">
        <v>45915.406875000001</v>
      </c>
      <c r="I583" s="2">
        <v>2</v>
      </c>
      <c r="J583" s="1">
        <v>45915.378125000003</v>
      </c>
    </row>
    <row r="584" spans="1:10" x14ac:dyDescent="0.2">
      <c r="A584" s="4" t="s">
        <v>1</v>
      </c>
      <c r="B584" s="3" t="str">
        <f>HYPERLINK("https://otsuka-europe-crm.veevavault.com/ui/#object/approved_document__v/V5OZ025E82TFUPI", "Spain - HCP Survey Email - June 2025")</f>
        <v>Spain - HCP Survey Email - June 2025</v>
      </c>
      <c r="C584" s="3" t="str">
        <f>HYPERLINK("https://otsuka-europe-crm.veevavault.com/ui/#object/sent_email__v/VBLZ025E82GMXYY", "SE-000267648")</f>
        <v>SE-000267648</v>
      </c>
      <c r="D584" s="1" t="s">
        <v>0</v>
      </c>
      <c r="E584" s="2">
        <v>0</v>
      </c>
      <c r="F584" s="2">
        <v>0</v>
      </c>
      <c r="G584" s="2">
        <v>0</v>
      </c>
      <c r="H584" s="1" t="s">
        <v>0</v>
      </c>
      <c r="I584" s="2">
        <v>0</v>
      </c>
      <c r="J584" s="1">
        <v>45915.378634259258</v>
      </c>
    </row>
    <row r="585" spans="1:10" x14ac:dyDescent="0.2">
      <c r="A585" s="4" t="s">
        <v>1</v>
      </c>
      <c r="B585" s="3" t="str">
        <f>HYPERLINK("https://otsuka-europe-crm.veevavault.com/ui/#object/approved_document__v/V5OZ025E82TFUPI", "Spain - HCP Survey Email - June 2025")</f>
        <v>Spain - HCP Survey Email - June 2025</v>
      </c>
      <c r="C585" s="3" t="str">
        <f>HYPERLINK("https://otsuka-europe-crm.veevavault.com/ui/#object/sent_email__v/VBLZ025E82GMXYZ", "SE-000267649")</f>
        <v>SE-000267649</v>
      </c>
      <c r="D585" s="1">
        <v>45915.721261574072</v>
      </c>
      <c r="E585" s="2">
        <v>1</v>
      </c>
      <c r="F585" s="2">
        <v>3</v>
      </c>
      <c r="G585" s="2">
        <v>0</v>
      </c>
      <c r="H585" s="1" t="s">
        <v>0</v>
      </c>
      <c r="I585" s="2">
        <v>0</v>
      </c>
      <c r="J585" s="1">
        <v>45915.379942129628</v>
      </c>
    </row>
    <row r="586" spans="1:10" x14ac:dyDescent="0.2">
      <c r="A586" s="4" t="s">
        <v>1</v>
      </c>
      <c r="B586" s="3" t="str">
        <f>HYPERLINK("https://otsuka-europe-crm.veevavault.com/ui/#object/approved_document__v/V5OZ025E82TFUPI", "Spain - HCP Survey Email - June 2025")</f>
        <v>Spain - HCP Survey Email - June 2025</v>
      </c>
      <c r="C586" s="3" t="str">
        <f>HYPERLINK("https://otsuka-europe-crm.veevavault.com/ui/#object/sent_email__v/VBLZ025E82GMXZ0", "SE-000267650")</f>
        <v>SE-000267650</v>
      </c>
      <c r="D586" s="1">
        <v>45915.377824074072</v>
      </c>
      <c r="E586" s="2">
        <v>1</v>
      </c>
      <c r="F586" s="2">
        <v>1</v>
      </c>
      <c r="G586" s="2">
        <v>0</v>
      </c>
      <c r="H586" s="1" t="s">
        <v>0</v>
      </c>
      <c r="I586" s="2">
        <v>0</v>
      </c>
      <c r="J586" s="1">
        <v>45915.377743055556</v>
      </c>
    </row>
    <row r="587" spans="1:10" x14ac:dyDescent="0.2">
      <c r="A587" s="4" t="s">
        <v>1</v>
      </c>
      <c r="B587" s="3" t="str">
        <f>HYPERLINK("https://otsuka-europe-crm.veevavault.com/ui/#object/approved_document__v/V5OZ025E82TFUPI", "Spain - HCP Survey Email - June 2025")</f>
        <v>Spain - HCP Survey Email - June 2025</v>
      </c>
      <c r="C587" s="3" t="str">
        <f>HYPERLINK("https://otsuka-europe-crm.veevavault.com/ui/#object/sent_email__v/VBLZ025E82GMXZ1", "SE-000267651")</f>
        <v>SE-000267651</v>
      </c>
      <c r="D587" s="1">
        <v>45915.378518518519</v>
      </c>
      <c r="E587" s="2">
        <v>1</v>
      </c>
      <c r="F587" s="2">
        <v>1</v>
      </c>
      <c r="G587" s="2">
        <v>1</v>
      </c>
      <c r="H587" s="1">
        <v>45915.378518518519</v>
      </c>
      <c r="I587" s="2">
        <v>1</v>
      </c>
      <c r="J587" s="1">
        <v>45915.377384259256</v>
      </c>
    </row>
    <row r="588" spans="1:10" x14ac:dyDescent="0.2">
      <c r="A588" s="4" t="s">
        <v>1</v>
      </c>
      <c r="B588" s="3" t="str">
        <f>HYPERLINK("https://otsuka-europe-crm.veevavault.com/ui/#object/approved_document__v/V5OZ025E82TFUPI", "Spain - HCP Survey Email - June 2025")</f>
        <v>Spain - HCP Survey Email - June 2025</v>
      </c>
      <c r="C588" s="3" t="str">
        <f>HYPERLINK("https://otsuka-europe-crm.veevavault.com/ui/#object/sent_email__v/VBLZ025E82GMXZ2", "SE-000267652")</f>
        <v>SE-000267652</v>
      </c>
      <c r="D588" s="1">
        <v>45915.93509259259</v>
      </c>
      <c r="E588" s="2">
        <v>1</v>
      </c>
      <c r="F588" s="2">
        <v>1</v>
      </c>
      <c r="G588" s="2">
        <v>0</v>
      </c>
      <c r="H588" s="1" t="s">
        <v>0</v>
      </c>
      <c r="I588" s="2">
        <v>0</v>
      </c>
      <c r="J588" s="1">
        <v>45915.378333333334</v>
      </c>
    </row>
    <row r="589" spans="1:10" x14ac:dyDescent="0.2">
      <c r="A589" s="4" t="s">
        <v>1</v>
      </c>
      <c r="B589" s="3" t="str">
        <f>HYPERLINK("https://otsuka-europe-crm.veevavault.com/ui/#object/approved_document__v/V5OZ025E82TFUPI", "Spain - HCP Survey Email - June 2025")</f>
        <v>Spain - HCP Survey Email - June 2025</v>
      </c>
      <c r="C589" s="3" t="str">
        <f>HYPERLINK("https://otsuka-europe-crm.veevavault.com/ui/#object/sent_email__v/VBLZ025E82GMXZ3", "SE-000267653")</f>
        <v>SE-000267653</v>
      </c>
      <c r="D589" s="1" t="s">
        <v>0</v>
      </c>
      <c r="E589" s="2">
        <v>0</v>
      </c>
      <c r="F589" s="2">
        <v>0</v>
      </c>
      <c r="G589" s="2">
        <v>0</v>
      </c>
      <c r="H589" s="1" t="s">
        <v>0</v>
      </c>
      <c r="I589" s="2">
        <v>0</v>
      </c>
      <c r="J589" s="1">
        <v>45915.378831018519</v>
      </c>
    </row>
    <row r="590" spans="1:10" x14ac:dyDescent="0.2">
      <c r="A590" s="4" t="s">
        <v>1</v>
      </c>
      <c r="B590" s="3" t="str">
        <f>HYPERLINK("https://otsuka-europe-crm.veevavault.com/ui/#object/approved_document__v/V5OZ025E82TFUPI", "Spain - HCP Survey Email - June 2025")</f>
        <v>Spain - HCP Survey Email - June 2025</v>
      </c>
      <c r="C590" s="3" t="str">
        <f>HYPERLINK("https://otsuka-europe-crm.veevavault.com/ui/#object/sent_email__v/VBLZ025E82GMXZ4", "SE-000267654")</f>
        <v>SE-000267654</v>
      </c>
      <c r="D590" s="1" t="s">
        <v>0</v>
      </c>
      <c r="E590" s="2">
        <v>0</v>
      </c>
      <c r="F590" s="2">
        <v>0</v>
      </c>
      <c r="G590" s="2">
        <v>0</v>
      </c>
      <c r="H590" s="1" t="s">
        <v>0</v>
      </c>
      <c r="I590" s="2">
        <v>0</v>
      </c>
      <c r="J590" s="1">
        <v>45915.37872685185</v>
      </c>
    </row>
    <row r="591" spans="1:10" x14ac:dyDescent="0.2">
      <c r="A591" s="4" t="s">
        <v>1</v>
      </c>
      <c r="B591" s="3" t="str">
        <f>HYPERLINK("https://otsuka-europe-crm.veevavault.com/ui/#object/approved_document__v/V5OZ025E82TFUPI", "Spain - HCP Survey Email - June 2025")</f>
        <v>Spain - HCP Survey Email - June 2025</v>
      </c>
      <c r="C591" s="3" t="str">
        <f>HYPERLINK("https://otsuka-europe-crm.veevavault.com/ui/#object/sent_email__v/VBLZ025E82GMXZ5", "SE-000267655")</f>
        <v>SE-000267655</v>
      </c>
      <c r="D591" s="1">
        <v>45936.619780092595</v>
      </c>
      <c r="E591" s="2">
        <v>1</v>
      </c>
      <c r="F591" s="2">
        <v>3</v>
      </c>
      <c r="G591" s="2">
        <v>1</v>
      </c>
      <c r="H591" s="1">
        <v>45921.013275462959</v>
      </c>
      <c r="I591" s="2">
        <v>1</v>
      </c>
      <c r="J591" s="1">
        <v>45915.37909722222</v>
      </c>
    </row>
    <row r="592" spans="1:10" x14ac:dyDescent="0.2">
      <c r="A592" s="4" t="s">
        <v>1</v>
      </c>
      <c r="B592" s="3" t="str">
        <f>HYPERLINK("https://otsuka-europe-crm.veevavault.com/ui/#object/approved_document__v/V5OZ025E82TFUPI", "Spain - HCP Survey Email - June 2025")</f>
        <v>Spain - HCP Survey Email - June 2025</v>
      </c>
      <c r="C592" s="3" t="str">
        <f>HYPERLINK("https://otsuka-europe-crm.veevavault.com/ui/#object/sent_email__v/VBLZ025E82GMXZ6", "SE-000267656")</f>
        <v>SE-000267656</v>
      </c>
      <c r="D592" s="1" t="s">
        <v>0</v>
      </c>
      <c r="E592" s="2">
        <v>0</v>
      </c>
      <c r="F592" s="2">
        <v>0</v>
      </c>
      <c r="G592" s="2">
        <v>0</v>
      </c>
      <c r="H592" s="1" t="s">
        <v>0</v>
      </c>
      <c r="I592" s="2">
        <v>0</v>
      </c>
      <c r="J592" s="1">
        <v>45915.377905092595</v>
      </c>
    </row>
    <row r="593" spans="1:10" x14ac:dyDescent="0.2">
      <c r="A593" s="4" t="s">
        <v>1</v>
      </c>
      <c r="B593" s="3" t="str">
        <f>HYPERLINK("https://otsuka-europe-crm.veevavault.com/ui/#object/approved_document__v/V5OZ025E82TFUPI", "Spain - HCP Survey Email - June 2025")</f>
        <v>Spain - HCP Survey Email - June 2025</v>
      </c>
      <c r="C593" s="3" t="str">
        <f>HYPERLINK("https://otsuka-europe-crm.veevavault.com/ui/#object/sent_email__v/VBLZ025E82GMXZ7", "SE-000267657")</f>
        <v>SE-000267657</v>
      </c>
      <c r="D593" s="1">
        <v>45922.570439814815</v>
      </c>
      <c r="E593" s="2">
        <v>1</v>
      </c>
      <c r="F593" s="2">
        <v>3</v>
      </c>
      <c r="G593" s="2">
        <v>0</v>
      </c>
      <c r="H593" s="1" t="s">
        <v>0</v>
      </c>
      <c r="I593" s="2">
        <v>0</v>
      </c>
      <c r="J593" s="1">
        <v>45915.378171296295</v>
      </c>
    </row>
    <row r="594" spans="1:10" x14ac:dyDescent="0.2">
      <c r="A594" s="4" t="s">
        <v>1</v>
      </c>
      <c r="B594" s="3" t="str">
        <f>HYPERLINK("https://otsuka-europe-crm.veevavault.com/ui/#object/approved_document__v/V5OZ025E82TFUPI", "Spain - HCP Survey Email - June 2025")</f>
        <v>Spain - HCP Survey Email - June 2025</v>
      </c>
      <c r="C594" s="3" t="str">
        <f>HYPERLINK("https://otsuka-europe-crm.veevavault.com/ui/#object/sent_email__v/VBLZ025E82GMXZ8", "SE-000267658")</f>
        <v>SE-000267658</v>
      </c>
      <c r="D594" s="1" t="s">
        <v>0</v>
      </c>
      <c r="E594" s="2">
        <v>0</v>
      </c>
      <c r="F594" s="2">
        <v>0</v>
      </c>
      <c r="G594" s="2">
        <v>0</v>
      </c>
      <c r="H594" s="1" t="s">
        <v>0</v>
      </c>
      <c r="I594" s="2">
        <v>0</v>
      </c>
      <c r="J594" s="1">
        <v>45915.378171296295</v>
      </c>
    </row>
    <row r="595" spans="1:10" x14ac:dyDescent="0.2">
      <c r="A595" s="4" t="s">
        <v>1</v>
      </c>
      <c r="B595" s="3" t="str">
        <f>HYPERLINK("https://otsuka-europe-crm.veevavault.com/ui/#object/approved_document__v/V5OZ025E82TFUPI", "Spain - HCP Survey Email - June 2025")</f>
        <v>Spain - HCP Survey Email - June 2025</v>
      </c>
      <c r="C595" s="3" t="str">
        <f>HYPERLINK("https://otsuka-europe-crm.veevavault.com/ui/#object/sent_email__v/VBLZ025E82GMXZ9", "SE-000267659")</f>
        <v>SE-000267659</v>
      </c>
      <c r="D595" s="1">
        <v>45916.769976851851</v>
      </c>
      <c r="E595" s="2">
        <v>1</v>
      </c>
      <c r="F595" s="2">
        <v>2</v>
      </c>
      <c r="G595" s="2">
        <v>0</v>
      </c>
      <c r="H595" s="1" t="s">
        <v>0</v>
      </c>
      <c r="I595" s="2">
        <v>0</v>
      </c>
      <c r="J595" s="1">
        <v>45915.378564814811</v>
      </c>
    </row>
    <row r="596" spans="1:10" x14ac:dyDescent="0.2">
      <c r="A596" s="4" t="s">
        <v>1</v>
      </c>
      <c r="B596" s="3" t="str">
        <f>HYPERLINK("https://otsuka-europe-crm.veevavault.com/ui/#object/approved_document__v/V5OZ025E82TFUPI", "Spain - HCP Survey Email - June 2025")</f>
        <v>Spain - HCP Survey Email - June 2025</v>
      </c>
      <c r="C596" s="3" t="str">
        <f>HYPERLINK("https://otsuka-europe-crm.veevavault.com/ui/#object/sent_email__v/VBLZ025E82GMXZA", "SE-000267660")</f>
        <v>SE-000267660</v>
      </c>
      <c r="D596" s="1" t="s">
        <v>0</v>
      </c>
      <c r="E596" s="2">
        <v>0</v>
      </c>
      <c r="F596" s="2">
        <v>0</v>
      </c>
      <c r="G596" s="2">
        <v>0</v>
      </c>
      <c r="H596" s="1" t="s">
        <v>0</v>
      </c>
      <c r="I596" s="2">
        <v>0</v>
      </c>
      <c r="J596" s="1">
        <v>45915.379930555559</v>
      </c>
    </row>
    <row r="597" spans="1:10" x14ac:dyDescent="0.2">
      <c r="A597" s="4" t="s">
        <v>1</v>
      </c>
      <c r="B597" s="3" t="str">
        <f>HYPERLINK("https://otsuka-europe-crm.veevavault.com/ui/#object/approved_document__v/V5OZ025E82TFUPI", "Spain - HCP Survey Email - June 2025")</f>
        <v>Spain - HCP Survey Email - June 2025</v>
      </c>
      <c r="C597" s="3" t="str">
        <f>HYPERLINK("https://otsuka-europe-crm.veevavault.com/ui/#object/sent_email__v/VBLZ025E82GMXZB", "SE-000267661")</f>
        <v>SE-000267661</v>
      </c>
      <c r="D597" s="1" t="s">
        <v>0</v>
      </c>
      <c r="E597" s="2">
        <v>0</v>
      </c>
      <c r="F597" s="2">
        <v>0</v>
      </c>
      <c r="G597" s="2">
        <v>0</v>
      </c>
      <c r="H597" s="1" t="s">
        <v>0</v>
      </c>
      <c r="I597" s="2">
        <v>0</v>
      </c>
      <c r="J597" s="1">
        <v>45915.377743055556</v>
      </c>
    </row>
    <row r="598" spans="1:10" x14ac:dyDescent="0.2">
      <c r="A598" s="4" t="s">
        <v>1</v>
      </c>
      <c r="B598" s="3" t="str">
        <f>HYPERLINK("https://otsuka-europe-crm.veevavault.com/ui/#object/approved_document__v/V5OZ025E82TFUPI", "Spain - HCP Survey Email - June 2025")</f>
        <v>Spain - HCP Survey Email - June 2025</v>
      </c>
      <c r="C598" s="3" t="str">
        <f>HYPERLINK("https://otsuka-europe-crm.veevavault.com/ui/#object/sent_email__v/VBLZ025E82GMXZC", "SE-000267662")</f>
        <v>SE-000267662</v>
      </c>
      <c r="D598" s="1">
        <v>45924.758090277777</v>
      </c>
      <c r="E598" s="2">
        <v>1</v>
      </c>
      <c r="F598" s="2">
        <v>2</v>
      </c>
      <c r="G598" s="2">
        <v>0</v>
      </c>
      <c r="H598" s="1" t="s">
        <v>0</v>
      </c>
      <c r="I598" s="2">
        <v>0</v>
      </c>
      <c r="J598" s="1">
        <v>45915.378194444442</v>
      </c>
    </row>
    <row r="599" spans="1:10" x14ac:dyDescent="0.2">
      <c r="A599" s="4" t="s">
        <v>1</v>
      </c>
      <c r="B599" s="3" t="str">
        <f>HYPERLINK("https://otsuka-europe-crm.veevavault.com/ui/#object/approved_document__v/V5OZ025E82TFUPI", "Spain - HCP Survey Email - June 2025")</f>
        <v>Spain - HCP Survey Email - June 2025</v>
      </c>
      <c r="C599" s="3" t="str">
        <f>HYPERLINK("https://otsuka-europe-crm.veevavault.com/ui/#object/sent_email__v/VBLZ025E82GMXZD", "SE-000267663")</f>
        <v>SE-000267663</v>
      </c>
      <c r="D599" s="1" t="s">
        <v>0</v>
      </c>
      <c r="E599" s="2">
        <v>0</v>
      </c>
      <c r="F599" s="2">
        <v>0</v>
      </c>
      <c r="G599" s="2">
        <v>0</v>
      </c>
      <c r="H599" s="1" t="s">
        <v>0</v>
      </c>
      <c r="I599" s="2">
        <v>0</v>
      </c>
      <c r="J599" s="1">
        <v>45915.378113425926</v>
      </c>
    </row>
    <row r="600" spans="1:10" x14ac:dyDescent="0.2">
      <c r="A600" s="4" t="s">
        <v>1</v>
      </c>
      <c r="B600" s="3" t="str">
        <f>HYPERLINK("https://otsuka-europe-crm.veevavault.com/ui/#object/approved_document__v/V5OZ025E82TFUPI", "Spain - HCP Survey Email - June 2025")</f>
        <v>Spain - HCP Survey Email - June 2025</v>
      </c>
      <c r="C600" s="3" t="str">
        <f>HYPERLINK("https://otsuka-europe-crm.veevavault.com/ui/#object/sent_email__v/VBLZ025E82GMXZE", "SE-000267664")</f>
        <v>SE-000267664</v>
      </c>
      <c r="D600" s="1" t="s">
        <v>0</v>
      </c>
      <c r="E600" s="2">
        <v>0</v>
      </c>
      <c r="F600" s="2">
        <v>0</v>
      </c>
      <c r="G600" s="2">
        <v>0</v>
      </c>
      <c r="H600" s="1" t="s">
        <v>0</v>
      </c>
      <c r="I600" s="2">
        <v>0</v>
      </c>
      <c r="J600" s="1">
        <v>45915.378750000003</v>
      </c>
    </row>
    <row r="601" spans="1:10" x14ac:dyDescent="0.2">
      <c r="A601" s="4" t="s">
        <v>1</v>
      </c>
      <c r="B601" s="3" t="str">
        <f>HYPERLINK("https://otsuka-europe-crm.veevavault.com/ui/#object/approved_document__v/V5OZ025E82TFUPI", "Spain - HCP Survey Email - June 2025")</f>
        <v>Spain - HCP Survey Email - June 2025</v>
      </c>
      <c r="C601" s="3" t="str">
        <f>HYPERLINK("https://otsuka-europe-crm.veevavault.com/ui/#object/sent_email__v/VBLZ025E82GMXZF", "SE-000267665")</f>
        <v>SE-000267665</v>
      </c>
      <c r="D601" s="1" t="s">
        <v>0</v>
      </c>
      <c r="E601" s="2">
        <v>0</v>
      </c>
      <c r="F601" s="2">
        <v>0</v>
      </c>
      <c r="G601" s="2">
        <v>0</v>
      </c>
      <c r="H601" s="1" t="s">
        <v>0</v>
      </c>
      <c r="I601" s="2">
        <v>0</v>
      </c>
      <c r="J601" s="1">
        <v>45915.380150462966</v>
      </c>
    </row>
    <row r="602" spans="1:10" x14ac:dyDescent="0.2">
      <c r="A602" s="4" t="s">
        <v>1</v>
      </c>
      <c r="B602" s="3" t="str">
        <f>HYPERLINK("https://otsuka-europe-crm.veevavault.com/ui/#object/approved_document__v/V5OZ025E82TFUPI", "Spain - HCP Survey Email - June 2025")</f>
        <v>Spain - HCP Survey Email - June 2025</v>
      </c>
      <c r="C602" s="3" t="str">
        <f>HYPERLINK("https://otsuka-europe-crm.veevavault.com/ui/#object/sent_email__v/VBLZ025E82GMXZG", "SE-000267666")</f>
        <v>SE-000267666</v>
      </c>
      <c r="D602" s="1">
        <v>45915.439039351855</v>
      </c>
      <c r="E602" s="2">
        <v>1</v>
      </c>
      <c r="F602" s="2">
        <v>1</v>
      </c>
      <c r="G602" s="2">
        <v>0</v>
      </c>
      <c r="H602" s="1" t="s">
        <v>0</v>
      </c>
      <c r="I602" s="2">
        <v>0</v>
      </c>
      <c r="J602" s="1">
        <v>45915.37773148148</v>
      </c>
    </row>
    <row r="603" spans="1:10" x14ac:dyDescent="0.2">
      <c r="A603" s="4" t="s">
        <v>1</v>
      </c>
      <c r="B603" s="3" t="str">
        <f>HYPERLINK("https://otsuka-europe-crm.veevavault.com/ui/#object/approved_document__v/V5OZ025E82TFUPI", "Spain - HCP Survey Email - June 2025")</f>
        <v>Spain - HCP Survey Email - June 2025</v>
      </c>
      <c r="C603" s="3" t="str">
        <f>HYPERLINK("https://otsuka-europe-crm.veevavault.com/ui/#object/sent_email__v/VBLZ025E82GMXZH", "SE-000267667")</f>
        <v>SE-000267667</v>
      </c>
      <c r="D603" s="1">
        <v>45915.377604166664</v>
      </c>
      <c r="E603" s="2">
        <v>1</v>
      </c>
      <c r="F603" s="2">
        <v>1</v>
      </c>
      <c r="G603" s="2">
        <v>1</v>
      </c>
      <c r="H603" s="1">
        <v>45915.378136574072</v>
      </c>
      <c r="I603" s="2">
        <v>2</v>
      </c>
      <c r="J603" s="1">
        <v>45915.377418981479</v>
      </c>
    </row>
    <row r="604" spans="1:10" x14ac:dyDescent="0.2">
      <c r="A604" s="4" t="s">
        <v>1</v>
      </c>
      <c r="B604" s="3" t="str">
        <f>HYPERLINK("https://otsuka-europe-crm.veevavault.com/ui/#object/approved_document__v/V5OZ025E82TFUPI", "Spain - HCP Survey Email - June 2025")</f>
        <v>Spain - HCP Survey Email - June 2025</v>
      </c>
      <c r="C604" s="3" t="str">
        <f>HYPERLINK("https://otsuka-europe-crm.veevavault.com/ui/#object/sent_email__v/VBLZ025E82GMXZI", "SE-000267668")</f>
        <v>SE-000267668</v>
      </c>
      <c r="D604" s="1">
        <v>45915.378611111111</v>
      </c>
      <c r="E604" s="2">
        <v>1</v>
      </c>
      <c r="F604" s="2">
        <v>1</v>
      </c>
      <c r="G604" s="2">
        <v>1</v>
      </c>
      <c r="H604" s="1">
        <v>45915.378935185188</v>
      </c>
      <c r="I604" s="2">
        <v>2</v>
      </c>
      <c r="J604" s="1">
        <v>45915.37840277778</v>
      </c>
    </row>
    <row r="605" spans="1:10" x14ac:dyDescent="0.2">
      <c r="A605" s="4" t="s">
        <v>1</v>
      </c>
      <c r="B605" s="3" t="str">
        <f>HYPERLINK("https://otsuka-europe-crm.veevavault.com/ui/#object/approved_document__v/V5OZ025E82TFUPI", "Spain - HCP Survey Email - June 2025")</f>
        <v>Spain - HCP Survey Email - June 2025</v>
      </c>
      <c r="C605" s="3" t="str">
        <f>HYPERLINK("https://otsuka-europe-crm.veevavault.com/ui/#object/sent_email__v/VBLZ025E82GMXZJ", "SE-000267669")</f>
        <v>SE-000267669</v>
      </c>
      <c r="D605" s="1" t="s">
        <v>0</v>
      </c>
      <c r="E605" s="2">
        <v>0</v>
      </c>
      <c r="F605" s="2">
        <v>0</v>
      </c>
      <c r="G605" s="2">
        <v>0</v>
      </c>
      <c r="H605" s="1" t="s">
        <v>0</v>
      </c>
      <c r="I605" s="2">
        <v>0</v>
      </c>
      <c r="J605" s="1">
        <v>45915.378842592596</v>
      </c>
    </row>
    <row r="606" spans="1:10" x14ac:dyDescent="0.2">
      <c r="A606" s="4" t="s">
        <v>1</v>
      </c>
      <c r="B606" s="3" t="str">
        <f>HYPERLINK("https://otsuka-europe-crm.veevavault.com/ui/#object/approved_document__v/V5OZ025E82TFUPI", "Spain - HCP Survey Email - June 2025")</f>
        <v>Spain - HCP Survey Email - June 2025</v>
      </c>
      <c r="C606" s="3" t="str">
        <f>HYPERLINK("https://otsuka-europe-crm.veevavault.com/ui/#object/sent_email__v/VBLZ025E82GMXZK", "SE-000267670")</f>
        <v>SE-000267670</v>
      </c>
      <c r="D606" s="1">
        <v>45936.20040509259</v>
      </c>
      <c r="E606" s="2">
        <v>1</v>
      </c>
      <c r="F606" s="2">
        <v>2</v>
      </c>
      <c r="G606" s="2">
        <v>0</v>
      </c>
      <c r="H606" s="1" t="s">
        <v>0</v>
      </c>
      <c r="I606" s="2">
        <v>0</v>
      </c>
      <c r="J606" s="1">
        <v>45915.37871527778</v>
      </c>
    </row>
    <row r="607" spans="1:10" x14ac:dyDescent="0.2">
      <c r="A607" s="4" t="s">
        <v>1</v>
      </c>
      <c r="B607" s="3" t="str">
        <f>HYPERLINK("https://otsuka-europe-crm.veevavault.com/ui/#object/approved_document__v/V5OZ025E82TFUPI", "Spain - HCP Survey Email - June 2025")</f>
        <v>Spain - HCP Survey Email - June 2025</v>
      </c>
      <c r="C607" s="3" t="str">
        <f>HYPERLINK("https://otsuka-europe-crm.veevavault.com/ui/#object/sent_email__v/VBLZ025E82GMXZL", "SE-000267671")</f>
        <v>SE-000267671</v>
      </c>
      <c r="D607" s="1">
        <v>45915.710706018515</v>
      </c>
      <c r="E607" s="2">
        <v>1</v>
      </c>
      <c r="F607" s="2">
        <v>1</v>
      </c>
      <c r="G607" s="2">
        <v>1</v>
      </c>
      <c r="H607" s="1">
        <v>45915.711064814815</v>
      </c>
      <c r="I607" s="2">
        <v>2</v>
      </c>
      <c r="J607" s="1">
        <v>45915.37908564815</v>
      </c>
    </row>
    <row r="608" spans="1:10" x14ac:dyDescent="0.2">
      <c r="A608" s="4" t="s">
        <v>1</v>
      </c>
      <c r="B608" s="3" t="str">
        <f>HYPERLINK("https://otsuka-europe-crm.veevavault.com/ui/#object/approved_document__v/V5OZ025E82TFUPI", "Spain - HCP Survey Email - June 2025")</f>
        <v>Spain - HCP Survey Email - June 2025</v>
      </c>
      <c r="C608" s="3" t="str">
        <f>HYPERLINK("https://otsuka-europe-crm.veevavault.com/ui/#object/sent_email__v/VBLZ025E82GMXZM", "SE-000267672")</f>
        <v>SE-000267672</v>
      </c>
      <c r="D608" s="1" t="s">
        <v>0</v>
      </c>
      <c r="E608" s="2">
        <v>0</v>
      </c>
      <c r="F608" s="2">
        <v>0</v>
      </c>
      <c r="G608" s="2">
        <v>0</v>
      </c>
      <c r="H608" s="1" t="s">
        <v>0</v>
      </c>
      <c r="I608" s="2">
        <v>0</v>
      </c>
      <c r="J608" s="1">
        <v>45915.377847222226</v>
      </c>
    </row>
    <row r="609" spans="1:10" x14ac:dyDescent="0.2">
      <c r="A609" s="4" t="s">
        <v>1</v>
      </c>
      <c r="B609" s="3" t="str">
        <f>HYPERLINK("https://otsuka-europe-crm.veevavault.com/ui/#object/approved_document__v/V5OZ025E82TFUPI", "Spain - HCP Survey Email - June 2025")</f>
        <v>Spain - HCP Survey Email - June 2025</v>
      </c>
      <c r="C609" s="3" t="str">
        <f>HYPERLINK("https://otsuka-europe-crm.veevavault.com/ui/#object/sent_email__v/VBLZ025E82GMXZN", "SE-000267673")</f>
        <v>SE-000267673</v>
      </c>
      <c r="D609" s="1">
        <v>45915.394872685189</v>
      </c>
      <c r="E609" s="2">
        <v>1</v>
      </c>
      <c r="F609" s="2">
        <v>1</v>
      </c>
      <c r="G609" s="2">
        <v>0</v>
      </c>
      <c r="H609" s="1" t="s">
        <v>0</v>
      </c>
      <c r="I609" s="2">
        <v>0</v>
      </c>
      <c r="J609" s="1">
        <v>45915.378275462965</v>
      </c>
    </row>
    <row r="610" spans="1:10" x14ac:dyDescent="0.2">
      <c r="A610" s="4" t="s">
        <v>1</v>
      </c>
      <c r="B610" s="3" t="str">
        <f>HYPERLINK("https://otsuka-europe-crm.veevavault.com/ui/#object/approved_document__v/V5OZ025E82TFUPI", "Spain - HCP Survey Email - June 2025")</f>
        <v>Spain - HCP Survey Email - June 2025</v>
      </c>
      <c r="C610" s="3" t="str">
        <f>HYPERLINK("https://otsuka-europe-crm.veevavault.com/ui/#object/sent_email__v/VBLZ025E82GMXZO", "SE-000267674")</f>
        <v>SE-000267674</v>
      </c>
      <c r="D610" s="1" t="s">
        <v>0</v>
      </c>
      <c r="E610" s="2">
        <v>0</v>
      </c>
      <c r="F610" s="2">
        <v>0</v>
      </c>
      <c r="G610" s="2">
        <v>0</v>
      </c>
      <c r="H610" s="1" t="s">
        <v>0</v>
      </c>
      <c r="I610" s="2">
        <v>0</v>
      </c>
      <c r="J610" s="1">
        <v>45915.378101851849</v>
      </c>
    </row>
    <row r="611" spans="1:10" x14ac:dyDescent="0.2">
      <c r="A611" s="4" t="s">
        <v>1</v>
      </c>
      <c r="B611" s="3" t="str">
        <f>HYPERLINK("https://otsuka-europe-crm.veevavault.com/ui/#object/approved_document__v/V5OZ025E82TFUPI", "Spain - HCP Survey Email - June 2025")</f>
        <v>Spain - HCP Survey Email - June 2025</v>
      </c>
      <c r="C611" s="3" t="str">
        <f>HYPERLINK("https://otsuka-europe-crm.veevavault.com/ui/#object/sent_email__v/VBLZ025E82GMXZP", "SE-000267675")</f>
        <v>SE-000267675</v>
      </c>
      <c r="D611" s="1" t="s">
        <v>0</v>
      </c>
      <c r="E611" s="2">
        <v>0</v>
      </c>
      <c r="F611" s="2">
        <v>0</v>
      </c>
      <c r="G611" s="2">
        <v>0</v>
      </c>
      <c r="H611" s="1" t="s">
        <v>0</v>
      </c>
      <c r="I611" s="2">
        <v>0</v>
      </c>
      <c r="J611" s="1">
        <v>45915.378703703704</v>
      </c>
    </row>
    <row r="612" spans="1:10" x14ac:dyDescent="0.2">
      <c r="A612" s="4" t="s">
        <v>1</v>
      </c>
      <c r="B612" s="3" t="str">
        <f>HYPERLINK("https://otsuka-europe-crm.veevavault.com/ui/#object/approved_document__v/V5OZ025E82TFUPI", "Spain - HCP Survey Email - June 2025")</f>
        <v>Spain - HCP Survey Email - June 2025</v>
      </c>
      <c r="C612" s="3" t="str">
        <f>HYPERLINK("https://otsuka-europe-crm.veevavault.com/ui/#object/sent_email__v/VBLZ025E82GMXZQ", "SE-000267676")</f>
        <v>SE-000267676</v>
      </c>
      <c r="D612" s="1">
        <v>45919.710902777777</v>
      </c>
      <c r="E612" s="2">
        <v>1</v>
      </c>
      <c r="F612" s="2">
        <v>3</v>
      </c>
      <c r="G612" s="2">
        <v>0</v>
      </c>
      <c r="H612" s="1" t="s">
        <v>0</v>
      </c>
      <c r="I612" s="2">
        <v>0</v>
      </c>
      <c r="J612" s="1">
        <v>45915.379942129628</v>
      </c>
    </row>
    <row r="613" spans="1:10" x14ac:dyDescent="0.2">
      <c r="A613" s="4" t="s">
        <v>1</v>
      </c>
      <c r="B613" s="3" t="str">
        <f>HYPERLINK("https://otsuka-europe-crm.veevavault.com/ui/#object/approved_document__v/V5OZ025E82TFUPI", "Spain - HCP Survey Email - June 2025")</f>
        <v>Spain - HCP Survey Email - June 2025</v>
      </c>
      <c r="C613" s="3" t="str">
        <f>HYPERLINK("https://otsuka-europe-crm.veevavault.com/ui/#object/sent_email__v/VBLZ025E82GMXZR", "SE-000267677")</f>
        <v>SE-000267677</v>
      </c>
      <c r="D613" s="1" t="s">
        <v>0</v>
      </c>
      <c r="E613" s="2">
        <v>0</v>
      </c>
      <c r="F613" s="2">
        <v>0</v>
      </c>
      <c r="G613" s="2">
        <v>0</v>
      </c>
      <c r="H613" s="1" t="s">
        <v>0</v>
      </c>
      <c r="I613" s="2">
        <v>0</v>
      </c>
      <c r="J613" s="1">
        <v>45915.379305555558</v>
      </c>
    </row>
    <row r="614" spans="1:10" x14ac:dyDescent="0.2">
      <c r="A614" s="4" t="s">
        <v>1</v>
      </c>
      <c r="B614" s="3" t="str">
        <f>HYPERLINK("https://otsuka-europe-crm.veevavault.com/ui/#object/approved_document__v/V5OZ025E82TFUPI", "Spain - HCP Survey Email - June 2025")</f>
        <v>Spain - HCP Survey Email - June 2025</v>
      </c>
      <c r="C614" s="3" t="str">
        <f>HYPERLINK("https://otsuka-europe-crm.veevavault.com/ui/#object/sent_email__v/VBLZ025E82GMXZS", "SE-000267678")</f>
        <v>SE-000267678</v>
      </c>
      <c r="D614" s="1" t="s">
        <v>0</v>
      </c>
      <c r="E614" s="2">
        <v>0</v>
      </c>
      <c r="F614" s="2">
        <v>0</v>
      </c>
      <c r="G614" s="2">
        <v>0</v>
      </c>
      <c r="H614" s="1" t="s">
        <v>0</v>
      </c>
      <c r="I614" s="2">
        <v>0</v>
      </c>
      <c r="J614" s="1">
        <v>45915.377395833333</v>
      </c>
    </row>
    <row r="615" spans="1:10" x14ac:dyDescent="0.2">
      <c r="A615" s="4" t="s">
        <v>1</v>
      </c>
      <c r="B615" s="3" t="str">
        <f>HYPERLINK("https://otsuka-europe-crm.veevavault.com/ui/#object/approved_document__v/V5OZ025E82TFUPI", "Spain - HCP Survey Email - June 2025")</f>
        <v>Spain - HCP Survey Email - June 2025</v>
      </c>
      <c r="C615" s="3" t="str">
        <f>HYPERLINK("https://otsuka-europe-crm.veevavault.com/ui/#object/sent_email__v/VBLZ025E82GMXZT", "SE-000267679")</f>
        <v>SE-000267679</v>
      </c>
      <c r="D615" s="1">
        <v>45915.440104166664</v>
      </c>
      <c r="E615" s="2">
        <v>1</v>
      </c>
      <c r="F615" s="2">
        <v>1</v>
      </c>
      <c r="G615" s="2">
        <v>0</v>
      </c>
      <c r="H615" s="1" t="s">
        <v>0</v>
      </c>
      <c r="I615" s="2">
        <v>0</v>
      </c>
      <c r="J615" s="1">
        <v>45915.378368055557</v>
      </c>
    </row>
    <row r="616" spans="1:10" x14ac:dyDescent="0.2">
      <c r="A616" s="4" t="s">
        <v>1</v>
      </c>
      <c r="B616" s="3" t="str">
        <f>HYPERLINK("https://otsuka-europe-crm.veevavault.com/ui/#object/approved_document__v/V5OZ025E82TFUPI", "Spain - HCP Survey Email - June 2025")</f>
        <v>Spain - HCP Survey Email - June 2025</v>
      </c>
      <c r="C616" s="3" t="str">
        <f>HYPERLINK("https://otsuka-europe-crm.veevavault.com/ui/#object/sent_email__v/VBLZ025E82GMXZU", "SE-000267680")</f>
        <v>SE-000267680</v>
      </c>
      <c r="D616" s="1" t="s">
        <v>0</v>
      </c>
      <c r="E616" s="2">
        <v>0</v>
      </c>
      <c r="F616" s="2">
        <v>0</v>
      </c>
      <c r="G616" s="2">
        <v>0</v>
      </c>
      <c r="H616" s="1" t="s">
        <v>0</v>
      </c>
      <c r="I616" s="2">
        <v>0</v>
      </c>
      <c r="J616" s="1">
        <v>45915.378819444442</v>
      </c>
    </row>
    <row r="617" spans="1:10" x14ac:dyDescent="0.2">
      <c r="A617" s="4" t="s">
        <v>1</v>
      </c>
      <c r="B617" s="3" t="str">
        <f>HYPERLINK("https://otsuka-europe-crm.veevavault.com/ui/#object/approved_document__v/V5OZ025E82TFUPI", "Spain - HCP Survey Email - June 2025")</f>
        <v>Spain - HCP Survey Email - June 2025</v>
      </c>
      <c r="C617" s="3" t="str">
        <f>HYPERLINK("https://otsuka-europe-crm.veevavault.com/ui/#object/sent_email__v/VBLZ025E82GMXZV", "SE-000267681")</f>
        <v>SE-000267681</v>
      </c>
      <c r="D617" s="1" t="s">
        <v>0</v>
      </c>
      <c r="E617" s="2">
        <v>0</v>
      </c>
      <c r="F617" s="2">
        <v>0</v>
      </c>
      <c r="G617" s="2">
        <v>0</v>
      </c>
      <c r="H617" s="1" t="s">
        <v>0</v>
      </c>
      <c r="I617" s="2">
        <v>0</v>
      </c>
      <c r="J617" s="1">
        <v>45915.378738425927</v>
      </c>
    </row>
    <row r="618" spans="1:10" x14ac:dyDescent="0.2">
      <c r="A618" s="4" t="s">
        <v>1</v>
      </c>
      <c r="B618" s="3" t="str">
        <f>HYPERLINK("https://otsuka-europe-crm.veevavault.com/ui/#object/approved_document__v/V5OZ025E82TFUPI", "Spain - HCP Survey Email - June 2025")</f>
        <v>Spain - HCP Survey Email - June 2025</v>
      </c>
      <c r="C618" s="3" t="str">
        <f>HYPERLINK("https://otsuka-europe-crm.veevavault.com/ui/#object/sent_email__v/VBLZ025E82GMXZW", "SE-000267682")</f>
        <v>SE-000267682</v>
      </c>
      <c r="D618" s="1" t="s">
        <v>0</v>
      </c>
      <c r="E618" s="2">
        <v>0</v>
      </c>
      <c r="F618" s="2">
        <v>0</v>
      </c>
      <c r="G618" s="2">
        <v>0</v>
      </c>
      <c r="H618" s="1" t="s">
        <v>0</v>
      </c>
      <c r="I618" s="2">
        <v>0</v>
      </c>
      <c r="J618" s="1">
        <v>45915.379074074073</v>
      </c>
    </row>
    <row r="619" spans="1:10" x14ac:dyDescent="0.2">
      <c r="A619" s="4" t="s">
        <v>1</v>
      </c>
      <c r="B619" s="3" t="str">
        <f>HYPERLINK("https://otsuka-europe-crm.veevavault.com/ui/#object/approved_document__v/V5OZ025E82TFUPI", "Spain - HCP Survey Email - June 2025")</f>
        <v>Spain - HCP Survey Email - June 2025</v>
      </c>
      <c r="C619" s="3" t="str">
        <f>HYPERLINK("https://otsuka-europe-crm.veevavault.com/ui/#object/sent_email__v/VBLZ025E82GMXZX", "SE-000267683")</f>
        <v>SE-000267683</v>
      </c>
      <c r="D619" s="1">
        <v>45916.297569444447</v>
      </c>
      <c r="E619" s="2">
        <v>1</v>
      </c>
      <c r="F619" s="2">
        <v>2</v>
      </c>
      <c r="G619" s="2">
        <v>0</v>
      </c>
      <c r="H619" s="1" t="s">
        <v>0</v>
      </c>
      <c r="I619" s="2">
        <v>0</v>
      </c>
      <c r="J619" s="1">
        <v>45915.377835648149</v>
      </c>
    </row>
    <row r="620" spans="1:10" x14ac:dyDescent="0.2">
      <c r="A620" s="4" t="s">
        <v>1</v>
      </c>
      <c r="B620" s="3" t="str">
        <f>HYPERLINK("https://otsuka-europe-crm.veevavault.com/ui/#object/approved_document__v/V5OZ025E82TFUPI", "Spain - HCP Survey Email - June 2025")</f>
        <v>Spain - HCP Survey Email - June 2025</v>
      </c>
      <c r="C620" s="3" t="str">
        <f>HYPERLINK("https://otsuka-europe-crm.veevavault.com/ui/#object/sent_email__v/VBLZ025E82GMXZY", "SE-000267684")</f>
        <v>SE-000267684</v>
      </c>
      <c r="D620" s="1">
        <v>45915.917442129627</v>
      </c>
      <c r="E620" s="2">
        <v>1</v>
      </c>
      <c r="F620" s="2">
        <v>1</v>
      </c>
      <c r="G620" s="2">
        <v>0</v>
      </c>
      <c r="H620" s="1" t="s">
        <v>0</v>
      </c>
      <c r="I620" s="2">
        <v>0</v>
      </c>
      <c r="J620" s="1">
        <v>45915.378321759257</v>
      </c>
    </row>
    <row r="621" spans="1:10" x14ac:dyDescent="0.2">
      <c r="A621" s="4" t="s">
        <v>1</v>
      </c>
      <c r="B621" s="3" t="str">
        <f>HYPERLINK("https://otsuka-europe-crm.veevavault.com/ui/#object/approved_document__v/V5OZ025E82TFUPI", "Spain - HCP Survey Email - June 2025")</f>
        <v>Spain - HCP Survey Email - June 2025</v>
      </c>
      <c r="C621" s="3" t="str">
        <f>HYPERLINK("https://otsuka-europe-crm.veevavault.com/ui/#object/sent_email__v/VBLZ025E82GMXZZ", "SE-000267685")</f>
        <v>SE-000267685</v>
      </c>
      <c r="D621" s="1">
        <v>45918.663993055554</v>
      </c>
      <c r="E621" s="2">
        <v>1</v>
      </c>
      <c r="F621" s="2">
        <v>3</v>
      </c>
      <c r="G621" s="2">
        <v>0</v>
      </c>
      <c r="H621" s="1" t="s">
        <v>0</v>
      </c>
      <c r="I621" s="2">
        <v>0</v>
      </c>
      <c r="J621" s="1">
        <v>45915.378206018519</v>
      </c>
    </row>
    <row r="622" spans="1:10" x14ac:dyDescent="0.2">
      <c r="A622" s="4" t="s">
        <v>1</v>
      </c>
      <c r="B622" s="3" t="str">
        <f>HYPERLINK("https://otsuka-europe-crm.veevavault.com/ui/#object/approved_document__v/V5OZ025E82TFUPI", "Spain - HCP Survey Email - June 2025")</f>
        <v>Spain - HCP Survey Email - June 2025</v>
      </c>
      <c r="C622" s="3" t="str">
        <f>HYPERLINK("https://otsuka-europe-crm.veevavault.com/ui/#object/sent_email__v/VBLZ025E82GMY00", "SE-000267686")</f>
        <v>SE-000267686</v>
      </c>
      <c r="D622" s="1">
        <v>45916.250138888892</v>
      </c>
      <c r="E622" s="2">
        <v>1</v>
      </c>
      <c r="F622" s="2">
        <v>3</v>
      </c>
      <c r="G622" s="2">
        <v>0</v>
      </c>
      <c r="H622" s="1" t="s">
        <v>0</v>
      </c>
      <c r="I622" s="2">
        <v>0</v>
      </c>
      <c r="J622" s="1">
        <v>45915.378599537034</v>
      </c>
    </row>
    <row r="623" spans="1:10" x14ac:dyDescent="0.2">
      <c r="A623" s="4" t="s">
        <v>1</v>
      </c>
      <c r="B623" s="3" t="str">
        <f>HYPERLINK("https://otsuka-europe-crm.veevavault.com/ui/#object/approved_document__v/V5OZ025E82TFUPI", "Spain - HCP Survey Email - June 2025")</f>
        <v>Spain - HCP Survey Email - June 2025</v>
      </c>
      <c r="C623" s="3" t="str">
        <f>HYPERLINK("https://otsuka-europe-crm.veevavault.com/ui/#object/sent_email__v/VBLZ025E82GMY01", "SE-000267687")</f>
        <v>SE-000267687</v>
      </c>
      <c r="D623" s="1" t="s">
        <v>0</v>
      </c>
      <c r="E623" s="2">
        <v>0</v>
      </c>
      <c r="F623" s="2">
        <v>0</v>
      </c>
      <c r="G623" s="2">
        <v>0</v>
      </c>
      <c r="H623" s="1" t="s">
        <v>0</v>
      </c>
      <c r="I623" s="2">
        <v>0</v>
      </c>
      <c r="J623" s="1">
        <v>45915.379791666666</v>
      </c>
    </row>
    <row r="624" spans="1:10" x14ac:dyDescent="0.2">
      <c r="A624" s="4" t="s">
        <v>1</v>
      </c>
      <c r="B624" s="3" t="str">
        <f>HYPERLINK("https://otsuka-europe-crm.veevavault.com/ui/#object/approved_document__v/V5OZ025E82TFUPI", "Spain - HCP Survey Email - June 2025")</f>
        <v>Spain - HCP Survey Email - June 2025</v>
      </c>
      <c r="C624" s="3" t="str">
        <f>HYPERLINK("https://otsuka-europe-crm.veevavault.com/ui/#object/sent_email__v/VBLZ025E82GMY02", "SE-000267688")</f>
        <v>SE-000267688</v>
      </c>
      <c r="D624" s="1">
        <v>45915.695555555554</v>
      </c>
      <c r="E624" s="2">
        <v>1</v>
      </c>
      <c r="F624" s="2">
        <v>2</v>
      </c>
      <c r="G624" s="2">
        <v>0</v>
      </c>
      <c r="H624" s="1" t="s">
        <v>0</v>
      </c>
      <c r="I624" s="2">
        <v>0</v>
      </c>
      <c r="J624" s="1">
        <v>45915.377789351849</v>
      </c>
    </row>
    <row r="625" spans="1:10" x14ac:dyDescent="0.2">
      <c r="A625" s="4" t="s">
        <v>1</v>
      </c>
      <c r="B625" s="3" t="str">
        <f>HYPERLINK("https://otsuka-europe-crm.veevavault.com/ui/#object/approved_document__v/V5OZ025E82TFUPI", "Spain - HCP Survey Email - June 2025")</f>
        <v>Spain - HCP Survey Email - June 2025</v>
      </c>
      <c r="C625" s="3" t="str">
        <f>HYPERLINK("https://otsuka-europe-crm.veevavault.com/ui/#object/sent_email__v/VBLZ025E82GMY03", "SE-000267689")</f>
        <v>SE-000267689</v>
      </c>
      <c r="D625" s="1">
        <v>45917.828530092593</v>
      </c>
      <c r="E625" s="2">
        <v>1</v>
      </c>
      <c r="F625" s="2">
        <v>1</v>
      </c>
      <c r="G625" s="2">
        <v>1</v>
      </c>
      <c r="H625" s="1">
        <v>45917.828715277778</v>
      </c>
      <c r="I625" s="2">
        <v>1</v>
      </c>
      <c r="J625" s="1">
        <v>45915.377384259256</v>
      </c>
    </row>
    <row r="626" spans="1:10" x14ac:dyDescent="0.2">
      <c r="A626" s="4" t="s">
        <v>1</v>
      </c>
      <c r="B626" s="3" t="str">
        <f>HYPERLINK("https://otsuka-europe-crm.veevavault.com/ui/#object/approved_document__v/V5OZ025E82TFUPI", "Spain - HCP Survey Email - June 2025")</f>
        <v>Spain - HCP Survey Email - June 2025</v>
      </c>
      <c r="C626" s="3" t="str">
        <f>HYPERLINK("https://otsuka-europe-crm.veevavault.com/ui/#object/sent_email__v/VBLZ025E82GMY04", "SE-000267690")</f>
        <v>SE-000267690</v>
      </c>
      <c r="D626" s="1">
        <v>45917.762349537035</v>
      </c>
      <c r="E626" s="2">
        <v>1</v>
      </c>
      <c r="F626" s="2">
        <v>3</v>
      </c>
      <c r="G626" s="2">
        <v>1</v>
      </c>
      <c r="H626" s="1">
        <v>45915.507800925923</v>
      </c>
      <c r="I626" s="2">
        <v>1</v>
      </c>
      <c r="J626" s="1">
        <v>45915.378321759257</v>
      </c>
    </row>
    <row r="627" spans="1:10" x14ac:dyDescent="0.2">
      <c r="A627" s="4" t="s">
        <v>1</v>
      </c>
      <c r="B627" s="3" t="str">
        <f>HYPERLINK("https://otsuka-europe-crm.veevavault.com/ui/#object/approved_document__v/V5OZ025E82TFUPI", "Spain - HCP Survey Email - June 2025")</f>
        <v>Spain - HCP Survey Email - June 2025</v>
      </c>
      <c r="C627" s="3" t="str">
        <f>HYPERLINK("https://otsuka-europe-crm.veevavault.com/ui/#object/sent_email__v/VBLZ025E82GMY05", "SE-000267691")</f>
        <v>SE-000267691</v>
      </c>
      <c r="D627" s="1" t="s">
        <v>0</v>
      </c>
      <c r="E627" s="2">
        <v>0</v>
      </c>
      <c r="F627" s="2">
        <v>0</v>
      </c>
      <c r="G627" s="2">
        <v>0</v>
      </c>
      <c r="H627" s="1" t="s">
        <v>0</v>
      </c>
      <c r="I627" s="2">
        <v>0</v>
      </c>
      <c r="J627" s="1">
        <v>45915.378912037035</v>
      </c>
    </row>
    <row r="628" spans="1:10" x14ac:dyDescent="0.2">
      <c r="A628" s="4" t="s">
        <v>1</v>
      </c>
      <c r="B628" s="3" t="str">
        <f>HYPERLINK("https://otsuka-europe-crm.veevavault.com/ui/#object/approved_document__v/V5OZ025E82TFUPI", "Spain - HCP Survey Email - June 2025")</f>
        <v>Spain - HCP Survey Email - June 2025</v>
      </c>
      <c r="C628" s="3" t="str">
        <f>HYPERLINK("https://otsuka-europe-crm.veevavault.com/ui/#object/sent_email__v/VBLZ025E82GMY06", "SE-000267692")</f>
        <v>SE-000267692</v>
      </c>
      <c r="D628" s="1" t="s">
        <v>0</v>
      </c>
      <c r="E628" s="2">
        <v>0</v>
      </c>
      <c r="F628" s="2">
        <v>0</v>
      </c>
      <c r="G628" s="2">
        <v>0</v>
      </c>
      <c r="H628" s="1" t="s">
        <v>0</v>
      </c>
      <c r="I628" s="2">
        <v>0</v>
      </c>
      <c r="J628" s="1">
        <v>45915.37871527778</v>
      </c>
    </row>
    <row r="629" spans="1:10" x14ac:dyDescent="0.2">
      <c r="A629" s="4" t="s">
        <v>1</v>
      </c>
      <c r="B629" s="3" t="str">
        <f>HYPERLINK("https://otsuka-europe-crm.veevavault.com/ui/#object/approved_document__v/V5OZ025E82TFUPI", "Spain - HCP Survey Email - June 2025")</f>
        <v>Spain - HCP Survey Email - June 2025</v>
      </c>
      <c r="C629" s="3" t="str">
        <f>HYPERLINK("https://otsuka-europe-crm.veevavault.com/ui/#object/sent_email__v/VBLZ025E82GMY07", "SE-000267693")</f>
        <v>SE-000267693</v>
      </c>
      <c r="D629" s="1" t="s">
        <v>0</v>
      </c>
      <c r="E629" s="2">
        <v>0</v>
      </c>
      <c r="F629" s="2">
        <v>0</v>
      </c>
      <c r="G629" s="2">
        <v>0</v>
      </c>
      <c r="H629" s="1" t="s">
        <v>0</v>
      </c>
      <c r="I629" s="2">
        <v>0</v>
      </c>
      <c r="J629" s="1">
        <v>45915.379108796296</v>
      </c>
    </row>
    <row r="630" spans="1:10" x14ac:dyDescent="0.2">
      <c r="A630" s="4" t="s">
        <v>1</v>
      </c>
      <c r="B630" s="3" t="str">
        <f>HYPERLINK("https://otsuka-europe-crm.veevavault.com/ui/#object/approved_document__v/V5OZ025E82TFUPI", "Spain - HCP Survey Email - June 2025")</f>
        <v>Spain - HCP Survey Email - June 2025</v>
      </c>
      <c r="C630" s="3" t="str">
        <f>HYPERLINK("https://otsuka-europe-crm.veevavault.com/ui/#object/sent_email__v/VBLZ025E82GMY08", "SE-000267694")</f>
        <v>SE-000267694</v>
      </c>
      <c r="D630" s="1">
        <v>45915.557916666665</v>
      </c>
      <c r="E630" s="2">
        <v>1</v>
      </c>
      <c r="F630" s="2">
        <v>1</v>
      </c>
      <c r="G630" s="2">
        <v>0</v>
      </c>
      <c r="H630" s="1" t="s">
        <v>0</v>
      </c>
      <c r="I630" s="2">
        <v>0</v>
      </c>
      <c r="J630" s="1">
        <v>45915.377835648149</v>
      </c>
    </row>
    <row r="631" spans="1:10" x14ac:dyDescent="0.2">
      <c r="A631" s="4" t="s">
        <v>1</v>
      </c>
      <c r="B631" s="3" t="str">
        <f>HYPERLINK("https://otsuka-europe-crm.veevavault.com/ui/#object/approved_document__v/V5OZ025E82TFUPI", "Spain - HCP Survey Email - June 2025")</f>
        <v>Spain - HCP Survey Email - June 2025</v>
      </c>
      <c r="C631" s="3" t="str">
        <f>HYPERLINK("https://otsuka-europe-crm.veevavault.com/ui/#object/sent_email__v/VBLZ025E82GMY09", "SE-000267695")</f>
        <v>SE-000267695</v>
      </c>
      <c r="D631" s="1">
        <v>45917.318969907406</v>
      </c>
      <c r="E631" s="2">
        <v>1</v>
      </c>
      <c r="F631" s="2">
        <v>1</v>
      </c>
      <c r="G631" s="2">
        <v>0</v>
      </c>
      <c r="H631" s="1" t="s">
        <v>0</v>
      </c>
      <c r="I631" s="2">
        <v>0</v>
      </c>
      <c r="J631" s="1">
        <v>45915.378194444442</v>
      </c>
    </row>
    <row r="632" spans="1:10" x14ac:dyDescent="0.2">
      <c r="A632" s="4" t="s">
        <v>1</v>
      </c>
      <c r="B632" s="3" t="str">
        <f>HYPERLINK("https://otsuka-europe-crm.veevavault.com/ui/#object/approved_document__v/V5OZ025E82TFUPI", "Spain - HCP Survey Email - June 2025")</f>
        <v>Spain - HCP Survey Email - June 2025</v>
      </c>
      <c r="C632" s="3" t="str">
        <f>HYPERLINK("https://otsuka-europe-crm.veevavault.com/ui/#object/sent_email__v/VBLZ025E82GMY0A", "SE-000267696")</f>
        <v>SE-000267696</v>
      </c>
      <c r="D632" s="1">
        <v>45915.449120370373</v>
      </c>
      <c r="E632" s="2">
        <v>1</v>
      </c>
      <c r="F632" s="2">
        <v>1</v>
      </c>
      <c r="G632" s="2">
        <v>0</v>
      </c>
      <c r="H632" s="1" t="s">
        <v>0</v>
      </c>
      <c r="I632" s="2">
        <v>0</v>
      </c>
      <c r="J632" s="1">
        <v>45915.378113425926</v>
      </c>
    </row>
    <row r="633" spans="1:10" x14ac:dyDescent="0.2">
      <c r="A633" s="4" t="s">
        <v>1</v>
      </c>
      <c r="B633" s="3" t="str">
        <f>HYPERLINK("https://otsuka-europe-crm.veevavault.com/ui/#object/approved_document__v/V5OZ025E82TFUPI", "Spain - HCP Survey Email - June 2025")</f>
        <v>Spain - HCP Survey Email - June 2025</v>
      </c>
      <c r="C633" s="3" t="str">
        <f>HYPERLINK("https://otsuka-europe-crm.veevavault.com/ui/#object/sent_email__v/VBLZ025E82GMY0B", "SE-000267697")</f>
        <v>SE-000267697</v>
      </c>
      <c r="D633" s="1" t="s">
        <v>0</v>
      </c>
      <c r="E633" s="2">
        <v>0</v>
      </c>
      <c r="F633" s="2">
        <v>0</v>
      </c>
      <c r="G633" s="2">
        <v>0</v>
      </c>
      <c r="H633" s="1" t="s">
        <v>0</v>
      </c>
      <c r="I633" s="2">
        <v>0</v>
      </c>
      <c r="J633" s="1">
        <v>45915.37872685185</v>
      </c>
    </row>
    <row r="634" spans="1:10" x14ac:dyDescent="0.2">
      <c r="A634" s="4" t="s">
        <v>1</v>
      </c>
      <c r="B634" s="3" t="str">
        <f>HYPERLINK("https://otsuka-europe-crm.veevavault.com/ui/#object/approved_document__v/V5OZ025E82TFUPI", "Spain - HCP Survey Email - June 2025")</f>
        <v>Spain - HCP Survey Email - June 2025</v>
      </c>
      <c r="C634" s="3" t="str">
        <f>HYPERLINK("https://otsuka-europe-crm.veevavault.com/ui/#object/sent_email__v/VBLZ025E82GMY0C", "SE-000267698")</f>
        <v>SE-000267698</v>
      </c>
      <c r="D634" s="1" t="s">
        <v>0</v>
      </c>
      <c r="E634" s="2">
        <v>0</v>
      </c>
      <c r="F634" s="2">
        <v>0</v>
      </c>
      <c r="G634" s="2">
        <v>0</v>
      </c>
      <c r="H634" s="1" t="s">
        <v>0</v>
      </c>
      <c r="I634" s="2">
        <v>0</v>
      </c>
      <c r="J634" s="1">
        <v>45915.377824074072</v>
      </c>
    </row>
    <row r="635" spans="1:10" x14ac:dyDescent="0.2">
      <c r="A635" s="4" t="s">
        <v>1</v>
      </c>
      <c r="B635" s="3" t="str">
        <f>HYPERLINK("https://otsuka-europe-crm.veevavault.com/ui/#object/approved_document__v/V5OZ025E82TFUPI", "Spain - HCP Survey Email - June 2025")</f>
        <v>Spain - HCP Survey Email - June 2025</v>
      </c>
      <c r="C635" s="3" t="str">
        <f>HYPERLINK("https://otsuka-europe-crm.veevavault.com/ui/#object/sent_email__v/VBLZ025E82GMY0D", "SE-000267699")</f>
        <v>SE-000267699</v>
      </c>
      <c r="D635" s="1">
        <v>45915.525439814817</v>
      </c>
      <c r="E635" s="2">
        <v>1</v>
      </c>
      <c r="F635" s="2">
        <v>1</v>
      </c>
      <c r="G635" s="2">
        <v>1</v>
      </c>
      <c r="H635" s="1">
        <v>45915.526863425926</v>
      </c>
      <c r="I635" s="2">
        <v>1</v>
      </c>
      <c r="J635" s="1">
        <v>45915.378310185188</v>
      </c>
    </row>
    <row r="636" spans="1:10" x14ac:dyDescent="0.2">
      <c r="A636" s="4" t="s">
        <v>1</v>
      </c>
      <c r="B636" s="3" t="str">
        <f>HYPERLINK("https://otsuka-europe-crm.veevavault.com/ui/#object/approved_document__v/V5OZ025E82TFUPI", "Spain - HCP Survey Email - June 2025")</f>
        <v>Spain - HCP Survey Email - June 2025</v>
      </c>
      <c r="C636" s="3" t="str">
        <f>HYPERLINK("https://otsuka-europe-crm.veevavault.com/ui/#object/sent_email__v/VBLZ025E82GMY0E", "SE-000267700")</f>
        <v>SE-000267700</v>
      </c>
      <c r="D636" s="1" t="s">
        <v>0</v>
      </c>
      <c r="E636" s="2">
        <v>0</v>
      </c>
      <c r="F636" s="2">
        <v>0</v>
      </c>
      <c r="G636" s="2">
        <v>0</v>
      </c>
      <c r="H636" s="1" t="s">
        <v>0</v>
      </c>
      <c r="I636" s="2">
        <v>0</v>
      </c>
      <c r="J636" s="1">
        <v>45915.378055555557</v>
      </c>
    </row>
    <row r="637" spans="1:10" x14ac:dyDescent="0.2">
      <c r="A637" s="4" t="s">
        <v>1</v>
      </c>
      <c r="B637" s="3" t="str">
        <f>HYPERLINK("https://otsuka-europe-crm.veevavault.com/ui/#object/approved_document__v/V5OZ025E82TFUPI", "Spain - HCP Survey Email - June 2025")</f>
        <v>Spain - HCP Survey Email - June 2025</v>
      </c>
      <c r="C637" s="3" t="str">
        <f>HYPERLINK("https://otsuka-europe-crm.veevavault.com/ui/#object/sent_email__v/VBLZ025E82GMY0F", "SE-000267701")</f>
        <v>SE-000267701</v>
      </c>
      <c r="D637" s="1">
        <v>45919.770231481481</v>
      </c>
      <c r="E637" s="2">
        <v>1</v>
      </c>
      <c r="F637" s="2">
        <v>2</v>
      </c>
      <c r="G637" s="2">
        <v>1</v>
      </c>
      <c r="H637" s="1">
        <v>45919.770416666666</v>
      </c>
      <c r="I637" s="2">
        <v>1</v>
      </c>
      <c r="J637" s="1">
        <v>45915.378657407404</v>
      </c>
    </row>
    <row r="638" spans="1:10" x14ac:dyDescent="0.2">
      <c r="A638" s="4" t="s">
        <v>1</v>
      </c>
      <c r="B638" s="3" t="str">
        <f>HYPERLINK("https://otsuka-europe-crm.veevavault.com/ui/#object/approved_document__v/V5OZ025E82TFUPI", "Spain - HCP Survey Email - June 2025")</f>
        <v>Spain - HCP Survey Email - June 2025</v>
      </c>
      <c r="C638" s="3" t="str">
        <f>HYPERLINK("https://otsuka-europe-crm.veevavault.com/ui/#object/sent_email__v/VBLZ025E82GMY0G", "SE-000267702")</f>
        <v>SE-000267702</v>
      </c>
      <c r="D638" s="1">
        <v>45915.519224537034</v>
      </c>
      <c r="E638" s="2">
        <v>1</v>
      </c>
      <c r="F638" s="2">
        <v>1</v>
      </c>
      <c r="G638" s="2">
        <v>1</v>
      </c>
      <c r="H638" s="1">
        <v>45915.519375000003</v>
      </c>
      <c r="I638" s="2">
        <v>2</v>
      </c>
      <c r="J638" s="1">
        <v>45915.379942129628</v>
      </c>
    </row>
    <row r="639" spans="1:10" x14ac:dyDescent="0.2">
      <c r="A639" s="4" t="s">
        <v>1</v>
      </c>
      <c r="B639" s="3" t="str">
        <f>HYPERLINK("https://otsuka-europe-crm.veevavault.com/ui/#object/approved_document__v/V5OZ025E82TFUPI", "Spain - HCP Survey Email - June 2025")</f>
        <v>Spain - HCP Survey Email - June 2025</v>
      </c>
      <c r="C639" s="3" t="str">
        <f>HYPERLINK("https://otsuka-europe-crm.veevavault.com/ui/#object/sent_email__v/VBLZ025E82GMY0H", "SE-000267703")</f>
        <v>SE-000267703</v>
      </c>
      <c r="D639" s="1">
        <v>45915.409803240742</v>
      </c>
      <c r="E639" s="2">
        <v>1</v>
      </c>
      <c r="F639" s="2">
        <v>2</v>
      </c>
      <c r="G639" s="2">
        <v>0</v>
      </c>
      <c r="H639" s="1" t="s">
        <v>0</v>
      </c>
      <c r="I639" s="2">
        <v>0</v>
      </c>
      <c r="J639" s="1">
        <v>45915.377789351849</v>
      </c>
    </row>
    <row r="640" spans="1:10" x14ac:dyDescent="0.2">
      <c r="A640" s="4" t="s">
        <v>1</v>
      </c>
      <c r="B640" s="3" t="str">
        <f>HYPERLINK("https://otsuka-europe-crm.veevavault.com/ui/#object/approved_document__v/V5OZ025E82TFUPI", "Spain - HCP Survey Email - June 2025")</f>
        <v>Spain - HCP Survey Email - June 2025</v>
      </c>
      <c r="C640" s="3" t="str">
        <f>HYPERLINK("https://otsuka-europe-crm.veevavault.com/ui/#object/sent_email__v/VBLZ025E82GMY0I", "SE-000267704")</f>
        <v>SE-000267704</v>
      </c>
      <c r="D640" s="1" t="s">
        <v>0</v>
      </c>
      <c r="E640" s="2">
        <v>0</v>
      </c>
      <c r="F640" s="2">
        <v>0</v>
      </c>
      <c r="G640" s="2">
        <v>0</v>
      </c>
      <c r="H640" s="1" t="s">
        <v>0</v>
      </c>
      <c r="I640" s="2">
        <v>0</v>
      </c>
      <c r="J640" s="1">
        <v>45915.377442129633</v>
      </c>
    </row>
    <row r="641" spans="1:10" x14ac:dyDescent="0.2">
      <c r="A641" s="4" t="s">
        <v>1</v>
      </c>
      <c r="B641" s="3" t="str">
        <f>HYPERLINK("https://otsuka-europe-crm.veevavault.com/ui/#object/approved_document__v/V5OZ025E82TFUPI", "Spain - HCP Survey Email - June 2025")</f>
        <v>Spain - HCP Survey Email - June 2025</v>
      </c>
      <c r="C641" s="3" t="str">
        <f>HYPERLINK("https://otsuka-europe-crm.veevavault.com/ui/#object/sent_email__v/VBLZ025E82GMY0J", "SE-000267705")</f>
        <v>SE-000267705</v>
      </c>
      <c r="D641" s="1" t="s">
        <v>0</v>
      </c>
      <c r="E641" s="2">
        <v>0</v>
      </c>
      <c r="F641" s="2">
        <v>0</v>
      </c>
      <c r="G641" s="2">
        <v>0</v>
      </c>
      <c r="H641" s="1" t="s">
        <v>0</v>
      </c>
      <c r="I641" s="2">
        <v>0</v>
      </c>
      <c r="J641" s="1">
        <v>45915.378344907411</v>
      </c>
    </row>
    <row r="642" spans="1:10" x14ac:dyDescent="0.2">
      <c r="A642" s="4" t="s">
        <v>1</v>
      </c>
      <c r="B642" s="3" t="str">
        <f>HYPERLINK("https://otsuka-europe-crm.veevavault.com/ui/#object/approved_document__v/V5OZ025E82TFUPI", "Spain - HCP Survey Email - June 2025")</f>
        <v>Spain - HCP Survey Email - June 2025</v>
      </c>
      <c r="C642" s="3" t="str">
        <f>HYPERLINK("https://otsuka-europe-crm.veevavault.com/ui/#object/sent_email__v/VBLZ025E82GMY0K", "SE-000267706")</f>
        <v>SE-000267706</v>
      </c>
      <c r="D642" s="1">
        <v>45916.418425925927</v>
      </c>
      <c r="E642" s="2">
        <v>1</v>
      </c>
      <c r="F642" s="2">
        <v>4</v>
      </c>
      <c r="G642" s="2">
        <v>1</v>
      </c>
      <c r="H642" s="1">
        <v>45916.418715277781</v>
      </c>
      <c r="I642" s="2">
        <v>1</v>
      </c>
      <c r="J642" s="1">
        <v>45915.378842592596</v>
      </c>
    </row>
    <row r="643" spans="1:10" x14ac:dyDescent="0.2">
      <c r="A643" s="4" t="s">
        <v>1</v>
      </c>
      <c r="B643" s="3" t="str">
        <f>HYPERLINK("https://otsuka-europe-crm.veevavault.com/ui/#object/approved_document__v/V5OZ025E82TFUPI", "Spain - HCP Survey Email - June 2025")</f>
        <v>Spain - HCP Survey Email - June 2025</v>
      </c>
      <c r="C643" s="3" t="str">
        <f>HYPERLINK("https://otsuka-europe-crm.veevavault.com/ui/#object/sent_email__v/VBLZ025E82GMY0L", "SE-000267707")</f>
        <v>SE-000267707</v>
      </c>
      <c r="D643" s="1" t="s">
        <v>0</v>
      </c>
      <c r="E643" s="2">
        <v>0</v>
      </c>
      <c r="F643" s="2">
        <v>0</v>
      </c>
      <c r="G643" s="2">
        <v>0</v>
      </c>
      <c r="H643" s="1" t="s">
        <v>0</v>
      </c>
      <c r="I643" s="2">
        <v>0</v>
      </c>
      <c r="J643" s="1">
        <v>45915.378668981481</v>
      </c>
    </row>
    <row r="644" spans="1:10" x14ac:dyDescent="0.2">
      <c r="A644" s="4" t="s">
        <v>1</v>
      </c>
      <c r="B644" s="3" t="str">
        <f>HYPERLINK("https://otsuka-europe-crm.veevavault.com/ui/#object/approved_document__v/V5OZ025E82TFUPI", "Spain - HCP Survey Email - June 2025")</f>
        <v>Spain - HCP Survey Email - June 2025</v>
      </c>
      <c r="C644" s="3" t="str">
        <f>HYPERLINK("https://otsuka-europe-crm.veevavault.com/ui/#object/sent_email__v/VBLZ025E82GMY0M", "SE-000267708")</f>
        <v>SE-000267708</v>
      </c>
      <c r="D644" s="1" t="s">
        <v>0</v>
      </c>
      <c r="E644" s="2">
        <v>0</v>
      </c>
      <c r="F644" s="2">
        <v>0</v>
      </c>
      <c r="G644" s="2">
        <v>0</v>
      </c>
      <c r="H644" s="1" t="s">
        <v>0</v>
      </c>
      <c r="I644" s="2">
        <v>0</v>
      </c>
      <c r="J644" s="1">
        <v>45915.379201388889</v>
      </c>
    </row>
    <row r="645" spans="1:10" x14ac:dyDescent="0.2">
      <c r="A645" s="4" t="s">
        <v>1</v>
      </c>
      <c r="B645" s="3" t="str">
        <f>HYPERLINK("https://otsuka-europe-crm.veevavault.com/ui/#object/approved_document__v/V5OZ025E82TFUPI", "Spain - HCP Survey Email - June 2025")</f>
        <v>Spain - HCP Survey Email - June 2025</v>
      </c>
      <c r="C645" s="3" t="str">
        <f>HYPERLINK("https://otsuka-europe-crm.veevavault.com/ui/#object/sent_email__v/VBLZ025E82GMY0N", "SE-000267709")</f>
        <v>SE-000267709</v>
      </c>
      <c r="D645" s="1" t="s">
        <v>0</v>
      </c>
      <c r="E645" s="2">
        <v>0</v>
      </c>
      <c r="F645" s="2">
        <v>0</v>
      </c>
      <c r="G645" s="2">
        <v>0</v>
      </c>
      <c r="H645" s="1" t="s">
        <v>0</v>
      </c>
      <c r="I645" s="2">
        <v>0</v>
      </c>
      <c r="J645" s="1">
        <v>45915.377881944441</v>
      </c>
    </row>
    <row r="646" spans="1:10" x14ac:dyDescent="0.2">
      <c r="A646" s="4" t="s">
        <v>1</v>
      </c>
      <c r="B646" s="3" t="str">
        <f>HYPERLINK("https://otsuka-europe-crm.veevavault.com/ui/#object/approved_document__v/V5OZ025E82TFUPI", "Spain - HCP Survey Email - June 2025")</f>
        <v>Spain - HCP Survey Email - June 2025</v>
      </c>
      <c r="C646" s="3" t="str">
        <f>HYPERLINK("https://otsuka-europe-crm.veevavault.com/ui/#object/sent_email__v/VBLZ025E82GMY0O", "SE-000267710")</f>
        <v>SE-000267710</v>
      </c>
      <c r="D646" s="1">
        <v>45916.322106481479</v>
      </c>
      <c r="E646" s="2">
        <v>1</v>
      </c>
      <c r="F646" s="2">
        <v>1</v>
      </c>
      <c r="G646" s="2">
        <v>0</v>
      </c>
      <c r="H646" s="1" t="s">
        <v>0</v>
      </c>
      <c r="I646" s="2">
        <v>0</v>
      </c>
      <c r="J646" s="1">
        <v>45915.378263888888</v>
      </c>
    </row>
    <row r="647" spans="1:10" x14ac:dyDescent="0.2">
      <c r="A647" s="4" t="s">
        <v>1</v>
      </c>
      <c r="B647" s="3" t="str">
        <f>HYPERLINK("https://otsuka-europe-crm.veevavault.com/ui/#object/approved_document__v/V5OZ025E82TFUPI", "Spain - HCP Survey Email - June 2025")</f>
        <v>Spain - HCP Survey Email - June 2025</v>
      </c>
      <c r="C647" s="3" t="str">
        <f>HYPERLINK("https://otsuka-europe-crm.veevavault.com/ui/#object/sent_email__v/VBLZ025E82GMY0P", "SE-000267711")</f>
        <v>SE-000267711</v>
      </c>
      <c r="D647" s="1">
        <v>45916.832071759258</v>
      </c>
      <c r="E647" s="2">
        <v>1</v>
      </c>
      <c r="F647" s="2">
        <v>1</v>
      </c>
      <c r="G647" s="2">
        <v>0</v>
      </c>
      <c r="H647" s="1" t="s">
        <v>0</v>
      </c>
      <c r="I647" s="2">
        <v>0</v>
      </c>
      <c r="J647" s="1">
        <v>45915.378136574072</v>
      </c>
    </row>
    <row r="648" spans="1:10" x14ac:dyDescent="0.2">
      <c r="A648" s="4" t="s">
        <v>1</v>
      </c>
      <c r="B648" s="3" t="str">
        <f>HYPERLINK("https://otsuka-europe-crm.veevavault.com/ui/#object/approved_document__v/V5OZ025E82TFUPI", "Spain - HCP Survey Email - June 2025")</f>
        <v>Spain - HCP Survey Email - June 2025</v>
      </c>
      <c r="C648" s="3" t="str">
        <f>HYPERLINK("https://otsuka-europe-crm.veevavault.com/ui/#object/sent_email__v/VBLZ025E82GMY0Q", "SE-000267712")</f>
        <v>SE-000267712</v>
      </c>
      <c r="D648" s="1" t="s">
        <v>0</v>
      </c>
      <c r="E648" s="2">
        <v>0</v>
      </c>
      <c r="F648" s="2">
        <v>0</v>
      </c>
      <c r="G648" s="2">
        <v>0</v>
      </c>
      <c r="H648" s="1" t="s">
        <v>0</v>
      </c>
      <c r="I648" s="2">
        <v>0</v>
      </c>
      <c r="J648" s="1">
        <v>45915.378599537034</v>
      </c>
    </row>
    <row r="649" spans="1:10" x14ac:dyDescent="0.2">
      <c r="A649" s="4" t="s">
        <v>1</v>
      </c>
      <c r="B649" s="3" t="str">
        <f>HYPERLINK("https://otsuka-europe-crm.veevavault.com/ui/#object/approved_document__v/V5OZ025E82TFUPI", "Spain - HCP Survey Email - June 2025")</f>
        <v>Spain - HCP Survey Email - June 2025</v>
      </c>
      <c r="C649" s="3" t="str">
        <f>HYPERLINK("https://otsuka-europe-crm.veevavault.com/ui/#object/sent_email__v/VBLZ025E82GMY0R", "SE-000267713")</f>
        <v>SE-000267713</v>
      </c>
      <c r="D649" s="1">
        <v>45915.52621527778</v>
      </c>
      <c r="E649" s="2">
        <v>1</v>
      </c>
      <c r="F649" s="2">
        <v>1</v>
      </c>
      <c r="G649" s="2">
        <v>1</v>
      </c>
      <c r="H649" s="1">
        <v>45915.526562500003</v>
      </c>
      <c r="I649" s="2">
        <v>2</v>
      </c>
      <c r="J649" s="1">
        <v>45915.379837962966</v>
      </c>
    </row>
    <row r="650" spans="1:10" x14ac:dyDescent="0.2">
      <c r="A650" s="4" t="s">
        <v>1</v>
      </c>
      <c r="B650" s="3" t="str">
        <f>HYPERLINK("https://otsuka-europe-crm.veevavault.com/ui/#object/approved_document__v/V5OZ025E82TFUPI", "Spain - HCP Survey Email - June 2025")</f>
        <v>Spain - HCP Survey Email - June 2025</v>
      </c>
      <c r="C650" s="3" t="str">
        <f>HYPERLINK("https://otsuka-europe-crm.veevavault.com/ui/#object/sent_email__v/VBLZ025E82GMY0S", "SE-000267714")</f>
        <v>SE-000267714</v>
      </c>
      <c r="D650" s="1">
        <v>45915.386319444442</v>
      </c>
      <c r="E650" s="2">
        <v>1</v>
      </c>
      <c r="F650" s="2">
        <v>1</v>
      </c>
      <c r="G650" s="2">
        <v>1</v>
      </c>
      <c r="H650" s="1">
        <v>45915.386493055557</v>
      </c>
      <c r="I650" s="2">
        <v>1</v>
      </c>
      <c r="J650" s="1">
        <v>45915.377858796295</v>
      </c>
    </row>
    <row r="651" spans="1:10" x14ac:dyDescent="0.2">
      <c r="A651" s="4" t="s">
        <v>1</v>
      </c>
      <c r="B651" s="3" t="str">
        <f>HYPERLINK("https://otsuka-europe-crm.veevavault.com/ui/#object/approved_document__v/V5OZ025E82TFUPI", "Spain - HCP Survey Email - June 2025")</f>
        <v>Spain - HCP Survey Email - June 2025</v>
      </c>
      <c r="C651" s="3" t="str">
        <f>HYPERLINK("https://otsuka-europe-crm.veevavault.com/ui/#object/sent_email__v/VBLZ025E82GMY0T", "SE-000267715")</f>
        <v>SE-000267715</v>
      </c>
      <c r="D651" s="1">
        <v>45915.490289351852</v>
      </c>
      <c r="E651" s="2">
        <v>1</v>
      </c>
      <c r="F651" s="2">
        <v>1</v>
      </c>
      <c r="G651" s="2">
        <v>0</v>
      </c>
      <c r="H651" s="1" t="s">
        <v>0</v>
      </c>
      <c r="I651" s="2">
        <v>0</v>
      </c>
      <c r="J651" s="1">
        <v>45915.377372685187</v>
      </c>
    </row>
    <row r="652" spans="1:10" x14ac:dyDescent="0.2">
      <c r="A652" s="4" t="s">
        <v>1</v>
      </c>
      <c r="B652" s="3" t="str">
        <f>HYPERLINK("https://otsuka-europe-crm.veevavault.com/ui/#object/approved_document__v/V5OZ025E82TFUPI", "Spain - HCP Survey Email - June 2025")</f>
        <v>Spain - HCP Survey Email - June 2025</v>
      </c>
      <c r="C652" s="3" t="str">
        <f>HYPERLINK("https://otsuka-europe-crm.veevavault.com/ui/#object/sent_email__v/VBLZ025E82GMY0U", "SE-000267716")</f>
        <v>SE-000267716</v>
      </c>
      <c r="D652" s="1">
        <v>45915.414085648146</v>
      </c>
      <c r="E652" s="2">
        <v>1</v>
      </c>
      <c r="F652" s="2">
        <v>1</v>
      </c>
      <c r="G652" s="2">
        <v>0</v>
      </c>
      <c r="H652" s="1" t="s">
        <v>0</v>
      </c>
      <c r="I652" s="2">
        <v>0</v>
      </c>
      <c r="J652" s="1">
        <v>45915.378333333334</v>
      </c>
    </row>
    <row r="653" spans="1:10" x14ac:dyDescent="0.2">
      <c r="A653" s="4" t="s">
        <v>1</v>
      </c>
      <c r="B653" s="3" t="str">
        <f>HYPERLINK("https://otsuka-europe-crm.veevavault.com/ui/#object/approved_document__v/V5OZ025E82TFUPI", "Spain - HCP Survey Email - June 2025")</f>
        <v>Spain - HCP Survey Email - June 2025</v>
      </c>
      <c r="C653" s="3" t="str">
        <f>HYPERLINK("https://otsuka-europe-crm.veevavault.com/ui/#object/sent_email__v/VBLZ025E82GMY0V", "SE-000267717")</f>
        <v>SE-000267717</v>
      </c>
      <c r="D653" s="1">
        <v>45916.069745370369</v>
      </c>
      <c r="E653" s="2">
        <v>1</v>
      </c>
      <c r="F653" s="2">
        <v>1</v>
      </c>
      <c r="G653" s="2">
        <v>0</v>
      </c>
      <c r="H653" s="1" t="s">
        <v>0</v>
      </c>
      <c r="I653" s="2">
        <v>0</v>
      </c>
      <c r="J653" s="1">
        <v>45915.378946759258</v>
      </c>
    </row>
    <row r="654" spans="1:10" x14ac:dyDescent="0.2">
      <c r="A654" s="4" t="s">
        <v>1</v>
      </c>
      <c r="B654" s="3" t="str">
        <f>HYPERLINK("https://otsuka-europe-crm.veevavault.com/ui/#object/approved_document__v/V5OZ025E82TFUPI", "Spain - HCP Survey Email - June 2025")</f>
        <v>Spain - HCP Survey Email - June 2025</v>
      </c>
      <c r="C654" s="3" t="str">
        <f>HYPERLINK("https://otsuka-europe-crm.veevavault.com/ui/#object/sent_email__v/VBLZ025E82GMY0W", "SE-000267718")</f>
        <v>SE-000267718</v>
      </c>
      <c r="D654" s="1">
        <v>45915.673182870371</v>
      </c>
      <c r="E654" s="2">
        <v>1</v>
      </c>
      <c r="F654" s="2">
        <v>1</v>
      </c>
      <c r="G654" s="2">
        <v>0</v>
      </c>
      <c r="H654" s="1" t="s">
        <v>0</v>
      </c>
      <c r="I654" s="2">
        <v>0</v>
      </c>
      <c r="J654" s="1">
        <v>45915.378680555557</v>
      </c>
    </row>
    <row r="655" spans="1:10" x14ac:dyDescent="0.2">
      <c r="A655" s="4" t="s">
        <v>1</v>
      </c>
      <c r="B655" s="3" t="str">
        <f>HYPERLINK("https://otsuka-europe-crm.veevavault.com/ui/#object/approved_document__v/V5OZ025E82TFUPI", "Spain - HCP Survey Email - June 2025")</f>
        <v>Spain - HCP Survey Email - June 2025</v>
      </c>
      <c r="C655" s="3" t="str">
        <f>HYPERLINK("https://otsuka-europe-crm.veevavault.com/ui/#object/sent_email__v/VBLZ025E82GMY0X", "SE-000267719")</f>
        <v>SE-000267719</v>
      </c>
      <c r="D655" s="1">
        <v>45915.676585648151</v>
      </c>
      <c r="E655" s="2">
        <v>1</v>
      </c>
      <c r="F655" s="2">
        <v>1</v>
      </c>
      <c r="G655" s="2">
        <v>0</v>
      </c>
      <c r="H655" s="1" t="s">
        <v>0</v>
      </c>
      <c r="I655" s="2">
        <v>0</v>
      </c>
      <c r="J655" s="1">
        <v>45915.379074074073</v>
      </c>
    </row>
    <row r="656" spans="1:10" x14ac:dyDescent="0.2">
      <c r="A656" s="4" t="s">
        <v>1</v>
      </c>
      <c r="B656" s="3" t="str">
        <f>HYPERLINK("https://otsuka-europe-crm.veevavault.com/ui/#object/approved_document__v/V5OZ025E82TFUPI", "Spain - HCP Survey Email - June 2025")</f>
        <v>Spain - HCP Survey Email - June 2025</v>
      </c>
      <c r="C656" s="3" t="str">
        <f>HYPERLINK("https://otsuka-europe-crm.veevavault.com/ui/#object/sent_email__v/VBLZ025E82GMY0Y", "SE-000267720")</f>
        <v>SE-000267720</v>
      </c>
      <c r="D656" s="1">
        <v>45918.039664351854</v>
      </c>
      <c r="E656" s="2">
        <v>1</v>
      </c>
      <c r="F656" s="2">
        <v>2</v>
      </c>
      <c r="G656" s="2">
        <v>0</v>
      </c>
      <c r="H656" s="1" t="s">
        <v>0</v>
      </c>
      <c r="I656" s="2">
        <v>0</v>
      </c>
      <c r="J656" s="1">
        <v>45915.377858796295</v>
      </c>
    </row>
    <row r="657" spans="1:10" x14ac:dyDescent="0.2">
      <c r="A657" s="4" t="s">
        <v>1</v>
      </c>
      <c r="B657" s="3" t="str">
        <f>HYPERLINK("https://otsuka-europe-crm.veevavault.com/ui/#object/approved_document__v/V5OZ025E82TFUPI", "Spain - HCP Survey Email - June 2025")</f>
        <v>Spain - HCP Survey Email - June 2025</v>
      </c>
      <c r="C657" s="3" t="str">
        <f>HYPERLINK("https://otsuka-europe-crm.veevavault.com/ui/#object/sent_email__v/VBLZ025E82GMY0Z", "SE-000267721")</f>
        <v>SE-000267721</v>
      </c>
      <c r="D657" s="1">
        <v>45915.397789351853</v>
      </c>
      <c r="E657" s="2">
        <v>1</v>
      </c>
      <c r="F657" s="2">
        <v>1</v>
      </c>
      <c r="G657" s="2">
        <v>0</v>
      </c>
      <c r="H657" s="1" t="s">
        <v>0</v>
      </c>
      <c r="I657" s="2">
        <v>0</v>
      </c>
      <c r="J657" s="1">
        <v>45915.378263888888</v>
      </c>
    </row>
    <row r="658" spans="1:10" x14ac:dyDescent="0.2">
      <c r="A658" s="4" t="s">
        <v>1</v>
      </c>
      <c r="B658" s="3" t="str">
        <f>HYPERLINK("https://otsuka-europe-crm.veevavault.com/ui/#object/approved_document__v/V5OZ025E82TFUPI", "Spain - HCP Survey Email - June 2025")</f>
        <v>Spain - HCP Survey Email - June 2025</v>
      </c>
      <c r="C658" s="3" t="str">
        <f>HYPERLINK("https://otsuka-europe-crm.veevavault.com/ui/#object/sent_email__v/VBLZ025E82GMY10", "SE-000267722")</f>
        <v>SE-000267722</v>
      </c>
      <c r="D658" s="1">
        <v>45915.574895833335</v>
      </c>
      <c r="E658" s="2">
        <v>1</v>
      </c>
      <c r="F658" s="2">
        <v>2</v>
      </c>
      <c r="G658" s="2">
        <v>0</v>
      </c>
      <c r="H658" s="1" t="s">
        <v>0</v>
      </c>
      <c r="I658" s="2">
        <v>0</v>
      </c>
      <c r="J658" s="1">
        <v>45915.378159722219</v>
      </c>
    </row>
    <row r="659" spans="1:10" x14ac:dyDescent="0.2">
      <c r="A659" s="4" t="s">
        <v>1</v>
      </c>
      <c r="B659" s="3" t="str">
        <f>HYPERLINK("https://otsuka-europe-crm.veevavault.com/ui/#object/approved_document__v/V5OZ025E82TFUPI", "Spain - HCP Survey Email - June 2025")</f>
        <v>Spain - HCP Survey Email - June 2025</v>
      </c>
      <c r="C659" s="3" t="str">
        <f>HYPERLINK("https://otsuka-europe-crm.veevavault.com/ui/#object/sent_email__v/VBLZ025E82GMY11", "SE-000267723")</f>
        <v>SE-000267723</v>
      </c>
      <c r="D659" s="1">
        <v>45915.443425925929</v>
      </c>
      <c r="E659" s="2">
        <v>1</v>
      </c>
      <c r="F659" s="2">
        <v>1</v>
      </c>
      <c r="G659" s="2">
        <v>0</v>
      </c>
      <c r="H659" s="1" t="s">
        <v>0</v>
      </c>
      <c r="I659" s="2">
        <v>0</v>
      </c>
      <c r="J659" s="1">
        <v>45915.378657407404</v>
      </c>
    </row>
    <row r="660" spans="1:10" x14ac:dyDescent="0.2">
      <c r="A660" s="4" t="s">
        <v>1</v>
      </c>
      <c r="B660" s="3" t="str">
        <f>HYPERLINK("https://otsuka-europe-crm.veevavault.com/ui/#object/approved_document__v/V5OZ025E82TFUPI", "Spain - HCP Survey Email - June 2025")</f>
        <v>Spain - HCP Survey Email - June 2025</v>
      </c>
      <c r="C660" s="3" t="str">
        <f>HYPERLINK("https://otsuka-europe-crm.veevavault.com/ui/#object/sent_email__v/VBLZ025E82GMY12", "SE-000267724")</f>
        <v>SE-000267724</v>
      </c>
      <c r="D660" s="1" t="s">
        <v>0</v>
      </c>
      <c r="E660" s="2">
        <v>0</v>
      </c>
      <c r="F660" s="2">
        <v>0</v>
      </c>
      <c r="G660" s="2">
        <v>0</v>
      </c>
      <c r="H660" s="1" t="s">
        <v>0</v>
      </c>
      <c r="I660" s="2">
        <v>0</v>
      </c>
      <c r="J660" s="1">
        <v>45915.379166666666</v>
      </c>
    </row>
    <row r="661" spans="1:10" x14ac:dyDescent="0.2">
      <c r="A661" s="4" t="s">
        <v>1</v>
      </c>
      <c r="B661" s="3" t="str">
        <f>HYPERLINK("https://otsuka-europe-crm.veevavault.com/ui/#object/approved_document__v/V5OZ025E82TFUPI", "Spain - HCP Survey Email - June 2025")</f>
        <v>Spain - HCP Survey Email - June 2025</v>
      </c>
      <c r="C661" s="3" t="str">
        <f>HYPERLINK("https://otsuka-europe-crm.veevavault.com/ui/#object/sent_email__v/VBLZ025E82GMY13", "SE-000267725")</f>
        <v>SE-000267725</v>
      </c>
      <c r="D661" s="1" t="s">
        <v>0</v>
      </c>
      <c r="E661" s="2">
        <v>0</v>
      </c>
      <c r="F661" s="2">
        <v>0</v>
      </c>
      <c r="G661" s="2">
        <v>0</v>
      </c>
      <c r="H661" s="1" t="s">
        <v>0</v>
      </c>
      <c r="I661" s="2">
        <v>0</v>
      </c>
      <c r="J661" s="1">
        <v>45915.377858796295</v>
      </c>
    </row>
    <row r="662" spans="1:10" x14ac:dyDescent="0.2">
      <c r="A662" s="4" t="s">
        <v>1</v>
      </c>
      <c r="B662" s="3" t="str">
        <f>HYPERLINK("https://otsuka-europe-crm.veevavault.com/ui/#object/approved_document__v/V5OZ025E82TFUPI", "Spain - HCP Survey Email - June 2025")</f>
        <v>Spain - HCP Survey Email - June 2025</v>
      </c>
      <c r="C662" s="3" t="str">
        <f>HYPERLINK("https://otsuka-europe-crm.veevavault.com/ui/#object/sent_email__v/VBLZ025E82GMY14", "SE-000267726")</f>
        <v>SE-000267726</v>
      </c>
      <c r="D662" s="1" t="s">
        <v>0</v>
      </c>
      <c r="E662" s="2">
        <v>0</v>
      </c>
      <c r="F662" s="2">
        <v>0</v>
      </c>
      <c r="G662" s="2">
        <v>0</v>
      </c>
      <c r="H662" s="1" t="s">
        <v>0</v>
      </c>
      <c r="I662" s="2">
        <v>0</v>
      </c>
      <c r="J662" s="1">
        <v>45915.378275462965</v>
      </c>
    </row>
    <row r="663" spans="1:10" x14ac:dyDescent="0.2">
      <c r="A663" s="4" t="s">
        <v>1</v>
      </c>
      <c r="B663" s="3" t="str">
        <f>HYPERLINK("https://otsuka-europe-crm.veevavault.com/ui/#object/approved_document__v/V5OZ025E82TFUPI", "Spain - HCP Survey Email - June 2025")</f>
        <v>Spain - HCP Survey Email - June 2025</v>
      </c>
      <c r="C663" s="3" t="str">
        <f>HYPERLINK("https://otsuka-europe-crm.veevavault.com/ui/#object/sent_email__v/VBLZ025E82GMY15", "SE-000267727")</f>
        <v>SE-000267727</v>
      </c>
      <c r="D663" s="1" t="s">
        <v>0</v>
      </c>
      <c r="E663" s="2">
        <v>0</v>
      </c>
      <c r="F663" s="2">
        <v>0</v>
      </c>
      <c r="G663" s="2">
        <v>0</v>
      </c>
      <c r="H663" s="1" t="s">
        <v>0</v>
      </c>
      <c r="I663" s="2">
        <v>0</v>
      </c>
      <c r="J663" s="1">
        <v>45915.378136574072</v>
      </c>
    </row>
    <row r="664" spans="1:10" x14ac:dyDescent="0.2">
      <c r="A664" s="4" t="s">
        <v>1</v>
      </c>
      <c r="B664" s="3" t="str">
        <f>HYPERLINK("https://otsuka-europe-crm.veevavault.com/ui/#object/approved_document__v/V5OZ025E82TFUPI", "Spain - HCP Survey Email - June 2025")</f>
        <v>Spain - HCP Survey Email - June 2025</v>
      </c>
      <c r="C664" s="3" t="str">
        <f>HYPERLINK("https://otsuka-europe-crm.veevavault.com/ui/#object/sent_email__v/VBLZ025E82GMY16", "SE-000267728")</f>
        <v>SE-000267728</v>
      </c>
      <c r="D664" s="1">
        <v>45915.825219907405</v>
      </c>
      <c r="E664" s="2">
        <v>1</v>
      </c>
      <c r="F664" s="2">
        <v>2</v>
      </c>
      <c r="G664" s="2">
        <v>1</v>
      </c>
      <c r="H664" s="1">
        <v>45915.396377314813</v>
      </c>
      <c r="I664" s="2">
        <v>1</v>
      </c>
      <c r="J664" s="1">
        <v>45915.378576388888</v>
      </c>
    </row>
    <row r="665" spans="1:10" x14ac:dyDescent="0.2">
      <c r="A665" s="4" t="s">
        <v>1</v>
      </c>
      <c r="B665" s="3" t="str">
        <f>HYPERLINK("https://otsuka-europe-crm.veevavault.com/ui/#object/approved_document__v/V5OZ025E82TFUPI", "Spain - HCP Survey Email - June 2025")</f>
        <v>Spain - HCP Survey Email - June 2025</v>
      </c>
      <c r="C665" s="3" t="str">
        <f>HYPERLINK("https://otsuka-europe-crm.veevavault.com/ui/#object/sent_email__v/VBLZ025E82GMY17", "SE-000267729")</f>
        <v>SE-000267729</v>
      </c>
      <c r="D665" s="1">
        <v>45916.837337962963</v>
      </c>
      <c r="E665" s="2">
        <v>1</v>
      </c>
      <c r="F665" s="2">
        <v>1</v>
      </c>
      <c r="G665" s="2">
        <v>0</v>
      </c>
      <c r="H665" s="1" t="s">
        <v>0</v>
      </c>
      <c r="I665" s="2">
        <v>0</v>
      </c>
      <c r="J665" s="1">
        <v>45915.379953703705</v>
      </c>
    </row>
    <row r="666" spans="1:10" x14ac:dyDescent="0.2">
      <c r="A666" s="4" t="s">
        <v>1</v>
      </c>
      <c r="B666" s="3" t="str">
        <f>HYPERLINK("https://otsuka-europe-crm.veevavault.com/ui/#object/approved_document__v/V5OZ025E82TFUPI", "Spain - HCP Survey Email - June 2025")</f>
        <v>Spain - HCP Survey Email - June 2025</v>
      </c>
      <c r="C666" s="3" t="str">
        <f>HYPERLINK("https://otsuka-europe-crm.veevavault.com/ui/#object/sent_email__v/VBLZ025E82GMY18", "SE-000267730")</f>
        <v>SE-000267730</v>
      </c>
      <c r="D666" s="1" t="s">
        <v>0</v>
      </c>
      <c r="E666" s="2">
        <v>0</v>
      </c>
      <c r="F666" s="2">
        <v>0</v>
      </c>
      <c r="G666" s="2">
        <v>0</v>
      </c>
      <c r="H666" s="1" t="s">
        <v>0</v>
      </c>
      <c r="I666" s="2">
        <v>0</v>
      </c>
      <c r="J666" s="1">
        <v>45915.379259259258</v>
      </c>
    </row>
    <row r="667" spans="1:10" x14ac:dyDescent="0.2">
      <c r="A667" s="4" t="s">
        <v>1</v>
      </c>
      <c r="B667" s="3" t="str">
        <f>HYPERLINK("https://otsuka-europe-crm.veevavault.com/ui/#object/approved_document__v/V5OZ025E82TFUPI", "Spain - HCP Survey Email - June 2025")</f>
        <v>Spain - HCP Survey Email - June 2025</v>
      </c>
      <c r="C667" s="3" t="str">
        <f>HYPERLINK("https://otsuka-europe-crm.veevavault.com/ui/#object/sent_email__v/VBLZ025E82GMY19", "SE-000267731")</f>
        <v>SE-000267731</v>
      </c>
      <c r="D667" s="1">
        <v>45915.459189814814</v>
      </c>
      <c r="E667" s="2">
        <v>1</v>
      </c>
      <c r="F667" s="2">
        <v>1</v>
      </c>
      <c r="G667" s="2">
        <v>0</v>
      </c>
      <c r="H667" s="1" t="s">
        <v>0</v>
      </c>
      <c r="I667" s="2">
        <v>0</v>
      </c>
      <c r="J667" s="1">
        <v>45915.377442129633</v>
      </c>
    </row>
    <row r="668" spans="1:10" x14ac:dyDescent="0.2">
      <c r="A668" s="4" t="s">
        <v>1</v>
      </c>
      <c r="B668" s="3" t="str">
        <f>HYPERLINK("https://otsuka-europe-crm.veevavault.com/ui/#object/approved_document__v/V5OZ025E82TFUPI", "Spain - HCP Survey Email - June 2025")</f>
        <v>Spain - HCP Survey Email - June 2025</v>
      </c>
      <c r="C668" s="3" t="str">
        <f>HYPERLINK("https://otsuka-europe-crm.veevavault.com/ui/#object/sent_email__v/VBLZ025E82GMY1A", "SE-000267732")</f>
        <v>SE-000267732</v>
      </c>
      <c r="D668" s="1">
        <v>45917.690740740742</v>
      </c>
      <c r="E668" s="2">
        <v>1</v>
      </c>
      <c r="F668" s="2">
        <v>1</v>
      </c>
      <c r="G668" s="2">
        <v>0</v>
      </c>
      <c r="H668" s="1" t="s">
        <v>0</v>
      </c>
      <c r="I668" s="2">
        <v>0</v>
      </c>
      <c r="J668" s="1">
        <v>45915.378368055557</v>
      </c>
    </row>
    <row r="669" spans="1:10" x14ac:dyDescent="0.2">
      <c r="A669" s="4" t="s">
        <v>1</v>
      </c>
      <c r="B669" s="3" t="str">
        <f>HYPERLINK("https://otsuka-europe-crm.veevavault.com/ui/#object/approved_document__v/V5OZ025E82TFUPI", "Spain - HCP Survey Email - June 2025")</f>
        <v>Spain - HCP Survey Email - June 2025</v>
      </c>
      <c r="C669" s="3" t="str">
        <f>HYPERLINK("https://otsuka-europe-crm.veevavault.com/ui/#object/sent_email__v/VBLZ025E82GMY1B", "SE-000267733")</f>
        <v>SE-000267733</v>
      </c>
      <c r="D669" s="1" t="s">
        <v>0</v>
      </c>
      <c r="E669" s="2">
        <v>0</v>
      </c>
      <c r="F669" s="2">
        <v>0</v>
      </c>
      <c r="G669" s="2">
        <v>0</v>
      </c>
      <c r="H669" s="1" t="s">
        <v>0</v>
      </c>
      <c r="I669" s="2">
        <v>0</v>
      </c>
      <c r="J669" s="1">
        <v>45915.378946759258</v>
      </c>
    </row>
    <row r="670" spans="1:10" x14ac:dyDescent="0.2">
      <c r="A670" s="4" t="s">
        <v>1</v>
      </c>
      <c r="B670" s="3" t="str">
        <f>HYPERLINK("https://otsuka-europe-crm.veevavault.com/ui/#object/approved_document__v/V5OZ025E82TFUPI", "Spain - HCP Survey Email - June 2025")</f>
        <v>Spain - HCP Survey Email - June 2025</v>
      </c>
      <c r="C670" s="3" t="str">
        <f>HYPERLINK("https://otsuka-europe-crm.veevavault.com/ui/#object/sent_email__v/VBLZ025E82GMY1C", "SE-000267734")</f>
        <v>SE-000267734</v>
      </c>
      <c r="D670" s="1">
        <v>45915.394606481481</v>
      </c>
      <c r="E670" s="2">
        <v>1</v>
      </c>
      <c r="F670" s="2">
        <v>1</v>
      </c>
      <c r="G670" s="2">
        <v>1</v>
      </c>
      <c r="H670" s="1">
        <v>45915.394780092596</v>
      </c>
      <c r="I670" s="2">
        <v>2</v>
      </c>
      <c r="J670" s="1">
        <v>45915.37872685185</v>
      </c>
    </row>
    <row r="671" spans="1:10" x14ac:dyDescent="0.2">
      <c r="A671" s="4" t="s">
        <v>1</v>
      </c>
      <c r="B671" s="3" t="str">
        <f>HYPERLINK("https://otsuka-europe-crm.veevavault.com/ui/#object/approved_document__v/V5OZ025E82TFUPI", "Spain - HCP Survey Email - June 2025")</f>
        <v>Spain - HCP Survey Email - June 2025</v>
      </c>
      <c r="C671" s="3" t="str">
        <f>HYPERLINK("https://otsuka-europe-crm.veevavault.com/ui/#object/sent_email__v/VBLZ025E82GMY1D", "SE-000267735")</f>
        <v>SE-000267735</v>
      </c>
      <c r="D671" s="1">
        <v>45915.56046296296</v>
      </c>
      <c r="E671" s="2">
        <v>1</v>
      </c>
      <c r="F671" s="2">
        <v>2</v>
      </c>
      <c r="G671" s="2">
        <v>0</v>
      </c>
      <c r="H671" s="1" t="s">
        <v>0</v>
      </c>
      <c r="I671" s="2">
        <v>0</v>
      </c>
      <c r="J671" s="1">
        <v>45915.379074074073</v>
      </c>
    </row>
    <row r="672" spans="1:10" x14ac:dyDescent="0.2">
      <c r="A672" s="4" t="s">
        <v>1</v>
      </c>
      <c r="B672" s="3" t="str">
        <f>HYPERLINK("https://otsuka-europe-crm.veevavault.com/ui/#object/approved_document__v/V5OZ025E82TFUPI", "Spain - HCP Survey Email - June 2025")</f>
        <v>Spain - HCP Survey Email - June 2025</v>
      </c>
      <c r="C672" s="3" t="str">
        <f>HYPERLINK("https://otsuka-europe-crm.veevavault.com/ui/#object/sent_email__v/VBLZ025E82GMY1E", "SE-000267736")</f>
        <v>SE-000267736</v>
      </c>
      <c r="D672" s="1">
        <v>45915.378009259257</v>
      </c>
      <c r="E672" s="2">
        <v>1</v>
      </c>
      <c r="F672" s="2">
        <v>1</v>
      </c>
      <c r="G672" s="2">
        <v>1</v>
      </c>
      <c r="H672" s="1">
        <v>45915.378194444442</v>
      </c>
      <c r="I672" s="2">
        <v>2</v>
      </c>
      <c r="J672" s="1">
        <v>45915.377835648149</v>
      </c>
    </row>
    <row r="673" spans="1:10" x14ac:dyDescent="0.2">
      <c r="A673" s="4" t="s">
        <v>1</v>
      </c>
      <c r="B673" s="3" t="str">
        <f>HYPERLINK("https://otsuka-europe-crm.veevavault.com/ui/#object/approved_document__v/V5OZ025E82TFUPI", "Spain - HCP Survey Email - June 2025")</f>
        <v>Spain - HCP Survey Email - June 2025</v>
      </c>
      <c r="C673" s="3" t="str">
        <f>HYPERLINK("https://otsuka-europe-crm.veevavault.com/ui/#object/sent_email__v/VBLZ025E82GMY1F", "SE-000267737")</f>
        <v>SE-000267737</v>
      </c>
      <c r="D673" s="1">
        <v>45915.378425925926</v>
      </c>
      <c r="E673" s="2">
        <v>1</v>
      </c>
      <c r="F673" s="2">
        <v>1</v>
      </c>
      <c r="G673" s="2">
        <v>1</v>
      </c>
      <c r="H673" s="1">
        <v>45915.378819444442</v>
      </c>
      <c r="I673" s="2">
        <v>2</v>
      </c>
      <c r="J673" s="1">
        <v>45915.378310185188</v>
      </c>
    </row>
    <row r="674" spans="1:10" x14ac:dyDescent="0.2">
      <c r="A674" s="4" t="s">
        <v>1</v>
      </c>
      <c r="B674" s="3" t="str">
        <f>HYPERLINK("https://otsuka-europe-crm.veevavault.com/ui/#object/approved_document__v/V5OZ025E82TFUPI", "Spain - HCP Survey Email - June 2025")</f>
        <v>Spain - HCP Survey Email - June 2025</v>
      </c>
      <c r="C674" s="3" t="str">
        <f>HYPERLINK("https://otsuka-europe-crm.veevavault.com/ui/#object/sent_email__v/VBLZ025E82GMY1G", "SE-000267738")</f>
        <v>SE-000267738</v>
      </c>
      <c r="D674" s="1" t="s">
        <v>0</v>
      </c>
      <c r="E674" s="2">
        <v>0</v>
      </c>
      <c r="F674" s="2">
        <v>0</v>
      </c>
      <c r="G674" s="2">
        <v>0</v>
      </c>
      <c r="H674" s="1" t="s">
        <v>0</v>
      </c>
      <c r="I674" s="2">
        <v>0</v>
      </c>
      <c r="J674" s="1">
        <v>45915.378182870372</v>
      </c>
    </row>
    <row r="675" spans="1:10" x14ac:dyDescent="0.2">
      <c r="A675" s="4" t="s">
        <v>1</v>
      </c>
      <c r="B675" s="3" t="str">
        <f>HYPERLINK("https://otsuka-europe-crm.veevavault.com/ui/#object/approved_document__v/V5OZ025E82TFUPI", "Spain - HCP Survey Email - June 2025")</f>
        <v>Spain - HCP Survey Email - June 2025</v>
      </c>
      <c r="C675" s="3" t="str">
        <f>HYPERLINK("https://otsuka-europe-crm.veevavault.com/ui/#object/sent_email__v/VBLZ025E82GMY1H", "SE-000267739")</f>
        <v>SE-000267739</v>
      </c>
      <c r="D675" s="1">
        <v>45915.962233796294</v>
      </c>
      <c r="E675" s="2">
        <v>1</v>
      </c>
      <c r="F675" s="2">
        <v>1</v>
      </c>
      <c r="G675" s="2">
        <v>0</v>
      </c>
      <c r="H675" s="1" t="s">
        <v>0</v>
      </c>
      <c r="I675" s="2">
        <v>0</v>
      </c>
      <c r="J675" s="1">
        <v>45915.378680555557</v>
      </c>
    </row>
    <row r="676" spans="1:10" x14ac:dyDescent="0.2">
      <c r="A676" s="4" t="s">
        <v>1</v>
      </c>
      <c r="B676" s="3" t="str">
        <f>HYPERLINK("https://otsuka-europe-crm.veevavault.com/ui/#object/approved_document__v/V5OZ025E82TFUPI", "Spain - HCP Survey Email - June 2025")</f>
        <v>Spain - HCP Survey Email - June 2025</v>
      </c>
      <c r="C676" s="3" t="str">
        <f>HYPERLINK("https://otsuka-europe-crm.veevavault.com/ui/#object/sent_email__v/VBLZ025E82GMY1I", "SE-000267740")</f>
        <v>SE-000267740</v>
      </c>
      <c r="D676" s="1">
        <v>45917.015787037039</v>
      </c>
      <c r="E676" s="2">
        <v>1</v>
      </c>
      <c r="F676" s="2">
        <v>1</v>
      </c>
      <c r="G676" s="2">
        <v>0</v>
      </c>
      <c r="H676" s="1" t="s">
        <v>0</v>
      </c>
      <c r="I676" s="2">
        <v>0</v>
      </c>
      <c r="J676" s="1">
        <v>45915.379976851851</v>
      </c>
    </row>
    <row r="677" spans="1:10" x14ac:dyDescent="0.2">
      <c r="A677" s="4" t="s">
        <v>1</v>
      </c>
      <c r="B677" s="3" t="str">
        <f>HYPERLINK("https://otsuka-europe-crm.veevavault.com/ui/#object/approved_document__v/V5OZ025E82TFUPI", "Spain - HCP Survey Email - June 2025")</f>
        <v>Spain - HCP Survey Email - June 2025</v>
      </c>
      <c r="C677" s="3" t="str">
        <f>HYPERLINK("https://otsuka-europe-crm.veevavault.com/ui/#object/sent_email__v/VBLZ025E82GMY1J", "SE-000267741")</f>
        <v>SE-000267741</v>
      </c>
      <c r="D677" s="1">
        <v>45917.608993055554</v>
      </c>
      <c r="E677" s="2">
        <v>1</v>
      </c>
      <c r="F677" s="2">
        <v>1</v>
      </c>
      <c r="G677" s="2">
        <v>0</v>
      </c>
      <c r="H677" s="1" t="s">
        <v>0</v>
      </c>
      <c r="I677" s="2">
        <v>0</v>
      </c>
      <c r="J677" s="1">
        <v>45915.379247685189</v>
      </c>
    </row>
    <row r="678" spans="1:10" x14ac:dyDescent="0.2">
      <c r="A678" s="4" t="s">
        <v>1</v>
      </c>
      <c r="B678" s="3" t="str">
        <f>HYPERLINK("https://otsuka-europe-crm.veevavault.com/ui/#object/approved_document__v/V5OZ025E82TFUPI", "Spain - HCP Survey Email - June 2025")</f>
        <v>Spain - HCP Survey Email - June 2025</v>
      </c>
      <c r="C678" s="3" t="str">
        <f>HYPERLINK("https://otsuka-europe-crm.veevavault.com/ui/#object/sent_email__v/VBLZ025E82GMY1K", "SE-000267742")</f>
        <v>SE-000267742</v>
      </c>
      <c r="D678" s="1">
        <v>45918.719409722224</v>
      </c>
      <c r="E678" s="2">
        <v>1</v>
      </c>
      <c r="F678" s="2">
        <v>1</v>
      </c>
      <c r="G678" s="2">
        <v>0</v>
      </c>
      <c r="H678" s="1" t="s">
        <v>0</v>
      </c>
      <c r="I678" s="2">
        <v>0</v>
      </c>
      <c r="J678" s="1">
        <v>45915.377395833333</v>
      </c>
    </row>
    <row r="679" spans="1:10" x14ac:dyDescent="0.2">
      <c r="A679" s="4" t="s">
        <v>1</v>
      </c>
      <c r="B679" s="3" t="str">
        <f>HYPERLINK("https://otsuka-europe-crm.veevavault.com/ui/#object/approved_document__v/V5OZ025E82TFUPI", "Spain - HCP Survey Email - June 2025")</f>
        <v>Spain - HCP Survey Email - June 2025</v>
      </c>
      <c r="C679" s="3" t="str">
        <f>HYPERLINK("https://otsuka-europe-crm.veevavault.com/ui/#object/sent_email__v/VBLZ025E82GMY1L", "SE-000267743")</f>
        <v>SE-000267743</v>
      </c>
      <c r="D679" s="1">
        <v>45915.793333333335</v>
      </c>
      <c r="E679" s="2">
        <v>1</v>
      </c>
      <c r="F679" s="2">
        <v>1</v>
      </c>
      <c r="G679" s="2">
        <v>0</v>
      </c>
      <c r="H679" s="1" t="s">
        <v>0</v>
      </c>
      <c r="I679" s="2">
        <v>0</v>
      </c>
      <c r="J679" s="1">
        <v>45915.378425925926</v>
      </c>
    </row>
    <row r="680" spans="1:10" x14ac:dyDescent="0.2">
      <c r="A680" s="4" t="s">
        <v>1</v>
      </c>
      <c r="B680" s="3" t="str">
        <f>HYPERLINK("https://otsuka-europe-crm.veevavault.com/ui/#object/approved_document__v/V5OZ025E82TFUPI", "Spain - HCP Survey Email - June 2025")</f>
        <v>Spain - HCP Survey Email - June 2025</v>
      </c>
      <c r="C680" s="3" t="str">
        <f>HYPERLINK("https://otsuka-europe-crm.veevavault.com/ui/#object/sent_email__v/VBLZ025E82GMY1M", "SE-000267744")</f>
        <v>SE-000267744</v>
      </c>
      <c r="D680" s="1" t="s">
        <v>0</v>
      </c>
      <c r="E680" s="2">
        <v>0</v>
      </c>
      <c r="F680" s="2">
        <v>0</v>
      </c>
      <c r="G680" s="2">
        <v>0</v>
      </c>
      <c r="H680" s="1" t="s">
        <v>0</v>
      </c>
      <c r="I680" s="2">
        <v>0</v>
      </c>
      <c r="J680" s="1">
        <v>45915.378738425927</v>
      </c>
    </row>
    <row r="681" spans="1:10" x14ac:dyDescent="0.2">
      <c r="A681" s="4" t="s">
        <v>1</v>
      </c>
      <c r="B681" s="3" t="str">
        <f>HYPERLINK("https://otsuka-europe-crm.veevavault.com/ui/#object/approved_document__v/V5OZ025E82TFUPI", "Spain - HCP Survey Email - June 2025")</f>
        <v>Spain - HCP Survey Email - June 2025</v>
      </c>
      <c r="C681" s="3" t="str">
        <f>HYPERLINK("https://otsuka-europe-crm.veevavault.com/ui/#object/sent_email__v/VBLZ025E82GMY1N", "SE-000267745")</f>
        <v>SE-000267745</v>
      </c>
      <c r="D681" s="1">
        <v>45915.756354166668</v>
      </c>
      <c r="E681" s="2">
        <v>1</v>
      </c>
      <c r="F681" s="2">
        <v>1</v>
      </c>
      <c r="G681" s="2">
        <v>0</v>
      </c>
      <c r="H681" s="1" t="s">
        <v>0</v>
      </c>
      <c r="I681" s="2">
        <v>0</v>
      </c>
      <c r="J681" s="1">
        <v>45915.378750000003</v>
      </c>
    </row>
    <row r="682" spans="1:10" x14ac:dyDescent="0.2">
      <c r="A682" s="4" t="s">
        <v>1</v>
      </c>
      <c r="B682" s="3" t="str">
        <f>HYPERLINK("https://otsuka-europe-crm.veevavault.com/ui/#object/approved_document__v/V5OZ025E82TFUPI", "Spain - HCP Survey Email - June 2025")</f>
        <v>Spain - HCP Survey Email - June 2025</v>
      </c>
      <c r="C682" s="3" t="str">
        <f>HYPERLINK("https://otsuka-europe-crm.veevavault.com/ui/#object/sent_email__v/VBLZ025E82GMY1O", "SE-000267746")</f>
        <v>SE-000267746</v>
      </c>
      <c r="D682" s="1" t="s">
        <v>0</v>
      </c>
      <c r="E682" s="2">
        <v>0</v>
      </c>
      <c r="F682" s="2">
        <v>0</v>
      </c>
      <c r="G682" s="2">
        <v>0</v>
      </c>
      <c r="H682" s="1" t="s">
        <v>0</v>
      </c>
      <c r="I682" s="2">
        <v>0</v>
      </c>
      <c r="J682" s="1">
        <v>45915.379236111112</v>
      </c>
    </row>
    <row r="683" spans="1:10" x14ac:dyDescent="0.2">
      <c r="A683" s="4" t="s">
        <v>1</v>
      </c>
      <c r="B683" s="3" t="str">
        <f>HYPERLINK("https://otsuka-europe-crm.veevavault.com/ui/#object/approved_document__v/V5OZ025E82TFUPI", "Spain - HCP Survey Email - June 2025")</f>
        <v>Spain - HCP Survey Email - June 2025</v>
      </c>
      <c r="C683" s="3" t="str">
        <f>HYPERLINK("https://otsuka-europe-crm.veevavault.com/ui/#object/sent_email__v/VBLZ025E82GMY1P", "SE-000267747")</f>
        <v>SE-000267747</v>
      </c>
      <c r="D683" s="1">
        <v>45915.743055555555</v>
      </c>
      <c r="E683" s="2">
        <v>1</v>
      </c>
      <c r="F683" s="2">
        <v>1</v>
      </c>
      <c r="G683" s="2">
        <v>0</v>
      </c>
      <c r="H683" s="1" t="s">
        <v>0</v>
      </c>
      <c r="I683" s="2">
        <v>0</v>
      </c>
      <c r="J683" s="1">
        <v>45915.377951388888</v>
      </c>
    </row>
    <row r="684" spans="1:10" x14ac:dyDescent="0.2">
      <c r="A684" s="4" t="s">
        <v>1</v>
      </c>
      <c r="B684" s="3" t="str">
        <f>HYPERLINK("https://otsuka-europe-crm.veevavault.com/ui/#object/approved_document__v/V5OZ025E82TFUPI", "Spain - HCP Survey Email - June 2025")</f>
        <v>Spain - HCP Survey Email - June 2025</v>
      </c>
      <c r="C684" s="3" t="str">
        <f>HYPERLINK("https://otsuka-europe-crm.veevavault.com/ui/#object/sent_email__v/VBLZ025E82GMY1Q", "SE-000267748")</f>
        <v>SE-000267748</v>
      </c>
      <c r="D684" s="1">
        <v>45915.40997685185</v>
      </c>
      <c r="E684" s="2">
        <v>1</v>
      </c>
      <c r="F684" s="2">
        <v>1</v>
      </c>
      <c r="G684" s="2">
        <v>0</v>
      </c>
      <c r="H684" s="1" t="s">
        <v>0</v>
      </c>
      <c r="I684" s="2">
        <v>0</v>
      </c>
      <c r="J684" s="1">
        <v>45915.378344907411</v>
      </c>
    </row>
    <row r="685" spans="1:10" x14ac:dyDescent="0.2">
      <c r="A685" s="4" t="s">
        <v>1</v>
      </c>
      <c r="B685" s="3" t="str">
        <f>HYPERLINK("https://otsuka-europe-crm.veevavault.com/ui/#object/approved_document__v/V5OZ025E82TFUPI", "Spain - HCP Survey Email - June 2025")</f>
        <v>Spain - HCP Survey Email - June 2025</v>
      </c>
      <c r="C685" s="3" t="str">
        <f>HYPERLINK("https://otsuka-europe-crm.veevavault.com/ui/#object/sent_email__v/VBLZ025E82GMY1R", "SE-000267749")</f>
        <v>SE-000267749</v>
      </c>
      <c r="D685" s="1">
        <v>45915.394305555557</v>
      </c>
      <c r="E685" s="2">
        <v>1</v>
      </c>
      <c r="F685" s="2">
        <v>1</v>
      </c>
      <c r="G685" s="2">
        <v>0</v>
      </c>
      <c r="H685" s="1" t="s">
        <v>0</v>
      </c>
      <c r="I685" s="2">
        <v>0</v>
      </c>
      <c r="J685" s="1">
        <v>45915.378113425926</v>
      </c>
    </row>
    <row r="686" spans="1:10" x14ac:dyDescent="0.2">
      <c r="A686" s="4" t="s">
        <v>1</v>
      </c>
      <c r="B686" s="3" t="str">
        <f>HYPERLINK("https://otsuka-europe-crm.veevavault.com/ui/#object/approved_document__v/V5OZ025E82TFUPI", "Spain - HCP Survey Email - June 2025")</f>
        <v>Spain - HCP Survey Email - June 2025</v>
      </c>
      <c r="C686" s="3" t="str">
        <f>HYPERLINK("https://otsuka-europe-crm.veevavault.com/ui/#object/sent_email__v/VBLZ025E82GMY1S", "SE-000267750")</f>
        <v>SE-000267750</v>
      </c>
      <c r="D686" s="1" t="s">
        <v>0</v>
      </c>
      <c r="E686" s="2">
        <v>0</v>
      </c>
      <c r="F686" s="2">
        <v>0</v>
      </c>
      <c r="G686" s="2">
        <v>0</v>
      </c>
      <c r="H686" s="1" t="s">
        <v>0</v>
      </c>
      <c r="I686" s="2">
        <v>0</v>
      </c>
      <c r="J686" s="1">
        <v>45915.378553240742</v>
      </c>
    </row>
    <row r="687" spans="1:10" x14ac:dyDescent="0.2">
      <c r="A687" s="4" t="s">
        <v>1</v>
      </c>
      <c r="B687" s="3" t="str">
        <f>HYPERLINK("https://otsuka-europe-crm.veevavault.com/ui/#object/approved_document__v/V5OZ025E82TFUPI", "Spain - HCP Survey Email - June 2025")</f>
        <v>Spain - HCP Survey Email - June 2025</v>
      </c>
      <c r="C687" s="3" t="str">
        <f>HYPERLINK("https://otsuka-europe-crm.veevavault.com/ui/#object/sent_email__v/VBLZ025E82GMY1T", "SE-000267751")</f>
        <v>SE-000267751</v>
      </c>
      <c r="D687" s="1">
        <v>45915.490439814814</v>
      </c>
      <c r="E687" s="2">
        <v>1</v>
      </c>
      <c r="F687" s="2">
        <v>1</v>
      </c>
      <c r="G687" s="2">
        <v>0</v>
      </c>
      <c r="H687" s="1" t="s">
        <v>0</v>
      </c>
      <c r="I687" s="2">
        <v>0</v>
      </c>
      <c r="J687" s="1">
        <v>45915.380115740743</v>
      </c>
    </row>
    <row r="688" spans="1:10" x14ac:dyDescent="0.2">
      <c r="A688" s="4" t="s">
        <v>1</v>
      </c>
      <c r="B688" s="3" t="str">
        <f>HYPERLINK("https://otsuka-europe-crm.veevavault.com/ui/#object/approved_document__v/V5OZ025E82TFUPI", "Spain - HCP Survey Email - June 2025")</f>
        <v>Spain - HCP Survey Email - June 2025</v>
      </c>
      <c r="C688" s="3" t="str">
        <f>HYPERLINK("https://otsuka-europe-crm.veevavault.com/ui/#object/sent_email__v/VBLZ025E82GMY1U", "SE-000267752")</f>
        <v>SE-000267752</v>
      </c>
      <c r="D688" s="1">
        <v>45915.415358796294</v>
      </c>
      <c r="E688" s="2">
        <v>1</v>
      </c>
      <c r="F688" s="2">
        <v>1</v>
      </c>
      <c r="G688" s="2">
        <v>0</v>
      </c>
      <c r="H688" s="1" t="s">
        <v>0</v>
      </c>
      <c r="I688" s="2">
        <v>0</v>
      </c>
      <c r="J688" s="1">
        <v>45915.379328703704</v>
      </c>
    </row>
    <row r="689" spans="1:10" x14ac:dyDescent="0.2">
      <c r="A689" s="4" t="s">
        <v>1</v>
      </c>
      <c r="B689" s="3" t="str">
        <f>HYPERLINK("https://otsuka-europe-crm.veevavault.com/ui/#object/approved_document__v/V5OZ025E82TFUPI", "Spain - HCP Survey Email - June 2025")</f>
        <v>Spain - HCP Survey Email - June 2025</v>
      </c>
      <c r="C689" s="3" t="str">
        <f>HYPERLINK("https://otsuka-europe-crm.veevavault.com/ui/#object/sent_email__v/VBLZ025E82GMY1V", "SE-000267753")</f>
        <v>SE-000267753</v>
      </c>
      <c r="D689" s="1" t="s">
        <v>0</v>
      </c>
      <c r="E689" s="2">
        <v>0</v>
      </c>
      <c r="F689" s="2">
        <v>0</v>
      </c>
      <c r="G689" s="2">
        <v>0</v>
      </c>
      <c r="H689" s="1" t="s">
        <v>0</v>
      </c>
      <c r="I689" s="2">
        <v>0</v>
      </c>
      <c r="J689" s="1">
        <v>45915.377384259256</v>
      </c>
    </row>
    <row r="690" spans="1:10" x14ac:dyDescent="0.2">
      <c r="A690" s="4" t="s">
        <v>1</v>
      </c>
      <c r="B690" s="3" t="str">
        <f>HYPERLINK("https://otsuka-europe-crm.veevavault.com/ui/#object/approved_document__v/V5OZ025E82TFUPI", "Spain - HCP Survey Email - June 2025")</f>
        <v>Spain - HCP Survey Email - June 2025</v>
      </c>
      <c r="C690" s="3" t="str">
        <f>HYPERLINK("https://otsuka-europe-crm.veevavault.com/ui/#object/sent_email__v/VBLZ025E82GMY1W", "SE-000267754")</f>
        <v>SE-000267754</v>
      </c>
      <c r="D690" s="1" t="s">
        <v>0</v>
      </c>
      <c r="E690" s="2">
        <v>0</v>
      </c>
      <c r="F690" s="2">
        <v>0</v>
      </c>
      <c r="G690" s="2">
        <v>0</v>
      </c>
      <c r="H690" s="1" t="s">
        <v>0</v>
      </c>
      <c r="I690" s="2">
        <v>0</v>
      </c>
      <c r="J690" s="1">
        <v>45915.378333333334</v>
      </c>
    </row>
    <row r="691" spans="1:10" x14ac:dyDescent="0.2">
      <c r="A691" s="4" t="s">
        <v>1</v>
      </c>
      <c r="B691" s="3" t="str">
        <f>HYPERLINK("https://otsuka-europe-crm.veevavault.com/ui/#object/approved_document__v/V5OZ025E82TFUPI", "Spain - HCP Survey Email - June 2025")</f>
        <v>Spain - HCP Survey Email - June 2025</v>
      </c>
      <c r="C691" s="3" t="str">
        <f>HYPERLINK("https://otsuka-europe-crm.veevavault.com/ui/#object/sent_email__v/VBLZ025E82GMY1X", "SE-000267755")</f>
        <v>SE-000267755</v>
      </c>
      <c r="D691" s="1">
        <v>45915.480995370373</v>
      </c>
      <c r="E691" s="2">
        <v>1</v>
      </c>
      <c r="F691" s="2">
        <v>1</v>
      </c>
      <c r="G691" s="2">
        <v>0</v>
      </c>
      <c r="H691" s="1" t="s">
        <v>0</v>
      </c>
      <c r="I691" s="2">
        <v>0</v>
      </c>
      <c r="J691" s="1">
        <v>45915.378842592596</v>
      </c>
    </row>
    <row r="692" spans="1:10" x14ac:dyDescent="0.2">
      <c r="A692" s="4" t="s">
        <v>1</v>
      </c>
      <c r="B692" s="3" t="str">
        <f>HYPERLINK("https://otsuka-europe-crm.veevavault.com/ui/#object/approved_document__v/V5OZ025E82TFUPI", "Spain - HCP Survey Email - June 2025")</f>
        <v>Spain - HCP Survey Email - June 2025</v>
      </c>
      <c r="C692" s="3" t="str">
        <f>HYPERLINK("https://otsuka-europe-crm.veevavault.com/ui/#object/sent_email__v/VBLZ025E82GMY1Y", "SE-000267756")</f>
        <v>SE-000267756</v>
      </c>
      <c r="D692" s="1">
        <v>45915.903148148151</v>
      </c>
      <c r="E692" s="2">
        <v>1</v>
      </c>
      <c r="F692" s="2">
        <v>1</v>
      </c>
      <c r="G692" s="2">
        <v>0</v>
      </c>
      <c r="H692" s="1" t="s">
        <v>0</v>
      </c>
      <c r="I692" s="2">
        <v>0</v>
      </c>
      <c r="J692" s="1">
        <v>45915.378738425927</v>
      </c>
    </row>
    <row r="693" spans="1:10" x14ac:dyDescent="0.2">
      <c r="A693" s="4" t="s">
        <v>1</v>
      </c>
      <c r="B693" s="3" t="str">
        <f>HYPERLINK("https://otsuka-europe-crm.veevavault.com/ui/#object/approved_document__v/V5OZ025E82TFUPI", "Spain - HCP Survey Email - June 2025")</f>
        <v>Spain - HCP Survey Email - June 2025</v>
      </c>
      <c r="C693" s="3" t="str">
        <f>HYPERLINK("https://otsuka-europe-crm.veevavault.com/ui/#object/sent_email__v/VBLZ025E82GMY1Z", "SE-000267757")</f>
        <v>SE-000267757</v>
      </c>
      <c r="D693" s="1">
        <v>45916.436828703707</v>
      </c>
      <c r="E693" s="2">
        <v>1</v>
      </c>
      <c r="F693" s="2">
        <v>2</v>
      </c>
      <c r="G693" s="2">
        <v>0</v>
      </c>
      <c r="H693" s="1" t="s">
        <v>0</v>
      </c>
      <c r="I693" s="2">
        <v>0</v>
      </c>
      <c r="J693" s="1">
        <v>45915.37908564815</v>
      </c>
    </row>
    <row r="694" spans="1:10" x14ac:dyDescent="0.2">
      <c r="A694" s="4" t="s">
        <v>1</v>
      </c>
      <c r="B694" s="3" t="str">
        <f>HYPERLINK("https://otsuka-europe-crm.veevavault.com/ui/#object/approved_document__v/V5OZ025E82TFUPI", "Spain - HCP Survey Email - June 2025")</f>
        <v>Spain - HCP Survey Email - June 2025</v>
      </c>
      <c r="C694" s="3" t="str">
        <f>HYPERLINK("https://otsuka-europe-crm.veevavault.com/ui/#object/sent_email__v/VBLZ025E82GMY20", "SE-000267758")</f>
        <v>SE-000267758</v>
      </c>
      <c r="D694" s="1" t="s">
        <v>0</v>
      </c>
      <c r="E694" s="2">
        <v>0</v>
      </c>
      <c r="F694" s="2">
        <v>0</v>
      </c>
      <c r="G694" s="2">
        <v>0</v>
      </c>
      <c r="H694" s="1" t="s">
        <v>0</v>
      </c>
      <c r="I694" s="2">
        <v>0</v>
      </c>
      <c r="J694" s="1">
        <v>45915.377870370372</v>
      </c>
    </row>
    <row r="695" spans="1:10" x14ac:dyDescent="0.2">
      <c r="A695" s="4" t="s">
        <v>1</v>
      </c>
      <c r="B695" s="3" t="str">
        <f>HYPERLINK("https://otsuka-europe-crm.veevavault.com/ui/#object/approved_document__v/V5OZ025E82TFUPI", "Spain - HCP Survey Email - June 2025")</f>
        <v>Spain - HCP Survey Email - June 2025</v>
      </c>
      <c r="C695" s="3" t="str">
        <f>HYPERLINK("https://otsuka-europe-crm.veevavault.com/ui/#object/sent_email__v/VBLZ025E82GMY21", "SE-000267759")</f>
        <v>SE-000267759</v>
      </c>
      <c r="D695" s="1" t="s">
        <v>0</v>
      </c>
      <c r="E695" s="2">
        <v>0</v>
      </c>
      <c r="F695" s="2">
        <v>0</v>
      </c>
      <c r="G695" s="2">
        <v>0</v>
      </c>
      <c r="H695" s="1" t="s">
        <v>0</v>
      </c>
      <c r="I695" s="2">
        <v>0</v>
      </c>
      <c r="J695" s="1">
        <v>45915.378321759257</v>
      </c>
    </row>
    <row r="696" spans="1:10" x14ac:dyDescent="0.2">
      <c r="A696" s="4" t="s">
        <v>1</v>
      </c>
      <c r="B696" s="3" t="str">
        <f>HYPERLINK("https://otsuka-europe-crm.veevavault.com/ui/#object/approved_document__v/V5OZ025E82TFUPI", "Spain - HCP Survey Email - June 2025")</f>
        <v>Spain - HCP Survey Email - June 2025</v>
      </c>
      <c r="C696" s="3" t="str">
        <f>HYPERLINK("https://otsuka-europe-crm.veevavault.com/ui/#object/sent_email__v/VBLZ025E82GMY22", "SE-000267760")</f>
        <v>SE-000267760</v>
      </c>
      <c r="D696" s="1">
        <v>45915.589618055557</v>
      </c>
      <c r="E696" s="2">
        <v>1</v>
      </c>
      <c r="F696" s="2">
        <v>1</v>
      </c>
      <c r="G696" s="2">
        <v>0</v>
      </c>
      <c r="H696" s="1" t="s">
        <v>0</v>
      </c>
      <c r="I696" s="2">
        <v>0</v>
      </c>
      <c r="J696" s="1">
        <v>45915.378657407404</v>
      </c>
    </row>
    <row r="697" spans="1:10" x14ac:dyDescent="0.2">
      <c r="A697" s="4" t="s">
        <v>1</v>
      </c>
      <c r="B697" s="3" t="str">
        <f>HYPERLINK("https://otsuka-europe-crm.veevavault.com/ui/#object/approved_document__v/V5OZ025E82TFUPI", "Spain - HCP Survey Email - June 2025")</f>
        <v>Spain - HCP Survey Email - June 2025</v>
      </c>
      <c r="C697" s="3" t="str">
        <f>HYPERLINK("https://otsuka-europe-crm.veevavault.com/ui/#object/sent_email__v/VBLZ025E82GMY23", "SE-000267761")</f>
        <v>SE-000267761</v>
      </c>
      <c r="D697" s="1">
        <v>45925.391226851854</v>
      </c>
      <c r="E697" s="2">
        <v>1</v>
      </c>
      <c r="F697" s="2">
        <v>6</v>
      </c>
      <c r="G697" s="2">
        <v>0</v>
      </c>
      <c r="H697" s="1" t="s">
        <v>0</v>
      </c>
      <c r="I697" s="2">
        <v>0</v>
      </c>
      <c r="J697" s="1">
        <v>45915.379189814812</v>
      </c>
    </row>
    <row r="698" spans="1:10" x14ac:dyDescent="0.2">
      <c r="A698" s="4" t="s">
        <v>1</v>
      </c>
      <c r="B698" s="3" t="str">
        <f>HYPERLINK("https://otsuka-europe-crm.veevavault.com/ui/#object/approved_document__v/V5OZ025E82TFUPI", "Spain - HCP Survey Email - June 2025")</f>
        <v>Spain - HCP Survey Email - June 2025</v>
      </c>
      <c r="C698" s="3" t="str">
        <f>HYPERLINK("https://otsuka-europe-crm.veevavault.com/ui/#object/sent_email__v/VBLZ025E82GMY24", "SE-000267762")</f>
        <v>SE-000267762</v>
      </c>
      <c r="D698" s="1" t="s">
        <v>0</v>
      </c>
      <c r="E698" s="2">
        <v>0</v>
      </c>
      <c r="F698" s="2">
        <v>0</v>
      </c>
      <c r="G698" s="2">
        <v>0</v>
      </c>
      <c r="H698" s="1" t="s">
        <v>0</v>
      </c>
      <c r="I698" s="2">
        <v>0</v>
      </c>
      <c r="J698" s="1">
        <v>45915.377858796295</v>
      </c>
    </row>
    <row r="699" spans="1:10" x14ac:dyDescent="0.2">
      <c r="A699" s="4" t="s">
        <v>1</v>
      </c>
      <c r="B699" s="3" t="str">
        <f>HYPERLINK("https://otsuka-europe-crm.veevavault.com/ui/#object/approved_document__v/V5OZ025E82TFUPI", "Spain - HCP Survey Email - June 2025")</f>
        <v>Spain - HCP Survey Email - June 2025</v>
      </c>
      <c r="C699" s="3" t="str">
        <f>HYPERLINK("https://otsuka-europe-crm.veevavault.com/ui/#object/sent_email__v/VBLZ025E82GMY25", "SE-000267763")</f>
        <v>SE-000267763</v>
      </c>
      <c r="D699" s="1">
        <v>45915.524733796294</v>
      </c>
      <c r="E699" s="2">
        <v>1</v>
      </c>
      <c r="F699" s="2">
        <v>1</v>
      </c>
      <c r="G699" s="2">
        <v>0</v>
      </c>
      <c r="H699" s="1" t="s">
        <v>0</v>
      </c>
      <c r="I699" s="2">
        <v>0</v>
      </c>
      <c r="J699" s="1">
        <v>45915.378298611111</v>
      </c>
    </row>
    <row r="700" spans="1:10" x14ac:dyDescent="0.2">
      <c r="A700" s="4" t="s">
        <v>1</v>
      </c>
      <c r="B700" s="3" t="str">
        <f>HYPERLINK("https://otsuka-europe-crm.veevavault.com/ui/#object/approved_document__v/V5OZ025E82TFUPI", "Spain - HCP Survey Email - June 2025")</f>
        <v>Spain - HCP Survey Email - June 2025</v>
      </c>
      <c r="C700" s="3" t="str">
        <f>HYPERLINK("https://otsuka-europe-crm.veevavault.com/ui/#object/sent_email__v/VBLZ025E82GMY26", "SE-000267764")</f>
        <v>SE-000267764</v>
      </c>
      <c r="D700" s="1" t="s">
        <v>0</v>
      </c>
      <c r="E700" s="2">
        <v>0</v>
      </c>
      <c r="F700" s="2">
        <v>0</v>
      </c>
      <c r="G700" s="2">
        <v>0</v>
      </c>
      <c r="H700" s="1" t="s">
        <v>0</v>
      </c>
      <c r="I700" s="2">
        <v>0</v>
      </c>
      <c r="J700" s="1">
        <v>45915.37809027778</v>
      </c>
    </row>
    <row r="701" spans="1:10" x14ac:dyDescent="0.2">
      <c r="A701" s="4" t="s">
        <v>1</v>
      </c>
      <c r="B701" s="3" t="str">
        <f>HYPERLINK("https://otsuka-europe-crm.veevavault.com/ui/#object/approved_document__v/V5OZ025E82TFUPI", "Spain - HCP Survey Email - June 2025")</f>
        <v>Spain - HCP Survey Email - June 2025</v>
      </c>
      <c r="C701" s="3" t="str">
        <f>HYPERLINK("https://otsuka-europe-crm.veevavault.com/ui/#object/sent_email__v/VBLZ025E82GMY27", "SE-000267765")</f>
        <v>SE-000267765</v>
      </c>
      <c r="D701" s="1">
        <v>45964.744583333333</v>
      </c>
      <c r="E701" s="2">
        <v>1</v>
      </c>
      <c r="F701" s="2">
        <v>2</v>
      </c>
      <c r="G701" s="2">
        <v>0</v>
      </c>
      <c r="H701" s="1" t="s">
        <v>0</v>
      </c>
      <c r="I701" s="2">
        <v>0</v>
      </c>
      <c r="J701" s="1">
        <v>45915.378622685188</v>
      </c>
    </row>
    <row r="702" spans="1:10" x14ac:dyDescent="0.2">
      <c r="A702" s="4" t="s">
        <v>1</v>
      </c>
      <c r="B702" s="3" t="str">
        <f>HYPERLINK("https://otsuka-europe-crm.veevavault.com/ui/#object/approved_document__v/V5OZ025E82TFUPI", "Spain - HCP Survey Email - June 2025")</f>
        <v>Spain - HCP Survey Email - June 2025</v>
      </c>
      <c r="C702" s="3" t="str">
        <f>HYPERLINK("https://otsuka-europe-crm.veevavault.com/ui/#object/sent_email__v/VBLZ025E82GMY28", "SE-000267766")</f>
        <v>SE-000267766</v>
      </c>
      <c r="D702" s="1" t="s">
        <v>0</v>
      </c>
      <c r="E702" s="2">
        <v>0</v>
      </c>
      <c r="F702" s="2">
        <v>0</v>
      </c>
      <c r="G702" s="2">
        <v>0</v>
      </c>
      <c r="H702" s="1" t="s">
        <v>0</v>
      </c>
      <c r="I702" s="2">
        <v>0</v>
      </c>
      <c r="J702" s="1">
        <v>45915.38</v>
      </c>
    </row>
    <row r="703" spans="1:10" x14ac:dyDescent="0.2">
      <c r="A703" s="4" t="s">
        <v>1</v>
      </c>
      <c r="B703" s="3" t="str">
        <f>HYPERLINK("https://otsuka-europe-crm.veevavault.com/ui/#object/approved_document__v/V5OZ025E82TFUPI", "Spain - HCP Survey Email - June 2025")</f>
        <v>Spain - HCP Survey Email - June 2025</v>
      </c>
      <c r="C703" s="3" t="str">
        <f>HYPERLINK("https://otsuka-europe-crm.veevavault.com/ui/#object/sent_email__v/VBLZ025E82GMY29", "SE-000267767")</f>
        <v>SE-000267767</v>
      </c>
      <c r="D703" s="1">
        <v>45916.250300925924</v>
      </c>
      <c r="E703" s="2">
        <v>1</v>
      </c>
      <c r="F703" s="2">
        <v>1</v>
      </c>
      <c r="G703" s="2">
        <v>0</v>
      </c>
      <c r="H703" s="1" t="s">
        <v>0</v>
      </c>
      <c r="I703" s="2">
        <v>0</v>
      </c>
      <c r="J703" s="1">
        <v>45915.379374999997</v>
      </c>
    </row>
    <row r="704" spans="1:10" x14ac:dyDescent="0.2">
      <c r="A704" s="4" t="s">
        <v>1</v>
      </c>
      <c r="B704" s="3" t="str">
        <f>HYPERLINK("https://otsuka-europe-crm.veevavault.com/ui/#object/approved_document__v/V5OZ025E82TFUPI", "Spain - HCP Survey Email - June 2025")</f>
        <v>Spain - HCP Survey Email - June 2025</v>
      </c>
      <c r="C704" s="3" t="str">
        <f>HYPERLINK("https://otsuka-europe-crm.veevavault.com/ui/#object/sent_email__v/VBLZ025E82GMY2A", "SE-000267768")</f>
        <v>SE-000267768</v>
      </c>
      <c r="D704" s="1">
        <v>45939.472824074073</v>
      </c>
      <c r="E704" s="2">
        <v>1</v>
      </c>
      <c r="F704" s="2">
        <v>2</v>
      </c>
      <c r="G704" s="2">
        <v>0</v>
      </c>
      <c r="H704" s="1" t="s">
        <v>0</v>
      </c>
      <c r="I704" s="2">
        <v>0</v>
      </c>
      <c r="J704" s="1">
        <v>45915.377372685187</v>
      </c>
    </row>
    <row r="705" spans="1:10" x14ac:dyDescent="0.2">
      <c r="A705" s="4" t="s">
        <v>1</v>
      </c>
      <c r="B705" s="3" t="str">
        <f>HYPERLINK("https://otsuka-europe-crm.veevavault.com/ui/#object/approved_document__v/V5OZ025E82TFUPI", "Spain - HCP Survey Email - June 2025")</f>
        <v>Spain - HCP Survey Email - June 2025</v>
      </c>
      <c r="C705" s="3" t="str">
        <f>HYPERLINK("https://otsuka-europe-crm.veevavault.com/ui/#object/sent_email__v/VBLZ025E82GMY2B", "SE-000267769")</f>
        <v>SE-000267769</v>
      </c>
      <c r="D705" s="1" t="s">
        <v>0</v>
      </c>
      <c r="E705" s="2">
        <v>0</v>
      </c>
      <c r="F705" s="2">
        <v>0</v>
      </c>
      <c r="G705" s="2">
        <v>0</v>
      </c>
      <c r="H705" s="1" t="s">
        <v>0</v>
      </c>
      <c r="I705" s="2">
        <v>0</v>
      </c>
      <c r="J705" s="1">
        <v>45915.378333333334</v>
      </c>
    </row>
    <row r="706" spans="1:10" x14ac:dyDescent="0.2">
      <c r="A706" s="4" t="s">
        <v>1</v>
      </c>
      <c r="B706" s="3" t="str">
        <f>HYPERLINK("https://otsuka-europe-crm.veevavault.com/ui/#object/approved_document__v/V5OZ025E82TFUPI", "Spain - HCP Survey Email - June 2025")</f>
        <v>Spain - HCP Survey Email - June 2025</v>
      </c>
      <c r="C706" s="3" t="str">
        <f>HYPERLINK("https://otsuka-europe-crm.veevavault.com/ui/#object/sent_email__v/VBLZ025E82GMY2C", "SE-000267770")</f>
        <v>SE-000267770</v>
      </c>
      <c r="D706" s="1">
        <v>45915.503738425927</v>
      </c>
      <c r="E706" s="2">
        <v>1</v>
      </c>
      <c r="F706" s="2">
        <v>1</v>
      </c>
      <c r="G706" s="2">
        <v>0</v>
      </c>
      <c r="H706" s="1" t="s">
        <v>0</v>
      </c>
      <c r="I706" s="2">
        <v>0</v>
      </c>
      <c r="J706" s="1">
        <v>45915.378923611112</v>
      </c>
    </row>
    <row r="707" spans="1:10" x14ac:dyDescent="0.2">
      <c r="A707" s="4" t="s">
        <v>1</v>
      </c>
      <c r="B707" s="3" t="str">
        <f>HYPERLINK("https://otsuka-europe-crm.veevavault.com/ui/#object/approved_document__v/V5OZ025E82TFUPI", "Spain - HCP Survey Email - June 2025")</f>
        <v>Spain - HCP Survey Email - June 2025</v>
      </c>
      <c r="C707" s="3" t="str">
        <f>HYPERLINK("https://otsuka-europe-crm.veevavault.com/ui/#object/sent_email__v/VBLZ025E82GMY2D", "SE-000267771")</f>
        <v>SE-000267771</v>
      </c>
      <c r="D707" s="1">
        <v>45915.400358796294</v>
      </c>
      <c r="E707" s="2">
        <v>1</v>
      </c>
      <c r="F707" s="2">
        <v>1</v>
      </c>
      <c r="G707" s="2">
        <v>0</v>
      </c>
      <c r="H707" s="1" t="s">
        <v>0</v>
      </c>
      <c r="I707" s="2">
        <v>0</v>
      </c>
      <c r="J707" s="1">
        <v>45915.378807870373</v>
      </c>
    </row>
    <row r="708" spans="1:10" x14ac:dyDescent="0.2">
      <c r="A708" s="4" t="s">
        <v>1</v>
      </c>
      <c r="B708" s="3" t="str">
        <f>HYPERLINK("https://otsuka-europe-crm.veevavault.com/ui/#object/approved_document__v/V5OZ025E82TFUPI", "Spain - HCP Survey Email - June 2025")</f>
        <v>Spain - HCP Survey Email - June 2025</v>
      </c>
      <c r="C708" s="3" t="str">
        <f>HYPERLINK("https://otsuka-europe-crm.veevavault.com/ui/#object/sent_email__v/VBLZ025E82GMY2E", "SE-000267772")</f>
        <v>SE-000267772</v>
      </c>
      <c r="D708" s="1" t="s">
        <v>0</v>
      </c>
      <c r="E708" s="2">
        <v>0</v>
      </c>
      <c r="F708" s="2">
        <v>0</v>
      </c>
      <c r="G708" s="2">
        <v>0</v>
      </c>
      <c r="H708" s="1" t="s">
        <v>0</v>
      </c>
      <c r="I708" s="2">
        <v>0</v>
      </c>
      <c r="J708" s="1">
        <v>45915.379155092596</v>
      </c>
    </row>
    <row r="709" spans="1:10" x14ac:dyDescent="0.2">
      <c r="A709" s="4" t="s">
        <v>1</v>
      </c>
      <c r="B709" s="3" t="str">
        <f>HYPERLINK("https://otsuka-europe-crm.veevavault.com/ui/#object/approved_document__v/V5OZ025E82TFUPI", "Spain - HCP Survey Email - June 2025")</f>
        <v>Spain - HCP Survey Email - June 2025</v>
      </c>
      <c r="C709" s="3" t="str">
        <f>HYPERLINK("https://otsuka-europe-crm.veevavault.com/ui/#object/sent_email__v/VBLZ025E82GMY2F", "SE-000267773")</f>
        <v>SE-000267773</v>
      </c>
      <c r="D709" s="1">
        <v>45915.656678240739</v>
      </c>
      <c r="E709" s="2">
        <v>1</v>
      </c>
      <c r="F709" s="2">
        <v>1</v>
      </c>
      <c r="G709" s="2">
        <v>0</v>
      </c>
      <c r="H709" s="1" t="s">
        <v>0</v>
      </c>
      <c r="I709" s="2">
        <v>0</v>
      </c>
      <c r="J709" s="1">
        <v>45915.377858796295</v>
      </c>
    </row>
    <row r="710" spans="1:10" x14ac:dyDescent="0.2">
      <c r="A710" s="4" t="s">
        <v>1</v>
      </c>
      <c r="B710" s="3" t="str">
        <f>HYPERLINK("https://otsuka-europe-crm.veevavault.com/ui/#object/approved_document__v/V5OZ025E82TFUPI", "Spain - HCP Survey Email - June 2025")</f>
        <v>Spain - HCP Survey Email - June 2025</v>
      </c>
      <c r="C710" s="3" t="str">
        <f>HYPERLINK("https://otsuka-europe-crm.veevavault.com/ui/#object/sent_email__v/VBLZ025E82GMY2G", "SE-000267774")</f>
        <v>SE-000267774</v>
      </c>
      <c r="D710" s="1">
        <v>45917.227106481485</v>
      </c>
      <c r="E710" s="2">
        <v>1</v>
      </c>
      <c r="F710" s="2">
        <v>3</v>
      </c>
      <c r="G710" s="2">
        <v>0</v>
      </c>
      <c r="H710" s="1" t="s">
        <v>0</v>
      </c>
      <c r="I710" s="2">
        <v>0</v>
      </c>
      <c r="J710" s="1">
        <v>45915.378252314818</v>
      </c>
    </row>
    <row r="711" spans="1:10" x14ac:dyDescent="0.2">
      <c r="A711" s="4" t="s">
        <v>1</v>
      </c>
      <c r="B711" s="3" t="str">
        <f>HYPERLINK("https://otsuka-europe-crm.veevavault.com/ui/#object/approved_document__v/V5OZ025E82TFUPI", "Spain - HCP Survey Email - June 2025")</f>
        <v>Spain - HCP Survey Email - June 2025</v>
      </c>
      <c r="C711" s="3" t="str">
        <f>HYPERLINK("https://otsuka-europe-crm.veevavault.com/ui/#object/sent_email__v/VBLZ025E82GMY2H", "SE-000267775")</f>
        <v>SE-000267775</v>
      </c>
      <c r="D711" s="1">
        <v>45935.89947916667</v>
      </c>
      <c r="E711" s="2">
        <v>1</v>
      </c>
      <c r="F711" s="2">
        <v>2</v>
      </c>
      <c r="G711" s="2">
        <v>0</v>
      </c>
      <c r="H711" s="1" t="s">
        <v>0</v>
      </c>
      <c r="I711" s="2">
        <v>0</v>
      </c>
      <c r="J711" s="1">
        <v>45915.378159722219</v>
      </c>
    </row>
    <row r="712" spans="1:10" x14ac:dyDescent="0.2">
      <c r="A712" s="4" t="s">
        <v>1</v>
      </c>
      <c r="B712" s="3" t="str">
        <f>HYPERLINK("https://otsuka-europe-crm.veevavault.com/ui/#object/approved_document__v/V5OZ025E82TFUPI", "Spain - HCP Survey Email - June 2025")</f>
        <v>Spain - HCP Survey Email - June 2025</v>
      </c>
      <c r="C712" s="3" t="str">
        <f>HYPERLINK("https://otsuka-europe-crm.veevavault.com/ui/#object/sent_email__v/VBLZ025E82GMY2I", "SE-000267776")</f>
        <v>SE-000267776</v>
      </c>
      <c r="D712" s="1" t="s">
        <v>0</v>
      </c>
      <c r="E712" s="2">
        <v>0</v>
      </c>
      <c r="F712" s="2">
        <v>0</v>
      </c>
      <c r="G712" s="2">
        <v>0</v>
      </c>
      <c r="H712" s="1" t="s">
        <v>0</v>
      </c>
      <c r="I712" s="2">
        <v>0</v>
      </c>
      <c r="J712" s="1">
        <v>45915.378680555557</v>
      </c>
    </row>
    <row r="713" spans="1:10" x14ac:dyDescent="0.2">
      <c r="A713" s="4" t="s">
        <v>1</v>
      </c>
      <c r="B713" s="3" t="str">
        <f>HYPERLINK("https://otsuka-europe-crm.veevavault.com/ui/#object/approved_document__v/V5OZ025E82TFUPI", "Spain - HCP Survey Email - June 2025")</f>
        <v>Spain - HCP Survey Email - June 2025</v>
      </c>
      <c r="C713" s="3" t="str">
        <f>HYPERLINK("https://otsuka-europe-crm.veevavault.com/ui/#object/sent_email__v/VBLZ025E82GMY2J", "SE-000267777")</f>
        <v>SE-000267777</v>
      </c>
      <c r="D713" s="1" t="s">
        <v>0</v>
      </c>
      <c r="E713" s="2">
        <v>0</v>
      </c>
      <c r="F713" s="2">
        <v>0</v>
      </c>
      <c r="G713" s="2">
        <v>0</v>
      </c>
      <c r="H713" s="1" t="s">
        <v>0</v>
      </c>
      <c r="I713" s="2">
        <v>0</v>
      </c>
      <c r="J713" s="1">
        <v>45915.379895833335</v>
      </c>
    </row>
    <row r="714" spans="1:10" x14ac:dyDescent="0.2">
      <c r="A714" s="4" t="s">
        <v>1</v>
      </c>
      <c r="B714" s="3" t="str">
        <f>HYPERLINK("https://otsuka-europe-crm.veevavault.com/ui/#object/approved_document__v/V5OZ025E82TFUPI", "Spain - HCP Survey Email - June 2025")</f>
        <v>Spain - HCP Survey Email - June 2025</v>
      </c>
      <c r="C714" s="3" t="str">
        <f>HYPERLINK("https://otsuka-europe-crm.veevavault.com/ui/#object/sent_email__v/VBLZ025E82GMY2K", "SE-000267778")</f>
        <v>SE-000267778</v>
      </c>
      <c r="D714" s="1">
        <v>45916.977349537039</v>
      </c>
      <c r="E714" s="2">
        <v>1</v>
      </c>
      <c r="F714" s="2">
        <v>1</v>
      </c>
      <c r="G714" s="2">
        <v>0</v>
      </c>
      <c r="H714" s="1" t="s">
        <v>0</v>
      </c>
      <c r="I714" s="2">
        <v>0</v>
      </c>
      <c r="J714" s="1">
        <v>45915.379247685189</v>
      </c>
    </row>
    <row r="715" spans="1:10" x14ac:dyDescent="0.2">
      <c r="A715" s="4" t="s">
        <v>1</v>
      </c>
      <c r="B715" s="3" t="str">
        <f>HYPERLINK("https://otsuka-europe-crm.veevavault.com/ui/#object/approved_document__v/V5OZ025E82TFUPI", "Spain - HCP Survey Email - June 2025")</f>
        <v>Spain - HCP Survey Email - June 2025</v>
      </c>
      <c r="C715" s="3" t="str">
        <f>HYPERLINK("https://otsuka-europe-crm.veevavault.com/ui/#object/sent_email__v/VBLZ025E82GMY2L", "SE-000267779")</f>
        <v>SE-000267779</v>
      </c>
      <c r="D715" s="1">
        <v>45915.385497685187</v>
      </c>
      <c r="E715" s="2">
        <v>1</v>
      </c>
      <c r="F715" s="2">
        <v>1</v>
      </c>
      <c r="G715" s="2">
        <v>0</v>
      </c>
      <c r="H715" s="1" t="s">
        <v>0</v>
      </c>
      <c r="I715" s="2">
        <v>0</v>
      </c>
      <c r="J715" s="1">
        <v>45915.37740740741</v>
      </c>
    </row>
    <row r="716" spans="1:10" x14ac:dyDescent="0.2">
      <c r="A716" s="4" t="s">
        <v>1</v>
      </c>
      <c r="B716" s="3" t="str">
        <f>HYPERLINK("https://otsuka-europe-crm.veevavault.com/ui/#object/approved_document__v/V5OZ025E82TFUPI", "Spain - HCP Survey Email - June 2025")</f>
        <v>Spain - HCP Survey Email - June 2025</v>
      </c>
      <c r="C716" s="3" t="str">
        <f>HYPERLINK("https://otsuka-europe-crm.veevavault.com/ui/#object/sent_email__v/VBLZ025E82GMY2M", "SE-000267780")</f>
        <v>SE-000267780</v>
      </c>
      <c r="D716" s="1">
        <v>45915.378391203703</v>
      </c>
      <c r="E716" s="2">
        <v>1</v>
      </c>
      <c r="F716" s="2">
        <v>1</v>
      </c>
      <c r="G716" s="2">
        <v>0</v>
      </c>
      <c r="H716" s="1" t="s">
        <v>0</v>
      </c>
      <c r="I716" s="2">
        <v>0</v>
      </c>
      <c r="J716" s="1">
        <v>45915.378333333334</v>
      </c>
    </row>
    <row r="717" spans="1:10" x14ac:dyDescent="0.2">
      <c r="A717" s="4" t="s">
        <v>1</v>
      </c>
      <c r="B717" s="3" t="str">
        <f>HYPERLINK("https://otsuka-europe-crm.veevavault.com/ui/#object/approved_document__v/V5OZ025E82TFUPI", "Spain - HCP Survey Email - June 2025")</f>
        <v>Spain - HCP Survey Email - June 2025</v>
      </c>
      <c r="C717" s="3" t="str">
        <f>HYPERLINK("https://otsuka-europe-crm.veevavault.com/ui/#object/sent_email__v/VBLZ025E82GMY2N", "SE-000267781")</f>
        <v>SE-000267781</v>
      </c>
      <c r="D717" s="1">
        <v>45915.441793981481</v>
      </c>
      <c r="E717" s="2">
        <v>1</v>
      </c>
      <c r="F717" s="2">
        <v>3</v>
      </c>
      <c r="G717" s="2">
        <v>0</v>
      </c>
      <c r="H717" s="1" t="s">
        <v>0</v>
      </c>
      <c r="I717" s="2">
        <v>0</v>
      </c>
      <c r="J717" s="1">
        <v>45915.378946759258</v>
      </c>
    </row>
    <row r="718" spans="1:10" x14ac:dyDescent="0.2">
      <c r="A718" s="4" t="s">
        <v>1</v>
      </c>
      <c r="B718" s="3" t="str">
        <f>HYPERLINK("https://otsuka-europe-crm.veevavault.com/ui/#object/approved_document__v/V5OZ025E82TFUPI", "Spain - HCP Survey Email - June 2025")</f>
        <v>Spain - HCP Survey Email - June 2025</v>
      </c>
      <c r="C718" s="3" t="str">
        <f>HYPERLINK("https://otsuka-europe-crm.veevavault.com/ui/#object/sent_email__v/VBLZ025E82GMY2O", "SE-000267782")</f>
        <v>SE-000267782</v>
      </c>
      <c r="D718" s="1">
        <v>45916.85769675926</v>
      </c>
      <c r="E718" s="2">
        <v>1</v>
      </c>
      <c r="F718" s="2">
        <v>1</v>
      </c>
      <c r="G718" s="2">
        <v>0</v>
      </c>
      <c r="H718" s="1" t="s">
        <v>0</v>
      </c>
      <c r="I718" s="2">
        <v>0</v>
      </c>
      <c r="J718" s="1">
        <v>45915.378796296296</v>
      </c>
    </row>
    <row r="719" spans="1:10" x14ac:dyDescent="0.2">
      <c r="A719" s="4" t="s">
        <v>1</v>
      </c>
      <c r="B719" s="3" t="str">
        <f>HYPERLINK("https://otsuka-europe-crm.veevavault.com/ui/#object/approved_document__v/V5OZ025E82TFUPI", "Spain - HCP Survey Email - June 2025")</f>
        <v>Spain - HCP Survey Email - June 2025</v>
      </c>
      <c r="C719" s="3" t="str">
        <f>HYPERLINK("https://otsuka-europe-crm.veevavault.com/ui/#object/sent_email__v/VBLZ025E82GMY2P", "SE-000267783")</f>
        <v>SE-000267783</v>
      </c>
      <c r="D719" s="1" t="s">
        <v>0</v>
      </c>
      <c r="E719" s="2">
        <v>0</v>
      </c>
      <c r="F719" s="2">
        <v>0</v>
      </c>
      <c r="G719" s="2">
        <v>0</v>
      </c>
      <c r="H719" s="1" t="s">
        <v>0</v>
      </c>
      <c r="I719" s="2">
        <v>0</v>
      </c>
      <c r="J719" s="1">
        <v>45915.379201388889</v>
      </c>
    </row>
    <row r="720" spans="1:10" x14ac:dyDescent="0.2">
      <c r="A720" s="4" t="s">
        <v>1</v>
      </c>
      <c r="B720" s="3" t="str">
        <f>HYPERLINK("https://otsuka-europe-crm.veevavault.com/ui/#object/approved_document__v/V5OZ025E82TFUPI", "Spain - HCP Survey Email - June 2025")</f>
        <v>Spain - HCP Survey Email - June 2025</v>
      </c>
      <c r="C720" s="3" t="str">
        <f>HYPERLINK("https://otsuka-europe-crm.veevavault.com/ui/#object/sent_email__v/VBLZ025E82GMY2Q", "SE-000267784")</f>
        <v>SE-000267784</v>
      </c>
      <c r="D720" s="1">
        <v>45922.759826388887</v>
      </c>
      <c r="E720" s="2">
        <v>1</v>
      </c>
      <c r="F720" s="2">
        <v>1</v>
      </c>
      <c r="G720" s="2">
        <v>0</v>
      </c>
      <c r="H720" s="1" t="s">
        <v>0</v>
      </c>
      <c r="I720" s="2">
        <v>0</v>
      </c>
      <c r="J720" s="1">
        <v>45915.377893518518</v>
      </c>
    </row>
    <row r="721" spans="1:10" x14ac:dyDescent="0.2">
      <c r="A721" s="4" t="s">
        <v>1</v>
      </c>
      <c r="B721" s="3" t="str">
        <f>HYPERLINK("https://otsuka-europe-crm.veevavault.com/ui/#object/approved_document__v/V5OZ025E82TFUPI", "Spain - HCP Survey Email - June 2025")</f>
        <v>Spain - HCP Survey Email - June 2025</v>
      </c>
      <c r="C721" s="3" t="str">
        <f>HYPERLINK("https://otsuka-europe-crm.veevavault.com/ui/#object/sent_email__v/VBLZ025E82GMY2R", "SE-000267785")</f>
        <v>SE-000267785</v>
      </c>
      <c r="D721" s="1">
        <v>45917.511516203704</v>
      </c>
      <c r="E721" s="2">
        <v>1</v>
      </c>
      <c r="F721" s="2">
        <v>1</v>
      </c>
      <c r="G721" s="2">
        <v>1</v>
      </c>
      <c r="H721" s="1">
        <v>45917.511516203704</v>
      </c>
      <c r="I721" s="2">
        <v>1</v>
      </c>
      <c r="J721" s="1">
        <v>45915.378252314818</v>
      </c>
    </row>
    <row r="722" spans="1:10" x14ac:dyDescent="0.2">
      <c r="A722" s="4" t="s">
        <v>1</v>
      </c>
      <c r="B722" s="3" t="str">
        <f>HYPERLINK("https://otsuka-europe-crm.veevavault.com/ui/#object/approved_document__v/V5OZ025E82TFUPI", "Spain - HCP Survey Email - June 2025")</f>
        <v>Spain - HCP Survey Email - June 2025</v>
      </c>
      <c r="C722" s="3" t="str">
        <f>HYPERLINK("https://otsuka-europe-crm.veevavault.com/ui/#object/sent_email__v/VBLZ025E82GMY2S", "SE-000267786")</f>
        <v>SE-000267786</v>
      </c>
      <c r="D722" s="1" t="s">
        <v>0</v>
      </c>
      <c r="E722" s="2">
        <v>0</v>
      </c>
      <c r="F722" s="2">
        <v>0</v>
      </c>
      <c r="G722" s="2">
        <v>0</v>
      </c>
      <c r="H722" s="1" t="s">
        <v>0</v>
      </c>
      <c r="I722" s="2">
        <v>0</v>
      </c>
      <c r="J722" s="1">
        <v>45915.37877314815</v>
      </c>
    </row>
    <row r="723" spans="1:10" x14ac:dyDescent="0.2">
      <c r="A723" s="4" t="s">
        <v>1</v>
      </c>
      <c r="B723" s="3" t="str">
        <f>HYPERLINK("https://otsuka-europe-crm.veevavault.com/ui/#object/approved_document__v/V5OZ025E82TFUPI", "Spain - HCP Survey Email - June 2025")</f>
        <v>Spain - HCP Survey Email - June 2025</v>
      </c>
      <c r="C723" s="3" t="str">
        <f>HYPERLINK("https://otsuka-europe-crm.veevavault.com/ui/#object/sent_email__v/VBLZ025E82GMY2T", "SE-000267787")</f>
        <v>SE-000267787</v>
      </c>
      <c r="D723" s="1">
        <v>45915.378865740742</v>
      </c>
      <c r="E723" s="2">
        <v>1</v>
      </c>
      <c r="F723" s="2">
        <v>1</v>
      </c>
      <c r="G723" s="2">
        <v>1</v>
      </c>
      <c r="H723" s="1">
        <v>45915.379259259258</v>
      </c>
      <c r="I723" s="2">
        <v>1</v>
      </c>
      <c r="J723" s="1">
        <v>45915.378750000003</v>
      </c>
    </row>
    <row r="724" spans="1:10" x14ac:dyDescent="0.2">
      <c r="A724" s="4" t="s">
        <v>1</v>
      </c>
      <c r="B724" s="3" t="str">
        <f>HYPERLINK("https://otsuka-europe-crm.veevavault.com/ui/#object/approved_document__v/V5OZ025E82TFUPI", "Spain - HCP Survey Email - June 2025")</f>
        <v>Spain - HCP Survey Email - June 2025</v>
      </c>
      <c r="C724" s="3" t="str">
        <f>HYPERLINK("https://otsuka-europe-crm.veevavault.com/ui/#object/sent_email__v/VBLZ025E82GMY2U", "SE-000267788")</f>
        <v>SE-000267788</v>
      </c>
      <c r="D724" s="1" t="s">
        <v>0</v>
      </c>
      <c r="E724" s="2">
        <v>0</v>
      </c>
      <c r="F724" s="2">
        <v>0</v>
      </c>
      <c r="G724" s="2">
        <v>0</v>
      </c>
      <c r="H724" s="1" t="s">
        <v>0</v>
      </c>
      <c r="I724" s="2">
        <v>0</v>
      </c>
      <c r="J724" s="1">
        <v>45915.379143518519</v>
      </c>
    </row>
    <row r="725" spans="1:10" x14ac:dyDescent="0.2">
      <c r="A725" s="4" t="s">
        <v>1</v>
      </c>
      <c r="B725" s="3" t="str">
        <f>HYPERLINK("https://otsuka-europe-crm.veevavault.com/ui/#object/approved_document__v/V5OZ025E82TFUPI", "Spain - HCP Survey Email - June 2025")</f>
        <v>Spain - HCP Survey Email - June 2025</v>
      </c>
      <c r="C725" s="3" t="str">
        <f>HYPERLINK("https://otsuka-europe-crm.veevavault.com/ui/#object/sent_email__v/VBLZ025E82GMY2V", "SE-000267789")</f>
        <v>SE-000267789</v>
      </c>
      <c r="D725" s="1" t="s">
        <v>0</v>
      </c>
      <c r="E725" s="2">
        <v>0</v>
      </c>
      <c r="F725" s="2">
        <v>0</v>
      </c>
      <c r="G725" s="2">
        <v>0</v>
      </c>
      <c r="H725" s="1" t="s">
        <v>0</v>
      </c>
      <c r="I725" s="2">
        <v>0</v>
      </c>
      <c r="J725" s="1">
        <v>45915.377824074072</v>
      </c>
    </row>
    <row r="726" spans="1:10" x14ac:dyDescent="0.2">
      <c r="A726" s="4" t="s">
        <v>1</v>
      </c>
      <c r="B726" s="3" t="str">
        <f>HYPERLINK("https://otsuka-europe-crm.veevavault.com/ui/#object/approved_document__v/V5OZ025E82TFUPI", "Spain - HCP Survey Email - June 2025")</f>
        <v>Spain - HCP Survey Email - June 2025</v>
      </c>
      <c r="C726" s="3" t="str">
        <f>HYPERLINK("https://otsuka-europe-crm.veevavault.com/ui/#object/sent_email__v/VBLZ025E82GMY2W", "SE-000267790")</f>
        <v>SE-000267790</v>
      </c>
      <c r="D726" s="1">
        <v>45915.465787037036</v>
      </c>
      <c r="E726" s="2">
        <v>1</v>
      </c>
      <c r="F726" s="2">
        <v>1</v>
      </c>
      <c r="G726" s="2">
        <v>0</v>
      </c>
      <c r="H726" s="1" t="s">
        <v>0</v>
      </c>
      <c r="I726" s="2">
        <v>0</v>
      </c>
      <c r="J726" s="1">
        <v>45915.378333333334</v>
      </c>
    </row>
    <row r="727" spans="1:10" x14ac:dyDescent="0.2">
      <c r="A727" s="4" t="s">
        <v>1</v>
      </c>
      <c r="B727" s="3" t="str">
        <f>HYPERLINK("https://otsuka-europe-crm.veevavault.com/ui/#object/approved_document__v/V5OZ025E82TFUPI", "Spain - HCP Survey Email - June 2025")</f>
        <v>Spain - HCP Survey Email - June 2025</v>
      </c>
      <c r="C727" s="3" t="str">
        <f>HYPERLINK("https://otsuka-europe-crm.veevavault.com/ui/#object/sent_email__v/VBLZ025E82GMY2X", "SE-000267791")</f>
        <v>SE-000267791</v>
      </c>
      <c r="D727" s="1">
        <v>45915.381041666667</v>
      </c>
      <c r="E727" s="2">
        <v>1</v>
      </c>
      <c r="F727" s="2">
        <v>1</v>
      </c>
      <c r="G727" s="2">
        <v>0</v>
      </c>
      <c r="H727" s="1" t="s">
        <v>0</v>
      </c>
      <c r="I727" s="2">
        <v>0</v>
      </c>
      <c r="J727" s="1">
        <v>45915.378136574072</v>
      </c>
    </row>
    <row r="728" spans="1:10" x14ac:dyDescent="0.2">
      <c r="A728" s="4" t="s">
        <v>1</v>
      </c>
      <c r="B728" s="3" t="str">
        <f>HYPERLINK("https://otsuka-europe-crm.veevavault.com/ui/#object/approved_document__v/V5OZ025E82TFUPI", "Spain - HCP Survey Email - June 2025")</f>
        <v>Spain - HCP Survey Email - June 2025</v>
      </c>
      <c r="C728" s="3" t="str">
        <f>HYPERLINK("https://otsuka-europe-crm.veevavault.com/ui/#object/sent_email__v/VBLZ025E82GMY2Y", "SE-000267792")</f>
        <v>SE-000267792</v>
      </c>
      <c r="D728" s="1" t="s">
        <v>0</v>
      </c>
      <c r="E728" s="2">
        <v>0</v>
      </c>
      <c r="F728" s="2">
        <v>0</v>
      </c>
      <c r="G728" s="2">
        <v>0</v>
      </c>
      <c r="H728" s="1" t="s">
        <v>0</v>
      </c>
      <c r="I728" s="2">
        <v>0</v>
      </c>
      <c r="J728" s="1">
        <v>45915.378634259258</v>
      </c>
    </row>
    <row r="729" spans="1:10" x14ac:dyDescent="0.2">
      <c r="A729" s="4" t="s">
        <v>1</v>
      </c>
      <c r="B729" s="3" t="str">
        <f>HYPERLINK("https://otsuka-europe-crm.veevavault.com/ui/#object/approved_document__v/V5OZ025E82TFUPI", "Spain - HCP Survey Email - June 2025")</f>
        <v>Spain - HCP Survey Email - June 2025</v>
      </c>
      <c r="C729" s="3" t="str">
        <f>HYPERLINK("https://otsuka-europe-crm.veevavault.com/ui/#object/sent_email__v/VBLZ025E82GMY2Z", "SE-000267793")</f>
        <v>SE-000267793</v>
      </c>
      <c r="D729" s="1">
        <v>45915.890856481485</v>
      </c>
      <c r="E729" s="2">
        <v>1</v>
      </c>
      <c r="F729" s="2">
        <v>1</v>
      </c>
      <c r="G729" s="2">
        <v>0</v>
      </c>
      <c r="H729" s="1" t="s">
        <v>0</v>
      </c>
      <c r="I729" s="2">
        <v>0</v>
      </c>
      <c r="J729" s="1">
        <v>45915.379606481481</v>
      </c>
    </row>
    <row r="730" spans="1:10" x14ac:dyDescent="0.2">
      <c r="A730" s="4" t="s">
        <v>1</v>
      </c>
      <c r="B730" s="3" t="str">
        <f>HYPERLINK("https://otsuka-europe-crm.veevavault.com/ui/#object/approved_document__v/V5OZ025E82TFUPI", "Spain - HCP Survey Email - June 2025")</f>
        <v>Spain - HCP Survey Email - June 2025</v>
      </c>
      <c r="C730" s="3" t="str">
        <f>HYPERLINK("https://otsuka-europe-crm.veevavault.com/ui/#object/sent_email__v/VBLZ025E82GMY30", "SE-000267794")</f>
        <v>SE-000267794</v>
      </c>
      <c r="D730" s="1">
        <v>45915.716423611113</v>
      </c>
      <c r="E730" s="2">
        <v>1</v>
      </c>
      <c r="F730" s="2">
        <v>4</v>
      </c>
      <c r="G730" s="2">
        <v>0</v>
      </c>
      <c r="H730" s="1" t="s">
        <v>0</v>
      </c>
      <c r="I730" s="2">
        <v>0</v>
      </c>
      <c r="J730" s="1">
        <v>45915.379293981481</v>
      </c>
    </row>
    <row r="731" spans="1:10" x14ac:dyDescent="0.2">
      <c r="A731" s="4" t="s">
        <v>1</v>
      </c>
      <c r="B731" s="3" t="str">
        <f>HYPERLINK("https://otsuka-europe-crm.veevavault.com/ui/#object/approved_document__v/V5OZ025E82TFUPI", "Spain - HCP Survey Email - June 2025")</f>
        <v>Spain - HCP Survey Email - June 2025</v>
      </c>
      <c r="C731" s="3" t="str">
        <f>HYPERLINK("https://otsuka-europe-crm.veevavault.com/ui/#object/sent_email__v/VBLZ025E82GMY31", "SE-000267795")</f>
        <v>SE-000267795</v>
      </c>
      <c r="D731" s="1">
        <v>45921.441793981481</v>
      </c>
      <c r="E731" s="2">
        <v>1</v>
      </c>
      <c r="F731" s="2">
        <v>3</v>
      </c>
      <c r="G731" s="2">
        <v>0</v>
      </c>
      <c r="H731" s="1" t="s">
        <v>0</v>
      </c>
      <c r="I731" s="2">
        <v>0</v>
      </c>
      <c r="J731" s="1">
        <v>45915.377418981479</v>
      </c>
    </row>
    <row r="732" spans="1:10" x14ac:dyDescent="0.2">
      <c r="A732" s="4" t="s">
        <v>1</v>
      </c>
      <c r="B732" s="3" t="str">
        <f>HYPERLINK("https://otsuka-europe-crm.veevavault.com/ui/#object/approved_document__v/V5OZ025E82TFUPI", "Spain - HCP Survey Email - June 2025")</f>
        <v>Spain - HCP Survey Email - June 2025</v>
      </c>
      <c r="C732" s="3" t="str">
        <f>HYPERLINK("https://otsuka-europe-crm.veevavault.com/ui/#object/sent_email__v/VBLZ025E82GMY32", "SE-000267796")</f>
        <v>SE-000267796</v>
      </c>
      <c r="D732" s="1">
        <v>45916.735590277778</v>
      </c>
      <c r="E732" s="2">
        <v>1</v>
      </c>
      <c r="F732" s="2">
        <v>2</v>
      </c>
      <c r="G732" s="2">
        <v>0</v>
      </c>
      <c r="H732" s="1" t="s">
        <v>0</v>
      </c>
      <c r="I732" s="2">
        <v>0</v>
      </c>
      <c r="J732" s="1">
        <v>45915.37835648148</v>
      </c>
    </row>
    <row r="733" spans="1:10" x14ac:dyDescent="0.2">
      <c r="A733" s="4" t="s">
        <v>1</v>
      </c>
      <c r="B733" s="3" t="str">
        <f>HYPERLINK("https://otsuka-europe-crm.veevavault.com/ui/#object/approved_document__v/V5OZ025E82TFUPI", "Spain - HCP Survey Email - June 2025")</f>
        <v>Spain - HCP Survey Email - June 2025</v>
      </c>
      <c r="C733" s="3" t="str">
        <f>HYPERLINK("https://otsuka-europe-crm.veevavault.com/ui/#object/sent_email__v/VBLZ025E82GMY33", "SE-000267797")</f>
        <v>SE-000267797</v>
      </c>
      <c r="D733" s="1" t="s">
        <v>0</v>
      </c>
      <c r="E733" s="2">
        <v>0</v>
      </c>
      <c r="F733" s="2">
        <v>0</v>
      </c>
      <c r="G733" s="2">
        <v>0</v>
      </c>
      <c r="H733" s="1" t="s">
        <v>0</v>
      </c>
      <c r="I733" s="2">
        <v>0</v>
      </c>
      <c r="J733" s="1">
        <v>45915.378888888888</v>
      </c>
    </row>
    <row r="734" spans="1:10" x14ac:dyDescent="0.2">
      <c r="A734" s="4" t="s">
        <v>1</v>
      </c>
      <c r="B734" s="3" t="str">
        <f>HYPERLINK("https://otsuka-europe-crm.veevavault.com/ui/#object/approved_document__v/V5OZ025E82TFUPI", "Spain - HCP Survey Email - June 2025")</f>
        <v>Spain - HCP Survey Email - June 2025</v>
      </c>
      <c r="C734" s="3" t="str">
        <f>HYPERLINK("https://otsuka-europe-crm.veevavault.com/ui/#object/sent_email__v/VBLZ025E82GMY35", "SE-000267799")</f>
        <v>SE-000267799</v>
      </c>
      <c r="D734" s="1">
        <v>45915.483020833337</v>
      </c>
      <c r="E734" s="2">
        <v>1</v>
      </c>
      <c r="F734" s="2">
        <v>1</v>
      </c>
      <c r="G734" s="2">
        <v>0</v>
      </c>
      <c r="H734" s="1" t="s">
        <v>0</v>
      </c>
      <c r="I734" s="2">
        <v>0</v>
      </c>
      <c r="J734" s="1">
        <v>45915.379189814812</v>
      </c>
    </row>
    <row r="735" spans="1:10" x14ac:dyDescent="0.2">
      <c r="A735" s="4" t="s">
        <v>1</v>
      </c>
      <c r="B735" s="3" t="str">
        <f>HYPERLINK("https://otsuka-europe-crm.veevavault.com/ui/#object/approved_document__v/V5OZ025E82TFUPI", "Spain - HCP Survey Email - June 2025")</f>
        <v>Spain - HCP Survey Email - June 2025</v>
      </c>
      <c r="C735" s="3" t="str">
        <f>HYPERLINK("https://otsuka-europe-crm.veevavault.com/ui/#object/sent_email__v/VBLZ025E82GMY36", "SE-000267800")</f>
        <v>SE-000267800</v>
      </c>
      <c r="D735" s="1">
        <v>45924.960914351854</v>
      </c>
      <c r="E735" s="2">
        <v>1</v>
      </c>
      <c r="F735" s="2">
        <v>6</v>
      </c>
      <c r="G735" s="2">
        <v>1</v>
      </c>
      <c r="H735" s="1">
        <v>45924.961111111108</v>
      </c>
      <c r="I735" s="2">
        <v>2</v>
      </c>
      <c r="J735" s="1">
        <v>45915.377916666665</v>
      </c>
    </row>
    <row r="736" spans="1:10" x14ac:dyDescent="0.2">
      <c r="A736" s="4" t="s">
        <v>1</v>
      </c>
      <c r="B736" s="3" t="str">
        <f>HYPERLINK("https://otsuka-europe-crm.veevavault.com/ui/#object/approved_document__v/V5OZ025E82TFUPI", "Spain - HCP Survey Email - June 2025")</f>
        <v>Spain - HCP Survey Email - June 2025</v>
      </c>
      <c r="C736" s="3" t="str">
        <f>HYPERLINK("https://otsuka-europe-crm.veevavault.com/ui/#object/sent_email__v/VBLZ025E82GMY37", "SE-000267801")</f>
        <v>SE-000267801</v>
      </c>
      <c r="D736" s="1">
        <v>45915.385729166665</v>
      </c>
      <c r="E736" s="2">
        <v>1</v>
      </c>
      <c r="F736" s="2">
        <v>1</v>
      </c>
      <c r="G736" s="2">
        <v>0</v>
      </c>
      <c r="H736" s="1" t="s">
        <v>0</v>
      </c>
      <c r="I736" s="2">
        <v>0</v>
      </c>
      <c r="J736" s="1">
        <v>45915.378275462965</v>
      </c>
    </row>
    <row r="737" spans="1:10" x14ac:dyDescent="0.2">
      <c r="A737" s="4" t="s">
        <v>1</v>
      </c>
      <c r="B737" s="3" t="str">
        <f>HYPERLINK("https://otsuka-europe-crm.veevavault.com/ui/#object/approved_document__v/V5OZ025E82TFUPI", "Spain - HCP Survey Email - June 2025")</f>
        <v>Spain - HCP Survey Email - June 2025</v>
      </c>
      <c r="C737" s="3" t="str">
        <f>HYPERLINK("https://otsuka-europe-crm.veevavault.com/ui/#object/sent_email__v/VBLZ025E82GMY38", "SE-000267802")</f>
        <v>SE-000267802</v>
      </c>
      <c r="D737" s="1">
        <v>45915.405092592591</v>
      </c>
      <c r="E737" s="2">
        <v>1</v>
      </c>
      <c r="F737" s="2">
        <v>1</v>
      </c>
      <c r="G737" s="2">
        <v>0</v>
      </c>
      <c r="H737" s="1" t="s">
        <v>0</v>
      </c>
      <c r="I737" s="2">
        <v>0</v>
      </c>
      <c r="J737" s="1">
        <v>45915.378194444442</v>
      </c>
    </row>
    <row r="738" spans="1:10" x14ac:dyDescent="0.2">
      <c r="A738" s="4" t="s">
        <v>1</v>
      </c>
      <c r="B738" s="3" t="str">
        <f>HYPERLINK("https://otsuka-europe-crm.veevavault.com/ui/#object/approved_document__v/V5OZ025E82TFUPI", "Spain - HCP Survey Email - June 2025")</f>
        <v>Spain - HCP Survey Email - June 2025</v>
      </c>
      <c r="C738" s="3" t="str">
        <f>HYPERLINK("https://otsuka-europe-crm.veevavault.com/ui/#object/sent_email__v/VBLZ025E82GMY39", "SE-000267803")</f>
        <v>SE-000267803</v>
      </c>
      <c r="D738" s="1">
        <v>45916.618541666663</v>
      </c>
      <c r="E738" s="2">
        <v>1</v>
      </c>
      <c r="F738" s="2">
        <v>1</v>
      </c>
      <c r="G738" s="2">
        <v>1</v>
      </c>
      <c r="H738" s="1">
        <v>45916.618750000001</v>
      </c>
      <c r="I738" s="2">
        <v>1</v>
      </c>
      <c r="J738" s="1">
        <v>45915.378657407404</v>
      </c>
    </row>
    <row r="739" spans="1:10" x14ac:dyDescent="0.2">
      <c r="A739" s="4" t="s">
        <v>1</v>
      </c>
      <c r="B739" s="3" t="str">
        <f>HYPERLINK("https://otsuka-europe-crm.veevavault.com/ui/#object/approved_document__v/V5OZ025E82TFUPI", "Spain - HCP Survey Email - June 2025")</f>
        <v>Spain - HCP Survey Email - June 2025</v>
      </c>
      <c r="C739" s="3" t="str">
        <f>HYPERLINK("https://otsuka-europe-crm.veevavault.com/ui/#object/sent_email__v/VBLZ025E82GMY3A", "SE-000267804")</f>
        <v>SE-000267804</v>
      </c>
      <c r="D739" s="1">
        <v>45919.210277777776</v>
      </c>
      <c r="E739" s="2">
        <v>1</v>
      </c>
      <c r="F739" s="2">
        <v>3</v>
      </c>
      <c r="G739" s="2">
        <v>0</v>
      </c>
      <c r="H739" s="1" t="s">
        <v>0</v>
      </c>
      <c r="I739" s="2">
        <v>0</v>
      </c>
      <c r="J739" s="1">
        <v>45915.379548611112</v>
      </c>
    </row>
    <row r="740" spans="1:10" x14ac:dyDescent="0.2">
      <c r="A740" s="4" t="s">
        <v>1</v>
      </c>
      <c r="B740" s="3" t="str">
        <f>HYPERLINK("https://otsuka-europe-crm.veevavault.com/ui/#object/approved_document__v/V5OZ025E82TFUPI", "Spain - HCP Survey Email - June 2025")</f>
        <v>Spain - HCP Survey Email - June 2025</v>
      </c>
      <c r="C740" s="3" t="str">
        <f>HYPERLINK("https://otsuka-europe-crm.veevavault.com/ui/#object/sent_email__v/VBLZ025E82GMY3B", "SE-000267805")</f>
        <v>SE-000267805</v>
      </c>
      <c r="D740" s="1" t="s">
        <v>0</v>
      </c>
      <c r="E740" s="2">
        <v>0</v>
      </c>
      <c r="F740" s="2">
        <v>0</v>
      </c>
      <c r="G740" s="2">
        <v>0</v>
      </c>
      <c r="H740" s="1" t="s">
        <v>0</v>
      </c>
      <c r="I740" s="2">
        <v>0</v>
      </c>
      <c r="J740" s="1">
        <v>45915.379386574074</v>
      </c>
    </row>
    <row r="741" spans="1:10" x14ac:dyDescent="0.2">
      <c r="A741" s="4" t="s">
        <v>1</v>
      </c>
      <c r="B741" s="3" t="str">
        <f>HYPERLINK("https://otsuka-europe-crm.veevavault.com/ui/#object/approved_document__v/V5OZ025E82TFUPI", "Spain - HCP Survey Email - June 2025")</f>
        <v>Spain - HCP Survey Email - June 2025</v>
      </c>
      <c r="C741" s="3" t="str">
        <f>HYPERLINK("https://otsuka-europe-crm.veevavault.com/ui/#object/sent_email__v/VBLZ025E82GMY3C", "SE-000267806")</f>
        <v>SE-000267806</v>
      </c>
      <c r="D741" s="1">
        <v>45915.386018518519</v>
      </c>
      <c r="E741" s="2">
        <v>1</v>
      </c>
      <c r="F741" s="2">
        <v>2</v>
      </c>
      <c r="G741" s="2">
        <v>0</v>
      </c>
      <c r="H741" s="1" t="s">
        <v>0</v>
      </c>
      <c r="I741" s="2">
        <v>0</v>
      </c>
      <c r="J741" s="1">
        <v>45915.37740740741</v>
      </c>
    </row>
    <row r="742" spans="1:10" x14ac:dyDescent="0.2">
      <c r="A742" s="4" t="s">
        <v>1</v>
      </c>
      <c r="B742" s="3" t="str">
        <f>HYPERLINK("https://otsuka-europe-crm.veevavault.com/ui/#object/approved_document__v/V5OZ025E82TFUPI", "Spain - HCP Survey Email - June 2025")</f>
        <v>Spain - HCP Survey Email - June 2025</v>
      </c>
      <c r="C742" s="3" t="str">
        <f>HYPERLINK("https://otsuka-europe-crm.veevavault.com/ui/#object/sent_email__v/VBLZ025E82GMY3D", "SE-000267807")</f>
        <v>SE-000267807</v>
      </c>
      <c r="D742" s="1" t="s">
        <v>0</v>
      </c>
      <c r="E742" s="2">
        <v>0</v>
      </c>
      <c r="F742" s="2">
        <v>0</v>
      </c>
      <c r="G742" s="2">
        <v>0</v>
      </c>
      <c r="H742" s="1" t="s">
        <v>0</v>
      </c>
      <c r="I742" s="2">
        <v>0</v>
      </c>
      <c r="J742" s="1">
        <v>45915.378437500003</v>
      </c>
    </row>
    <row r="743" spans="1:10" x14ac:dyDescent="0.2">
      <c r="A743" s="4" t="s">
        <v>1</v>
      </c>
      <c r="B743" s="3" t="str">
        <f>HYPERLINK("https://otsuka-europe-crm.veevavault.com/ui/#object/approved_document__v/V5OZ025E82TFUPI", "Spain - HCP Survey Email - June 2025")</f>
        <v>Spain - HCP Survey Email - June 2025</v>
      </c>
      <c r="C743" s="3" t="str">
        <f>HYPERLINK("https://otsuka-europe-crm.veevavault.com/ui/#object/sent_email__v/VBLZ025E82GMY3E", "SE-000267808")</f>
        <v>SE-000267808</v>
      </c>
      <c r="D743" s="1" t="s">
        <v>0</v>
      </c>
      <c r="E743" s="2">
        <v>0</v>
      </c>
      <c r="F743" s="2">
        <v>0</v>
      </c>
      <c r="G743" s="2">
        <v>0</v>
      </c>
      <c r="H743" s="1" t="s">
        <v>0</v>
      </c>
      <c r="I743" s="2">
        <v>0</v>
      </c>
      <c r="J743" s="1">
        <v>45915.378912037035</v>
      </c>
    </row>
    <row r="744" spans="1:10" x14ac:dyDescent="0.2">
      <c r="A744" s="4" t="s">
        <v>1</v>
      </c>
      <c r="B744" s="3" t="str">
        <f>HYPERLINK("https://otsuka-europe-crm.veevavault.com/ui/#object/approved_document__v/V5OZ025E82TFUPI", "Spain - HCP Survey Email - June 2025")</f>
        <v>Spain - HCP Survey Email - June 2025</v>
      </c>
      <c r="C744" s="3" t="str">
        <f>HYPERLINK("https://otsuka-europe-crm.veevavault.com/ui/#object/sent_email__v/VBLZ025E82GMY3F", "SE-000267809")</f>
        <v>SE-000267809</v>
      </c>
      <c r="D744" s="1" t="s">
        <v>0</v>
      </c>
      <c r="E744" s="2">
        <v>0</v>
      </c>
      <c r="F744" s="2">
        <v>0</v>
      </c>
      <c r="G744" s="2">
        <v>0</v>
      </c>
      <c r="H744" s="1" t="s">
        <v>0</v>
      </c>
      <c r="I744" s="2">
        <v>0</v>
      </c>
      <c r="J744" s="1">
        <v>45915.378738425927</v>
      </c>
    </row>
    <row r="745" spans="1:10" x14ac:dyDescent="0.2">
      <c r="A745" s="4" t="s">
        <v>1</v>
      </c>
      <c r="B745" s="3" t="str">
        <f>HYPERLINK("https://otsuka-europe-crm.veevavault.com/ui/#object/approved_document__v/V5OZ025E82TFUPI", "Spain - HCP Survey Email - June 2025")</f>
        <v>Spain - HCP Survey Email - June 2025</v>
      </c>
      <c r="C745" s="3" t="str">
        <f>HYPERLINK("https://otsuka-europe-crm.veevavault.com/ui/#object/sent_email__v/VBLZ025E82GMY3G", "SE-000267810")</f>
        <v>SE-000267810</v>
      </c>
      <c r="D745" s="1">
        <v>45915.395416666666</v>
      </c>
      <c r="E745" s="2">
        <v>1</v>
      </c>
      <c r="F745" s="2">
        <v>3</v>
      </c>
      <c r="G745" s="2">
        <v>0</v>
      </c>
      <c r="H745" s="1" t="s">
        <v>0</v>
      </c>
      <c r="I745" s="2">
        <v>0</v>
      </c>
      <c r="J745" s="1">
        <v>45915.379247685189</v>
      </c>
    </row>
    <row r="746" spans="1:10" x14ac:dyDescent="0.2">
      <c r="A746" s="4" t="s">
        <v>1</v>
      </c>
      <c r="B746" s="3" t="str">
        <f>HYPERLINK("https://otsuka-europe-crm.veevavault.com/ui/#object/approved_document__v/V5OZ025E82TFUPI", "Spain - HCP Survey Email - June 2025")</f>
        <v>Spain - HCP Survey Email - June 2025</v>
      </c>
      <c r="C746" s="3" t="str">
        <f>HYPERLINK("https://otsuka-europe-crm.veevavault.com/ui/#object/sent_email__v/VBLZ025E82GMY3H", "SE-000267811")</f>
        <v>SE-000267811</v>
      </c>
      <c r="D746" s="1">
        <v>45915.716168981482</v>
      </c>
      <c r="E746" s="2">
        <v>1</v>
      </c>
      <c r="F746" s="2">
        <v>1</v>
      </c>
      <c r="G746" s="2">
        <v>0</v>
      </c>
      <c r="H746" s="1" t="s">
        <v>0</v>
      </c>
      <c r="I746" s="2">
        <v>0</v>
      </c>
      <c r="J746" s="1">
        <v>45915.377893518518</v>
      </c>
    </row>
    <row r="747" spans="1:10" x14ac:dyDescent="0.2">
      <c r="A747" s="4" t="s">
        <v>1</v>
      </c>
      <c r="B747" s="3" t="str">
        <f>HYPERLINK("https://otsuka-europe-crm.veevavault.com/ui/#object/approved_document__v/V5OZ025E82TFUPI", "Spain - HCP Survey Email - June 2025")</f>
        <v>Spain - HCP Survey Email - June 2025</v>
      </c>
      <c r="C747" s="3" t="str">
        <f>HYPERLINK("https://otsuka-europe-crm.veevavault.com/ui/#object/sent_email__v/VBLZ025E82GMY3I", "SE-000267812")</f>
        <v>SE-000267812</v>
      </c>
      <c r="D747" s="1">
        <v>45915.412488425929</v>
      </c>
      <c r="E747" s="2">
        <v>1</v>
      </c>
      <c r="F747" s="2">
        <v>1</v>
      </c>
      <c r="G747" s="2">
        <v>1</v>
      </c>
      <c r="H747" s="1">
        <v>45915.41265046296</v>
      </c>
      <c r="I747" s="2">
        <v>1</v>
      </c>
      <c r="J747" s="1">
        <v>45915.378263888888</v>
      </c>
    </row>
    <row r="748" spans="1:10" x14ac:dyDescent="0.2">
      <c r="A748" s="4" t="s">
        <v>1</v>
      </c>
      <c r="B748" s="3" t="str">
        <f>HYPERLINK("https://otsuka-europe-crm.veevavault.com/ui/#object/approved_document__v/V5OZ025E82TFUPI", "Spain - HCP Survey Email - June 2025")</f>
        <v>Spain - HCP Survey Email - June 2025</v>
      </c>
      <c r="C748" s="3" t="str">
        <f>HYPERLINK("https://otsuka-europe-crm.veevavault.com/ui/#object/sent_email__v/VBLZ025E82GMY3J", "SE-000267813")</f>
        <v>SE-000267813</v>
      </c>
      <c r="D748" s="1">
        <v>45938.77925925926</v>
      </c>
      <c r="E748" s="2">
        <v>1</v>
      </c>
      <c r="F748" s="2">
        <v>4</v>
      </c>
      <c r="G748" s="2">
        <v>0</v>
      </c>
      <c r="H748" s="1" t="s">
        <v>0</v>
      </c>
      <c r="I748" s="2">
        <v>0</v>
      </c>
      <c r="J748" s="1">
        <v>45915.378194444442</v>
      </c>
    </row>
    <row r="749" spans="1:10" x14ac:dyDescent="0.2">
      <c r="A749" s="4" t="s">
        <v>1</v>
      </c>
      <c r="B749" s="3" t="str">
        <f>HYPERLINK("https://otsuka-europe-crm.veevavault.com/ui/#object/approved_document__v/V5OZ025E82TFUPI", "Spain - HCP Survey Email - June 2025")</f>
        <v>Spain - HCP Survey Email - June 2025</v>
      </c>
      <c r="C749" s="3" t="str">
        <f>HYPERLINK("https://otsuka-europe-crm.veevavault.com/ui/#object/sent_email__v/VBLZ025E82GMY3K", "SE-000267814")</f>
        <v>SE-000267814</v>
      </c>
      <c r="D749" s="1">
        <v>45932.459236111114</v>
      </c>
      <c r="E749" s="2">
        <v>1</v>
      </c>
      <c r="F749" s="2">
        <v>3</v>
      </c>
      <c r="G749" s="2">
        <v>0</v>
      </c>
      <c r="H749" s="1" t="s">
        <v>0</v>
      </c>
      <c r="I749" s="2">
        <v>0</v>
      </c>
      <c r="J749" s="1">
        <v>45915.378657407404</v>
      </c>
    </row>
    <row r="750" spans="1:10" x14ac:dyDescent="0.2">
      <c r="A750" s="4" t="s">
        <v>1</v>
      </c>
      <c r="B750" s="3" t="str">
        <f>HYPERLINK("https://otsuka-europe-crm.veevavault.com/ui/#object/approved_document__v/V5OZ025E82TFUPI", "Spain - HCP Survey Email - June 2025")</f>
        <v>Spain - HCP Survey Email - June 2025</v>
      </c>
      <c r="C750" s="3" t="str">
        <f>HYPERLINK("https://otsuka-europe-crm.veevavault.com/ui/#object/sent_email__v/VBLZ025E82GMY3L", "SE-000267815")</f>
        <v>SE-000267815</v>
      </c>
      <c r="D750" s="1">
        <v>45975.682800925926</v>
      </c>
      <c r="E750" s="2">
        <v>1</v>
      </c>
      <c r="F750" s="2">
        <v>3</v>
      </c>
      <c r="G750" s="2">
        <v>0</v>
      </c>
      <c r="H750" s="1" t="s">
        <v>0</v>
      </c>
      <c r="I750" s="2">
        <v>0</v>
      </c>
      <c r="J750" s="1">
        <v>45915.379976851851</v>
      </c>
    </row>
    <row r="751" spans="1:10" x14ac:dyDescent="0.2">
      <c r="A751" s="4" t="s">
        <v>1</v>
      </c>
      <c r="B751" s="3" t="str">
        <f>HYPERLINK("https://otsuka-europe-crm.veevavault.com/ui/#object/approved_document__v/V5OZ025E82TFUPI", "Spain - HCP Survey Email - June 2025")</f>
        <v>Spain - HCP Survey Email - June 2025</v>
      </c>
      <c r="C751" s="3" t="str">
        <f>HYPERLINK("https://otsuka-europe-crm.veevavault.com/ui/#object/sent_email__v/VBLZ025E82GMY3M", "SE-000267816")</f>
        <v>SE-000267816</v>
      </c>
      <c r="D751" s="1">
        <v>45915.400254629632</v>
      </c>
      <c r="E751" s="2">
        <v>1</v>
      </c>
      <c r="F751" s="2">
        <v>1</v>
      </c>
      <c r="G751" s="2">
        <v>0</v>
      </c>
      <c r="H751" s="1" t="s">
        <v>0</v>
      </c>
      <c r="I751" s="2">
        <v>0</v>
      </c>
      <c r="J751" s="1">
        <v>45915.379247685189</v>
      </c>
    </row>
    <row r="752" spans="1:10" x14ac:dyDescent="0.2">
      <c r="A752" s="4" t="s">
        <v>1</v>
      </c>
      <c r="B752" s="3" t="str">
        <f>HYPERLINK("https://otsuka-europe-crm.veevavault.com/ui/#object/approved_document__v/V5OZ025E82TFUPI", "Spain - HCP Survey Email - June 2025")</f>
        <v>Spain - HCP Survey Email - June 2025</v>
      </c>
      <c r="C752" s="3" t="str">
        <f>HYPERLINK("https://otsuka-europe-crm.veevavault.com/ui/#object/sent_email__v/VBLZ025E82GMY3N", "SE-000267817")</f>
        <v>SE-000267817</v>
      </c>
      <c r="D752" s="1" t="s">
        <v>0</v>
      </c>
      <c r="E752" s="2">
        <v>0</v>
      </c>
      <c r="F752" s="2">
        <v>0</v>
      </c>
      <c r="G752" s="2">
        <v>0</v>
      </c>
      <c r="H752" s="1" t="s">
        <v>0</v>
      </c>
      <c r="I752" s="2">
        <v>0</v>
      </c>
      <c r="J752" s="1">
        <v>45915.377395833333</v>
      </c>
    </row>
    <row r="753" spans="1:10" x14ac:dyDescent="0.2">
      <c r="A753" s="4" t="s">
        <v>1</v>
      </c>
      <c r="B753" s="3" t="str">
        <f>HYPERLINK("https://otsuka-europe-crm.veevavault.com/ui/#object/approved_document__v/V5OZ025E82TFUPI", "Spain - HCP Survey Email - June 2025")</f>
        <v>Spain - HCP Survey Email - June 2025</v>
      </c>
      <c r="C753" s="3" t="str">
        <f>HYPERLINK("https://otsuka-europe-crm.veevavault.com/ui/#object/sent_email__v/VBLZ025E82GMY3O", "SE-000267818")</f>
        <v>SE-000267818</v>
      </c>
      <c r="D753" s="1">
        <v>45915.460625</v>
      </c>
      <c r="E753" s="2">
        <v>1</v>
      </c>
      <c r="F753" s="2">
        <v>1</v>
      </c>
      <c r="G753" s="2">
        <v>1</v>
      </c>
      <c r="H753" s="1">
        <v>45915.63076388889</v>
      </c>
      <c r="I753" s="2">
        <v>1</v>
      </c>
      <c r="J753" s="1">
        <v>45915.37841435185</v>
      </c>
    </row>
    <row r="754" spans="1:10" x14ac:dyDescent="0.2">
      <c r="A754" s="4" t="s">
        <v>1</v>
      </c>
      <c r="B754" s="3" t="str">
        <f>HYPERLINK("https://otsuka-europe-crm.veevavault.com/ui/#object/approved_document__v/V5OZ025E82TFUPI", "Spain - HCP Survey Email - June 2025")</f>
        <v>Spain - HCP Survey Email - June 2025</v>
      </c>
      <c r="C754" s="3" t="str">
        <f>HYPERLINK("https://otsuka-europe-crm.veevavault.com/ui/#object/sent_email__v/VBLZ025E82GMY3P", "SE-000267819")</f>
        <v>SE-000267819</v>
      </c>
      <c r="D754" s="1">
        <v>45916.290937500002</v>
      </c>
      <c r="E754" s="2">
        <v>1</v>
      </c>
      <c r="F754" s="2">
        <v>2</v>
      </c>
      <c r="G754" s="2">
        <v>1</v>
      </c>
      <c r="H754" s="1">
        <v>45916.29105324074</v>
      </c>
      <c r="I754" s="2">
        <v>1</v>
      </c>
      <c r="J754" s="1">
        <v>45915.378807870373</v>
      </c>
    </row>
    <row r="755" spans="1:10" x14ac:dyDescent="0.2">
      <c r="A755" s="4" t="s">
        <v>1</v>
      </c>
      <c r="B755" s="3" t="str">
        <f>HYPERLINK("https://otsuka-europe-crm.veevavault.com/ui/#object/approved_document__v/V5OZ025E82TFUPI", "Spain - HCP Survey Email - June 2025")</f>
        <v>Spain - HCP Survey Email - June 2025</v>
      </c>
      <c r="C755" s="3" t="str">
        <f>HYPERLINK("https://otsuka-europe-crm.veevavault.com/ui/#object/sent_email__v/VBLZ025E82GMY3Q", "SE-000267820")</f>
        <v>SE-000267820</v>
      </c>
      <c r="D755" s="1" t="s">
        <v>0</v>
      </c>
      <c r="E755" s="2">
        <v>0</v>
      </c>
      <c r="F755" s="2">
        <v>0</v>
      </c>
      <c r="G755" s="2">
        <v>0</v>
      </c>
      <c r="H755" s="1" t="s">
        <v>0</v>
      </c>
      <c r="I755" s="2">
        <v>0</v>
      </c>
      <c r="J755" s="1">
        <v>45915.378750000003</v>
      </c>
    </row>
    <row r="756" spans="1:10" x14ac:dyDescent="0.2">
      <c r="A756" s="4" t="s">
        <v>1</v>
      </c>
      <c r="B756" s="3" t="str">
        <f>HYPERLINK("https://otsuka-europe-crm.veevavault.com/ui/#object/approved_document__v/V5OZ025E82TFUPI", "Spain - HCP Survey Email - June 2025")</f>
        <v>Spain - HCP Survey Email - June 2025</v>
      </c>
      <c r="C756" s="3" t="str">
        <f>HYPERLINK("https://otsuka-europe-crm.veevavault.com/ui/#object/sent_email__v/VBLZ025E82GMY3R", "SE-000267821")</f>
        <v>SE-000267821</v>
      </c>
      <c r="D756" s="1">
        <v>45915.430069444446</v>
      </c>
      <c r="E756" s="2">
        <v>1</v>
      </c>
      <c r="F756" s="2">
        <v>1</v>
      </c>
      <c r="G756" s="2">
        <v>0</v>
      </c>
      <c r="H756" s="1" t="s">
        <v>0</v>
      </c>
      <c r="I756" s="2">
        <v>0</v>
      </c>
      <c r="J756" s="1">
        <v>45915.379166666666</v>
      </c>
    </row>
    <row r="757" spans="1:10" x14ac:dyDescent="0.2">
      <c r="A757" s="4" t="s">
        <v>1</v>
      </c>
      <c r="B757" s="3" t="str">
        <f>HYPERLINK("https://otsuka-europe-crm.veevavault.com/ui/#object/approved_document__v/V5OZ025E82TFUPI", "Spain - HCP Survey Email - June 2025")</f>
        <v>Spain - HCP Survey Email - June 2025</v>
      </c>
      <c r="C757" s="3" t="str">
        <f>HYPERLINK("https://otsuka-europe-crm.veevavault.com/ui/#object/sent_email__v/VBLZ025E82GMY3S", "SE-000267822")</f>
        <v>SE-000267822</v>
      </c>
      <c r="D757" s="1" t="s">
        <v>0</v>
      </c>
      <c r="E757" s="2">
        <v>0</v>
      </c>
      <c r="F757" s="2">
        <v>0</v>
      </c>
      <c r="G757" s="2">
        <v>0</v>
      </c>
      <c r="H757" s="1" t="s">
        <v>0</v>
      </c>
      <c r="I757" s="2">
        <v>0</v>
      </c>
      <c r="J757" s="1">
        <v>45915.378379629627</v>
      </c>
    </row>
    <row r="758" spans="1:10" x14ac:dyDescent="0.2">
      <c r="A758" s="4" t="s">
        <v>1</v>
      </c>
      <c r="B758" s="3" t="str">
        <f>HYPERLINK("https://otsuka-europe-crm.veevavault.com/ui/#object/approved_document__v/V5OZ025E82TFUPI", "Spain - HCP Survey Email - June 2025")</f>
        <v>Spain - HCP Survey Email - June 2025</v>
      </c>
      <c r="C758" s="3" t="str">
        <f>HYPERLINK("https://otsuka-europe-crm.veevavault.com/ui/#object/sent_email__v/VBLZ025E82GMY3T", "SE-000267823")</f>
        <v>SE-000267823</v>
      </c>
      <c r="D758" s="1">
        <v>45942.963217592594</v>
      </c>
      <c r="E758" s="2">
        <v>1</v>
      </c>
      <c r="F758" s="2">
        <v>2</v>
      </c>
      <c r="G758" s="2">
        <v>0</v>
      </c>
      <c r="H758" s="1" t="s">
        <v>0</v>
      </c>
      <c r="I758" s="2">
        <v>0</v>
      </c>
      <c r="J758" s="1">
        <v>45915.378865740742</v>
      </c>
    </row>
    <row r="759" spans="1:10" x14ac:dyDescent="0.2">
      <c r="A759" s="4" t="s">
        <v>1</v>
      </c>
      <c r="B759" s="3" t="str">
        <f>HYPERLINK("https://otsuka-europe-crm.veevavault.com/ui/#object/approved_document__v/V5OZ025E82TFUPI", "Spain - HCP Survey Email - June 2025")</f>
        <v>Spain - HCP Survey Email - June 2025</v>
      </c>
      <c r="C759" s="3" t="str">
        <f>HYPERLINK("https://otsuka-europe-crm.veevavault.com/ui/#object/sent_email__v/VBLZ025E82GMY3U", "SE-000267824")</f>
        <v>SE-000267824</v>
      </c>
      <c r="D759" s="1">
        <v>45915.482106481482</v>
      </c>
      <c r="E759" s="2">
        <v>1</v>
      </c>
      <c r="F759" s="2">
        <v>1</v>
      </c>
      <c r="G759" s="2">
        <v>0</v>
      </c>
      <c r="H759" s="1" t="s">
        <v>0</v>
      </c>
      <c r="I759" s="2">
        <v>0</v>
      </c>
      <c r="J759" s="1">
        <v>45915.378657407404</v>
      </c>
    </row>
    <row r="760" spans="1:10" x14ac:dyDescent="0.2">
      <c r="A760" s="4" t="s">
        <v>1</v>
      </c>
      <c r="B760" s="3" t="str">
        <f>HYPERLINK("https://otsuka-europe-crm.veevavault.com/ui/#object/approved_document__v/V5OZ025E82TFUPI", "Spain - HCP Survey Email - June 2025")</f>
        <v>Spain - HCP Survey Email - June 2025</v>
      </c>
      <c r="C760" s="3" t="str">
        <f>HYPERLINK("https://otsuka-europe-crm.veevavault.com/ui/#object/sent_email__v/VBLZ025E82GMY3V", "SE-000267825")</f>
        <v>SE-000267825</v>
      </c>
      <c r="D760" s="1" t="s">
        <v>0</v>
      </c>
      <c r="E760" s="2">
        <v>0</v>
      </c>
      <c r="F760" s="2">
        <v>0</v>
      </c>
      <c r="G760" s="2">
        <v>0</v>
      </c>
      <c r="H760" s="1" t="s">
        <v>0</v>
      </c>
      <c r="I760" s="2">
        <v>0</v>
      </c>
      <c r="J760" s="1">
        <v>45915.379201388889</v>
      </c>
    </row>
    <row r="761" spans="1:10" x14ac:dyDescent="0.2">
      <c r="A761" s="4" t="s">
        <v>1</v>
      </c>
      <c r="B761" s="3" t="str">
        <f>HYPERLINK("https://otsuka-europe-crm.veevavault.com/ui/#object/approved_document__v/V5OZ025E82TFUPI", "Spain - HCP Survey Email - June 2025")</f>
        <v>Spain - HCP Survey Email - June 2025</v>
      </c>
      <c r="C761" s="3" t="str">
        <f>HYPERLINK("https://otsuka-europe-crm.veevavault.com/ui/#object/sent_email__v/VBLZ025E82GMY3W", "SE-000267826")</f>
        <v>SE-000267826</v>
      </c>
      <c r="D761" s="1">
        <v>45933.449826388889</v>
      </c>
      <c r="E761" s="2">
        <v>1</v>
      </c>
      <c r="F761" s="2">
        <v>2</v>
      </c>
      <c r="G761" s="2">
        <v>0</v>
      </c>
      <c r="H761" s="1" t="s">
        <v>0</v>
      </c>
      <c r="I761" s="2">
        <v>0</v>
      </c>
      <c r="J761" s="1">
        <v>45915.377951388888</v>
      </c>
    </row>
    <row r="762" spans="1:10" x14ac:dyDescent="0.2">
      <c r="A762" s="4" t="s">
        <v>1</v>
      </c>
      <c r="B762" s="3" t="str">
        <f>HYPERLINK("https://otsuka-europe-crm.veevavault.com/ui/#object/approved_document__v/V5OZ025E82TFUPI", "Spain - HCP Survey Email - June 2025")</f>
        <v>Spain - HCP Survey Email - June 2025</v>
      </c>
      <c r="C762" s="3" t="str">
        <f>HYPERLINK("https://otsuka-europe-crm.veevavault.com/ui/#object/sent_email__v/VBLZ025E82GMY3X", "SE-000267827")</f>
        <v>SE-000267827</v>
      </c>
      <c r="D762" s="1" t="s">
        <v>0</v>
      </c>
      <c r="E762" s="2">
        <v>0</v>
      </c>
      <c r="F762" s="2">
        <v>0</v>
      </c>
      <c r="G762" s="2">
        <v>0</v>
      </c>
      <c r="H762" s="1" t="s">
        <v>0</v>
      </c>
      <c r="I762" s="2">
        <v>0</v>
      </c>
      <c r="J762" s="1">
        <v>45915.378298611111</v>
      </c>
    </row>
    <row r="763" spans="1:10" x14ac:dyDescent="0.2">
      <c r="A763" s="4" t="s">
        <v>1</v>
      </c>
      <c r="B763" s="3" t="str">
        <f>HYPERLINK("https://otsuka-europe-crm.veevavault.com/ui/#object/approved_document__v/V5OZ025E82TFUPI", "Spain - HCP Survey Email - June 2025")</f>
        <v>Spain - HCP Survey Email - June 2025</v>
      </c>
      <c r="C763" s="3" t="str">
        <f>HYPERLINK("https://otsuka-europe-crm.veevavault.com/ui/#object/sent_email__v/VBLZ025E82GMY3Y", "SE-000267828")</f>
        <v>SE-000267828</v>
      </c>
      <c r="D763" s="1">
        <v>45915.661817129629</v>
      </c>
      <c r="E763" s="2">
        <v>1</v>
      </c>
      <c r="F763" s="2">
        <v>1</v>
      </c>
      <c r="G763" s="2">
        <v>0</v>
      </c>
      <c r="H763" s="1" t="s">
        <v>0</v>
      </c>
      <c r="I763" s="2">
        <v>0</v>
      </c>
      <c r="J763" s="1">
        <v>45915.378229166665</v>
      </c>
    </row>
    <row r="764" spans="1:10" x14ac:dyDescent="0.2">
      <c r="A764" s="4" t="s">
        <v>1</v>
      </c>
      <c r="B764" s="3" t="str">
        <f>HYPERLINK("https://otsuka-europe-crm.veevavault.com/ui/#object/approved_document__v/V5OZ025E82TFUPI", "Spain - HCP Survey Email - June 2025")</f>
        <v>Spain - HCP Survey Email - June 2025</v>
      </c>
      <c r="C764" s="3" t="str">
        <f>HYPERLINK("https://otsuka-europe-crm.veevavault.com/ui/#object/sent_email__v/VBLZ025E82GMY3Z", "SE-000267829")</f>
        <v>SE-000267829</v>
      </c>
      <c r="D764" s="1" t="s">
        <v>0</v>
      </c>
      <c r="E764" s="2">
        <v>0</v>
      </c>
      <c r="F764" s="2">
        <v>0</v>
      </c>
      <c r="G764" s="2">
        <v>0</v>
      </c>
      <c r="H764" s="1" t="s">
        <v>0</v>
      </c>
      <c r="I764" s="2">
        <v>0</v>
      </c>
      <c r="J764" s="1">
        <v>45915.37871527778</v>
      </c>
    </row>
    <row r="765" spans="1:10" x14ac:dyDescent="0.2">
      <c r="A765" s="4" t="s">
        <v>1</v>
      </c>
      <c r="B765" s="3" t="str">
        <f>HYPERLINK("https://otsuka-europe-crm.veevavault.com/ui/#object/approved_document__v/V5OZ025E82TFUPI", "Spain - HCP Survey Email - June 2025")</f>
        <v>Spain - HCP Survey Email - June 2025</v>
      </c>
      <c r="C765" s="3" t="str">
        <f>HYPERLINK("https://otsuka-europe-crm.veevavault.com/ui/#object/sent_email__v/VBLZ025E82GMY40", "SE-000267830")</f>
        <v>SE-000267830</v>
      </c>
      <c r="D765" s="1">
        <v>45915.877118055556</v>
      </c>
      <c r="E765" s="2">
        <v>1</v>
      </c>
      <c r="F765" s="2">
        <v>2</v>
      </c>
      <c r="G765" s="2">
        <v>0</v>
      </c>
      <c r="H765" s="1" t="s">
        <v>0</v>
      </c>
      <c r="I765" s="2">
        <v>0</v>
      </c>
      <c r="J765" s="1">
        <v>45915.38008101852</v>
      </c>
    </row>
    <row r="766" spans="1:10" x14ac:dyDescent="0.2">
      <c r="A766" s="4" t="s">
        <v>1</v>
      </c>
      <c r="B766" s="3" t="str">
        <f>HYPERLINK("https://otsuka-europe-crm.veevavault.com/ui/#object/approved_document__v/V5OZ025E82TFUPI", "Spain - HCP Survey Email - June 2025")</f>
        <v>Spain - HCP Survey Email - June 2025</v>
      </c>
      <c r="C766" s="3" t="str">
        <f>HYPERLINK("https://otsuka-europe-crm.veevavault.com/ui/#object/sent_email__v/VBLZ025E82GMY41", "SE-000267831")</f>
        <v>SE-000267831</v>
      </c>
      <c r="D766" s="1">
        <v>45915.37940972222</v>
      </c>
      <c r="E766" s="2">
        <v>1</v>
      </c>
      <c r="F766" s="2">
        <v>2</v>
      </c>
      <c r="G766" s="2">
        <v>1</v>
      </c>
      <c r="H766" s="1">
        <v>45915.37940972222</v>
      </c>
      <c r="I766" s="2">
        <v>2</v>
      </c>
      <c r="J766" s="1">
        <v>45915.379351851851</v>
      </c>
    </row>
    <row r="767" spans="1:10" x14ac:dyDescent="0.2">
      <c r="A767" s="4" t="s">
        <v>1</v>
      </c>
      <c r="B767" s="3" t="str">
        <f>HYPERLINK("https://otsuka-europe-crm.veevavault.com/ui/#object/approved_document__v/V5OZ025E82TFUPI", "Spain - HCP Survey Email - June 2025")</f>
        <v>Spain - HCP Survey Email - June 2025</v>
      </c>
      <c r="C767" s="3" t="str">
        <f>HYPERLINK("https://otsuka-europe-crm.veevavault.com/ui/#object/sent_email__v/VBLZ025E82GMY42", "SE-000267832")</f>
        <v>SE-000267832</v>
      </c>
      <c r="D767" s="1" t="s">
        <v>0</v>
      </c>
      <c r="E767" s="2">
        <v>0</v>
      </c>
      <c r="F767" s="2">
        <v>0</v>
      </c>
      <c r="G767" s="2">
        <v>0</v>
      </c>
      <c r="H767" s="1" t="s">
        <v>0</v>
      </c>
      <c r="I767" s="2">
        <v>0</v>
      </c>
      <c r="J767" s="1">
        <v>45915.377418981479</v>
      </c>
    </row>
    <row r="768" spans="1:10" x14ac:dyDescent="0.2">
      <c r="A768" s="4" t="s">
        <v>1</v>
      </c>
      <c r="B768" s="3" t="str">
        <f>HYPERLINK("https://otsuka-europe-crm.veevavault.com/ui/#object/approved_document__v/V5OZ025E82TFUPI", "Spain - HCP Survey Email - June 2025")</f>
        <v>Spain - HCP Survey Email - June 2025</v>
      </c>
      <c r="C768" s="3" t="str">
        <f>HYPERLINK("https://otsuka-europe-crm.veevavault.com/ui/#object/sent_email__v/VBLZ025E82GMY43", "SE-000267833")</f>
        <v>SE-000267833</v>
      </c>
      <c r="D768" s="1">
        <v>45916.669618055559</v>
      </c>
      <c r="E768" s="2">
        <v>1</v>
      </c>
      <c r="F768" s="2">
        <v>2</v>
      </c>
      <c r="G768" s="2">
        <v>0</v>
      </c>
      <c r="H768" s="1" t="s">
        <v>0</v>
      </c>
      <c r="I768" s="2">
        <v>0</v>
      </c>
      <c r="J768" s="1">
        <v>45915.37840277778</v>
      </c>
    </row>
    <row r="769" spans="1:10" x14ac:dyDescent="0.2">
      <c r="A769" s="4" t="s">
        <v>1</v>
      </c>
      <c r="B769" s="3" t="str">
        <f>HYPERLINK("https://otsuka-europe-crm.veevavault.com/ui/#object/approved_document__v/V5OZ025E82TFUPI", "Spain - HCP Survey Email - June 2025")</f>
        <v>Spain - HCP Survey Email - June 2025</v>
      </c>
      <c r="C769" s="3" t="str">
        <f>HYPERLINK("https://otsuka-europe-crm.veevavault.com/ui/#object/sent_email__v/VBLZ025E82GMY44", "SE-000267834")</f>
        <v>SE-000267834</v>
      </c>
      <c r="D769" s="1">
        <v>45915.836747685185</v>
      </c>
      <c r="E769" s="2">
        <v>1</v>
      </c>
      <c r="F769" s="2">
        <v>1</v>
      </c>
      <c r="G769" s="2">
        <v>0</v>
      </c>
      <c r="H769" s="1" t="s">
        <v>0</v>
      </c>
      <c r="I769" s="2">
        <v>0</v>
      </c>
      <c r="J769" s="1">
        <v>45915.378854166665</v>
      </c>
    </row>
    <row r="770" spans="1:10" x14ac:dyDescent="0.2">
      <c r="A770" s="4" t="s">
        <v>1</v>
      </c>
      <c r="B770" s="3" t="str">
        <f>HYPERLINK("https://otsuka-europe-crm.veevavault.com/ui/#object/approved_document__v/V5OZ025E82TFUPI", "Spain - HCP Survey Email - June 2025")</f>
        <v>Spain - HCP Survey Email - June 2025</v>
      </c>
      <c r="C770" s="3" t="str">
        <f>HYPERLINK("https://otsuka-europe-crm.veevavault.com/ui/#object/sent_email__v/VBLZ025E82GMY45", "SE-000267835")</f>
        <v>SE-000267835</v>
      </c>
      <c r="D770" s="1">
        <v>45916.362650462965</v>
      </c>
      <c r="E770" s="2">
        <v>1</v>
      </c>
      <c r="F770" s="2">
        <v>3</v>
      </c>
      <c r="G770" s="2">
        <v>0</v>
      </c>
      <c r="H770" s="1" t="s">
        <v>0</v>
      </c>
      <c r="I770" s="2">
        <v>0</v>
      </c>
      <c r="J770" s="1">
        <v>45915.378645833334</v>
      </c>
    </row>
    <row r="771" spans="1:10" x14ac:dyDescent="0.2">
      <c r="A771" s="4" t="s">
        <v>1</v>
      </c>
      <c r="B771" s="3" t="str">
        <f>HYPERLINK("https://otsuka-europe-crm.veevavault.com/ui/#object/approved_document__v/V5OZ025E82TFUPI", "Spain - HCP Survey Email - June 2025")</f>
        <v>Spain - HCP Survey Email - June 2025</v>
      </c>
      <c r="C771" s="3" t="str">
        <f>HYPERLINK("https://otsuka-europe-crm.veevavault.com/ui/#object/sent_email__v/VBLZ025E82GMY46", "SE-000267836")</f>
        <v>SE-000267836</v>
      </c>
      <c r="D771" s="1">
        <v>45918.680219907408</v>
      </c>
      <c r="E771" s="2">
        <v>1</v>
      </c>
      <c r="F771" s="2">
        <v>1</v>
      </c>
      <c r="G771" s="2">
        <v>0</v>
      </c>
      <c r="H771" s="1" t="s">
        <v>0</v>
      </c>
      <c r="I771" s="2">
        <v>0</v>
      </c>
      <c r="J771" s="1">
        <v>45915.379189814812</v>
      </c>
    </row>
    <row r="772" spans="1:10" x14ac:dyDescent="0.2">
      <c r="A772" s="4" t="s">
        <v>1</v>
      </c>
      <c r="B772" s="3" t="str">
        <f>HYPERLINK("https://otsuka-europe-crm.veevavault.com/ui/#object/approved_document__v/V5OZ025E82TFUPI", "Spain - HCP Survey Email - June 2025")</f>
        <v>Spain - HCP Survey Email - June 2025</v>
      </c>
      <c r="C772" s="3" t="str">
        <f>HYPERLINK("https://otsuka-europe-crm.veevavault.com/ui/#object/sent_email__v/VBLZ025E82GMY47", "SE-000267837")</f>
        <v>SE-000267837</v>
      </c>
      <c r="D772" s="1" t="s">
        <v>0</v>
      </c>
      <c r="E772" s="2">
        <v>0</v>
      </c>
      <c r="F772" s="2">
        <v>0</v>
      </c>
      <c r="G772" s="2">
        <v>0</v>
      </c>
      <c r="H772" s="1" t="s">
        <v>0</v>
      </c>
      <c r="I772" s="2">
        <v>0</v>
      </c>
      <c r="J772" s="1">
        <v>45915.377951388888</v>
      </c>
    </row>
    <row r="773" spans="1:10" x14ac:dyDescent="0.2">
      <c r="A773" s="4" t="s">
        <v>1</v>
      </c>
      <c r="B773" s="3" t="str">
        <f>HYPERLINK("https://otsuka-europe-crm.veevavault.com/ui/#object/approved_document__v/V5OZ025E82TFUPI", "Spain - HCP Survey Email - June 2025")</f>
        <v>Spain - HCP Survey Email - June 2025</v>
      </c>
      <c r="C773" s="3" t="str">
        <f>HYPERLINK("https://otsuka-europe-crm.veevavault.com/ui/#object/sent_email__v/VBLZ025E82GMY48", "SE-000267838")</f>
        <v>SE-000267838</v>
      </c>
      <c r="D773" s="1">
        <v>45918.263773148145</v>
      </c>
      <c r="E773" s="2">
        <v>1</v>
      </c>
      <c r="F773" s="2">
        <v>1</v>
      </c>
      <c r="G773" s="2">
        <v>0</v>
      </c>
      <c r="H773" s="1" t="s">
        <v>0</v>
      </c>
      <c r="I773" s="2">
        <v>0</v>
      </c>
      <c r="J773" s="1">
        <v>45915.378333333334</v>
      </c>
    </row>
    <row r="774" spans="1:10" x14ac:dyDescent="0.2">
      <c r="A774" s="4" t="s">
        <v>1</v>
      </c>
      <c r="B774" s="3" t="str">
        <f>HYPERLINK("https://otsuka-europe-crm.veevavault.com/ui/#object/approved_document__v/V5OZ025E82TFUPI", "Spain - HCP Survey Email - June 2025")</f>
        <v>Spain - HCP Survey Email - June 2025</v>
      </c>
      <c r="C774" s="3" t="str">
        <f>HYPERLINK("https://otsuka-europe-crm.veevavault.com/ui/#object/sent_email__v/VBLZ025E82GMY49", "SE-000267839")</f>
        <v>SE-000267839</v>
      </c>
      <c r="D774" s="1">
        <v>45915.412592592591</v>
      </c>
      <c r="E774" s="2">
        <v>1</v>
      </c>
      <c r="F774" s="2">
        <v>1</v>
      </c>
      <c r="G774" s="2">
        <v>1</v>
      </c>
      <c r="H774" s="1">
        <v>45915.422361111108</v>
      </c>
      <c r="I774" s="2">
        <v>1</v>
      </c>
      <c r="J774" s="1">
        <v>45915.378159722219</v>
      </c>
    </row>
    <row r="775" spans="1:10" x14ac:dyDescent="0.2">
      <c r="A775" s="4" t="s">
        <v>1</v>
      </c>
      <c r="B775" s="3" t="str">
        <f>HYPERLINK("https://otsuka-europe-crm.veevavault.com/ui/#object/approved_document__v/V5OZ025E82TFUPI", "Spain - HCP Survey Email - June 2025")</f>
        <v>Spain - HCP Survey Email - June 2025</v>
      </c>
      <c r="C775" s="3" t="str">
        <f>HYPERLINK("https://otsuka-europe-crm.veevavault.com/ui/#object/sent_email__v/VBLZ025E82GMY4A", "SE-000267840")</f>
        <v>SE-000267840</v>
      </c>
      <c r="D775" s="1" t="s">
        <v>0</v>
      </c>
      <c r="E775" s="2">
        <v>0</v>
      </c>
      <c r="F775" s="2">
        <v>0</v>
      </c>
      <c r="G775" s="2">
        <v>0</v>
      </c>
      <c r="H775" s="1" t="s">
        <v>0</v>
      </c>
      <c r="I775" s="2">
        <v>0</v>
      </c>
      <c r="J775" s="1">
        <v>45915.378576388888</v>
      </c>
    </row>
    <row r="776" spans="1:10" x14ac:dyDescent="0.2">
      <c r="A776" s="4" t="s">
        <v>1</v>
      </c>
      <c r="B776" s="3" t="str">
        <f>HYPERLINK("https://otsuka-europe-crm.veevavault.com/ui/#object/approved_document__v/V5OZ025E82TFUPI", "Spain - HCP Survey Email - June 2025")</f>
        <v>Spain - HCP Survey Email - June 2025</v>
      </c>
      <c r="C776" s="3" t="str">
        <f>HYPERLINK("https://otsuka-europe-crm.veevavault.com/ui/#object/sent_email__v/VBLZ025E82GMY4B", "SE-000267841")</f>
        <v>SE-000267841</v>
      </c>
      <c r="D776" s="1">
        <v>45915.636250000003</v>
      </c>
      <c r="E776" s="2">
        <v>1</v>
      </c>
      <c r="F776" s="2">
        <v>1</v>
      </c>
      <c r="G776" s="2">
        <v>0</v>
      </c>
      <c r="H776" s="1" t="s">
        <v>0</v>
      </c>
      <c r="I776" s="2">
        <v>0</v>
      </c>
      <c r="J776" s="1">
        <v>45915.379571759258</v>
      </c>
    </row>
    <row r="777" spans="1:10" x14ac:dyDescent="0.2">
      <c r="A777" s="4" t="s">
        <v>1</v>
      </c>
      <c r="B777" s="3" t="str">
        <f>HYPERLINK("https://otsuka-europe-crm.veevavault.com/ui/#object/approved_document__v/V5OZ025E82TFUPI", "Spain - HCP Survey Email - June 2025")</f>
        <v>Spain - HCP Survey Email - June 2025</v>
      </c>
      <c r="C777" s="3" t="str">
        <f>HYPERLINK("https://otsuka-europe-crm.veevavault.com/ui/#object/sent_email__v/VBLZ025E82GMY4C", "SE-000267842")</f>
        <v>SE-000267842</v>
      </c>
      <c r="D777" s="1" t="s">
        <v>0</v>
      </c>
      <c r="E777" s="2">
        <v>0</v>
      </c>
      <c r="F777" s="2">
        <v>0</v>
      </c>
      <c r="G777" s="2">
        <v>0</v>
      </c>
      <c r="H777" s="1" t="s">
        <v>0</v>
      </c>
      <c r="I777" s="2">
        <v>0</v>
      </c>
      <c r="J777" s="1">
        <v>45915.379270833335</v>
      </c>
    </row>
    <row r="778" spans="1:10" x14ac:dyDescent="0.2">
      <c r="A778" s="4" t="s">
        <v>1</v>
      </c>
      <c r="B778" s="3" t="str">
        <f>HYPERLINK("https://otsuka-europe-crm.veevavault.com/ui/#object/approved_document__v/V5OZ025E82TFUPI", "Spain - HCP Survey Email - June 2025")</f>
        <v>Spain - HCP Survey Email - June 2025</v>
      </c>
      <c r="C778" s="3" t="str">
        <f>HYPERLINK("https://otsuka-europe-crm.veevavault.com/ui/#object/sent_email__v/VBLZ025E82GMY4D", "SE-000267843")</f>
        <v>SE-000267843</v>
      </c>
      <c r="D778" s="1">
        <v>45915.385324074072</v>
      </c>
      <c r="E778" s="2">
        <v>1</v>
      </c>
      <c r="F778" s="2">
        <v>1</v>
      </c>
      <c r="G778" s="2">
        <v>1</v>
      </c>
      <c r="H778" s="1">
        <v>45915.385324074072</v>
      </c>
      <c r="I778" s="2">
        <v>1</v>
      </c>
      <c r="J778" s="1">
        <v>45915.37740740741</v>
      </c>
    </row>
    <row r="779" spans="1:10" x14ac:dyDescent="0.2">
      <c r="A779" s="4" t="s">
        <v>1</v>
      </c>
      <c r="B779" s="3" t="str">
        <f>HYPERLINK("https://otsuka-europe-crm.veevavault.com/ui/#object/approved_document__v/V5OZ025E82TFUPI", "Spain - HCP Survey Email - June 2025")</f>
        <v>Spain - HCP Survey Email - June 2025</v>
      </c>
      <c r="C779" s="3" t="str">
        <f>HYPERLINK("https://otsuka-europe-crm.veevavault.com/ui/#object/sent_email__v/VBLZ025E82GMY4E", "SE-000267844")</f>
        <v>SE-000267844</v>
      </c>
      <c r="D779" s="1" t="s">
        <v>0</v>
      </c>
      <c r="E779" s="2">
        <v>0</v>
      </c>
      <c r="F779" s="2">
        <v>0</v>
      </c>
      <c r="G779" s="2">
        <v>0</v>
      </c>
      <c r="H779" s="1" t="s">
        <v>0</v>
      </c>
      <c r="I779" s="2">
        <v>0</v>
      </c>
      <c r="J779" s="1">
        <v>45915.37841435185</v>
      </c>
    </row>
    <row r="780" spans="1:10" x14ac:dyDescent="0.2">
      <c r="A780" s="4" t="s">
        <v>1</v>
      </c>
      <c r="B780" s="3" t="str">
        <f>HYPERLINK("https://otsuka-europe-crm.veevavault.com/ui/#object/approved_document__v/V5OZ025E82TFUPI", "Spain - HCP Survey Email - June 2025")</f>
        <v>Spain - HCP Survey Email - June 2025</v>
      </c>
      <c r="C780" s="3" t="str">
        <f>HYPERLINK("https://otsuka-europe-crm.veevavault.com/ui/#object/sent_email__v/VBLZ025E82GMY4F", "SE-000267845")</f>
        <v>SE-000267845</v>
      </c>
      <c r="D780" s="1">
        <v>45915.938101851854</v>
      </c>
      <c r="E780" s="2">
        <v>1</v>
      </c>
      <c r="F780" s="2">
        <v>1</v>
      </c>
      <c r="G780" s="2">
        <v>0</v>
      </c>
      <c r="H780" s="1" t="s">
        <v>0</v>
      </c>
      <c r="I780" s="2">
        <v>0</v>
      </c>
      <c r="J780" s="1">
        <v>45915.378784722219</v>
      </c>
    </row>
    <row r="781" spans="1:10" x14ac:dyDescent="0.2">
      <c r="A781" s="4" t="s">
        <v>1</v>
      </c>
      <c r="B781" s="3" t="str">
        <f>HYPERLINK("https://otsuka-europe-crm.veevavault.com/ui/#object/approved_document__v/V5OZ025E82TFUPI", "Spain - HCP Survey Email - June 2025")</f>
        <v>Spain - HCP Survey Email - June 2025</v>
      </c>
      <c r="C781" s="3" t="str">
        <f>HYPERLINK("https://otsuka-europe-crm.veevavault.com/ui/#object/sent_email__v/VBLZ025E82GMY4G", "SE-000267846")</f>
        <v>SE-000267846</v>
      </c>
      <c r="D781" s="1" t="s">
        <v>0</v>
      </c>
      <c r="E781" s="2">
        <v>0</v>
      </c>
      <c r="F781" s="2">
        <v>0</v>
      </c>
      <c r="G781" s="2">
        <v>0</v>
      </c>
      <c r="H781" s="1" t="s">
        <v>0</v>
      </c>
      <c r="I781" s="2">
        <v>0</v>
      </c>
      <c r="J781" s="1">
        <v>45915.378807870373</v>
      </c>
    </row>
    <row r="782" spans="1:10" x14ac:dyDescent="0.2">
      <c r="A782" s="4" t="s">
        <v>1</v>
      </c>
      <c r="B782" s="3" t="str">
        <f>HYPERLINK("https://otsuka-europe-crm.veevavault.com/ui/#object/approved_document__v/V5OZ025E82TFUPI", "Spain - HCP Survey Email - June 2025")</f>
        <v>Spain - HCP Survey Email - June 2025</v>
      </c>
      <c r="C782" s="3" t="str">
        <f>HYPERLINK("https://otsuka-europe-crm.veevavault.com/ui/#object/sent_email__v/VBLZ025E82GMY4H", "SE-000267847")</f>
        <v>SE-000267847</v>
      </c>
      <c r="D782" s="1">
        <v>45915.4768287037</v>
      </c>
      <c r="E782" s="2">
        <v>1</v>
      </c>
      <c r="F782" s="2">
        <v>1</v>
      </c>
      <c r="G782" s="2">
        <v>1</v>
      </c>
      <c r="H782" s="1">
        <v>45915.538784722223</v>
      </c>
      <c r="I782" s="2">
        <v>1</v>
      </c>
      <c r="J782" s="1">
        <v>45915.379120370373</v>
      </c>
    </row>
    <row r="783" spans="1:10" x14ac:dyDescent="0.2">
      <c r="A783" s="4" t="s">
        <v>1</v>
      </c>
      <c r="B783" s="3" t="str">
        <f>HYPERLINK("https://otsuka-europe-crm.veevavault.com/ui/#object/approved_document__v/V5OZ025E82TFUPI", "Spain - HCP Survey Email - June 2025")</f>
        <v>Spain - HCP Survey Email - June 2025</v>
      </c>
      <c r="C783" s="3" t="str">
        <f>HYPERLINK("https://otsuka-europe-crm.veevavault.com/ui/#object/sent_email__v/VBLZ025E82GMY4I", "SE-000267848")</f>
        <v>SE-000267848</v>
      </c>
      <c r="D783" s="1" t="s">
        <v>0</v>
      </c>
      <c r="E783" s="2">
        <v>0</v>
      </c>
      <c r="F783" s="2">
        <v>0</v>
      </c>
      <c r="G783" s="2">
        <v>0</v>
      </c>
      <c r="H783" s="1" t="s">
        <v>0</v>
      </c>
      <c r="I783" s="2">
        <v>0</v>
      </c>
      <c r="J783" s="1">
        <v>45915.37740740741</v>
      </c>
    </row>
    <row r="784" spans="1:10" x14ac:dyDescent="0.2">
      <c r="A784" s="4" t="s">
        <v>1</v>
      </c>
      <c r="B784" s="3" t="str">
        <f>HYPERLINK("https://otsuka-europe-crm.veevavault.com/ui/#object/approved_document__v/V5OZ025E82TFUPI", "Spain - HCP Survey Email - June 2025")</f>
        <v>Spain - HCP Survey Email - June 2025</v>
      </c>
      <c r="C784" s="3" t="str">
        <f>HYPERLINK("https://otsuka-europe-crm.veevavault.com/ui/#object/sent_email__v/VBLZ025E82GMY4J", "SE-000267849")</f>
        <v>SE-000267849</v>
      </c>
      <c r="D784" s="1">
        <v>45915.380474537036</v>
      </c>
      <c r="E784" s="2">
        <v>1</v>
      </c>
      <c r="F784" s="2">
        <v>1</v>
      </c>
      <c r="G784" s="2">
        <v>1</v>
      </c>
      <c r="H784" s="1">
        <v>45915.380682870367</v>
      </c>
      <c r="I784" s="2">
        <v>1</v>
      </c>
      <c r="J784" s="1">
        <v>45915.378425925926</v>
      </c>
    </row>
    <row r="785" spans="1:10" x14ac:dyDescent="0.2">
      <c r="A785" s="4" t="s">
        <v>1</v>
      </c>
      <c r="B785" s="3" t="str">
        <f>HYPERLINK("https://otsuka-europe-crm.veevavault.com/ui/#object/approved_document__v/V5OZ025E82TFUPI", "Spain - HCP Survey Email - June 2025")</f>
        <v>Spain - HCP Survey Email - June 2025</v>
      </c>
      <c r="C785" s="3" t="str">
        <f>HYPERLINK("https://otsuka-europe-crm.veevavault.com/ui/#object/sent_email__v/VBLZ025E82GMY4K", "SE-000267850")</f>
        <v>SE-000267850</v>
      </c>
      <c r="D785" s="1" t="s">
        <v>0</v>
      </c>
      <c r="E785" s="2">
        <v>0</v>
      </c>
      <c r="F785" s="2">
        <v>0</v>
      </c>
      <c r="G785" s="2">
        <v>0</v>
      </c>
      <c r="H785" s="1" t="s">
        <v>0</v>
      </c>
      <c r="I785" s="2">
        <v>0</v>
      </c>
      <c r="J785" s="1">
        <v>45915.378993055558</v>
      </c>
    </row>
    <row r="786" spans="1:10" x14ac:dyDescent="0.2">
      <c r="A786" s="4" t="s">
        <v>1</v>
      </c>
      <c r="B786" s="3" t="str">
        <f>HYPERLINK("https://otsuka-europe-crm.veevavault.com/ui/#object/approved_document__v/V5OZ025E82TFUPI", "Spain - HCP Survey Email - June 2025")</f>
        <v>Spain - HCP Survey Email - June 2025</v>
      </c>
      <c r="C786" s="3" t="str">
        <f>HYPERLINK("https://otsuka-europe-crm.veevavault.com/ui/#object/sent_email__v/VBLZ025E82GMY4L", "SE-000267851")</f>
        <v>SE-000267851</v>
      </c>
      <c r="D786" s="1">
        <v>45921.763287037036</v>
      </c>
      <c r="E786" s="2">
        <v>1</v>
      </c>
      <c r="F786" s="2">
        <v>5</v>
      </c>
      <c r="G786" s="2">
        <v>0</v>
      </c>
      <c r="H786" s="1" t="s">
        <v>0</v>
      </c>
      <c r="I786" s="2">
        <v>0</v>
      </c>
      <c r="J786" s="1">
        <v>45915.378703703704</v>
      </c>
    </row>
    <row r="787" spans="1:10" x14ac:dyDescent="0.2">
      <c r="A787" s="4" t="s">
        <v>1</v>
      </c>
      <c r="B787" s="3" t="str">
        <f>HYPERLINK("https://otsuka-europe-crm.veevavault.com/ui/#object/approved_document__v/V5OZ025E82TFUPI", "Spain - HCP Survey Email - June 2025")</f>
        <v>Spain - HCP Survey Email - June 2025</v>
      </c>
      <c r="C787" s="3" t="str">
        <f>HYPERLINK("https://otsuka-europe-crm.veevavault.com/ui/#object/sent_email__v/VBLZ025E82GMY4M", "SE-000267852")</f>
        <v>SE-000267852</v>
      </c>
      <c r="D787" s="1" t="s">
        <v>0</v>
      </c>
      <c r="E787" s="2">
        <v>0</v>
      </c>
      <c r="F787" s="2">
        <v>0</v>
      </c>
      <c r="G787" s="2">
        <v>0</v>
      </c>
      <c r="H787" s="1" t="s">
        <v>0</v>
      </c>
      <c r="I787" s="2">
        <v>0</v>
      </c>
      <c r="J787" s="1">
        <v>45915.379201388889</v>
      </c>
    </row>
    <row r="788" spans="1:10" x14ac:dyDescent="0.2">
      <c r="A788" s="4" t="s">
        <v>1</v>
      </c>
      <c r="B788" s="3" t="str">
        <f>HYPERLINK("https://otsuka-europe-crm.veevavault.com/ui/#object/approved_document__v/V5OZ025E82TFUPI", "Spain - HCP Survey Email - June 2025")</f>
        <v>Spain - HCP Survey Email - June 2025</v>
      </c>
      <c r="C788" s="3" t="str">
        <f>HYPERLINK("https://otsuka-europe-crm.veevavault.com/ui/#object/sent_email__v/VBLZ025E82GMY4N", "SE-000267853")</f>
        <v>SE-000267853</v>
      </c>
      <c r="D788" s="1">
        <v>45916.556354166663</v>
      </c>
      <c r="E788" s="2">
        <v>1</v>
      </c>
      <c r="F788" s="2">
        <v>4</v>
      </c>
      <c r="G788" s="2">
        <v>0</v>
      </c>
      <c r="H788" s="1" t="s">
        <v>0</v>
      </c>
      <c r="I788" s="2">
        <v>0</v>
      </c>
      <c r="J788" s="1">
        <v>45915.377812500003</v>
      </c>
    </row>
    <row r="789" spans="1:10" x14ac:dyDescent="0.2">
      <c r="A789" s="4" t="s">
        <v>1</v>
      </c>
      <c r="B789" s="3" t="str">
        <f>HYPERLINK("https://otsuka-europe-crm.veevavault.com/ui/#object/approved_document__v/V5OZ025E82TFUPI", "Spain - HCP Survey Email - June 2025")</f>
        <v>Spain - HCP Survey Email - June 2025</v>
      </c>
      <c r="C789" s="3" t="str">
        <f>HYPERLINK("https://otsuka-europe-crm.veevavault.com/ui/#object/sent_email__v/VBLZ025E82GMY4O", "SE-000267854")</f>
        <v>SE-000267854</v>
      </c>
      <c r="D789" s="1">
        <v>45939.970138888886</v>
      </c>
      <c r="E789" s="2">
        <v>1</v>
      </c>
      <c r="F789" s="2">
        <v>2</v>
      </c>
      <c r="G789" s="2">
        <v>0</v>
      </c>
      <c r="H789" s="1" t="s">
        <v>0</v>
      </c>
      <c r="I789" s="2">
        <v>0</v>
      </c>
      <c r="J789" s="1">
        <v>45915.378344907411</v>
      </c>
    </row>
    <row r="790" spans="1:10" x14ac:dyDescent="0.2">
      <c r="A790" s="4" t="s">
        <v>1</v>
      </c>
      <c r="B790" s="3" t="str">
        <f>HYPERLINK("https://otsuka-europe-crm.veevavault.com/ui/#object/approved_document__v/V5OZ025E82TFUPI", "Spain - HCP Survey Email - June 2025")</f>
        <v>Spain - HCP Survey Email - June 2025</v>
      </c>
      <c r="C790" s="3" t="str">
        <f>HYPERLINK("https://otsuka-europe-crm.veevavault.com/ui/#object/sent_email__v/VBLZ025E82GMY4P", "SE-000267855")</f>
        <v>SE-000267855</v>
      </c>
      <c r="D790" s="1" t="s">
        <v>0</v>
      </c>
      <c r="E790" s="2">
        <v>0</v>
      </c>
      <c r="F790" s="2">
        <v>0</v>
      </c>
      <c r="G790" s="2">
        <v>0</v>
      </c>
      <c r="H790" s="1" t="s">
        <v>0</v>
      </c>
      <c r="I790" s="2">
        <v>0</v>
      </c>
      <c r="J790" s="1">
        <v>45915.378136574072</v>
      </c>
    </row>
    <row r="791" spans="1:10" x14ac:dyDescent="0.2">
      <c r="A791" s="4" t="s">
        <v>1</v>
      </c>
      <c r="B791" s="3" t="str">
        <f>HYPERLINK("https://otsuka-europe-crm.veevavault.com/ui/#object/approved_document__v/V5OZ025E82TFUPI", "Spain - HCP Survey Email - June 2025")</f>
        <v>Spain - HCP Survey Email - June 2025</v>
      </c>
      <c r="C791" s="3" t="str">
        <f>HYPERLINK("https://otsuka-europe-crm.veevavault.com/ui/#object/sent_email__v/VBLZ025E82GMY4Q", "SE-000267856")</f>
        <v>SE-000267856</v>
      </c>
      <c r="D791" s="1">
        <v>45915.390717592592</v>
      </c>
      <c r="E791" s="2">
        <v>1</v>
      </c>
      <c r="F791" s="2">
        <v>1</v>
      </c>
      <c r="G791" s="2">
        <v>0</v>
      </c>
      <c r="H791" s="1" t="s">
        <v>0</v>
      </c>
      <c r="I791" s="2">
        <v>0</v>
      </c>
      <c r="J791" s="1">
        <v>45915.378680555557</v>
      </c>
    </row>
    <row r="792" spans="1:10" x14ac:dyDescent="0.2">
      <c r="A792" s="4" t="s">
        <v>1</v>
      </c>
      <c r="B792" s="3" t="str">
        <f>HYPERLINK("https://otsuka-europe-crm.veevavault.com/ui/#object/approved_document__v/V5OZ025E82TFUPI", "Spain - HCP Survey Email - June 2025")</f>
        <v>Spain - HCP Survey Email - June 2025</v>
      </c>
      <c r="C792" s="3" t="str">
        <f>HYPERLINK("https://otsuka-europe-crm.veevavault.com/ui/#object/sent_email__v/VBLZ025E82GMY4R", "SE-000267857")</f>
        <v>SE-000267857</v>
      </c>
      <c r="D792" s="1" t="s">
        <v>0</v>
      </c>
      <c r="E792" s="2">
        <v>0</v>
      </c>
      <c r="F792" s="2">
        <v>0</v>
      </c>
      <c r="G792" s="2">
        <v>0</v>
      </c>
      <c r="H792" s="1" t="s">
        <v>0</v>
      </c>
      <c r="I792" s="2">
        <v>0</v>
      </c>
      <c r="J792" s="1">
        <v>45915.379467592589</v>
      </c>
    </row>
    <row r="793" spans="1:10" x14ac:dyDescent="0.2">
      <c r="A793" s="4" t="s">
        <v>1</v>
      </c>
      <c r="B793" s="3" t="str">
        <f>HYPERLINK("https://otsuka-europe-crm.veevavault.com/ui/#object/approved_document__v/V5OZ025E82TFUPI", "Spain - HCP Survey Email - June 2025")</f>
        <v>Spain - HCP Survey Email - June 2025</v>
      </c>
      <c r="C793" s="3" t="str">
        <f>HYPERLINK("https://otsuka-europe-crm.veevavault.com/ui/#object/sent_email__v/VBLZ025E82GMY4S", "SE-000267858")</f>
        <v>SE-000267858</v>
      </c>
      <c r="D793" s="1" t="s">
        <v>0</v>
      </c>
      <c r="E793" s="2">
        <v>0</v>
      </c>
      <c r="F793" s="2">
        <v>0</v>
      </c>
      <c r="G793" s="2">
        <v>0</v>
      </c>
      <c r="H793" s="1" t="s">
        <v>0</v>
      </c>
      <c r="I793" s="2">
        <v>0</v>
      </c>
      <c r="J793" s="1">
        <v>45915.379270833335</v>
      </c>
    </row>
    <row r="794" spans="1:10" x14ac:dyDescent="0.2">
      <c r="A794" s="4" t="s">
        <v>1</v>
      </c>
      <c r="B794" s="3" t="str">
        <f>HYPERLINK("https://otsuka-europe-crm.veevavault.com/ui/#object/approved_document__v/V5OZ025E82TFUPI", "Spain - HCP Survey Email - June 2025")</f>
        <v>Spain - HCP Survey Email - June 2025</v>
      </c>
      <c r="C794" s="3" t="str">
        <f>HYPERLINK("https://otsuka-europe-crm.veevavault.com/ui/#object/sent_email__v/VBLZ025E82GMY4T", "SE-000267859")</f>
        <v>SE-000267859</v>
      </c>
      <c r="D794" s="1" t="s">
        <v>0</v>
      </c>
      <c r="E794" s="2">
        <v>0</v>
      </c>
      <c r="F794" s="2">
        <v>0</v>
      </c>
      <c r="G794" s="2">
        <v>0</v>
      </c>
      <c r="H794" s="1" t="s">
        <v>0</v>
      </c>
      <c r="I794" s="2">
        <v>0</v>
      </c>
      <c r="J794" s="1">
        <v>45915.377453703702</v>
      </c>
    </row>
    <row r="795" spans="1:10" x14ac:dyDescent="0.2">
      <c r="A795" s="4" t="s">
        <v>1</v>
      </c>
      <c r="B795" s="3" t="str">
        <f>HYPERLINK("https://otsuka-europe-crm.veevavault.com/ui/#object/approved_document__v/V5OZ025E82TFUPI", "Spain - HCP Survey Email - June 2025")</f>
        <v>Spain - HCP Survey Email - June 2025</v>
      </c>
      <c r="C795" s="3" t="str">
        <f>HYPERLINK("https://otsuka-europe-crm.veevavault.com/ui/#object/sent_email__v/VBLZ025E82GMY4U", "SE-000267860")</f>
        <v>SE-000267860</v>
      </c>
      <c r="D795" s="1">
        <v>45915.414733796293</v>
      </c>
      <c r="E795" s="2">
        <v>1</v>
      </c>
      <c r="F795" s="2">
        <v>1</v>
      </c>
      <c r="G795" s="2">
        <v>0</v>
      </c>
      <c r="H795" s="1" t="s">
        <v>0</v>
      </c>
      <c r="I795" s="2">
        <v>0</v>
      </c>
      <c r="J795" s="1">
        <v>45915.37841435185</v>
      </c>
    </row>
    <row r="796" spans="1:10" x14ac:dyDescent="0.2">
      <c r="A796" s="4" t="s">
        <v>1</v>
      </c>
      <c r="B796" s="3" t="str">
        <f>HYPERLINK("https://otsuka-europe-crm.veevavault.com/ui/#object/approved_document__v/V5OZ025E82TFUPI", "Spain - HCP Survey Email - June 2025")</f>
        <v>Spain - HCP Survey Email - June 2025</v>
      </c>
      <c r="C796" s="3" t="str">
        <f>HYPERLINK("https://otsuka-europe-crm.veevavault.com/ui/#object/sent_email__v/VBLZ025E82GMY4V", "SE-000267861")</f>
        <v>SE-000267861</v>
      </c>
      <c r="D796" s="1">
        <v>45915.429212962961</v>
      </c>
      <c r="E796" s="2">
        <v>1</v>
      </c>
      <c r="F796" s="2">
        <v>3</v>
      </c>
      <c r="G796" s="2">
        <v>1</v>
      </c>
      <c r="H796" s="1">
        <v>45915.429791666669</v>
      </c>
      <c r="I796" s="2">
        <v>1</v>
      </c>
      <c r="J796" s="1">
        <v>45915.378784722219</v>
      </c>
    </row>
    <row r="797" spans="1:10" x14ac:dyDescent="0.2">
      <c r="A797" s="4" t="s">
        <v>1</v>
      </c>
      <c r="B797" s="3" t="str">
        <f>HYPERLINK("https://otsuka-europe-crm.veevavault.com/ui/#object/approved_document__v/V5OZ025E82TFUPI", "Spain - HCP Survey Email - June 2025")</f>
        <v>Spain - HCP Survey Email - June 2025</v>
      </c>
      <c r="C797" s="3" t="str">
        <f>HYPERLINK("https://otsuka-europe-crm.veevavault.com/ui/#object/sent_email__v/VBLZ025E82GMY4W", "SE-000267862")</f>
        <v>SE-000267862</v>
      </c>
      <c r="D797" s="1">
        <v>45915.425787037035</v>
      </c>
      <c r="E797" s="2">
        <v>1</v>
      </c>
      <c r="F797" s="2">
        <v>2</v>
      </c>
      <c r="G797" s="2">
        <v>0</v>
      </c>
      <c r="H797" s="1" t="s">
        <v>0</v>
      </c>
      <c r="I797" s="2">
        <v>0</v>
      </c>
      <c r="J797" s="1">
        <v>45915.378831018519</v>
      </c>
    </row>
    <row r="798" spans="1:10" x14ac:dyDescent="0.2">
      <c r="A798" s="4" t="s">
        <v>1</v>
      </c>
      <c r="B798" s="3" t="str">
        <f>HYPERLINK("https://otsuka-europe-crm.veevavault.com/ui/#object/approved_document__v/V5OZ025E82TFUPI", "Spain - HCP Survey Email - June 2025")</f>
        <v>Spain - HCP Survey Email - June 2025</v>
      </c>
      <c r="C798" s="3" t="str">
        <f>HYPERLINK("https://otsuka-europe-crm.veevavault.com/ui/#object/sent_email__v/VBLZ025E82GMY4X", "SE-000267863")</f>
        <v>SE-000267863</v>
      </c>
      <c r="D798" s="1" t="s">
        <v>0</v>
      </c>
      <c r="E798" s="2">
        <v>0</v>
      </c>
      <c r="F798" s="2">
        <v>0</v>
      </c>
      <c r="G798" s="2">
        <v>0</v>
      </c>
      <c r="H798" s="1" t="s">
        <v>0</v>
      </c>
      <c r="I798" s="2">
        <v>0</v>
      </c>
      <c r="J798" s="1">
        <v>45915.379131944443</v>
      </c>
    </row>
    <row r="799" spans="1:10" x14ac:dyDescent="0.2">
      <c r="A799" s="4" t="s">
        <v>1</v>
      </c>
      <c r="B799" s="3" t="str">
        <f>HYPERLINK("https://otsuka-europe-crm.veevavault.com/ui/#object/approved_document__v/V5OZ025E82TFUPI", "Spain - HCP Survey Email - June 2025")</f>
        <v>Spain - HCP Survey Email - June 2025</v>
      </c>
      <c r="C799" s="3" t="str">
        <f>HYPERLINK("https://otsuka-europe-crm.veevavault.com/ui/#object/sent_email__v/VBLZ025E82GMY4Y", "SE-000267864")</f>
        <v>SE-000267864</v>
      </c>
      <c r="D799" s="1" t="s">
        <v>0</v>
      </c>
      <c r="E799" s="2">
        <v>0</v>
      </c>
      <c r="F799" s="2">
        <v>0</v>
      </c>
      <c r="G799" s="2">
        <v>0</v>
      </c>
      <c r="H799" s="1" t="s">
        <v>0</v>
      </c>
      <c r="I799" s="2">
        <v>0</v>
      </c>
      <c r="J799" s="1">
        <v>45915.377858796295</v>
      </c>
    </row>
    <row r="800" spans="1:10" x14ac:dyDescent="0.2">
      <c r="A800" s="4" t="s">
        <v>1</v>
      </c>
      <c r="B800" s="3" t="str">
        <f>HYPERLINK("https://otsuka-europe-crm.veevavault.com/ui/#object/approved_document__v/V5OZ025E82TFUPI", "Spain - HCP Survey Email - June 2025")</f>
        <v>Spain - HCP Survey Email - June 2025</v>
      </c>
      <c r="C800" s="3" t="str">
        <f>HYPERLINK("https://otsuka-europe-crm.veevavault.com/ui/#object/sent_email__v/VBLZ025E82GMY4Z", "SE-000267865")</f>
        <v>SE-000267865</v>
      </c>
      <c r="D800" s="1" t="s">
        <v>0</v>
      </c>
      <c r="E800" s="2">
        <v>0</v>
      </c>
      <c r="F800" s="2">
        <v>0</v>
      </c>
      <c r="G800" s="2">
        <v>0</v>
      </c>
      <c r="H800" s="1" t="s">
        <v>0</v>
      </c>
      <c r="I800" s="2">
        <v>0</v>
      </c>
      <c r="J800" s="1">
        <v>45915.378321759257</v>
      </c>
    </row>
    <row r="801" spans="1:10" x14ac:dyDescent="0.2">
      <c r="A801" s="4" t="s">
        <v>1</v>
      </c>
      <c r="B801" s="3" t="str">
        <f>HYPERLINK("https://otsuka-europe-crm.veevavault.com/ui/#object/approved_document__v/V5OZ025E82TFUPI", "Spain - HCP Survey Email - June 2025")</f>
        <v>Spain - HCP Survey Email - June 2025</v>
      </c>
      <c r="C801" s="3" t="str">
        <f>HYPERLINK("https://otsuka-europe-crm.veevavault.com/ui/#object/sent_email__v/VBLZ025E82GMY50", "SE-000267866")</f>
        <v>SE-000267866</v>
      </c>
      <c r="D801" s="1" t="s">
        <v>0</v>
      </c>
      <c r="E801" s="2">
        <v>0</v>
      </c>
      <c r="F801" s="2">
        <v>0</v>
      </c>
      <c r="G801" s="2">
        <v>0</v>
      </c>
      <c r="H801" s="1" t="s">
        <v>0</v>
      </c>
      <c r="I801" s="2">
        <v>0</v>
      </c>
      <c r="J801" s="1">
        <v>45915.378182870372</v>
      </c>
    </row>
    <row r="802" spans="1:10" x14ac:dyDescent="0.2">
      <c r="A802" s="4" t="s">
        <v>1</v>
      </c>
      <c r="B802" s="3" t="str">
        <f>HYPERLINK("https://otsuka-europe-crm.veevavault.com/ui/#object/approved_document__v/V5OZ025E82TFUPI", "Spain - HCP Survey Email - June 2025")</f>
        <v>Spain - HCP Survey Email - June 2025</v>
      </c>
      <c r="C802" s="3" t="str">
        <f>HYPERLINK("https://otsuka-europe-crm.veevavault.com/ui/#object/sent_email__v/VBLZ025E82GMY51", "SE-000267867")</f>
        <v>SE-000267867</v>
      </c>
      <c r="D802" s="1">
        <v>45990.479490740741</v>
      </c>
      <c r="E802" s="2">
        <v>1</v>
      </c>
      <c r="F802" s="2">
        <v>5</v>
      </c>
      <c r="G802" s="2">
        <v>0</v>
      </c>
      <c r="H802" s="1" t="s">
        <v>0</v>
      </c>
      <c r="I802" s="2">
        <v>0</v>
      </c>
      <c r="J802" s="1">
        <v>45915.378969907404</v>
      </c>
    </row>
    <row r="803" spans="1:10" x14ac:dyDescent="0.2">
      <c r="A803" s="4" t="s">
        <v>1</v>
      </c>
      <c r="B803" s="3" t="str">
        <f>HYPERLINK("https://otsuka-europe-crm.veevavault.com/ui/#object/approved_document__v/V5OZ025E82TFUPI", "Spain - HCP Survey Email - June 2025")</f>
        <v>Spain - HCP Survey Email - June 2025</v>
      </c>
      <c r="C803" s="3" t="str">
        <f>HYPERLINK("https://otsuka-europe-crm.veevavault.com/ui/#object/sent_email__v/VBLZ025E82GMY52", "SE-000267868")</f>
        <v>SE-000267868</v>
      </c>
      <c r="D803" s="1">
        <v>45917.882268518515</v>
      </c>
      <c r="E803" s="2">
        <v>1</v>
      </c>
      <c r="F803" s="2">
        <v>2</v>
      </c>
      <c r="G803" s="2">
        <v>1</v>
      </c>
      <c r="H803" s="1">
        <v>45917.882384259261</v>
      </c>
      <c r="I803" s="2">
        <v>1</v>
      </c>
      <c r="J803" s="1">
        <v>45915.379571759258</v>
      </c>
    </row>
    <row r="804" spans="1:10" x14ac:dyDescent="0.2">
      <c r="A804" s="4" t="s">
        <v>1</v>
      </c>
      <c r="B804" s="3" t="str">
        <f>HYPERLINK("https://otsuka-europe-crm.veevavault.com/ui/#object/approved_document__v/V5OZ025E82TFUPI", "Spain - HCP Survey Email - June 2025")</f>
        <v>Spain - HCP Survey Email - June 2025</v>
      </c>
      <c r="C804" s="3" t="str">
        <f>HYPERLINK("https://otsuka-europe-crm.veevavault.com/ui/#object/sent_email__v/VBLZ025E82GMY53", "SE-000267869")</f>
        <v>SE-000267869</v>
      </c>
      <c r="D804" s="1">
        <v>45915.42931712963</v>
      </c>
      <c r="E804" s="2">
        <v>1</v>
      </c>
      <c r="F804" s="2">
        <v>2</v>
      </c>
      <c r="G804" s="2">
        <v>0</v>
      </c>
      <c r="H804" s="1" t="s">
        <v>0</v>
      </c>
      <c r="I804" s="2">
        <v>0</v>
      </c>
      <c r="J804" s="1">
        <v>45915.379259259258</v>
      </c>
    </row>
    <row r="805" spans="1:10" x14ac:dyDescent="0.2">
      <c r="A805" s="4" t="s">
        <v>1</v>
      </c>
      <c r="B805" s="3" t="str">
        <f>HYPERLINK("https://otsuka-europe-crm.veevavault.com/ui/#object/approved_document__v/V5OZ025E82TFUPI", "Spain - HCP Survey Email - June 2025")</f>
        <v>Spain - HCP Survey Email - June 2025</v>
      </c>
      <c r="C805" s="3" t="str">
        <f>HYPERLINK("https://otsuka-europe-crm.veevavault.com/ui/#object/sent_email__v/VBLZ025E82GMY54", "SE-000267870")</f>
        <v>SE-000267870</v>
      </c>
      <c r="D805" s="1" t="s">
        <v>0</v>
      </c>
      <c r="E805" s="2">
        <v>0</v>
      </c>
      <c r="F805" s="2">
        <v>0</v>
      </c>
      <c r="G805" s="2">
        <v>0</v>
      </c>
      <c r="H805" s="1" t="s">
        <v>0</v>
      </c>
      <c r="I805" s="2">
        <v>0</v>
      </c>
      <c r="J805" s="1">
        <v>45915.377442129633</v>
      </c>
    </row>
    <row r="806" spans="1:10" x14ac:dyDescent="0.2">
      <c r="A806" s="4" t="s">
        <v>1</v>
      </c>
      <c r="B806" s="3" t="str">
        <f>HYPERLINK("https://otsuka-europe-crm.veevavault.com/ui/#object/approved_document__v/V5OZ025E82TFUPI", "Spain - HCP Survey Email - June 2025")</f>
        <v>Spain - HCP Survey Email - June 2025</v>
      </c>
      <c r="C806" s="3" t="str">
        <f>HYPERLINK("https://otsuka-europe-crm.veevavault.com/ui/#object/sent_email__v/VBLZ025E82GMY55", "SE-000267871")</f>
        <v>SE-000267871</v>
      </c>
      <c r="D806" s="1" t="s">
        <v>0</v>
      </c>
      <c r="E806" s="2">
        <v>0</v>
      </c>
      <c r="F806" s="2">
        <v>0</v>
      </c>
      <c r="G806" s="2">
        <v>0</v>
      </c>
      <c r="H806" s="1" t="s">
        <v>0</v>
      </c>
      <c r="I806" s="2">
        <v>0</v>
      </c>
      <c r="J806" s="1">
        <v>45915.378333333334</v>
      </c>
    </row>
    <row r="807" spans="1:10" x14ac:dyDescent="0.2">
      <c r="A807" s="4" t="s">
        <v>1</v>
      </c>
      <c r="B807" s="3" t="str">
        <f>HYPERLINK("https://otsuka-europe-crm.veevavault.com/ui/#object/approved_document__v/V5OZ025E82TFUPI", "Spain - HCP Survey Email - June 2025")</f>
        <v>Spain - HCP Survey Email - June 2025</v>
      </c>
      <c r="C807" s="3" t="str">
        <f>HYPERLINK("https://otsuka-europe-crm.veevavault.com/ui/#object/sent_email__v/VBLZ025E82GMY56", "SE-000267872")</f>
        <v>SE-000267872</v>
      </c>
      <c r="D807" s="1">
        <v>45916.204618055555</v>
      </c>
      <c r="E807" s="2">
        <v>1</v>
      </c>
      <c r="F807" s="2">
        <v>2</v>
      </c>
      <c r="G807" s="2">
        <v>0</v>
      </c>
      <c r="H807" s="1" t="s">
        <v>0</v>
      </c>
      <c r="I807" s="2">
        <v>0</v>
      </c>
      <c r="J807" s="1">
        <v>45915.378900462965</v>
      </c>
    </row>
    <row r="808" spans="1:10" x14ac:dyDescent="0.2">
      <c r="A808" s="4" t="s">
        <v>1</v>
      </c>
      <c r="B808" s="3" t="str">
        <f>HYPERLINK("https://otsuka-europe-crm.veevavault.com/ui/#object/approved_document__v/V5OZ025E82TFUPI", "Spain - HCP Survey Email - June 2025")</f>
        <v>Spain - HCP Survey Email - June 2025</v>
      </c>
      <c r="C808" s="3" t="str">
        <f>HYPERLINK("https://otsuka-europe-crm.veevavault.com/ui/#object/sent_email__v/VBLZ025E82GMY57", "SE-000267873")</f>
        <v>SE-000267873</v>
      </c>
      <c r="D808" s="1">
        <v>45919.286770833336</v>
      </c>
      <c r="E808" s="2">
        <v>1</v>
      </c>
      <c r="F808" s="2">
        <v>2</v>
      </c>
      <c r="G808" s="2">
        <v>0</v>
      </c>
      <c r="H808" s="1" t="s">
        <v>0</v>
      </c>
      <c r="I808" s="2">
        <v>0</v>
      </c>
      <c r="J808" s="1">
        <v>45915.378784722219</v>
      </c>
    </row>
    <row r="809" spans="1:10" x14ac:dyDescent="0.2">
      <c r="A809" s="4" t="s">
        <v>1</v>
      </c>
      <c r="B809" s="3" t="str">
        <f>HYPERLINK("https://otsuka-europe-crm.veevavault.com/ui/#object/approved_document__v/V5OZ025E82TFUPI", "Spain - HCP Survey Email - June 2025")</f>
        <v>Spain - HCP Survey Email - June 2025</v>
      </c>
      <c r="C809" s="3" t="str">
        <f>HYPERLINK("https://otsuka-europe-crm.veevavault.com/ui/#object/sent_email__v/VBLZ025E82GMY58", "SE-000267874")</f>
        <v>SE-000267874</v>
      </c>
      <c r="D809" s="1">
        <v>45916.85597222222</v>
      </c>
      <c r="E809" s="2">
        <v>1</v>
      </c>
      <c r="F809" s="2">
        <v>3</v>
      </c>
      <c r="G809" s="2">
        <v>0</v>
      </c>
      <c r="H809" s="1" t="s">
        <v>0</v>
      </c>
      <c r="I809" s="2">
        <v>0</v>
      </c>
      <c r="J809" s="1">
        <v>45915.379201388889</v>
      </c>
    </row>
    <row r="810" spans="1:10" x14ac:dyDescent="0.2">
      <c r="A810" s="4" t="s">
        <v>1</v>
      </c>
      <c r="B810" s="3" t="str">
        <f>HYPERLINK("https://otsuka-europe-crm.veevavault.com/ui/#object/approved_document__v/V5OZ025E82TFUPI", "Spain - HCP Survey Email - June 2025")</f>
        <v>Spain - HCP Survey Email - June 2025</v>
      </c>
      <c r="C810" s="3" t="str">
        <f>HYPERLINK("https://otsuka-europe-crm.veevavault.com/ui/#object/sent_email__v/VBLZ025E82GMY59", "SE-000267875")</f>
        <v>SE-000267875</v>
      </c>
      <c r="D810" s="1">
        <v>45916.682245370372</v>
      </c>
      <c r="E810" s="2">
        <v>1</v>
      </c>
      <c r="F810" s="2">
        <v>1</v>
      </c>
      <c r="G810" s="2">
        <v>0</v>
      </c>
      <c r="H810" s="1" t="s">
        <v>0</v>
      </c>
      <c r="I810" s="2">
        <v>0</v>
      </c>
      <c r="J810" s="1">
        <v>45915.377905092595</v>
      </c>
    </row>
    <row r="811" spans="1:10" x14ac:dyDescent="0.2">
      <c r="A811" s="4" t="s">
        <v>1</v>
      </c>
      <c r="B811" s="3" t="str">
        <f>HYPERLINK("https://otsuka-europe-crm.veevavault.com/ui/#object/approved_document__v/V5OZ025E82TFUPI", "Spain - HCP Survey Email - June 2025")</f>
        <v>Spain - HCP Survey Email - June 2025</v>
      </c>
      <c r="C811" s="3" t="str">
        <f>HYPERLINK("https://otsuka-europe-crm.veevavault.com/ui/#object/sent_email__v/VBLZ025E82GMY5A", "SE-000267876")</f>
        <v>SE-000267876</v>
      </c>
      <c r="D811" s="1">
        <v>45915.888854166667</v>
      </c>
      <c r="E811" s="2">
        <v>1</v>
      </c>
      <c r="F811" s="2">
        <v>1</v>
      </c>
      <c r="G811" s="2">
        <v>0</v>
      </c>
      <c r="H811" s="1" t="s">
        <v>0</v>
      </c>
      <c r="I811" s="2">
        <v>0</v>
      </c>
      <c r="J811" s="1">
        <v>45915.378287037034</v>
      </c>
    </row>
    <row r="812" spans="1:10" x14ac:dyDescent="0.2">
      <c r="A812" s="4" t="s">
        <v>1</v>
      </c>
      <c r="B812" s="3" t="str">
        <f>HYPERLINK("https://otsuka-europe-crm.veevavault.com/ui/#object/approved_document__v/V5OZ025E82TFUPI", "Spain - HCP Survey Email - June 2025")</f>
        <v>Spain - HCP Survey Email - June 2025</v>
      </c>
      <c r="C812" s="3" t="str">
        <f>HYPERLINK("https://otsuka-europe-crm.veevavault.com/ui/#object/sent_email__v/VBLZ025E82GMY5B", "SE-000267877")</f>
        <v>SE-000267877</v>
      </c>
      <c r="D812" s="1" t="s">
        <v>0</v>
      </c>
      <c r="E812" s="2">
        <v>0</v>
      </c>
      <c r="F812" s="2">
        <v>0</v>
      </c>
      <c r="G812" s="2">
        <v>0</v>
      </c>
      <c r="H812" s="1" t="s">
        <v>0</v>
      </c>
      <c r="I812" s="2">
        <v>0</v>
      </c>
      <c r="J812" s="1">
        <v>45915.378182870372</v>
      </c>
    </row>
    <row r="813" spans="1:10" x14ac:dyDescent="0.2">
      <c r="A813" s="4" t="s">
        <v>1</v>
      </c>
      <c r="B813" s="3" t="str">
        <f>HYPERLINK("https://otsuka-europe-crm.veevavault.com/ui/#object/approved_document__v/V5OZ025E82TFUPI", "Spain - HCP Survey Email - June 2025")</f>
        <v>Spain - HCP Survey Email - June 2025</v>
      </c>
      <c r="C813" s="3" t="str">
        <f>HYPERLINK("https://otsuka-europe-crm.veevavault.com/ui/#object/sent_email__v/VBLZ025E82GMY5C", "SE-000267878")</f>
        <v>SE-000267878</v>
      </c>
      <c r="D813" s="1" t="s">
        <v>0</v>
      </c>
      <c r="E813" s="2">
        <v>0</v>
      </c>
      <c r="F813" s="2">
        <v>0</v>
      </c>
      <c r="G813" s="2">
        <v>0</v>
      </c>
      <c r="H813" s="1" t="s">
        <v>0</v>
      </c>
      <c r="I813" s="2">
        <v>0</v>
      </c>
      <c r="J813" s="1">
        <v>45915.378599537034</v>
      </c>
    </row>
    <row r="814" spans="1:10" x14ac:dyDescent="0.2">
      <c r="A814" s="4" t="s">
        <v>1</v>
      </c>
      <c r="B814" s="3" t="str">
        <f>HYPERLINK("https://otsuka-europe-crm.veevavault.com/ui/#object/approved_document__v/V5OZ025E82TFUPI", "Spain - HCP Survey Email - June 2025")</f>
        <v>Spain - HCP Survey Email - June 2025</v>
      </c>
      <c r="C814" s="3" t="str">
        <f>HYPERLINK("https://otsuka-europe-crm.veevavault.com/ui/#object/sent_email__v/VBLZ025E82GMY5D", "SE-000267879")</f>
        <v>SE-000267879</v>
      </c>
      <c r="D814" s="1" t="s">
        <v>0</v>
      </c>
      <c r="E814" s="2">
        <v>0</v>
      </c>
      <c r="F814" s="2">
        <v>0</v>
      </c>
      <c r="G814" s="2">
        <v>0</v>
      </c>
      <c r="H814" s="1" t="s">
        <v>0</v>
      </c>
      <c r="I814" s="2">
        <v>0</v>
      </c>
      <c r="J814" s="1">
        <v>45915.379548611112</v>
      </c>
    </row>
    <row r="815" spans="1:10" x14ac:dyDescent="0.2">
      <c r="A815" s="4" t="s">
        <v>1</v>
      </c>
      <c r="B815" s="3" t="str">
        <f>HYPERLINK("https://otsuka-europe-crm.veevavault.com/ui/#object/approved_document__v/V5OZ025E82TFUPI", "Spain - HCP Survey Email - June 2025")</f>
        <v>Spain - HCP Survey Email - June 2025</v>
      </c>
      <c r="C815" s="3" t="str">
        <f>HYPERLINK("https://otsuka-europe-crm.veevavault.com/ui/#object/sent_email__v/VBLZ025E82GMY5E", "SE-000267880")</f>
        <v>SE-000267880</v>
      </c>
      <c r="D815" s="1">
        <v>45923.025810185187</v>
      </c>
      <c r="E815" s="2">
        <v>1</v>
      </c>
      <c r="F815" s="2">
        <v>3</v>
      </c>
      <c r="G815" s="2">
        <v>1</v>
      </c>
      <c r="H815" s="1">
        <v>45915.770555555559</v>
      </c>
      <c r="I815" s="2">
        <v>1</v>
      </c>
      <c r="J815" s="1">
        <v>45915.379351851851</v>
      </c>
    </row>
    <row r="816" spans="1:10" x14ac:dyDescent="0.2">
      <c r="A816" s="4" t="s">
        <v>1</v>
      </c>
      <c r="B816" s="3" t="str">
        <f>HYPERLINK("https://otsuka-europe-crm.veevavault.com/ui/#object/approved_document__v/V5OZ025E82TFUPI", "Spain - HCP Survey Email - June 2025")</f>
        <v>Spain - HCP Survey Email - June 2025</v>
      </c>
      <c r="C816" s="3" t="str">
        <f>HYPERLINK("https://otsuka-europe-crm.veevavault.com/ui/#object/sent_email__v/VBLZ025E82GMY5F", "SE-000267881")</f>
        <v>SE-000267881</v>
      </c>
      <c r="D816" s="1" t="s">
        <v>0</v>
      </c>
      <c r="E816" s="2">
        <v>0</v>
      </c>
      <c r="F816" s="2">
        <v>0</v>
      </c>
      <c r="G816" s="2">
        <v>0</v>
      </c>
      <c r="H816" s="1" t="s">
        <v>0</v>
      </c>
      <c r="I816" s="2">
        <v>0</v>
      </c>
      <c r="J816" s="1">
        <v>45915.377395833333</v>
      </c>
    </row>
    <row r="817" spans="1:10" x14ac:dyDescent="0.2">
      <c r="A817" s="4" t="s">
        <v>1</v>
      </c>
      <c r="B817" s="3" t="str">
        <f>HYPERLINK("https://otsuka-europe-crm.veevavault.com/ui/#object/approved_document__v/V5OZ025E82TFUPI", "Spain - HCP Survey Email - June 2025")</f>
        <v>Spain - HCP Survey Email - June 2025</v>
      </c>
      <c r="C817" s="3" t="str">
        <f>HYPERLINK("https://otsuka-europe-crm.veevavault.com/ui/#object/sent_email__v/VBLZ025E82GMY5G", "SE-000267882")</f>
        <v>SE-000267882</v>
      </c>
      <c r="D817" s="1">
        <v>45916.266122685185</v>
      </c>
      <c r="E817" s="2">
        <v>1</v>
      </c>
      <c r="F817" s="2">
        <v>1</v>
      </c>
      <c r="G817" s="2">
        <v>0</v>
      </c>
      <c r="H817" s="1" t="s">
        <v>0</v>
      </c>
      <c r="I817" s="2">
        <v>0</v>
      </c>
      <c r="J817" s="1">
        <v>45915.378472222219</v>
      </c>
    </row>
    <row r="818" spans="1:10" x14ac:dyDescent="0.2">
      <c r="A818" s="4" t="s">
        <v>1</v>
      </c>
      <c r="B818" s="3" t="str">
        <f>HYPERLINK("https://otsuka-europe-crm.veevavault.com/ui/#object/approved_document__v/V5OZ025E82TFUPI", "Spain - HCP Survey Email - June 2025")</f>
        <v>Spain - HCP Survey Email - June 2025</v>
      </c>
      <c r="C818" s="3" t="str">
        <f>HYPERLINK("https://otsuka-europe-crm.veevavault.com/ui/#object/sent_email__v/VBLZ025E82GMY5H", "SE-000267883")</f>
        <v>SE-000267883</v>
      </c>
      <c r="D818" s="1">
        <v>45916.687395833331</v>
      </c>
      <c r="E818" s="2">
        <v>1</v>
      </c>
      <c r="F818" s="2">
        <v>2</v>
      </c>
      <c r="G818" s="2">
        <v>0</v>
      </c>
      <c r="H818" s="1" t="s">
        <v>0</v>
      </c>
      <c r="I818" s="2">
        <v>0</v>
      </c>
      <c r="J818" s="1">
        <v>45915.378877314812</v>
      </c>
    </row>
    <row r="819" spans="1:10" x14ac:dyDescent="0.2">
      <c r="A819" s="4" t="s">
        <v>1</v>
      </c>
      <c r="B819" s="3" t="str">
        <f>HYPERLINK("https://otsuka-europe-crm.veevavault.com/ui/#object/approved_document__v/V5OZ025E82TFUPI", "Spain - HCP Survey Email - June 2025")</f>
        <v>Spain - HCP Survey Email - June 2025</v>
      </c>
      <c r="C819" s="3" t="str">
        <f>HYPERLINK("https://otsuka-europe-crm.veevavault.com/ui/#object/sent_email__v/VBLZ025E82GMY5I", "SE-000267884")</f>
        <v>SE-000267884</v>
      </c>
      <c r="D819" s="1">
        <v>45918.409120370372</v>
      </c>
      <c r="E819" s="2">
        <v>1</v>
      </c>
      <c r="F819" s="2">
        <v>3</v>
      </c>
      <c r="G819" s="2">
        <v>0</v>
      </c>
      <c r="H819" s="1" t="s">
        <v>0</v>
      </c>
      <c r="I819" s="2">
        <v>0</v>
      </c>
      <c r="J819" s="1">
        <v>45915.379247685189</v>
      </c>
    </row>
    <row r="820" spans="1:10" x14ac:dyDescent="0.2">
      <c r="A820" s="4" t="s">
        <v>1</v>
      </c>
      <c r="B820" s="3" t="str">
        <f>HYPERLINK("https://otsuka-europe-crm.veevavault.com/ui/#object/approved_document__v/V5OZ025E82TFUPI", "Spain - HCP Survey Email - June 2025")</f>
        <v>Spain - HCP Survey Email - June 2025</v>
      </c>
      <c r="C820" s="3" t="str">
        <f>HYPERLINK("https://otsuka-europe-crm.veevavault.com/ui/#object/sent_email__v/VBLZ025E82GMY5J", "SE-000267885")</f>
        <v>SE-000267885</v>
      </c>
      <c r="D820" s="1" t="s">
        <v>0</v>
      </c>
      <c r="E820" s="2">
        <v>0</v>
      </c>
      <c r="F820" s="2">
        <v>0</v>
      </c>
      <c r="G820" s="2">
        <v>0</v>
      </c>
      <c r="H820" s="1" t="s">
        <v>0</v>
      </c>
      <c r="I820" s="2">
        <v>0</v>
      </c>
      <c r="J820" s="1">
        <v>45915.377395833333</v>
      </c>
    </row>
    <row r="821" spans="1:10" x14ac:dyDescent="0.2">
      <c r="A821" s="4" t="s">
        <v>1</v>
      </c>
      <c r="B821" s="3" t="str">
        <f>HYPERLINK("https://otsuka-europe-crm.veevavault.com/ui/#object/approved_document__v/V5OZ025E82TFUPI", "Spain - HCP Survey Email - June 2025")</f>
        <v>Spain - HCP Survey Email - June 2025</v>
      </c>
      <c r="C821" s="3" t="str">
        <f>HYPERLINK("https://otsuka-europe-crm.veevavault.com/ui/#object/sent_email__v/VBLZ025E82GMY5K", "SE-000267886")</f>
        <v>SE-000267886</v>
      </c>
      <c r="D821" s="1">
        <v>45915.969675925924</v>
      </c>
      <c r="E821" s="2">
        <v>1</v>
      </c>
      <c r="F821" s="2">
        <v>2</v>
      </c>
      <c r="G821" s="2">
        <v>1</v>
      </c>
      <c r="H821" s="1">
        <v>45915.514317129629</v>
      </c>
      <c r="I821" s="2">
        <v>1</v>
      </c>
      <c r="J821" s="1">
        <v>45915.378460648149</v>
      </c>
    </row>
    <row r="822" spans="1:10" x14ac:dyDescent="0.2">
      <c r="A822" s="4" t="s">
        <v>1</v>
      </c>
      <c r="B822" s="3" t="str">
        <f>HYPERLINK("https://otsuka-europe-crm.veevavault.com/ui/#object/approved_document__v/V5OZ025E82TFUPI", "Spain - HCP Survey Email - June 2025")</f>
        <v>Spain - HCP Survey Email - June 2025</v>
      </c>
      <c r="C822" s="3" t="str">
        <f>HYPERLINK("https://otsuka-europe-crm.veevavault.com/ui/#object/sent_email__v/VBLZ025E82GMY5L", "SE-000267887")</f>
        <v>SE-000267887</v>
      </c>
      <c r="D822" s="1">
        <v>45916.879930555559</v>
      </c>
      <c r="E822" s="2">
        <v>1</v>
      </c>
      <c r="F822" s="2">
        <v>1</v>
      </c>
      <c r="G822" s="2">
        <v>0</v>
      </c>
      <c r="H822" s="1" t="s">
        <v>0</v>
      </c>
      <c r="I822" s="2">
        <v>0</v>
      </c>
      <c r="J822" s="1">
        <v>45915.378958333335</v>
      </c>
    </row>
    <row r="823" spans="1:10" x14ac:dyDescent="0.2">
      <c r="A823" s="4" t="s">
        <v>1</v>
      </c>
      <c r="B823" s="3" t="str">
        <f>HYPERLINK("https://otsuka-europe-crm.veevavault.com/ui/#object/approved_document__v/V5OZ025E82TFUPI", "Spain - HCP Survey Email - June 2025")</f>
        <v>Spain - HCP Survey Email - June 2025</v>
      </c>
      <c r="C823" s="3" t="str">
        <f>HYPERLINK("https://otsuka-europe-crm.veevavault.com/ui/#object/sent_email__v/VBLZ025E82GMY5M", "SE-000267888")</f>
        <v>SE-000267888</v>
      </c>
      <c r="D823" s="1">
        <v>45925.603449074071</v>
      </c>
      <c r="E823" s="2">
        <v>1</v>
      </c>
      <c r="F823" s="2">
        <v>2</v>
      </c>
      <c r="G823" s="2">
        <v>1</v>
      </c>
      <c r="H823" s="1">
        <v>45925.603715277779</v>
      </c>
      <c r="I823" s="2">
        <v>1</v>
      </c>
      <c r="J823" s="1">
        <v>45915.37872685185</v>
      </c>
    </row>
    <row r="824" spans="1:10" x14ac:dyDescent="0.2">
      <c r="A824" s="4" t="s">
        <v>1</v>
      </c>
      <c r="B824" s="3" t="str">
        <f>HYPERLINK("https://otsuka-europe-crm.veevavault.com/ui/#object/approved_document__v/V5OZ025E82TFUPI", "Spain - HCP Survey Email - June 2025")</f>
        <v>Spain - HCP Survey Email - June 2025</v>
      </c>
      <c r="C824" s="3" t="str">
        <f>HYPERLINK("https://otsuka-europe-crm.veevavault.com/ui/#object/sent_email__v/VBLZ025E82GMY5N", "SE-000267889")</f>
        <v>SE-000267889</v>
      </c>
      <c r="D824" s="1" t="s">
        <v>0</v>
      </c>
      <c r="E824" s="2">
        <v>0</v>
      </c>
      <c r="F824" s="2">
        <v>0</v>
      </c>
      <c r="G824" s="2">
        <v>0</v>
      </c>
      <c r="H824" s="1" t="s">
        <v>0</v>
      </c>
      <c r="I824" s="2">
        <v>0</v>
      </c>
      <c r="J824" s="1">
        <v>45915.379143518519</v>
      </c>
    </row>
    <row r="825" spans="1:10" x14ac:dyDescent="0.2">
      <c r="A825" s="4" t="s">
        <v>1</v>
      </c>
      <c r="B825" s="3" t="str">
        <f>HYPERLINK("https://otsuka-europe-crm.veevavault.com/ui/#object/approved_document__v/V5OZ025E82TFUPI", "Spain - HCP Survey Email - June 2025")</f>
        <v>Spain - HCP Survey Email - June 2025</v>
      </c>
      <c r="C825" s="3" t="str">
        <f>HYPERLINK("https://otsuka-europe-crm.veevavault.com/ui/#object/sent_email__v/VBLZ025E82GMY5O", "SE-000267890")</f>
        <v>SE-000267890</v>
      </c>
      <c r="D825" s="1">
        <v>45915.581226851849</v>
      </c>
      <c r="E825" s="2">
        <v>1</v>
      </c>
      <c r="F825" s="2">
        <v>1</v>
      </c>
      <c r="G825" s="2">
        <v>1</v>
      </c>
      <c r="H825" s="1">
        <v>45915.581226851849</v>
      </c>
      <c r="I825" s="2">
        <v>1</v>
      </c>
      <c r="J825" s="1">
        <v>45915.377916666665</v>
      </c>
    </row>
    <row r="826" spans="1:10" x14ac:dyDescent="0.2">
      <c r="A826" s="4" t="s">
        <v>1</v>
      </c>
      <c r="B826" s="3" t="str">
        <f>HYPERLINK("https://otsuka-europe-crm.veevavault.com/ui/#object/approved_document__v/V5OZ025E82TFUPI", "Spain - HCP Survey Email - June 2025")</f>
        <v>Spain - HCP Survey Email - June 2025</v>
      </c>
      <c r="C826" s="3" t="str">
        <f>HYPERLINK("https://otsuka-europe-crm.veevavault.com/ui/#object/sent_email__v/VBLZ025E82GMY5P", "SE-000267891")</f>
        <v>SE-000267891</v>
      </c>
      <c r="D826" s="1">
        <v>45915.428287037037</v>
      </c>
      <c r="E826" s="2">
        <v>1</v>
      </c>
      <c r="F826" s="2">
        <v>1</v>
      </c>
      <c r="G826" s="2">
        <v>1</v>
      </c>
      <c r="H826" s="1">
        <v>45915.428287037037</v>
      </c>
      <c r="I826" s="2">
        <v>1</v>
      </c>
      <c r="J826" s="1">
        <v>45915.378275462965</v>
      </c>
    </row>
    <row r="827" spans="1:10" x14ac:dyDescent="0.2">
      <c r="A827" s="4" t="s">
        <v>1</v>
      </c>
      <c r="B827" s="3" t="str">
        <f>HYPERLINK("https://otsuka-europe-crm.veevavault.com/ui/#object/approved_document__v/V5OZ025E82TFUPI", "Spain - HCP Survey Email - June 2025")</f>
        <v>Spain - HCP Survey Email - June 2025</v>
      </c>
      <c r="C827" s="3" t="str">
        <f>HYPERLINK("https://otsuka-europe-crm.veevavault.com/ui/#object/sent_email__v/VBLZ025E82GMY5Q", "SE-000267892")</f>
        <v>SE-000267892</v>
      </c>
      <c r="D827" s="1">
        <v>45915.724027777775</v>
      </c>
      <c r="E827" s="2">
        <v>1</v>
      </c>
      <c r="F827" s="2">
        <v>1</v>
      </c>
      <c r="G827" s="2">
        <v>1</v>
      </c>
      <c r="H827" s="1">
        <v>45915.724027777775</v>
      </c>
      <c r="I827" s="2">
        <v>1</v>
      </c>
      <c r="J827" s="1">
        <v>45915.378194444442</v>
      </c>
    </row>
    <row r="828" spans="1:10" x14ac:dyDescent="0.2">
      <c r="A828" s="4" t="s">
        <v>1</v>
      </c>
      <c r="B828" s="3" t="str">
        <f>HYPERLINK("https://otsuka-europe-crm.veevavault.com/ui/#object/approved_document__v/V5OZ025E82TFUPI", "Spain - HCP Survey Email - June 2025")</f>
        <v>Spain - HCP Survey Email - June 2025</v>
      </c>
      <c r="C828" s="3" t="str">
        <f>HYPERLINK("https://otsuka-europe-crm.veevavault.com/ui/#object/sent_email__v/VBLZ025E82GMY5R", "SE-000267893")</f>
        <v>SE-000267893</v>
      </c>
      <c r="D828" s="1" t="s">
        <v>0</v>
      </c>
      <c r="E828" s="2">
        <v>0</v>
      </c>
      <c r="F828" s="2">
        <v>0</v>
      </c>
      <c r="G828" s="2">
        <v>0</v>
      </c>
      <c r="H828" s="1" t="s">
        <v>0</v>
      </c>
      <c r="I828" s="2">
        <v>0</v>
      </c>
      <c r="J828" s="1">
        <v>45915.378634259258</v>
      </c>
    </row>
    <row r="829" spans="1:10" x14ac:dyDescent="0.2">
      <c r="A829" s="4" t="s">
        <v>1</v>
      </c>
      <c r="B829" s="3" t="str">
        <f>HYPERLINK("https://otsuka-europe-crm.veevavault.com/ui/#object/approved_document__v/V5OZ025E82TFUPI", "Spain - HCP Survey Email - June 2025")</f>
        <v>Spain - HCP Survey Email - June 2025</v>
      </c>
      <c r="C829" s="3" t="str">
        <f>HYPERLINK("https://otsuka-europe-crm.veevavault.com/ui/#object/sent_email__v/VBLZ025E82GMY5S", "SE-000267894")</f>
        <v>SE-000267894</v>
      </c>
      <c r="D829" s="1">
        <v>45915.398136574076</v>
      </c>
      <c r="E829" s="2">
        <v>1</v>
      </c>
      <c r="F829" s="2">
        <v>1</v>
      </c>
      <c r="G829" s="2">
        <v>0</v>
      </c>
      <c r="H829" s="1" t="s">
        <v>0</v>
      </c>
      <c r="I829" s="2">
        <v>0</v>
      </c>
      <c r="J829" s="1">
        <v>45915.379537037035</v>
      </c>
    </row>
    <row r="830" spans="1:10" x14ac:dyDescent="0.2">
      <c r="A830" s="4" t="s">
        <v>1</v>
      </c>
      <c r="B830" s="3" t="str">
        <f>HYPERLINK("https://otsuka-europe-crm.veevavault.com/ui/#object/approved_document__v/V5OZ025E82TFUPI", "Spain - HCP Survey Email - June 2025")</f>
        <v>Spain - HCP Survey Email - June 2025</v>
      </c>
      <c r="C830" s="3" t="str">
        <f>HYPERLINK("https://otsuka-europe-crm.veevavault.com/ui/#object/sent_email__v/VBLZ025E82GMY5T", "SE-000267895")</f>
        <v>SE-000267895</v>
      </c>
      <c r="D830" s="1" t="s">
        <v>0</v>
      </c>
      <c r="E830" s="2">
        <v>0</v>
      </c>
      <c r="F830" s="2">
        <v>0</v>
      </c>
      <c r="G830" s="2">
        <v>0</v>
      </c>
      <c r="H830" s="1" t="s">
        <v>0</v>
      </c>
      <c r="I830" s="2">
        <v>0</v>
      </c>
      <c r="J830" s="1">
        <v>45915.379282407404</v>
      </c>
    </row>
    <row r="831" spans="1:10" x14ac:dyDescent="0.2">
      <c r="A831" s="4" t="s">
        <v>1</v>
      </c>
      <c r="B831" s="3" t="str">
        <f>HYPERLINK("https://otsuka-europe-crm.veevavault.com/ui/#object/approved_document__v/V5OZ025E82TFUPI", "Spain - HCP Survey Email - June 2025")</f>
        <v>Spain - HCP Survey Email - June 2025</v>
      </c>
      <c r="C831" s="3" t="str">
        <f>HYPERLINK("https://otsuka-europe-crm.veevavault.com/ui/#object/sent_email__v/VBLZ025E82GMY5U", "SE-000267896")</f>
        <v>SE-000267896</v>
      </c>
      <c r="D831" s="1" t="s">
        <v>0</v>
      </c>
      <c r="E831" s="2">
        <v>0</v>
      </c>
      <c r="F831" s="2">
        <v>0</v>
      </c>
      <c r="G831" s="2">
        <v>0</v>
      </c>
      <c r="H831" s="1" t="s">
        <v>0</v>
      </c>
      <c r="I831" s="2">
        <v>0</v>
      </c>
      <c r="J831" s="1">
        <v>45915.377372685187</v>
      </c>
    </row>
    <row r="832" spans="1:10" x14ac:dyDescent="0.2">
      <c r="A832" s="4" t="s">
        <v>1</v>
      </c>
      <c r="B832" s="3" t="str">
        <f>HYPERLINK("https://otsuka-europe-crm.veevavault.com/ui/#object/approved_document__v/V5OZ025E82TFUPI", "Spain - HCP Survey Email - June 2025")</f>
        <v>Spain - HCP Survey Email - June 2025</v>
      </c>
      <c r="C832" s="3" t="str">
        <f>HYPERLINK("https://otsuka-europe-crm.veevavault.com/ui/#object/sent_email__v/VBLZ025E82GMY5V", "SE-000267897")</f>
        <v>SE-000267897</v>
      </c>
      <c r="D832" s="1" t="s">
        <v>0</v>
      </c>
      <c r="E832" s="2">
        <v>0</v>
      </c>
      <c r="F832" s="2">
        <v>0</v>
      </c>
      <c r="G832" s="2">
        <v>0</v>
      </c>
      <c r="H832" s="1" t="s">
        <v>0</v>
      </c>
      <c r="I832" s="2">
        <v>0</v>
      </c>
      <c r="J832" s="1">
        <v>45915.378472222219</v>
      </c>
    </row>
    <row r="833" spans="1:10" x14ac:dyDescent="0.2">
      <c r="A833" s="4" t="s">
        <v>1</v>
      </c>
      <c r="B833" s="3" t="str">
        <f>HYPERLINK("https://otsuka-europe-crm.veevavault.com/ui/#object/approved_document__v/V5OZ025E82TFUPI", "Spain - HCP Survey Email - June 2025")</f>
        <v>Spain - HCP Survey Email - June 2025</v>
      </c>
      <c r="C833" s="3" t="str">
        <f>HYPERLINK("https://otsuka-europe-crm.veevavault.com/ui/#object/sent_email__v/VBLZ025E82GMY5W", "SE-000267898")</f>
        <v>SE-000267898</v>
      </c>
      <c r="D833" s="1">
        <v>45915.394143518519</v>
      </c>
      <c r="E833" s="2">
        <v>1</v>
      </c>
      <c r="F833" s="2">
        <v>2</v>
      </c>
      <c r="G833" s="2">
        <v>0</v>
      </c>
      <c r="H833" s="1" t="s">
        <v>0</v>
      </c>
      <c r="I833" s="2">
        <v>0</v>
      </c>
      <c r="J833" s="1">
        <v>45915.378935185188</v>
      </c>
    </row>
    <row r="834" spans="1:10" x14ac:dyDescent="0.2">
      <c r="A834" s="4" t="s">
        <v>1</v>
      </c>
      <c r="B834" s="3" t="str">
        <f>HYPERLINK("https://otsuka-europe-crm.veevavault.com/ui/#object/approved_document__v/V5OZ025E82TFUPI", "Spain - HCP Survey Email - June 2025")</f>
        <v>Spain - HCP Survey Email - June 2025</v>
      </c>
      <c r="C834" s="3" t="str">
        <f>HYPERLINK("https://otsuka-europe-crm.veevavault.com/ui/#object/sent_email__v/VBLZ025E82GMY5X", "SE-000267899")</f>
        <v>SE-000267899</v>
      </c>
      <c r="D834" s="1">
        <v>45915.434733796297</v>
      </c>
      <c r="E834" s="2">
        <v>1</v>
      </c>
      <c r="F834" s="2">
        <v>1</v>
      </c>
      <c r="G834" s="2">
        <v>1</v>
      </c>
      <c r="H834" s="1">
        <v>45915.435358796298</v>
      </c>
      <c r="I834" s="2">
        <v>2</v>
      </c>
      <c r="J834" s="1">
        <v>45915.378680555557</v>
      </c>
    </row>
    <row r="835" spans="1:10" x14ac:dyDescent="0.2">
      <c r="A835" s="4" t="s">
        <v>1</v>
      </c>
      <c r="B835" s="3" t="str">
        <f>HYPERLINK("https://otsuka-europe-crm.veevavault.com/ui/#object/approved_document__v/V5OZ025E82TFUPI", "Spain - HCP Survey Email - June 2025")</f>
        <v>Spain - HCP Survey Email - June 2025</v>
      </c>
      <c r="C835" s="3" t="str">
        <f>HYPERLINK("https://otsuka-europe-crm.veevavault.com/ui/#object/sent_email__v/VBLZ025E82GMY5Y", "SE-000267900")</f>
        <v>SE-000267900</v>
      </c>
      <c r="D835" s="1" t="s">
        <v>0</v>
      </c>
      <c r="E835" s="2">
        <v>0</v>
      </c>
      <c r="F835" s="2">
        <v>0</v>
      </c>
      <c r="G835" s="2">
        <v>0</v>
      </c>
      <c r="H835" s="1" t="s">
        <v>0</v>
      </c>
      <c r="I835" s="2">
        <v>0</v>
      </c>
      <c r="J835" s="1">
        <v>45915.379189814812</v>
      </c>
    </row>
    <row r="836" spans="1:10" x14ac:dyDescent="0.2">
      <c r="A836" s="4" t="s">
        <v>1</v>
      </c>
      <c r="B836" s="3" t="str">
        <f>HYPERLINK("https://otsuka-europe-crm.veevavault.com/ui/#object/approved_document__v/V5OZ025E82TFUPI", "Spain - HCP Survey Email - June 2025")</f>
        <v>Spain - HCP Survey Email - June 2025</v>
      </c>
      <c r="C836" s="3" t="str">
        <f>HYPERLINK("https://otsuka-europe-crm.veevavault.com/ui/#object/sent_email__v/VBLZ025E82GMY5Z", "SE-000267901")</f>
        <v>SE-000267901</v>
      </c>
      <c r="D836" s="1" t="s">
        <v>0</v>
      </c>
      <c r="E836" s="2">
        <v>0</v>
      </c>
      <c r="F836" s="2">
        <v>0</v>
      </c>
      <c r="G836" s="2">
        <v>0</v>
      </c>
      <c r="H836" s="1" t="s">
        <v>0</v>
      </c>
      <c r="I836" s="2">
        <v>0</v>
      </c>
      <c r="J836" s="1">
        <v>45915.377893518518</v>
      </c>
    </row>
    <row r="837" spans="1:10" x14ac:dyDescent="0.2">
      <c r="A837" s="4" t="s">
        <v>1</v>
      </c>
      <c r="B837" s="3" t="str">
        <f>HYPERLINK("https://otsuka-europe-crm.veevavault.com/ui/#object/approved_document__v/V5OZ025E82TFUPI", "Spain - HCP Survey Email - June 2025")</f>
        <v>Spain - HCP Survey Email - June 2025</v>
      </c>
      <c r="C837" s="3" t="str">
        <f>HYPERLINK("https://otsuka-europe-crm.veevavault.com/ui/#object/sent_email__v/VBLZ025E82GMY60", "SE-000267902")</f>
        <v>SE-000267902</v>
      </c>
      <c r="D837" s="1" t="s">
        <v>0</v>
      </c>
      <c r="E837" s="2">
        <v>0</v>
      </c>
      <c r="F837" s="2">
        <v>0</v>
      </c>
      <c r="G837" s="2">
        <v>0</v>
      </c>
      <c r="H837" s="1" t="s">
        <v>0</v>
      </c>
      <c r="I837" s="2">
        <v>0</v>
      </c>
      <c r="J837" s="1">
        <v>45915.37835648148</v>
      </c>
    </row>
    <row r="838" spans="1:10" x14ac:dyDescent="0.2">
      <c r="A838" s="4" t="s">
        <v>1</v>
      </c>
      <c r="B838" s="3" t="str">
        <f>HYPERLINK("https://otsuka-europe-crm.veevavault.com/ui/#object/approved_document__v/V5OZ025E82TFUPI", "Spain - HCP Survey Email - June 2025")</f>
        <v>Spain - HCP Survey Email - June 2025</v>
      </c>
      <c r="C838" s="3" t="str">
        <f>HYPERLINK("https://otsuka-europe-crm.veevavault.com/ui/#object/sent_email__v/VBLZ025E82GMY61", "SE-000267903")</f>
        <v>SE-000267903</v>
      </c>
      <c r="D838" s="1" t="s">
        <v>0</v>
      </c>
      <c r="E838" s="2">
        <v>0</v>
      </c>
      <c r="F838" s="2">
        <v>0</v>
      </c>
      <c r="G838" s="2">
        <v>0</v>
      </c>
      <c r="H838" s="1" t="s">
        <v>0</v>
      </c>
      <c r="I838" s="2">
        <v>0</v>
      </c>
      <c r="J838" s="1">
        <v>45915.378217592595</v>
      </c>
    </row>
    <row r="839" spans="1:10" x14ac:dyDescent="0.2">
      <c r="A839" s="4" t="s">
        <v>1</v>
      </c>
      <c r="B839" s="3" t="str">
        <f>HYPERLINK("https://otsuka-europe-crm.veevavault.com/ui/#object/approved_document__v/V5OZ025E82TFUPI", "Spain - HCP Survey Email - June 2025")</f>
        <v>Spain - HCP Survey Email - June 2025</v>
      </c>
      <c r="C839" s="3" t="str">
        <f>HYPERLINK("https://otsuka-europe-crm.veevavault.com/ui/#object/sent_email__v/VBLZ025E82GMY62", "SE-000267904")</f>
        <v>SE-000267904</v>
      </c>
      <c r="D839" s="1">
        <v>45915.670439814814</v>
      </c>
      <c r="E839" s="2">
        <v>1</v>
      </c>
      <c r="F839" s="2">
        <v>1</v>
      </c>
      <c r="G839" s="2">
        <v>0</v>
      </c>
      <c r="H839" s="1" t="s">
        <v>0</v>
      </c>
      <c r="I839" s="2">
        <v>0</v>
      </c>
      <c r="J839" s="1">
        <v>45915.378622685188</v>
      </c>
    </row>
    <row r="840" spans="1:10" x14ac:dyDescent="0.2">
      <c r="A840" s="4" t="s">
        <v>1</v>
      </c>
      <c r="B840" s="3" t="str">
        <f>HYPERLINK("https://otsuka-europe-crm.veevavault.com/ui/#object/approved_document__v/V5OZ025E82TFUPI", "Spain - HCP Survey Email - June 2025")</f>
        <v>Spain - HCP Survey Email - June 2025</v>
      </c>
      <c r="C840" s="3" t="str">
        <f>HYPERLINK("https://otsuka-europe-crm.veevavault.com/ui/#object/sent_email__v/VBLZ025E82GMY63", "SE-000267905")</f>
        <v>SE-000267905</v>
      </c>
      <c r="D840" s="1">
        <v>45991.917916666665</v>
      </c>
      <c r="E840" s="2">
        <v>1</v>
      </c>
      <c r="F840" s="2">
        <v>3</v>
      </c>
      <c r="G840" s="2">
        <v>0</v>
      </c>
      <c r="H840" s="1" t="s">
        <v>0</v>
      </c>
      <c r="I840" s="2">
        <v>0</v>
      </c>
      <c r="J840" s="1">
        <v>45915.379687499997</v>
      </c>
    </row>
    <row r="841" spans="1:10" x14ac:dyDescent="0.2">
      <c r="A841" s="4" t="s">
        <v>1</v>
      </c>
      <c r="B841" s="3" t="str">
        <f>HYPERLINK("https://otsuka-europe-crm.veevavault.com/ui/#object/approved_document__v/V5OZ025E82TFUPI", "Spain - HCP Survey Email - June 2025")</f>
        <v>Spain - HCP Survey Email - June 2025</v>
      </c>
      <c r="C841" s="3" t="str">
        <f>HYPERLINK("https://otsuka-europe-crm.veevavault.com/ui/#object/sent_email__v/VBLZ025E82GMY64", "SE-000267906")</f>
        <v>SE-000267906</v>
      </c>
      <c r="D841" s="1" t="s">
        <v>0</v>
      </c>
      <c r="E841" s="2">
        <v>0</v>
      </c>
      <c r="F841" s="2">
        <v>0</v>
      </c>
      <c r="G841" s="2">
        <v>0</v>
      </c>
      <c r="H841" s="1" t="s">
        <v>0</v>
      </c>
      <c r="I841" s="2">
        <v>0</v>
      </c>
      <c r="J841" s="1">
        <v>45915.379212962966</v>
      </c>
    </row>
    <row r="842" spans="1:10" x14ac:dyDescent="0.2">
      <c r="A842" s="4" t="s">
        <v>1</v>
      </c>
      <c r="B842" s="3" t="str">
        <f>HYPERLINK("https://otsuka-europe-crm.veevavault.com/ui/#object/approved_document__v/V5OZ025E82TFUPI", "Spain - HCP Survey Email - June 2025")</f>
        <v>Spain - HCP Survey Email - June 2025</v>
      </c>
      <c r="C842" s="3" t="str">
        <f>HYPERLINK("https://otsuka-europe-crm.veevavault.com/ui/#object/sent_email__v/VBLZ025E82GMY65", "SE-000267907")</f>
        <v>SE-000267907</v>
      </c>
      <c r="D842" s="1">
        <v>45925.505810185183</v>
      </c>
      <c r="E842" s="2">
        <v>1</v>
      </c>
      <c r="F842" s="2">
        <v>6</v>
      </c>
      <c r="G842" s="2">
        <v>1</v>
      </c>
      <c r="H842" s="1">
        <v>45925.505902777775</v>
      </c>
      <c r="I842" s="2">
        <v>1</v>
      </c>
      <c r="J842" s="1">
        <v>45915.377442129633</v>
      </c>
    </row>
    <row r="843" spans="1:10" x14ac:dyDescent="0.2">
      <c r="A843" s="4" t="s">
        <v>1</v>
      </c>
      <c r="B843" s="3" t="str">
        <f>HYPERLINK("https://otsuka-europe-crm.veevavault.com/ui/#object/approved_document__v/V5OZ025E82TFUPI", "Spain - HCP Survey Email - June 2025")</f>
        <v>Spain - HCP Survey Email - June 2025</v>
      </c>
      <c r="C843" s="3" t="str">
        <f>HYPERLINK("https://otsuka-europe-crm.veevavault.com/ui/#object/sent_email__v/VBLZ025E82GMY66", "SE-000267908")</f>
        <v>SE-000267908</v>
      </c>
      <c r="D843" s="1">
        <v>45915.378472222219</v>
      </c>
      <c r="E843" s="2">
        <v>1</v>
      </c>
      <c r="F843" s="2">
        <v>1</v>
      </c>
      <c r="G843" s="2">
        <v>0</v>
      </c>
      <c r="H843" s="1" t="s">
        <v>0</v>
      </c>
      <c r="I843" s="2">
        <v>0</v>
      </c>
      <c r="J843" s="1">
        <v>45915.37840277778</v>
      </c>
    </row>
    <row r="844" spans="1:10" x14ac:dyDescent="0.2">
      <c r="A844" s="4" t="s">
        <v>1</v>
      </c>
      <c r="B844" s="3" t="str">
        <f>HYPERLINK("https://otsuka-europe-crm.veevavault.com/ui/#object/approved_document__v/V5OZ025E82TFUPI", "Spain - HCP Survey Email - June 2025")</f>
        <v>Spain - HCP Survey Email - June 2025</v>
      </c>
      <c r="C844" s="3" t="str">
        <f>HYPERLINK("https://otsuka-europe-crm.veevavault.com/ui/#object/sent_email__v/VBLZ025E82GMY67", "SE-000267909")</f>
        <v>SE-000267909</v>
      </c>
      <c r="D844" s="1">
        <v>45915.447754629633</v>
      </c>
      <c r="E844" s="2">
        <v>1</v>
      </c>
      <c r="F844" s="2">
        <v>1</v>
      </c>
      <c r="G844" s="2">
        <v>0</v>
      </c>
      <c r="H844" s="1" t="s">
        <v>0</v>
      </c>
      <c r="I844" s="2">
        <v>0</v>
      </c>
      <c r="J844" s="1">
        <v>45915.378807870373</v>
      </c>
    </row>
    <row r="845" spans="1:10" x14ac:dyDescent="0.2">
      <c r="A845" s="4" t="s">
        <v>1</v>
      </c>
      <c r="B845" s="3" t="str">
        <f>HYPERLINK("https://otsuka-europe-crm.veevavault.com/ui/#object/approved_document__v/V5OZ025E82TFUPI", "Spain - HCP Survey Email - June 2025")</f>
        <v>Spain - HCP Survey Email - June 2025</v>
      </c>
      <c r="C845" s="3" t="str">
        <f>HYPERLINK("https://otsuka-europe-crm.veevavault.com/ui/#object/sent_email__v/VBLZ025E82GMY68", "SE-000267910")</f>
        <v>SE-000267910</v>
      </c>
      <c r="D845" s="1" t="s">
        <v>0</v>
      </c>
      <c r="E845" s="2">
        <v>0</v>
      </c>
      <c r="F845" s="2">
        <v>0</v>
      </c>
      <c r="G845" s="2">
        <v>0</v>
      </c>
      <c r="H845" s="1" t="s">
        <v>0</v>
      </c>
      <c r="I845" s="2">
        <v>0</v>
      </c>
      <c r="J845" s="1">
        <v>45915.379606481481</v>
      </c>
    </row>
    <row r="846" spans="1:10" x14ac:dyDescent="0.2">
      <c r="A846" s="4" t="s">
        <v>1</v>
      </c>
      <c r="B846" s="3" t="str">
        <f>HYPERLINK("https://otsuka-europe-crm.veevavault.com/ui/#object/approved_document__v/V5OZ025E82TFUPI", "Spain - HCP Survey Email - June 2025")</f>
        <v>Spain - HCP Survey Email - June 2025</v>
      </c>
      <c r="C846" s="3" t="str">
        <f>HYPERLINK("https://otsuka-europe-crm.veevavault.com/ui/#object/sent_email__v/VBLZ025E82GMY69", "SE-000267911")</f>
        <v>SE-000267911</v>
      </c>
      <c r="D846" s="1" t="s">
        <v>0</v>
      </c>
      <c r="E846" s="2">
        <v>0</v>
      </c>
      <c r="F846" s="2">
        <v>0</v>
      </c>
      <c r="G846" s="2">
        <v>0</v>
      </c>
      <c r="H846" s="1" t="s">
        <v>0</v>
      </c>
      <c r="I846" s="2">
        <v>0</v>
      </c>
      <c r="J846" s="1">
        <v>45915.379270833335</v>
      </c>
    </row>
    <row r="847" spans="1:10" x14ac:dyDescent="0.2">
      <c r="A847" s="4" t="s">
        <v>1</v>
      </c>
      <c r="B847" s="3" t="str">
        <f>HYPERLINK("https://otsuka-europe-crm.veevavault.com/ui/#object/approved_document__v/V5OZ025E82TFUPI", "Spain - HCP Survey Email - June 2025")</f>
        <v>Spain - HCP Survey Email - June 2025</v>
      </c>
      <c r="C847" s="3" t="str">
        <f>HYPERLINK("https://otsuka-europe-crm.veevavault.com/ui/#object/sent_email__v/VBLZ025E82GMY6A", "SE-000267912")</f>
        <v>SE-000267912</v>
      </c>
      <c r="D847" s="1">
        <v>45916.248298611114</v>
      </c>
      <c r="E847" s="2">
        <v>1</v>
      </c>
      <c r="F847" s="2">
        <v>1</v>
      </c>
      <c r="G847" s="2">
        <v>0</v>
      </c>
      <c r="H847" s="1" t="s">
        <v>0</v>
      </c>
      <c r="I847" s="2">
        <v>0</v>
      </c>
      <c r="J847" s="1">
        <v>45915.377442129633</v>
      </c>
    </row>
    <row r="848" spans="1:10" x14ac:dyDescent="0.2">
      <c r="A848" s="4" t="s">
        <v>1</v>
      </c>
      <c r="B848" s="3" t="str">
        <f>HYPERLINK("https://otsuka-europe-crm.veevavault.com/ui/#object/approved_document__v/V5OZ025E82TFUPI", "Spain - HCP Survey Email - June 2025")</f>
        <v>Spain - HCP Survey Email - June 2025</v>
      </c>
      <c r="C848" s="3" t="str">
        <f>HYPERLINK("https://otsuka-europe-crm.veevavault.com/ui/#object/sent_email__v/VBLZ025E82GMY6B", "SE-000267913")</f>
        <v>SE-000267913</v>
      </c>
      <c r="D848" s="1">
        <v>45915.876076388886</v>
      </c>
      <c r="E848" s="2">
        <v>1</v>
      </c>
      <c r="F848" s="2">
        <v>1</v>
      </c>
      <c r="G848" s="2">
        <v>1</v>
      </c>
      <c r="H848" s="1">
        <v>45915.876423611109</v>
      </c>
      <c r="I848" s="2">
        <v>1</v>
      </c>
      <c r="J848" s="1">
        <v>45915.378321759257</v>
      </c>
    </row>
    <row r="849" spans="1:10" x14ac:dyDescent="0.2">
      <c r="A849" s="4" t="s">
        <v>1</v>
      </c>
      <c r="B849" s="3" t="str">
        <f>HYPERLINK("https://otsuka-europe-crm.veevavault.com/ui/#object/approved_document__v/V5OZ025E82TFUPI", "Spain - HCP Survey Email - June 2025")</f>
        <v>Spain - HCP Survey Email - June 2025</v>
      </c>
      <c r="C849" s="3" t="str">
        <f>HYPERLINK("https://otsuka-europe-crm.veevavault.com/ui/#object/sent_email__v/VBLZ025E82GMY6C", "SE-000267914")</f>
        <v>SE-000267914</v>
      </c>
      <c r="D849" s="1">
        <v>45915.383935185186</v>
      </c>
      <c r="E849" s="2">
        <v>1</v>
      </c>
      <c r="F849" s="2">
        <v>1</v>
      </c>
      <c r="G849" s="2">
        <v>0</v>
      </c>
      <c r="H849" s="1" t="s">
        <v>0</v>
      </c>
      <c r="I849" s="2">
        <v>0</v>
      </c>
      <c r="J849" s="1">
        <v>45915.378865740742</v>
      </c>
    </row>
    <row r="850" spans="1:10" x14ac:dyDescent="0.2">
      <c r="A850" s="4" t="s">
        <v>1</v>
      </c>
      <c r="B850" s="3" t="str">
        <f>HYPERLINK("https://otsuka-europe-crm.veevavault.com/ui/#object/approved_document__v/V5OZ025E82TFUPI", "Spain - HCP Survey Email - June 2025")</f>
        <v>Spain - HCP Survey Email - June 2025</v>
      </c>
      <c r="C850" s="3" t="str">
        <f>HYPERLINK("https://otsuka-europe-crm.veevavault.com/ui/#object/sent_email__v/VBLZ025E82GMY6D", "SE-000267915")</f>
        <v>SE-000267915</v>
      </c>
      <c r="D850" s="1">
        <v>45916.266284722224</v>
      </c>
      <c r="E850" s="2">
        <v>1</v>
      </c>
      <c r="F850" s="2">
        <v>3</v>
      </c>
      <c r="G850" s="2">
        <v>0</v>
      </c>
      <c r="H850" s="1" t="s">
        <v>0</v>
      </c>
      <c r="I850" s="2">
        <v>0</v>
      </c>
      <c r="J850" s="1">
        <v>45915.378784722219</v>
      </c>
    </row>
    <row r="851" spans="1:10" x14ac:dyDescent="0.2">
      <c r="A851" s="4" t="s">
        <v>1</v>
      </c>
      <c r="B851" s="3" t="str">
        <f>HYPERLINK("https://otsuka-europe-crm.veevavault.com/ui/#object/approved_document__v/V5OZ025E82TFUPI", "Spain - HCP Survey Email - June 2025")</f>
        <v>Spain - HCP Survey Email - June 2025</v>
      </c>
      <c r="C851" s="3" t="str">
        <f>HYPERLINK("https://otsuka-europe-crm.veevavault.com/ui/#object/sent_email__v/VBLZ025E82GMY6E", "SE-000267916")</f>
        <v>SE-000267916</v>
      </c>
      <c r="D851" s="1" t="s">
        <v>0</v>
      </c>
      <c r="E851" s="2">
        <v>0</v>
      </c>
      <c r="F851" s="2">
        <v>0</v>
      </c>
      <c r="G851" s="2">
        <v>0</v>
      </c>
      <c r="H851" s="1" t="s">
        <v>0</v>
      </c>
      <c r="I851" s="2">
        <v>0</v>
      </c>
      <c r="J851" s="1">
        <v>45915.379131944443</v>
      </c>
    </row>
    <row r="852" spans="1:10" x14ac:dyDescent="0.2">
      <c r="A852" s="4" t="s">
        <v>1</v>
      </c>
      <c r="B852" s="3" t="str">
        <f>HYPERLINK("https://otsuka-europe-crm.veevavault.com/ui/#object/approved_document__v/V5OZ025E82TFUPI", "Spain - HCP Survey Email - June 2025")</f>
        <v>Spain - HCP Survey Email - June 2025</v>
      </c>
      <c r="C852" s="3" t="str">
        <f>HYPERLINK("https://otsuka-europe-crm.veevavault.com/ui/#object/sent_email__v/VBLZ025E82GMY6F", "SE-000267917")</f>
        <v>SE-000267917</v>
      </c>
      <c r="D852" s="1" t="s">
        <v>0</v>
      </c>
      <c r="E852" s="2">
        <v>0</v>
      </c>
      <c r="F852" s="2">
        <v>0</v>
      </c>
      <c r="G852" s="2">
        <v>0</v>
      </c>
      <c r="H852" s="1" t="s">
        <v>0</v>
      </c>
      <c r="I852" s="2">
        <v>0</v>
      </c>
      <c r="J852" s="1">
        <v>45915.377928240741</v>
      </c>
    </row>
    <row r="853" spans="1:10" x14ac:dyDescent="0.2">
      <c r="A853" s="4" t="s">
        <v>1</v>
      </c>
      <c r="B853" s="3" t="str">
        <f>HYPERLINK("https://otsuka-europe-crm.veevavault.com/ui/#object/approved_document__v/V5OZ025E82TFUPI", "Spain - HCP Survey Email - June 2025")</f>
        <v>Spain - HCP Survey Email - June 2025</v>
      </c>
      <c r="C853" s="3" t="str">
        <f>HYPERLINK("https://otsuka-europe-crm.veevavault.com/ui/#object/sent_email__v/VBLZ025E82GMY6G", "SE-000267918")</f>
        <v>SE-000267918</v>
      </c>
      <c r="D853" s="1">
        <v>45918.280763888892</v>
      </c>
      <c r="E853" s="2">
        <v>1</v>
      </c>
      <c r="F853" s="2">
        <v>2</v>
      </c>
      <c r="G853" s="2">
        <v>1</v>
      </c>
      <c r="H853" s="1">
        <v>45916.552789351852</v>
      </c>
      <c r="I853" s="2">
        <v>1</v>
      </c>
      <c r="J853" s="1">
        <v>45915.378321759257</v>
      </c>
    </row>
    <row r="854" spans="1:10" x14ac:dyDescent="0.2">
      <c r="A854" s="4" t="s">
        <v>1</v>
      </c>
      <c r="B854" s="3" t="str">
        <f>HYPERLINK("https://otsuka-europe-crm.veevavault.com/ui/#object/approved_document__v/V5OZ025E82TFUPI", "Spain - HCP Survey Email - June 2025")</f>
        <v>Spain - HCP Survey Email - June 2025</v>
      </c>
      <c r="C854" s="3" t="str">
        <f>HYPERLINK("https://otsuka-europe-crm.veevavault.com/ui/#object/sent_email__v/VBLZ025E82GMY6H", "SE-000267919")</f>
        <v>SE-000267919</v>
      </c>
      <c r="D854" s="1">
        <v>45915.381724537037</v>
      </c>
      <c r="E854" s="2">
        <v>1</v>
      </c>
      <c r="F854" s="2">
        <v>1</v>
      </c>
      <c r="G854" s="2">
        <v>0</v>
      </c>
      <c r="H854" s="1" t="s">
        <v>0</v>
      </c>
      <c r="I854" s="2">
        <v>0</v>
      </c>
      <c r="J854" s="1">
        <v>45915.378182870372</v>
      </c>
    </row>
    <row r="855" spans="1:10" x14ac:dyDescent="0.2">
      <c r="A855" s="4" t="s">
        <v>1</v>
      </c>
      <c r="B855" s="3" t="str">
        <f>HYPERLINK("https://otsuka-europe-crm.veevavault.com/ui/#object/approved_document__v/V5OZ025E82TFUPI", "Spain - HCP Survey Email - June 2025")</f>
        <v>Spain - HCP Survey Email - June 2025</v>
      </c>
      <c r="C855" s="3" t="str">
        <f>HYPERLINK("https://otsuka-europe-crm.veevavault.com/ui/#object/sent_email__v/VBLZ025E82GMY6I", "SE-000267920")</f>
        <v>SE-000267920</v>
      </c>
      <c r="D855" s="1">
        <v>45915.751446759263</v>
      </c>
      <c r="E855" s="2">
        <v>1</v>
      </c>
      <c r="F855" s="2">
        <v>2</v>
      </c>
      <c r="G855" s="2">
        <v>0</v>
      </c>
      <c r="H855" s="1" t="s">
        <v>0</v>
      </c>
      <c r="I855" s="2">
        <v>0</v>
      </c>
      <c r="J855" s="1">
        <v>45915.378888888888</v>
      </c>
    </row>
    <row r="856" spans="1:10" x14ac:dyDescent="0.2">
      <c r="A856" s="4" t="s">
        <v>1</v>
      </c>
      <c r="B856" s="3" t="str">
        <f>HYPERLINK("https://otsuka-europe-crm.veevavault.com/ui/#object/approved_document__v/V5OZ025E82TFUPI", "Spain - HCP Survey Email - June 2025")</f>
        <v>Spain - HCP Survey Email - June 2025</v>
      </c>
      <c r="C856" s="3" t="str">
        <f>HYPERLINK("https://otsuka-europe-crm.veevavault.com/ui/#object/sent_email__v/VBLZ025E82GMY6J", "SE-000267921")</f>
        <v>SE-000267921</v>
      </c>
      <c r="D856" s="1">
        <v>45915.379525462966</v>
      </c>
      <c r="E856" s="2">
        <v>1</v>
      </c>
      <c r="F856" s="2">
        <v>1</v>
      </c>
      <c r="G856" s="2">
        <v>0</v>
      </c>
      <c r="H856" s="1" t="s">
        <v>0</v>
      </c>
      <c r="I856" s="2">
        <v>0</v>
      </c>
      <c r="J856" s="1">
        <v>45915.37945601852</v>
      </c>
    </row>
    <row r="857" spans="1:10" x14ac:dyDescent="0.2">
      <c r="A857" s="4" t="s">
        <v>1</v>
      </c>
      <c r="B857" s="3" t="str">
        <f>HYPERLINK("https://otsuka-europe-crm.veevavault.com/ui/#object/approved_document__v/V5OZ025E82TFUPI", "Spain - HCP Survey Email - June 2025")</f>
        <v>Spain - HCP Survey Email - June 2025</v>
      </c>
      <c r="C857" s="3" t="str">
        <f>HYPERLINK("https://otsuka-europe-crm.veevavault.com/ui/#object/sent_email__v/VBLZ025E82GMY6K", "SE-000267922")</f>
        <v>SE-000267922</v>
      </c>
      <c r="D857" s="1" t="s">
        <v>0</v>
      </c>
      <c r="E857" s="2">
        <v>0</v>
      </c>
      <c r="F857" s="2">
        <v>0</v>
      </c>
      <c r="G857" s="2">
        <v>0</v>
      </c>
      <c r="H857" s="1" t="s">
        <v>0</v>
      </c>
      <c r="I857" s="2">
        <v>0</v>
      </c>
      <c r="J857" s="1">
        <v>45915.379247685189</v>
      </c>
    </row>
    <row r="858" spans="1:10" x14ac:dyDescent="0.2">
      <c r="A858" s="4" t="s">
        <v>1</v>
      </c>
      <c r="B858" s="3" t="str">
        <f>HYPERLINK("https://otsuka-europe-crm.veevavault.com/ui/#object/approved_document__v/V5OZ025E82TFUPI", "Spain - HCP Survey Email - June 2025")</f>
        <v>Spain - HCP Survey Email - June 2025</v>
      </c>
      <c r="C858" s="3" t="str">
        <f>HYPERLINK("https://otsuka-europe-crm.veevavault.com/ui/#object/sent_email__v/VBLZ025E82GMY6L", "SE-000267923")</f>
        <v>SE-000267923</v>
      </c>
      <c r="D858" s="1" t="s">
        <v>0</v>
      </c>
      <c r="E858" s="2">
        <v>0</v>
      </c>
      <c r="F858" s="2">
        <v>0</v>
      </c>
      <c r="G858" s="2">
        <v>0</v>
      </c>
      <c r="H858" s="1" t="s">
        <v>0</v>
      </c>
      <c r="I858" s="2">
        <v>0</v>
      </c>
      <c r="J858" s="1">
        <v>45915.377465277779</v>
      </c>
    </row>
    <row r="859" spans="1:10" x14ac:dyDescent="0.2">
      <c r="A859" s="4" t="s">
        <v>1</v>
      </c>
      <c r="B859" s="3" t="str">
        <f>HYPERLINK("https://otsuka-europe-crm.veevavault.com/ui/#object/approved_document__v/V5OZ025E82TFUPI", "Spain - HCP Survey Email - June 2025")</f>
        <v>Spain - HCP Survey Email - June 2025</v>
      </c>
      <c r="C859" s="3" t="str">
        <f>HYPERLINK("https://otsuka-europe-crm.veevavault.com/ui/#object/sent_email__v/VBLZ025E82GMY6N", "SE-000267925")</f>
        <v>SE-000267925</v>
      </c>
      <c r="D859" s="1">
        <v>45915.664861111109</v>
      </c>
      <c r="E859" s="2">
        <v>1</v>
      </c>
      <c r="F859" s="2">
        <v>1</v>
      </c>
      <c r="G859" s="2">
        <v>0</v>
      </c>
      <c r="H859" s="1" t="s">
        <v>0</v>
      </c>
      <c r="I859" s="2">
        <v>0</v>
      </c>
      <c r="J859" s="1">
        <v>45915.378993055558</v>
      </c>
    </row>
    <row r="860" spans="1:10" x14ac:dyDescent="0.2">
      <c r="A860" s="4" t="s">
        <v>1</v>
      </c>
      <c r="B860" s="3" t="str">
        <f>HYPERLINK("https://otsuka-europe-crm.veevavault.com/ui/#object/approved_document__v/V5OZ025E82TFUPI", "Spain - HCP Survey Email - June 2025")</f>
        <v>Spain - HCP Survey Email - June 2025</v>
      </c>
      <c r="C860" s="3" t="str">
        <f>HYPERLINK("https://otsuka-europe-crm.veevavault.com/ui/#object/sent_email__v/VBLZ025E82GMY6O", "SE-000267926")</f>
        <v>SE-000267926</v>
      </c>
      <c r="D860" s="1" t="s">
        <v>0</v>
      </c>
      <c r="E860" s="2">
        <v>0</v>
      </c>
      <c r="F860" s="2">
        <v>0</v>
      </c>
      <c r="G860" s="2">
        <v>0</v>
      </c>
      <c r="H860" s="1" t="s">
        <v>0</v>
      </c>
      <c r="I860" s="2">
        <v>0</v>
      </c>
      <c r="J860" s="1">
        <v>45915.37872685185</v>
      </c>
    </row>
    <row r="861" spans="1:10" x14ac:dyDescent="0.2">
      <c r="A861" s="4" t="s">
        <v>1</v>
      </c>
      <c r="B861" s="3" t="str">
        <f>HYPERLINK("https://otsuka-europe-crm.veevavault.com/ui/#object/approved_document__v/V5OZ025E82TFUPI", "Spain - HCP Survey Email - June 2025")</f>
        <v>Spain - HCP Survey Email - June 2025</v>
      </c>
      <c r="C861" s="3" t="str">
        <f>HYPERLINK("https://otsuka-europe-crm.veevavault.com/ui/#object/sent_email__v/VBLZ025E82GMY6P", "SE-000267927")</f>
        <v>SE-000267927</v>
      </c>
      <c r="D861" s="1" t="s">
        <v>0</v>
      </c>
      <c r="E861" s="2">
        <v>0</v>
      </c>
      <c r="F861" s="2">
        <v>0</v>
      </c>
      <c r="G861" s="2">
        <v>0</v>
      </c>
      <c r="H861" s="1" t="s">
        <v>0</v>
      </c>
      <c r="I861" s="2">
        <v>0</v>
      </c>
      <c r="J861" s="1">
        <v>45915.379201388889</v>
      </c>
    </row>
    <row r="862" spans="1:10" x14ac:dyDescent="0.2">
      <c r="A862" s="4" t="s">
        <v>1</v>
      </c>
      <c r="B862" s="3" t="str">
        <f>HYPERLINK("https://otsuka-europe-crm.veevavault.com/ui/#object/approved_document__v/V5OZ025E82TFUPI", "Spain - HCP Survey Email - June 2025")</f>
        <v>Spain - HCP Survey Email - June 2025</v>
      </c>
      <c r="C862" s="3" t="str">
        <f>HYPERLINK("https://otsuka-europe-crm.veevavault.com/ui/#object/sent_email__v/VBLZ025E82GMY6Q", "SE-000267928")</f>
        <v>SE-000267928</v>
      </c>
      <c r="D862" s="1">
        <v>45915.691435185188</v>
      </c>
      <c r="E862" s="2">
        <v>1</v>
      </c>
      <c r="F862" s="2">
        <v>2</v>
      </c>
      <c r="G862" s="2">
        <v>0</v>
      </c>
      <c r="H862" s="1" t="s">
        <v>0</v>
      </c>
      <c r="I862" s="2">
        <v>0</v>
      </c>
      <c r="J862" s="1">
        <v>45915.377916666665</v>
      </c>
    </row>
    <row r="863" spans="1:10" x14ac:dyDescent="0.2">
      <c r="A863" s="4" t="s">
        <v>1</v>
      </c>
      <c r="B863" s="3" t="str">
        <f>HYPERLINK("https://otsuka-europe-crm.veevavault.com/ui/#object/approved_document__v/V5OZ025E82TFUPI", "Spain - HCP Survey Email - June 2025")</f>
        <v>Spain - HCP Survey Email - June 2025</v>
      </c>
      <c r="C863" s="3" t="str">
        <f>HYPERLINK("https://otsuka-europe-crm.veevavault.com/ui/#object/sent_email__v/VBLZ025E82GMY6R", "SE-000267929")</f>
        <v>SE-000267929</v>
      </c>
      <c r="D863" s="1" t="s">
        <v>0</v>
      </c>
      <c r="E863" s="2">
        <v>0</v>
      </c>
      <c r="F863" s="2">
        <v>0</v>
      </c>
      <c r="G863" s="2">
        <v>0</v>
      </c>
      <c r="H863" s="1" t="s">
        <v>0</v>
      </c>
      <c r="I863" s="2">
        <v>0</v>
      </c>
      <c r="J863" s="1">
        <v>45915.378298611111</v>
      </c>
    </row>
    <row r="864" spans="1:10" x14ac:dyDescent="0.2">
      <c r="A864" s="4" t="s">
        <v>1</v>
      </c>
      <c r="B864" s="3" t="str">
        <f>HYPERLINK("https://otsuka-europe-crm.veevavault.com/ui/#object/approved_document__v/V5OZ025E82TFUPI", "Spain - HCP Survey Email - June 2025")</f>
        <v>Spain - HCP Survey Email - June 2025</v>
      </c>
      <c r="C864" s="3" t="str">
        <f>HYPERLINK("https://otsuka-europe-crm.veevavault.com/ui/#object/sent_email__v/VBLZ025E82GMY6S", "SE-000267930")</f>
        <v>SE-000267930</v>
      </c>
      <c r="D864" s="1">
        <v>45934.655613425923</v>
      </c>
      <c r="E864" s="2">
        <v>1</v>
      </c>
      <c r="F864" s="2">
        <v>3</v>
      </c>
      <c r="G864" s="2">
        <v>1</v>
      </c>
      <c r="H864" s="1">
        <v>45915.378761574073</v>
      </c>
      <c r="I864" s="2">
        <v>2</v>
      </c>
      <c r="J864" s="1">
        <v>45915.378136574072</v>
      </c>
    </row>
    <row r="865" spans="1:10" x14ac:dyDescent="0.2">
      <c r="A865" s="4" t="s">
        <v>1</v>
      </c>
      <c r="B865" s="3" t="str">
        <f>HYPERLINK("https://otsuka-europe-crm.veevavault.com/ui/#object/approved_document__v/V5OZ025E82TFUPI", "Spain - HCP Survey Email - June 2025")</f>
        <v>Spain - HCP Survey Email - June 2025</v>
      </c>
      <c r="C865" s="3" t="str">
        <f>HYPERLINK("https://otsuka-europe-crm.veevavault.com/ui/#object/sent_email__v/VBLZ025E82GMY6T", "SE-000267931")</f>
        <v>SE-000267931</v>
      </c>
      <c r="D865" s="1">
        <v>45915.605034722219</v>
      </c>
      <c r="E865" s="2">
        <v>1</v>
      </c>
      <c r="F865" s="2">
        <v>2</v>
      </c>
      <c r="G865" s="2">
        <v>1</v>
      </c>
      <c r="H865" s="1">
        <v>45922.592824074076</v>
      </c>
      <c r="I865" s="2">
        <v>3</v>
      </c>
      <c r="J865" s="1">
        <v>45915.379016203704</v>
      </c>
    </row>
    <row r="866" spans="1:10" x14ac:dyDescent="0.2">
      <c r="A866" s="4" t="s">
        <v>1</v>
      </c>
      <c r="B866" s="3" t="str">
        <f>HYPERLINK("https://otsuka-europe-crm.veevavault.com/ui/#object/approved_document__v/V5OZ025E82TFUPI", "Spain - HCP Survey Email - June 2025")</f>
        <v>Spain - HCP Survey Email - June 2025</v>
      </c>
      <c r="C866" s="3" t="str">
        <f>HYPERLINK("https://otsuka-europe-crm.veevavault.com/ui/#object/sent_email__v/VBLZ025E82GMY6U", "SE-000267932")</f>
        <v>SE-000267932</v>
      </c>
      <c r="D866" s="1">
        <v>45924.617650462962</v>
      </c>
      <c r="E866" s="2">
        <v>1</v>
      </c>
      <c r="F866" s="2">
        <v>1</v>
      </c>
      <c r="G866" s="2">
        <v>0</v>
      </c>
      <c r="H866" s="1" t="s">
        <v>0</v>
      </c>
      <c r="I866" s="2">
        <v>0</v>
      </c>
      <c r="J866" s="1">
        <v>45915.379490740743</v>
      </c>
    </row>
    <row r="867" spans="1:10" x14ac:dyDescent="0.2">
      <c r="A867" s="4" t="s">
        <v>1</v>
      </c>
      <c r="B867" s="3" t="str">
        <f>HYPERLINK("https://otsuka-europe-crm.veevavault.com/ui/#object/approved_document__v/V5OZ025E82TFUPI", "Spain - HCP Survey Email - June 2025")</f>
        <v>Spain - HCP Survey Email - June 2025</v>
      </c>
      <c r="C867" s="3" t="str">
        <f>HYPERLINK("https://otsuka-europe-crm.veevavault.com/ui/#object/sent_email__v/VBLZ025E82GMY6V", "SE-000267933")</f>
        <v>SE-000267933</v>
      </c>
      <c r="D867" s="1" t="s">
        <v>0</v>
      </c>
      <c r="E867" s="2">
        <v>0</v>
      </c>
      <c r="F867" s="2">
        <v>0</v>
      </c>
      <c r="G867" s="2">
        <v>0</v>
      </c>
      <c r="H867" s="1" t="s">
        <v>0</v>
      </c>
      <c r="I867" s="2">
        <v>0</v>
      </c>
      <c r="J867" s="1">
        <v>45915.37945601852</v>
      </c>
    </row>
    <row r="868" spans="1:10" x14ac:dyDescent="0.2">
      <c r="A868" s="4" t="s">
        <v>1</v>
      </c>
      <c r="B868" s="3" t="str">
        <f>HYPERLINK("https://otsuka-europe-crm.veevavault.com/ui/#object/approved_document__v/V5OZ025E82TFUPI", "Spain - HCP Survey Email - June 2025")</f>
        <v>Spain - HCP Survey Email - June 2025</v>
      </c>
      <c r="C868" s="3" t="str">
        <f>HYPERLINK("https://otsuka-europe-crm.veevavault.com/ui/#object/sent_email__v/VBLZ025E82GMY6W", "SE-000267934")</f>
        <v>SE-000267934</v>
      </c>
      <c r="D868" s="1">
        <v>45915.381261574075</v>
      </c>
      <c r="E868" s="2">
        <v>1</v>
      </c>
      <c r="F868" s="2">
        <v>1</v>
      </c>
      <c r="G868" s="2">
        <v>0</v>
      </c>
      <c r="H868" s="1" t="s">
        <v>0</v>
      </c>
      <c r="I868" s="2">
        <v>0</v>
      </c>
      <c r="J868" s="1">
        <v>45915.377453703702</v>
      </c>
    </row>
    <row r="869" spans="1:10" x14ac:dyDescent="0.2">
      <c r="A869" s="4" t="s">
        <v>1</v>
      </c>
      <c r="B869" s="3" t="str">
        <f>HYPERLINK("https://otsuka-europe-crm.veevavault.com/ui/#object/approved_document__v/V5OZ025E82TFUPI", "Spain - HCP Survey Email - June 2025")</f>
        <v>Spain - HCP Survey Email - June 2025</v>
      </c>
      <c r="C869" s="3" t="str">
        <f>HYPERLINK("https://otsuka-europe-crm.veevavault.com/ui/#object/sent_email__v/VBLZ025E82GMY6X", "SE-000267935")</f>
        <v>SE-000267935</v>
      </c>
      <c r="D869" s="1">
        <v>45915.658622685187</v>
      </c>
      <c r="E869" s="2">
        <v>1</v>
      </c>
      <c r="F869" s="2">
        <v>1</v>
      </c>
      <c r="G869" s="2">
        <v>1</v>
      </c>
      <c r="H869" s="1">
        <v>45915.658912037034</v>
      </c>
      <c r="I869" s="2">
        <v>1</v>
      </c>
      <c r="J869" s="1">
        <v>45915.378460648149</v>
      </c>
    </row>
    <row r="870" spans="1:10" x14ac:dyDescent="0.2">
      <c r="A870" s="4" t="s">
        <v>1</v>
      </c>
      <c r="B870" s="3" t="str">
        <f>HYPERLINK("https://otsuka-europe-crm.veevavault.com/ui/#object/approved_document__v/V5OZ025E82TFUPI", "Spain - HCP Survey Email - June 2025")</f>
        <v>Spain - HCP Survey Email - June 2025</v>
      </c>
      <c r="C870" s="3" t="str">
        <f>HYPERLINK("https://otsuka-europe-crm.veevavault.com/ui/#object/sent_email__v/VBLZ025E82GMY6Y", "SE-000267936")</f>
        <v>SE-000267936</v>
      </c>
      <c r="D870" s="1" t="s">
        <v>0</v>
      </c>
      <c r="E870" s="2">
        <v>0</v>
      </c>
      <c r="F870" s="2">
        <v>0</v>
      </c>
      <c r="G870" s="2">
        <v>0</v>
      </c>
      <c r="H870" s="1" t="s">
        <v>0</v>
      </c>
      <c r="I870" s="2">
        <v>0</v>
      </c>
      <c r="J870" s="1">
        <v>45915.378842592596</v>
      </c>
    </row>
    <row r="871" spans="1:10" x14ac:dyDescent="0.2">
      <c r="A871" s="4" t="s">
        <v>1</v>
      </c>
      <c r="B871" s="3" t="str">
        <f>HYPERLINK("https://otsuka-europe-crm.veevavault.com/ui/#object/approved_document__v/V5OZ025E82TFUPI", "Spain - HCP Survey Email - June 2025")</f>
        <v>Spain - HCP Survey Email - June 2025</v>
      </c>
      <c r="C871" s="3" t="str">
        <f>HYPERLINK("https://otsuka-europe-crm.veevavault.com/ui/#object/sent_email__v/VBLZ025E82GMY6Z", "SE-000267937")</f>
        <v>SE-000267937</v>
      </c>
      <c r="D871" s="1">
        <v>45917.260497685187</v>
      </c>
      <c r="E871" s="2">
        <v>1</v>
      </c>
      <c r="F871" s="2">
        <v>1</v>
      </c>
      <c r="G871" s="2">
        <v>0</v>
      </c>
      <c r="H871" s="1" t="s">
        <v>0</v>
      </c>
      <c r="I871" s="2">
        <v>0</v>
      </c>
      <c r="J871" s="1">
        <v>45915.378680555557</v>
      </c>
    </row>
    <row r="872" spans="1:10" x14ac:dyDescent="0.2">
      <c r="A872" s="4" t="s">
        <v>1</v>
      </c>
      <c r="B872" s="3" t="str">
        <f>HYPERLINK("https://otsuka-europe-crm.veevavault.com/ui/#object/approved_document__v/V5OZ025E82TFUPI", "Spain - HCP Survey Email - June 2025")</f>
        <v>Spain - HCP Survey Email - June 2025</v>
      </c>
      <c r="C872" s="3" t="str">
        <f>HYPERLINK("https://otsuka-europe-crm.veevavault.com/ui/#object/sent_email__v/VBLZ025E82GMY71", "SE-000267939")</f>
        <v>SE-000267939</v>
      </c>
      <c r="D872" s="1">
        <v>45915.377997685187</v>
      </c>
      <c r="E872" s="2">
        <v>1</v>
      </c>
      <c r="F872" s="2">
        <v>1</v>
      </c>
      <c r="G872" s="2">
        <v>0</v>
      </c>
      <c r="H872" s="1" t="s">
        <v>0</v>
      </c>
      <c r="I872" s="2">
        <v>0</v>
      </c>
      <c r="J872" s="1">
        <v>45915.377905092595</v>
      </c>
    </row>
    <row r="873" spans="1:10" x14ac:dyDescent="0.2">
      <c r="A873" s="4" t="s">
        <v>1</v>
      </c>
      <c r="B873" s="3" t="str">
        <f>HYPERLINK("https://otsuka-europe-crm.veevavault.com/ui/#object/approved_document__v/V5OZ025E82TFUPI", "Spain - HCP Survey Email - June 2025")</f>
        <v>Spain - HCP Survey Email - June 2025</v>
      </c>
      <c r="C873" s="3" t="str">
        <f>HYPERLINK("https://otsuka-europe-crm.veevavault.com/ui/#object/sent_email__v/VBLZ025E82GMY72", "SE-000267940")</f>
        <v>SE-000267940</v>
      </c>
      <c r="D873" s="1" t="s">
        <v>0</v>
      </c>
      <c r="E873" s="2">
        <v>0</v>
      </c>
      <c r="F873" s="2">
        <v>0</v>
      </c>
      <c r="G873" s="2">
        <v>0</v>
      </c>
      <c r="H873" s="1" t="s">
        <v>0</v>
      </c>
      <c r="I873" s="2">
        <v>0</v>
      </c>
      <c r="J873" s="1">
        <v>45915.378333333334</v>
      </c>
    </row>
    <row r="874" spans="1:10" x14ac:dyDescent="0.2">
      <c r="A874" s="4" t="s">
        <v>1</v>
      </c>
      <c r="B874" s="3" t="str">
        <f>HYPERLINK("https://otsuka-europe-crm.veevavault.com/ui/#object/approved_document__v/V5OZ025E82TFUPI", "Spain - HCP Survey Email - June 2025")</f>
        <v>Spain - HCP Survey Email - June 2025</v>
      </c>
      <c r="C874" s="3" t="str">
        <f>HYPERLINK("https://otsuka-europe-crm.veevavault.com/ui/#object/sent_email__v/VBLZ025E82GMY73", "SE-000267941")</f>
        <v>SE-000267941</v>
      </c>
      <c r="D874" s="1">
        <v>45915.945833333331</v>
      </c>
      <c r="E874" s="2">
        <v>1</v>
      </c>
      <c r="F874" s="2">
        <v>2</v>
      </c>
      <c r="G874" s="2">
        <v>1</v>
      </c>
      <c r="H874" s="1">
        <v>45915.397164351853</v>
      </c>
      <c r="I874" s="2">
        <v>1</v>
      </c>
      <c r="J874" s="1">
        <v>45915.378113425926</v>
      </c>
    </row>
    <row r="875" spans="1:10" x14ac:dyDescent="0.2">
      <c r="A875" s="4" t="s">
        <v>1</v>
      </c>
      <c r="B875" s="3" t="str">
        <f>HYPERLINK("https://otsuka-europe-crm.veevavault.com/ui/#object/approved_document__v/V5OZ025E82TFUPI", "Spain - HCP Survey Email - June 2025")</f>
        <v>Spain - HCP Survey Email - June 2025</v>
      </c>
      <c r="C875" s="3" t="str">
        <f>HYPERLINK("https://otsuka-europe-crm.veevavault.com/ui/#object/sent_email__v/VBLZ025E82GMY74", "SE-000267942")</f>
        <v>SE-000267942</v>
      </c>
      <c r="D875" s="1">
        <v>45915.474270833336</v>
      </c>
      <c r="E875" s="2">
        <v>1</v>
      </c>
      <c r="F875" s="2">
        <v>1</v>
      </c>
      <c r="G875" s="2">
        <v>0</v>
      </c>
      <c r="H875" s="1" t="s">
        <v>0</v>
      </c>
      <c r="I875" s="2">
        <v>0</v>
      </c>
      <c r="J875" s="1">
        <v>45915.378993055558</v>
      </c>
    </row>
    <row r="876" spans="1:10" x14ac:dyDescent="0.2">
      <c r="A876" s="4" t="s">
        <v>1</v>
      </c>
      <c r="B876" s="3" t="str">
        <f>HYPERLINK("https://otsuka-europe-crm.veevavault.com/ui/#object/approved_document__v/V5OZ025E82TFUPI", "Spain - HCP Survey Email - June 2025")</f>
        <v>Spain - HCP Survey Email - June 2025</v>
      </c>
      <c r="C876" s="3" t="str">
        <f>HYPERLINK("https://otsuka-europe-crm.veevavault.com/ui/#object/sent_email__v/VBLZ025E82GMY75", "SE-000267943")</f>
        <v>SE-000267943</v>
      </c>
      <c r="D876" s="1" t="s">
        <v>0</v>
      </c>
      <c r="E876" s="2">
        <v>0</v>
      </c>
      <c r="F876" s="2">
        <v>0</v>
      </c>
      <c r="G876" s="2">
        <v>0</v>
      </c>
      <c r="H876" s="1" t="s">
        <v>0</v>
      </c>
      <c r="I876" s="2">
        <v>0</v>
      </c>
      <c r="J876" s="1">
        <v>45915.379583333335</v>
      </c>
    </row>
    <row r="877" spans="1:10" x14ac:dyDescent="0.2">
      <c r="A877" s="4" t="s">
        <v>1</v>
      </c>
      <c r="B877" s="3" t="str">
        <f>HYPERLINK("https://otsuka-europe-crm.veevavault.com/ui/#object/approved_document__v/V5OZ025E82TFUPI", "Spain - HCP Survey Email - June 2025")</f>
        <v>Spain - HCP Survey Email - June 2025</v>
      </c>
      <c r="C877" s="3" t="str">
        <f>HYPERLINK("https://otsuka-europe-crm.veevavault.com/ui/#object/sent_email__v/VBLZ025E82GMY76", "SE-000267944")</f>
        <v>SE-000267944</v>
      </c>
      <c r="D877" s="1" t="s">
        <v>0</v>
      </c>
      <c r="E877" s="2">
        <v>0</v>
      </c>
      <c r="F877" s="2">
        <v>0</v>
      </c>
      <c r="G877" s="2">
        <v>0</v>
      </c>
      <c r="H877" s="1" t="s">
        <v>0</v>
      </c>
      <c r="I877" s="2">
        <v>0</v>
      </c>
      <c r="J877" s="1">
        <v>45915.379293981481</v>
      </c>
    </row>
    <row r="878" spans="1:10" x14ac:dyDescent="0.2">
      <c r="A878" s="4" t="s">
        <v>1</v>
      </c>
      <c r="B878" s="3" t="str">
        <f>HYPERLINK("https://otsuka-europe-crm.veevavault.com/ui/#object/approved_document__v/V5OZ025E82TFUPI", "Spain - HCP Survey Email - June 2025")</f>
        <v>Spain - HCP Survey Email - June 2025</v>
      </c>
      <c r="C878" s="3" t="str">
        <f>HYPERLINK("https://otsuka-europe-crm.veevavault.com/ui/#object/sent_email__v/VBLZ025E82GMY77", "SE-000267945")</f>
        <v>SE-000267945</v>
      </c>
      <c r="D878" s="1" t="s">
        <v>0</v>
      </c>
      <c r="E878" s="2">
        <v>0</v>
      </c>
      <c r="F878" s="2">
        <v>0</v>
      </c>
      <c r="G878" s="2">
        <v>0</v>
      </c>
      <c r="H878" s="1" t="s">
        <v>0</v>
      </c>
      <c r="I878" s="2">
        <v>0</v>
      </c>
      <c r="J878" s="1">
        <v>45915.377442129633</v>
      </c>
    </row>
    <row r="879" spans="1:10" x14ac:dyDescent="0.2">
      <c r="A879" s="4" t="s">
        <v>1</v>
      </c>
      <c r="B879" s="3" t="str">
        <f>HYPERLINK("https://otsuka-europe-crm.veevavault.com/ui/#object/approved_document__v/V5OZ025E82TFUPI", "Spain - HCP Survey Email - June 2025")</f>
        <v>Spain - HCP Survey Email - June 2025</v>
      </c>
      <c r="C879" s="3" t="str">
        <f>HYPERLINK("https://otsuka-europe-crm.veevavault.com/ui/#object/sent_email__v/VBLZ025E82GMY78", "SE-000267946")</f>
        <v>SE-000267946</v>
      </c>
      <c r="D879" s="1">
        <v>45916.923194444447</v>
      </c>
      <c r="E879" s="2">
        <v>1</v>
      </c>
      <c r="F879" s="2">
        <v>3</v>
      </c>
      <c r="G879" s="2">
        <v>0</v>
      </c>
      <c r="H879" s="1" t="s">
        <v>0</v>
      </c>
      <c r="I879" s="2">
        <v>0</v>
      </c>
      <c r="J879" s="1">
        <v>45915.378842592596</v>
      </c>
    </row>
    <row r="880" spans="1:10" x14ac:dyDescent="0.2">
      <c r="A880" s="4" t="s">
        <v>1</v>
      </c>
      <c r="B880" s="3" t="str">
        <f>HYPERLINK("https://otsuka-europe-crm.veevavault.com/ui/#object/approved_document__v/V5OZ025E82TFUPI", "Spain - HCP Survey Email - June 2025")</f>
        <v>Spain - HCP Survey Email - June 2025</v>
      </c>
      <c r="C880" s="3" t="str">
        <f>HYPERLINK("https://otsuka-europe-crm.veevavault.com/ui/#object/sent_email__v/VBLZ025E82GMY79", "SE-000267947")</f>
        <v>SE-000267947</v>
      </c>
      <c r="D880" s="1" t="s">
        <v>0</v>
      </c>
      <c r="E880" s="2">
        <v>0</v>
      </c>
      <c r="F880" s="2">
        <v>0</v>
      </c>
      <c r="G880" s="2">
        <v>0</v>
      </c>
      <c r="H880" s="1" t="s">
        <v>0</v>
      </c>
      <c r="I880" s="2">
        <v>0</v>
      </c>
      <c r="J880" s="1">
        <v>45915.379525462966</v>
      </c>
    </row>
    <row r="881" spans="1:10" x14ac:dyDescent="0.2">
      <c r="A881" s="4" t="s">
        <v>1</v>
      </c>
      <c r="B881" s="3" t="str">
        <f>HYPERLINK("https://otsuka-europe-crm.veevavault.com/ui/#object/approved_document__v/V5OZ025E82TFUPI", "Spain - HCP Survey Email - June 2025")</f>
        <v>Spain - HCP Survey Email - June 2025</v>
      </c>
      <c r="C881" s="3" t="str">
        <f>HYPERLINK("https://otsuka-europe-crm.veevavault.com/ui/#object/sent_email__v/VBLZ025E82GMY7A", "SE-000267948")</f>
        <v>SE-000267948</v>
      </c>
      <c r="D881" s="1" t="s">
        <v>0</v>
      </c>
      <c r="E881" s="2">
        <v>0</v>
      </c>
      <c r="F881" s="2">
        <v>0</v>
      </c>
      <c r="G881" s="2">
        <v>0</v>
      </c>
      <c r="H881" s="1" t="s">
        <v>0</v>
      </c>
      <c r="I881" s="2">
        <v>0</v>
      </c>
      <c r="J881" s="1">
        <v>45915.379247685189</v>
      </c>
    </row>
    <row r="882" spans="1:10" x14ac:dyDescent="0.2">
      <c r="A882" s="4" t="s">
        <v>1</v>
      </c>
      <c r="B882" s="3" t="str">
        <f>HYPERLINK("https://otsuka-europe-crm.veevavault.com/ui/#object/approved_document__v/V5OZ025E82TFUPI", "Spain - HCP Survey Email - June 2025")</f>
        <v>Spain - HCP Survey Email - June 2025</v>
      </c>
      <c r="C882" s="3" t="str">
        <f>HYPERLINK("https://otsuka-europe-crm.veevavault.com/ui/#object/sent_email__v/VBLZ025E82GMY7B", "SE-000267949")</f>
        <v>SE-000267949</v>
      </c>
      <c r="D882" s="1">
        <v>45916.347916666666</v>
      </c>
      <c r="E882" s="2">
        <v>1</v>
      </c>
      <c r="F882" s="2">
        <v>2</v>
      </c>
      <c r="G882" s="2">
        <v>0</v>
      </c>
      <c r="H882" s="1" t="s">
        <v>0</v>
      </c>
      <c r="I882" s="2">
        <v>0</v>
      </c>
      <c r="J882" s="1">
        <v>45915.377465277779</v>
      </c>
    </row>
    <row r="883" spans="1:10" x14ac:dyDescent="0.2">
      <c r="A883" s="4" t="s">
        <v>1</v>
      </c>
      <c r="B883" s="3" t="str">
        <f>HYPERLINK("https://otsuka-europe-crm.veevavault.com/ui/#object/approved_document__v/V5OZ025E82TFUPI", "Spain - HCP Survey Email - June 2025")</f>
        <v>Spain - HCP Survey Email - June 2025</v>
      </c>
      <c r="C883" s="3" t="str">
        <f>HYPERLINK("https://otsuka-europe-crm.veevavault.com/ui/#object/sent_email__v/VBLZ025E82GMY7C", "SE-000267950")</f>
        <v>SE-000267950</v>
      </c>
      <c r="D883" s="1" t="s">
        <v>0</v>
      </c>
      <c r="E883" s="2">
        <v>0</v>
      </c>
      <c r="F883" s="2">
        <v>0</v>
      </c>
      <c r="G883" s="2">
        <v>0</v>
      </c>
      <c r="H883" s="1" t="s">
        <v>0</v>
      </c>
      <c r="I883" s="2">
        <v>0</v>
      </c>
      <c r="J883" s="1">
        <v>45915.378437500003</v>
      </c>
    </row>
    <row r="884" spans="1:10" x14ac:dyDescent="0.2">
      <c r="A884" s="4" t="s">
        <v>1</v>
      </c>
      <c r="B884" s="3" t="str">
        <f>HYPERLINK("https://otsuka-europe-crm.veevavault.com/ui/#object/approved_document__v/V5OZ025E82TFUPI", "Spain - HCP Survey Email - June 2025")</f>
        <v>Spain - HCP Survey Email - June 2025</v>
      </c>
      <c r="C884" s="3" t="str">
        <f>HYPERLINK("https://otsuka-europe-crm.veevavault.com/ui/#object/sent_email__v/VBLZ025E82GMY7D", "SE-000267951")</f>
        <v>SE-000267951</v>
      </c>
      <c r="D884" s="1" t="s">
        <v>0</v>
      </c>
      <c r="E884" s="2">
        <v>0</v>
      </c>
      <c r="F884" s="2">
        <v>0</v>
      </c>
      <c r="G884" s="2">
        <v>0</v>
      </c>
      <c r="H884" s="1" t="s">
        <v>0</v>
      </c>
      <c r="I884" s="2">
        <v>0</v>
      </c>
      <c r="J884" s="1">
        <v>45915.378854166665</v>
      </c>
    </row>
    <row r="885" spans="1:10" x14ac:dyDescent="0.2">
      <c r="A885" s="4" t="s">
        <v>1</v>
      </c>
      <c r="B885" s="3" t="str">
        <f>HYPERLINK("https://otsuka-europe-crm.veevavault.com/ui/#object/approved_document__v/V5OZ025E82TFUPI", "Spain - HCP Survey Email - June 2025")</f>
        <v>Spain - HCP Survey Email - June 2025</v>
      </c>
      <c r="C885" s="3" t="str">
        <f>HYPERLINK("https://otsuka-europe-crm.veevavault.com/ui/#object/sent_email__v/VBLZ025E82GMY7E", "SE-000267952")</f>
        <v>SE-000267952</v>
      </c>
      <c r="D885" s="1">
        <v>45915.714537037034</v>
      </c>
      <c r="E885" s="2">
        <v>1</v>
      </c>
      <c r="F885" s="2">
        <v>1</v>
      </c>
      <c r="G885" s="2">
        <v>0</v>
      </c>
      <c r="H885" s="1" t="s">
        <v>0</v>
      </c>
      <c r="I885" s="2">
        <v>0</v>
      </c>
      <c r="J885" s="1">
        <v>45915.378750000003</v>
      </c>
    </row>
    <row r="886" spans="1:10" x14ac:dyDescent="0.2">
      <c r="A886" s="4" t="s">
        <v>1</v>
      </c>
      <c r="B886" s="3" t="str">
        <f>HYPERLINK("https://otsuka-europe-crm.veevavault.com/ui/#object/approved_document__v/V5OZ025E82TFUPI", "Spain - HCP Survey Email - June 2025")</f>
        <v>Spain - HCP Survey Email - June 2025</v>
      </c>
      <c r="C886" s="3" t="str">
        <f>HYPERLINK("https://otsuka-europe-crm.veevavault.com/ui/#object/sent_email__v/VBLZ025E82GMY7F", "SE-000267953")</f>
        <v>SE-000267953</v>
      </c>
      <c r="D886" s="1">
        <v>45915.61645833333</v>
      </c>
      <c r="E886" s="2">
        <v>1</v>
      </c>
      <c r="F886" s="2">
        <v>1</v>
      </c>
      <c r="G886" s="2">
        <v>0</v>
      </c>
      <c r="H886" s="1" t="s">
        <v>0</v>
      </c>
      <c r="I886" s="2">
        <v>0</v>
      </c>
      <c r="J886" s="1">
        <v>45915.379178240742</v>
      </c>
    </row>
    <row r="887" spans="1:10" x14ac:dyDescent="0.2">
      <c r="A887" s="4" t="s">
        <v>1</v>
      </c>
      <c r="B887" s="3" t="str">
        <f>HYPERLINK("https://otsuka-europe-crm.veevavault.com/ui/#object/approved_document__v/V5OZ025E82TFUPI", "Spain - HCP Survey Email - June 2025")</f>
        <v>Spain - HCP Survey Email - June 2025</v>
      </c>
      <c r="C887" s="3" t="str">
        <f>HYPERLINK("https://otsuka-europe-crm.veevavault.com/ui/#object/sent_email__v/VBLZ025E82GMY7G", "SE-000267954")</f>
        <v>SE-000267954</v>
      </c>
      <c r="D887" s="1">
        <v>45915.53564814815</v>
      </c>
      <c r="E887" s="2">
        <v>1</v>
      </c>
      <c r="F887" s="2">
        <v>1</v>
      </c>
      <c r="G887" s="2">
        <v>0</v>
      </c>
      <c r="H887" s="1" t="s">
        <v>0</v>
      </c>
      <c r="I887" s="2">
        <v>0</v>
      </c>
      <c r="J887" s="1">
        <v>45915.377881944441</v>
      </c>
    </row>
    <row r="888" spans="1:10" x14ac:dyDescent="0.2">
      <c r="A888" s="4" t="s">
        <v>1</v>
      </c>
      <c r="B888" s="3" t="str">
        <f>HYPERLINK("https://otsuka-europe-crm.veevavault.com/ui/#object/approved_document__v/V5OZ025E82TFUPI", "Spain - HCP Survey Email - June 2025")</f>
        <v>Spain - HCP Survey Email - June 2025</v>
      </c>
      <c r="C888" s="3" t="str">
        <f>HYPERLINK("https://otsuka-europe-crm.veevavault.com/ui/#object/sent_email__v/VBLZ025E82GMY7H", "SE-000267955")</f>
        <v>SE-000267955</v>
      </c>
      <c r="D888" s="1" t="s">
        <v>0</v>
      </c>
      <c r="E888" s="2">
        <v>0</v>
      </c>
      <c r="F888" s="2">
        <v>0</v>
      </c>
      <c r="G888" s="2">
        <v>0</v>
      </c>
      <c r="H888" s="1" t="s">
        <v>0</v>
      </c>
      <c r="I888" s="2">
        <v>0</v>
      </c>
      <c r="J888" s="1">
        <v>45915.378425925926</v>
      </c>
    </row>
    <row r="889" spans="1:10" x14ac:dyDescent="0.2">
      <c r="A889" s="4" t="s">
        <v>1</v>
      </c>
      <c r="B889" s="3" t="str">
        <f>HYPERLINK("https://otsuka-europe-crm.veevavault.com/ui/#object/approved_document__v/V5OZ025E82TFUPI", "Spain - HCP Survey Email - June 2025")</f>
        <v>Spain - HCP Survey Email - June 2025</v>
      </c>
      <c r="C889" s="3" t="str">
        <f>HYPERLINK("https://otsuka-europe-crm.veevavault.com/ui/#object/sent_email__v/VBLZ025E82GMY7I", "SE-000267956")</f>
        <v>SE-000267956</v>
      </c>
      <c r="D889" s="1">
        <v>45921.406724537039</v>
      </c>
      <c r="E889" s="2">
        <v>1</v>
      </c>
      <c r="F889" s="2">
        <v>1</v>
      </c>
      <c r="G889" s="2">
        <v>0</v>
      </c>
      <c r="H889" s="1" t="s">
        <v>0</v>
      </c>
      <c r="I889" s="2">
        <v>0</v>
      </c>
      <c r="J889" s="1">
        <v>45915.378113425926</v>
      </c>
    </row>
    <row r="890" spans="1:10" x14ac:dyDescent="0.2">
      <c r="A890" s="4" t="s">
        <v>1</v>
      </c>
      <c r="B890" s="3" t="str">
        <f>HYPERLINK("https://otsuka-europe-crm.veevavault.com/ui/#object/approved_document__v/V5OZ025E82TFUPI", "Spain - HCP Survey Email - June 2025")</f>
        <v>Spain - HCP Survey Email - June 2025</v>
      </c>
      <c r="C890" s="3" t="str">
        <f>HYPERLINK("https://otsuka-europe-crm.veevavault.com/ui/#object/sent_email__v/VBLZ025E82GMY7J", "SE-000267957")</f>
        <v>SE-000267957</v>
      </c>
      <c r="D890" s="1" t="s">
        <v>0</v>
      </c>
      <c r="E890" s="2">
        <v>0</v>
      </c>
      <c r="F890" s="2">
        <v>0</v>
      </c>
      <c r="G890" s="2">
        <v>0</v>
      </c>
      <c r="H890" s="1" t="s">
        <v>0</v>
      </c>
      <c r="I890" s="2">
        <v>0</v>
      </c>
      <c r="J890" s="1">
        <v>45915.378969907404</v>
      </c>
    </row>
    <row r="891" spans="1:10" x14ac:dyDescent="0.2">
      <c r="A891" s="4" t="s">
        <v>1</v>
      </c>
      <c r="B891" s="3" t="str">
        <f>HYPERLINK("https://otsuka-europe-crm.veevavault.com/ui/#object/approved_document__v/V5OZ025E82TFUPI", "Spain - HCP Survey Email - June 2025")</f>
        <v>Spain - HCP Survey Email - June 2025</v>
      </c>
      <c r="C891" s="3" t="str">
        <f>HYPERLINK("https://otsuka-europe-crm.veevavault.com/ui/#object/sent_email__v/VBLZ025E82GMY7K", "SE-000267958")</f>
        <v>SE-000267958</v>
      </c>
      <c r="D891" s="1" t="s">
        <v>0</v>
      </c>
      <c r="E891" s="2">
        <v>0</v>
      </c>
      <c r="F891" s="2">
        <v>0</v>
      </c>
      <c r="G891" s="2">
        <v>0</v>
      </c>
      <c r="H891" s="1" t="s">
        <v>0</v>
      </c>
      <c r="I891" s="2">
        <v>0</v>
      </c>
      <c r="J891" s="1">
        <v>45915.379583333335</v>
      </c>
    </row>
    <row r="892" spans="1:10" x14ac:dyDescent="0.2">
      <c r="A892" s="4" t="s">
        <v>1</v>
      </c>
      <c r="B892" s="3" t="str">
        <f>HYPERLINK("https://otsuka-europe-crm.veevavault.com/ui/#object/approved_document__v/V5OZ025E82TFUPI", "Spain - HCP Survey Email - June 2025")</f>
        <v>Spain - HCP Survey Email - June 2025</v>
      </c>
      <c r="C892" s="3" t="str">
        <f>HYPERLINK("https://otsuka-europe-crm.veevavault.com/ui/#object/sent_email__v/VBLZ025E82GMY7L", "SE-000267959")</f>
        <v>SE-000267959</v>
      </c>
      <c r="D892" s="1" t="s">
        <v>0</v>
      </c>
      <c r="E892" s="2">
        <v>0</v>
      </c>
      <c r="F892" s="2">
        <v>0</v>
      </c>
      <c r="G892" s="2">
        <v>0</v>
      </c>
      <c r="H892" s="1" t="s">
        <v>0</v>
      </c>
      <c r="I892" s="2">
        <v>0</v>
      </c>
      <c r="J892" s="1">
        <v>45915.379189814812</v>
      </c>
    </row>
    <row r="893" spans="1:10" x14ac:dyDescent="0.2">
      <c r="A893" s="4" t="s">
        <v>1</v>
      </c>
      <c r="B893" s="3" t="str">
        <f>HYPERLINK("https://otsuka-europe-crm.veevavault.com/ui/#object/approved_document__v/V5OZ025E82TFUPI", "Spain - HCP Survey Email - June 2025")</f>
        <v>Spain - HCP Survey Email - June 2025</v>
      </c>
      <c r="C893" s="3" t="str">
        <f>HYPERLINK("https://otsuka-europe-crm.veevavault.com/ui/#object/sent_email__v/VBLZ025E82GMY7M", "SE-000267960")</f>
        <v>SE-000267960</v>
      </c>
      <c r="D893" s="1">
        <v>45916.817094907405</v>
      </c>
      <c r="E893" s="2">
        <v>1</v>
      </c>
      <c r="F893" s="2">
        <v>1</v>
      </c>
      <c r="G893" s="2">
        <v>0</v>
      </c>
      <c r="H893" s="1" t="s">
        <v>0</v>
      </c>
      <c r="I893" s="2">
        <v>0</v>
      </c>
      <c r="J893" s="1">
        <v>45915.377465277779</v>
      </c>
    </row>
    <row r="894" spans="1:10" x14ac:dyDescent="0.2">
      <c r="A894" s="4" t="s">
        <v>1</v>
      </c>
      <c r="B894" s="3" t="str">
        <f>HYPERLINK("https://otsuka-europe-crm.veevavault.com/ui/#object/approved_document__v/V5OZ025E82TFUPI", "Spain - HCP Survey Email - June 2025")</f>
        <v>Spain - HCP Survey Email - June 2025</v>
      </c>
      <c r="C894" s="3" t="str">
        <f>HYPERLINK("https://otsuka-europe-crm.veevavault.com/ui/#object/sent_email__v/VBLZ025E82GMY7N", "SE-000267961")</f>
        <v>SE-000267961</v>
      </c>
      <c r="D894" s="1" t="s">
        <v>0</v>
      </c>
      <c r="E894" s="2">
        <v>0</v>
      </c>
      <c r="F894" s="2">
        <v>0</v>
      </c>
      <c r="G894" s="2">
        <v>0</v>
      </c>
      <c r="H894" s="1" t="s">
        <v>0</v>
      </c>
      <c r="I894" s="2">
        <v>0</v>
      </c>
      <c r="J894" s="1">
        <v>45915.37841435185</v>
      </c>
    </row>
    <row r="895" spans="1:10" x14ac:dyDescent="0.2">
      <c r="A895" s="4" t="s">
        <v>1</v>
      </c>
      <c r="B895" s="3" t="str">
        <f>HYPERLINK("https://otsuka-europe-crm.veevavault.com/ui/#object/approved_document__v/V5OZ025E82TFUPI", "Spain - HCP Survey Email - June 2025")</f>
        <v>Spain - HCP Survey Email - June 2025</v>
      </c>
      <c r="C895" s="3" t="str">
        <f>HYPERLINK("https://otsuka-europe-crm.veevavault.com/ui/#object/sent_email__v/VBLZ025E82GMY7O", "SE-000267962")</f>
        <v>SE-000267962</v>
      </c>
      <c r="D895" s="1" t="s">
        <v>0</v>
      </c>
      <c r="E895" s="2">
        <v>0</v>
      </c>
      <c r="F895" s="2">
        <v>0</v>
      </c>
      <c r="G895" s="2">
        <v>0</v>
      </c>
      <c r="H895" s="1" t="s">
        <v>0</v>
      </c>
      <c r="I895" s="2">
        <v>0</v>
      </c>
      <c r="J895" s="1">
        <v>45915.378819444442</v>
      </c>
    </row>
    <row r="896" spans="1:10" x14ac:dyDescent="0.2">
      <c r="A896" s="4" t="s">
        <v>1</v>
      </c>
      <c r="B896" s="3" t="str">
        <f>HYPERLINK("https://otsuka-europe-crm.veevavault.com/ui/#object/approved_document__v/V5OZ025E82TFUPI", "Spain - HCP Survey Email - June 2025")</f>
        <v>Spain - HCP Survey Email - June 2025</v>
      </c>
      <c r="C896" s="3" t="str">
        <f>HYPERLINK("https://otsuka-europe-crm.veevavault.com/ui/#object/sent_email__v/VBLZ025E82GMY7P", "SE-000267963")</f>
        <v>SE-000267963</v>
      </c>
      <c r="D896" s="1">
        <v>45915.977488425924</v>
      </c>
      <c r="E896" s="2">
        <v>1</v>
      </c>
      <c r="F896" s="2">
        <v>1</v>
      </c>
      <c r="G896" s="2">
        <v>1</v>
      </c>
      <c r="H896" s="1">
        <v>45942.70140046296</v>
      </c>
      <c r="I896" s="2">
        <v>1</v>
      </c>
      <c r="J896" s="1">
        <v>45915.378819444442</v>
      </c>
    </row>
    <row r="897" spans="1:10" x14ac:dyDescent="0.2">
      <c r="A897" s="4" t="s">
        <v>1</v>
      </c>
      <c r="B897" s="3" t="str">
        <f>HYPERLINK("https://otsuka-europe-crm.veevavault.com/ui/#object/approved_document__v/V5OZ025E82TFUPI", "Spain - HCP Survey Email - June 2025")</f>
        <v>Spain - HCP Survey Email - June 2025</v>
      </c>
      <c r="C897" s="3" t="str">
        <f>HYPERLINK("https://otsuka-europe-crm.veevavault.com/ui/#object/sent_email__v/VBLZ025E82GMY7Q", "SE-000267964")</f>
        <v>SE-000267964</v>
      </c>
      <c r="D897" s="1">
        <v>45915.441840277781</v>
      </c>
      <c r="E897" s="2">
        <v>1</v>
      </c>
      <c r="F897" s="2">
        <v>2</v>
      </c>
      <c r="G897" s="2">
        <v>0</v>
      </c>
      <c r="H897" s="1" t="s">
        <v>0</v>
      </c>
      <c r="I897" s="2">
        <v>0</v>
      </c>
      <c r="J897" s="1">
        <v>45915.379120370373</v>
      </c>
    </row>
    <row r="898" spans="1:10" x14ac:dyDescent="0.2">
      <c r="A898" s="4" t="s">
        <v>1</v>
      </c>
      <c r="B898" s="3" t="str">
        <f>HYPERLINK("https://otsuka-europe-crm.veevavault.com/ui/#object/approved_document__v/V5OZ025E82TFUPI", "Spain - HCP Survey Email - June 2025")</f>
        <v>Spain - HCP Survey Email - June 2025</v>
      </c>
      <c r="C898" s="3" t="str">
        <f>HYPERLINK("https://otsuka-europe-crm.veevavault.com/ui/#object/sent_email__v/VBLZ025E82GMY7R", "SE-000267965")</f>
        <v>SE-000267965</v>
      </c>
      <c r="D898" s="1" t="s">
        <v>0</v>
      </c>
      <c r="E898" s="2">
        <v>0</v>
      </c>
      <c r="F898" s="2">
        <v>0</v>
      </c>
      <c r="G898" s="2">
        <v>0</v>
      </c>
      <c r="H898" s="1" t="s">
        <v>0</v>
      </c>
      <c r="I898" s="2">
        <v>0</v>
      </c>
      <c r="J898" s="1">
        <v>45915.377928240741</v>
      </c>
    </row>
    <row r="899" spans="1:10" x14ac:dyDescent="0.2">
      <c r="A899" s="4" t="s">
        <v>1</v>
      </c>
      <c r="B899" s="3" t="str">
        <f>HYPERLINK("https://otsuka-europe-crm.veevavault.com/ui/#object/approved_document__v/V5OZ025E82TFUPI", "Spain - HCP Survey Email - June 2025")</f>
        <v>Spain - HCP Survey Email - June 2025</v>
      </c>
      <c r="C899" s="3" t="str">
        <f>HYPERLINK("https://otsuka-europe-crm.veevavault.com/ui/#object/sent_email__v/VBLZ025E82GMY7S", "SE-000267966")</f>
        <v>SE-000267966</v>
      </c>
      <c r="D899" s="1" t="s">
        <v>0</v>
      </c>
      <c r="E899" s="2">
        <v>0</v>
      </c>
      <c r="F899" s="2">
        <v>0</v>
      </c>
      <c r="G899" s="2">
        <v>0</v>
      </c>
      <c r="H899" s="1" t="s">
        <v>0</v>
      </c>
      <c r="I899" s="2">
        <v>0</v>
      </c>
      <c r="J899" s="1">
        <v>45915.378287037034</v>
      </c>
    </row>
    <row r="900" spans="1:10" x14ac:dyDescent="0.2">
      <c r="A900" s="4" t="s">
        <v>1</v>
      </c>
      <c r="B900" s="3" t="str">
        <f>HYPERLINK("https://otsuka-europe-crm.veevavault.com/ui/#object/approved_document__v/V5OZ025E82TFUPI", "Spain - HCP Survey Email - June 2025")</f>
        <v>Spain - HCP Survey Email - June 2025</v>
      </c>
      <c r="C900" s="3" t="str">
        <f>HYPERLINK("https://otsuka-europe-crm.veevavault.com/ui/#object/sent_email__v/VBLZ025E82GMY7T", "SE-000267967")</f>
        <v>SE-000267967</v>
      </c>
      <c r="D900" s="1">
        <v>45915.385347222225</v>
      </c>
      <c r="E900" s="2">
        <v>1</v>
      </c>
      <c r="F900" s="2">
        <v>1</v>
      </c>
      <c r="G900" s="2">
        <v>0</v>
      </c>
      <c r="H900" s="1" t="s">
        <v>0</v>
      </c>
      <c r="I900" s="2">
        <v>0</v>
      </c>
      <c r="J900" s="1">
        <v>45915.378136574072</v>
      </c>
    </row>
    <row r="901" spans="1:10" x14ac:dyDescent="0.2">
      <c r="A901" s="4" t="s">
        <v>1</v>
      </c>
      <c r="B901" s="3" t="str">
        <f>HYPERLINK("https://otsuka-europe-crm.veevavault.com/ui/#object/approved_document__v/V5OZ025E82TFUPI", "Spain - HCP Survey Email - June 2025")</f>
        <v>Spain - HCP Survey Email - June 2025</v>
      </c>
      <c r="C901" s="3" t="str">
        <f>HYPERLINK("https://otsuka-europe-crm.veevavault.com/ui/#object/sent_email__v/VBLZ025E82GMY7U", "SE-000267968")</f>
        <v>SE-000267968</v>
      </c>
      <c r="D901" s="1" t="s">
        <v>0</v>
      </c>
      <c r="E901" s="2">
        <v>0</v>
      </c>
      <c r="F901" s="2">
        <v>0</v>
      </c>
      <c r="G901" s="2">
        <v>0</v>
      </c>
      <c r="H901" s="1" t="s">
        <v>0</v>
      </c>
      <c r="I901" s="2">
        <v>0</v>
      </c>
      <c r="J901" s="1">
        <v>45915.378969907404</v>
      </c>
    </row>
    <row r="902" spans="1:10" x14ac:dyDescent="0.2">
      <c r="A902" s="4" t="s">
        <v>1</v>
      </c>
      <c r="B902" s="3" t="str">
        <f>HYPERLINK("https://otsuka-europe-crm.veevavault.com/ui/#object/approved_document__v/V5OZ025E82TFUPI", "Spain - HCP Survey Email - June 2025")</f>
        <v>Spain - HCP Survey Email - June 2025</v>
      </c>
      <c r="C902" s="3" t="str">
        <f>HYPERLINK("https://otsuka-europe-crm.veevavault.com/ui/#object/sent_email__v/VBLZ025E82GMY7V", "SE-000267969")</f>
        <v>SE-000267969</v>
      </c>
      <c r="D902" s="1" t="s">
        <v>0</v>
      </c>
      <c r="E902" s="2">
        <v>0</v>
      </c>
      <c r="F902" s="2">
        <v>0</v>
      </c>
      <c r="G902" s="2">
        <v>0</v>
      </c>
      <c r="H902" s="1" t="s">
        <v>0</v>
      </c>
      <c r="I902" s="2">
        <v>0</v>
      </c>
      <c r="J902" s="1">
        <v>45915.379490740743</v>
      </c>
    </row>
    <row r="903" spans="1:10" x14ac:dyDescent="0.2">
      <c r="A903" s="4" t="s">
        <v>1</v>
      </c>
      <c r="B903" s="3" t="str">
        <f>HYPERLINK("https://otsuka-europe-crm.veevavault.com/ui/#object/approved_document__v/V5OZ025E82TFUPI", "Spain - HCP Survey Email - June 2025")</f>
        <v>Spain - HCP Survey Email - June 2025</v>
      </c>
      <c r="C903" s="3" t="str">
        <f>HYPERLINK("https://otsuka-europe-crm.veevavault.com/ui/#object/sent_email__v/VBLZ025E82GMY7W", "SE-000267970")</f>
        <v>SE-000267970</v>
      </c>
      <c r="D903" s="1">
        <v>45915.389826388891</v>
      </c>
      <c r="E903" s="2">
        <v>1</v>
      </c>
      <c r="F903" s="2">
        <v>2</v>
      </c>
      <c r="G903" s="2">
        <v>1</v>
      </c>
      <c r="H903" s="1">
        <v>45915.389976851853</v>
      </c>
      <c r="I903" s="2">
        <v>1</v>
      </c>
      <c r="J903" s="1">
        <v>45915.379328703704</v>
      </c>
    </row>
    <row r="904" spans="1:10" x14ac:dyDescent="0.2">
      <c r="A904" s="4" t="s">
        <v>1</v>
      </c>
      <c r="B904" s="3" t="str">
        <f>HYPERLINK("https://otsuka-europe-crm.veevavault.com/ui/#object/approved_document__v/V5OZ025E82TFUPI", "Spain - HCP Survey Email - June 2025")</f>
        <v>Spain - HCP Survey Email - June 2025</v>
      </c>
      <c r="C904" s="3" t="str">
        <f>HYPERLINK("https://otsuka-europe-crm.veevavault.com/ui/#object/sent_email__v/VBLZ025E82GMY7X", "SE-000267971")</f>
        <v>SE-000267971</v>
      </c>
      <c r="D904" s="1">
        <v>45918.004849537036</v>
      </c>
      <c r="E904" s="2">
        <v>1</v>
      </c>
      <c r="F904" s="2">
        <v>3</v>
      </c>
      <c r="G904" s="2">
        <v>1</v>
      </c>
      <c r="H904" s="1">
        <v>45918.003946759258</v>
      </c>
      <c r="I904" s="2">
        <v>1</v>
      </c>
      <c r="J904" s="1">
        <v>45915.377465277779</v>
      </c>
    </row>
    <row r="905" spans="1:10" x14ac:dyDescent="0.2">
      <c r="A905" s="4" t="s">
        <v>1</v>
      </c>
      <c r="B905" s="3" t="str">
        <f>HYPERLINK("https://otsuka-europe-crm.veevavault.com/ui/#object/approved_document__v/V5OZ025E82TFUPI", "Spain - HCP Survey Email - June 2025")</f>
        <v>Spain - HCP Survey Email - June 2025</v>
      </c>
      <c r="C905" s="3" t="str">
        <f>HYPERLINK("https://otsuka-europe-crm.veevavault.com/ui/#object/sent_email__v/VBLZ025E82GMY7Y", "SE-000267972")</f>
        <v>SE-000267972</v>
      </c>
      <c r="D905" s="1">
        <v>45915.718634259261</v>
      </c>
      <c r="E905" s="2">
        <v>1</v>
      </c>
      <c r="F905" s="2">
        <v>1</v>
      </c>
      <c r="G905" s="2">
        <v>0</v>
      </c>
      <c r="H905" s="1" t="s">
        <v>0</v>
      </c>
      <c r="I905" s="2">
        <v>0</v>
      </c>
      <c r="J905" s="1">
        <v>45915.377928240741</v>
      </c>
    </row>
    <row r="906" spans="1:10" x14ac:dyDescent="0.2">
      <c r="A906" s="4" t="s">
        <v>1</v>
      </c>
      <c r="B906" s="3" t="str">
        <f>HYPERLINK("https://otsuka-europe-crm.veevavault.com/ui/#object/approved_document__v/V5OZ025E82TFUPI", "Spain - HCP Survey Email - June 2025")</f>
        <v>Spain - HCP Survey Email - June 2025</v>
      </c>
      <c r="C906" s="3" t="str">
        <f>HYPERLINK("https://otsuka-europe-crm.veevavault.com/ui/#object/sent_email__v/VBLZ025E82GMY7Z", "SE-000267973")</f>
        <v>SE-000267973</v>
      </c>
      <c r="D906" s="1">
        <v>45933.500798611109</v>
      </c>
      <c r="E906" s="2">
        <v>1</v>
      </c>
      <c r="F906" s="2">
        <v>6</v>
      </c>
      <c r="G906" s="2">
        <v>0</v>
      </c>
      <c r="H906" s="1" t="s">
        <v>0</v>
      </c>
      <c r="I906" s="2">
        <v>0</v>
      </c>
      <c r="J906" s="1">
        <v>45915.378923611112</v>
      </c>
    </row>
    <row r="907" spans="1:10" x14ac:dyDescent="0.2">
      <c r="A907" s="4" t="s">
        <v>1</v>
      </c>
      <c r="B907" s="3" t="str">
        <f>HYPERLINK("https://otsuka-europe-crm.veevavault.com/ui/#object/approved_document__v/V5OZ025E82TFUPI", "Spain - HCP Survey Email - June 2025")</f>
        <v>Spain - HCP Survey Email - June 2025</v>
      </c>
      <c r="C907" s="3" t="str">
        <f>HYPERLINK("https://otsuka-europe-crm.veevavault.com/ui/#object/sent_email__v/VBLZ025E82GMY80", "SE-000267974")</f>
        <v>SE-000267974</v>
      </c>
      <c r="D907" s="1" t="s">
        <v>0</v>
      </c>
      <c r="E907" s="2">
        <v>0</v>
      </c>
      <c r="F907" s="2">
        <v>0</v>
      </c>
      <c r="G907" s="2">
        <v>0</v>
      </c>
      <c r="H907" s="1" t="s">
        <v>0</v>
      </c>
      <c r="I907" s="2">
        <v>0</v>
      </c>
      <c r="J907" s="1">
        <v>45915.379571759258</v>
      </c>
    </row>
    <row r="908" spans="1:10" x14ac:dyDescent="0.2">
      <c r="A908" s="4" t="s">
        <v>1</v>
      </c>
      <c r="B908" s="3" t="str">
        <f>HYPERLINK("https://otsuka-europe-crm.veevavault.com/ui/#object/approved_document__v/V5OZ025E82TFUPI", "Spain - HCP Survey Email - June 2025")</f>
        <v>Spain - HCP Survey Email - June 2025</v>
      </c>
      <c r="C908" s="3" t="str">
        <f>HYPERLINK("https://otsuka-europe-crm.veevavault.com/ui/#object/sent_email__v/VBLZ025E82GMY81", "SE-000267975")</f>
        <v>SE-000267975</v>
      </c>
      <c r="D908" s="1" t="s">
        <v>0</v>
      </c>
      <c r="E908" s="2">
        <v>0</v>
      </c>
      <c r="F908" s="2">
        <v>0</v>
      </c>
      <c r="G908" s="2">
        <v>0</v>
      </c>
      <c r="H908" s="1" t="s">
        <v>0</v>
      </c>
      <c r="I908" s="2">
        <v>0</v>
      </c>
      <c r="J908" s="1">
        <v>45915.379305555558</v>
      </c>
    </row>
    <row r="909" spans="1:10" x14ac:dyDescent="0.2">
      <c r="A909" s="4" t="s">
        <v>1</v>
      </c>
      <c r="B909" s="3" t="str">
        <f>HYPERLINK("https://otsuka-europe-crm.veevavault.com/ui/#object/approved_document__v/V5OZ025E82TFUPI", "Spain - HCP Survey Email - June 2025")</f>
        <v>Spain - HCP Survey Email - June 2025</v>
      </c>
      <c r="C909" s="3" t="str">
        <f>HYPERLINK("https://otsuka-europe-crm.veevavault.com/ui/#object/sent_email__v/VBLZ025E82GMY82", "SE-000267976")</f>
        <v>SE-000267976</v>
      </c>
      <c r="D909" s="1">
        <v>45915.377511574072</v>
      </c>
      <c r="E909" s="2">
        <v>1</v>
      </c>
      <c r="F909" s="2">
        <v>1</v>
      </c>
      <c r="G909" s="2">
        <v>0</v>
      </c>
      <c r="H909" s="1" t="s">
        <v>0</v>
      </c>
      <c r="I909" s="2">
        <v>0</v>
      </c>
      <c r="J909" s="1">
        <v>45915.377453703702</v>
      </c>
    </row>
    <row r="910" spans="1:10" x14ac:dyDescent="0.2">
      <c r="A910" s="4" t="s">
        <v>1</v>
      </c>
      <c r="B910" s="3" t="str">
        <f>HYPERLINK("https://otsuka-europe-crm.veevavault.com/ui/#object/approved_document__v/V5OZ025E82TFUPI", "Spain - HCP Survey Email - June 2025")</f>
        <v>Spain - HCP Survey Email - June 2025</v>
      </c>
      <c r="C910" s="3" t="str">
        <f>HYPERLINK("https://otsuka-europe-crm.veevavault.com/ui/#object/sent_email__v/VBLZ025E82GMY83", "SE-000267977")</f>
        <v>SE-000267977</v>
      </c>
      <c r="D910" s="1">
        <v>45919.650555555556</v>
      </c>
      <c r="E910" s="2">
        <v>1</v>
      </c>
      <c r="F910" s="2">
        <v>1</v>
      </c>
      <c r="G910" s="2">
        <v>0</v>
      </c>
      <c r="H910" s="1" t="s">
        <v>0</v>
      </c>
      <c r="I910" s="2">
        <v>0</v>
      </c>
      <c r="J910" s="1">
        <v>45915.378425925926</v>
      </c>
    </row>
    <row r="911" spans="1:10" x14ac:dyDescent="0.2">
      <c r="A911" s="4" t="s">
        <v>1</v>
      </c>
      <c r="B911" s="3" t="str">
        <f>HYPERLINK("https://otsuka-europe-crm.veevavault.com/ui/#object/approved_document__v/V5OZ025E82TFUPI", "Spain - HCP Survey Email - June 2025")</f>
        <v>Spain - HCP Survey Email - June 2025</v>
      </c>
      <c r="C911" s="3" t="str">
        <f>HYPERLINK("https://otsuka-europe-crm.veevavault.com/ui/#object/sent_email__v/VBLZ025E82GMY84", "SE-000267978")</f>
        <v>SE-000267978</v>
      </c>
      <c r="D911" s="1">
        <v>45915.378969907404</v>
      </c>
      <c r="E911" s="2">
        <v>1</v>
      </c>
      <c r="F911" s="2">
        <v>1</v>
      </c>
      <c r="G911" s="2">
        <v>0</v>
      </c>
      <c r="H911" s="1" t="s">
        <v>0</v>
      </c>
      <c r="I911" s="2">
        <v>0</v>
      </c>
      <c r="J911" s="1">
        <v>45915.378900462965</v>
      </c>
    </row>
    <row r="912" spans="1:10" x14ac:dyDescent="0.2">
      <c r="A912" s="4" t="s">
        <v>1</v>
      </c>
      <c r="B912" s="3" t="str">
        <f>HYPERLINK("https://otsuka-europe-crm.veevavault.com/ui/#object/approved_document__v/V5OZ025E82TFUPI", "Spain - HCP Survey Email - June 2025")</f>
        <v>Spain - HCP Survey Email - June 2025</v>
      </c>
      <c r="C912" s="3" t="str">
        <f>HYPERLINK("https://otsuka-europe-crm.veevavault.com/ui/#object/sent_email__v/VBLZ025E82GMY85", "SE-000267979")</f>
        <v>SE-000267979</v>
      </c>
      <c r="D912" s="1">
        <v>45923.674178240741</v>
      </c>
      <c r="E912" s="2">
        <v>1</v>
      </c>
      <c r="F912" s="2">
        <v>2</v>
      </c>
      <c r="G912" s="2">
        <v>0</v>
      </c>
      <c r="H912" s="1" t="s">
        <v>0</v>
      </c>
      <c r="I912" s="2">
        <v>0</v>
      </c>
      <c r="J912" s="1">
        <v>45915.37872685185</v>
      </c>
    </row>
    <row r="913" spans="1:10" x14ac:dyDescent="0.2">
      <c r="A913" s="4" t="s">
        <v>1</v>
      </c>
      <c r="B913" s="3" t="str">
        <f>HYPERLINK("https://otsuka-europe-crm.veevavault.com/ui/#object/approved_document__v/V5OZ025E82TFUPI", "Spain - HCP Survey Email - June 2025")</f>
        <v>Spain - HCP Survey Email - June 2025</v>
      </c>
      <c r="C913" s="3" t="str">
        <f>HYPERLINK("https://otsuka-europe-crm.veevavault.com/ui/#object/sent_email__v/VBLZ025E82GMY86", "SE-000267980")</f>
        <v>SE-000267980</v>
      </c>
      <c r="D913" s="1">
        <v>45915.389317129629</v>
      </c>
      <c r="E913" s="2">
        <v>1</v>
      </c>
      <c r="F913" s="2">
        <v>1</v>
      </c>
      <c r="G913" s="2">
        <v>0</v>
      </c>
      <c r="H913" s="1" t="s">
        <v>0</v>
      </c>
      <c r="I913" s="2">
        <v>0</v>
      </c>
      <c r="J913" s="1">
        <v>45915.379189814812</v>
      </c>
    </row>
    <row r="914" spans="1:10" x14ac:dyDescent="0.2">
      <c r="A914" s="4" t="s">
        <v>1</v>
      </c>
      <c r="B914" s="3" t="str">
        <f>HYPERLINK("https://otsuka-europe-crm.veevavault.com/ui/#object/approved_document__v/V5OZ025E82TFUPI", "Spain - HCP Survey Email - June 2025")</f>
        <v>Spain - HCP Survey Email - June 2025</v>
      </c>
      <c r="C914" s="3" t="str">
        <f>HYPERLINK("https://otsuka-europe-crm.veevavault.com/ui/#object/sent_email__v/VBLZ025E82GMY87", "SE-000267981")</f>
        <v>SE-000267981</v>
      </c>
      <c r="D914" s="1">
        <v>45917.926782407405</v>
      </c>
      <c r="E914" s="2">
        <v>1</v>
      </c>
      <c r="F914" s="2">
        <v>1</v>
      </c>
      <c r="G914" s="2">
        <v>0</v>
      </c>
      <c r="H914" s="1" t="s">
        <v>0</v>
      </c>
      <c r="I914" s="2">
        <v>0</v>
      </c>
      <c r="J914" s="1">
        <v>45915.377893518518</v>
      </c>
    </row>
    <row r="915" spans="1:10" x14ac:dyDescent="0.2">
      <c r="A915" s="4" t="s">
        <v>1</v>
      </c>
      <c r="B915" s="3" t="str">
        <f>HYPERLINK("https://otsuka-europe-crm.veevavault.com/ui/#object/approved_document__v/V5OZ025E82TFUPI", "Spain - HCP Survey Email - June 2025")</f>
        <v>Spain - HCP Survey Email - June 2025</v>
      </c>
      <c r="C915" s="3" t="str">
        <f>HYPERLINK("https://otsuka-europe-crm.veevavault.com/ui/#object/sent_email__v/VBLZ025E82GMY88", "SE-000267982")</f>
        <v>SE-000267982</v>
      </c>
      <c r="D915" s="1" t="s">
        <v>0</v>
      </c>
      <c r="E915" s="2">
        <v>0</v>
      </c>
      <c r="F915" s="2">
        <v>0</v>
      </c>
      <c r="G915" s="2">
        <v>0</v>
      </c>
      <c r="H915" s="1" t="s">
        <v>0</v>
      </c>
      <c r="I915" s="2">
        <v>0</v>
      </c>
      <c r="J915" s="1">
        <v>45915.378298611111</v>
      </c>
    </row>
    <row r="916" spans="1:10" x14ac:dyDescent="0.2">
      <c r="A916" s="4" t="s">
        <v>1</v>
      </c>
      <c r="B916" s="3" t="str">
        <f>HYPERLINK("https://otsuka-europe-crm.veevavault.com/ui/#object/approved_document__v/V5OZ025E82TFUPI", "Spain - HCP Survey Email - June 2025")</f>
        <v>Spain - HCP Survey Email - June 2025</v>
      </c>
      <c r="C916" s="3" t="str">
        <f>HYPERLINK("https://otsuka-europe-crm.veevavault.com/ui/#object/sent_email__v/VBLZ025E82GMY89", "SE-000267983")</f>
        <v>SE-000267983</v>
      </c>
      <c r="D916" s="1">
        <v>45925.131527777776</v>
      </c>
      <c r="E916" s="2">
        <v>1</v>
      </c>
      <c r="F916" s="2">
        <v>3</v>
      </c>
      <c r="G916" s="2">
        <v>0</v>
      </c>
      <c r="H916" s="1" t="s">
        <v>0</v>
      </c>
      <c r="I916" s="2">
        <v>0</v>
      </c>
      <c r="J916" s="1">
        <v>45915.377905092595</v>
      </c>
    </row>
    <row r="917" spans="1:10" x14ac:dyDescent="0.2">
      <c r="A917" s="4" t="s">
        <v>1</v>
      </c>
      <c r="B917" s="3" t="str">
        <f>HYPERLINK("https://otsuka-europe-crm.veevavault.com/ui/#object/approved_document__v/V5OZ025E82TFUPI", "Spain - HCP Survey Email - June 2025")</f>
        <v>Spain - HCP Survey Email - June 2025</v>
      </c>
      <c r="C917" s="3" t="str">
        <f>HYPERLINK("https://otsuka-europe-crm.veevavault.com/ui/#object/sent_email__v/VBLZ025E82GMY8A", "SE-000267984")</f>
        <v>SE-000267984</v>
      </c>
      <c r="D917" s="1" t="s">
        <v>0</v>
      </c>
      <c r="E917" s="2">
        <v>0</v>
      </c>
      <c r="F917" s="2">
        <v>0</v>
      </c>
      <c r="G917" s="2">
        <v>0</v>
      </c>
      <c r="H917" s="1" t="s">
        <v>0</v>
      </c>
      <c r="I917" s="2">
        <v>0</v>
      </c>
      <c r="J917" s="1">
        <v>45915.378946759258</v>
      </c>
    </row>
    <row r="918" spans="1:10" x14ac:dyDescent="0.2">
      <c r="A918" s="4" t="s">
        <v>1</v>
      </c>
      <c r="B918" s="3" t="str">
        <f>HYPERLINK("https://otsuka-europe-crm.veevavault.com/ui/#object/approved_document__v/V5OZ025E82TFUPI", "Spain - HCP Survey Email - June 2025")</f>
        <v>Spain - HCP Survey Email - June 2025</v>
      </c>
      <c r="C918" s="3" t="str">
        <f>HYPERLINK("https://otsuka-europe-crm.veevavault.com/ui/#object/sent_email__v/VBLZ025E82GMY8B", "SE-000267985")</f>
        <v>SE-000267985</v>
      </c>
      <c r="D918" s="1">
        <v>45916.367060185185</v>
      </c>
      <c r="E918" s="2">
        <v>1</v>
      </c>
      <c r="F918" s="2">
        <v>2</v>
      </c>
      <c r="G918" s="2">
        <v>0</v>
      </c>
      <c r="H918" s="1" t="s">
        <v>0</v>
      </c>
      <c r="I918" s="2">
        <v>0</v>
      </c>
      <c r="J918" s="1">
        <v>45915.379537037035</v>
      </c>
    </row>
    <row r="919" spans="1:10" x14ac:dyDescent="0.2">
      <c r="A919" s="4" t="s">
        <v>1</v>
      </c>
      <c r="B919" s="3" t="str">
        <f>HYPERLINK("https://otsuka-europe-crm.veevavault.com/ui/#object/approved_document__v/V5OZ025E82TFUPI", "Spain - HCP Survey Email - June 2025")</f>
        <v>Spain - HCP Survey Email - June 2025</v>
      </c>
      <c r="C919" s="3" t="str">
        <f>HYPERLINK("https://otsuka-europe-crm.veevavault.com/ui/#object/sent_email__v/VBLZ025E82GMY8C", "SE-000267986")</f>
        <v>SE-000267986</v>
      </c>
      <c r="D919" s="1" t="s">
        <v>0</v>
      </c>
      <c r="E919" s="2">
        <v>0</v>
      </c>
      <c r="F919" s="2">
        <v>0</v>
      </c>
      <c r="G919" s="2">
        <v>0</v>
      </c>
      <c r="H919" s="1" t="s">
        <v>0</v>
      </c>
      <c r="I919" s="2">
        <v>0</v>
      </c>
      <c r="J919" s="1">
        <v>45915.379386574074</v>
      </c>
    </row>
    <row r="920" spans="1:10" x14ac:dyDescent="0.2">
      <c r="A920" s="4" t="s">
        <v>1</v>
      </c>
      <c r="B920" s="3" t="str">
        <f>HYPERLINK("https://otsuka-europe-crm.veevavault.com/ui/#object/approved_document__v/V5OZ025E82TFUPI", "Spain - HCP Survey Email - June 2025")</f>
        <v>Spain - HCP Survey Email - June 2025</v>
      </c>
      <c r="C920" s="3" t="str">
        <f>HYPERLINK("https://otsuka-europe-crm.veevavault.com/ui/#object/sent_email__v/VBLZ025E82GMY8D", "SE-000267987")</f>
        <v>SE-000267987</v>
      </c>
      <c r="D920" s="1">
        <v>45915.451145833336</v>
      </c>
      <c r="E920" s="2">
        <v>1</v>
      </c>
      <c r="F920" s="2">
        <v>2</v>
      </c>
      <c r="G920" s="2">
        <v>0</v>
      </c>
      <c r="H920" s="1" t="s">
        <v>0</v>
      </c>
      <c r="I920" s="2">
        <v>0</v>
      </c>
      <c r="J920" s="1">
        <v>45915.377418981479</v>
      </c>
    </row>
    <row r="921" spans="1:10" x14ac:dyDescent="0.2">
      <c r="A921" s="4" t="s">
        <v>1</v>
      </c>
      <c r="B921" s="3" t="str">
        <f>HYPERLINK("https://otsuka-europe-crm.veevavault.com/ui/#object/approved_document__v/V5OZ025E82TFUPI", "Spain - HCP Survey Email - June 2025")</f>
        <v>Spain - HCP Survey Email - June 2025</v>
      </c>
      <c r="C921" s="3" t="str">
        <f>HYPERLINK("https://otsuka-europe-crm.veevavault.com/ui/#object/sent_email__v/VBLZ025E82GMY8E", "SE-000267988")</f>
        <v>SE-000267988</v>
      </c>
      <c r="D921" s="1">
        <v>45916.511458333334</v>
      </c>
      <c r="E921" s="2">
        <v>1</v>
      </c>
      <c r="F921" s="2">
        <v>1</v>
      </c>
      <c r="G921" s="2">
        <v>0</v>
      </c>
      <c r="H921" s="1" t="s">
        <v>0</v>
      </c>
      <c r="I921" s="2">
        <v>0</v>
      </c>
      <c r="J921" s="1">
        <v>45915.378460648149</v>
      </c>
    </row>
    <row r="922" spans="1:10" x14ac:dyDescent="0.2">
      <c r="A922" s="4" t="s">
        <v>1</v>
      </c>
      <c r="B922" s="3" t="str">
        <f>HYPERLINK("https://otsuka-europe-crm.veevavault.com/ui/#object/approved_document__v/V5OZ025E82TFUPI", "Spain - HCP Survey Email - June 2025")</f>
        <v>Spain - HCP Survey Email - June 2025</v>
      </c>
      <c r="C922" s="3" t="str">
        <f>HYPERLINK("https://otsuka-europe-crm.veevavault.com/ui/#object/sent_email__v/VBLZ025E82GMY8F", "SE-000267989")</f>
        <v>SE-000267989</v>
      </c>
      <c r="D922" s="1">
        <v>45915.671331018515</v>
      </c>
      <c r="E922" s="2">
        <v>1</v>
      </c>
      <c r="F922" s="2">
        <v>2</v>
      </c>
      <c r="G922" s="2">
        <v>0</v>
      </c>
      <c r="H922" s="1" t="s">
        <v>0</v>
      </c>
      <c r="I922" s="2">
        <v>0</v>
      </c>
      <c r="J922" s="1">
        <v>45915.378900462965</v>
      </c>
    </row>
    <row r="923" spans="1:10" x14ac:dyDescent="0.2">
      <c r="A923" s="4" t="s">
        <v>1</v>
      </c>
      <c r="B923" s="3" t="str">
        <f>HYPERLINK("https://otsuka-europe-crm.veevavault.com/ui/#object/approved_document__v/V5OZ025E82TFUPI", "Spain - HCP Survey Email - June 2025")</f>
        <v>Spain - HCP Survey Email - June 2025</v>
      </c>
      <c r="C923" s="3" t="str">
        <f>HYPERLINK("https://otsuka-europe-crm.veevavault.com/ui/#object/sent_email__v/VBLZ025E82GMY8G", "SE-000267990")</f>
        <v>SE-000267990</v>
      </c>
      <c r="D923" s="1">
        <v>45915.605462962965</v>
      </c>
      <c r="E923" s="2">
        <v>1</v>
      </c>
      <c r="F923" s="2">
        <v>1</v>
      </c>
      <c r="G923" s="2">
        <v>0</v>
      </c>
      <c r="H923" s="1" t="s">
        <v>0</v>
      </c>
      <c r="I923" s="2">
        <v>0</v>
      </c>
      <c r="J923" s="1">
        <v>45915.378796296296</v>
      </c>
    </row>
    <row r="924" spans="1:10" x14ac:dyDescent="0.2">
      <c r="A924" s="4" t="s">
        <v>1</v>
      </c>
      <c r="B924" s="3" t="str">
        <f>HYPERLINK("https://otsuka-europe-crm.veevavault.com/ui/#object/approved_document__v/V5OZ025E82TFUPI", "Spain - HCP Survey Email - June 2025")</f>
        <v>Spain - HCP Survey Email - June 2025</v>
      </c>
      <c r="C924" s="3" t="str">
        <f>HYPERLINK("https://otsuka-europe-crm.veevavault.com/ui/#object/sent_email__v/VBLZ025E82GMY8H", "SE-000267991")</f>
        <v>SE-000267991</v>
      </c>
      <c r="D924" s="1" t="s">
        <v>0</v>
      </c>
      <c r="E924" s="2">
        <v>0</v>
      </c>
      <c r="F924" s="2">
        <v>0</v>
      </c>
      <c r="G924" s="2">
        <v>0</v>
      </c>
      <c r="H924" s="1" t="s">
        <v>0</v>
      </c>
      <c r="I924" s="2">
        <v>0</v>
      </c>
      <c r="J924" s="1">
        <v>45915.379166666666</v>
      </c>
    </row>
    <row r="925" spans="1:10" x14ac:dyDescent="0.2">
      <c r="A925" s="4" t="s">
        <v>1</v>
      </c>
      <c r="B925" s="3" t="str">
        <f>HYPERLINK("https://otsuka-europe-crm.veevavault.com/ui/#object/approved_document__v/V5OZ025E82TFUPI", "Spain - HCP Survey Email - June 2025")</f>
        <v>Spain - HCP Survey Email - June 2025</v>
      </c>
      <c r="C925" s="3" t="str">
        <f>HYPERLINK("https://otsuka-europe-crm.veevavault.com/ui/#object/sent_email__v/VBLZ025E82GMY8I", "SE-000267992")</f>
        <v>SE-000267992</v>
      </c>
      <c r="D925" s="1" t="s">
        <v>0</v>
      </c>
      <c r="E925" s="2">
        <v>0</v>
      </c>
      <c r="F925" s="2">
        <v>0</v>
      </c>
      <c r="G925" s="2">
        <v>0</v>
      </c>
      <c r="H925" s="1" t="s">
        <v>0</v>
      </c>
      <c r="I925" s="2">
        <v>0</v>
      </c>
      <c r="J925" s="1">
        <v>45915.377870370372</v>
      </c>
    </row>
    <row r="926" spans="1:10" x14ac:dyDescent="0.2">
      <c r="A926" s="4" t="s">
        <v>1</v>
      </c>
      <c r="B926" s="3" t="str">
        <f>HYPERLINK("https://otsuka-europe-crm.veevavault.com/ui/#object/approved_document__v/V5OZ025E82TFUPI", "Spain - HCP Survey Email - June 2025")</f>
        <v>Spain - HCP Survey Email - June 2025</v>
      </c>
      <c r="C926" s="3" t="str">
        <f>HYPERLINK("https://otsuka-europe-crm.veevavault.com/ui/#object/sent_email__v/VBLZ025E82GMY8J", "SE-000267993")</f>
        <v>SE-000267993</v>
      </c>
      <c r="D926" s="1" t="s">
        <v>0</v>
      </c>
      <c r="E926" s="2">
        <v>0</v>
      </c>
      <c r="F926" s="2">
        <v>0</v>
      </c>
      <c r="G926" s="2">
        <v>0</v>
      </c>
      <c r="H926" s="1" t="s">
        <v>0</v>
      </c>
      <c r="I926" s="2">
        <v>0</v>
      </c>
      <c r="J926" s="1">
        <v>45915.378344907411</v>
      </c>
    </row>
    <row r="927" spans="1:10" x14ac:dyDescent="0.2">
      <c r="A927" s="4" t="s">
        <v>1</v>
      </c>
      <c r="B927" s="3" t="str">
        <f>HYPERLINK("https://otsuka-europe-crm.veevavault.com/ui/#object/approved_document__v/V5OZ025E82TFUPI", "Spain - HCP Survey Email - June 2025")</f>
        <v>Spain - HCP Survey Email - June 2025</v>
      </c>
      <c r="C927" s="3" t="str">
        <f>HYPERLINK("https://otsuka-europe-crm.veevavault.com/ui/#object/sent_email__v/VBLZ025E82GMY8K", "SE-000267994")</f>
        <v>SE-000267994</v>
      </c>
      <c r="D927" s="1" t="s">
        <v>0</v>
      </c>
      <c r="E927" s="2">
        <v>0</v>
      </c>
      <c r="F927" s="2">
        <v>0</v>
      </c>
      <c r="G927" s="2">
        <v>0</v>
      </c>
      <c r="H927" s="1" t="s">
        <v>0</v>
      </c>
      <c r="I927" s="2">
        <v>0</v>
      </c>
      <c r="J927" s="1">
        <v>45915.377962962964</v>
      </c>
    </row>
    <row r="928" spans="1:10" x14ac:dyDescent="0.2">
      <c r="A928" s="4" t="s">
        <v>1</v>
      </c>
      <c r="B928" s="3" t="str">
        <f>HYPERLINK("https://otsuka-europe-crm.veevavault.com/ui/#object/approved_document__v/V5OZ025E82TFUPI", "Spain - HCP Survey Email - June 2025")</f>
        <v>Spain - HCP Survey Email - June 2025</v>
      </c>
      <c r="C928" s="3" t="str">
        <f>HYPERLINK("https://otsuka-europe-crm.veevavault.com/ui/#object/sent_email__v/VBLZ025E82GMY8L", "SE-000267995")</f>
        <v>SE-000267995</v>
      </c>
      <c r="D928" s="1">
        <v>45915.760613425926</v>
      </c>
      <c r="E928" s="2">
        <v>1</v>
      </c>
      <c r="F928" s="2">
        <v>1</v>
      </c>
      <c r="G928" s="2">
        <v>1</v>
      </c>
      <c r="H928" s="1">
        <v>45915.760868055557</v>
      </c>
      <c r="I928" s="2">
        <v>1</v>
      </c>
      <c r="J928" s="1">
        <v>45915.37909722222</v>
      </c>
    </row>
    <row r="929" spans="1:10" x14ac:dyDescent="0.2">
      <c r="A929" s="4" t="s">
        <v>1</v>
      </c>
      <c r="B929" s="3" t="str">
        <f>HYPERLINK("https://otsuka-europe-crm.veevavault.com/ui/#object/approved_document__v/V5OZ025E82TFUPI", "Spain - HCP Survey Email - June 2025")</f>
        <v>Spain - HCP Survey Email - June 2025</v>
      </c>
      <c r="C929" s="3" t="str">
        <f>HYPERLINK("https://otsuka-europe-crm.veevavault.com/ui/#object/sent_email__v/VBLZ025E82GMY8M", "SE-000267996")</f>
        <v>SE-000267996</v>
      </c>
      <c r="D929" s="1" t="s">
        <v>0</v>
      </c>
      <c r="E929" s="2">
        <v>0</v>
      </c>
      <c r="F929" s="2">
        <v>0</v>
      </c>
      <c r="G929" s="2">
        <v>0</v>
      </c>
      <c r="H929" s="1" t="s">
        <v>0</v>
      </c>
      <c r="I929" s="2">
        <v>0</v>
      </c>
      <c r="J929" s="1">
        <v>45915.379537037035</v>
      </c>
    </row>
    <row r="930" spans="1:10" x14ac:dyDescent="0.2">
      <c r="A930" s="4" t="s">
        <v>1</v>
      </c>
      <c r="B930" s="3" t="str">
        <f>HYPERLINK("https://otsuka-europe-crm.veevavault.com/ui/#object/approved_document__v/V5OZ025E82TFUPI", "Spain - HCP Survey Email - June 2025")</f>
        <v>Spain - HCP Survey Email - June 2025</v>
      </c>
      <c r="C930" s="3" t="str">
        <f>HYPERLINK("https://otsuka-europe-crm.veevavault.com/ui/#object/sent_email__v/VBLZ025E82GMY8N", "SE-000267997")</f>
        <v>SE-000267997</v>
      </c>
      <c r="D930" s="1" t="s">
        <v>0</v>
      </c>
      <c r="E930" s="2">
        <v>0</v>
      </c>
      <c r="F930" s="2">
        <v>0</v>
      </c>
      <c r="G930" s="2">
        <v>0</v>
      </c>
      <c r="H930" s="1" t="s">
        <v>0</v>
      </c>
      <c r="I930" s="2">
        <v>0</v>
      </c>
      <c r="J930" s="1">
        <v>45915.379502314812</v>
      </c>
    </row>
    <row r="931" spans="1:10" x14ac:dyDescent="0.2">
      <c r="A931" s="4" t="s">
        <v>1</v>
      </c>
      <c r="B931" s="3" t="str">
        <f>HYPERLINK("https://otsuka-europe-crm.veevavault.com/ui/#object/approved_document__v/V5OZ025E82TFUPI", "Spain - HCP Survey Email - June 2025")</f>
        <v>Spain - HCP Survey Email - June 2025</v>
      </c>
      <c r="C931" s="3" t="str">
        <f>HYPERLINK("https://otsuka-europe-crm.veevavault.com/ui/#object/sent_email__v/VBLZ025E82GMY8O", "SE-000267998")</f>
        <v>SE-000267998</v>
      </c>
      <c r="D931" s="1" t="s">
        <v>0</v>
      </c>
      <c r="E931" s="2">
        <v>0</v>
      </c>
      <c r="F931" s="2">
        <v>0</v>
      </c>
      <c r="G931" s="2">
        <v>0</v>
      </c>
      <c r="H931" s="1" t="s">
        <v>0</v>
      </c>
      <c r="I931" s="2">
        <v>0</v>
      </c>
      <c r="J931" s="1">
        <v>45915.377476851849</v>
      </c>
    </row>
    <row r="932" spans="1:10" x14ac:dyDescent="0.2">
      <c r="A932" s="4" t="s">
        <v>1</v>
      </c>
      <c r="B932" s="3" t="str">
        <f>HYPERLINK("https://otsuka-europe-crm.veevavault.com/ui/#object/approved_document__v/V5OZ025E82TFUPI", "Spain - HCP Survey Email - June 2025")</f>
        <v>Spain - HCP Survey Email - June 2025</v>
      </c>
      <c r="C932" s="3" t="str">
        <f>HYPERLINK("https://otsuka-europe-crm.veevavault.com/ui/#object/sent_email__v/VBLZ025E82GMY8P", "SE-000267999")</f>
        <v>SE-000267999</v>
      </c>
      <c r="D932" s="1" t="s">
        <v>0</v>
      </c>
      <c r="E932" s="2">
        <v>0</v>
      </c>
      <c r="F932" s="2">
        <v>0</v>
      </c>
      <c r="G932" s="2">
        <v>0</v>
      </c>
      <c r="H932" s="1" t="s">
        <v>0</v>
      </c>
      <c r="I932" s="2">
        <v>0</v>
      </c>
      <c r="J932" s="1">
        <v>45915.378449074073</v>
      </c>
    </row>
    <row r="933" spans="1:10" x14ac:dyDescent="0.2">
      <c r="A933" s="4" t="s">
        <v>1</v>
      </c>
      <c r="B933" s="3" t="str">
        <f>HYPERLINK("https://otsuka-europe-crm.veevavault.com/ui/#object/approved_document__v/V5OZ025E82TFUPI", "Spain - HCP Survey Email - June 2025")</f>
        <v>Spain - HCP Survey Email - June 2025</v>
      </c>
      <c r="C933" s="3" t="str">
        <f>HYPERLINK("https://otsuka-europe-crm.veevavault.com/ui/#object/sent_email__v/VBLZ025E82GMY8Q", "SE-000268000")</f>
        <v>SE-000268000</v>
      </c>
      <c r="D933" s="1" t="s">
        <v>0</v>
      </c>
      <c r="E933" s="2">
        <v>0</v>
      </c>
      <c r="F933" s="2">
        <v>0</v>
      </c>
      <c r="G933" s="2">
        <v>0</v>
      </c>
      <c r="H933" s="1" t="s">
        <v>0</v>
      </c>
      <c r="I933" s="2">
        <v>0</v>
      </c>
      <c r="J933" s="1">
        <v>45915.379050925927</v>
      </c>
    </row>
    <row r="934" spans="1:10" x14ac:dyDescent="0.2">
      <c r="A934" s="4" t="s">
        <v>1</v>
      </c>
      <c r="B934" s="3" t="str">
        <f>HYPERLINK("https://otsuka-europe-crm.veevavault.com/ui/#object/approved_document__v/V5OZ025E82TFUPI", "Spain - HCP Survey Email - June 2025")</f>
        <v>Spain - HCP Survey Email - June 2025</v>
      </c>
      <c r="C934" s="3" t="str">
        <f>HYPERLINK("https://otsuka-europe-crm.veevavault.com/ui/#object/sent_email__v/VBLZ025E82GMY8R", "SE-000268001")</f>
        <v>SE-000268001</v>
      </c>
      <c r="D934" s="1">
        <v>45915.399780092594</v>
      </c>
      <c r="E934" s="2">
        <v>1</v>
      </c>
      <c r="F934" s="2">
        <v>1</v>
      </c>
      <c r="G934" s="2">
        <v>0</v>
      </c>
      <c r="H934" s="1" t="s">
        <v>0</v>
      </c>
      <c r="I934" s="2">
        <v>0</v>
      </c>
      <c r="J934" s="1">
        <v>45915.378796296296</v>
      </c>
    </row>
    <row r="935" spans="1:10" x14ac:dyDescent="0.2">
      <c r="A935" s="4" t="s">
        <v>1</v>
      </c>
      <c r="B935" s="3" t="str">
        <f>HYPERLINK("https://otsuka-europe-crm.veevavault.com/ui/#object/approved_document__v/V5OZ025E82TFUPI", "Spain - HCP Survey Email - June 2025")</f>
        <v>Spain - HCP Survey Email - June 2025</v>
      </c>
      <c r="C935" s="3" t="str">
        <f>HYPERLINK("https://otsuka-europe-crm.veevavault.com/ui/#object/sent_email__v/VBLZ025E82GMY8S", "SE-000268002")</f>
        <v>SE-000268002</v>
      </c>
      <c r="D935" s="1" t="s">
        <v>0</v>
      </c>
      <c r="E935" s="2">
        <v>0</v>
      </c>
      <c r="F935" s="2">
        <v>0</v>
      </c>
      <c r="G935" s="2">
        <v>0</v>
      </c>
      <c r="H935" s="1" t="s">
        <v>0</v>
      </c>
      <c r="I935" s="2">
        <v>0</v>
      </c>
      <c r="J935" s="1">
        <v>45915.379108796296</v>
      </c>
    </row>
    <row r="936" spans="1:10" x14ac:dyDescent="0.2">
      <c r="A936" s="4" t="s">
        <v>1</v>
      </c>
      <c r="B936" s="3" t="str">
        <f>HYPERLINK("https://otsuka-europe-crm.veevavault.com/ui/#object/approved_document__v/V5OZ025E82TFUPI", "Spain - HCP Survey Email - June 2025")</f>
        <v>Spain - HCP Survey Email - June 2025</v>
      </c>
      <c r="C936" s="3" t="str">
        <f>HYPERLINK("https://otsuka-europe-crm.veevavault.com/ui/#object/sent_email__v/VBLZ025E82GMY8T", "SE-000268003")</f>
        <v>SE-000268003</v>
      </c>
      <c r="D936" s="1" t="s">
        <v>0</v>
      </c>
      <c r="E936" s="2">
        <v>0</v>
      </c>
      <c r="F936" s="2">
        <v>0</v>
      </c>
      <c r="G936" s="2">
        <v>0</v>
      </c>
      <c r="H936" s="1" t="s">
        <v>0</v>
      </c>
      <c r="I936" s="2">
        <v>0</v>
      </c>
      <c r="J936" s="1">
        <v>45915.377939814818</v>
      </c>
    </row>
    <row r="937" spans="1:10" x14ac:dyDescent="0.2">
      <c r="A937" s="4" t="s">
        <v>1</v>
      </c>
      <c r="B937" s="3" t="str">
        <f>HYPERLINK("https://otsuka-europe-crm.veevavault.com/ui/#object/approved_document__v/V5OZ025E82TFUPI", "Spain - HCP Survey Email - June 2025")</f>
        <v>Spain - HCP Survey Email - June 2025</v>
      </c>
      <c r="C937" s="3" t="str">
        <f>HYPERLINK("https://otsuka-europe-crm.veevavault.com/ui/#object/sent_email__v/VBLZ025E82GMY8U", "SE-000268004")</f>
        <v>SE-000268004</v>
      </c>
      <c r="D937" s="1">
        <v>45915.543599537035</v>
      </c>
      <c r="E937" s="2">
        <v>1</v>
      </c>
      <c r="F937" s="2">
        <v>4</v>
      </c>
      <c r="G937" s="2">
        <v>0</v>
      </c>
      <c r="H937" s="1" t="s">
        <v>0</v>
      </c>
      <c r="I937" s="2">
        <v>0</v>
      </c>
      <c r="J937" s="1">
        <v>45915.378263888888</v>
      </c>
    </row>
    <row r="938" spans="1:10" x14ac:dyDescent="0.2">
      <c r="A938" s="4" t="s">
        <v>1</v>
      </c>
      <c r="B938" s="3" t="str">
        <f>HYPERLINK("https://otsuka-europe-crm.veevavault.com/ui/#object/approved_document__v/V5OZ025E82TFUPI", "Spain - HCP Survey Email - June 2025")</f>
        <v>Spain - HCP Survey Email - June 2025</v>
      </c>
      <c r="C938" s="3" t="str">
        <f>HYPERLINK("https://otsuka-europe-crm.veevavault.com/ui/#object/sent_email__v/VBLZ025E82GMY8V", "SE-000268005")</f>
        <v>SE-000268005</v>
      </c>
      <c r="D938" s="1" t="s">
        <v>0</v>
      </c>
      <c r="E938" s="2">
        <v>0</v>
      </c>
      <c r="F938" s="2">
        <v>0</v>
      </c>
      <c r="G938" s="2">
        <v>0</v>
      </c>
      <c r="H938" s="1" t="s">
        <v>0</v>
      </c>
      <c r="I938" s="2">
        <v>0</v>
      </c>
      <c r="J938" s="1">
        <v>45915.378136574072</v>
      </c>
    </row>
    <row r="939" spans="1:10" x14ac:dyDescent="0.2">
      <c r="A939" s="4" t="s">
        <v>1</v>
      </c>
      <c r="B939" s="3" t="str">
        <f>HYPERLINK("https://otsuka-europe-crm.veevavault.com/ui/#object/approved_document__v/V5OZ025E82TFUPI", "Spain - HCP Survey Email - June 2025")</f>
        <v>Spain - HCP Survey Email - June 2025</v>
      </c>
      <c r="C939" s="3" t="str">
        <f>HYPERLINK("https://otsuka-europe-crm.veevavault.com/ui/#object/sent_email__v/VBLZ025E82GMY8W", "SE-000268006")</f>
        <v>SE-000268006</v>
      </c>
      <c r="D939" s="1">
        <v>45915.380231481482</v>
      </c>
      <c r="E939" s="2">
        <v>1</v>
      </c>
      <c r="F939" s="2">
        <v>1</v>
      </c>
      <c r="G939" s="2">
        <v>0</v>
      </c>
      <c r="H939" s="1" t="s">
        <v>0</v>
      </c>
      <c r="I939" s="2">
        <v>0</v>
      </c>
      <c r="J939" s="1">
        <v>45915.378981481481</v>
      </c>
    </row>
    <row r="940" spans="1:10" x14ac:dyDescent="0.2">
      <c r="A940" s="4" t="s">
        <v>1</v>
      </c>
      <c r="B940" s="3" t="str">
        <f>HYPERLINK("https://otsuka-europe-crm.veevavault.com/ui/#object/approved_document__v/V5OZ025E82TFUPI", "Spain - HCP Survey Email - June 2025")</f>
        <v>Spain - HCP Survey Email - June 2025</v>
      </c>
      <c r="C940" s="3" t="str">
        <f>HYPERLINK("https://otsuka-europe-crm.veevavault.com/ui/#object/sent_email__v/VBLZ025E82GMY8X", "SE-000268007")</f>
        <v>SE-000268007</v>
      </c>
      <c r="D940" s="1" t="s">
        <v>0</v>
      </c>
      <c r="E940" s="2">
        <v>0</v>
      </c>
      <c r="F940" s="2">
        <v>0</v>
      </c>
      <c r="G940" s="2">
        <v>0</v>
      </c>
      <c r="H940" s="1" t="s">
        <v>0</v>
      </c>
      <c r="I940" s="2">
        <v>0</v>
      </c>
      <c r="J940" s="1">
        <v>45915.379548611112</v>
      </c>
    </row>
    <row r="941" spans="1:10" x14ac:dyDescent="0.2">
      <c r="A941" s="4" t="s">
        <v>1</v>
      </c>
      <c r="B941" s="3" t="str">
        <f>HYPERLINK("https://otsuka-europe-crm.veevavault.com/ui/#object/approved_document__v/V5OZ025E82TFUPI", "Spain - HCP Survey Email - June 2025")</f>
        <v>Spain - HCP Survey Email - June 2025</v>
      </c>
      <c r="C941" s="3" t="str">
        <f>HYPERLINK("https://otsuka-europe-crm.veevavault.com/ui/#object/sent_email__v/VBLZ025E82GMY8Y", "SE-000268008")</f>
        <v>SE-000268008</v>
      </c>
      <c r="D941" s="1">
        <v>45924.746689814812</v>
      </c>
      <c r="E941" s="2">
        <v>1</v>
      </c>
      <c r="F941" s="2">
        <v>5</v>
      </c>
      <c r="G941" s="2">
        <v>0</v>
      </c>
      <c r="H941" s="1" t="s">
        <v>0</v>
      </c>
      <c r="I941" s="2">
        <v>0</v>
      </c>
      <c r="J941" s="1">
        <v>45915.378298611111</v>
      </c>
    </row>
    <row r="942" spans="1:10" x14ac:dyDescent="0.2">
      <c r="A942" s="4" t="s">
        <v>1</v>
      </c>
      <c r="B942" s="3" t="str">
        <f>HYPERLINK("https://otsuka-europe-crm.veevavault.com/ui/#object/approved_document__v/V5OZ025E82TFUPI", "Spain - HCP Survey Email - June 2025")</f>
        <v>Spain - HCP Survey Email - June 2025</v>
      </c>
      <c r="C942" s="3" t="str">
        <f>HYPERLINK("https://otsuka-europe-crm.veevavault.com/ui/#object/sent_email__v/VBLZ025E82GMY8Z", "SE-000268009")</f>
        <v>SE-000268009</v>
      </c>
      <c r="D942" s="1">
        <v>45915.986817129633</v>
      </c>
      <c r="E942" s="2">
        <v>1</v>
      </c>
      <c r="F942" s="2">
        <v>1</v>
      </c>
      <c r="G942" s="2">
        <v>0</v>
      </c>
      <c r="H942" s="1" t="s">
        <v>0</v>
      </c>
      <c r="I942" s="2">
        <v>0</v>
      </c>
      <c r="J942" s="1">
        <v>45915.378148148149</v>
      </c>
    </row>
    <row r="943" spans="1:10" x14ac:dyDescent="0.2">
      <c r="A943" s="4" t="s">
        <v>1</v>
      </c>
      <c r="B943" s="3" t="str">
        <f>HYPERLINK("https://otsuka-europe-crm.veevavault.com/ui/#object/approved_document__v/V5OZ025E82TFUPI", "Spain - HCP Survey Email - June 2025")</f>
        <v>Spain - HCP Survey Email - June 2025</v>
      </c>
      <c r="C943" s="3" t="str">
        <f>HYPERLINK("https://otsuka-europe-crm.veevavault.com/ui/#object/sent_email__v/VBLZ025E82GMY90", "SE-000268010")</f>
        <v>SE-000268010</v>
      </c>
      <c r="D943" s="1" t="s">
        <v>0</v>
      </c>
      <c r="E943" s="2">
        <v>0</v>
      </c>
      <c r="F943" s="2">
        <v>0</v>
      </c>
      <c r="G943" s="2">
        <v>0</v>
      </c>
      <c r="H943" s="1" t="s">
        <v>0</v>
      </c>
      <c r="I943" s="2">
        <v>0</v>
      </c>
      <c r="J943" s="1">
        <v>45915.378969907404</v>
      </c>
    </row>
    <row r="944" spans="1:10" x14ac:dyDescent="0.2">
      <c r="A944" s="4" t="s">
        <v>1</v>
      </c>
      <c r="B944" s="3" t="str">
        <f>HYPERLINK("https://otsuka-europe-crm.veevavault.com/ui/#object/approved_document__v/V5OZ025E82TFUPI", "Spain - HCP Survey Email - June 2025")</f>
        <v>Spain - HCP Survey Email - June 2025</v>
      </c>
      <c r="C944" s="3" t="str">
        <f>HYPERLINK("https://otsuka-europe-crm.veevavault.com/ui/#object/sent_email__v/VBLZ025E82GMY91", "SE-000268011")</f>
        <v>SE-000268011</v>
      </c>
      <c r="D944" s="1" t="s">
        <v>0</v>
      </c>
      <c r="E944" s="2">
        <v>0</v>
      </c>
      <c r="F944" s="2">
        <v>0</v>
      </c>
      <c r="G944" s="2">
        <v>0</v>
      </c>
      <c r="H944" s="1" t="s">
        <v>0</v>
      </c>
      <c r="I944" s="2">
        <v>0</v>
      </c>
      <c r="J944" s="1">
        <v>45915.379548611112</v>
      </c>
    </row>
    <row r="945" spans="1:10" x14ac:dyDescent="0.2">
      <c r="A945" s="4" t="s">
        <v>1</v>
      </c>
      <c r="B945" s="3" t="str">
        <f>HYPERLINK("https://otsuka-europe-crm.veevavault.com/ui/#object/approved_document__v/V5OZ025E82TFUPI", "Spain - HCP Survey Email - June 2025")</f>
        <v>Spain - HCP Survey Email - June 2025</v>
      </c>
      <c r="C945" s="3" t="str">
        <f>HYPERLINK("https://otsuka-europe-crm.veevavault.com/ui/#object/sent_email__v/VBLZ025E82GMY92", "SE-000268012")</f>
        <v>SE-000268012</v>
      </c>
      <c r="D945" s="1">
        <v>45915.456388888888</v>
      </c>
      <c r="E945" s="2">
        <v>1</v>
      </c>
      <c r="F945" s="2">
        <v>1</v>
      </c>
      <c r="G945" s="2">
        <v>0</v>
      </c>
      <c r="H945" s="1" t="s">
        <v>0</v>
      </c>
      <c r="I945" s="2">
        <v>0</v>
      </c>
      <c r="J945" s="1">
        <v>45915.379374999997</v>
      </c>
    </row>
    <row r="946" spans="1:10" x14ac:dyDescent="0.2">
      <c r="A946" s="4" t="s">
        <v>1</v>
      </c>
      <c r="B946" s="3" t="str">
        <f>HYPERLINK("https://otsuka-europe-crm.veevavault.com/ui/#object/approved_document__v/V5OZ025E82TFUPI", "Spain - HCP Survey Email - June 2025")</f>
        <v>Spain - HCP Survey Email - June 2025</v>
      </c>
      <c r="C946" s="3" t="str">
        <f>HYPERLINK("https://otsuka-europe-crm.veevavault.com/ui/#object/sent_email__v/VBLZ025E82GMY93", "SE-000268013")</f>
        <v>SE-000268013</v>
      </c>
      <c r="D946" s="1" t="s">
        <v>0</v>
      </c>
      <c r="E946" s="2">
        <v>0</v>
      </c>
      <c r="F946" s="2">
        <v>0</v>
      </c>
      <c r="G946" s="2">
        <v>0</v>
      </c>
      <c r="H946" s="1" t="s">
        <v>0</v>
      </c>
      <c r="I946" s="2">
        <v>0</v>
      </c>
      <c r="J946" s="1">
        <v>45915.377465277779</v>
      </c>
    </row>
    <row r="947" spans="1:10" x14ac:dyDescent="0.2">
      <c r="A947" s="4" t="s">
        <v>1</v>
      </c>
      <c r="B947" s="3" t="str">
        <f>HYPERLINK("https://otsuka-europe-crm.veevavault.com/ui/#object/approved_document__v/V5OZ025E82TFUPI", "Spain - HCP Survey Email - June 2025")</f>
        <v>Spain - HCP Survey Email - June 2025</v>
      </c>
      <c r="C947" s="3" t="str">
        <f>HYPERLINK("https://otsuka-europe-crm.veevavault.com/ui/#object/sent_email__v/VBLZ025E82GMY94", "SE-000268014")</f>
        <v>SE-000268014</v>
      </c>
      <c r="D947" s="1" t="s">
        <v>0</v>
      </c>
      <c r="E947" s="2">
        <v>0</v>
      </c>
      <c r="F947" s="2">
        <v>0</v>
      </c>
      <c r="G947" s="2">
        <v>0</v>
      </c>
      <c r="H947" s="1" t="s">
        <v>0</v>
      </c>
      <c r="I947" s="2">
        <v>0</v>
      </c>
      <c r="J947" s="1">
        <v>45915.378379629627</v>
      </c>
    </row>
    <row r="948" spans="1:10" x14ac:dyDescent="0.2">
      <c r="A948" s="4" t="s">
        <v>1</v>
      </c>
      <c r="B948" s="3" t="str">
        <f>HYPERLINK("https://otsuka-europe-crm.veevavault.com/ui/#object/approved_document__v/V5OZ025E82TFUPI", "Spain - HCP Survey Email - June 2025")</f>
        <v>Spain - HCP Survey Email - June 2025</v>
      </c>
      <c r="C948" s="3" t="str">
        <f>HYPERLINK("https://otsuka-europe-crm.veevavault.com/ui/#object/sent_email__v/VBLZ025E82GMY95", "SE-000268015")</f>
        <v>SE-000268015</v>
      </c>
      <c r="D948" s="1" t="s">
        <v>0</v>
      </c>
      <c r="E948" s="2">
        <v>0</v>
      </c>
      <c r="F948" s="2">
        <v>0</v>
      </c>
      <c r="G948" s="2">
        <v>0</v>
      </c>
      <c r="H948" s="1" t="s">
        <v>0</v>
      </c>
      <c r="I948" s="2">
        <v>0</v>
      </c>
      <c r="J948" s="1">
        <v>45915.378969907404</v>
      </c>
    </row>
    <row r="949" spans="1:10" x14ac:dyDescent="0.2">
      <c r="A949" s="4" t="s">
        <v>1</v>
      </c>
      <c r="B949" s="3" t="str">
        <f>HYPERLINK("https://otsuka-europe-crm.veevavault.com/ui/#object/approved_document__v/V5OZ025E82TFUPI", "Spain - HCP Survey Email - June 2025")</f>
        <v>Spain - HCP Survey Email - June 2025</v>
      </c>
      <c r="C949" s="3" t="str">
        <f>HYPERLINK("https://otsuka-europe-crm.veevavault.com/ui/#object/sent_email__v/VBLZ025E82GMY96", "SE-000268016")</f>
        <v>SE-000268016</v>
      </c>
      <c r="D949" s="1">
        <v>45916.706875000003</v>
      </c>
      <c r="E949" s="2">
        <v>1</v>
      </c>
      <c r="F949" s="2">
        <v>1</v>
      </c>
      <c r="G949" s="2">
        <v>0</v>
      </c>
      <c r="H949" s="1" t="s">
        <v>0</v>
      </c>
      <c r="I949" s="2">
        <v>0</v>
      </c>
      <c r="J949" s="1">
        <v>45915.37871527778</v>
      </c>
    </row>
    <row r="950" spans="1:10" x14ac:dyDescent="0.2">
      <c r="A950" s="4" t="s">
        <v>1</v>
      </c>
      <c r="B950" s="3" t="str">
        <f>HYPERLINK("https://otsuka-europe-crm.veevavault.com/ui/#object/approved_document__v/V5OZ025E82TFUPI", "Spain - HCP Survey Email - June 2025")</f>
        <v>Spain - HCP Survey Email - June 2025</v>
      </c>
      <c r="C950" s="3" t="str">
        <f>HYPERLINK("https://otsuka-europe-crm.veevavault.com/ui/#object/sent_email__v/VBLZ025E82GMY97", "SE-000268017")</f>
        <v>SE-000268017</v>
      </c>
      <c r="D950" s="1" t="s">
        <v>0</v>
      </c>
      <c r="E950" s="2">
        <v>0</v>
      </c>
      <c r="F950" s="2">
        <v>0</v>
      </c>
      <c r="G950" s="2">
        <v>0</v>
      </c>
      <c r="H950" s="1" t="s">
        <v>0</v>
      </c>
      <c r="I950" s="2">
        <v>0</v>
      </c>
      <c r="J950" s="1">
        <v>45915.379189814812</v>
      </c>
    </row>
    <row r="951" spans="1:10" x14ac:dyDescent="0.2">
      <c r="A951" s="4" t="s">
        <v>1</v>
      </c>
      <c r="B951" s="3" t="str">
        <f>HYPERLINK("https://otsuka-europe-crm.veevavault.com/ui/#object/approved_document__v/V5OZ025E82TFUPI", "Spain - HCP Survey Email - June 2025")</f>
        <v>Spain - HCP Survey Email - June 2025</v>
      </c>
      <c r="C951" s="3" t="str">
        <f>HYPERLINK("https://otsuka-europe-crm.veevavault.com/ui/#object/sent_email__v/VBLZ025E82GMY98", "SE-000268018")</f>
        <v>SE-000268018</v>
      </c>
      <c r="D951" s="1" t="s">
        <v>0</v>
      </c>
      <c r="E951" s="2">
        <v>0</v>
      </c>
      <c r="F951" s="2">
        <v>0</v>
      </c>
      <c r="G951" s="2">
        <v>0</v>
      </c>
      <c r="H951" s="1" t="s">
        <v>0</v>
      </c>
      <c r="I951" s="2">
        <v>0</v>
      </c>
      <c r="J951" s="1">
        <v>45915.377858796295</v>
      </c>
    </row>
    <row r="952" spans="1:10" x14ac:dyDescent="0.2">
      <c r="A952" s="4" t="s">
        <v>1</v>
      </c>
      <c r="B952" s="3" t="str">
        <f>HYPERLINK("https://otsuka-europe-crm.veevavault.com/ui/#object/approved_document__v/V5OZ025E82TFUPI", "Spain - HCP Survey Email - June 2025")</f>
        <v>Spain - HCP Survey Email - June 2025</v>
      </c>
      <c r="C952" s="3" t="str">
        <f>HYPERLINK("https://otsuka-europe-crm.veevavault.com/ui/#object/sent_email__v/VBLZ025E82GMY99", "SE-000268019")</f>
        <v>SE-000268019</v>
      </c>
      <c r="D952" s="1">
        <v>45916.786064814813</v>
      </c>
      <c r="E952" s="2">
        <v>1</v>
      </c>
      <c r="F952" s="2">
        <v>1</v>
      </c>
      <c r="G952" s="2">
        <v>1</v>
      </c>
      <c r="H952" s="1">
        <v>45916.78633101852</v>
      </c>
      <c r="I952" s="2">
        <v>1</v>
      </c>
      <c r="J952" s="1">
        <v>45915.378263888888</v>
      </c>
    </row>
    <row r="953" spans="1:10" x14ac:dyDescent="0.2">
      <c r="A953" s="4" t="s">
        <v>1</v>
      </c>
      <c r="B953" s="3" t="str">
        <f>HYPERLINK("https://otsuka-europe-crm.veevavault.com/ui/#object/approved_document__v/V5OZ025E82TFUPI", "Spain - HCP Survey Email - June 2025")</f>
        <v>Spain - HCP Survey Email - June 2025</v>
      </c>
      <c r="C953" s="3" t="str">
        <f>HYPERLINK("https://otsuka-europe-crm.veevavault.com/ui/#object/sent_email__v/VBLZ025E82GMY9A", "SE-000268020")</f>
        <v>SE-000268020</v>
      </c>
      <c r="D953" s="1">
        <v>45915.48097222222</v>
      </c>
      <c r="E953" s="2">
        <v>1</v>
      </c>
      <c r="F953" s="2">
        <v>2</v>
      </c>
      <c r="G953" s="2">
        <v>0</v>
      </c>
      <c r="H953" s="1" t="s">
        <v>0</v>
      </c>
      <c r="I953" s="2">
        <v>0</v>
      </c>
      <c r="J953" s="1">
        <v>45915.378229166665</v>
      </c>
    </row>
    <row r="954" spans="1:10" x14ac:dyDescent="0.2">
      <c r="A954" s="4" t="s">
        <v>1</v>
      </c>
      <c r="B954" s="3" t="str">
        <f>HYPERLINK("https://otsuka-europe-crm.veevavault.com/ui/#object/approved_document__v/V5OZ025E82TFUPI", "Spain - HCP Survey Email - June 2025")</f>
        <v>Spain - HCP Survey Email - June 2025</v>
      </c>
      <c r="C954" s="3" t="str">
        <f>HYPERLINK("https://otsuka-europe-crm.veevavault.com/ui/#object/sent_email__v/VBLZ025E82GMY9B", "SE-000268021")</f>
        <v>SE-000268021</v>
      </c>
      <c r="D954" s="1" t="s">
        <v>0</v>
      </c>
      <c r="E954" s="2">
        <v>0</v>
      </c>
      <c r="F954" s="2">
        <v>0</v>
      </c>
      <c r="G954" s="2">
        <v>0</v>
      </c>
      <c r="H954" s="1" t="s">
        <v>0</v>
      </c>
      <c r="I954" s="2">
        <v>0</v>
      </c>
      <c r="J954" s="1">
        <v>45915.379027777781</v>
      </c>
    </row>
    <row r="955" spans="1:10" x14ac:dyDescent="0.2">
      <c r="A955" s="4" t="s">
        <v>1</v>
      </c>
      <c r="B955" s="3" t="str">
        <f>HYPERLINK("https://otsuka-europe-crm.veevavault.com/ui/#object/approved_document__v/V5OZ025E82TFUPI", "Spain - HCP Survey Email - June 2025")</f>
        <v>Spain - HCP Survey Email - June 2025</v>
      </c>
      <c r="C955" s="3" t="str">
        <f>HYPERLINK("https://otsuka-europe-crm.veevavault.com/ui/#object/sent_email__v/VBLZ025E82GMY9C", "SE-000268022")</f>
        <v>SE-000268022</v>
      </c>
      <c r="D955" s="1" t="s">
        <v>0</v>
      </c>
      <c r="E955" s="2">
        <v>0</v>
      </c>
      <c r="F955" s="2">
        <v>0</v>
      </c>
      <c r="G955" s="2">
        <v>0</v>
      </c>
      <c r="H955" s="1" t="s">
        <v>0</v>
      </c>
      <c r="I955" s="2">
        <v>0</v>
      </c>
      <c r="J955" s="1">
        <v>45915.379560185182</v>
      </c>
    </row>
    <row r="956" spans="1:10" x14ac:dyDescent="0.2">
      <c r="A956" s="4" t="s">
        <v>1</v>
      </c>
      <c r="B956" s="3" t="str">
        <f>HYPERLINK("https://otsuka-europe-crm.veevavault.com/ui/#object/approved_document__v/V5OZ025E82TFUPI", "Spain - HCP Survey Email - June 2025")</f>
        <v>Spain - HCP Survey Email - June 2025</v>
      </c>
      <c r="C956" s="3" t="str">
        <f>HYPERLINK("https://otsuka-europe-crm.veevavault.com/ui/#object/sent_email__v/VBLZ025E82GMY9D", "SE-000268023")</f>
        <v>SE-000268023</v>
      </c>
      <c r="D956" s="1" t="s">
        <v>0</v>
      </c>
      <c r="E956" s="2">
        <v>0</v>
      </c>
      <c r="F956" s="2">
        <v>0</v>
      </c>
      <c r="G956" s="2">
        <v>0</v>
      </c>
      <c r="H956" s="1" t="s">
        <v>0</v>
      </c>
      <c r="I956" s="2">
        <v>0</v>
      </c>
      <c r="J956" s="1">
        <v>45915.379444444443</v>
      </c>
    </row>
    <row r="957" spans="1:10" x14ac:dyDescent="0.2">
      <c r="A957" s="4" t="s">
        <v>1</v>
      </c>
      <c r="B957" s="3" t="str">
        <f>HYPERLINK("https://otsuka-europe-crm.veevavault.com/ui/#object/approved_document__v/V5OZ025E82TFUPI", "Spain - HCP Survey Email - June 2025")</f>
        <v>Spain - HCP Survey Email - June 2025</v>
      </c>
      <c r="C957" s="3" t="str">
        <f>HYPERLINK("https://otsuka-europe-crm.veevavault.com/ui/#object/sent_email__v/VBLZ025E82GMY9E", "SE-000268024")</f>
        <v>SE-000268024</v>
      </c>
      <c r="D957" s="1" t="s">
        <v>0</v>
      </c>
      <c r="E957" s="2">
        <v>0</v>
      </c>
      <c r="F957" s="2">
        <v>0</v>
      </c>
      <c r="G957" s="2">
        <v>0</v>
      </c>
      <c r="H957" s="1" t="s">
        <v>0</v>
      </c>
      <c r="I957" s="2">
        <v>0</v>
      </c>
      <c r="J957" s="1">
        <v>45915.377511574072</v>
      </c>
    </row>
    <row r="958" spans="1:10" x14ac:dyDescent="0.2">
      <c r="A958" s="4" t="s">
        <v>1</v>
      </c>
      <c r="B958" s="3" t="str">
        <f>HYPERLINK("https://otsuka-europe-crm.veevavault.com/ui/#object/approved_document__v/V5OZ025E82TFUPI", "Spain - HCP Survey Email - June 2025")</f>
        <v>Spain - HCP Survey Email - June 2025</v>
      </c>
      <c r="C958" s="3" t="str">
        <f>HYPERLINK("https://otsuka-europe-crm.veevavault.com/ui/#object/sent_email__v/VBLZ025E82GMY9F", "SE-000268025")</f>
        <v>SE-000268025</v>
      </c>
      <c r="D958" s="1" t="s">
        <v>0</v>
      </c>
      <c r="E958" s="2">
        <v>0</v>
      </c>
      <c r="F958" s="2">
        <v>0</v>
      </c>
      <c r="G958" s="2">
        <v>0</v>
      </c>
      <c r="H958" s="1" t="s">
        <v>0</v>
      </c>
      <c r="I958" s="2">
        <v>0</v>
      </c>
      <c r="J958" s="1">
        <v>45915.378460648149</v>
      </c>
    </row>
    <row r="959" spans="1:10" x14ac:dyDescent="0.2">
      <c r="A959" s="4" t="s">
        <v>1</v>
      </c>
      <c r="B959" s="3" t="str">
        <f>HYPERLINK("https://otsuka-europe-crm.veevavault.com/ui/#object/approved_document__v/V5OZ025E82TFUPI", "Spain - HCP Survey Email - June 2025")</f>
        <v>Spain - HCP Survey Email - June 2025</v>
      </c>
      <c r="C959" s="3" t="str">
        <f>HYPERLINK("https://otsuka-europe-crm.veevavault.com/ui/#object/sent_email__v/VBLZ025E82GMY9H", "SE-000268027")</f>
        <v>SE-000268027</v>
      </c>
      <c r="D959" s="1" t="s">
        <v>0</v>
      </c>
      <c r="E959" s="2">
        <v>0</v>
      </c>
      <c r="F959" s="2">
        <v>0</v>
      </c>
      <c r="G959" s="2">
        <v>0</v>
      </c>
      <c r="H959" s="1" t="s">
        <v>0</v>
      </c>
      <c r="I959" s="2">
        <v>0</v>
      </c>
      <c r="J959" s="1">
        <v>45915.37871527778</v>
      </c>
    </row>
    <row r="960" spans="1:10" x14ac:dyDescent="0.2">
      <c r="A960" s="4" t="s">
        <v>1</v>
      </c>
      <c r="B960" s="3" t="str">
        <f>HYPERLINK("https://otsuka-europe-crm.veevavault.com/ui/#object/approved_document__v/V5OZ025E82TFUPI", "Spain - HCP Survey Email - June 2025")</f>
        <v>Spain - HCP Survey Email - June 2025</v>
      </c>
      <c r="C960" s="3" t="str">
        <f>HYPERLINK("https://otsuka-europe-crm.veevavault.com/ui/#object/sent_email__v/VBLZ025E82GMY9I", "SE-000268028")</f>
        <v>SE-000268028</v>
      </c>
      <c r="D960" s="1" t="s">
        <v>0</v>
      </c>
      <c r="E960" s="2">
        <v>0</v>
      </c>
      <c r="F960" s="2">
        <v>0</v>
      </c>
      <c r="G960" s="2">
        <v>0</v>
      </c>
      <c r="H960" s="1" t="s">
        <v>0</v>
      </c>
      <c r="I960" s="2">
        <v>0</v>
      </c>
      <c r="J960" s="1">
        <v>45915.37909722222</v>
      </c>
    </row>
    <row r="961" spans="1:10" x14ac:dyDescent="0.2">
      <c r="A961" s="4" t="s">
        <v>1</v>
      </c>
      <c r="B961" s="3" t="str">
        <f>HYPERLINK("https://otsuka-europe-crm.veevavault.com/ui/#object/approved_document__v/V5OZ025E82TFUPI", "Spain - HCP Survey Email - June 2025")</f>
        <v>Spain - HCP Survey Email - June 2025</v>
      </c>
      <c r="C961" s="3" t="str">
        <f>HYPERLINK("https://otsuka-europe-crm.veevavault.com/ui/#object/sent_email__v/VBLZ025E82GMY9J", "SE-000268029")</f>
        <v>SE-000268029</v>
      </c>
      <c r="D961" s="1">
        <v>45916.723344907405</v>
      </c>
      <c r="E961" s="2">
        <v>1</v>
      </c>
      <c r="F961" s="2">
        <v>2</v>
      </c>
      <c r="G961" s="2">
        <v>0</v>
      </c>
      <c r="H961" s="1" t="s">
        <v>0</v>
      </c>
      <c r="I961" s="2">
        <v>0</v>
      </c>
      <c r="J961" s="1">
        <v>45915.377905092595</v>
      </c>
    </row>
    <row r="962" spans="1:10" x14ac:dyDescent="0.2">
      <c r="A962" s="4" t="s">
        <v>1</v>
      </c>
      <c r="B962" s="3" t="str">
        <f>HYPERLINK("https://otsuka-europe-crm.veevavault.com/ui/#object/approved_document__v/V5OZ025E82TFUPI", "Spain - HCP Survey Email - June 2025")</f>
        <v>Spain - HCP Survey Email - June 2025</v>
      </c>
      <c r="C962" s="3" t="str">
        <f>HYPERLINK("https://otsuka-europe-crm.veevavault.com/ui/#object/sent_email__v/VBLZ025E82GMY9K", "SE-000268030")</f>
        <v>SE-000268030</v>
      </c>
      <c r="D962" s="1" t="s">
        <v>0</v>
      </c>
      <c r="E962" s="2">
        <v>0</v>
      </c>
      <c r="F962" s="2">
        <v>0</v>
      </c>
      <c r="G962" s="2">
        <v>0</v>
      </c>
      <c r="H962" s="1" t="s">
        <v>0</v>
      </c>
      <c r="I962" s="2">
        <v>0</v>
      </c>
      <c r="J962" s="1">
        <v>45915.378368055557</v>
      </c>
    </row>
    <row r="963" spans="1:10" x14ac:dyDescent="0.2">
      <c r="A963" s="4" t="s">
        <v>1</v>
      </c>
      <c r="B963" s="3" t="str">
        <f>HYPERLINK("https://otsuka-europe-crm.veevavault.com/ui/#object/approved_document__v/V5OZ025E82TFUPI", "Spain - HCP Survey Email - June 2025")</f>
        <v>Spain - HCP Survey Email - June 2025</v>
      </c>
      <c r="C963" s="3" t="str">
        <f>HYPERLINK("https://otsuka-europe-crm.veevavault.com/ui/#object/sent_email__v/VBLZ025E82GMY9L", "SE-000268031")</f>
        <v>SE-000268031</v>
      </c>
      <c r="D963" s="1">
        <v>45915.405891203707</v>
      </c>
      <c r="E963" s="2">
        <v>1</v>
      </c>
      <c r="F963" s="2">
        <v>1</v>
      </c>
      <c r="G963" s="2">
        <v>0</v>
      </c>
      <c r="H963" s="1" t="s">
        <v>0</v>
      </c>
      <c r="I963" s="2">
        <v>0</v>
      </c>
      <c r="J963" s="1">
        <v>45915.377974537034</v>
      </c>
    </row>
    <row r="964" spans="1:10" x14ac:dyDescent="0.2">
      <c r="A964" s="4" t="s">
        <v>1</v>
      </c>
      <c r="B964" s="3" t="str">
        <f>HYPERLINK("https://otsuka-europe-crm.veevavault.com/ui/#object/approved_document__v/V5OZ025E82TFUPI", "Spain - HCP Survey Email - June 2025")</f>
        <v>Spain - HCP Survey Email - June 2025</v>
      </c>
      <c r="C964" s="3" t="str">
        <f>HYPERLINK("https://otsuka-europe-crm.veevavault.com/ui/#object/sent_email__v/VBLZ025E82GMY9M", "SE-000268032")</f>
        <v>SE-000268032</v>
      </c>
      <c r="D964" s="1">
        <v>45915.565775462965</v>
      </c>
      <c r="E964" s="2">
        <v>1</v>
      </c>
      <c r="F964" s="2">
        <v>1</v>
      </c>
      <c r="G964" s="2">
        <v>1</v>
      </c>
      <c r="H964" s="1">
        <v>45916.721747685187</v>
      </c>
      <c r="I964" s="2">
        <v>1</v>
      </c>
      <c r="J964" s="1">
        <v>45915.378981481481</v>
      </c>
    </row>
    <row r="965" spans="1:10" x14ac:dyDescent="0.2">
      <c r="A965" s="4" t="s">
        <v>1</v>
      </c>
      <c r="B965" s="3" t="str">
        <f>HYPERLINK("https://otsuka-europe-crm.veevavault.com/ui/#object/approved_document__v/V5OZ025E82TFUPI", "Spain - HCP Survey Email - June 2025")</f>
        <v>Spain - HCP Survey Email - June 2025</v>
      </c>
      <c r="C965" s="3" t="str">
        <f>HYPERLINK("https://otsuka-europe-crm.veevavault.com/ui/#object/sent_email__v/VBLZ025E82GMY9N", "SE-000268033")</f>
        <v>SE-000268033</v>
      </c>
      <c r="D965" s="1">
        <v>45915.391631944447</v>
      </c>
      <c r="E965" s="2">
        <v>1</v>
      </c>
      <c r="F965" s="2">
        <v>2</v>
      </c>
      <c r="G965" s="2">
        <v>0</v>
      </c>
      <c r="H965" s="1" t="s">
        <v>0</v>
      </c>
      <c r="I965" s="2">
        <v>0</v>
      </c>
      <c r="J965" s="1">
        <v>45915.379571759258</v>
      </c>
    </row>
    <row r="966" spans="1:10" x14ac:dyDescent="0.2">
      <c r="A966" s="4" t="s">
        <v>1</v>
      </c>
      <c r="B966" s="3" t="str">
        <f>HYPERLINK("https://otsuka-europe-crm.veevavault.com/ui/#object/approved_document__v/V5OZ025E82TFUPI", "Spain - HCP Survey Email - June 2025")</f>
        <v>Spain - HCP Survey Email - June 2025</v>
      </c>
      <c r="C966" s="3" t="str">
        <f>HYPERLINK("https://otsuka-europe-crm.veevavault.com/ui/#object/sent_email__v/VBLZ025E82GMY9O", "SE-000268034")</f>
        <v>SE-000268034</v>
      </c>
      <c r="D966" s="1">
        <v>45968.831875000003</v>
      </c>
      <c r="E966" s="2">
        <v>1</v>
      </c>
      <c r="F966" s="2">
        <v>2</v>
      </c>
      <c r="G966" s="2">
        <v>0</v>
      </c>
      <c r="H966" s="1" t="s">
        <v>0</v>
      </c>
      <c r="I966" s="2">
        <v>0</v>
      </c>
      <c r="J966" s="1">
        <v>45915.377870370372</v>
      </c>
    </row>
    <row r="967" spans="1:10" x14ac:dyDescent="0.2">
      <c r="A967" s="4" t="s">
        <v>1</v>
      </c>
      <c r="B967" s="3" t="str">
        <f>HYPERLINK("https://otsuka-europe-crm.veevavault.com/ui/#object/approved_document__v/V5OZ025E82TFUPI", "Spain - HCP Survey Email - June 2025")</f>
        <v>Spain - HCP Survey Email - June 2025</v>
      </c>
      <c r="C967" s="3" t="str">
        <f>HYPERLINK("https://otsuka-europe-crm.veevavault.com/ui/#object/sent_email__v/VBLZ025E82GMY9P", "SE-000268035")</f>
        <v>SE-000268035</v>
      </c>
      <c r="D967" s="1">
        <v>45915.82303240741</v>
      </c>
      <c r="E967" s="2">
        <v>1</v>
      </c>
      <c r="F967" s="2">
        <v>3</v>
      </c>
      <c r="G967" s="2">
        <v>0</v>
      </c>
      <c r="H967" s="1" t="s">
        <v>0</v>
      </c>
      <c r="I967" s="2">
        <v>0</v>
      </c>
      <c r="J967" s="1">
        <v>45915.37840277778</v>
      </c>
    </row>
    <row r="968" spans="1:10" x14ac:dyDescent="0.2">
      <c r="A968" s="4" t="s">
        <v>1</v>
      </c>
      <c r="B968" s="3" t="str">
        <f>HYPERLINK("https://otsuka-europe-crm.veevavault.com/ui/#object/approved_document__v/V5OZ025E82TFUPI", "Spain - HCP Survey Email - June 2025")</f>
        <v>Spain - HCP Survey Email - June 2025</v>
      </c>
      <c r="C968" s="3" t="str">
        <f>HYPERLINK("https://otsuka-europe-crm.veevavault.com/ui/#object/sent_email__v/VBLZ025E82GMY9Q", "SE-000268036")</f>
        <v>SE-000268036</v>
      </c>
      <c r="D968" s="1" t="s">
        <v>0</v>
      </c>
      <c r="E968" s="2">
        <v>0</v>
      </c>
      <c r="F968" s="2">
        <v>0</v>
      </c>
      <c r="G968" s="2">
        <v>0</v>
      </c>
      <c r="H968" s="1" t="s">
        <v>0</v>
      </c>
      <c r="I968" s="2">
        <v>0</v>
      </c>
      <c r="J968" s="1">
        <v>45915.377928240741</v>
      </c>
    </row>
    <row r="969" spans="1:10" x14ac:dyDescent="0.2">
      <c r="A969" s="4" t="s">
        <v>1</v>
      </c>
      <c r="B969" s="3" t="str">
        <f>HYPERLINK("https://otsuka-europe-crm.veevavault.com/ui/#object/approved_document__v/V5OZ025E82TFUPI", "Spain - HCP Survey Email - June 2025")</f>
        <v>Spain - HCP Survey Email - June 2025</v>
      </c>
      <c r="C969" s="3" t="str">
        <f>HYPERLINK("https://otsuka-europe-crm.veevavault.com/ui/#object/sent_email__v/VBLZ025E82GMY9R", "SE-000268037")</f>
        <v>SE-000268037</v>
      </c>
      <c r="D969" s="1">
        <v>45915.687696759262</v>
      </c>
      <c r="E969" s="2">
        <v>1</v>
      </c>
      <c r="F969" s="2">
        <v>2</v>
      </c>
      <c r="G969" s="2">
        <v>0</v>
      </c>
      <c r="H969" s="1" t="s">
        <v>0</v>
      </c>
      <c r="I969" s="2">
        <v>0</v>
      </c>
      <c r="J969" s="1">
        <v>45915.378946759258</v>
      </c>
    </row>
    <row r="970" spans="1:10" x14ac:dyDescent="0.2">
      <c r="A970" s="4" t="s">
        <v>1</v>
      </c>
      <c r="B970" s="3" t="str">
        <f>HYPERLINK("https://otsuka-europe-crm.veevavault.com/ui/#object/approved_document__v/V5OZ025E82TFUPI", "Spain - HCP Survey Email - June 2025")</f>
        <v>Spain - HCP Survey Email - June 2025</v>
      </c>
      <c r="C970" s="3" t="str">
        <f>HYPERLINK("https://otsuka-europe-crm.veevavault.com/ui/#object/sent_email__v/VBLZ025E82GMY9S", "SE-000268038")</f>
        <v>SE-000268038</v>
      </c>
      <c r="D970" s="1">
        <v>45915.385462962964</v>
      </c>
      <c r="E970" s="2">
        <v>1</v>
      </c>
      <c r="F970" s="2">
        <v>1</v>
      </c>
      <c r="G970" s="2">
        <v>0</v>
      </c>
      <c r="H970" s="1" t="s">
        <v>0</v>
      </c>
      <c r="I970" s="2">
        <v>0</v>
      </c>
      <c r="J970" s="1">
        <v>45915.379641203705</v>
      </c>
    </row>
    <row r="971" spans="1:10" x14ac:dyDescent="0.2">
      <c r="A971" s="4" t="s">
        <v>1</v>
      </c>
      <c r="B971" s="3" t="str">
        <f>HYPERLINK("https://otsuka-europe-crm.veevavault.com/ui/#object/approved_document__v/V5OZ025E82TFUPI", "Spain - HCP Survey Email - June 2025")</f>
        <v>Spain - HCP Survey Email - June 2025</v>
      </c>
      <c r="C971" s="3" t="str">
        <f>HYPERLINK("https://otsuka-europe-crm.veevavault.com/ui/#object/sent_email__v/VBLZ025E82GMY9T", "SE-000268039")</f>
        <v>SE-000268039</v>
      </c>
      <c r="D971" s="1" t="s">
        <v>0</v>
      </c>
      <c r="E971" s="2">
        <v>0</v>
      </c>
      <c r="F971" s="2">
        <v>0</v>
      </c>
      <c r="G971" s="2">
        <v>0</v>
      </c>
      <c r="H971" s="1" t="s">
        <v>0</v>
      </c>
      <c r="I971" s="2">
        <v>0</v>
      </c>
      <c r="J971" s="1">
        <v>45915.379421296297</v>
      </c>
    </row>
    <row r="972" spans="1:10" x14ac:dyDescent="0.2">
      <c r="A972" s="4" t="s">
        <v>1</v>
      </c>
      <c r="B972" s="3" t="str">
        <f>HYPERLINK("https://otsuka-europe-crm.veevavault.com/ui/#object/approved_document__v/V5OZ025E82TFUPI", "Spain - HCP Survey Email - June 2025")</f>
        <v>Spain - HCP Survey Email - June 2025</v>
      </c>
      <c r="C972" s="3" t="str">
        <f>HYPERLINK("https://otsuka-europe-crm.veevavault.com/ui/#object/sent_email__v/VBLZ025E82GMY9U", "SE-000268040")</f>
        <v>SE-000268040</v>
      </c>
      <c r="D972" s="1">
        <v>45915.793171296296</v>
      </c>
      <c r="E972" s="2">
        <v>1</v>
      </c>
      <c r="F972" s="2">
        <v>1</v>
      </c>
      <c r="G972" s="2">
        <v>0</v>
      </c>
      <c r="H972" s="1" t="s">
        <v>0</v>
      </c>
      <c r="I972" s="2">
        <v>0</v>
      </c>
      <c r="J972" s="1">
        <v>45915.37740740741</v>
      </c>
    </row>
    <row r="973" spans="1:10" x14ac:dyDescent="0.2">
      <c r="A973" s="4" t="s">
        <v>1</v>
      </c>
      <c r="B973" s="3" t="str">
        <f>HYPERLINK("https://otsuka-europe-crm.veevavault.com/ui/#object/approved_document__v/V5OZ025E82TFUPI", "Spain - HCP Survey Email - June 2025")</f>
        <v>Spain - HCP Survey Email - June 2025</v>
      </c>
      <c r="C973" s="3" t="str">
        <f>HYPERLINK("https://otsuka-europe-crm.veevavault.com/ui/#object/sent_email__v/VBLZ025E82GMY9V", "SE-000268041")</f>
        <v>SE-000268041</v>
      </c>
      <c r="D973" s="1" t="s">
        <v>0</v>
      </c>
      <c r="E973" s="2">
        <v>0</v>
      </c>
      <c r="F973" s="2">
        <v>0</v>
      </c>
      <c r="G973" s="2">
        <v>0</v>
      </c>
      <c r="H973" s="1" t="s">
        <v>0</v>
      </c>
      <c r="I973" s="2">
        <v>0</v>
      </c>
      <c r="J973" s="1">
        <v>45915.378437500003</v>
      </c>
    </row>
    <row r="974" spans="1:10" x14ac:dyDescent="0.2">
      <c r="A974" s="4" t="s">
        <v>1</v>
      </c>
      <c r="B974" s="3" t="str">
        <f>HYPERLINK("https://otsuka-europe-crm.veevavault.com/ui/#object/approved_document__v/V5OZ025E82TFUPI", "Spain - HCP Survey Email - June 2025")</f>
        <v>Spain - HCP Survey Email - June 2025</v>
      </c>
      <c r="C974" s="3" t="str">
        <f>HYPERLINK("https://otsuka-europe-crm.veevavault.com/ui/#object/sent_email__v/VBLZ025E82GMY9W", "SE-000268042")</f>
        <v>SE-000268042</v>
      </c>
      <c r="D974" s="1">
        <v>45915.429409722223</v>
      </c>
      <c r="E974" s="2">
        <v>1</v>
      </c>
      <c r="F974" s="2">
        <v>1</v>
      </c>
      <c r="G974" s="2">
        <v>0</v>
      </c>
      <c r="H974" s="1" t="s">
        <v>0</v>
      </c>
      <c r="I974" s="2">
        <v>0</v>
      </c>
      <c r="J974" s="1">
        <v>45915.378946759258</v>
      </c>
    </row>
    <row r="975" spans="1:10" x14ac:dyDescent="0.2">
      <c r="A975" s="4" t="s">
        <v>1</v>
      </c>
      <c r="B975" s="3" t="str">
        <f>HYPERLINK("https://otsuka-europe-crm.veevavault.com/ui/#object/approved_document__v/V5OZ025E82TFUPI", "Spain - HCP Survey Email - June 2025")</f>
        <v>Spain - HCP Survey Email - June 2025</v>
      </c>
      <c r="C975" s="3" t="str">
        <f>HYPERLINK("https://otsuka-europe-crm.veevavault.com/ui/#object/sent_email__v/VBLZ025E82GMY9X", "SE-000268043")</f>
        <v>SE-000268043</v>
      </c>
      <c r="D975" s="1">
        <v>45925.862557870372</v>
      </c>
      <c r="E975" s="2">
        <v>1</v>
      </c>
      <c r="F975" s="2">
        <v>2</v>
      </c>
      <c r="G975" s="2">
        <v>0</v>
      </c>
      <c r="H975" s="1" t="s">
        <v>0</v>
      </c>
      <c r="I975" s="2">
        <v>0</v>
      </c>
      <c r="J975" s="1">
        <v>45915.378738425927</v>
      </c>
    </row>
    <row r="976" spans="1:10" x14ac:dyDescent="0.2">
      <c r="A976" s="4" t="s">
        <v>1</v>
      </c>
      <c r="B976" s="3" t="str">
        <f>HYPERLINK("https://otsuka-europe-crm.veevavault.com/ui/#object/approved_document__v/V5OZ025E82TFUPI", "Spain - HCP Survey Email - June 2025")</f>
        <v>Spain - HCP Survey Email - June 2025</v>
      </c>
      <c r="C976" s="3" t="str">
        <f>HYPERLINK("https://otsuka-europe-crm.veevavault.com/ui/#object/sent_email__v/VBLZ025E82GMY9Y", "SE-000268044")</f>
        <v>SE-000268044</v>
      </c>
      <c r="D976" s="1" t="s">
        <v>0</v>
      </c>
      <c r="E976" s="2">
        <v>0</v>
      </c>
      <c r="F976" s="2">
        <v>0</v>
      </c>
      <c r="G976" s="2">
        <v>0</v>
      </c>
      <c r="H976" s="1" t="s">
        <v>0</v>
      </c>
      <c r="I976" s="2">
        <v>0</v>
      </c>
      <c r="J976" s="1">
        <v>45915.379189814812</v>
      </c>
    </row>
    <row r="977" spans="1:10" x14ac:dyDescent="0.2">
      <c r="A977" s="4" t="s">
        <v>1</v>
      </c>
      <c r="B977" s="3" t="str">
        <f>HYPERLINK("https://otsuka-europe-crm.veevavault.com/ui/#object/approved_document__v/V5OZ025E82TFUPI", "Spain - HCP Survey Email - June 2025")</f>
        <v>Spain - HCP Survey Email - June 2025</v>
      </c>
      <c r="C977" s="3" t="str">
        <f>HYPERLINK("https://otsuka-europe-crm.veevavault.com/ui/#object/sent_email__v/VBLZ025E82GMY9Z", "SE-000268045")</f>
        <v>SE-000268045</v>
      </c>
      <c r="D977" s="1" t="s">
        <v>0</v>
      </c>
      <c r="E977" s="2">
        <v>0</v>
      </c>
      <c r="F977" s="2">
        <v>0</v>
      </c>
      <c r="G977" s="2">
        <v>0</v>
      </c>
      <c r="H977" s="1" t="s">
        <v>0</v>
      </c>
      <c r="I977" s="2">
        <v>0</v>
      </c>
      <c r="J977" s="1">
        <v>45915.377870370372</v>
      </c>
    </row>
    <row r="978" spans="1:10" x14ac:dyDescent="0.2">
      <c r="A978" s="4" t="s">
        <v>1</v>
      </c>
      <c r="B978" s="3" t="str">
        <f>HYPERLINK("https://otsuka-europe-crm.veevavault.com/ui/#object/approved_document__v/V5OZ025E82TFUPI", "Spain - HCP Survey Email - June 2025")</f>
        <v>Spain - HCP Survey Email - June 2025</v>
      </c>
      <c r="C978" s="3" t="str">
        <f>HYPERLINK("https://otsuka-europe-crm.veevavault.com/ui/#object/sent_email__v/VBLZ025E82GMYA0", "SE-000268046")</f>
        <v>SE-000268046</v>
      </c>
      <c r="D978" s="1" t="s">
        <v>0</v>
      </c>
      <c r="E978" s="2">
        <v>0</v>
      </c>
      <c r="F978" s="2">
        <v>0</v>
      </c>
      <c r="G978" s="2">
        <v>0</v>
      </c>
      <c r="H978" s="1" t="s">
        <v>0</v>
      </c>
      <c r="I978" s="2">
        <v>0</v>
      </c>
      <c r="J978" s="1">
        <v>45915.378344907411</v>
      </c>
    </row>
    <row r="979" spans="1:10" x14ac:dyDescent="0.2">
      <c r="A979" s="4" t="s">
        <v>1</v>
      </c>
      <c r="B979" s="3" t="str">
        <f>HYPERLINK("https://otsuka-europe-crm.veevavault.com/ui/#object/approved_document__v/V5OZ025E82TFUPI", "Spain - HCP Survey Email - June 2025")</f>
        <v>Spain - HCP Survey Email - June 2025</v>
      </c>
      <c r="C979" s="3" t="str">
        <f>HYPERLINK("https://otsuka-europe-crm.veevavault.com/ui/#object/sent_email__v/VBLZ025E82GMYA1", "SE-000268047")</f>
        <v>SE-000268047</v>
      </c>
      <c r="D979" s="1" t="s">
        <v>0</v>
      </c>
      <c r="E979" s="2">
        <v>0</v>
      </c>
      <c r="F979" s="2">
        <v>0</v>
      </c>
      <c r="G979" s="2">
        <v>0</v>
      </c>
      <c r="H979" s="1" t="s">
        <v>0</v>
      </c>
      <c r="I979" s="2">
        <v>0</v>
      </c>
      <c r="J979" s="1">
        <v>45915.377997685187</v>
      </c>
    </row>
    <row r="980" spans="1:10" x14ac:dyDescent="0.2">
      <c r="A980" s="4" t="s">
        <v>1</v>
      </c>
      <c r="B980" s="3" t="str">
        <f>HYPERLINK("https://otsuka-europe-crm.veevavault.com/ui/#object/approved_document__v/V5OZ025E82TFUPI", "Spain - HCP Survey Email - June 2025")</f>
        <v>Spain - HCP Survey Email - June 2025</v>
      </c>
      <c r="C980" s="3" t="str">
        <f>HYPERLINK("https://otsuka-europe-crm.veevavault.com/ui/#object/sent_email__v/VBLZ025E82GMYA2", "SE-000268048")</f>
        <v>SE-000268048</v>
      </c>
      <c r="D980" s="1">
        <v>45915.382511574076</v>
      </c>
      <c r="E980" s="2">
        <v>1</v>
      </c>
      <c r="F980" s="2">
        <v>2</v>
      </c>
      <c r="G980" s="2">
        <v>0</v>
      </c>
      <c r="H980" s="1" t="s">
        <v>0</v>
      </c>
      <c r="I980" s="2">
        <v>0</v>
      </c>
      <c r="J980" s="1">
        <v>45915.378900462965</v>
      </c>
    </row>
    <row r="981" spans="1:10" x14ac:dyDescent="0.2">
      <c r="A981" s="4" t="s">
        <v>1</v>
      </c>
      <c r="B981" s="3" t="str">
        <f>HYPERLINK("https://otsuka-europe-crm.veevavault.com/ui/#object/approved_document__v/V5OZ025E82TFUPI", "Spain - HCP Survey Email - June 2025")</f>
        <v>Spain - HCP Survey Email - June 2025</v>
      </c>
      <c r="C981" s="3" t="str">
        <f>HYPERLINK("https://otsuka-europe-crm.veevavault.com/ui/#object/sent_email__v/VBLZ025E82GMYA3", "SE-000268049")</f>
        <v>SE-000268049</v>
      </c>
      <c r="D981" s="1">
        <v>45917.465451388889</v>
      </c>
      <c r="E981" s="2">
        <v>1</v>
      </c>
      <c r="F981" s="2">
        <v>1</v>
      </c>
      <c r="G981" s="2">
        <v>1</v>
      </c>
      <c r="H981" s="1">
        <v>45917.465451388889</v>
      </c>
      <c r="I981" s="2">
        <v>1</v>
      </c>
      <c r="J981" s="1">
        <v>45915.379641203705</v>
      </c>
    </row>
    <row r="982" spans="1:10" x14ac:dyDescent="0.2">
      <c r="A982" s="4" t="s">
        <v>1</v>
      </c>
      <c r="B982" s="3" t="str">
        <f>HYPERLINK("https://otsuka-europe-crm.veevavault.com/ui/#object/approved_document__v/V5OZ025E82TFUPI", "Spain - HCP Survey Email - June 2025")</f>
        <v>Spain - HCP Survey Email - June 2025</v>
      </c>
      <c r="C982" s="3" t="str">
        <f>HYPERLINK("https://otsuka-europe-crm.veevavault.com/ui/#object/sent_email__v/VBLZ025E82GMYA4", "SE-000268050")</f>
        <v>SE-000268050</v>
      </c>
      <c r="D982" s="1" t="s">
        <v>0</v>
      </c>
      <c r="E982" s="2">
        <v>0</v>
      </c>
      <c r="F982" s="2">
        <v>0</v>
      </c>
      <c r="G982" s="2">
        <v>0</v>
      </c>
      <c r="H982" s="1" t="s">
        <v>0</v>
      </c>
      <c r="I982" s="2">
        <v>0</v>
      </c>
      <c r="J982" s="1">
        <v>45915.379363425927</v>
      </c>
    </row>
    <row r="983" spans="1:10" x14ac:dyDescent="0.2">
      <c r="A983" s="4" t="s">
        <v>1</v>
      </c>
      <c r="B983" s="3" t="str">
        <f>HYPERLINK("https://otsuka-europe-crm.veevavault.com/ui/#object/approved_document__v/V5OZ025E82TFUPI", "Spain - HCP Survey Email - June 2025")</f>
        <v>Spain - HCP Survey Email - June 2025</v>
      </c>
      <c r="C983" s="3" t="str">
        <f>HYPERLINK("https://otsuka-europe-crm.veevavault.com/ui/#object/sent_email__v/VBLZ025E82GMYA5", "SE-000268051")</f>
        <v>SE-000268051</v>
      </c>
      <c r="D983" s="1" t="s">
        <v>0</v>
      </c>
      <c r="E983" s="2">
        <v>0</v>
      </c>
      <c r="F983" s="2">
        <v>0</v>
      </c>
      <c r="G983" s="2">
        <v>0</v>
      </c>
      <c r="H983" s="1" t="s">
        <v>0</v>
      </c>
      <c r="I983" s="2">
        <v>0</v>
      </c>
      <c r="J983" s="1">
        <v>45915.377500000002</v>
      </c>
    </row>
    <row r="984" spans="1:10" x14ac:dyDescent="0.2">
      <c r="A984" s="4" t="s">
        <v>1</v>
      </c>
      <c r="B984" s="3" t="str">
        <f>HYPERLINK("https://otsuka-europe-crm.veevavault.com/ui/#object/approved_document__v/V5OZ025E82TFUPI", "Spain - HCP Survey Email - June 2025")</f>
        <v>Spain - HCP Survey Email - June 2025</v>
      </c>
      <c r="C984" s="3" t="str">
        <f>HYPERLINK("https://otsuka-europe-crm.veevavault.com/ui/#object/sent_email__v/VBLZ025E82GMYA6", "SE-000268052")</f>
        <v>SE-000268052</v>
      </c>
      <c r="D984" s="1">
        <v>45915.503344907411</v>
      </c>
      <c r="E984" s="2">
        <v>1</v>
      </c>
      <c r="F984" s="2">
        <v>2</v>
      </c>
      <c r="G984" s="2">
        <v>0</v>
      </c>
      <c r="H984" s="1" t="s">
        <v>0</v>
      </c>
      <c r="I984" s="2">
        <v>0</v>
      </c>
      <c r="J984" s="1">
        <v>45915.37840277778</v>
      </c>
    </row>
    <row r="985" spans="1:10" x14ac:dyDescent="0.2">
      <c r="A985" s="4" t="s">
        <v>1</v>
      </c>
      <c r="B985" s="3" t="str">
        <f>HYPERLINK("https://otsuka-europe-crm.veevavault.com/ui/#object/approved_document__v/V5OZ025E82TFUPI", "Spain - HCP Survey Email - June 2025")</f>
        <v>Spain - HCP Survey Email - June 2025</v>
      </c>
      <c r="C985" s="3" t="str">
        <f>HYPERLINK("https://otsuka-europe-crm.veevavault.com/ui/#object/sent_email__v/VBLZ025E82GMYA7", "SE-000268053")</f>
        <v>SE-000268053</v>
      </c>
      <c r="D985" s="1" t="s">
        <v>0</v>
      </c>
      <c r="E985" s="2">
        <v>0</v>
      </c>
      <c r="F985" s="2">
        <v>0</v>
      </c>
      <c r="G985" s="2">
        <v>0</v>
      </c>
      <c r="H985" s="1" t="s">
        <v>0</v>
      </c>
      <c r="I985" s="2">
        <v>0</v>
      </c>
      <c r="J985" s="1">
        <v>45915.378831018519</v>
      </c>
    </row>
    <row r="986" spans="1:10" x14ac:dyDescent="0.2">
      <c r="A986" s="4" t="s">
        <v>1</v>
      </c>
      <c r="B986" s="3" t="str">
        <f>HYPERLINK("https://otsuka-europe-crm.veevavault.com/ui/#object/approved_document__v/V5OZ025E82TFUPI", "Spain - HCP Survey Email - June 2025")</f>
        <v>Spain - HCP Survey Email - June 2025</v>
      </c>
      <c r="C986" s="3" t="str">
        <f>HYPERLINK("https://otsuka-europe-crm.veevavault.com/ui/#object/sent_email__v/VBLZ025E82GMYA8", "SE-000268054")</f>
        <v>SE-000268054</v>
      </c>
      <c r="D986" s="1">
        <v>45915.712962962964</v>
      </c>
      <c r="E986" s="2">
        <v>1</v>
      </c>
      <c r="F986" s="2">
        <v>1</v>
      </c>
      <c r="G986" s="2">
        <v>0</v>
      </c>
      <c r="H986" s="1" t="s">
        <v>0</v>
      </c>
      <c r="I986" s="2">
        <v>0</v>
      </c>
      <c r="J986" s="1">
        <v>45915.378738425927</v>
      </c>
    </row>
    <row r="987" spans="1:10" x14ac:dyDescent="0.2">
      <c r="A987" s="4" t="s">
        <v>1</v>
      </c>
      <c r="B987" s="3" t="str">
        <f>HYPERLINK("https://otsuka-europe-crm.veevavault.com/ui/#object/approved_document__v/V5OZ025E82TFUPI", "Spain - HCP Survey Email - June 2025")</f>
        <v>Spain - HCP Survey Email - June 2025</v>
      </c>
      <c r="C987" s="3" t="str">
        <f>HYPERLINK("https://otsuka-europe-crm.veevavault.com/ui/#object/sent_email__v/VBLZ025E82GMYA9", "SE-000268055")</f>
        <v>SE-000268055</v>
      </c>
      <c r="D987" s="1" t="s">
        <v>0</v>
      </c>
      <c r="E987" s="2">
        <v>0</v>
      </c>
      <c r="F987" s="2">
        <v>0</v>
      </c>
      <c r="G987" s="2">
        <v>0</v>
      </c>
      <c r="H987" s="1" t="s">
        <v>0</v>
      </c>
      <c r="I987" s="2">
        <v>0</v>
      </c>
      <c r="J987" s="1">
        <v>45915.379189814812</v>
      </c>
    </row>
    <row r="988" spans="1:10" x14ac:dyDescent="0.2">
      <c r="A988" s="4" t="s">
        <v>1</v>
      </c>
      <c r="B988" s="3" t="str">
        <f>HYPERLINK("https://otsuka-europe-crm.veevavault.com/ui/#object/approved_document__v/V5OZ025E82TFUPI", "Spain - HCP Survey Email - June 2025")</f>
        <v>Spain - HCP Survey Email - June 2025</v>
      </c>
      <c r="C988" s="3" t="str">
        <f>HYPERLINK("https://otsuka-europe-crm.veevavault.com/ui/#object/sent_email__v/VBLZ025E82GMYAA", "SE-000268056")</f>
        <v>SE-000268056</v>
      </c>
      <c r="D988" s="1" t="s">
        <v>0</v>
      </c>
      <c r="E988" s="2">
        <v>0</v>
      </c>
      <c r="F988" s="2">
        <v>0</v>
      </c>
      <c r="G988" s="2">
        <v>0</v>
      </c>
      <c r="H988" s="1" t="s">
        <v>0</v>
      </c>
      <c r="I988" s="2">
        <v>0</v>
      </c>
      <c r="J988" s="1">
        <v>45915.377939814818</v>
      </c>
    </row>
    <row r="989" spans="1:10" x14ac:dyDescent="0.2">
      <c r="A989" s="4" t="s">
        <v>1</v>
      </c>
      <c r="B989" s="3" t="str">
        <f>HYPERLINK("https://otsuka-europe-crm.veevavault.com/ui/#object/approved_document__v/V5OZ025E82TFUPI", "Spain - HCP Survey Email - June 2025")</f>
        <v>Spain - HCP Survey Email - June 2025</v>
      </c>
      <c r="C989" s="3" t="str">
        <f>HYPERLINK("https://otsuka-europe-crm.veevavault.com/ui/#object/sent_email__v/VBLZ025E82GMYAB", "SE-000268057")</f>
        <v>SE-000268057</v>
      </c>
      <c r="D989" s="1">
        <v>45921.414733796293</v>
      </c>
      <c r="E989" s="2">
        <v>1</v>
      </c>
      <c r="F989" s="2">
        <v>6</v>
      </c>
      <c r="G989" s="2">
        <v>0</v>
      </c>
      <c r="H989" s="1" t="s">
        <v>0</v>
      </c>
      <c r="I989" s="2">
        <v>0</v>
      </c>
      <c r="J989" s="1">
        <v>45915.377523148149</v>
      </c>
    </row>
    <row r="990" spans="1:10" x14ac:dyDescent="0.2">
      <c r="A990" s="4" t="s">
        <v>1</v>
      </c>
      <c r="B990" s="3" t="str">
        <f>HYPERLINK("https://otsuka-europe-crm.veevavault.com/ui/#object/approved_document__v/V5OZ025E82TFUPI", "Spain - HCP Survey Email - June 2025")</f>
        <v>Spain - HCP Survey Email - June 2025</v>
      </c>
      <c r="C990" s="3" t="str">
        <f>HYPERLINK("https://otsuka-europe-crm.veevavault.com/ui/#object/sent_email__v/VBLZ025E82GMYAC", "SE-000268058")</f>
        <v>SE-000268058</v>
      </c>
      <c r="D990" s="1">
        <v>45919.399745370371</v>
      </c>
      <c r="E990" s="2">
        <v>1</v>
      </c>
      <c r="F990" s="2">
        <v>2</v>
      </c>
      <c r="G990" s="2">
        <v>0</v>
      </c>
      <c r="H990" s="1" t="s">
        <v>0</v>
      </c>
      <c r="I990" s="2">
        <v>0</v>
      </c>
      <c r="J990" s="1">
        <v>45915.378032407411</v>
      </c>
    </row>
    <row r="991" spans="1:10" x14ac:dyDescent="0.2">
      <c r="A991" s="4" t="s">
        <v>1</v>
      </c>
      <c r="B991" s="3" t="str">
        <f>HYPERLINK("https://otsuka-europe-crm.veevavault.com/ui/#object/approved_document__v/V5OZ025E82TFUPI", "Spain - HCP Survey Email - June 2025")</f>
        <v>Spain - HCP Survey Email - June 2025</v>
      </c>
      <c r="C991" s="3" t="str">
        <f>HYPERLINK("https://otsuka-europe-crm.veevavault.com/ui/#object/sent_email__v/VBLZ025E82GMYAD", "SE-000268059")</f>
        <v>SE-000268059</v>
      </c>
      <c r="D991" s="1">
        <v>45915.530995370369</v>
      </c>
      <c r="E991" s="2">
        <v>1</v>
      </c>
      <c r="F991" s="2">
        <v>1</v>
      </c>
      <c r="G991" s="2">
        <v>0</v>
      </c>
      <c r="H991" s="1" t="s">
        <v>0</v>
      </c>
      <c r="I991" s="2">
        <v>0</v>
      </c>
      <c r="J991" s="1">
        <v>45915.378993055558</v>
      </c>
    </row>
    <row r="992" spans="1:10" x14ac:dyDescent="0.2">
      <c r="A992" s="4" t="s">
        <v>1</v>
      </c>
      <c r="B992" s="3" t="str">
        <f>HYPERLINK("https://otsuka-europe-crm.veevavault.com/ui/#object/approved_document__v/V5OZ025E82TFUPI", "Spain - HCP Survey Email - June 2025")</f>
        <v>Spain - HCP Survey Email - June 2025</v>
      </c>
      <c r="C992" s="3" t="str">
        <f>HYPERLINK("https://otsuka-europe-crm.veevavault.com/ui/#object/sent_email__v/VBLZ025E82GMYAE", "SE-000268060")</f>
        <v>SE-000268060</v>
      </c>
      <c r="D992" s="1">
        <v>45915.446157407408</v>
      </c>
      <c r="E992" s="2">
        <v>1</v>
      </c>
      <c r="F992" s="2">
        <v>1</v>
      </c>
      <c r="G992" s="2">
        <v>0</v>
      </c>
      <c r="H992" s="1" t="s">
        <v>0</v>
      </c>
      <c r="I992" s="2">
        <v>0</v>
      </c>
      <c r="J992" s="1">
        <v>45915.379606481481</v>
      </c>
    </row>
    <row r="993" spans="1:10" x14ac:dyDescent="0.2">
      <c r="A993" s="4" t="s">
        <v>1</v>
      </c>
      <c r="B993" s="3" t="str">
        <f>HYPERLINK("https://otsuka-europe-crm.veevavault.com/ui/#object/approved_document__v/V5OZ025E82TFUPI", "Spain - HCP Survey Email - June 2025")</f>
        <v>Spain - HCP Survey Email - June 2025</v>
      </c>
      <c r="C993" s="3" t="str">
        <f>HYPERLINK("https://otsuka-europe-crm.veevavault.com/ui/#object/sent_email__v/VBLZ025E82GMYAF", "SE-000268061")</f>
        <v>SE-000268061</v>
      </c>
      <c r="D993" s="1">
        <v>45915.407407407409</v>
      </c>
      <c r="E993" s="2">
        <v>1</v>
      </c>
      <c r="F993" s="2">
        <v>1</v>
      </c>
      <c r="G993" s="2">
        <v>0</v>
      </c>
      <c r="H993" s="1" t="s">
        <v>0</v>
      </c>
      <c r="I993" s="2">
        <v>0</v>
      </c>
      <c r="J993" s="1">
        <v>45915.379328703704</v>
      </c>
    </row>
    <row r="994" spans="1:10" x14ac:dyDescent="0.2">
      <c r="A994" s="4" t="s">
        <v>1</v>
      </c>
      <c r="B994" s="3" t="str">
        <f>HYPERLINK("https://otsuka-europe-crm.veevavault.com/ui/#object/approved_document__v/V5OZ025E82TFUPI", "Spain - HCP Survey Email - June 2025")</f>
        <v>Spain - HCP Survey Email - June 2025</v>
      </c>
      <c r="C994" s="3" t="str">
        <f>HYPERLINK("https://otsuka-europe-crm.veevavault.com/ui/#object/sent_email__v/VBLZ025E82GMYAG", "SE-000268062")</f>
        <v>SE-000268062</v>
      </c>
      <c r="D994" s="1">
        <v>45915.578831018516</v>
      </c>
      <c r="E994" s="2">
        <v>1</v>
      </c>
      <c r="F994" s="2">
        <v>4</v>
      </c>
      <c r="G994" s="2">
        <v>1</v>
      </c>
      <c r="H994" s="1">
        <v>45915.38009259259</v>
      </c>
      <c r="I994" s="2">
        <v>1</v>
      </c>
      <c r="J994" s="1">
        <v>45915.377465277779</v>
      </c>
    </row>
    <row r="995" spans="1:10" x14ac:dyDescent="0.2">
      <c r="A995" s="4" t="s">
        <v>1</v>
      </c>
      <c r="B995" s="3" t="str">
        <f>HYPERLINK("https://otsuka-europe-crm.veevavault.com/ui/#object/approved_document__v/V5OZ025E82TFUPI", "Spain - HCP Survey Email - June 2025")</f>
        <v>Spain - HCP Survey Email - June 2025</v>
      </c>
      <c r="C995" s="3" t="str">
        <f>HYPERLINK("https://otsuka-europe-crm.veevavault.com/ui/#object/sent_email__v/VBLZ025E82GMYAH", "SE-000268063")</f>
        <v>SE-000268063</v>
      </c>
      <c r="D995" s="1">
        <v>45965.924166666664</v>
      </c>
      <c r="E995" s="2">
        <v>1</v>
      </c>
      <c r="F995" s="2">
        <v>3</v>
      </c>
      <c r="G995" s="2">
        <v>1</v>
      </c>
      <c r="H995" s="1">
        <v>45915.583055555559</v>
      </c>
      <c r="I995" s="2">
        <v>1</v>
      </c>
      <c r="J995" s="1">
        <v>45915.378460648149</v>
      </c>
    </row>
    <row r="996" spans="1:10" x14ac:dyDescent="0.2">
      <c r="A996" s="4" t="s">
        <v>1</v>
      </c>
      <c r="B996" s="3" t="str">
        <f>HYPERLINK("https://otsuka-europe-crm.veevavault.com/ui/#object/approved_document__v/V5OZ025E82TFUPI", "Spain - HCP Survey Email - June 2025")</f>
        <v>Spain - HCP Survey Email - June 2025</v>
      </c>
      <c r="C996" s="3" t="str">
        <f>HYPERLINK("https://otsuka-europe-crm.veevavault.com/ui/#object/sent_email__v/VBLZ025E82GMYAI", "SE-000268064")</f>
        <v>SE-000268064</v>
      </c>
      <c r="D996" s="1" t="s">
        <v>0</v>
      </c>
      <c r="E996" s="2">
        <v>0</v>
      </c>
      <c r="F996" s="2">
        <v>0</v>
      </c>
      <c r="G996" s="2">
        <v>0</v>
      </c>
      <c r="H996" s="1" t="s">
        <v>0</v>
      </c>
      <c r="I996" s="2">
        <v>0</v>
      </c>
      <c r="J996" s="1">
        <v>45915.378935185188</v>
      </c>
    </row>
    <row r="997" spans="1:10" x14ac:dyDescent="0.2">
      <c r="A997" s="4" t="s">
        <v>1</v>
      </c>
      <c r="B997" s="3" t="str">
        <f>HYPERLINK("https://otsuka-europe-crm.veevavault.com/ui/#object/approved_document__v/V5OZ025E82TFUPI", "Spain - HCP Survey Email - June 2025")</f>
        <v>Spain - HCP Survey Email - June 2025</v>
      </c>
      <c r="C997" s="3" t="str">
        <f>HYPERLINK("https://otsuka-europe-crm.veevavault.com/ui/#object/sent_email__v/VBLZ025E82GMYAJ", "SE-000268065")</f>
        <v>SE-000268065</v>
      </c>
      <c r="D997" s="1" t="s">
        <v>0</v>
      </c>
      <c r="E997" s="2">
        <v>0</v>
      </c>
      <c r="F997" s="2">
        <v>0</v>
      </c>
      <c r="G997" s="2">
        <v>0</v>
      </c>
      <c r="H997" s="1" t="s">
        <v>0</v>
      </c>
      <c r="I997" s="2">
        <v>0</v>
      </c>
      <c r="J997" s="1">
        <v>45915.378831018519</v>
      </c>
    </row>
    <row r="998" spans="1:10" x14ac:dyDescent="0.2">
      <c r="A998" s="4" t="s">
        <v>1</v>
      </c>
      <c r="B998" s="3" t="str">
        <f>HYPERLINK("https://otsuka-europe-crm.veevavault.com/ui/#object/approved_document__v/V5OZ025E82TFUPI", "Spain - HCP Survey Email - June 2025")</f>
        <v>Spain - HCP Survey Email - June 2025</v>
      </c>
      <c r="C998" s="3" t="str">
        <f>HYPERLINK("https://otsuka-europe-crm.veevavault.com/ui/#object/sent_email__v/VBLZ025E82GMYAK", "SE-000268066")</f>
        <v>SE-000268066</v>
      </c>
      <c r="D998" s="1">
        <v>45917.424398148149</v>
      </c>
      <c r="E998" s="2">
        <v>1</v>
      </c>
      <c r="F998" s="2">
        <v>1</v>
      </c>
      <c r="G998" s="2">
        <v>0</v>
      </c>
      <c r="H998" s="1" t="s">
        <v>0</v>
      </c>
      <c r="I998" s="2">
        <v>0</v>
      </c>
      <c r="J998" s="1">
        <v>45915.379259259258</v>
      </c>
    </row>
    <row r="999" spans="1:10" x14ac:dyDescent="0.2">
      <c r="A999" s="4" t="s">
        <v>1</v>
      </c>
      <c r="B999" s="3" t="str">
        <f>HYPERLINK("https://otsuka-europe-crm.veevavault.com/ui/#object/approved_document__v/V5OZ025E82TFUPI", "Spain - HCP Survey Email - June 2025")</f>
        <v>Spain - HCP Survey Email - June 2025</v>
      </c>
      <c r="C999" s="3" t="str">
        <f>HYPERLINK("https://otsuka-europe-crm.veevavault.com/ui/#object/sent_email__v/VBLZ025E82GMYAL", "SE-000268067")</f>
        <v>SE-000268067</v>
      </c>
      <c r="D999" s="1">
        <v>45915.563437500001</v>
      </c>
      <c r="E999" s="2">
        <v>1</v>
      </c>
      <c r="F999" s="2">
        <v>3</v>
      </c>
      <c r="G999" s="2">
        <v>0</v>
      </c>
      <c r="H999" s="1" t="s">
        <v>0</v>
      </c>
      <c r="I999" s="2">
        <v>0</v>
      </c>
      <c r="J999" s="1">
        <v>45915.377893518518</v>
      </c>
    </row>
    <row r="1000" spans="1:10" x14ac:dyDescent="0.2">
      <c r="A1000" s="4" t="s">
        <v>1</v>
      </c>
      <c r="B1000" s="3" t="str">
        <f>HYPERLINK("https://otsuka-europe-crm.veevavault.com/ui/#object/approved_document__v/V5OZ025E82TFUPI", "Spain - HCP Survey Email - June 2025")</f>
        <v>Spain - HCP Survey Email - June 2025</v>
      </c>
      <c r="C1000" s="3" t="str">
        <f>HYPERLINK("https://otsuka-europe-crm.veevavault.com/ui/#object/sent_email__v/VBLZ025E82GMYAM", "SE-000268068")</f>
        <v>SE-000268068</v>
      </c>
      <c r="D1000" s="1" t="s">
        <v>0</v>
      </c>
      <c r="E1000" s="2">
        <v>0</v>
      </c>
      <c r="F1000" s="2">
        <v>0</v>
      </c>
      <c r="G1000" s="2">
        <v>0</v>
      </c>
      <c r="H1000" s="1" t="s">
        <v>0</v>
      </c>
      <c r="I1000" s="2">
        <v>0</v>
      </c>
      <c r="J1000" s="1">
        <v>45915.378344907411</v>
      </c>
    </row>
    <row r="1001" spans="1:10" x14ac:dyDescent="0.2">
      <c r="A1001" s="4" t="s">
        <v>1</v>
      </c>
      <c r="B1001" s="3" t="str">
        <f>HYPERLINK("https://otsuka-europe-crm.veevavault.com/ui/#object/approved_document__v/V5OZ025E82TFUPI", "Spain - HCP Survey Email - June 2025")</f>
        <v>Spain - HCP Survey Email - June 2025</v>
      </c>
      <c r="C1001" s="3" t="str">
        <f>HYPERLINK("https://otsuka-europe-crm.veevavault.com/ui/#object/sent_email__v/VBLZ025E82GMYAN", "SE-000268069")</f>
        <v>SE-000268069</v>
      </c>
      <c r="D1001" s="1" t="s">
        <v>0</v>
      </c>
      <c r="E1001" s="2">
        <v>0</v>
      </c>
      <c r="F1001" s="2">
        <v>0</v>
      </c>
      <c r="G1001" s="2">
        <v>0</v>
      </c>
      <c r="H1001" s="1" t="s">
        <v>0</v>
      </c>
      <c r="I1001" s="2">
        <v>0</v>
      </c>
      <c r="J1001" s="1">
        <v>45915.377893518518</v>
      </c>
    </row>
    <row r="1002" spans="1:10" x14ac:dyDescent="0.2">
      <c r="A1002" s="4" t="s">
        <v>1</v>
      </c>
      <c r="B1002" s="3" t="str">
        <f>HYPERLINK("https://otsuka-europe-crm.veevavault.com/ui/#object/approved_document__v/V5OZ025E82TFUPI", "Spain - HCP Survey Email - June 2025")</f>
        <v>Spain - HCP Survey Email - June 2025</v>
      </c>
      <c r="C1002" s="3" t="str">
        <f>HYPERLINK("https://otsuka-europe-crm.veevavault.com/ui/#object/sent_email__v/VBLZ025E82GMYAO", "SE-000268070")</f>
        <v>SE-000268070</v>
      </c>
      <c r="D1002" s="1">
        <v>45915.379918981482</v>
      </c>
      <c r="E1002" s="2">
        <v>1</v>
      </c>
      <c r="F1002" s="2">
        <v>2</v>
      </c>
      <c r="G1002" s="2">
        <v>0</v>
      </c>
      <c r="H1002" s="1" t="s">
        <v>0</v>
      </c>
      <c r="I1002" s="2">
        <v>0</v>
      </c>
      <c r="J1002" s="1">
        <v>45915.379305555558</v>
      </c>
    </row>
    <row r="1003" spans="1:10" x14ac:dyDescent="0.2">
      <c r="A1003" s="4" t="s">
        <v>1</v>
      </c>
      <c r="B1003" s="3" t="str">
        <f>HYPERLINK("https://otsuka-europe-crm.veevavault.com/ui/#object/approved_document__v/V5OZ025E82TFUPI", "Spain - HCP Survey Email - June 2025")</f>
        <v>Spain - HCP Survey Email - June 2025</v>
      </c>
      <c r="C1003" s="3" t="str">
        <f>HYPERLINK("https://otsuka-europe-crm.veevavault.com/ui/#object/sent_email__v/VBLZ025E82GMYAP", "SE-000268071")</f>
        <v>SE-000268071</v>
      </c>
      <c r="D1003" s="1" t="s">
        <v>0</v>
      </c>
      <c r="E1003" s="2">
        <v>0</v>
      </c>
      <c r="F1003" s="2">
        <v>0</v>
      </c>
      <c r="G1003" s="2">
        <v>0</v>
      </c>
      <c r="H1003" s="1" t="s">
        <v>0</v>
      </c>
      <c r="I1003" s="2">
        <v>0</v>
      </c>
      <c r="J1003" s="1">
        <v>45915.377974537034</v>
      </c>
    </row>
    <row r="1004" spans="1:10" x14ac:dyDescent="0.2">
      <c r="A1004" s="4" t="s">
        <v>1</v>
      </c>
      <c r="B1004" s="3" t="str">
        <f>HYPERLINK("https://otsuka-europe-crm.veevavault.com/ui/#object/approved_document__v/V5OZ025E82TFUPI", "Spain - HCP Survey Email - June 2025")</f>
        <v>Spain - HCP Survey Email - June 2025</v>
      </c>
      <c r="C1004" s="3" t="str">
        <f>HYPERLINK("https://otsuka-europe-crm.veevavault.com/ui/#object/sent_email__v/VBLZ025E82GMYAQ", "SE-000268072")</f>
        <v>SE-000268072</v>
      </c>
      <c r="D1004" s="1" t="s">
        <v>0</v>
      </c>
      <c r="E1004" s="2">
        <v>0</v>
      </c>
      <c r="F1004" s="2">
        <v>0</v>
      </c>
      <c r="G1004" s="2">
        <v>0</v>
      </c>
      <c r="H1004" s="1" t="s">
        <v>0</v>
      </c>
      <c r="I1004" s="2">
        <v>0</v>
      </c>
      <c r="J1004" s="1">
        <v>45915.378321759257</v>
      </c>
    </row>
    <row r="1005" spans="1:10" x14ac:dyDescent="0.2">
      <c r="A1005" s="4" t="s">
        <v>1</v>
      </c>
      <c r="B1005" s="3" t="str">
        <f>HYPERLINK("https://otsuka-europe-crm.veevavault.com/ui/#object/approved_document__v/V5OZ025E82TFUPI", "Spain - HCP Survey Email - June 2025")</f>
        <v>Spain - HCP Survey Email - June 2025</v>
      </c>
      <c r="C1005" s="3" t="str">
        <f>HYPERLINK("https://otsuka-europe-crm.veevavault.com/ui/#object/sent_email__v/VBLZ025E82GMYAR", "SE-000268073")</f>
        <v>SE-000268073</v>
      </c>
      <c r="D1005" s="1">
        <v>45981.877442129633</v>
      </c>
      <c r="E1005" s="2">
        <v>1</v>
      </c>
      <c r="F1005" s="2">
        <v>3</v>
      </c>
      <c r="G1005" s="2">
        <v>1</v>
      </c>
      <c r="H1005" s="1">
        <v>45916.639236111114</v>
      </c>
      <c r="I1005" s="2">
        <v>1</v>
      </c>
      <c r="J1005" s="1">
        <v>45915.377905092595</v>
      </c>
    </row>
    <row r="1006" spans="1:10" x14ac:dyDescent="0.2">
      <c r="A1006" s="4" t="s">
        <v>1</v>
      </c>
      <c r="B1006" s="3" t="str">
        <f>HYPERLINK("https://otsuka-europe-crm.veevavault.com/ui/#object/approved_document__v/V5OZ025E82TFUPI", "Spain - HCP Survey Email - June 2025")</f>
        <v>Spain - HCP Survey Email - June 2025</v>
      </c>
      <c r="C1006" s="3" t="str">
        <f>HYPERLINK("https://otsuka-europe-crm.veevavault.com/ui/#object/sent_email__v/VBLZ025E82GMYAS", "SE-000268074")</f>
        <v>SE-000268074</v>
      </c>
      <c r="D1006" s="1" t="s">
        <v>0</v>
      </c>
      <c r="E1006" s="2">
        <v>0</v>
      </c>
      <c r="F1006" s="2">
        <v>0</v>
      </c>
      <c r="G1006" s="2">
        <v>0</v>
      </c>
      <c r="H1006" s="1" t="s">
        <v>0</v>
      </c>
      <c r="I1006" s="2">
        <v>0</v>
      </c>
      <c r="J1006" s="1">
        <v>45915.379016203704</v>
      </c>
    </row>
    <row r="1007" spans="1:10" x14ac:dyDescent="0.2">
      <c r="A1007" s="4" t="s">
        <v>1</v>
      </c>
      <c r="B1007" s="3" t="str">
        <f>HYPERLINK("https://otsuka-europe-crm.veevavault.com/ui/#object/approved_document__v/V5OZ025E82TFUPI", "Spain - HCP Survey Email - June 2025")</f>
        <v>Spain - HCP Survey Email - June 2025</v>
      </c>
      <c r="C1007" s="3" t="str">
        <f>HYPERLINK("https://otsuka-europe-crm.veevavault.com/ui/#object/sent_email__v/VBLZ025E82GMYAT", "SE-000268075")</f>
        <v>SE-000268075</v>
      </c>
      <c r="D1007" s="1">
        <v>45915.714363425926</v>
      </c>
      <c r="E1007" s="2">
        <v>1</v>
      </c>
      <c r="F1007" s="2">
        <v>1</v>
      </c>
      <c r="G1007" s="2">
        <v>0</v>
      </c>
      <c r="H1007" s="1" t="s">
        <v>0</v>
      </c>
      <c r="I1007" s="2">
        <v>0</v>
      </c>
      <c r="J1007" s="1">
        <v>45915.379583333335</v>
      </c>
    </row>
    <row r="1008" spans="1:10" x14ac:dyDescent="0.2">
      <c r="A1008" s="4" t="s">
        <v>1</v>
      </c>
      <c r="B1008" s="3" t="str">
        <f>HYPERLINK("https://otsuka-europe-crm.veevavault.com/ui/#object/approved_document__v/V5OZ025E82TFUPI", "Spain - HCP Survey Email - June 2025")</f>
        <v>Spain - HCP Survey Email - June 2025</v>
      </c>
      <c r="C1008" s="3" t="str">
        <f>HYPERLINK("https://otsuka-europe-crm.veevavault.com/ui/#object/sent_email__v/VBLZ025E82GMYAU", "SE-000268076")</f>
        <v>SE-000268076</v>
      </c>
      <c r="D1008" s="1">
        <v>45915.563310185185</v>
      </c>
      <c r="E1008" s="2">
        <v>1</v>
      </c>
      <c r="F1008" s="2">
        <v>1</v>
      </c>
      <c r="G1008" s="2">
        <v>0</v>
      </c>
      <c r="H1008" s="1" t="s">
        <v>0</v>
      </c>
      <c r="I1008" s="2">
        <v>0</v>
      </c>
      <c r="J1008" s="1">
        <v>45915.37945601852</v>
      </c>
    </row>
    <row r="1009" spans="1:10" x14ac:dyDescent="0.2">
      <c r="A1009" s="4" t="s">
        <v>1</v>
      </c>
      <c r="B1009" s="3" t="str">
        <f>HYPERLINK("https://otsuka-europe-crm.veevavault.com/ui/#object/approved_document__v/V5OZ025E82TFUPI", "Spain - HCP Survey Email - June 2025")</f>
        <v>Spain - HCP Survey Email - June 2025</v>
      </c>
      <c r="C1009" s="3" t="str">
        <f>HYPERLINK("https://otsuka-europe-crm.veevavault.com/ui/#object/sent_email__v/VBLZ025E82GMYAV", "SE-000268077")</f>
        <v>SE-000268077</v>
      </c>
      <c r="D1009" s="1">
        <v>45916.689421296294</v>
      </c>
      <c r="E1009" s="2">
        <v>1</v>
      </c>
      <c r="F1009" s="2">
        <v>2</v>
      </c>
      <c r="G1009" s="2">
        <v>0</v>
      </c>
      <c r="H1009" s="1" t="s">
        <v>0</v>
      </c>
      <c r="I1009" s="2">
        <v>0</v>
      </c>
      <c r="J1009" s="1">
        <v>45915.377442129633</v>
      </c>
    </row>
    <row r="1010" spans="1:10" x14ac:dyDescent="0.2">
      <c r="A1010" s="4" t="s">
        <v>1</v>
      </c>
      <c r="B1010" s="3" t="str">
        <f>HYPERLINK("https://otsuka-europe-crm.veevavault.com/ui/#object/approved_document__v/V5OZ025E82TFUPI", "Spain - HCP Survey Email - June 2025")</f>
        <v>Spain - HCP Survey Email - June 2025</v>
      </c>
      <c r="C1010" s="3" t="str">
        <f>HYPERLINK("https://otsuka-europe-crm.veevavault.com/ui/#object/sent_email__v/VBLZ025E82GMYAW", "SE-000268078")</f>
        <v>SE-000268078</v>
      </c>
      <c r="D1010" s="1">
        <v>45915.385752314818</v>
      </c>
      <c r="E1010" s="2">
        <v>1</v>
      </c>
      <c r="F1010" s="2">
        <v>1</v>
      </c>
      <c r="G1010" s="2">
        <v>1</v>
      </c>
      <c r="H1010" s="1">
        <v>45915.385949074072</v>
      </c>
      <c r="I1010" s="2">
        <v>1</v>
      </c>
      <c r="J1010" s="1">
        <v>45915.378460648149</v>
      </c>
    </row>
    <row r="1011" spans="1:10" x14ac:dyDescent="0.2">
      <c r="A1011" s="4" t="s">
        <v>1</v>
      </c>
      <c r="B1011" s="3" t="str">
        <f>HYPERLINK("https://otsuka-europe-crm.veevavault.com/ui/#object/approved_document__v/V5OZ025E82TFUPI", "Spain - HCP Survey Email - June 2025")</f>
        <v>Spain - HCP Survey Email - June 2025</v>
      </c>
      <c r="C1011" s="3" t="str">
        <f>HYPERLINK("https://otsuka-europe-crm.veevavault.com/ui/#object/sent_email__v/VBLZ025E82GMYAX", "SE-000268079")</f>
        <v>SE-000268079</v>
      </c>
      <c r="D1011" s="1" t="s">
        <v>0</v>
      </c>
      <c r="E1011" s="2">
        <v>0</v>
      </c>
      <c r="F1011" s="2">
        <v>0</v>
      </c>
      <c r="G1011" s="2">
        <v>0</v>
      </c>
      <c r="H1011" s="1" t="s">
        <v>0</v>
      </c>
      <c r="I1011" s="2">
        <v>0</v>
      </c>
      <c r="J1011" s="1">
        <v>45915.378888888888</v>
      </c>
    </row>
    <row r="1012" spans="1:10" x14ac:dyDescent="0.2">
      <c r="A1012" s="4" t="s">
        <v>1</v>
      </c>
      <c r="B1012" s="3" t="str">
        <f>HYPERLINK("https://otsuka-europe-crm.veevavault.com/ui/#object/approved_document__v/V5OZ025E82TFUPI", "Spain - HCP Survey Email - June 2025")</f>
        <v>Spain - HCP Survey Email - June 2025</v>
      </c>
      <c r="C1012" s="3" t="str">
        <f>HYPERLINK("https://otsuka-europe-crm.veevavault.com/ui/#object/sent_email__v/VBLZ025E82GMYAY", "SE-000268080")</f>
        <v>SE-000268080</v>
      </c>
      <c r="D1012" s="1">
        <v>45915.518437500003</v>
      </c>
      <c r="E1012" s="2">
        <v>1</v>
      </c>
      <c r="F1012" s="2">
        <v>1</v>
      </c>
      <c r="G1012" s="2">
        <v>1</v>
      </c>
      <c r="H1012" s="1">
        <v>45915.518611111111</v>
      </c>
      <c r="I1012" s="2">
        <v>1</v>
      </c>
      <c r="J1012" s="1">
        <v>45915.378819444442</v>
      </c>
    </row>
    <row r="1013" spans="1:10" x14ac:dyDescent="0.2">
      <c r="A1013" s="4" t="s">
        <v>1</v>
      </c>
      <c r="B1013" s="3" t="str">
        <f>HYPERLINK("https://otsuka-europe-crm.veevavault.com/ui/#object/approved_document__v/V5OZ025E82TFUPI", "Spain - HCP Survey Email - June 2025")</f>
        <v>Spain - HCP Survey Email - June 2025</v>
      </c>
      <c r="C1013" s="3" t="str">
        <f>HYPERLINK("https://otsuka-europe-crm.veevavault.com/ui/#object/sent_email__v/VBLZ025E82GMYAZ", "SE-000268081")</f>
        <v>SE-000268081</v>
      </c>
      <c r="D1013" s="1" t="s">
        <v>0</v>
      </c>
      <c r="E1013" s="2">
        <v>0</v>
      </c>
      <c r="F1013" s="2">
        <v>0</v>
      </c>
      <c r="G1013" s="2">
        <v>0</v>
      </c>
      <c r="H1013" s="1" t="s">
        <v>0</v>
      </c>
      <c r="I1013" s="2">
        <v>0</v>
      </c>
      <c r="J1013" s="1">
        <v>45915.379270833335</v>
      </c>
    </row>
    <row r="1014" spans="1:10" x14ac:dyDescent="0.2">
      <c r="A1014" s="4" t="s">
        <v>1</v>
      </c>
      <c r="B1014" s="3" t="str">
        <f>HYPERLINK("https://otsuka-europe-crm.veevavault.com/ui/#object/approved_document__v/V5OZ025E82TFUPI", "Spain - HCP Survey Email - June 2025")</f>
        <v>Spain - HCP Survey Email - June 2025</v>
      </c>
      <c r="C1014" s="3" t="str">
        <f>HYPERLINK("https://otsuka-europe-crm.veevavault.com/ui/#object/sent_email__v/VBLZ025E82GMYB0", "SE-000268082")</f>
        <v>SE-000268082</v>
      </c>
      <c r="D1014" s="1" t="s">
        <v>0</v>
      </c>
      <c r="E1014" s="2">
        <v>0</v>
      </c>
      <c r="F1014" s="2">
        <v>0</v>
      </c>
      <c r="G1014" s="2">
        <v>0</v>
      </c>
      <c r="H1014" s="1" t="s">
        <v>0</v>
      </c>
      <c r="I1014" s="2">
        <v>0</v>
      </c>
      <c r="J1014" s="1">
        <v>45915.378067129626</v>
      </c>
    </row>
    <row r="1015" spans="1:10" x14ac:dyDescent="0.2">
      <c r="A1015" s="4" t="s">
        <v>1</v>
      </c>
      <c r="B1015" s="3" t="str">
        <f>HYPERLINK("https://otsuka-europe-crm.veevavault.com/ui/#object/approved_document__v/V5OZ025E82TFUPI", "Spain - HCP Survey Email - June 2025")</f>
        <v>Spain - HCP Survey Email - June 2025</v>
      </c>
      <c r="C1015" s="3" t="str">
        <f>HYPERLINK("https://otsuka-europe-crm.veevavault.com/ui/#object/sent_email__v/VBLZ025E82GMYB1", "SE-000268083")</f>
        <v>SE-000268083</v>
      </c>
      <c r="D1015" s="1">
        <v>45915.413738425923</v>
      </c>
      <c r="E1015" s="2">
        <v>1</v>
      </c>
      <c r="F1015" s="2">
        <v>1</v>
      </c>
      <c r="G1015" s="2">
        <v>0</v>
      </c>
      <c r="H1015" s="1" t="s">
        <v>0</v>
      </c>
      <c r="I1015" s="2">
        <v>0</v>
      </c>
      <c r="J1015" s="1">
        <v>45915.378263888888</v>
      </c>
    </row>
    <row r="1016" spans="1:10" x14ac:dyDescent="0.2">
      <c r="A1016" s="4" t="s">
        <v>1</v>
      </c>
      <c r="B1016" s="3" t="str">
        <f>HYPERLINK("https://otsuka-europe-crm.veevavault.com/ui/#object/approved_document__v/V5OZ025E82TFUPI", "Spain - HCP Survey Email - June 2025")</f>
        <v>Spain - HCP Survey Email - June 2025</v>
      </c>
      <c r="C1016" s="3" t="str">
        <f>HYPERLINK("https://otsuka-europe-crm.veevavault.com/ui/#object/sent_email__v/VBLZ025E82GMYB2", "SE-000268084")</f>
        <v>SE-000268084</v>
      </c>
      <c r="D1016" s="1">
        <v>45915.449282407404</v>
      </c>
      <c r="E1016" s="2">
        <v>1</v>
      </c>
      <c r="F1016" s="2">
        <v>1</v>
      </c>
      <c r="G1016" s="2">
        <v>1</v>
      </c>
      <c r="H1016" s="1">
        <v>45915.449282407404</v>
      </c>
      <c r="I1016" s="2">
        <v>1</v>
      </c>
      <c r="J1016" s="1">
        <v>45915.377951388888</v>
      </c>
    </row>
    <row r="1017" spans="1:10" x14ac:dyDescent="0.2">
      <c r="A1017" s="4" t="s">
        <v>1</v>
      </c>
      <c r="B1017" s="3" t="str">
        <f>HYPERLINK("https://otsuka-europe-crm.veevavault.com/ui/#object/approved_document__v/V5OZ025E82TFUPI", "Spain - HCP Survey Email - June 2025")</f>
        <v>Spain - HCP Survey Email - June 2025</v>
      </c>
      <c r="C1017" s="3" t="str">
        <f>HYPERLINK("https://otsuka-europe-crm.veevavault.com/ui/#object/sent_email__v/VBLZ025E82GMYB3", "SE-000268085")</f>
        <v>SE-000268085</v>
      </c>
      <c r="D1017" s="1" t="s">
        <v>0</v>
      </c>
      <c r="E1017" s="2">
        <v>0</v>
      </c>
      <c r="F1017" s="2">
        <v>0</v>
      </c>
      <c r="G1017" s="2">
        <v>0</v>
      </c>
      <c r="H1017" s="1" t="s">
        <v>0</v>
      </c>
      <c r="I1017" s="2">
        <v>0</v>
      </c>
      <c r="J1017" s="1">
        <v>45915.378912037035</v>
      </c>
    </row>
    <row r="1018" spans="1:10" x14ac:dyDescent="0.2">
      <c r="A1018" s="4" t="s">
        <v>1</v>
      </c>
      <c r="B1018" s="3" t="str">
        <f>HYPERLINK("https://otsuka-europe-crm.veevavault.com/ui/#object/approved_document__v/V5OZ025E82TFUPI", "Spain - HCP Survey Email - June 2025")</f>
        <v>Spain - HCP Survey Email - June 2025</v>
      </c>
      <c r="C1018" s="3" t="str">
        <f>HYPERLINK("https://otsuka-europe-crm.veevavault.com/ui/#object/sent_email__v/VBLZ025E82GMYB4", "SE-000268086")</f>
        <v>SE-000268086</v>
      </c>
      <c r="D1018" s="1" t="s">
        <v>0</v>
      </c>
      <c r="E1018" s="2">
        <v>0</v>
      </c>
      <c r="F1018" s="2">
        <v>0</v>
      </c>
      <c r="G1018" s="2">
        <v>0</v>
      </c>
      <c r="H1018" s="1" t="s">
        <v>0</v>
      </c>
      <c r="I1018" s="2">
        <v>0</v>
      </c>
      <c r="J1018" s="1">
        <v>45915.379537037035</v>
      </c>
    </row>
    <row r="1019" spans="1:10" x14ac:dyDescent="0.2">
      <c r="A1019" s="4" t="s">
        <v>1</v>
      </c>
      <c r="B1019" s="3" t="str">
        <f>HYPERLINK("https://otsuka-europe-crm.veevavault.com/ui/#object/approved_document__v/V5OZ025E82TFUPI", "Spain - HCP Survey Email - June 2025")</f>
        <v>Spain - HCP Survey Email - June 2025</v>
      </c>
      <c r="C1019" s="3" t="str">
        <f>HYPERLINK("https://otsuka-europe-crm.veevavault.com/ui/#object/sent_email__v/VBLZ025E82GMYB5", "SE-000268087")</f>
        <v>SE-000268087</v>
      </c>
      <c r="D1019" s="1" t="s">
        <v>0</v>
      </c>
      <c r="E1019" s="2">
        <v>0</v>
      </c>
      <c r="F1019" s="2">
        <v>0</v>
      </c>
      <c r="G1019" s="2">
        <v>0</v>
      </c>
      <c r="H1019" s="1" t="s">
        <v>0</v>
      </c>
      <c r="I1019" s="2">
        <v>0</v>
      </c>
      <c r="J1019" s="1">
        <v>45915.379513888889</v>
      </c>
    </row>
    <row r="1020" spans="1:10" x14ac:dyDescent="0.2">
      <c r="A1020" s="4" t="s">
        <v>1</v>
      </c>
      <c r="B1020" s="3" t="str">
        <f>HYPERLINK("https://otsuka-europe-crm.veevavault.com/ui/#object/approved_document__v/V5OZ025E82TFUPI", "Spain - HCP Survey Email - June 2025")</f>
        <v>Spain - HCP Survey Email - June 2025</v>
      </c>
      <c r="C1020" s="3" t="str">
        <f>HYPERLINK("https://otsuka-europe-crm.veevavault.com/ui/#object/sent_email__v/VBLZ025E82GMYB6", "SE-000268088")</f>
        <v>SE-000268088</v>
      </c>
      <c r="D1020" s="1">
        <v>45915.511412037034</v>
      </c>
      <c r="E1020" s="2">
        <v>1</v>
      </c>
      <c r="F1020" s="2">
        <v>1</v>
      </c>
      <c r="G1020" s="2">
        <v>0</v>
      </c>
      <c r="H1020" s="1" t="s">
        <v>0</v>
      </c>
      <c r="I1020" s="2">
        <v>0</v>
      </c>
      <c r="J1020" s="1">
        <v>45915.377442129633</v>
      </c>
    </row>
    <row r="1021" spans="1:10" x14ac:dyDescent="0.2">
      <c r="A1021" s="4" t="s">
        <v>1</v>
      </c>
      <c r="B1021" s="3" t="str">
        <f>HYPERLINK("https://otsuka-europe-crm.veevavault.com/ui/#object/approved_document__v/V5OZ025E82TFUPI", "Spain - HCP Survey Email - June 2025")</f>
        <v>Spain - HCP Survey Email - June 2025</v>
      </c>
      <c r="C1021" s="3" t="str">
        <f>HYPERLINK("https://otsuka-europe-crm.veevavault.com/ui/#object/sent_email__v/VBLZ025E82GMYB7", "SE-000268089")</f>
        <v>SE-000268089</v>
      </c>
      <c r="D1021" s="1" t="s">
        <v>0</v>
      </c>
      <c r="E1021" s="2">
        <v>0</v>
      </c>
      <c r="F1021" s="2">
        <v>0</v>
      </c>
      <c r="G1021" s="2">
        <v>0</v>
      </c>
      <c r="H1021" s="1" t="s">
        <v>0</v>
      </c>
      <c r="I1021" s="2">
        <v>0</v>
      </c>
      <c r="J1021" s="1">
        <v>45915.378495370373</v>
      </c>
    </row>
    <row r="1022" spans="1:10" x14ac:dyDescent="0.2">
      <c r="A1022" s="4" t="s">
        <v>1</v>
      </c>
      <c r="B1022" s="3" t="str">
        <f>HYPERLINK("https://otsuka-europe-crm.veevavault.com/ui/#object/approved_document__v/V5OZ025E82TFUPI", "Spain - HCP Survey Email - June 2025")</f>
        <v>Spain - HCP Survey Email - June 2025</v>
      </c>
      <c r="C1022" s="3" t="str">
        <f>HYPERLINK("https://otsuka-europe-crm.veevavault.com/ui/#object/sent_email__v/VBLZ025E82GMYB8", "SE-000268090")</f>
        <v>SE-000268090</v>
      </c>
      <c r="D1022" s="1">
        <v>45919.808483796296</v>
      </c>
      <c r="E1022" s="2">
        <v>1</v>
      </c>
      <c r="F1022" s="2">
        <v>4</v>
      </c>
      <c r="G1022" s="2">
        <v>0</v>
      </c>
      <c r="H1022" s="1" t="s">
        <v>0</v>
      </c>
      <c r="I1022" s="2">
        <v>0</v>
      </c>
      <c r="J1022" s="1">
        <v>45915.378958333335</v>
      </c>
    </row>
    <row r="1023" spans="1:10" x14ac:dyDescent="0.2">
      <c r="A1023" s="4" t="s">
        <v>1</v>
      </c>
      <c r="B1023" s="3" t="str">
        <f>HYPERLINK("https://otsuka-europe-crm.veevavault.com/ui/#object/approved_document__v/V5OZ025E82TFUPI", "Spain - HCP Survey Email - June 2025")</f>
        <v>Spain - HCP Survey Email - June 2025</v>
      </c>
      <c r="C1023" s="3" t="str">
        <f>HYPERLINK("https://otsuka-europe-crm.veevavault.com/ui/#object/sent_email__v/VBLZ025E82GMYB9", "SE-000268091")</f>
        <v>SE-000268091</v>
      </c>
      <c r="D1023" s="1">
        <v>45915.391597222224</v>
      </c>
      <c r="E1023" s="2">
        <v>1</v>
      </c>
      <c r="F1023" s="2">
        <v>1</v>
      </c>
      <c r="G1023" s="2">
        <v>0</v>
      </c>
      <c r="H1023" s="1" t="s">
        <v>0</v>
      </c>
      <c r="I1023" s="2">
        <v>0</v>
      </c>
      <c r="J1023" s="1">
        <v>45915.37872685185</v>
      </c>
    </row>
    <row r="1024" spans="1:10" x14ac:dyDescent="0.2">
      <c r="A1024" s="4" t="s">
        <v>1</v>
      </c>
      <c r="B1024" s="3" t="str">
        <f>HYPERLINK("https://otsuka-europe-crm.veevavault.com/ui/#object/approved_document__v/V5OZ025E82TFUPI", "Spain - HCP Survey Email - June 2025")</f>
        <v>Spain - HCP Survey Email - June 2025</v>
      </c>
      <c r="C1024" s="3" t="str">
        <f>HYPERLINK("https://otsuka-europe-crm.veevavault.com/ui/#object/sent_email__v/VBLZ025E82GMYBA", "SE-000268092")</f>
        <v>SE-000268092</v>
      </c>
      <c r="D1024" s="1">
        <v>45916.800543981481</v>
      </c>
      <c r="E1024" s="2">
        <v>1</v>
      </c>
      <c r="F1024" s="2">
        <v>2</v>
      </c>
      <c r="G1024" s="2">
        <v>0</v>
      </c>
      <c r="H1024" s="1" t="s">
        <v>0</v>
      </c>
      <c r="I1024" s="2">
        <v>0</v>
      </c>
      <c r="J1024" s="1">
        <v>45915.379201388889</v>
      </c>
    </row>
    <row r="1025" spans="1:10" x14ac:dyDescent="0.2">
      <c r="A1025" s="4" t="s">
        <v>1</v>
      </c>
      <c r="B1025" s="3" t="str">
        <f>HYPERLINK("https://otsuka-europe-crm.veevavault.com/ui/#object/approved_document__v/V5OZ025E82TFUPI", "Spain - HCP Survey Email - June 2025")</f>
        <v>Spain - HCP Survey Email - June 2025</v>
      </c>
      <c r="C1025" s="3" t="str">
        <f>HYPERLINK("https://otsuka-europe-crm.veevavault.com/ui/#object/sent_email__v/VBLZ025E82GMYBB", "SE-000268093")</f>
        <v>SE-000268093</v>
      </c>
      <c r="D1025" s="1">
        <v>45915.847407407404</v>
      </c>
      <c r="E1025" s="2">
        <v>1</v>
      </c>
      <c r="F1025" s="2">
        <v>1</v>
      </c>
      <c r="G1025" s="2">
        <v>0</v>
      </c>
      <c r="H1025" s="1" t="s">
        <v>0</v>
      </c>
      <c r="I1025" s="2">
        <v>0</v>
      </c>
      <c r="J1025" s="1">
        <v>45915.377870370372</v>
      </c>
    </row>
    <row r="1026" spans="1:10" x14ac:dyDescent="0.2">
      <c r="A1026" s="4" t="s">
        <v>1</v>
      </c>
      <c r="B1026" s="3" t="str">
        <f>HYPERLINK("https://otsuka-europe-crm.veevavault.com/ui/#object/approved_document__v/V5OZ025E82TFUPI", "Spain - HCP Survey Email - June 2025")</f>
        <v>Spain - HCP Survey Email - June 2025</v>
      </c>
      <c r="C1026" s="3" t="str">
        <f>HYPERLINK("https://otsuka-europe-crm.veevavault.com/ui/#object/sent_email__v/VBLZ025E82GMYBC", "SE-000268094")</f>
        <v>SE-000268094</v>
      </c>
      <c r="D1026" s="1" t="s">
        <v>0</v>
      </c>
      <c r="E1026" s="2">
        <v>0</v>
      </c>
      <c r="F1026" s="2">
        <v>0</v>
      </c>
      <c r="G1026" s="2">
        <v>0</v>
      </c>
      <c r="H1026" s="1" t="s">
        <v>0</v>
      </c>
      <c r="I1026" s="2">
        <v>0</v>
      </c>
      <c r="J1026" s="1">
        <v>45915.378344907411</v>
      </c>
    </row>
    <row r="1027" spans="1:10" x14ac:dyDescent="0.2">
      <c r="A1027" s="4" t="s">
        <v>1</v>
      </c>
      <c r="B1027" s="3" t="str">
        <f>HYPERLINK("https://otsuka-europe-crm.veevavault.com/ui/#object/approved_document__v/V5OZ025E82TFUPI", "Spain - HCP Survey Email - June 2025")</f>
        <v>Spain - HCP Survey Email - June 2025</v>
      </c>
      <c r="C1027" s="3" t="str">
        <f>HYPERLINK("https://otsuka-europe-crm.veevavault.com/ui/#object/sent_email__v/VBLZ025E82GMYBD", "SE-000268095")</f>
        <v>SE-000268095</v>
      </c>
      <c r="D1027" s="1">
        <v>45915.405891203707</v>
      </c>
      <c r="E1027" s="2">
        <v>1</v>
      </c>
      <c r="F1027" s="2">
        <v>2</v>
      </c>
      <c r="G1027" s="2">
        <v>0</v>
      </c>
      <c r="H1027" s="1" t="s">
        <v>0</v>
      </c>
      <c r="I1027" s="2">
        <v>0</v>
      </c>
      <c r="J1027" s="1">
        <v>45915.377974537034</v>
      </c>
    </row>
    <row r="1028" spans="1:10" x14ac:dyDescent="0.2">
      <c r="A1028" s="4" t="s">
        <v>1</v>
      </c>
      <c r="B1028" s="3" t="str">
        <f>HYPERLINK("https://otsuka-europe-crm.veevavault.com/ui/#object/approved_document__v/V5OZ025E82TFUPI", "Spain - HCP Survey Email - June 2025")</f>
        <v>Spain - HCP Survey Email - June 2025</v>
      </c>
      <c r="C1028" s="3" t="str">
        <f>HYPERLINK("https://otsuka-europe-crm.veevavault.com/ui/#object/sent_email__v/VBLZ025E82GMYBE", "SE-000268096")</f>
        <v>SE-000268096</v>
      </c>
      <c r="D1028" s="1">
        <v>45915.486076388886</v>
      </c>
      <c r="E1028" s="2">
        <v>1</v>
      </c>
      <c r="F1028" s="2">
        <v>1</v>
      </c>
      <c r="G1028" s="2">
        <v>1</v>
      </c>
      <c r="H1028" s="1">
        <v>45915.852870370371</v>
      </c>
      <c r="I1028" s="2">
        <v>2</v>
      </c>
      <c r="J1028" s="1">
        <v>45915.378831018519</v>
      </c>
    </row>
    <row r="1029" spans="1:10" x14ac:dyDescent="0.2">
      <c r="A1029" s="4" t="s">
        <v>1</v>
      </c>
      <c r="B1029" s="3" t="str">
        <f>HYPERLINK("https://otsuka-europe-crm.veevavault.com/ui/#object/approved_document__v/V5OZ025E82TFUPI", "Spain - HCP Survey Email - June 2025")</f>
        <v>Spain - HCP Survey Email - June 2025</v>
      </c>
      <c r="C1029" s="3" t="str">
        <f>HYPERLINK("https://otsuka-europe-crm.veevavault.com/ui/#object/sent_email__v/VBLZ025E82GMYBF", "SE-000268097")</f>
        <v>SE-000268097</v>
      </c>
      <c r="D1029" s="1" t="s">
        <v>0</v>
      </c>
      <c r="E1029" s="2">
        <v>0</v>
      </c>
      <c r="F1029" s="2">
        <v>0</v>
      </c>
      <c r="G1029" s="2">
        <v>0</v>
      </c>
      <c r="H1029" s="1" t="s">
        <v>0</v>
      </c>
      <c r="I1029" s="2">
        <v>0</v>
      </c>
      <c r="J1029" s="1">
        <v>45915.379259259258</v>
      </c>
    </row>
    <row r="1030" spans="1:10" x14ac:dyDescent="0.2">
      <c r="A1030" s="4" t="s">
        <v>1</v>
      </c>
      <c r="B1030" s="3" t="str">
        <f>HYPERLINK("https://otsuka-europe-crm.veevavault.com/ui/#object/approved_document__v/V5OZ025E82TFUPI", "Spain - HCP Survey Email - June 2025")</f>
        <v>Spain - HCP Survey Email - June 2025</v>
      </c>
      <c r="C1030" s="3" t="str">
        <f>HYPERLINK("https://otsuka-europe-crm.veevavault.com/ui/#object/sent_email__v/VBLZ025E82GMYBG", "SE-000268098")</f>
        <v>SE-000268098</v>
      </c>
      <c r="D1030" s="1">
        <v>45915.695439814815</v>
      </c>
      <c r="E1030" s="2">
        <v>1</v>
      </c>
      <c r="F1030" s="2">
        <v>1</v>
      </c>
      <c r="G1030" s="2">
        <v>0</v>
      </c>
      <c r="H1030" s="1" t="s">
        <v>0</v>
      </c>
      <c r="I1030" s="2">
        <v>0</v>
      </c>
      <c r="J1030" s="1">
        <v>45915.377939814818</v>
      </c>
    </row>
    <row r="1031" spans="1:10" x14ac:dyDescent="0.2">
      <c r="A1031" s="4" t="s">
        <v>1</v>
      </c>
      <c r="B1031" s="3" t="str">
        <f>HYPERLINK("https://otsuka-europe-crm.veevavault.com/ui/#object/approved_document__v/V5OZ025E82TFUPI", "Spain - HCP Survey Email - June 2025")</f>
        <v>Spain - HCP Survey Email - June 2025</v>
      </c>
      <c r="C1031" s="3" t="str">
        <f>HYPERLINK("https://otsuka-europe-crm.veevavault.com/ui/#object/sent_email__v/VBLZ025E82GMYBI", "SE-000268100")</f>
        <v>SE-000268100</v>
      </c>
      <c r="D1031" s="1">
        <v>45916.517870370371</v>
      </c>
      <c r="E1031" s="2">
        <v>1</v>
      </c>
      <c r="F1031" s="2">
        <v>1</v>
      </c>
      <c r="G1031" s="2">
        <v>0</v>
      </c>
      <c r="H1031" s="1" t="s">
        <v>0</v>
      </c>
      <c r="I1031" s="2">
        <v>0</v>
      </c>
      <c r="J1031" s="1">
        <v>45915.377939814818</v>
      </c>
    </row>
    <row r="1032" spans="1:10" x14ac:dyDescent="0.2">
      <c r="A1032" s="4" t="s">
        <v>1</v>
      </c>
      <c r="B1032" s="3" t="str">
        <f>HYPERLINK("https://otsuka-europe-crm.veevavault.com/ui/#object/approved_document__v/V5OZ025E82TFUPI", "Spain - HCP Survey Email - June 2025")</f>
        <v>Spain - HCP Survey Email - June 2025</v>
      </c>
      <c r="C1032" s="3" t="str">
        <f>HYPERLINK("https://otsuka-europe-crm.veevavault.com/ui/#object/sent_email__v/VBLZ025E82GMYBJ", "SE-000268101")</f>
        <v>SE-000268101</v>
      </c>
      <c r="D1032" s="1">
        <v>45916.782870370371</v>
      </c>
      <c r="E1032" s="2">
        <v>1</v>
      </c>
      <c r="F1032" s="2">
        <v>1</v>
      </c>
      <c r="G1032" s="2">
        <v>0</v>
      </c>
      <c r="H1032" s="1" t="s">
        <v>0</v>
      </c>
      <c r="I1032" s="2">
        <v>0</v>
      </c>
      <c r="J1032" s="1">
        <v>45915.379004629627</v>
      </c>
    </row>
    <row r="1033" spans="1:10" x14ac:dyDescent="0.2">
      <c r="A1033" s="4" t="s">
        <v>1</v>
      </c>
      <c r="B1033" s="3" t="str">
        <f>HYPERLINK("https://otsuka-europe-crm.veevavault.com/ui/#object/approved_document__v/V5OZ025E82TFUPI", "Spain - HCP Survey Email - June 2025")</f>
        <v>Spain - HCP Survey Email - June 2025</v>
      </c>
      <c r="C1033" s="3" t="str">
        <f>HYPERLINK("https://otsuka-europe-crm.veevavault.com/ui/#object/sent_email__v/VBLZ025E82GMYBK", "SE-000268102")</f>
        <v>SE-000268102</v>
      </c>
      <c r="D1033" s="1">
        <v>45918.774560185186</v>
      </c>
      <c r="E1033" s="2">
        <v>1</v>
      </c>
      <c r="F1033" s="2">
        <v>3</v>
      </c>
      <c r="G1033" s="2">
        <v>0</v>
      </c>
      <c r="H1033" s="1" t="s">
        <v>0</v>
      </c>
      <c r="I1033" s="2">
        <v>0</v>
      </c>
      <c r="J1033" s="1">
        <v>45915.379664351851</v>
      </c>
    </row>
    <row r="1034" spans="1:10" x14ac:dyDescent="0.2">
      <c r="A1034" s="4" t="s">
        <v>1</v>
      </c>
      <c r="B1034" s="3" t="str">
        <f>HYPERLINK("https://otsuka-europe-crm.veevavault.com/ui/#object/approved_document__v/V5OZ025E82TFUPI", "Spain - HCP Survey Email - June 2025")</f>
        <v>Spain - HCP Survey Email - June 2025</v>
      </c>
      <c r="C1034" s="3" t="str">
        <f>HYPERLINK("https://otsuka-europe-crm.veevavault.com/ui/#object/sent_email__v/VBLZ025E82GMYBL", "SE-000268103")</f>
        <v>SE-000268103</v>
      </c>
      <c r="D1034" s="1" t="s">
        <v>0</v>
      </c>
      <c r="E1034" s="2">
        <v>0</v>
      </c>
      <c r="F1034" s="2">
        <v>0</v>
      </c>
      <c r="G1034" s="2">
        <v>0</v>
      </c>
      <c r="H1034" s="1" t="s">
        <v>0</v>
      </c>
      <c r="I1034" s="2">
        <v>0</v>
      </c>
      <c r="J1034" s="1">
        <v>45915.379374999997</v>
      </c>
    </row>
    <row r="1035" spans="1:10" x14ac:dyDescent="0.2">
      <c r="A1035" s="4" t="s">
        <v>1</v>
      </c>
      <c r="B1035" s="3" t="str">
        <f>HYPERLINK("https://otsuka-europe-crm.veevavault.com/ui/#object/approved_document__v/V5OZ025E82TFUPI", "Spain - HCP Survey Email - June 2025")</f>
        <v>Spain - HCP Survey Email - June 2025</v>
      </c>
      <c r="C1035" s="3" t="str">
        <f>HYPERLINK("https://otsuka-europe-crm.veevavault.com/ui/#object/sent_email__v/VBLZ025E82GMYBM", "SE-000268104")</f>
        <v>SE-000268104</v>
      </c>
      <c r="D1035" s="1">
        <v>45917.615451388891</v>
      </c>
      <c r="E1035" s="2">
        <v>1</v>
      </c>
      <c r="F1035" s="2">
        <v>1</v>
      </c>
      <c r="G1035" s="2">
        <v>0</v>
      </c>
      <c r="H1035" s="1" t="s">
        <v>0</v>
      </c>
      <c r="I1035" s="2">
        <v>0</v>
      </c>
      <c r="J1035" s="1">
        <v>45915.377430555556</v>
      </c>
    </row>
    <row r="1036" spans="1:10" x14ac:dyDescent="0.2">
      <c r="A1036" s="4" t="s">
        <v>1</v>
      </c>
      <c r="B1036" s="3" t="str">
        <f>HYPERLINK("https://otsuka-europe-crm.veevavault.com/ui/#object/approved_document__v/V5OZ025E82TFUPI", "Spain - HCP Survey Email - June 2025")</f>
        <v>Spain - HCP Survey Email - June 2025</v>
      </c>
      <c r="C1036" s="3" t="str">
        <f>HYPERLINK("https://otsuka-europe-crm.veevavault.com/ui/#object/sent_email__v/VBLZ025E82GMYBN", "SE-000268105")</f>
        <v>SE-000268105</v>
      </c>
      <c r="D1036" s="1" t="s">
        <v>0</v>
      </c>
      <c r="E1036" s="2">
        <v>0</v>
      </c>
      <c r="F1036" s="2">
        <v>0</v>
      </c>
      <c r="G1036" s="2">
        <v>0</v>
      </c>
      <c r="H1036" s="1" t="s">
        <v>0</v>
      </c>
      <c r="I1036" s="2">
        <v>0</v>
      </c>
      <c r="J1036" s="1">
        <v>45915.378460648149</v>
      </c>
    </row>
    <row r="1037" spans="1:10" x14ac:dyDescent="0.2">
      <c r="A1037" s="4" t="s">
        <v>1</v>
      </c>
      <c r="B1037" s="3" t="str">
        <f>HYPERLINK("https://otsuka-europe-crm.veevavault.com/ui/#object/approved_document__v/V5OZ025E82TFUPI", "Spain - HCP Survey Email - June 2025")</f>
        <v>Spain - HCP Survey Email - June 2025</v>
      </c>
      <c r="C1037" s="3" t="str">
        <f>HYPERLINK("https://otsuka-europe-crm.veevavault.com/ui/#object/sent_email__v/VBLZ025E82GMYBO", "SE-000268106")</f>
        <v>SE-000268106</v>
      </c>
      <c r="D1037" s="1">
        <v>45919.845023148147</v>
      </c>
      <c r="E1037" s="2">
        <v>1</v>
      </c>
      <c r="F1037" s="2">
        <v>1</v>
      </c>
      <c r="G1037" s="2">
        <v>0</v>
      </c>
      <c r="H1037" s="1" t="s">
        <v>0</v>
      </c>
      <c r="I1037" s="2">
        <v>0</v>
      </c>
      <c r="J1037" s="1">
        <v>45915.379050925927</v>
      </c>
    </row>
    <row r="1038" spans="1:10" x14ac:dyDescent="0.2">
      <c r="A1038" s="4" t="s">
        <v>1</v>
      </c>
      <c r="B1038" s="3" t="str">
        <f>HYPERLINK("https://otsuka-europe-crm.veevavault.com/ui/#object/approved_document__v/V5OZ025E82TFUPI", "Spain - HCP Survey Email - June 2025")</f>
        <v>Spain - HCP Survey Email - June 2025</v>
      </c>
      <c r="C1038" s="3" t="str">
        <f>HYPERLINK("https://otsuka-europe-crm.veevavault.com/ui/#object/sent_email__v/VBLZ025E82GMYBP", "SE-000268107")</f>
        <v>SE-000268107</v>
      </c>
      <c r="D1038" s="1" t="s">
        <v>0</v>
      </c>
      <c r="E1038" s="2">
        <v>0</v>
      </c>
      <c r="F1038" s="2">
        <v>0</v>
      </c>
      <c r="G1038" s="2">
        <v>0</v>
      </c>
      <c r="H1038" s="1" t="s">
        <v>0</v>
      </c>
      <c r="I1038" s="2">
        <v>0</v>
      </c>
      <c r="J1038" s="1">
        <v>45915.378807870373</v>
      </c>
    </row>
    <row r="1039" spans="1:10" x14ac:dyDescent="0.2">
      <c r="A1039" s="4" t="s">
        <v>1</v>
      </c>
      <c r="B1039" s="3" t="str">
        <f>HYPERLINK("https://otsuka-europe-crm.veevavault.com/ui/#object/approved_document__v/V5OZ025E82TFUPI", "Spain - HCP Survey Email - June 2025")</f>
        <v>Spain - HCP Survey Email - June 2025</v>
      </c>
      <c r="C1039" s="3" t="str">
        <f>HYPERLINK("https://otsuka-europe-crm.veevavault.com/ui/#object/sent_email__v/VBLZ025E82GMYBR", "SE-000268109")</f>
        <v>SE-000268109</v>
      </c>
      <c r="D1039" s="1" t="s">
        <v>0</v>
      </c>
      <c r="E1039" s="2">
        <v>0</v>
      </c>
      <c r="F1039" s="2">
        <v>0</v>
      </c>
      <c r="G1039" s="2">
        <v>0</v>
      </c>
      <c r="H1039" s="1" t="s">
        <v>0</v>
      </c>
      <c r="I1039" s="2">
        <v>0</v>
      </c>
      <c r="J1039" s="1">
        <v>45915.377939814818</v>
      </c>
    </row>
    <row r="1040" spans="1:10" x14ac:dyDescent="0.2">
      <c r="A1040" s="4" t="s">
        <v>1</v>
      </c>
      <c r="B1040" s="3" t="str">
        <f>HYPERLINK("https://otsuka-europe-crm.veevavault.com/ui/#object/approved_document__v/V5OZ025E82TFUPI", "Spain - HCP Survey Email - June 2025")</f>
        <v>Spain - HCP Survey Email - June 2025</v>
      </c>
      <c r="C1040" s="3" t="str">
        <f>HYPERLINK("https://otsuka-europe-crm.veevavault.com/ui/#object/sent_email__v/VBLZ025E82GMYBS", "SE-000268110")</f>
        <v>SE-000268110</v>
      </c>
      <c r="D1040" s="1">
        <v>45915.556770833333</v>
      </c>
      <c r="E1040" s="2">
        <v>1</v>
      </c>
      <c r="F1040" s="2">
        <v>1</v>
      </c>
      <c r="G1040" s="2">
        <v>0</v>
      </c>
      <c r="H1040" s="1" t="s">
        <v>0</v>
      </c>
      <c r="I1040" s="2">
        <v>0</v>
      </c>
      <c r="J1040" s="1">
        <v>45915.377546296295</v>
      </c>
    </row>
    <row r="1041" spans="1:10" x14ac:dyDescent="0.2">
      <c r="A1041" s="4" t="s">
        <v>1</v>
      </c>
      <c r="B1041" s="3" t="str">
        <f>HYPERLINK("https://otsuka-europe-crm.veevavault.com/ui/#object/approved_document__v/V5OZ025E82TFUPI", "Spain - HCP Survey Email - June 2025")</f>
        <v>Spain - HCP Survey Email - June 2025</v>
      </c>
      <c r="C1041" s="3" t="str">
        <f>HYPERLINK("https://otsuka-europe-crm.veevavault.com/ui/#object/sent_email__v/VBLZ025E82GMYBT", "SE-000268111")</f>
        <v>SE-000268111</v>
      </c>
      <c r="D1041" s="1">
        <v>45920.27380787037</v>
      </c>
      <c r="E1041" s="2">
        <v>1</v>
      </c>
      <c r="F1041" s="2">
        <v>1</v>
      </c>
      <c r="G1041" s="2">
        <v>0</v>
      </c>
      <c r="H1041" s="1" t="s">
        <v>0</v>
      </c>
      <c r="I1041" s="2">
        <v>0</v>
      </c>
      <c r="J1041" s="1">
        <v>45915.377881944441</v>
      </c>
    </row>
    <row r="1042" spans="1:10" x14ac:dyDescent="0.2">
      <c r="A1042" s="4" t="s">
        <v>1</v>
      </c>
      <c r="B1042" s="3" t="str">
        <f>HYPERLINK("https://otsuka-europe-crm.veevavault.com/ui/#object/approved_document__v/V5OZ025E82TFUPI", "Spain - HCP Survey Email - June 2025")</f>
        <v>Spain - HCP Survey Email - June 2025</v>
      </c>
      <c r="C1042" s="3" t="str">
        <f>HYPERLINK("https://otsuka-europe-crm.veevavault.com/ui/#object/sent_email__v/VBLZ025E82GMYBU", "SE-000268112")</f>
        <v>SE-000268112</v>
      </c>
      <c r="D1042" s="1">
        <v>45934.349664351852</v>
      </c>
      <c r="E1042" s="2">
        <v>1</v>
      </c>
      <c r="F1042" s="2">
        <v>4</v>
      </c>
      <c r="G1042" s="2">
        <v>0</v>
      </c>
      <c r="H1042" s="1" t="s">
        <v>0</v>
      </c>
      <c r="I1042" s="2">
        <v>0</v>
      </c>
      <c r="J1042" s="1">
        <v>45915.378946759258</v>
      </c>
    </row>
    <row r="1043" spans="1:10" x14ac:dyDescent="0.2">
      <c r="A1043" s="4" t="s">
        <v>1</v>
      </c>
      <c r="B1043" s="3" t="str">
        <f>HYPERLINK("https://otsuka-europe-crm.veevavault.com/ui/#object/approved_document__v/V5OZ025E82TFUPI", "Spain - HCP Survey Email - June 2025")</f>
        <v>Spain - HCP Survey Email - June 2025</v>
      </c>
      <c r="C1043" s="3" t="str">
        <f>HYPERLINK("https://otsuka-europe-crm.veevavault.com/ui/#object/sent_email__v/VBLZ025E82GMYBV", "SE-000268113")</f>
        <v>SE-000268113</v>
      </c>
      <c r="D1043" s="1">
        <v>45915.633981481478</v>
      </c>
      <c r="E1043" s="2">
        <v>1</v>
      </c>
      <c r="F1043" s="2">
        <v>1</v>
      </c>
      <c r="G1043" s="2">
        <v>0</v>
      </c>
      <c r="H1043" s="1" t="s">
        <v>0</v>
      </c>
      <c r="I1043" s="2">
        <v>0</v>
      </c>
      <c r="J1043" s="1">
        <v>45915.379594907405</v>
      </c>
    </row>
    <row r="1044" spans="1:10" x14ac:dyDescent="0.2">
      <c r="A1044" s="4" t="s">
        <v>1</v>
      </c>
      <c r="B1044" s="3" t="str">
        <f>HYPERLINK("https://otsuka-europe-crm.veevavault.com/ui/#object/approved_document__v/V5OZ025E82TFUPI", "Spain - HCP Survey Email - June 2025")</f>
        <v>Spain - HCP Survey Email - June 2025</v>
      </c>
      <c r="C1044" s="3" t="str">
        <f>HYPERLINK("https://otsuka-europe-crm.veevavault.com/ui/#object/sent_email__v/VBLZ025E82GMYBW", "SE-000268114")</f>
        <v>SE-000268114</v>
      </c>
      <c r="D1044" s="1" t="s">
        <v>0</v>
      </c>
      <c r="E1044" s="2">
        <v>0</v>
      </c>
      <c r="F1044" s="2">
        <v>0</v>
      </c>
      <c r="G1044" s="2">
        <v>0</v>
      </c>
      <c r="H1044" s="1" t="s">
        <v>0</v>
      </c>
      <c r="I1044" s="2">
        <v>0</v>
      </c>
      <c r="J1044" s="1">
        <v>45915.379259259258</v>
      </c>
    </row>
    <row r="1045" spans="1:10" x14ac:dyDescent="0.2">
      <c r="A1045" s="4" t="s">
        <v>1</v>
      </c>
      <c r="B1045" s="3" t="str">
        <f>HYPERLINK("https://otsuka-europe-crm.veevavault.com/ui/#object/approved_document__v/V5OZ025E82TFUPI", "Spain - HCP Survey Email - June 2025")</f>
        <v>Spain - HCP Survey Email - June 2025</v>
      </c>
      <c r="C1045" s="3" t="str">
        <f>HYPERLINK("https://otsuka-europe-crm.veevavault.com/ui/#object/sent_email__v/VBLZ025E82GMYBX", "SE-000268115")</f>
        <v>SE-000268115</v>
      </c>
      <c r="D1045" s="1">
        <v>45915.527858796297</v>
      </c>
      <c r="E1045" s="2">
        <v>1</v>
      </c>
      <c r="F1045" s="2">
        <v>1</v>
      </c>
      <c r="G1045" s="2">
        <v>1</v>
      </c>
      <c r="H1045" s="1">
        <v>45915.528460648151</v>
      </c>
      <c r="I1045" s="2">
        <v>3</v>
      </c>
      <c r="J1045" s="1">
        <v>45915.377500000002</v>
      </c>
    </row>
    <row r="1046" spans="1:10" x14ac:dyDescent="0.2">
      <c r="A1046" s="4" t="s">
        <v>1</v>
      </c>
      <c r="B1046" s="3" t="str">
        <f>HYPERLINK("https://otsuka-europe-crm.veevavault.com/ui/#object/approved_document__v/V5OZ025E82TFUPI", "Spain - HCP Survey Email - June 2025")</f>
        <v>Spain - HCP Survey Email - June 2025</v>
      </c>
      <c r="C1046" s="3" t="str">
        <f>HYPERLINK("https://otsuka-europe-crm.veevavault.com/ui/#object/sent_email__v/VBLZ025E82GMYBY", "SE-000268116")</f>
        <v>SE-000268116</v>
      </c>
      <c r="D1046" s="1">
        <v>45915.889791666668</v>
      </c>
      <c r="E1046" s="2">
        <v>1</v>
      </c>
      <c r="F1046" s="2">
        <v>1</v>
      </c>
      <c r="G1046" s="2">
        <v>1</v>
      </c>
      <c r="H1046" s="1">
        <v>45916.146354166667</v>
      </c>
      <c r="I1046" s="2">
        <v>1</v>
      </c>
      <c r="J1046" s="1">
        <v>45915.378437500003</v>
      </c>
    </row>
    <row r="1047" spans="1:10" x14ac:dyDescent="0.2">
      <c r="A1047" s="4" t="s">
        <v>1</v>
      </c>
      <c r="B1047" s="3" t="str">
        <f>HYPERLINK("https://otsuka-europe-crm.veevavault.com/ui/#object/approved_document__v/V5OZ025E82TFUPI", "Spain - HCP Survey Email - June 2025")</f>
        <v>Spain - HCP Survey Email - June 2025</v>
      </c>
      <c r="C1047" s="3" t="str">
        <f>HYPERLINK("https://otsuka-europe-crm.veevavault.com/ui/#object/sent_email__v/VBLZ025E82GMYBZ", "SE-000268117")</f>
        <v>SE-000268117</v>
      </c>
      <c r="D1047" s="1" t="s">
        <v>0</v>
      </c>
      <c r="E1047" s="2">
        <v>0</v>
      </c>
      <c r="F1047" s="2">
        <v>0</v>
      </c>
      <c r="G1047" s="2">
        <v>0</v>
      </c>
      <c r="H1047" s="1" t="s">
        <v>0</v>
      </c>
      <c r="I1047" s="2">
        <v>0</v>
      </c>
      <c r="J1047" s="1">
        <v>45915.378865740742</v>
      </c>
    </row>
    <row r="1048" spans="1:10" x14ac:dyDescent="0.2">
      <c r="A1048" s="4" t="s">
        <v>1</v>
      </c>
      <c r="B1048" s="3" t="str">
        <f>HYPERLINK("https://otsuka-europe-crm.veevavault.com/ui/#object/approved_document__v/V5OZ025E82TFUPI", "Spain - HCP Survey Email - June 2025")</f>
        <v>Spain - HCP Survey Email - June 2025</v>
      </c>
      <c r="C1048" s="3" t="str">
        <f>HYPERLINK("https://otsuka-europe-crm.veevavault.com/ui/#object/sent_email__v/VBLZ025E82GMYC0", "SE-000268118")</f>
        <v>SE-000268118</v>
      </c>
      <c r="D1048" s="1" t="s">
        <v>0</v>
      </c>
      <c r="E1048" s="2">
        <v>0</v>
      </c>
      <c r="F1048" s="2">
        <v>0</v>
      </c>
      <c r="G1048" s="2">
        <v>0</v>
      </c>
      <c r="H1048" s="1" t="s">
        <v>0</v>
      </c>
      <c r="I1048" s="2">
        <v>0</v>
      </c>
      <c r="J1048" s="1">
        <v>45915.378819444442</v>
      </c>
    </row>
    <row r="1049" spans="1:10" x14ac:dyDescent="0.2">
      <c r="A1049" s="4" t="s">
        <v>1</v>
      </c>
      <c r="B1049" s="3" t="str">
        <f>HYPERLINK("https://otsuka-europe-crm.veevavault.com/ui/#object/approved_document__v/V5OZ025E82TFUPI", "Spain - HCP Survey Email - June 2025")</f>
        <v>Spain - HCP Survey Email - June 2025</v>
      </c>
      <c r="C1049" s="3" t="str">
        <f>HYPERLINK("https://otsuka-europe-crm.veevavault.com/ui/#object/sent_email__v/VBLZ025E82GMYC1", "SE-000268119")</f>
        <v>SE-000268119</v>
      </c>
      <c r="D1049" s="1">
        <v>45915.932268518518</v>
      </c>
      <c r="E1049" s="2">
        <v>1</v>
      </c>
      <c r="F1049" s="2">
        <v>1</v>
      </c>
      <c r="G1049" s="2">
        <v>0</v>
      </c>
      <c r="H1049" s="1" t="s">
        <v>0</v>
      </c>
      <c r="I1049" s="2">
        <v>0</v>
      </c>
      <c r="J1049" s="1">
        <v>45915.379178240742</v>
      </c>
    </row>
    <row r="1050" spans="1:10" x14ac:dyDescent="0.2">
      <c r="A1050" s="4" t="s">
        <v>1</v>
      </c>
      <c r="B1050" s="3" t="str">
        <f>HYPERLINK("https://otsuka-europe-crm.veevavault.com/ui/#object/approved_document__v/V5OZ025E82TFUPI", "Spain - HCP Survey Email - June 2025")</f>
        <v>Spain - HCP Survey Email - June 2025</v>
      </c>
      <c r="C1050" s="3" t="str">
        <f>HYPERLINK("https://otsuka-europe-crm.veevavault.com/ui/#object/sent_email__v/VBLZ025E82GMYC2", "SE-000268120")</f>
        <v>SE-000268120</v>
      </c>
      <c r="D1050" s="1">
        <v>45922.602951388886</v>
      </c>
      <c r="E1050" s="2">
        <v>1</v>
      </c>
      <c r="F1050" s="2">
        <v>2</v>
      </c>
      <c r="G1050" s="2">
        <v>0</v>
      </c>
      <c r="H1050" s="1" t="s">
        <v>0</v>
      </c>
      <c r="I1050" s="2">
        <v>0</v>
      </c>
      <c r="J1050" s="1">
        <v>45915.377835648149</v>
      </c>
    </row>
    <row r="1051" spans="1:10" x14ac:dyDescent="0.2">
      <c r="A1051" s="4" t="s">
        <v>1</v>
      </c>
      <c r="B1051" s="3" t="str">
        <f>HYPERLINK("https://otsuka-europe-crm.veevavault.com/ui/#object/approved_document__v/V5OZ025E82TFUPI", "Spain - HCP Survey Email - June 2025")</f>
        <v>Spain - HCP Survey Email - June 2025</v>
      </c>
      <c r="C1051" s="3" t="str">
        <f>HYPERLINK("https://otsuka-europe-crm.veevavault.com/ui/#object/sent_email__v/VBLZ025E82GMYC3", "SE-000268121")</f>
        <v>SE-000268121</v>
      </c>
      <c r="D1051" s="1" t="s">
        <v>0</v>
      </c>
      <c r="E1051" s="2">
        <v>0</v>
      </c>
      <c r="F1051" s="2">
        <v>0</v>
      </c>
      <c r="G1051" s="2">
        <v>0</v>
      </c>
      <c r="H1051" s="1" t="s">
        <v>0</v>
      </c>
      <c r="I1051" s="2">
        <v>0</v>
      </c>
      <c r="J1051" s="1">
        <v>45915.377523148149</v>
      </c>
    </row>
    <row r="1052" spans="1:10" x14ac:dyDescent="0.2">
      <c r="A1052" s="4" t="s">
        <v>1</v>
      </c>
      <c r="B1052" s="3" t="str">
        <f>HYPERLINK("https://otsuka-europe-crm.veevavault.com/ui/#object/approved_document__v/V5OZ025E82TFUPI", "Spain - HCP Survey Email - June 2025")</f>
        <v>Spain - HCP Survey Email - June 2025</v>
      </c>
      <c r="C1052" s="3" t="str">
        <f>HYPERLINK("https://otsuka-europe-crm.veevavault.com/ui/#object/sent_email__v/VBLZ025E82GMYC4", "SE-000268122")</f>
        <v>SE-000268122</v>
      </c>
      <c r="D1052" s="1" t="s">
        <v>0</v>
      </c>
      <c r="E1052" s="2">
        <v>0</v>
      </c>
      <c r="F1052" s="2">
        <v>0</v>
      </c>
      <c r="G1052" s="2">
        <v>0</v>
      </c>
      <c r="H1052" s="1" t="s">
        <v>0</v>
      </c>
      <c r="I1052" s="2">
        <v>0</v>
      </c>
      <c r="J1052" s="1">
        <v>45915.377962962964</v>
      </c>
    </row>
    <row r="1053" spans="1:10" x14ac:dyDescent="0.2">
      <c r="A1053" s="4" t="s">
        <v>1</v>
      </c>
      <c r="B1053" s="3" t="str">
        <f>HYPERLINK("https://otsuka-europe-crm.veevavault.com/ui/#object/approved_document__v/V5OZ025E82TFUPI", "Spain - HCP Survey Email - June 2025")</f>
        <v>Spain - HCP Survey Email - June 2025</v>
      </c>
      <c r="C1053" s="3" t="str">
        <f>HYPERLINK("https://otsuka-europe-crm.veevavault.com/ui/#object/sent_email__v/VBLZ025E82GMYC5", "SE-000268123")</f>
        <v>SE-000268123</v>
      </c>
      <c r="D1053" s="1" t="s">
        <v>0</v>
      </c>
      <c r="E1053" s="2">
        <v>0</v>
      </c>
      <c r="F1053" s="2">
        <v>0</v>
      </c>
      <c r="G1053" s="2">
        <v>0</v>
      </c>
      <c r="H1053" s="1" t="s">
        <v>0</v>
      </c>
      <c r="I1053" s="2">
        <v>0</v>
      </c>
      <c r="J1053" s="1">
        <v>45915.378969907404</v>
      </c>
    </row>
    <row r="1054" spans="1:10" x14ac:dyDescent="0.2">
      <c r="A1054" s="4" t="s">
        <v>1</v>
      </c>
      <c r="B1054" s="3" t="str">
        <f>HYPERLINK("https://otsuka-europe-crm.veevavault.com/ui/#object/approved_document__v/V5OZ025E82TFUPI", "Spain - HCP Survey Email - June 2025")</f>
        <v>Spain - HCP Survey Email - June 2025</v>
      </c>
      <c r="C1054" s="3" t="str">
        <f>HYPERLINK("https://otsuka-europe-crm.veevavault.com/ui/#object/sent_email__v/VBLZ025E82GMYC6", "SE-000268124")</f>
        <v>SE-000268124</v>
      </c>
      <c r="D1054" s="1" t="s">
        <v>0</v>
      </c>
      <c r="E1054" s="2">
        <v>0</v>
      </c>
      <c r="F1054" s="2">
        <v>0</v>
      </c>
      <c r="G1054" s="2">
        <v>0</v>
      </c>
      <c r="H1054" s="1" t="s">
        <v>0</v>
      </c>
      <c r="I1054" s="2">
        <v>0</v>
      </c>
      <c r="J1054" s="1">
        <v>45915.379606481481</v>
      </c>
    </row>
    <row r="1055" spans="1:10" x14ac:dyDescent="0.2">
      <c r="A1055" s="4" t="s">
        <v>1</v>
      </c>
      <c r="B1055" s="3" t="str">
        <f>HYPERLINK("https://otsuka-europe-crm.veevavault.com/ui/#object/approved_document__v/V5OZ025E82TFUPI", "Spain - HCP Survey Email - June 2025")</f>
        <v>Spain - HCP Survey Email - June 2025</v>
      </c>
      <c r="C1055" s="3" t="str">
        <f>HYPERLINK("https://otsuka-europe-crm.veevavault.com/ui/#object/sent_email__v/VBLZ025E82GMYC7", "SE-000268125")</f>
        <v>SE-000268125</v>
      </c>
      <c r="D1055" s="1" t="s">
        <v>0</v>
      </c>
      <c r="E1055" s="2">
        <v>0</v>
      </c>
      <c r="F1055" s="2">
        <v>0</v>
      </c>
      <c r="G1055" s="2">
        <v>0</v>
      </c>
      <c r="H1055" s="1" t="s">
        <v>0</v>
      </c>
      <c r="I1055" s="2">
        <v>0</v>
      </c>
      <c r="J1055" s="1">
        <v>45915.379386574074</v>
      </c>
    </row>
    <row r="1056" spans="1:10" x14ac:dyDescent="0.2">
      <c r="A1056" s="4" t="s">
        <v>1</v>
      </c>
      <c r="B1056" s="3" t="str">
        <f>HYPERLINK("https://otsuka-europe-crm.veevavault.com/ui/#object/approved_document__v/V5OZ025E82TFUPI", "Spain - HCP Survey Email - June 2025")</f>
        <v>Spain - HCP Survey Email - June 2025</v>
      </c>
      <c r="C1056" s="3" t="str">
        <f>HYPERLINK("https://otsuka-europe-crm.veevavault.com/ui/#object/sent_email__v/VBLZ025E82GMYC8", "SE-000268126")</f>
        <v>SE-000268126</v>
      </c>
      <c r="D1056" s="1" t="s">
        <v>0</v>
      </c>
      <c r="E1056" s="2">
        <v>0</v>
      </c>
      <c r="F1056" s="2">
        <v>0</v>
      </c>
      <c r="G1056" s="2">
        <v>0</v>
      </c>
      <c r="H1056" s="1" t="s">
        <v>0</v>
      </c>
      <c r="I1056" s="2">
        <v>0</v>
      </c>
      <c r="J1056" s="1">
        <v>45915.377488425926</v>
      </c>
    </row>
    <row r="1057" spans="1:10" x14ac:dyDescent="0.2">
      <c r="A1057" s="4" t="s">
        <v>1</v>
      </c>
      <c r="B1057" s="3" t="str">
        <f>HYPERLINK("https://otsuka-europe-crm.veevavault.com/ui/#object/approved_document__v/V5OZ025E82TFUPI", "Spain - HCP Survey Email - June 2025")</f>
        <v>Spain - HCP Survey Email - June 2025</v>
      </c>
      <c r="C1057" s="3" t="str">
        <f>HYPERLINK("https://otsuka-europe-crm.veevavault.com/ui/#object/sent_email__v/VBLZ025E82GMYC9", "SE-000268127")</f>
        <v>SE-000268127</v>
      </c>
      <c r="D1057" s="1" t="s">
        <v>0</v>
      </c>
      <c r="E1057" s="2">
        <v>0</v>
      </c>
      <c r="F1057" s="2">
        <v>0</v>
      </c>
      <c r="G1057" s="2">
        <v>0</v>
      </c>
      <c r="H1057" s="1" t="s">
        <v>0</v>
      </c>
      <c r="I1057" s="2">
        <v>0</v>
      </c>
      <c r="J1057" s="1">
        <v>45915.378425925926</v>
      </c>
    </row>
    <row r="1058" spans="1:10" x14ac:dyDescent="0.2">
      <c r="A1058" s="4" t="s">
        <v>1</v>
      </c>
      <c r="B1058" s="3" t="str">
        <f>HYPERLINK("https://otsuka-europe-crm.veevavault.com/ui/#object/approved_document__v/V5OZ025E82TFUPI", "Spain - HCP Survey Email - June 2025")</f>
        <v>Spain - HCP Survey Email - June 2025</v>
      </c>
      <c r="C1058" s="3" t="str">
        <f>HYPERLINK("https://otsuka-europe-crm.veevavault.com/ui/#object/sent_email__v/VBLZ025E82GMYCA", "SE-000268128")</f>
        <v>SE-000268128</v>
      </c>
      <c r="D1058" s="1">
        <v>45916.515150462961</v>
      </c>
      <c r="E1058" s="2">
        <v>1</v>
      </c>
      <c r="F1058" s="2">
        <v>1</v>
      </c>
      <c r="G1058" s="2">
        <v>0</v>
      </c>
      <c r="H1058" s="1" t="s">
        <v>0</v>
      </c>
      <c r="I1058" s="2">
        <v>0</v>
      </c>
      <c r="J1058" s="1">
        <v>45915.378796296296</v>
      </c>
    </row>
    <row r="1059" spans="1:10" x14ac:dyDescent="0.2">
      <c r="A1059" s="4" t="s">
        <v>1</v>
      </c>
      <c r="B1059" s="3" t="str">
        <f>HYPERLINK("https://otsuka-europe-crm.veevavault.com/ui/#object/approved_document__v/V5OZ025E82TFUPI", "Spain - HCP Survey Email - June 2025")</f>
        <v>Spain - HCP Survey Email - June 2025</v>
      </c>
      <c r="C1059" s="3" t="str">
        <f>HYPERLINK("https://otsuka-europe-crm.veevavault.com/ui/#object/sent_email__v/VBLZ025E82GMYCB", "SE-000268129")</f>
        <v>SE-000268129</v>
      </c>
      <c r="D1059" s="1" t="s">
        <v>0</v>
      </c>
      <c r="E1059" s="2">
        <v>0</v>
      </c>
      <c r="F1059" s="2">
        <v>0</v>
      </c>
      <c r="G1059" s="2">
        <v>0</v>
      </c>
      <c r="H1059" s="1" t="s">
        <v>0</v>
      </c>
      <c r="I1059" s="2">
        <v>0</v>
      </c>
      <c r="J1059" s="1">
        <v>45915.378750000003</v>
      </c>
    </row>
    <row r="1060" spans="1:10" x14ac:dyDescent="0.2">
      <c r="A1060" s="4" t="s">
        <v>1</v>
      </c>
      <c r="B1060" s="3" t="str">
        <f>HYPERLINK("https://otsuka-europe-crm.veevavault.com/ui/#object/approved_document__v/V5OZ025E82TFUPI", "Spain - HCP Survey Email - June 2025")</f>
        <v>Spain - HCP Survey Email - June 2025</v>
      </c>
      <c r="C1060" s="3" t="str">
        <f>HYPERLINK("https://otsuka-europe-crm.veevavault.com/ui/#object/sent_email__v/VBLZ025E82GMYCC", "SE-000268130")</f>
        <v>SE-000268130</v>
      </c>
      <c r="D1060" s="1" t="s">
        <v>0</v>
      </c>
      <c r="E1060" s="2">
        <v>0</v>
      </c>
      <c r="F1060" s="2">
        <v>0</v>
      </c>
      <c r="G1060" s="2">
        <v>0</v>
      </c>
      <c r="H1060" s="1" t="s">
        <v>0</v>
      </c>
      <c r="I1060" s="2">
        <v>0</v>
      </c>
      <c r="J1060" s="1">
        <v>45915.379224537035</v>
      </c>
    </row>
    <row r="1061" spans="1:10" x14ac:dyDescent="0.2">
      <c r="A1061" s="4" t="s">
        <v>1</v>
      </c>
      <c r="B1061" s="3" t="str">
        <f>HYPERLINK("https://otsuka-europe-crm.veevavault.com/ui/#object/approved_document__v/V5OZ025E82TFUPI", "Spain - HCP Survey Email - June 2025")</f>
        <v>Spain - HCP Survey Email - June 2025</v>
      </c>
      <c r="C1061" s="3" t="str">
        <f>HYPERLINK("https://otsuka-europe-crm.veevavault.com/ui/#object/sent_email__v/VBLZ025E82GMYCD", "SE-000268131")</f>
        <v>SE-000268131</v>
      </c>
      <c r="D1061" s="1" t="s">
        <v>0</v>
      </c>
      <c r="E1061" s="2">
        <v>0</v>
      </c>
      <c r="F1061" s="2">
        <v>0</v>
      </c>
      <c r="G1061" s="2">
        <v>0</v>
      </c>
      <c r="H1061" s="1" t="s">
        <v>0</v>
      </c>
      <c r="I1061" s="2">
        <v>0</v>
      </c>
      <c r="J1061" s="1">
        <v>45915.377870370372</v>
      </c>
    </row>
    <row r="1062" spans="1:10" x14ac:dyDescent="0.2">
      <c r="A1062" s="4" t="s">
        <v>1</v>
      </c>
      <c r="B1062" s="3" t="str">
        <f>HYPERLINK("https://otsuka-europe-crm.veevavault.com/ui/#object/approved_document__v/V5OZ025E82TFUPI", "Spain - HCP Survey Email - June 2025")</f>
        <v>Spain - HCP Survey Email - June 2025</v>
      </c>
      <c r="C1062" s="3" t="str">
        <f>HYPERLINK("https://otsuka-europe-crm.veevavault.com/ui/#object/sent_email__v/VBLZ025E82GMYCF", "SE-000268133")</f>
        <v>SE-000268133</v>
      </c>
      <c r="D1062" s="1">
        <v>45915.419618055559</v>
      </c>
      <c r="E1062" s="2">
        <v>1</v>
      </c>
      <c r="F1062" s="2">
        <v>1</v>
      </c>
      <c r="G1062" s="2">
        <v>0</v>
      </c>
      <c r="H1062" s="1" t="s">
        <v>0</v>
      </c>
      <c r="I1062" s="2">
        <v>0</v>
      </c>
      <c r="J1062" s="1">
        <v>45915.378784722219</v>
      </c>
    </row>
    <row r="1063" spans="1:10" x14ac:dyDescent="0.2">
      <c r="A1063" s="4" t="s">
        <v>1</v>
      </c>
      <c r="B1063" s="3" t="str">
        <f>HYPERLINK("https://otsuka-europe-crm.veevavault.com/ui/#object/approved_document__v/V5OZ025E82TFUPI", "Spain - HCP Survey Email - June 2025")</f>
        <v>Spain - HCP Survey Email - June 2025</v>
      </c>
      <c r="C1063" s="3" t="str">
        <f>HYPERLINK("https://otsuka-europe-crm.veevavault.com/ui/#object/sent_email__v/VBLZ025E82GMYCG", "SE-000268134")</f>
        <v>SE-000268134</v>
      </c>
      <c r="D1063" s="1" t="s">
        <v>0</v>
      </c>
      <c r="E1063" s="2">
        <v>0</v>
      </c>
      <c r="F1063" s="2">
        <v>0</v>
      </c>
      <c r="G1063" s="2">
        <v>0</v>
      </c>
      <c r="H1063" s="1" t="s">
        <v>0</v>
      </c>
      <c r="I1063" s="2">
        <v>0</v>
      </c>
      <c r="J1063" s="1">
        <v>45915.379178240742</v>
      </c>
    </row>
    <row r="1064" spans="1:10" x14ac:dyDescent="0.2">
      <c r="A1064" s="4" t="s">
        <v>1</v>
      </c>
      <c r="B1064" s="3" t="str">
        <f>HYPERLINK("https://otsuka-europe-crm.veevavault.com/ui/#object/approved_document__v/V5OZ025E82TFUPI", "Spain - HCP Survey Email - June 2025")</f>
        <v>Spain - HCP Survey Email - June 2025</v>
      </c>
      <c r="C1064" s="3" t="str">
        <f>HYPERLINK("https://otsuka-europe-crm.veevavault.com/ui/#object/sent_email__v/VBLZ025E82GMYCH", "SE-000268135")</f>
        <v>SE-000268135</v>
      </c>
      <c r="D1064" s="1">
        <v>45915.767916666664</v>
      </c>
      <c r="E1064" s="2">
        <v>1</v>
      </c>
      <c r="F1064" s="2">
        <v>1</v>
      </c>
      <c r="G1064" s="2">
        <v>0</v>
      </c>
      <c r="H1064" s="1" t="s">
        <v>0</v>
      </c>
      <c r="I1064" s="2">
        <v>0</v>
      </c>
      <c r="J1064" s="1">
        <v>45915.377928240741</v>
      </c>
    </row>
    <row r="1065" spans="1:10" x14ac:dyDescent="0.2">
      <c r="A1065" s="4" t="s">
        <v>1</v>
      </c>
      <c r="B1065" s="3" t="str">
        <f>HYPERLINK("https://otsuka-europe-crm.veevavault.com/ui/#object/approved_document__v/V5OZ025E82TFUPI", "Spain - HCP Survey Email - June 2025")</f>
        <v>Spain - HCP Survey Email - June 2025</v>
      </c>
      <c r="C1065" s="3" t="str">
        <f>HYPERLINK("https://otsuka-europe-crm.veevavault.com/ui/#object/sent_email__v/VBLZ025E82GMYCI", "SE-000268136")</f>
        <v>SE-000268136</v>
      </c>
      <c r="D1065" s="1" t="s">
        <v>0</v>
      </c>
      <c r="E1065" s="2">
        <v>0</v>
      </c>
      <c r="F1065" s="2">
        <v>0</v>
      </c>
      <c r="G1065" s="2">
        <v>0</v>
      </c>
      <c r="H1065" s="1" t="s">
        <v>0</v>
      </c>
      <c r="I1065" s="2">
        <v>0</v>
      </c>
      <c r="J1065" s="1">
        <v>45915.377511574072</v>
      </c>
    </row>
    <row r="1066" spans="1:10" x14ac:dyDescent="0.2">
      <c r="A1066" s="4" t="s">
        <v>1</v>
      </c>
      <c r="B1066" s="3" t="str">
        <f>HYPERLINK("https://otsuka-europe-crm.veevavault.com/ui/#object/approved_document__v/V5OZ025E82TFUPI", "Spain - HCP Survey Email - June 2025")</f>
        <v>Spain - HCP Survey Email - June 2025</v>
      </c>
      <c r="C1066" s="3" t="str">
        <f>HYPERLINK("https://otsuka-europe-crm.veevavault.com/ui/#object/sent_email__v/VBLZ025E82GMYCJ", "SE-000268137")</f>
        <v>SE-000268137</v>
      </c>
      <c r="D1066" s="1" t="s">
        <v>0</v>
      </c>
      <c r="E1066" s="2">
        <v>0</v>
      </c>
      <c r="F1066" s="2">
        <v>0</v>
      </c>
      <c r="G1066" s="2">
        <v>0</v>
      </c>
      <c r="H1066" s="1" t="s">
        <v>0</v>
      </c>
      <c r="I1066" s="2">
        <v>0</v>
      </c>
      <c r="J1066" s="1">
        <v>45915.377939814818</v>
      </c>
    </row>
    <row r="1067" spans="1:10" x14ac:dyDescent="0.2">
      <c r="A1067" s="4" t="s">
        <v>1</v>
      </c>
      <c r="B1067" s="3" t="str">
        <f>HYPERLINK("https://otsuka-europe-crm.veevavault.com/ui/#object/approved_document__v/V5OZ025E82TFUPI", "Spain - HCP Survey Email - June 2025")</f>
        <v>Spain - HCP Survey Email - June 2025</v>
      </c>
      <c r="C1067" s="3" t="str">
        <f>HYPERLINK("https://otsuka-europe-crm.veevavault.com/ui/#object/sent_email__v/VBLZ025E82GMYCK", "SE-000268138")</f>
        <v>SE-000268138</v>
      </c>
      <c r="D1067" s="1">
        <v>45915.382291666669</v>
      </c>
      <c r="E1067" s="2">
        <v>1</v>
      </c>
      <c r="F1067" s="2">
        <v>2</v>
      </c>
      <c r="G1067" s="2">
        <v>0</v>
      </c>
      <c r="H1067" s="1" t="s">
        <v>0</v>
      </c>
      <c r="I1067" s="2">
        <v>0</v>
      </c>
      <c r="J1067" s="1">
        <v>45915.378935185188</v>
      </c>
    </row>
    <row r="1068" spans="1:10" x14ac:dyDescent="0.2">
      <c r="A1068" s="4" t="s">
        <v>1</v>
      </c>
      <c r="B1068" s="3" t="str">
        <f>HYPERLINK("https://otsuka-europe-crm.veevavault.com/ui/#object/approved_document__v/V5OZ025E82TFUPI", "Spain - HCP Survey Email - June 2025")</f>
        <v>Spain - HCP Survey Email - June 2025</v>
      </c>
      <c r="C1068" s="3" t="str">
        <f>HYPERLINK("https://otsuka-europe-crm.veevavault.com/ui/#object/sent_email__v/VBLZ025E82GMYCL", "SE-000268139")</f>
        <v>SE-000268139</v>
      </c>
      <c r="D1068" s="1">
        <v>45916.357905092591</v>
      </c>
      <c r="E1068" s="2">
        <v>1</v>
      </c>
      <c r="F1068" s="2">
        <v>2</v>
      </c>
      <c r="G1068" s="2">
        <v>0</v>
      </c>
      <c r="H1068" s="1" t="s">
        <v>0</v>
      </c>
      <c r="I1068" s="2">
        <v>0</v>
      </c>
      <c r="J1068" s="1">
        <v>45915.37976851852</v>
      </c>
    </row>
    <row r="1069" spans="1:10" x14ac:dyDescent="0.2">
      <c r="A1069" s="4" t="s">
        <v>1</v>
      </c>
      <c r="B1069" s="3" t="str">
        <f>HYPERLINK("https://otsuka-europe-crm.veevavault.com/ui/#object/approved_document__v/V5OZ025E82TFUPI", "Spain - HCP Survey Email - June 2025")</f>
        <v>Spain - HCP Survey Email - June 2025</v>
      </c>
      <c r="C1069" s="3" t="str">
        <f>HYPERLINK("https://otsuka-europe-crm.veevavault.com/ui/#object/sent_email__v/VBLZ025E82GMYCM", "SE-000268140")</f>
        <v>SE-000268140</v>
      </c>
      <c r="D1069" s="1" t="s">
        <v>0</v>
      </c>
      <c r="E1069" s="2">
        <v>0</v>
      </c>
      <c r="F1069" s="2">
        <v>0</v>
      </c>
      <c r="G1069" s="2">
        <v>0</v>
      </c>
      <c r="H1069" s="1" t="s">
        <v>0</v>
      </c>
      <c r="I1069" s="2">
        <v>0</v>
      </c>
      <c r="J1069" s="1">
        <v>45915.379351851851</v>
      </c>
    </row>
    <row r="1070" spans="1:10" x14ac:dyDescent="0.2">
      <c r="A1070" s="4" t="s">
        <v>1</v>
      </c>
      <c r="B1070" s="3" t="str">
        <f>HYPERLINK("https://otsuka-europe-crm.veevavault.com/ui/#object/approved_document__v/V5OZ025E82TFUPI", "Spain - HCP Survey Email - June 2025")</f>
        <v>Spain - HCP Survey Email - June 2025</v>
      </c>
      <c r="C1070" s="3" t="str">
        <f>HYPERLINK("https://otsuka-europe-crm.veevavault.com/ui/#object/sent_email__v/VBLZ025E82GMYCN", "SE-000268141")</f>
        <v>SE-000268141</v>
      </c>
      <c r="D1070" s="1">
        <v>45915.766608796293</v>
      </c>
      <c r="E1070" s="2">
        <v>1</v>
      </c>
      <c r="F1070" s="2">
        <v>1</v>
      </c>
      <c r="G1070" s="2">
        <v>1</v>
      </c>
      <c r="H1070" s="1">
        <v>45915.850856481484</v>
      </c>
      <c r="I1070" s="2">
        <v>1</v>
      </c>
      <c r="J1070" s="1">
        <v>45915.377442129633</v>
      </c>
    </row>
    <row r="1071" spans="1:10" x14ac:dyDescent="0.2">
      <c r="A1071" s="4" t="s">
        <v>1</v>
      </c>
      <c r="B1071" s="3" t="str">
        <f>HYPERLINK("https://otsuka-europe-crm.veevavault.com/ui/#object/approved_document__v/V5OZ025E82TFUPI", "Spain - HCP Survey Email - June 2025")</f>
        <v>Spain - HCP Survey Email - June 2025</v>
      </c>
      <c r="C1071" s="3" t="str">
        <f>HYPERLINK("https://otsuka-europe-crm.veevavault.com/ui/#object/sent_email__v/VBLZ025E82GMYCO", "SE-000268142")</f>
        <v>SE-000268142</v>
      </c>
      <c r="D1071" s="1">
        <v>45915.392835648148</v>
      </c>
      <c r="E1071" s="2">
        <v>1</v>
      </c>
      <c r="F1071" s="2">
        <v>1</v>
      </c>
      <c r="G1071" s="2">
        <v>1</v>
      </c>
      <c r="H1071" s="1">
        <v>45915.39329861111</v>
      </c>
      <c r="I1071" s="2">
        <v>2</v>
      </c>
      <c r="J1071" s="1">
        <v>45915.378437500003</v>
      </c>
    </row>
    <row r="1072" spans="1:10" x14ac:dyDescent="0.2">
      <c r="A1072" s="4" t="s">
        <v>1</v>
      </c>
      <c r="B1072" s="3" t="str">
        <f>HYPERLINK("https://otsuka-europe-crm.veevavault.com/ui/#object/approved_document__v/V5OZ025E82TFUPI", "Spain - HCP Survey Email - June 2025")</f>
        <v>Spain - HCP Survey Email - June 2025</v>
      </c>
      <c r="C1072" s="3" t="str">
        <f>HYPERLINK("https://otsuka-europe-crm.veevavault.com/ui/#object/sent_email__v/VBLZ025E82GMYCP", "SE-000268143")</f>
        <v>SE-000268143</v>
      </c>
      <c r="D1072" s="1" t="s">
        <v>0</v>
      </c>
      <c r="E1072" s="2">
        <v>0</v>
      </c>
      <c r="F1072" s="2">
        <v>0</v>
      </c>
      <c r="G1072" s="2">
        <v>0</v>
      </c>
      <c r="H1072" s="1" t="s">
        <v>0</v>
      </c>
      <c r="I1072" s="2">
        <v>0</v>
      </c>
      <c r="J1072" s="1">
        <v>45915.378854166665</v>
      </c>
    </row>
    <row r="1073" spans="1:10" x14ac:dyDescent="0.2">
      <c r="A1073" s="4" t="s">
        <v>1</v>
      </c>
      <c r="B1073" s="3" t="str">
        <f>HYPERLINK("https://otsuka-europe-crm.veevavault.com/ui/#object/approved_document__v/V5OZ025E82TFUPI", "Spain - HCP Survey Email - June 2025")</f>
        <v>Spain - HCP Survey Email - June 2025</v>
      </c>
      <c r="C1073" s="3" t="str">
        <f>HYPERLINK("https://otsuka-europe-crm.veevavault.com/ui/#object/sent_email__v/VBLZ025E82GMYCQ", "SE-000268144")</f>
        <v>SE-000268144</v>
      </c>
      <c r="D1073" s="1" t="s">
        <v>0</v>
      </c>
      <c r="E1073" s="2">
        <v>0</v>
      </c>
      <c r="F1073" s="2">
        <v>0</v>
      </c>
      <c r="G1073" s="2">
        <v>0</v>
      </c>
      <c r="H1073" s="1" t="s">
        <v>0</v>
      </c>
      <c r="I1073" s="2">
        <v>0</v>
      </c>
      <c r="J1073" s="1">
        <v>45915.37872685185</v>
      </c>
    </row>
    <row r="1074" spans="1:10" x14ac:dyDescent="0.2">
      <c r="A1074" s="4" t="s">
        <v>1</v>
      </c>
      <c r="B1074" s="3" t="str">
        <f>HYPERLINK("https://otsuka-europe-crm.veevavault.com/ui/#object/approved_document__v/V5OZ025E82TFUPI", "Spain - HCP Survey Email - June 2025")</f>
        <v>Spain - HCP Survey Email - June 2025</v>
      </c>
      <c r="C1074" s="3" t="str">
        <f>HYPERLINK("https://otsuka-europe-crm.veevavault.com/ui/#object/sent_email__v/VBLZ025E82GMYCR", "SE-000268145")</f>
        <v>SE-000268145</v>
      </c>
      <c r="D1074" s="1">
        <v>45915.385312500002</v>
      </c>
      <c r="E1074" s="2">
        <v>1</v>
      </c>
      <c r="F1074" s="2">
        <v>1</v>
      </c>
      <c r="G1074" s="2">
        <v>0</v>
      </c>
      <c r="H1074" s="1" t="s">
        <v>0</v>
      </c>
      <c r="I1074" s="2">
        <v>0</v>
      </c>
      <c r="J1074" s="1">
        <v>45915.379166666666</v>
      </c>
    </row>
    <row r="1075" spans="1:10" x14ac:dyDescent="0.2">
      <c r="A1075" s="4" t="s">
        <v>1</v>
      </c>
      <c r="B1075" s="3" t="str">
        <f>HYPERLINK("https://otsuka-europe-crm.veevavault.com/ui/#object/approved_document__v/V5OZ025E82TFUPI", "Spain - HCP Survey Email - June 2025")</f>
        <v>Spain - HCP Survey Email - June 2025</v>
      </c>
      <c r="C1075" s="3" t="str">
        <f>HYPERLINK("https://otsuka-europe-crm.veevavault.com/ui/#object/sent_email__v/VBLZ025E82GMYCS", "SE-000268146")</f>
        <v>SE-000268146</v>
      </c>
      <c r="D1075" s="1">
        <v>45915.402187500003</v>
      </c>
      <c r="E1075" s="2">
        <v>1</v>
      </c>
      <c r="F1075" s="2">
        <v>1</v>
      </c>
      <c r="G1075" s="2">
        <v>0</v>
      </c>
      <c r="H1075" s="1" t="s">
        <v>0</v>
      </c>
      <c r="I1075" s="2">
        <v>0</v>
      </c>
      <c r="J1075" s="1">
        <v>45915.377881944441</v>
      </c>
    </row>
    <row r="1076" spans="1:10" x14ac:dyDescent="0.2">
      <c r="A1076" s="4" t="s">
        <v>1</v>
      </c>
      <c r="B1076" s="3" t="str">
        <f>HYPERLINK("https://otsuka-europe-crm.veevavault.com/ui/#object/approved_document__v/V5OZ025E82TFUPI", "Spain - HCP Survey Email - June 2025")</f>
        <v>Spain - HCP Survey Email - June 2025</v>
      </c>
      <c r="C1076" s="3" t="str">
        <f>HYPERLINK("https://otsuka-europe-crm.veevavault.com/ui/#object/sent_email__v/VBLZ025E82GMYCT", "SE-000268147")</f>
        <v>SE-000268147</v>
      </c>
      <c r="D1076" s="1" t="s">
        <v>0</v>
      </c>
      <c r="E1076" s="2">
        <v>0</v>
      </c>
      <c r="F1076" s="2">
        <v>0</v>
      </c>
      <c r="G1076" s="2">
        <v>0</v>
      </c>
      <c r="H1076" s="1" t="s">
        <v>0</v>
      </c>
      <c r="I1076" s="2">
        <v>0</v>
      </c>
      <c r="J1076" s="1">
        <v>45915.377581018518</v>
      </c>
    </row>
    <row r="1077" spans="1:10" x14ac:dyDescent="0.2">
      <c r="A1077" s="4" t="s">
        <v>1</v>
      </c>
      <c r="B1077" s="3" t="str">
        <f>HYPERLINK("https://otsuka-europe-crm.veevavault.com/ui/#object/approved_document__v/V5OZ025E82TFUPI", "Spain - HCP Survey Email - June 2025")</f>
        <v>Spain - HCP Survey Email - June 2025</v>
      </c>
      <c r="C1077" s="3" t="str">
        <f>HYPERLINK("https://otsuka-europe-crm.veevavault.com/ui/#object/sent_email__v/VBLZ025E82GMYCU", "SE-000268148")</f>
        <v>SE-000268148</v>
      </c>
      <c r="D1077" s="1">
        <v>45915.736689814818</v>
      </c>
      <c r="E1077" s="2">
        <v>1</v>
      </c>
      <c r="F1077" s="2">
        <v>1</v>
      </c>
      <c r="G1077" s="2">
        <v>0</v>
      </c>
      <c r="H1077" s="1" t="s">
        <v>0</v>
      </c>
      <c r="I1077" s="2">
        <v>0</v>
      </c>
      <c r="J1077" s="1">
        <v>45915.37809027778</v>
      </c>
    </row>
    <row r="1078" spans="1:10" x14ac:dyDescent="0.2">
      <c r="A1078" s="4" t="s">
        <v>1</v>
      </c>
      <c r="B1078" s="3" t="str">
        <f>HYPERLINK("https://otsuka-europe-crm.veevavault.com/ui/#object/approved_document__v/V5OZ025E82TFUPI", "Spain - HCP Survey Email - June 2025")</f>
        <v>Spain - HCP Survey Email - June 2025</v>
      </c>
      <c r="C1078" s="3" t="str">
        <f>HYPERLINK("https://otsuka-europe-crm.veevavault.com/ui/#object/sent_email__v/VBLZ025E82GMYCV", "SE-000268149")</f>
        <v>SE-000268149</v>
      </c>
      <c r="D1078" s="1" t="s">
        <v>0</v>
      </c>
      <c r="E1078" s="2">
        <v>0</v>
      </c>
      <c r="F1078" s="2">
        <v>0</v>
      </c>
      <c r="G1078" s="2">
        <v>0</v>
      </c>
      <c r="H1078" s="1" t="s">
        <v>0</v>
      </c>
      <c r="I1078" s="2">
        <v>0</v>
      </c>
      <c r="J1078" s="1">
        <v>45915.378900462965</v>
      </c>
    </row>
    <row r="1079" spans="1:10" x14ac:dyDescent="0.2">
      <c r="A1079" s="4" t="s">
        <v>1</v>
      </c>
      <c r="B1079" s="3" t="str">
        <f>HYPERLINK("https://otsuka-europe-crm.veevavault.com/ui/#object/approved_document__v/V5OZ025E82TFUPI", "Spain - HCP Survey Email - June 2025")</f>
        <v>Spain - HCP Survey Email - June 2025</v>
      </c>
      <c r="C1079" s="3" t="str">
        <f>HYPERLINK("https://otsuka-europe-crm.veevavault.com/ui/#object/sent_email__v/VBLZ025E82GMYCW", "SE-000268150")</f>
        <v>SE-000268150</v>
      </c>
      <c r="D1079" s="1" t="s">
        <v>0</v>
      </c>
      <c r="E1079" s="2">
        <v>0</v>
      </c>
      <c r="F1079" s="2">
        <v>0</v>
      </c>
      <c r="G1079" s="2">
        <v>0</v>
      </c>
      <c r="H1079" s="1" t="s">
        <v>0</v>
      </c>
      <c r="I1079" s="2">
        <v>0</v>
      </c>
      <c r="J1079" s="1">
        <v>45915.379560185182</v>
      </c>
    </row>
    <row r="1080" spans="1:10" x14ac:dyDescent="0.2">
      <c r="A1080" s="4" t="s">
        <v>1</v>
      </c>
      <c r="B1080" s="3" t="str">
        <f>HYPERLINK("https://otsuka-europe-crm.veevavault.com/ui/#object/approved_document__v/V5OZ025E82TFUPI", "Spain - HCP Survey Email - June 2025")</f>
        <v>Spain - HCP Survey Email - June 2025</v>
      </c>
      <c r="C1080" s="3" t="str">
        <f>HYPERLINK("https://otsuka-europe-crm.veevavault.com/ui/#object/sent_email__v/VBLZ025E82GMYCX", "SE-000268151")</f>
        <v>SE-000268151</v>
      </c>
      <c r="D1080" s="1" t="s">
        <v>0</v>
      </c>
      <c r="E1080" s="2">
        <v>0</v>
      </c>
      <c r="F1080" s="2">
        <v>0</v>
      </c>
      <c r="G1080" s="2">
        <v>0</v>
      </c>
      <c r="H1080" s="1" t="s">
        <v>0</v>
      </c>
      <c r="I1080" s="2">
        <v>0</v>
      </c>
      <c r="J1080" s="1">
        <v>45915.379363425927</v>
      </c>
    </row>
    <row r="1081" spans="1:10" x14ac:dyDescent="0.2">
      <c r="A1081" s="4" t="s">
        <v>1</v>
      </c>
      <c r="B1081" s="3" t="str">
        <f>HYPERLINK("https://otsuka-europe-crm.veevavault.com/ui/#object/approved_document__v/V5OZ025E82TFUPI", "Spain - HCP Survey Email - June 2025")</f>
        <v>Spain - HCP Survey Email - June 2025</v>
      </c>
      <c r="C1081" s="3" t="str">
        <f>HYPERLINK("https://otsuka-europe-crm.veevavault.com/ui/#object/sent_email__v/VBLZ025E82GMYCY", "SE-000268152")</f>
        <v>SE-000268152</v>
      </c>
      <c r="D1081" s="1" t="s">
        <v>0</v>
      </c>
      <c r="E1081" s="2">
        <v>0</v>
      </c>
      <c r="F1081" s="2">
        <v>0</v>
      </c>
      <c r="G1081" s="2">
        <v>0</v>
      </c>
      <c r="H1081" s="1" t="s">
        <v>0</v>
      </c>
      <c r="I1081" s="2">
        <v>0</v>
      </c>
      <c r="J1081" s="1">
        <v>45915.377453703702</v>
      </c>
    </row>
    <row r="1082" spans="1:10" x14ac:dyDescent="0.2">
      <c r="A1082" s="4" t="s">
        <v>1</v>
      </c>
      <c r="B1082" s="3" t="str">
        <f>HYPERLINK("https://otsuka-europe-crm.veevavault.com/ui/#object/approved_document__v/V5OZ025E82TFUPI", "Spain - HCP Survey Email - June 2025")</f>
        <v>Spain - HCP Survey Email - June 2025</v>
      </c>
      <c r="C1082" s="3" t="str">
        <f>HYPERLINK("https://otsuka-europe-crm.veevavault.com/ui/#object/sent_email__v/VBLZ025E82GMYCZ", "SE-000268153")</f>
        <v>SE-000268153</v>
      </c>
      <c r="D1082" s="1" t="s">
        <v>0</v>
      </c>
      <c r="E1082" s="2">
        <v>0</v>
      </c>
      <c r="F1082" s="2">
        <v>0</v>
      </c>
      <c r="G1082" s="2">
        <v>0</v>
      </c>
      <c r="H1082" s="1" t="s">
        <v>0</v>
      </c>
      <c r="I1082" s="2">
        <v>0</v>
      </c>
      <c r="J1082" s="1">
        <v>45915.378449074073</v>
      </c>
    </row>
    <row r="1083" spans="1:10" x14ac:dyDescent="0.2">
      <c r="A1083" s="4" t="s">
        <v>1</v>
      </c>
      <c r="B1083" s="3" t="str">
        <f>HYPERLINK("https://otsuka-europe-crm.veevavault.com/ui/#object/approved_document__v/V5OZ025E82TFUPI", "Spain - HCP Survey Email - June 2025")</f>
        <v>Spain - HCP Survey Email - June 2025</v>
      </c>
      <c r="C1083" s="3" t="str">
        <f>HYPERLINK("https://otsuka-europe-crm.veevavault.com/ui/#object/sent_email__v/VBLZ025E82GMYD0", "SE-000268154")</f>
        <v>SE-000268154</v>
      </c>
      <c r="D1083" s="1">
        <v>45917.931307870371</v>
      </c>
      <c r="E1083" s="2">
        <v>1</v>
      </c>
      <c r="F1083" s="2">
        <v>2</v>
      </c>
      <c r="G1083" s="2">
        <v>0</v>
      </c>
      <c r="H1083" s="1" t="s">
        <v>0</v>
      </c>
      <c r="I1083" s="2">
        <v>0</v>
      </c>
      <c r="J1083" s="1">
        <v>45915.378946759258</v>
      </c>
    </row>
    <row r="1084" spans="1:10" x14ac:dyDescent="0.2">
      <c r="A1084" s="4" t="s">
        <v>1</v>
      </c>
      <c r="B1084" s="3" t="str">
        <f>HYPERLINK("https://otsuka-europe-crm.veevavault.com/ui/#object/approved_document__v/V5OZ025E82TFUPI", "Spain - HCP Survey Email - June 2025")</f>
        <v>Spain - HCP Survey Email - June 2025</v>
      </c>
      <c r="C1084" s="3" t="str">
        <f>HYPERLINK("https://otsuka-europe-crm.veevavault.com/ui/#object/sent_email__v/VBLZ025E82GMYD1", "SE-000268155")</f>
        <v>SE-000268155</v>
      </c>
      <c r="D1084" s="1">
        <v>45923.961238425924</v>
      </c>
      <c r="E1084" s="2">
        <v>1</v>
      </c>
      <c r="F1084" s="2">
        <v>1</v>
      </c>
      <c r="G1084" s="2">
        <v>1</v>
      </c>
      <c r="H1084" s="1">
        <v>45923.961840277778</v>
      </c>
      <c r="I1084" s="2">
        <v>4</v>
      </c>
      <c r="J1084" s="1">
        <v>45915.378680555557</v>
      </c>
    </row>
    <row r="1085" spans="1:10" x14ac:dyDescent="0.2">
      <c r="A1085" s="4" t="s">
        <v>1</v>
      </c>
      <c r="B1085" s="3" t="str">
        <f>HYPERLINK("https://otsuka-europe-crm.veevavault.com/ui/#object/approved_document__v/V5OZ025E82TFUPI", "Spain - HCP Survey Email - June 2025")</f>
        <v>Spain - HCP Survey Email - June 2025</v>
      </c>
      <c r="C1085" s="3" t="str">
        <f>HYPERLINK("https://otsuka-europe-crm.veevavault.com/ui/#object/sent_email__v/VBLZ025E82GMYD2", "SE-000268156")</f>
        <v>SE-000268156</v>
      </c>
      <c r="D1085" s="1">
        <v>45915.623449074075</v>
      </c>
      <c r="E1085" s="2">
        <v>1</v>
      </c>
      <c r="F1085" s="2">
        <v>1</v>
      </c>
      <c r="G1085" s="2">
        <v>1</v>
      </c>
      <c r="H1085" s="1">
        <v>45915.623483796298</v>
      </c>
      <c r="I1085" s="2">
        <v>1</v>
      </c>
      <c r="J1085" s="1">
        <v>45915.379293981481</v>
      </c>
    </row>
    <row r="1086" spans="1:10" x14ac:dyDescent="0.2">
      <c r="A1086" s="4" t="s">
        <v>1</v>
      </c>
      <c r="B1086" s="3" t="str">
        <f>HYPERLINK("https://otsuka-europe-crm.veevavault.com/ui/#object/approved_document__v/V5OZ025E82TFUPI", "Spain - HCP Survey Email - June 2025")</f>
        <v>Spain - HCP Survey Email - June 2025</v>
      </c>
      <c r="C1086" s="3" t="str">
        <f>HYPERLINK("https://otsuka-europe-crm.veevavault.com/ui/#object/sent_email__v/VBLZ025E82GMYD3", "SE-000268157")</f>
        <v>SE-000268157</v>
      </c>
      <c r="D1086" s="1" t="s">
        <v>0</v>
      </c>
      <c r="E1086" s="2">
        <v>0</v>
      </c>
      <c r="F1086" s="2">
        <v>0</v>
      </c>
      <c r="G1086" s="2">
        <v>0</v>
      </c>
      <c r="H1086" s="1" t="s">
        <v>0</v>
      </c>
      <c r="I1086" s="2">
        <v>0</v>
      </c>
      <c r="J1086" s="1">
        <v>45915.377905092595</v>
      </c>
    </row>
    <row r="1087" spans="1:10" x14ac:dyDescent="0.2">
      <c r="A1087" s="4" t="s">
        <v>1</v>
      </c>
      <c r="B1087" s="3" t="str">
        <f>HYPERLINK("https://otsuka-europe-crm.veevavault.com/ui/#object/approved_document__v/V5OZ025E82TFUPI", "Spain - HCP Survey Email - June 2025")</f>
        <v>Spain - HCP Survey Email - June 2025</v>
      </c>
      <c r="C1087" s="3" t="str">
        <f>HYPERLINK("https://otsuka-europe-crm.veevavault.com/ui/#object/sent_email__v/VBLZ025E82GMYD4", "SE-000268158")</f>
        <v>SE-000268158</v>
      </c>
      <c r="D1087" s="1" t="s">
        <v>0</v>
      </c>
      <c r="E1087" s="2">
        <v>0</v>
      </c>
      <c r="F1087" s="2">
        <v>0</v>
      </c>
      <c r="G1087" s="2">
        <v>0</v>
      </c>
      <c r="H1087" s="1" t="s">
        <v>0</v>
      </c>
      <c r="I1087" s="2">
        <v>0</v>
      </c>
      <c r="J1087" s="1">
        <v>45915.378449074073</v>
      </c>
    </row>
    <row r="1088" spans="1:10" x14ac:dyDescent="0.2">
      <c r="A1088" s="4" t="s">
        <v>1</v>
      </c>
      <c r="B1088" s="3" t="str">
        <f>HYPERLINK("https://otsuka-europe-crm.veevavault.com/ui/#object/approved_document__v/V5OZ025E82TFUPI", "Spain - HCP Survey Email - June 2025")</f>
        <v>Spain - HCP Survey Email - June 2025</v>
      </c>
      <c r="C1088" s="3" t="str">
        <f>HYPERLINK("https://otsuka-europe-crm.veevavault.com/ui/#object/sent_email__v/VBLZ025E82GMYD5", "SE-000268159")</f>
        <v>SE-000268159</v>
      </c>
      <c r="D1088" s="1">
        <v>45915.406041666669</v>
      </c>
      <c r="E1088" s="2">
        <v>1</v>
      </c>
      <c r="F1088" s="2">
        <v>1</v>
      </c>
      <c r="G1088" s="2">
        <v>0</v>
      </c>
      <c r="H1088" s="1" t="s">
        <v>0</v>
      </c>
      <c r="I1088" s="2">
        <v>0</v>
      </c>
      <c r="J1088" s="1">
        <v>45915.378877314812</v>
      </c>
    </row>
    <row r="1089" spans="1:10" x14ac:dyDescent="0.2">
      <c r="A1089" s="4" t="s">
        <v>1</v>
      </c>
      <c r="B1089" s="3" t="str">
        <f>HYPERLINK("https://otsuka-europe-crm.veevavault.com/ui/#object/approved_document__v/V5OZ025E82TFUPI", "Spain - HCP Survey Email - June 2025")</f>
        <v>Spain - HCP Survey Email - June 2025</v>
      </c>
      <c r="C1089" s="3" t="str">
        <f>HYPERLINK("https://otsuka-europe-crm.veevavault.com/ui/#object/sent_email__v/VBLZ025E82GMYD6", "SE-000268160")</f>
        <v>SE-000268160</v>
      </c>
      <c r="D1089" s="1">
        <v>45915.401689814818</v>
      </c>
      <c r="E1089" s="2">
        <v>1</v>
      </c>
      <c r="F1089" s="2">
        <v>2</v>
      </c>
      <c r="G1089" s="2">
        <v>1</v>
      </c>
      <c r="H1089" s="1">
        <v>45915.401932870373</v>
      </c>
      <c r="I1089" s="2">
        <v>1</v>
      </c>
      <c r="J1089" s="1">
        <v>45915.378761574073</v>
      </c>
    </row>
    <row r="1090" spans="1:10" x14ac:dyDescent="0.2">
      <c r="A1090" s="4" t="s">
        <v>1</v>
      </c>
      <c r="B1090" s="3" t="str">
        <f>HYPERLINK("https://otsuka-europe-crm.veevavault.com/ui/#object/approved_document__v/V5OZ025E82TFUPI", "Spain - HCP Survey Email - June 2025")</f>
        <v>Spain - HCP Survey Email - June 2025</v>
      </c>
      <c r="C1090" s="3" t="str">
        <f>HYPERLINK("https://otsuka-europe-crm.veevavault.com/ui/#object/sent_email__v/VBLZ025E82GMYD7", "SE-000268161")</f>
        <v>SE-000268161</v>
      </c>
      <c r="D1090" s="1" t="s">
        <v>0</v>
      </c>
      <c r="E1090" s="2">
        <v>0</v>
      </c>
      <c r="F1090" s="2">
        <v>0</v>
      </c>
      <c r="G1090" s="2">
        <v>0</v>
      </c>
      <c r="H1090" s="1" t="s">
        <v>0</v>
      </c>
      <c r="I1090" s="2">
        <v>0</v>
      </c>
      <c r="J1090" s="1">
        <v>45915.379224537035</v>
      </c>
    </row>
    <row r="1091" spans="1:10" x14ac:dyDescent="0.2">
      <c r="A1091" s="4" t="s">
        <v>1</v>
      </c>
      <c r="B1091" s="3" t="str">
        <f>HYPERLINK("https://otsuka-europe-crm.veevavault.com/ui/#object/approved_document__v/V5OZ025E82TFUPI", "Spain - HCP Survey Email - June 2025")</f>
        <v>Spain - HCP Survey Email - June 2025</v>
      </c>
      <c r="C1091" s="3" t="str">
        <f>HYPERLINK("https://otsuka-europe-crm.veevavault.com/ui/#object/sent_email__v/VBLZ025E82GMYD8", "SE-000268162")</f>
        <v>SE-000268162</v>
      </c>
      <c r="D1091" s="1">
        <v>45922.137743055559</v>
      </c>
      <c r="E1091" s="2">
        <v>1</v>
      </c>
      <c r="F1091" s="2">
        <v>3</v>
      </c>
      <c r="G1091" s="2">
        <v>0</v>
      </c>
      <c r="H1091" s="1" t="s">
        <v>0</v>
      </c>
      <c r="I1091" s="2">
        <v>0</v>
      </c>
      <c r="J1091" s="1">
        <v>45915.377662037034</v>
      </c>
    </row>
    <row r="1092" spans="1:10" x14ac:dyDescent="0.2">
      <c r="A1092" s="4" t="s">
        <v>1</v>
      </c>
      <c r="B1092" s="3" t="str">
        <f>HYPERLINK("https://otsuka-europe-crm.veevavault.com/ui/#object/approved_document__v/V5OZ025E82TFUPI", "Spain - HCP Survey Email - June 2025")</f>
        <v>Spain - HCP Survey Email - June 2025</v>
      </c>
      <c r="C1092" s="3" t="str">
        <f>HYPERLINK("https://otsuka-europe-crm.veevavault.com/ui/#object/sent_email__v/VBLZ025E82GMYD9", "SE-000268163")</f>
        <v>SE-000268163</v>
      </c>
      <c r="D1092" s="1">
        <v>45916.028541666667</v>
      </c>
      <c r="E1092" s="2">
        <v>1</v>
      </c>
      <c r="F1092" s="2">
        <v>1</v>
      </c>
      <c r="G1092" s="2">
        <v>0</v>
      </c>
      <c r="H1092" s="1" t="s">
        <v>0</v>
      </c>
      <c r="I1092" s="2">
        <v>0</v>
      </c>
      <c r="J1092" s="1">
        <v>45915.377581018518</v>
      </c>
    </row>
    <row r="1093" spans="1:10" x14ac:dyDescent="0.2">
      <c r="A1093" s="4" t="s">
        <v>1</v>
      </c>
      <c r="B1093" s="3" t="str">
        <f>HYPERLINK("https://otsuka-europe-crm.veevavault.com/ui/#object/approved_document__v/V5OZ025E82TFUPI", "Spain - HCP Survey Email - June 2025")</f>
        <v>Spain - HCP Survey Email - June 2025</v>
      </c>
      <c r="C1093" s="3" t="str">
        <f>HYPERLINK("https://otsuka-europe-crm.veevavault.com/ui/#object/sent_email__v/VBLZ025E82GMYDA", "SE-000268164")</f>
        <v>SE-000268164</v>
      </c>
      <c r="D1093" s="1">
        <v>45915.384189814817</v>
      </c>
      <c r="E1093" s="2">
        <v>1</v>
      </c>
      <c r="F1093" s="2">
        <v>1</v>
      </c>
      <c r="G1093" s="2">
        <v>0</v>
      </c>
      <c r="H1093" s="1" t="s">
        <v>0</v>
      </c>
      <c r="I1093" s="2">
        <v>0</v>
      </c>
      <c r="J1093" s="1">
        <v>45915.377962962964</v>
      </c>
    </row>
    <row r="1094" spans="1:10" x14ac:dyDescent="0.2">
      <c r="A1094" s="4" t="s">
        <v>1</v>
      </c>
      <c r="B1094" s="3" t="str">
        <f>HYPERLINK("https://otsuka-europe-crm.veevavault.com/ui/#object/approved_document__v/V5OZ025E82TFUPI", "Spain - HCP Survey Email - June 2025")</f>
        <v>Spain - HCP Survey Email - June 2025</v>
      </c>
      <c r="C1094" s="3" t="str">
        <f>HYPERLINK("https://otsuka-europe-crm.veevavault.com/ui/#object/sent_email__v/VBLZ025E82GMYDB", "SE-000268165")</f>
        <v>SE-000268165</v>
      </c>
      <c r="D1094" s="1" t="s">
        <v>0</v>
      </c>
      <c r="E1094" s="2">
        <v>0</v>
      </c>
      <c r="F1094" s="2">
        <v>0</v>
      </c>
      <c r="G1094" s="2">
        <v>0</v>
      </c>
      <c r="H1094" s="1" t="s">
        <v>0</v>
      </c>
      <c r="I1094" s="2">
        <v>0</v>
      </c>
      <c r="J1094" s="1">
        <v>45915.378888888888</v>
      </c>
    </row>
    <row r="1095" spans="1:10" x14ac:dyDescent="0.2">
      <c r="A1095" s="4" t="s">
        <v>1</v>
      </c>
      <c r="B1095" s="3" t="str">
        <f>HYPERLINK("https://otsuka-europe-crm.veevavault.com/ui/#object/approved_document__v/V5OZ025E82TFUPI", "Spain - HCP Survey Email - June 2025")</f>
        <v>Spain - HCP Survey Email - June 2025</v>
      </c>
      <c r="C1095" s="3" t="str">
        <f>HYPERLINK("https://otsuka-europe-crm.veevavault.com/ui/#object/sent_email__v/VBLZ025E82GMYDC", "SE-000268166")</f>
        <v>SE-000268166</v>
      </c>
      <c r="D1095" s="1">
        <v>45965.498807870368</v>
      </c>
      <c r="E1095" s="2">
        <v>1</v>
      </c>
      <c r="F1095" s="2">
        <v>2</v>
      </c>
      <c r="G1095" s="2">
        <v>0</v>
      </c>
      <c r="H1095" s="1" t="s">
        <v>0</v>
      </c>
      <c r="I1095" s="2">
        <v>0</v>
      </c>
      <c r="J1095" s="1">
        <v>45915.379699074074</v>
      </c>
    </row>
    <row r="1096" spans="1:10" x14ac:dyDescent="0.2">
      <c r="A1096" s="4" t="s">
        <v>1</v>
      </c>
      <c r="B1096" s="3" t="str">
        <f>HYPERLINK("https://otsuka-europe-crm.veevavault.com/ui/#object/approved_document__v/V5OZ025E82TFUPI", "Spain - HCP Survey Email - June 2025")</f>
        <v>Spain - HCP Survey Email - June 2025</v>
      </c>
      <c r="C1096" s="3" t="str">
        <f>HYPERLINK("https://otsuka-europe-crm.veevavault.com/ui/#object/sent_email__v/VBLZ025E82GMYDD", "SE-000268167")</f>
        <v>SE-000268167</v>
      </c>
      <c r="D1096" s="1" t="s">
        <v>0</v>
      </c>
      <c r="E1096" s="2">
        <v>0</v>
      </c>
      <c r="F1096" s="2">
        <v>0</v>
      </c>
      <c r="G1096" s="2">
        <v>0</v>
      </c>
      <c r="H1096" s="1" t="s">
        <v>0</v>
      </c>
      <c r="I1096" s="2">
        <v>0</v>
      </c>
      <c r="J1096" s="1">
        <v>45915.379247685189</v>
      </c>
    </row>
    <row r="1097" spans="1:10" x14ac:dyDescent="0.2">
      <c r="A1097" s="4" t="s">
        <v>1</v>
      </c>
      <c r="B1097" s="3" t="str">
        <f>HYPERLINK("https://otsuka-europe-crm.veevavault.com/ui/#object/approved_document__v/V5OZ025E82TFUPI", "Spain - HCP Survey Email - June 2025")</f>
        <v>Spain - HCP Survey Email - June 2025</v>
      </c>
      <c r="C1097" s="3" t="str">
        <f>HYPERLINK("https://otsuka-europe-crm.veevavault.com/ui/#object/sent_email__v/VBLZ025E82GMYDE", "SE-000268168")</f>
        <v>SE-000268168</v>
      </c>
      <c r="D1097" s="1">
        <v>45915.38177083333</v>
      </c>
      <c r="E1097" s="2">
        <v>1</v>
      </c>
      <c r="F1097" s="2">
        <v>1</v>
      </c>
      <c r="G1097" s="2">
        <v>0</v>
      </c>
      <c r="H1097" s="1" t="s">
        <v>0</v>
      </c>
      <c r="I1097" s="2">
        <v>0</v>
      </c>
      <c r="J1097" s="1">
        <v>45915.377511574072</v>
      </c>
    </row>
    <row r="1098" spans="1:10" x14ac:dyDescent="0.2">
      <c r="A1098" s="4" t="s">
        <v>1</v>
      </c>
      <c r="B1098" s="3" t="str">
        <f>HYPERLINK("https://otsuka-europe-crm.veevavault.com/ui/#object/approved_document__v/V5OZ025E82TFUPI", "Spain - HCP Survey Email - June 2025")</f>
        <v>Spain - HCP Survey Email - June 2025</v>
      </c>
      <c r="C1098" s="3" t="str">
        <f>HYPERLINK("https://otsuka-europe-crm.veevavault.com/ui/#object/sent_email__v/VBLZ025E82GMYDF", "SE-000268169")</f>
        <v>SE-000268169</v>
      </c>
      <c r="D1098" s="1">
        <v>45915.451053240744</v>
      </c>
      <c r="E1098" s="2">
        <v>1</v>
      </c>
      <c r="F1098" s="2">
        <v>1</v>
      </c>
      <c r="G1098" s="2">
        <v>0</v>
      </c>
      <c r="H1098" s="1" t="s">
        <v>0</v>
      </c>
      <c r="I1098" s="2">
        <v>0</v>
      </c>
      <c r="J1098" s="1">
        <v>45915.378425925926</v>
      </c>
    </row>
    <row r="1099" spans="1:10" x14ac:dyDescent="0.2">
      <c r="A1099" s="4" t="s">
        <v>1</v>
      </c>
      <c r="B1099" s="3" t="str">
        <f>HYPERLINK("https://otsuka-europe-crm.veevavault.com/ui/#object/approved_document__v/V5OZ025E82TFUPI", "Spain - HCP Survey Email - June 2025")</f>
        <v>Spain - HCP Survey Email - June 2025</v>
      </c>
      <c r="C1099" s="3" t="str">
        <f>HYPERLINK("https://otsuka-europe-crm.veevavault.com/ui/#object/sent_email__v/VBLZ025E82GMYDG", "SE-000268170")</f>
        <v>SE-000268170</v>
      </c>
      <c r="D1099" s="1" t="s">
        <v>0</v>
      </c>
      <c r="E1099" s="2">
        <v>0</v>
      </c>
      <c r="F1099" s="2">
        <v>0</v>
      </c>
      <c r="G1099" s="2">
        <v>0</v>
      </c>
      <c r="H1099" s="1" t="s">
        <v>0</v>
      </c>
      <c r="I1099" s="2">
        <v>0</v>
      </c>
      <c r="J1099" s="1">
        <v>45915.378912037035</v>
      </c>
    </row>
    <row r="1100" spans="1:10" x14ac:dyDescent="0.2">
      <c r="A1100" s="4" t="s">
        <v>1</v>
      </c>
      <c r="B1100" s="3" t="str">
        <f>HYPERLINK("https://otsuka-europe-crm.veevavault.com/ui/#object/approved_document__v/V5OZ025E82TFUPI", "Spain - HCP Survey Email - June 2025")</f>
        <v>Spain - HCP Survey Email - June 2025</v>
      </c>
      <c r="C1100" s="3" t="str">
        <f>HYPERLINK("https://otsuka-europe-crm.veevavault.com/ui/#object/sent_email__v/VBLZ025E82GMYDH", "SE-000268171")</f>
        <v>SE-000268171</v>
      </c>
      <c r="D1100" s="1">
        <v>45915.606956018521</v>
      </c>
      <c r="E1100" s="2">
        <v>1</v>
      </c>
      <c r="F1100" s="2">
        <v>1</v>
      </c>
      <c r="G1100" s="2">
        <v>0</v>
      </c>
      <c r="H1100" s="1" t="s">
        <v>0</v>
      </c>
      <c r="I1100" s="2">
        <v>0</v>
      </c>
      <c r="J1100" s="1">
        <v>45915.378761574073</v>
      </c>
    </row>
    <row r="1101" spans="1:10" x14ac:dyDescent="0.2">
      <c r="A1101" s="4" t="s">
        <v>1</v>
      </c>
      <c r="B1101" s="3" t="str">
        <f>HYPERLINK("https://otsuka-europe-crm.veevavault.com/ui/#object/approved_document__v/V5OZ025E82TFUPI", "Spain - HCP Survey Email - June 2025")</f>
        <v>Spain - HCP Survey Email - June 2025</v>
      </c>
      <c r="C1101" s="3" t="str">
        <f>HYPERLINK("https://otsuka-europe-crm.veevavault.com/ui/#object/sent_email__v/VBLZ025E82GMYDI", "SE-000268172")</f>
        <v>SE-000268172</v>
      </c>
      <c r="D1101" s="1" t="s">
        <v>0</v>
      </c>
      <c r="E1101" s="2">
        <v>0</v>
      </c>
      <c r="F1101" s="2">
        <v>0</v>
      </c>
      <c r="G1101" s="2">
        <v>0</v>
      </c>
      <c r="H1101" s="1" t="s">
        <v>0</v>
      </c>
      <c r="I1101" s="2">
        <v>0</v>
      </c>
      <c r="J1101" s="1">
        <v>45915.379224537035</v>
      </c>
    </row>
    <row r="1102" spans="1:10" x14ac:dyDescent="0.2">
      <c r="A1102" s="4" t="s">
        <v>1</v>
      </c>
      <c r="B1102" s="3" t="str">
        <f>HYPERLINK("https://otsuka-europe-crm.veevavault.com/ui/#object/approved_document__v/V5OZ025E82TFUPI", "Spain - HCP Survey Email - June 2025")</f>
        <v>Spain - HCP Survey Email - June 2025</v>
      </c>
      <c r="C1102" s="3" t="str">
        <f>HYPERLINK("https://otsuka-europe-crm.veevavault.com/ui/#object/sent_email__v/VBLZ025E82GMYDJ", "SE-000268173")</f>
        <v>SE-000268173</v>
      </c>
      <c r="D1102" s="1">
        <v>45915.542442129627</v>
      </c>
      <c r="E1102" s="2">
        <v>1</v>
      </c>
      <c r="F1102" s="2">
        <v>1</v>
      </c>
      <c r="G1102" s="2">
        <v>0</v>
      </c>
      <c r="H1102" s="1" t="s">
        <v>0</v>
      </c>
      <c r="I1102" s="2">
        <v>0</v>
      </c>
      <c r="J1102" s="1">
        <v>45915.377662037034</v>
      </c>
    </row>
    <row r="1103" spans="1:10" x14ac:dyDescent="0.2">
      <c r="A1103" s="4" t="s">
        <v>1</v>
      </c>
      <c r="B1103" s="3" t="str">
        <f>HYPERLINK("https://otsuka-europe-crm.veevavault.com/ui/#object/approved_document__v/V5OZ025E82TFUPI", "Spain - HCP Survey Email - June 2025")</f>
        <v>Spain - HCP Survey Email - June 2025</v>
      </c>
      <c r="C1103" s="3" t="str">
        <f>HYPERLINK("https://otsuka-europe-crm.veevavault.com/ui/#object/sent_email__v/VBLZ025E82GMYDK", "SE-000268174")</f>
        <v>SE-000268174</v>
      </c>
      <c r="D1103" s="1">
        <v>45916.581203703703</v>
      </c>
      <c r="E1103" s="2">
        <v>1</v>
      </c>
      <c r="F1103" s="2">
        <v>2</v>
      </c>
      <c r="G1103" s="2">
        <v>0</v>
      </c>
      <c r="H1103" s="1" t="s">
        <v>0</v>
      </c>
      <c r="I1103" s="2">
        <v>0</v>
      </c>
      <c r="J1103" s="1">
        <v>45915.377581018518</v>
      </c>
    </row>
    <row r="1104" spans="1:10" x14ac:dyDescent="0.2">
      <c r="A1104" s="4" t="s">
        <v>1</v>
      </c>
      <c r="B1104" s="3" t="str">
        <f>HYPERLINK("https://otsuka-europe-crm.veevavault.com/ui/#object/approved_document__v/V5OZ025E82TFUPI", "Spain - HCP Survey Email - June 2025")</f>
        <v>Spain - HCP Survey Email - June 2025</v>
      </c>
      <c r="C1104" s="3" t="str">
        <f>HYPERLINK("https://otsuka-europe-crm.veevavault.com/ui/#object/sent_email__v/VBLZ025E82GMYDL", "SE-000268175")</f>
        <v>SE-000268175</v>
      </c>
      <c r="D1104" s="1">
        <v>45915.726099537038</v>
      </c>
      <c r="E1104" s="2">
        <v>1</v>
      </c>
      <c r="F1104" s="2">
        <v>2</v>
      </c>
      <c r="G1104" s="2">
        <v>0</v>
      </c>
      <c r="H1104" s="1" t="s">
        <v>0</v>
      </c>
      <c r="I1104" s="2">
        <v>0</v>
      </c>
      <c r="J1104" s="1">
        <v>45915.377893518518</v>
      </c>
    </row>
    <row r="1105" spans="1:10" x14ac:dyDescent="0.2">
      <c r="A1105" s="4" t="s">
        <v>1</v>
      </c>
      <c r="B1105" s="3" t="str">
        <f>HYPERLINK("https://otsuka-europe-crm.veevavault.com/ui/#object/approved_document__v/V5OZ025E82TFUPI", "Spain - HCP Survey Email - June 2025")</f>
        <v>Spain - HCP Survey Email - June 2025</v>
      </c>
      <c r="C1105" s="3" t="str">
        <f>HYPERLINK("https://otsuka-europe-crm.veevavault.com/ui/#object/sent_email__v/VBLZ025E82GMYDM", "SE-000268176")</f>
        <v>SE-000268176</v>
      </c>
      <c r="D1105" s="1">
        <v>45915.619259259256</v>
      </c>
      <c r="E1105" s="2">
        <v>1</v>
      </c>
      <c r="F1105" s="2">
        <v>1</v>
      </c>
      <c r="G1105" s="2">
        <v>0</v>
      </c>
      <c r="H1105" s="1" t="s">
        <v>0</v>
      </c>
      <c r="I1105" s="2">
        <v>0</v>
      </c>
      <c r="J1105" s="1">
        <v>45915.378935185188</v>
      </c>
    </row>
    <row r="1106" spans="1:10" x14ac:dyDescent="0.2">
      <c r="A1106" s="4" t="s">
        <v>1</v>
      </c>
      <c r="B1106" s="3" t="str">
        <f>HYPERLINK("https://otsuka-europe-crm.veevavault.com/ui/#object/approved_document__v/V5OZ025E82TFUPI", "Spain - HCP Survey Email - June 2025")</f>
        <v>Spain - HCP Survey Email - June 2025</v>
      </c>
      <c r="C1106" s="3" t="str">
        <f>HYPERLINK("https://otsuka-europe-crm.veevavault.com/ui/#object/sent_email__v/VBLZ025E82GMYDN", "SE-000268177")</f>
        <v>SE-000268177</v>
      </c>
      <c r="D1106" s="1">
        <v>45915.725856481484</v>
      </c>
      <c r="E1106" s="2">
        <v>1</v>
      </c>
      <c r="F1106" s="2">
        <v>3</v>
      </c>
      <c r="G1106" s="2">
        <v>1</v>
      </c>
      <c r="H1106" s="1">
        <v>45915.698888888888</v>
      </c>
      <c r="I1106" s="2">
        <v>2</v>
      </c>
      <c r="J1106" s="1">
        <v>45915.379641203705</v>
      </c>
    </row>
    <row r="1107" spans="1:10" x14ac:dyDescent="0.2">
      <c r="A1107" s="4" t="s">
        <v>1</v>
      </c>
      <c r="B1107" s="3" t="str">
        <f>HYPERLINK("https://otsuka-europe-crm.veevavault.com/ui/#object/approved_document__v/V5OZ025E82TFUPI", "Spain - HCP Survey Email - June 2025")</f>
        <v>Spain - HCP Survey Email - June 2025</v>
      </c>
      <c r="C1107" s="3" t="str">
        <f>HYPERLINK("https://otsuka-europe-crm.veevavault.com/ui/#object/sent_email__v/VBLZ025E82GMYDO", "SE-000268178")</f>
        <v>SE-000268178</v>
      </c>
      <c r="D1107" s="1">
        <v>45916.373148148145</v>
      </c>
      <c r="E1107" s="2">
        <v>1</v>
      </c>
      <c r="F1107" s="2">
        <v>3</v>
      </c>
      <c r="G1107" s="2">
        <v>0</v>
      </c>
      <c r="H1107" s="1" t="s">
        <v>0</v>
      </c>
      <c r="I1107" s="2">
        <v>0</v>
      </c>
      <c r="J1107" s="1">
        <v>45915.37940972222</v>
      </c>
    </row>
    <row r="1108" spans="1:10" x14ac:dyDescent="0.2">
      <c r="A1108" s="4" t="s">
        <v>1</v>
      </c>
      <c r="B1108" s="3" t="str">
        <f>HYPERLINK("https://otsuka-europe-crm.veevavault.com/ui/#object/approved_document__v/V5OZ025E82TFUPI", "Spain - HCP Survey Email - June 2025")</f>
        <v>Spain - HCP Survey Email - June 2025</v>
      </c>
      <c r="C1108" s="3" t="str">
        <f>HYPERLINK("https://otsuka-europe-crm.veevavault.com/ui/#object/sent_email__v/VBLZ025E82GMYDP", "SE-000268179")</f>
        <v>SE-000268179</v>
      </c>
      <c r="D1108" s="1">
        <v>45915.936886574076</v>
      </c>
      <c r="E1108" s="2">
        <v>1</v>
      </c>
      <c r="F1108" s="2">
        <v>3</v>
      </c>
      <c r="G1108" s="2">
        <v>0</v>
      </c>
      <c r="H1108" s="1" t="s">
        <v>0</v>
      </c>
      <c r="I1108" s="2">
        <v>0</v>
      </c>
      <c r="J1108" s="1">
        <v>45915.377488425926</v>
      </c>
    </row>
    <row r="1109" spans="1:10" x14ac:dyDescent="0.2">
      <c r="A1109" s="4" t="s">
        <v>1</v>
      </c>
      <c r="B1109" s="3" t="str">
        <f>HYPERLINK("https://otsuka-europe-crm.veevavault.com/ui/#object/approved_document__v/V5OZ025E82TFUPI", "Spain - HCP Survey Email - June 2025")</f>
        <v>Spain - HCP Survey Email - June 2025</v>
      </c>
      <c r="C1109" s="3" t="str">
        <f>HYPERLINK("https://otsuka-europe-crm.veevavault.com/ui/#object/sent_email__v/VBLZ025E82GMYDQ", "SE-000268180")</f>
        <v>SE-000268180</v>
      </c>
      <c r="D1109" s="1" t="s">
        <v>0</v>
      </c>
      <c r="E1109" s="2">
        <v>0</v>
      </c>
      <c r="F1109" s="2">
        <v>0</v>
      </c>
      <c r="G1109" s="2">
        <v>0</v>
      </c>
      <c r="H1109" s="1" t="s">
        <v>0</v>
      </c>
      <c r="I1109" s="2">
        <v>0</v>
      </c>
      <c r="J1109" s="1">
        <v>45915.378391203703</v>
      </c>
    </row>
    <row r="1110" spans="1:10" x14ac:dyDescent="0.2">
      <c r="A1110" s="4" t="s">
        <v>1</v>
      </c>
      <c r="B1110" s="3" t="str">
        <f>HYPERLINK("https://otsuka-europe-crm.veevavault.com/ui/#object/approved_document__v/V5OZ025E82TFUPI", "Spain - HCP Survey Email - June 2025")</f>
        <v>Spain - HCP Survey Email - June 2025</v>
      </c>
      <c r="C1110" s="3" t="str">
        <f>HYPERLINK("https://otsuka-europe-crm.veevavault.com/ui/#object/sent_email__v/VBLZ025E82GMYDR", "SE-000268181")</f>
        <v>SE-000268181</v>
      </c>
      <c r="D1110" s="1" t="s">
        <v>0</v>
      </c>
      <c r="E1110" s="2">
        <v>0</v>
      </c>
      <c r="F1110" s="2">
        <v>0</v>
      </c>
      <c r="G1110" s="2">
        <v>0</v>
      </c>
      <c r="H1110" s="1" t="s">
        <v>0</v>
      </c>
      <c r="I1110" s="2">
        <v>0</v>
      </c>
      <c r="J1110" s="1">
        <v>45915.378900462965</v>
      </c>
    </row>
    <row r="1111" spans="1:10" x14ac:dyDescent="0.2">
      <c r="A1111" s="4" t="s">
        <v>1</v>
      </c>
      <c r="B1111" s="3" t="str">
        <f>HYPERLINK("https://otsuka-europe-crm.veevavault.com/ui/#object/approved_document__v/V5OZ025E82TFUPI", "Spain - HCP Survey Email - June 2025")</f>
        <v>Spain - HCP Survey Email - June 2025</v>
      </c>
      <c r="C1111" s="3" t="str">
        <f>HYPERLINK("https://otsuka-europe-crm.veevavault.com/ui/#object/sent_email__v/VBLZ025E82GMYDS", "SE-000268182")</f>
        <v>SE-000268182</v>
      </c>
      <c r="D1111" s="1" t="s">
        <v>0</v>
      </c>
      <c r="E1111" s="2">
        <v>0</v>
      </c>
      <c r="F1111" s="2">
        <v>0</v>
      </c>
      <c r="G1111" s="2">
        <v>0</v>
      </c>
      <c r="H1111" s="1" t="s">
        <v>0</v>
      </c>
      <c r="I1111" s="2">
        <v>0</v>
      </c>
      <c r="J1111" s="1">
        <v>45915.378738425927</v>
      </c>
    </row>
    <row r="1112" spans="1:10" x14ac:dyDescent="0.2">
      <c r="A1112" s="4" t="s">
        <v>1</v>
      </c>
      <c r="B1112" s="3" t="str">
        <f>HYPERLINK("https://otsuka-europe-crm.veevavault.com/ui/#object/approved_document__v/V5OZ025E82TFUPI", "Spain - HCP Survey Email - June 2025")</f>
        <v>Spain - HCP Survey Email - June 2025</v>
      </c>
      <c r="C1112" s="3" t="str">
        <f>HYPERLINK("https://otsuka-europe-crm.veevavault.com/ui/#object/sent_email__v/VBLZ025E82GMYDT", "SE-000268183")</f>
        <v>SE-000268183</v>
      </c>
      <c r="D1112" s="1" t="s">
        <v>0</v>
      </c>
      <c r="E1112" s="2">
        <v>0</v>
      </c>
      <c r="F1112" s="2">
        <v>0</v>
      </c>
      <c r="G1112" s="2">
        <v>0</v>
      </c>
      <c r="H1112" s="1" t="s">
        <v>0</v>
      </c>
      <c r="I1112" s="2">
        <v>0</v>
      </c>
      <c r="J1112" s="1">
        <v>45915.379236111112</v>
      </c>
    </row>
    <row r="1113" spans="1:10" x14ac:dyDescent="0.2">
      <c r="A1113" s="4" t="s">
        <v>1</v>
      </c>
      <c r="B1113" s="3" t="str">
        <f>HYPERLINK("https://otsuka-europe-crm.veevavault.com/ui/#object/approved_document__v/V5OZ025E82TFUPI", "Spain - HCP Survey Email - June 2025")</f>
        <v>Spain - HCP Survey Email - June 2025</v>
      </c>
      <c r="C1113" s="3" t="str">
        <f>HYPERLINK("https://otsuka-europe-crm.veevavault.com/ui/#object/sent_email__v/VBLZ025E82GMYDU", "SE-000268184")</f>
        <v>SE-000268184</v>
      </c>
      <c r="D1113" s="1" t="s">
        <v>0</v>
      </c>
      <c r="E1113" s="2">
        <v>0</v>
      </c>
      <c r="F1113" s="2">
        <v>0</v>
      </c>
      <c r="G1113" s="2">
        <v>0</v>
      </c>
      <c r="H1113" s="1" t="s">
        <v>0</v>
      </c>
      <c r="I1113" s="2">
        <v>0</v>
      </c>
      <c r="J1113" s="1">
        <v>45915.377881944441</v>
      </c>
    </row>
    <row r="1114" spans="1:10" x14ac:dyDescent="0.2">
      <c r="A1114" s="4" t="s">
        <v>1</v>
      </c>
      <c r="B1114" s="3" t="str">
        <f>HYPERLINK("https://otsuka-europe-crm.veevavault.com/ui/#object/approved_document__v/V5OZ025E82TFUPI", "Spain - HCP Survey Email - June 2025")</f>
        <v>Spain - HCP Survey Email - June 2025</v>
      </c>
      <c r="C1114" s="3" t="str">
        <f>HYPERLINK("https://otsuka-europe-crm.veevavault.com/ui/#object/sent_email__v/VBLZ025E82GMYDV", "SE-000268185")</f>
        <v>SE-000268185</v>
      </c>
      <c r="D1114" s="1">
        <v>45915.422013888892</v>
      </c>
      <c r="E1114" s="2">
        <v>1</v>
      </c>
      <c r="F1114" s="2">
        <v>3</v>
      </c>
      <c r="G1114" s="2">
        <v>0</v>
      </c>
      <c r="H1114" s="1" t="s">
        <v>0</v>
      </c>
      <c r="I1114" s="2">
        <v>0</v>
      </c>
      <c r="J1114" s="1">
        <v>45915.377546296295</v>
      </c>
    </row>
    <row r="1115" spans="1:10" x14ac:dyDescent="0.2">
      <c r="A1115" s="4" t="s">
        <v>1</v>
      </c>
      <c r="B1115" s="3" t="str">
        <f>HYPERLINK("https://otsuka-europe-crm.veevavault.com/ui/#object/approved_document__v/V5OZ025E82TFUPI", "Spain - HCP Survey Email - June 2025")</f>
        <v>Spain - HCP Survey Email - June 2025</v>
      </c>
      <c r="C1115" s="3" t="str">
        <f>HYPERLINK("https://otsuka-europe-crm.veevavault.com/ui/#object/sent_email__v/VBLZ025E82GMYDW", "SE-000268186")</f>
        <v>SE-000268186</v>
      </c>
      <c r="D1115" s="1">
        <v>45915.406226851854</v>
      </c>
      <c r="E1115" s="2">
        <v>1</v>
      </c>
      <c r="F1115" s="2">
        <v>1</v>
      </c>
      <c r="G1115" s="2">
        <v>0</v>
      </c>
      <c r="H1115" s="1" t="s">
        <v>0</v>
      </c>
      <c r="I1115" s="2">
        <v>0</v>
      </c>
      <c r="J1115" s="1">
        <v>45915.377858796295</v>
      </c>
    </row>
    <row r="1116" spans="1:10" x14ac:dyDescent="0.2">
      <c r="A1116" s="4" t="s">
        <v>1</v>
      </c>
      <c r="B1116" s="3" t="str">
        <f>HYPERLINK("https://otsuka-europe-crm.veevavault.com/ui/#object/approved_document__v/V5OZ025E82TFUPI", "Spain - HCP Survey Email - June 2025")</f>
        <v>Spain - HCP Survey Email - June 2025</v>
      </c>
      <c r="C1116" s="3" t="str">
        <f>HYPERLINK("https://otsuka-europe-crm.veevavault.com/ui/#object/sent_email__v/VBLZ025E82GMYDX", "SE-000268187")</f>
        <v>SE-000268187</v>
      </c>
      <c r="D1116" s="1" t="s">
        <v>0</v>
      </c>
      <c r="E1116" s="2">
        <v>0</v>
      </c>
      <c r="F1116" s="2">
        <v>0</v>
      </c>
      <c r="G1116" s="2">
        <v>0</v>
      </c>
      <c r="H1116" s="1" t="s">
        <v>0</v>
      </c>
      <c r="I1116" s="2">
        <v>0</v>
      </c>
      <c r="J1116" s="1">
        <v>45915.378946759258</v>
      </c>
    </row>
    <row r="1117" spans="1:10" x14ac:dyDescent="0.2">
      <c r="A1117" s="4" t="s">
        <v>1</v>
      </c>
      <c r="B1117" s="3" t="str">
        <f>HYPERLINK("https://otsuka-europe-crm.veevavault.com/ui/#object/approved_document__v/V5OZ025E82TFUPI", "Spain - HCP Survey Email - June 2025")</f>
        <v>Spain - HCP Survey Email - June 2025</v>
      </c>
      <c r="C1117" s="3" t="str">
        <f>HYPERLINK("https://otsuka-europe-crm.veevavault.com/ui/#object/sent_email__v/VBLZ025E82GMYDY", "SE-000268188")</f>
        <v>SE-000268188</v>
      </c>
      <c r="D1117" s="1">
        <v>45915.381886574076</v>
      </c>
      <c r="E1117" s="2">
        <v>1</v>
      </c>
      <c r="F1117" s="2">
        <v>1</v>
      </c>
      <c r="G1117" s="2">
        <v>0</v>
      </c>
      <c r="H1117" s="1" t="s">
        <v>0</v>
      </c>
      <c r="I1117" s="2">
        <v>0</v>
      </c>
      <c r="J1117" s="1">
        <v>45915.379641203705</v>
      </c>
    </row>
    <row r="1118" spans="1:10" x14ac:dyDescent="0.2">
      <c r="A1118" s="4" t="s">
        <v>1</v>
      </c>
      <c r="B1118" s="3" t="str">
        <f>HYPERLINK("https://otsuka-europe-crm.veevavault.com/ui/#object/approved_document__v/V5OZ025E82TFUPI", "Spain - HCP Survey Email - June 2025")</f>
        <v>Spain - HCP Survey Email - June 2025</v>
      </c>
      <c r="C1118" s="3" t="str">
        <f>HYPERLINK("https://otsuka-europe-crm.veevavault.com/ui/#object/sent_email__v/VBLZ025E82GMYDZ", "SE-000268189")</f>
        <v>SE-000268189</v>
      </c>
      <c r="D1118" s="1" t="s">
        <v>0</v>
      </c>
      <c r="E1118" s="2">
        <v>0</v>
      </c>
      <c r="F1118" s="2">
        <v>0</v>
      </c>
      <c r="G1118" s="2">
        <v>0</v>
      </c>
      <c r="H1118" s="1" t="s">
        <v>0</v>
      </c>
      <c r="I1118" s="2">
        <v>0</v>
      </c>
      <c r="J1118" s="1">
        <v>45915.379374999997</v>
      </c>
    </row>
    <row r="1119" spans="1:10" x14ac:dyDescent="0.2">
      <c r="A1119" s="4" t="s">
        <v>1</v>
      </c>
      <c r="B1119" s="3" t="str">
        <f>HYPERLINK("https://otsuka-europe-crm.veevavault.com/ui/#object/approved_document__v/V5OZ025E82TFUPI", "Spain - HCP Survey Email - June 2025")</f>
        <v>Spain - HCP Survey Email - June 2025</v>
      </c>
      <c r="C1119" s="3" t="str">
        <f>HYPERLINK("https://otsuka-europe-crm.veevavault.com/ui/#object/sent_email__v/VBLZ025E82GMYE0", "SE-000268190")</f>
        <v>SE-000268190</v>
      </c>
      <c r="D1119" s="1">
        <v>45915.541018518517</v>
      </c>
      <c r="E1119" s="2">
        <v>1</v>
      </c>
      <c r="F1119" s="2">
        <v>2</v>
      </c>
      <c r="G1119" s="2">
        <v>0</v>
      </c>
      <c r="H1119" s="1" t="s">
        <v>0</v>
      </c>
      <c r="I1119" s="2">
        <v>0</v>
      </c>
      <c r="J1119" s="1">
        <v>45915.377511574072</v>
      </c>
    </row>
    <row r="1120" spans="1:10" x14ac:dyDescent="0.2">
      <c r="A1120" s="4" t="s">
        <v>1</v>
      </c>
      <c r="B1120" s="3" t="str">
        <f>HYPERLINK("https://otsuka-europe-crm.veevavault.com/ui/#object/approved_document__v/V5OZ025E82TFUPI", "Spain - HCP Survey Email - June 2025")</f>
        <v>Spain - HCP Survey Email - June 2025</v>
      </c>
      <c r="C1120" s="3" t="str">
        <f>HYPERLINK("https://otsuka-europe-crm.veevavault.com/ui/#object/sent_email__v/VBLZ025E82GMYE1", "SE-000268191")</f>
        <v>SE-000268191</v>
      </c>
      <c r="D1120" s="1" t="s">
        <v>0</v>
      </c>
      <c r="E1120" s="2">
        <v>0</v>
      </c>
      <c r="F1120" s="2">
        <v>0</v>
      </c>
      <c r="G1120" s="2">
        <v>0</v>
      </c>
      <c r="H1120" s="1" t="s">
        <v>0</v>
      </c>
      <c r="I1120" s="2">
        <v>0</v>
      </c>
      <c r="J1120" s="1">
        <v>45915.378541666665</v>
      </c>
    </row>
    <row r="1121" spans="1:10" x14ac:dyDescent="0.2">
      <c r="A1121" s="4" t="s">
        <v>1</v>
      </c>
      <c r="B1121" s="3" t="str">
        <f>HYPERLINK("https://otsuka-europe-crm.veevavault.com/ui/#object/approved_document__v/V5OZ025E82TFUPI", "Spain - HCP Survey Email - June 2025")</f>
        <v>Spain - HCP Survey Email - June 2025</v>
      </c>
      <c r="C1121" s="3" t="str">
        <f>HYPERLINK("https://otsuka-europe-crm.veevavault.com/ui/#object/sent_email__v/VBLZ025E82GMYE2", "SE-000268192")</f>
        <v>SE-000268192</v>
      </c>
      <c r="D1121" s="1">
        <v>45915.494618055556</v>
      </c>
      <c r="E1121" s="2">
        <v>1</v>
      </c>
      <c r="F1121" s="2">
        <v>4</v>
      </c>
      <c r="G1121" s="2">
        <v>1</v>
      </c>
      <c r="H1121" s="1">
        <v>45915.494849537034</v>
      </c>
      <c r="I1121" s="2">
        <v>1</v>
      </c>
      <c r="J1121" s="1">
        <v>45915.378865740742</v>
      </c>
    </row>
    <row r="1122" spans="1:10" x14ac:dyDescent="0.2">
      <c r="A1122" s="4" t="s">
        <v>1</v>
      </c>
      <c r="B1122" s="3" t="str">
        <f>HYPERLINK("https://otsuka-europe-crm.veevavault.com/ui/#object/approved_document__v/V5OZ025E82TFUPI", "Spain - HCP Survey Email - June 2025")</f>
        <v>Spain - HCP Survey Email - June 2025</v>
      </c>
      <c r="C1122" s="3" t="str">
        <f>HYPERLINK("https://otsuka-europe-crm.veevavault.com/ui/#object/sent_email__v/VBLZ025E82GMYE3", "SE-000268193")</f>
        <v>SE-000268193</v>
      </c>
      <c r="D1122" s="1">
        <v>45915.860729166663</v>
      </c>
      <c r="E1122" s="2">
        <v>1</v>
      </c>
      <c r="F1122" s="2">
        <v>2</v>
      </c>
      <c r="G1122" s="2">
        <v>1</v>
      </c>
      <c r="H1122" s="1">
        <v>45915.86109953704</v>
      </c>
      <c r="I1122" s="2">
        <v>1</v>
      </c>
      <c r="J1122" s="1">
        <v>45915.37872685185</v>
      </c>
    </row>
    <row r="1123" spans="1:10" x14ac:dyDescent="0.2">
      <c r="A1123" s="4" t="s">
        <v>1</v>
      </c>
      <c r="B1123" s="3" t="str">
        <f>HYPERLINK("https://otsuka-europe-crm.veevavault.com/ui/#object/approved_document__v/V5OZ025E82TFUPI", "Spain - HCP Survey Email - June 2025")</f>
        <v>Spain - HCP Survey Email - June 2025</v>
      </c>
      <c r="C1123" s="3" t="str">
        <f>HYPERLINK("https://otsuka-europe-crm.veevavault.com/ui/#object/sent_email__v/VBLZ025E82GMYE4", "SE-000268194")</f>
        <v>SE-000268194</v>
      </c>
      <c r="D1123" s="1" t="s">
        <v>0</v>
      </c>
      <c r="E1123" s="2">
        <v>0</v>
      </c>
      <c r="F1123" s="2">
        <v>0</v>
      </c>
      <c r="G1123" s="2">
        <v>0</v>
      </c>
      <c r="H1123" s="1" t="s">
        <v>0</v>
      </c>
      <c r="I1123" s="2">
        <v>0</v>
      </c>
      <c r="J1123" s="1">
        <v>45915.377534722225</v>
      </c>
    </row>
    <row r="1124" spans="1:10" x14ac:dyDescent="0.2">
      <c r="A1124" s="4" t="s">
        <v>1</v>
      </c>
      <c r="B1124" s="3" t="str">
        <f>HYPERLINK("https://otsuka-europe-crm.veevavault.com/ui/#object/approved_document__v/V5OZ025E82TFUPI", "Spain - HCP Survey Email - June 2025")</f>
        <v>Spain - HCP Survey Email - June 2025</v>
      </c>
      <c r="C1124" s="3" t="str">
        <f>HYPERLINK("https://otsuka-europe-crm.veevavault.com/ui/#object/sent_email__v/VBLZ025E82GMYE5", "SE-000268195")</f>
        <v>SE-000268195</v>
      </c>
      <c r="D1124" s="1">
        <v>45915.419652777775</v>
      </c>
      <c r="E1124" s="2">
        <v>1</v>
      </c>
      <c r="F1124" s="2">
        <v>1</v>
      </c>
      <c r="G1124" s="2">
        <v>0</v>
      </c>
      <c r="H1124" s="1" t="s">
        <v>0</v>
      </c>
      <c r="I1124" s="2">
        <v>0</v>
      </c>
      <c r="J1124" s="1">
        <v>45915.378483796296</v>
      </c>
    </row>
    <row r="1125" spans="1:10" x14ac:dyDescent="0.2">
      <c r="A1125" s="4" t="s">
        <v>1</v>
      </c>
      <c r="B1125" s="3" t="str">
        <f>HYPERLINK("https://otsuka-europe-crm.veevavault.com/ui/#object/approved_document__v/V5OZ025E82TFUPI", "Spain - HCP Survey Email - June 2025")</f>
        <v>Spain - HCP Survey Email - June 2025</v>
      </c>
      <c r="C1125" s="3" t="str">
        <f>HYPERLINK("https://otsuka-europe-crm.veevavault.com/ui/#object/sent_email__v/VBLZ025E82GMYE6", "SE-000268196")</f>
        <v>SE-000268196</v>
      </c>
      <c r="D1125" s="1">
        <v>45915.419791666667</v>
      </c>
      <c r="E1125" s="2">
        <v>1</v>
      </c>
      <c r="F1125" s="2">
        <v>2</v>
      </c>
      <c r="G1125" s="2">
        <v>0</v>
      </c>
      <c r="H1125" s="1" t="s">
        <v>0</v>
      </c>
      <c r="I1125" s="2">
        <v>0</v>
      </c>
      <c r="J1125" s="1">
        <v>45915.378946759258</v>
      </c>
    </row>
    <row r="1126" spans="1:10" x14ac:dyDescent="0.2">
      <c r="A1126" s="4" t="s">
        <v>1</v>
      </c>
      <c r="B1126" s="3" t="str">
        <f>HYPERLINK("https://otsuka-europe-crm.veevavault.com/ui/#object/approved_document__v/V5OZ025E82TFUPI", "Spain - HCP Survey Email - June 2025")</f>
        <v>Spain - HCP Survey Email - June 2025</v>
      </c>
      <c r="C1126" s="3" t="str">
        <f>HYPERLINK("https://otsuka-europe-crm.veevavault.com/ui/#object/sent_email__v/VBLZ025E82GMYE7", "SE-000268197")</f>
        <v>SE-000268197</v>
      </c>
      <c r="D1126" s="1">
        <v>45915.742754629631</v>
      </c>
      <c r="E1126" s="2">
        <v>1</v>
      </c>
      <c r="F1126" s="2">
        <v>4</v>
      </c>
      <c r="G1126" s="2">
        <v>1</v>
      </c>
      <c r="H1126" s="1">
        <v>45915.665821759256</v>
      </c>
      <c r="I1126" s="2">
        <v>2</v>
      </c>
      <c r="J1126" s="1">
        <v>45915.378738425927</v>
      </c>
    </row>
    <row r="1127" spans="1:10" x14ac:dyDescent="0.2">
      <c r="A1127" s="4" t="s">
        <v>1</v>
      </c>
      <c r="B1127" s="3" t="str">
        <f>HYPERLINK("https://otsuka-europe-crm.veevavault.com/ui/#object/approved_document__v/V5OZ025E82TFUPI", "Spain - HCP Survey Email - June 2025")</f>
        <v>Spain - HCP Survey Email - June 2025</v>
      </c>
      <c r="C1127" s="3" t="str">
        <f>HYPERLINK("https://otsuka-europe-crm.veevavault.com/ui/#object/sent_email__v/VBLZ025E82GMYE8", "SE-000268198")</f>
        <v>SE-000268198</v>
      </c>
      <c r="D1127" s="1" t="s">
        <v>0</v>
      </c>
      <c r="E1127" s="2">
        <v>0</v>
      </c>
      <c r="F1127" s="2">
        <v>0</v>
      </c>
      <c r="G1127" s="2">
        <v>0</v>
      </c>
      <c r="H1127" s="1" t="s">
        <v>0</v>
      </c>
      <c r="I1127" s="2">
        <v>0</v>
      </c>
      <c r="J1127" s="1">
        <v>45915.379212962966</v>
      </c>
    </row>
    <row r="1128" spans="1:10" x14ac:dyDescent="0.2">
      <c r="A1128" s="4" t="s">
        <v>1</v>
      </c>
      <c r="B1128" s="3" t="str">
        <f>HYPERLINK("https://otsuka-europe-crm.veevavault.com/ui/#object/approved_document__v/V5OZ025E82TFUPI", "Spain - HCP Survey Email - June 2025")</f>
        <v>Spain - HCP Survey Email - June 2025</v>
      </c>
      <c r="C1128" s="3" t="str">
        <f>HYPERLINK("https://otsuka-europe-crm.veevavault.com/ui/#object/sent_email__v/VBLZ025E82GMYE9", "SE-000268199")</f>
        <v>SE-000268199</v>
      </c>
      <c r="D1128" s="1" t="s">
        <v>0</v>
      </c>
      <c r="E1128" s="2">
        <v>0</v>
      </c>
      <c r="F1128" s="2">
        <v>0</v>
      </c>
      <c r="G1128" s="2">
        <v>0</v>
      </c>
      <c r="H1128" s="1" t="s">
        <v>0</v>
      </c>
      <c r="I1128" s="2">
        <v>0</v>
      </c>
      <c r="J1128" s="1">
        <v>45915.377858796295</v>
      </c>
    </row>
    <row r="1129" spans="1:10" x14ac:dyDescent="0.2">
      <c r="A1129" s="4" t="s">
        <v>1</v>
      </c>
      <c r="B1129" s="3" t="str">
        <f>HYPERLINK("https://otsuka-europe-crm.veevavault.com/ui/#object/approved_document__v/V5OZ025E82TFUPI", "Spain - HCP Survey Email - June 2025")</f>
        <v>Spain - HCP Survey Email - June 2025</v>
      </c>
      <c r="C1129" s="3" t="str">
        <f>HYPERLINK("https://otsuka-europe-crm.veevavault.com/ui/#object/sent_email__v/VBLZ025E82GMYEA", "SE-000268200")</f>
        <v>SE-000268200</v>
      </c>
      <c r="D1129" s="1">
        <v>45915.476446759261</v>
      </c>
      <c r="E1129" s="2">
        <v>1</v>
      </c>
      <c r="F1129" s="2">
        <v>1</v>
      </c>
      <c r="G1129" s="2">
        <v>0</v>
      </c>
      <c r="H1129" s="1" t="s">
        <v>0</v>
      </c>
      <c r="I1129" s="2">
        <v>0</v>
      </c>
      <c r="J1129" s="1">
        <v>45915.377569444441</v>
      </c>
    </row>
    <row r="1130" spans="1:10" x14ac:dyDescent="0.2">
      <c r="A1130" s="4" t="s">
        <v>1</v>
      </c>
      <c r="B1130" s="3" t="str">
        <f>HYPERLINK("https://otsuka-europe-crm.veevavault.com/ui/#object/approved_document__v/V5OZ025E82TFUPI", "Spain - HCP Survey Email - June 2025")</f>
        <v>Spain - HCP Survey Email - June 2025</v>
      </c>
      <c r="C1130" s="3" t="str">
        <f>HYPERLINK("https://otsuka-europe-crm.veevavault.com/ui/#object/sent_email__v/VBLZ025E82GMYEB", "SE-000268201")</f>
        <v>SE-000268201</v>
      </c>
      <c r="D1130" s="1" t="s">
        <v>0</v>
      </c>
      <c r="E1130" s="2">
        <v>0</v>
      </c>
      <c r="F1130" s="2">
        <v>0</v>
      </c>
      <c r="G1130" s="2">
        <v>0</v>
      </c>
      <c r="H1130" s="1" t="s">
        <v>0</v>
      </c>
      <c r="I1130" s="2">
        <v>0</v>
      </c>
      <c r="J1130" s="1">
        <v>45915.377881944441</v>
      </c>
    </row>
    <row r="1131" spans="1:10" x14ac:dyDescent="0.2">
      <c r="A1131" s="4" t="s">
        <v>1</v>
      </c>
      <c r="B1131" s="3" t="str">
        <f>HYPERLINK("https://otsuka-europe-crm.veevavault.com/ui/#object/approved_document__v/V5OZ025E82TFUPI", "Spain - HCP Survey Email - June 2025")</f>
        <v>Spain - HCP Survey Email - June 2025</v>
      </c>
      <c r="C1131" s="3" t="str">
        <f>HYPERLINK("https://otsuka-europe-crm.veevavault.com/ui/#object/sent_email__v/VBLZ025E82GMYEC", "SE-000268202")</f>
        <v>SE-000268202</v>
      </c>
      <c r="D1131" s="1" t="s">
        <v>0</v>
      </c>
      <c r="E1131" s="2">
        <v>0</v>
      </c>
      <c r="F1131" s="2">
        <v>0</v>
      </c>
      <c r="G1131" s="2">
        <v>0</v>
      </c>
      <c r="H1131" s="1" t="s">
        <v>0</v>
      </c>
      <c r="I1131" s="2">
        <v>0</v>
      </c>
      <c r="J1131" s="1">
        <v>45915.378969907404</v>
      </c>
    </row>
    <row r="1132" spans="1:10" x14ac:dyDescent="0.2">
      <c r="A1132" s="4" t="s">
        <v>1</v>
      </c>
      <c r="B1132" s="3" t="str">
        <f>HYPERLINK("https://otsuka-europe-crm.veevavault.com/ui/#object/approved_document__v/V5OZ025E82TFUPI", "Spain - HCP Survey Email - June 2025")</f>
        <v>Spain - HCP Survey Email - June 2025</v>
      </c>
      <c r="C1132" s="3" t="str">
        <f>HYPERLINK("https://otsuka-europe-crm.veevavault.com/ui/#object/sent_email__v/VBLZ025E82GMYED", "SE-000268203")</f>
        <v>SE-000268203</v>
      </c>
      <c r="D1132" s="1" t="s">
        <v>0</v>
      </c>
      <c r="E1132" s="2">
        <v>0</v>
      </c>
      <c r="F1132" s="2">
        <v>0</v>
      </c>
      <c r="G1132" s="2">
        <v>0</v>
      </c>
      <c r="H1132" s="1" t="s">
        <v>0</v>
      </c>
      <c r="I1132" s="2">
        <v>0</v>
      </c>
      <c r="J1132" s="1">
        <v>45915.379618055558</v>
      </c>
    </row>
    <row r="1133" spans="1:10" x14ac:dyDescent="0.2">
      <c r="A1133" s="4" t="s">
        <v>1</v>
      </c>
      <c r="B1133" s="3" t="str">
        <f>HYPERLINK("https://otsuka-europe-crm.veevavault.com/ui/#object/approved_document__v/V5OZ025E82TFUPI", "Spain - HCP Survey Email - June 2025")</f>
        <v>Spain - HCP Survey Email - June 2025</v>
      </c>
      <c r="C1133" s="3" t="str">
        <f>HYPERLINK("https://otsuka-europe-crm.veevavault.com/ui/#object/sent_email__v/VBLZ025E82GMYEE", "SE-000268204")</f>
        <v>SE-000268204</v>
      </c>
      <c r="D1133" s="1" t="s">
        <v>0</v>
      </c>
      <c r="E1133" s="2">
        <v>0</v>
      </c>
      <c r="F1133" s="2">
        <v>0</v>
      </c>
      <c r="G1133" s="2">
        <v>0</v>
      </c>
      <c r="H1133" s="1" t="s">
        <v>0</v>
      </c>
      <c r="I1133" s="2">
        <v>0</v>
      </c>
      <c r="J1133" s="1">
        <v>45915.379374999997</v>
      </c>
    </row>
    <row r="1134" spans="1:10" x14ac:dyDescent="0.2">
      <c r="A1134" s="4" t="s">
        <v>1</v>
      </c>
      <c r="B1134" s="3" t="str">
        <f>HYPERLINK("https://otsuka-europe-crm.veevavault.com/ui/#object/approved_document__v/V5OZ025E82TFUPI", "Spain - HCP Survey Email - June 2025")</f>
        <v>Spain - HCP Survey Email - June 2025</v>
      </c>
      <c r="C1134" s="3" t="str">
        <f>HYPERLINK("https://otsuka-europe-crm.veevavault.com/ui/#object/sent_email__v/VBLZ025E82GMYEF", "SE-000268205")</f>
        <v>SE-000268205</v>
      </c>
      <c r="D1134" s="1">
        <v>45916.829930555556</v>
      </c>
      <c r="E1134" s="2">
        <v>1</v>
      </c>
      <c r="F1134" s="2">
        <v>5</v>
      </c>
      <c r="G1134" s="2">
        <v>0</v>
      </c>
      <c r="H1134" s="1" t="s">
        <v>0</v>
      </c>
      <c r="I1134" s="2">
        <v>0</v>
      </c>
      <c r="J1134" s="1">
        <v>45915.377500000002</v>
      </c>
    </row>
    <row r="1135" spans="1:10" x14ac:dyDescent="0.2">
      <c r="A1135" s="4" t="s">
        <v>1</v>
      </c>
      <c r="B1135" s="3" t="str">
        <f>HYPERLINK("https://otsuka-europe-crm.veevavault.com/ui/#object/approved_document__v/V5OZ025E82TFUPI", "Spain - HCP Survey Email - June 2025")</f>
        <v>Spain - HCP Survey Email - June 2025</v>
      </c>
      <c r="C1135" s="3" t="str">
        <f>HYPERLINK("https://otsuka-europe-crm.veevavault.com/ui/#object/sent_email__v/VBLZ025E82GMYEG", "SE-000268206")</f>
        <v>SE-000268206</v>
      </c>
      <c r="D1135" s="1">
        <v>45916.33315972222</v>
      </c>
      <c r="E1135" s="2">
        <v>1</v>
      </c>
      <c r="F1135" s="2">
        <v>1</v>
      </c>
      <c r="G1135" s="2">
        <v>0</v>
      </c>
      <c r="H1135" s="1" t="s">
        <v>0</v>
      </c>
      <c r="I1135" s="2">
        <v>0</v>
      </c>
      <c r="J1135" s="1">
        <v>45915.378495370373</v>
      </c>
    </row>
    <row r="1136" spans="1:10" x14ac:dyDescent="0.2">
      <c r="A1136" s="4" t="s">
        <v>1</v>
      </c>
      <c r="B1136" s="3" t="str">
        <f>HYPERLINK("https://otsuka-europe-crm.veevavault.com/ui/#object/approved_document__v/V5OZ025E82TFUPI", "Spain - HCP Survey Email - June 2025")</f>
        <v>Spain - HCP Survey Email - June 2025</v>
      </c>
      <c r="C1136" s="3" t="str">
        <f>HYPERLINK("https://otsuka-europe-crm.veevavault.com/ui/#object/sent_email__v/VBLZ025E82GMYEH", "SE-000268207")</f>
        <v>SE-000268207</v>
      </c>
      <c r="D1136" s="1" t="s">
        <v>0</v>
      </c>
      <c r="E1136" s="2">
        <v>0</v>
      </c>
      <c r="F1136" s="2">
        <v>0</v>
      </c>
      <c r="G1136" s="2">
        <v>0</v>
      </c>
      <c r="H1136" s="1" t="s">
        <v>0</v>
      </c>
      <c r="I1136" s="2">
        <v>0</v>
      </c>
      <c r="J1136" s="1">
        <v>45915.378877314812</v>
      </c>
    </row>
    <row r="1137" spans="1:10" x14ac:dyDescent="0.2">
      <c r="A1137" s="4" t="s">
        <v>1</v>
      </c>
      <c r="B1137" s="3" t="str">
        <f>HYPERLINK("https://otsuka-europe-crm.veevavault.com/ui/#object/approved_document__v/V5OZ025E82TFUPI", "Spain - HCP Survey Email - June 2025")</f>
        <v>Spain - HCP Survey Email - June 2025</v>
      </c>
      <c r="C1137" s="3" t="str">
        <f>HYPERLINK("https://otsuka-europe-crm.veevavault.com/ui/#object/sent_email__v/VBLZ025E82GMYEI", "SE-000268208")</f>
        <v>SE-000268208</v>
      </c>
      <c r="D1137" s="1">
        <v>45973.760428240741</v>
      </c>
      <c r="E1137" s="2">
        <v>1</v>
      </c>
      <c r="F1137" s="2">
        <v>1</v>
      </c>
      <c r="G1137" s="2">
        <v>0</v>
      </c>
      <c r="H1137" s="1" t="s">
        <v>0</v>
      </c>
      <c r="I1137" s="2">
        <v>0</v>
      </c>
      <c r="J1137" s="1">
        <v>45915.378692129627</v>
      </c>
    </row>
    <row r="1138" spans="1:10" x14ac:dyDescent="0.2">
      <c r="A1138" s="4" t="s">
        <v>1</v>
      </c>
      <c r="B1138" s="3" t="str">
        <f>HYPERLINK("https://otsuka-europe-crm.veevavault.com/ui/#object/approved_document__v/V5OZ025E82TFUPI", "Spain - HCP Survey Email - June 2025")</f>
        <v>Spain - HCP Survey Email - June 2025</v>
      </c>
      <c r="C1138" s="3" t="str">
        <f>HYPERLINK("https://otsuka-europe-crm.veevavault.com/ui/#object/sent_email__v/VBLZ025E82GMYEJ", "SE-000268209")</f>
        <v>SE-000268209</v>
      </c>
      <c r="D1138" s="1" t="s">
        <v>0</v>
      </c>
      <c r="E1138" s="2">
        <v>0</v>
      </c>
      <c r="F1138" s="2">
        <v>0</v>
      </c>
      <c r="G1138" s="2">
        <v>0</v>
      </c>
      <c r="H1138" s="1" t="s">
        <v>0</v>
      </c>
      <c r="I1138" s="2">
        <v>0</v>
      </c>
      <c r="J1138" s="1">
        <v>45915.379247685189</v>
      </c>
    </row>
    <row r="1139" spans="1:10" x14ac:dyDescent="0.2">
      <c r="A1139" s="4" t="s">
        <v>1</v>
      </c>
      <c r="B1139" s="3" t="str">
        <f>HYPERLINK("https://otsuka-europe-crm.veevavault.com/ui/#object/approved_document__v/V5OZ025E82TFUPI", "Spain - HCP Survey Email - June 2025")</f>
        <v>Spain - HCP Survey Email - June 2025</v>
      </c>
      <c r="C1139" s="3" t="str">
        <f>HYPERLINK("https://otsuka-europe-crm.veevavault.com/ui/#object/sent_email__v/VBLZ025E82GMYEK", "SE-000268210")</f>
        <v>SE-000268210</v>
      </c>
      <c r="D1139" s="1" t="s">
        <v>0</v>
      </c>
      <c r="E1139" s="2">
        <v>0</v>
      </c>
      <c r="F1139" s="2">
        <v>0</v>
      </c>
      <c r="G1139" s="2">
        <v>0</v>
      </c>
      <c r="H1139" s="1" t="s">
        <v>0</v>
      </c>
      <c r="I1139" s="2">
        <v>0</v>
      </c>
      <c r="J1139" s="1">
        <v>45915.377847222226</v>
      </c>
    </row>
    <row r="1140" spans="1:10" x14ac:dyDescent="0.2">
      <c r="A1140" s="4" t="s">
        <v>1</v>
      </c>
      <c r="B1140" s="3" t="str">
        <f>HYPERLINK("https://otsuka-europe-crm.veevavault.com/ui/#object/approved_document__v/V5OZ025E82TFUPI", "Spain - HCP Survey Email - June 2025")</f>
        <v>Spain - HCP Survey Email - June 2025</v>
      </c>
      <c r="C1140" s="3" t="str">
        <f>HYPERLINK("https://otsuka-europe-crm.veevavault.com/ui/#object/sent_email__v/VBLZ025E82GMYEL", "SE-000268211")</f>
        <v>SE-000268211</v>
      </c>
      <c r="D1140" s="1" t="s">
        <v>0</v>
      </c>
      <c r="E1140" s="2">
        <v>0</v>
      </c>
      <c r="F1140" s="2">
        <v>0</v>
      </c>
      <c r="G1140" s="2">
        <v>0</v>
      </c>
      <c r="H1140" s="1" t="s">
        <v>0</v>
      </c>
      <c r="I1140" s="2">
        <v>0</v>
      </c>
      <c r="J1140" s="1">
        <v>45915.377569444441</v>
      </c>
    </row>
    <row r="1141" spans="1:10" x14ac:dyDescent="0.2">
      <c r="A1141" s="4" t="s">
        <v>1</v>
      </c>
      <c r="B1141" s="3" t="str">
        <f>HYPERLINK("https://otsuka-europe-crm.veevavault.com/ui/#object/approved_document__v/V5OZ025E82TFUPI", "Spain - HCP Survey Email - June 2025")</f>
        <v>Spain - HCP Survey Email - June 2025</v>
      </c>
      <c r="C1141" s="3" t="str">
        <f>HYPERLINK("https://otsuka-europe-crm.veevavault.com/ui/#object/sent_email__v/VBLZ025E82GMYEM", "SE-000268212")</f>
        <v>SE-000268212</v>
      </c>
      <c r="D1141" s="1" t="s">
        <v>0</v>
      </c>
      <c r="E1141" s="2">
        <v>0</v>
      </c>
      <c r="F1141" s="2">
        <v>0</v>
      </c>
      <c r="G1141" s="2">
        <v>0</v>
      </c>
      <c r="H1141" s="1" t="s">
        <v>0</v>
      </c>
      <c r="I1141" s="2">
        <v>0</v>
      </c>
      <c r="J1141" s="1">
        <v>45915.377997685187</v>
      </c>
    </row>
    <row r="1142" spans="1:10" x14ac:dyDescent="0.2">
      <c r="A1142" s="4" t="s">
        <v>1</v>
      </c>
      <c r="B1142" s="3" t="str">
        <f>HYPERLINK("https://otsuka-europe-crm.veevavault.com/ui/#object/approved_document__v/V5OZ025E82TFUPI", "Spain - HCP Survey Email - June 2025")</f>
        <v>Spain - HCP Survey Email - June 2025</v>
      </c>
      <c r="C1142" s="3" t="str">
        <f>HYPERLINK("https://otsuka-europe-crm.veevavault.com/ui/#object/sent_email__v/VBLZ025E82GMYEN", "SE-000268213")</f>
        <v>SE-000268213</v>
      </c>
      <c r="D1142" s="1" t="s">
        <v>0</v>
      </c>
      <c r="E1142" s="2">
        <v>0</v>
      </c>
      <c r="F1142" s="2">
        <v>0</v>
      </c>
      <c r="G1142" s="2">
        <v>0</v>
      </c>
      <c r="H1142" s="1" t="s">
        <v>0</v>
      </c>
      <c r="I1142" s="2">
        <v>0</v>
      </c>
      <c r="J1142" s="1">
        <v>45915.378993055558</v>
      </c>
    </row>
    <row r="1143" spans="1:10" x14ac:dyDescent="0.2">
      <c r="A1143" s="4" t="s">
        <v>1</v>
      </c>
      <c r="B1143" s="3" t="str">
        <f>HYPERLINK("https://otsuka-europe-crm.veevavault.com/ui/#object/approved_document__v/V5OZ025E82TFUPI", "Spain - HCP Survey Email - June 2025")</f>
        <v>Spain - HCP Survey Email - June 2025</v>
      </c>
      <c r="C1143" s="3" t="str">
        <f>HYPERLINK("https://otsuka-europe-crm.veevavault.com/ui/#object/sent_email__v/VBLZ025E82GMYEO", "SE-000268214")</f>
        <v>SE-000268214</v>
      </c>
      <c r="D1143" s="1">
        <v>45916.310706018521</v>
      </c>
      <c r="E1143" s="2">
        <v>1</v>
      </c>
      <c r="F1143" s="2">
        <v>5</v>
      </c>
      <c r="G1143" s="2">
        <v>0</v>
      </c>
      <c r="H1143" s="1" t="s">
        <v>0</v>
      </c>
      <c r="I1143" s="2">
        <v>0</v>
      </c>
      <c r="J1143" s="1">
        <v>45915.379756944443</v>
      </c>
    </row>
    <row r="1144" spans="1:10" x14ac:dyDescent="0.2">
      <c r="A1144" s="4" t="s">
        <v>1</v>
      </c>
      <c r="B1144" s="3" t="str">
        <f>HYPERLINK("https://otsuka-europe-crm.veevavault.com/ui/#object/approved_document__v/V5OZ025E82TFUPI", "Spain - HCP Survey Email - June 2025")</f>
        <v>Spain - HCP Survey Email - June 2025</v>
      </c>
      <c r="C1144" s="3" t="str">
        <f>HYPERLINK("https://otsuka-europe-crm.veevavault.com/ui/#object/sent_email__v/VBLZ025E82GMYEP", "SE-000268215")</f>
        <v>SE-000268215</v>
      </c>
      <c r="D1144" s="1" t="s">
        <v>0</v>
      </c>
      <c r="E1144" s="2">
        <v>0</v>
      </c>
      <c r="F1144" s="2">
        <v>0</v>
      </c>
      <c r="G1144" s="2">
        <v>0</v>
      </c>
      <c r="H1144" s="1" t="s">
        <v>0</v>
      </c>
      <c r="I1144" s="2">
        <v>0</v>
      </c>
      <c r="J1144" s="1">
        <v>45915.379351851851</v>
      </c>
    </row>
    <row r="1145" spans="1:10" x14ac:dyDescent="0.2">
      <c r="A1145" s="4" t="s">
        <v>1</v>
      </c>
      <c r="B1145" s="3" t="str">
        <f>HYPERLINK("https://otsuka-europe-crm.veevavault.com/ui/#object/approved_document__v/V5OZ025E82TFUPI", "Spain - HCP Survey Email - June 2025")</f>
        <v>Spain - HCP Survey Email - June 2025</v>
      </c>
      <c r="C1145" s="3" t="str">
        <f>HYPERLINK("https://otsuka-europe-crm.veevavault.com/ui/#object/sent_email__v/VBLZ025E82GMYEQ", "SE-000268216")</f>
        <v>SE-000268216</v>
      </c>
      <c r="D1145" s="1" t="s">
        <v>0</v>
      </c>
      <c r="E1145" s="2">
        <v>0</v>
      </c>
      <c r="F1145" s="2">
        <v>0</v>
      </c>
      <c r="G1145" s="2">
        <v>0</v>
      </c>
      <c r="H1145" s="1" t="s">
        <v>0</v>
      </c>
      <c r="I1145" s="2">
        <v>0</v>
      </c>
      <c r="J1145" s="1">
        <v>45915.377488425926</v>
      </c>
    </row>
    <row r="1146" spans="1:10" x14ac:dyDescent="0.2">
      <c r="A1146" s="4" t="s">
        <v>1</v>
      </c>
      <c r="B1146" s="3" t="str">
        <f>HYPERLINK("https://otsuka-europe-crm.veevavault.com/ui/#object/approved_document__v/V5OZ025E82TFUPI", "Spain - HCP Survey Email - June 2025")</f>
        <v>Spain - HCP Survey Email - June 2025</v>
      </c>
      <c r="C1146" s="3" t="str">
        <f>HYPERLINK("https://otsuka-europe-crm.veevavault.com/ui/#object/sent_email__v/VBLZ025E82GMYER", "SE-000268217")</f>
        <v>SE-000268217</v>
      </c>
      <c r="D1146" s="1" t="s">
        <v>0</v>
      </c>
      <c r="E1146" s="2">
        <v>0</v>
      </c>
      <c r="F1146" s="2">
        <v>0</v>
      </c>
      <c r="G1146" s="2">
        <v>0</v>
      </c>
      <c r="H1146" s="1" t="s">
        <v>0</v>
      </c>
      <c r="I1146" s="2">
        <v>0</v>
      </c>
      <c r="J1146" s="1">
        <v>45915.378437500003</v>
      </c>
    </row>
    <row r="1147" spans="1:10" x14ac:dyDescent="0.2">
      <c r="A1147" s="4" t="s">
        <v>1</v>
      </c>
      <c r="B1147" s="3" t="str">
        <f>HYPERLINK("https://otsuka-europe-crm.veevavault.com/ui/#object/approved_document__v/V5OZ025E82TFUPI", "Spain - HCP Survey Email - June 2025")</f>
        <v>Spain - HCP Survey Email - June 2025</v>
      </c>
      <c r="C1147" s="3" t="str">
        <f>HYPERLINK("https://otsuka-europe-crm.veevavault.com/ui/#object/sent_email__v/VBLZ025E82GMYES", "SE-000268218")</f>
        <v>SE-000268218</v>
      </c>
      <c r="D1147" s="1">
        <v>45915.380601851852</v>
      </c>
      <c r="E1147" s="2">
        <v>1</v>
      </c>
      <c r="F1147" s="2">
        <v>1</v>
      </c>
      <c r="G1147" s="2">
        <v>1</v>
      </c>
      <c r="H1147" s="1">
        <v>45915.380601851852</v>
      </c>
      <c r="I1147" s="2">
        <v>1</v>
      </c>
      <c r="J1147" s="1">
        <v>45915.378819444442</v>
      </c>
    </row>
    <row r="1148" spans="1:10" x14ac:dyDescent="0.2">
      <c r="A1148" s="4" t="s">
        <v>1</v>
      </c>
      <c r="B1148" s="3" t="str">
        <f>HYPERLINK("https://otsuka-europe-crm.veevavault.com/ui/#object/approved_document__v/V5OZ025E82TFUPI", "Spain - HCP Survey Email - June 2025")</f>
        <v>Spain - HCP Survey Email - June 2025</v>
      </c>
      <c r="C1148" s="3" t="str">
        <f>HYPERLINK("https://otsuka-europe-crm.veevavault.com/ui/#object/sent_email__v/VBLZ025E82GMYET", "SE-000268219")</f>
        <v>SE-000268219</v>
      </c>
      <c r="D1148" s="1" t="s">
        <v>0</v>
      </c>
      <c r="E1148" s="2">
        <v>0</v>
      </c>
      <c r="F1148" s="2">
        <v>0</v>
      </c>
      <c r="G1148" s="2">
        <v>0</v>
      </c>
      <c r="H1148" s="1" t="s">
        <v>0</v>
      </c>
      <c r="I1148" s="2">
        <v>0</v>
      </c>
      <c r="J1148" s="1">
        <v>45915.378796296296</v>
      </c>
    </row>
    <row r="1149" spans="1:10" x14ac:dyDescent="0.2">
      <c r="A1149" s="4" t="s">
        <v>1</v>
      </c>
      <c r="B1149" s="3" t="str">
        <f>HYPERLINK("https://otsuka-europe-crm.veevavault.com/ui/#object/approved_document__v/V5OZ025E82TFUPI", "Spain - HCP Survey Email - June 2025")</f>
        <v>Spain - HCP Survey Email - June 2025</v>
      </c>
      <c r="C1149" s="3" t="str">
        <f>HYPERLINK("https://otsuka-europe-crm.veevavault.com/ui/#object/sent_email__v/VBLZ025E82GMYEU", "SE-000268220")</f>
        <v>SE-000268220</v>
      </c>
      <c r="D1149" s="1" t="s">
        <v>0</v>
      </c>
      <c r="E1149" s="2">
        <v>0</v>
      </c>
      <c r="F1149" s="2">
        <v>0</v>
      </c>
      <c r="G1149" s="2">
        <v>0</v>
      </c>
      <c r="H1149" s="1" t="s">
        <v>0</v>
      </c>
      <c r="I1149" s="2">
        <v>0</v>
      </c>
      <c r="J1149" s="1">
        <v>45915.379444444443</v>
      </c>
    </row>
    <row r="1150" spans="1:10" x14ac:dyDescent="0.2">
      <c r="A1150" s="4" t="s">
        <v>1</v>
      </c>
      <c r="B1150" s="3" t="str">
        <f>HYPERLINK("https://otsuka-europe-crm.veevavault.com/ui/#object/approved_document__v/V5OZ025E82TFUPI", "Spain - HCP Survey Email - June 2025")</f>
        <v>Spain - HCP Survey Email - June 2025</v>
      </c>
      <c r="C1150" s="3" t="str">
        <f>HYPERLINK("https://otsuka-europe-crm.veevavault.com/ui/#object/sent_email__v/VBLZ025E82GMYEV", "SE-000268221")</f>
        <v>SE-000268221</v>
      </c>
      <c r="D1150" s="1" t="s">
        <v>0</v>
      </c>
      <c r="E1150" s="2">
        <v>0</v>
      </c>
      <c r="F1150" s="2">
        <v>0</v>
      </c>
      <c r="G1150" s="2">
        <v>0</v>
      </c>
      <c r="H1150" s="1" t="s">
        <v>0</v>
      </c>
      <c r="I1150" s="2">
        <v>0</v>
      </c>
      <c r="J1150" s="1">
        <v>45915.377488425926</v>
      </c>
    </row>
    <row r="1151" spans="1:10" x14ac:dyDescent="0.2">
      <c r="A1151" s="4" t="s">
        <v>1</v>
      </c>
      <c r="B1151" s="3" t="str">
        <f>HYPERLINK("https://otsuka-europe-crm.veevavault.com/ui/#object/approved_document__v/V5OZ025E82TFUPI", "Spain - HCP Survey Email - June 2025")</f>
        <v>Spain - HCP Survey Email - June 2025</v>
      </c>
      <c r="C1151" s="3" t="str">
        <f>HYPERLINK("https://otsuka-europe-crm.veevavault.com/ui/#object/sent_email__v/VBLZ025E82GMYEW", "SE-000268222")</f>
        <v>SE-000268222</v>
      </c>
      <c r="D1151" s="1" t="s">
        <v>0</v>
      </c>
      <c r="E1151" s="2">
        <v>0</v>
      </c>
      <c r="F1151" s="2">
        <v>0</v>
      </c>
      <c r="G1151" s="2">
        <v>0</v>
      </c>
      <c r="H1151" s="1" t="s">
        <v>0</v>
      </c>
      <c r="I1151" s="2">
        <v>0</v>
      </c>
      <c r="J1151" s="1">
        <v>45915.378460648149</v>
      </c>
    </row>
    <row r="1152" spans="1:10" x14ac:dyDescent="0.2">
      <c r="A1152" s="4" t="s">
        <v>1</v>
      </c>
      <c r="B1152" s="3" t="str">
        <f>HYPERLINK("https://otsuka-europe-crm.veevavault.com/ui/#object/approved_document__v/V5OZ025E82TFUPI", "Spain - HCP Survey Email - June 2025")</f>
        <v>Spain - HCP Survey Email - June 2025</v>
      </c>
      <c r="C1152" s="3" t="str">
        <f>HYPERLINK("https://otsuka-europe-crm.veevavault.com/ui/#object/sent_email__v/VBLZ025E82GMYEX", "SE-000268223")</f>
        <v>SE-000268223</v>
      </c>
      <c r="D1152" s="1">
        <v>45915.763460648152</v>
      </c>
      <c r="E1152" s="2">
        <v>1</v>
      </c>
      <c r="F1152" s="2">
        <v>1</v>
      </c>
      <c r="G1152" s="2">
        <v>0</v>
      </c>
      <c r="H1152" s="1" t="s">
        <v>0</v>
      </c>
      <c r="I1152" s="2">
        <v>0</v>
      </c>
      <c r="J1152" s="1">
        <v>45915.378981481481</v>
      </c>
    </row>
    <row r="1153" spans="1:10" x14ac:dyDescent="0.2">
      <c r="A1153" s="4" t="s">
        <v>1</v>
      </c>
      <c r="B1153" s="3" t="str">
        <f>HYPERLINK("https://otsuka-europe-crm.veevavault.com/ui/#object/approved_document__v/V5OZ025E82TFUPI", "Spain - HCP Survey Email - June 2025")</f>
        <v>Spain - HCP Survey Email - June 2025</v>
      </c>
      <c r="C1153" s="3" t="str">
        <f>HYPERLINK("https://otsuka-europe-crm.veevavault.com/ui/#object/sent_email__v/VBLZ025E82GMYEY", "SE-000268224")</f>
        <v>SE-000268224</v>
      </c>
      <c r="D1153" s="1" t="s">
        <v>0</v>
      </c>
      <c r="E1153" s="2">
        <v>0</v>
      </c>
      <c r="F1153" s="2">
        <v>0</v>
      </c>
      <c r="G1153" s="2">
        <v>0</v>
      </c>
      <c r="H1153" s="1" t="s">
        <v>0</v>
      </c>
      <c r="I1153" s="2">
        <v>0</v>
      </c>
      <c r="J1153" s="1">
        <v>45915.378750000003</v>
      </c>
    </row>
    <row r="1154" spans="1:10" x14ac:dyDescent="0.2">
      <c r="A1154" s="4" t="s">
        <v>1</v>
      </c>
      <c r="B1154" s="3" t="str">
        <f>HYPERLINK("https://otsuka-europe-crm.veevavault.com/ui/#object/approved_document__v/V5OZ025E82TFUPI", "Spain - HCP Survey Email - June 2025")</f>
        <v>Spain - HCP Survey Email - June 2025</v>
      </c>
      <c r="C1154" s="3" t="str">
        <f>HYPERLINK("https://otsuka-europe-crm.veevavault.com/ui/#object/sent_email__v/VBLZ025E82GMYEZ", "SE-000268225")</f>
        <v>SE-000268225</v>
      </c>
      <c r="D1154" s="1" t="s">
        <v>0</v>
      </c>
      <c r="E1154" s="2">
        <v>0</v>
      </c>
      <c r="F1154" s="2">
        <v>0</v>
      </c>
      <c r="G1154" s="2">
        <v>0</v>
      </c>
      <c r="H1154" s="1" t="s">
        <v>0</v>
      </c>
      <c r="I1154" s="2">
        <v>0</v>
      </c>
      <c r="J1154" s="1">
        <v>45915.379166666666</v>
      </c>
    </row>
    <row r="1155" spans="1:10" x14ac:dyDescent="0.2">
      <c r="A1155" s="4" t="s">
        <v>1</v>
      </c>
      <c r="B1155" s="3" t="str">
        <f>HYPERLINK("https://otsuka-europe-crm.veevavault.com/ui/#object/approved_document__v/V5OZ025E82TFUPI", "Spain - HCP Survey Email - June 2025")</f>
        <v>Spain - HCP Survey Email - June 2025</v>
      </c>
      <c r="C1155" s="3" t="str">
        <f>HYPERLINK("https://otsuka-europe-crm.veevavault.com/ui/#object/sent_email__v/VBLZ025E82GMYF0", "SE-000268226")</f>
        <v>SE-000268226</v>
      </c>
      <c r="D1155" s="1">
        <v>45915.932187500002</v>
      </c>
      <c r="E1155" s="2">
        <v>1</v>
      </c>
      <c r="F1155" s="2">
        <v>1</v>
      </c>
      <c r="G1155" s="2">
        <v>0</v>
      </c>
      <c r="H1155" s="1" t="s">
        <v>0</v>
      </c>
      <c r="I1155" s="2">
        <v>0</v>
      </c>
      <c r="J1155" s="1">
        <v>45915.37767361111</v>
      </c>
    </row>
    <row r="1156" spans="1:10" x14ac:dyDescent="0.2">
      <c r="A1156" s="4" t="s">
        <v>1</v>
      </c>
      <c r="B1156" s="3" t="str">
        <f>HYPERLINK("https://otsuka-europe-crm.veevavault.com/ui/#object/approved_document__v/V5OZ025E82TFUPI", "Spain - HCP Survey Email - June 2025")</f>
        <v>Spain - HCP Survey Email - June 2025</v>
      </c>
      <c r="C1156" s="3" t="str">
        <f>HYPERLINK("https://otsuka-europe-crm.veevavault.com/ui/#object/sent_email__v/VBLZ025E82GMYF1", "SE-000268227")</f>
        <v>SE-000268227</v>
      </c>
      <c r="D1156" s="1" t="s">
        <v>0</v>
      </c>
      <c r="E1156" s="2">
        <v>0</v>
      </c>
      <c r="F1156" s="2">
        <v>0</v>
      </c>
      <c r="G1156" s="2">
        <v>0</v>
      </c>
      <c r="H1156" s="1" t="s">
        <v>0</v>
      </c>
      <c r="I1156" s="2">
        <v>0</v>
      </c>
      <c r="J1156" s="1">
        <v>45915.377534722225</v>
      </c>
    </row>
    <row r="1157" spans="1:10" x14ac:dyDescent="0.2">
      <c r="A1157" s="4" t="s">
        <v>1</v>
      </c>
      <c r="B1157" s="3" t="str">
        <f>HYPERLINK("https://otsuka-europe-crm.veevavault.com/ui/#object/approved_document__v/V5OZ025E82TFUPI", "Spain - HCP Survey Email - June 2025")</f>
        <v>Spain - HCP Survey Email - June 2025</v>
      </c>
      <c r="C1157" s="3" t="str">
        <f>HYPERLINK("https://otsuka-europe-crm.veevavault.com/ui/#object/sent_email__v/VBLZ025E82GMYF2", "SE-000268228")</f>
        <v>SE-000268228</v>
      </c>
      <c r="D1157" s="1">
        <v>45915.386990740742</v>
      </c>
      <c r="E1157" s="2">
        <v>1</v>
      </c>
      <c r="F1157" s="2">
        <v>1</v>
      </c>
      <c r="G1157" s="2">
        <v>1</v>
      </c>
      <c r="H1157" s="1">
        <v>45915.386990740742</v>
      </c>
      <c r="I1157" s="2">
        <v>1</v>
      </c>
      <c r="J1157" s="1">
        <v>45915.377916666665</v>
      </c>
    </row>
    <row r="1158" spans="1:10" x14ac:dyDescent="0.2">
      <c r="A1158" s="4" t="s">
        <v>1</v>
      </c>
      <c r="B1158" s="3" t="str">
        <f>HYPERLINK("https://otsuka-europe-crm.veevavault.com/ui/#object/approved_document__v/V5OZ025E82TFUPI", "Spain - HCP Survey Email - June 2025")</f>
        <v>Spain - HCP Survey Email - June 2025</v>
      </c>
      <c r="C1158" s="3" t="str">
        <f>HYPERLINK("https://otsuka-europe-crm.veevavault.com/ui/#object/sent_email__v/VBLZ025E82GMYF3", "SE-000268229")</f>
        <v>SE-000268229</v>
      </c>
      <c r="D1158" s="1" t="s">
        <v>0</v>
      </c>
      <c r="E1158" s="2">
        <v>0</v>
      </c>
      <c r="F1158" s="2">
        <v>0</v>
      </c>
      <c r="G1158" s="2">
        <v>0</v>
      </c>
      <c r="H1158" s="1" t="s">
        <v>0</v>
      </c>
      <c r="I1158" s="2">
        <v>0</v>
      </c>
      <c r="J1158" s="1">
        <v>45915.378981481481</v>
      </c>
    </row>
    <row r="1159" spans="1:10" x14ac:dyDescent="0.2">
      <c r="A1159" s="4" t="s">
        <v>1</v>
      </c>
      <c r="B1159" s="3" t="str">
        <f>HYPERLINK("https://otsuka-europe-crm.veevavault.com/ui/#object/approved_document__v/V5OZ025E82TFUPI", "Spain - HCP Survey Email - June 2025")</f>
        <v>Spain - HCP Survey Email - June 2025</v>
      </c>
      <c r="C1159" s="3" t="str">
        <f>HYPERLINK("https://otsuka-europe-crm.veevavault.com/ui/#object/sent_email__v/VBLZ025E82GMYF4", "SE-000268230")</f>
        <v>SE-000268230</v>
      </c>
      <c r="D1159" s="1" t="s">
        <v>0</v>
      </c>
      <c r="E1159" s="2">
        <v>0</v>
      </c>
      <c r="F1159" s="2">
        <v>0</v>
      </c>
      <c r="G1159" s="2">
        <v>0</v>
      </c>
      <c r="H1159" s="1" t="s">
        <v>0</v>
      </c>
      <c r="I1159" s="2">
        <v>0</v>
      </c>
      <c r="J1159" s="1">
        <v>45915.379560185182</v>
      </c>
    </row>
    <row r="1160" spans="1:10" x14ac:dyDescent="0.2">
      <c r="A1160" s="4" t="s">
        <v>1</v>
      </c>
      <c r="B1160" s="3" t="str">
        <f>HYPERLINK("https://otsuka-europe-crm.veevavault.com/ui/#object/approved_document__v/V5OZ025E82TFUPI", "Spain - HCP Survey Email - June 2025")</f>
        <v>Spain - HCP Survey Email - June 2025</v>
      </c>
      <c r="C1160" s="3" t="str">
        <f>HYPERLINK("https://otsuka-europe-crm.veevavault.com/ui/#object/sent_email__v/VBLZ025E82GMYF5", "SE-000268231")</f>
        <v>SE-000268231</v>
      </c>
      <c r="D1160" s="1" t="s">
        <v>0</v>
      </c>
      <c r="E1160" s="2">
        <v>0</v>
      </c>
      <c r="F1160" s="2">
        <v>0</v>
      </c>
      <c r="G1160" s="2">
        <v>0</v>
      </c>
      <c r="H1160" s="1" t="s">
        <v>0</v>
      </c>
      <c r="I1160" s="2">
        <v>0</v>
      </c>
      <c r="J1160" s="1">
        <v>45915.379351851851</v>
      </c>
    </row>
    <row r="1161" spans="1:10" x14ac:dyDescent="0.2">
      <c r="A1161" s="4" t="s">
        <v>1</v>
      </c>
      <c r="B1161" s="3" t="str">
        <f>HYPERLINK("https://otsuka-europe-crm.veevavault.com/ui/#object/approved_document__v/V5OZ025E82TFUPI", "Spain - HCP Survey Email - June 2025")</f>
        <v>Spain - HCP Survey Email - June 2025</v>
      </c>
      <c r="C1161" s="3" t="str">
        <f>HYPERLINK("https://otsuka-europe-crm.veevavault.com/ui/#object/sent_email__v/VBLZ025E82GMYF6", "SE-000268232")</f>
        <v>SE-000268232</v>
      </c>
      <c r="D1161" s="1">
        <v>45917.552210648151</v>
      </c>
      <c r="E1161" s="2">
        <v>1</v>
      </c>
      <c r="F1161" s="2">
        <v>1</v>
      </c>
      <c r="G1161" s="2">
        <v>0</v>
      </c>
      <c r="H1161" s="1" t="s">
        <v>0</v>
      </c>
      <c r="I1161" s="2">
        <v>0</v>
      </c>
      <c r="J1161" s="1">
        <v>45915.377476851849</v>
      </c>
    </row>
    <row r="1162" spans="1:10" x14ac:dyDescent="0.2">
      <c r="A1162" s="4" t="s">
        <v>1</v>
      </c>
      <c r="B1162" s="3" t="str">
        <f>HYPERLINK("https://otsuka-europe-crm.veevavault.com/ui/#object/approved_document__v/V5OZ025E82TFUPI", "Spain - HCP Survey Email - June 2025")</f>
        <v>Spain - HCP Survey Email - June 2025</v>
      </c>
      <c r="C1162" s="3" t="str">
        <f>HYPERLINK("https://otsuka-europe-crm.veevavault.com/ui/#object/sent_email__v/VBLZ025E82GMYF7", "SE-000268233")</f>
        <v>SE-000268233</v>
      </c>
      <c r="D1162" s="1" t="s">
        <v>0</v>
      </c>
      <c r="E1162" s="2">
        <v>0</v>
      </c>
      <c r="F1162" s="2">
        <v>0</v>
      </c>
      <c r="G1162" s="2">
        <v>0</v>
      </c>
      <c r="H1162" s="1" t="s">
        <v>0</v>
      </c>
      <c r="I1162" s="2">
        <v>0</v>
      </c>
      <c r="J1162" s="1">
        <v>45915.378460648149</v>
      </c>
    </row>
    <row r="1163" spans="1:10" x14ac:dyDescent="0.2">
      <c r="A1163" s="4" t="s">
        <v>1</v>
      </c>
      <c r="B1163" s="3" t="str">
        <f>HYPERLINK("https://otsuka-europe-crm.veevavault.com/ui/#object/approved_document__v/V5OZ025E82TFUPI", "Spain - HCP Survey Email - June 2025")</f>
        <v>Spain - HCP Survey Email - June 2025</v>
      </c>
      <c r="C1163" s="3" t="str">
        <f>HYPERLINK("https://otsuka-europe-crm.veevavault.com/ui/#object/sent_email__v/VBLZ025E82GMYF8", "SE-000268234")</f>
        <v>SE-000268234</v>
      </c>
      <c r="D1163" s="1" t="s">
        <v>0</v>
      </c>
      <c r="E1163" s="2">
        <v>0</v>
      </c>
      <c r="F1163" s="2">
        <v>0</v>
      </c>
      <c r="G1163" s="2">
        <v>0</v>
      </c>
      <c r="H1163" s="1" t="s">
        <v>0</v>
      </c>
      <c r="I1163" s="2">
        <v>0</v>
      </c>
      <c r="J1163" s="1">
        <v>45915.378993055558</v>
      </c>
    </row>
    <row r="1164" spans="1:10" x14ac:dyDescent="0.2">
      <c r="A1164" s="4" t="s">
        <v>1</v>
      </c>
      <c r="B1164" s="3" t="str">
        <f>HYPERLINK("https://otsuka-europe-crm.veevavault.com/ui/#object/approved_document__v/V5OZ025E82TFUPI", "Spain - HCP Survey Email - June 2025")</f>
        <v>Spain - HCP Survey Email - June 2025</v>
      </c>
      <c r="C1164" s="3" t="str">
        <f>HYPERLINK("https://otsuka-europe-crm.veevavault.com/ui/#object/sent_email__v/VBLZ025E82GMYF9", "SE-000268235")</f>
        <v>SE-000268235</v>
      </c>
      <c r="D1164" s="1" t="s">
        <v>0</v>
      </c>
      <c r="E1164" s="2">
        <v>0</v>
      </c>
      <c r="F1164" s="2">
        <v>0</v>
      </c>
      <c r="G1164" s="2">
        <v>0</v>
      </c>
      <c r="H1164" s="1" t="s">
        <v>0</v>
      </c>
      <c r="I1164" s="2">
        <v>0</v>
      </c>
      <c r="J1164" s="1">
        <v>45915.378865740742</v>
      </c>
    </row>
    <row r="1165" spans="1:10" x14ac:dyDescent="0.2">
      <c r="A1165" s="4" t="s">
        <v>1</v>
      </c>
      <c r="B1165" s="3" t="str">
        <f>HYPERLINK("https://otsuka-europe-crm.veevavault.com/ui/#object/approved_document__v/V5OZ025E82TFUPI", "Spain - HCP Survey Email - June 2025")</f>
        <v>Spain - HCP Survey Email - June 2025</v>
      </c>
      <c r="C1165" s="3" t="str">
        <f>HYPERLINK("https://otsuka-europe-crm.veevavault.com/ui/#object/sent_email__v/VBLZ025E82GMYFA", "SE-000268236")</f>
        <v>SE-000268236</v>
      </c>
      <c r="D1165" s="1" t="s">
        <v>0</v>
      </c>
      <c r="E1165" s="2">
        <v>0</v>
      </c>
      <c r="F1165" s="2">
        <v>0</v>
      </c>
      <c r="G1165" s="2">
        <v>0</v>
      </c>
      <c r="H1165" s="1" t="s">
        <v>0</v>
      </c>
      <c r="I1165" s="2">
        <v>0</v>
      </c>
      <c r="J1165" s="1">
        <v>45915.379189814812</v>
      </c>
    </row>
    <row r="1166" spans="1:10" x14ac:dyDescent="0.2">
      <c r="A1166" s="4" t="s">
        <v>1</v>
      </c>
      <c r="B1166" s="3" t="str">
        <f>HYPERLINK("https://otsuka-europe-crm.veevavault.com/ui/#object/approved_document__v/V5OZ025E82TFUPI", "Spain - HCP Survey Email - June 2025")</f>
        <v>Spain - HCP Survey Email - June 2025</v>
      </c>
      <c r="C1166" s="3" t="str">
        <f>HYPERLINK("https://otsuka-europe-crm.veevavault.com/ui/#object/sent_email__v/VBLZ025E82GMYFB", "SE-000268237")</f>
        <v>SE-000268237</v>
      </c>
      <c r="D1166" s="1" t="s">
        <v>0</v>
      </c>
      <c r="E1166" s="2">
        <v>0</v>
      </c>
      <c r="F1166" s="2">
        <v>0</v>
      </c>
      <c r="G1166" s="2">
        <v>0</v>
      </c>
      <c r="H1166" s="1" t="s">
        <v>0</v>
      </c>
      <c r="I1166" s="2">
        <v>0</v>
      </c>
      <c r="J1166" s="1">
        <v>45915.37767361111</v>
      </c>
    </row>
    <row r="1167" spans="1:10" x14ac:dyDescent="0.2">
      <c r="A1167" s="4" t="s">
        <v>1</v>
      </c>
      <c r="B1167" s="3" t="str">
        <f>HYPERLINK("https://otsuka-europe-crm.veevavault.com/ui/#object/approved_document__v/V5OZ025E82TFUPI", "Spain - HCP Survey Email - June 2025")</f>
        <v>Spain - HCP Survey Email - June 2025</v>
      </c>
      <c r="C1167" s="3" t="str">
        <f>HYPERLINK("https://otsuka-europe-crm.veevavault.com/ui/#object/sent_email__v/VBLZ025E82GMYFC", "SE-000268238")</f>
        <v>SE-000268238</v>
      </c>
      <c r="D1167" s="1" t="s">
        <v>0</v>
      </c>
      <c r="E1167" s="2">
        <v>0</v>
      </c>
      <c r="F1167" s="2">
        <v>0</v>
      </c>
      <c r="G1167" s="2">
        <v>0</v>
      </c>
      <c r="H1167" s="1" t="s">
        <v>0</v>
      </c>
      <c r="I1167" s="2">
        <v>0</v>
      </c>
      <c r="J1167" s="1">
        <v>45915.377511574072</v>
      </c>
    </row>
    <row r="1168" spans="1:10" x14ac:dyDescent="0.2">
      <c r="A1168" s="4" t="s">
        <v>1</v>
      </c>
      <c r="B1168" s="3" t="str">
        <f>HYPERLINK("https://otsuka-europe-crm.veevavault.com/ui/#object/approved_document__v/V5OZ025E82TFUPI", "Spain - HCP Survey Email - June 2025")</f>
        <v>Spain - HCP Survey Email - June 2025</v>
      </c>
      <c r="C1168" s="3" t="str">
        <f>HYPERLINK("https://otsuka-europe-crm.veevavault.com/ui/#object/sent_email__v/VBLZ025E82GMYFD", "SE-000268239")</f>
        <v>SE-000268239</v>
      </c>
      <c r="D1168" s="1">
        <v>45959.936018518521</v>
      </c>
      <c r="E1168" s="2">
        <v>1</v>
      </c>
      <c r="F1168" s="2">
        <v>6</v>
      </c>
      <c r="G1168" s="2">
        <v>0</v>
      </c>
      <c r="H1168" s="1" t="s">
        <v>0</v>
      </c>
      <c r="I1168" s="2">
        <v>0</v>
      </c>
      <c r="J1168" s="1">
        <v>45915.377951388888</v>
      </c>
    </row>
    <row r="1169" spans="1:10" x14ac:dyDescent="0.2">
      <c r="A1169" s="4" t="s">
        <v>1</v>
      </c>
      <c r="B1169" s="3" t="str">
        <f>HYPERLINK("https://otsuka-europe-crm.veevavault.com/ui/#object/approved_document__v/V5OZ025E82TFUPI", "Spain - HCP Survey Email - June 2025")</f>
        <v>Spain - HCP Survey Email - June 2025</v>
      </c>
      <c r="C1169" s="3" t="str">
        <f>HYPERLINK("https://otsuka-europe-crm.veevavault.com/ui/#object/sent_email__v/VBLZ025E82GMYFE", "SE-000268240")</f>
        <v>SE-000268240</v>
      </c>
      <c r="D1169" s="1" t="s">
        <v>0</v>
      </c>
      <c r="E1169" s="2">
        <v>0</v>
      </c>
      <c r="F1169" s="2">
        <v>0</v>
      </c>
      <c r="G1169" s="2">
        <v>0</v>
      </c>
      <c r="H1169" s="1" t="s">
        <v>0</v>
      </c>
      <c r="I1169" s="2">
        <v>0</v>
      </c>
      <c r="J1169" s="1">
        <v>45915.378946759258</v>
      </c>
    </row>
    <row r="1170" spans="1:10" x14ac:dyDescent="0.2">
      <c r="A1170" s="4" t="s">
        <v>1</v>
      </c>
      <c r="B1170" s="3" t="str">
        <f>HYPERLINK("https://otsuka-europe-crm.veevavault.com/ui/#object/approved_document__v/V5OZ025E82TFUPI", "Spain - HCP Survey Email - June 2025")</f>
        <v>Spain - HCP Survey Email - June 2025</v>
      </c>
      <c r="C1170" s="3" t="str">
        <f>HYPERLINK("https://otsuka-europe-crm.veevavault.com/ui/#object/sent_email__v/VBLZ025E82GMYFF", "SE-000268241")</f>
        <v>SE-000268241</v>
      </c>
      <c r="D1170" s="1">
        <v>45915.392118055555</v>
      </c>
      <c r="E1170" s="2">
        <v>1</v>
      </c>
      <c r="F1170" s="2">
        <v>1</v>
      </c>
      <c r="G1170" s="2">
        <v>0</v>
      </c>
      <c r="H1170" s="1" t="s">
        <v>0</v>
      </c>
      <c r="I1170" s="2">
        <v>0</v>
      </c>
      <c r="J1170" s="1">
        <v>45915.379629629628</v>
      </c>
    </row>
    <row r="1171" spans="1:10" x14ac:dyDescent="0.2">
      <c r="A1171" s="4" t="s">
        <v>1</v>
      </c>
      <c r="B1171" s="3" t="str">
        <f>HYPERLINK("https://otsuka-europe-crm.veevavault.com/ui/#object/approved_document__v/V5OZ025E82TFUPI", "Spain - HCP Survey Email - June 2025")</f>
        <v>Spain - HCP Survey Email - June 2025</v>
      </c>
      <c r="C1171" s="3" t="str">
        <f>HYPERLINK("https://otsuka-europe-crm.veevavault.com/ui/#object/sent_email__v/VBLZ025E82GMYFG", "SE-000268242")</f>
        <v>SE-000268242</v>
      </c>
      <c r="D1171" s="1" t="s">
        <v>0</v>
      </c>
      <c r="E1171" s="2">
        <v>0</v>
      </c>
      <c r="F1171" s="2">
        <v>0</v>
      </c>
      <c r="G1171" s="2">
        <v>0</v>
      </c>
      <c r="H1171" s="1" t="s">
        <v>0</v>
      </c>
      <c r="I1171" s="2">
        <v>0</v>
      </c>
      <c r="J1171" s="1">
        <v>45915.379548611112</v>
      </c>
    </row>
    <row r="1172" spans="1:10" x14ac:dyDescent="0.2">
      <c r="A1172" s="4" t="s">
        <v>1</v>
      </c>
      <c r="B1172" s="3" t="str">
        <f>HYPERLINK("https://otsuka-europe-crm.veevavault.com/ui/#object/approved_document__v/V5OZ025E82TFUPI", "Spain - HCP Survey Email - June 2025")</f>
        <v>Spain - HCP Survey Email - June 2025</v>
      </c>
      <c r="C1172" s="3" t="str">
        <f>HYPERLINK("https://otsuka-europe-crm.veevavault.com/ui/#object/sent_email__v/VBLZ025E82GMYFH", "SE-000268243")</f>
        <v>SE-000268243</v>
      </c>
      <c r="D1172" s="1">
        <v>45919.581145833334</v>
      </c>
      <c r="E1172" s="2">
        <v>1</v>
      </c>
      <c r="F1172" s="2">
        <v>4</v>
      </c>
      <c r="G1172" s="2">
        <v>1</v>
      </c>
      <c r="H1172" s="1">
        <v>45915.87300925926</v>
      </c>
      <c r="I1172" s="2">
        <v>1</v>
      </c>
      <c r="J1172" s="1">
        <v>45915.377465277779</v>
      </c>
    </row>
    <row r="1173" spans="1:10" x14ac:dyDescent="0.2">
      <c r="A1173" s="4" t="s">
        <v>1</v>
      </c>
      <c r="B1173" s="3" t="str">
        <f>HYPERLINK("https://otsuka-europe-crm.veevavault.com/ui/#object/approved_document__v/V5OZ025E82TFUPI", "Spain - HCP Survey Email - June 2025")</f>
        <v>Spain - HCP Survey Email - June 2025</v>
      </c>
      <c r="C1173" s="3" t="str">
        <f>HYPERLINK("https://otsuka-europe-crm.veevavault.com/ui/#object/sent_email__v/VBLZ025E82GMYFI", "SE-000268244")</f>
        <v>SE-000268244</v>
      </c>
      <c r="D1173" s="1">
        <v>45915.611273148148</v>
      </c>
      <c r="E1173" s="2">
        <v>1</v>
      </c>
      <c r="F1173" s="2">
        <v>2</v>
      </c>
      <c r="G1173" s="2">
        <v>0</v>
      </c>
      <c r="H1173" s="1" t="s">
        <v>0</v>
      </c>
      <c r="I1173" s="2">
        <v>0</v>
      </c>
      <c r="J1173" s="1">
        <v>45915.378449074073</v>
      </c>
    </row>
    <row r="1174" spans="1:10" x14ac:dyDescent="0.2">
      <c r="A1174" s="4" t="s">
        <v>1</v>
      </c>
      <c r="B1174" s="3" t="str">
        <f>HYPERLINK("https://otsuka-europe-crm.veevavault.com/ui/#object/approved_document__v/V5OZ025E82TFUPI", "Spain - HCP Survey Email - June 2025")</f>
        <v>Spain - HCP Survey Email - June 2025</v>
      </c>
      <c r="C1174" s="3" t="str">
        <f>HYPERLINK("https://otsuka-europe-crm.veevavault.com/ui/#object/sent_email__v/VBLZ025E82GMYFJ", "SE-000268245")</f>
        <v>SE-000268245</v>
      </c>
      <c r="D1174" s="1">
        <v>45915.92597222222</v>
      </c>
      <c r="E1174" s="2">
        <v>1</v>
      </c>
      <c r="F1174" s="2">
        <v>1</v>
      </c>
      <c r="G1174" s="2">
        <v>0</v>
      </c>
      <c r="H1174" s="1" t="s">
        <v>0</v>
      </c>
      <c r="I1174" s="2">
        <v>0</v>
      </c>
      <c r="J1174" s="1">
        <v>45915.378842592596</v>
      </c>
    </row>
    <row r="1175" spans="1:10" x14ac:dyDescent="0.2">
      <c r="A1175" s="4" t="s">
        <v>1</v>
      </c>
      <c r="B1175" s="3" t="str">
        <f>HYPERLINK("https://otsuka-europe-crm.veevavault.com/ui/#object/approved_document__v/V5OZ025E82TFUPI", "Spain - HCP Survey Email - June 2025")</f>
        <v>Spain - HCP Survey Email - June 2025</v>
      </c>
      <c r="C1175" s="3" t="str">
        <f>HYPERLINK("https://otsuka-europe-crm.veevavault.com/ui/#object/sent_email__v/VBLZ025E82GMYFK", "SE-000268246")</f>
        <v>SE-000268246</v>
      </c>
      <c r="D1175" s="1">
        <v>45915.378171296295</v>
      </c>
      <c r="E1175" s="2">
        <v>1</v>
      </c>
      <c r="F1175" s="2">
        <v>1</v>
      </c>
      <c r="G1175" s="2">
        <v>0</v>
      </c>
      <c r="H1175" s="1" t="s">
        <v>0</v>
      </c>
      <c r="I1175" s="2">
        <v>0</v>
      </c>
      <c r="J1175" s="1">
        <v>45915.378113425926</v>
      </c>
    </row>
    <row r="1176" spans="1:10" x14ac:dyDescent="0.2">
      <c r="A1176" s="4" t="s">
        <v>1</v>
      </c>
      <c r="B1176" s="3" t="str">
        <f>HYPERLINK("https://otsuka-europe-crm.veevavault.com/ui/#object/approved_document__v/V5OZ025E82TFUPI", "Spain - HCP Survey Email - June 2025")</f>
        <v>Spain - HCP Survey Email - June 2025</v>
      </c>
      <c r="C1176" s="3" t="str">
        <f>HYPERLINK("https://otsuka-europe-crm.veevavault.com/ui/#object/sent_email__v/VBLZ025E82GMYFL", "SE-000268247")</f>
        <v>SE-000268247</v>
      </c>
      <c r="D1176" s="1" t="s">
        <v>0</v>
      </c>
      <c r="E1176" s="2">
        <v>0</v>
      </c>
      <c r="F1176" s="2">
        <v>0</v>
      </c>
      <c r="G1176" s="2">
        <v>0</v>
      </c>
      <c r="H1176" s="1" t="s">
        <v>0</v>
      </c>
      <c r="I1176" s="2">
        <v>0</v>
      </c>
      <c r="J1176" s="1">
        <v>45915.378587962965</v>
      </c>
    </row>
    <row r="1177" spans="1:10" x14ac:dyDescent="0.2">
      <c r="A1177" s="4" t="s">
        <v>1</v>
      </c>
      <c r="B1177" s="3" t="str">
        <f>HYPERLINK("https://otsuka-europe-crm.veevavault.com/ui/#object/approved_document__v/V5OZ025E82TFUPI", "Spain - HCP Survey Email - June 2025")</f>
        <v>Spain - HCP Survey Email - June 2025</v>
      </c>
      <c r="C1177" s="3" t="str">
        <f>HYPERLINK("https://otsuka-europe-crm.veevavault.com/ui/#object/sent_email__v/VBLZ025E82GMYFM", "SE-000268248")</f>
        <v>SE-000268248</v>
      </c>
      <c r="D1177" s="1" t="s">
        <v>0</v>
      </c>
      <c r="E1177" s="2">
        <v>0</v>
      </c>
      <c r="F1177" s="2">
        <v>0</v>
      </c>
      <c r="G1177" s="2">
        <v>0</v>
      </c>
      <c r="H1177" s="1" t="s">
        <v>0</v>
      </c>
      <c r="I1177" s="2">
        <v>0</v>
      </c>
      <c r="J1177" s="1">
        <v>45915.38</v>
      </c>
    </row>
    <row r="1178" spans="1:10" x14ac:dyDescent="0.2">
      <c r="A1178" s="4" t="s">
        <v>1</v>
      </c>
      <c r="B1178" s="3" t="str">
        <f>HYPERLINK("https://otsuka-europe-crm.veevavault.com/ui/#object/approved_document__v/V5OZ025E82TFUPI", "Spain - HCP Survey Email - June 2025")</f>
        <v>Spain - HCP Survey Email - June 2025</v>
      </c>
      <c r="C1178" s="3" t="str">
        <f>HYPERLINK("https://otsuka-europe-crm.veevavault.com/ui/#object/sent_email__v/VBLZ025E82GMYFN", "SE-000268249")</f>
        <v>SE-000268249</v>
      </c>
      <c r="D1178" s="1" t="s">
        <v>0</v>
      </c>
      <c r="E1178" s="2">
        <v>0</v>
      </c>
      <c r="F1178" s="2">
        <v>0</v>
      </c>
      <c r="G1178" s="2">
        <v>0</v>
      </c>
      <c r="H1178" s="1" t="s">
        <v>0</v>
      </c>
      <c r="I1178" s="2">
        <v>0</v>
      </c>
      <c r="J1178" s="1">
        <v>45915.37771990741</v>
      </c>
    </row>
    <row r="1179" spans="1:10" x14ac:dyDescent="0.2">
      <c r="A1179" s="4" t="s">
        <v>1</v>
      </c>
      <c r="B1179" s="3" t="str">
        <f>HYPERLINK("https://otsuka-europe-crm.veevavault.com/ui/#object/approved_document__v/V5OZ025E82TFUPI", "Spain - HCP Survey Email - June 2025")</f>
        <v>Spain - HCP Survey Email - June 2025</v>
      </c>
      <c r="C1179" s="3" t="str">
        <f>HYPERLINK("https://otsuka-europe-crm.veevavault.com/ui/#object/sent_email__v/VBLZ025E82GMYFO", "SE-000268250")</f>
        <v>SE-000268250</v>
      </c>
      <c r="D1179" s="1">
        <v>45915.980405092596</v>
      </c>
      <c r="E1179" s="2">
        <v>1</v>
      </c>
      <c r="F1179" s="2">
        <v>1</v>
      </c>
      <c r="G1179" s="2">
        <v>0</v>
      </c>
      <c r="H1179" s="1" t="s">
        <v>0</v>
      </c>
      <c r="I1179" s="2">
        <v>0</v>
      </c>
      <c r="J1179" s="1">
        <v>45915.377592592595</v>
      </c>
    </row>
    <row r="1180" spans="1:10" x14ac:dyDescent="0.2">
      <c r="A1180" s="4" t="s">
        <v>1</v>
      </c>
      <c r="B1180" s="3" t="str">
        <f>HYPERLINK("https://otsuka-europe-crm.veevavault.com/ui/#object/approved_document__v/V5OZ025E82TFUPI", "Spain - HCP Survey Email - June 2025")</f>
        <v>Spain - HCP Survey Email - June 2025</v>
      </c>
      <c r="C1180" s="3" t="str">
        <f>HYPERLINK("https://otsuka-europe-crm.veevavault.com/ui/#object/sent_email__v/VBLZ025E82GMYFP", "SE-000268251")</f>
        <v>SE-000268251</v>
      </c>
      <c r="D1180" s="1">
        <v>45915.618993055556</v>
      </c>
      <c r="E1180" s="2">
        <v>1</v>
      </c>
      <c r="F1180" s="2">
        <v>1</v>
      </c>
      <c r="G1180" s="2">
        <v>1</v>
      </c>
      <c r="H1180" s="1">
        <v>45915.618993055556</v>
      </c>
      <c r="I1180" s="2">
        <v>1</v>
      </c>
      <c r="J1180" s="1">
        <v>45915.377951388888</v>
      </c>
    </row>
    <row r="1181" spans="1:10" x14ac:dyDescent="0.2">
      <c r="A1181" s="4" t="s">
        <v>1</v>
      </c>
      <c r="B1181" s="3" t="str">
        <f>HYPERLINK("https://otsuka-europe-crm.veevavault.com/ui/#object/approved_document__v/V5OZ025E82TFUPI", "Spain - HCP Survey Email - June 2025")</f>
        <v>Spain - HCP Survey Email - June 2025</v>
      </c>
      <c r="C1181" s="3" t="str">
        <f>HYPERLINK("https://otsuka-europe-crm.veevavault.com/ui/#object/sent_email__v/VBLZ025E82GMYFQ", "SE-000268252")</f>
        <v>SE-000268252</v>
      </c>
      <c r="D1181" s="1">
        <v>45925.663032407407</v>
      </c>
      <c r="E1181" s="2">
        <v>1</v>
      </c>
      <c r="F1181" s="2">
        <v>10</v>
      </c>
      <c r="G1181" s="2">
        <v>0</v>
      </c>
      <c r="H1181" s="1" t="s">
        <v>0</v>
      </c>
      <c r="I1181" s="2">
        <v>0</v>
      </c>
      <c r="J1181" s="1">
        <v>45915.37903935185</v>
      </c>
    </row>
    <row r="1182" spans="1:10" x14ac:dyDescent="0.2">
      <c r="A1182" s="4" t="s">
        <v>1</v>
      </c>
      <c r="B1182" s="3" t="str">
        <f>HYPERLINK("https://otsuka-europe-crm.veevavault.com/ui/#object/approved_document__v/V5OZ025E82TFUPI", "Spain - HCP Survey Email - June 2025")</f>
        <v>Spain - HCP Survey Email - June 2025</v>
      </c>
      <c r="C1182" s="3" t="str">
        <f>HYPERLINK("https://otsuka-europe-crm.veevavault.com/ui/#object/sent_email__v/VBLZ025E82GMYFR", "SE-000268253")</f>
        <v>SE-000268253</v>
      </c>
      <c r="D1182" s="1" t="s">
        <v>0</v>
      </c>
      <c r="E1182" s="2">
        <v>0</v>
      </c>
      <c r="F1182" s="2">
        <v>0</v>
      </c>
      <c r="G1182" s="2">
        <v>0</v>
      </c>
      <c r="H1182" s="1" t="s">
        <v>0</v>
      </c>
      <c r="I1182" s="2">
        <v>0</v>
      </c>
      <c r="J1182" s="1">
        <v>45915.379884259259</v>
      </c>
    </row>
    <row r="1183" spans="1:10" x14ac:dyDescent="0.2">
      <c r="A1183" s="4" t="s">
        <v>1</v>
      </c>
      <c r="B1183" s="3" t="str">
        <f>HYPERLINK("https://otsuka-europe-crm.veevavault.com/ui/#object/approved_document__v/V5OZ025E82TFUPI", "Spain - HCP Survey Email - June 2025")</f>
        <v>Spain - HCP Survey Email - June 2025</v>
      </c>
      <c r="C1183" s="3" t="str">
        <f>HYPERLINK("https://otsuka-europe-crm.veevavault.com/ui/#object/sent_email__v/VBLZ025E82GMYFS", "SE-000268254")</f>
        <v>SE-000268254</v>
      </c>
      <c r="D1183" s="1">
        <v>45921.374085648145</v>
      </c>
      <c r="E1183" s="2">
        <v>1</v>
      </c>
      <c r="F1183" s="2">
        <v>2</v>
      </c>
      <c r="G1183" s="2">
        <v>0</v>
      </c>
      <c r="H1183" s="1" t="s">
        <v>0</v>
      </c>
      <c r="I1183" s="2">
        <v>0</v>
      </c>
      <c r="J1183" s="1">
        <v>45915.37939814815</v>
      </c>
    </row>
    <row r="1184" spans="1:10" x14ac:dyDescent="0.2">
      <c r="A1184" s="4" t="s">
        <v>1</v>
      </c>
      <c r="B1184" s="3" t="str">
        <f>HYPERLINK("https://otsuka-europe-crm.veevavault.com/ui/#object/approved_document__v/V5OZ025E82TFUPI", "Spain - HCP Survey Email - June 2025")</f>
        <v>Spain - HCP Survey Email - June 2025</v>
      </c>
      <c r="C1184" s="3" t="str">
        <f>HYPERLINK("https://otsuka-europe-crm.veevavault.com/ui/#object/sent_email__v/VBLZ025E82GMYFT", "SE-000268255")</f>
        <v>SE-000268255</v>
      </c>
      <c r="D1184" s="1" t="s">
        <v>0</v>
      </c>
      <c r="E1184" s="2">
        <v>0</v>
      </c>
      <c r="F1184" s="2">
        <v>0</v>
      </c>
      <c r="G1184" s="2">
        <v>0</v>
      </c>
      <c r="H1184" s="1" t="s">
        <v>0</v>
      </c>
      <c r="I1184" s="2">
        <v>0</v>
      </c>
      <c r="J1184" s="1">
        <v>45915.377534722225</v>
      </c>
    </row>
    <row r="1185" spans="1:10" x14ac:dyDescent="0.2">
      <c r="A1185" s="4" t="s">
        <v>1</v>
      </c>
      <c r="B1185" s="3" t="str">
        <f>HYPERLINK("https://otsuka-europe-crm.veevavault.com/ui/#object/approved_document__v/V5OZ025E82TFUPI", "Spain - HCP Survey Email - June 2025")</f>
        <v>Spain - HCP Survey Email - June 2025</v>
      </c>
      <c r="C1185" s="3" t="str">
        <f>HYPERLINK("https://otsuka-europe-crm.veevavault.com/ui/#object/sent_email__v/VBLZ025E82GMYFU", "SE-000268256")</f>
        <v>SE-000268256</v>
      </c>
      <c r="D1185" s="1">
        <v>45922.001585648148</v>
      </c>
      <c r="E1185" s="2">
        <v>1</v>
      </c>
      <c r="F1185" s="2">
        <v>1</v>
      </c>
      <c r="G1185" s="2">
        <v>0</v>
      </c>
      <c r="H1185" s="1" t="s">
        <v>0</v>
      </c>
      <c r="I1185" s="2">
        <v>0</v>
      </c>
      <c r="J1185" s="1">
        <v>45915.379108796296</v>
      </c>
    </row>
    <row r="1186" spans="1:10" x14ac:dyDescent="0.2">
      <c r="A1186" s="4" t="s">
        <v>1</v>
      </c>
      <c r="B1186" s="3" t="str">
        <f>HYPERLINK("https://otsuka-europe-crm.veevavault.com/ui/#object/approved_document__v/V5OZ025E82TFUPI", "Spain - HCP Survey Email - June 2025")</f>
        <v>Spain - HCP Survey Email - June 2025</v>
      </c>
      <c r="C1186" s="3" t="str">
        <f>HYPERLINK("https://otsuka-europe-crm.veevavault.com/ui/#object/sent_email__v/VBLZ025E82GMYFV", "SE-000268257")</f>
        <v>SE-000268257</v>
      </c>
      <c r="D1186" s="1" t="s">
        <v>0</v>
      </c>
      <c r="E1186" s="2">
        <v>0</v>
      </c>
      <c r="F1186" s="2">
        <v>0</v>
      </c>
      <c r="G1186" s="2">
        <v>0</v>
      </c>
      <c r="H1186" s="1" t="s">
        <v>0</v>
      </c>
      <c r="I1186" s="2">
        <v>0</v>
      </c>
      <c r="J1186" s="1">
        <v>45915.379652777781</v>
      </c>
    </row>
    <row r="1187" spans="1:10" x14ac:dyDescent="0.2">
      <c r="A1187" s="4" t="s">
        <v>1</v>
      </c>
      <c r="B1187" s="3" t="str">
        <f>HYPERLINK("https://otsuka-europe-crm.veevavault.com/ui/#object/approved_document__v/V5OZ025E82TFUPI", "Spain - HCP Survey Email - June 2025")</f>
        <v>Spain - HCP Survey Email - June 2025</v>
      </c>
      <c r="C1187" s="3" t="str">
        <f>HYPERLINK("https://otsuka-europe-crm.veevavault.com/ui/#object/sent_email__v/VBLZ025E82GMYFW", "SE-000268258")</f>
        <v>SE-000268258</v>
      </c>
      <c r="D1187" s="1">
        <v>45915.903761574074</v>
      </c>
      <c r="E1187" s="2">
        <v>1</v>
      </c>
      <c r="F1187" s="2">
        <v>1</v>
      </c>
      <c r="G1187" s="2">
        <v>0</v>
      </c>
      <c r="H1187" s="1" t="s">
        <v>0</v>
      </c>
      <c r="I1187" s="2">
        <v>0</v>
      </c>
      <c r="J1187" s="1">
        <v>45915.379444444443</v>
      </c>
    </row>
    <row r="1188" spans="1:10" x14ac:dyDescent="0.2">
      <c r="A1188" s="4" t="s">
        <v>1</v>
      </c>
      <c r="B1188" s="3" t="str">
        <f>HYPERLINK("https://otsuka-europe-crm.veevavault.com/ui/#object/approved_document__v/V5OZ025E82TFUPI", "Spain - HCP Survey Email - June 2025")</f>
        <v>Spain - HCP Survey Email - June 2025</v>
      </c>
      <c r="C1188" s="3" t="str">
        <f>HYPERLINK("https://otsuka-europe-crm.veevavault.com/ui/#object/sent_email__v/VBLZ025E82GMYFX", "SE-000268259")</f>
        <v>SE-000268259</v>
      </c>
      <c r="D1188" s="1" t="s">
        <v>0</v>
      </c>
      <c r="E1188" s="2">
        <v>0</v>
      </c>
      <c r="F1188" s="2">
        <v>0</v>
      </c>
      <c r="G1188" s="2">
        <v>0</v>
      </c>
      <c r="H1188" s="1" t="s">
        <v>0</v>
      </c>
      <c r="I1188" s="2">
        <v>0</v>
      </c>
      <c r="J1188" s="1">
        <v>45915.377488425926</v>
      </c>
    </row>
    <row r="1189" spans="1:10" x14ac:dyDescent="0.2">
      <c r="A1189" s="4" t="s">
        <v>1</v>
      </c>
      <c r="B1189" s="3" t="str">
        <f>HYPERLINK("https://otsuka-europe-crm.veevavault.com/ui/#object/approved_document__v/V5OZ025E82TFUPI", "Spain - HCP Survey Email - June 2025")</f>
        <v>Spain - HCP Survey Email - June 2025</v>
      </c>
      <c r="C1189" s="3" t="str">
        <f>HYPERLINK("https://otsuka-europe-crm.veevavault.com/ui/#object/sent_email__v/VBLZ025E82GMYFY", "SE-000268260")</f>
        <v>SE-000268260</v>
      </c>
      <c r="D1189" s="1">
        <v>45915.384432870371</v>
      </c>
      <c r="E1189" s="2">
        <v>1</v>
      </c>
      <c r="F1189" s="2">
        <v>2</v>
      </c>
      <c r="G1189" s="2">
        <v>0</v>
      </c>
      <c r="H1189" s="1" t="s">
        <v>0</v>
      </c>
      <c r="I1189" s="2">
        <v>0</v>
      </c>
      <c r="J1189" s="1">
        <v>45915.378310185188</v>
      </c>
    </row>
    <row r="1190" spans="1:10" x14ac:dyDescent="0.2">
      <c r="A1190" s="4" t="s">
        <v>1</v>
      </c>
      <c r="B1190" s="3" t="str">
        <f>HYPERLINK("https://otsuka-europe-crm.veevavault.com/ui/#object/approved_document__v/V5OZ025E82TFUPI", "Spain - HCP Survey Email - June 2025")</f>
        <v>Spain - HCP Survey Email - June 2025</v>
      </c>
      <c r="C1190" s="3" t="str">
        <f>HYPERLINK("https://otsuka-europe-crm.veevavault.com/ui/#object/sent_email__v/VBLZ025E82GMYFZ", "SE-000268261")</f>
        <v>SE-000268261</v>
      </c>
      <c r="D1190" s="1" t="s">
        <v>0</v>
      </c>
      <c r="E1190" s="2">
        <v>0</v>
      </c>
      <c r="F1190" s="2">
        <v>0</v>
      </c>
      <c r="G1190" s="2">
        <v>0</v>
      </c>
      <c r="H1190" s="1" t="s">
        <v>0</v>
      </c>
      <c r="I1190" s="2">
        <v>0</v>
      </c>
      <c r="J1190" s="1">
        <v>45915.378101851849</v>
      </c>
    </row>
    <row r="1191" spans="1:10" x14ac:dyDescent="0.2">
      <c r="A1191" s="4" t="s">
        <v>1</v>
      </c>
      <c r="B1191" s="3" t="str">
        <f>HYPERLINK("https://otsuka-europe-crm.veevavault.com/ui/#object/approved_document__v/V5OZ025E82TFUPI", "Spain - HCP Survey Email - June 2025")</f>
        <v>Spain - HCP Survey Email - June 2025</v>
      </c>
      <c r="C1191" s="3" t="str">
        <f>HYPERLINK("https://otsuka-europe-crm.veevavault.com/ui/#object/sent_email__v/VBLZ025E82GMYG0", "SE-000268262")</f>
        <v>SE-000268262</v>
      </c>
      <c r="D1191" s="1">
        <v>45915.383125</v>
      </c>
      <c r="E1191" s="2">
        <v>1</v>
      </c>
      <c r="F1191" s="2">
        <v>1</v>
      </c>
      <c r="G1191" s="2">
        <v>0</v>
      </c>
      <c r="H1191" s="1" t="s">
        <v>0</v>
      </c>
      <c r="I1191" s="2">
        <v>0</v>
      </c>
      <c r="J1191" s="1">
        <v>45915.378506944442</v>
      </c>
    </row>
    <row r="1192" spans="1:10" x14ac:dyDescent="0.2">
      <c r="A1192" s="4" t="s">
        <v>1</v>
      </c>
      <c r="B1192" s="3" t="str">
        <f>HYPERLINK("https://otsuka-europe-crm.veevavault.com/ui/#object/approved_document__v/V5OZ025E82TFUPI", "Spain - HCP Survey Email - June 2025")</f>
        <v>Spain - HCP Survey Email - June 2025</v>
      </c>
      <c r="C1192" s="3" t="str">
        <f>HYPERLINK("https://otsuka-europe-crm.veevavault.com/ui/#object/sent_email__v/VBLZ025E82GMYG1", "SE-000268263")</f>
        <v>SE-000268263</v>
      </c>
      <c r="D1192" s="1">
        <v>45915.414976851855</v>
      </c>
      <c r="E1192" s="2">
        <v>1</v>
      </c>
      <c r="F1192" s="2">
        <v>1</v>
      </c>
      <c r="G1192" s="2">
        <v>0</v>
      </c>
      <c r="H1192" s="1" t="s">
        <v>0</v>
      </c>
      <c r="I1192" s="2">
        <v>0</v>
      </c>
      <c r="J1192" s="1">
        <v>45915.379814814813</v>
      </c>
    </row>
    <row r="1193" spans="1:10" x14ac:dyDescent="0.2">
      <c r="A1193" s="4" t="s">
        <v>1</v>
      </c>
      <c r="B1193" s="3" t="str">
        <f>HYPERLINK("https://otsuka-europe-crm.veevavault.com/ui/#object/approved_document__v/V5OZ025E82TFUPI", "Spain - HCP Survey Email - June 2025")</f>
        <v>Spain - HCP Survey Email - June 2025</v>
      </c>
      <c r="C1193" s="3" t="str">
        <f>HYPERLINK("https://otsuka-europe-crm.veevavault.com/ui/#object/sent_email__v/VBLZ025E82GMYG2", "SE-000268264")</f>
        <v>SE-000268264</v>
      </c>
      <c r="D1193" s="1">
        <v>45915.708356481482</v>
      </c>
      <c r="E1193" s="2">
        <v>1</v>
      </c>
      <c r="F1193" s="2">
        <v>1</v>
      </c>
      <c r="G1193" s="2">
        <v>0</v>
      </c>
      <c r="H1193" s="1" t="s">
        <v>0</v>
      </c>
      <c r="I1193" s="2">
        <v>0</v>
      </c>
      <c r="J1193" s="1">
        <v>45915.377650462964</v>
      </c>
    </row>
    <row r="1194" spans="1:10" x14ac:dyDescent="0.2">
      <c r="A1194" s="4" t="s">
        <v>1</v>
      </c>
      <c r="B1194" s="3" t="str">
        <f>HYPERLINK("https://otsuka-europe-crm.veevavault.com/ui/#object/approved_document__v/V5OZ025E82TFUPI", "Spain - HCP Survey Email - June 2025")</f>
        <v>Spain - HCP Survey Email - June 2025</v>
      </c>
      <c r="C1194" s="3" t="str">
        <f>HYPERLINK("https://otsuka-europe-crm.veevavault.com/ui/#object/sent_email__v/VBLZ025E82GMYG3", "SE-000268265")</f>
        <v>SE-000268265</v>
      </c>
      <c r="D1194" s="1">
        <v>45915.379699074074</v>
      </c>
      <c r="E1194" s="2">
        <v>1</v>
      </c>
      <c r="F1194" s="2">
        <v>1</v>
      </c>
      <c r="G1194" s="2">
        <v>0</v>
      </c>
      <c r="H1194" s="1" t="s">
        <v>0</v>
      </c>
      <c r="I1194" s="2">
        <v>0</v>
      </c>
      <c r="J1194" s="1">
        <v>45915.377592592595</v>
      </c>
    </row>
    <row r="1195" spans="1:10" x14ac:dyDescent="0.2">
      <c r="A1195" s="4" t="s">
        <v>1</v>
      </c>
      <c r="B1195" s="3" t="str">
        <f>HYPERLINK("https://otsuka-europe-crm.veevavault.com/ui/#object/approved_document__v/V5OZ025E82TFUPI", "Spain - HCP Survey Email - June 2025")</f>
        <v>Spain - HCP Survey Email - June 2025</v>
      </c>
      <c r="C1195" s="3" t="str">
        <f>HYPERLINK("https://otsuka-europe-crm.veevavault.com/ui/#object/sent_email__v/VBLZ025E82GMYG4", "SE-000268266")</f>
        <v>SE-000268266</v>
      </c>
      <c r="D1195" s="1">
        <v>45917.530509259261</v>
      </c>
      <c r="E1195" s="2">
        <v>1</v>
      </c>
      <c r="F1195" s="2">
        <v>3</v>
      </c>
      <c r="G1195" s="2">
        <v>0</v>
      </c>
      <c r="H1195" s="1" t="s">
        <v>0</v>
      </c>
      <c r="I1195" s="2">
        <v>0</v>
      </c>
      <c r="J1195" s="1">
        <v>45915.378009259257</v>
      </c>
    </row>
    <row r="1196" spans="1:10" x14ac:dyDescent="0.2">
      <c r="A1196" s="4" t="s">
        <v>1</v>
      </c>
      <c r="B1196" s="3" t="str">
        <f>HYPERLINK("https://otsuka-europe-crm.veevavault.com/ui/#object/approved_document__v/V5OZ025E82TFUPI", "Spain - HCP Survey Email - June 2025")</f>
        <v>Spain - HCP Survey Email - June 2025</v>
      </c>
      <c r="C1196" s="3" t="str">
        <f>HYPERLINK("https://otsuka-europe-crm.veevavault.com/ui/#object/sent_email__v/VBLZ025E82GMYG5", "SE-000268267")</f>
        <v>SE-000268267</v>
      </c>
      <c r="D1196" s="1" t="s">
        <v>0</v>
      </c>
      <c r="E1196" s="2">
        <v>0</v>
      </c>
      <c r="F1196" s="2">
        <v>0</v>
      </c>
      <c r="G1196" s="2">
        <v>0</v>
      </c>
      <c r="H1196" s="1" t="s">
        <v>0</v>
      </c>
      <c r="I1196" s="2">
        <v>0</v>
      </c>
      <c r="J1196" s="1">
        <v>45915.378981481481</v>
      </c>
    </row>
    <row r="1197" spans="1:10" x14ac:dyDescent="0.2">
      <c r="A1197" s="4" t="s">
        <v>1</v>
      </c>
      <c r="B1197" s="3" t="str">
        <f>HYPERLINK("https://otsuka-europe-crm.veevavault.com/ui/#object/approved_document__v/V5OZ025E82TFUPI", "Spain - HCP Survey Email - June 2025")</f>
        <v>Spain - HCP Survey Email - June 2025</v>
      </c>
      <c r="C1197" s="3" t="str">
        <f>HYPERLINK("https://otsuka-europe-crm.veevavault.com/ui/#object/sent_email__v/VBLZ025E82GMYG6", "SE-000268268")</f>
        <v>SE-000268268</v>
      </c>
      <c r="D1197" s="1">
        <v>45915.611990740741</v>
      </c>
      <c r="E1197" s="2">
        <v>1</v>
      </c>
      <c r="F1197" s="2">
        <v>1</v>
      </c>
      <c r="G1197" s="2">
        <v>0</v>
      </c>
      <c r="H1197" s="1" t="s">
        <v>0</v>
      </c>
      <c r="I1197" s="2">
        <v>0</v>
      </c>
      <c r="J1197" s="1">
        <v>45915.379652777781</v>
      </c>
    </row>
    <row r="1198" spans="1:10" x14ac:dyDescent="0.2">
      <c r="A1198" s="4" t="s">
        <v>1</v>
      </c>
      <c r="B1198" s="3" t="str">
        <f>HYPERLINK("https://otsuka-europe-crm.veevavault.com/ui/#object/approved_document__v/V5OZ025E82TFUPI", "Spain - HCP Survey Email - June 2025")</f>
        <v>Spain - HCP Survey Email - June 2025</v>
      </c>
      <c r="C1198" s="3" t="str">
        <f>HYPERLINK("https://otsuka-europe-crm.veevavault.com/ui/#object/sent_email__v/VBLZ025E82GMYG7", "SE-000268269")</f>
        <v>SE-000268269</v>
      </c>
      <c r="D1198" s="1">
        <v>45915.466562499998</v>
      </c>
      <c r="E1198" s="2">
        <v>1</v>
      </c>
      <c r="F1198" s="2">
        <v>2</v>
      </c>
      <c r="G1198" s="2">
        <v>0</v>
      </c>
      <c r="H1198" s="1" t="s">
        <v>0</v>
      </c>
      <c r="I1198" s="2">
        <v>0</v>
      </c>
      <c r="J1198" s="1">
        <v>45915.379421296297</v>
      </c>
    </row>
    <row r="1199" spans="1:10" x14ac:dyDescent="0.2">
      <c r="A1199" s="4" t="s">
        <v>1</v>
      </c>
      <c r="B1199" s="3" t="str">
        <f>HYPERLINK("https://otsuka-europe-crm.veevavault.com/ui/#object/approved_document__v/V5OZ025E82TFUPI", "Spain - HCP Survey Email - June 2025")</f>
        <v>Spain - HCP Survey Email - June 2025</v>
      </c>
      <c r="C1199" s="3" t="str">
        <f>HYPERLINK("https://otsuka-europe-crm.veevavault.com/ui/#object/sent_email__v/VBLZ025E82GMYG8", "SE-000268270")</f>
        <v>SE-000268270</v>
      </c>
      <c r="D1199" s="1" t="s">
        <v>0</v>
      </c>
      <c r="E1199" s="2">
        <v>0</v>
      </c>
      <c r="F1199" s="2">
        <v>0</v>
      </c>
      <c r="G1199" s="2">
        <v>0</v>
      </c>
      <c r="H1199" s="1" t="s">
        <v>0</v>
      </c>
      <c r="I1199" s="2">
        <v>0</v>
      </c>
      <c r="J1199" s="1">
        <v>45915.377534722225</v>
      </c>
    </row>
    <row r="1200" spans="1:10" x14ac:dyDescent="0.2">
      <c r="A1200" s="4" t="s">
        <v>1</v>
      </c>
      <c r="B1200" s="3" t="str">
        <f>HYPERLINK("https://otsuka-europe-crm.veevavault.com/ui/#object/approved_document__v/V5OZ025E82TFUPI", "Spain - HCP Survey Email - June 2025")</f>
        <v>Spain - HCP Survey Email - June 2025</v>
      </c>
      <c r="C1200" s="3" t="str">
        <f>HYPERLINK("https://otsuka-europe-crm.veevavault.com/ui/#object/sent_email__v/VBLZ025E82GMYG9", "SE-000268271")</f>
        <v>SE-000268271</v>
      </c>
      <c r="D1200" s="1">
        <v>45916.673449074071</v>
      </c>
      <c r="E1200" s="2">
        <v>1</v>
      </c>
      <c r="F1200" s="2">
        <v>3</v>
      </c>
      <c r="G1200" s="2">
        <v>1</v>
      </c>
      <c r="H1200" s="1">
        <v>45915.427002314813</v>
      </c>
      <c r="I1200" s="2">
        <v>1</v>
      </c>
      <c r="J1200" s="1">
        <v>45915.378263888888</v>
      </c>
    </row>
    <row r="1201" spans="1:10" x14ac:dyDescent="0.2">
      <c r="A1201" s="4" t="s">
        <v>1</v>
      </c>
      <c r="B1201" s="3" t="str">
        <f>HYPERLINK("https://otsuka-europe-crm.veevavault.com/ui/#object/approved_document__v/V5OZ025E82TFUPI", "Spain - HCP Survey Email - June 2025")</f>
        <v>Spain - HCP Survey Email - June 2025</v>
      </c>
      <c r="C1201" s="3" t="str">
        <f>HYPERLINK("https://otsuka-europe-crm.veevavault.com/ui/#object/sent_email__v/VBLZ025E82GMYGA", "SE-000268272")</f>
        <v>SE-000268272</v>
      </c>
      <c r="D1201" s="1">
        <v>45915.609872685185</v>
      </c>
      <c r="E1201" s="2">
        <v>1</v>
      </c>
      <c r="F1201" s="2">
        <v>1</v>
      </c>
      <c r="G1201" s="2">
        <v>0</v>
      </c>
      <c r="H1201" s="1" t="s">
        <v>0</v>
      </c>
      <c r="I1201" s="2">
        <v>0</v>
      </c>
      <c r="J1201" s="1">
        <v>45915.378078703703</v>
      </c>
    </row>
    <row r="1202" spans="1:10" x14ac:dyDescent="0.2">
      <c r="A1202" s="4" t="s">
        <v>1</v>
      </c>
      <c r="B1202" s="3" t="str">
        <f>HYPERLINK("https://otsuka-europe-crm.veevavault.com/ui/#object/approved_document__v/V5OZ025E82TFUPI", "Spain - HCP Survey Email - June 2025")</f>
        <v>Spain - HCP Survey Email - June 2025</v>
      </c>
      <c r="C1202" s="3" t="str">
        <f>HYPERLINK("https://otsuka-europe-crm.veevavault.com/ui/#object/sent_email__v/VBLZ025E82GMYGB", "SE-000268273")</f>
        <v>SE-000268273</v>
      </c>
      <c r="D1202" s="1">
        <v>45915.381377314814</v>
      </c>
      <c r="E1202" s="2">
        <v>1</v>
      </c>
      <c r="F1202" s="2">
        <v>1</v>
      </c>
      <c r="G1202" s="2">
        <v>1</v>
      </c>
      <c r="H1202" s="1">
        <v>45915.381377314814</v>
      </c>
      <c r="I1202" s="2">
        <v>1</v>
      </c>
      <c r="J1202" s="1">
        <v>45915.378576388888</v>
      </c>
    </row>
    <row r="1203" spans="1:10" x14ac:dyDescent="0.2">
      <c r="A1203" s="4" t="s">
        <v>1</v>
      </c>
      <c r="B1203" s="3" t="str">
        <f>HYPERLINK("https://otsuka-europe-crm.veevavault.com/ui/#object/approved_document__v/V5OZ025E82TFUPI", "Spain - HCP Survey Email - June 2025")</f>
        <v>Spain - HCP Survey Email - June 2025</v>
      </c>
      <c r="C1203" s="3" t="str">
        <f>HYPERLINK("https://otsuka-europe-crm.veevavault.com/ui/#object/sent_email__v/VBLZ025E82GMYGC", "SE-000268274")</f>
        <v>SE-000268274</v>
      </c>
      <c r="D1203" s="1" t="s">
        <v>0</v>
      </c>
      <c r="E1203" s="2">
        <v>0</v>
      </c>
      <c r="F1203" s="2">
        <v>0</v>
      </c>
      <c r="G1203" s="2">
        <v>0</v>
      </c>
      <c r="H1203" s="1" t="s">
        <v>0</v>
      </c>
      <c r="I1203" s="2">
        <v>0</v>
      </c>
      <c r="J1203" s="1">
        <v>45915.379826388889</v>
      </c>
    </row>
    <row r="1204" spans="1:10" x14ac:dyDescent="0.2">
      <c r="A1204" s="4" t="s">
        <v>1</v>
      </c>
      <c r="B1204" s="3" t="str">
        <f>HYPERLINK("https://otsuka-europe-crm.veevavault.com/ui/#object/approved_document__v/V5OZ025E82TFUPI", "Spain - HCP Survey Email - June 2025")</f>
        <v>Spain - HCP Survey Email - June 2025</v>
      </c>
      <c r="C1204" s="3" t="str">
        <f>HYPERLINK("https://otsuka-europe-crm.veevavault.com/ui/#object/sent_email__v/VBLZ025E82GMYGD", "SE-000268275")</f>
        <v>SE-000268275</v>
      </c>
      <c r="D1204" s="1" t="s">
        <v>0</v>
      </c>
      <c r="E1204" s="2">
        <v>0</v>
      </c>
      <c r="F1204" s="2">
        <v>0</v>
      </c>
      <c r="G1204" s="2">
        <v>0</v>
      </c>
      <c r="H1204" s="1" t="s">
        <v>0</v>
      </c>
      <c r="I1204" s="2">
        <v>0</v>
      </c>
      <c r="J1204" s="1">
        <v>45915.377708333333</v>
      </c>
    </row>
    <row r="1205" spans="1:10" x14ac:dyDescent="0.2">
      <c r="A1205" s="4" t="s">
        <v>1</v>
      </c>
      <c r="B1205" s="3" t="str">
        <f>HYPERLINK("https://otsuka-europe-crm.veevavault.com/ui/#object/approved_document__v/V5OZ025E82TFUPI", "Spain - HCP Survey Email - June 2025")</f>
        <v>Spain - HCP Survey Email - June 2025</v>
      </c>
      <c r="C1205" s="3" t="str">
        <f>HYPERLINK("https://otsuka-europe-crm.veevavault.com/ui/#object/sent_email__v/VBLZ025E82GMYGE", "SE-000268276")</f>
        <v>SE-000268276</v>
      </c>
      <c r="D1205" s="1">
        <v>45918.865914351853</v>
      </c>
      <c r="E1205" s="2">
        <v>1</v>
      </c>
      <c r="F1205" s="2">
        <v>2</v>
      </c>
      <c r="G1205" s="2">
        <v>0</v>
      </c>
      <c r="H1205" s="1" t="s">
        <v>0</v>
      </c>
      <c r="I1205" s="2">
        <v>0</v>
      </c>
      <c r="J1205" s="1">
        <v>45915.377604166664</v>
      </c>
    </row>
    <row r="1206" spans="1:10" x14ac:dyDescent="0.2">
      <c r="A1206" s="4" t="s">
        <v>1</v>
      </c>
      <c r="B1206" s="3" t="str">
        <f>HYPERLINK("https://otsuka-europe-crm.veevavault.com/ui/#object/approved_document__v/V5OZ025E82TFUPI", "Spain - HCP Survey Email - June 2025")</f>
        <v>Spain - HCP Survey Email - June 2025</v>
      </c>
      <c r="C1206" s="3" t="str">
        <f>HYPERLINK("https://otsuka-europe-crm.veevavault.com/ui/#object/sent_email__v/VBLZ025E82GMYGF", "SE-000268277")</f>
        <v>SE-000268277</v>
      </c>
      <c r="D1206" s="1">
        <v>45915.393634259257</v>
      </c>
      <c r="E1206" s="2">
        <v>1</v>
      </c>
      <c r="F1206" s="2">
        <v>1</v>
      </c>
      <c r="G1206" s="2">
        <v>0</v>
      </c>
      <c r="H1206" s="1" t="s">
        <v>0</v>
      </c>
      <c r="I1206" s="2">
        <v>0</v>
      </c>
      <c r="J1206" s="1">
        <v>45915.378101851849</v>
      </c>
    </row>
    <row r="1207" spans="1:10" x14ac:dyDescent="0.2">
      <c r="A1207" s="4" t="s">
        <v>1</v>
      </c>
      <c r="B1207" s="3" t="str">
        <f>HYPERLINK("https://otsuka-europe-crm.veevavault.com/ui/#object/approved_document__v/V5OZ025E82TFUPI", "Spain - HCP Survey Email - June 2025")</f>
        <v>Spain - HCP Survey Email - June 2025</v>
      </c>
      <c r="C1207" s="3" t="str">
        <f>HYPERLINK("https://otsuka-europe-crm.veevavault.com/ui/#object/sent_email__v/VBLZ025E82GMYGG", "SE-000268278")</f>
        <v>SE-000268278</v>
      </c>
      <c r="D1207" s="1">
        <v>45915.454398148147</v>
      </c>
      <c r="E1207" s="2">
        <v>1</v>
      </c>
      <c r="F1207" s="2">
        <v>1</v>
      </c>
      <c r="G1207" s="2">
        <v>0</v>
      </c>
      <c r="H1207" s="1" t="s">
        <v>0</v>
      </c>
      <c r="I1207" s="2">
        <v>0</v>
      </c>
      <c r="J1207" s="1">
        <v>45915.379050925927</v>
      </c>
    </row>
    <row r="1208" spans="1:10" x14ac:dyDescent="0.2">
      <c r="A1208" s="4" t="s">
        <v>1</v>
      </c>
      <c r="B1208" s="3" t="str">
        <f>HYPERLINK("https://otsuka-europe-crm.veevavault.com/ui/#object/approved_document__v/V5OZ025E82TFUPI", "Spain - HCP Survey Email - June 2025")</f>
        <v>Spain - HCP Survey Email - June 2025</v>
      </c>
      <c r="C1208" s="3" t="str">
        <f>HYPERLINK("https://otsuka-europe-crm.veevavault.com/ui/#object/sent_email__v/VBLZ025E82GMYGH", "SE-000268279")</f>
        <v>SE-000268279</v>
      </c>
      <c r="D1208" s="1" t="s">
        <v>0</v>
      </c>
      <c r="E1208" s="2">
        <v>0</v>
      </c>
      <c r="F1208" s="2">
        <v>0</v>
      </c>
      <c r="G1208" s="2">
        <v>0</v>
      </c>
      <c r="H1208" s="1" t="s">
        <v>0</v>
      </c>
      <c r="I1208" s="2">
        <v>0</v>
      </c>
      <c r="J1208" s="1">
        <v>45915.379652777781</v>
      </c>
    </row>
    <row r="1209" spans="1:10" x14ac:dyDescent="0.2">
      <c r="A1209" s="4" t="s">
        <v>1</v>
      </c>
      <c r="B1209" s="3" t="str">
        <f>HYPERLINK("https://otsuka-europe-crm.veevavault.com/ui/#object/approved_document__v/V5OZ025E82TFUPI", "Spain - HCP Survey Email - June 2025")</f>
        <v>Spain - HCP Survey Email - June 2025</v>
      </c>
      <c r="C1209" s="3" t="str">
        <f>HYPERLINK("https://otsuka-europe-crm.veevavault.com/ui/#object/sent_email__v/VBLZ025E82GMYGI", "SE-000268280")</f>
        <v>SE-000268280</v>
      </c>
      <c r="D1209" s="1" t="s">
        <v>0</v>
      </c>
      <c r="E1209" s="2">
        <v>0</v>
      </c>
      <c r="F1209" s="2">
        <v>0</v>
      </c>
      <c r="G1209" s="2">
        <v>0</v>
      </c>
      <c r="H1209" s="1" t="s">
        <v>0</v>
      </c>
      <c r="I1209" s="2">
        <v>0</v>
      </c>
      <c r="J1209" s="1">
        <v>45915.379432870373</v>
      </c>
    </row>
    <row r="1210" spans="1:10" x14ac:dyDescent="0.2">
      <c r="A1210" s="4" t="s">
        <v>1</v>
      </c>
      <c r="B1210" s="3" t="str">
        <f>HYPERLINK("https://otsuka-europe-crm.veevavault.com/ui/#object/approved_document__v/V5OZ025E82TFUPI", "Spain - HCP Survey Email - June 2025")</f>
        <v>Spain - HCP Survey Email - June 2025</v>
      </c>
      <c r="C1210" s="3" t="str">
        <f>HYPERLINK("https://otsuka-europe-crm.veevavault.com/ui/#object/sent_email__v/VBLZ025E82GMYGJ", "SE-000268281")</f>
        <v>SE-000268281</v>
      </c>
      <c r="D1210" s="1" t="s">
        <v>0</v>
      </c>
      <c r="E1210" s="2">
        <v>0</v>
      </c>
      <c r="F1210" s="2">
        <v>0</v>
      </c>
      <c r="G1210" s="2">
        <v>0</v>
      </c>
      <c r="H1210" s="1" t="s">
        <v>0</v>
      </c>
      <c r="I1210" s="2">
        <v>0</v>
      </c>
      <c r="J1210" s="1">
        <v>45915.377523148149</v>
      </c>
    </row>
    <row r="1211" spans="1:10" x14ac:dyDescent="0.2">
      <c r="A1211" s="4" t="s">
        <v>1</v>
      </c>
      <c r="B1211" s="3" t="str">
        <f>HYPERLINK("https://otsuka-europe-crm.veevavault.com/ui/#object/approved_document__v/V5OZ025E82TFUPI", "Spain - HCP Survey Email - June 2025")</f>
        <v>Spain - HCP Survey Email - June 2025</v>
      </c>
      <c r="C1211" s="3" t="str">
        <f>HYPERLINK("https://otsuka-europe-crm.veevavault.com/ui/#object/sent_email__v/VBLZ025E82GMYGL", "SE-000268283")</f>
        <v>SE-000268283</v>
      </c>
      <c r="D1211" s="1" t="s">
        <v>0</v>
      </c>
      <c r="E1211" s="2">
        <v>0</v>
      </c>
      <c r="F1211" s="2">
        <v>0</v>
      </c>
      <c r="G1211" s="2">
        <v>0</v>
      </c>
      <c r="H1211" s="1" t="s">
        <v>0</v>
      </c>
      <c r="I1211" s="2">
        <v>0</v>
      </c>
      <c r="J1211" s="1">
        <v>45915.379016203704</v>
      </c>
    </row>
    <row r="1212" spans="1:10" x14ac:dyDescent="0.2">
      <c r="A1212" s="4" t="s">
        <v>1</v>
      </c>
      <c r="B1212" s="3" t="str">
        <f>HYPERLINK("https://otsuka-europe-crm.veevavault.com/ui/#object/approved_document__v/V5OZ025E82TFUPI", "Spain - HCP Survey Email - June 2025")</f>
        <v>Spain - HCP Survey Email - June 2025</v>
      </c>
      <c r="C1212" s="3" t="str">
        <f>HYPERLINK("https://otsuka-europe-crm.veevavault.com/ui/#object/sent_email__v/VBLZ025E82GMYGM", "SE-000268284")</f>
        <v>SE-000268284</v>
      </c>
      <c r="D1212" s="1" t="s">
        <v>0</v>
      </c>
      <c r="E1212" s="2">
        <v>0</v>
      </c>
      <c r="F1212" s="2">
        <v>0</v>
      </c>
      <c r="G1212" s="2">
        <v>0</v>
      </c>
      <c r="H1212" s="1" t="s">
        <v>0</v>
      </c>
      <c r="I1212" s="2">
        <v>0</v>
      </c>
      <c r="J1212" s="1">
        <v>45915.379652777781</v>
      </c>
    </row>
    <row r="1213" spans="1:10" x14ac:dyDescent="0.2">
      <c r="A1213" s="4" t="s">
        <v>1</v>
      </c>
      <c r="B1213" s="3" t="str">
        <f>HYPERLINK("https://otsuka-europe-crm.veevavault.com/ui/#object/approved_document__v/V5OZ025E82TFUPI", "Spain - HCP Survey Email - June 2025")</f>
        <v>Spain - HCP Survey Email - June 2025</v>
      </c>
      <c r="C1213" s="3" t="str">
        <f>HYPERLINK("https://otsuka-europe-crm.veevavault.com/ui/#object/sent_email__v/VBLZ025E82GMYGO", "SE-000268286")</f>
        <v>SE-000268286</v>
      </c>
      <c r="D1213" s="1">
        <v>45916.660671296297</v>
      </c>
      <c r="E1213" s="2">
        <v>1</v>
      </c>
      <c r="F1213" s="2">
        <v>1</v>
      </c>
      <c r="G1213" s="2">
        <v>1</v>
      </c>
      <c r="H1213" s="1">
        <v>45917.439131944448</v>
      </c>
      <c r="I1213" s="2">
        <v>1</v>
      </c>
      <c r="J1213" s="1">
        <v>45915.377824074072</v>
      </c>
    </row>
    <row r="1214" spans="1:10" x14ac:dyDescent="0.2">
      <c r="A1214" s="4" t="s">
        <v>1</v>
      </c>
      <c r="B1214" s="3" t="str">
        <f>HYPERLINK("https://otsuka-europe-crm.veevavault.com/ui/#object/approved_document__v/V5OZ025E82TFUPI", "Spain - HCP Survey Email - June 2025")</f>
        <v>Spain - HCP Survey Email - June 2025</v>
      </c>
      <c r="C1214" s="3" t="str">
        <f>HYPERLINK("https://otsuka-europe-crm.veevavault.com/ui/#object/sent_email__v/VBLZ025E82GMYGP", "SE-000268287")</f>
        <v>SE-000268287</v>
      </c>
      <c r="D1214" s="1">
        <v>45915.931180555555</v>
      </c>
      <c r="E1214" s="2">
        <v>1</v>
      </c>
      <c r="F1214" s="2">
        <v>1</v>
      </c>
      <c r="G1214" s="2">
        <v>0</v>
      </c>
      <c r="H1214" s="1" t="s">
        <v>0</v>
      </c>
      <c r="I1214" s="2">
        <v>0</v>
      </c>
      <c r="J1214" s="1">
        <v>45915.378217592595</v>
      </c>
    </row>
    <row r="1215" spans="1:10" x14ac:dyDescent="0.2">
      <c r="A1215" s="4" t="s">
        <v>1</v>
      </c>
      <c r="B1215" s="3" t="str">
        <f>HYPERLINK("https://otsuka-europe-crm.veevavault.com/ui/#object/approved_document__v/V5OZ025E82TFUPI", "Spain - HCP Survey Email - June 2025")</f>
        <v>Spain - HCP Survey Email - June 2025</v>
      </c>
      <c r="C1215" s="3" t="str">
        <f>HYPERLINK("https://otsuka-europe-crm.veevavault.com/ui/#object/sent_email__v/VBLZ025E82GMYGQ", "SE-000268288")</f>
        <v>SE-000268288</v>
      </c>
      <c r="D1215" s="1" t="s">
        <v>0</v>
      </c>
      <c r="E1215" s="2">
        <v>0</v>
      </c>
      <c r="F1215" s="2">
        <v>0</v>
      </c>
      <c r="G1215" s="2">
        <v>0</v>
      </c>
      <c r="H1215" s="1" t="s">
        <v>0</v>
      </c>
      <c r="I1215" s="2">
        <v>0</v>
      </c>
      <c r="J1215" s="1">
        <v>45915.378032407411</v>
      </c>
    </row>
    <row r="1216" spans="1:10" x14ac:dyDescent="0.2">
      <c r="A1216" s="4" t="s">
        <v>1</v>
      </c>
      <c r="B1216" s="3" t="str">
        <f>HYPERLINK("https://otsuka-europe-crm.veevavault.com/ui/#object/approved_document__v/V5OZ025E82TFUPI", "Spain - HCP Survey Email - June 2025")</f>
        <v>Spain - HCP Survey Email - June 2025</v>
      </c>
      <c r="C1216" s="3" t="str">
        <f>HYPERLINK("https://otsuka-europe-crm.veevavault.com/ui/#object/sent_email__v/VBLZ025E82GMYGR", "SE-000268289")</f>
        <v>SE-000268289</v>
      </c>
      <c r="D1216" s="1">
        <v>45915.458807870367</v>
      </c>
      <c r="E1216" s="2">
        <v>1</v>
      </c>
      <c r="F1216" s="2">
        <v>2</v>
      </c>
      <c r="G1216" s="2">
        <v>1</v>
      </c>
      <c r="H1216" s="1">
        <v>45915.51462962963</v>
      </c>
      <c r="I1216" s="2">
        <v>2</v>
      </c>
      <c r="J1216" s="1">
        <v>45915.378564814811</v>
      </c>
    </row>
    <row r="1217" spans="1:10" x14ac:dyDescent="0.2">
      <c r="A1217" s="4" t="s">
        <v>1</v>
      </c>
      <c r="B1217" s="3" t="str">
        <f>HYPERLINK("https://otsuka-europe-crm.veevavault.com/ui/#object/approved_document__v/V5OZ025E82TFUPI", "Spain - HCP Survey Email - June 2025")</f>
        <v>Spain - HCP Survey Email - June 2025</v>
      </c>
      <c r="C1217" s="3" t="str">
        <f>HYPERLINK("https://otsuka-europe-crm.veevavault.com/ui/#object/sent_email__v/VBLZ025E82GMYGS", "SE-000268290")</f>
        <v>SE-000268290</v>
      </c>
      <c r="D1217" s="1" t="s">
        <v>0</v>
      </c>
      <c r="E1217" s="2">
        <v>0</v>
      </c>
      <c r="F1217" s="2">
        <v>0</v>
      </c>
      <c r="G1217" s="2">
        <v>0</v>
      </c>
      <c r="H1217" s="1" t="s">
        <v>0</v>
      </c>
      <c r="I1217" s="2">
        <v>0</v>
      </c>
      <c r="J1217" s="1">
        <v>45915.379918981482</v>
      </c>
    </row>
    <row r="1218" spans="1:10" x14ac:dyDescent="0.2">
      <c r="A1218" s="4" t="s">
        <v>1</v>
      </c>
      <c r="B1218" s="3" t="str">
        <f>HYPERLINK("https://otsuka-europe-crm.veevavault.com/ui/#object/approved_document__v/V5OZ025E82TFUPI", "Spain - HCP Survey Email - June 2025")</f>
        <v>Spain - HCP Survey Email - June 2025</v>
      </c>
      <c r="C1218" s="3" t="str">
        <f>HYPERLINK("https://otsuka-europe-crm.veevavault.com/ui/#object/sent_email__v/VBLZ025E82GMYGT", "SE-000268291")</f>
        <v>SE-000268291</v>
      </c>
      <c r="D1218" s="1" t="s">
        <v>0</v>
      </c>
      <c r="E1218" s="2">
        <v>0</v>
      </c>
      <c r="F1218" s="2">
        <v>0</v>
      </c>
      <c r="G1218" s="2">
        <v>0</v>
      </c>
      <c r="H1218" s="1" t="s">
        <v>0</v>
      </c>
      <c r="I1218" s="2">
        <v>0</v>
      </c>
      <c r="J1218" s="1">
        <v>45915.377615740741</v>
      </c>
    </row>
    <row r="1219" spans="1:10" x14ac:dyDescent="0.2">
      <c r="A1219" s="4" t="s">
        <v>1</v>
      </c>
      <c r="B1219" s="3" t="str">
        <f>HYPERLINK("https://otsuka-europe-crm.veevavault.com/ui/#object/approved_document__v/V5OZ025E82TFUPI", "Spain - HCP Survey Email - June 2025")</f>
        <v>Spain - HCP Survey Email - June 2025</v>
      </c>
      <c r="C1219" s="3" t="str">
        <f>HYPERLINK("https://otsuka-europe-crm.veevavault.com/ui/#object/sent_email__v/VBLZ025E82GMYGU", "SE-000268292")</f>
        <v>SE-000268292</v>
      </c>
      <c r="D1219" s="1">
        <v>45924.710914351854</v>
      </c>
      <c r="E1219" s="2">
        <v>1</v>
      </c>
      <c r="F1219" s="2">
        <v>3</v>
      </c>
      <c r="G1219" s="2">
        <v>0</v>
      </c>
      <c r="H1219" s="1" t="s">
        <v>0</v>
      </c>
      <c r="I1219" s="2">
        <v>0</v>
      </c>
      <c r="J1219" s="1">
        <v>45915.377604166664</v>
      </c>
    </row>
    <row r="1220" spans="1:10" x14ac:dyDescent="0.2">
      <c r="A1220" s="4" t="s">
        <v>1</v>
      </c>
      <c r="B1220" s="3" t="str">
        <f>HYPERLINK("https://otsuka-europe-crm.veevavault.com/ui/#object/approved_document__v/V5OZ025E82TFUPI", "Spain - HCP Survey Email - June 2025")</f>
        <v>Spain - HCP Survey Email - June 2025</v>
      </c>
      <c r="C1220" s="3" t="str">
        <f>HYPERLINK("https://otsuka-europe-crm.veevavault.com/ui/#object/sent_email__v/VBLZ025E82GMYGV", "SE-000268293")</f>
        <v>SE-000268293</v>
      </c>
      <c r="D1220" s="1" t="s">
        <v>0</v>
      </c>
      <c r="E1220" s="2">
        <v>0</v>
      </c>
      <c r="F1220" s="2">
        <v>0</v>
      </c>
      <c r="G1220" s="2">
        <v>0</v>
      </c>
      <c r="H1220" s="1" t="s">
        <v>0</v>
      </c>
      <c r="I1220" s="2">
        <v>0</v>
      </c>
      <c r="J1220" s="1">
        <v>45915.378032407411</v>
      </c>
    </row>
    <row r="1221" spans="1:10" x14ac:dyDescent="0.2">
      <c r="A1221" s="4" t="s">
        <v>1</v>
      </c>
      <c r="B1221" s="3" t="str">
        <f>HYPERLINK("https://otsuka-europe-crm.veevavault.com/ui/#object/approved_document__v/V5OZ025E82TFUPI", "Spain - HCP Survey Email - June 2025")</f>
        <v>Spain - HCP Survey Email - June 2025</v>
      </c>
      <c r="C1221" s="3" t="str">
        <f>HYPERLINK("https://otsuka-europe-crm.veevavault.com/ui/#object/sent_email__v/VBLZ025E82GMYGX", "SE-000268295")</f>
        <v>SE-000268295</v>
      </c>
      <c r="D1221" s="1" t="s">
        <v>0</v>
      </c>
      <c r="E1221" s="2">
        <v>0</v>
      </c>
      <c r="F1221" s="2">
        <v>0</v>
      </c>
      <c r="G1221" s="2">
        <v>0</v>
      </c>
      <c r="H1221" s="1" t="s">
        <v>0</v>
      </c>
      <c r="I1221" s="2">
        <v>0</v>
      </c>
      <c r="J1221" s="1">
        <v>45915.379699074074</v>
      </c>
    </row>
    <row r="1222" spans="1:10" x14ac:dyDescent="0.2">
      <c r="A1222" s="4" t="s">
        <v>1</v>
      </c>
      <c r="B1222" s="3" t="str">
        <f>HYPERLINK("https://otsuka-europe-crm.veevavault.com/ui/#object/approved_document__v/V5OZ025E82TFUPI", "Spain - HCP Survey Email - June 2025")</f>
        <v>Spain - HCP Survey Email - June 2025</v>
      </c>
      <c r="C1222" s="3" t="str">
        <f>HYPERLINK("https://otsuka-europe-crm.veevavault.com/ui/#object/sent_email__v/VBLZ025E82GMYGY", "SE-000268296")</f>
        <v>SE-000268296</v>
      </c>
      <c r="D1222" s="1" t="s">
        <v>0</v>
      </c>
      <c r="E1222" s="2">
        <v>0</v>
      </c>
      <c r="F1222" s="2">
        <v>0</v>
      </c>
      <c r="G1222" s="2">
        <v>0</v>
      </c>
      <c r="H1222" s="1" t="s">
        <v>0</v>
      </c>
      <c r="I1222" s="2">
        <v>0</v>
      </c>
      <c r="J1222" s="1">
        <v>45915.379629629628</v>
      </c>
    </row>
    <row r="1223" spans="1:10" x14ac:dyDescent="0.2">
      <c r="A1223" s="4" t="s">
        <v>1</v>
      </c>
      <c r="B1223" s="3" t="str">
        <f>HYPERLINK("https://otsuka-europe-crm.veevavault.com/ui/#object/approved_document__v/V5OZ025E82TFUPI", "Spain - HCP Survey Email - June 2025")</f>
        <v>Spain - HCP Survey Email - June 2025</v>
      </c>
      <c r="C1223" s="3" t="str">
        <f>HYPERLINK("https://otsuka-europe-crm.veevavault.com/ui/#object/sent_email__v/VBLZ025E82GMYGZ", "SE-000268297")</f>
        <v>SE-000268297</v>
      </c>
      <c r="D1223" s="1" t="s">
        <v>0</v>
      </c>
      <c r="E1223" s="2">
        <v>0</v>
      </c>
      <c r="F1223" s="2">
        <v>0</v>
      </c>
      <c r="G1223" s="2">
        <v>0</v>
      </c>
      <c r="H1223" s="1" t="s">
        <v>0</v>
      </c>
      <c r="I1223" s="2">
        <v>0</v>
      </c>
      <c r="J1223" s="1">
        <v>45915.377812500003</v>
      </c>
    </row>
    <row r="1224" spans="1:10" x14ac:dyDescent="0.2">
      <c r="A1224" s="4" t="s">
        <v>1</v>
      </c>
      <c r="B1224" s="3" t="str">
        <f>HYPERLINK("https://otsuka-europe-crm.veevavault.com/ui/#object/approved_document__v/V5OZ025E82TFUPI", "Spain - HCP Survey Email - June 2025")</f>
        <v>Spain - HCP Survey Email - June 2025</v>
      </c>
      <c r="C1224" s="3" t="str">
        <f>HYPERLINK("https://otsuka-europe-crm.veevavault.com/ui/#object/sent_email__v/VBLZ025E82GMYH0", "SE-000268298")</f>
        <v>SE-000268298</v>
      </c>
      <c r="D1224" s="1">
        <v>45915.573993055557</v>
      </c>
      <c r="E1224" s="2">
        <v>1</v>
      </c>
      <c r="F1224" s="2">
        <v>1</v>
      </c>
      <c r="G1224" s="2">
        <v>1</v>
      </c>
      <c r="H1224" s="1">
        <v>45915.573993055557</v>
      </c>
      <c r="I1224" s="2">
        <v>1</v>
      </c>
      <c r="J1224" s="1">
        <v>45915.378263888888</v>
      </c>
    </row>
    <row r="1225" spans="1:10" x14ac:dyDescent="0.2">
      <c r="A1225" s="4" t="s">
        <v>1</v>
      </c>
      <c r="B1225" s="3" t="str">
        <f>HYPERLINK("https://otsuka-europe-crm.veevavault.com/ui/#object/approved_document__v/V5OZ025E82TFUPI", "Spain - HCP Survey Email - June 2025")</f>
        <v>Spain - HCP Survey Email - June 2025</v>
      </c>
      <c r="C1225" s="3" t="str">
        <f>HYPERLINK("https://otsuka-europe-crm.veevavault.com/ui/#object/sent_email__v/VBLZ025E82GMYH1", "SE-000268299")</f>
        <v>SE-000268299</v>
      </c>
      <c r="D1225" s="1">
        <v>45920.931828703702</v>
      </c>
      <c r="E1225" s="2">
        <v>1</v>
      </c>
      <c r="F1225" s="2">
        <v>4</v>
      </c>
      <c r="G1225" s="2">
        <v>1</v>
      </c>
      <c r="H1225" s="1">
        <v>45919.29792824074</v>
      </c>
      <c r="I1225" s="2">
        <v>2</v>
      </c>
      <c r="J1225" s="1">
        <v>45915.378067129626</v>
      </c>
    </row>
    <row r="1226" spans="1:10" x14ac:dyDescent="0.2">
      <c r="A1226" s="4" t="s">
        <v>1</v>
      </c>
      <c r="B1226" s="3" t="str">
        <f>HYPERLINK("https://otsuka-europe-crm.veevavault.com/ui/#object/approved_document__v/V5OZ025E82TFUPI", "Spain - HCP Survey Email - June 2025")</f>
        <v>Spain - HCP Survey Email - June 2025</v>
      </c>
      <c r="C1226" s="3" t="str">
        <f>HYPERLINK("https://otsuka-europe-crm.veevavault.com/ui/#object/sent_email__v/VBLZ025E82GMYH3", "SE-000268301")</f>
        <v>SE-000268301</v>
      </c>
      <c r="D1226" s="1">
        <v>45916.026643518519</v>
      </c>
      <c r="E1226" s="2">
        <v>1</v>
      </c>
      <c r="F1226" s="2">
        <v>1</v>
      </c>
      <c r="G1226" s="2">
        <v>0</v>
      </c>
      <c r="H1226" s="1" t="s">
        <v>0</v>
      </c>
      <c r="I1226" s="2">
        <v>0</v>
      </c>
      <c r="J1226" s="1">
        <v>45915.379849537036</v>
      </c>
    </row>
    <row r="1227" spans="1:10" x14ac:dyDescent="0.2">
      <c r="A1227" s="4" t="s">
        <v>1</v>
      </c>
      <c r="B1227" s="3" t="str">
        <f>HYPERLINK("https://otsuka-europe-crm.veevavault.com/ui/#object/approved_document__v/V5OZ025E82TFUPI", "Spain - HCP Survey Email - June 2025")</f>
        <v>Spain - HCP Survey Email - June 2025</v>
      </c>
      <c r="C1227" s="3" t="str">
        <f>HYPERLINK("https://otsuka-europe-crm.veevavault.com/ui/#object/sent_email__v/VBLZ025E82GMYH4", "SE-000268302")</f>
        <v>SE-000268302</v>
      </c>
      <c r="D1227" s="1">
        <v>45960.663229166668</v>
      </c>
      <c r="E1227" s="2">
        <v>1</v>
      </c>
      <c r="F1227" s="2">
        <v>5</v>
      </c>
      <c r="G1227" s="2">
        <v>0</v>
      </c>
      <c r="H1227" s="1" t="s">
        <v>0</v>
      </c>
      <c r="I1227" s="2">
        <v>0</v>
      </c>
      <c r="J1227" s="1">
        <v>45915.37767361111</v>
      </c>
    </row>
    <row r="1228" spans="1:10" x14ac:dyDescent="0.2">
      <c r="A1228" s="4" t="s">
        <v>1</v>
      </c>
      <c r="B1228" s="3" t="str">
        <f>HYPERLINK("https://otsuka-europe-crm.veevavault.com/ui/#object/approved_document__v/V5OZ025E82TFUPI", "Spain - HCP Survey Email - June 2025")</f>
        <v>Spain - HCP Survey Email - June 2025</v>
      </c>
      <c r="C1228" s="3" t="str">
        <f>HYPERLINK("https://otsuka-europe-crm.veevavault.com/ui/#object/sent_email__v/VBLZ025E82GMYH5", "SE-000268303")</f>
        <v>SE-000268303</v>
      </c>
      <c r="D1228" s="1" t="s">
        <v>0</v>
      </c>
      <c r="E1228" s="2">
        <v>0</v>
      </c>
      <c r="F1228" s="2">
        <v>0</v>
      </c>
      <c r="G1228" s="2">
        <v>0</v>
      </c>
      <c r="H1228" s="1" t="s">
        <v>0</v>
      </c>
      <c r="I1228" s="2">
        <v>0</v>
      </c>
      <c r="J1228" s="1">
        <v>45915.377592592595</v>
      </c>
    </row>
    <row r="1229" spans="1:10" x14ac:dyDescent="0.2">
      <c r="A1229" s="4" t="s">
        <v>1</v>
      </c>
      <c r="B1229" s="3" t="str">
        <f>HYPERLINK("https://otsuka-europe-crm.veevavault.com/ui/#object/approved_document__v/V5OZ025E82TFUPI", "Spain - HCP Survey Email - June 2025")</f>
        <v>Spain - HCP Survey Email - June 2025</v>
      </c>
      <c r="C1229" s="3" t="str">
        <f>HYPERLINK("https://otsuka-europe-crm.veevavault.com/ui/#object/sent_email__v/VBLZ025E82GMYH6", "SE-000268304")</f>
        <v>SE-000268304</v>
      </c>
      <c r="D1229" s="1" t="s">
        <v>0</v>
      </c>
      <c r="E1229" s="2">
        <v>0</v>
      </c>
      <c r="F1229" s="2">
        <v>0</v>
      </c>
      <c r="G1229" s="2">
        <v>0</v>
      </c>
      <c r="H1229" s="1" t="s">
        <v>0</v>
      </c>
      <c r="I1229" s="2">
        <v>0</v>
      </c>
      <c r="J1229" s="1">
        <v>45915.377986111111</v>
      </c>
    </row>
    <row r="1230" spans="1:10" x14ac:dyDescent="0.2">
      <c r="A1230" s="4" t="s">
        <v>1</v>
      </c>
      <c r="B1230" s="3" t="str">
        <f>HYPERLINK("https://otsuka-europe-crm.veevavault.com/ui/#object/approved_document__v/V5OZ025E82TFUPI", "Spain - HCP Survey Email - June 2025")</f>
        <v>Spain - HCP Survey Email - June 2025</v>
      </c>
      <c r="C1230" s="3" t="str">
        <f>HYPERLINK("https://otsuka-europe-crm.veevavault.com/ui/#object/sent_email__v/VBLZ025E82GMYH7", "SE-000268305")</f>
        <v>SE-000268305</v>
      </c>
      <c r="D1230" s="1" t="s">
        <v>0</v>
      </c>
      <c r="E1230" s="2">
        <v>0</v>
      </c>
      <c r="F1230" s="2">
        <v>0</v>
      </c>
      <c r="G1230" s="2">
        <v>0</v>
      </c>
      <c r="H1230" s="1" t="s">
        <v>0</v>
      </c>
      <c r="I1230" s="2">
        <v>0</v>
      </c>
      <c r="J1230" s="1">
        <v>45915.378969907404</v>
      </c>
    </row>
    <row r="1231" spans="1:10" x14ac:dyDescent="0.2">
      <c r="A1231" s="4" t="s">
        <v>1</v>
      </c>
      <c r="B1231" s="3" t="str">
        <f>HYPERLINK("https://otsuka-europe-crm.veevavault.com/ui/#object/approved_document__v/V5OZ025E82TFUPI", "Spain - HCP Survey Email - June 2025")</f>
        <v>Spain - HCP Survey Email - June 2025</v>
      </c>
      <c r="C1231" s="3" t="str">
        <f>HYPERLINK("https://otsuka-europe-crm.veevavault.com/ui/#object/sent_email__v/VBLZ025E82GMYH8", "SE-000268306")</f>
        <v>SE-000268306</v>
      </c>
      <c r="D1231" s="1" t="s">
        <v>0</v>
      </c>
      <c r="E1231" s="2">
        <v>0</v>
      </c>
      <c r="F1231" s="2">
        <v>0</v>
      </c>
      <c r="G1231" s="2">
        <v>0</v>
      </c>
      <c r="H1231" s="1" t="s">
        <v>0</v>
      </c>
      <c r="I1231" s="2">
        <v>0</v>
      </c>
      <c r="J1231" s="1">
        <v>45915.379641203705</v>
      </c>
    </row>
    <row r="1232" spans="1:10" x14ac:dyDescent="0.2">
      <c r="A1232" s="4" t="s">
        <v>1</v>
      </c>
      <c r="B1232" s="3" t="str">
        <f>HYPERLINK("https://otsuka-europe-crm.veevavault.com/ui/#object/approved_document__v/V5OZ025E82TFUPI", "Spain - HCP Survey Email - June 2025")</f>
        <v>Spain - HCP Survey Email - June 2025</v>
      </c>
      <c r="C1232" s="3" t="str">
        <f>HYPERLINK("https://otsuka-europe-crm.veevavault.com/ui/#object/sent_email__v/VBLZ025E82GMYH9", "SE-000268307")</f>
        <v>SE-000268307</v>
      </c>
      <c r="D1232" s="1">
        <v>45915.399548611109</v>
      </c>
      <c r="E1232" s="2">
        <v>1</v>
      </c>
      <c r="F1232" s="2">
        <v>1</v>
      </c>
      <c r="G1232" s="2">
        <v>0</v>
      </c>
      <c r="H1232" s="1" t="s">
        <v>0</v>
      </c>
      <c r="I1232" s="2">
        <v>0</v>
      </c>
      <c r="J1232" s="1">
        <v>45915.379490740743</v>
      </c>
    </row>
    <row r="1233" spans="1:10" x14ac:dyDescent="0.2">
      <c r="A1233" s="4" t="s">
        <v>1</v>
      </c>
      <c r="B1233" s="3" t="str">
        <f>HYPERLINK("https://otsuka-europe-crm.veevavault.com/ui/#object/approved_document__v/V5OZ025E82TFUPI", "Spain - HCP Survey Email - June 2025")</f>
        <v>Spain - HCP Survey Email - June 2025</v>
      </c>
      <c r="C1233" s="3" t="str">
        <f>HYPERLINK("https://otsuka-europe-crm.veevavault.com/ui/#object/sent_email__v/VBLZ025E82GMYHA", "SE-000268308")</f>
        <v>SE-000268308</v>
      </c>
      <c r="D1233" s="1">
        <v>45929.77207175926</v>
      </c>
      <c r="E1233" s="2">
        <v>1</v>
      </c>
      <c r="F1233" s="2">
        <v>1</v>
      </c>
      <c r="G1233" s="2">
        <v>1</v>
      </c>
      <c r="H1233" s="1">
        <v>45929.772222222222</v>
      </c>
      <c r="I1233" s="2">
        <v>1</v>
      </c>
      <c r="J1233" s="1">
        <v>45915.377500000002</v>
      </c>
    </row>
    <row r="1234" spans="1:10" x14ac:dyDescent="0.2">
      <c r="A1234" s="4" t="s">
        <v>1</v>
      </c>
      <c r="B1234" s="3" t="str">
        <f>HYPERLINK("https://otsuka-europe-crm.veevavault.com/ui/#object/approved_document__v/V5OZ025E82TFUPI", "Spain - HCP Survey Email - June 2025")</f>
        <v>Spain - HCP Survey Email - June 2025</v>
      </c>
      <c r="C1234" s="3" t="str">
        <f>HYPERLINK("https://otsuka-europe-crm.veevavault.com/ui/#object/sent_email__v/VBLZ025E82GMYHB", "SE-000268309")</f>
        <v>SE-000268309</v>
      </c>
      <c r="D1234" s="1" t="s">
        <v>0</v>
      </c>
      <c r="E1234" s="2">
        <v>0</v>
      </c>
      <c r="F1234" s="2">
        <v>0</v>
      </c>
      <c r="G1234" s="2">
        <v>0</v>
      </c>
      <c r="H1234" s="1" t="s">
        <v>0</v>
      </c>
      <c r="I1234" s="2">
        <v>0</v>
      </c>
      <c r="J1234" s="1">
        <v>45915.378182870372</v>
      </c>
    </row>
    <row r="1235" spans="1:10" x14ac:dyDescent="0.2">
      <c r="A1235" s="4" t="s">
        <v>1</v>
      </c>
      <c r="B1235" s="3" t="str">
        <f>HYPERLINK("https://otsuka-europe-crm.veevavault.com/ui/#object/approved_document__v/V5OZ025E82TFUPI", "Spain - HCP Survey Email - June 2025")</f>
        <v>Spain - HCP Survey Email - June 2025</v>
      </c>
      <c r="C1235" s="3" t="str">
        <f>HYPERLINK("https://otsuka-europe-crm.veevavault.com/ui/#object/sent_email__v/VBLZ025E82GMYHC", "SE-000268310")</f>
        <v>SE-000268310</v>
      </c>
      <c r="D1235" s="1">
        <v>45915.953923611109</v>
      </c>
      <c r="E1235" s="2">
        <v>1</v>
      </c>
      <c r="F1235" s="2">
        <v>2</v>
      </c>
      <c r="G1235" s="2">
        <v>0</v>
      </c>
      <c r="H1235" s="1" t="s">
        <v>0</v>
      </c>
      <c r="I1235" s="2">
        <v>0</v>
      </c>
      <c r="J1235" s="1">
        <v>45915.37809027778</v>
      </c>
    </row>
    <row r="1236" spans="1:10" x14ac:dyDescent="0.2">
      <c r="A1236" s="4" t="s">
        <v>1</v>
      </c>
      <c r="B1236" s="3" t="str">
        <f>HYPERLINK("https://otsuka-europe-crm.veevavault.com/ui/#object/approved_document__v/V5OZ025E82TFUPI", "Spain - HCP Survey Email - June 2025")</f>
        <v>Spain - HCP Survey Email - June 2025</v>
      </c>
      <c r="C1236" s="3" t="str">
        <f>HYPERLINK("https://otsuka-europe-crm.veevavault.com/ui/#object/sent_email__v/VBLZ025E82GMYHD", "SE-000268311")</f>
        <v>SE-000268311</v>
      </c>
      <c r="D1236" s="1">
        <v>45946.992893518516</v>
      </c>
      <c r="E1236" s="2">
        <v>1</v>
      </c>
      <c r="F1236" s="2">
        <v>2</v>
      </c>
      <c r="G1236" s="2">
        <v>0</v>
      </c>
      <c r="H1236" s="1" t="s">
        <v>0</v>
      </c>
      <c r="I1236" s="2">
        <v>0</v>
      </c>
      <c r="J1236" s="1">
        <v>45915.378483796296</v>
      </c>
    </row>
    <row r="1237" spans="1:10" x14ac:dyDescent="0.2">
      <c r="A1237" s="4" t="s">
        <v>1</v>
      </c>
      <c r="B1237" s="3" t="str">
        <f>HYPERLINK("https://otsuka-europe-crm.veevavault.com/ui/#object/approved_document__v/V5OZ025E82TFUPI", "Spain - HCP Survey Email - June 2025")</f>
        <v>Spain - HCP Survey Email - June 2025</v>
      </c>
      <c r="C1237" s="3" t="str">
        <f>HYPERLINK("https://otsuka-europe-crm.veevavault.com/ui/#object/sent_email__v/VBLZ025E82GMYHE", "SE-000268312")</f>
        <v>SE-000268312</v>
      </c>
      <c r="D1237" s="1">
        <v>45945.950578703705</v>
      </c>
      <c r="E1237" s="2">
        <v>1</v>
      </c>
      <c r="F1237" s="2">
        <v>2</v>
      </c>
      <c r="G1237" s="2">
        <v>1</v>
      </c>
      <c r="H1237" s="1">
        <v>45915.440150462964</v>
      </c>
      <c r="I1237" s="2">
        <v>1</v>
      </c>
      <c r="J1237" s="1">
        <v>45915.379837962966</v>
      </c>
    </row>
    <row r="1238" spans="1:10" x14ac:dyDescent="0.2">
      <c r="A1238" s="4" t="s">
        <v>1</v>
      </c>
      <c r="B1238" s="3" t="str">
        <f>HYPERLINK("https://otsuka-europe-crm.veevavault.com/ui/#object/approved_document__v/V5OZ025E82TFUPI", "Spain - HCP Survey Email - June 2025")</f>
        <v>Spain - HCP Survey Email - June 2025</v>
      </c>
      <c r="C1238" s="3" t="str">
        <f>HYPERLINK("https://otsuka-europe-crm.veevavault.com/ui/#object/sent_email__v/VBLZ025E82GMYHF", "SE-000268313")</f>
        <v>SE-000268313</v>
      </c>
      <c r="D1238" s="1" t="s">
        <v>0</v>
      </c>
      <c r="E1238" s="2">
        <v>0</v>
      </c>
      <c r="F1238" s="2">
        <v>0</v>
      </c>
      <c r="G1238" s="2">
        <v>0</v>
      </c>
      <c r="H1238" s="1" t="s">
        <v>0</v>
      </c>
      <c r="I1238" s="2">
        <v>0</v>
      </c>
      <c r="J1238" s="1">
        <v>45915.377662037034</v>
      </c>
    </row>
    <row r="1239" spans="1:10" x14ac:dyDescent="0.2">
      <c r="A1239" s="4" t="s">
        <v>1</v>
      </c>
      <c r="B1239" s="3" t="str">
        <f>HYPERLINK("https://otsuka-europe-crm.veevavault.com/ui/#object/approved_document__v/V5OZ025E82TFUPI", "Spain - HCP Survey Email - June 2025")</f>
        <v>Spain - HCP Survey Email - June 2025</v>
      </c>
      <c r="C1239" s="3" t="str">
        <f>HYPERLINK("https://otsuka-europe-crm.veevavault.com/ui/#object/sent_email__v/VBLZ025E82GMYHG", "SE-000268314")</f>
        <v>SE-000268314</v>
      </c>
      <c r="D1239" s="1" t="s">
        <v>0</v>
      </c>
      <c r="E1239" s="2">
        <v>0</v>
      </c>
      <c r="F1239" s="2">
        <v>0</v>
      </c>
      <c r="G1239" s="2">
        <v>0</v>
      </c>
      <c r="H1239" s="1" t="s">
        <v>0</v>
      </c>
      <c r="I1239" s="2">
        <v>0</v>
      </c>
      <c r="J1239" s="1">
        <v>45915.377627314818</v>
      </c>
    </row>
    <row r="1240" spans="1:10" x14ac:dyDescent="0.2">
      <c r="A1240" s="4" t="s">
        <v>1</v>
      </c>
      <c r="B1240" s="3" t="str">
        <f>HYPERLINK("https://otsuka-europe-crm.veevavault.com/ui/#object/approved_document__v/V5OZ025E82TFUPI", "Spain - HCP Survey Email - June 2025")</f>
        <v>Spain - HCP Survey Email - June 2025</v>
      </c>
      <c r="C1240" s="3" t="str">
        <f>HYPERLINK("https://otsuka-europe-crm.veevavault.com/ui/#object/sent_email__v/VBLZ025E82GMYHH", "SE-000268315")</f>
        <v>SE-000268315</v>
      </c>
      <c r="D1240" s="1" t="s">
        <v>0</v>
      </c>
      <c r="E1240" s="2">
        <v>0</v>
      </c>
      <c r="F1240" s="2">
        <v>0</v>
      </c>
      <c r="G1240" s="2">
        <v>0</v>
      </c>
      <c r="H1240" s="1" t="s">
        <v>0</v>
      </c>
      <c r="I1240" s="2">
        <v>0</v>
      </c>
      <c r="J1240" s="1">
        <v>45915.378009259257</v>
      </c>
    </row>
    <row r="1241" spans="1:10" x14ac:dyDescent="0.2">
      <c r="A1241" s="4" t="s">
        <v>1</v>
      </c>
      <c r="B1241" s="3" t="str">
        <f>HYPERLINK("https://otsuka-europe-crm.veevavault.com/ui/#object/approved_document__v/V5OZ025E82TFUPI", "Spain - HCP Survey Email - June 2025")</f>
        <v>Spain - HCP Survey Email - June 2025</v>
      </c>
      <c r="C1241" s="3" t="str">
        <f>HYPERLINK("https://otsuka-europe-crm.veevavault.com/ui/#object/sent_email__v/VBLZ025E82GMYHI", "SE-000268316")</f>
        <v>SE-000268316</v>
      </c>
      <c r="D1241" s="1" t="s">
        <v>0</v>
      </c>
      <c r="E1241" s="2">
        <v>0</v>
      </c>
      <c r="F1241" s="2">
        <v>0</v>
      </c>
      <c r="G1241" s="2">
        <v>0</v>
      </c>
      <c r="H1241" s="1" t="s">
        <v>0</v>
      </c>
      <c r="I1241" s="2">
        <v>0</v>
      </c>
      <c r="J1241" s="1">
        <v>45915.378969907404</v>
      </c>
    </row>
    <row r="1242" spans="1:10" x14ac:dyDescent="0.2">
      <c r="A1242" s="4" t="s">
        <v>1</v>
      </c>
      <c r="B1242" s="3" t="str">
        <f>HYPERLINK("https://otsuka-europe-crm.veevavault.com/ui/#object/approved_document__v/V5OZ025E82TFUPI", "Spain - HCP Survey Email - June 2025")</f>
        <v>Spain - HCP Survey Email - June 2025</v>
      </c>
      <c r="C1242" s="3" t="str">
        <f>HYPERLINK("https://otsuka-europe-crm.veevavault.com/ui/#object/sent_email__v/VBLZ025E82GMYHJ", "SE-000268317")</f>
        <v>SE-000268317</v>
      </c>
      <c r="D1242" s="1" t="s">
        <v>0</v>
      </c>
      <c r="E1242" s="2">
        <v>0</v>
      </c>
      <c r="F1242" s="2">
        <v>0</v>
      </c>
      <c r="G1242" s="2">
        <v>0</v>
      </c>
      <c r="H1242" s="1" t="s">
        <v>0</v>
      </c>
      <c r="I1242" s="2">
        <v>0</v>
      </c>
      <c r="J1242" s="1">
        <v>45915.379687499997</v>
      </c>
    </row>
    <row r="1243" spans="1:10" x14ac:dyDescent="0.2">
      <c r="A1243" s="4" t="s">
        <v>1</v>
      </c>
      <c r="B1243" s="3" t="str">
        <f>HYPERLINK("https://otsuka-europe-crm.veevavault.com/ui/#object/approved_document__v/V5OZ025E82TFUPI", "Spain - HCP Survey Email - June 2025")</f>
        <v>Spain - HCP Survey Email - June 2025</v>
      </c>
      <c r="C1243" s="3" t="str">
        <f>HYPERLINK("https://otsuka-europe-crm.veevavault.com/ui/#object/sent_email__v/VBLZ025E82GMYHK", "SE-000268318")</f>
        <v>SE-000268318</v>
      </c>
      <c r="D1243" s="1">
        <v>45916.941284722219</v>
      </c>
      <c r="E1243" s="2">
        <v>1</v>
      </c>
      <c r="F1243" s="2">
        <v>2</v>
      </c>
      <c r="G1243" s="2">
        <v>1</v>
      </c>
      <c r="H1243" s="1">
        <v>45917.468668981484</v>
      </c>
      <c r="I1243" s="2">
        <v>1</v>
      </c>
      <c r="J1243" s="1">
        <v>45915.377615740741</v>
      </c>
    </row>
    <row r="1244" spans="1:10" x14ac:dyDescent="0.2">
      <c r="A1244" s="4" t="s">
        <v>1</v>
      </c>
      <c r="B1244" s="3" t="str">
        <f>HYPERLINK("https://otsuka-europe-crm.veevavault.com/ui/#object/approved_document__v/V5OZ025E82TFUPI", "Spain - HCP Survey Email - June 2025")</f>
        <v>Spain - HCP Survey Email - June 2025</v>
      </c>
      <c r="C1244" s="3" t="str">
        <f>HYPERLINK("https://otsuka-europe-crm.veevavault.com/ui/#object/sent_email__v/VBLZ025E82GMYHL", "SE-000268319")</f>
        <v>SE-000268319</v>
      </c>
      <c r="D1244" s="1" t="s">
        <v>0</v>
      </c>
      <c r="E1244" s="2">
        <v>0</v>
      </c>
      <c r="F1244" s="2">
        <v>0</v>
      </c>
      <c r="G1244" s="2">
        <v>0</v>
      </c>
      <c r="H1244" s="1" t="s">
        <v>0</v>
      </c>
      <c r="I1244" s="2">
        <v>0</v>
      </c>
      <c r="J1244" s="1">
        <v>45915.378009259257</v>
      </c>
    </row>
    <row r="1245" spans="1:10" x14ac:dyDescent="0.2">
      <c r="A1245" s="4" t="s">
        <v>1</v>
      </c>
      <c r="B1245" s="3" t="str">
        <f>HYPERLINK("https://otsuka-europe-crm.veevavault.com/ui/#object/approved_document__v/V5OZ025E82TFUPI", "Spain - HCP Survey Email - June 2025")</f>
        <v>Spain - HCP Survey Email - June 2025</v>
      </c>
      <c r="C1245" s="3" t="str">
        <f>HYPERLINK("https://otsuka-europe-crm.veevavault.com/ui/#object/sent_email__v/VBLZ025E82GMYHM", "SE-000268320")</f>
        <v>SE-000268320</v>
      </c>
      <c r="D1245" s="1" t="s">
        <v>0</v>
      </c>
      <c r="E1245" s="2">
        <v>0</v>
      </c>
      <c r="F1245" s="2">
        <v>0</v>
      </c>
      <c r="G1245" s="2">
        <v>0</v>
      </c>
      <c r="H1245" s="1" t="s">
        <v>0</v>
      </c>
      <c r="I1245" s="2">
        <v>0</v>
      </c>
      <c r="J1245" s="1">
        <v>45915.379016203704</v>
      </c>
    </row>
    <row r="1246" spans="1:10" x14ac:dyDescent="0.2">
      <c r="A1246" s="4" t="s">
        <v>1</v>
      </c>
      <c r="B1246" s="3" t="str">
        <f>HYPERLINK("https://otsuka-europe-crm.veevavault.com/ui/#object/approved_document__v/V5OZ025E82TFUPI", "Spain - HCP Survey Email - June 2025")</f>
        <v>Spain - HCP Survey Email - June 2025</v>
      </c>
      <c r="C1246" s="3" t="str">
        <f>HYPERLINK("https://otsuka-europe-crm.veevavault.com/ui/#object/sent_email__v/VBLZ025E82GMYHN", "SE-000268321")</f>
        <v>SE-000268321</v>
      </c>
      <c r="D1246" s="1" t="s">
        <v>0</v>
      </c>
      <c r="E1246" s="2">
        <v>0</v>
      </c>
      <c r="F1246" s="2">
        <v>0</v>
      </c>
      <c r="G1246" s="2">
        <v>0</v>
      </c>
      <c r="H1246" s="1" t="s">
        <v>0</v>
      </c>
      <c r="I1246" s="2">
        <v>0</v>
      </c>
      <c r="J1246" s="1">
        <v>45915.379745370374</v>
      </c>
    </row>
    <row r="1247" spans="1:10" x14ac:dyDescent="0.2">
      <c r="A1247" s="4" t="s">
        <v>1</v>
      </c>
      <c r="B1247" s="3" t="str">
        <f>HYPERLINK("https://otsuka-europe-crm.veevavault.com/ui/#object/approved_document__v/V5OZ025E82TFUPI", "Spain - HCP Survey Email - June 2025")</f>
        <v>Spain - HCP Survey Email - June 2025</v>
      </c>
      <c r="C1247" s="3" t="str">
        <f>HYPERLINK("https://otsuka-europe-crm.veevavault.com/ui/#object/sent_email__v/VBLZ025E82GMYHO", "SE-000268322")</f>
        <v>SE-000268322</v>
      </c>
      <c r="D1247" s="1">
        <v>45915.547893518517</v>
      </c>
      <c r="E1247" s="2">
        <v>1</v>
      </c>
      <c r="F1247" s="2">
        <v>1</v>
      </c>
      <c r="G1247" s="2">
        <v>1</v>
      </c>
      <c r="H1247" s="1">
        <v>45915.548067129632</v>
      </c>
      <c r="I1247" s="2">
        <v>1</v>
      </c>
      <c r="J1247" s="1">
        <v>45915.379421296297</v>
      </c>
    </row>
    <row r="1248" spans="1:10" x14ac:dyDescent="0.2">
      <c r="A1248" s="4" t="s">
        <v>1</v>
      </c>
      <c r="B1248" s="3" t="str">
        <f>HYPERLINK("https://otsuka-europe-crm.veevavault.com/ui/#object/approved_document__v/V5OZ025E82TFUPI", "Spain - HCP Survey Email - June 2025")</f>
        <v>Spain - HCP Survey Email - June 2025</v>
      </c>
      <c r="C1248" s="3" t="str">
        <f>HYPERLINK("https://otsuka-europe-crm.veevavault.com/ui/#object/sent_email__v/VBLZ025E82GMYHP", "SE-000268323")</f>
        <v>SE-000268323</v>
      </c>
      <c r="D1248" s="1" t="s">
        <v>0</v>
      </c>
      <c r="E1248" s="2">
        <v>0</v>
      </c>
      <c r="F1248" s="2">
        <v>0</v>
      </c>
      <c r="G1248" s="2">
        <v>0</v>
      </c>
      <c r="H1248" s="1" t="s">
        <v>0</v>
      </c>
      <c r="I1248" s="2">
        <v>0</v>
      </c>
      <c r="J1248" s="1">
        <v>45915.37777777778</v>
      </c>
    </row>
    <row r="1249" spans="1:10" x14ac:dyDescent="0.2">
      <c r="A1249" s="4" t="s">
        <v>1</v>
      </c>
      <c r="B1249" s="3" t="str">
        <f>HYPERLINK("https://otsuka-europe-crm.veevavault.com/ui/#object/approved_document__v/V5OZ025E82TFUPI", "Spain - HCP Survey Email - June 2025")</f>
        <v>Spain - HCP Survey Email - June 2025</v>
      </c>
      <c r="C1249" s="3" t="str">
        <f>HYPERLINK("https://otsuka-europe-crm.veevavault.com/ui/#object/sent_email__v/VBLZ025E82GMYHQ", "SE-000268324")</f>
        <v>SE-000268324</v>
      </c>
      <c r="D1249" s="1" t="s">
        <v>0</v>
      </c>
      <c r="E1249" s="2">
        <v>0</v>
      </c>
      <c r="F1249" s="2">
        <v>0</v>
      </c>
      <c r="G1249" s="2">
        <v>0</v>
      </c>
      <c r="H1249" s="1" t="s">
        <v>0</v>
      </c>
      <c r="I1249" s="2">
        <v>0</v>
      </c>
      <c r="J1249" s="1">
        <v>45915.378263888888</v>
      </c>
    </row>
    <row r="1250" spans="1:10" x14ac:dyDescent="0.2">
      <c r="A1250" s="4" t="s">
        <v>1</v>
      </c>
      <c r="B1250" s="3" t="str">
        <f>HYPERLINK("https://otsuka-europe-crm.veevavault.com/ui/#object/approved_document__v/V5OZ025E82TFUPI", "Spain - HCP Survey Email - June 2025")</f>
        <v>Spain - HCP Survey Email - June 2025</v>
      </c>
      <c r="C1250" s="3" t="str">
        <f>HYPERLINK("https://otsuka-europe-crm.veevavault.com/ui/#object/sent_email__v/VBLZ025E82GMYHR", "SE-000268325")</f>
        <v>SE-000268325</v>
      </c>
      <c r="D1250" s="1">
        <v>45915.682719907411</v>
      </c>
      <c r="E1250" s="2">
        <v>1</v>
      </c>
      <c r="F1250" s="2">
        <v>2</v>
      </c>
      <c r="G1250" s="2">
        <v>0</v>
      </c>
      <c r="H1250" s="1" t="s">
        <v>0</v>
      </c>
      <c r="I1250" s="2">
        <v>0</v>
      </c>
      <c r="J1250" s="1">
        <v>45915.378009259257</v>
      </c>
    </row>
    <row r="1251" spans="1:10" x14ac:dyDescent="0.2">
      <c r="A1251" s="4" t="s">
        <v>1</v>
      </c>
      <c r="B1251" s="3" t="str">
        <f>HYPERLINK("https://otsuka-europe-crm.veevavault.com/ui/#object/approved_document__v/V5OZ025E82TFUPI", "Spain - HCP Survey Email - June 2025")</f>
        <v>Spain - HCP Survey Email - June 2025</v>
      </c>
      <c r="C1251" s="3" t="str">
        <f>HYPERLINK("https://otsuka-europe-crm.veevavault.com/ui/#object/sent_email__v/VBLZ025E82GMYHS", "SE-000268326")</f>
        <v>SE-000268326</v>
      </c>
      <c r="D1251" s="1">
        <v>45929.019456018519</v>
      </c>
      <c r="E1251" s="2">
        <v>1</v>
      </c>
      <c r="F1251" s="2">
        <v>1</v>
      </c>
      <c r="G1251" s="2">
        <v>0</v>
      </c>
      <c r="H1251" s="1" t="s">
        <v>0</v>
      </c>
      <c r="I1251" s="2">
        <v>0</v>
      </c>
      <c r="J1251" s="1">
        <v>45915.378506944442</v>
      </c>
    </row>
    <row r="1252" spans="1:10" x14ac:dyDescent="0.2">
      <c r="A1252" s="4" t="s">
        <v>1</v>
      </c>
      <c r="B1252" s="3" t="str">
        <f>HYPERLINK("https://otsuka-europe-crm.veevavault.com/ui/#object/approved_document__v/V5OZ025E82TFUPI", "Spain - HCP Survey Email - June 2025")</f>
        <v>Spain - HCP Survey Email - June 2025</v>
      </c>
      <c r="C1252" s="3" t="str">
        <f>HYPERLINK("https://otsuka-europe-crm.veevavault.com/ui/#object/sent_email__v/VBLZ025E82GMYHT", "SE-000268327")</f>
        <v>SE-000268327</v>
      </c>
      <c r="D1252" s="1" t="s">
        <v>0</v>
      </c>
      <c r="E1252" s="2">
        <v>0</v>
      </c>
      <c r="F1252" s="2">
        <v>0</v>
      </c>
      <c r="G1252" s="2">
        <v>0</v>
      </c>
      <c r="H1252" s="1" t="s">
        <v>0</v>
      </c>
      <c r="I1252" s="2">
        <v>0</v>
      </c>
      <c r="J1252" s="1">
        <v>45915.379814814813</v>
      </c>
    </row>
    <row r="1253" spans="1:10" x14ac:dyDescent="0.2">
      <c r="A1253" s="4" t="s">
        <v>1</v>
      </c>
      <c r="B1253" s="3" t="str">
        <f>HYPERLINK("https://otsuka-europe-crm.veevavault.com/ui/#object/approved_document__v/V5OZ025E82TFUPI", "Spain - HCP Survey Email - June 2025")</f>
        <v>Spain - HCP Survey Email - June 2025</v>
      </c>
      <c r="C1253" s="3" t="str">
        <f>HYPERLINK("https://otsuka-europe-crm.veevavault.com/ui/#object/sent_email__v/VBLZ025E82GMYHU", "SE-000268328")</f>
        <v>SE-000268328</v>
      </c>
      <c r="D1253" s="1">
        <v>45920.617337962962</v>
      </c>
      <c r="E1253" s="2">
        <v>1</v>
      </c>
      <c r="F1253" s="2">
        <v>1</v>
      </c>
      <c r="G1253" s="2">
        <v>0</v>
      </c>
      <c r="H1253" s="1" t="s">
        <v>0</v>
      </c>
      <c r="I1253" s="2">
        <v>0</v>
      </c>
      <c r="J1253" s="1">
        <v>45915.377638888887</v>
      </c>
    </row>
    <row r="1254" spans="1:10" x14ac:dyDescent="0.2">
      <c r="A1254" s="4" t="s">
        <v>1</v>
      </c>
      <c r="B1254" s="3" t="str">
        <f>HYPERLINK("https://otsuka-europe-crm.veevavault.com/ui/#object/approved_document__v/V5OZ025E82TFUPI", "Spain - HCP Survey Email - June 2025")</f>
        <v>Spain - HCP Survey Email - June 2025</v>
      </c>
      <c r="C1254" s="3" t="str">
        <f>HYPERLINK("https://otsuka-europe-crm.veevavault.com/ui/#object/sent_email__v/VBLZ025E82GMYHV", "SE-000268329")</f>
        <v>SE-000268329</v>
      </c>
      <c r="D1254" s="1" t="s">
        <v>0</v>
      </c>
      <c r="E1254" s="2">
        <v>0</v>
      </c>
      <c r="F1254" s="2">
        <v>0</v>
      </c>
      <c r="G1254" s="2">
        <v>0</v>
      </c>
      <c r="H1254" s="1" t="s">
        <v>0</v>
      </c>
      <c r="I1254" s="2">
        <v>0</v>
      </c>
      <c r="J1254" s="1">
        <v>45915.377604166664</v>
      </c>
    </row>
    <row r="1255" spans="1:10" x14ac:dyDescent="0.2">
      <c r="A1255" s="4" t="s">
        <v>1</v>
      </c>
      <c r="B1255" s="3" t="str">
        <f>HYPERLINK("https://otsuka-europe-crm.veevavault.com/ui/#object/approved_document__v/V5OZ025E82TFUPI", "Spain - HCP Survey Email - June 2025")</f>
        <v>Spain - HCP Survey Email - June 2025</v>
      </c>
      <c r="C1255" s="3" t="str">
        <f>HYPERLINK("https://otsuka-europe-crm.veevavault.com/ui/#object/sent_email__v/VBLZ025E82GMYHW", "SE-000268330")</f>
        <v>SE-000268330</v>
      </c>
      <c r="D1255" s="1" t="s">
        <v>0</v>
      </c>
      <c r="E1255" s="2">
        <v>0</v>
      </c>
      <c r="F1255" s="2">
        <v>0</v>
      </c>
      <c r="G1255" s="2">
        <v>0</v>
      </c>
      <c r="H1255" s="1" t="s">
        <v>0</v>
      </c>
      <c r="I1255" s="2">
        <v>0</v>
      </c>
      <c r="J1255" s="1">
        <v>45915.378020833334</v>
      </c>
    </row>
    <row r="1256" spans="1:10" x14ac:dyDescent="0.2">
      <c r="A1256" s="4" t="s">
        <v>1</v>
      </c>
      <c r="B1256" s="3" t="str">
        <f>HYPERLINK("https://otsuka-europe-crm.veevavault.com/ui/#object/approved_document__v/V5OZ025E82TFUPI", "Spain - HCP Survey Email - June 2025")</f>
        <v>Spain - HCP Survey Email - June 2025</v>
      </c>
      <c r="C1256" s="3" t="str">
        <f>HYPERLINK("https://otsuka-europe-crm.veevavault.com/ui/#object/sent_email__v/VBLZ025E82GMYHX", "SE-000268331")</f>
        <v>SE-000268331</v>
      </c>
      <c r="D1256" s="1">
        <v>45915.493379629632</v>
      </c>
      <c r="E1256" s="2">
        <v>1</v>
      </c>
      <c r="F1256" s="2">
        <v>2</v>
      </c>
      <c r="G1256" s="2">
        <v>1</v>
      </c>
      <c r="H1256" s="1">
        <v>45915.493738425925</v>
      </c>
      <c r="I1256" s="2">
        <v>1</v>
      </c>
      <c r="J1256" s="1">
        <v>45915.378993055558</v>
      </c>
    </row>
    <row r="1257" spans="1:10" x14ac:dyDescent="0.2">
      <c r="A1257" s="4" t="s">
        <v>1</v>
      </c>
      <c r="B1257" s="3" t="str">
        <f>HYPERLINK("https://otsuka-europe-crm.veevavault.com/ui/#object/approved_document__v/V5OZ025E82TFUPI", "Spain - HCP Survey Email - June 2025")</f>
        <v>Spain - HCP Survey Email - June 2025</v>
      </c>
      <c r="C1257" s="3" t="str">
        <f>HYPERLINK("https://otsuka-europe-crm.veevavault.com/ui/#object/sent_email__v/VBLZ025E82GMYHY", "SE-000268332")</f>
        <v>SE-000268332</v>
      </c>
      <c r="D1257" s="1" t="s">
        <v>0</v>
      </c>
      <c r="E1257" s="2">
        <v>0</v>
      </c>
      <c r="F1257" s="2">
        <v>0</v>
      </c>
      <c r="G1257" s="2">
        <v>0</v>
      </c>
      <c r="H1257" s="1" t="s">
        <v>0</v>
      </c>
      <c r="I1257" s="2">
        <v>0</v>
      </c>
      <c r="J1257" s="1">
        <v>45915.379652777781</v>
      </c>
    </row>
    <row r="1258" spans="1:10" x14ac:dyDescent="0.2">
      <c r="A1258" s="4" t="s">
        <v>1</v>
      </c>
      <c r="B1258" s="3" t="str">
        <f>HYPERLINK("https://otsuka-europe-crm.veevavault.com/ui/#object/approved_document__v/V5OZ025E82TFUPI", "Spain - HCP Survey Email - June 2025")</f>
        <v>Spain - HCP Survey Email - June 2025</v>
      </c>
      <c r="C1258" s="3" t="str">
        <f>HYPERLINK("https://otsuka-europe-crm.veevavault.com/ui/#object/sent_email__v/VBLZ025E82GMYHZ", "SE-000268333")</f>
        <v>SE-000268333</v>
      </c>
      <c r="D1258" s="1">
        <v>45930.048125000001</v>
      </c>
      <c r="E1258" s="2">
        <v>1</v>
      </c>
      <c r="F1258" s="2">
        <v>2</v>
      </c>
      <c r="G1258" s="2">
        <v>0</v>
      </c>
      <c r="H1258" s="1" t="s">
        <v>0</v>
      </c>
      <c r="I1258" s="2">
        <v>0</v>
      </c>
      <c r="J1258" s="1">
        <v>45915.379537037035</v>
      </c>
    </row>
    <row r="1259" spans="1:10" x14ac:dyDescent="0.2">
      <c r="A1259" s="4" t="s">
        <v>1</v>
      </c>
      <c r="B1259" s="3" t="str">
        <f>HYPERLINK("https://otsuka-europe-crm.veevavault.com/ui/#object/approved_document__v/V5OZ025E82TFUPI", "Spain - HCP Survey Email - June 2025")</f>
        <v>Spain - HCP Survey Email - June 2025</v>
      </c>
      <c r="C1259" s="3" t="str">
        <f>HYPERLINK("https://otsuka-europe-crm.veevavault.com/ui/#object/sent_email__v/VBLZ025E82GMYI0", "SE-000268334")</f>
        <v>SE-000268334</v>
      </c>
      <c r="D1259" s="1" t="s">
        <v>0</v>
      </c>
      <c r="E1259" s="2">
        <v>0</v>
      </c>
      <c r="F1259" s="2">
        <v>0</v>
      </c>
      <c r="G1259" s="2">
        <v>0</v>
      </c>
      <c r="H1259" s="1" t="s">
        <v>0</v>
      </c>
      <c r="I1259" s="2">
        <v>0</v>
      </c>
      <c r="J1259" s="1">
        <v>45915.377881944441</v>
      </c>
    </row>
    <row r="1260" spans="1:10" x14ac:dyDescent="0.2">
      <c r="A1260" s="4" t="s">
        <v>1</v>
      </c>
      <c r="B1260" s="3" t="str">
        <f>HYPERLINK("https://otsuka-europe-crm.veevavault.com/ui/#object/approved_document__v/V5OZ025E82TFUPI", "Spain - HCP Survey Email - June 2025")</f>
        <v>Spain - HCP Survey Email - June 2025</v>
      </c>
      <c r="C1260" s="3" t="str">
        <f>HYPERLINK("https://otsuka-europe-crm.veevavault.com/ui/#object/sent_email__v/VBLZ025E82GMYI1", "SE-000268335")</f>
        <v>SE-000268335</v>
      </c>
      <c r="D1260" s="1">
        <v>45915.505601851852</v>
      </c>
      <c r="E1260" s="2">
        <v>1</v>
      </c>
      <c r="F1260" s="2">
        <v>2</v>
      </c>
      <c r="G1260" s="2">
        <v>0</v>
      </c>
      <c r="H1260" s="1" t="s">
        <v>0</v>
      </c>
      <c r="I1260" s="2">
        <v>0</v>
      </c>
      <c r="J1260" s="1">
        <v>45915.378298611111</v>
      </c>
    </row>
    <row r="1261" spans="1:10" x14ac:dyDescent="0.2">
      <c r="A1261" s="4" t="s">
        <v>1</v>
      </c>
      <c r="B1261" s="3" t="str">
        <f>HYPERLINK("https://otsuka-europe-crm.veevavault.com/ui/#object/approved_document__v/V5OZ025E82TFUPI", "Spain - HCP Survey Email - June 2025")</f>
        <v>Spain - HCP Survey Email - June 2025</v>
      </c>
      <c r="C1261" s="3" t="str">
        <f>HYPERLINK("https://otsuka-europe-crm.veevavault.com/ui/#object/sent_email__v/VBLZ025E82GMYI2", "SE-000268336")</f>
        <v>SE-000268336</v>
      </c>
      <c r="D1261" s="1">
        <v>45915.47420138889</v>
      </c>
      <c r="E1261" s="2">
        <v>1</v>
      </c>
      <c r="F1261" s="2">
        <v>1</v>
      </c>
      <c r="G1261" s="2">
        <v>0</v>
      </c>
      <c r="H1261" s="1" t="s">
        <v>0</v>
      </c>
      <c r="I1261" s="2">
        <v>0</v>
      </c>
      <c r="J1261" s="1">
        <v>45915.378078703703</v>
      </c>
    </row>
    <row r="1262" spans="1:10" x14ac:dyDescent="0.2">
      <c r="A1262" s="4" t="s">
        <v>1</v>
      </c>
      <c r="B1262" s="3" t="str">
        <f>HYPERLINK("https://otsuka-europe-crm.veevavault.com/ui/#object/approved_document__v/V5OZ025E82TFUPI", "Spain - HCP Survey Email - June 2025")</f>
        <v>Spain - HCP Survey Email - June 2025</v>
      </c>
      <c r="C1262" s="3" t="str">
        <f>HYPERLINK("https://otsuka-europe-crm.veevavault.com/ui/#object/sent_email__v/VBLZ025E82GMYI3", "SE-000268337")</f>
        <v>SE-000268337</v>
      </c>
      <c r="D1262" s="1">
        <v>45915.801701388889</v>
      </c>
      <c r="E1262" s="2">
        <v>1</v>
      </c>
      <c r="F1262" s="2">
        <v>1</v>
      </c>
      <c r="G1262" s="2">
        <v>0</v>
      </c>
      <c r="H1262" s="1" t="s">
        <v>0</v>
      </c>
      <c r="I1262" s="2">
        <v>0</v>
      </c>
      <c r="J1262" s="1">
        <v>45915.378472222219</v>
      </c>
    </row>
    <row r="1263" spans="1:10" x14ac:dyDescent="0.2">
      <c r="A1263" s="4" t="s">
        <v>1</v>
      </c>
      <c r="B1263" s="3" t="str">
        <f>HYPERLINK("https://otsuka-europe-crm.veevavault.com/ui/#object/approved_document__v/V5OZ025E82TFUPI", "Spain - HCP Survey Email - June 2025")</f>
        <v>Spain - HCP Survey Email - June 2025</v>
      </c>
      <c r="C1263" s="3" t="str">
        <f>HYPERLINK("https://otsuka-europe-crm.veevavault.com/ui/#object/sent_email__v/VBLZ025E82GMYI4", "SE-000268338")</f>
        <v>SE-000268338</v>
      </c>
      <c r="D1263" s="1">
        <v>45915.689085648148</v>
      </c>
      <c r="E1263" s="2">
        <v>1</v>
      </c>
      <c r="F1263" s="2">
        <v>1</v>
      </c>
      <c r="G1263" s="2">
        <v>1</v>
      </c>
      <c r="H1263" s="1">
        <v>45916.487800925926</v>
      </c>
      <c r="I1263" s="2">
        <v>2</v>
      </c>
      <c r="J1263" s="1">
        <v>45915.379861111112</v>
      </c>
    </row>
    <row r="1264" spans="1:10" x14ac:dyDescent="0.2">
      <c r="A1264" s="4" t="s">
        <v>1</v>
      </c>
      <c r="B1264" s="3" t="str">
        <f>HYPERLINK("https://otsuka-europe-crm.veevavault.com/ui/#object/approved_document__v/V5OZ025E82TFUPI", "Spain - HCP Survey Email - June 2025")</f>
        <v>Spain - HCP Survey Email - June 2025</v>
      </c>
      <c r="C1264" s="3" t="str">
        <f>HYPERLINK("https://otsuka-europe-crm.veevavault.com/ui/#object/sent_email__v/VBLZ025E82GMYI5", "SE-000268339")</f>
        <v>SE-000268339</v>
      </c>
      <c r="D1264" s="1">
        <v>45915.623541666668</v>
      </c>
      <c r="E1264" s="2">
        <v>1</v>
      </c>
      <c r="F1264" s="2">
        <v>1</v>
      </c>
      <c r="G1264" s="2">
        <v>0</v>
      </c>
      <c r="H1264" s="1" t="s">
        <v>0</v>
      </c>
      <c r="I1264" s="2">
        <v>0</v>
      </c>
      <c r="J1264" s="1">
        <v>45915.377743055556</v>
      </c>
    </row>
    <row r="1265" spans="1:10" x14ac:dyDescent="0.2">
      <c r="A1265" s="4" t="s">
        <v>1</v>
      </c>
      <c r="B1265" s="3" t="str">
        <f>HYPERLINK("https://otsuka-europe-crm.veevavault.com/ui/#object/approved_document__v/V5OZ025E82TFUPI", "Spain - HCP Survey Email - June 2025")</f>
        <v>Spain - HCP Survey Email - June 2025</v>
      </c>
      <c r="C1265" s="3" t="str">
        <f>HYPERLINK("https://otsuka-europe-crm.veevavault.com/ui/#object/sent_email__v/VBLZ025E82GMYI6", "SE-000268340")</f>
        <v>SE-000268340</v>
      </c>
      <c r="D1265" s="1">
        <v>45915.844317129631</v>
      </c>
      <c r="E1265" s="2">
        <v>1</v>
      </c>
      <c r="F1265" s="2">
        <v>2</v>
      </c>
      <c r="G1265" s="2">
        <v>1</v>
      </c>
      <c r="H1265" s="1">
        <v>45915.845057870371</v>
      </c>
      <c r="I1265" s="2">
        <v>1</v>
      </c>
      <c r="J1265" s="1">
        <v>45915.377604166664</v>
      </c>
    </row>
    <row r="1266" spans="1:10" x14ac:dyDescent="0.2">
      <c r="A1266" s="4" t="s">
        <v>1</v>
      </c>
      <c r="B1266" s="3" t="str">
        <f>HYPERLINK("https://otsuka-europe-crm.veevavault.com/ui/#object/approved_document__v/V5OZ025E82TFUPI", "Spain - HCP Survey Email - June 2025")</f>
        <v>Spain - HCP Survey Email - June 2025</v>
      </c>
      <c r="C1266" s="3" t="str">
        <f>HYPERLINK("https://otsuka-europe-crm.veevavault.com/ui/#object/sent_email__v/VBLZ025E82GMYI7", "SE-000268341")</f>
        <v>SE-000268341</v>
      </c>
      <c r="D1266" s="1">
        <v>45915.379652777781</v>
      </c>
      <c r="E1266" s="2">
        <v>1</v>
      </c>
      <c r="F1266" s="2">
        <v>1</v>
      </c>
      <c r="G1266" s="2">
        <v>1</v>
      </c>
      <c r="H1266" s="1">
        <v>45915.379849537036</v>
      </c>
      <c r="I1266" s="2">
        <v>1</v>
      </c>
      <c r="J1266" s="1">
        <v>45915.377974537034</v>
      </c>
    </row>
    <row r="1267" spans="1:10" x14ac:dyDescent="0.2">
      <c r="A1267" s="4" t="s">
        <v>1</v>
      </c>
      <c r="B1267" s="3" t="str">
        <f>HYPERLINK("https://otsuka-europe-crm.veevavault.com/ui/#object/approved_document__v/V5OZ025E82TFUPI", "Spain - HCP Survey Email - June 2025")</f>
        <v>Spain - HCP Survey Email - June 2025</v>
      </c>
      <c r="C1267" s="3" t="str">
        <f>HYPERLINK("https://otsuka-europe-crm.veevavault.com/ui/#object/sent_email__v/VBLZ025E82GMYI8", "SE-000268342")</f>
        <v>SE-000268342</v>
      </c>
      <c r="D1267" s="1">
        <v>45915.689155092594</v>
      </c>
      <c r="E1267" s="2">
        <v>1</v>
      </c>
      <c r="F1267" s="2">
        <v>1</v>
      </c>
      <c r="G1267" s="2">
        <v>0</v>
      </c>
      <c r="H1267" s="1" t="s">
        <v>0</v>
      </c>
      <c r="I1267" s="2">
        <v>0</v>
      </c>
      <c r="J1267" s="1">
        <v>45915.378969907404</v>
      </c>
    </row>
    <row r="1268" spans="1:10" x14ac:dyDescent="0.2">
      <c r="A1268" s="4" t="s">
        <v>1</v>
      </c>
      <c r="B1268" s="3" t="str">
        <f>HYPERLINK("https://otsuka-europe-crm.veevavault.com/ui/#object/approved_document__v/V5OZ025E82TFUPI", "Spain - HCP Survey Email - June 2025")</f>
        <v>Spain - HCP Survey Email - June 2025</v>
      </c>
      <c r="C1268" s="3" t="str">
        <f>HYPERLINK("https://otsuka-europe-crm.veevavault.com/ui/#object/sent_email__v/VBLZ025E82GMYI9", "SE-000268343")</f>
        <v>SE-000268343</v>
      </c>
      <c r="D1268" s="1">
        <v>45915.387141203704</v>
      </c>
      <c r="E1268" s="2">
        <v>1</v>
      </c>
      <c r="F1268" s="2">
        <v>1</v>
      </c>
      <c r="G1268" s="2">
        <v>1</v>
      </c>
      <c r="H1268" s="1">
        <v>45915.387256944443</v>
      </c>
      <c r="I1268" s="2">
        <v>1</v>
      </c>
      <c r="J1268" s="1">
        <v>45915.379618055558</v>
      </c>
    </row>
    <row r="1269" spans="1:10" x14ac:dyDescent="0.2">
      <c r="A1269" s="4" t="s">
        <v>1</v>
      </c>
      <c r="B1269" s="3" t="str">
        <f>HYPERLINK("https://otsuka-europe-crm.veevavault.com/ui/#object/approved_document__v/V5OZ025E82TFUPI", "Spain - HCP Survey Email - June 2025")</f>
        <v>Spain - HCP Survey Email - June 2025</v>
      </c>
      <c r="C1269" s="3" t="str">
        <f>HYPERLINK("https://otsuka-europe-crm.veevavault.com/ui/#object/sent_email__v/VBLZ025E82GMYIA", "SE-000268344")</f>
        <v>SE-000268344</v>
      </c>
      <c r="D1269" s="1" t="s">
        <v>0</v>
      </c>
      <c r="E1269" s="2">
        <v>0</v>
      </c>
      <c r="F1269" s="2">
        <v>0</v>
      </c>
      <c r="G1269" s="2">
        <v>0</v>
      </c>
      <c r="H1269" s="1" t="s">
        <v>0</v>
      </c>
      <c r="I1269" s="2">
        <v>0</v>
      </c>
      <c r="J1269" s="1">
        <v>45915.377743055556</v>
      </c>
    </row>
    <row r="1270" spans="1:10" x14ac:dyDescent="0.2">
      <c r="A1270" s="4" t="s">
        <v>1</v>
      </c>
      <c r="B1270" s="3" t="str">
        <f>HYPERLINK("https://otsuka-europe-crm.veevavault.com/ui/#object/approved_document__v/V5OZ025E82TFUPI", "Spain - HCP Survey Email - June 2025")</f>
        <v>Spain - HCP Survey Email - June 2025</v>
      </c>
      <c r="C1270" s="3" t="str">
        <f>HYPERLINK("https://otsuka-europe-crm.veevavault.com/ui/#object/sent_email__v/VBLZ025E82GMYIB", "SE-000268345")</f>
        <v>SE-000268345</v>
      </c>
      <c r="D1270" s="1" t="s">
        <v>0</v>
      </c>
      <c r="E1270" s="2">
        <v>0</v>
      </c>
      <c r="F1270" s="2">
        <v>0</v>
      </c>
      <c r="G1270" s="2">
        <v>0</v>
      </c>
      <c r="H1270" s="1" t="s">
        <v>0</v>
      </c>
      <c r="I1270" s="2">
        <v>0</v>
      </c>
      <c r="J1270" s="1">
        <v>45915.377650462964</v>
      </c>
    </row>
    <row r="1271" spans="1:10" x14ac:dyDescent="0.2">
      <c r="A1271" s="4" t="s">
        <v>1</v>
      </c>
      <c r="B1271" s="3" t="str">
        <f>HYPERLINK("https://otsuka-europe-crm.veevavault.com/ui/#object/approved_document__v/V5OZ025E82TFUPI", "Spain - HCP Survey Email - June 2025")</f>
        <v>Spain - HCP Survey Email - June 2025</v>
      </c>
      <c r="C1271" s="3" t="str">
        <f>HYPERLINK("https://otsuka-europe-crm.veevavault.com/ui/#object/sent_email__v/VBLZ025E82GMYIC", "SE-000268346")</f>
        <v>SE-000268346</v>
      </c>
      <c r="D1271" s="1" t="s">
        <v>0</v>
      </c>
      <c r="E1271" s="2">
        <v>0</v>
      </c>
      <c r="F1271" s="2">
        <v>0</v>
      </c>
      <c r="G1271" s="2">
        <v>0</v>
      </c>
      <c r="H1271" s="1" t="s">
        <v>0</v>
      </c>
      <c r="I1271" s="2">
        <v>0</v>
      </c>
      <c r="J1271" s="1">
        <v>45915.378032407411</v>
      </c>
    </row>
    <row r="1272" spans="1:10" x14ac:dyDescent="0.2">
      <c r="A1272" s="4" t="s">
        <v>1</v>
      </c>
      <c r="B1272" s="3" t="str">
        <f>HYPERLINK("https://otsuka-europe-crm.veevavault.com/ui/#object/approved_document__v/V5OZ025E82TFUPI", "Spain - HCP Survey Email - June 2025")</f>
        <v>Spain - HCP Survey Email - June 2025</v>
      </c>
      <c r="C1272" s="3" t="str">
        <f>HYPERLINK("https://otsuka-europe-crm.veevavault.com/ui/#object/sent_email__v/VBLZ025E82GMYID", "SE-000268347")</f>
        <v>SE-000268347</v>
      </c>
      <c r="D1272" s="1" t="s">
        <v>0</v>
      </c>
      <c r="E1272" s="2">
        <v>0</v>
      </c>
      <c r="F1272" s="2">
        <v>0</v>
      </c>
      <c r="G1272" s="2">
        <v>0</v>
      </c>
      <c r="H1272" s="1" t="s">
        <v>0</v>
      </c>
      <c r="I1272" s="2">
        <v>0</v>
      </c>
      <c r="J1272" s="1">
        <v>45915.379027777781</v>
      </c>
    </row>
    <row r="1273" spans="1:10" x14ac:dyDescent="0.2">
      <c r="A1273" s="4" t="s">
        <v>1</v>
      </c>
      <c r="B1273" s="3" t="str">
        <f>HYPERLINK("https://otsuka-europe-crm.veevavault.com/ui/#object/approved_document__v/V5OZ025E82TFUPI", "Spain - HCP Survey Email - June 2025")</f>
        <v>Spain - HCP Survey Email - June 2025</v>
      </c>
      <c r="C1273" s="3" t="str">
        <f>HYPERLINK("https://otsuka-europe-crm.veevavault.com/ui/#object/sent_email__v/VBLZ025E82GMYIE", "SE-000268348")</f>
        <v>SE-000268348</v>
      </c>
      <c r="D1273" s="1">
        <v>45916.855069444442</v>
      </c>
      <c r="E1273" s="2">
        <v>1</v>
      </c>
      <c r="F1273" s="2">
        <v>1</v>
      </c>
      <c r="G1273" s="2">
        <v>0</v>
      </c>
      <c r="H1273" s="1" t="s">
        <v>0</v>
      </c>
      <c r="I1273" s="2">
        <v>0</v>
      </c>
      <c r="J1273" s="1">
        <v>45915.379699074074</v>
      </c>
    </row>
    <row r="1274" spans="1:10" x14ac:dyDescent="0.2">
      <c r="A1274" s="4" t="s">
        <v>1</v>
      </c>
      <c r="B1274" s="3" t="str">
        <f>HYPERLINK("https://otsuka-europe-crm.veevavault.com/ui/#object/approved_document__v/V5OZ025E82TFUPI", "Spain - HCP Survey Email - June 2025")</f>
        <v>Spain - HCP Survey Email - June 2025</v>
      </c>
      <c r="C1274" s="3" t="str">
        <f>HYPERLINK("https://otsuka-europe-crm.veevavault.com/ui/#object/sent_email__v/VBLZ025E82GMYIF", "SE-000268349")</f>
        <v>SE-000268349</v>
      </c>
      <c r="D1274" s="1" t="s">
        <v>0</v>
      </c>
      <c r="E1274" s="2">
        <v>0</v>
      </c>
      <c r="F1274" s="2">
        <v>0</v>
      </c>
      <c r="G1274" s="2">
        <v>0</v>
      </c>
      <c r="H1274" s="1" t="s">
        <v>0</v>
      </c>
      <c r="I1274" s="2">
        <v>0</v>
      </c>
      <c r="J1274" s="1">
        <v>45915.37945601852</v>
      </c>
    </row>
    <row r="1275" spans="1:10" x14ac:dyDescent="0.2">
      <c r="A1275" s="4" t="s">
        <v>1</v>
      </c>
      <c r="B1275" s="3" t="str">
        <f>HYPERLINK("https://otsuka-europe-crm.veevavault.com/ui/#object/approved_document__v/V5OZ025E82TFUPI", "Spain - HCP Survey Email - June 2025")</f>
        <v>Spain - HCP Survey Email - June 2025</v>
      </c>
      <c r="C1275" s="3" t="str">
        <f>HYPERLINK("https://otsuka-europe-crm.veevavault.com/ui/#object/sent_email__v/VBLZ025E82GMYIG", "SE-000268350")</f>
        <v>SE-000268350</v>
      </c>
      <c r="D1275" s="1">
        <v>45915.917500000003</v>
      </c>
      <c r="E1275" s="2">
        <v>1</v>
      </c>
      <c r="F1275" s="2">
        <v>1</v>
      </c>
      <c r="G1275" s="2">
        <v>0</v>
      </c>
      <c r="H1275" s="1" t="s">
        <v>0</v>
      </c>
      <c r="I1275" s="2">
        <v>0</v>
      </c>
      <c r="J1275" s="1">
        <v>45915.377870370372</v>
      </c>
    </row>
    <row r="1276" spans="1:10" x14ac:dyDescent="0.2">
      <c r="A1276" s="4" t="s">
        <v>1</v>
      </c>
      <c r="B1276" s="3" t="str">
        <f>HYPERLINK("https://otsuka-europe-crm.veevavault.com/ui/#object/approved_document__v/V5OZ025E82TFUPI", "Spain - HCP Survey Email - June 2025")</f>
        <v>Spain - HCP Survey Email - June 2025</v>
      </c>
      <c r="C1276" s="3" t="str">
        <f>HYPERLINK("https://otsuka-europe-crm.veevavault.com/ui/#object/sent_email__v/VBLZ025E82GMYIH", "SE-000268351")</f>
        <v>SE-000268351</v>
      </c>
      <c r="D1276" s="1">
        <v>45915.646296296298</v>
      </c>
      <c r="E1276" s="2">
        <v>1</v>
      </c>
      <c r="F1276" s="2">
        <v>1</v>
      </c>
      <c r="G1276" s="2">
        <v>0</v>
      </c>
      <c r="H1276" s="1" t="s">
        <v>0</v>
      </c>
      <c r="I1276" s="2">
        <v>0</v>
      </c>
      <c r="J1276" s="1">
        <v>45915.378298611111</v>
      </c>
    </row>
    <row r="1277" spans="1:10" x14ac:dyDescent="0.2">
      <c r="A1277" s="4" t="s">
        <v>1</v>
      </c>
      <c r="B1277" s="3" t="str">
        <f>HYPERLINK("https://otsuka-europe-crm.veevavault.com/ui/#object/approved_document__v/V5OZ025E82TFUPI", "Spain - HCP Survey Email - June 2025")</f>
        <v>Spain - HCP Survey Email - June 2025</v>
      </c>
      <c r="C1277" s="3" t="str">
        <f>HYPERLINK("https://otsuka-europe-crm.veevavault.com/ui/#object/sent_email__v/VBLZ025E82GMYII", "SE-000268352")</f>
        <v>SE-000268352</v>
      </c>
      <c r="D1277" s="1" t="s">
        <v>0</v>
      </c>
      <c r="E1277" s="2">
        <v>0</v>
      </c>
      <c r="F1277" s="2">
        <v>0</v>
      </c>
      <c r="G1277" s="2">
        <v>0</v>
      </c>
      <c r="H1277" s="1" t="s">
        <v>0</v>
      </c>
      <c r="I1277" s="2">
        <v>0</v>
      </c>
      <c r="J1277" s="1">
        <v>45915.378101851849</v>
      </c>
    </row>
    <row r="1278" spans="1:10" x14ac:dyDescent="0.2">
      <c r="A1278" s="4" t="s">
        <v>1</v>
      </c>
      <c r="B1278" s="3" t="str">
        <f>HYPERLINK("https://otsuka-europe-crm.veevavault.com/ui/#object/approved_document__v/V5OZ025E82TFUPI", "Spain - HCP Survey Email - June 2025")</f>
        <v>Spain - HCP Survey Email - June 2025</v>
      </c>
      <c r="C1278" s="3" t="str">
        <f>HYPERLINK("https://otsuka-europe-crm.veevavault.com/ui/#object/sent_email__v/VBLZ025E82GMYIJ", "SE-000268353")</f>
        <v>SE-000268353</v>
      </c>
      <c r="D1278" s="1" t="s">
        <v>0</v>
      </c>
      <c r="E1278" s="2">
        <v>0</v>
      </c>
      <c r="F1278" s="2">
        <v>0</v>
      </c>
      <c r="G1278" s="2">
        <v>0</v>
      </c>
      <c r="H1278" s="1" t="s">
        <v>0</v>
      </c>
      <c r="I1278" s="2">
        <v>0</v>
      </c>
      <c r="J1278" s="1">
        <v>45915.378518518519</v>
      </c>
    </row>
    <row r="1279" spans="1:10" x14ac:dyDescent="0.2">
      <c r="A1279" s="4" t="s">
        <v>1</v>
      </c>
      <c r="B1279" s="3" t="str">
        <f>HYPERLINK("https://otsuka-europe-crm.veevavault.com/ui/#object/approved_document__v/V5OZ025E82TFUPI", "Spain - HCP Survey Email - June 2025")</f>
        <v>Spain - HCP Survey Email - June 2025</v>
      </c>
      <c r="C1279" s="3" t="str">
        <f>HYPERLINK("https://otsuka-europe-crm.veevavault.com/ui/#object/sent_email__v/VBLZ025E82GMYIK", "SE-000268354")</f>
        <v>SE-000268354</v>
      </c>
      <c r="D1279" s="1" t="s">
        <v>0</v>
      </c>
      <c r="E1279" s="2">
        <v>0</v>
      </c>
      <c r="F1279" s="2">
        <v>0</v>
      </c>
      <c r="G1279" s="2">
        <v>0</v>
      </c>
      <c r="H1279" s="1" t="s">
        <v>0</v>
      </c>
      <c r="I1279" s="2">
        <v>0</v>
      </c>
      <c r="J1279" s="1">
        <v>45915.379756944443</v>
      </c>
    </row>
    <row r="1280" spans="1:10" x14ac:dyDescent="0.2">
      <c r="A1280" s="4" t="s">
        <v>1</v>
      </c>
      <c r="B1280" s="3" t="str">
        <f>HYPERLINK("https://otsuka-europe-crm.veevavault.com/ui/#object/approved_document__v/V5OZ025E82TFUPI", "Spain - HCP Survey Email - June 2025")</f>
        <v>Spain - HCP Survey Email - June 2025</v>
      </c>
      <c r="C1280" s="3" t="str">
        <f>HYPERLINK("https://otsuka-europe-crm.veevavault.com/ui/#object/sent_email__v/VBLZ025E82GMYIL", "SE-000268355")</f>
        <v>SE-000268355</v>
      </c>
      <c r="D1280" s="1">
        <v>45915.40834490741</v>
      </c>
      <c r="E1280" s="2">
        <v>1</v>
      </c>
      <c r="F1280" s="2">
        <v>1</v>
      </c>
      <c r="G1280" s="2">
        <v>0</v>
      </c>
      <c r="H1280" s="1" t="s">
        <v>0</v>
      </c>
      <c r="I1280" s="2">
        <v>0</v>
      </c>
      <c r="J1280" s="1">
        <v>45915.377743055556</v>
      </c>
    </row>
    <row r="1281" spans="1:10" x14ac:dyDescent="0.2">
      <c r="A1281" s="4" t="s">
        <v>1</v>
      </c>
      <c r="B1281" s="3" t="str">
        <f>HYPERLINK("https://otsuka-europe-crm.veevavault.com/ui/#object/approved_document__v/V5OZ025E82TFUPI", "Spain - HCP Survey Email - June 2025")</f>
        <v>Spain - HCP Survey Email - June 2025</v>
      </c>
      <c r="C1281" s="3" t="str">
        <f>HYPERLINK("https://otsuka-europe-crm.veevavault.com/ui/#object/sent_email__v/VBLZ025E82GMYIM", "SE-000268356")</f>
        <v>SE-000268356</v>
      </c>
      <c r="D1281" s="1">
        <v>45917.873530092591</v>
      </c>
      <c r="E1281" s="2">
        <v>1</v>
      </c>
      <c r="F1281" s="2">
        <v>3</v>
      </c>
      <c r="G1281" s="2">
        <v>0</v>
      </c>
      <c r="H1281" s="1" t="s">
        <v>0</v>
      </c>
      <c r="I1281" s="2">
        <v>0</v>
      </c>
      <c r="J1281" s="1">
        <v>45915.377581018518</v>
      </c>
    </row>
    <row r="1282" spans="1:10" x14ac:dyDescent="0.2">
      <c r="A1282" s="4" t="s">
        <v>1</v>
      </c>
      <c r="B1282" s="3" t="str">
        <f>HYPERLINK("https://otsuka-europe-crm.veevavault.com/ui/#object/approved_document__v/V5OZ025E82TFUPI", "Spain - HCP Survey Email - June 2025")</f>
        <v>Spain - HCP Survey Email - June 2025</v>
      </c>
      <c r="C1282" s="3" t="str">
        <f>HYPERLINK("https://otsuka-europe-crm.veevavault.com/ui/#object/sent_email__v/VBLZ025E82GMYIN", "SE-000268357")</f>
        <v>SE-000268357</v>
      </c>
      <c r="D1282" s="1" t="s">
        <v>0</v>
      </c>
      <c r="E1282" s="2">
        <v>0</v>
      </c>
      <c r="F1282" s="2">
        <v>0</v>
      </c>
      <c r="G1282" s="2">
        <v>0</v>
      </c>
      <c r="H1282" s="1" t="s">
        <v>0</v>
      </c>
      <c r="I1282" s="2">
        <v>0</v>
      </c>
      <c r="J1282" s="1">
        <v>45915.378020833334</v>
      </c>
    </row>
    <row r="1283" spans="1:10" x14ac:dyDescent="0.2">
      <c r="A1283" s="4" t="s">
        <v>1</v>
      </c>
      <c r="B1283" s="3" t="str">
        <f>HYPERLINK("https://otsuka-europe-crm.veevavault.com/ui/#object/approved_document__v/V5OZ025E82TFUPI", "Spain - HCP Survey Email - June 2025")</f>
        <v>Spain - HCP Survey Email - June 2025</v>
      </c>
      <c r="C1283" s="3" t="str">
        <f>HYPERLINK("https://otsuka-europe-crm.veevavault.com/ui/#object/sent_email__v/VBLZ025E82GMYIO", "SE-000268358")</f>
        <v>SE-000268358</v>
      </c>
      <c r="D1283" s="1" t="s">
        <v>0</v>
      </c>
      <c r="E1283" s="2">
        <v>0</v>
      </c>
      <c r="F1283" s="2">
        <v>0</v>
      </c>
      <c r="G1283" s="2">
        <v>0</v>
      </c>
      <c r="H1283" s="1" t="s">
        <v>0</v>
      </c>
      <c r="I1283" s="2">
        <v>0</v>
      </c>
      <c r="J1283" s="1">
        <v>45915.379074074073</v>
      </c>
    </row>
    <row r="1284" spans="1:10" x14ac:dyDescent="0.2">
      <c r="A1284" s="4" t="s">
        <v>1</v>
      </c>
      <c r="B1284" s="3" t="str">
        <f>HYPERLINK("https://otsuka-europe-crm.veevavault.com/ui/#object/approved_document__v/V5OZ025E82TFUPI", "Spain - HCP Survey Email - June 2025")</f>
        <v>Spain - HCP Survey Email - June 2025</v>
      </c>
      <c r="C1284" s="3" t="str">
        <f>HYPERLINK("https://otsuka-europe-crm.veevavault.com/ui/#object/sent_email__v/VBLZ025E82GMYIP", "SE-000268359")</f>
        <v>SE-000268359</v>
      </c>
      <c r="D1284" s="1">
        <v>45915.38076388889</v>
      </c>
      <c r="E1284" s="2">
        <v>1</v>
      </c>
      <c r="F1284" s="2">
        <v>2</v>
      </c>
      <c r="G1284" s="2">
        <v>0</v>
      </c>
      <c r="H1284" s="1" t="s">
        <v>0</v>
      </c>
      <c r="I1284" s="2">
        <v>0</v>
      </c>
      <c r="J1284" s="1">
        <v>45915.379733796297</v>
      </c>
    </row>
    <row r="1285" spans="1:10" x14ac:dyDescent="0.2">
      <c r="A1285" s="4" t="s">
        <v>1</v>
      </c>
      <c r="B1285" s="3" t="str">
        <f>HYPERLINK("https://otsuka-europe-crm.veevavault.com/ui/#object/approved_document__v/V5OZ025E82TFUPI", "Spain - HCP Survey Email - June 2025")</f>
        <v>Spain - HCP Survey Email - June 2025</v>
      </c>
      <c r="C1285" s="3" t="str">
        <f>HYPERLINK("https://otsuka-europe-crm.veevavault.com/ui/#object/sent_email__v/VBLZ025E82GMYIR", "SE-000268361")</f>
        <v>SE-000268361</v>
      </c>
      <c r="D1285" s="1">
        <v>45915.659016203703</v>
      </c>
      <c r="E1285" s="2">
        <v>1</v>
      </c>
      <c r="F1285" s="2">
        <v>1</v>
      </c>
      <c r="G1285" s="2">
        <v>0</v>
      </c>
      <c r="H1285" s="1" t="s">
        <v>0</v>
      </c>
      <c r="I1285" s="2">
        <v>0</v>
      </c>
      <c r="J1285" s="1">
        <v>45915.377835648149</v>
      </c>
    </row>
    <row r="1286" spans="1:10" x14ac:dyDescent="0.2">
      <c r="A1286" s="4" t="s">
        <v>1</v>
      </c>
      <c r="B1286" s="3" t="str">
        <f>HYPERLINK("https://otsuka-europe-crm.veevavault.com/ui/#object/approved_document__v/V5OZ025E82TFUPI", "Spain - HCP Survey Email - June 2025")</f>
        <v>Spain - HCP Survey Email - June 2025</v>
      </c>
      <c r="C1286" s="3" t="str">
        <f>HYPERLINK("https://otsuka-europe-crm.veevavault.com/ui/#object/sent_email__v/VBLZ025E82GMYIS", "SE-000268362")</f>
        <v>SE-000268362</v>
      </c>
      <c r="D1286" s="1">
        <v>45916.633032407408</v>
      </c>
      <c r="E1286" s="2">
        <v>1</v>
      </c>
      <c r="F1286" s="2">
        <v>1</v>
      </c>
      <c r="G1286" s="2">
        <v>0</v>
      </c>
      <c r="H1286" s="1" t="s">
        <v>0</v>
      </c>
      <c r="I1286" s="2">
        <v>0</v>
      </c>
      <c r="J1286" s="1">
        <v>45915.378206018519</v>
      </c>
    </row>
    <row r="1287" spans="1:10" x14ac:dyDescent="0.2">
      <c r="A1287" s="4" t="s">
        <v>1</v>
      </c>
      <c r="B1287" s="3" t="str">
        <f>HYPERLINK("https://otsuka-europe-crm.veevavault.com/ui/#object/approved_document__v/V5OZ025E82TFUPI", "Spain - HCP Survey Email - June 2025")</f>
        <v>Spain - HCP Survey Email - June 2025</v>
      </c>
      <c r="C1287" s="3" t="str">
        <f>HYPERLINK("https://otsuka-europe-crm.veevavault.com/ui/#object/sent_email__v/VBLZ025E82GMYIT", "SE-000268363")</f>
        <v>SE-000268363</v>
      </c>
      <c r="D1287" s="1">
        <v>45915.403645833336</v>
      </c>
      <c r="E1287" s="2">
        <v>1</v>
      </c>
      <c r="F1287" s="2">
        <v>1</v>
      </c>
      <c r="G1287" s="2">
        <v>1</v>
      </c>
      <c r="H1287" s="1">
        <v>45915.403923611113</v>
      </c>
      <c r="I1287" s="2">
        <v>1</v>
      </c>
      <c r="J1287" s="1">
        <v>45915.378125000003</v>
      </c>
    </row>
    <row r="1288" spans="1:10" x14ac:dyDescent="0.2">
      <c r="A1288" s="4" t="s">
        <v>1</v>
      </c>
      <c r="B1288" s="3" t="str">
        <f>HYPERLINK("https://otsuka-europe-crm.veevavault.com/ui/#object/approved_document__v/V5OZ025E82TFUPI", "Spain - HCP Survey Email - June 2025")</f>
        <v>Spain - HCP Survey Email - June 2025</v>
      </c>
      <c r="C1288" s="3" t="str">
        <f>HYPERLINK("https://otsuka-europe-crm.veevavault.com/ui/#object/sent_email__v/VBLZ025E82GMYIU", "SE-000268364")</f>
        <v>SE-000268364</v>
      </c>
      <c r="D1288" s="1">
        <v>45949.941284722219</v>
      </c>
      <c r="E1288" s="2">
        <v>1</v>
      </c>
      <c r="F1288" s="2">
        <v>5</v>
      </c>
      <c r="G1288" s="2">
        <v>0</v>
      </c>
      <c r="H1288" s="1" t="s">
        <v>0</v>
      </c>
      <c r="I1288" s="2">
        <v>0</v>
      </c>
      <c r="J1288" s="1">
        <v>45915.378564814811</v>
      </c>
    </row>
    <row r="1289" spans="1:10" x14ac:dyDescent="0.2">
      <c r="A1289" s="4" t="s">
        <v>1</v>
      </c>
      <c r="B1289" s="3" t="str">
        <f>HYPERLINK("https://otsuka-europe-crm.veevavault.com/ui/#object/approved_document__v/V5OZ025E82TFUPI", "Spain - HCP Survey Email - June 2025")</f>
        <v>Spain - HCP Survey Email - June 2025</v>
      </c>
      <c r="C1289" s="3" t="str">
        <f>HYPERLINK("https://otsuka-europe-crm.veevavault.com/ui/#object/sent_email__v/VBLZ025E82GMYIV", "SE-000268365")</f>
        <v>SE-000268365</v>
      </c>
      <c r="D1289" s="1" t="s">
        <v>0</v>
      </c>
      <c r="E1289" s="2">
        <v>0</v>
      </c>
      <c r="F1289" s="2">
        <v>0</v>
      </c>
      <c r="G1289" s="2">
        <v>0</v>
      </c>
      <c r="H1289" s="1" t="s">
        <v>0</v>
      </c>
      <c r="I1289" s="2">
        <v>0</v>
      </c>
      <c r="J1289" s="1">
        <v>45915.379803240743</v>
      </c>
    </row>
    <row r="1290" spans="1:10" x14ac:dyDescent="0.2">
      <c r="A1290" s="4" t="s">
        <v>1</v>
      </c>
      <c r="B1290" s="3" t="str">
        <f>HYPERLINK("https://otsuka-europe-crm.veevavault.com/ui/#object/approved_document__v/V5OZ025E82TFUPI", "Spain - HCP Survey Email - June 2025")</f>
        <v>Spain - HCP Survey Email - June 2025</v>
      </c>
      <c r="C1290" s="3" t="str">
        <f>HYPERLINK("https://otsuka-europe-crm.veevavault.com/ui/#object/sent_email__v/VBLZ025E82GMYIW", "SE-000268366")</f>
        <v>SE-000268366</v>
      </c>
      <c r="D1290" s="1" t="s">
        <v>0</v>
      </c>
      <c r="E1290" s="2">
        <v>0</v>
      </c>
      <c r="F1290" s="2">
        <v>0</v>
      </c>
      <c r="G1290" s="2">
        <v>0</v>
      </c>
      <c r="H1290" s="1" t="s">
        <v>0</v>
      </c>
      <c r="I1290" s="2">
        <v>0</v>
      </c>
      <c r="J1290" s="1">
        <v>45915.37771990741</v>
      </c>
    </row>
    <row r="1291" spans="1:10" x14ac:dyDescent="0.2">
      <c r="A1291" s="4" t="s">
        <v>1</v>
      </c>
      <c r="B1291" s="3" t="str">
        <f>HYPERLINK("https://otsuka-europe-crm.veevavault.com/ui/#object/approved_document__v/V5OZ025E82TFUPI", "Spain - HCP Survey Email - June 2025")</f>
        <v>Spain - HCP Survey Email - June 2025</v>
      </c>
      <c r="C1291" s="3" t="str">
        <f>HYPERLINK("https://otsuka-europe-crm.veevavault.com/ui/#object/sent_email__v/VBLZ025E82GMYIX", "SE-000268367")</f>
        <v>SE-000268367</v>
      </c>
      <c r="D1291" s="1">
        <v>45915.450671296298</v>
      </c>
      <c r="E1291" s="2">
        <v>1</v>
      </c>
      <c r="F1291" s="2">
        <v>2</v>
      </c>
      <c r="G1291" s="2">
        <v>0</v>
      </c>
      <c r="H1291" s="1" t="s">
        <v>0</v>
      </c>
      <c r="I1291" s="2">
        <v>0</v>
      </c>
      <c r="J1291" s="1">
        <v>45915.377638888887</v>
      </c>
    </row>
    <row r="1292" spans="1:10" x14ac:dyDescent="0.2">
      <c r="A1292" s="4" t="s">
        <v>1</v>
      </c>
      <c r="B1292" s="3" t="str">
        <f>HYPERLINK("https://otsuka-europe-crm.veevavault.com/ui/#object/approved_document__v/V5OZ025E82TFUPI", "Spain - HCP Survey Email - June 2025")</f>
        <v>Spain - HCP Survey Email - June 2025</v>
      </c>
      <c r="C1292" s="3" t="str">
        <f>HYPERLINK("https://otsuka-europe-crm.veevavault.com/ui/#object/sent_email__v/VBLZ025E82GMYIY", "SE-000268368")</f>
        <v>SE-000268368</v>
      </c>
      <c r="D1292" s="1">
        <v>45915.384050925924</v>
      </c>
      <c r="E1292" s="2">
        <v>1</v>
      </c>
      <c r="F1292" s="2">
        <v>1</v>
      </c>
      <c r="G1292" s="2">
        <v>0</v>
      </c>
      <c r="H1292" s="1" t="s">
        <v>0</v>
      </c>
      <c r="I1292" s="2">
        <v>0</v>
      </c>
      <c r="J1292" s="1">
        <v>45915.378032407411</v>
      </c>
    </row>
    <row r="1293" spans="1:10" x14ac:dyDescent="0.2">
      <c r="A1293" s="4" t="s">
        <v>1</v>
      </c>
      <c r="B1293" s="3" t="str">
        <f>HYPERLINK("https://otsuka-europe-crm.veevavault.com/ui/#object/approved_document__v/V5OZ025E82TFUPI", "Spain - HCP Survey Email - June 2025")</f>
        <v>Spain - HCP Survey Email - June 2025</v>
      </c>
      <c r="C1293" s="3" t="str">
        <f>HYPERLINK("https://otsuka-europe-crm.veevavault.com/ui/#object/sent_email__v/VBLZ025E82GMYIZ", "SE-000268369")</f>
        <v>SE-000268369</v>
      </c>
      <c r="D1293" s="1" t="s">
        <v>0</v>
      </c>
      <c r="E1293" s="2">
        <v>0</v>
      </c>
      <c r="F1293" s="2">
        <v>0</v>
      </c>
      <c r="G1293" s="2">
        <v>0</v>
      </c>
      <c r="H1293" s="1" t="s">
        <v>0</v>
      </c>
      <c r="I1293" s="2">
        <v>0</v>
      </c>
      <c r="J1293" s="1">
        <v>45915.378958333335</v>
      </c>
    </row>
    <row r="1294" spans="1:10" x14ac:dyDescent="0.2">
      <c r="A1294" s="4" t="s">
        <v>1</v>
      </c>
      <c r="B1294" s="3" t="str">
        <f>HYPERLINK("https://otsuka-europe-crm.veevavault.com/ui/#object/approved_document__v/V5OZ025E82TFUPI", "Spain - HCP Survey Email - June 2025")</f>
        <v>Spain - HCP Survey Email - June 2025</v>
      </c>
      <c r="C1294" s="3" t="str">
        <f>HYPERLINK("https://otsuka-europe-crm.veevavault.com/ui/#object/sent_email__v/VBLZ025E82GMYJ0", "SE-000268370")</f>
        <v>SE-000268370</v>
      </c>
      <c r="D1294" s="1">
        <v>45915.391527777778</v>
      </c>
      <c r="E1294" s="2">
        <v>1</v>
      </c>
      <c r="F1294" s="2">
        <v>1</v>
      </c>
      <c r="G1294" s="2">
        <v>0</v>
      </c>
      <c r="H1294" s="1" t="s">
        <v>0</v>
      </c>
      <c r="I1294" s="2">
        <v>0</v>
      </c>
      <c r="J1294" s="1">
        <v>45915.379710648151</v>
      </c>
    </row>
    <row r="1295" spans="1:10" x14ac:dyDescent="0.2">
      <c r="A1295" s="4" t="s">
        <v>1</v>
      </c>
      <c r="B1295" s="3" t="str">
        <f>HYPERLINK("https://otsuka-europe-crm.veevavault.com/ui/#object/approved_document__v/V5OZ025E82TFUPI", "Spain - HCP Survey Email - June 2025")</f>
        <v>Spain - HCP Survey Email - June 2025</v>
      </c>
      <c r="C1295" s="3" t="str">
        <f>HYPERLINK("https://otsuka-europe-crm.veevavault.com/ui/#object/sent_email__v/VBLZ025E82GMYJ1", "SE-000268371")</f>
        <v>SE-000268371</v>
      </c>
      <c r="D1295" s="1">
        <v>45915.64875</v>
      </c>
      <c r="E1295" s="2">
        <v>1</v>
      </c>
      <c r="F1295" s="2">
        <v>3</v>
      </c>
      <c r="G1295" s="2">
        <v>1</v>
      </c>
      <c r="H1295" s="1">
        <v>45915.64880787037</v>
      </c>
      <c r="I1295" s="2">
        <v>1</v>
      </c>
      <c r="J1295" s="1">
        <v>45915.379537037035</v>
      </c>
    </row>
    <row r="1296" spans="1:10" x14ac:dyDescent="0.2">
      <c r="A1296" s="4" t="s">
        <v>1</v>
      </c>
      <c r="B1296" s="3" t="str">
        <f>HYPERLINK("https://otsuka-europe-crm.veevavault.com/ui/#object/approved_document__v/V5OZ025E82TFUPI", "Spain - HCP Survey Email - June 2025")</f>
        <v>Spain - HCP Survey Email - June 2025</v>
      </c>
      <c r="C1296" s="3" t="str">
        <f>HYPERLINK("https://otsuka-europe-crm.veevavault.com/ui/#object/sent_email__v/VBLZ025E82GMYJ2", "SE-000268372")</f>
        <v>SE-000268372</v>
      </c>
      <c r="D1296" s="1" t="s">
        <v>0</v>
      </c>
      <c r="E1296" s="2">
        <v>0</v>
      </c>
      <c r="F1296" s="2">
        <v>0</v>
      </c>
      <c r="G1296" s="2">
        <v>0</v>
      </c>
      <c r="H1296" s="1" t="s">
        <v>0</v>
      </c>
      <c r="I1296" s="2">
        <v>0</v>
      </c>
      <c r="J1296" s="1">
        <v>45915.377800925926</v>
      </c>
    </row>
    <row r="1297" spans="1:10" x14ac:dyDescent="0.2">
      <c r="A1297" s="4" t="s">
        <v>1</v>
      </c>
      <c r="B1297" s="3" t="str">
        <f>HYPERLINK("https://otsuka-europe-crm.veevavault.com/ui/#object/approved_document__v/V5OZ025E82TFUPI", "Spain - HCP Survey Email - June 2025")</f>
        <v>Spain - HCP Survey Email - June 2025</v>
      </c>
      <c r="C1297" s="3" t="str">
        <f>HYPERLINK("https://otsuka-europe-crm.veevavault.com/ui/#object/sent_email__v/VBLZ025E82GMYJ3", "SE-000268373")</f>
        <v>SE-000268373</v>
      </c>
      <c r="D1297" s="1" t="s">
        <v>0</v>
      </c>
      <c r="E1297" s="2">
        <v>0</v>
      </c>
      <c r="F1297" s="2">
        <v>0</v>
      </c>
      <c r="G1297" s="2">
        <v>0</v>
      </c>
      <c r="H1297" s="1" t="s">
        <v>0</v>
      </c>
      <c r="I1297" s="2">
        <v>0</v>
      </c>
      <c r="J1297" s="1">
        <v>45915.378275462965</v>
      </c>
    </row>
    <row r="1298" spans="1:10" x14ac:dyDescent="0.2">
      <c r="A1298" s="4" t="s">
        <v>1</v>
      </c>
      <c r="B1298" s="3" t="str">
        <f>HYPERLINK("https://otsuka-europe-crm.veevavault.com/ui/#object/approved_document__v/V5OZ025E82TFUPI", "Spain - HCP Survey Email - June 2025")</f>
        <v>Spain - HCP Survey Email - June 2025</v>
      </c>
      <c r="C1298" s="3" t="str">
        <f>HYPERLINK("https://otsuka-europe-crm.veevavault.com/ui/#object/sent_email__v/VBLZ025E82GMYJ4", "SE-000268374")</f>
        <v>SE-000268374</v>
      </c>
      <c r="D1298" s="1" t="s">
        <v>0</v>
      </c>
      <c r="E1298" s="2">
        <v>0</v>
      </c>
      <c r="F1298" s="2">
        <v>0</v>
      </c>
      <c r="G1298" s="2">
        <v>0</v>
      </c>
      <c r="H1298" s="1" t="s">
        <v>0</v>
      </c>
      <c r="I1298" s="2">
        <v>0</v>
      </c>
      <c r="J1298" s="1">
        <v>45915.378113425926</v>
      </c>
    </row>
    <row r="1299" spans="1:10" x14ac:dyDescent="0.2">
      <c r="A1299" s="4" t="s">
        <v>1</v>
      </c>
      <c r="B1299" s="3" t="str">
        <f>HYPERLINK("https://otsuka-europe-crm.veevavault.com/ui/#object/approved_document__v/V5OZ025E82TFUPI", "Spain - HCP Survey Email - June 2025")</f>
        <v>Spain - HCP Survey Email - June 2025</v>
      </c>
      <c r="C1299" s="3" t="str">
        <f>HYPERLINK("https://otsuka-europe-crm.veevavault.com/ui/#object/sent_email__v/VBLZ025E82GMYJ5", "SE-000268375")</f>
        <v>SE-000268375</v>
      </c>
      <c r="D1299" s="1">
        <v>45915.957430555558</v>
      </c>
      <c r="E1299" s="2">
        <v>1</v>
      </c>
      <c r="F1299" s="2">
        <v>1</v>
      </c>
      <c r="G1299" s="2">
        <v>0</v>
      </c>
      <c r="H1299" s="1" t="s">
        <v>0</v>
      </c>
      <c r="I1299" s="2">
        <v>0</v>
      </c>
      <c r="J1299" s="1">
        <v>45915.378483796296</v>
      </c>
    </row>
    <row r="1300" spans="1:10" x14ac:dyDescent="0.2">
      <c r="A1300" s="4" t="s">
        <v>1</v>
      </c>
      <c r="B1300" s="3" t="str">
        <f>HYPERLINK("https://otsuka-europe-crm.veevavault.com/ui/#object/approved_document__v/V5OZ025E82TFUPI", "Spain - HCP Survey Email - June 2025")</f>
        <v>Spain - HCP Survey Email - June 2025</v>
      </c>
      <c r="C1300" s="3" t="str">
        <f>HYPERLINK("https://otsuka-europe-crm.veevavault.com/ui/#object/sent_email__v/VBLZ025E82GMYJ6", "SE-000268376")</f>
        <v>SE-000268376</v>
      </c>
      <c r="D1300" s="1" t="s">
        <v>0</v>
      </c>
      <c r="E1300" s="2">
        <v>0</v>
      </c>
      <c r="F1300" s="2">
        <v>0</v>
      </c>
      <c r="G1300" s="2">
        <v>0</v>
      </c>
      <c r="H1300" s="1" t="s">
        <v>0</v>
      </c>
      <c r="I1300" s="2">
        <v>0</v>
      </c>
      <c r="J1300" s="1">
        <v>45915.379918981482</v>
      </c>
    </row>
    <row r="1301" spans="1:10" x14ac:dyDescent="0.2">
      <c r="A1301" s="4" t="s">
        <v>1</v>
      </c>
      <c r="B1301" s="3" t="str">
        <f>HYPERLINK("https://otsuka-europe-crm.veevavault.com/ui/#object/approved_document__v/V5OZ025E82TFUPI", "Spain - HCP Survey Email - June 2025")</f>
        <v>Spain - HCP Survey Email - June 2025</v>
      </c>
      <c r="C1301" s="3" t="str">
        <f>HYPERLINK("https://otsuka-europe-crm.veevavault.com/ui/#object/sent_email__v/VBLZ025E82GMYJ7", "SE-000268377")</f>
        <v>SE-000268377</v>
      </c>
      <c r="D1301" s="1" t="s">
        <v>0</v>
      </c>
      <c r="E1301" s="2">
        <v>0</v>
      </c>
      <c r="F1301" s="2">
        <v>0</v>
      </c>
      <c r="G1301" s="2">
        <v>0</v>
      </c>
      <c r="H1301" s="1" t="s">
        <v>0</v>
      </c>
      <c r="I1301" s="2">
        <v>0</v>
      </c>
      <c r="J1301" s="1">
        <v>45915.377650462964</v>
      </c>
    </row>
    <row r="1302" spans="1:10" x14ac:dyDescent="0.2">
      <c r="A1302" s="4" t="s">
        <v>1</v>
      </c>
      <c r="B1302" s="3" t="str">
        <f>HYPERLINK("https://otsuka-europe-crm.veevavault.com/ui/#object/approved_document__v/V5OZ025E82TFUPI", "Spain - HCP Survey Email - June 2025")</f>
        <v>Spain - HCP Survey Email - June 2025</v>
      </c>
      <c r="C1302" s="3" t="str">
        <f>HYPERLINK("https://otsuka-europe-crm.veevavault.com/ui/#object/sent_email__v/VBLZ025E82GMYJ8", "SE-000268378")</f>
        <v>SE-000268378</v>
      </c>
      <c r="D1302" s="1" t="s">
        <v>0</v>
      </c>
      <c r="E1302" s="2">
        <v>0</v>
      </c>
      <c r="F1302" s="2">
        <v>0</v>
      </c>
      <c r="G1302" s="2">
        <v>0</v>
      </c>
      <c r="H1302" s="1" t="s">
        <v>0</v>
      </c>
      <c r="I1302" s="2">
        <v>0</v>
      </c>
      <c r="J1302" s="1">
        <v>45915.377604166664</v>
      </c>
    </row>
    <row r="1303" spans="1:10" x14ac:dyDescent="0.2">
      <c r="A1303" s="4" t="s">
        <v>1</v>
      </c>
      <c r="B1303" s="3" t="str">
        <f>HYPERLINK("https://otsuka-europe-crm.veevavault.com/ui/#object/approved_document__v/V5OZ025E82TFUPI", "Spain - HCP Survey Email - June 2025")</f>
        <v>Spain - HCP Survey Email - June 2025</v>
      </c>
      <c r="C1303" s="3" t="str">
        <f>HYPERLINK("https://otsuka-europe-crm.veevavault.com/ui/#object/sent_email__v/VBLZ025E82GMYJ9", "SE-000268379")</f>
        <v>SE-000268379</v>
      </c>
      <c r="D1303" s="1" t="s">
        <v>0</v>
      </c>
      <c r="E1303" s="2">
        <v>0</v>
      </c>
      <c r="F1303" s="2">
        <v>0</v>
      </c>
      <c r="G1303" s="2">
        <v>0</v>
      </c>
      <c r="H1303" s="1" t="s">
        <v>0</v>
      </c>
      <c r="I1303" s="2">
        <v>0</v>
      </c>
      <c r="J1303" s="1">
        <v>45915.377974537034</v>
      </c>
    </row>
    <row r="1304" spans="1:10" x14ac:dyDescent="0.2">
      <c r="A1304" s="4" t="s">
        <v>1</v>
      </c>
      <c r="B1304" s="3" t="str">
        <f>HYPERLINK("https://otsuka-europe-crm.veevavault.com/ui/#object/approved_document__v/V5OZ025E82TFUPI", "Spain - HCP Survey Email - June 2025")</f>
        <v>Spain - HCP Survey Email - June 2025</v>
      </c>
      <c r="C1304" s="3" t="str">
        <f>HYPERLINK("https://otsuka-europe-crm.veevavault.com/ui/#object/sent_email__v/VBLZ025E82GMYJA", "SE-000268380")</f>
        <v>SE-000268380</v>
      </c>
      <c r="D1304" s="1">
        <v>45929.59480324074</v>
      </c>
      <c r="E1304" s="2">
        <v>1</v>
      </c>
      <c r="F1304" s="2">
        <v>1</v>
      </c>
      <c r="G1304" s="2">
        <v>0</v>
      </c>
      <c r="H1304" s="1" t="s">
        <v>0</v>
      </c>
      <c r="I1304" s="2">
        <v>0</v>
      </c>
      <c r="J1304" s="1">
        <v>45915.379988425928</v>
      </c>
    </row>
    <row r="1305" spans="1:10" x14ac:dyDescent="0.2">
      <c r="A1305" s="4" t="s">
        <v>1</v>
      </c>
      <c r="B1305" s="3" t="str">
        <f>HYPERLINK("https://otsuka-europe-crm.veevavault.com/ui/#object/approved_document__v/V5OZ025E82TFUPI", "Spain - HCP Survey Email - June 2025")</f>
        <v>Spain - HCP Survey Email - June 2025</v>
      </c>
      <c r="C1305" s="3" t="str">
        <f>HYPERLINK("https://otsuka-europe-crm.veevavault.com/ui/#object/sent_email__v/VBLZ025E82GMYJB", "SE-000268381")</f>
        <v>SE-000268381</v>
      </c>
      <c r="D1305" s="1">
        <v>45915.566828703704</v>
      </c>
      <c r="E1305" s="2">
        <v>1</v>
      </c>
      <c r="F1305" s="2">
        <v>1</v>
      </c>
      <c r="G1305" s="2">
        <v>0</v>
      </c>
      <c r="H1305" s="1" t="s">
        <v>0</v>
      </c>
      <c r="I1305" s="2">
        <v>0</v>
      </c>
      <c r="J1305" s="1">
        <v>45915.377754629626</v>
      </c>
    </row>
    <row r="1306" spans="1:10" x14ac:dyDescent="0.2">
      <c r="A1306" s="4" t="s">
        <v>1</v>
      </c>
      <c r="B1306" s="3" t="str">
        <f>HYPERLINK("https://otsuka-europe-crm.veevavault.com/ui/#object/approved_document__v/V5OZ025E82TFUPI", "Spain - HCP Survey Email - June 2025")</f>
        <v>Spain - HCP Survey Email - June 2025</v>
      </c>
      <c r="C1306" s="3" t="str">
        <f>HYPERLINK("https://otsuka-europe-crm.veevavault.com/ui/#object/sent_email__v/VBLZ025E82GMYJC", "SE-000268382")</f>
        <v>SE-000268382</v>
      </c>
      <c r="D1306" s="1" t="s">
        <v>0</v>
      </c>
      <c r="E1306" s="2">
        <v>0</v>
      </c>
      <c r="F1306" s="2">
        <v>0</v>
      </c>
      <c r="G1306" s="2">
        <v>0</v>
      </c>
      <c r="H1306" s="1" t="s">
        <v>0</v>
      </c>
      <c r="I1306" s="2">
        <v>0</v>
      </c>
      <c r="J1306" s="1">
        <v>45915.377604166664</v>
      </c>
    </row>
    <row r="1307" spans="1:10" x14ac:dyDescent="0.2">
      <c r="A1307" s="4" t="s">
        <v>1</v>
      </c>
      <c r="B1307" s="3" t="str">
        <f>HYPERLINK("https://otsuka-europe-crm.veevavault.com/ui/#object/approved_document__v/V5OZ025E82TFUPI", "Spain - HCP Survey Email - June 2025")</f>
        <v>Spain - HCP Survey Email - June 2025</v>
      </c>
      <c r="C1307" s="3" t="str">
        <f>HYPERLINK("https://otsuka-europe-crm.veevavault.com/ui/#object/sent_email__v/VBLZ025E82GMYJD", "SE-000268383")</f>
        <v>SE-000268383</v>
      </c>
      <c r="D1307" s="1">
        <v>45961.582291666666</v>
      </c>
      <c r="E1307" s="2">
        <v>1</v>
      </c>
      <c r="F1307" s="2">
        <v>2</v>
      </c>
      <c r="G1307" s="2">
        <v>0</v>
      </c>
      <c r="H1307" s="1" t="s">
        <v>0</v>
      </c>
      <c r="I1307" s="2">
        <v>0</v>
      </c>
      <c r="J1307" s="1">
        <v>45915.378009259257</v>
      </c>
    </row>
    <row r="1308" spans="1:10" x14ac:dyDescent="0.2">
      <c r="A1308" s="4" t="s">
        <v>1</v>
      </c>
      <c r="B1308" s="3" t="str">
        <f>HYPERLINK("https://otsuka-europe-crm.veevavault.com/ui/#object/approved_document__v/V5OZ025E82TFUPI", "Spain - HCP Survey Email - June 2025")</f>
        <v>Spain - HCP Survey Email - June 2025</v>
      </c>
      <c r="C1308" s="3" t="str">
        <f>HYPERLINK("https://otsuka-europe-crm.veevavault.com/ui/#object/sent_email__v/VBLZ025E82GMYJE", "SE-000268384")</f>
        <v>SE-000268384</v>
      </c>
      <c r="D1308" s="1">
        <v>45916.883368055554</v>
      </c>
      <c r="E1308" s="2">
        <v>1</v>
      </c>
      <c r="F1308" s="2">
        <v>2</v>
      </c>
      <c r="G1308" s="2">
        <v>0</v>
      </c>
      <c r="H1308" s="1" t="s">
        <v>0</v>
      </c>
      <c r="I1308" s="2">
        <v>0</v>
      </c>
      <c r="J1308" s="1">
        <v>45915.378981481481</v>
      </c>
    </row>
    <row r="1309" spans="1:10" x14ac:dyDescent="0.2">
      <c r="A1309" s="4" t="s">
        <v>1</v>
      </c>
      <c r="B1309" s="3" t="str">
        <f>HYPERLINK("https://otsuka-europe-crm.veevavault.com/ui/#object/approved_document__v/V5OZ025E82TFUPI", "Spain - HCP Survey Email - June 2025")</f>
        <v>Spain - HCP Survey Email - June 2025</v>
      </c>
      <c r="C1309" s="3" t="str">
        <f>HYPERLINK("https://otsuka-europe-crm.veevavault.com/ui/#object/sent_email__v/VBLZ025E82GMYJF", "SE-000268385")</f>
        <v>SE-000268385</v>
      </c>
      <c r="D1309" s="1">
        <v>45915.563634259262</v>
      </c>
      <c r="E1309" s="2">
        <v>1</v>
      </c>
      <c r="F1309" s="2">
        <v>1</v>
      </c>
      <c r="G1309" s="2">
        <v>0</v>
      </c>
      <c r="H1309" s="1" t="s">
        <v>0</v>
      </c>
      <c r="I1309" s="2">
        <v>0</v>
      </c>
      <c r="J1309" s="1">
        <v>45915.379826388889</v>
      </c>
    </row>
    <row r="1310" spans="1:10" x14ac:dyDescent="0.2">
      <c r="A1310" s="4" t="s">
        <v>1</v>
      </c>
      <c r="B1310" s="3" t="str">
        <f>HYPERLINK("https://otsuka-europe-crm.veevavault.com/ui/#object/approved_document__v/V5OZ025E82TFUPI", "Spain - HCP Survey Email - June 2025")</f>
        <v>Spain - HCP Survey Email - June 2025</v>
      </c>
      <c r="C1310" s="3" t="str">
        <f>HYPERLINK("https://otsuka-europe-crm.veevavault.com/ui/#object/sent_email__v/VBLZ025E82GMYJG", "SE-000268386")</f>
        <v>SE-000268386</v>
      </c>
      <c r="D1310" s="1">
        <v>45915.465520833335</v>
      </c>
      <c r="E1310" s="2">
        <v>1</v>
      </c>
      <c r="F1310" s="2">
        <v>1</v>
      </c>
      <c r="G1310" s="2">
        <v>0</v>
      </c>
      <c r="H1310" s="1" t="s">
        <v>0</v>
      </c>
      <c r="I1310" s="2">
        <v>0</v>
      </c>
      <c r="J1310" s="1">
        <v>45915.37939814815</v>
      </c>
    </row>
    <row r="1311" spans="1:10" x14ac:dyDescent="0.2">
      <c r="A1311" s="4" t="s">
        <v>1</v>
      </c>
      <c r="B1311" s="3" t="str">
        <f>HYPERLINK("https://otsuka-europe-crm.veevavault.com/ui/#object/approved_document__v/V5OZ025E82TFUPI", "Spain - HCP Survey Email - June 2025")</f>
        <v>Spain - HCP Survey Email - June 2025</v>
      </c>
      <c r="C1311" s="3" t="str">
        <f>HYPERLINK("https://otsuka-europe-crm.veevavault.com/ui/#object/sent_email__v/VBLZ025E82GMYJH", "SE-000268387")</f>
        <v>SE-000268387</v>
      </c>
      <c r="D1311" s="1" t="s">
        <v>0</v>
      </c>
      <c r="E1311" s="2">
        <v>0</v>
      </c>
      <c r="F1311" s="2">
        <v>0</v>
      </c>
      <c r="G1311" s="2">
        <v>0</v>
      </c>
      <c r="H1311" s="1" t="s">
        <v>0</v>
      </c>
      <c r="I1311" s="2">
        <v>0</v>
      </c>
      <c r="J1311" s="1">
        <v>45915.377824074072</v>
      </c>
    </row>
    <row r="1312" spans="1:10" x14ac:dyDescent="0.2">
      <c r="A1312" s="4" t="s">
        <v>1</v>
      </c>
      <c r="B1312" s="3" t="str">
        <f>HYPERLINK("https://otsuka-europe-crm.veevavault.com/ui/#object/approved_document__v/V5OZ025E82TFUPI", "Spain - HCP Survey Email - June 2025")</f>
        <v>Spain - HCP Survey Email - June 2025</v>
      </c>
      <c r="C1312" s="3" t="str">
        <f>HYPERLINK("https://otsuka-europe-crm.veevavault.com/ui/#object/sent_email__v/VBLZ025E82GMYJI", "SE-000268388")</f>
        <v>SE-000268388</v>
      </c>
      <c r="D1312" s="1" t="s">
        <v>0</v>
      </c>
      <c r="E1312" s="2">
        <v>0</v>
      </c>
      <c r="F1312" s="2">
        <v>0</v>
      </c>
      <c r="G1312" s="2">
        <v>0</v>
      </c>
      <c r="H1312" s="1" t="s">
        <v>0</v>
      </c>
      <c r="I1312" s="2">
        <v>0</v>
      </c>
      <c r="J1312" s="1">
        <v>45915.378287037034</v>
      </c>
    </row>
    <row r="1313" spans="1:10" x14ac:dyDescent="0.2">
      <c r="A1313" s="4" t="s">
        <v>1</v>
      </c>
      <c r="B1313" s="3" t="str">
        <f>HYPERLINK("https://otsuka-europe-crm.veevavault.com/ui/#object/approved_document__v/V5OZ025E82TFUPI", "Spain - HCP Survey Email - June 2025")</f>
        <v>Spain - HCP Survey Email - June 2025</v>
      </c>
      <c r="C1313" s="3" t="str">
        <f>HYPERLINK("https://otsuka-europe-crm.veevavault.com/ui/#object/sent_email__v/VBLZ025E82GMYJJ", "SE-000268389")</f>
        <v>SE-000268389</v>
      </c>
      <c r="D1313" s="1">
        <v>45915.379664351851</v>
      </c>
      <c r="E1313" s="2">
        <v>1</v>
      </c>
      <c r="F1313" s="2">
        <v>1</v>
      </c>
      <c r="G1313" s="2">
        <v>0</v>
      </c>
      <c r="H1313" s="1" t="s">
        <v>0</v>
      </c>
      <c r="I1313" s="2">
        <v>0</v>
      </c>
      <c r="J1313" s="1">
        <v>45915.378125000003</v>
      </c>
    </row>
    <row r="1314" spans="1:10" x14ac:dyDescent="0.2">
      <c r="A1314" s="4" t="s">
        <v>1</v>
      </c>
      <c r="B1314" s="3" t="str">
        <f>HYPERLINK("https://otsuka-europe-crm.veevavault.com/ui/#object/approved_document__v/V5OZ025E82TFUPI", "Spain - HCP Survey Email - June 2025")</f>
        <v>Spain - HCP Survey Email - June 2025</v>
      </c>
      <c r="C1314" s="3" t="str">
        <f>HYPERLINK("https://otsuka-europe-crm.veevavault.com/ui/#object/sent_email__v/VBLZ025E82GMYJK", "SE-000268390")</f>
        <v>SE-000268390</v>
      </c>
      <c r="D1314" s="1" t="s">
        <v>0</v>
      </c>
      <c r="E1314" s="2">
        <v>0</v>
      </c>
      <c r="F1314" s="2">
        <v>0</v>
      </c>
      <c r="G1314" s="2">
        <v>0</v>
      </c>
      <c r="H1314" s="1" t="s">
        <v>0</v>
      </c>
      <c r="I1314" s="2">
        <v>0</v>
      </c>
      <c r="J1314" s="1">
        <v>45915.378576388888</v>
      </c>
    </row>
    <row r="1315" spans="1:10" x14ac:dyDescent="0.2">
      <c r="A1315" s="4" t="s">
        <v>1</v>
      </c>
      <c r="B1315" s="3" t="str">
        <f>HYPERLINK("https://otsuka-europe-crm.veevavault.com/ui/#object/approved_document__v/V5OZ025E82TFUPI", "Spain - HCP Survey Email - June 2025")</f>
        <v>Spain - HCP Survey Email - June 2025</v>
      </c>
      <c r="C1315" s="3" t="str">
        <f>HYPERLINK("https://otsuka-europe-crm.veevavault.com/ui/#object/sent_email__v/VBLZ025E82GMYJL", "SE-000268391")</f>
        <v>SE-000268391</v>
      </c>
      <c r="D1315" s="1" t="s">
        <v>0</v>
      </c>
      <c r="E1315" s="2">
        <v>0</v>
      </c>
      <c r="F1315" s="2">
        <v>0</v>
      </c>
      <c r="G1315" s="2">
        <v>0</v>
      </c>
      <c r="H1315" s="1" t="s">
        <v>0</v>
      </c>
      <c r="I1315" s="2">
        <v>0</v>
      </c>
      <c r="J1315" s="1">
        <v>45915.379861111112</v>
      </c>
    </row>
    <row r="1316" spans="1:10" x14ac:dyDescent="0.2">
      <c r="A1316" s="4" t="s">
        <v>1</v>
      </c>
      <c r="B1316" s="3" t="str">
        <f>HYPERLINK("https://otsuka-europe-crm.veevavault.com/ui/#object/approved_document__v/V5OZ025E82TFUPI", "Spain - HCP Survey Email - June 2025")</f>
        <v>Spain - HCP Survey Email - June 2025</v>
      </c>
      <c r="C1316" s="3" t="str">
        <f>HYPERLINK("https://otsuka-europe-crm.veevavault.com/ui/#object/sent_email__v/VBLZ025E82GMYJM", "SE-000268392")</f>
        <v>SE-000268392</v>
      </c>
      <c r="D1316" s="1" t="s">
        <v>0</v>
      </c>
      <c r="E1316" s="2">
        <v>0</v>
      </c>
      <c r="F1316" s="2">
        <v>0</v>
      </c>
      <c r="G1316" s="2">
        <v>0</v>
      </c>
      <c r="H1316" s="1" t="s">
        <v>0</v>
      </c>
      <c r="I1316" s="2">
        <v>0</v>
      </c>
      <c r="J1316" s="1">
        <v>45915.377754629626</v>
      </c>
    </row>
    <row r="1317" spans="1:10" x14ac:dyDescent="0.2">
      <c r="A1317" s="4" t="s">
        <v>1</v>
      </c>
      <c r="B1317" s="3" t="str">
        <f>HYPERLINK("https://otsuka-europe-crm.veevavault.com/ui/#object/approved_document__v/V5OZ025E82TFUPI", "Spain - HCP Survey Email - June 2025")</f>
        <v>Spain - HCP Survey Email - June 2025</v>
      </c>
      <c r="C1317" s="3" t="str">
        <f>HYPERLINK("https://otsuka-europe-crm.veevavault.com/ui/#object/sent_email__v/VBLZ025E82GMYJN", "SE-000268393")</f>
        <v>SE-000268393</v>
      </c>
      <c r="D1317" s="1" t="s">
        <v>0</v>
      </c>
      <c r="E1317" s="2">
        <v>0</v>
      </c>
      <c r="F1317" s="2">
        <v>0</v>
      </c>
      <c r="G1317" s="2">
        <v>0</v>
      </c>
      <c r="H1317" s="1" t="s">
        <v>0</v>
      </c>
      <c r="I1317" s="2">
        <v>0</v>
      </c>
      <c r="J1317" s="1">
        <v>45915.37767361111</v>
      </c>
    </row>
    <row r="1318" spans="1:10" x14ac:dyDescent="0.2">
      <c r="A1318" s="4" t="s">
        <v>1</v>
      </c>
      <c r="B1318" s="3" t="str">
        <f>HYPERLINK("https://otsuka-europe-crm.veevavault.com/ui/#object/approved_document__v/V5OZ025E82TFUPI", "Spain - HCP Survey Email - June 2025")</f>
        <v>Spain - HCP Survey Email - June 2025</v>
      </c>
      <c r="C1318" s="3" t="str">
        <f>HYPERLINK("https://otsuka-europe-crm.veevavault.com/ui/#object/sent_email__v/VBLZ025E82GMYJO", "SE-000268394")</f>
        <v>SE-000268394</v>
      </c>
      <c r="D1318" s="1" t="s">
        <v>0</v>
      </c>
      <c r="E1318" s="2">
        <v>0</v>
      </c>
      <c r="F1318" s="2">
        <v>0</v>
      </c>
      <c r="G1318" s="2">
        <v>0</v>
      </c>
      <c r="H1318" s="1" t="s">
        <v>0</v>
      </c>
      <c r="I1318" s="2">
        <v>0</v>
      </c>
      <c r="J1318" s="1">
        <v>45915.37804398148</v>
      </c>
    </row>
    <row r="1319" spans="1:10" x14ac:dyDescent="0.2">
      <c r="A1319" s="4" t="s">
        <v>1</v>
      </c>
      <c r="B1319" s="3" t="str">
        <f>HYPERLINK("https://otsuka-europe-crm.veevavault.com/ui/#object/approved_document__v/V5OZ025E82TFUPI", "Spain - HCP Survey Email - June 2025")</f>
        <v>Spain - HCP Survey Email - June 2025</v>
      </c>
      <c r="C1319" s="3" t="str">
        <f>HYPERLINK("https://otsuka-europe-crm.veevavault.com/ui/#object/sent_email__v/VBLZ025E82GMYJQ", "SE-000268396")</f>
        <v>SE-000268396</v>
      </c>
      <c r="D1319" s="1">
        <v>45916.011342592596</v>
      </c>
      <c r="E1319" s="2">
        <v>1</v>
      </c>
      <c r="F1319" s="2">
        <v>1</v>
      </c>
      <c r="G1319" s="2">
        <v>0</v>
      </c>
      <c r="H1319" s="1" t="s">
        <v>0</v>
      </c>
      <c r="I1319" s="2">
        <v>0</v>
      </c>
      <c r="J1319" s="1">
        <v>45915.37976851852</v>
      </c>
    </row>
    <row r="1320" spans="1:10" x14ac:dyDescent="0.2">
      <c r="A1320" s="4" t="s">
        <v>1</v>
      </c>
      <c r="B1320" s="3" t="str">
        <f>HYPERLINK("https://otsuka-europe-crm.veevavault.com/ui/#object/approved_document__v/V5OZ025E82TFUPI", "Spain - HCP Survey Email - June 2025")</f>
        <v>Spain - HCP Survey Email - June 2025</v>
      </c>
      <c r="C1320" s="3" t="str">
        <f>HYPERLINK("https://otsuka-europe-crm.veevavault.com/ui/#object/sent_email__v/VBLZ025E82GMYJR", "SE-000268397")</f>
        <v>SE-000268397</v>
      </c>
      <c r="D1320" s="1" t="s">
        <v>0</v>
      </c>
      <c r="E1320" s="2">
        <v>0</v>
      </c>
      <c r="F1320" s="2">
        <v>0</v>
      </c>
      <c r="G1320" s="2">
        <v>0</v>
      </c>
      <c r="H1320" s="1" t="s">
        <v>0</v>
      </c>
      <c r="I1320" s="2">
        <v>0</v>
      </c>
      <c r="J1320" s="1">
        <v>45915.379062499997</v>
      </c>
    </row>
    <row r="1321" spans="1:10" x14ac:dyDescent="0.2">
      <c r="A1321" s="4" t="s">
        <v>1</v>
      </c>
      <c r="B1321" s="3" t="str">
        <f>HYPERLINK("https://otsuka-europe-crm.veevavault.com/ui/#object/approved_document__v/V5OZ025E82TFUPI", "Spain - HCP Survey Email - June 2025")</f>
        <v>Spain - HCP Survey Email - June 2025</v>
      </c>
      <c r="C1321" s="3" t="str">
        <f>HYPERLINK("https://otsuka-europe-crm.veevavault.com/ui/#object/sent_email__v/VBLZ025E82GMYJS", "SE-000268398")</f>
        <v>SE-000268398</v>
      </c>
      <c r="D1321" s="1">
        <v>45916.493877314817</v>
      </c>
      <c r="E1321" s="2">
        <v>1</v>
      </c>
      <c r="F1321" s="2">
        <v>4</v>
      </c>
      <c r="G1321" s="2">
        <v>0</v>
      </c>
      <c r="H1321" s="1" t="s">
        <v>0</v>
      </c>
      <c r="I1321" s="2">
        <v>0</v>
      </c>
      <c r="J1321" s="1">
        <v>45915.377789351849</v>
      </c>
    </row>
    <row r="1322" spans="1:10" x14ac:dyDescent="0.2">
      <c r="A1322" s="4" t="s">
        <v>1</v>
      </c>
      <c r="B1322" s="3" t="str">
        <f>HYPERLINK("https://otsuka-europe-crm.veevavault.com/ui/#object/approved_document__v/V5OZ025E82TFUPI", "Spain - HCP Survey Email - June 2025")</f>
        <v>Spain - HCP Survey Email - June 2025</v>
      </c>
      <c r="C1322" s="3" t="str">
        <f>HYPERLINK("https://otsuka-europe-crm.veevavault.com/ui/#object/sent_email__v/VBLZ025E82GMYJT", "SE-000268399")</f>
        <v>SE-000268399</v>
      </c>
      <c r="D1322" s="1">
        <v>45992.546701388892</v>
      </c>
      <c r="E1322" s="2">
        <v>1</v>
      </c>
      <c r="F1322" s="2">
        <v>2</v>
      </c>
      <c r="G1322" s="2">
        <v>0</v>
      </c>
      <c r="H1322" s="1" t="s">
        <v>0</v>
      </c>
      <c r="I1322" s="2">
        <v>0</v>
      </c>
      <c r="J1322" s="1">
        <v>45915.378159722219</v>
      </c>
    </row>
    <row r="1323" spans="1:10" x14ac:dyDescent="0.2">
      <c r="A1323" s="4" t="s">
        <v>1</v>
      </c>
      <c r="B1323" s="3" t="str">
        <f>HYPERLINK("https://otsuka-europe-crm.veevavault.com/ui/#object/approved_document__v/V5OZ025E82TFUPI", "Spain - HCP Survey Email - June 2025")</f>
        <v>Spain - HCP Survey Email - June 2025</v>
      </c>
      <c r="C1323" s="3" t="str">
        <f>HYPERLINK("https://otsuka-europe-crm.veevavault.com/ui/#object/sent_email__v/VBLZ025E82GMYJU", "SE-000268400")</f>
        <v>SE-000268400</v>
      </c>
      <c r="D1323" s="1">
        <v>45915.767835648148</v>
      </c>
      <c r="E1323" s="2">
        <v>1</v>
      </c>
      <c r="F1323" s="2">
        <v>1</v>
      </c>
      <c r="G1323" s="2">
        <v>0</v>
      </c>
      <c r="H1323" s="1" t="s">
        <v>0</v>
      </c>
      <c r="I1323" s="2">
        <v>0</v>
      </c>
      <c r="J1323" s="1">
        <v>45915.378032407411</v>
      </c>
    </row>
    <row r="1324" spans="1:10" x14ac:dyDescent="0.2">
      <c r="A1324" s="4" t="s">
        <v>1</v>
      </c>
      <c r="B1324" s="3" t="str">
        <f>HYPERLINK("https://otsuka-europe-crm.veevavault.com/ui/#object/approved_document__v/V5OZ025E82TFUPI", "Spain - HCP Survey Email - June 2025")</f>
        <v>Spain - HCP Survey Email - June 2025</v>
      </c>
      <c r="C1324" s="3" t="str">
        <f>HYPERLINK("https://otsuka-europe-crm.veevavault.com/ui/#object/sent_email__v/VBLZ025E82GMYJV", "SE-000268401")</f>
        <v>SE-000268401</v>
      </c>
      <c r="D1324" s="1">
        <v>45915.947268518517</v>
      </c>
      <c r="E1324" s="2">
        <v>1</v>
      </c>
      <c r="F1324" s="2">
        <v>1</v>
      </c>
      <c r="G1324" s="2">
        <v>0</v>
      </c>
      <c r="H1324" s="1" t="s">
        <v>0</v>
      </c>
      <c r="I1324" s="2">
        <v>0</v>
      </c>
      <c r="J1324" s="1">
        <v>45915.378611111111</v>
      </c>
    </row>
    <row r="1325" spans="1:10" x14ac:dyDescent="0.2">
      <c r="A1325" s="4" t="s">
        <v>1</v>
      </c>
      <c r="B1325" s="3" t="str">
        <f>HYPERLINK("https://otsuka-europe-crm.veevavault.com/ui/#object/approved_document__v/V5OZ025E82TFUPI", "Spain - HCP Survey Email - June 2025")</f>
        <v>Spain - HCP Survey Email - June 2025</v>
      </c>
      <c r="C1325" s="3" t="str">
        <f>HYPERLINK("https://otsuka-europe-crm.veevavault.com/ui/#object/sent_email__v/VBLZ025E82GMYJW", "SE-000268402")</f>
        <v>SE-000268402</v>
      </c>
      <c r="D1325" s="1">
        <v>45919.546516203707</v>
      </c>
      <c r="E1325" s="2">
        <v>1</v>
      </c>
      <c r="F1325" s="2">
        <v>1</v>
      </c>
      <c r="G1325" s="2">
        <v>0</v>
      </c>
      <c r="H1325" s="1" t="s">
        <v>0</v>
      </c>
      <c r="I1325" s="2">
        <v>0</v>
      </c>
      <c r="J1325" s="1">
        <v>45915.379837962966</v>
      </c>
    </row>
    <row r="1326" spans="1:10" x14ac:dyDescent="0.2">
      <c r="A1326" s="4" t="s">
        <v>1</v>
      </c>
      <c r="B1326" s="3" t="str">
        <f>HYPERLINK("https://otsuka-europe-crm.veevavault.com/ui/#object/approved_document__v/V5OZ025E82TFUPI", "Spain - HCP Survey Email - June 2025")</f>
        <v>Spain - HCP Survey Email - June 2025</v>
      </c>
      <c r="C1326" s="3" t="str">
        <f>HYPERLINK("https://otsuka-europe-crm.veevavault.com/ui/#object/sent_email__v/VBLZ025E82GMYJX", "SE-000268403")</f>
        <v>SE-000268403</v>
      </c>
      <c r="D1326" s="1">
        <v>45915.396053240744</v>
      </c>
      <c r="E1326" s="2">
        <v>1</v>
      </c>
      <c r="F1326" s="2">
        <v>1</v>
      </c>
      <c r="G1326" s="2">
        <v>1</v>
      </c>
      <c r="H1326" s="1">
        <v>45915.396145833336</v>
      </c>
      <c r="I1326" s="2">
        <v>1</v>
      </c>
      <c r="J1326" s="1">
        <v>45915.37777777778</v>
      </c>
    </row>
    <row r="1327" spans="1:10" x14ac:dyDescent="0.2">
      <c r="A1327" s="4" t="s">
        <v>1</v>
      </c>
      <c r="B1327" s="3" t="str">
        <f>HYPERLINK("https://otsuka-europe-crm.veevavault.com/ui/#object/approved_document__v/V5OZ025E82TFUPI", "Spain - HCP Survey Email - June 2025")</f>
        <v>Spain - HCP Survey Email - June 2025</v>
      </c>
      <c r="C1327" s="3" t="str">
        <f>HYPERLINK("https://otsuka-europe-crm.veevavault.com/ui/#object/sent_email__v/VBLZ025E82GMYJY", "SE-000268404")</f>
        <v>SE-000268404</v>
      </c>
      <c r="D1327" s="1">
        <v>45915.877835648149</v>
      </c>
      <c r="E1327" s="2">
        <v>1</v>
      </c>
      <c r="F1327" s="2">
        <v>1</v>
      </c>
      <c r="G1327" s="2">
        <v>0</v>
      </c>
      <c r="H1327" s="1" t="s">
        <v>0</v>
      </c>
      <c r="I1327" s="2">
        <v>0</v>
      </c>
      <c r="J1327" s="1">
        <v>45915.377627314818</v>
      </c>
    </row>
    <row r="1328" spans="1:10" x14ac:dyDescent="0.2">
      <c r="A1328" s="4" t="s">
        <v>1</v>
      </c>
      <c r="B1328" s="3" t="str">
        <f>HYPERLINK("https://otsuka-europe-crm.veevavault.com/ui/#object/approved_document__v/V5OZ025E82TFUPI", "Spain - HCP Survey Email - June 2025")</f>
        <v>Spain - HCP Survey Email - June 2025</v>
      </c>
      <c r="C1328" s="3" t="str">
        <f>HYPERLINK("https://otsuka-europe-crm.veevavault.com/ui/#object/sent_email__v/VBLZ025E82GMYJZ", "SE-000268405")</f>
        <v>SE-000268405</v>
      </c>
      <c r="D1328" s="1">
        <v>45915.627986111111</v>
      </c>
      <c r="E1328" s="2">
        <v>1</v>
      </c>
      <c r="F1328" s="2">
        <v>1</v>
      </c>
      <c r="G1328" s="2">
        <v>1</v>
      </c>
      <c r="H1328" s="1">
        <v>45915.628321759257</v>
      </c>
      <c r="I1328" s="2">
        <v>1</v>
      </c>
      <c r="J1328" s="1">
        <v>45915.378009259257</v>
      </c>
    </row>
    <row r="1329" spans="1:10" x14ac:dyDescent="0.2">
      <c r="A1329" s="4" t="s">
        <v>1</v>
      </c>
      <c r="B1329" s="3" t="str">
        <f>HYPERLINK("https://otsuka-europe-crm.veevavault.com/ui/#object/approved_document__v/V5OZ025E82TFUPI", "Spain - HCP Survey Email - June 2025")</f>
        <v>Spain - HCP Survey Email - June 2025</v>
      </c>
      <c r="C1329" s="3" t="str">
        <f>HYPERLINK("https://otsuka-europe-crm.veevavault.com/ui/#object/sent_email__v/VBLZ025E82GMYK0", "SE-000268406")</f>
        <v>SE-000268406</v>
      </c>
      <c r="D1329" s="1" t="s">
        <v>0</v>
      </c>
      <c r="E1329" s="2">
        <v>0</v>
      </c>
      <c r="F1329" s="2">
        <v>0</v>
      </c>
      <c r="G1329" s="2">
        <v>0</v>
      </c>
      <c r="H1329" s="1" t="s">
        <v>0</v>
      </c>
      <c r="I1329" s="2">
        <v>0</v>
      </c>
      <c r="J1329" s="1">
        <v>45915.378518518519</v>
      </c>
    </row>
    <row r="1330" spans="1:10" x14ac:dyDescent="0.2">
      <c r="A1330" s="4" t="s">
        <v>1</v>
      </c>
      <c r="B1330" s="3" t="str">
        <f>HYPERLINK("https://otsuka-europe-crm.veevavault.com/ui/#object/approved_document__v/V5OZ025E82TFUPI", "Spain - HCP Survey Email - June 2025")</f>
        <v>Spain - HCP Survey Email - June 2025</v>
      </c>
      <c r="C1330" s="3" t="str">
        <f>HYPERLINK("https://otsuka-europe-crm.veevavault.com/ui/#object/sent_email__v/VBLZ025E82GMYK1", "SE-000268407")</f>
        <v>SE-000268407</v>
      </c>
      <c r="D1330" s="1">
        <v>45915.591122685182</v>
      </c>
      <c r="E1330" s="2">
        <v>1</v>
      </c>
      <c r="F1330" s="2">
        <v>1</v>
      </c>
      <c r="G1330" s="2">
        <v>1</v>
      </c>
      <c r="H1330" s="1">
        <v>45915.593425925923</v>
      </c>
      <c r="I1330" s="2">
        <v>2</v>
      </c>
      <c r="J1330" s="1">
        <v>45915.37976851852</v>
      </c>
    </row>
    <row r="1331" spans="1:10" x14ac:dyDescent="0.2">
      <c r="A1331" s="4" t="s">
        <v>1</v>
      </c>
      <c r="B1331" s="3" t="str">
        <f>HYPERLINK("https://otsuka-europe-crm.veevavault.com/ui/#object/approved_document__v/V5OZ025E82TFUPI", "Spain - HCP Survey Email - June 2025")</f>
        <v>Spain - HCP Survey Email - June 2025</v>
      </c>
      <c r="C1331" s="3" t="str">
        <f>HYPERLINK("https://otsuka-europe-crm.veevavault.com/ui/#object/sent_email__v/VBLZ025E82GMYK2", "SE-000268408")</f>
        <v>SE-000268408</v>
      </c>
      <c r="D1331" s="1" t="s">
        <v>0</v>
      </c>
      <c r="E1331" s="2">
        <v>0</v>
      </c>
      <c r="F1331" s="2">
        <v>0</v>
      </c>
      <c r="G1331" s="2">
        <v>0</v>
      </c>
      <c r="H1331" s="1" t="s">
        <v>0</v>
      </c>
      <c r="I1331" s="2">
        <v>0</v>
      </c>
      <c r="J1331" s="1">
        <v>45915.377789351849</v>
      </c>
    </row>
    <row r="1332" spans="1:10" x14ac:dyDescent="0.2">
      <c r="A1332" s="4" t="s">
        <v>1</v>
      </c>
      <c r="B1332" s="3" t="str">
        <f>HYPERLINK("https://otsuka-europe-crm.veevavault.com/ui/#object/approved_document__v/V5OZ025E82TFUPI", "Spain - HCP Survey Email - June 2025")</f>
        <v>Spain - HCP Survey Email - June 2025</v>
      </c>
      <c r="C1332" s="3" t="str">
        <f>HYPERLINK("https://otsuka-europe-crm.veevavault.com/ui/#object/sent_email__v/VBLZ025E82GMYK3", "SE-000268409")</f>
        <v>SE-000268409</v>
      </c>
      <c r="D1332" s="1" t="s">
        <v>0</v>
      </c>
      <c r="E1332" s="2">
        <v>0</v>
      </c>
      <c r="F1332" s="2">
        <v>0</v>
      </c>
      <c r="G1332" s="2">
        <v>0</v>
      </c>
      <c r="H1332" s="1" t="s">
        <v>0</v>
      </c>
      <c r="I1332" s="2">
        <v>0</v>
      </c>
      <c r="J1332" s="1">
        <v>45915.377685185187</v>
      </c>
    </row>
    <row r="1333" spans="1:10" x14ac:dyDescent="0.2">
      <c r="A1333" s="4" t="s">
        <v>1</v>
      </c>
      <c r="B1333" s="3" t="str">
        <f>HYPERLINK("https://otsuka-europe-crm.veevavault.com/ui/#object/approved_document__v/V5OZ025E82TFUPI", "Spain - HCP Survey Email - June 2025")</f>
        <v>Spain - HCP Survey Email - June 2025</v>
      </c>
      <c r="C1333" s="3" t="str">
        <f>HYPERLINK("https://otsuka-europe-crm.veevavault.com/ui/#object/sent_email__v/VBLZ025E82GMYK4", "SE-000268410")</f>
        <v>SE-000268410</v>
      </c>
      <c r="D1333" s="1">
        <v>45915.618900462963</v>
      </c>
      <c r="E1333" s="2">
        <v>1</v>
      </c>
      <c r="F1333" s="2">
        <v>1</v>
      </c>
      <c r="G1333" s="2">
        <v>0</v>
      </c>
      <c r="H1333" s="1" t="s">
        <v>0</v>
      </c>
      <c r="I1333" s="2">
        <v>0</v>
      </c>
      <c r="J1333" s="1">
        <v>45915.378009259257</v>
      </c>
    </row>
    <row r="1334" spans="1:10" x14ac:dyDescent="0.2">
      <c r="A1334" s="4" t="s">
        <v>1</v>
      </c>
      <c r="B1334" s="3" t="str">
        <f>HYPERLINK("https://otsuka-europe-crm.veevavault.com/ui/#object/approved_document__v/V5OZ025E82TFUPI", "Spain - HCP Survey Email - June 2025")</f>
        <v>Spain - HCP Survey Email - June 2025</v>
      </c>
      <c r="C1334" s="3" t="str">
        <f>HYPERLINK("https://otsuka-europe-crm.veevavault.com/ui/#object/sent_email__v/VBLZ025E82GMYK5", "SE-000268411")</f>
        <v>SE-000268411</v>
      </c>
      <c r="D1334" s="1" t="s">
        <v>0</v>
      </c>
      <c r="E1334" s="2">
        <v>0</v>
      </c>
      <c r="F1334" s="2">
        <v>0</v>
      </c>
      <c r="G1334" s="2">
        <v>0</v>
      </c>
      <c r="H1334" s="1" t="s">
        <v>0</v>
      </c>
      <c r="I1334" s="2">
        <v>0</v>
      </c>
      <c r="J1334" s="1">
        <v>45915.379062499997</v>
      </c>
    </row>
    <row r="1335" spans="1:10" x14ac:dyDescent="0.2">
      <c r="A1335" s="4" t="s">
        <v>1</v>
      </c>
      <c r="B1335" s="3" t="str">
        <f>HYPERLINK("https://otsuka-europe-crm.veevavault.com/ui/#object/approved_document__v/V5OZ025E82TFUPI", "Spain - HCP Survey Email - June 2025")</f>
        <v>Spain - HCP Survey Email - June 2025</v>
      </c>
      <c r="C1335" s="3" t="str">
        <f>HYPERLINK("https://otsuka-europe-crm.veevavault.com/ui/#object/sent_email__v/VBLZ025E82GMYK6", "SE-000268412")</f>
        <v>SE-000268412</v>
      </c>
      <c r="D1335" s="1">
        <v>45915.817476851851</v>
      </c>
      <c r="E1335" s="2">
        <v>1</v>
      </c>
      <c r="F1335" s="2">
        <v>1</v>
      </c>
      <c r="G1335" s="2">
        <v>0</v>
      </c>
      <c r="H1335" s="1" t="s">
        <v>0</v>
      </c>
      <c r="I1335" s="2">
        <v>0</v>
      </c>
      <c r="J1335" s="1">
        <v>45915.379664351851</v>
      </c>
    </row>
    <row r="1336" spans="1:10" x14ac:dyDescent="0.2">
      <c r="A1336" s="4" t="s">
        <v>1</v>
      </c>
      <c r="B1336" s="3" t="str">
        <f>HYPERLINK("https://otsuka-europe-crm.veevavault.com/ui/#object/approved_document__v/V5OZ025E82TFUPI", "Spain - HCP Survey Email - June 2025")</f>
        <v>Spain - HCP Survey Email - June 2025</v>
      </c>
      <c r="C1336" s="3" t="str">
        <f>HYPERLINK("https://otsuka-europe-crm.veevavault.com/ui/#object/sent_email__v/VBLZ025E82GMYK7", "SE-000268413")</f>
        <v>SE-000268413</v>
      </c>
      <c r="D1336" s="1">
        <v>45991.580266203702</v>
      </c>
      <c r="E1336" s="2">
        <v>1</v>
      </c>
      <c r="F1336" s="2">
        <v>2</v>
      </c>
      <c r="G1336" s="2">
        <v>1</v>
      </c>
      <c r="H1336" s="1">
        <v>45916.273252314815</v>
      </c>
      <c r="I1336" s="2">
        <v>1</v>
      </c>
      <c r="J1336" s="1">
        <v>45915.379189814812</v>
      </c>
    </row>
    <row r="1337" spans="1:10" x14ac:dyDescent="0.2">
      <c r="A1337" s="4" t="s">
        <v>1</v>
      </c>
      <c r="B1337" s="3" t="str">
        <f>HYPERLINK("https://otsuka-europe-crm.veevavault.com/ui/#object/approved_document__v/V5OZ025E82TFUPI", "Spain - HCP Survey Email - June 2025")</f>
        <v>Spain - HCP Survey Email - June 2025</v>
      </c>
      <c r="C1337" s="3" t="str">
        <f>HYPERLINK("https://otsuka-europe-crm.veevavault.com/ui/#object/sent_email__v/VBLZ025E82GMYK8", "SE-000268414")</f>
        <v>SE-000268414</v>
      </c>
      <c r="D1337" s="1">
        <v>45915.383530092593</v>
      </c>
      <c r="E1337" s="2">
        <v>1</v>
      </c>
      <c r="F1337" s="2">
        <v>1</v>
      </c>
      <c r="G1337" s="2">
        <v>1</v>
      </c>
      <c r="H1337" s="1">
        <v>45915.383530092593</v>
      </c>
      <c r="I1337" s="2">
        <v>1</v>
      </c>
      <c r="J1337" s="1">
        <v>45915.377789351849</v>
      </c>
    </row>
    <row r="1338" spans="1:10" x14ac:dyDescent="0.2">
      <c r="A1338" s="4" t="s">
        <v>1</v>
      </c>
      <c r="B1338" s="3" t="str">
        <f>HYPERLINK("https://otsuka-europe-crm.veevavault.com/ui/#object/approved_document__v/V5OZ025E82TFUPI", "Spain - HCP Survey Email - June 2025")</f>
        <v>Spain - HCP Survey Email - June 2025</v>
      </c>
      <c r="C1338" s="3" t="str">
        <f>HYPERLINK("https://otsuka-europe-crm.veevavault.com/ui/#object/sent_email__v/VBLZ025E82GMYK9", "SE-000268415")</f>
        <v>SE-000268415</v>
      </c>
      <c r="D1338" s="1" t="s">
        <v>0</v>
      </c>
      <c r="E1338" s="2">
        <v>0</v>
      </c>
      <c r="F1338" s="2">
        <v>0</v>
      </c>
      <c r="G1338" s="2">
        <v>0</v>
      </c>
      <c r="H1338" s="1" t="s">
        <v>0</v>
      </c>
      <c r="I1338" s="2">
        <v>0</v>
      </c>
      <c r="J1338" s="1">
        <v>45915.378217592595</v>
      </c>
    </row>
    <row r="1339" spans="1:10" x14ac:dyDescent="0.2">
      <c r="A1339" s="4" t="s">
        <v>1</v>
      </c>
      <c r="B1339" s="3" t="str">
        <f>HYPERLINK("https://otsuka-europe-crm.veevavault.com/ui/#object/approved_document__v/V5OZ025E82TFUPI", "Spain - HCP Survey Email - June 2025")</f>
        <v>Spain - HCP Survey Email - June 2025</v>
      </c>
      <c r="C1339" s="3" t="str">
        <f>HYPERLINK("https://otsuka-europe-crm.veevavault.com/ui/#object/sent_email__v/VBLZ025E82GMYKA", "SE-000268416")</f>
        <v>SE-000268416</v>
      </c>
      <c r="D1339" s="1" t="s">
        <v>0</v>
      </c>
      <c r="E1339" s="2">
        <v>0</v>
      </c>
      <c r="F1339" s="2">
        <v>0</v>
      </c>
      <c r="G1339" s="2">
        <v>0</v>
      </c>
      <c r="H1339" s="1" t="s">
        <v>0</v>
      </c>
      <c r="I1339" s="2">
        <v>0</v>
      </c>
      <c r="J1339" s="1">
        <v>45915.378067129626</v>
      </c>
    </row>
    <row r="1340" spans="1:10" x14ac:dyDescent="0.2">
      <c r="A1340" s="4" t="s">
        <v>1</v>
      </c>
      <c r="B1340" s="3" t="str">
        <f>HYPERLINK("https://otsuka-europe-crm.veevavault.com/ui/#object/approved_document__v/V5OZ025E82TFUPI", "Spain - HCP Survey Email - June 2025")</f>
        <v>Spain - HCP Survey Email - June 2025</v>
      </c>
      <c r="C1340" s="3" t="str">
        <f>HYPERLINK("https://otsuka-europe-crm.veevavault.com/ui/#object/sent_email__v/VBLZ025E82GMYKB", "SE-000268417")</f>
        <v>SE-000268417</v>
      </c>
      <c r="D1340" s="1">
        <v>45916.030138888891</v>
      </c>
      <c r="E1340" s="2">
        <v>1</v>
      </c>
      <c r="F1340" s="2">
        <v>3</v>
      </c>
      <c r="G1340" s="2">
        <v>0</v>
      </c>
      <c r="H1340" s="1" t="s">
        <v>0</v>
      </c>
      <c r="I1340" s="2">
        <v>0</v>
      </c>
      <c r="J1340" s="1">
        <v>45915.378634259258</v>
      </c>
    </row>
    <row r="1341" spans="1:10" x14ac:dyDescent="0.2">
      <c r="A1341" s="4" t="s">
        <v>1</v>
      </c>
      <c r="B1341" s="3" t="str">
        <f>HYPERLINK("https://otsuka-europe-crm.veevavault.com/ui/#object/approved_document__v/V5OZ025E82TFUPI", "Spain - HCP Survey Email - June 2025")</f>
        <v>Spain - HCP Survey Email - June 2025</v>
      </c>
      <c r="C1341" s="3" t="str">
        <f>HYPERLINK("https://otsuka-europe-crm.veevavault.com/ui/#object/sent_email__v/VBLZ025E82GMYKC", "SE-000268418")</f>
        <v>SE-000268418</v>
      </c>
      <c r="D1341" s="1">
        <v>45915.383414351854</v>
      </c>
      <c r="E1341" s="2">
        <v>1</v>
      </c>
      <c r="F1341" s="2">
        <v>2</v>
      </c>
      <c r="G1341" s="2">
        <v>1</v>
      </c>
      <c r="H1341" s="1">
        <v>45915.383842592593</v>
      </c>
      <c r="I1341" s="2">
        <v>1</v>
      </c>
      <c r="J1341" s="1">
        <v>45915.379930555559</v>
      </c>
    </row>
    <row r="1342" spans="1:10" x14ac:dyDescent="0.2">
      <c r="A1342" s="4" t="s">
        <v>1</v>
      </c>
      <c r="B1342" s="3" t="str">
        <f>HYPERLINK("https://otsuka-europe-crm.veevavault.com/ui/#object/approved_document__v/V5OZ025E82TFUPI", "Spain - HCP Survey Email - June 2025")</f>
        <v>Spain - HCP Survey Email - June 2025</v>
      </c>
      <c r="C1342" s="3" t="str">
        <f>HYPERLINK("https://otsuka-europe-crm.veevavault.com/ui/#object/sent_email__v/VBLZ025E82GMYKD", "SE-000268419")</f>
        <v>SE-000268419</v>
      </c>
      <c r="D1342" s="1" t="s">
        <v>0</v>
      </c>
      <c r="E1342" s="2">
        <v>0</v>
      </c>
      <c r="F1342" s="2">
        <v>0</v>
      </c>
      <c r="G1342" s="2">
        <v>0</v>
      </c>
      <c r="H1342" s="1" t="s">
        <v>0</v>
      </c>
      <c r="I1342" s="2">
        <v>0</v>
      </c>
      <c r="J1342" s="1">
        <v>45915.37771990741</v>
      </c>
    </row>
    <row r="1343" spans="1:10" x14ac:dyDescent="0.2">
      <c r="A1343" s="4" t="s">
        <v>1</v>
      </c>
      <c r="B1343" s="3" t="str">
        <f>HYPERLINK("https://otsuka-europe-crm.veevavault.com/ui/#object/approved_document__v/V5OZ025E82TFUPI", "Spain - HCP Survey Email - June 2025")</f>
        <v>Spain - HCP Survey Email - June 2025</v>
      </c>
      <c r="C1343" s="3" t="str">
        <f>HYPERLINK("https://otsuka-europe-crm.veevavault.com/ui/#object/sent_email__v/VBLZ025E82GMYKE", "SE-000268420")</f>
        <v>SE-000268420</v>
      </c>
      <c r="D1343" s="1">
        <v>45922.790949074071</v>
      </c>
      <c r="E1343" s="2">
        <v>1</v>
      </c>
      <c r="F1343" s="2">
        <v>1</v>
      </c>
      <c r="G1343" s="2">
        <v>0</v>
      </c>
      <c r="H1343" s="1" t="s">
        <v>0</v>
      </c>
      <c r="I1343" s="2">
        <v>0</v>
      </c>
      <c r="J1343" s="1">
        <v>45915.377685185187</v>
      </c>
    </row>
    <row r="1344" spans="1:10" x14ac:dyDescent="0.2">
      <c r="A1344" s="4" t="s">
        <v>1</v>
      </c>
      <c r="B1344" s="3" t="str">
        <f>HYPERLINK("https://otsuka-europe-crm.veevavault.com/ui/#object/approved_document__v/V5OZ025E82TFUPI", "Spain - HCP Survey Email - June 2025")</f>
        <v>Spain - HCP Survey Email - June 2025</v>
      </c>
      <c r="C1344" s="3" t="str">
        <f>HYPERLINK("https://otsuka-europe-crm.veevavault.com/ui/#object/sent_email__v/VBLZ025E82GMYKF", "SE-000268421")</f>
        <v>SE-000268421</v>
      </c>
      <c r="D1344" s="1">
        <v>45915.657106481478</v>
      </c>
      <c r="E1344" s="2">
        <v>1</v>
      </c>
      <c r="F1344" s="2">
        <v>2</v>
      </c>
      <c r="G1344" s="2">
        <v>1</v>
      </c>
      <c r="H1344" s="1">
        <v>45915.391597222224</v>
      </c>
      <c r="I1344" s="2">
        <v>1</v>
      </c>
      <c r="J1344" s="1">
        <v>45915.378032407411</v>
      </c>
    </row>
    <row r="1345" spans="1:10" x14ac:dyDescent="0.2">
      <c r="A1345" s="4" t="s">
        <v>1</v>
      </c>
      <c r="B1345" s="3" t="str">
        <f>HYPERLINK("https://otsuka-europe-crm.veevavault.com/ui/#object/approved_document__v/V5OZ025E82TFUPI", "Spain - HCP Survey Email - June 2025")</f>
        <v>Spain - HCP Survey Email - June 2025</v>
      </c>
      <c r="C1345" s="3" t="str">
        <f>HYPERLINK("https://otsuka-europe-crm.veevavault.com/ui/#object/sent_email__v/VBLZ025E82GMYKG", "SE-000268422")</f>
        <v>SE-000268422</v>
      </c>
      <c r="D1345" s="1">
        <v>45916.980717592596</v>
      </c>
      <c r="E1345" s="2">
        <v>1</v>
      </c>
      <c r="F1345" s="2">
        <v>1</v>
      </c>
      <c r="G1345" s="2">
        <v>0</v>
      </c>
      <c r="H1345" s="1" t="s">
        <v>0</v>
      </c>
      <c r="I1345" s="2">
        <v>0</v>
      </c>
      <c r="J1345" s="1">
        <v>45915.378888888888</v>
      </c>
    </row>
    <row r="1346" spans="1:10" x14ac:dyDescent="0.2">
      <c r="A1346" s="4" t="s">
        <v>1</v>
      </c>
      <c r="B1346" s="3" t="str">
        <f>HYPERLINK("https://otsuka-europe-crm.veevavault.com/ui/#object/approved_document__v/V5OZ025E82TFUPI", "Spain - HCP Survey Email - June 2025")</f>
        <v>Spain - HCP Survey Email - June 2025</v>
      </c>
      <c r="C1346" s="3" t="str">
        <f>HYPERLINK("https://otsuka-europe-crm.veevavault.com/ui/#object/sent_email__v/VBLZ025E82GMYKH", "SE-000268423")</f>
        <v>SE-000268423</v>
      </c>
      <c r="D1346" s="1">
        <v>45915.379780092589</v>
      </c>
      <c r="E1346" s="2">
        <v>1</v>
      </c>
      <c r="F1346" s="2">
        <v>1</v>
      </c>
      <c r="G1346" s="2">
        <v>0</v>
      </c>
      <c r="H1346" s="1" t="s">
        <v>0</v>
      </c>
      <c r="I1346" s="2">
        <v>0</v>
      </c>
      <c r="J1346" s="1">
        <v>45915.379699074074</v>
      </c>
    </row>
    <row r="1347" spans="1:10" x14ac:dyDescent="0.2">
      <c r="A1347" s="4" t="s">
        <v>1</v>
      </c>
      <c r="B1347" s="3" t="str">
        <f>HYPERLINK("https://otsuka-europe-crm.veevavault.com/ui/#object/approved_document__v/V5OZ025E82TFUPI", "Spain - HCP Survey Email - June 2025")</f>
        <v>Spain - HCP Survey Email - June 2025</v>
      </c>
      <c r="C1347" s="3" t="str">
        <f>HYPERLINK("https://otsuka-europe-crm.veevavault.com/ui/#object/sent_email__v/VBLZ025E82GMYKI", "SE-000268424")</f>
        <v>SE-000268424</v>
      </c>
      <c r="D1347" s="1" t="s">
        <v>0</v>
      </c>
      <c r="E1347" s="2">
        <v>0</v>
      </c>
      <c r="F1347" s="2">
        <v>0</v>
      </c>
      <c r="G1347" s="2">
        <v>0</v>
      </c>
      <c r="H1347" s="1" t="s">
        <v>0</v>
      </c>
      <c r="I1347" s="2">
        <v>0</v>
      </c>
      <c r="J1347" s="1">
        <v>45915.379062499997</v>
      </c>
    </row>
    <row r="1348" spans="1:10" x14ac:dyDescent="0.2">
      <c r="A1348" s="4" t="s">
        <v>1</v>
      </c>
      <c r="B1348" s="3" t="str">
        <f>HYPERLINK("https://otsuka-europe-crm.veevavault.com/ui/#object/approved_document__v/V5OZ025E82TFUPI", "Spain - HCP Survey Email - June 2025")</f>
        <v>Spain - HCP Survey Email - June 2025</v>
      </c>
      <c r="C1348" s="3" t="str">
        <f>HYPERLINK("https://otsuka-europe-crm.veevavault.com/ui/#object/sent_email__v/VBLZ025E82GMYKJ", "SE-000268425")</f>
        <v>SE-000268425</v>
      </c>
      <c r="D1348" s="1" t="s">
        <v>0</v>
      </c>
      <c r="E1348" s="2">
        <v>0</v>
      </c>
      <c r="F1348" s="2">
        <v>0</v>
      </c>
      <c r="G1348" s="2">
        <v>0</v>
      </c>
      <c r="H1348" s="1" t="s">
        <v>0</v>
      </c>
      <c r="I1348" s="2">
        <v>0</v>
      </c>
      <c r="J1348" s="1">
        <v>45915.377881944441</v>
      </c>
    </row>
    <row r="1349" spans="1:10" x14ac:dyDescent="0.2">
      <c r="A1349" s="4" t="s">
        <v>1</v>
      </c>
      <c r="B1349" s="3" t="str">
        <f>HYPERLINK("https://otsuka-europe-crm.veevavault.com/ui/#object/approved_document__v/V5OZ025E82TFUPI", "Spain - HCP Survey Email - June 2025")</f>
        <v>Spain - HCP Survey Email - June 2025</v>
      </c>
      <c r="C1349" s="3" t="str">
        <f>HYPERLINK("https://otsuka-europe-crm.veevavault.com/ui/#object/sent_email__v/VBLZ025E82GMYKK", "SE-000268426")</f>
        <v>SE-000268426</v>
      </c>
      <c r="D1349" s="1" t="s">
        <v>0</v>
      </c>
      <c r="E1349" s="2">
        <v>0</v>
      </c>
      <c r="F1349" s="2">
        <v>0</v>
      </c>
      <c r="G1349" s="2">
        <v>0</v>
      </c>
      <c r="H1349" s="1" t="s">
        <v>0</v>
      </c>
      <c r="I1349" s="2">
        <v>0</v>
      </c>
      <c r="J1349" s="1">
        <v>45915.378182870372</v>
      </c>
    </row>
    <row r="1350" spans="1:10" x14ac:dyDescent="0.2">
      <c r="A1350" s="4" t="s">
        <v>1</v>
      </c>
      <c r="B1350" s="3" t="str">
        <f>HYPERLINK("https://otsuka-europe-crm.veevavault.com/ui/#object/approved_document__v/V5OZ025E82TFUPI", "Spain - HCP Survey Email - June 2025")</f>
        <v>Spain - HCP Survey Email - June 2025</v>
      </c>
      <c r="C1350" s="3" t="str">
        <f>HYPERLINK("https://otsuka-europe-crm.veevavault.com/ui/#object/sent_email__v/VBLZ025E82GMYKL", "SE-000268427")</f>
        <v>SE-000268427</v>
      </c>
      <c r="D1350" s="1" t="s">
        <v>0</v>
      </c>
      <c r="E1350" s="2">
        <v>0</v>
      </c>
      <c r="F1350" s="2">
        <v>0</v>
      </c>
      <c r="G1350" s="2">
        <v>0</v>
      </c>
      <c r="H1350" s="1" t="s">
        <v>0</v>
      </c>
      <c r="I1350" s="2">
        <v>0</v>
      </c>
      <c r="J1350" s="1">
        <v>45915.37804398148</v>
      </c>
    </row>
    <row r="1351" spans="1:10" x14ac:dyDescent="0.2">
      <c r="A1351" s="4" t="s">
        <v>1</v>
      </c>
      <c r="B1351" s="3" t="str">
        <f>HYPERLINK("https://otsuka-europe-crm.veevavault.com/ui/#object/approved_document__v/V5OZ025E82TFUPI", "Spain - HCP Survey Email - June 2025")</f>
        <v>Spain - HCP Survey Email - June 2025</v>
      </c>
      <c r="C1351" s="3" t="str">
        <f>HYPERLINK("https://otsuka-europe-crm.veevavault.com/ui/#object/sent_email__v/VBLZ025E82GMYKM", "SE-000268428")</f>
        <v>SE-000268428</v>
      </c>
      <c r="D1351" s="1" t="s">
        <v>0</v>
      </c>
      <c r="E1351" s="2">
        <v>0</v>
      </c>
      <c r="F1351" s="2">
        <v>0</v>
      </c>
      <c r="G1351" s="2">
        <v>0</v>
      </c>
      <c r="H1351" s="1" t="s">
        <v>0</v>
      </c>
      <c r="I1351" s="2">
        <v>0</v>
      </c>
      <c r="J1351" s="1">
        <v>45915.378634259258</v>
      </c>
    </row>
    <row r="1352" spans="1:10" x14ac:dyDescent="0.2">
      <c r="A1352" s="4" t="s">
        <v>1</v>
      </c>
      <c r="B1352" s="3" t="str">
        <f>HYPERLINK("https://otsuka-europe-crm.veevavault.com/ui/#object/approved_document__v/V5OZ025E82TFUPI", "Spain - HCP Survey Email - June 2025")</f>
        <v>Spain - HCP Survey Email - June 2025</v>
      </c>
      <c r="C1352" s="3" t="str">
        <f>HYPERLINK("https://otsuka-europe-crm.veevavault.com/ui/#object/sent_email__v/VBLZ025E82GMYKN", "SE-000268429")</f>
        <v>SE-000268429</v>
      </c>
      <c r="D1352" s="1" t="s">
        <v>0</v>
      </c>
      <c r="E1352" s="2">
        <v>0</v>
      </c>
      <c r="F1352" s="2">
        <v>0</v>
      </c>
      <c r="G1352" s="2">
        <v>0</v>
      </c>
      <c r="H1352" s="1" t="s">
        <v>0</v>
      </c>
      <c r="I1352" s="2">
        <v>0</v>
      </c>
      <c r="J1352" s="1">
        <v>45915.379965277774</v>
      </c>
    </row>
    <row r="1353" spans="1:10" x14ac:dyDescent="0.2">
      <c r="A1353" s="4" t="s">
        <v>1</v>
      </c>
      <c r="B1353" s="3" t="str">
        <f>HYPERLINK("https://otsuka-europe-crm.veevavault.com/ui/#object/approved_document__v/V5OZ025E82TFUPI", "Spain - HCP Survey Email - June 2025")</f>
        <v>Spain - HCP Survey Email - June 2025</v>
      </c>
      <c r="C1353" s="3" t="str">
        <f>HYPERLINK("https://otsuka-europe-crm.veevavault.com/ui/#object/sent_email__v/VBLZ025E82GMYKO", "SE-000268430")</f>
        <v>SE-000268430</v>
      </c>
      <c r="D1353" s="1" t="s">
        <v>0</v>
      </c>
      <c r="E1353" s="2">
        <v>0</v>
      </c>
      <c r="F1353" s="2">
        <v>0</v>
      </c>
      <c r="G1353" s="2">
        <v>0</v>
      </c>
      <c r="H1353" s="1" t="s">
        <v>0</v>
      </c>
      <c r="I1353" s="2">
        <v>0</v>
      </c>
      <c r="J1353" s="1">
        <v>45915.377789351849</v>
      </c>
    </row>
    <row r="1354" spans="1:10" x14ac:dyDescent="0.2">
      <c r="A1354" s="4" t="s">
        <v>1</v>
      </c>
      <c r="B1354" s="3" t="str">
        <f>HYPERLINK("https://otsuka-europe-crm.veevavault.com/ui/#object/approved_document__v/V5OZ025E82TFUPI", "Spain - HCP Survey Email - June 2025")</f>
        <v>Spain - HCP Survey Email - June 2025</v>
      </c>
      <c r="C1354" s="3" t="str">
        <f>HYPERLINK("https://otsuka-europe-crm.veevavault.com/ui/#object/sent_email__v/VBLZ025E82GMYKP", "SE-000268431")</f>
        <v>SE-000268431</v>
      </c>
      <c r="D1354" s="1">
        <v>45919.267372685186</v>
      </c>
      <c r="E1354" s="2">
        <v>1</v>
      </c>
      <c r="F1354" s="2">
        <v>4</v>
      </c>
      <c r="G1354" s="2">
        <v>0</v>
      </c>
      <c r="H1354" s="1" t="s">
        <v>0</v>
      </c>
      <c r="I1354" s="2">
        <v>0</v>
      </c>
      <c r="J1354" s="1">
        <v>45915.37767361111</v>
      </c>
    </row>
    <row r="1355" spans="1:10" x14ac:dyDescent="0.2">
      <c r="A1355" s="4" t="s">
        <v>1</v>
      </c>
      <c r="B1355" s="3" t="str">
        <f>HYPERLINK("https://otsuka-europe-crm.veevavault.com/ui/#object/approved_document__v/V5OZ025E82TFUPI", "Spain - HCP Survey Email - June 2025")</f>
        <v>Spain - HCP Survey Email - June 2025</v>
      </c>
      <c r="C1355" s="3" t="str">
        <f>HYPERLINK("https://otsuka-europe-crm.veevavault.com/ui/#object/sent_email__v/VBLZ025E82GMYKQ", "SE-000268432")</f>
        <v>SE-000268432</v>
      </c>
      <c r="D1355" s="1">
        <v>45915.895925925928</v>
      </c>
      <c r="E1355" s="2">
        <v>1</v>
      </c>
      <c r="F1355" s="2">
        <v>3</v>
      </c>
      <c r="G1355" s="2">
        <v>0</v>
      </c>
      <c r="H1355" s="1" t="s">
        <v>0</v>
      </c>
      <c r="I1355" s="2">
        <v>0</v>
      </c>
      <c r="J1355" s="1">
        <v>45915.378009259257</v>
      </c>
    </row>
    <row r="1356" spans="1:10" x14ac:dyDescent="0.2">
      <c r="A1356" s="4" t="s">
        <v>1</v>
      </c>
      <c r="B1356" s="3" t="str">
        <f>HYPERLINK("https://otsuka-europe-crm.veevavault.com/ui/#object/approved_document__v/V5OZ025E82TFUPI", "Spain - HCP Survey Email - June 2025")</f>
        <v>Spain - HCP Survey Email - June 2025</v>
      </c>
      <c r="C1356" s="3" t="str">
        <f>HYPERLINK("https://otsuka-europe-crm.veevavault.com/ui/#object/sent_email__v/VBLZ025E82GMYKR", "SE-000268433")</f>
        <v>SE-000268433</v>
      </c>
      <c r="D1356" s="1">
        <v>45935.779143518521</v>
      </c>
      <c r="E1356" s="2">
        <v>1</v>
      </c>
      <c r="F1356" s="2">
        <v>2</v>
      </c>
      <c r="G1356" s="2">
        <v>0</v>
      </c>
      <c r="H1356" s="1" t="s">
        <v>0</v>
      </c>
      <c r="I1356" s="2">
        <v>0</v>
      </c>
      <c r="J1356" s="1">
        <v>45915.379004629627</v>
      </c>
    </row>
    <row r="1357" spans="1:10" x14ac:dyDescent="0.2">
      <c r="A1357" s="4" t="s">
        <v>1</v>
      </c>
      <c r="B1357" s="3" t="str">
        <f>HYPERLINK("https://otsuka-europe-crm.veevavault.com/ui/#object/approved_document__v/V5OZ025E82TFUPI", "Spain - HCP Survey Email - June 2025")</f>
        <v>Spain - HCP Survey Email - June 2025</v>
      </c>
      <c r="C1357" s="3" t="str">
        <f>HYPERLINK("https://otsuka-europe-crm.veevavault.com/ui/#object/sent_email__v/VBLZ025E82GMYKS", "SE-000268434")</f>
        <v>SE-000268434</v>
      </c>
      <c r="D1357" s="1">
        <v>45915.718831018516</v>
      </c>
      <c r="E1357" s="2">
        <v>1</v>
      </c>
      <c r="F1357" s="2">
        <v>1</v>
      </c>
      <c r="G1357" s="2">
        <v>0</v>
      </c>
      <c r="H1357" s="1" t="s">
        <v>0</v>
      </c>
      <c r="I1357" s="2">
        <v>0</v>
      </c>
      <c r="J1357" s="1">
        <v>45915.379710648151</v>
      </c>
    </row>
    <row r="1358" spans="1:10" x14ac:dyDescent="0.2">
      <c r="A1358" s="4" t="s">
        <v>1</v>
      </c>
      <c r="B1358" s="3" t="str">
        <f>HYPERLINK("https://otsuka-europe-crm.veevavault.com/ui/#object/approved_document__v/V5OZ025E82TFUPI", "Spain - HCP Survey Email - June 2025")</f>
        <v>Spain - HCP Survey Email - June 2025</v>
      </c>
      <c r="C1358" s="3" t="str">
        <f>HYPERLINK("https://otsuka-europe-crm.veevavault.com/ui/#object/sent_email__v/VBLZ025E82GMYKT", "SE-000268435")</f>
        <v>SE-000268435</v>
      </c>
      <c r="D1358" s="1">
        <v>45918.722546296296</v>
      </c>
      <c r="E1358" s="2">
        <v>1</v>
      </c>
      <c r="F1358" s="2">
        <v>4</v>
      </c>
      <c r="G1358" s="2">
        <v>0</v>
      </c>
      <c r="H1358" s="1" t="s">
        <v>0</v>
      </c>
      <c r="I1358" s="2">
        <v>0</v>
      </c>
      <c r="J1358" s="1">
        <v>45915.37945601852</v>
      </c>
    </row>
    <row r="1359" spans="1:10" x14ac:dyDescent="0.2">
      <c r="A1359" s="4" t="s">
        <v>1</v>
      </c>
      <c r="B1359" s="3" t="str">
        <f>HYPERLINK("https://otsuka-europe-crm.veevavault.com/ui/#object/approved_document__v/V5OZ025E82TFUPI", "Spain - HCP Survey Email - June 2025")</f>
        <v>Spain - HCP Survey Email - June 2025</v>
      </c>
      <c r="C1359" s="3" t="str">
        <f>HYPERLINK("https://otsuka-europe-crm.veevavault.com/ui/#object/sent_email__v/VBLZ025E82GMYKU", "SE-000268436")</f>
        <v>SE-000268436</v>
      </c>
      <c r="D1359" s="1">
        <v>45915.578877314816</v>
      </c>
      <c r="E1359" s="2">
        <v>1</v>
      </c>
      <c r="F1359" s="2">
        <v>1</v>
      </c>
      <c r="G1359" s="2">
        <v>0</v>
      </c>
      <c r="H1359" s="1" t="s">
        <v>0</v>
      </c>
      <c r="I1359" s="2">
        <v>0</v>
      </c>
      <c r="J1359" s="1">
        <v>45915.377800925926</v>
      </c>
    </row>
    <row r="1360" spans="1:10" x14ac:dyDescent="0.2">
      <c r="A1360" s="4" t="s">
        <v>1</v>
      </c>
      <c r="B1360" s="3" t="str">
        <f>HYPERLINK("https://otsuka-europe-crm.veevavault.com/ui/#object/approved_document__v/V5OZ025E82TFUPI", "Spain - HCP Survey Email - June 2025")</f>
        <v>Spain - HCP Survey Email - June 2025</v>
      </c>
      <c r="C1360" s="3" t="str">
        <f>HYPERLINK("https://otsuka-europe-crm.veevavault.com/ui/#object/sent_email__v/VBLZ025E82GMYKV", "SE-000268437")</f>
        <v>SE-000268437</v>
      </c>
      <c r="D1360" s="1">
        <v>45916.340405092589</v>
      </c>
      <c r="E1360" s="2">
        <v>1</v>
      </c>
      <c r="F1360" s="2">
        <v>1</v>
      </c>
      <c r="G1360" s="2">
        <v>1</v>
      </c>
      <c r="H1360" s="1">
        <v>45916.341307870367</v>
      </c>
      <c r="I1360" s="2">
        <v>2</v>
      </c>
      <c r="J1360" s="1">
        <v>45915.378217592595</v>
      </c>
    </row>
    <row r="1361" spans="1:10" x14ac:dyDescent="0.2">
      <c r="A1361" s="4" t="s">
        <v>1</v>
      </c>
      <c r="B1361" s="3" t="str">
        <f>HYPERLINK("https://otsuka-europe-crm.veevavault.com/ui/#object/approved_document__v/V5OZ025E82TFUPI", "Spain - HCP Survey Email - June 2025")</f>
        <v>Spain - HCP Survey Email - June 2025</v>
      </c>
      <c r="C1361" s="3" t="str">
        <f>HYPERLINK("https://otsuka-europe-crm.veevavault.com/ui/#object/sent_email__v/VBLZ025E82GMYKW", "SE-000268438")</f>
        <v>SE-000268438</v>
      </c>
      <c r="D1361" s="1">
        <v>45966.682245370372</v>
      </c>
      <c r="E1361" s="2">
        <v>1</v>
      </c>
      <c r="F1361" s="2">
        <v>3</v>
      </c>
      <c r="G1361" s="2">
        <v>0</v>
      </c>
      <c r="H1361" s="1" t="s">
        <v>0</v>
      </c>
      <c r="I1361" s="2">
        <v>0</v>
      </c>
      <c r="J1361" s="1">
        <v>45915.378113425926</v>
      </c>
    </row>
    <row r="1362" spans="1:10" x14ac:dyDescent="0.2">
      <c r="A1362" s="4" t="s">
        <v>1</v>
      </c>
      <c r="B1362" s="3" t="str">
        <f>HYPERLINK("https://otsuka-europe-crm.veevavault.com/ui/#object/approved_document__v/V5OZ025E82TFUPI", "Spain - HCP Survey Email - June 2025")</f>
        <v>Spain - HCP Survey Email - June 2025</v>
      </c>
      <c r="C1362" s="3" t="str">
        <f>HYPERLINK("https://otsuka-europe-crm.veevavault.com/ui/#object/sent_email__v/VBLZ025E82GMYKX", "SE-000268439")</f>
        <v>SE-000268439</v>
      </c>
      <c r="D1362" s="1" t="s">
        <v>0</v>
      </c>
      <c r="E1362" s="2">
        <v>0</v>
      </c>
      <c r="F1362" s="2">
        <v>0</v>
      </c>
      <c r="G1362" s="2">
        <v>0</v>
      </c>
      <c r="H1362" s="1" t="s">
        <v>0</v>
      </c>
      <c r="I1362" s="2">
        <v>0</v>
      </c>
      <c r="J1362" s="1">
        <v>45915.378564814811</v>
      </c>
    </row>
    <row r="1363" spans="1:10" x14ac:dyDescent="0.2">
      <c r="A1363" s="4" t="s">
        <v>1</v>
      </c>
      <c r="B1363" s="3" t="str">
        <f>HYPERLINK("https://otsuka-europe-crm.veevavault.com/ui/#object/approved_document__v/V5OZ025E82TFUPI", "Spain - HCP Survey Email - June 2025")</f>
        <v>Spain - HCP Survey Email - June 2025</v>
      </c>
      <c r="C1363" s="3" t="str">
        <f>HYPERLINK("https://otsuka-europe-crm.veevavault.com/ui/#object/sent_email__v/VBLZ025E82GMYKY", "SE-000268440")</f>
        <v>SE-000268440</v>
      </c>
      <c r="D1363" s="1">
        <v>45915.386307870373</v>
      </c>
      <c r="E1363" s="2">
        <v>1</v>
      </c>
      <c r="F1363" s="2">
        <v>1</v>
      </c>
      <c r="G1363" s="2">
        <v>0</v>
      </c>
      <c r="H1363" s="1" t="s">
        <v>0</v>
      </c>
      <c r="I1363" s="2">
        <v>0</v>
      </c>
      <c r="J1363" s="1">
        <v>45915.37972222222</v>
      </c>
    </row>
    <row r="1364" spans="1:10" x14ac:dyDescent="0.2">
      <c r="A1364" s="4" t="s">
        <v>1</v>
      </c>
      <c r="B1364" s="3" t="str">
        <f>HYPERLINK("https://otsuka-europe-crm.veevavault.com/ui/#object/approved_document__v/V5OZ025E82TFUPI", "Spain - HCP Survey Email - June 2025")</f>
        <v>Spain - HCP Survey Email - June 2025</v>
      </c>
      <c r="C1364" s="3" t="str">
        <f>HYPERLINK("https://otsuka-europe-crm.veevavault.com/ui/#object/sent_email__v/VBLZ025E82GMYKZ", "SE-000268441")</f>
        <v>SE-000268441</v>
      </c>
      <c r="D1364" s="1">
        <v>45916.986712962964</v>
      </c>
      <c r="E1364" s="2">
        <v>1</v>
      </c>
      <c r="F1364" s="2">
        <v>1</v>
      </c>
      <c r="G1364" s="2">
        <v>0</v>
      </c>
      <c r="H1364" s="1" t="s">
        <v>0</v>
      </c>
      <c r="I1364" s="2">
        <v>0</v>
      </c>
      <c r="J1364" s="1">
        <v>45915.377743055556</v>
      </c>
    </row>
    <row r="1365" spans="1:10" x14ac:dyDescent="0.2">
      <c r="A1365" s="4" t="s">
        <v>1</v>
      </c>
      <c r="B1365" s="3" t="str">
        <f>HYPERLINK("https://otsuka-europe-crm.veevavault.com/ui/#object/approved_document__v/V5OZ025E82TFUPI", "Spain - HCP Survey Email - June 2025")</f>
        <v>Spain - HCP Survey Email - June 2025</v>
      </c>
      <c r="C1365" s="3" t="str">
        <f>HYPERLINK("https://otsuka-europe-crm.veevavault.com/ui/#object/sent_email__v/VBLZ025E82GMYL0", "SE-000268442")</f>
        <v>SE-000268442</v>
      </c>
      <c r="D1365" s="1">
        <v>45915.592650462961</v>
      </c>
      <c r="E1365" s="2">
        <v>1</v>
      </c>
      <c r="F1365" s="2">
        <v>1</v>
      </c>
      <c r="G1365" s="2">
        <v>0</v>
      </c>
      <c r="H1365" s="1" t="s">
        <v>0</v>
      </c>
      <c r="I1365" s="2">
        <v>0</v>
      </c>
      <c r="J1365" s="1">
        <v>45915.378101851849</v>
      </c>
    </row>
    <row r="1366" spans="1:10" x14ac:dyDescent="0.2">
      <c r="A1366" s="4" t="s">
        <v>1</v>
      </c>
      <c r="B1366" s="3" t="str">
        <f>HYPERLINK("https://otsuka-europe-crm.veevavault.com/ui/#object/approved_document__v/V5OZ025E82TFUPI", "Spain - HCP Survey Email - June 2025")</f>
        <v>Spain - HCP Survey Email - June 2025</v>
      </c>
      <c r="C1366" s="3" t="str">
        <f>HYPERLINK("https://otsuka-europe-crm.veevavault.com/ui/#object/sent_email__v/VBLZ025E82GMYL1", "SE-000268443")</f>
        <v>SE-000268443</v>
      </c>
      <c r="D1366" s="1">
        <v>45915.379201388889</v>
      </c>
      <c r="E1366" s="2">
        <v>1</v>
      </c>
      <c r="F1366" s="2">
        <v>1</v>
      </c>
      <c r="G1366" s="2">
        <v>0</v>
      </c>
      <c r="H1366" s="1" t="s">
        <v>0</v>
      </c>
      <c r="I1366" s="2">
        <v>0</v>
      </c>
      <c r="J1366" s="1">
        <v>45915.378599537034</v>
      </c>
    </row>
    <row r="1367" spans="1:10" x14ac:dyDescent="0.2">
      <c r="A1367" s="4" t="s">
        <v>1</v>
      </c>
      <c r="B1367" s="3" t="str">
        <f>HYPERLINK("https://otsuka-europe-crm.veevavault.com/ui/#object/approved_document__v/V5OZ025E82TFUPI", "Spain - HCP Survey Email - June 2025")</f>
        <v>Spain - HCP Survey Email - June 2025</v>
      </c>
      <c r="C1367" s="3" t="str">
        <f>HYPERLINK("https://otsuka-europe-crm.veevavault.com/ui/#object/sent_email__v/VBLZ025E82GMYL2", "SE-000268444")</f>
        <v>SE-000268444</v>
      </c>
      <c r="D1367" s="1" t="s">
        <v>0</v>
      </c>
      <c r="E1367" s="2">
        <v>0</v>
      </c>
      <c r="F1367" s="2">
        <v>0</v>
      </c>
      <c r="G1367" s="2">
        <v>0</v>
      </c>
      <c r="H1367" s="1" t="s">
        <v>0</v>
      </c>
      <c r="I1367" s="2">
        <v>0</v>
      </c>
      <c r="J1367" s="1">
        <v>45915.379791666666</v>
      </c>
    </row>
    <row r="1368" spans="1:10" x14ac:dyDescent="0.2">
      <c r="A1368" s="4" t="s">
        <v>1</v>
      </c>
      <c r="B1368" s="3" t="str">
        <f>HYPERLINK("https://otsuka-europe-crm.veevavault.com/ui/#object/approved_document__v/V5OZ025E82TFUPI", "Spain - HCP Survey Email - June 2025")</f>
        <v>Spain - HCP Survey Email - June 2025</v>
      </c>
      <c r="C1368" s="3" t="str">
        <f>HYPERLINK("https://otsuka-europe-crm.veevavault.com/ui/#object/sent_email__v/VBLZ025E82GMYL3", "SE-000268445")</f>
        <v>SE-000268445</v>
      </c>
      <c r="D1368" s="1">
        <v>45915.495497685188</v>
      </c>
      <c r="E1368" s="2">
        <v>1</v>
      </c>
      <c r="F1368" s="2">
        <v>1</v>
      </c>
      <c r="G1368" s="2">
        <v>0</v>
      </c>
      <c r="H1368" s="1" t="s">
        <v>0</v>
      </c>
      <c r="I1368" s="2">
        <v>0</v>
      </c>
      <c r="J1368" s="1">
        <v>45915.377800925926</v>
      </c>
    </row>
    <row r="1369" spans="1:10" x14ac:dyDescent="0.2">
      <c r="A1369" s="4" t="s">
        <v>1</v>
      </c>
      <c r="B1369" s="3" t="str">
        <f>HYPERLINK("https://otsuka-europe-crm.veevavault.com/ui/#object/approved_document__v/V5OZ025E82TFUPI", "Spain - HCP Survey Email - June 2025")</f>
        <v>Spain - HCP Survey Email - June 2025</v>
      </c>
      <c r="C1369" s="3" t="str">
        <f>HYPERLINK("https://otsuka-europe-crm.veevavault.com/ui/#object/sent_email__v/VBLZ025E82GMYL4", "SE-000268446")</f>
        <v>SE-000268446</v>
      </c>
      <c r="D1369" s="1" t="s">
        <v>0</v>
      </c>
      <c r="E1369" s="2">
        <v>0</v>
      </c>
      <c r="F1369" s="2">
        <v>0</v>
      </c>
      <c r="G1369" s="2">
        <v>0</v>
      </c>
      <c r="H1369" s="1" t="s">
        <v>0</v>
      </c>
      <c r="I1369" s="2">
        <v>0</v>
      </c>
      <c r="J1369" s="1">
        <v>45915.377638888887</v>
      </c>
    </row>
    <row r="1370" spans="1:10" x14ac:dyDescent="0.2">
      <c r="A1370" s="4" t="s">
        <v>1</v>
      </c>
      <c r="B1370" s="3" t="str">
        <f>HYPERLINK("https://otsuka-europe-crm.veevavault.com/ui/#object/approved_document__v/V5OZ025E82TFUPI", "Spain - HCP Survey Email - June 2025")</f>
        <v>Spain - HCP Survey Email - June 2025</v>
      </c>
      <c r="C1370" s="3" t="str">
        <f>HYPERLINK("https://otsuka-europe-crm.veevavault.com/ui/#object/sent_email__v/VBLZ025E82GMYL5", "SE-000268447")</f>
        <v>SE-000268447</v>
      </c>
      <c r="D1370" s="1" t="s">
        <v>0</v>
      </c>
      <c r="E1370" s="2">
        <v>0</v>
      </c>
      <c r="F1370" s="2">
        <v>0</v>
      </c>
      <c r="G1370" s="2">
        <v>0</v>
      </c>
      <c r="H1370" s="1" t="s">
        <v>0</v>
      </c>
      <c r="I1370" s="2">
        <v>0</v>
      </c>
      <c r="J1370" s="1">
        <v>45915.378009259257</v>
      </c>
    </row>
    <row r="1371" spans="1:10" x14ac:dyDescent="0.2">
      <c r="A1371" s="4" t="s">
        <v>1</v>
      </c>
      <c r="B1371" s="3" t="str">
        <f>HYPERLINK("https://otsuka-europe-crm.veevavault.com/ui/#object/approved_document__v/V5OZ025E82TFUPI", "Spain - HCP Survey Email - June 2025")</f>
        <v>Spain - HCP Survey Email - June 2025</v>
      </c>
      <c r="C1371" s="3" t="str">
        <f>HYPERLINK("https://otsuka-europe-crm.veevavault.com/ui/#object/sent_email__v/VBLZ025E82GMYL6", "SE-000268448")</f>
        <v>SE-000268448</v>
      </c>
      <c r="D1371" s="1" t="s">
        <v>0</v>
      </c>
      <c r="E1371" s="2">
        <v>0</v>
      </c>
      <c r="F1371" s="2">
        <v>0</v>
      </c>
      <c r="G1371" s="2">
        <v>0</v>
      </c>
      <c r="H1371" s="1" t="s">
        <v>0</v>
      </c>
      <c r="I1371" s="2">
        <v>0</v>
      </c>
      <c r="J1371" s="1">
        <v>45915.379050925927</v>
      </c>
    </row>
    <row r="1372" spans="1:10" x14ac:dyDescent="0.2">
      <c r="A1372" s="4" t="s">
        <v>1</v>
      </c>
      <c r="B1372" s="3" t="str">
        <f>HYPERLINK("https://otsuka-europe-crm.veevavault.com/ui/#object/approved_document__v/V5OZ025E82TFUPI", "Spain - HCP Survey Email - June 2025")</f>
        <v>Spain - HCP Survey Email - June 2025</v>
      </c>
      <c r="C1372" s="3" t="str">
        <f>HYPERLINK("https://otsuka-europe-crm.veevavault.com/ui/#object/sent_email__v/VBLZ025E82GMYL7", "SE-000268449")</f>
        <v>SE-000268449</v>
      </c>
      <c r="D1372" s="1">
        <v>45915.732222222221</v>
      </c>
      <c r="E1372" s="2">
        <v>1</v>
      </c>
      <c r="F1372" s="2">
        <v>2</v>
      </c>
      <c r="G1372" s="2">
        <v>1</v>
      </c>
      <c r="H1372" s="1">
        <v>45915.732372685183</v>
      </c>
      <c r="I1372" s="2">
        <v>1</v>
      </c>
      <c r="J1372" s="1">
        <v>45915.379745370374</v>
      </c>
    </row>
    <row r="1373" spans="1:10" x14ac:dyDescent="0.2">
      <c r="A1373" s="4" t="s">
        <v>1</v>
      </c>
      <c r="B1373" s="3" t="str">
        <f>HYPERLINK("https://otsuka-europe-crm.veevavault.com/ui/#object/approved_document__v/V5OZ025E82TFUPI", "Spain - HCP Survey Email - June 2025")</f>
        <v>Spain - HCP Survey Email - June 2025</v>
      </c>
      <c r="C1373" s="3" t="str">
        <f>HYPERLINK("https://otsuka-europe-crm.veevavault.com/ui/#object/sent_email__v/VBLZ025E82GMYL8", "SE-000268450")</f>
        <v>SE-000268450</v>
      </c>
      <c r="D1373" s="1">
        <v>45915.502916666665</v>
      </c>
      <c r="E1373" s="2">
        <v>1</v>
      </c>
      <c r="F1373" s="2">
        <v>1</v>
      </c>
      <c r="G1373" s="2">
        <v>0</v>
      </c>
      <c r="H1373" s="1" t="s">
        <v>0</v>
      </c>
      <c r="I1373" s="2">
        <v>0</v>
      </c>
      <c r="J1373" s="1">
        <v>45915.37908564815</v>
      </c>
    </row>
    <row r="1374" spans="1:10" x14ac:dyDescent="0.2">
      <c r="A1374" s="4" t="s">
        <v>1</v>
      </c>
      <c r="B1374" s="3" t="str">
        <f>HYPERLINK("https://otsuka-europe-crm.veevavault.com/ui/#object/approved_document__v/V5OZ025E82TFUPI", "Spain - HCP Survey Email - June 2025")</f>
        <v>Spain - HCP Survey Email - June 2025</v>
      </c>
      <c r="C1374" s="3" t="str">
        <f>HYPERLINK("https://otsuka-europe-crm.veevavault.com/ui/#object/sent_email__v/VBLZ025E82GMYL9", "SE-000268451")</f>
        <v>SE-000268451</v>
      </c>
      <c r="D1374" s="1" t="s">
        <v>0</v>
      </c>
      <c r="E1374" s="2">
        <v>0</v>
      </c>
      <c r="F1374" s="2">
        <v>0</v>
      </c>
      <c r="G1374" s="2">
        <v>0</v>
      </c>
      <c r="H1374" s="1" t="s">
        <v>0</v>
      </c>
      <c r="I1374" s="2">
        <v>0</v>
      </c>
      <c r="J1374" s="1">
        <v>45915.377835648149</v>
      </c>
    </row>
    <row r="1375" spans="1:10" x14ac:dyDescent="0.2">
      <c r="A1375" s="4" t="s">
        <v>1</v>
      </c>
      <c r="B1375" s="3" t="str">
        <f>HYPERLINK("https://otsuka-europe-crm.veevavault.com/ui/#object/approved_document__v/V5OZ025E82TFUPI", "Spain - HCP Survey Email - June 2025")</f>
        <v>Spain - HCP Survey Email - June 2025</v>
      </c>
      <c r="C1375" s="3" t="str">
        <f>HYPERLINK("https://otsuka-europe-crm.veevavault.com/ui/#object/sent_email__v/VBLZ025E82GMYLA", "SE-000268452")</f>
        <v>SE-000268452</v>
      </c>
      <c r="D1375" s="1">
        <v>45915.383796296293</v>
      </c>
      <c r="E1375" s="2">
        <v>1</v>
      </c>
      <c r="F1375" s="2">
        <v>1</v>
      </c>
      <c r="G1375" s="2">
        <v>0</v>
      </c>
      <c r="H1375" s="1" t="s">
        <v>0</v>
      </c>
      <c r="I1375" s="2">
        <v>0</v>
      </c>
      <c r="J1375" s="1">
        <v>45915.378240740742</v>
      </c>
    </row>
    <row r="1376" spans="1:10" x14ac:dyDescent="0.2">
      <c r="A1376" s="4" t="s">
        <v>1</v>
      </c>
      <c r="B1376" s="3" t="str">
        <f>HYPERLINK("https://otsuka-europe-crm.veevavault.com/ui/#object/approved_document__v/V5OZ025E82TFUPI", "Spain - HCP Survey Email - June 2025")</f>
        <v>Spain - HCP Survey Email - June 2025</v>
      </c>
      <c r="C1376" s="3" t="str">
        <f>HYPERLINK("https://otsuka-europe-crm.veevavault.com/ui/#object/sent_email__v/VBLZ025E82GMYLB", "SE-000268453")</f>
        <v>SE-000268453</v>
      </c>
      <c r="D1376" s="1" t="s">
        <v>0</v>
      </c>
      <c r="E1376" s="2">
        <v>0</v>
      </c>
      <c r="F1376" s="2">
        <v>0</v>
      </c>
      <c r="G1376" s="2">
        <v>0</v>
      </c>
      <c r="H1376" s="1" t="s">
        <v>0</v>
      </c>
      <c r="I1376" s="2">
        <v>0</v>
      </c>
      <c r="J1376" s="1">
        <v>45915.378020833334</v>
      </c>
    </row>
    <row r="1377" spans="1:10" x14ac:dyDescent="0.2">
      <c r="A1377" s="4" t="s">
        <v>1</v>
      </c>
      <c r="B1377" s="3" t="str">
        <f>HYPERLINK("https://otsuka-europe-crm.veevavault.com/ui/#object/approved_document__v/V5OZ025E82TFUPI", "Spain - HCP Survey Email - June 2025")</f>
        <v>Spain - HCP Survey Email - June 2025</v>
      </c>
      <c r="C1377" s="3" t="str">
        <f>HYPERLINK("https://otsuka-europe-crm.veevavault.com/ui/#object/sent_email__v/VBLZ025E82GMYLC", "SE-000268454")</f>
        <v>SE-000268454</v>
      </c>
      <c r="D1377" s="1" t="s">
        <v>0</v>
      </c>
      <c r="E1377" s="2">
        <v>0</v>
      </c>
      <c r="F1377" s="2">
        <v>0</v>
      </c>
      <c r="G1377" s="2">
        <v>0</v>
      </c>
      <c r="H1377" s="1" t="s">
        <v>0</v>
      </c>
      <c r="I1377" s="2">
        <v>0</v>
      </c>
      <c r="J1377" s="1">
        <v>45915.378564814811</v>
      </c>
    </row>
    <row r="1378" spans="1:10" x14ac:dyDescent="0.2">
      <c r="A1378" s="4" t="s">
        <v>1</v>
      </c>
      <c r="B1378" s="3" t="str">
        <f>HYPERLINK("https://otsuka-europe-crm.veevavault.com/ui/#object/approved_document__v/V5OZ025E82TFUPI", "Spain - HCP Survey Email - June 2025")</f>
        <v>Spain - HCP Survey Email - June 2025</v>
      </c>
      <c r="C1378" s="3" t="str">
        <f>HYPERLINK("https://otsuka-europe-crm.veevavault.com/ui/#object/sent_email__v/VBLZ025E82GMYLD", "SE-000268455")</f>
        <v>SE-000268455</v>
      </c>
      <c r="D1378" s="1" t="s">
        <v>0</v>
      </c>
      <c r="E1378" s="2">
        <v>0</v>
      </c>
      <c r="F1378" s="2">
        <v>0</v>
      </c>
      <c r="G1378" s="2">
        <v>0</v>
      </c>
      <c r="H1378" s="1" t="s">
        <v>0</v>
      </c>
      <c r="I1378" s="2">
        <v>0</v>
      </c>
      <c r="J1378" s="1">
        <v>45915.380057870374</v>
      </c>
    </row>
    <row r="1379" spans="1:10" x14ac:dyDescent="0.2">
      <c r="A1379" s="4" t="s">
        <v>1</v>
      </c>
      <c r="B1379" s="3" t="str">
        <f>HYPERLINK("https://otsuka-europe-crm.veevavault.com/ui/#object/approved_document__v/V5OZ025E82TFUPI", "Spain - HCP Survey Email - June 2025")</f>
        <v>Spain - HCP Survey Email - June 2025</v>
      </c>
      <c r="C1379" s="3" t="str">
        <f>HYPERLINK("https://otsuka-europe-crm.veevavault.com/ui/#object/sent_email__v/VBLZ025E82GMYLE", "SE-000268456")</f>
        <v>SE-000268456</v>
      </c>
      <c r="D1379" s="1" t="s">
        <v>0</v>
      </c>
      <c r="E1379" s="2">
        <v>0</v>
      </c>
      <c r="F1379" s="2">
        <v>0</v>
      </c>
      <c r="G1379" s="2">
        <v>0</v>
      </c>
      <c r="H1379" s="1" t="s">
        <v>0</v>
      </c>
      <c r="I1379" s="2">
        <v>0</v>
      </c>
      <c r="J1379" s="1">
        <v>45915.37773148148</v>
      </c>
    </row>
    <row r="1380" spans="1:10" x14ac:dyDescent="0.2">
      <c r="A1380" s="4" t="s">
        <v>1</v>
      </c>
      <c r="B1380" s="3" t="str">
        <f>HYPERLINK("https://otsuka-europe-crm.veevavault.com/ui/#object/approved_document__v/V5OZ025E82TFUPI", "Spain - HCP Survey Email - June 2025")</f>
        <v>Spain - HCP Survey Email - June 2025</v>
      </c>
      <c r="C1380" s="3" t="str">
        <f>HYPERLINK("https://otsuka-europe-crm.veevavault.com/ui/#object/sent_email__v/VBLZ025E82GMYLF", "SE-000268457")</f>
        <v>SE-000268457</v>
      </c>
      <c r="D1380" s="1">
        <v>45915.616215277776</v>
      </c>
      <c r="E1380" s="2">
        <v>1</v>
      </c>
      <c r="F1380" s="2">
        <v>1</v>
      </c>
      <c r="G1380" s="2">
        <v>0</v>
      </c>
      <c r="H1380" s="1" t="s">
        <v>0</v>
      </c>
      <c r="I1380" s="2">
        <v>0</v>
      </c>
      <c r="J1380" s="1">
        <v>45915.377638888887</v>
      </c>
    </row>
    <row r="1381" spans="1:10" x14ac:dyDescent="0.2">
      <c r="A1381" s="4" t="s">
        <v>1</v>
      </c>
      <c r="B1381" s="3" t="str">
        <f>HYPERLINK("https://otsuka-europe-crm.veevavault.com/ui/#object/approved_document__v/V5OZ025E82TFUPI", "Spain - HCP Survey Email - June 2025")</f>
        <v>Spain - HCP Survey Email - June 2025</v>
      </c>
      <c r="C1381" s="3" t="str">
        <f>HYPERLINK("https://otsuka-europe-crm.veevavault.com/ui/#object/sent_email__v/VBLZ025E82GMYLG", "SE-000268458")</f>
        <v>SE-000268458</v>
      </c>
      <c r="D1381" s="1" t="s">
        <v>0</v>
      </c>
      <c r="E1381" s="2">
        <v>0</v>
      </c>
      <c r="F1381" s="2">
        <v>0</v>
      </c>
      <c r="G1381" s="2">
        <v>0</v>
      </c>
      <c r="H1381" s="1" t="s">
        <v>0</v>
      </c>
      <c r="I1381" s="2">
        <v>0</v>
      </c>
      <c r="J1381" s="1">
        <v>45915.377962962964</v>
      </c>
    </row>
    <row r="1382" spans="1:10" x14ac:dyDescent="0.2">
      <c r="A1382" s="4" t="s">
        <v>1</v>
      </c>
      <c r="B1382" s="3" t="str">
        <f>HYPERLINK("https://otsuka-europe-crm.veevavault.com/ui/#object/approved_document__v/V5OZ025E82TFUPI", "Spain - HCP Survey Email - June 2025")</f>
        <v>Spain - HCP Survey Email - June 2025</v>
      </c>
      <c r="C1382" s="3" t="str">
        <f>HYPERLINK("https://otsuka-europe-crm.veevavault.com/ui/#object/sent_email__v/VBLZ025E82GMYLH", "SE-000268459")</f>
        <v>SE-000268459</v>
      </c>
      <c r="D1382" s="1">
        <v>45915.492222222223</v>
      </c>
      <c r="E1382" s="2">
        <v>1</v>
      </c>
      <c r="F1382" s="2">
        <v>2</v>
      </c>
      <c r="G1382" s="2">
        <v>1</v>
      </c>
      <c r="H1382" s="1">
        <v>45915.492407407408</v>
      </c>
      <c r="I1382" s="2">
        <v>1</v>
      </c>
      <c r="J1382" s="1">
        <v>45915.379050925927</v>
      </c>
    </row>
    <row r="1383" spans="1:10" x14ac:dyDescent="0.2">
      <c r="A1383" s="4" t="s">
        <v>1</v>
      </c>
      <c r="B1383" s="3" t="str">
        <f>HYPERLINK("https://otsuka-europe-crm.veevavault.com/ui/#object/approved_document__v/V5OZ025E82TFUPI", "Spain - HCP Survey Email - June 2025")</f>
        <v>Spain - HCP Survey Email - June 2025</v>
      </c>
      <c r="C1383" s="3" t="str">
        <f>HYPERLINK("https://otsuka-europe-crm.veevavault.com/ui/#object/sent_email__v/VBLZ025E82GMYLI", "SE-000268460")</f>
        <v>SE-000268460</v>
      </c>
      <c r="D1383" s="1">
        <v>45915.400451388887</v>
      </c>
      <c r="E1383" s="2">
        <v>1</v>
      </c>
      <c r="F1383" s="2">
        <v>2</v>
      </c>
      <c r="G1383" s="2">
        <v>0</v>
      </c>
      <c r="H1383" s="1" t="s">
        <v>0</v>
      </c>
      <c r="I1383" s="2">
        <v>0</v>
      </c>
      <c r="J1383" s="1">
        <v>45915.379641203705</v>
      </c>
    </row>
    <row r="1384" spans="1:10" x14ac:dyDescent="0.2">
      <c r="A1384" s="4" t="s">
        <v>1</v>
      </c>
      <c r="B1384" s="3" t="str">
        <f>HYPERLINK("https://otsuka-europe-crm.veevavault.com/ui/#object/approved_document__v/V5OZ025E82TFUPI", "Spain - HCP Survey Email - June 2025")</f>
        <v>Spain - HCP Survey Email - June 2025</v>
      </c>
      <c r="C1384" s="3" t="str">
        <f>HYPERLINK("https://otsuka-europe-crm.veevavault.com/ui/#object/sent_email__v/VBLZ025E82GMYLJ", "SE-000268461")</f>
        <v>SE-000268461</v>
      </c>
      <c r="D1384" s="1" t="s">
        <v>0</v>
      </c>
      <c r="E1384" s="2">
        <v>0</v>
      </c>
      <c r="F1384" s="2">
        <v>0</v>
      </c>
      <c r="G1384" s="2">
        <v>0</v>
      </c>
      <c r="H1384" s="1" t="s">
        <v>0</v>
      </c>
      <c r="I1384" s="2">
        <v>0</v>
      </c>
      <c r="J1384" s="1">
        <v>45915.379074074073</v>
      </c>
    </row>
    <row r="1385" spans="1:10" x14ac:dyDescent="0.2">
      <c r="A1385" s="4" t="s">
        <v>1</v>
      </c>
      <c r="B1385" s="3" t="str">
        <f>HYPERLINK("https://otsuka-europe-crm.veevavault.com/ui/#object/approved_document__v/V5OZ025E82TFUPI", "Spain - HCP Survey Email - June 2025")</f>
        <v>Spain - HCP Survey Email - June 2025</v>
      </c>
      <c r="C1385" s="3" t="str">
        <f>HYPERLINK("https://otsuka-europe-crm.veevavault.com/ui/#object/sent_email__v/VBLZ025E82GMYLK", "SE-000268462")</f>
        <v>SE-000268462</v>
      </c>
      <c r="D1385" s="1" t="s">
        <v>0</v>
      </c>
      <c r="E1385" s="2">
        <v>0</v>
      </c>
      <c r="F1385" s="2">
        <v>0</v>
      </c>
      <c r="G1385" s="2">
        <v>0</v>
      </c>
      <c r="H1385" s="1" t="s">
        <v>0</v>
      </c>
      <c r="I1385" s="2">
        <v>0</v>
      </c>
      <c r="J1385" s="1">
        <v>45915.377881944441</v>
      </c>
    </row>
    <row r="1386" spans="1:10" x14ac:dyDescent="0.2">
      <c r="A1386" s="4" t="s">
        <v>1</v>
      </c>
      <c r="B1386" s="3" t="str">
        <f>HYPERLINK("https://otsuka-europe-crm.veevavault.com/ui/#object/approved_document__v/V5OZ025E82TFUPI", "Spain - HCP Survey Email - June 2025")</f>
        <v>Spain - HCP Survey Email - June 2025</v>
      </c>
      <c r="C1386" s="3" t="str">
        <f>HYPERLINK("https://otsuka-europe-crm.veevavault.com/ui/#object/sent_email__v/VBLZ025E82GMYLL", "SE-000268463")</f>
        <v>SE-000268463</v>
      </c>
      <c r="D1386" s="1">
        <v>45916.319803240738</v>
      </c>
      <c r="E1386" s="2">
        <v>1</v>
      </c>
      <c r="F1386" s="2">
        <v>1</v>
      </c>
      <c r="G1386" s="2">
        <v>1</v>
      </c>
      <c r="H1386" s="1">
        <v>45916.320254629631</v>
      </c>
      <c r="I1386" s="2">
        <v>1</v>
      </c>
      <c r="J1386" s="1">
        <v>45915.378194444442</v>
      </c>
    </row>
    <row r="1387" spans="1:10" x14ac:dyDescent="0.2">
      <c r="A1387" s="4" t="s">
        <v>1</v>
      </c>
      <c r="B1387" s="3" t="str">
        <f>HYPERLINK("https://otsuka-europe-crm.veevavault.com/ui/#object/approved_document__v/V5OZ025E82TFUPI", "Spain - HCP Survey Email - June 2025")</f>
        <v>Spain - HCP Survey Email - June 2025</v>
      </c>
      <c r="C1387" s="3" t="str">
        <f>HYPERLINK("https://otsuka-europe-crm.veevavault.com/ui/#object/sent_email__v/VBLZ025E82GMYLM", "SE-000268464")</f>
        <v>SE-000268464</v>
      </c>
      <c r="D1387" s="1" t="s">
        <v>0</v>
      </c>
      <c r="E1387" s="2">
        <v>0</v>
      </c>
      <c r="F1387" s="2">
        <v>0</v>
      </c>
      <c r="G1387" s="2">
        <v>0</v>
      </c>
      <c r="H1387" s="1" t="s">
        <v>0</v>
      </c>
      <c r="I1387" s="2">
        <v>0</v>
      </c>
      <c r="J1387" s="1">
        <v>45915.378020833334</v>
      </c>
    </row>
    <row r="1388" spans="1:10" x14ac:dyDescent="0.2">
      <c r="A1388" s="4" t="s">
        <v>1</v>
      </c>
      <c r="B1388" s="3" t="str">
        <f>HYPERLINK("https://otsuka-europe-crm.veevavault.com/ui/#object/approved_document__v/V5OZ025E82TFUPI", "Spain - HCP Survey Email - June 2025")</f>
        <v>Spain - HCP Survey Email - June 2025</v>
      </c>
      <c r="C1388" s="3" t="str">
        <f>HYPERLINK("https://otsuka-europe-crm.veevavault.com/ui/#object/sent_email__v/VBLZ025E82GMYLN", "SE-000268465")</f>
        <v>SE-000268465</v>
      </c>
      <c r="D1388" s="1" t="s">
        <v>0</v>
      </c>
      <c r="E1388" s="2">
        <v>0</v>
      </c>
      <c r="F1388" s="2">
        <v>0</v>
      </c>
      <c r="G1388" s="2">
        <v>0</v>
      </c>
      <c r="H1388" s="1" t="s">
        <v>0</v>
      </c>
      <c r="I1388" s="2">
        <v>0</v>
      </c>
      <c r="J1388" s="1">
        <v>45915.378506944442</v>
      </c>
    </row>
    <row r="1389" spans="1:10" x14ac:dyDescent="0.2">
      <c r="A1389" s="4" t="s">
        <v>1</v>
      </c>
      <c r="B1389" s="3" t="str">
        <f>HYPERLINK("https://otsuka-europe-crm.veevavault.com/ui/#object/approved_document__v/V5OZ025E82TFUPI", "Spain - HCP Survey Email - June 2025")</f>
        <v>Spain - HCP Survey Email - June 2025</v>
      </c>
      <c r="C1389" s="3" t="str">
        <f>HYPERLINK("https://otsuka-europe-crm.veevavault.com/ui/#object/sent_email__v/VBLZ025E82GMYLO", "SE-000268466")</f>
        <v>SE-000268466</v>
      </c>
      <c r="D1389" s="1" t="s">
        <v>0</v>
      </c>
      <c r="E1389" s="2">
        <v>0</v>
      </c>
      <c r="F1389" s="2">
        <v>0</v>
      </c>
      <c r="G1389" s="2">
        <v>0</v>
      </c>
      <c r="H1389" s="1" t="s">
        <v>0</v>
      </c>
      <c r="I1389" s="2">
        <v>0</v>
      </c>
      <c r="J1389" s="1">
        <v>45915.380011574074</v>
      </c>
    </row>
    <row r="1390" spans="1:10" x14ac:dyDescent="0.2">
      <c r="A1390" s="4" t="s">
        <v>1</v>
      </c>
      <c r="B1390" s="3" t="str">
        <f>HYPERLINK("https://otsuka-europe-crm.veevavault.com/ui/#object/approved_document__v/V5OZ025E82TFUPI", "Spain - HCP Survey Email - June 2025")</f>
        <v>Spain - HCP Survey Email - June 2025</v>
      </c>
      <c r="C1390" s="3" t="str">
        <f>HYPERLINK("https://otsuka-europe-crm.veevavault.com/ui/#object/sent_email__v/VBLZ025E82GMYLP", "SE-000268467")</f>
        <v>SE-000268467</v>
      </c>
      <c r="D1390" s="1">
        <v>45915.748113425929</v>
      </c>
      <c r="E1390" s="2">
        <v>1</v>
      </c>
      <c r="F1390" s="2">
        <v>1</v>
      </c>
      <c r="G1390" s="2">
        <v>0</v>
      </c>
      <c r="H1390" s="1" t="s">
        <v>0</v>
      </c>
      <c r="I1390" s="2">
        <v>0</v>
      </c>
      <c r="J1390" s="1">
        <v>45915.37777777778</v>
      </c>
    </row>
    <row r="1391" spans="1:10" x14ac:dyDescent="0.2">
      <c r="A1391" s="4" t="s">
        <v>1</v>
      </c>
      <c r="B1391" s="3" t="str">
        <f>HYPERLINK("https://otsuka-europe-crm.veevavault.com/ui/#object/approved_document__v/V5OZ025E82TFUPI", "Spain - HCP Survey Email - June 2025")</f>
        <v>Spain - HCP Survey Email - June 2025</v>
      </c>
      <c r="C1391" s="3" t="str">
        <f>HYPERLINK("https://otsuka-europe-crm.veevavault.com/ui/#object/sent_email__v/VBLZ025E82GMYLQ", "SE-000268468")</f>
        <v>SE-000268468</v>
      </c>
      <c r="D1391" s="1" t="s">
        <v>0</v>
      </c>
      <c r="E1391" s="2">
        <v>0</v>
      </c>
      <c r="F1391" s="2">
        <v>0</v>
      </c>
      <c r="G1391" s="2">
        <v>0</v>
      </c>
      <c r="H1391" s="1" t="s">
        <v>0</v>
      </c>
      <c r="I1391" s="2">
        <v>0</v>
      </c>
      <c r="J1391" s="1">
        <v>45915.378240740742</v>
      </c>
    </row>
    <row r="1392" spans="1:10" x14ac:dyDescent="0.2">
      <c r="A1392" s="4" t="s">
        <v>1</v>
      </c>
      <c r="B1392" s="3" t="str">
        <f>HYPERLINK("https://otsuka-europe-crm.veevavault.com/ui/#object/approved_document__v/V5OZ025E82TFUPI", "Spain - HCP Survey Email - June 2025")</f>
        <v>Spain - HCP Survey Email - June 2025</v>
      </c>
      <c r="C1392" s="3" t="str">
        <f>HYPERLINK("https://otsuka-europe-crm.veevavault.com/ui/#object/sent_email__v/VBLZ025E82GMYLR", "SE-000268469")</f>
        <v>SE-000268469</v>
      </c>
      <c r="D1392" s="1">
        <v>45919.568194444444</v>
      </c>
      <c r="E1392" s="2">
        <v>1</v>
      </c>
      <c r="F1392" s="2">
        <v>2</v>
      </c>
      <c r="G1392" s="2">
        <v>0</v>
      </c>
      <c r="H1392" s="1" t="s">
        <v>0</v>
      </c>
      <c r="I1392" s="2">
        <v>0</v>
      </c>
      <c r="J1392" s="1">
        <v>45915.377997685187</v>
      </c>
    </row>
    <row r="1393" spans="1:10" x14ac:dyDescent="0.2">
      <c r="A1393" s="4" t="s">
        <v>1</v>
      </c>
      <c r="B1393" s="3" t="str">
        <f>HYPERLINK("https://otsuka-europe-crm.veevavault.com/ui/#object/approved_document__v/V5OZ025E82TFUPI", "Spain - HCP Survey Email - June 2025")</f>
        <v>Spain - HCP Survey Email - June 2025</v>
      </c>
      <c r="C1393" s="3" t="str">
        <f>HYPERLINK("https://otsuka-europe-crm.veevavault.com/ui/#object/sent_email__v/VBLZ025E82GMYLS", "SE-000268470")</f>
        <v>SE-000268470</v>
      </c>
      <c r="D1393" s="1">
        <v>45915.433125000003</v>
      </c>
      <c r="E1393" s="2">
        <v>1</v>
      </c>
      <c r="F1393" s="2">
        <v>1</v>
      </c>
      <c r="G1393" s="2">
        <v>0</v>
      </c>
      <c r="H1393" s="1" t="s">
        <v>0</v>
      </c>
      <c r="I1393" s="2">
        <v>0</v>
      </c>
      <c r="J1393" s="1">
        <v>45915.378645833334</v>
      </c>
    </row>
    <row r="1394" spans="1:10" x14ac:dyDescent="0.2">
      <c r="A1394" s="4" t="s">
        <v>1</v>
      </c>
      <c r="B1394" s="3" t="str">
        <f>HYPERLINK("https://otsuka-europe-crm.veevavault.com/ui/#object/approved_document__v/V5OZ025E82TFUPI", "Spain - HCP Survey Email - June 2025")</f>
        <v>Spain - HCP Survey Email - June 2025</v>
      </c>
      <c r="C1394" s="3" t="str">
        <f>HYPERLINK("https://otsuka-europe-crm.veevavault.com/ui/#object/sent_email__v/VBLZ025E82GMYLT", "SE-000268471")</f>
        <v>SE-000268471</v>
      </c>
      <c r="D1394" s="1" t="s">
        <v>0</v>
      </c>
      <c r="E1394" s="2">
        <v>0</v>
      </c>
      <c r="F1394" s="2">
        <v>0</v>
      </c>
      <c r="G1394" s="2">
        <v>0</v>
      </c>
      <c r="H1394" s="1" t="s">
        <v>0</v>
      </c>
      <c r="I1394" s="2">
        <v>0</v>
      </c>
      <c r="J1394" s="1">
        <v>45915.379942129628</v>
      </c>
    </row>
    <row r="1395" spans="1:10" x14ac:dyDescent="0.2">
      <c r="A1395" s="4" t="s">
        <v>1</v>
      </c>
      <c r="B1395" s="3" t="str">
        <f>HYPERLINK("https://otsuka-europe-crm.veevavault.com/ui/#object/approved_document__v/V5OZ025E82TFUPI", "Spain - HCP Survey Email - June 2025")</f>
        <v>Spain - HCP Survey Email - June 2025</v>
      </c>
      <c r="C1395" s="3" t="str">
        <f>HYPERLINK("https://otsuka-europe-crm.veevavault.com/ui/#object/sent_email__v/VBLZ025E82GMYLU", "SE-000268472")</f>
        <v>SE-000268472</v>
      </c>
      <c r="D1395" s="1" t="s">
        <v>0</v>
      </c>
      <c r="E1395" s="2">
        <v>0</v>
      </c>
      <c r="F1395" s="2">
        <v>0</v>
      </c>
      <c r="G1395" s="2">
        <v>0</v>
      </c>
      <c r="H1395" s="1" t="s">
        <v>0</v>
      </c>
      <c r="I1395" s="2">
        <v>0</v>
      </c>
      <c r="J1395" s="1">
        <v>45915.377766203703</v>
      </c>
    </row>
    <row r="1396" spans="1:10" x14ac:dyDescent="0.2">
      <c r="A1396" s="4" t="s">
        <v>1</v>
      </c>
      <c r="B1396" s="3" t="str">
        <f>HYPERLINK("https://otsuka-europe-crm.veevavault.com/ui/#object/approved_document__v/V5OZ025E82TFUPI", "Spain - HCP Survey Email - June 2025")</f>
        <v>Spain - HCP Survey Email - June 2025</v>
      </c>
      <c r="C1396" s="3" t="str">
        <f>HYPERLINK("https://otsuka-europe-crm.veevavault.com/ui/#object/sent_email__v/VBLZ025E82GMYLV", "SE-000268473")</f>
        <v>SE-000268473</v>
      </c>
      <c r="D1396" s="1" t="s">
        <v>0</v>
      </c>
      <c r="E1396" s="2">
        <v>0</v>
      </c>
      <c r="F1396" s="2">
        <v>0</v>
      </c>
      <c r="G1396" s="2">
        <v>0</v>
      </c>
      <c r="H1396" s="1" t="s">
        <v>0</v>
      </c>
      <c r="I1396" s="2">
        <v>0</v>
      </c>
      <c r="J1396" s="1">
        <v>45915.37767361111</v>
      </c>
    </row>
    <row r="1397" spans="1:10" x14ac:dyDescent="0.2">
      <c r="A1397" s="4" t="s">
        <v>1</v>
      </c>
      <c r="B1397" s="3" t="str">
        <f>HYPERLINK("https://otsuka-europe-crm.veevavault.com/ui/#object/approved_document__v/V5OZ025E82TFUPI", "Spain - HCP Survey Email - June 2025")</f>
        <v>Spain - HCP Survey Email - June 2025</v>
      </c>
      <c r="C1397" s="3" t="str">
        <f>HYPERLINK("https://otsuka-europe-crm.veevavault.com/ui/#object/sent_email__v/VBLZ025E82GMYLW", "SE-000268474")</f>
        <v>SE-000268474</v>
      </c>
      <c r="D1397" s="1">
        <v>45916.645092592589</v>
      </c>
      <c r="E1397" s="2">
        <v>1</v>
      </c>
      <c r="F1397" s="2">
        <v>2</v>
      </c>
      <c r="G1397" s="2">
        <v>0</v>
      </c>
      <c r="H1397" s="1" t="s">
        <v>0</v>
      </c>
      <c r="I1397" s="2">
        <v>0</v>
      </c>
      <c r="J1397" s="1">
        <v>45915.377962962964</v>
      </c>
    </row>
    <row r="1398" spans="1:10" x14ac:dyDescent="0.2">
      <c r="A1398" s="4" t="s">
        <v>1</v>
      </c>
      <c r="B1398" s="3" t="str">
        <f>HYPERLINK("https://otsuka-europe-crm.veevavault.com/ui/#object/approved_document__v/V5OZ025E82TFUPI", "Spain - HCP Survey Email - June 2025")</f>
        <v>Spain - HCP Survey Email - June 2025</v>
      </c>
      <c r="C1398" s="3" t="str">
        <f>HYPERLINK("https://otsuka-europe-crm.veevavault.com/ui/#object/sent_email__v/VBLZ025E82GMYLX", "SE-000268475")</f>
        <v>SE-000268475</v>
      </c>
      <c r="D1398" s="1">
        <v>45915.847534722219</v>
      </c>
      <c r="E1398" s="2">
        <v>1</v>
      </c>
      <c r="F1398" s="2">
        <v>1</v>
      </c>
      <c r="G1398" s="2">
        <v>0</v>
      </c>
      <c r="H1398" s="1" t="s">
        <v>0</v>
      </c>
      <c r="I1398" s="2">
        <v>0</v>
      </c>
      <c r="J1398" s="1">
        <v>45915.37903935185</v>
      </c>
    </row>
    <row r="1399" spans="1:10" x14ac:dyDescent="0.2">
      <c r="A1399" s="4" t="s">
        <v>1</v>
      </c>
      <c r="B1399" s="3" t="str">
        <f>HYPERLINK("https://otsuka-europe-crm.veevavault.com/ui/#object/approved_document__v/V5OZ025E82TFUPI", "Spain - HCP Survey Email - June 2025")</f>
        <v>Spain - HCP Survey Email - June 2025</v>
      </c>
      <c r="C1399" s="3" t="str">
        <f>HYPERLINK("https://otsuka-europe-crm.veevavault.com/ui/#object/sent_email__v/VBLZ025E82GMYLY", "SE-000268476")</f>
        <v>SE-000268476</v>
      </c>
      <c r="D1399" s="1" t="s">
        <v>0</v>
      </c>
      <c r="E1399" s="2">
        <v>0</v>
      </c>
      <c r="F1399" s="2">
        <v>0</v>
      </c>
      <c r="G1399" s="2">
        <v>0</v>
      </c>
      <c r="H1399" s="1" t="s">
        <v>0</v>
      </c>
      <c r="I1399" s="2">
        <v>0</v>
      </c>
      <c r="J1399" s="1">
        <v>45915.379733796297</v>
      </c>
    </row>
    <row r="1400" spans="1:10" x14ac:dyDescent="0.2">
      <c r="A1400" s="4" t="s">
        <v>1</v>
      </c>
      <c r="B1400" s="3" t="str">
        <f>HYPERLINK("https://otsuka-europe-crm.veevavault.com/ui/#object/approved_document__v/V5OZ025E82TFUPI", "Spain - HCP Survey Email - June 2025")</f>
        <v>Spain - HCP Survey Email - June 2025</v>
      </c>
      <c r="C1400" s="3" t="str">
        <f>HYPERLINK("https://otsuka-europe-crm.veevavault.com/ui/#object/sent_email__v/VBLZ025E82GMYM0", "SE-000268478")</f>
        <v>SE-000268478</v>
      </c>
      <c r="D1400" s="1" t="s">
        <v>0</v>
      </c>
      <c r="E1400" s="2">
        <v>0</v>
      </c>
      <c r="F1400" s="2">
        <v>0</v>
      </c>
      <c r="G1400" s="2">
        <v>0</v>
      </c>
      <c r="H1400" s="1" t="s">
        <v>0</v>
      </c>
      <c r="I1400" s="2">
        <v>0</v>
      </c>
      <c r="J1400" s="1">
        <v>45915.377835648149</v>
      </c>
    </row>
    <row r="1401" spans="1:10" x14ac:dyDescent="0.2">
      <c r="A1401" s="4" t="s">
        <v>1</v>
      </c>
      <c r="B1401" s="3" t="str">
        <f>HYPERLINK("https://otsuka-europe-crm.veevavault.com/ui/#object/approved_document__v/V5OZ025E82TFUPI", "Spain - HCP Survey Email - June 2025")</f>
        <v>Spain - HCP Survey Email - June 2025</v>
      </c>
      <c r="C1401" s="3" t="str">
        <f>HYPERLINK("https://otsuka-europe-crm.veevavault.com/ui/#object/sent_email__v/VBLZ025E82GMYM1", "SE-000268479")</f>
        <v>SE-000268479</v>
      </c>
      <c r="D1401" s="1" t="s">
        <v>0</v>
      </c>
      <c r="E1401" s="2">
        <v>0</v>
      </c>
      <c r="F1401" s="2">
        <v>0</v>
      </c>
      <c r="G1401" s="2">
        <v>0</v>
      </c>
      <c r="H1401" s="1" t="s">
        <v>0</v>
      </c>
      <c r="I1401" s="2">
        <v>0</v>
      </c>
      <c r="J1401" s="1">
        <v>45915.378136574072</v>
      </c>
    </row>
    <row r="1402" spans="1:10" x14ac:dyDescent="0.2">
      <c r="A1402" s="4" t="s">
        <v>1</v>
      </c>
      <c r="B1402" s="3" t="str">
        <f>HYPERLINK("https://otsuka-europe-crm.veevavault.com/ui/#object/approved_document__v/V5OZ025E82TFUPI", "Spain - HCP Survey Email - June 2025")</f>
        <v>Spain - HCP Survey Email - June 2025</v>
      </c>
      <c r="C1402" s="3" t="str">
        <f>HYPERLINK("https://otsuka-europe-crm.veevavault.com/ui/#object/sent_email__v/VBLZ025E82GMYM2", "SE-000268480")</f>
        <v>SE-000268480</v>
      </c>
      <c r="D1402" s="1" t="s">
        <v>0</v>
      </c>
      <c r="E1402" s="2">
        <v>0</v>
      </c>
      <c r="F1402" s="2">
        <v>0</v>
      </c>
      <c r="G1402" s="2">
        <v>0</v>
      </c>
      <c r="H1402" s="1" t="s">
        <v>0</v>
      </c>
      <c r="I1402" s="2">
        <v>0</v>
      </c>
      <c r="J1402" s="1">
        <v>45915.378055555557</v>
      </c>
    </row>
    <row r="1403" spans="1:10" x14ac:dyDescent="0.2">
      <c r="A1403" s="4" t="s">
        <v>1</v>
      </c>
      <c r="B1403" s="3" t="str">
        <f>HYPERLINK("https://otsuka-europe-crm.veevavault.com/ui/#object/approved_document__v/V5OZ025E82TFUPI", "Spain - HCP Survey Email - June 2025")</f>
        <v>Spain - HCP Survey Email - June 2025</v>
      </c>
      <c r="C1403" s="3" t="str">
        <f>HYPERLINK("https://otsuka-europe-crm.veevavault.com/ui/#object/sent_email__v/VBLZ025E82GMYM3", "SE-000268481")</f>
        <v>SE-000268481</v>
      </c>
      <c r="D1403" s="1" t="s">
        <v>0</v>
      </c>
      <c r="E1403" s="2">
        <v>0</v>
      </c>
      <c r="F1403" s="2">
        <v>0</v>
      </c>
      <c r="G1403" s="2">
        <v>0</v>
      </c>
      <c r="H1403" s="1" t="s">
        <v>0</v>
      </c>
      <c r="I1403" s="2">
        <v>0</v>
      </c>
      <c r="J1403" s="1">
        <v>45915.378495370373</v>
      </c>
    </row>
    <row r="1404" spans="1:10" x14ac:dyDescent="0.2">
      <c r="A1404" s="4" t="s">
        <v>1</v>
      </c>
      <c r="B1404" s="3" t="str">
        <f>HYPERLINK("https://otsuka-europe-crm.veevavault.com/ui/#object/approved_document__v/V5OZ025E82TFUPI", "Spain - HCP Survey Email - June 2025")</f>
        <v>Spain - HCP Survey Email - June 2025</v>
      </c>
      <c r="C1404" s="3" t="str">
        <f>HYPERLINK("https://otsuka-europe-crm.veevavault.com/ui/#object/sent_email__v/VBLZ025E82GMYM4", "SE-000268482")</f>
        <v>SE-000268482</v>
      </c>
      <c r="D1404" s="1" t="s">
        <v>0</v>
      </c>
      <c r="E1404" s="2">
        <v>0</v>
      </c>
      <c r="F1404" s="2">
        <v>0</v>
      </c>
      <c r="G1404" s="2">
        <v>0</v>
      </c>
      <c r="H1404" s="1" t="s">
        <v>0</v>
      </c>
      <c r="I1404" s="2">
        <v>0</v>
      </c>
      <c r="J1404" s="1">
        <v>45915.380011574074</v>
      </c>
    </row>
    <row r="1405" spans="1:10" x14ac:dyDescent="0.2">
      <c r="A1405" s="4" t="s">
        <v>1</v>
      </c>
      <c r="B1405" s="3" t="str">
        <f>HYPERLINK("https://otsuka-europe-crm.veevavault.com/ui/#object/approved_document__v/V5OZ025E82TFUPI", "Spain - HCP Survey Email - June 2025")</f>
        <v>Spain - HCP Survey Email - June 2025</v>
      </c>
      <c r="C1405" s="3" t="str">
        <f>HYPERLINK("https://otsuka-europe-crm.veevavault.com/ui/#object/sent_email__v/VBLZ025E82GMYM5", "SE-000268483")</f>
        <v>SE-000268483</v>
      </c>
      <c r="D1405" s="1" t="s">
        <v>0</v>
      </c>
      <c r="E1405" s="2">
        <v>0</v>
      </c>
      <c r="F1405" s="2">
        <v>0</v>
      </c>
      <c r="G1405" s="2">
        <v>0</v>
      </c>
      <c r="H1405" s="1" t="s">
        <v>0</v>
      </c>
      <c r="I1405" s="2">
        <v>0</v>
      </c>
      <c r="J1405" s="1">
        <v>45915.377754629626</v>
      </c>
    </row>
    <row r="1406" spans="1:10" x14ac:dyDescent="0.2">
      <c r="A1406" s="4" t="s">
        <v>1</v>
      </c>
      <c r="B1406" s="3" t="str">
        <f>HYPERLINK("https://otsuka-europe-crm.veevavault.com/ui/#object/approved_document__v/V5OZ025E82TFUPI", "Spain - HCP Survey Email - June 2025")</f>
        <v>Spain - HCP Survey Email - June 2025</v>
      </c>
      <c r="C1406" s="3" t="str">
        <f>HYPERLINK("https://otsuka-europe-crm.veevavault.com/ui/#object/sent_email__v/VBLZ025E82GMYM6", "SE-000268484")</f>
        <v>SE-000268484</v>
      </c>
      <c r="D1406" s="1">
        <v>45929.002858796295</v>
      </c>
      <c r="E1406" s="2">
        <v>1</v>
      </c>
      <c r="F1406" s="2">
        <v>2</v>
      </c>
      <c r="G1406" s="2">
        <v>0</v>
      </c>
      <c r="H1406" s="1" t="s">
        <v>0</v>
      </c>
      <c r="I1406" s="2">
        <v>0</v>
      </c>
      <c r="J1406" s="1">
        <v>45915.377685185187</v>
      </c>
    </row>
    <row r="1407" spans="1:10" x14ac:dyDescent="0.2">
      <c r="A1407" s="4" t="s">
        <v>1</v>
      </c>
      <c r="B1407" s="3" t="str">
        <f>HYPERLINK("https://otsuka-europe-crm.veevavault.com/ui/#object/approved_document__v/V5OZ025E82TFUPI", "Spain - HCP Survey Email - June 2025")</f>
        <v>Spain - HCP Survey Email - June 2025</v>
      </c>
      <c r="C1407" s="3" t="str">
        <f>HYPERLINK("https://otsuka-europe-crm.veevavault.com/ui/#object/sent_email__v/VBLZ025E82GMYM7", "SE-000268485")</f>
        <v>SE-000268485</v>
      </c>
      <c r="D1407" s="1">
        <v>45915.385023148148</v>
      </c>
      <c r="E1407" s="2">
        <v>1</v>
      </c>
      <c r="F1407" s="2">
        <v>1</v>
      </c>
      <c r="G1407" s="2">
        <v>0</v>
      </c>
      <c r="H1407" s="1" t="s">
        <v>0</v>
      </c>
      <c r="I1407" s="2">
        <v>0</v>
      </c>
      <c r="J1407" s="1">
        <v>45915.377951388888</v>
      </c>
    </row>
    <row r="1408" spans="1:10" x14ac:dyDescent="0.2">
      <c r="A1408" s="4" t="s">
        <v>1</v>
      </c>
      <c r="B1408" s="3" t="str">
        <f>HYPERLINK("https://otsuka-europe-crm.veevavault.com/ui/#object/approved_document__v/V5OZ025E82TFUPI", "Spain - HCP Survey Email - June 2025")</f>
        <v>Spain - HCP Survey Email - June 2025</v>
      </c>
      <c r="C1408" s="3" t="str">
        <f>HYPERLINK("https://otsuka-europe-crm.veevavault.com/ui/#object/sent_email__v/VBLZ025E82GMYM8", "SE-000268486")</f>
        <v>SE-000268486</v>
      </c>
      <c r="D1408" s="1" t="s">
        <v>0</v>
      </c>
      <c r="E1408" s="2">
        <v>0</v>
      </c>
      <c r="F1408" s="2">
        <v>0</v>
      </c>
      <c r="G1408" s="2">
        <v>0</v>
      </c>
      <c r="H1408" s="1" t="s">
        <v>0</v>
      </c>
      <c r="I1408" s="2">
        <v>0</v>
      </c>
      <c r="J1408" s="1">
        <v>45915.378958333335</v>
      </c>
    </row>
    <row r="1409" spans="1:10" x14ac:dyDescent="0.2">
      <c r="A1409" s="4" t="s">
        <v>1</v>
      </c>
      <c r="B1409" s="3" t="str">
        <f>HYPERLINK("https://otsuka-europe-crm.veevavault.com/ui/#object/approved_document__v/V5OZ025E82TFUPI", "Spain - HCP Survey Email - June 2025")</f>
        <v>Spain - HCP Survey Email - June 2025</v>
      </c>
      <c r="C1409" s="3" t="str">
        <f>HYPERLINK("https://otsuka-europe-crm.veevavault.com/ui/#object/sent_email__v/VBLZ025E82GMYM9", "SE-000268487")</f>
        <v>SE-000268487</v>
      </c>
      <c r="D1409" s="1" t="s">
        <v>0</v>
      </c>
      <c r="E1409" s="2">
        <v>0</v>
      </c>
      <c r="F1409" s="2">
        <v>0</v>
      </c>
      <c r="G1409" s="2">
        <v>0</v>
      </c>
      <c r="H1409" s="1" t="s">
        <v>0</v>
      </c>
      <c r="I1409" s="2">
        <v>0</v>
      </c>
      <c r="J1409" s="1">
        <v>45915.378692129627</v>
      </c>
    </row>
    <row r="1410" spans="1:10" x14ac:dyDescent="0.2">
      <c r="A1410" s="4" t="s">
        <v>1</v>
      </c>
      <c r="B1410" s="3" t="str">
        <f>HYPERLINK("https://otsuka-europe-crm.veevavault.com/ui/#object/approved_document__v/V5OZ025E82TFUPI", "Spain - HCP Survey Email - June 2025")</f>
        <v>Spain - HCP Survey Email - June 2025</v>
      </c>
      <c r="C1410" s="3" t="str">
        <f>HYPERLINK("https://otsuka-europe-crm.veevavault.com/ui/#object/sent_email__v/VBLZ025E82GMYMB", "SE-000268489")</f>
        <v>SE-000268489</v>
      </c>
      <c r="D1410" s="1">
        <v>45915.483437499999</v>
      </c>
      <c r="E1410" s="2">
        <v>1</v>
      </c>
      <c r="F1410" s="2">
        <v>1</v>
      </c>
      <c r="G1410" s="2">
        <v>0</v>
      </c>
      <c r="H1410" s="1" t="s">
        <v>0</v>
      </c>
      <c r="I1410" s="2">
        <v>0</v>
      </c>
      <c r="J1410" s="1">
        <v>45915.377858796295</v>
      </c>
    </row>
    <row r="1411" spans="1:10" x14ac:dyDescent="0.2">
      <c r="A1411" s="4" t="s">
        <v>1</v>
      </c>
      <c r="B1411" s="3" t="str">
        <f>HYPERLINK("https://otsuka-europe-crm.veevavault.com/ui/#object/approved_document__v/V5OZ025E82TFUPI", "Spain - HCP Survey Email - June 2025")</f>
        <v>Spain - HCP Survey Email - June 2025</v>
      </c>
      <c r="C1411" s="3" t="str">
        <f>HYPERLINK("https://otsuka-europe-crm.veevavault.com/ui/#object/sent_email__v/VBLZ025E82GMYMC", "SE-000268490")</f>
        <v>SE-000268490</v>
      </c>
      <c r="D1411" s="1" t="s">
        <v>0</v>
      </c>
      <c r="E1411" s="2">
        <v>0</v>
      </c>
      <c r="F1411" s="2">
        <v>0</v>
      </c>
      <c r="G1411" s="2">
        <v>0</v>
      </c>
      <c r="H1411" s="1" t="s">
        <v>0</v>
      </c>
      <c r="I1411" s="2">
        <v>0</v>
      </c>
      <c r="J1411" s="1">
        <v>45915.378194444442</v>
      </c>
    </row>
    <row r="1412" spans="1:10" x14ac:dyDescent="0.2">
      <c r="A1412" s="4" t="s">
        <v>1</v>
      </c>
      <c r="B1412" s="3" t="str">
        <f>HYPERLINK("https://otsuka-europe-crm.veevavault.com/ui/#object/approved_document__v/V5OZ025E82TFUPI", "Spain - HCP Survey Email - June 2025")</f>
        <v>Spain - HCP Survey Email - June 2025</v>
      </c>
      <c r="C1412" s="3" t="str">
        <f>HYPERLINK("https://otsuka-europe-crm.veevavault.com/ui/#object/sent_email__v/VBLZ025E82GMYMD", "SE-000268491")</f>
        <v>SE-000268491</v>
      </c>
      <c r="D1412" s="1" t="s">
        <v>0</v>
      </c>
      <c r="E1412" s="2">
        <v>0</v>
      </c>
      <c r="F1412" s="2">
        <v>0</v>
      </c>
      <c r="G1412" s="2">
        <v>0</v>
      </c>
      <c r="H1412" s="1" t="s">
        <v>0</v>
      </c>
      <c r="I1412" s="2">
        <v>0</v>
      </c>
      <c r="J1412" s="1">
        <v>45915.378067129626</v>
      </c>
    </row>
    <row r="1413" spans="1:10" x14ac:dyDescent="0.2">
      <c r="A1413" s="4" t="s">
        <v>1</v>
      </c>
      <c r="B1413" s="3" t="str">
        <f>HYPERLINK("https://otsuka-europe-crm.veevavault.com/ui/#object/approved_document__v/V5OZ025E82TFUPI", "Spain - HCP Survey Email - June 2025")</f>
        <v>Spain - HCP Survey Email - June 2025</v>
      </c>
      <c r="C1413" s="3" t="str">
        <f>HYPERLINK("https://otsuka-europe-crm.veevavault.com/ui/#object/sent_email__v/VBLZ025E82GMYME", "SE-000268492")</f>
        <v>SE-000268492</v>
      </c>
      <c r="D1413" s="1">
        <v>45918.95113425926</v>
      </c>
      <c r="E1413" s="2">
        <v>1</v>
      </c>
      <c r="F1413" s="2">
        <v>2</v>
      </c>
      <c r="G1413" s="2">
        <v>0</v>
      </c>
      <c r="H1413" s="1" t="s">
        <v>0</v>
      </c>
      <c r="I1413" s="2">
        <v>0</v>
      </c>
      <c r="J1413" s="1">
        <v>45915.378495370373</v>
      </c>
    </row>
    <row r="1414" spans="1:10" x14ac:dyDescent="0.2">
      <c r="A1414" s="4" t="s">
        <v>1</v>
      </c>
      <c r="B1414" s="3" t="str">
        <f>HYPERLINK("https://otsuka-europe-crm.veevavault.com/ui/#object/approved_document__v/V5OZ025E82TFUPI", "Spain - HCP Survey Email - June 2025")</f>
        <v>Spain - HCP Survey Email - June 2025</v>
      </c>
      <c r="C1414" s="3" t="str">
        <f>HYPERLINK("https://otsuka-europe-crm.veevavault.com/ui/#object/sent_email__v/VBLZ025E82GMYMF", "SE-000268493")</f>
        <v>SE-000268493</v>
      </c>
      <c r="D1414" s="1" t="s">
        <v>0</v>
      </c>
      <c r="E1414" s="2">
        <v>0</v>
      </c>
      <c r="F1414" s="2">
        <v>0</v>
      </c>
      <c r="G1414" s="2">
        <v>0</v>
      </c>
      <c r="H1414" s="1" t="s">
        <v>0</v>
      </c>
      <c r="I1414" s="2">
        <v>0</v>
      </c>
      <c r="J1414" s="1">
        <v>45915.379756944443</v>
      </c>
    </row>
    <row r="1415" spans="1:10" x14ac:dyDescent="0.2">
      <c r="A1415" s="4" t="s">
        <v>1</v>
      </c>
      <c r="B1415" s="3" t="str">
        <f>HYPERLINK("https://otsuka-europe-crm.veevavault.com/ui/#object/approved_document__v/V5OZ025E82TFUPI", "Spain - HCP Survey Email - June 2025")</f>
        <v>Spain - HCP Survey Email - June 2025</v>
      </c>
      <c r="C1415" s="3" t="str">
        <f>HYPERLINK("https://otsuka-europe-crm.veevavault.com/ui/#object/sent_email__v/VBLZ025E82GMYMG", "SE-000268494")</f>
        <v>SE-000268494</v>
      </c>
      <c r="D1415" s="1" t="s">
        <v>0</v>
      </c>
      <c r="E1415" s="2">
        <v>0</v>
      </c>
      <c r="F1415" s="2">
        <v>0</v>
      </c>
      <c r="G1415" s="2">
        <v>0</v>
      </c>
      <c r="H1415" s="1" t="s">
        <v>0</v>
      </c>
      <c r="I1415" s="2">
        <v>0</v>
      </c>
      <c r="J1415" s="1">
        <v>45915.377800925926</v>
      </c>
    </row>
    <row r="1416" spans="1:10" x14ac:dyDescent="0.2">
      <c r="A1416" s="4" t="s">
        <v>1</v>
      </c>
      <c r="B1416" s="3" t="str">
        <f>HYPERLINK("https://otsuka-europe-crm.veevavault.com/ui/#object/approved_document__v/V5OZ025E82TFUPI", "Spain - HCP Survey Email - June 2025")</f>
        <v>Spain - HCP Survey Email - June 2025</v>
      </c>
      <c r="C1416" s="3" t="str">
        <f>HYPERLINK("https://otsuka-europe-crm.veevavault.com/ui/#object/sent_email__v/VBLZ025E82GMYMH", "SE-000268495")</f>
        <v>SE-000268495</v>
      </c>
      <c r="D1416" s="1" t="s">
        <v>0</v>
      </c>
      <c r="E1416" s="2">
        <v>0</v>
      </c>
      <c r="F1416" s="2">
        <v>0</v>
      </c>
      <c r="G1416" s="2">
        <v>0</v>
      </c>
      <c r="H1416" s="1" t="s">
        <v>0</v>
      </c>
      <c r="I1416" s="2">
        <v>0</v>
      </c>
      <c r="J1416" s="1">
        <v>45915.377615740741</v>
      </c>
    </row>
    <row r="1417" spans="1:10" x14ac:dyDescent="0.2">
      <c r="A1417" s="4" t="s">
        <v>1</v>
      </c>
      <c r="B1417" s="3" t="str">
        <f>HYPERLINK("https://otsuka-europe-crm.veevavault.com/ui/#object/approved_document__v/V5OZ025E82TFUPI", "Spain - HCP Survey Email - June 2025")</f>
        <v>Spain - HCP Survey Email - June 2025</v>
      </c>
      <c r="C1417" s="3" t="str">
        <f>HYPERLINK("https://otsuka-europe-crm.veevavault.com/ui/#object/sent_email__v/VBLZ025E82GMYMI", "SE-000268496")</f>
        <v>SE-000268496</v>
      </c>
      <c r="D1417" s="1" t="s">
        <v>0</v>
      </c>
      <c r="E1417" s="2">
        <v>0</v>
      </c>
      <c r="F1417" s="2">
        <v>0</v>
      </c>
      <c r="G1417" s="2">
        <v>0</v>
      </c>
      <c r="H1417" s="1" t="s">
        <v>0</v>
      </c>
      <c r="I1417" s="2">
        <v>0</v>
      </c>
      <c r="J1417" s="1">
        <v>45915.377986111111</v>
      </c>
    </row>
    <row r="1418" spans="1:10" x14ac:dyDescent="0.2">
      <c r="A1418" s="4" t="s">
        <v>1</v>
      </c>
      <c r="B1418" s="3" t="str">
        <f>HYPERLINK("https://otsuka-europe-crm.veevavault.com/ui/#object/approved_document__v/V5OZ025E82TFUPI", "Spain - HCP Survey Email - June 2025")</f>
        <v>Spain - HCP Survey Email - June 2025</v>
      </c>
      <c r="C1418" s="3" t="str">
        <f>HYPERLINK("https://otsuka-europe-crm.veevavault.com/ui/#object/sent_email__v/VBLZ025E82GMYMJ", "SE-000268497")</f>
        <v>SE-000268497</v>
      </c>
      <c r="D1418" s="1" t="s">
        <v>0</v>
      </c>
      <c r="E1418" s="2">
        <v>0</v>
      </c>
      <c r="F1418" s="2">
        <v>0</v>
      </c>
      <c r="G1418" s="2">
        <v>0</v>
      </c>
      <c r="H1418" s="1" t="s">
        <v>0</v>
      </c>
      <c r="I1418" s="2">
        <v>0</v>
      </c>
      <c r="J1418" s="1">
        <v>45915.379016203704</v>
      </c>
    </row>
    <row r="1419" spans="1:10" x14ac:dyDescent="0.2">
      <c r="A1419" s="4" t="s">
        <v>1</v>
      </c>
      <c r="B1419" s="3" t="str">
        <f>HYPERLINK("https://otsuka-europe-crm.veevavault.com/ui/#object/approved_document__v/V5OZ025E82TFUPI", "Spain - HCP Survey Email - June 2025")</f>
        <v>Spain - HCP Survey Email - June 2025</v>
      </c>
      <c r="C1419" s="3" t="str">
        <f>HYPERLINK("https://otsuka-europe-crm.veevavault.com/ui/#object/sent_email__v/VBLZ025E82GMYMK", "SE-000268498")</f>
        <v>SE-000268498</v>
      </c>
      <c r="D1419" s="1" t="s">
        <v>0</v>
      </c>
      <c r="E1419" s="2">
        <v>0</v>
      </c>
      <c r="F1419" s="2">
        <v>0</v>
      </c>
      <c r="G1419" s="2">
        <v>0</v>
      </c>
      <c r="H1419" s="1" t="s">
        <v>0</v>
      </c>
      <c r="I1419" s="2">
        <v>0</v>
      </c>
      <c r="J1419" s="1">
        <v>45915.379513888889</v>
      </c>
    </row>
    <row r="1420" spans="1:10" x14ac:dyDescent="0.2">
      <c r="A1420" s="4" t="s">
        <v>1</v>
      </c>
      <c r="B1420" s="3" t="str">
        <f>HYPERLINK("https://otsuka-europe-crm.veevavault.com/ui/#object/approved_document__v/V5OZ025E82TFUPI", "Spain - HCP Survey Email - June 2025")</f>
        <v>Spain - HCP Survey Email - June 2025</v>
      </c>
      <c r="C1420" s="3" t="str">
        <f>HYPERLINK("https://otsuka-europe-crm.veevavault.com/ui/#object/sent_email__v/VBLZ025E82GMYML", "SE-000268499")</f>
        <v>SE-000268499</v>
      </c>
      <c r="D1420" s="1">
        <v>45915.524884259263</v>
      </c>
      <c r="E1420" s="2">
        <v>1</v>
      </c>
      <c r="F1420" s="2">
        <v>2</v>
      </c>
      <c r="G1420" s="2">
        <v>0</v>
      </c>
      <c r="H1420" s="1" t="s">
        <v>0</v>
      </c>
      <c r="I1420" s="2">
        <v>0</v>
      </c>
      <c r="J1420" s="1">
        <v>45915.37908564815</v>
      </c>
    </row>
    <row r="1421" spans="1:10" x14ac:dyDescent="0.2">
      <c r="A1421" s="4" t="s">
        <v>1</v>
      </c>
      <c r="B1421" s="3" t="str">
        <f>HYPERLINK("https://otsuka-europe-crm.veevavault.com/ui/#object/approved_document__v/V5OZ025E82TFUPI", "Spain - HCP Survey Email - June 2025")</f>
        <v>Spain - HCP Survey Email - June 2025</v>
      </c>
      <c r="C1421" s="3" t="str">
        <f>HYPERLINK("https://otsuka-europe-crm.veevavault.com/ui/#object/sent_email__v/VBLZ025E82GMYMM", "SE-000268500")</f>
        <v>SE-000268500</v>
      </c>
      <c r="D1421" s="1">
        <v>45915.931469907409</v>
      </c>
      <c r="E1421" s="2">
        <v>1</v>
      </c>
      <c r="F1421" s="2">
        <v>1</v>
      </c>
      <c r="G1421" s="2">
        <v>0</v>
      </c>
      <c r="H1421" s="1" t="s">
        <v>0</v>
      </c>
      <c r="I1421" s="2">
        <v>0</v>
      </c>
      <c r="J1421" s="1">
        <v>45915.377893518518</v>
      </c>
    </row>
    <row r="1422" spans="1:10" x14ac:dyDescent="0.2">
      <c r="A1422" s="4" t="s">
        <v>1</v>
      </c>
      <c r="B1422" s="3" t="str">
        <f>HYPERLINK("https://otsuka-europe-crm.veevavault.com/ui/#object/approved_document__v/V5OZ025E82TFUPI", "Spain - HCP Survey Email - June 2025")</f>
        <v>Spain - HCP Survey Email - June 2025</v>
      </c>
      <c r="C1422" s="3" t="str">
        <f>HYPERLINK("https://otsuka-europe-crm.veevavault.com/ui/#object/sent_email__v/VBLZ025E82GMYMN", "SE-000268501")</f>
        <v>SE-000268501</v>
      </c>
      <c r="D1422" s="1" t="s">
        <v>0</v>
      </c>
      <c r="E1422" s="2">
        <v>0</v>
      </c>
      <c r="F1422" s="2">
        <v>0</v>
      </c>
      <c r="G1422" s="2">
        <v>0</v>
      </c>
      <c r="H1422" s="1" t="s">
        <v>0</v>
      </c>
      <c r="I1422" s="2">
        <v>0</v>
      </c>
      <c r="J1422" s="1">
        <v>45915.378240740742</v>
      </c>
    </row>
    <row r="1423" spans="1:10" x14ac:dyDescent="0.2">
      <c r="A1423" s="4" t="s">
        <v>1</v>
      </c>
      <c r="B1423" s="3" t="str">
        <f>HYPERLINK("https://otsuka-europe-crm.veevavault.com/ui/#object/approved_document__v/V5OZ025E82TFUPI", "Spain - HCP Survey Email - June 2025")</f>
        <v>Spain - HCP Survey Email - June 2025</v>
      </c>
      <c r="C1423" s="3" t="str">
        <f>HYPERLINK("https://otsuka-europe-crm.veevavault.com/ui/#object/sent_email__v/VBLZ025E82GMYMO", "SE-000268502")</f>
        <v>SE-000268502</v>
      </c>
      <c r="D1423" s="1" t="s">
        <v>0</v>
      </c>
      <c r="E1423" s="2">
        <v>0</v>
      </c>
      <c r="F1423" s="2">
        <v>0</v>
      </c>
      <c r="G1423" s="2">
        <v>0</v>
      </c>
      <c r="H1423" s="1" t="s">
        <v>0</v>
      </c>
      <c r="I1423" s="2">
        <v>0</v>
      </c>
      <c r="J1423" s="1">
        <v>45915.378020833334</v>
      </c>
    </row>
    <row r="1424" spans="1:10" x14ac:dyDescent="0.2">
      <c r="A1424" s="4" t="s">
        <v>1</v>
      </c>
      <c r="B1424" s="3" t="str">
        <f>HYPERLINK("https://otsuka-europe-crm.veevavault.com/ui/#object/approved_document__v/V5OZ025E82TFUPI", "Spain - HCP Survey Email - June 2025")</f>
        <v>Spain - HCP Survey Email - June 2025</v>
      </c>
      <c r="C1424" s="3" t="str">
        <f>HYPERLINK("https://otsuka-europe-crm.veevavault.com/ui/#object/sent_email__v/VBLZ025E82GMYMP", "SE-000268503")</f>
        <v>SE-000268503</v>
      </c>
      <c r="D1424" s="1">
        <v>45915.381284722222</v>
      </c>
      <c r="E1424" s="2">
        <v>1</v>
      </c>
      <c r="F1424" s="2">
        <v>2</v>
      </c>
      <c r="G1424" s="2">
        <v>0</v>
      </c>
      <c r="H1424" s="1" t="s">
        <v>0</v>
      </c>
      <c r="I1424" s="2">
        <v>0</v>
      </c>
      <c r="J1424" s="1">
        <v>45915.378530092596</v>
      </c>
    </row>
    <row r="1425" spans="1:10" x14ac:dyDescent="0.2">
      <c r="A1425" s="4" t="s">
        <v>1</v>
      </c>
      <c r="B1425" s="3" t="str">
        <f>HYPERLINK("https://otsuka-europe-crm.veevavault.com/ui/#object/approved_document__v/V5OZ025E82TFUPI", "Spain - HCP Survey Email - June 2025")</f>
        <v>Spain - HCP Survey Email - June 2025</v>
      </c>
      <c r="C1425" s="3" t="str">
        <f>HYPERLINK("https://otsuka-europe-crm.veevavault.com/ui/#object/sent_email__v/VBLZ025E82GMYMQ", "SE-000268504")</f>
        <v>SE-000268504</v>
      </c>
      <c r="D1425" s="1">
        <v>45915.621759259258</v>
      </c>
      <c r="E1425" s="2">
        <v>1</v>
      </c>
      <c r="F1425" s="2">
        <v>3</v>
      </c>
      <c r="G1425" s="2">
        <v>0</v>
      </c>
      <c r="H1425" s="1" t="s">
        <v>0</v>
      </c>
      <c r="I1425" s="2">
        <v>0</v>
      </c>
      <c r="J1425" s="1">
        <v>45915.377916666665</v>
      </c>
    </row>
    <row r="1426" spans="1:10" x14ac:dyDescent="0.2">
      <c r="A1426" s="4" t="s">
        <v>1</v>
      </c>
      <c r="B1426" s="3" t="str">
        <f>HYPERLINK("https://otsuka-europe-crm.veevavault.com/ui/#object/approved_document__v/V5OZ025E82TFUPI", "Spain - HCP Survey Email - June 2025")</f>
        <v>Spain - HCP Survey Email - June 2025</v>
      </c>
      <c r="C1426" s="3" t="str">
        <f>HYPERLINK("https://otsuka-europe-crm.veevavault.com/ui/#object/sent_email__v/VBLZ025E82GMYMR", "SE-000268505")</f>
        <v>SE-000268505</v>
      </c>
      <c r="D1426" s="1">
        <v>45915.413402777776</v>
      </c>
      <c r="E1426" s="2">
        <v>1</v>
      </c>
      <c r="F1426" s="2">
        <v>1</v>
      </c>
      <c r="G1426" s="2">
        <v>0</v>
      </c>
      <c r="H1426" s="1" t="s">
        <v>0</v>
      </c>
      <c r="I1426" s="2">
        <v>0</v>
      </c>
      <c r="J1426" s="1">
        <v>45915.378182870372</v>
      </c>
    </row>
    <row r="1427" spans="1:10" x14ac:dyDescent="0.2">
      <c r="A1427" s="4" t="s">
        <v>1</v>
      </c>
      <c r="B1427" s="3" t="str">
        <f>HYPERLINK("https://otsuka-europe-crm.veevavault.com/ui/#object/approved_document__v/V5OZ025E82TFUPI", "Spain - HCP Survey Email - June 2025")</f>
        <v>Spain - HCP Survey Email - June 2025</v>
      </c>
      <c r="C1427" s="3" t="str">
        <f>HYPERLINK("https://otsuka-europe-crm.veevavault.com/ui/#object/sent_email__v/VBLZ025E82GMYMS", "SE-000268506")</f>
        <v>SE-000268506</v>
      </c>
      <c r="D1427" s="1">
        <v>45915.930891203701</v>
      </c>
      <c r="E1427" s="2">
        <v>1</v>
      </c>
      <c r="F1427" s="2">
        <v>1</v>
      </c>
      <c r="G1427" s="2">
        <v>1</v>
      </c>
      <c r="H1427" s="1">
        <v>45916.742048611108</v>
      </c>
      <c r="I1427" s="2">
        <v>2</v>
      </c>
      <c r="J1427" s="1">
        <v>45915.378020833334</v>
      </c>
    </row>
    <row r="1428" spans="1:10" x14ac:dyDescent="0.2">
      <c r="A1428" s="4" t="s">
        <v>1</v>
      </c>
      <c r="B1428" s="3" t="str">
        <f>HYPERLINK("https://otsuka-europe-crm.veevavault.com/ui/#object/approved_document__v/V5OZ025E82TFUPI", "Spain - HCP Survey Email - June 2025")</f>
        <v>Spain - HCP Survey Email - June 2025</v>
      </c>
      <c r="C1428" s="3" t="str">
        <f>HYPERLINK("https://otsuka-europe-crm.veevavault.com/ui/#object/sent_email__v/VBLZ025E82GMYMT", "SE-000268507")</f>
        <v>SE-000268507</v>
      </c>
      <c r="D1428" s="1">
        <v>45915.379120370373</v>
      </c>
      <c r="E1428" s="2">
        <v>1</v>
      </c>
      <c r="F1428" s="2">
        <v>2</v>
      </c>
      <c r="G1428" s="2">
        <v>0</v>
      </c>
      <c r="H1428" s="1" t="s">
        <v>0</v>
      </c>
      <c r="I1428" s="2">
        <v>0</v>
      </c>
      <c r="J1428" s="1">
        <v>45915.378518518519</v>
      </c>
    </row>
    <row r="1429" spans="1:10" x14ac:dyDescent="0.2">
      <c r="A1429" s="4" t="s">
        <v>1</v>
      </c>
      <c r="B1429" s="3" t="str">
        <f>HYPERLINK("https://otsuka-europe-crm.veevavault.com/ui/#object/approved_document__v/V5OZ025E82TFUPI", "Spain - HCP Survey Email - June 2025")</f>
        <v>Spain - HCP Survey Email - June 2025</v>
      </c>
      <c r="C1429" s="3" t="str">
        <f>HYPERLINK("https://otsuka-europe-crm.veevavault.com/ui/#object/sent_email__v/VBLZ025E82GMYMU", "SE-000268508")</f>
        <v>SE-000268508</v>
      </c>
      <c r="D1429" s="1">
        <v>45915.736400462964</v>
      </c>
      <c r="E1429" s="2">
        <v>1</v>
      </c>
      <c r="F1429" s="2">
        <v>2</v>
      </c>
      <c r="G1429" s="2">
        <v>1</v>
      </c>
      <c r="H1429" s="1">
        <v>45915.736493055556</v>
      </c>
      <c r="I1429" s="2">
        <v>1</v>
      </c>
      <c r="J1429" s="1">
        <v>45915.379942129628</v>
      </c>
    </row>
    <row r="1430" spans="1:10" x14ac:dyDescent="0.2">
      <c r="A1430" s="4" t="s">
        <v>1</v>
      </c>
      <c r="B1430" s="3" t="str">
        <f>HYPERLINK("https://otsuka-europe-crm.veevavault.com/ui/#object/approved_document__v/V5OZ025E82TFUPI", "Spain - HCP Survey Email - June 2025")</f>
        <v>Spain - HCP Survey Email - June 2025</v>
      </c>
      <c r="C1430" s="3" t="str">
        <f>HYPERLINK("https://otsuka-europe-crm.veevavault.com/ui/#object/sent_email__v/VBLZ025E82GMYMV", "SE-000268509")</f>
        <v>SE-000268509</v>
      </c>
      <c r="D1430" s="1" t="s">
        <v>0</v>
      </c>
      <c r="E1430" s="2">
        <v>0</v>
      </c>
      <c r="F1430" s="2">
        <v>0</v>
      </c>
      <c r="G1430" s="2">
        <v>0</v>
      </c>
      <c r="H1430" s="1" t="s">
        <v>0</v>
      </c>
      <c r="I1430" s="2">
        <v>0</v>
      </c>
      <c r="J1430" s="1">
        <v>45915.377766203703</v>
      </c>
    </row>
    <row r="1431" spans="1:10" x14ac:dyDescent="0.2">
      <c r="A1431" s="4" t="s">
        <v>1</v>
      </c>
      <c r="B1431" s="3" t="str">
        <f>HYPERLINK("https://otsuka-europe-crm.veevavault.com/ui/#object/approved_document__v/V5OZ025E82TFUPI", "Spain - HCP Survey Email - June 2025")</f>
        <v>Spain - HCP Survey Email - June 2025</v>
      </c>
      <c r="C1431" s="3" t="str">
        <f>HYPERLINK("https://otsuka-europe-crm.veevavault.com/ui/#object/sent_email__v/VBLZ025E82GMYMW", "SE-000268510")</f>
        <v>SE-000268510</v>
      </c>
      <c r="D1431" s="1">
        <v>45918.056527777779</v>
      </c>
      <c r="E1431" s="2">
        <v>1</v>
      </c>
      <c r="F1431" s="2">
        <v>3</v>
      </c>
      <c r="G1431" s="2">
        <v>0</v>
      </c>
      <c r="H1431" s="1" t="s">
        <v>0</v>
      </c>
      <c r="I1431" s="2">
        <v>0</v>
      </c>
      <c r="J1431" s="1">
        <v>45915.377638888887</v>
      </c>
    </row>
    <row r="1432" spans="1:10" x14ac:dyDescent="0.2">
      <c r="A1432" s="4" t="s">
        <v>1</v>
      </c>
      <c r="B1432" s="3" t="str">
        <f>HYPERLINK("https://otsuka-europe-crm.veevavault.com/ui/#object/approved_document__v/V5OZ025E82TFUPI", "Spain - HCP Survey Email - June 2025")</f>
        <v>Spain - HCP Survey Email - June 2025</v>
      </c>
      <c r="C1432" s="3" t="str">
        <f>HYPERLINK("https://otsuka-europe-crm.veevavault.com/ui/#object/sent_email__v/VBLZ025E82GMYMX", "SE-000268511")</f>
        <v>SE-000268511</v>
      </c>
      <c r="D1432" s="1">
        <v>45915.409363425926</v>
      </c>
      <c r="E1432" s="2">
        <v>1</v>
      </c>
      <c r="F1432" s="2">
        <v>1</v>
      </c>
      <c r="G1432" s="2">
        <v>0</v>
      </c>
      <c r="H1432" s="1" t="s">
        <v>0</v>
      </c>
      <c r="I1432" s="2">
        <v>0</v>
      </c>
      <c r="J1432" s="1">
        <v>45915.377928240741</v>
      </c>
    </row>
    <row r="1433" spans="1:10" x14ac:dyDescent="0.2">
      <c r="A1433" s="4" t="s">
        <v>1</v>
      </c>
      <c r="B1433" s="3" t="str">
        <f>HYPERLINK("https://otsuka-europe-crm.veevavault.com/ui/#object/approved_document__v/V5OZ025E82TFUPI", "Spain - HCP Survey Email - June 2025")</f>
        <v>Spain - HCP Survey Email - June 2025</v>
      </c>
      <c r="C1433" s="3" t="str">
        <f>HYPERLINK("https://otsuka-europe-crm.veevavault.com/ui/#object/sent_email__v/VBLZ025E82GMYMY", "SE-000268512")</f>
        <v>SE-000268512</v>
      </c>
      <c r="D1433" s="1" t="s">
        <v>0</v>
      </c>
      <c r="E1433" s="2">
        <v>0</v>
      </c>
      <c r="F1433" s="2">
        <v>0</v>
      </c>
      <c r="G1433" s="2">
        <v>0</v>
      </c>
      <c r="H1433" s="1" t="s">
        <v>0</v>
      </c>
      <c r="I1433" s="2">
        <v>0</v>
      </c>
      <c r="J1433" s="1">
        <v>45915.379016203704</v>
      </c>
    </row>
    <row r="1434" spans="1:10" x14ac:dyDescent="0.2">
      <c r="A1434" s="4" t="s">
        <v>1</v>
      </c>
      <c r="B1434" s="3" t="str">
        <f>HYPERLINK("https://otsuka-europe-crm.veevavault.com/ui/#object/approved_document__v/V5OZ025E82TFUPI", "Spain - HCP Survey Email - June 2025")</f>
        <v>Spain - HCP Survey Email - June 2025</v>
      </c>
      <c r="C1434" s="3" t="str">
        <f>HYPERLINK("https://otsuka-europe-crm.veevavault.com/ui/#object/sent_email__v/VBLZ025E82GMYMZ", "SE-000268513")</f>
        <v>SE-000268513</v>
      </c>
      <c r="D1434" s="1">
        <v>45917.722754629627</v>
      </c>
      <c r="E1434" s="2">
        <v>1</v>
      </c>
      <c r="F1434" s="2">
        <v>1</v>
      </c>
      <c r="G1434" s="2">
        <v>0</v>
      </c>
      <c r="H1434" s="1" t="s">
        <v>0</v>
      </c>
      <c r="I1434" s="2">
        <v>0</v>
      </c>
      <c r="J1434" s="1">
        <v>45915.378784722219</v>
      </c>
    </row>
    <row r="1435" spans="1:10" x14ac:dyDescent="0.2">
      <c r="A1435" s="4" t="s">
        <v>1</v>
      </c>
      <c r="B1435" s="3" t="str">
        <f>HYPERLINK("https://otsuka-europe-crm.veevavault.com/ui/#object/approved_document__v/V5OZ025E82TFUPI", "Spain - HCP Survey Email - June 2025")</f>
        <v>Spain - HCP Survey Email - June 2025</v>
      </c>
      <c r="C1435" s="3" t="str">
        <f>HYPERLINK("https://otsuka-europe-crm.veevavault.com/ui/#object/sent_email__v/VBLZ025E82GMYN0", "SE-000268514")</f>
        <v>SE-000268514</v>
      </c>
      <c r="D1435" s="1" t="s">
        <v>0</v>
      </c>
      <c r="E1435" s="2">
        <v>0</v>
      </c>
      <c r="F1435" s="2">
        <v>0</v>
      </c>
      <c r="G1435" s="2">
        <v>0</v>
      </c>
      <c r="H1435" s="1" t="s">
        <v>0</v>
      </c>
      <c r="I1435" s="2">
        <v>0</v>
      </c>
      <c r="J1435" s="1">
        <v>45915.379120370373</v>
      </c>
    </row>
    <row r="1436" spans="1:10" x14ac:dyDescent="0.2">
      <c r="A1436" s="4" t="s">
        <v>1</v>
      </c>
      <c r="B1436" s="3" t="str">
        <f>HYPERLINK("https://otsuka-europe-crm.veevavault.com/ui/#object/approved_document__v/V5OZ025E82TFUPI", "Spain - HCP Survey Email - June 2025")</f>
        <v>Spain - HCP Survey Email - June 2025</v>
      </c>
      <c r="C1436" s="3" t="str">
        <f>HYPERLINK("https://otsuka-europe-crm.veevavault.com/ui/#object/sent_email__v/VBLZ025E82GMYN1", "SE-000268515")</f>
        <v>SE-000268515</v>
      </c>
      <c r="D1436" s="1">
        <v>45915.930451388886</v>
      </c>
      <c r="E1436" s="2">
        <v>1</v>
      </c>
      <c r="F1436" s="2">
        <v>1</v>
      </c>
      <c r="G1436" s="2">
        <v>0</v>
      </c>
      <c r="H1436" s="1" t="s">
        <v>0</v>
      </c>
      <c r="I1436" s="2">
        <v>0</v>
      </c>
      <c r="J1436" s="1">
        <v>45915.377789351849</v>
      </c>
    </row>
    <row r="1437" spans="1:10" x14ac:dyDescent="0.2">
      <c r="A1437" s="4" t="s">
        <v>1</v>
      </c>
      <c r="B1437" s="3" t="str">
        <f>HYPERLINK("https://otsuka-europe-crm.veevavault.com/ui/#object/approved_document__v/V5OZ025E82TFUPI", "Spain - HCP Survey Email - June 2025")</f>
        <v>Spain - HCP Survey Email - June 2025</v>
      </c>
      <c r="C1437" s="3" t="str">
        <f>HYPERLINK("https://otsuka-europe-crm.veevavault.com/ui/#object/sent_email__v/VBLZ025E82GMYN2", "SE-000268516")</f>
        <v>SE-000268516</v>
      </c>
      <c r="D1437" s="1" t="s">
        <v>0</v>
      </c>
      <c r="E1437" s="2">
        <v>0</v>
      </c>
      <c r="F1437" s="2">
        <v>0</v>
      </c>
      <c r="G1437" s="2">
        <v>0</v>
      </c>
      <c r="H1437" s="1" t="s">
        <v>0</v>
      </c>
      <c r="I1437" s="2">
        <v>0</v>
      </c>
      <c r="J1437" s="1">
        <v>45915.378182870372</v>
      </c>
    </row>
    <row r="1438" spans="1:10" x14ac:dyDescent="0.2">
      <c r="A1438" s="4" t="s">
        <v>1</v>
      </c>
      <c r="B1438" s="3" t="str">
        <f>HYPERLINK("https://otsuka-europe-crm.veevavault.com/ui/#object/approved_document__v/V5OZ025E82TFUPI", "Spain - HCP Survey Email - June 2025")</f>
        <v>Spain - HCP Survey Email - June 2025</v>
      </c>
      <c r="C1438" s="3" t="str">
        <f>HYPERLINK("https://otsuka-europe-crm.veevavault.com/ui/#object/sent_email__v/VBLZ025E82GMYN3", "SE-000268517")</f>
        <v>SE-000268517</v>
      </c>
      <c r="D1438" s="1" t="s">
        <v>0</v>
      </c>
      <c r="E1438" s="2">
        <v>0</v>
      </c>
      <c r="F1438" s="2">
        <v>0</v>
      </c>
      <c r="G1438" s="2">
        <v>0</v>
      </c>
      <c r="H1438" s="1" t="s">
        <v>0</v>
      </c>
      <c r="I1438" s="2">
        <v>0</v>
      </c>
      <c r="J1438" s="1">
        <v>45915.378067129626</v>
      </c>
    </row>
    <row r="1439" spans="1:10" x14ac:dyDescent="0.2">
      <c r="A1439" s="4" t="s">
        <v>1</v>
      </c>
      <c r="B1439" s="3" t="str">
        <f>HYPERLINK("https://otsuka-europe-crm.veevavault.com/ui/#object/approved_document__v/V5OZ025E82TFUPI", "Spain - HCP Survey Email - June 2025")</f>
        <v>Spain - HCP Survey Email - June 2025</v>
      </c>
      <c r="C1439" s="3" t="str">
        <f>HYPERLINK("https://otsuka-europe-crm.veevavault.com/ui/#object/sent_email__v/VBLZ025E82GMYN4", "SE-000268518")</f>
        <v>SE-000268518</v>
      </c>
      <c r="D1439" s="1">
        <v>45915.378645833334</v>
      </c>
      <c r="E1439" s="2">
        <v>1</v>
      </c>
      <c r="F1439" s="2">
        <v>1</v>
      </c>
      <c r="G1439" s="2">
        <v>1</v>
      </c>
      <c r="H1439" s="1">
        <v>45915.378981481481</v>
      </c>
      <c r="I1439" s="2">
        <v>2</v>
      </c>
      <c r="J1439" s="1">
        <v>45915.378449074073</v>
      </c>
    </row>
    <row r="1440" spans="1:10" x14ac:dyDescent="0.2">
      <c r="A1440" s="4" t="s">
        <v>1</v>
      </c>
      <c r="B1440" s="3" t="str">
        <f>HYPERLINK("https://otsuka-europe-crm.veevavault.com/ui/#object/approved_document__v/V5OZ025E82TFUPI", "Spain - HCP Survey Email - June 2025")</f>
        <v>Spain - HCP Survey Email - June 2025</v>
      </c>
      <c r="C1440" s="3" t="str">
        <f>HYPERLINK("https://otsuka-europe-crm.veevavault.com/ui/#object/sent_email__v/VBLZ025E82GMYN5", "SE-000268519")</f>
        <v>SE-000268519</v>
      </c>
      <c r="D1440" s="1" t="s">
        <v>0</v>
      </c>
      <c r="E1440" s="2">
        <v>0</v>
      </c>
      <c r="F1440" s="2">
        <v>0</v>
      </c>
      <c r="G1440" s="2">
        <v>0</v>
      </c>
      <c r="H1440" s="1" t="s">
        <v>0</v>
      </c>
      <c r="I1440" s="2">
        <v>0</v>
      </c>
      <c r="J1440" s="1">
        <v>45915.379918981482</v>
      </c>
    </row>
    <row r="1441" spans="1:10" x14ac:dyDescent="0.2">
      <c r="A1441" s="4" t="s">
        <v>1</v>
      </c>
      <c r="B1441" s="3" t="str">
        <f>HYPERLINK("https://otsuka-europe-crm.veevavault.com/ui/#object/approved_document__v/V5OZ025E82TFUPI", "Spain - HCP Survey Email - June 2025")</f>
        <v>Spain - HCP Survey Email - June 2025</v>
      </c>
      <c r="C1441" s="3" t="str">
        <f>HYPERLINK("https://otsuka-europe-crm.veevavault.com/ui/#object/sent_email__v/VBLZ025E82GMYN6", "SE-000268520")</f>
        <v>SE-000268520</v>
      </c>
      <c r="D1441" s="1">
        <v>45915.86619212963</v>
      </c>
      <c r="E1441" s="2">
        <v>1</v>
      </c>
      <c r="F1441" s="2">
        <v>1</v>
      </c>
      <c r="G1441" s="2">
        <v>0</v>
      </c>
      <c r="H1441" s="1" t="s">
        <v>0</v>
      </c>
      <c r="I1441" s="2">
        <v>0</v>
      </c>
      <c r="J1441" s="1">
        <v>45915.377812500003</v>
      </c>
    </row>
    <row r="1442" spans="1:10" x14ac:dyDescent="0.2">
      <c r="A1442" s="4" t="s">
        <v>1</v>
      </c>
      <c r="B1442" s="3" t="str">
        <f>HYPERLINK("https://otsuka-europe-crm.veevavault.com/ui/#object/approved_document__v/V5OZ025E82TFUPI", "Spain - HCP Survey Email - June 2025")</f>
        <v>Spain - HCP Survey Email - June 2025</v>
      </c>
      <c r="C1442" s="3" t="str">
        <f>HYPERLINK("https://otsuka-europe-crm.veevavault.com/ui/#object/sent_email__v/VBLZ025E82GMYN7", "SE-000268521")</f>
        <v>SE-000268521</v>
      </c>
      <c r="D1442" s="1">
        <v>45951.661979166667</v>
      </c>
      <c r="E1442" s="2">
        <v>1</v>
      </c>
      <c r="F1442" s="2">
        <v>3</v>
      </c>
      <c r="G1442" s="2">
        <v>1</v>
      </c>
      <c r="H1442" s="1">
        <v>45951.662129629629</v>
      </c>
      <c r="I1442" s="2">
        <v>1</v>
      </c>
      <c r="J1442" s="1">
        <v>45915.377615740741</v>
      </c>
    </row>
    <row r="1443" spans="1:10" x14ac:dyDescent="0.2">
      <c r="A1443" s="4" t="s">
        <v>1</v>
      </c>
      <c r="B1443" s="3" t="str">
        <f>HYPERLINK("https://otsuka-europe-crm.veevavault.com/ui/#object/approved_document__v/V5OZ025E82TFUPI", "Spain - HCP Survey Email - June 2025")</f>
        <v>Spain - HCP Survey Email - June 2025</v>
      </c>
      <c r="C1443" s="3" t="str">
        <f>HYPERLINK("https://otsuka-europe-crm.veevavault.com/ui/#object/sent_email__v/VBLZ025E82GMYN8", "SE-000268522")</f>
        <v>SE-000268522</v>
      </c>
      <c r="D1443" s="1" t="s">
        <v>0</v>
      </c>
      <c r="E1443" s="2">
        <v>0</v>
      </c>
      <c r="F1443" s="2">
        <v>0</v>
      </c>
      <c r="G1443" s="2">
        <v>0</v>
      </c>
      <c r="H1443" s="1" t="s">
        <v>0</v>
      </c>
      <c r="I1443" s="2">
        <v>0</v>
      </c>
      <c r="J1443" s="1">
        <v>45915.377997685187</v>
      </c>
    </row>
    <row r="1444" spans="1:10" x14ac:dyDescent="0.2">
      <c r="A1444" s="4" t="s">
        <v>1</v>
      </c>
      <c r="B1444" s="3" t="str">
        <f>HYPERLINK("https://otsuka-europe-crm.veevavault.com/ui/#object/approved_document__v/V5OZ025E82TFUPI", "Spain - HCP Survey Email - June 2025")</f>
        <v>Spain - HCP Survey Email - June 2025</v>
      </c>
      <c r="C1444" s="3" t="str">
        <f>HYPERLINK("https://otsuka-europe-crm.veevavault.com/ui/#object/sent_email__v/VBLZ025E82GMYN9", "SE-000268523")</f>
        <v>SE-000268523</v>
      </c>
      <c r="D1444" s="1">
        <v>45930.993391203701</v>
      </c>
      <c r="E1444" s="2">
        <v>1</v>
      </c>
      <c r="F1444" s="2">
        <v>5</v>
      </c>
      <c r="G1444" s="2">
        <v>1</v>
      </c>
      <c r="H1444" s="1">
        <v>45915.790682870371</v>
      </c>
      <c r="I1444" s="2">
        <v>2</v>
      </c>
      <c r="J1444" s="1">
        <v>45915.379016203704</v>
      </c>
    </row>
    <row r="1445" spans="1:10" x14ac:dyDescent="0.2">
      <c r="A1445" s="4" t="s">
        <v>1</v>
      </c>
      <c r="B1445" s="3" t="str">
        <f>HYPERLINK("https://otsuka-europe-crm.veevavault.com/ui/#object/approved_document__v/V5OZ025E82TFUPI", "Spain - HCP Survey Email - June 2025")</f>
        <v>Spain - HCP Survey Email - June 2025</v>
      </c>
      <c r="C1445" s="3" t="str">
        <f>HYPERLINK("https://otsuka-europe-crm.veevavault.com/ui/#object/sent_email__v/VBLZ025E82GMYNA", "SE-000268524")</f>
        <v>SE-000268524</v>
      </c>
      <c r="D1445" s="1" t="s">
        <v>0</v>
      </c>
      <c r="E1445" s="2">
        <v>0</v>
      </c>
      <c r="F1445" s="2">
        <v>0</v>
      </c>
      <c r="G1445" s="2">
        <v>0</v>
      </c>
      <c r="H1445" s="1" t="s">
        <v>0</v>
      </c>
      <c r="I1445" s="2">
        <v>0</v>
      </c>
      <c r="J1445" s="1">
        <v>45915.378680555557</v>
      </c>
    </row>
    <row r="1446" spans="1:10" x14ac:dyDescent="0.2">
      <c r="A1446" s="4" t="s">
        <v>1</v>
      </c>
      <c r="B1446" s="3" t="str">
        <f>HYPERLINK("https://otsuka-europe-crm.veevavault.com/ui/#object/approved_document__v/V5OZ025E82TFUPI", "Spain - HCP Survey Email - June 2025")</f>
        <v>Spain - HCP Survey Email - June 2025</v>
      </c>
      <c r="C1446" s="3" t="str">
        <f>HYPERLINK("https://otsuka-europe-crm.veevavault.com/ui/#object/sent_email__v/VBLZ025E82GMYNB", "SE-000268525")</f>
        <v>SE-000268525</v>
      </c>
      <c r="D1446" s="1" t="s">
        <v>0</v>
      </c>
      <c r="E1446" s="2">
        <v>0</v>
      </c>
      <c r="F1446" s="2">
        <v>0</v>
      </c>
      <c r="G1446" s="2">
        <v>0</v>
      </c>
      <c r="H1446" s="1" t="s">
        <v>0</v>
      </c>
      <c r="I1446" s="2">
        <v>0</v>
      </c>
      <c r="J1446" s="1">
        <v>45915.379074074073</v>
      </c>
    </row>
    <row r="1447" spans="1:10" x14ac:dyDescent="0.2">
      <c r="A1447" s="4" t="s">
        <v>1</v>
      </c>
      <c r="B1447" s="3" t="str">
        <f>HYPERLINK("https://otsuka-europe-crm.veevavault.com/ui/#object/approved_document__v/V5OZ025E82TFUPI", "Spain - HCP Survey Email - June 2025")</f>
        <v>Spain - HCP Survey Email - June 2025</v>
      </c>
      <c r="C1447" s="3" t="str">
        <f>HYPERLINK("https://otsuka-europe-crm.veevavault.com/ui/#object/sent_email__v/VBLZ025E82GMYNC", "SE-000268526")</f>
        <v>SE-000268526</v>
      </c>
      <c r="D1447" s="1">
        <v>45915.405624999999</v>
      </c>
      <c r="E1447" s="2">
        <v>1</v>
      </c>
      <c r="F1447" s="2">
        <v>1</v>
      </c>
      <c r="G1447" s="2">
        <v>0</v>
      </c>
      <c r="H1447" s="1" t="s">
        <v>0</v>
      </c>
      <c r="I1447" s="2">
        <v>0</v>
      </c>
      <c r="J1447" s="1">
        <v>45915.377870370372</v>
      </c>
    </row>
    <row r="1448" spans="1:10" x14ac:dyDescent="0.2">
      <c r="A1448" s="4" t="s">
        <v>1</v>
      </c>
      <c r="B1448" s="3" t="str">
        <f>HYPERLINK("https://otsuka-europe-crm.veevavault.com/ui/#object/approved_document__v/V5OZ025E82TFUPI", "Spain - HCP Survey Email - June 2025")</f>
        <v>Spain - HCP Survey Email - June 2025</v>
      </c>
      <c r="C1448" s="3" t="str">
        <f>HYPERLINK("https://otsuka-europe-crm.veevavault.com/ui/#object/sent_email__v/VBLZ025E82GMYND", "SE-000268527")</f>
        <v>SE-000268527</v>
      </c>
      <c r="D1448" s="1">
        <v>45918.304490740738</v>
      </c>
      <c r="E1448" s="2">
        <v>1</v>
      </c>
      <c r="F1448" s="2">
        <v>2</v>
      </c>
      <c r="G1448" s="2">
        <v>0</v>
      </c>
      <c r="H1448" s="1" t="s">
        <v>0</v>
      </c>
      <c r="I1448" s="2">
        <v>0</v>
      </c>
      <c r="J1448" s="1">
        <v>45915.378171296295</v>
      </c>
    </row>
    <row r="1449" spans="1:10" x14ac:dyDescent="0.2">
      <c r="A1449" s="4" t="s">
        <v>1</v>
      </c>
      <c r="B1449" s="3" t="str">
        <f>HYPERLINK("https://otsuka-europe-crm.veevavault.com/ui/#object/approved_document__v/V5OZ025E82TFUPI", "Spain - HCP Survey Email - June 2025")</f>
        <v>Spain - HCP Survey Email - June 2025</v>
      </c>
      <c r="C1449" s="3" t="str">
        <f>HYPERLINK("https://otsuka-europe-crm.veevavault.com/ui/#object/sent_email__v/VBLZ025E82GMYNE", "SE-000268528")</f>
        <v>SE-000268528</v>
      </c>
      <c r="D1449" s="1">
        <v>45935.838645833333</v>
      </c>
      <c r="E1449" s="2">
        <v>1</v>
      </c>
      <c r="F1449" s="2">
        <v>4</v>
      </c>
      <c r="G1449" s="2">
        <v>0</v>
      </c>
      <c r="H1449" s="1" t="s">
        <v>0</v>
      </c>
      <c r="I1449" s="2">
        <v>0</v>
      </c>
      <c r="J1449" s="1">
        <v>45915.37809027778</v>
      </c>
    </row>
    <row r="1450" spans="1:10" x14ac:dyDescent="0.2">
      <c r="A1450" s="4" t="s">
        <v>1</v>
      </c>
      <c r="B1450" s="3" t="str">
        <f>HYPERLINK("https://otsuka-europe-crm.veevavault.com/ui/#object/approved_document__v/V5OZ025E82TFUPI", "Spain - HCP Survey Email - June 2025")</f>
        <v>Spain - HCP Survey Email - June 2025</v>
      </c>
      <c r="C1450" s="3" t="str">
        <f>HYPERLINK("https://otsuka-europe-crm.veevavault.com/ui/#object/sent_email__v/VBLZ025E82GMYNF", "SE-000268529")</f>
        <v>SE-000268529</v>
      </c>
      <c r="D1450" s="1">
        <v>45915.586701388886</v>
      </c>
      <c r="E1450" s="2">
        <v>1</v>
      </c>
      <c r="F1450" s="2">
        <v>1</v>
      </c>
      <c r="G1450" s="2">
        <v>0</v>
      </c>
      <c r="H1450" s="1" t="s">
        <v>0</v>
      </c>
      <c r="I1450" s="2">
        <v>0</v>
      </c>
      <c r="J1450" s="1">
        <v>45915.378518518519</v>
      </c>
    </row>
    <row r="1451" spans="1:10" x14ac:dyDescent="0.2">
      <c r="A1451" s="4" t="s">
        <v>1</v>
      </c>
      <c r="B1451" s="3" t="str">
        <f>HYPERLINK("https://otsuka-europe-crm.veevavault.com/ui/#object/approved_document__v/V5OZ025E82TFUPI", "Spain - HCP Survey Email - June 2025")</f>
        <v>Spain - HCP Survey Email - June 2025</v>
      </c>
      <c r="C1451" s="3" t="str">
        <f>HYPERLINK("https://otsuka-europe-crm.veevavault.com/ui/#object/sent_email__v/VBLZ025E82GMYNG", "SE-000268530")</f>
        <v>SE-000268530</v>
      </c>
      <c r="D1451" s="1" t="s">
        <v>0</v>
      </c>
      <c r="E1451" s="2">
        <v>0</v>
      </c>
      <c r="F1451" s="2">
        <v>0</v>
      </c>
      <c r="G1451" s="2">
        <v>0</v>
      </c>
      <c r="H1451" s="1" t="s">
        <v>0</v>
      </c>
      <c r="I1451" s="2">
        <v>0</v>
      </c>
      <c r="J1451" s="1">
        <v>45915.379074074073</v>
      </c>
    </row>
    <row r="1452" spans="1:10" x14ac:dyDescent="0.2">
      <c r="A1452" s="4" t="s">
        <v>1</v>
      </c>
      <c r="B1452" s="3" t="str">
        <f>HYPERLINK("https://otsuka-europe-crm.veevavault.com/ui/#object/approved_document__v/V5OZ025E82TFUPI", "Spain - HCP Survey Email - June 2025")</f>
        <v>Spain - HCP Survey Email - June 2025</v>
      </c>
      <c r="C1452" s="3" t="str">
        <f>HYPERLINK("https://otsuka-europe-crm.veevavault.com/ui/#object/sent_email__v/VBLZ025E82GMYNH", "SE-000268531")</f>
        <v>SE-000268531</v>
      </c>
      <c r="D1452" s="1">
        <v>45915.377870370372</v>
      </c>
      <c r="E1452" s="2">
        <v>1</v>
      </c>
      <c r="F1452" s="2">
        <v>1</v>
      </c>
      <c r="G1452" s="2">
        <v>1</v>
      </c>
      <c r="H1452" s="1">
        <v>45915.378287037034</v>
      </c>
      <c r="I1452" s="2">
        <v>2</v>
      </c>
      <c r="J1452" s="1">
        <v>45915.377800925926</v>
      </c>
    </row>
    <row r="1453" spans="1:10" x14ac:dyDescent="0.2">
      <c r="A1453" s="4" t="s">
        <v>1</v>
      </c>
      <c r="B1453" s="3" t="str">
        <f>HYPERLINK("https://otsuka-europe-crm.veevavault.com/ui/#object/approved_document__v/V5OZ025E82TFUPI", "Spain - HCP Survey Email - June 2025")</f>
        <v>Spain - HCP Survey Email - June 2025</v>
      </c>
      <c r="C1453" s="3" t="str">
        <f>HYPERLINK("https://otsuka-europe-crm.veevavault.com/ui/#object/sent_email__v/VBLZ025E82GMYNI", "SE-000268532")</f>
        <v>SE-000268532</v>
      </c>
      <c r="D1453" s="1">
        <v>45915.525937500002</v>
      </c>
      <c r="E1453" s="2">
        <v>1</v>
      </c>
      <c r="F1453" s="2">
        <v>2</v>
      </c>
      <c r="G1453" s="2">
        <v>0</v>
      </c>
      <c r="H1453" s="1" t="s">
        <v>0</v>
      </c>
      <c r="I1453" s="2">
        <v>0</v>
      </c>
      <c r="J1453" s="1">
        <v>45915.378171296295</v>
      </c>
    </row>
    <row r="1454" spans="1:10" x14ac:dyDescent="0.2">
      <c r="A1454" s="4" t="s">
        <v>1</v>
      </c>
      <c r="B1454" s="3" t="str">
        <f>HYPERLINK("https://otsuka-europe-crm.veevavault.com/ui/#object/approved_document__v/V5OZ025E82TFUPI", "Spain - HCP Survey Email - June 2025")</f>
        <v>Spain - HCP Survey Email - June 2025</v>
      </c>
      <c r="C1454" s="3" t="str">
        <f>HYPERLINK("https://otsuka-europe-crm.veevavault.com/ui/#object/sent_email__v/VBLZ025E82GMYNJ", "SE-000268533")</f>
        <v>SE-000268533</v>
      </c>
      <c r="D1454" s="1">
        <v>45916.14203703704</v>
      </c>
      <c r="E1454" s="2">
        <v>1</v>
      </c>
      <c r="F1454" s="2">
        <v>1</v>
      </c>
      <c r="G1454" s="2">
        <v>0</v>
      </c>
      <c r="H1454" s="1" t="s">
        <v>0</v>
      </c>
      <c r="I1454" s="2">
        <v>0</v>
      </c>
      <c r="J1454" s="1">
        <v>45915.378078703703</v>
      </c>
    </row>
    <row r="1455" spans="1:10" x14ac:dyDescent="0.2">
      <c r="A1455" s="4" t="s">
        <v>1</v>
      </c>
      <c r="B1455" s="3" t="str">
        <f>HYPERLINK("https://otsuka-europe-crm.veevavault.com/ui/#object/approved_document__v/V5OZ025E82TFUPI", "Spain - HCP Survey Email - June 2025")</f>
        <v>Spain - HCP Survey Email - June 2025</v>
      </c>
      <c r="C1455" s="3" t="str">
        <f>HYPERLINK("https://otsuka-europe-crm.veevavault.com/ui/#object/sent_email__v/VBLZ025E82GMYNK", "SE-000268534")</f>
        <v>SE-000268534</v>
      </c>
      <c r="D1455" s="1" t="s">
        <v>0</v>
      </c>
      <c r="E1455" s="2">
        <v>0</v>
      </c>
      <c r="F1455" s="2">
        <v>0</v>
      </c>
      <c r="G1455" s="2">
        <v>0</v>
      </c>
      <c r="H1455" s="1" t="s">
        <v>0</v>
      </c>
      <c r="I1455" s="2">
        <v>0</v>
      </c>
      <c r="J1455" s="1">
        <v>45915.378703703704</v>
      </c>
    </row>
    <row r="1456" spans="1:10" x14ac:dyDescent="0.2">
      <c r="A1456" s="4" t="s">
        <v>1</v>
      </c>
      <c r="B1456" s="3" t="str">
        <f>HYPERLINK("https://otsuka-europe-crm.veevavault.com/ui/#object/approved_document__v/V5OZ025E82TFUPI", "Spain - HCP Survey Email - June 2025")</f>
        <v>Spain - HCP Survey Email - June 2025</v>
      </c>
      <c r="C1456" s="3" t="str">
        <f>HYPERLINK("https://otsuka-europe-crm.veevavault.com/ui/#object/sent_email__v/VBLZ025E82GMYQD", "SE-000268535")</f>
        <v>SE-000268535</v>
      </c>
      <c r="D1456" s="1" t="s">
        <v>0</v>
      </c>
      <c r="E1456" s="2">
        <v>0</v>
      </c>
      <c r="F1456" s="2">
        <v>0</v>
      </c>
      <c r="G1456" s="2">
        <v>0</v>
      </c>
      <c r="H1456" s="1" t="s">
        <v>0</v>
      </c>
      <c r="I1456" s="2">
        <v>0</v>
      </c>
      <c r="J1456" s="1">
        <v>45915.378692129627</v>
      </c>
    </row>
    <row r="1457" spans="1:10" x14ac:dyDescent="0.2">
      <c r="A1457" s="4" t="s">
        <v>1</v>
      </c>
      <c r="B1457" s="3" t="str">
        <f>HYPERLINK("https://otsuka-europe-crm.veevavault.com/ui/#object/approved_document__v/V5OZ025E82TFUPI", "Spain - HCP Survey Email - June 2025")</f>
        <v>Spain - HCP Survey Email - June 2025</v>
      </c>
      <c r="C1457" s="3" t="str">
        <f>HYPERLINK("https://otsuka-europe-crm.veevavault.com/ui/#object/sent_email__v/VBLZ025E82GMYQE", "SE-000268536")</f>
        <v>SE-000268536</v>
      </c>
      <c r="D1457" s="1">
        <v>45917.528333333335</v>
      </c>
      <c r="E1457" s="2">
        <v>1</v>
      </c>
      <c r="F1457" s="2">
        <v>3</v>
      </c>
      <c r="G1457" s="2">
        <v>0</v>
      </c>
      <c r="H1457" s="1" t="s">
        <v>0</v>
      </c>
      <c r="I1457" s="2">
        <v>0</v>
      </c>
      <c r="J1457" s="1">
        <v>45915.379942129628</v>
      </c>
    </row>
    <row r="1458" spans="1:10" x14ac:dyDescent="0.2">
      <c r="A1458" s="4" t="s">
        <v>1</v>
      </c>
      <c r="B1458" s="3" t="str">
        <f>HYPERLINK("https://otsuka-europe-crm.veevavault.com/ui/#object/approved_document__v/V5OZ025E82TFUPI", "Spain - HCP Survey Email - June 2025")</f>
        <v>Spain - HCP Survey Email - June 2025</v>
      </c>
      <c r="C1458" s="3" t="str">
        <f>HYPERLINK("https://otsuka-europe-crm.veevavault.com/ui/#object/sent_email__v/VBLZ025E82GMYQF", "SE-000268537")</f>
        <v>SE-000268537</v>
      </c>
      <c r="D1458" s="1">
        <v>45915.58556712963</v>
      </c>
      <c r="E1458" s="2">
        <v>1</v>
      </c>
      <c r="F1458" s="2">
        <v>2</v>
      </c>
      <c r="G1458" s="2">
        <v>0</v>
      </c>
      <c r="H1458" s="1" t="s">
        <v>0</v>
      </c>
      <c r="I1458" s="2">
        <v>0</v>
      </c>
      <c r="J1458" s="1">
        <v>45915.377754629626</v>
      </c>
    </row>
    <row r="1459" spans="1:10" x14ac:dyDescent="0.2">
      <c r="A1459" s="4" t="s">
        <v>1</v>
      </c>
      <c r="B1459" s="3" t="str">
        <f>HYPERLINK("https://otsuka-europe-crm.veevavault.com/ui/#object/approved_document__v/V5OZ025E82TFUPI", "Spain - HCP Survey Email - June 2025")</f>
        <v>Spain - HCP Survey Email - June 2025</v>
      </c>
      <c r="C1459" s="3" t="str">
        <f>HYPERLINK("https://otsuka-europe-crm.veevavault.com/ui/#object/sent_email__v/VBLZ025E82GMYQG", "SE-000268538")</f>
        <v>SE-000268538</v>
      </c>
      <c r="D1459" s="1">
        <v>45915.919745370367</v>
      </c>
      <c r="E1459" s="2">
        <v>1</v>
      </c>
      <c r="F1459" s="2">
        <v>1</v>
      </c>
      <c r="G1459" s="2">
        <v>0</v>
      </c>
      <c r="H1459" s="1" t="s">
        <v>0</v>
      </c>
      <c r="I1459" s="2">
        <v>0</v>
      </c>
      <c r="J1459" s="1">
        <v>45915.377581018518</v>
      </c>
    </row>
    <row r="1460" spans="1:10" x14ac:dyDescent="0.2">
      <c r="A1460" s="4" t="s">
        <v>1</v>
      </c>
      <c r="B1460" s="3" t="str">
        <f>HYPERLINK("https://otsuka-europe-crm.veevavault.com/ui/#object/approved_document__v/V5OZ025E82TFUPI", "Spain - HCP Survey Email - June 2025")</f>
        <v>Spain - HCP Survey Email - June 2025</v>
      </c>
      <c r="C1460" s="3" t="str">
        <f>HYPERLINK("https://otsuka-europe-crm.veevavault.com/ui/#object/sent_email__v/VBLZ025E82GMYQH", "SE-000268539")</f>
        <v>SE-000268539</v>
      </c>
      <c r="D1460" s="1" t="s">
        <v>0</v>
      </c>
      <c r="E1460" s="2">
        <v>0</v>
      </c>
      <c r="F1460" s="2">
        <v>0</v>
      </c>
      <c r="G1460" s="2">
        <v>0</v>
      </c>
      <c r="H1460" s="1" t="s">
        <v>0</v>
      </c>
      <c r="I1460" s="2">
        <v>0</v>
      </c>
      <c r="J1460" s="1">
        <v>45915.378078703703</v>
      </c>
    </row>
    <row r="1461" spans="1:10" x14ac:dyDescent="0.2">
      <c r="A1461" s="4" t="s">
        <v>1</v>
      </c>
      <c r="B1461" s="3" t="str">
        <f>HYPERLINK("https://otsuka-europe-crm.veevavault.com/ui/#object/approved_document__v/V5OZ025E82TFUPI", "Spain - HCP Survey Email - June 2025")</f>
        <v>Spain - HCP Survey Email - June 2025</v>
      </c>
      <c r="C1461" s="3" t="str">
        <f>HYPERLINK("https://otsuka-europe-crm.veevavault.com/ui/#object/sent_email__v/VBLZ025E82GMYQI", "SE-000268540")</f>
        <v>SE-000268540</v>
      </c>
      <c r="D1461" s="1">
        <v>45918.502199074072</v>
      </c>
      <c r="E1461" s="2">
        <v>1</v>
      </c>
      <c r="F1461" s="2">
        <v>1</v>
      </c>
      <c r="G1461" s="2">
        <v>0</v>
      </c>
      <c r="H1461" s="1" t="s">
        <v>0</v>
      </c>
      <c r="I1461" s="2">
        <v>0</v>
      </c>
      <c r="J1461" s="1">
        <v>45915.378877314812</v>
      </c>
    </row>
    <row r="1462" spans="1:10" x14ac:dyDescent="0.2">
      <c r="A1462" s="4" t="s">
        <v>1</v>
      </c>
      <c r="B1462" s="3" t="str">
        <f>HYPERLINK("https://otsuka-europe-crm.veevavault.com/ui/#object/approved_document__v/V5OZ025E82TFUPI", "Spain - HCP Survey Email - June 2025")</f>
        <v>Spain - HCP Survey Email - June 2025</v>
      </c>
      <c r="C1462" s="3" t="str">
        <f>HYPERLINK("https://otsuka-europe-crm.veevavault.com/ui/#object/sent_email__v/VBLZ025E82GMYQJ", "SE-000268541")</f>
        <v>SE-000268541</v>
      </c>
      <c r="D1462" s="1" t="s">
        <v>0</v>
      </c>
      <c r="E1462" s="2">
        <v>0</v>
      </c>
      <c r="F1462" s="2">
        <v>0</v>
      </c>
      <c r="G1462" s="2">
        <v>0</v>
      </c>
      <c r="H1462" s="1" t="s">
        <v>0</v>
      </c>
      <c r="I1462" s="2">
        <v>0</v>
      </c>
      <c r="J1462" s="1">
        <v>45915.37871527778</v>
      </c>
    </row>
    <row r="1463" spans="1:10" x14ac:dyDescent="0.2">
      <c r="A1463" s="4" t="s">
        <v>1</v>
      </c>
      <c r="B1463" s="3" t="str">
        <f>HYPERLINK("https://otsuka-europe-crm.veevavault.com/ui/#object/approved_document__v/V5OZ025E82TFUPI", "Spain - HCP Survey Email - June 2025")</f>
        <v>Spain - HCP Survey Email - June 2025</v>
      </c>
      <c r="C1463" s="3" t="str">
        <f>HYPERLINK("https://otsuka-europe-crm.veevavault.com/ui/#object/sent_email__v/VBLZ025E82GMYQK", "SE-000268542")</f>
        <v>SE-000268542</v>
      </c>
      <c r="D1463" s="1" t="s">
        <v>0</v>
      </c>
      <c r="E1463" s="2">
        <v>0</v>
      </c>
      <c r="F1463" s="2">
        <v>0</v>
      </c>
      <c r="G1463" s="2">
        <v>0</v>
      </c>
      <c r="H1463" s="1" t="s">
        <v>0</v>
      </c>
      <c r="I1463" s="2">
        <v>0</v>
      </c>
      <c r="J1463" s="1">
        <v>45915.379120370373</v>
      </c>
    </row>
    <row r="1464" spans="1:10" x14ac:dyDescent="0.2">
      <c r="A1464" s="4" t="s">
        <v>1</v>
      </c>
      <c r="B1464" s="3" t="str">
        <f>HYPERLINK("https://otsuka-europe-crm.veevavault.com/ui/#object/approved_document__v/V5OZ025E82TFUPI", "Spain - HCP Survey Email - June 2025")</f>
        <v>Spain - HCP Survey Email - June 2025</v>
      </c>
      <c r="C1464" s="3" t="str">
        <f>HYPERLINK("https://otsuka-europe-crm.veevavault.com/ui/#object/sent_email__v/VBLZ025E82GMYQL", "SE-000268543")</f>
        <v>SE-000268543</v>
      </c>
      <c r="D1464" s="1" t="s">
        <v>0</v>
      </c>
      <c r="E1464" s="2">
        <v>0</v>
      </c>
      <c r="F1464" s="2">
        <v>0</v>
      </c>
      <c r="G1464" s="2">
        <v>0</v>
      </c>
      <c r="H1464" s="1" t="s">
        <v>0</v>
      </c>
      <c r="I1464" s="2">
        <v>0</v>
      </c>
      <c r="J1464" s="1">
        <v>45915.377870370372</v>
      </c>
    </row>
    <row r="1465" spans="1:10" x14ac:dyDescent="0.2">
      <c r="A1465" s="4" t="s">
        <v>1</v>
      </c>
      <c r="B1465" s="3" t="str">
        <f>HYPERLINK("https://otsuka-europe-crm.veevavault.com/ui/#object/approved_document__v/V5OZ025E82TFUPI", "Spain - HCP Survey Email - June 2025")</f>
        <v>Spain - HCP Survey Email - June 2025</v>
      </c>
      <c r="C1465" s="3" t="str">
        <f>HYPERLINK("https://otsuka-europe-crm.veevavault.com/ui/#object/sent_email__v/VBLZ025E82GMYQM", "SE-000268544")</f>
        <v>SE-000268544</v>
      </c>
      <c r="D1465" s="1">
        <v>45915.990405092591</v>
      </c>
      <c r="E1465" s="2">
        <v>1</v>
      </c>
      <c r="F1465" s="2">
        <v>1</v>
      </c>
      <c r="G1465" s="2">
        <v>0</v>
      </c>
      <c r="H1465" s="1" t="s">
        <v>0</v>
      </c>
      <c r="I1465" s="2">
        <v>0</v>
      </c>
      <c r="J1465" s="1">
        <v>45915.378159722219</v>
      </c>
    </row>
    <row r="1466" spans="1:10" x14ac:dyDescent="0.2">
      <c r="A1466" s="4" t="s">
        <v>1</v>
      </c>
      <c r="B1466" s="3" t="str">
        <f>HYPERLINK("https://otsuka-europe-crm.veevavault.com/ui/#object/approved_document__v/V5OZ025E82TFUPI", "Spain - HCP Survey Email - June 2025")</f>
        <v>Spain - HCP Survey Email - June 2025</v>
      </c>
      <c r="C1466" s="3" t="str">
        <f>HYPERLINK("https://otsuka-europe-crm.veevavault.com/ui/#object/sent_email__v/VBLZ025E82GMYQN", "SE-000268545")</f>
        <v>SE-000268545</v>
      </c>
      <c r="D1466" s="1" t="s">
        <v>0</v>
      </c>
      <c r="E1466" s="2">
        <v>0</v>
      </c>
      <c r="F1466" s="2">
        <v>0</v>
      </c>
      <c r="G1466" s="2">
        <v>0</v>
      </c>
      <c r="H1466" s="1" t="s">
        <v>0</v>
      </c>
      <c r="I1466" s="2">
        <v>0</v>
      </c>
      <c r="J1466" s="1">
        <v>45915.378206018519</v>
      </c>
    </row>
    <row r="1467" spans="1:10" x14ac:dyDescent="0.2">
      <c r="A1467" s="4" t="s">
        <v>1</v>
      </c>
      <c r="B1467" s="3" t="str">
        <f>HYPERLINK("https://otsuka-europe-crm.veevavault.com/ui/#object/approved_document__v/V5OZ025E82TFUPI", "Spain - HCP Survey Email - June 2025")</f>
        <v>Spain - HCP Survey Email - June 2025</v>
      </c>
      <c r="C1467" s="3" t="str">
        <f>HYPERLINK("https://otsuka-europe-crm.veevavault.com/ui/#object/sent_email__v/VBLZ025E82GMYQO", "SE-000268546")</f>
        <v>SE-000268546</v>
      </c>
      <c r="D1467" s="1" t="s">
        <v>0</v>
      </c>
      <c r="E1467" s="2">
        <v>0</v>
      </c>
      <c r="F1467" s="2">
        <v>0</v>
      </c>
      <c r="G1467" s="2">
        <v>0</v>
      </c>
      <c r="H1467" s="1" t="s">
        <v>0</v>
      </c>
      <c r="I1467" s="2">
        <v>0</v>
      </c>
      <c r="J1467" s="1">
        <v>45915.378680555557</v>
      </c>
    </row>
    <row r="1468" spans="1:10" x14ac:dyDescent="0.2">
      <c r="A1468" s="4" t="s">
        <v>1</v>
      </c>
      <c r="B1468" s="3" t="str">
        <f>HYPERLINK("https://otsuka-europe-crm.veevavault.com/ui/#object/approved_document__v/V5OZ025E82TFUPI", "Spain - HCP Survey Email - June 2025")</f>
        <v>Spain - HCP Survey Email - June 2025</v>
      </c>
      <c r="C1468" s="3" t="str">
        <f>HYPERLINK("https://otsuka-europe-crm.veevavault.com/ui/#object/sent_email__v/VBLZ025E82GMYQP", "SE-000268547")</f>
        <v>SE-000268547</v>
      </c>
      <c r="D1468" s="1" t="s">
        <v>0</v>
      </c>
      <c r="E1468" s="2">
        <v>0</v>
      </c>
      <c r="F1468" s="2">
        <v>0</v>
      </c>
      <c r="G1468" s="2">
        <v>0</v>
      </c>
      <c r="H1468" s="1" t="s">
        <v>0</v>
      </c>
      <c r="I1468" s="2">
        <v>0</v>
      </c>
      <c r="J1468" s="1">
        <v>45915.379884259259</v>
      </c>
    </row>
    <row r="1469" spans="1:10" x14ac:dyDescent="0.2">
      <c r="A1469" s="4" t="s">
        <v>1</v>
      </c>
      <c r="B1469" s="3" t="str">
        <f>HYPERLINK("https://otsuka-europe-crm.veevavault.com/ui/#object/approved_document__v/V5OZ025E82TFUPI", "Spain - HCP Survey Email - June 2025")</f>
        <v>Spain - HCP Survey Email - June 2025</v>
      </c>
      <c r="C1469" s="3" t="str">
        <f>HYPERLINK("https://otsuka-europe-crm.veevavault.com/ui/#object/sent_email__v/VBLZ025E82GMYQQ", "SE-000268548")</f>
        <v>SE-000268548</v>
      </c>
      <c r="D1469" s="1" t="s">
        <v>0</v>
      </c>
      <c r="E1469" s="2">
        <v>0</v>
      </c>
      <c r="F1469" s="2">
        <v>0</v>
      </c>
      <c r="G1469" s="2">
        <v>0</v>
      </c>
      <c r="H1469" s="1" t="s">
        <v>0</v>
      </c>
      <c r="I1469" s="2">
        <v>0</v>
      </c>
      <c r="J1469" s="1">
        <v>45915.377754629626</v>
      </c>
    </row>
    <row r="1470" spans="1:10" x14ac:dyDescent="0.2">
      <c r="A1470" s="4" t="s">
        <v>1</v>
      </c>
      <c r="B1470" s="3" t="str">
        <f>HYPERLINK("https://otsuka-europe-crm.veevavault.com/ui/#object/approved_document__v/V5OZ025E82TFUPI", "Spain - HCP Survey Email - June 2025")</f>
        <v>Spain - HCP Survey Email - June 2025</v>
      </c>
      <c r="C1470" s="3" t="str">
        <f>HYPERLINK("https://otsuka-europe-crm.veevavault.com/ui/#object/sent_email__v/VBLZ025E82GMYQR", "SE-000268549")</f>
        <v>SE-000268549</v>
      </c>
      <c r="D1470" s="1">
        <v>45916.943020833336</v>
      </c>
      <c r="E1470" s="2">
        <v>1</v>
      </c>
      <c r="F1470" s="2">
        <v>1</v>
      </c>
      <c r="G1470" s="2">
        <v>0</v>
      </c>
      <c r="H1470" s="1" t="s">
        <v>0</v>
      </c>
      <c r="I1470" s="2">
        <v>0</v>
      </c>
      <c r="J1470" s="1">
        <v>45915.377615740741</v>
      </c>
    </row>
    <row r="1471" spans="1:10" x14ac:dyDescent="0.2">
      <c r="A1471" s="4" t="s">
        <v>1</v>
      </c>
      <c r="B1471" s="3" t="str">
        <f>HYPERLINK("https://otsuka-europe-crm.veevavault.com/ui/#object/approved_document__v/V5OZ025E82TFUPI", "Spain - HCP Survey Email - June 2025")</f>
        <v>Spain - HCP Survey Email - June 2025</v>
      </c>
      <c r="C1471" s="3" t="str">
        <f>HYPERLINK("https://otsuka-europe-crm.veevavault.com/ui/#object/sent_email__v/VBLZ025E82GMYQS", "SE-000268550")</f>
        <v>SE-000268550</v>
      </c>
      <c r="D1471" s="1" t="s">
        <v>0</v>
      </c>
      <c r="E1471" s="2">
        <v>0</v>
      </c>
      <c r="F1471" s="2">
        <v>0</v>
      </c>
      <c r="G1471" s="2">
        <v>0</v>
      </c>
      <c r="H1471" s="1" t="s">
        <v>0</v>
      </c>
      <c r="I1471" s="2">
        <v>0</v>
      </c>
      <c r="J1471" s="1">
        <v>45915.377986111111</v>
      </c>
    </row>
    <row r="1472" spans="1:10" x14ac:dyDescent="0.2">
      <c r="A1472" s="4" t="s">
        <v>1</v>
      </c>
      <c r="B1472" s="3" t="str">
        <f>HYPERLINK("https://otsuka-europe-crm.veevavault.com/ui/#object/approved_document__v/V5OZ025E82TFUPI", "Spain - HCP Survey Email - June 2025")</f>
        <v>Spain - HCP Survey Email - June 2025</v>
      </c>
      <c r="C1472" s="3" t="str">
        <f>HYPERLINK("https://otsuka-europe-crm.veevavault.com/ui/#object/sent_email__v/VBLZ025E82GMYQT", "SE-000268551")</f>
        <v>SE-000268551</v>
      </c>
      <c r="D1472" s="1">
        <v>45940.421909722223</v>
      </c>
      <c r="E1472" s="2">
        <v>1</v>
      </c>
      <c r="F1472" s="2">
        <v>3</v>
      </c>
      <c r="G1472" s="2">
        <v>0</v>
      </c>
      <c r="H1472" s="1" t="s">
        <v>0</v>
      </c>
      <c r="I1472" s="2">
        <v>0</v>
      </c>
      <c r="J1472" s="1">
        <v>45915.378946759258</v>
      </c>
    </row>
    <row r="1473" spans="1:10" x14ac:dyDescent="0.2">
      <c r="A1473" s="4" t="s">
        <v>1</v>
      </c>
      <c r="B1473" s="3" t="str">
        <f>HYPERLINK("https://otsuka-europe-crm.veevavault.com/ui/#object/approved_document__v/V5OZ025E82TFUPI", "Spain - HCP Survey Email - June 2025")</f>
        <v>Spain - HCP Survey Email - June 2025</v>
      </c>
      <c r="C1473" s="3" t="str">
        <f>HYPERLINK("https://otsuka-europe-crm.veevavault.com/ui/#object/sent_email__v/VBLZ025E82GMYQU", "SE-000268552")</f>
        <v>SE-000268552</v>
      </c>
      <c r="D1473" s="1" t="s">
        <v>0</v>
      </c>
      <c r="E1473" s="2">
        <v>0</v>
      </c>
      <c r="F1473" s="2">
        <v>0</v>
      </c>
      <c r="G1473" s="2">
        <v>0</v>
      </c>
      <c r="H1473" s="1" t="s">
        <v>0</v>
      </c>
      <c r="I1473" s="2">
        <v>0</v>
      </c>
      <c r="J1473" s="1">
        <v>45915.37872685185</v>
      </c>
    </row>
    <row r="1474" spans="1:10" x14ac:dyDescent="0.2">
      <c r="A1474" s="4" t="s">
        <v>1</v>
      </c>
      <c r="B1474" s="3" t="str">
        <f>HYPERLINK("https://otsuka-europe-crm.veevavault.com/ui/#object/approved_document__v/V5OZ025E82TFUPI", "Spain - HCP Survey Email - June 2025")</f>
        <v>Spain - HCP Survey Email - June 2025</v>
      </c>
      <c r="C1474" s="3" t="str">
        <f>HYPERLINK("https://otsuka-europe-crm.veevavault.com/ui/#object/sent_email__v/VBLZ025E82GMYQV", "SE-000268553")</f>
        <v>SE-000268553</v>
      </c>
      <c r="D1474" s="1" t="s">
        <v>0</v>
      </c>
      <c r="E1474" s="2">
        <v>0</v>
      </c>
      <c r="F1474" s="2">
        <v>0</v>
      </c>
      <c r="G1474" s="2">
        <v>0</v>
      </c>
      <c r="H1474" s="1" t="s">
        <v>0</v>
      </c>
      <c r="I1474" s="2">
        <v>0</v>
      </c>
      <c r="J1474" s="1">
        <v>45915.378993055558</v>
      </c>
    </row>
    <row r="1475" spans="1:10" x14ac:dyDescent="0.2">
      <c r="A1475" s="4" t="s">
        <v>1</v>
      </c>
      <c r="B1475" s="3" t="str">
        <f>HYPERLINK("https://otsuka-europe-crm.veevavault.com/ui/#object/approved_document__v/V5OZ025E82TFUPI", "Spain - HCP Survey Email - June 2025")</f>
        <v>Spain - HCP Survey Email - June 2025</v>
      </c>
      <c r="C1475" s="3" t="str">
        <f>HYPERLINK("https://otsuka-europe-crm.veevavault.com/ui/#object/sent_email__v/VBLZ025E82GMYQW", "SE-000268554")</f>
        <v>SE-000268554</v>
      </c>
      <c r="D1475" s="1" t="s">
        <v>0</v>
      </c>
      <c r="E1475" s="2">
        <v>0</v>
      </c>
      <c r="F1475" s="2">
        <v>0</v>
      </c>
      <c r="G1475" s="2">
        <v>0</v>
      </c>
      <c r="H1475" s="1" t="s">
        <v>0</v>
      </c>
      <c r="I1475" s="2">
        <v>0</v>
      </c>
      <c r="J1475" s="1">
        <v>45915.377615740741</v>
      </c>
    </row>
    <row r="1476" spans="1:10" x14ac:dyDescent="0.2">
      <c r="A1476" s="4" t="s">
        <v>1</v>
      </c>
      <c r="B1476" s="3" t="str">
        <f>HYPERLINK("https://otsuka-europe-crm.veevavault.com/ui/#object/approved_document__v/V5OZ025E82TFUPI", "Spain - HCP Survey Email - June 2025")</f>
        <v>Spain - HCP Survey Email - June 2025</v>
      </c>
      <c r="C1476" s="3" t="str">
        <f>HYPERLINK("https://otsuka-europe-crm.veevavault.com/ui/#object/sent_email__v/VBLZ025E82GMYQY", "SE-000268556")</f>
        <v>SE-000268556</v>
      </c>
      <c r="D1476" s="1" t="s">
        <v>0</v>
      </c>
      <c r="E1476" s="2">
        <v>0</v>
      </c>
      <c r="F1476" s="2">
        <v>0</v>
      </c>
      <c r="G1476" s="2">
        <v>0</v>
      </c>
      <c r="H1476" s="1" t="s">
        <v>0</v>
      </c>
      <c r="I1476" s="2">
        <v>0</v>
      </c>
      <c r="J1476" s="1">
        <v>45915.378796296296</v>
      </c>
    </row>
    <row r="1477" spans="1:10" x14ac:dyDescent="0.2">
      <c r="A1477" s="4" t="s">
        <v>1</v>
      </c>
      <c r="B1477" s="3" t="str">
        <f>HYPERLINK("https://otsuka-europe-crm.veevavault.com/ui/#object/approved_document__v/V5OZ025E82TFUPI", "Spain - HCP Survey Email - June 2025")</f>
        <v>Spain - HCP Survey Email - June 2025</v>
      </c>
      <c r="C1477" s="3" t="str">
        <f>HYPERLINK("https://otsuka-europe-crm.veevavault.com/ui/#object/sent_email__v/VBLZ025E82GMYQZ", "SE-000268557")</f>
        <v>SE-000268557</v>
      </c>
      <c r="D1477" s="1">
        <v>45945.7109837963</v>
      </c>
      <c r="E1477" s="2">
        <v>1</v>
      </c>
      <c r="F1477" s="2">
        <v>1</v>
      </c>
      <c r="G1477" s="2">
        <v>0</v>
      </c>
      <c r="H1477" s="1" t="s">
        <v>0</v>
      </c>
      <c r="I1477" s="2">
        <v>0</v>
      </c>
      <c r="J1477" s="1">
        <v>45915.37872685185</v>
      </c>
    </row>
    <row r="1478" spans="1:10" x14ac:dyDescent="0.2">
      <c r="A1478" s="4" t="s">
        <v>1</v>
      </c>
      <c r="B1478" s="3" t="str">
        <f>HYPERLINK("https://otsuka-europe-crm.veevavault.com/ui/#object/approved_document__v/V5OZ025E82TFUPI", "Spain - HCP Survey Email - June 2025")</f>
        <v>Spain - HCP Survey Email - June 2025</v>
      </c>
      <c r="C1478" s="3" t="str">
        <f>HYPERLINK("https://otsuka-europe-crm.veevavault.com/ui/#object/sent_email__v/VBLZ025E82GMYR0", "SE-000268558")</f>
        <v>SE-000268558</v>
      </c>
      <c r="D1478" s="1">
        <v>45915.918217592596</v>
      </c>
      <c r="E1478" s="2">
        <v>1</v>
      </c>
      <c r="F1478" s="2">
        <v>1</v>
      </c>
      <c r="G1478" s="2">
        <v>0</v>
      </c>
      <c r="H1478" s="1" t="s">
        <v>0</v>
      </c>
      <c r="I1478" s="2">
        <v>0</v>
      </c>
      <c r="J1478" s="1">
        <v>45915.379062499997</v>
      </c>
    </row>
    <row r="1479" spans="1:10" x14ac:dyDescent="0.2">
      <c r="A1479" s="4" t="s">
        <v>1</v>
      </c>
      <c r="B1479" s="3" t="str">
        <f>HYPERLINK("https://otsuka-europe-crm.veevavault.com/ui/#object/approved_document__v/V5OZ025E82TFUPI", "Spain - HCP Survey Email - June 2025")</f>
        <v>Spain - HCP Survey Email - June 2025</v>
      </c>
      <c r="C1479" s="3" t="str">
        <f>HYPERLINK("https://otsuka-europe-crm.veevavault.com/ui/#object/sent_email__v/VBLZ025E82GMYR1", "SE-000268559")</f>
        <v>SE-000268559</v>
      </c>
      <c r="D1479" s="1">
        <v>45916.790798611109</v>
      </c>
      <c r="E1479" s="2">
        <v>1</v>
      </c>
      <c r="F1479" s="2">
        <v>1</v>
      </c>
      <c r="G1479" s="2">
        <v>0</v>
      </c>
      <c r="H1479" s="1" t="s">
        <v>0</v>
      </c>
      <c r="I1479" s="2">
        <v>0</v>
      </c>
      <c r="J1479" s="1">
        <v>45915.377800925926</v>
      </c>
    </row>
    <row r="1480" spans="1:10" x14ac:dyDescent="0.2">
      <c r="A1480" s="4" t="s">
        <v>1</v>
      </c>
      <c r="B1480" s="3" t="str">
        <f>HYPERLINK("https://otsuka-europe-crm.veevavault.com/ui/#object/approved_document__v/V5OZ025E82TFUPI", "Spain - HCP Survey Email - June 2025")</f>
        <v>Spain - HCP Survey Email - June 2025</v>
      </c>
      <c r="C1480" s="3" t="str">
        <f>HYPERLINK("https://otsuka-europe-crm.veevavault.com/ui/#object/sent_email__v/VBLZ025E82GMYR2", "SE-000268560")</f>
        <v>SE-000268560</v>
      </c>
      <c r="D1480" s="1" t="s">
        <v>0</v>
      </c>
      <c r="E1480" s="2">
        <v>0</v>
      </c>
      <c r="F1480" s="2">
        <v>0</v>
      </c>
      <c r="G1480" s="2">
        <v>0</v>
      </c>
      <c r="H1480" s="1" t="s">
        <v>0</v>
      </c>
      <c r="I1480" s="2">
        <v>0</v>
      </c>
      <c r="J1480" s="1">
        <v>45915.378194444442</v>
      </c>
    </row>
    <row r="1481" spans="1:10" x14ac:dyDescent="0.2">
      <c r="A1481" s="4" t="s">
        <v>1</v>
      </c>
      <c r="B1481" s="3" t="str">
        <f>HYPERLINK("https://otsuka-europe-crm.veevavault.com/ui/#object/approved_document__v/V5OZ025E82TFUPI", "Spain - HCP Survey Email - June 2025")</f>
        <v>Spain - HCP Survey Email - June 2025</v>
      </c>
      <c r="C1481" s="3" t="str">
        <f>HYPERLINK("https://otsuka-europe-crm.veevavault.com/ui/#object/sent_email__v/VBLZ025E82GMYR3", "SE-000268561")</f>
        <v>SE-000268561</v>
      </c>
      <c r="D1481" s="1">
        <v>45940.309421296297</v>
      </c>
      <c r="E1481" s="2">
        <v>1</v>
      </c>
      <c r="F1481" s="2">
        <v>4</v>
      </c>
      <c r="G1481" s="2">
        <v>0</v>
      </c>
      <c r="H1481" s="1" t="s">
        <v>0</v>
      </c>
      <c r="I1481" s="2">
        <v>0</v>
      </c>
      <c r="J1481" s="1">
        <v>45915.378113425926</v>
      </c>
    </row>
    <row r="1482" spans="1:10" x14ac:dyDescent="0.2">
      <c r="A1482" s="4" t="s">
        <v>1</v>
      </c>
      <c r="B1482" s="3" t="str">
        <f>HYPERLINK("https://otsuka-europe-crm.veevavault.com/ui/#object/approved_document__v/V5OZ025E82TFUPI", "Spain - HCP Survey Email - June 2025")</f>
        <v>Spain - HCP Survey Email - June 2025</v>
      </c>
      <c r="C1482" s="3" t="str">
        <f>HYPERLINK("https://otsuka-europe-crm.veevavault.com/ui/#object/sent_email__v/VBLZ025E82GMYR4", "SE-000268562")</f>
        <v>SE-000268562</v>
      </c>
      <c r="D1482" s="1">
        <v>45917.529918981483</v>
      </c>
      <c r="E1482" s="2">
        <v>1</v>
      </c>
      <c r="F1482" s="2">
        <v>1</v>
      </c>
      <c r="G1482" s="2">
        <v>0</v>
      </c>
      <c r="H1482" s="1" t="s">
        <v>0</v>
      </c>
      <c r="I1482" s="2">
        <v>0</v>
      </c>
      <c r="J1482" s="1">
        <v>45915.378564814811</v>
      </c>
    </row>
    <row r="1483" spans="1:10" x14ac:dyDescent="0.2">
      <c r="A1483" s="4" t="s">
        <v>1</v>
      </c>
      <c r="B1483" s="3" t="str">
        <f>HYPERLINK("https://otsuka-europe-crm.veevavault.com/ui/#object/approved_document__v/V5OZ025E82TFUPI", "Spain - HCP Survey Email - June 2025")</f>
        <v>Spain - HCP Survey Email - June 2025</v>
      </c>
      <c r="C1483" s="3" t="str">
        <f>HYPERLINK("https://otsuka-europe-crm.veevavault.com/ui/#object/sent_email__v/VBLZ025E82GMYR5", "SE-000268563")</f>
        <v>SE-000268563</v>
      </c>
      <c r="D1483" s="1">
        <v>45915.580439814818</v>
      </c>
      <c r="E1483" s="2">
        <v>1</v>
      </c>
      <c r="F1483" s="2">
        <v>2</v>
      </c>
      <c r="G1483" s="2">
        <v>1</v>
      </c>
      <c r="H1483" s="1">
        <v>45915.580636574072</v>
      </c>
      <c r="I1483" s="2">
        <v>1</v>
      </c>
      <c r="J1483" s="1">
        <v>45915.379976851851</v>
      </c>
    </row>
    <row r="1484" spans="1:10" x14ac:dyDescent="0.2">
      <c r="A1484" s="4" t="s">
        <v>1</v>
      </c>
      <c r="B1484" s="3" t="str">
        <f>HYPERLINK("https://otsuka-europe-crm.veevavault.com/ui/#object/approved_document__v/V5OZ025E82TFUPI", "Spain - HCP Survey Email - June 2025")</f>
        <v>Spain - HCP Survey Email - June 2025</v>
      </c>
      <c r="C1484" s="3" t="str">
        <f>HYPERLINK("https://otsuka-europe-crm.veevavault.com/ui/#object/sent_email__v/VBLZ025E82GMYR6", "SE-000268564")</f>
        <v>SE-000268564</v>
      </c>
      <c r="D1484" s="1">
        <v>45915.424351851849</v>
      </c>
      <c r="E1484" s="2">
        <v>1</v>
      </c>
      <c r="F1484" s="2">
        <v>1</v>
      </c>
      <c r="G1484" s="2">
        <v>0</v>
      </c>
      <c r="H1484" s="1" t="s">
        <v>0</v>
      </c>
      <c r="I1484" s="2">
        <v>0</v>
      </c>
      <c r="J1484" s="1">
        <v>45915.377696759257</v>
      </c>
    </row>
    <row r="1485" spans="1:10" x14ac:dyDescent="0.2">
      <c r="A1485" s="4" t="s">
        <v>1</v>
      </c>
      <c r="B1485" s="3" t="str">
        <f>HYPERLINK("https://otsuka-europe-crm.veevavault.com/ui/#object/approved_document__v/V5OZ025E82TFUPI", "Spain - HCP Survey Email - June 2025")</f>
        <v>Spain - HCP Survey Email - June 2025</v>
      </c>
      <c r="C1485" s="3" t="str">
        <f>HYPERLINK("https://otsuka-europe-crm.veevavault.com/ui/#object/sent_email__v/VBLZ025E82GMYR7", "SE-000268565")</f>
        <v>SE-000268565</v>
      </c>
      <c r="D1485" s="1">
        <v>45916.416585648149</v>
      </c>
      <c r="E1485" s="2">
        <v>1</v>
      </c>
      <c r="F1485" s="2">
        <v>1</v>
      </c>
      <c r="G1485" s="2">
        <v>0</v>
      </c>
      <c r="H1485" s="1" t="s">
        <v>0</v>
      </c>
      <c r="I1485" s="2">
        <v>0</v>
      </c>
      <c r="J1485" s="1">
        <v>45915.377615740741</v>
      </c>
    </row>
    <row r="1486" spans="1:10" x14ac:dyDescent="0.2">
      <c r="A1486" s="4" t="s">
        <v>1</v>
      </c>
      <c r="B1486" s="3" t="str">
        <f>HYPERLINK("https://otsuka-europe-crm.veevavault.com/ui/#object/approved_document__v/V5OZ025E82TFUPI", "Spain - HCP Survey Email - June 2025")</f>
        <v>Spain - HCP Survey Email - June 2025</v>
      </c>
      <c r="C1486" s="3" t="str">
        <f>HYPERLINK("https://otsuka-europe-crm.veevavault.com/ui/#object/sent_email__v/VBLZ025E82GMYR8", "SE-000268566")</f>
        <v>SE-000268566</v>
      </c>
      <c r="D1486" s="1">
        <v>45925.450891203705</v>
      </c>
      <c r="E1486" s="2">
        <v>1</v>
      </c>
      <c r="F1486" s="2">
        <v>2</v>
      </c>
      <c r="G1486" s="2">
        <v>0</v>
      </c>
      <c r="H1486" s="1" t="s">
        <v>0</v>
      </c>
      <c r="I1486" s="2">
        <v>0</v>
      </c>
      <c r="J1486" s="1">
        <v>45915.377974537034</v>
      </c>
    </row>
    <row r="1487" spans="1:10" x14ac:dyDescent="0.2">
      <c r="A1487" s="4" t="s">
        <v>1</v>
      </c>
      <c r="B1487" s="3" t="str">
        <f>HYPERLINK("https://otsuka-europe-crm.veevavault.com/ui/#object/approved_document__v/V5OZ025E82TFUPI", "Spain - HCP Survey Email - June 2025")</f>
        <v>Spain - HCP Survey Email - June 2025</v>
      </c>
      <c r="C1487" s="3" t="str">
        <f>HYPERLINK("https://otsuka-europe-crm.veevavault.com/ui/#object/sent_email__v/VBLZ025E82GMYR9", "SE-000268567")</f>
        <v>SE-000268567</v>
      </c>
      <c r="D1487" s="1" t="s">
        <v>0</v>
      </c>
      <c r="E1487" s="2">
        <v>0</v>
      </c>
      <c r="F1487" s="2">
        <v>0</v>
      </c>
      <c r="G1487" s="2">
        <v>0</v>
      </c>
      <c r="H1487" s="1" t="s">
        <v>0</v>
      </c>
      <c r="I1487" s="2">
        <v>0</v>
      </c>
      <c r="J1487" s="1">
        <v>45915.379027777781</v>
      </c>
    </row>
    <row r="1488" spans="1:10" x14ac:dyDescent="0.2">
      <c r="A1488" s="4" t="s">
        <v>1</v>
      </c>
      <c r="B1488" s="3" t="str">
        <f>HYPERLINK("https://otsuka-europe-crm.veevavault.com/ui/#object/approved_document__v/V5OZ025E82TFUPI", "Spain - HCP Survey Email - June 2025")</f>
        <v>Spain - HCP Survey Email - June 2025</v>
      </c>
      <c r="C1488" s="3" t="str">
        <f>HYPERLINK("https://otsuka-europe-crm.veevavault.com/ui/#object/sent_email__v/VBLZ025E82GMYRA", "SE-000268568")</f>
        <v>SE-000268568</v>
      </c>
      <c r="D1488" s="1" t="s">
        <v>0</v>
      </c>
      <c r="E1488" s="2">
        <v>0</v>
      </c>
      <c r="F1488" s="2">
        <v>0</v>
      </c>
      <c r="G1488" s="2">
        <v>0</v>
      </c>
      <c r="H1488" s="1" t="s">
        <v>0</v>
      </c>
      <c r="I1488" s="2">
        <v>0</v>
      </c>
      <c r="J1488" s="1">
        <v>45915.378599537034</v>
      </c>
    </row>
    <row r="1489" spans="1:10" x14ac:dyDescent="0.2">
      <c r="A1489" s="4" t="s">
        <v>1</v>
      </c>
      <c r="B1489" s="3" t="str">
        <f>HYPERLINK("https://otsuka-europe-crm.veevavault.com/ui/#object/approved_document__v/V5OZ025E82TFUPI", "Spain - HCP Survey Email - June 2025")</f>
        <v>Spain - HCP Survey Email - June 2025</v>
      </c>
      <c r="C1489" s="3" t="str">
        <f>HYPERLINK("https://otsuka-europe-crm.veevavault.com/ui/#object/sent_email__v/VBLZ025E82GMYRB", "SE-000268569")</f>
        <v>SE-000268569</v>
      </c>
      <c r="D1489" s="1">
        <v>45915.396909722222</v>
      </c>
      <c r="E1489" s="2">
        <v>1</v>
      </c>
      <c r="F1489" s="2">
        <v>2</v>
      </c>
      <c r="G1489" s="2">
        <v>0</v>
      </c>
      <c r="H1489" s="1" t="s">
        <v>0</v>
      </c>
      <c r="I1489" s="2">
        <v>0</v>
      </c>
      <c r="J1489" s="1">
        <v>45915.379050925927</v>
      </c>
    </row>
    <row r="1490" spans="1:10" x14ac:dyDescent="0.2">
      <c r="A1490" s="4" t="s">
        <v>1</v>
      </c>
      <c r="B1490" s="3" t="str">
        <f>HYPERLINK("https://otsuka-europe-crm.veevavault.com/ui/#object/approved_document__v/V5OZ025E82TFUPI", "Spain - HCP Survey Email - June 2025")</f>
        <v>Spain - HCP Survey Email - June 2025</v>
      </c>
      <c r="C1490" s="3" t="str">
        <f>HYPERLINK("https://otsuka-europe-crm.veevavault.com/ui/#object/sent_email__v/VBLZ025E82GMYRC", "SE-000268570")</f>
        <v>SE-000268570</v>
      </c>
      <c r="D1490" s="1">
        <v>45927.493159722224</v>
      </c>
      <c r="E1490" s="2">
        <v>1</v>
      </c>
      <c r="F1490" s="2">
        <v>3</v>
      </c>
      <c r="G1490" s="2">
        <v>0</v>
      </c>
      <c r="H1490" s="1" t="s">
        <v>0</v>
      </c>
      <c r="I1490" s="2">
        <v>0</v>
      </c>
      <c r="J1490" s="1">
        <v>45915.37777777778</v>
      </c>
    </row>
    <row r="1491" spans="1:10" x14ac:dyDescent="0.2">
      <c r="A1491" s="4" t="s">
        <v>1</v>
      </c>
      <c r="B1491" s="3" t="str">
        <f>HYPERLINK("https://otsuka-europe-crm.veevavault.com/ui/#object/approved_document__v/V5OZ025E82TFUPI", "Spain - HCP Survey Email - June 2025")</f>
        <v>Spain - HCP Survey Email - June 2025</v>
      </c>
      <c r="C1491" s="3" t="str">
        <f>HYPERLINK("https://otsuka-europe-crm.veevavault.com/ui/#object/sent_email__v/VBLZ025E82GMYRD", "SE-000268571")</f>
        <v>SE-000268571</v>
      </c>
      <c r="D1491" s="1" t="s">
        <v>0</v>
      </c>
      <c r="E1491" s="2">
        <v>0</v>
      </c>
      <c r="F1491" s="2">
        <v>0</v>
      </c>
      <c r="G1491" s="2">
        <v>0</v>
      </c>
      <c r="H1491" s="1" t="s">
        <v>0</v>
      </c>
      <c r="I1491" s="2">
        <v>0</v>
      </c>
      <c r="J1491" s="1">
        <v>45915.378194444442</v>
      </c>
    </row>
    <row r="1492" spans="1:10" x14ac:dyDescent="0.2">
      <c r="A1492" s="4" t="s">
        <v>1</v>
      </c>
      <c r="B1492" s="3" t="str">
        <f>HYPERLINK("https://otsuka-europe-crm.veevavault.com/ui/#object/approved_document__v/V5OZ025E82TFUPI", "Spain - HCP Survey Email - June 2025")</f>
        <v>Spain - HCP Survey Email - June 2025</v>
      </c>
      <c r="C1492" s="3" t="str">
        <f>HYPERLINK("https://otsuka-europe-crm.veevavault.com/ui/#object/sent_email__v/VBLZ025E82GMYRE", "SE-000268572")</f>
        <v>SE-000268572</v>
      </c>
      <c r="D1492" s="1">
        <v>45924.714131944442</v>
      </c>
      <c r="E1492" s="2">
        <v>1</v>
      </c>
      <c r="F1492" s="2">
        <v>2</v>
      </c>
      <c r="G1492" s="2">
        <v>0</v>
      </c>
      <c r="H1492" s="1" t="s">
        <v>0</v>
      </c>
      <c r="I1492" s="2">
        <v>0</v>
      </c>
      <c r="J1492" s="1">
        <v>45915.378217592595</v>
      </c>
    </row>
    <row r="1493" spans="1:10" x14ac:dyDescent="0.2">
      <c r="A1493" s="4" t="s">
        <v>1</v>
      </c>
      <c r="B1493" s="3" t="str">
        <f>HYPERLINK("https://otsuka-europe-crm.veevavault.com/ui/#object/approved_document__v/V5OZ025E82TFUPI", "Spain - HCP Survey Email - June 2025")</f>
        <v>Spain - HCP Survey Email - June 2025</v>
      </c>
      <c r="C1493" s="3" t="str">
        <f>HYPERLINK("https://otsuka-europe-crm.veevavault.com/ui/#object/sent_email__v/VBLZ025E82GMYRF", "SE-000268573")</f>
        <v>SE-000268573</v>
      </c>
      <c r="D1493" s="1">
        <v>45939.365231481483</v>
      </c>
      <c r="E1493" s="2">
        <v>1</v>
      </c>
      <c r="F1493" s="2">
        <v>2</v>
      </c>
      <c r="G1493" s="2">
        <v>0</v>
      </c>
      <c r="H1493" s="1" t="s">
        <v>0</v>
      </c>
      <c r="I1493" s="2">
        <v>0</v>
      </c>
      <c r="J1493" s="1">
        <v>45915.378634259258</v>
      </c>
    </row>
    <row r="1494" spans="1:10" x14ac:dyDescent="0.2">
      <c r="A1494" s="4" t="s">
        <v>1</v>
      </c>
      <c r="B1494" s="3" t="str">
        <f>HYPERLINK("https://otsuka-europe-crm.veevavault.com/ui/#object/approved_document__v/V5OZ025E82TFUPI", "Spain - HCP Survey Email - June 2025")</f>
        <v>Spain - HCP Survey Email - June 2025</v>
      </c>
      <c r="C1494" s="3" t="str">
        <f>HYPERLINK("https://otsuka-europe-crm.veevavault.com/ui/#object/sent_email__v/VBLZ025E82GMYRG", "SE-000268574")</f>
        <v>SE-000268574</v>
      </c>
      <c r="D1494" s="1">
        <v>45915.735150462962</v>
      </c>
      <c r="E1494" s="2">
        <v>1</v>
      </c>
      <c r="F1494" s="2">
        <v>2</v>
      </c>
      <c r="G1494" s="2">
        <v>0</v>
      </c>
      <c r="H1494" s="1" t="s">
        <v>0</v>
      </c>
      <c r="I1494" s="2">
        <v>0</v>
      </c>
      <c r="J1494" s="1">
        <v>45915.380057870374</v>
      </c>
    </row>
    <row r="1495" spans="1:10" x14ac:dyDescent="0.2">
      <c r="A1495" s="4" t="s">
        <v>1</v>
      </c>
      <c r="B1495" s="3" t="str">
        <f>HYPERLINK("https://otsuka-europe-crm.veevavault.com/ui/#object/approved_document__v/V5OZ025E82TFUPI", "Spain - HCP Survey Email - June 2025")</f>
        <v>Spain - HCP Survey Email - June 2025</v>
      </c>
      <c r="C1495" s="3" t="str">
        <f>HYPERLINK("https://otsuka-europe-crm.veevavault.com/ui/#object/sent_email__v/VBLZ025E82GMYRH", "SE-000268575")</f>
        <v>SE-000268575</v>
      </c>
      <c r="D1495" s="1">
        <v>45919.257905092592</v>
      </c>
      <c r="E1495" s="2">
        <v>1</v>
      </c>
      <c r="F1495" s="2">
        <v>1</v>
      </c>
      <c r="G1495" s="2">
        <v>0</v>
      </c>
      <c r="H1495" s="1" t="s">
        <v>0</v>
      </c>
      <c r="I1495" s="2">
        <v>0</v>
      </c>
      <c r="J1495" s="1">
        <v>45915.37767361111</v>
      </c>
    </row>
    <row r="1496" spans="1:10" x14ac:dyDescent="0.2">
      <c r="A1496" s="4" t="s">
        <v>1</v>
      </c>
      <c r="B1496" s="3" t="str">
        <f>HYPERLINK("https://otsuka-europe-crm.veevavault.com/ui/#object/approved_document__v/V5OZ025E82TFUPI", "Spain - HCP Survey Email - June 2025")</f>
        <v>Spain - HCP Survey Email - June 2025</v>
      </c>
      <c r="C1496" s="3" t="str">
        <f>HYPERLINK("https://otsuka-europe-crm.veevavault.com/ui/#object/sent_email__v/VBLZ025E82GMYRI", "SE-000268576")</f>
        <v>SE-000268576</v>
      </c>
      <c r="D1496" s="1" t="s">
        <v>0</v>
      </c>
      <c r="E1496" s="2">
        <v>0</v>
      </c>
      <c r="F1496" s="2">
        <v>0</v>
      </c>
      <c r="G1496" s="2">
        <v>0</v>
      </c>
      <c r="H1496" s="1" t="s">
        <v>0</v>
      </c>
      <c r="I1496" s="2">
        <v>0</v>
      </c>
      <c r="J1496" s="1">
        <v>45915.377557870372</v>
      </c>
    </row>
    <row r="1497" spans="1:10" x14ac:dyDescent="0.2">
      <c r="A1497" s="4" t="s">
        <v>1</v>
      </c>
      <c r="B1497" s="3" t="str">
        <f>HYPERLINK("https://otsuka-europe-crm.veevavault.com/ui/#object/approved_document__v/V5OZ025E82TFUPI", "Spain - HCP Survey Email - June 2025")</f>
        <v>Spain - HCP Survey Email - June 2025</v>
      </c>
      <c r="C1497" s="3" t="str">
        <f>HYPERLINK("https://otsuka-europe-crm.veevavault.com/ui/#object/sent_email__v/VBLZ025E82GMYRJ", "SE-000268577")</f>
        <v>SE-000268577</v>
      </c>
      <c r="D1497" s="1">
        <v>45915.533101851855</v>
      </c>
      <c r="E1497" s="2">
        <v>1</v>
      </c>
      <c r="F1497" s="2">
        <v>2</v>
      </c>
      <c r="G1497" s="2">
        <v>1</v>
      </c>
      <c r="H1497" s="1">
        <v>45915.533206018517</v>
      </c>
      <c r="I1497" s="2">
        <v>1</v>
      </c>
      <c r="J1497" s="1">
        <v>45915.37841435185</v>
      </c>
    </row>
    <row r="1498" spans="1:10" x14ac:dyDescent="0.2">
      <c r="A1498" s="4" t="s">
        <v>1</v>
      </c>
      <c r="B1498" s="3" t="str">
        <f>HYPERLINK("https://otsuka-europe-crm.veevavault.com/ui/#object/approved_document__v/V5OZ025E82TFUPI", "Spain - HCP Survey Email - June 2025")</f>
        <v>Spain - HCP Survey Email - June 2025</v>
      </c>
      <c r="C1498" s="3" t="str">
        <f>HYPERLINK("https://otsuka-europe-crm.veevavault.com/ui/#object/sent_email__v/VBLZ025E82GMYRK", "SE-000268578")</f>
        <v>SE-000268578</v>
      </c>
      <c r="D1498" s="1">
        <v>45915.462118055555</v>
      </c>
      <c r="E1498" s="2">
        <v>1</v>
      </c>
      <c r="F1498" s="2">
        <v>1</v>
      </c>
      <c r="G1498" s="2">
        <v>1</v>
      </c>
      <c r="H1498" s="1">
        <v>45915.462719907409</v>
      </c>
      <c r="I1498" s="2">
        <v>2</v>
      </c>
      <c r="J1498" s="1">
        <v>45915.378981481481</v>
      </c>
    </row>
    <row r="1499" spans="1:10" x14ac:dyDescent="0.2">
      <c r="A1499" s="4" t="s">
        <v>1</v>
      </c>
      <c r="B1499" s="3" t="str">
        <f>HYPERLINK("https://otsuka-europe-crm.veevavault.com/ui/#object/approved_document__v/V5OZ025E82TFUPI", "Spain - HCP Survey Email - June 2025")</f>
        <v>Spain - HCP Survey Email - June 2025</v>
      </c>
      <c r="C1499" s="3" t="str">
        <f>HYPERLINK("https://otsuka-europe-crm.veevavault.com/ui/#object/sent_email__v/VBLZ025E82GMYRL", "SE-000268579")</f>
        <v>SE-000268579</v>
      </c>
      <c r="D1499" s="1">
        <v>45915.4297337963</v>
      </c>
      <c r="E1499" s="2">
        <v>1</v>
      </c>
      <c r="F1499" s="2">
        <v>1</v>
      </c>
      <c r="G1499" s="2">
        <v>1</v>
      </c>
      <c r="H1499" s="1">
        <v>45915.4299537037</v>
      </c>
      <c r="I1499" s="2">
        <v>2</v>
      </c>
      <c r="J1499" s="1">
        <v>45915.378680555557</v>
      </c>
    </row>
    <row r="1500" spans="1:10" x14ac:dyDescent="0.2">
      <c r="A1500" s="4" t="s">
        <v>1</v>
      </c>
      <c r="B1500" s="3" t="str">
        <f>HYPERLINK("https://otsuka-europe-crm.veevavault.com/ui/#object/approved_document__v/V5OZ025E82TFUPI", "Spain - HCP Survey Email - June 2025")</f>
        <v>Spain - HCP Survey Email - June 2025</v>
      </c>
      <c r="C1500" s="3" t="str">
        <f>HYPERLINK("https://otsuka-europe-crm.veevavault.com/ui/#object/sent_email__v/VBLZ025E82GMYRM", "SE-000268580")</f>
        <v>SE-000268580</v>
      </c>
      <c r="D1500" s="1">
        <v>45921.278252314813</v>
      </c>
      <c r="E1500" s="2">
        <v>1</v>
      </c>
      <c r="F1500" s="2">
        <v>2</v>
      </c>
      <c r="G1500" s="2">
        <v>0</v>
      </c>
      <c r="H1500" s="1" t="s">
        <v>0</v>
      </c>
      <c r="I1500" s="2">
        <v>0</v>
      </c>
      <c r="J1500" s="1">
        <v>45915.379178240742</v>
      </c>
    </row>
    <row r="1501" spans="1:10" x14ac:dyDescent="0.2">
      <c r="A1501" s="4" t="s">
        <v>1</v>
      </c>
      <c r="B1501" s="3" t="str">
        <f>HYPERLINK("https://otsuka-europe-crm.veevavault.com/ui/#object/approved_document__v/V5OZ025E82TFUPI", "Spain - HCP Survey Email - June 2025")</f>
        <v>Spain - HCP Survey Email - June 2025</v>
      </c>
      <c r="C1501" s="3" t="str">
        <f>HYPERLINK("https://otsuka-europe-crm.veevavault.com/ui/#object/sent_email__v/VBLZ025E82GMYRN", "SE-000268581")</f>
        <v>SE-000268581</v>
      </c>
      <c r="D1501" s="1">
        <v>45916.277731481481</v>
      </c>
      <c r="E1501" s="2">
        <v>1</v>
      </c>
      <c r="F1501" s="2">
        <v>2</v>
      </c>
      <c r="G1501" s="2">
        <v>0</v>
      </c>
      <c r="H1501" s="1" t="s">
        <v>0</v>
      </c>
      <c r="I1501" s="2">
        <v>0</v>
      </c>
      <c r="J1501" s="1">
        <v>45915.377835648149</v>
      </c>
    </row>
    <row r="1502" spans="1:10" x14ac:dyDescent="0.2">
      <c r="A1502" s="4" t="s">
        <v>1</v>
      </c>
      <c r="B1502" s="3" t="str">
        <f>HYPERLINK("https://otsuka-europe-crm.veevavault.com/ui/#object/approved_document__v/V5OZ025E82TFUPI", "Spain - HCP Survey Email - June 2025")</f>
        <v>Spain - HCP Survey Email - June 2025</v>
      </c>
      <c r="C1502" s="3" t="str">
        <f>HYPERLINK("https://otsuka-europe-crm.veevavault.com/ui/#object/sent_email__v/VBLZ025E82GMYRO", "SE-000268582")</f>
        <v>SE-000268582</v>
      </c>
      <c r="D1502" s="1" t="s">
        <v>0</v>
      </c>
      <c r="E1502" s="2">
        <v>0</v>
      </c>
      <c r="F1502" s="2">
        <v>0</v>
      </c>
      <c r="G1502" s="2">
        <v>0</v>
      </c>
      <c r="H1502" s="1" t="s">
        <v>0</v>
      </c>
      <c r="I1502" s="2">
        <v>0</v>
      </c>
      <c r="J1502" s="1">
        <v>45915.378171296295</v>
      </c>
    </row>
    <row r="1503" spans="1:10" x14ac:dyDescent="0.2">
      <c r="A1503" s="4" t="s">
        <v>1</v>
      </c>
      <c r="B1503" s="3" t="str">
        <f>HYPERLINK("https://otsuka-europe-crm.veevavault.com/ui/#object/approved_document__v/V5OZ025E82TFUPI", "Spain - HCP Survey Email - June 2025")</f>
        <v>Spain - HCP Survey Email - June 2025</v>
      </c>
      <c r="C1503" s="3" t="str">
        <f>HYPERLINK("https://otsuka-europe-crm.veevavault.com/ui/#object/sent_email__v/VBLZ025E82GMYRP", "SE-000268583")</f>
        <v>SE-000268583</v>
      </c>
      <c r="D1503" s="1" t="s">
        <v>0</v>
      </c>
      <c r="E1503" s="2">
        <v>0</v>
      </c>
      <c r="F1503" s="2">
        <v>0</v>
      </c>
      <c r="G1503" s="2">
        <v>0</v>
      </c>
      <c r="H1503" s="1" t="s">
        <v>0</v>
      </c>
      <c r="I1503" s="2">
        <v>0</v>
      </c>
      <c r="J1503" s="1">
        <v>45915.37804398148</v>
      </c>
    </row>
    <row r="1504" spans="1:10" x14ac:dyDescent="0.2">
      <c r="A1504" s="4" t="s">
        <v>1</v>
      </c>
      <c r="B1504" s="3" t="str">
        <f>HYPERLINK("https://otsuka-europe-crm.veevavault.com/ui/#object/approved_document__v/V5OZ025E82TFUPI", "Spain - HCP Survey Email - June 2025")</f>
        <v>Spain - HCP Survey Email - June 2025</v>
      </c>
      <c r="C1504" s="3" t="str">
        <f>HYPERLINK("https://otsuka-europe-crm.veevavault.com/ui/#object/sent_email__v/VBLZ025E82GMYRQ", "SE-000268584")</f>
        <v>SE-000268584</v>
      </c>
      <c r="D1504" s="1" t="s">
        <v>0</v>
      </c>
      <c r="E1504" s="2">
        <v>0</v>
      </c>
      <c r="F1504" s="2">
        <v>0</v>
      </c>
      <c r="G1504" s="2">
        <v>0</v>
      </c>
      <c r="H1504" s="1" t="s">
        <v>0</v>
      </c>
      <c r="I1504" s="2">
        <v>0</v>
      </c>
      <c r="J1504" s="1">
        <v>45915.378599537034</v>
      </c>
    </row>
    <row r="1505" spans="1:10" x14ac:dyDescent="0.2">
      <c r="A1505" s="4" t="s">
        <v>1</v>
      </c>
      <c r="B1505" s="3" t="str">
        <f>HYPERLINK("https://otsuka-europe-crm.veevavault.com/ui/#object/approved_document__v/V5OZ025E82TFUPI", "Spain - HCP Survey Email - June 2025")</f>
        <v>Spain - HCP Survey Email - June 2025</v>
      </c>
      <c r="C1505" s="3" t="str">
        <f>HYPERLINK("https://otsuka-europe-crm.veevavault.com/ui/#object/sent_email__v/VBLZ025E82GMYRR", "SE-000268585")</f>
        <v>SE-000268585</v>
      </c>
      <c r="D1505" s="1">
        <v>45915.565439814818</v>
      </c>
      <c r="E1505" s="2">
        <v>1</v>
      </c>
      <c r="F1505" s="2">
        <v>1</v>
      </c>
      <c r="G1505" s="2">
        <v>1</v>
      </c>
      <c r="H1505" s="1">
        <v>45915.565439814818</v>
      </c>
      <c r="I1505" s="2">
        <v>1</v>
      </c>
      <c r="J1505" s="1">
        <v>45915.379942129628</v>
      </c>
    </row>
    <row r="1506" spans="1:10" x14ac:dyDescent="0.2">
      <c r="A1506" s="4" t="s">
        <v>1</v>
      </c>
      <c r="B1506" s="3" t="str">
        <f>HYPERLINK("https://otsuka-europe-crm.veevavault.com/ui/#object/approved_document__v/V5OZ025E82TFUPI", "Spain - HCP Survey Email - June 2025")</f>
        <v>Spain - HCP Survey Email - June 2025</v>
      </c>
      <c r="C1506" s="3" t="str">
        <f>HYPERLINK("https://otsuka-europe-crm.veevavault.com/ui/#object/sent_email__v/VBLZ025E82GMYRS", "SE-000268586")</f>
        <v>SE-000268586</v>
      </c>
      <c r="D1506" s="1" t="s">
        <v>0</v>
      </c>
      <c r="E1506" s="2">
        <v>0</v>
      </c>
      <c r="F1506" s="2">
        <v>0</v>
      </c>
      <c r="G1506" s="2">
        <v>0</v>
      </c>
      <c r="H1506" s="1" t="s">
        <v>0</v>
      </c>
      <c r="I1506" s="2">
        <v>0</v>
      </c>
      <c r="J1506" s="1">
        <v>45915.377696759257</v>
      </c>
    </row>
    <row r="1507" spans="1:10" x14ac:dyDescent="0.2">
      <c r="A1507" s="4" t="s">
        <v>1</v>
      </c>
      <c r="B1507" s="3" t="str">
        <f>HYPERLINK("https://otsuka-europe-crm.veevavault.com/ui/#object/approved_document__v/V5OZ025E82TFUPI", "Spain - HCP Survey Email - June 2025")</f>
        <v>Spain - HCP Survey Email - June 2025</v>
      </c>
      <c r="C1507" s="3" t="str">
        <f>HYPERLINK("https://otsuka-europe-crm.veevavault.com/ui/#object/sent_email__v/VBLZ025E82GMYRT", "SE-000268587")</f>
        <v>SE-000268587</v>
      </c>
      <c r="D1507" s="1" t="s">
        <v>0</v>
      </c>
      <c r="E1507" s="2">
        <v>0</v>
      </c>
      <c r="F1507" s="2">
        <v>0</v>
      </c>
      <c r="G1507" s="2">
        <v>0</v>
      </c>
      <c r="H1507" s="1" t="s">
        <v>0</v>
      </c>
      <c r="I1507" s="2">
        <v>0</v>
      </c>
      <c r="J1507" s="1">
        <v>45915.377592592595</v>
      </c>
    </row>
    <row r="1508" spans="1:10" x14ac:dyDescent="0.2">
      <c r="A1508" s="4" t="s">
        <v>1</v>
      </c>
      <c r="B1508" s="3" t="str">
        <f>HYPERLINK("https://otsuka-europe-crm.veevavault.com/ui/#object/approved_document__v/V5OZ025E82TFUPI", "Spain - HCP Survey Email - June 2025")</f>
        <v>Spain - HCP Survey Email - June 2025</v>
      </c>
      <c r="C1508" s="3" t="str">
        <f>HYPERLINK("https://otsuka-europe-crm.veevavault.com/ui/#object/sent_email__v/VBLZ025E82GMYRU", "SE-000268588")</f>
        <v>SE-000268588</v>
      </c>
      <c r="D1508" s="1">
        <v>45916.684293981481</v>
      </c>
      <c r="E1508" s="2">
        <v>1</v>
      </c>
      <c r="F1508" s="2">
        <v>1</v>
      </c>
      <c r="G1508" s="2">
        <v>0</v>
      </c>
      <c r="H1508" s="1" t="s">
        <v>0</v>
      </c>
      <c r="I1508" s="2">
        <v>0</v>
      </c>
      <c r="J1508" s="1">
        <v>45915.378009259257</v>
      </c>
    </row>
    <row r="1509" spans="1:10" x14ac:dyDescent="0.2">
      <c r="A1509" s="4" t="s">
        <v>1</v>
      </c>
      <c r="B1509" s="3" t="str">
        <f>HYPERLINK("https://otsuka-europe-crm.veevavault.com/ui/#object/approved_document__v/V5OZ025E82TFUPI", "Spain - HCP Survey Email - June 2025")</f>
        <v>Spain - HCP Survey Email - June 2025</v>
      </c>
      <c r="C1509" s="3" t="str">
        <f>HYPERLINK("https://otsuka-europe-crm.veevavault.com/ui/#object/sent_email__v/VBLZ025E82GMYRV", "SE-000268589")</f>
        <v>SE-000268589</v>
      </c>
      <c r="D1509" s="1">
        <v>45915.660370370373</v>
      </c>
      <c r="E1509" s="2">
        <v>1</v>
      </c>
      <c r="F1509" s="2">
        <v>4</v>
      </c>
      <c r="G1509" s="2">
        <v>0</v>
      </c>
      <c r="H1509" s="1" t="s">
        <v>0</v>
      </c>
      <c r="I1509" s="2">
        <v>0</v>
      </c>
      <c r="J1509" s="1">
        <v>45915.378854166665</v>
      </c>
    </row>
    <row r="1510" spans="1:10" x14ac:dyDescent="0.2">
      <c r="A1510" s="4" t="s">
        <v>1</v>
      </c>
      <c r="B1510" s="3" t="str">
        <f>HYPERLINK("https://otsuka-europe-crm.veevavault.com/ui/#object/approved_document__v/V5OZ025E82TFUPI", "Spain - HCP Survey Email - June 2025")</f>
        <v>Spain - HCP Survey Email - June 2025</v>
      </c>
      <c r="C1510" s="3" t="str">
        <f>HYPERLINK("https://otsuka-europe-crm.veevavault.com/ui/#object/sent_email__v/VBLZ025E82GMYRW", "SE-000268590")</f>
        <v>SE-000268590</v>
      </c>
      <c r="D1510" s="1">
        <v>45915.395196759258</v>
      </c>
      <c r="E1510" s="2">
        <v>1</v>
      </c>
      <c r="F1510" s="2">
        <v>1</v>
      </c>
      <c r="G1510" s="2">
        <v>1</v>
      </c>
      <c r="H1510" s="1">
        <v>45915.395196759258</v>
      </c>
      <c r="I1510" s="2">
        <v>1</v>
      </c>
      <c r="J1510" s="1">
        <v>45915.377743055556</v>
      </c>
    </row>
    <row r="1511" spans="1:10" x14ac:dyDescent="0.2">
      <c r="A1511" s="4" t="s">
        <v>1</v>
      </c>
      <c r="B1511" s="3" t="str">
        <f>HYPERLINK("https://otsuka-europe-crm.veevavault.com/ui/#object/approved_document__v/V5OZ025E82TFUPI", "Spain - HCP Survey Email - June 2025")</f>
        <v>Spain - HCP Survey Email - June 2025</v>
      </c>
      <c r="C1511" s="3" t="str">
        <f>HYPERLINK("https://otsuka-europe-crm.veevavault.com/ui/#object/sent_email__v/VBLZ025E82GMYRX", "SE-000268591")</f>
        <v>SE-000268591</v>
      </c>
      <c r="D1511" s="1" t="s">
        <v>0</v>
      </c>
      <c r="E1511" s="2">
        <v>0</v>
      </c>
      <c r="F1511" s="2">
        <v>0</v>
      </c>
      <c r="G1511" s="2">
        <v>0</v>
      </c>
      <c r="H1511" s="1" t="s">
        <v>0</v>
      </c>
      <c r="I1511" s="2">
        <v>0</v>
      </c>
      <c r="J1511" s="1">
        <v>45915.377627314818</v>
      </c>
    </row>
    <row r="1512" spans="1:10" x14ac:dyDescent="0.2">
      <c r="A1512" s="4" t="s">
        <v>1</v>
      </c>
      <c r="B1512" s="3" t="str">
        <f>HYPERLINK("https://otsuka-europe-crm.veevavault.com/ui/#object/approved_document__v/V5OZ025E82TFUPI", "Spain - HCP Survey Email - June 2025")</f>
        <v>Spain - HCP Survey Email - June 2025</v>
      </c>
      <c r="C1512" s="3" t="str">
        <f>HYPERLINK("https://otsuka-europe-crm.veevavault.com/ui/#object/sent_email__v/VBLZ025E82GMYRY", "SE-000268592")</f>
        <v>SE-000268592</v>
      </c>
      <c r="D1512" s="1">
        <v>45921.109131944446</v>
      </c>
      <c r="E1512" s="2">
        <v>1</v>
      </c>
      <c r="F1512" s="2">
        <v>2</v>
      </c>
      <c r="G1512" s="2">
        <v>0</v>
      </c>
      <c r="H1512" s="1" t="s">
        <v>0</v>
      </c>
      <c r="I1512" s="2">
        <v>0</v>
      </c>
      <c r="J1512" s="1">
        <v>45915.377962962964</v>
      </c>
    </row>
    <row r="1513" spans="1:10" x14ac:dyDescent="0.2">
      <c r="A1513" s="4" t="s">
        <v>1</v>
      </c>
      <c r="B1513" s="3" t="str">
        <f>HYPERLINK("https://otsuka-europe-crm.veevavault.com/ui/#object/approved_document__v/V5OZ025E82TFUPI", "Spain - HCP Survey Email - June 2025")</f>
        <v>Spain - HCP Survey Email - June 2025</v>
      </c>
      <c r="C1513" s="3" t="str">
        <f>HYPERLINK("https://otsuka-europe-crm.veevavault.com/ui/#object/sent_email__v/VBLZ025E82GMYRZ", "SE-000268593")</f>
        <v>SE-000268593</v>
      </c>
      <c r="D1513" s="1" t="s">
        <v>0</v>
      </c>
      <c r="E1513" s="2">
        <v>0</v>
      </c>
      <c r="F1513" s="2">
        <v>0</v>
      </c>
      <c r="G1513" s="2">
        <v>0</v>
      </c>
      <c r="H1513" s="1" t="s">
        <v>0</v>
      </c>
      <c r="I1513" s="2">
        <v>0</v>
      </c>
      <c r="J1513" s="1">
        <v>45915.378935185188</v>
      </c>
    </row>
    <row r="1514" spans="1:10" x14ac:dyDescent="0.2">
      <c r="A1514" s="4" t="s">
        <v>1</v>
      </c>
      <c r="B1514" s="3" t="str">
        <f>HYPERLINK("https://otsuka-europe-crm.veevavault.com/ui/#object/approved_document__v/V5OZ025E82TFUPI", "Spain - HCP Survey Email - June 2025")</f>
        <v>Spain - HCP Survey Email - June 2025</v>
      </c>
      <c r="C1514" s="3" t="str">
        <f>HYPERLINK("https://otsuka-europe-crm.veevavault.com/ui/#object/sent_email__v/VBLZ025E82GMYS0", "SE-000268594")</f>
        <v>SE-000268594</v>
      </c>
      <c r="D1514" s="1">
        <v>45915.382650462961</v>
      </c>
      <c r="E1514" s="2">
        <v>1</v>
      </c>
      <c r="F1514" s="2">
        <v>2</v>
      </c>
      <c r="G1514" s="2">
        <v>0</v>
      </c>
      <c r="H1514" s="1" t="s">
        <v>0</v>
      </c>
      <c r="I1514" s="2">
        <v>0</v>
      </c>
      <c r="J1514" s="1">
        <v>45915.378703703704</v>
      </c>
    </row>
    <row r="1515" spans="1:10" x14ac:dyDescent="0.2">
      <c r="A1515" s="4" t="s">
        <v>1</v>
      </c>
      <c r="B1515" s="3" t="str">
        <f>HYPERLINK("https://otsuka-europe-crm.veevavault.com/ui/#object/approved_document__v/V5OZ025E82TFUPI", "Spain - HCP Survey Email - June 2025")</f>
        <v>Spain - HCP Survey Email - June 2025</v>
      </c>
      <c r="C1515" s="3" t="str">
        <f>HYPERLINK("https://otsuka-europe-crm.veevavault.com/ui/#object/sent_email__v/VBLZ025E82GMYS1", "SE-000268595")</f>
        <v>SE-000268595</v>
      </c>
      <c r="D1515" s="1" t="s">
        <v>0</v>
      </c>
      <c r="E1515" s="2">
        <v>0</v>
      </c>
      <c r="F1515" s="2">
        <v>0</v>
      </c>
      <c r="G1515" s="2">
        <v>0</v>
      </c>
      <c r="H1515" s="1" t="s">
        <v>0</v>
      </c>
      <c r="I1515" s="2">
        <v>0</v>
      </c>
      <c r="J1515" s="1">
        <v>45915.379016203704</v>
      </c>
    </row>
    <row r="1516" spans="1:10" x14ac:dyDescent="0.2">
      <c r="A1516" s="4" t="s">
        <v>1</v>
      </c>
      <c r="B1516" s="3" t="str">
        <f>HYPERLINK("https://otsuka-europe-crm.veevavault.com/ui/#object/approved_document__v/V5OZ025E82TFUPI", "Spain - HCP Survey Email - June 2025")</f>
        <v>Spain - HCP Survey Email - June 2025</v>
      </c>
      <c r="C1516" s="3" t="str">
        <f>HYPERLINK("https://otsuka-europe-crm.veevavault.com/ui/#object/sent_email__v/VBLZ025E82GMYS2", "SE-000268596")</f>
        <v>SE-000268596</v>
      </c>
      <c r="D1516" s="1">
        <v>45915.40792824074</v>
      </c>
      <c r="E1516" s="2">
        <v>1</v>
      </c>
      <c r="F1516" s="2">
        <v>1</v>
      </c>
      <c r="G1516" s="2">
        <v>1</v>
      </c>
      <c r="H1516" s="1">
        <v>45915.408043981479</v>
      </c>
      <c r="I1516" s="2">
        <v>1</v>
      </c>
      <c r="J1516" s="1">
        <v>45915.377789351849</v>
      </c>
    </row>
    <row r="1517" spans="1:10" x14ac:dyDescent="0.2">
      <c r="A1517" s="4" t="s">
        <v>1</v>
      </c>
      <c r="B1517" s="3" t="str">
        <f>HYPERLINK("https://otsuka-europe-crm.veevavault.com/ui/#object/approved_document__v/V5OZ025E82TFUPI", "Spain - HCP Survey Email - June 2025")</f>
        <v>Spain - HCP Survey Email - June 2025</v>
      </c>
      <c r="C1517" s="3" t="str">
        <f>HYPERLINK("https://otsuka-europe-crm.veevavault.com/ui/#object/sent_email__v/VBLZ025E82GMYS3", "SE-000268597")</f>
        <v>SE-000268597</v>
      </c>
      <c r="D1517" s="1">
        <v>45964.900601851848</v>
      </c>
      <c r="E1517" s="2">
        <v>1</v>
      </c>
      <c r="F1517" s="2">
        <v>3</v>
      </c>
      <c r="G1517" s="2">
        <v>1</v>
      </c>
      <c r="H1517" s="1">
        <v>45924.373043981483</v>
      </c>
      <c r="I1517" s="2">
        <v>1</v>
      </c>
      <c r="J1517" s="1">
        <v>45915.378194444442</v>
      </c>
    </row>
    <row r="1518" spans="1:10" x14ac:dyDescent="0.2">
      <c r="A1518" s="4" t="s">
        <v>1</v>
      </c>
      <c r="B1518" s="3" t="str">
        <f>HYPERLINK("https://otsuka-europe-crm.veevavault.com/ui/#object/approved_document__v/V5OZ025E82TFUPI", "Spain - HCP Survey Email - June 2025")</f>
        <v>Spain - HCP Survey Email - June 2025</v>
      </c>
      <c r="C1518" s="3" t="str">
        <f>HYPERLINK("https://otsuka-europe-crm.veevavault.com/ui/#object/sent_email__v/VBLZ025E82GMYS4", "SE-000268598")</f>
        <v>SE-000268598</v>
      </c>
      <c r="D1518" s="1">
        <v>45999.819641203707</v>
      </c>
      <c r="E1518" s="2">
        <v>1</v>
      </c>
      <c r="F1518" s="2">
        <v>3</v>
      </c>
      <c r="G1518" s="2">
        <v>0</v>
      </c>
      <c r="H1518" s="1" t="s">
        <v>0</v>
      </c>
      <c r="I1518" s="2">
        <v>0</v>
      </c>
      <c r="J1518" s="1">
        <v>45915.378171296295</v>
      </c>
    </row>
    <row r="1519" spans="1:10" x14ac:dyDescent="0.2">
      <c r="A1519" s="4" t="s">
        <v>1</v>
      </c>
      <c r="B1519" s="3" t="str">
        <f>HYPERLINK("https://otsuka-europe-crm.veevavault.com/ui/#object/approved_document__v/V5OZ025E82TFUPI", "Spain - HCP Survey Email - June 2025")</f>
        <v>Spain - HCP Survey Email - June 2025</v>
      </c>
      <c r="C1519" s="3" t="str">
        <f>HYPERLINK("https://otsuka-europe-crm.veevavault.com/ui/#object/sent_email__v/VBLZ025E82GMYS5", "SE-000268599")</f>
        <v>SE-000268599</v>
      </c>
      <c r="D1519" s="1" t="s">
        <v>0</v>
      </c>
      <c r="E1519" s="2">
        <v>0</v>
      </c>
      <c r="F1519" s="2">
        <v>0</v>
      </c>
      <c r="G1519" s="2">
        <v>0</v>
      </c>
      <c r="H1519" s="1" t="s">
        <v>0</v>
      </c>
      <c r="I1519" s="2">
        <v>0</v>
      </c>
      <c r="J1519" s="1">
        <v>45915.378611111111</v>
      </c>
    </row>
    <row r="1520" spans="1:10" x14ac:dyDescent="0.2">
      <c r="A1520" s="4" t="s">
        <v>1</v>
      </c>
      <c r="B1520" s="3" t="str">
        <f>HYPERLINK("https://otsuka-europe-crm.veevavault.com/ui/#object/approved_document__v/V5OZ025E82TFUPI", "Spain - HCP Survey Email - June 2025")</f>
        <v>Spain - HCP Survey Email - June 2025</v>
      </c>
      <c r="C1520" s="3" t="str">
        <f>HYPERLINK("https://otsuka-europe-crm.veevavault.com/ui/#object/sent_email__v/VBLZ025E82GMYS6", "SE-000268600")</f>
        <v>SE-000268600</v>
      </c>
      <c r="D1520" s="1">
        <v>45915.52784722222</v>
      </c>
      <c r="E1520" s="2">
        <v>1</v>
      </c>
      <c r="F1520" s="2">
        <v>1</v>
      </c>
      <c r="G1520" s="2">
        <v>0</v>
      </c>
      <c r="H1520" s="1" t="s">
        <v>0</v>
      </c>
      <c r="I1520" s="2">
        <v>0</v>
      </c>
      <c r="J1520" s="1">
        <v>45915.379953703705</v>
      </c>
    </row>
    <row r="1521" spans="1:10" x14ac:dyDescent="0.2">
      <c r="A1521" s="4" t="s">
        <v>1</v>
      </c>
      <c r="B1521" s="3" t="str">
        <f>HYPERLINK("https://otsuka-europe-crm.veevavault.com/ui/#object/approved_document__v/V5OZ025E82TFUPI", "Spain - HCP Survey Email - June 2025")</f>
        <v>Spain - HCP Survey Email - June 2025</v>
      </c>
      <c r="C1521" s="3" t="str">
        <f>HYPERLINK("https://otsuka-europe-crm.veevavault.com/ui/#object/sent_email__v/VBLZ025E82GMYS7", "SE-000268601")</f>
        <v>SE-000268601</v>
      </c>
      <c r="D1521" s="1">
        <v>45915.382002314815</v>
      </c>
      <c r="E1521" s="2">
        <v>1</v>
      </c>
      <c r="F1521" s="2">
        <v>1</v>
      </c>
      <c r="G1521" s="2">
        <v>0</v>
      </c>
      <c r="H1521" s="1" t="s">
        <v>0</v>
      </c>
      <c r="I1521" s="2">
        <v>0</v>
      </c>
      <c r="J1521" s="1">
        <v>45915.37777777778</v>
      </c>
    </row>
    <row r="1522" spans="1:10" x14ac:dyDescent="0.2">
      <c r="A1522" s="4" t="s">
        <v>1</v>
      </c>
      <c r="B1522" s="3" t="str">
        <f>HYPERLINK("https://otsuka-europe-crm.veevavault.com/ui/#object/approved_document__v/V5OZ025E82TFUPI", "Spain - HCP Survey Email - June 2025")</f>
        <v>Spain - HCP Survey Email - June 2025</v>
      </c>
      <c r="C1522" s="3" t="str">
        <f>HYPERLINK("https://otsuka-europe-crm.veevavault.com/ui/#object/sent_email__v/VBLZ025E82GMYS8", "SE-000268602")</f>
        <v>SE-000268602</v>
      </c>
      <c r="D1522" s="1">
        <v>45915.492986111109</v>
      </c>
      <c r="E1522" s="2">
        <v>1</v>
      </c>
      <c r="F1522" s="2">
        <v>1</v>
      </c>
      <c r="G1522" s="2">
        <v>1</v>
      </c>
      <c r="H1522" s="1">
        <v>45915.493113425924</v>
      </c>
      <c r="I1522" s="2">
        <v>1</v>
      </c>
      <c r="J1522" s="1">
        <v>45915.377592592595</v>
      </c>
    </row>
    <row r="1523" spans="1:10" x14ac:dyDescent="0.2">
      <c r="A1523" s="4" t="s">
        <v>1</v>
      </c>
      <c r="B1523" s="3" t="str">
        <f>HYPERLINK("https://otsuka-europe-crm.veevavault.com/ui/#object/approved_document__v/V5OZ025E82TFUPI", "Spain - HCP Survey Email - June 2025")</f>
        <v>Spain - HCP Survey Email - June 2025</v>
      </c>
      <c r="C1523" s="3" t="str">
        <f>HYPERLINK("https://otsuka-europe-crm.veevavault.com/ui/#object/sent_email__v/VBLZ025E82GMYS9", "SE-000268603")</f>
        <v>SE-000268603</v>
      </c>
      <c r="D1523" s="1">
        <v>45916.306423611109</v>
      </c>
      <c r="E1523" s="2">
        <v>1</v>
      </c>
      <c r="F1523" s="2">
        <v>1</v>
      </c>
      <c r="G1523" s="2">
        <v>0</v>
      </c>
      <c r="H1523" s="1" t="s">
        <v>0</v>
      </c>
      <c r="I1523" s="2">
        <v>0</v>
      </c>
      <c r="J1523" s="1">
        <v>45915.378344907411</v>
      </c>
    </row>
    <row r="1524" spans="1:10" x14ac:dyDescent="0.2">
      <c r="A1524" s="4" t="s">
        <v>1</v>
      </c>
      <c r="B1524" s="3" t="str">
        <f>HYPERLINK("https://otsuka-europe-crm.veevavault.com/ui/#object/approved_document__v/V5OZ025E82TFUPI", "Spain - HCP Survey Email - June 2025")</f>
        <v>Spain - HCP Survey Email - June 2025</v>
      </c>
      <c r="C1524" s="3" t="str">
        <f>HYPERLINK("https://otsuka-europe-crm.veevavault.com/ui/#object/sent_email__v/VBLZ025E82GMYSA", "SE-000268604")</f>
        <v>SE-000268604</v>
      </c>
      <c r="D1524" s="1">
        <v>45915.393263888887</v>
      </c>
      <c r="E1524" s="2">
        <v>1</v>
      </c>
      <c r="F1524" s="2">
        <v>1</v>
      </c>
      <c r="G1524" s="2">
        <v>0</v>
      </c>
      <c r="H1524" s="1" t="s">
        <v>0</v>
      </c>
      <c r="I1524" s="2">
        <v>0</v>
      </c>
      <c r="J1524" s="1">
        <v>45915.378819444442</v>
      </c>
    </row>
    <row r="1525" spans="1:10" x14ac:dyDescent="0.2">
      <c r="A1525" s="4" t="s">
        <v>1</v>
      </c>
      <c r="B1525" s="3" t="str">
        <f>HYPERLINK("https://otsuka-europe-crm.veevavault.com/ui/#object/approved_document__v/V5OZ025E82TFUPI", "Spain - HCP Survey Email - June 2025")</f>
        <v>Spain - HCP Survey Email - June 2025</v>
      </c>
      <c r="C1525" s="3" t="str">
        <f>HYPERLINK("https://otsuka-europe-crm.veevavault.com/ui/#object/sent_email__v/VBLZ025E82GMYSB", "SE-000268605")</f>
        <v>SE-000268605</v>
      </c>
      <c r="D1525" s="1" t="s">
        <v>0</v>
      </c>
      <c r="E1525" s="2">
        <v>0</v>
      </c>
      <c r="F1525" s="2">
        <v>0</v>
      </c>
      <c r="G1525" s="2">
        <v>0</v>
      </c>
      <c r="H1525" s="1" t="s">
        <v>0</v>
      </c>
      <c r="I1525" s="2">
        <v>0</v>
      </c>
      <c r="J1525" s="1">
        <v>45915.378784722219</v>
      </c>
    </row>
    <row r="1526" spans="1:10" x14ac:dyDescent="0.2">
      <c r="A1526" s="4" t="s">
        <v>1</v>
      </c>
      <c r="B1526" s="3" t="str">
        <f>HYPERLINK("https://otsuka-europe-crm.veevavault.com/ui/#object/approved_document__v/V5OZ025E82TFUPI", "Spain - HCP Survey Email - June 2025")</f>
        <v>Spain - HCP Survey Email - June 2025</v>
      </c>
      <c r="C1526" s="3" t="str">
        <f>HYPERLINK("https://otsuka-europe-crm.veevavault.com/ui/#object/sent_email__v/VBLZ025E82GMYSC", "SE-000268606")</f>
        <v>SE-000268606</v>
      </c>
      <c r="D1526" s="1">
        <v>45915.379201388889</v>
      </c>
      <c r="E1526" s="2">
        <v>1</v>
      </c>
      <c r="F1526" s="2">
        <v>1</v>
      </c>
      <c r="G1526" s="2">
        <v>0</v>
      </c>
      <c r="H1526" s="1" t="s">
        <v>0</v>
      </c>
      <c r="I1526" s="2">
        <v>0</v>
      </c>
      <c r="J1526" s="1">
        <v>45915.379131944443</v>
      </c>
    </row>
    <row r="1527" spans="1:10" x14ac:dyDescent="0.2">
      <c r="A1527" s="4" t="s">
        <v>1</v>
      </c>
      <c r="B1527" s="3" t="str">
        <f>HYPERLINK("https://otsuka-europe-crm.veevavault.com/ui/#object/approved_document__v/V5OZ025E82TFUPI", "Spain - HCP Survey Email - June 2025")</f>
        <v>Spain - HCP Survey Email - June 2025</v>
      </c>
      <c r="C1527" s="3" t="str">
        <f>HYPERLINK("https://otsuka-europe-crm.veevavault.com/ui/#object/sent_email__v/VBLZ025E82GMYSD", "SE-000268607")</f>
        <v>SE-000268607</v>
      </c>
      <c r="D1527" s="1">
        <v>45915.377939814818</v>
      </c>
      <c r="E1527" s="2">
        <v>1</v>
      </c>
      <c r="F1527" s="2">
        <v>1</v>
      </c>
      <c r="G1527" s="2">
        <v>1</v>
      </c>
      <c r="H1527" s="1">
        <v>45915.378240740742</v>
      </c>
      <c r="I1527" s="2">
        <v>2</v>
      </c>
      <c r="J1527" s="1">
        <v>45915.377766203703</v>
      </c>
    </row>
    <row r="1528" spans="1:10" x14ac:dyDescent="0.2">
      <c r="A1528" s="4" t="s">
        <v>1</v>
      </c>
      <c r="B1528" s="3" t="str">
        <f>HYPERLINK("https://otsuka-europe-crm.veevavault.com/ui/#object/approved_document__v/V5OZ025E82TFUPI", "Spain - HCP Survey Email - June 2025")</f>
        <v>Spain - HCP Survey Email - June 2025</v>
      </c>
      <c r="C1528" s="3" t="str">
        <f>HYPERLINK("https://otsuka-europe-crm.veevavault.com/ui/#object/sent_email__v/VBLZ025E82GMYSE", "SE-000268608")</f>
        <v>SE-000268608</v>
      </c>
      <c r="D1528" s="1" t="s">
        <v>0</v>
      </c>
      <c r="E1528" s="2">
        <v>0</v>
      </c>
      <c r="F1528" s="2">
        <v>0</v>
      </c>
      <c r="G1528" s="2">
        <v>0</v>
      </c>
      <c r="H1528" s="1" t="s">
        <v>0</v>
      </c>
      <c r="I1528" s="2">
        <v>0</v>
      </c>
      <c r="J1528" s="1">
        <v>45915.378194444442</v>
      </c>
    </row>
    <row r="1529" spans="1:10" x14ac:dyDescent="0.2">
      <c r="A1529" s="4" t="s">
        <v>1</v>
      </c>
      <c r="B1529" s="3" t="str">
        <f>HYPERLINK("https://otsuka-europe-crm.veevavault.com/ui/#object/approved_document__v/V5OZ025E82TFUPI", "Spain - HCP Survey Email - June 2025")</f>
        <v>Spain - HCP Survey Email - June 2025</v>
      </c>
      <c r="C1529" s="3" t="str">
        <f>HYPERLINK("https://otsuka-europe-crm.veevavault.com/ui/#object/sent_email__v/VBLZ025E82GMYSF", "SE-000268609")</f>
        <v>SE-000268609</v>
      </c>
      <c r="D1529" s="1">
        <v>45915.945937500001</v>
      </c>
      <c r="E1529" s="2">
        <v>1</v>
      </c>
      <c r="F1529" s="2">
        <v>1</v>
      </c>
      <c r="G1529" s="2">
        <v>0</v>
      </c>
      <c r="H1529" s="1" t="s">
        <v>0</v>
      </c>
      <c r="I1529" s="2">
        <v>0</v>
      </c>
      <c r="J1529" s="1">
        <v>45915.378229166665</v>
      </c>
    </row>
    <row r="1530" spans="1:10" x14ac:dyDescent="0.2">
      <c r="A1530" s="4" t="s">
        <v>1</v>
      </c>
      <c r="B1530" s="3" t="str">
        <f>HYPERLINK("https://otsuka-europe-crm.veevavault.com/ui/#object/approved_document__v/V5OZ025E82TFUPI", "Spain - HCP Survey Email - June 2025")</f>
        <v>Spain - HCP Survey Email - June 2025</v>
      </c>
      <c r="C1530" s="3" t="str">
        <f>HYPERLINK("https://otsuka-europe-crm.veevavault.com/ui/#object/sent_email__v/VBLZ025E82GMYSG", "SE-000268610")</f>
        <v>SE-000268610</v>
      </c>
      <c r="D1530" s="1">
        <v>45915.662592592591</v>
      </c>
      <c r="E1530" s="2">
        <v>1</v>
      </c>
      <c r="F1530" s="2">
        <v>2</v>
      </c>
      <c r="G1530" s="2">
        <v>0</v>
      </c>
      <c r="H1530" s="1" t="s">
        <v>0</v>
      </c>
      <c r="I1530" s="2">
        <v>0</v>
      </c>
      <c r="J1530" s="1">
        <v>45915.378599537034</v>
      </c>
    </row>
    <row r="1531" spans="1:10" x14ac:dyDescent="0.2">
      <c r="A1531" s="4" t="s">
        <v>1</v>
      </c>
      <c r="B1531" s="3" t="str">
        <f>HYPERLINK("https://otsuka-europe-crm.veevavault.com/ui/#object/approved_document__v/V5OZ025E82TFUPI", "Spain - HCP Survey Email - June 2025")</f>
        <v>Spain - HCP Survey Email - June 2025</v>
      </c>
      <c r="C1531" s="3" t="str">
        <f>HYPERLINK("https://otsuka-europe-crm.veevavault.com/ui/#object/sent_email__v/VBLZ025E82GMYSH", "SE-000268611")</f>
        <v>SE-000268611</v>
      </c>
      <c r="D1531" s="1" t="s">
        <v>0</v>
      </c>
      <c r="E1531" s="2">
        <v>0</v>
      </c>
      <c r="F1531" s="2">
        <v>0</v>
      </c>
      <c r="G1531" s="2">
        <v>0</v>
      </c>
      <c r="H1531" s="1" t="s">
        <v>0</v>
      </c>
      <c r="I1531" s="2">
        <v>0</v>
      </c>
      <c r="J1531" s="1">
        <v>45915.379965277774</v>
      </c>
    </row>
    <row r="1532" spans="1:10" x14ac:dyDescent="0.2">
      <c r="A1532" s="4" t="s">
        <v>1</v>
      </c>
      <c r="B1532" s="3" t="str">
        <f>HYPERLINK("https://otsuka-europe-crm.veevavault.com/ui/#object/approved_document__v/V5OZ025E82TFUPI", "Spain - HCP Survey Email - June 2025")</f>
        <v>Spain - HCP Survey Email - June 2025</v>
      </c>
      <c r="C1532" s="3" t="str">
        <f>HYPERLINK("https://otsuka-europe-crm.veevavault.com/ui/#object/sent_email__v/VBLZ025E82GMYSI", "SE-000268612")</f>
        <v>SE-000268612</v>
      </c>
      <c r="D1532" s="1" t="s">
        <v>0</v>
      </c>
      <c r="E1532" s="2">
        <v>0</v>
      </c>
      <c r="F1532" s="2">
        <v>0</v>
      </c>
      <c r="G1532" s="2">
        <v>0</v>
      </c>
      <c r="H1532" s="1" t="s">
        <v>0</v>
      </c>
      <c r="I1532" s="2">
        <v>0</v>
      </c>
      <c r="J1532" s="1">
        <v>45915.37771990741</v>
      </c>
    </row>
    <row r="1533" spans="1:10" x14ac:dyDescent="0.2">
      <c r="A1533" s="4" t="s">
        <v>1</v>
      </c>
      <c r="B1533" s="3" t="str">
        <f>HYPERLINK("https://otsuka-europe-crm.veevavault.com/ui/#object/approved_document__v/V5OZ025E82TFUPI", "Spain - HCP Survey Email - June 2025")</f>
        <v>Spain - HCP Survey Email - June 2025</v>
      </c>
      <c r="C1533" s="3" t="str">
        <f>HYPERLINK("https://otsuka-europe-crm.veevavault.com/ui/#object/sent_email__v/VBLZ025E82GMYSJ", "SE-000268613")</f>
        <v>SE-000268613</v>
      </c>
      <c r="D1533" s="1">
        <v>45915.4690625</v>
      </c>
      <c r="E1533" s="2">
        <v>1</v>
      </c>
      <c r="F1533" s="2">
        <v>1</v>
      </c>
      <c r="G1533" s="2">
        <v>0</v>
      </c>
      <c r="H1533" s="1" t="s">
        <v>0</v>
      </c>
      <c r="I1533" s="2">
        <v>0</v>
      </c>
      <c r="J1533" s="1">
        <v>45915.377592592595</v>
      </c>
    </row>
    <row r="1534" spans="1:10" x14ac:dyDescent="0.2">
      <c r="A1534" s="4" t="s">
        <v>1</v>
      </c>
      <c r="B1534" s="3" t="str">
        <f>HYPERLINK("https://otsuka-europe-crm.veevavault.com/ui/#object/approved_document__v/V5OZ025E82TFUPI", "Spain - HCP Survey Email - June 2025")</f>
        <v>Spain - HCP Survey Email - June 2025</v>
      </c>
      <c r="C1534" s="3" t="str">
        <f>HYPERLINK("https://otsuka-europe-crm.veevavault.com/ui/#object/sent_email__v/VBLZ025E82GMYSK", "SE-000268614")</f>
        <v>SE-000268614</v>
      </c>
      <c r="D1534" s="1" t="s">
        <v>0</v>
      </c>
      <c r="E1534" s="2">
        <v>0</v>
      </c>
      <c r="F1534" s="2">
        <v>0</v>
      </c>
      <c r="G1534" s="2">
        <v>0</v>
      </c>
      <c r="H1534" s="1" t="s">
        <v>0</v>
      </c>
      <c r="I1534" s="2">
        <v>0</v>
      </c>
      <c r="J1534" s="1">
        <v>45915.378437500003</v>
      </c>
    </row>
    <row r="1535" spans="1:10" x14ac:dyDescent="0.2">
      <c r="A1535" s="4" t="s">
        <v>1</v>
      </c>
      <c r="B1535" s="3" t="str">
        <f>HYPERLINK("https://otsuka-europe-crm.veevavault.com/ui/#object/approved_document__v/V5OZ025E82TFUPI", "Spain - HCP Survey Email - June 2025")</f>
        <v>Spain - HCP Survey Email - June 2025</v>
      </c>
      <c r="C1535" s="3" t="str">
        <f>HYPERLINK("https://otsuka-europe-crm.veevavault.com/ui/#object/sent_email__v/VBLZ025E82GMYSL", "SE-000268615")</f>
        <v>SE-000268615</v>
      </c>
      <c r="D1535" s="1" t="s">
        <v>0</v>
      </c>
      <c r="E1535" s="2">
        <v>0</v>
      </c>
      <c r="F1535" s="2">
        <v>0</v>
      </c>
      <c r="G1535" s="2">
        <v>0</v>
      </c>
      <c r="H1535" s="1" t="s">
        <v>0</v>
      </c>
      <c r="I1535" s="2">
        <v>0</v>
      </c>
      <c r="J1535" s="1">
        <v>45915.378796296296</v>
      </c>
    </row>
    <row r="1536" spans="1:10" x14ac:dyDescent="0.2">
      <c r="A1536" s="4" t="s">
        <v>1</v>
      </c>
      <c r="B1536" s="3" t="str">
        <f>HYPERLINK("https://otsuka-europe-crm.veevavault.com/ui/#object/approved_document__v/V5OZ025E82TFUPI", "Spain - HCP Survey Email - June 2025")</f>
        <v>Spain - HCP Survey Email - June 2025</v>
      </c>
      <c r="C1536" s="3" t="str">
        <f>HYPERLINK("https://otsuka-europe-crm.veevavault.com/ui/#object/sent_email__v/VBLZ025E82GMYSM", "SE-000268616")</f>
        <v>SE-000268616</v>
      </c>
      <c r="D1536" s="1">
        <v>45947.552731481483</v>
      </c>
      <c r="E1536" s="2">
        <v>1</v>
      </c>
      <c r="F1536" s="2">
        <v>3</v>
      </c>
      <c r="G1536" s="2">
        <v>0</v>
      </c>
      <c r="H1536" s="1" t="s">
        <v>0</v>
      </c>
      <c r="I1536" s="2">
        <v>0</v>
      </c>
      <c r="J1536" s="1">
        <v>45915.379826388889</v>
      </c>
    </row>
    <row r="1537" spans="1:10" x14ac:dyDescent="0.2">
      <c r="A1537" s="4" t="s">
        <v>1</v>
      </c>
      <c r="B1537" s="3" t="str">
        <f>HYPERLINK("https://otsuka-europe-crm.veevavault.com/ui/#object/approved_document__v/V5OZ025E82TFUPI", "Spain - HCP Survey Email - June 2025")</f>
        <v>Spain - HCP Survey Email - June 2025</v>
      </c>
      <c r="C1537" s="3" t="str">
        <f>HYPERLINK("https://otsuka-europe-crm.veevavault.com/ui/#object/sent_email__v/VBLZ025E82GMYSN", "SE-000268617")</f>
        <v>SE-000268617</v>
      </c>
      <c r="D1537" s="1">
        <v>45915.4377662037</v>
      </c>
      <c r="E1537" s="2">
        <v>1</v>
      </c>
      <c r="F1537" s="2">
        <v>1</v>
      </c>
      <c r="G1537" s="2">
        <v>1</v>
      </c>
      <c r="H1537" s="1">
        <v>45915.43787037037</v>
      </c>
      <c r="I1537" s="2">
        <v>1</v>
      </c>
      <c r="J1537" s="1">
        <v>45915.37777777778</v>
      </c>
    </row>
    <row r="1538" spans="1:10" x14ac:dyDescent="0.2">
      <c r="A1538" s="4" t="s">
        <v>1</v>
      </c>
      <c r="B1538" s="3" t="str">
        <f>HYPERLINK("https://otsuka-europe-crm.veevavault.com/ui/#object/approved_document__v/V5OZ025E82TFUPI", "Spain - HCP Survey Email - June 2025")</f>
        <v>Spain - HCP Survey Email - June 2025</v>
      </c>
      <c r="C1538" s="3" t="str">
        <f>HYPERLINK("https://otsuka-europe-crm.veevavault.com/ui/#object/sent_email__v/VBLZ025E82GMYSO", "SE-000268618")</f>
        <v>SE-000268618</v>
      </c>
      <c r="D1538" s="1">
        <v>45915.709224537037</v>
      </c>
      <c r="E1538" s="2">
        <v>1</v>
      </c>
      <c r="F1538" s="2">
        <v>2</v>
      </c>
      <c r="G1538" s="2">
        <v>0</v>
      </c>
      <c r="H1538" s="1" t="s">
        <v>0</v>
      </c>
      <c r="I1538" s="2">
        <v>0</v>
      </c>
      <c r="J1538" s="1">
        <v>45915.377569444441</v>
      </c>
    </row>
    <row r="1539" spans="1:10" x14ac:dyDescent="0.2">
      <c r="A1539" s="4" t="s">
        <v>1</v>
      </c>
      <c r="B1539" s="3" t="str">
        <f>HYPERLINK("https://otsuka-europe-crm.veevavault.com/ui/#object/approved_document__v/V5OZ025E82TFUPI", "Spain - HCP Survey Email - June 2025")</f>
        <v>Spain - HCP Survey Email - June 2025</v>
      </c>
      <c r="C1539" s="3" t="str">
        <f>HYPERLINK("https://otsuka-europe-crm.veevavault.com/ui/#object/sent_email__v/VBLZ025E82GMYSP", "SE-000268619")</f>
        <v>SE-000268619</v>
      </c>
      <c r="D1539" s="1">
        <v>45915.971400462964</v>
      </c>
      <c r="E1539" s="2">
        <v>1</v>
      </c>
      <c r="F1539" s="2">
        <v>1</v>
      </c>
      <c r="G1539" s="2">
        <v>1</v>
      </c>
      <c r="H1539" s="1">
        <v>45915.972337962965</v>
      </c>
      <c r="I1539" s="2">
        <v>1</v>
      </c>
      <c r="J1539" s="1">
        <v>45915.378368055557</v>
      </c>
    </row>
    <row r="1540" spans="1:10" x14ac:dyDescent="0.2">
      <c r="A1540" s="4" t="s">
        <v>1</v>
      </c>
      <c r="B1540" s="3" t="str">
        <f>HYPERLINK("https://otsuka-europe-crm.veevavault.com/ui/#object/approved_document__v/V5OZ025E82TFUPI", "Spain - HCP Survey Email - June 2025")</f>
        <v>Spain - HCP Survey Email - June 2025</v>
      </c>
      <c r="C1540" s="3" t="str">
        <f>HYPERLINK("https://otsuka-europe-crm.veevavault.com/ui/#object/sent_email__v/VBLZ025E82GMYSQ", "SE-000268620")</f>
        <v>SE-000268620</v>
      </c>
      <c r="D1540" s="1" t="s">
        <v>0</v>
      </c>
      <c r="E1540" s="2">
        <v>0</v>
      </c>
      <c r="F1540" s="2">
        <v>0</v>
      </c>
      <c r="G1540" s="2">
        <v>0</v>
      </c>
      <c r="H1540" s="1" t="s">
        <v>0</v>
      </c>
      <c r="I1540" s="2">
        <v>0</v>
      </c>
      <c r="J1540" s="1">
        <v>45915.378900462965</v>
      </c>
    </row>
    <row r="1541" spans="1:10" x14ac:dyDescent="0.2">
      <c r="A1541" s="4" t="s">
        <v>1</v>
      </c>
      <c r="B1541" s="3" t="str">
        <f>HYPERLINK("https://otsuka-europe-crm.veevavault.com/ui/#object/approved_document__v/V5OZ025E82TFUPI", "Spain - HCP Survey Email - June 2025")</f>
        <v>Spain - HCP Survey Email - June 2025</v>
      </c>
      <c r="C1541" s="3" t="str">
        <f>HYPERLINK("https://otsuka-europe-crm.veevavault.com/ui/#object/sent_email__v/VBLZ025E82GMYSR", "SE-000268621")</f>
        <v>SE-000268621</v>
      </c>
      <c r="D1541" s="1" t="s">
        <v>0</v>
      </c>
      <c r="E1541" s="2">
        <v>0</v>
      </c>
      <c r="F1541" s="2">
        <v>0</v>
      </c>
      <c r="G1541" s="2">
        <v>0</v>
      </c>
      <c r="H1541" s="1" t="s">
        <v>0</v>
      </c>
      <c r="I1541" s="2">
        <v>0</v>
      </c>
      <c r="J1541" s="1">
        <v>45915.378738425927</v>
      </c>
    </row>
    <row r="1542" spans="1:10" x14ac:dyDescent="0.2">
      <c r="A1542" s="4" t="s">
        <v>1</v>
      </c>
      <c r="B1542" s="3" t="str">
        <f>HYPERLINK("https://otsuka-europe-crm.veevavault.com/ui/#object/approved_document__v/V5OZ025E82TFUPI", "Spain - HCP Survey Email - June 2025")</f>
        <v>Spain - HCP Survey Email - June 2025</v>
      </c>
      <c r="C1542" s="3" t="str">
        <f>HYPERLINK("https://otsuka-europe-crm.veevavault.com/ui/#object/sent_email__v/VBLZ025E82GMYSS", "SE-000268622")</f>
        <v>SE-000268622</v>
      </c>
      <c r="D1542" s="1" t="s">
        <v>0</v>
      </c>
      <c r="E1542" s="2">
        <v>0</v>
      </c>
      <c r="F1542" s="2">
        <v>0</v>
      </c>
      <c r="G1542" s="2">
        <v>0</v>
      </c>
      <c r="H1542" s="1" t="s">
        <v>0</v>
      </c>
      <c r="I1542" s="2">
        <v>0</v>
      </c>
      <c r="J1542" s="1">
        <v>45915.379120370373</v>
      </c>
    </row>
    <row r="1543" spans="1:10" x14ac:dyDescent="0.2">
      <c r="A1543" s="4" t="s">
        <v>1</v>
      </c>
      <c r="B1543" s="3" t="str">
        <f>HYPERLINK("https://otsuka-europe-crm.veevavault.com/ui/#object/approved_document__v/V5OZ025E82TFUPI", "Spain - HCP Survey Email - June 2025")</f>
        <v>Spain - HCP Survey Email - June 2025</v>
      </c>
      <c r="C1543" s="3" t="str">
        <f>HYPERLINK("https://otsuka-europe-crm.veevavault.com/ui/#object/sent_email__v/VBLZ025E82GMYST", "SE-000268623")</f>
        <v>SE-000268623</v>
      </c>
      <c r="D1543" s="1">
        <v>45936.711909722224</v>
      </c>
      <c r="E1543" s="2">
        <v>1</v>
      </c>
      <c r="F1543" s="2">
        <v>84</v>
      </c>
      <c r="G1543" s="2">
        <v>0</v>
      </c>
      <c r="H1543" s="1" t="s">
        <v>0</v>
      </c>
      <c r="I1543" s="2">
        <v>0</v>
      </c>
      <c r="J1543" s="1">
        <v>45915.377800925926</v>
      </c>
    </row>
    <row r="1544" spans="1:10" x14ac:dyDescent="0.2">
      <c r="A1544" s="4" t="s">
        <v>1</v>
      </c>
      <c r="B1544" s="3" t="str">
        <f>HYPERLINK("https://otsuka-europe-crm.veevavault.com/ui/#object/approved_document__v/V5OZ025E82TFUPI", "Spain - HCP Survey Email - June 2025")</f>
        <v>Spain - HCP Survey Email - June 2025</v>
      </c>
      <c r="C1544" s="3" t="str">
        <f>HYPERLINK("https://otsuka-europe-crm.veevavault.com/ui/#object/sent_email__v/VBLZ025E82GMYSU", "SE-000268624")</f>
        <v>SE-000268624</v>
      </c>
      <c r="D1544" s="1">
        <v>45915.389814814815</v>
      </c>
      <c r="E1544" s="2">
        <v>1</v>
      </c>
      <c r="F1544" s="2">
        <v>1</v>
      </c>
      <c r="G1544" s="2">
        <v>0</v>
      </c>
      <c r="H1544" s="1" t="s">
        <v>0</v>
      </c>
      <c r="I1544" s="2">
        <v>0</v>
      </c>
      <c r="J1544" s="1">
        <v>45915.378287037034</v>
      </c>
    </row>
    <row r="1545" spans="1:10" x14ac:dyDescent="0.2">
      <c r="A1545" s="4" t="s">
        <v>1</v>
      </c>
      <c r="B1545" s="3" t="str">
        <f>HYPERLINK("https://otsuka-europe-crm.veevavault.com/ui/#object/approved_document__v/V5OZ025E82TFUPI", "Spain - HCP Survey Email - June 2025")</f>
        <v>Spain - HCP Survey Email - June 2025</v>
      </c>
      <c r="C1545" s="3" t="str">
        <f>HYPERLINK("https://otsuka-europe-crm.veevavault.com/ui/#object/sent_email__v/VBLZ025E82GMYSV", "SE-000268625")</f>
        <v>SE-000268625</v>
      </c>
      <c r="D1545" s="1" t="s">
        <v>0</v>
      </c>
      <c r="E1545" s="2">
        <v>0</v>
      </c>
      <c r="F1545" s="2">
        <v>0</v>
      </c>
      <c r="G1545" s="2">
        <v>0</v>
      </c>
      <c r="H1545" s="1" t="s">
        <v>0</v>
      </c>
      <c r="I1545" s="2">
        <v>0</v>
      </c>
      <c r="J1545" s="1">
        <v>45915.378125000003</v>
      </c>
    </row>
    <row r="1546" spans="1:10" x14ac:dyDescent="0.2">
      <c r="A1546" s="4" t="s">
        <v>1</v>
      </c>
      <c r="B1546" s="3" t="str">
        <f>HYPERLINK("https://otsuka-europe-crm.veevavault.com/ui/#object/approved_document__v/V5OZ025E82TFUPI", "Spain - HCP Survey Email - June 2025")</f>
        <v>Spain - HCP Survey Email - June 2025</v>
      </c>
      <c r="C1546" s="3" t="str">
        <f>HYPERLINK("https://otsuka-europe-crm.veevavault.com/ui/#object/sent_email__v/VBLZ025E82GMYSW", "SE-000268626")</f>
        <v>SE-000268626</v>
      </c>
      <c r="D1546" s="1">
        <v>45916.833090277774</v>
      </c>
      <c r="E1546" s="2">
        <v>1</v>
      </c>
      <c r="F1546" s="2">
        <v>1</v>
      </c>
      <c r="G1546" s="2">
        <v>0</v>
      </c>
      <c r="H1546" s="1" t="s">
        <v>0</v>
      </c>
      <c r="I1546" s="2">
        <v>0</v>
      </c>
      <c r="J1546" s="1">
        <v>45915.378680555557</v>
      </c>
    </row>
    <row r="1547" spans="1:10" x14ac:dyDescent="0.2">
      <c r="A1547" s="4" t="s">
        <v>1</v>
      </c>
      <c r="B1547" s="3" t="str">
        <f>HYPERLINK("https://otsuka-europe-crm.veevavault.com/ui/#object/approved_document__v/V5OZ025E82TFUPI", "Spain - HCP Survey Email - June 2025")</f>
        <v>Spain - HCP Survey Email - June 2025</v>
      </c>
      <c r="C1547" s="3" t="str">
        <f>HYPERLINK("https://otsuka-europe-crm.veevavault.com/ui/#object/sent_email__v/VBLZ025E82GMYSX", "SE-000268627")</f>
        <v>SE-000268627</v>
      </c>
      <c r="D1547" s="1">
        <v>45915.596828703703</v>
      </c>
      <c r="E1547" s="2">
        <v>1</v>
      </c>
      <c r="F1547" s="2">
        <v>1</v>
      </c>
      <c r="G1547" s="2">
        <v>0</v>
      </c>
      <c r="H1547" s="1" t="s">
        <v>0</v>
      </c>
      <c r="I1547" s="2">
        <v>0</v>
      </c>
      <c r="J1547" s="1">
        <v>45915.379918981482</v>
      </c>
    </row>
    <row r="1548" spans="1:10" x14ac:dyDescent="0.2">
      <c r="A1548" s="4" t="s">
        <v>1</v>
      </c>
      <c r="B1548" s="3" t="str">
        <f>HYPERLINK("https://otsuka-europe-crm.veevavault.com/ui/#object/approved_document__v/V5OZ025E82TFUPI", "Spain - HCP Survey Email - June 2025")</f>
        <v>Spain - HCP Survey Email - June 2025</v>
      </c>
      <c r="C1548" s="3" t="str">
        <f>HYPERLINK("https://otsuka-europe-crm.veevavault.com/ui/#object/sent_email__v/VBLZ025E82GMYSY", "SE-000268628")</f>
        <v>SE-000268628</v>
      </c>
      <c r="D1548" s="1">
        <v>45915.395138888889</v>
      </c>
      <c r="E1548" s="2">
        <v>1</v>
      </c>
      <c r="F1548" s="2">
        <v>1</v>
      </c>
      <c r="G1548" s="2">
        <v>0</v>
      </c>
      <c r="H1548" s="1" t="s">
        <v>0</v>
      </c>
      <c r="I1548" s="2">
        <v>0</v>
      </c>
      <c r="J1548" s="1">
        <v>45915.377766203703</v>
      </c>
    </row>
    <row r="1549" spans="1:10" x14ac:dyDescent="0.2">
      <c r="A1549" s="4" t="s">
        <v>1</v>
      </c>
      <c r="B1549" s="3" t="str">
        <f>HYPERLINK("https://otsuka-europe-crm.veevavault.com/ui/#object/approved_document__v/V5OZ025E82TFUPI", "Spain - HCP Survey Email - June 2025")</f>
        <v>Spain - HCP Survey Email - June 2025</v>
      </c>
      <c r="C1549" s="3" t="str">
        <f>HYPERLINK("https://otsuka-europe-crm.veevavault.com/ui/#object/sent_email__v/VBLZ025E82GMYSZ", "SE-000268629")</f>
        <v>SE-000268629</v>
      </c>
      <c r="D1549" s="1">
        <v>45916.294062499997</v>
      </c>
      <c r="E1549" s="2">
        <v>1</v>
      </c>
      <c r="F1549" s="2">
        <v>1</v>
      </c>
      <c r="G1549" s="2">
        <v>0</v>
      </c>
      <c r="H1549" s="1" t="s">
        <v>0</v>
      </c>
      <c r="I1549" s="2">
        <v>0</v>
      </c>
      <c r="J1549" s="1">
        <v>45915.377604166664</v>
      </c>
    </row>
    <row r="1550" spans="1:10" x14ac:dyDescent="0.2">
      <c r="A1550" s="4" t="s">
        <v>1</v>
      </c>
      <c r="B1550" s="3" t="str">
        <f>HYPERLINK("https://otsuka-europe-crm.veevavault.com/ui/#object/approved_document__v/V5OZ025E82TFUPI", "Spain - HCP Survey Email - June 2025")</f>
        <v>Spain - HCP Survey Email - June 2025</v>
      </c>
      <c r="C1550" s="3" t="str">
        <f>HYPERLINK("https://otsuka-europe-crm.veevavault.com/ui/#object/sent_email__v/VBLZ025E82GMYT0", "SE-000268630")</f>
        <v>SE-000268630</v>
      </c>
      <c r="D1550" s="1">
        <v>45917.898796296293</v>
      </c>
      <c r="E1550" s="2">
        <v>1</v>
      </c>
      <c r="F1550" s="2">
        <v>1</v>
      </c>
      <c r="G1550" s="2">
        <v>0</v>
      </c>
      <c r="H1550" s="1" t="s">
        <v>0</v>
      </c>
      <c r="I1550" s="2">
        <v>0</v>
      </c>
      <c r="J1550" s="1">
        <v>45915.378333333334</v>
      </c>
    </row>
    <row r="1551" spans="1:10" x14ac:dyDescent="0.2">
      <c r="A1551" s="4" t="s">
        <v>1</v>
      </c>
      <c r="B1551" s="3" t="str">
        <f>HYPERLINK("https://otsuka-europe-crm.veevavault.com/ui/#object/approved_document__v/V5OZ025E82TFUPI", "Spain - HCP Survey Email - June 2025")</f>
        <v>Spain - HCP Survey Email - June 2025</v>
      </c>
      <c r="C1551" s="3" t="str">
        <f>HYPERLINK("https://otsuka-europe-crm.veevavault.com/ui/#object/sent_email__v/VBLZ025E82GMYT1", "SE-000268631")</f>
        <v>SE-000268631</v>
      </c>
      <c r="D1551" s="1" t="s">
        <v>0</v>
      </c>
      <c r="E1551" s="2">
        <v>0</v>
      </c>
      <c r="F1551" s="2">
        <v>0</v>
      </c>
      <c r="G1551" s="2">
        <v>0</v>
      </c>
      <c r="H1551" s="1" t="s">
        <v>0</v>
      </c>
      <c r="I1551" s="2">
        <v>0</v>
      </c>
      <c r="J1551" s="1">
        <v>45915.378912037035</v>
      </c>
    </row>
    <row r="1552" spans="1:10" x14ac:dyDescent="0.2">
      <c r="A1552" s="4" t="s">
        <v>1</v>
      </c>
      <c r="B1552" s="3" t="str">
        <f>HYPERLINK("https://otsuka-europe-crm.veevavault.com/ui/#object/approved_document__v/V5OZ025E82TFUPI", "Spain - HCP Survey Email - June 2025")</f>
        <v>Spain - HCP Survey Email - June 2025</v>
      </c>
      <c r="C1552" s="3" t="str">
        <f>HYPERLINK("https://otsuka-europe-crm.veevavault.com/ui/#object/sent_email__v/VBLZ025E82GMYT2", "SE-000268632")</f>
        <v>SE-000268632</v>
      </c>
      <c r="D1552" s="1">
        <v>45915.49113425926</v>
      </c>
      <c r="E1552" s="2">
        <v>1</v>
      </c>
      <c r="F1552" s="2">
        <v>1</v>
      </c>
      <c r="G1552" s="2">
        <v>0</v>
      </c>
      <c r="H1552" s="1" t="s">
        <v>0</v>
      </c>
      <c r="I1552" s="2">
        <v>0</v>
      </c>
      <c r="J1552" s="1">
        <v>45915.378738425927</v>
      </c>
    </row>
    <row r="1553" spans="1:10" x14ac:dyDescent="0.2">
      <c r="A1553" s="4" t="s">
        <v>1</v>
      </c>
      <c r="B1553" s="3" t="str">
        <f>HYPERLINK("https://otsuka-europe-crm.veevavault.com/ui/#object/approved_document__v/V5OZ025E82TFUPI", "Spain - HCP Survey Email - June 2025")</f>
        <v>Spain - HCP Survey Email - June 2025</v>
      </c>
      <c r="C1553" s="3" t="str">
        <f>HYPERLINK("https://otsuka-europe-crm.veevavault.com/ui/#object/sent_email__v/VBLZ025E82GMYT3", "SE-000268633")</f>
        <v>SE-000268633</v>
      </c>
      <c r="D1553" s="1">
        <v>45915.597025462965</v>
      </c>
      <c r="E1553" s="2">
        <v>1</v>
      </c>
      <c r="F1553" s="2">
        <v>1</v>
      </c>
      <c r="G1553" s="2">
        <v>1</v>
      </c>
      <c r="H1553" s="1">
        <v>45916.455636574072</v>
      </c>
      <c r="I1553" s="2">
        <v>1</v>
      </c>
      <c r="J1553" s="1">
        <v>45915.379062499997</v>
      </c>
    </row>
    <row r="1554" spans="1:10" x14ac:dyDescent="0.2">
      <c r="A1554" s="4" t="s">
        <v>1</v>
      </c>
      <c r="B1554" s="3" t="str">
        <f>HYPERLINK("https://otsuka-europe-crm.veevavault.com/ui/#object/approved_document__v/V5OZ025E82TFUPI", "Spain - HCP Survey Email - June 2025")</f>
        <v>Spain - HCP Survey Email - June 2025</v>
      </c>
      <c r="C1554" s="3" t="str">
        <f>HYPERLINK("https://otsuka-europe-crm.veevavault.com/ui/#object/sent_email__v/VBLZ025E82GMYT4", "SE-000268634")</f>
        <v>SE-000268634</v>
      </c>
      <c r="D1554" s="1" t="s">
        <v>0</v>
      </c>
      <c r="E1554" s="2">
        <v>0</v>
      </c>
      <c r="F1554" s="2">
        <v>0</v>
      </c>
      <c r="G1554" s="2">
        <v>0</v>
      </c>
      <c r="H1554" s="1" t="s">
        <v>0</v>
      </c>
      <c r="I1554" s="2">
        <v>0</v>
      </c>
      <c r="J1554" s="1">
        <v>45915.377766203703</v>
      </c>
    </row>
    <row r="1555" spans="1:10" x14ac:dyDescent="0.2">
      <c r="A1555" s="4" t="s">
        <v>1</v>
      </c>
      <c r="B1555" s="3" t="str">
        <f>HYPERLINK("https://otsuka-europe-crm.veevavault.com/ui/#object/approved_document__v/V5OZ025E82TFUPI", "Spain - HCP Survey Email - June 2025")</f>
        <v>Spain - HCP Survey Email - June 2025</v>
      </c>
      <c r="C1555" s="3" t="str">
        <f>HYPERLINK("https://otsuka-europe-crm.veevavault.com/ui/#object/sent_email__v/VBLZ025E82GMYT5", "SE-000268635")</f>
        <v>SE-000268635</v>
      </c>
      <c r="D1555" s="1" t="s">
        <v>0</v>
      </c>
      <c r="E1555" s="2">
        <v>0</v>
      </c>
      <c r="F1555" s="2">
        <v>0</v>
      </c>
      <c r="G1555" s="2">
        <v>0</v>
      </c>
      <c r="H1555" s="1" t="s">
        <v>0</v>
      </c>
      <c r="I1555" s="2">
        <v>0</v>
      </c>
      <c r="J1555" s="1">
        <v>45915.378333333334</v>
      </c>
    </row>
    <row r="1556" spans="1:10" x14ac:dyDescent="0.2">
      <c r="A1556" s="4" t="s">
        <v>1</v>
      </c>
      <c r="B1556" s="3" t="str">
        <f>HYPERLINK("https://otsuka-europe-crm.veevavault.com/ui/#object/approved_document__v/V5OZ025E82TFUPI", "Spain - HCP Survey Email - June 2025")</f>
        <v>Spain - HCP Survey Email - June 2025</v>
      </c>
      <c r="C1556" s="3" t="str">
        <f>HYPERLINK("https://otsuka-europe-crm.veevavault.com/ui/#object/sent_email__v/VBLZ025E82GMYT7", "SE-000268637")</f>
        <v>SE-000268637</v>
      </c>
      <c r="D1556" s="1" t="s">
        <v>0</v>
      </c>
      <c r="E1556" s="2">
        <v>0</v>
      </c>
      <c r="F1556" s="2">
        <v>0</v>
      </c>
      <c r="G1556" s="2">
        <v>0</v>
      </c>
      <c r="H1556" s="1" t="s">
        <v>0</v>
      </c>
      <c r="I1556" s="2">
        <v>0</v>
      </c>
      <c r="J1556" s="1">
        <v>45915.378645833334</v>
      </c>
    </row>
    <row r="1557" spans="1:10" x14ac:dyDescent="0.2">
      <c r="A1557" s="4" t="s">
        <v>1</v>
      </c>
      <c r="B1557" s="3" t="str">
        <f>HYPERLINK("https://otsuka-europe-crm.veevavault.com/ui/#object/approved_document__v/V5OZ025E82TFUPI", "Spain - HCP Survey Email - June 2025")</f>
        <v>Spain - HCP Survey Email - June 2025</v>
      </c>
      <c r="C1557" s="3" t="str">
        <f>HYPERLINK("https://otsuka-europe-crm.veevavault.com/ui/#object/sent_email__v/VBLZ025E82GMYT8", "SE-000268638")</f>
        <v>SE-000268638</v>
      </c>
      <c r="D1557" s="1">
        <v>45915.54954861111</v>
      </c>
      <c r="E1557" s="2">
        <v>1</v>
      </c>
      <c r="F1557" s="2">
        <v>1</v>
      </c>
      <c r="G1557" s="2">
        <v>0</v>
      </c>
      <c r="H1557" s="1" t="s">
        <v>0</v>
      </c>
      <c r="I1557" s="2">
        <v>0</v>
      </c>
      <c r="J1557" s="1">
        <v>45915.379907407405</v>
      </c>
    </row>
    <row r="1558" spans="1:10" x14ac:dyDescent="0.2">
      <c r="A1558" s="4" t="s">
        <v>1</v>
      </c>
      <c r="B1558" s="3" t="str">
        <f>HYPERLINK("https://otsuka-europe-crm.veevavault.com/ui/#object/approved_document__v/V5OZ025E82TFUPI", "Spain - HCP Survey Email - June 2025")</f>
        <v>Spain - HCP Survey Email - June 2025</v>
      </c>
      <c r="C1558" s="3" t="str">
        <f>HYPERLINK("https://otsuka-europe-crm.veevavault.com/ui/#object/sent_email__v/VBLZ025E82GMYT9", "SE-000268639")</f>
        <v>SE-000268639</v>
      </c>
      <c r="D1558" s="1">
        <v>45935.646724537037</v>
      </c>
      <c r="E1558" s="2">
        <v>1</v>
      </c>
      <c r="F1558" s="2">
        <v>6</v>
      </c>
      <c r="G1558" s="2">
        <v>1</v>
      </c>
      <c r="H1558" s="1">
        <v>45915.438171296293</v>
      </c>
      <c r="I1558" s="2">
        <v>2</v>
      </c>
      <c r="J1558" s="1">
        <v>45915.377696759257</v>
      </c>
    </row>
    <row r="1559" spans="1:10" x14ac:dyDescent="0.2">
      <c r="A1559" s="4" t="s">
        <v>1</v>
      </c>
      <c r="B1559" s="3" t="str">
        <f>HYPERLINK("https://otsuka-europe-crm.veevavault.com/ui/#object/approved_document__v/V5OZ025E82TFUPI", "Spain - HCP Survey Email - June 2025")</f>
        <v>Spain - HCP Survey Email - June 2025</v>
      </c>
      <c r="C1559" s="3" t="str">
        <f>HYPERLINK("https://otsuka-europe-crm.veevavault.com/ui/#object/sent_email__v/VBLZ025E82GMYTA", "SE-000268640")</f>
        <v>SE-000268640</v>
      </c>
      <c r="D1559" s="1" t="s">
        <v>0</v>
      </c>
      <c r="E1559" s="2">
        <v>0</v>
      </c>
      <c r="F1559" s="2">
        <v>0</v>
      </c>
      <c r="G1559" s="2">
        <v>0</v>
      </c>
      <c r="H1559" s="1" t="s">
        <v>0</v>
      </c>
      <c r="I1559" s="2">
        <v>0</v>
      </c>
      <c r="J1559" s="1">
        <v>45915.377615740741</v>
      </c>
    </row>
    <row r="1560" spans="1:10" x14ac:dyDescent="0.2">
      <c r="A1560" s="4" t="s">
        <v>1</v>
      </c>
      <c r="B1560" s="3" t="str">
        <f>HYPERLINK("https://otsuka-europe-crm.veevavault.com/ui/#object/approved_document__v/V5OZ025E82TFUPI", "Spain - HCP Survey Email - June 2025")</f>
        <v>Spain - HCP Survey Email - June 2025</v>
      </c>
      <c r="C1560" s="3" t="str">
        <f>HYPERLINK("https://otsuka-europe-crm.veevavault.com/ui/#object/sent_email__v/VBLZ025E82GMYTB", "SE-000268641")</f>
        <v>SE-000268641</v>
      </c>
      <c r="D1560" s="1" t="s">
        <v>0</v>
      </c>
      <c r="E1560" s="2">
        <v>0</v>
      </c>
      <c r="F1560" s="2">
        <v>0</v>
      </c>
      <c r="G1560" s="2">
        <v>0</v>
      </c>
      <c r="H1560" s="1" t="s">
        <v>0</v>
      </c>
      <c r="I1560" s="2">
        <v>0</v>
      </c>
      <c r="J1560" s="1">
        <v>45915.378518518519</v>
      </c>
    </row>
    <row r="1561" spans="1:10" x14ac:dyDescent="0.2">
      <c r="A1561" s="4" t="s">
        <v>1</v>
      </c>
      <c r="B1561" s="3" t="str">
        <f>HYPERLINK("https://otsuka-europe-crm.veevavault.com/ui/#object/approved_document__v/V5OZ025E82TFUPI", "Spain - HCP Survey Email - June 2025")</f>
        <v>Spain - HCP Survey Email - June 2025</v>
      </c>
      <c r="C1561" s="3" t="str">
        <f>HYPERLINK("https://otsuka-europe-crm.veevavault.com/ui/#object/sent_email__v/VBLZ025E82GMYTC", "SE-000268642")</f>
        <v>SE-000268642</v>
      </c>
      <c r="D1561" s="1" t="s">
        <v>0</v>
      </c>
      <c r="E1561" s="2">
        <v>0</v>
      </c>
      <c r="F1561" s="2">
        <v>0</v>
      </c>
      <c r="G1561" s="2">
        <v>0</v>
      </c>
      <c r="H1561" s="1" t="s">
        <v>0</v>
      </c>
      <c r="I1561" s="2">
        <v>0</v>
      </c>
      <c r="J1561" s="1">
        <v>45915.378912037035</v>
      </c>
    </row>
    <row r="1562" spans="1:10" x14ac:dyDescent="0.2">
      <c r="A1562" s="4" t="s">
        <v>1</v>
      </c>
      <c r="B1562" s="3" t="str">
        <f>HYPERLINK("https://otsuka-europe-crm.veevavault.com/ui/#object/approved_document__v/V5OZ025E82TFUPI", "Spain - HCP Survey Email - June 2025")</f>
        <v>Spain - HCP Survey Email - June 2025</v>
      </c>
      <c r="C1562" s="3" t="str">
        <f>HYPERLINK("https://otsuka-europe-crm.veevavault.com/ui/#object/sent_email__v/VBLZ025E82GMYTD", "SE-000268643")</f>
        <v>SE-000268643</v>
      </c>
      <c r="D1562" s="1" t="s">
        <v>0</v>
      </c>
      <c r="E1562" s="2">
        <v>0</v>
      </c>
      <c r="F1562" s="2">
        <v>0</v>
      </c>
      <c r="G1562" s="2">
        <v>0</v>
      </c>
      <c r="H1562" s="1" t="s">
        <v>0</v>
      </c>
      <c r="I1562" s="2">
        <v>0</v>
      </c>
      <c r="J1562" s="1">
        <v>45915.378692129627</v>
      </c>
    </row>
    <row r="1563" spans="1:10" x14ac:dyDescent="0.2">
      <c r="A1563" s="4" t="s">
        <v>1</v>
      </c>
      <c r="B1563" s="3" t="str">
        <f>HYPERLINK("https://otsuka-europe-crm.veevavault.com/ui/#object/approved_document__v/V5OZ025E82TFUPI", "Spain - HCP Survey Email - June 2025")</f>
        <v>Spain - HCP Survey Email - June 2025</v>
      </c>
      <c r="C1563" s="3" t="str">
        <f>HYPERLINK("https://otsuka-europe-crm.veevavault.com/ui/#object/sent_email__v/VBLZ025E82GMYTE", "SE-000268644")</f>
        <v>SE-000268644</v>
      </c>
      <c r="D1563" s="1">
        <v>45915.629548611112</v>
      </c>
      <c r="E1563" s="2">
        <v>1</v>
      </c>
      <c r="F1563" s="2">
        <v>1</v>
      </c>
      <c r="G1563" s="2">
        <v>0</v>
      </c>
      <c r="H1563" s="1" t="s">
        <v>0</v>
      </c>
      <c r="I1563" s="2">
        <v>0</v>
      </c>
      <c r="J1563" s="1">
        <v>45915.378981481481</v>
      </c>
    </row>
    <row r="1564" spans="1:10" x14ac:dyDescent="0.2">
      <c r="A1564" s="4" t="s">
        <v>1</v>
      </c>
      <c r="B1564" s="3" t="str">
        <f>HYPERLINK("https://otsuka-europe-crm.veevavault.com/ui/#object/approved_document__v/V5OZ025E82TFUPI", "Spain - HCP Survey Email - June 2025")</f>
        <v>Spain - HCP Survey Email - June 2025</v>
      </c>
      <c r="C1564" s="3" t="str">
        <f>HYPERLINK("https://otsuka-europe-crm.veevavault.com/ui/#object/sent_email__v/VBLZ025E82GMYTF", "SE-000268645")</f>
        <v>SE-000268645</v>
      </c>
      <c r="D1564" s="1" t="s">
        <v>0</v>
      </c>
      <c r="E1564" s="2">
        <v>0</v>
      </c>
      <c r="F1564" s="2">
        <v>0</v>
      </c>
      <c r="G1564" s="2">
        <v>0</v>
      </c>
      <c r="H1564" s="1" t="s">
        <v>0</v>
      </c>
      <c r="I1564" s="2">
        <v>0</v>
      </c>
      <c r="J1564" s="1">
        <v>45915.37777777778</v>
      </c>
    </row>
    <row r="1565" spans="1:10" x14ac:dyDescent="0.2">
      <c r="A1565" s="4" t="s">
        <v>1</v>
      </c>
      <c r="B1565" s="3" t="str">
        <f>HYPERLINK("https://otsuka-europe-crm.veevavault.com/ui/#object/approved_document__v/V5OZ025E82TFUPI", "Spain - HCP Survey Email - June 2025")</f>
        <v>Spain - HCP Survey Email - June 2025</v>
      </c>
      <c r="C1565" s="3" t="str">
        <f>HYPERLINK("https://otsuka-europe-crm.veevavault.com/ui/#object/sent_email__v/VBLZ025E82GMYTG", "SE-000268646")</f>
        <v>SE-000268646</v>
      </c>
      <c r="D1565" s="1" t="s">
        <v>0</v>
      </c>
      <c r="E1565" s="2">
        <v>0</v>
      </c>
      <c r="F1565" s="2">
        <v>0</v>
      </c>
      <c r="G1565" s="2">
        <v>0</v>
      </c>
      <c r="H1565" s="1" t="s">
        <v>0</v>
      </c>
      <c r="I1565" s="2">
        <v>0</v>
      </c>
      <c r="J1565" s="1">
        <v>45915.378240740742</v>
      </c>
    </row>
    <row r="1566" spans="1:10" x14ac:dyDescent="0.2">
      <c r="A1566" s="4" t="s">
        <v>1</v>
      </c>
      <c r="B1566" s="3" t="str">
        <f>HYPERLINK("https://otsuka-europe-crm.veevavault.com/ui/#object/approved_document__v/V5OZ025E82TFUPI", "Spain - HCP Survey Email - June 2025")</f>
        <v>Spain - HCP Survey Email - June 2025</v>
      </c>
      <c r="C1566" s="3" t="str">
        <f>HYPERLINK("https://otsuka-europe-crm.veevavault.com/ui/#object/sent_email__v/VBLZ025E82GMYTH", "SE-000268647")</f>
        <v>SE-000268647</v>
      </c>
      <c r="D1566" s="1" t="s">
        <v>0</v>
      </c>
      <c r="E1566" s="2">
        <v>0</v>
      </c>
      <c r="F1566" s="2">
        <v>0</v>
      </c>
      <c r="G1566" s="2">
        <v>0</v>
      </c>
      <c r="H1566" s="1" t="s">
        <v>0</v>
      </c>
      <c r="I1566" s="2">
        <v>0</v>
      </c>
      <c r="J1566" s="1">
        <v>45915.378159722219</v>
      </c>
    </row>
    <row r="1567" spans="1:10" x14ac:dyDescent="0.2">
      <c r="A1567" s="4" t="s">
        <v>1</v>
      </c>
      <c r="B1567" s="3" t="str">
        <f>HYPERLINK("https://otsuka-europe-crm.veevavault.com/ui/#object/approved_document__v/V5OZ025E82TFUPI", "Spain - HCP Survey Email - June 2025")</f>
        <v>Spain - HCP Survey Email - June 2025</v>
      </c>
      <c r="C1567" s="3" t="str">
        <f>HYPERLINK("https://otsuka-europe-crm.veevavault.com/ui/#object/sent_email__v/VBLZ025E82GMYTI", "SE-000268648")</f>
        <v>SE-000268648</v>
      </c>
      <c r="D1567" s="1" t="s">
        <v>0</v>
      </c>
      <c r="E1567" s="2">
        <v>0</v>
      </c>
      <c r="F1567" s="2">
        <v>0</v>
      </c>
      <c r="G1567" s="2">
        <v>0</v>
      </c>
      <c r="H1567" s="1" t="s">
        <v>0</v>
      </c>
      <c r="I1567" s="2">
        <v>0</v>
      </c>
      <c r="J1567" s="1">
        <v>45915.378599537034</v>
      </c>
    </row>
    <row r="1568" spans="1:10" x14ac:dyDescent="0.2">
      <c r="A1568" s="4" t="s">
        <v>1</v>
      </c>
      <c r="B1568" s="3" t="str">
        <f>HYPERLINK("https://otsuka-europe-crm.veevavault.com/ui/#object/approved_document__v/V5OZ025E82TFUPI", "Spain - HCP Survey Email - June 2025")</f>
        <v>Spain - HCP Survey Email - June 2025</v>
      </c>
      <c r="C1568" s="3" t="str">
        <f>HYPERLINK("https://otsuka-europe-crm.veevavault.com/ui/#object/sent_email__v/VBLZ025E82GMYTJ", "SE-000268649")</f>
        <v>SE-000268649</v>
      </c>
      <c r="D1568" s="1">
        <v>45915.460717592592</v>
      </c>
      <c r="E1568" s="2">
        <v>1</v>
      </c>
      <c r="F1568" s="2">
        <v>1</v>
      </c>
      <c r="G1568" s="2">
        <v>1</v>
      </c>
      <c r="H1568" s="1">
        <v>45915.4608912037</v>
      </c>
      <c r="I1568" s="2">
        <v>1</v>
      </c>
      <c r="J1568" s="1">
        <v>45915.379953703705</v>
      </c>
    </row>
    <row r="1569" spans="1:10" x14ac:dyDescent="0.2">
      <c r="A1569" s="4" t="s">
        <v>1</v>
      </c>
      <c r="B1569" s="3" t="str">
        <f>HYPERLINK("https://otsuka-europe-crm.veevavault.com/ui/#object/approved_document__v/V5OZ025E82TFUPI", "Spain - HCP Survey Email - June 2025")</f>
        <v>Spain - HCP Survey Email - June 2025</v>
      </c>
      <c r="C1569" s="3" t="str">
        <f>HYPERLINK("https://otsuka-europe-crm.veevavault.com/ui/#object/sent_email__v/VBLZ025E82GMYTK", "SE-000268650")</f>
        <v>SE-000268650</v>
      </c>
      <c r="D1569" s="1">
        <v>45915.389745370368</v>
      </c>
      <c r="E1569" s="2">
        <v>1</v>
      </c>
      <c r="F1569" s="2">
        <v>1</v>
      </c>
      <c r="G1569" s="2">
        <v>0</v>
      </c>
      <c r="H1569" s="1" t="s">
        <v>0</v>
      </c>
      <c r="I1569" s="2">
        <v>0</v>
      </c>
      <c r="J1569" s="1">
        <v>45915.377708333333</v>
      </c>
    </row>
    <row r="1570" spans="1:10" x14ac:dyDescent="0.2">
      <c r="A1570" s="4" t="s">
        <v>1</v>
      </c>
      <c r="B1570" s="3" t="str">
        <f>HYPERLINK("https://otsuka-europe-crm.veevavault.com/ui/#object/approved_document__v/V5OZ025E82TFUPI", "Spain - HCP Survey Email - June 2025")</f>
        <v>Spain - HCP Survey Email - June 2025</v>
      </c>
      <c r="C1570" s="3" t="str">
        <f>HYPERLINK("https://otsuka-europe-crm.veevavault.com/ui/#object/sent_email__v/VBLZ025E82GMYTL", "SE-000268651")</f>
        <v>SE-000268651</v>
      </c>
      <c r="D1570" s="1">
        <v>45915.394490740742</v>
      </c>
      <c r="E1570" s="2">
        <v>1</v>
      </c>
      <c r="F1570" s="2">
        <v>1</v>
      </c>
      <c r="G1570" s="2">
        <v>0</v>
      </c>
      <c r="H1570" s="1" t="s">
        <v>0</v>
      </c>
      <c r="I1570" s="2">
        <v>0</v>
      </c>
      <c r="J1570" s="1">
        <v>45915.377557870372</v>
      </c>
    </row>
    <row r="1571" spans="1:10" x14ac:dyDescent="0.2">
      <c r="A1571" s="4" t="s">
        <v>1</v>
      </c>
      <c r="B1571" s="3" t="str">
        <f>HYPERLINK("https://otsuka-europe-crm.veevavault.com/ui/#object/approved_document__v/V5OZ025E82TFUPI", "Spain - HCP Survey Email - June 2025")</f>
        <v>Spain - HCP Survey Email - June 2025</v>
      </c>
      <c r="C1571" s="3" t="str">
        <f>HYPERLINK("https://otsuka-europe-crm.veevavault.com/ui/#object/sent_email__v/VBLZ025E82GMYTM", "SE-000268652")</f>
        <v>SE-000268652</v>
      </c>
      <c r="D1571" s="1">
        <v>45916.93136574074</v>
      </c>
      <c r="E1571" s="2">
        <v>1</v>
      </c>
      <c r="F1571" s="2">
        <v>1</v>
      </c>
      <c r="G1571" s="2">
        <v>1</v>
      </c>
      <c r="H1571" s="1">
        <v>45916.93136574074</v>
      </c>
      <c r="I1571" s="2">
        <v>1</v>
      </c>
      <c r="J1571" s="1">
        <v>45915.378541666665</v>
      </c>
    </row>
    <row r="1572" spans="1:10" x14ac:dyDescent="0.2">
      <c r="A1572" s="4" t="s">
        <v>1</v>
      </c>
      <c r="B1572" s="3" t="str">
        <f>HYPERLINK("https://otsuka-europe-crm.veevavault.com/ui/#object/approved_document__v/V5OZ025E82TFUPI", "Spain - HCP Survey Email - June 2025")</f>
        <v>Spain - HCP Survey Email - June 2025</v>
      </c>
      <c r="C1572" s="3" t="str">
        <f>HYPERLINK("https://otsuka-europe-crm.veevavault.com/ui/#object/sent_email__v/VBLZ025E82GMYTN", "SE-000268653")</f>
        <v>SE-000268653</v>
      </c>
      <c r="D1572" s="1" t="s">
        <v>0</v>
      </c>
      <c r="E1572" s="2">
        <v>0</v>
      </c>
      <c r="F1572" s="2">
        <v>0</v>
      </c>
      <c r="G1572" s="2">
        <v>0</v>
      </c>
      <c r="H1572" s="1" t="s">
        <v>0</v>
      </c>
      <c r="I1572" s="2">
        <v>0</v>
      </c>
      <c r="J1572" s="1">
        <v>45915.380023148151</v>
      </c>
    </row>
    <row r="1573" spans="1:10" x14ac:dyDescent="0.2">
      <c r="A1573" s="4" t="s">
        <v>1</v>
      </c>
      <c r="B1573" s="3" t="str">
        <f>HYPERLINK("https://otsuka-europe-crm.veevavault.com/ui/#object/approved_document__v/V5OZ025E82TFUPI", "Spain - HCP Survey Email - June 2025")</f>
        <v>Spain - HCP Survey Email - June 2025</v>
      </c>
      <c r="C1573" s="3" t="str">
        <f>HYPERLINK("https://otsuka-europe-crm.veevavault.com/ui/#object/sent_email__v/VBLZ025E82GMYTO", "SE-000268654")</f>
        <v>SE-000268654</v>
      </c>
      <c r="D1573" s="1" t="s">
        <v>0</v>
      </c>
      <c r="E1573" s="2">
        <v>0</v>
      </c>
      <c r="F1573" s="2">
        <v>0</v>
      </c>
      <c r="G1573" s="2">
        <v>0</v>
      </c>
      <c r="H1573" s="1" t="s">
        <v>0</v>
      </c>
      <c r="I1573" s="2">
        <v>0</v>
      </c>
      <c r="J1573" s="1">
        <v>45915.377696759257</v>
      </c>
    </row>
    <row r="1574" spans="1:10" x14ac:dyDescent="0.2">
      <c r="A1574" s="4" t="s">
        <v>1</v>
      </c>
      <c r="B1574" s="3" t="str">
        <f>HYPERLINK("https://otsuka-europe-crm.veevavault.com/ui/#object/approved_document__v/V5OZ025E82TFUPI", "Spain - HCP Survey Email - June 2025")</f>
        <v>Spain - HCP Survey Email - June 2025</v>
      </c>
      <c r="C1574" s="3" t="str">
        <f>HYPERLINK("https://otsuka-europe-crm.veevavault.com/ui/#object/sent_email__v/VBLZ025E82GMYTP", "SE-000268655")</f>
        <v>SE-000268655</v>
      </c>
      <c r="D1574" s="1">
        <v>45942.457118055558</v>
      </c>
      <c r="E1574" s="2">
        <v>1</v>
      </c>
      <c r="F1574" s="2">
        <v>9</v>
      </c>
      <c r="G1574" s="2">
        <v>0</v>
      </c>
      <c r="H1574" s="1" t="s">
        <v>0</v>
      </c>
      <c r="I1574" s="2">
        <v>0</v>
      </c>
      <c r="J1574" s="1">
        <v>45915.377569444441</v>
      </c>
    </row>
    <row r="1575" spans="1:10" x14ac:dyDescent="0.2">
      <c r="A1575" s="4" t="s">
        <v>1</v>
      </c>
      <c r="B1575" s="3" t="str">
        <f>HYPERLINK("https://otsuka-europe-crm.veevavault.com/ui/#object/approved_document__v/V5OZ025E82TFUPI", "Spain - HCP Survey Email - June 2025")</f>
        <v>Spain - HCP Survey Email - June 2025</v>
      </c>
      <c r="C1575" s="3" t="str">
        <f>HYPERLINK("https://otsuka-europe-crm.veevavault.com/ui/#object/sent_email__v/VBLZ025E82GMYTQ", "SE-000268656")</f>
        <v>SE-000268656</v>
      </c>
      <c r="D1575" s="1" t="s">
        <v>0</v>
      </c>
      <c r="E1575" s="2">
        <v>0</v>
      </c>
      <c r="F1575" s="2">
        <v>0</v>
      </c>
      <c r="G1575" s="2">
        <v>0</v>
      </c>
      <c r="H1575" s="1" t="s">
        <v>0</v>
      </c>
      <c r="I1575" s="2">
        <v>0</v>
      </c>
      <c r="J1575" s="1">
        <v>45915.37835648148</v>
      </c>
    </row>
    <row r="1576" spans="1:10" x14ac:dyDescent="0.2">
      <c r="A1576" s="4" t="s">
        <v>1</v>
      </c>
      <c r="B1576" s="3" t="str">
        <f>HYPERLINK("https://otsuka-europe-crm.veevavault.com/ui/#object/approved_document__v/V5OZ025E82TFUPI", "Spain - HCP Survey Email - June 2025")</f>
        <v>Spain - HCP Survey Email - June 2025</v>
      </c>
      <c r="C1576" s="3" t="str">
        <f>HYPERLINK("https://otsuka-europe-crm.veevavault.com/ui/#object/sent_email__v/VBLZ025E82GMYTR", "SE-000268657")</f>
        <v>SE-000268657</v>
      </c>
      <c r="D1576" s="1">
        <v>45915.381435185183</v>
      </c>
      <c r="E1576" s="2">
        <v>1</v>
      </c>
      <c r="F1576" s="2">
        <v>1</v>
      </c>
      <c r="G1576" s="2">
        <v>0</v>
      </c>
      <c r="H1576" s="1" t="s">
        <v>0</v>
      </c>
      <c r="I1576" s="2">
        <v>0</v>
      </c>
      <c r="J1576" s="1">
        <v>45915.378912037035</v>
      </c>
    </row>
    <row r="1577" spans="1:10" x14ac:dyDescent="0.2">
      <c r="A1577" s="4" t="s">
        <v>1</v>
      </c>
      <c r="B1577" s="3" t="str">
        <f>HYPERLINK("https://otsuka-europe-crm.veevavault.com/ui/#object/approved_document__v/V5OZ025E82TFUPI", "Spain - HCP Survey Email - June 2025")</f>
        <v>Spain - HCP Survey Email - June 2025</v>
      </c>
      <c r="C1577" s="3" t="str">
        <f>HYPERLINK("https://otsuka-europe-crm.veevavault.com/ui/#object/sent_email__v/VBLZ025E82GMYTS", "SE-000268658")</f>
        <v>SE-000268658</v>
      </c>
      <c r="D1577" s="1">
        <v>45915.564363425925</v>
      </c>
      <c r="E1577" s="2">
        <v>1</v>
      </c>
      <c r="F1577" s="2">
        <v>1</v>
      </c>
      <c r="G1577" s="2">
        <v>0</v>
      </c>
      <c r="H1577" s="1" t="s">
        <v>0</v>
      </c>
      <c r="I1577" s="2">
        <v>0</v>
      </c>
      <c r="J1577" s="1">
        <v>45915.378807870373</v>
      </c>
    </row>
    <row r="1578" spans="1:10" x14ac:dyDescent="0.2">
      <c r="A1578" s="4" t="s">
        <v>1</v>
      </c>
      <c r="B1578" s="3" t="str">
        <f>HYPERLINK("https://otsuka-europe-crm.veevavault.com/ui/#object/approved_document__v/V5OZ025E82TFUPI", "Spain - HCP Survey Email - June 2025")</f>
        <v>Spain - HCP Survey Email - June 2025</v>
      </c>
      <c r="C1578" s="3" t="str">
        <f>HYPERLINK("https://otsuka-europe-crm.veevavault.com/ui/#object/sent_email__v/VBLZ025E82GMYTT", "SE-000268659")</f>
        <v>SE-000268659</v>
      </c>
      <c r="D1578" s="1" t="s">
        <v>0</v>
      </c>
      <c r="E1578" s="2">
        <v>0</v>
      </c>
      <c r="F1578" s="2">
        <v>0</v>
      </c>
      <c r="G1578" s="2">
        <v>0</v>
      </c>
      <c r="H1578" s="1" t="s">
        <v>0</v>
      </c>
      <c r="I1578" s="2">
        <v>0</v>
      </c>
      <c r="J1578" s="1">
        <v>45915.379062499997</v>
      </c>
    </row>
    <row r="1579" spans="1:10" x14ac:dyDescent="0.2">
      <c r="A1579" s="4" t="s">
        <v>1</v>
      </c>
      <c r="B1579" s="3" t="str">
        <f>HYPERLINK("https://otsuka-europe-crm.veevavault.com/ui/#object/approved_document__v/V5OZ025E82TFUPI", "Spain - HCP Survey Email - June 2025")</f>
        <v>Spain - HCP Survey Email - June 2025</v>
      </c>
      <c r="C1579" s="3" t="str">
        <f>HYPERLINK("https://otsuka-europe-crm.veevavault.com/ui/#object/sent_email__v/VBLZ025E82GMYTU", "SE-000268660")</f>
        <v>SE-000268660</v>
      </c>
      <c r="D1579" s="1" t="s">
        <v>0</v>
      </c>
      <c r="E1579" s="2">
        <v>0</v>
      </c>
      <c r="F1579" s="2">
        <v>0</v>
      </c>
      <c r="G1579" s="2">
        <v>0</v>
      </c>
      <c r="H1579" s="1" t="s">
        <v>0</v>
      </c>
      <c r="I1579" s="2">
        <v>0</v>
      </c>
      <c r="J1579" s="1">
        <v>45915.37777777778</v>
      </c>
    </row>
    <row r="1580" spans="1:10" x14ac:dyDescent="0.2">
      <c r="A1580" s="4" t="s">
        <v>1</v>
      </c>
      <c r="B1580" s="3" t="str">
        <f>HYPERLINK("https://otsuka-europe-crm.veevavault.com/ui/#object/approved_document__v/V5OZ025E82TFUPI", "Spain - HCP Survey Email - June 2025")</f>
        <v>Spain - HCP Survey Email - June 2025</v>
      </c>
      <c r="C1580" s="3" t="str">
        <f>HYPERLINK("https://otsuka-europe-crm.veevavault.com/ui/#object/sent_email__v/VBLZ025E82GMYTV", "SE-000268661")</f>
        <v>SE-000268661</v>
      </c>
      <c r="D1580" s="1">
        <v>45931.748067129629</v>
      </c>
      <c r="E1580" s="2">
        <v>1</v>
      </c>
      <c r="F1580" s="2">
        <v>1</v>
      </c>
      <c r="G1580" s="2">
        <v>0</v>
      </c>
      <c r="H1580" s="1" t="s">
        <v>0</v>
      </c>
      <c r="I1580" s="2">
        <v>0</v>
      </c>
      <c r="J1580" s="1">
        <v>45915.378298611111</v>
      </c>
    </row>
    <row r="1581" spans="1:10" x14ac:dyDescent="0.2">
      <c r="A1581" s="4" t="s">
        <v>1</v>
      </c>
      <c r="B1581" s="3" t="str">
        <f>HYPERLINK("https://otsuka-europe-crm.veevavault.com/ui/#object/approved_document__v/V5OZ025E82TFUPI", "Spain - HCP Survey Email - June 2025")</f>
        <v>Spain - HCP Survey Email - June 2025</v>
      </c>
      <c r="C1581" s="3" t="str">
        <f>HYPERLINK("https://otsuka-europe-crm.veevavault.com/ui/#object/sent_email__v/VBLZ025E82GMYTW", "SE-000268662")</f>
        <v>SE-000268662</v>
      </c>
      <c r="D1581" s="1" t="s">
        <v>0</v>
      </c>
      <c r="E1581" s="2">
        <v>0</v>
      </c>
      <c r="F1581" s="2">
        <v>0</v>
      </c>
      <c r="G1581" s="2">
        <v>0</v>
      </c>
      <c r="H1581" s="1" t="s">
        <v>0</v>
      </c>
      <c r="I1581" s="2">
        <v>0</v>
      </c>
      <c r="J1581" s="1">
        <v>45915.378206018519</v>
      </c>
    </row>
    <row r="1582" spans="1:10" x14ac:dyDescent="0.2">
      <c r="A1582" s="4" t="s">
        <v>1</v>
      </c>
      <c r="B1582" s="3" t="str">
        <f>HYPERLINK("https://otsuka-europe-crm.veevavault.com/ui/#object/approved_document__v/V5OZ025E82TFUPI", "Spain - HCP Survey Email - June 2025")</f>
        <v>Spain - HCP Survey Email - June 2025</v>
      </c>
      <c r="C1582" s="3" t="str">
        <f>HYPERLINK("https://otsuka-europe-crm.veevavault.com/ui/#object/sent_email__v/VBLZ025E82GMYTX", "SE-000268663")</f>
        <v>SE-000268663</v>
      </c>
      <c r="D1582" s="1">
        <v>45915.411956018521</v>
      </c>
      <c r="E1582" s="2">
        <v>1</v>
      </c>
      <c r="F1582" s="2">
        <v>2</v>
      </c>
      <c r="G1582" s="2">
        <v>1</v>
      </c>
      <c r="H1582" s="1">
        <v>45915.412222222221</v>
      </c>
      <c r="I1582" s="2">
        <v>1</v>
      </c>
      <c r="J1582" s="1">
        <v>45915.378657407404</v>
      </c>
    </row>
    <row r="1583" spans="1:10" x14ac:dyDescent="0.2">
      <c r="A1583" s="4" t="s">
        <v>1</v>
      </c>
      <c r="B1583" s="3" t="str">
        <f>HYPERLINK("https://otsuka-europe-crm.veevavault.com/ui/#object/approved_document__v/V5OZ025E82TFUPI", "Spain - HCP Survey Email - June 2025")</f>
        <v>Spain - HCP Survey Email - June 2025</v>
      </c>
      <c r="C1583" s="3" t="str">
        <f>HYPERLINK("https://otsuka-europe-crm.veevavault.com/ui/#object/sent_email__v/VBLZ025E82GMYTY", "SE-000268664")</f>
        <v>SE-000268664</v>
      </c>
      <c r="D1583" s="1">
        <v>45915.380810185183</v>
      </c>
      <c r="E1583" s="2">
        <v>1</v>
      </c>
      <c r="F1583" s="2">
        <v>1</v>
      </c>
      <c r="G1583" s="2">
        <v>0</v>
      </c>
      <c r="H1583" s="1" t="s">
        <v>0</v>
      </c>
      <c r="I1583" s="2">
        <v>0</v>
      </c>
      <c r="J1583" s="1">
        <v>45915.379861111112</v>
      </c>
    </row>
    <row r="1584" spans="1:10" x14ac:dyDescent="0.2">
      <c r="A1584" s="4" t="s">
        <v>1</v>
      </c>
      <c r="B1584" s="3" t="str">
        <f>HYPERLINK("https://otsuka-europe-crm.veevavault.com/ui/#object/approved_document__v/V5OZ025E82TFUPI", "Spain - HCP Survey Email - June 2025")</f>
        <v>Spain - HCP Survey Email - June 2025</v>
      </c>
      <c r="C1584" s="3" t="str">
        <f>HYPERLINK("https://otsuka-europe-crm.veevavault.com/ui/#object/sent_email__v/VBLZ025E82GMYTZ", "SE-000268665")</f>
        <v>SE-000268665</v>
      </c>
      <c r="D1584" s="1">
        <v>45921.574467592596</v>
      </c>
      <c r="E1584" s="2">
        <v>1</v>
      </c>
      <c r="F1584" s="2">
        <v>1</v>
      </c>
      <c r="G1584" s="2">
        <v>0</v>
      </c>
      <c r="H1584" s="1" t="s">
        <v>0</v>
      </c>
      <c r="I1584" s="2">
        <v>0</v>
      </c>
      <c r="J1584" s="1">
        <v>45915.377685185187</v>
      </c>
    </row>
    <row r="1585" spans="1:10" x14ac:dyDescent="0.2">
      <c r="A1585" s="4" t="s">
        <v>1</v>
      </c>
      <c r="B1585" s="3" t="str">
        <f>HYPERLINK("https://otsuka-europe-crm.veevavault.com/ui/#object/approved_document__v/V5OZ025E82TFUPI", "Spain - HCP Survey Email - June 2025")</f>
        <v>Spain - HCP Survey Email - June 2025</v>
      </c>
      <c r="C1585" s="3" t="str">
        <f>HYPERLINK("https://otsuka-europe-crm.veevavault.com/ui/#object/sent_email__v/VBLZ025E82GMYU0", "SE-000268666")</f>
        <v>SE-000268666</v>
      </c>
      <c r="D1585" s="1" t="s">
        <v>0</v>
      </c>
      <c r="E1585" s="2">
        <v>0</v>
      </c>
      <c r="F1585" s="2">
        <v>0</v>
      </c>
      <c r="G1585" s="2">
        <v>0</v>
      </c>
      <c r="H1585" s="1" t="s">
        <v>0</v>
      </c>
      <c r="I1585" s="2">
        <v>0</v>
      </c>
      <c r="J1585" s="1">
        <v>45915.377581018518</v>
      </c>
    </row>
    <row r="1586" spans="1:10" x14ac:dyDescent="0.2">
      <c r="A1586" s="4" t="s">
        <v>1</v>
      </c>
      <c r="B1586" s="3" t="str">
        <f>HYPERLINK("https://otsuka-europe-crm.veevavault.com/ui/#object/approved_document__v/V5OZ025E82TFUPI", "Spain - HCP Survey Email - June 2025")</f>
        <v>Spain - HCP Survey Email - June 2025</v>
      </c>
      <c r="C1586" s="3" t="str">
        <f>HYPERLINK("https://otsuka-europe-crm.veevavault.com/ui/#object/sent_email__v/VBLZ025E82GMYU1", "SE-000268667")</f>
        <v>SE-000268667</v>
      </c>
      <c r="D1586" s="1">
        <v>45916.657604166663</v>
      </c>
      <c r="E1586" s="2">
        <v>1</v>
      </c>
      <c r="F1586" s="2">
        <v>1</v>
      </c>
      <c r="G1586" s="2">
        <v>0</v>
      </c>
      <c r="H1586" s="1" t="s">
        <v>0</v>
      </c>
      <c r="I1586" s="2">
        <v>0</v>
      </c>
      <c r="J1586" s="1">
        <v>45915.378576388888</v>
      </c>
    </row>
    <row r="1587" spans="1:10" x14ac:dyDescent="0.2">
      <c r="A1587" s="4" t="s">
        <v>1</v>
      </c>
      <c r="B1587" s="3" t="str">
        <f>HYPERLINK("https://otsuka-europe-crm.veevavault.com/ui/#object/approved_document__v/V5OZ025E82TFUPI", "Spain - HCP Survey Email - June 2025")</f>
        <v>Spain - HCP Survey Email - June 2025</v>
      </c>
      <c r="C1587" s="3" t="str">
        <f>HYPERLINK("https://otsuka-europe-crm.veevavault.com/ui/#object/sent_email__v/VBLZ025E82GMYU2", "SE-000268668")</f>
        <v>SE-000268668</v>
      </c>
      <c r="D1587" s="1" t="s">
        <v>0</v>
      </c>
      <c r="E1587" s="2">
        <v>0</v>
      </c>
      <c r="F1587" s="2">
        <v>0</v>
      </c>
      <c r="G1587" s="2">
        <v>0</v>
      </c>
      <c r="H1587" s="1" t="s">
        <v>0</v>
      </c>
      <c r="I1587" s="2">
        <v>0</v>
      </c>
      <c r="J1587" s="1">
        <v>45915.378831018519</v>
      </c>
    </row>
    <row r="1588" spans="1:10" x14ac:dyDescent="0.2">
      <c r="A1588" s="4" t="s">
        <v>1</v>
      </c>
      <c r="B1588" s="3" t="str">
        <f>HYPERLINK("https://otsuka-europe-crm.veevavault.com/ui/#object/approved_document__v/V5OZ025E82TFUPI", "Spain - HCP Survey Email - June 2025")</f>
        <v>Spain - HCP Survey Email - June 2025</v>
      </c>
      <c r="C1588" s="3" t="str">
        <f>HYPERLINK("https://otsuka-europe-crm.veevavault.com/ui/#object/sent_email__v/VBLZ025E82GMYU3", "SE-000268669")</f>
        <v>SE-000268669</v>
      </c>
      <c r="D1588" s="1" t="s">
        <v>0</v>
      </c>
      <c r="E1588" s="2">
        <v>0</v>
      </c>
      <c r="F1588" s="2">
        <v>0</v>
      </c>
      <c r="G1588" s="2">
        <v>0</v>
      </c>
      <c r="H1588" s="1" t="s">
        <v>0</v>
      </c>
      <c r="I1588" s="2">
        <v>0</v>
      </c>
      <c r="J1588" s="1">
        <v>45915.37871527778</v>
      </c>
    </row>
    <row r="1589" spans="1:10" x14ac:dyDescent="0.2">
      <c r="A1589" s="4" t="s">
        <v>1</v>
      </c>
      <c r="B1589" s="3" t="str">
        <f>HYPERLINK("https://otsuka-europe-crm.veevavault.com/ui/#object/approved_document__v/V5OZ025E82TFUPI", "Spain - HCP Survey Email - June 2025")</f>
        <v>Spain - HCP Survey Email - June 2025</v>
      </c>
      <c r="C1589" s="3" t="str">
        <f>HYPERLINK("https://otsuka-europe-crm.veevavault.com/ui/#object/sent_email__v/VBLZ025E82GMYU4", "SE-000268670")</f>
        <v>SE-000268670</v>
      </c>
      <c r="D1589" s="1" t="s">
        <v>0</v>
      </c>
      <c r="E1589" s="2">
        <v>0</v>
      </c>
      <c r="F1589" s="2">
        <v>0</v>
      </c>
      <c r="G1589" s="2">
        <v>0</v>
      </c>
      <c r="H1589" s="1" t="s">
        <v>0</v>
      </c>
      <c r="I1589" s="2">
        <v>0</v>
      </c>
      <c r="J1589" s="1">
        <v>45915.379178240742</v>
      </c>
    </row>
    <row r="1590" spans="1:10" x14ac:dyDescent="0.2">
      <c r="A1590" s="4" t="s">
        <v>1</v>
      </c>
      <c r="B1590" s="3" t="str">
        <f>HYPERLINK("https://otsuka-europe-crm.veevavault.com/ui/#object/approved_document__v/V5OZ025E82TFUPI", "Spain - HCP Survey Email - June 2025")</f>
        <v>Spain - HCP Survey Email - June 2025</v>
      </c>
      <c r="C1590" s="3" t="str">
        <f>HYPERLINK("https://otsuka-europe-crm.veevavault.com/ui/#object/sent_email__v/VBLZ025E82GMYU5", "SE-000268671")</f>
        <v>SE-000268671</v>
      </c>
      <c r="D1590" s="1" t="s">
        <v>0</v>
      </c>
      <c r="E1590" s="2">
        <v>0</v>
      </c>
      <c r="F1590" s="2">
        <v>0</v>
      </c>
      <c r="G1590" s="2">
        <v>0</v>
      </c>
      <c r="H1590" s="1" t="s">
        <v>0</v>
      </c>
      <c r="I1590" s="2">
        <v>0</v>
      </c>
      <c r="J1590" s="1">
        <v>45915.377824074072</v>
      </c>
    </row>
    <row r="1591" spans="1:10" x14ac:dyDescent="0.2">
      <c r="A1591" s="4" t="s">
        <v>1</v>
      </c>
      <c r="B1591" s="3" t="str">
        <f>HYPERLINK("https://otsuka-europe-crm.veevavault.com/ui/#object/approved_document__v/V5OZ025E82TFUPI", "Spain - HCP Survey Email - June 2025")</f>
        <v>Spain - HCP Survey Email - June 2025</v>
      </c>
      <c r="C1591" s="3" t="str">
        <f>HYPERLINK("https://otsuka-europe-crm.veevavault.com/ui/#object/sent_email__v/VBLZ025E82GMYU6", "SE-000268672")</f>
        <v>SE-000268672</v>
      </c>
      <c r="D1591" s="1">
        <v>45915.382627314815</v>
      </c>
      <c r="E1591" s="2">
        <v>1</v>
      </c>
      <c r="F1591" s="2">
        <v>1</v>
      </c>
      <c r="G1591" s="2">
        <v>0</v>
      </c>
      <c r="H1591" s="1" t="s">
        <v>0</v>
      </c>
      <c r="I1591" s="2">
        <v>0</v>
      </c>
      <c r="J1591" s="1">
        <v>45915.378310185188</v>
      </c>
    </row>
    <row r="1592" spans="1:10" x14ac:dyDescent="0.2">
      <c r="A1592" s="4" t="s">
        <v>1</v>
      </c>
      <c r="B1592" s="3" t="str">
        <f>HYPERLINK("https://otsuka-europe-crm.veevavault.com/ui/#object/approved_document__v/V5OZ025E82TFUPI", "Spain - HCP Survey Email - June 2025")</f>
        <v>Spain - HCP Survey Email - June 2025</v>
      </c>
      <c r="C1592" s="3" t="str">
        <f>HYPERLINK("https://otsuka-europe-crm.veevavault.com/ui/#object/sent_email__v/VBLZ025E82GMYU7", "SE-000268673")</f>
        <v>SE-000268673</v>
      </c>
      <c r="D1592" s="1" t="s">
        <v>0</v>
      </c>
      <c r="E1592" s="2">
        <v>0</v>
      </c>
      <c r="F1592" s="2">
        <v>0</v>
      </c>
      <c r="G1592" s="2">
        <v>0</v>
      </c>
      <c r="H1592" s="1" t="s">
        <v>0</v>
      </c>
      <c r="I1592" s="2">
        <v>0</v>
      </c>
      <c r="J1592" s="1">
        <v>45915.378136574072</v>
      </c>
    </row>
    <row r="1593" spans="1:10" x14ac:dyDescent="0.2">
      <c r="A1593" s="4" t="s">
        <v>1</v>
      </c>
      <c r="B1593" s="3" t="str">
        <f>HYPERLINK("https://otsuka-europe-crm.veevavault.com/ui/#object/approved_document__v/V5OZ025E82TFUPI", "Spain - HCP Survey Email - June 2025")</f>
        <v>Spain - HCP Survey Email - June 2025</v>
      </c>
      <c r="C1593" s="3" t="str">
        <f>HYPERLINK("https://otsuka-europe-crm.veevavault.com/ui/#object/sent_email__v/VBLZ025E82GMYU8", "SE-000268674")</f>
        <v>SE-000268674</v>
      </c>
      <c r="D1593" s="1" t="s">
        <v>0</v>
      </c>
      <c r="E1593" s="2">
        <v>0</v>
      </c>
      <c r="F1593" s="2">
        <v>0</v>
      </c>
      <c r="G1593" s="2">
        <v>0</v>
      </c>
      <c r="H1593" s="1" t="s">
        <v>0</v>
      </c>
      <c r="I1593" s="2">
        <v>0</v>
      </c>
      <c r="J1593" s="1">
        <v>45915.378657407404</v>
      </c>
    </row>
    <row r="1594" spans="1:10" x14ac:dyDescent="0.2">
      <c r="A1594" s="4" t="s">
        <v>1</v>
      </c>
      <c r="B1594" s="3" t="str">
        <f>HYPERLINK("https://otsuka-europe-crm.veevavault.com/ui/#object/approved_document__v/V5OZ025E82TFUPI", "Spain - HCP Survey Email - June 2025")</f>
        <v>Spain - HCP Survey Email - June 2025</v>
      </c>
      <c r="C1594" s="3" t="str">
        <f>HYPERLINK("https://otsuka-europe-crm.veevavault.com/ui/#object/sent_email__v/VBLZ025E82GMYU9", "SE-000268675")</f>
        <v>SE-000268675</v>
      </c>
      <c r="D1594" s="1" t="s">
        <v>0</v>
      </c>
      <c r="E1594" s="2">
        <v>0</v>
      </c>
      <c r="F1594" s="2">
        <v>0</v>
      </c>
      <c r="G1594" s="2">
        <v>0</v>
      </c>
      <c r="H1594" s="1" t="s">
        <v>0</v>
      </c>
      <c r="I1594" s="2">
        <v>0</v>
      </c>
      <c r="J1594" s="1">
        <v>45915.38</v>
      </c>
    </row>
    <row r="1595" spans="1:10" x14ac:dyDescent="0.2">
      <c r="A1595" s="4" t="s">
        <v>1</v>
      </c>
      <c r="B1595" s="3" t="str">
        <f>HYPERLINK("https://otsuka-europe-crm.veevavault.com/ui/#object/approved_document__v/V5OZ025E82TFUPI", "Spain - HCP Survey Email - June 2025")</f>
        <v>Spain - HCP Survey Email - June 2025</v>
      </c>
      <c r="C1595" s="3" t="str">
        <f>HYPERLINK("https://otsuka-europe-crm.veevavault.com/ui/#object/sent_email__v/VBLZ025E82GMYUA", "SE-000268676")</f>
        <v>SE-000268676</v>
      </c>
      <c r="D1595" s="1" t="s">
        <v>0</v>
      </c>
      <c r="E1595" s="2">
        <v>0</v>
      </c>
      <c r="F1595" s="2">
        <v>0</v>
      </c>
      <c r="G1595" s="2">
        <v>0</v>
      </c>
      <c r="H1595" s="1" t="s">
        <v>0</v>
      </c>
      <c r="I1595" s="2">
        <v>0</v>
      </c>
      <c r="J1595" s="1">
        <v>45915.377708333333</v>
      </c>
    </row>
    <row r="1596" spans="1:10" x14ac:dyDescent="0.2">
      <c r="A1596" s="4" t="s">
        <v>1</v>
      </c>
      <c r="B1596" s="3" t="str">
        <f>HYPERLINK("https://otsuka-europe-crm.veevavault.com/ui/#object/approved_document__v/V5OZ025E82TFUPI", "Spain - HCP Survey Email - June 2025")</f>
        <v>Spain - HCP Survey Email - June 2025</v>
      </c>
      <c r="C1596" s="3" t="str">
        <f>HYPERLINK("https://otsuka-europe-crm.veevavault.com/ui/#object/sent_email__v/VBLZ025E82GMYUB", "SE-000268677")</f>
        <v>SE-000268677</v>
      </c>
      <c r="D1596" s="1">
        <v>45933.446331018517</v>
      </c>
      <c r="E1596" s="2">
        <v>1</v>
      </c>
      <c r="F1596" s="2">
        <v>4</v>
      </c>
      <c r="G1596" s="2">
        <v>0</v>
      </c>
      <c r="H1596" s="1" t="s">
        <v>0</v>
      </c>
      <c r="I1596" s="2">
        <v>0</v>
      </c>
      <c r="J1596" s="1">
        <v>45915.377430555556</v>
      </c>
    </row>
    <row r="1597" spans="1:10" x14ac:dyDescent="0.2">
      <c r="A1597" s="4" t="s">
        <v>1</v>
      </c>
      <c r="B1597" s="3" t="str">
        <f>HYPERLINK("https://otsuka-europe-crm.veevavault.com/ui/#object/approved_document__v/V5OZ025E82TFUPI", "Spain - HCP Survey Email - June 2025")</f>
        <v>Spain - HCP Survey Email - June 2025</v>
      </c>
      <c r="C1597" s="3" t="str">
        <f>HYPERLINK("https://otsuka-europe-crm.veevavault.com/ui/#object/sent_email__v/VBLZ025E82GMYUC", "SE-000268678")</f>
        <v>SE-000268678</v>
      </c>
      <c r="D1597" s="1" t="s">
        <v>0</v>
      </c>
      <c r="E1597" s="2">
        <v>0</v>
      </c>
      <c r="F1597" s="2">
        <v>0</v>
      </c>
      <c r="G1597" s="2">
        <v>0</v>
      </c>
      <c r="H1597" s="1" t="s">
        <v>0</v>
      </c>
      <c r="I1597" s="2">
        <v>0</v>
      </c>
      <c r="J1597" s="1">
        <v>45915.378136574072</v>
      </c>
    </row>
    <row r="1598" spans="1:10" x14ac:dyDescent="0.2">
      <c r="A1598" s="4" t="s">
        <v>1</v>
      </c>
      <c r="B1598" s="3" t="str">
        <f>HYPERLINK("https://otsuka-europe-crm.veevavault.com/ui/#object/approved_document__v/V5OZ025E82TFUPI", "Spain - HCP Survey Email - June 2025")</f>
        <v>Spain - HCP Survey Email - June 2025</v>
      </c>
      <c r="C1598" s="3" t="str">
        <f>HYPERLINK("https://otsuka-europe-crm.veevavault.com/ui/#object/sent_email__v/VBLZ025E82GMYUD", "SE-000268679")</f>
        <v>SE-000268679</v>
      </c>
      <c r="D1598" s="1" t="s">
        <v>0</v>
      </c>
      <c r="E1598" s="2">
        <v>0</v>
      </c>
      <c r="F1598" s="2">
        <v>0</v>
      </c>
      <c r="G1598" s="2">
        <v>0</v>
      </c>
      <c r="H1598" s="1" t="s">
        <v>0</v>
      </c>
      <c r="I1598" s="2">
        <v>0</v>
      </c>
      <c r="J1598" s="1">
        <v>45915.378622685188</v>
      </c>
    </row>
    <row r="1599" spans="1:10" x14ac:dyDescent="0.2">
      <c r="A1599" s="4" t="s">
        <v>1</v>
      </c>
      <c r="B1599" s="3" t="str">
        <f>HYPERLINK("https://otsuka-europe-crm.veevavault.com/ui/#object/approved_document__v/V5OZ025E82TFUPI", "Spain - HCP Survey Email - June 2025")</f>
        <v>Spain - HCP Survey Email - June 2025</v>
      </c>
      <c r="C1599" s="3" t="str">
        <f>HYPERLINK("https://otsuka-europe-crm.veevavault.com/ui/#object/sent_email__v/VBLZ025E82GMYUE", "SE-000268680")</f>
        <v>SE-000268680</v>
      </c>
      <c r="D1599" s="1" t="s">
        <v>0</v>
      </c>
      <c r="E1599" s="2">
        <v>0</v>
      </c>
      <c r="F1599" s="2">
        <v>0</v>
      </c>
      <c r="G1599" s="2">
        <v>0</v>
      </c>
      <c r="H1599" s="1" t="s">
        <v>0</v>
      </c>
      <c r="I1599" s="2">
        <v>0</v>
      </c>
      <c r="J1599" s="1">
        <v>45915.379895833335</v>
      </c>
    </row>
    <row r="1600" spans="1:10" x14ac:dyDescent="0.2">
      <c r="A1600" s="4" t="s">
        <v>1</v>
      </c>
      <c r="B1600" s="3" t="str">
        <f>HYPERLINK("https://otsuka-europe-crm.veevavault.com/ui/#object/approved_document__v/V5OZ025E82TFUPI", "Spain - HCP Survey Email - June 2025")</f>
        <v>Spain - HCP Survey Email - June 2025</v>
      </c>
      <c r="C1600" s="3" t="str">
        <f>HYPERLINK("https://otsuka-europe-crm.veevavault.com/ui/#object/sent_email__v/VBLZ025E82GMYUF", "SE-000268681")</f>
        <v>SE-000268681</v>
      </c>
      <c r="D1600" s="1" t="s">
        <v>0</v>
      </c>
      <c r="E1600" s="2">
        <v>0</v>
      </c>
      <c r="F1600" s="2">
        <v>0</v>
      </c>
      <c r="G1600" s="2">
        <v>0</v>
      </c>
      <c r="H1600" s="1" t="s">
        <v>0</v>
      </c>
      <c r="I1600" s="2">
        <v>0</v>
      </c>
      <c r="J1600" s="1">
        <v>45915.377696759257</v>
      </c>
    </row>
    <row r="1601" spans="1:10" x14ac:dyDescent="0.2">
      <c r="A1601" s="4" t="s">
        <v>1</v>
      </c>
      <c r="B1601" s="3" t="str">
        <f>HYPERLINK("https://otsuka-europe-crm.veevavault.com/ui/#object/approved_document__v/V5OZ025E82TFUPI", "Spain - HCP Survey Email - June 2025")</f>
        <v>Spain - HCP Survey Email - June 2025</v>
      </c>
      <c r="C1601" s="3" t="str">
        <f>HYPERLINK("https://otsuka-europe-crm.veevavault.com/ui/#object/sent_email__v/VBLZ025E82GMYUG", "SE-000268682")</f>
        <v>SE-000268682</v>
      </c>
      <c r="D1601" s="1" t="s">
        <v>0</v>
      </c>
      <c r="E1601" s="2">
        <v>0</v>
      </c>
      <c r="F1601" s="2">
        <v>0</v>
      </c>
      <c r="G1601" s="2">
        <v>0</v>
      </c>
      <c r="H1601" s="1" t="s">
        <v>0</v>
      </c>
      <c r="I1601" s="2">
        <v>0</v>
      </c>
      <c r="J1601" s="1">
        <v>45915.377476851849</v>
      </c>
    </row>
    <row r="1602" spans="1:10" x14ac:dyDescent="0.2">
      <c r="A1602" s="4" t="s">
        <v>1</v>
      </c>
      <c r="B1602" s="3" t="str">
        <f>HYPERLINK("https://otsuka-europe-crm.veevavault.com/ui/#object/approved_document__v/V5OZ025E82TFUPI", "Spain - HCP Survey Email - June 2025")</f>
        <v>Spain - HCP Survey Email - June 2025</v>
      </c>
      <c r="C1602" s="3" t="str">
        <f>HYPERLINK("https://otsuka-europe-crm.veevavault.com/ui/#object/sent_email__v/VBLZ025E82GMYUH", "SE-000268683")</f>
        <v>SE-000268683</v>
      </c>
      <c r="D1602" s="1" t="s">
        <v>0</v>
      </c>
      <c r="E1602" s="2">
        <v>0</v>
      </c>
      <c r="F1602" s="2">
        <v>0</v>
      </c>
      <c r="G1602" s="2">
        <v>0</v>
      </c>
      <c r="H1602" s="1" t="s">
        <v>0</v>
      </c>
      <c r="I1602" s="2">
        <v>0</v>
      </c>
      <c r="J1602" s="1">
        <v>45915.37841435185</v>
      </c>
    </row>
    <row r="1603" spans="1:10" x14ac:dyDescent="0.2">
      <c r="A1603" s="4" t="s">
        <v>1</v>
      </c>
      <c r="B1603" s="3" t="str">
        <f>HYPERLINK("https://otsuka-europe-crm.veevavault.com/ui/#object/approved_document__v/V5OZ025E82TFUPI", "Spain - HCP Survey Email - June 2025")</f>
        <v>Spain - HCP Survey Email - June 2025</v>
      </c>
      <c r="C1603" s="3" t="str">
        <f>HYPERLINK("https://otsuka-europe-crm.veevavault.com/ui/#object/sent_email__v/VBLZ025E82GMYUI", "SE-000268684")</f>
        <v>SE-000268684</v>
      </c>
      <c r="D1603" s="1" t="s">
        <v>0</v>
      </c>
      <c r="E1603" s="2">
        <v>0</v>
      </c>
      <c r="F1603" s="2">
        <v>0</v>
      </c>
      <c r="G1603" s="2">
        <v>0</v>
      </c>
      <c r="H1603" s="1" t="s">
        <v>0</v>
      </c>
      <c r="I1603" s="2">
        <v>0</v>
      </c>
      <c r="J1603" s="1">
        <v>45915.378854166665</v>
      </c>
    </row>
    <row r="1604" spans="1:10" x14ac:dyDescent="0.2">
      <c r="A1604" s="4" t="s">
        <v>1</v>
      </c>
      <c r="B1604" s="3" t="str">
        <f>HYPERLINK("https://otsuka-europe-crm.veevavault.com/ui/#object/approved_document__v/V5OZ025E82TFUPI", "Spain - HCP Survey Email - June 2025")</f>
        <v>Spain - HCP Survey Email - June 2025</v>
      </c>
      <c r="C1604" s="3" t="str">
        <f>HYPERLINK("https://otsuka-europe-crm.veevavault.com/ui/#object/sent_email__v/VBLZ025E82GMYUJ", "SE-000268685")</f>
        <v>SE-000268685</v>
      </c>
      <c r="D1604" s="1">
        <v>45915.966851851852</v>
      </c>
      <c r="E1604" s="2">
        <v>1</v>
      </c>
      <c r="F1604" s="2">
        <v>1</v>
      </c>
      <c r="G1604" s="2">
        <v>0</v>
      </c>
      <c r="H1604" s="1" t="s">
        <v>0</v>
      </c>
      <c r="I1604" s="2">
        <v>0</v>
      </c>
      <c r="J1604" s="1">
        <v>45915.378668981481</v>
      </c>
    </row>
    <row r="1605" spans="1:10" x14ac:dyDescent="0.2">
      <c r="A1605" s="4" t="s">
        <v>1</v>
      </c>
      <c r="B1605" s="3" t="str">
        <f>HYPERLINK("https://otsuka-europe-crm.veevavault.com/ui/#object/approved_document__v/V5OZ025E82TFUPI", "Spain - HCP Survey Email - June 2025")</f>
        <v>Spain - HCP Survey Email - June 2025</v>
      </c>
      <c r="C1605" s="3" t="str">
        <f>HYPERLINK("https://otsuka-europe-crm.veevavault.com/ui/#object/sent_email__v/VBLZ025E82GMYUK", "SE-000268686")</f>
        <v>SE-000268686</v>
      </c>
      <c r="D1605" s="1">
        <v>45915.384212962963</v>
      </c>
      <c r="E1605" s="2">
        <v>1</v>
      </c>
      <c r="F1605" s="2">
        <v>2</v>
      </c>
      <c r="G1605" s="2">
        <v>1</v>
      </c>
      <c r="H1605" s="1">
        <v>45915.384363425925</v>
      </c>
      <c r="I1605" s="2">
        <v>1</v>
      </c>
      <c r="J1605" s="1">
        <v>45915.379016203704</v>
      </c>
    </row>
    <row r="1606" spans="1:10" x14ac:dyDescent="0.2">
      <c r="A1606" s="4" t="s">
        <v>1</v>
      </c>
      <c r="B1606" s="3" t="str">
        <f>HYPERLINK("https://otsuka-europe-crm.veevavault.com/ui/#object/approved_document__v/V5OZ025E82TFUPI", "Spain - HCP Survey Email - June 2025")</f>
        <v>Spain - HCP Survey Email - June 2025</v>
      </c>
      <c r="C1606" s="3" t="str">
        <f>HYPERLINK("https://otsuka-europe-crm.veevavault.com/ui/#object/sent_email__v/VBLZ025E82GMYUL", "SE-000268687")</f>
        <v>SE-000268687</v>
      </c>
      <c r="D1606" s="1" t="s">
        <v>0</v>
      </c>
      <c r="E1606" s="2">
        <v>0</v>
      </c>
      <c r="F1606" s="2">
        <v>0</v>
      </c>
      <c r="G1606" s="2">
        <v>0</v>
      </c>
      <c r="H1606" s="1" t="s">
        <v>0</v>
      </c>
      <c r="I1606" s="2">
        <v>0</v>
      </c>
      <c r="J1606" s="1">
        <v>45915.37777777778</v>
      </c>
    </row>
    <row r="1607" spans="1:10" x14ac:dyDescent="0.2">
      <c r="A1607" s="4" t="s">
        <v>1</v>
      </c>
      <c r="B1607" s="3" t="str">
        <f>HYPERLINK("https://otsuka-europe-crm.veevavault.com/ui/#object/approved_document__v/V5OZ025E82TFUPI", "Spain - HCP Survey Email - June 2025")</f>
        <v>Spain - HCP Survey Email - June 2025</v>
      </c>
      <c r="C1607" s="3" t="str">
        <f>HYPERLINK("https://otsuka-europe-crm.veevavault.com/ui/#object/sent_email__v/VBLZ025E82GMYUM", "SE-000268688")</f>
        <v>SE-000268688</v>
      </c>
      <c r="D1607" s="1">
        <v>45940.177986111114</v>
      </c>
      <c r="E1607" s="2">
        <v>1</v>
      </c>
      <c r="F1607" s="2">
        <v>4</v>
      </c>
      <c r="G1607" s="2">
        <v>0</v>
      </c>
      <c r="H1607" s="1" t="s">
        <v>0</v>
      </c>
      <c r="I1607" s="2">
        <v>0</v>
      </c>
      <c r="J1607" s="1">
        <v>45915.378333333334</v>
      </c>
    </row>
    <row r="1608" spans="1:10" x14ac:dyDescent="0.2">
      <c r="A1608" s="4" t="s">
        <v>1</v>
      </c>
      <c r="B1608" s="3" t="str">
        <f>HYPERLINK("https://otsuka-europe-crm.veevavault.com/ui/#object/approved_document__v/V5OZ025E82TFUPI", "Spain - HCP Survey Email - June 2025")</f>
        <v>Spain - HCP Survey Email - June 2025</v>
      </c>
      <c r="C1608" s="3" t="str">
        <f>HYPERLINK("https://otsuka-europe-crm.veevavault.com/ui/#object/sent_email__v/VBLZ025E82GMYUN", "SE-000268689")</f>
        <v>SE-000268689</v>
      </c>
      <c r="D1608" s="1" t="s">
        <v>0</v>
      </c>
      <c r="E1608" s="2">
        <v>0</v>
      </c>
      <c r="F1608" s="2">
        <v>0</v>
      </c>
      <c r="G1608" s="2">
        <v>0</v>
      </c>
      <c r="H1608" s="1" t="s">
        <v>0</v>
      </c>
      <c r="I1608" s="2">
        <v>0</v>
      </c>
      <c r="J1608" s="1">
        <v>45915.378148148149</v>
      </c>
    </row>
    <row r="1609" spans="1:10" x14ac:dyDescent="0.2">
      <c r="A1609" s="4" t="s">
        <v>1</v>
      </c>
      <c r="B1609" s="3" t="str">
        <f>HYPERLINK("https://otsuka-europe-crm.veevavault.com/ui/#object/approved_document__v/V5OZ025E82TFUPI", "Spain - HCP Survey Email - June 2025")</f>
        <v>Spain - HCP Survey Email - June 2025</v>
      </c>
      <c r="C1609" s="3" t="str">
        <f>HYPERLINK("https://otsuka-europe-crm.veevavault.com/ui/#object/sent_email__v/VBLZ025E82GMYUO", "SE-000268690")</f>
        <v>SE-000268690</v>
      </c>
      <c r="D1609" s="1">
        <v>45922.870671296296</v>
      </c>
      <c r="E1609" s="2">
        <v>1</v>
      </c>
      <c r="F1609" s="2">
        <v>1</v>
      </c>
      <c r="G1609" s="2">
        <v>0</v>
      </c>
      <c r="H1609" s="1" t="s">
        <v>0</v>
      </c>
      <c r="I1609" s="2">
        <v>0</v>
      </c>
      <c r="J1609" s="1">
        <v>45915.378634259258</v>
      </c>
    </row>
    <row r="1610" spans="1:10" x14ac:dyDescent="0.2">
      <c r="A1610" s="4" t="s">
        <v>1</v>
      </c>
      <c r="B1610" s="3" t="str">
        <f>HYPERLINK("https://otsuka-europe-crm.veevavault.com/ui/#object/approved_document__v/V5OZ025E82TFUPI", "Spain - HCP Survey Email - June 2025")</f>
        <v>Spain - HCP Survey Email - June 2025</v>
      </c>
      <c r="C1610" s="3" t="str">
        <f>HYPERLINK("https://otsuka-europe-crm.veevavault.com/ui/#object/sent_email__v/VBLZ025E82GMYUP", "SE-000268691")</f>
        <v>SE-000268691</v>
      </c>
      <c r="D1610" s="1" t="s">
        <v>0</v>
      </c>
      <c r="E1610" s="2">
        <v>0</v>
      </c>
      <c r="F1610" s="2">
        <v>0</v>
      </c>
      <c r="G1610" s="2">
        <v>0</v>
      </c>
      <c r="H1610" s="1" t="s">
        <v>0</v>
      </c>
      <c r="I1610" s="2">
        <v>0</v>
      </c>
      <c r="J1610" s="1">
        <v>45915.379953703705</v>
      </c>
    </row>
    <row r="1611" spans="1:10" x14ac:dyDescent="0.2">
      <c r="A1611" s="4" t="s">
        <v>1</v>
      </c>
      <c r="B1611" s="3" t="str">
        <f>HYPERLINK("https://otsuka-europe-crm.veevavault.com/ui/#object/approved_document__v/V5OZ025E82TFUPI", "Spain - HCP Survey Email - June 2025")</f>
        <v>Spain - HCP Survey Email - June 2025</v>
      </c>
      <c r="C1611" s="3" t="str">
        <f>HYPERLINK("https://otsuka-europe-crm.veevavault.com/ui/#object/sent_email__v/VBLZ025E82GMYUQ", "SE-000268692")</f>
        <v>SE-000268692</v>
      </c>
      <c r="D1611" s="1">
        <v>45922.924108796295</v>
      </c>
      <c r="E1611" s="2">
        <v>1</v>
      </c>
      <c r="F1611" s="2">
        <v>2</v>
      </c>
      <c r="G1611" s="2">
        <v>0</v>
      </c>
      <c r="H1611" s="1" t="s">
        <v>0</v>
      </c>
      <c r="I1611" s="2">
        <v>0</v>
      </c>
      <c r="J1611" s="1">
        <v>45915.377685185187</v>
      </c>
    </row>
    <row r="1612" spans="1:10" x14ac:dyDescent="0.2">
      <c r="A1612" s="4" t="s">
        <v>1</v>
      </c>
      <c r="B1612" s="3" t="str">
        <f>HYPERLINK("https://otsuka-europe-crm.veevavault.com/ui/#object/approved_document__v/V5OZ025E82TFUPI", "Spain - HCP Survey Email - June 2025")</f>
        <v>Spain - HCP Survey Email - June 2025</v>
      </c>
      <c r="C1612" s="3" t="str">
        <f>HYPERLINK("https://otsuka-europe-crm.veevavault.com/ui/#object/sent_email__v/VBLZ025E82GMYUR", "SE-000268693")</f>
        <v>SE-000268693</v>
      </c>
      <c r="D1612" s="1" t="s">
        <v>0</v>
      </c>
      <c r="E1612" s="2">
        <v>0</v>
      </c>
      <c r="F1612" s="2">
        <v>0</v>
      </c>
      <c r="G1612" s="2">
        <v>0</v>
      </c>
      <c r="H1612" s="1" t="s">
        <v>0</v>
      </c>
      <c r="I1612" s="2">
        <v>0</v>
      </c>
      <c r="J1612" s="1">
        <v>45915.377488425926</v>
      </c>
    </row>
    <row r="1613" spans="1:10" x14ac:dyDescent="0.2">
      <c r="A1613" s="4" t="s">
        <v>1</v>
      </c>
      <c r="B1613" s="3" t="str">
        <f>HYPERLINK("https://otsuka-europe-crm.veevavault.com/ui/#object/approved_document__v/V5OZ025E82TFUPI", "Spain - HCP Survey Email - June 2025")</f>
        <v>Spain - HCP Survey Email - June 2025</v>
      </c>
      <c r="C1613" s="3" t="str">
        <f>HYPERLINK("https://otsuka-europe-crm.veevavault.com/ui/#object/sent_email__v/VBLZ025E82GMYUS", "SE-000268694")</f>
        <v>SE-000268694</v>
      </c>
      <c r="D1613" s="1">
        <v>45915.931817129633</v>
      </c>
      <c r="E1613" s="2">
        <v>1</v>
      </c>
      <c r="F1613" s="2">
        <v>2</v>
      </c>
      <c r="G1613" s="2">
        <v>0</v>
      </c>
      <c r="H1613" s="1" t="s">
        <v>0</v>
      </c>
      <c r="I1613" s="2">
        <v>0</v>
      </c>
      <c r="J1613" s="1">
        <v>45915.378425925926</v>
      </c>
    </row>
    <row r="1614" spans="1:10" x14ac:dyDescent="0.2">
      <c r="A1614" s="4" t="s">
        <v>1</v>
      </c>
      <c r="B1614" s="3" t="str">
        <f>HYPERLINK("https://otsuka-europe-crm.veevavault.com/ui/#object/approved_document__v/V5OZ025E82TFUPI", "Spain - HCP Survey Email - June 2025")</f>
        <v>Spain - HCP Survey Email - June 2025</v>
      </c>
      <c r="C1614" s="3" t="str">
        <f>HYPERLINK("https://otsuka-europe-crm.veevavault.com/ui/#object/sent_email__v/VBLZ025E82GMYUT", "SE-000268695")</f>
        <v>SE-000268695</v>
      </c>
      <c r="D1614" s="1">
        <v>45915.379305555558</v>
      </c>
      <c r="E1614" s="2">
        <v>1</v>
      </c>
      <c r="F1614" s="2">
        <v>1</v>
      </c>
      <c r="G1614" s="2">
        <v>1</v>
      </c>
      <c r="H1614" s="1">
        <v>45915.379525462966</v>
      </c>
      <c r="I1614" s="2">
        <v>1</v>
      </c>
      <c r="J1614" s="1">
        <v>45915.378877314812</v>
      </c>
    </row>
    <row r="1615" spans="1:10" x14ac:dyDescent="0.2">
      <c r="A1615" s="4" t="s">
        <v>1</v>
      </c>
      <c r="B1615" s="3" t="str">
        <f>HYPERLINK("https://otsuka-europe-crm.veevavault.com/ui/#object/approved_document__v/V5OZ025E82TFUPI", "Spain - HCP Survey Email - June 2025")</f>
        <v>Spain - HCP Survey Email - June 2025</v>
      </c>
      <c r="C1615" s="3" t="str">
        <f>HYPERLINK("https://otsuka-europe-crm.veevavault.com/ui/#object/sent_email__v/VBLZ025E82GMYUU", "SE-000268696")</f>
        <v>SE-000268696</v>
      </c>
      <c r="D1615" s="1" t="s">
        <v>0</v>
      </c>
      <c r="E1615" s="2">
        <v>0</v>
      </c>
      <c r="F1615" s="2">
        <v>0</v>
      </c>
      <c r="G1615" s="2">
        <v>0</v>
      </c>
      <c r="H1615" s="1" t="s">
        <v>0</v>
      </c>
      <c r="I1615" s="2">
        <v>0</v>
      </c>
      <c r="J1615" s="1">
        <v>45915.37871527778</v>
      </c>
    </row>
    <row r="1616" spans="1:10" x14ac:dyDescent="0.2">
      <c r="A1616" s="4" t="s">
        <v>1</v>
      </c>
      <c r="B1616" s="3" t="str">
        <f>HYPERLINK("https://otsuka-europe-crm.veevavault.com/ui/#object/approved_document__v/V5OZ025E82TFUPI", "Spain - HCP Survey Email - June 2025")</f>
        <v>Spain - HCP Survey Email - June 2025</v>
      </c>
      <c r="C1616" s="3" t="str">
        <f>HYPERLINK("https://otsuka-europe-crm.veevavault.com/ui/#object/sent_email__v/VBLZ025E82GMYUV", "SE-000268697")</f>
        <v>SE-000268697</v>
      </c>
      <c r="D1616" s="1" t="s">
        <v>0</v>
      </c>
      <c r="E1616" s="2">
        <v>0</v>
      </c>
      <c r="F1616" s="2">
        <v>0</v>
      </c>
      <c r="G1616" s="2">
        <v>0</v>
      </c>
      <c r="H1616" s="1" t="s">
        <v>0</v>
      </c>
      <c r="I1616" s="2">
        <v>0</v>
      </c>
      <c r="J1616" s="1">
        <v>45915.379166666666</v>
      </c>
    </row>
    <row r="1617" spans="1:10" x14ac:dyDescent="0.2">
      <c r="A1617" s="4" t="s">
        <v>1</v>
      </c>
      <c r="B1617" s="3" t="str">
        <f>HYPERLINK("https://otsuka-europe-crm.veevavault.com/ui/#object/approved_document__v/V5OZ025E82TFUPI", "Spain - HCP Survey Email - June 2025")</f>
        <v>Spain - HCP Survey Email - June 2025</v>
      </c>
      <c r="C1617" s="3" t="str">
        <f>HYPERLINK("https://otsuka-europe-crm.veevavault.com/ui/#object/sent_email__v/VBLZ025E82GMYUW", "SE-000268698")</f>
        <v>SE-000268698</v>
      </c>
      <c r="D1617" s="1" t="s">
        <v>0</v>
      </c>
      <c r="E1617" s="2">
        <v>0</v>
      </c>
      <c r="F1617" s="2">
        <v>0</v>
      </c>
      <c r="G1617" s="2">
        <v>0</v>
      </c>
      <c r="H1617" s="1" t="s">
        <v>0</v>
      </c>
      <c r="I1617" s="2">
        <v>0</v>
      </c>
      <c r="J1617" s="1">
        <v>45915.377812500003</v>
      </c>
    </row>
    <row r="1618" spans="1:10" x14ac:dyDescent="0.2">
      <c r="A1618" s="4" t="s">
        <v>1</v>
      </c>
      <c r="B1618" s="3" t="str">
        <f>HYPERLINK("https://otsuka-europe-crm.veevavault.com/ui/#object/approved_document__v/V5OZ025E82TFUPI", "Spain - HCP Survey Email - June 2025")</f>
        <v>Spain - HCP Survey Email - June 2025</v>
      </c>
      <c r="C1618" s="3" t="str">
        <f>HYPERLINK("https://otsuka-europe-crm.veevavault.com/ui/#object/sent_email__v/VBLZ025E82GMYUX", "SE-000268699")</f>
        <v>SE-000268699</v>
      </c>
      <c r="D1618" s="1" t="s">
        <v>0</v>
      </c>
      <c r="E1618" s="2">
        <v>0</v>
      </c>
      <c r="F1618" s="2">
        <v>0</v>
      </c>
      <c r="G1618" s="2">
        <v>0</v>
      </c>
      <c r="H1618" s="1" t="s">
        <v>0</v>
      </c>
      <c r="I1618" s="2">
        <v>0</v>
      </c>
      <c r="J1618" s="1">
        <v>45915.378379629627</v>
      </c>
    </row>
    <row r="1619" spans="1:10" x14ac:dyDescent="0.2">
      <c r="A1619" s="4" t="s">
        <v>1</v>
      </c>
      <c r="B1619" s="3" t="str">
        <f>HYPERLINK("https://otsuka-europe-crm.veevavault.com/ui/#object/approved_document__v/V5OZ025E82TFUPI", "Spain - HCP Survey Email - June 2025")</f>
        <v>Spain - HCP Survey Email - June 2025</v>
      </c>
      <c r="C1619" s="3" t="str">
        <f>HYPERLINK("https://otsuka-europe-crm.veevavault.com/ui/#object/sent_email__v/VBLZ025E82GMYUY", "SE-000268700")</f>
        <v>SE-000268700</v>
      </c>
      <c r="D1619" s="1" t="s">
        <v>0</v>
      </c>
      <c r="E1619" s="2">
        <v>0</v>
      </c>
      <c r="F1619" s="2">
        <v>0</v>
      </c>
      <c r="G1619" s="2">
        <v>0</v>
      </c>
      <c r="H1619" s="1" t="s">
        <v>0</v>
      </c>
      <c r="I1619" s="2">
        <v>0</v>
      </c>
      <c r="J1619" s="1">
        <v>45915.378159722219</v>
      </c>
    </row>
    <row r="1620" spans="1:10" x14ac:dyDescent="0.2">
      <c r="A1620" s="4" t="s">
        <v>1</v>
      </c>
      <c r="B1620" s="3" t="str">
        <f>HYPERLINK("https://otsuka-europe-crm.veevavault.com/ui/#object/approved_document__v/V5OZ025E82TFUPI", "Spain - HCP Survey Email - June 2025")</f>
        <v>Spain - HCP Survey Email - June 2025</v>
      </c>
      <c r="C1620" s="3" t="str">
        <f>HYPERLINK("https://otsuka-europe-crm.veevavault.com/ui/#object/sent_email__v/VBLZ025E82GMYUZ", "SE-000268701")</f>
        <v>SE-000268701</v>
      </c>
      <c r="D1620" s="1" t="s">
        <v>0</v>
      </c>
      <c r="E1620" s="2">
        <v>0</v>
      </c>
      <c r="F1620" s="2">
        <v>0</v>
      </c>
      <c r="G1620" s="2">
        <v>0</v>
      </c>
      <c r="H1620" s="1" t="s">
        <v>0</v>
      </c>
      <c r="I1620" s="2">
        <v>0</v>
      </c>
      <c r="J1620" s="1">
        <v>45915.378645833334</v>
      </c>
    </row>
    <row r="1621" spans="1:10" x14ac:dyDescent="0.2">
      <c r="A1621" s="4" t="s">
        <v>1</v>
      </c>
      <c r="B1621" s="3" t="str">
        <f>HYPERLINK("https://otsuka-europe-crm.veevavault.com/ui/#object/approved_document__v/V5OZ025E82TFUPI", "Spain - HCP Survey Email - June 2025")</f>
        <v>Spain - HCP Survey Email - June 2025</v>
      </c>
      <c r="C1621" s="3" t="str">
        <f>HYPERLINK("https://otsuka-europe-crm.veevavault.com/ui/#object/sent_email__v/VBLZ025E82GMYV0", "SE-000268702")</f>
        <v>SE-000268702</v>
      </c>
      <c r="D1621" s="1" t="s">
        <v>0</v>
      </c>
      <c r="E1621" s="2">
        <v>0</v>
      </c>
      <c r="F1621" s="2">
        <v>0</v>
      </c>
      <c r="G1621" s="2">
        <v>0</v>
      </c>
      <c r="H1621" s="1" t="s">
        <v>0</v>
      </c>
      <c r="I1621" s="2">
        <v>0</v>
      </c>
      <c r="J1621" s="1">
        <v>45915.379953703705</v>
      </c>
    </row>
    <row r="1622" spans="1:10" x14ac:dyDescent="0.2">
      <c r="A1622" s="4" t="s">
        <v>1</v>
      </c>
      <c r="B1622" s="3" t="str">
        <f>HYPERLINK("https://otsuka-europe-crm.veevavault.com/ui/#object/approved_document__v/V5OZ025E82TFUPI", "Spain - HCP Survey Email - June 2025")</f>
        <v>Spain - HCP Survey Email - June 2025</v>
      </c>
      <c r="C1622" s="3" t="str">
        <f>HYPERLINK("https://otsuka-europe-crm.veevavault.com/ui/#object/sent_email__v/VBLZ025E82GMYV1", "SE-000268703")</f>
        <v>SE-000268703</v>
      </c>
      <c r="D1622" s="1">
        <v>45915.7890625</v>
      </c>
      <c r="E1622" s="2">
        <v>1</v>
      </c>
      <c r="F1622" s="2">
        <v>1</v>
      </c>
      <c r="G1622" s="2">
        <v>0</v>
      </c>
      <c r="H1622" s="1" t="s">
        <v>0</v>
      </c>
      <c r="I1622" s="2">
        <v>0</v>
      </c>
      <c r="J1622" s="1">
        <v>45915.37773148148</v>
      </c>
    </row>
    <row r="1623" spans="1:10" x14ac:dyDescent="0.2">
      <c r="A1623" s="4" t="s">
        <v>1</v>
      </c>
      <c r="B1623" s="3" t="str">
        <f>HYPERLINK("https://otsuka-europe-crm.veevavault.com/ui/#object/approved_document__v/V5OZ025E82TFUPI", "Spain - HCP Survey Email - June 2025")</f>
        <v>Spain - HCP Survey Email - June 2025</v>
      </c>
      <c r="C1623" s="3" t="str">
        <f>HYPERLINK("https://otsuka-europe-crm.veevavault.com/ui/#object/sent_email__v/VBLZ025E82GMYV2", "SE-000268704")</f>
        <v>SE-000268704</v>
      </c>
      <c r="D1623" s="1" t="s">
        <v>0</v>
      </c>
      <c r="E1623" s="2">
        <v>0</v>
      </c>
      <c r="F1623" s="2">
        <v>0</v>
      </c>
      <c r="G1623" s="2">
        <v>0</v>
      </c>
      <c r="H1623" s="1" t="s">
        <v>0</v>
      </c>
      <c r="I1623" s="2">
        <v>0</v>
      </c>
      <c r="J1623" s="1">
        <v>45915.377638888887</v>
      </c>
    </row>
    <row r="1624" spans="1:10" x14ac:dyDescent="0.2">
      <c r="A1624" s="4" t="s">
        <v>1</v>
      </c>
      <c r="B1624" s="3" t="str">
        <f>HYPERLINK("https://otsuka-europe-crm.veevavault.com/ui/#object/approved_document__v/V5OZ025E82TFUPI", "Spain - HCP Survey Email - June 2025")</f>
        <v>Spain - HCP Survey Email - June 2025</v>
      </c>
      <c r="C1624" s="3" t="str">
        <f>HYPERLINK("https://otsuka-europe-crm.veevavault.com/ui/#object/sent_email__v/VBLZ025E82GMYV3", "SE-000268705")</f>
        <v>SE-000268705</v>
      </c>
      <c r="D1624" s="1" t="s">
        <v>0</v>
      </c>
      <c r="E1624" s="2">
        <v>0</v>
      </c>
      <c r="F1624" s="2">
        <v>0</v>
      </c>
      <c r="G1624" s="2">
        <v>0</v>
      </c>
      <c r="H1624" s="1" t="s">
        <v>0</v>
      </c>
      <c r="I1624" s="2">
        <v>0</v>
      </c>
      <c r="J1624" s="1">
        <v>45915.37835648148</v>
      </c>
    </row>
    <row r="1625" spans="1:10" x14ac:dyDescent="0.2">
      <c r="A1625" s="4" t="s">
        <v>1</v>
      </c>
      <c r="B1625" s="3" t="str">
        <f>HYPERLINK("https://otsuka-europe-crm.veevavault.com/ui/#object/approved_document__v/V5OZ025E82TFUPI", "Spain - HCP Survey Email - June 2025")</f>
        <v>Spain - HCP Survey Email - June 2025</v>
      </c>
      <c r="C1625" s="3" t="str">
        <f>HYPERLINK("https://otsuka-europe-crm.veevavault.com/ui/#object/sent_email__v/VBLZ025E82GMYV4", "SE-000268706")</f>
        <v>SE-000268706</v>
      </c>
      <c r="D1625" s="1">
        <v>45915.414733796293</v>
      </c>
      <c r="E1625" s="2">
        <v>1</v>
      </c>
      <c r="F1625" s="2">
        <v>2</v>
      </c>
      <c r="G1625" s="2">
        <v>0</v>
      </c>
      <c r="H1625" s="1" t="s">
        <v>0</v>
      </c>
      <c r="I1625" s="2">
        <v>0</v>
      </c>
      <c r="J1625" s="1">
        <v>45915.378923611112</v>
      </c>
    </row>
    <row r="1626" spans="1:10" x14ac:dyDescent="0.2">
      <c r="A1626" s="4" t="s">
        <v>1</v>
      </c>
      <c r="B1626" s="3" t="str">
        <f>HYPERLINK("https://otsuka-europe-crm.veevavault.com/ui/#object/approved_document__v/V5OZ025E82TFUPI", "Spain - HCP Survey Email - June 2025")</f>
        <v>Spain - HCP Survey Email - June 2025</v>
      </c>
      <c r="C1626" s="3" t="str">
        <f>HYPERLINK("https://otsuka-europe-crm.veevavault.com/ui/#object/sent_email__v/VBLZ025E82GMYV5", "SE-000268707")</f>
        <v>SE-000268707</v>
      </c>
      <c r="D1626" s="1" t="s">
        <v>0</v>
      </c>
      <c r="E1626" s="2">
        <v>0</v>
      </c>
      <c r="F1626" s="2">
        <v>0</v>
      </c>
      <c r="G1626" s="2">
        <v>0</v>
      </c>
      <c r="H1626" s="1" t="s">
        <v>0</v>
      </c>
      <c r="I1626" s="2">
        <v>0</v>
      </c>
      <c r="J1626" s="1">
        <v>45915.378784722219</v>
      </c>
    </row>
    <row r="1627" spans="1:10" x14ac:dyDescent="0.2">
      <c r="A1627" s="4" t="s">
        <v>1</v>
      </c>
      <c r="B1627" s="3" t="str">
        <f>HYPERLINK("https://otsuka-europe-crm.veevavault.com/ui/#object/approved_document__v/V5OZ025E82TFUPI", "Spain - HCP Survey Email - June 2025")</f>
        <v>Spain - HCP Survey Email - June 2025</v>
      </c>
      <c r="C1627" s="3" t="str">
        <f>HYPERLINK("https://otsuka-europe-crm.veevavault.com/ui/#object/sent_email__v/VBLZ025E82GMYV6", "SE-000268708")</f>
        <v>SE-000268708</v>
      </c>
      <c r="D1627" s="1" t="s">
        <v>0</v>
      </c>
      <c r="E1627" s="2">
        <v>0</v>
      </c>
      <c r="F1627" s="2">
        <v>0</v>
      </c>
      <c r="G1627" s="2">
        <v>0</v>
      </c>
      <c r="H1627" s="1" t="s">
        <v>0</v>
      </c>
      <c r="I1627" s="2">
        <v>0</v>
      </c>
      <c r="J1627" s="1">
        <v>45915.379074074073</v>
      </c>
    </row>
    <row r="1628" spans="1:10" x14ac:dyDescent="0.2">
      <c r="A1628" s="4" t="s">
        <v>1</v>
      </c>
      <c r="B1628" s="3" t="str">
        <f>HYPERLINK("https://otsuka-europe-crm.veevavault.com/ui/#object/approved_document__v/V5OZ025E82TFUPI", "Spain - HCP Survey Email - June 2025")</f>
        <v>Spain - HCP Survey Email - June 2025</v>
      </c>
      <c r="C1628" s="3" t="str">
        <f>HYPERLINK("https://otsuka-europe-crm.veevavault.com/ui/#object/sent_email__v/VBLZ025E82GMYV7", "SE-000268709")</f>
        <v>SE-000268709</v>
      </c>
      <c r="D1628" s="1" t="s">
        <v>0</v>
      </c>
      <c r="E1628" s="2">
        <v>0</v>
      </c>
      <c r="F1628" s="2">
        <v>0</v>
      </c>
      <c r="G1628" s="2">
        <v>0</v>
      </c>
      <c r="H1628" s="1" t="s">
        <v>0</v>
      </c>
      <c r="I1628" s="2">
        <v>0</v>
      </c>
      <c r="J1628" s="1">
        <v>45915.377754629626</v>
      </c>
    </row>
    <row r="1629" spans="1:10" x14ac:dyDescent="0.2">
      <c r="A1629" s="4" t="s">
        <v>1</v>
      </c>
      <c r="B1629" s="3" t="str">
        <f>HYPERLINK("https://otsuka-europe-crm.veevavault.com/ui/#object/approved_document__v/V5OZ025E82TFUPI", "Spain - HCP Survey Email - June 2025")</f>
        <v>Spain - HCP Survey Email - June 2025</v>
      </c>
      <c r="C1629" s="3" t="str">
        <f>HYPERLINK("https://otsuka-europe-crm.veevavault.com/ui/#object/sent_email__v/VBLZ025E82GMYV8", "SE-000268710")</f>
        <v>SE-000268710</v>
      </c>
      <c r="D1629" s="1" t="s">
        <v>0</v>
      </c>
      <c r="E1629" s="2">
        <v>0</v>
      </c>
      <c r="F1629" s="2">
        <v>0</v>
      </c>
      <c r="G1629" s="2">
        <v>0</v>
      </c>
      <c r="H1629" s="1" t="s">
        <v>0</v>
      </c>
      <c r="I1629" s="2">
        <v>0</v>
      </c>
      <c r="J1629" s="1">
        <v>45915.378391203703</v>
      </c>
    </row>
    <row r="1630" spans="1:10" x14ac:dyDescent="0.2">
      <c r="A1630" s="4" t="s">
        <v>1</v>
      </c>
      <c r="B1630" s="3" t="str">
        <f>HYPERLINK("https://otsuka-europe-crm.veevavault.com/ui/#object/approved_document__v/V5OZ025E82TFUPI", "Spain - HCP Survey Email - June 2025")</f>
        <v>Spain - HCP Survey Email - June 2025</v>
      </c>
      <c r="C1630" s="3" t="str">
        <f>HYPERLINK("https://otsuka-europe-crm.veevavault.com/ui/#object/sent_email__v/VBLZ025E82GMYV9", "SE-000268711")</f>
        <v>SE-000268711</v>
      </c>
      <c r="D1630" s="1" t="s">
        <v>0</v>
      </c>
      <c r="E1630" s="2">
        <v>0</v>
      </c>
      <c r="F1630" s="2">
        <v>0</v>
      </c>
      <c r="G1630" s="2">
        <v>0</v>
      </c>
      <c r="H1630" s="1" t="s">
        <v>0</v>
      </c>
      <c r="I1630" s="2">
        <v>0</v>
      </c>
      <c r="J1630" s="1">
        <v>45915.378206018519</v>
      </c>
    </row>
    <row r="1631" spans="1:10" x14ac:dyDescent="0.2">
      <c r="A1631" s="4" t="s">
        <v>1</v>
      </c>
      <c r="B1631" s="3" t="str">
        <f>HYPERLINK("https://otsuka-europe-crm.veevavault.com/ui/#object/approved_document__v/V5OZ025E82TFUPI", "Spain - HCP Survey Email - June 2025")</f>
        <v>Spain - HCP Survey Email - June 2025</v>
      </c>
      <c r="C1631" s="3" t="str">
        <f>HYPERLINK("https://otsuka-europe-crm.veevavault.com/ui/#object/sent_email__v/VBLZ025E82GMYVA", "SE-000268712")</f>
        <v>SE-000268712</v>
      </c>
      <c r="D1631" s="1">
        <v>45918.894513888888</v>
      </c>
      <c r="E1631" s="2">
        <v>1</v>
      </c>
      <c r="F1631" s="2">
        <v>4</v>
      </c>
      <c r="G1631" s="2">
        <v>0</v>
      </c>
      <c r="H1631" s="1" t="s">
        <v>0</v>
      </c>
      <c r="I1631" s="2">
        <v>0</v>
      </c>
      <c r="J1631" s="1">
        <v>45915.378645833334</v>
      </c>
    </row>
    <row r="1632" spans="1:10" x14ac:dyDescent="0.2">
      <c r="A1632" s="4" t="s">
        <v>1</v>
      </c>
      <c r="B1632" s="3" t="str">
        <f>HYPERLINK("https://otsuka-europe-crm.veevavault.com/ui/#object/approved_document__v/V5OZ025E82TFUPI", "Spain - HCP Survey Email - June 2025")</f>
        <v>Spain - HCP Survey Email - June 2025</v>
      </c>
      <c r="C1632" s="3" t="str">
        <f>HYPERLINK("https://otsuka-europe-crm.veevavault.com/ui/#object/sent_email__v/VBLZ025E82GMYVB", "SE-000268713")</f>
        <v>SE-000268713</v>
      </c>
      <c r="D1632" s="1" t="s">
        <v>0</v>
      </c>
      <c r="E1632" s="2">
        <v>0</v>
      </c>
      <c r="F1632" s="2">
        <v>0</v>
      </c>
      <c r="G1632" s="2">
        <v>0</v>
      </c>
      <c r="H1632" s="1" t="s">
        <v>0</v>
      </c>
      <c r="I1632" s="2">
        <v>0</v>
      </c>
      <c r="J1632" s="1">
        <v>45915.379837962966</v>
      </c>
    </row>
    <row r="1633" spans="1:10" x14ac:dyDescent="0.2">
      <c r="A1633" s="4" t="s">
        <v>1</v>
      </c>
      <c r="B1633" s="3" t="str">
        <f>HYPERLINK("https://otsuka-europe-crm.veevavault.com/ui/#object/approved_document__v/V5OZ025E82TFUPI", "Spain - HCP Survey Email - June 2025")</f>
        <v>Spain - HCP Survey Email - June 2025</v>
      </c>
      <c r="C1633" s="3" t="str">
        <f>HYPERLINK("https://otsuka-europe-crm.veevavault.com/ui/#object/sent_email__v/VBLZ025E82GMYVC", "SE-000268714")</f>
        <v>SE-000268714</v>
      </c>
      <c r="D1633" s="1" t="s">
        <v>0</v>
      </c>
      <c r="E1633" s="2">
        <v>0</v>
      </c>
      <c r="F1633" s="2">
        <v>0</v>
      </c>
      <c r="G1633" s="2">
        <v>0</v>
      </c>
      <c r="H1633" s="1" t="s">
        <v>0</v>
      </c>
      <c r="I1633" s="2">
        <v>0</v>
      </c>
      <c r="J1633" s="1">
        <v>45915.378298611111</v>
      </c>
    </row>
    <row r="1634" spans="1:10" x14ac:dyDescent="0.2">
      <c r="A1634" s="4" t="s">
        <v>1</v>
      </c>
      <c r="B1634" s="3" t="str">
        <f>HYPERLINK("https://otsuka-europe-crm.veevavault.com/ui/#object/approved_document__v/V5OZ025E82TFUPI", "Spain - HCP Survey Email - June 2025")</f>
        <v>Spain - HCP Survey Email - June 2025</v>
      </c>
      <c r="C1634" s="3" t="str">
        <f>HYPERLINK("https://otsuka-europe-crm.veevavault.com/ui/#object/sent_email__v/VBLZ025E82GMYVD", "SE-000268715")</f>
        <v>SE-000268715</v>
      </c>
      <c r="D1634" s="1">
        <v>45915.928703703707</v>
      </c>
      <c r="E1634" s="2">
        <v>1</v>
      </c>
      <c r="F1634" s="2">
        <v>1</v>
      </c>
      <c r="G1634" s="2">
        <v>0</v>
      </c>
      <c r="H1634" s="1" t="s">
        <v>0</v>
      </c>
      <c r="I1634" s="2">
        <v>0</v>
      </c>
      <c r="J1634" s="1">
        <v>45915.378101851849</v>
      </c>
    </row>
    <row r="1635" spans="1:10" x14ac:dyDescent="0.2">
      <c r="A1635" s="4" t="s">
        <v>1</v>
      </c>
      <c r="B1635" s="3" t="str">
        <f>HYPERLINK("https://otsuka-europe-crm.veevavault.com/ui/#object/approved_document__v/V5OZ025E82TFUPI", "Spain - HCP Survey Email - June 2025")</f>
        <v>Spain - HCP Survey Email - June 2025</v>
      </c>
      <c r="C1635" s="3" t="str">
        <f>HYPERLINK("https://otsuka-europe-crm.veevavault.com/ui/#object/sent_email__v/VBLZ025E82GMYVE", "SE-000268716")</f>
        <v>SE-000268716</v>
      </c>
      <c r="D1635" s="1" t="s">
        <v>0</v>
      </c>
      <c r="E1635" s="2">
        <v>0</v>
      </c>
      <c r="F1635" s="2">
        <v>0</v>
      </c>
      <c r="G1635" s="2">
        <v>0</v>
      </c>
      <c r="H1635" s="1" t="s">
        <v>0</v>
      </c>
      <c r="I1635" s="2">
        <v>0</v>
      </c>
      <c r="J1635" s="1">
        <v>45915.378634259258</v>
      </c>
    </row>
    <row r="1636" spans="1:10" x14ac:dyDescent="0.2">
      <c r="A1636" s="4" t="s">
        <v>1</v>
      </c>
      <c r="B1636" s="3" t="str">
        <f>HYPERLINK("https://otsuka-europe-crm.veevavault.com/ui/#object/approved_document__v/V5OZ025E82TFUPI", "Spain - HCP Survey Email - June 2025")</f>
        <v>Spain - HCP Survey Email - June 2025</v>
      </c>
      <c r="C1636" s="3" t="str">
        <f>HYPERLINK("https://otsuka-europe-crm.veevavault.com/ui/#object/sent_email__v/VBLZ025E82GMYVF", "SE-000268717")</f>
        <v>SE-000268717</v>
      </c>
      <c r="D1636" s="1" t="s">
        <v>0</v>
      </c>
      <c r="E1636" s="2">
        <v>0</v>
      </c>
      <c r="F1636" s="2">
        <v>0</v>
      </c>
      <c r="G1636" s="2">
        <v>0</v>
      </c>
      <c r="H1636" s="1" t="s">
        <v>0</v>
      </c>
      <c r="I1636" s="2">
        <v>0</v>
      </c>
      <c r="J1636" s="1">
        <v>45915.379976851851</v>
      </c>
    </row>
    <row r="1637" spans="1:10" x14ac:dyDescent="0.2">
      <c r="A1637" s="4" t="s">
        <v>1</v>
      </c>
      <c r="B1637" s="3" t="str">
        <f>HYPERLINK("https://otsuka-europe-crm.veevavault.com/ui/#object/approved_document__v/V5OZ025E82TFUPI", "Spain - HCP Survey Email - June 2025")</f>
        <v>Spain - HCP Survey Email - June 2025</v>
      </c>
      <c r="C1637" s="3" t="str">
        <f>HYPERLINK("https://otsuka-europe-crm.veevavault.com/ui/#object/sent_email__v/VBLZ025E82GMYVG", "SE-000268718")</f>
        <v>SE-000268718</v>
      </c>
      <c r="D1637" s="1">
        <v>45915.686122685183</v>
      </c>
      <c r="E1637" s="2">
        <v>1</v>
      </c>
      <c r="F1637" s="2">
        <v>1</v>
      </c>
      <c r="G1637" s="2">
        <v>0</v>
      </c>
      <c r="H1637" s="1" t="s">
        <v>0</v>
      </c>
      <c r="I1637" s="2">
        <v>0</v>
      </c>
      <c r="J1637" s="1">
        <v>45915.377662037034</v>
      </c>
    </row>
    <row r="1638" spans="1:10" x14ac:dyDescent="0.2">
      <c r="A1638" s="4" t="s">
        <v>1</v>
      </c>
      <c r="B1638" s="3" t="str">
        <f>HYPERLINK("https://otsuka-europe-crm.veevavault.com/ui/#object/approved_document__v/V5OZ025E82TFUPI", "Spain - HCP Survey Email - June 2025")</f>
        <v>Spain - HCP Survey Email - June 2025</v>
      </c>
      <c r="C1638" s="3" t="str">
        <f>HYPERLINK("https://otsuka-europe-crm.veevavault.com/ui/#object/sent_email__v/VBLZ025E82GMYVH", "SE-000268719")</f>
        <v>SE-000268719</v>
      </c>
      <c r="D1638" s="1">
        <v>45915.584953703707</v>
      </c>
      <c r="E1638" s="2">
        <v>1</v>
      </c>
      <c r="F1638" s="2">
        <v>1</v>
      </c>
      <c r="G1638" s="2">
        <v>0</v>
      </c>
      <c r="H1638" s="1" t="s">
        <v>0</v>
      </c>
      <c r="I1638" s="2">
        <v>0</v>
      </c>
      <c r="J1638" s="1">
        <v>45915.377465277779</v>
      </c>
    </row>
    <row r="1639" spans="1:10" x14ac:dyDescent="0.2">
      <c r="A1639" s="4" t="s">
        <v>1</v>
      </c>
      <c r="B1639" s="3" t="str">
        <f>HYPERLINK("https://otsuka-europe-crm.veevavault.com/ui/#object/approved_document__v/V5OZ025E82TFUPI", "Spain - HCP Survey Email - June 2025")</f>
        <v>Spain - HCP Survey Email - June 2025</v>
      </c>
      <c r="C1639" s="3" t="str">
        <f>HYPERLINK("https://otsuka-europe-crm.veevavault.com/ui/#object/sent_email__v/VBLZ025E82GMYVI", "SE-000268720")</f>
        <v>SE-000268720</v>
      </c>
      <c r="D1639" s="1" t="s">
        <v>0</v>
      </c>
      <c r="E1639" s="2">
        <v>0</v>
      </c>
      <c r="F1639" s="2">
        <v>0</v>
      </c>
      <c r="G1639" s="2">
        <v>0</v>
      </c>
      <c r="H1639" s="1" t="s">
        <v>0</v>
      </c>
      <c r="I1639" s="2">
        <v>0</v>
      </c>
      <c r="J1639" s="1">
        <v>45915.378460648149</v>
      </c>
    </row>
    <row r="1640" spans="1:10" x14ac:dyDescent="0.2">
      <c r="A1640" s="4" t="s">
        <v>1</v>
      </c>
      <c r="B1640" s="3" t="str">
        <f>HYPERLINK("https://otsuka-europe-crm.veevavault.com/ui/#object/approved_document__v/V5OZ025E82TFUPI", "Spain - HCP Survey Email - June 2025")</f>
        <v>Spain - HCP Survey Email - June 2025</v>
      </c>
      <c r="C1640" s="3" t="str">
        <f>HYPERLINK("https://otsuka-europe-crm.veevavault.com/ui/#object/sent_email__v/VBLZ025E82GMYVJ", "SE-000268721")</f>
        <v>SE-000268721</v>
      </c>
      <c r="D1640" s="1" t="s">
        <v>0</v>
      </c>
      <c r="E1640" s="2">
        <v>0</v>
      </c>
      <c r="F1640" s="2">
        <v>0</v>
      </c>
      <c r="G1640" s="2">
        <v>0</v>
      </c>
      <c r="H1640" s="1" t="s">
        <v>0</v>
      </c>
      <c r="I1640" s="2">
        <v>0</v>
      </c>
      <c r="J1640" s="1">
        <v>45915.378888888888</v>
      </c>
    </row>
    <row r="1641" spans="1:10" x14ac:dyDescent="0.2">
      <c r="A1641" s="4" t="s">
        <v>1</v>
      </c>
      <c r="B1641" s="3" t="str">
        <f>HYPERLINK("https://otsuka-europe-crm.veevavault.com/ui/#object/approved_document__v/V5OZ025E82TFUPI", "Spain - HCP Survey Email - June 2025")</f>
        <v>Spain - HCP Survey Email - June 2025</v>
      </c>
      <c r="C1641" s="3" t="str">
        <f>HYPERLINK("https://otsuka-europe-crm.veevavault.com/ui/#object/sent_email__v/VBLZ025E82GMYVK", "SE-000268722")</f>
        <v>SE-000268722</v>
      </c>
      <c r="D1641" s="1">
        <v>45919.835497685184</v>
      </c>
      <c r="E1641" s="2">
        <v>1</v>
      </c>
      <c r="F1641" s="2">
        <v>6</v>
      </c>
      <c r="G1641" s="2">
        <v>0</v>
      </c>
      <c r="H1641" s="1" t="s">
        <v>0</v>
      </c>
      <c r="I1641" s="2">
        <v>0</v>
      </c>
      <c r="J1641" s="1">
        <v>45915.378622685188</v>
      </c>
    </row>
    <row r="1642" spans="1:10" x14ac:dyDescent="0.2">
      <c r="A1642" s="4" t="s">
        <v>1</v>
      </c>
      <c r="B1642" s="3" t="str">
        <f>HYPERLINK("https://otsuka-europe-crm.veevavault.com/ui/#object/approved_document__v/V5OZ025E82TFUPI", "Spain - HCP Survey Email - June 2025")</f>
        <v>Spain - HCP Survey Email - June 2025</v>
      </c>
      <c r="C1642" s="3" t="str">
        <f>HYPERLINK("https://otsuka-europe-crm.veevavault.com/ui/#object/sent_email__v/VBLZ025E82GMYVL", "SE-000268723")</f>
        <v>SE-000268723</v>
      </c>
      <c r="D1642" s="1" t="s">
        <v>0</v>
      </c>
      <c r="E1642" s="2">
        <v>0</v>
      </c>
      <c r="F1642" s="2">
        <v>0</v>
      </c>
      <c r="G1642" s="2">
        <v>0</v>
      </c>
      <c r="H1642" s="1" t="s">
        <v>0</v>
      </c>
      <c r="I1642" s="2">
        <v>0</v>
      </c>
      <c r="J1642" s="1">
        <v>45915.379050925927</v>
      </c>
    </row>
    <row r="1643" spans="1:10" x14ac:dyDescent="0.2">
      <c r="A1643" s="4" t="s">
        <v>1</v>
      </c>
      <c r="B1643" s="3" t="str">
        <f>HYPERLINK("https://otsuka-europe-crm.veevavault.com/ui/#object/approved_document__v/V5OZ025E82TFUPI", "Spain - HCP Survey Email - June 2025")</f>
        <v>Spain - HCP Survey Email - June 2025</v>
      </c>
      <c r="C1643" s="3" t="str">
        <f>HYPERLINK("https://otsuka-europe-crm.veevavault.com/ui/#object/sent_email__v/VBLZ025E82GMYVM", "SE-000268724")</f>
        <v>SE-000268724</v>
      </c>
      <c r="D1643" s="1">
        <v>45917.198506944442</v>
      </c>
      <c r="E1643" s="2">
        <v>1</v>
      </c>
      <c r="F1643" s="2">
        <v>1</v>
      </c>
      <c r="G1643" s="2">
        <v>0</v>
      </c>
      <c r="H1643" s="1" t="s">
        <v>0</v>
      </c>
      <c r="I1643" s="2">
        <v>0</v>
      </c>
      <c r="J1643" s="1">
        <v>45915.377743055556</v>
      </c>
    </row>
    <row r="1644" spans="1:10" x14ac:dyDescent="0.2">
      <c r="A1644" s="4" t="s">
        <v>1</v>
      </c>
      <c r="B1644" s="3" t="str">
        <f>HYPERLINK("https://otsuka-europe-crm.veevavault.com/ui/#object/approved_document__v/V5OZ025E82TFUPI", "Spain - HCP Survey Email - June 2025")</f>
        <v>Spain - HCP Survey Email - June 2025</v>
      </c>
      <c r="C1644" s="3" t="str">
        <f>HYPERLINK("https://otsuka-europe-crm.veevavault.com/ui/#object/sent_email__v/VBLZ025E82GMYVN", "SE-000268725")</f>
        <v>SE-000268725</v>
      </c>
      <c r="D1644" s="1" t="s">
        <v>0</v>
      </c>
      <c r="E1644" s="2">
        <v>0</v>
      </c>
      <c r="F1644" s="2">
        <v>0</v>
      </c>
      <c r="G1644" s="2">
        <v>0</v>
      </c>
      <c r="H1644" s="1" t="s">
        <v>0</v>
      </c>
      <c r="I1644" s="2">
        <v>0</v>
      </c>
      <c r="J1644" s="1">
        <v>45915.378391203703</v>
      </c>
    </row>
    <row r="1645" spans="1:10" x14ac:dyDescent="0.2">
      <c r="A1645" s="4" t="s">
        <v>1</v>
      </c>
      <c r="B1645" s="3" t="str">
        <f>HYPERLINK("https://otsuka-europe-crm.veevavault.com/ui/#object/approved_document__v/V5OZ025E82TFUPI", "Spain - HCP Survey Email - June 2025")</f>
        <v>Spain - HCP Survey Email - June 2025</v>
      </c>
      <c r="C1645" s="3" t="str">
        <f>HYPERLINK("https://otsuka-europe-crm.veevavault.com/ui/#object/sent_email__v/VBLZ025E82GMYVO", "SE-000268726")</f>
        <v>SE-000268726</v>
      </c>
      <c r="D1645" s="1" t="s">
        <v>0</v>
      </c>
      <c r="E1645" s="2">
        <v>0</v>
      </c>
      <c r="F1645" s="2">
        <v>0</v>
      </c>
      <c r="G1645" s="2">
        <v>0</v>
      </c>
      <c r="H1645" s="1" t="s">
        <v>0</v>
      </c>
      <c r="I1645" s="2">
        <v>0</v>
      </c>
      <c r="J1645" s="1">
        <v>45915.378125000003</v>
      </c>
    </row>
    <row r="1646" spans="1:10" x14ac:dyDescent="0.2">
      <c r="A1646" s="4" t="s">
        <v>1</v>
      </c>
      <c r="B1646" s="3" t="str">
        <f>HYPERLINK("https://otsuka-europe-crm.veevavault.com/ui/#object/approved_document__v/V5OZ025E82TFUPI", "Spain - HCP Survey Email - June 2025")</f>
        <v>Spain - HCP Survey Email - June 2025</v>
      </c>
      <c r="C1646" s="3" t="str">
        <f>HYPERLINK("https://otsuka-europe-crm.veevavault.com/ui/#object/sent_email__v/VBLZ025E82GMYVP", "SE-000268727")</f>
        <v>SE-000268727</v>
      </c>
      <c r="D1646" s="1" t="s">
        <v>0</v>
      </c>
      <c r="E1646" s="2">
        <v>0</v>
      </c>
      <c r="F1646" s="2">
        <v>0</v>
      </c>
      <c r="G1646" s="2">
        <v>0</v>
      </c>
      <c r="H1646" s="1" t="s">
        <v>0</v>
      </c>
      <c r="I1646" s="2">
        <v>0</v>
      </c>
      <c r="J1646" s="1">
        <v>45915.378622685188</v>
      </c>
    </row>
    <row r="1647" spans="1:10" x14ac:dyDescent="0.2">
      <c r="A1647" s="4" t="s">
        <v>1</v>
      </c>
      <c r="B1647" s="3" t="str">
        <f>HYPERLINK("https://otsuka-europe-crm.veevavault.com/ui/#object/approved_document__v/V5OZ025E82TFUPI", "Spain - HCP Survey Email - June 2025")</f>
        <v>Spain - HCP Survey Email - June 2025</v>
      </c>
      <c r="C1647" s="3" t="str">
        <f>HYPERLINK("https://otsuka-europe-crm.veevavault.com/ui/#object/sent_email__v/VBLZ025E82GMYVQ", "SE-000268728")</f>
        <v>SE-000268728</v>
      </c>
      <c r="D1647" s="1" t="s">
        <v>0</v>
      </c>
      <c r="E1647" s="2">
        <v>0</v>
      </c>
      <c r="F1647" s="2">
        <v>0</v>
      </c>
      <c r="G1647" s="2">
        <v>0</v>
      </c>
      <c r="H1647" s="1" t="s">
        <v>0</v>
      </c>
      <c r="I1647" s="2">
        <v>0</v>
      </c>
      <c r="J1647" s="1">
        <v>45915.379895833335</v>
      </c>
    </row>
    <row r="1648" spans="1:10" x14ac:dyDescent="0.2">
      <c r="A1648" s="4" t="s">
        <v>1</v>
      </c>
      <c r="B1648" s="3" t="str">
        <f>HYPERLINK("https://otsuka-europe-crm.veevavault.com/ui/#object/approved_document__v/V5OZ025E82TFUPI", "Spain - HCP Survey Email - June 2025")</f>
        <v>Spain - HCP Survey Email - June 2025</v>
      </c>
      <c r="C1648" s="3" t="str">
        <f>HYPERLINK("https://otsuka-europe-crm.veevavault.com/ui/#object/sent_email__v/VBLZ025E82GMYVR", "SE-000268729")</f>
        <v>SE-000268729</v>
      </c>
      <c r="D1648" s="1">
        <v>45931.622002314813</v>
      </c>
      <c r="E1648" s="2">
        <v>1</v>
      </c>
      <c r="F1648" s="2">
        <v>1</v>
      </c>
      <c r="G1648" s="2">
        <v>0</v>
      </c>
      <c r="H1648" s="1" t="s">
        <v>0</v>
      </c>
      <c r="I1648" s="2">
        <v>0</v>
      </c>
      <c r="J1648" s="1">
        <v>45915.377685185187</v>
      </c>
    </row>
    <row r="1649" spans="1:10" x14ac:dyDescent="0.2">
      <c r="A1649" s="4" t="s">
        <v>1</v>
      </c>
      <c r="B1649" s="3" t="str">
        <f>HYPERLINK("https://otsuka-europe-crm.veevavault.com/ui/#object/approved_document__v/V5OZ025E82TFUPI", "Spain - HCP Survey Email - June 2025")</f>
        <v>Spain - HCP Survey Email - June 2025</v>
      </c>
      <c r="C1649" s="3" t="str">
        <f>HYPERLINK("https://otsuka-europe-crm.veevavault.com/ui/#object/sent_email__v/VBLZ025E82GMYVS", "SE-000268730")</f>
        <v>SE-000268730</v>
      </c>
      <c r="D1649" s="1">
        <v>45915.380925925929</v>
      </c>
      <c r="E1649" s="2">
        <v>1</v>
      </c>
      <c r="F1649" s="2">
        <v>1</v>
      </c>
      <c r="G1649" s="2">
        <v>0</v>
      </c>
      <c r="H1649" s="1" t="s">
        <v>0</v>
      </c>
      <c r="I1649" s="2">
        <v>0</v>
      </c>
      <c r="J1649" s="1">
        <v>45915.377465277779</v>
      </c>
    </row>
    <row r="1650" spans="1:10" x14ac:dyDescent="0.2">
      <c r="A1650" s="4" t="s">
        <v>1</v>
      </c>
      <c r="B1650" s="3" t="str">
        <f>HYPERLINK("https://otsuka-europe-crm.veevavault.com/ui/#object/approved_document__v/V5OZ025E82TFUPI", "Spain - HCP Survey Email - June 2025")</f>
        <v>Spain - HCP Survey Email - June 2025</v>
      </c>
      <c r="C1650" s="3" t="str">
        <f>HYPERLINK("https://otsuka-europe-crm.veevavault.com/ui/#object/sent_email__v/VBLZ025E82GMYVT", "SE-000268731")</f>
        <v>SE-000268731</v>
      </c>
      <c r="D1650" s="1" t="s">
        <v>0</v>
      </c>
      <c r="E1650" s="2">
        <v>0</v>
      </c>
      <c r="F1650" s="2">
        <v>0</v>
      </c>
      <c r="G1650" s="2">
        <v>0</v>
      </c>
      <c r="H1650" s="1" t="s">
        <v>0</v>
      </c>
      <c r="I1650" s="2">
        <v>0</v>
      </c>
      <c r="J1650" s="1">
        <v>45915.37840277778</v>
      </c>
    </row>
    <row r="1651" spans="1:10" x14ac:dyDescent="0.2">
      <c r="A1651" s="4" t="s">
        <v>1</v>
      </c>
      <c r="B1651" s="3" t="str">
        <f>HYPERLINK("https://otsuka-europe-crm.veevavault.com/ui/#object/approved_document__v/V5OZ025E82TFUPI", "Spain - HCP Survey Email - June 2025")</f>
        <v>Spain - HCP Survey Email - June 2025</v>
      </c>
      <c r="C1651" s="3" t="str">
        <f>HYPERLINK("https://otsuka-europe-crm.veevavault.com/ui/#object/sent_email__v/VBLZ025E82GMYVU", "SE-000268732")</f>
        <v>SE-000268732</v>
      </c>
      <c r="D1651" s="1">
        <v>45915.472199074073</v>
      </c>
      <c r="E1651" s="2">
        <v>1</v>
      </c>
      <c r="F1651" s="2">
        <v>1</v>
      </c>
      <c r="G1651" s="2">
        <v>0</v>
      </c>
      <c r="H1651" s="1" t="s">
        <v>0</v>
      </c>
      <c r="I1651" s="2">
        <v>0</v>
      </c>
      <c r="J1651" s="1">
        <v>45915.378912037035</v>
      </c>
    </row>
    <row r="1652" spans="1:10" x14ac:dyDescent="0.2">
      <c r="A1652" s="4" t="s">
        <v>1</v>
      </c>
      <c r="B1652" s="3" t="str">
        <f>HYPERLINK("https://otsuka-europe-crm.veevavault.com/ui/#object/approved_document__v/V5OZ025E82TFUPI", "Spain - HCP Survey Email - June 2025")</f>
        <v>Spain - HCP Survey Email - June 2025</v>
      </c>
      <c r="C1652" s="3" t="str">
        <f>HYPERLINK("https://otsuka-europe-crm.veevavault.com/ui/#object/sent_email__v/VBLZ025E82GMYVV", "SE-000268733")</f>
        <v>SE-000268733</v>
      </c>
      <c r="D1652" s="1" t="s">
        <v>0</v>
      </c>
      <c r="E1652" s="2">
        <v>0</v>
      </c>
      <c r="F1652" s="2">
        <v>0</v>
      </c>
      <c r="G1652" s="2">
        <v>0</v>
      </c>
      <c r="H1652" s="1" t="s">
        <v>0</v>
      </c>
      <c r="I1652" s="2">
        <v>0</v>
      </c>
      <c r="J1652" s="1">
        <v>45915.37871527778</v>
      </c>
    </row>
    <row r="1653" spans="1:10" x14ac:dyDescent="0.2">
      <c r="A1653" s="4" t="s">
        <v>1</v>
      </c>
      <c r="B1653" s="3" t="str">
        <f>HYPERLINK("https://otsuka-europe-crm.veevavault.com/ui/#object/approved_document__v/V5OZ025E82TFUPI", "Spain - HCP Survey Email - June 2025")</f>
        <v>Spain - HCP Survey Email - June 2025</v>
      </c>
      <c r="C1653" s="3" t="str">
        <f>HYPERLINK("https://otsuka-europe-crm.veevavault.com/ui/#object/sent_email__v/VBLZ025E82GMYVW", "SE-000268734")</f>
        <v>SE-000268734</v>
      </c>
      <c r="D1653" s="1" t="s">
        <v>0</v>
      </c>
      <c r="E1653" s="2">
        <v>0</v>
      </c>
      <c r="F1653" s="2">
        <v>0</v>
      </c>
      <c r="G1653" s="2">
        <v>0</v>
      </c>
      <c r="H1653" s="1" t="s">
        <v>0</v>
      </c>
      <c r="I1653" s="2">
        <v>0</v>
      </c>
      <c r="J1653" s="1">
        <v>45915.37909722222</v>
      </c>
    </row>
    <row r="1654" spans="1:10" x14ac:dyDescent="0.2">
      <c r="A1654" s="4" t="s">
        <v>1</v>
      </c>
      <c r="B1654" s="3" t="str">
        <f>HYPERLINK("https://otsuka-europe-crm.veevavault.com/ui/#object/approved_document__v/V5OZ025E82TFUPI", "Spain - HCP Survey Email - June 2025")</f>
        <v>Spain - HCP Survey Email - June 2025</v>
      </c>
      <c r="C1654" s="3" t="str">
        <f>HYPERLINK("https://otsuka-europe-crm.veevavault.com/ui/#object/sent_email__v/VBLZ025E82GMYVY", "SE-000268736")</f>
        <v>SE-000268736</v>
      </c>
      <c r="D1654" s="1" t="s">
        <v>0</v>
      </c>
      <c r="E1654" s="2">
        <v>0</v>
      </c>
      <c r="F1654" s="2">
        <v>0</v>
      </c>
      <c r="G1654" s="2">
        <v>0</v>
      </c>
      <c r="H1654" s="1" t="s">
        <v>0</v>
      </c>
      <c r="I1654" s="2">
        <v>0</v>
      </c>
      <c r="J1654" s="1">
        <v>45915.378425925926</v>
      </c>
    </row>
    <row r="1655" spans="1:10" x14ac:dyDescent="0.2">
      <c r="A1655" s="4" t="s">
        <v>1</v>
      </c>
      <c r="B1655" s="3" t="str">
        <f>HYPERLINK("https://otsuka-europe-crm.veevavault.com/ui/#object/approved_document__v/V5OZ025E82TFUPI", "Spain - HCP Survey Email - June 2025")</f>
        <v>Spain - HCP Survey Email - June 2025</v>
      </c>
      <c r="C1655" s="3" t="str">
        <f>HYPERLINK("https://otsuka-europe-crm.veevavault.com/ui/#object/sent_email__v/VBLZ025E82GMYVZ", "SE-000268737")</f>
        <v>SE-000268737</v>
      </c>
      <c r="D1655" s="1">
        <v>45915.381319444445</v>
      </c>
      <c r="E1655" s="2">
        <v>1</v>
      </c>
      <c r="F1655" s="2">
        <v>3</v>
      </c>
      <c r="G1655" s="2">
        <v>0</v>
      </c>
      <c r="H1655" s="1" t="s">
        <v>0</v>
      </c>
      <c r="I1655" s="2">
        <v>0</v>
      </c>
      <c r="J1655" s="1">
        <v>45915.378148148149</v>
      </c>
    </row>
    <row r="1656" spans="1:10" x14ac:dyDescent="0.2">
      <c r="A1656" s="4" t="s">
        <v>1</v>
      </c>
      <c r="B1656" s="3" t="str">
        <f>HYPERLINK("https://otsuka-europe-crm.veevavault.com/ui/#object/approved_document__v/V5OZ025E82TFUPI", "Spain - HCP Survey Email - June 2025")</f>
        <v>Spain - HCP Survey Email - June 2025</v>
      </c>
      <c r="C1656" s="3" t="str">
        <f>HYPERLINK("https://otsuka-europe-crm.veevavault.com/ui/#object/sent_email__v/VBLZ025E82GMYW0", "SE-000268738")</f>
        <v>SE-000268738</v>
      </c>
      <c r="D1656" s="1" t="s">
        <v>0</v>
      </c>
      <c r="E1656" s="2">
        <v>0</v>
      </c>
      <c r="F1656" s="2">
        <v>0</v>
      </c>
      <c r="G1656" s="2">
        <v>0</v>
      </c>
      <c r="H1656" s="1" t="s">
        <v>0</v>
      </c>
      <c r="I1656" s="2">
        <v>0</v>
      </c>
      <c r="J1656" s="1">
        <v>45915.378587962965</v>
      </c>
    </row>
    <row r="1657" spans="1:10" x14ac:dyDescent="0.2">
      <c r="A1657" s="4" t="s">
        <v>1</v>
      </c>
      <c r="B1657" s="3" t="str">
        <f>HYPERLINK("https://otsuka-europe-crm.veevavault.com/ui/#object/approved_document__v/V5OZ025E82TFUPI", "Spain - HCP Survey Email - June 2025")</f>
        <v>Spain - HCP Survey Email - June 2025</v>
      </c>
      <c r="C1657" s="3" t="str">
        <f>HYPERLINK("https://otsuka-europe-crm.veevavault.com/ui/#object/sent_email__v/VBLZ025E82GMYW1", "SE-000268739")</f>
        <v>SE-000268739</v>
      </c>
      <c r="D1657" s="1" t="s">
        <v>0</v>
      </c>
      <c r="E1657" s="2">
        <v>0</v>
      </c>
      <c r="F1657" s="2">
        <v>0</v>
      </c>
      <c r="G1657" s="2">
        <v>0</v>
      </c>
      <c r="H1657" s="1" t="s">
        <v>0</v>
      </c>
      <c r="I1657" s="2">
        <v>0</v>
      </c>
      <c r="J1657" s="1">
        <v>45915.379895833335</v>
      </c>
    </row>
    <row r="1658" spans="1:10" x14ac:dyDescent="0.2">
      <c r="A1658" s="4" t="s">
        <v>1</v>
      </c>
      <c r="B1658" s="3" t="str">
        <f>HYPERLINK("https://otsuka-europe-crm.veevavault.com/ui/#object/approved_document__v/V5OZ025E82TFUPI", "Spain - HCP Survey Email - June 2025")</f>
        <v>Spain - HCP Survey Email - June 2025</v>
      </c>
      <c r="C1658" s="3" t="str">
        <f>HYPERLINK("https://otsuka-europe-crm.veevavault.com/ui/#object/sent_email__v/VBLZ025E82GMYW2", "SE-000268740")</f>
        <v>SE-000268740</v>
      </c>
      <c r="D1658" s="1">
        <v>45915.510752314818</v>
      </c>
      <c r="E1658" s="2">
        <v>1</v>
      </c>
      <c r="F1658" s="2">
        <v>1</v>
      </c>
      <c r="G1658" s="2">
        <v>0</v>
      </c>
      <c r="H1658" s="1" t="s">
        <v>0</v>
      </c>
      <c r="I1658" s="2">
        <v>0</v>
      </c>
      <c r="J1658" s="1">
        <v>45915.377928240741</v>
      </c>
    </row>
    <row r="1659" spans="1:10" x14ac:dyDescent="0.2">
      <c r="A1659" s="4" t="s">
        <v>1</v>
      </c>
      <c r="B1659" s="3" t="str">
        <f>HYPERLINK("https://otsuka-europe-crm.veevavault.com/ui/#object/approved_document__v/V5OZ025E82TFUPI", "Spain - HCP Survey Email - June 2025")</f>
        <v>Spain - HCP Survey Email - June 2025</v>
      </c>
      <c r="C1659" s="3" t="str">
        <f>HYPERLINK("https://otsuka-europe-crm.veevavault.com/ui/#object/sent_email__v/VBLZ025E82GMYW3", "SE-000268741")</f>
        <v>SE-000268741</v>
      </c>
      <c r="D1659" s="1">
        <v>45915.567442129628</v>
      </c>
      <c r="E1659" s="2">
        <v>1</v>
      </c>
      <c r="F1659" s="2">
        <v>1</v>
      </c>
      <c r="G1659" s="2">
        <v>0</v>
      </c>
      <c r="H1659" s="1" t="s">
        <v>0</v>
      </c>
      <c r="I1659" s="2">
        <v>0</v>
      </c>
      <c r="J1659" s="1">
        <v>45915.378333333334</v>
      </c>
    </row>
    <row r="1660" spans="1:10" x14ac:dyDescent="0.2">
      <c r="A1660" s="4" t="s">
        <v>1</v>
      </c>
      <c r="B1660" s="3" t="str">
        <f>HYPERLINK("https://otsuka-europe-crm.veevavault.com/ui/#object/approved_document__v/V5OZ025E82TFUPI", "Spain - HCP Survey Email - June 2025")</f>
        <v>Spain - HCP Survey Email - June 2025</v>
      </c>
      <c r="C1660" s="3" t="str">
        <f>HYPERLINK("https://otsuka-europe-crm.veevavault.com/ui/#object/sent_email__v/VBLZ025E82GMYW4", "SE-000268742")</f>
        <v>SE-000268742</v>
      </c>
      <c r="D1660" s="1">
        <v>45915.725069444445</v>
      </c>
      <c r="E1660" s="2">
        <v>1</v>
      </c>
      <c r="F1660" s="2">
        <v>1</v>
      </c>
      <c r="G1660" s="2">
        <v>0</v>
      </c>
      <c r="H1660" s="1" t="s">
        <v>0</v>
      </c>
      <c r="I1660" s="2">
        <v>0</v>
      </c>
      <c r="J1660" s="1">
        <v>45915.378125000003</v>
      </c>
    </row>
    <row r="1661" spans="1:10" x14ac:dyDescent="0.2">
      <c r="A1661" s="4" t="s">
        <v>1</v>
      </c>
      <c r="B1661" s="3" t="str">
        <f>HYPERLINK("https://otsuka-europe-crm.veevavault.com/ui/#object/approved_document__v/V5OZ025E82TFUPI", "Spain - HCP Survey Email - June 2025")</f>
        <v>Spain - HCP Survey Email - June 2025</v>
      </c>
      <c r="C1661" s="3" t="str">
        <f>HYPERLINK("https://otsuka-europe-crm.veevavault.com/ui/#object/sent_email__v/VBLZ025E82GMYW5", "SE-000268743")</f>
        <v>SE-000268743</v>
      </c>
      <c r="D1661" s="1">
        <v>45921.746736111112</v>
      </c>
      <c r="E1661" s="2">
        <v>1</v>
      </c>
      <c r="F1661" s="2">
        <v>2</v>
      </c>
      <c r="G1661" s="2">
        <v>0</v>
      </c>
      <c r="H1661" s="1" t="s">
        <v>0</v>
      </c>
      <c r="I1661" s="2">
        <v>0</v>
      </c>
      <c r="J1661" s="1">
        <v>45915.378576388888</v>
      </c>
    </row>
    <row r="1662" spans="1:10" x14ac:dyDescent="0.2">
      <c r="A1662" s="4" t="s">
        <v>1</v>
      </c>
      <c r="B1662" s="3" t="str">
        <f>HYPERLINK("https://otsuka-europe-crm.veevavault.com/ui/#object/approved_document__v/V5OZ025E82TFUPI", "Spain - HCP Survey Email - June 2025")</f>
        <v>Spain - HCP Survey Email - June 2025</v>
      </c>
      <c r="C1662" s="3" t="str">
        <f>HYPERLINK("https://otsuka-europe-crm.veevavault.com/ui/#object/sent_email__v/VBLZ025E82GMYW6", "SE-000268744")</f>
        <v>SE-000268744</v>
      </c>
      <c r="D1662" s="1">
        <v>45915.903090277781</v>
      </c>
      <c r="E1662" s="2">
        <v>1</v>
      </c>
      <c r="F1662" s="2">
        <v>1</v>
      </c>
      <c r="G1662" s="2">
        <v>0</v>
      </c>
      <c r="H1662" s="1" t="s">
        <v>0</v>
      </c>
      <c r="I1662" s="2">
        <v>0</v>
      </c>
      <c r="J1662" s="1">
        <v>45915.379849537036</v>
      </c>
    </row>
    <row r="1663" spans="1:10" x14ac:dyDescent="0.2">
      <c r="A1663" s="4" t="s">
        <v>1</v>
      </c>
      <c r="B1663" s="3" t="str">
        <f>HYPERLINK("https://otsuka-europe-crm.veevavault.com/ui/#object/approved_document__v/V5OZ025E82TFUPI", "Spain - HCP Survey Email - June 2025")</f>
        <v>Spain - HCP Survey Email - June 2025</v>
      </c>
      <c r="C1663" s="3" t="str">
        <f>HYPERLINK("https://otsuka-europe-crm.veevavault.com/ui/#object/sent_email__v/VBLZ025E82GMYW7", "SE-000268745")</f>
        <v>SE-000268745</v>
      </c>
      <c r="D1663" s="1">
        <v>45930.502210648148</v>
      </c>
      <c r="E1663" s="2">
        <v>1</v>
      </c>
      <c r="F1663" s="2">
        <v>3</v>
      </c>
      <c r="G1663" s="2">
        <v>0</v>
      </c>
      <c r="H1663" s="1" t="s">
        <v>0</v>
      </c>
      <c r="I1663" s="2">
        <v>0</v>
      </c>
      <c r="J1663" s="1">
        <v>45915.37767361111</v>
      </c>
    </row>
    <row r="1664" spans="1:10" x14ac:dyDescent="0.2">
      <c r="A1664" s="4" t="s">
        <v>1</v>
      </c>
      <c r="B1664" s="3" t="str">
        <f>HYPERLINK("https://otsuka-europe-crm.veevavault.com/ui/#object/approved_document__v/V5OZ025E82TFUPI", "Spain - HCP Survey Email - June 2025")</f>
        <v>Spain - HCP Survey Email - June 2025</v>
      </c>
      <c r="C1664" s="3" t="str">
        <f>HYPERLINK("https://otsuka-europe-crm.veevavault.com/ui/#object/sent_email__v/VBLZ025E82GMYW8", "SE-000268746")</f>
        <v>SE-000268746</v>
      </c>
      <c r="D1664" s="1" t="s">
        <v>0</v>
      </c>
      <c r="E1664" s="2">
        <v>0</v>
      </c>
      <c r="F1664" s="2">
        <v>0</v>
      </c>
      <c r="G1664" s="2">
        <v>0</v>
      </c>
      <c r="H1664" s="1" t="s">
        <v>0</v>
      </c>
      <c r="I1664" s="2">
        <v>0</v>
      </c>
      <c r="J1664" s="1">
        <v>45915.377465277779</v>
      </c>
    </row>
    <row r="1665" spans="1:10" x14ac:dyDescent="0.2">
      <c r="A1665" s="4" t="s">
        <v>1</v>
      </c>
      <c r="B1665" s="3" t="str">
        <f>HYPERLINK("https://otsuka-europe-crm.veevavault.com/ui/#object/approved_document__v/V5OZ025E82TFUPI", "Spain - HCP Survey Email - June 2025")</f>
        <v>Spain - HCP Survey Email - June 2025</v>
      </c>
      <c r="C1665" s="3" t="str">
        <f>HYPERLINK("https://otsuka-europe-crm.veevavault.com/ui/#object/sent_email__v/VBLZ025E82GMYW9", "SE-000268747")</f>
        <v>SE-000268747</v>
      </c>
      <c r="D1665" s="1" t="s">
        <v>0</v>
      </c>
      <c r="E1665" s="2">
        <v>0</v>
      </c>
      <c r="F1665" s="2">
        <v>0</v>
      </c>
      <c r="G1665" s="2">
        <v>0</v>
      </c>
      <c r="H1665" s="1" t="s">
        <v>0</v>
      </c>
      <c r="I1665" s="2">
        <v>0</v>
      </c>
      <c r="J1665" s="1">
        <v>45915.378460648149</v>
      </c>
    </row>
    <row r="1666" spans="1:10" x14ac:dyDescent="0.2">
      <c r="A1666" s="4" t="s">
        <v>1</v>
      </c>
      <c r="B1666" s="3" t="str">
        <f>HYPERLINK("https://otsuka-europe-crm.veevavault.com/ui/#object/approved_document__v/V5OZ025E82TFUPI", "Spain - HCP Survey Email - June 2025")</f>
        <v>Spain - HCP Survey Email - June 2025</v>
      </c>
      <c r="C1666" s="3" t="str">
        <f>HYPERLINK("https://otsuka-europe-crm.veevavault.com/ui/#object/sent_email__v/VBLZ025E82GMYWA", "SE-000268748")</f>
        <v>SE-000268748</v>
      </c>
      <c r="D1666" s="1" t="s">
        <v>0</v>
      </c>
      <c r="E1666" s="2">
        <v>0</v>
      </c>
      <c r="F1666" s="2">
        <v>0</v>
      </c>
      <c r="G1666" s="2">
        <v>0</v>
      </c>
      <c r="H1666" s="1" t="s">
        <v>0</v>
      </c>
      <c r="I1666" s="2">
        <v>0</v>
      </c>
      <c r="J1666" s="1">
        <v>45915.378900462965</v>
      </c>
    </row>
    <row r="1667" spans="1:10" x14ac:dyDescent="0.2">
      <c r="A1667" s="4" t="s">
        <v>1</v>
      </c>
      <c r="B1667" s="3" t="str">
        <f>HYPERLINK("https://otsuka-europe-crm.veevavault.com/ui/#object/approved_document__v/V5OZ025E82TFUPI", "Spain - HCP Survey Email - June 2025")</f>
        <v>Spain - HCP Survey Email - June 2025</v>
      </c>
      <c r="C1667" s="3" t="str">
        <f>HYPERLINK("https://otsuka-europe-crm.veevavault.com/ui/#object/sent_email__v/VBLZ025E82GMYWC", "SE-000268750")</f>
        <v>SE-000268750</v>
      </c>
      <c r="D1667" s="1">
        <v>45915.395520833335</v>
      </c>
      <c r="E1667" s="2">
        <v>1</v>
      </c>
      <c r="F1667" s="2">
        <v>1</v>
      </c>
      <c r="G1667" s="2">
        <v>0</v>
      </c>
      <c r="H1667" s="1" t="s">
        <v>0</v>
      </c>
      <c r="I1667" s="2">
        <v>0</v>
      </c>
      <c r="J1667" s="1">
        <v>45915.379074074073</v>
      </c>
    </row>
    <row r="1668" spans="1:10" x14ac:dyDescent="0.2">
      <c r="A1668" s="4" t="s">
        <v>1</v>
      </c>
      <c r="B1668" s="3" t="str">
        <f>HYPERLINK("https://otsuka-europe-crm.veevavault.com/ui/#object/approved_document__v/V5OZ025E82TFUPI", "Spain - HCP Survey Email - June 2025")</f>
        <v>Spain - HCP Survey Email - June 2025</v>
      </c>
      <c r="C1668" s="3" t="str">
        <f>HYPERLINK("https://otsuka-europe-crm.veevavault.com/ui/#object/sent_email__v/VBLZ025E82GMYWD", "SE-000268751")</f>
        <v>SE-000268751</v>
      </c>
      <c r="D1668" s="1" t="s">
        <v>0</v>
      </c>
      <c r="E1668" s="2">
        <v>0</v>
      </c>
      <c r="F1668" s="2">
        <v>0</v>
      </c>
      <c r="G1668" s="2">
        <v>0</v>
      </c>
      <c r="H1668" s="1" t="s">
        <v>0</v>
      </c>
      <c r="I1668" s="2">
        <v>0</v>
      </c>
      <c r="J1668" s="1">
        <v>45915.377847222226</v>
      </c>
    </row>
    <row r="1669" spans="1:10" x14ac:dyDescent="0.2">
      <c r="A1669" s="4" t="s">
        <v>1</v>
      </c>
      <c r="B1669" s="3" t="str">
        <f>HYPERLINK("https://otsuka-europe-crm.veevavault.com/ui/#object/approved_document__v/V5OZ025E82TFUPI", "Spain - HCP Survey Email - June 2025")</f>
        <v>Spain - HCP Survey Email - June 2025</v>
      </c>
      <c r="C1669" s="3" t="str">
        <f>HYPERLINK("https://otsuka-europe-crm.veevavault.com/ui/#object/sent_email__v/VBLZ025E82GMYWE", "SE-000268752")</f>
        <v>SE-000268752</v>
      </c>
      <c r="D1669" s="1">
        <v>45915.400659722225</v>
      </c>
      <c r="E1669" s="2">
        <v>1</v>
      </c>
      <c r="F1669" s="2">
        <v>1</v>
      </c>
      <c r="G1669" s="2">
        <v>1</v>
      </c>
      <c r="H1669" s="1">
        <v>45915.401238425926</v>
      </c>
      <c r="I1669" s="2">
        <v>2</v>
      </c>
      <c r="J1669" s="1">
        <v>45915.378240740742</v>
      </c>
    </row>
    <row r="1670" spans="1:10" x14ac:dyDescent="0.2">
      <c r="A1670" s="4" t="s">
        <v>1</v>
      </c>
      <c r="B1670" s="3" t="str">
        <f>HYPERLINK("https://otsuka-europe-crm.veevavault.com/ui/#object/approved_document__v/V5OZ025E82TFUPI", "Spain - HCP Survey Email - June 2025")</f>
        <v>Spain - HCP Survey Email - June 2025</v>
      </c>
      <c r="C1670" s="3" t="str">
        <f>HYPERLINK("https://otsuka-europe-crm.veevavault.com/ui/#object/sent_email__v/VBLZ025E82GMYWF", "SE-000268753")</f>
        <v>SE-000268753</v>
      </c>
      <c r="D1670" s="1" t="s">
        <v>0</v>
      </c>
      <c r="E1670" s="2">
        <v>0</v>
      </c>
      <c r="F1670" s="2">
        <v>0</v>
      </c>
      <c r="G1670" s="2">
        <v>0</v>
      </c>
      <c r="H1670" s="1" t="s">
        <v>0</v>
      </c>
      <c r="I1670" s="2">
        <v>0</v>
      </c>
      <c r="J1670" s="1">
        <v>45915.378136574072</v>
      </c>
    </row>
    <row r="1671" spans="1:10" x14ac:dyDescent="0.2">
      <c r="A1671" s="4" t="s">
        <v>1</v>
      </c>
      <c r="B1671" s="3" t="str">
        <f>HYPERLINK("https://otsuka-europe-crm.veevavault.com/ui/#object/approved_document__v/V5OZ025E82TFUPI", "Spain - HCP Survey Email - June 2025")</f>
        <v>Spain - HCP Survey Email - June 2025</v>
      </c>
      <c r="C1671" s="3" t="str">
        <f>HYPERLINK("https://otsuka-europe-crm.veevavault.com/ui/#object/sent_email__v/VBLZ025E82GMYWG", "SE-000268754")</f>
        <v>SE-000268754</v>
      </c>
      <c r="D1671" s="1" t="s">
        <v>0</v>
      </c>
      <c r="E1671" s="2">
        <v>0</v>
      </c>
      <c r="F1671" s="2">
        <v>0</v>
      </c>
      <c r="G1671" s="2">
        <v>0</v>
      </c>
      <c r="H1671" s="1" t="s">
        <v>0</v>
      </c>
      <c r="I1671" s="2">
        <v>0</v>
      </c>
      <c r="J1671" s="1">
        <v>45915.378703703704</v>
      </c>
    </row>
    <row r="1672" spans="1:10" x14ac:dyDescent="0.2">
      <c r="A1672" s="4" t="s">
        <v>1</v>
      </c>
      <c r="B1672" s="3" t="str">
        <f>HYPERLINK("https://otsuka-europe-crm.veevavault.com/ui/#object/approved_document__v/V5OZ025E82TFUPI", "Spain - HCP Survey Email - June 2025")</f>
        <v>Spain - HCP Survey Email - June 2025</v>
      </c>
      <c r="C1672" s="3" t="str">
        <f>HYPERLINK("https://otsuka-europe-crm.veevavault.com/ui/#object/sent_email__v/VBLZ025E82GMYWH", "SE-000268755")</f>
        <v>SE-000268755</v>
      </c>
      <c r="D1672" s="1">
        <v>45915.381631944445</v>
      </c>
      <c r="E1672" s="2">
        <v>1</v>
      </c>
      <c r="F1672" s="2">
        <v>2</v>
      </c>
      <c r="G1672" s="2">
        <v>1</v>
      </c>
      <c r="H1672" s="1">
        <v>45915.381782407407</v>
      </c>
      <c r="I1672" s="2">
        <v>1</v>
      </c>
      <c r="J1672" s="1">
        <v>45915.379872685182</v>
      </c>
    </row>
    <row r="1673" spans="1:10" x14ac:dyDescent="0.2">
      <c r="A1673" s="4" t="s">
        <v>1</v>
      </c>
      <c r="B1673" s="3" t="str">
        <f>HYPERLINK("https://otsuka-europe-crm.veevavault.com/ui/#object/approved_document__v/V5OZ025E82TFUPI", "Spain - HCP Survey Email - June 2025")</f>
        <v>Spain - HCP Survey Email - June 2025</v>
      </c>
      <c r="C1673" s="3" t="str">
        <f>HYPERLINK("https://otsuka-europe-crm.veevavault.com/ui/#object/sent_email__v/VBLZ025E82GMYWI", "SE-000268756")</f>
        <v>SE-000268756</v>
      </c>
      <c r="D1673" s="1" t="s">
        <v>0</v>
      </c>
      <c r="E1673" s="2">
        <v>0</v>
      </c>
      <c r="F1673" s="2">
        <v>0</v>
      </c>
      <c r="G1673" s="2">
        <v>0</v>
      </c>
      <c r="H1673" s="1" t="s">
        <v>0</v>
      </c>
      <c r="I1673" s="2">
        <v>0</v>
      </c>
      <c r="J1673" s="1">
        <v>45915.37773148148</v>
      </c>
    </row>
    <row r="1674" spans="1:10" x14ac:dyDescent="0.2">
      <c r="A1674" s="4" t="s">
        <v>1</v>
      </c>
      <c r="B1674" s="3" t="str">
        <f>HYPERLINK("https://otsuka-europe-crm.veevavault.com/ui/#object/approved_document__v/V5OZ025E82TFUPI", "Spain - HCP Survey Email - June 2025")</f>
        <v>Spain - HCP Survey Email - June 2025</v>
      </c>
      <c r="C1674" s="3" t="str">
        <f>HYPERLINK("https://otsuka-europe-crm.veevavault.com/ui/#object/sent_email__v/VBLZ025E82GMYWJ", "SE-000268757")</f>
        <v>SE-000268757</v>
      </c>
      <c r="D1674" s="1" t="s">
        <v>0</v>
      </c>
      <c r="E1674" s="2">
        <v>0</v>
      </c>
      <c r="F1674" s="2">
        <v>0</v>
      </c>
      <c r="G1674" s="2">
        <v>0</v>
      </c>
      <c r="H1674" s="1" t="s">
        <v>0</v>
      </c>
      <c r="I1674" s="2">
        <v>0</v>
      </c>
      <c r="J1674" s="1">
        <v>45915.377465277779</v>
      </c>
    </row>
    <row r="1675" spans="1:10" x14ac:dyDescent="0.2">
      <c r="A1675" s="4" t="s">
        <v>1</v>
      </c>
      <c r="B1675" s="3" t="str">
        <f>HYPERLINK("https://otsuka-europe-crm.veevavault.com/ui/#object/approved_document__v/V5OZ025E82TFUPI", "Spain - HCP Survey Email - June 2025")</f>
        <v>Spain - HCP Survey Email - June 2025</v>
      </c>
      <c r="C1675" s="3" t="str">
        <f>HYPERLINK("https://otsuka-europe-crm.veevavault.com/ui/#object/sent_email__v/VBLZ025E82GMYWL", "SE-000268759")</f>
        <v>SE-000268759</v>
      </c>
      <c r="D1675" s="1">
        <v>45938.178217592591</v>
      </c>
      <c r="E1675" s="2">
        <v>1</v>
      </c>
      <c r="F1675" s="2">
        <v>1</v>
      </c>
      <c r="G1675" s="2">
        <v>0</v>
      </c>
      <c r="H1675" s="1" t="s">
        <v>0</v>
      </c>
      <c r="I1675" s="2">
        <v>0</v>
      </c>
      <c r="J1675" s="1">
        <v>45915.378877314812</v>
      </c>
    </row>
    <row r="1676" spans="1:10" x14ac:dyDescent="0.2">
      <c r="A1676" s="4" t="s">
        <v>1</v>
      </c>
      <c r="B1676" s="3" t="str">
        <f>HYPERLINK("https://otsuka-europe-crm.veevavault.com/ui/#object/approved_document__v/V5OZ025E82TFUPI", "Spain - HCP Survey Email - June 2025")</f>
        <v>Spain - HCP Survey Email - June 2025</v>
      </c>
      <c r="C1676" s="3" t="str">
        <f>HYPERLINK("https://otsuka-europe-crm.veevavault.com/ui/#object/sent_email__v/VBLZ025E82GMYWO", "SE-000268762")</f>
        <v>SE-000268762</v>
      </c>
      <c r="D1676" s="1" t="s">
        <v>0</v>
      </c>
      <c r="E1676" s="2">
        <v>0</v>
      </c>
      <c r="F1676" s="2">
        <v>0</v>
      </c>
      <c r="G1676" s="2">
        <v>0</v>
      </c>
      <c r="H1676" s="1" t="s">
        <v>0</v>
      </c>
      <c r="I1676" s="2">
        <v>0</v>
      </c>
      <c r="J1676" s="1">
        <v>45915.377905092595</v>
      </c>
    </row>
    <row r="1677" spans="1:10" x14ac:dyDescent="0.2">
      <c r="A1677" s="4" t="s">
        <v>1</v>
      </c>
      <c r="B1677" s="3" t="str">
        <f>HYPERLINK("https://otsuka-europe-crm.veevavault.com/ui/#object/approved_document__v/V5OZ025E82TFUPI", "Spain - HCP Survey Email - June 2025")</f>
        <v>Spain - HCP Survey Email - June 2025</v>
      </c>
      <c r="C1677" s="3" t="str">
        <f>HYPERLINK("https://otsuka-europe-crm.veevavault.com/ui/#object/sent_email__v/VBLZ025E82GMYWP", "SE-000268763")</f>
        <v>SE-000268763</v>
      </c>
      <c r="D1677" s="1">
        <v>45915.3830787037</v>
      </c>
      <c r="E1677" s="2">
        <v>1</v>
      </c>
      <c r="F1677" s="2">
        <v>1</v>
      </c>
      <c r="G1677" s="2">
        <v>0</v>
      </c>
      <c r="H1677" s="1" t="s">
        <v>0</v>
      </c>
      <c r="I1677" s="2">
        <v>0</v>
      </c>
      <c r="J1677" s="1">
        <v>45915.378298611111</v>
      </c>
    </row>
    <row r="1678" spans="1:10" x14ac:dyDescent="0.2">
      <c r="A1678" s="4" t="s">
        <v>1</v>
      </c>
      <c r="B1678" s="3" t="str">
        <f>HYPERLINK("https://otsuka-europe-crm.veevavault.com/ui/#object/approved_document__v/V5OZ025E82TFUPI", "Spain - HCP Survey Email - June 2025")</f>
        <v>Spain - HCP Survey Email - June 2025</v>
      </c>
      <c r="C1678" s="3" t="str">
        <f>HYPERLINK("https://otsuka-europe-crm.veevavault.com/ui/#object/sent_email__v/VBLZ025E82GMYWQ", "SE-000268764")</f>
        <v>SE-000268764</v>
      </c>
      <c r="D1678" s="1" t="s">
        <v>0</v>
      </c>
      <c r="E1678" s="2">
        <v>0</v>
      </c>
      <c r="F1678" s="2">
        <v>0</v>
      </c>
      <c r="G1678" s="2">
        <v>0</v>
      </c>
      <c r="H1678" s="1" t="s">
        <v>0</v>
      </c>
      <c r="I1678" s="2">
        <v>0</v>
      </c>
      <c r="J1678" s="1">
        <v>45915.378101851849</v>
      </c>
    </row>
    <row r="1679" spans="1:10" x14ac:dyDescent="0.2">
      <c r="A1679" s="4" t="s">
        <v>1</v>
      </c>
      <c r="B1679" s="3" t="str">
        <f>HYPERLINK("https://otsuka-europe-crm.veevavault.com/ui/#object/approved_document__v/V5OZ025E82TFUPI", "Spain - HCP Survey Email - June 2025")</f>
        <v>Spain - HCP Survey Email - June 2025</v>
      </c>
      <c r="C1679" s="3" t="str">
        <f>HYPERLINK("https://otsuka-europe-crm.veevavault.com/ui/#object/sent_email__v/VBLZ025E82GMYWR", "SE-000268765")</f>
        <v>SE-000268765</v>
      </c>
      <c r="D1679" s="1">
        <v>45922.901956018519</v>
      </c>
      <c r="E1679" s="2">
        <v>1</v>
      </c>
      <c r="F1679" s="2">
        <v>3</v>
      </c>
      <c r="G1679" s="2">
        <v>0</v>
      </c>
      <c r="H1679" s="1" t="s">
        <v>0</v>
      </c>
      <c r="I1679" s="2">
        <v>0</v>
      </c>
      <c r="J1679" s="1">
        <v>45915.378634259258</v>
      </c>
    </row>
    <row r="1680" spans="1:10" x14ac:dyDescent="0.2">
      <c r="A1680" s="4" t="s">
        <v>1</v>
      </c>
      <c r="B1680" s="3" t="str">
        <f>HYPERLINK("https://otsuka-europe-crm.veevavault.com/ui/#object/approved_document__v/V5OZ025E82TFUPI", "Spain - HCP Survey Email - June 2025")</f>
        <v>Spain - HCP Survey Email - June 2025</v>
      </c>
      <c r="C1680" s="3" t="str">
        <f>HYPERLINK("https://otsuka-europe-crm.veevavault.com/ui/#object/sent_email__v/VBLZ025E82GMYWS", "SE-000268766")</f>
        <v>SE-000268766</v>
      </c>
      <c r="D1680" s="1">
        <v>45917.921053240738</v>
      </c>
      <c r="E1680" s="2">
        <v>1</v>
      </c>
      <c r="F1680" s="2">
        <v>1</v>
      </c>
      <c r="G1680" s="2">
        <v>0</v>
      </c>
      <c r="H1680" s="1" t="s">
        <v>0</v>
      </c>
      <c r="I1680" s="2">
        <v>0</v>
      </c>
      <c r="J1680" s="1">
        <v>45915.380011574074</v>
      </c>
    </row>
    <row r="1681" spans="1:10" x14ac:dyDescent="0.2">
      <c r="A1681" s="4" t="s">
        <v>1</v>
      </c>
      <c r="B1681" s="3" t="str">
        <f>HYPERLINK("https://otsuka-europe-crm.veevavault.com/ui/#object/approved_document__v/V5OZ025E82TFUPI", "Spain - HCP Survey Email - June 2025")</f>
        <v>Spain - HCP Survey Email - June 2025</v>
      </c>
      <c r="C1681" s="3" t="str">
        <f>HYPERLINK("https://otsuka-europe-crm.veevavault.com/ui/#object/sent_email__v/VBLZ025E82GMYWT", "SE-000268767")</f>
        <v>SE-000268767</v>
      </c>
      <c r="D1681" s="1" t="s">
        <v>0</v>
      </c>
      <c r="E1681" s="2">
        <v>0</v>
      </c>
      <c r="F1681" s="2">
        <v>0</v>
      </c>
      <c r="G1681" s="2">
        <v>0</v>
      </c>
      <c r="H1681" s="1" t="s">
        <v>0</v>
      </c>
      <c r="I1681" s="2">
        <v>0</v>
      </c>
      <c r="J1681" s="1">
        <v>45915.37771990741</v>
      </c>
    </row>
    <row r="1682" spans="1:10" x14ac:dyDescent="0.2">
      <c r="A1682" s="4" t="s">
        <v>1</v>
      </c>
      <c r="B1682" s="3" t="str">
        <f>HYPERLINK("https://otsuka-europe-crm.veevavault.com/ui/#object/approved_document__v/V5OZ025E82TFUPI", "Spain - HCP Survey Email - June 2025")</f>
        <v>Spain - HCP Survey Email - June 2025</v>
      </c>
      <c r="C1682" s="3" t="str">
        <f>HYPERLINK("https://otsuka-europe-crm.veevavault.com/ui/#object/sent_email__v/VBLZ025E82GMYWU", "SE-000268768")</f>
        <v>SE-000268768</v>
      </c>
      <c r="D1682" s="1" t="s">
        <v>0</v>
      </c>
      <c r="E1682" s="2">
        <v>0</v>
      </c>
      <c r="F1682" s="2">
        <v>0</v>
      </c>
      <c r="G1682" s="2">
        <v>0</v>
      </c>
      <c r="H1682" s="1" t="s">
        <v>0</v>
      </c>
      <c r="I1682" s="2">
        <v>0</v>
      </c>
      <c r="J1682" s="1">
        <v>45915.377465277779</v>
      </c>
    </row>
    <row r="1683" spans="1:10" x14ac:dyDescent="0.2">
      <c r="A1683" s="4" t="s">
        <v>1</v>
      </c>
      <c r="B1683" s="3" t="str">
        <f>HYPERLINK("https://otsuka-europe-crm.veevavault.com/ui/#object/approved_document__v/V5OZ025E82TFUPI", "Spain - HCP Survey Email - June 2025")</f>
        <v>Spain - HCP Survey Email - June 2025</v>
      </c>
      <c r="C1683" s="3" t="str">
        <f>HYPERLINK("https://otsuka-europe-crm.veevavault.com/ui/#object/sent_email__v/VBLZ025E82GMYWV", "SE-000268769")</f>
        <v>SE-000268769</v>
      </c>
      <c r="D1683" s="1" t="s">
        <v>0</v>
      </c>
      <c r="E1683" s="2">
        <v>0</v>
      </c>
      <c r="F1683" s="2">
        <v>0</v>
      </c>
      <c r="G1683" s="2">
        <v>0</v>
      </c>
      <c r="H1683" s="1" t="s">
        <v>0</v>
      </c>
      <c r="I1683" s="2">
        <v>0</v>
      </c>
      <c r="J1683" s="1">
        <v>45915.378506944442</v>
      </c>
    </row>
    <row r="1684" spans="1:10" x14ac:dyDescent="0.2">
      <c r="A1684" s="4" t="s">
        <v>1</v>
      </c>
      <c r="B1684" s="3" t="str">
        <f>HYPERLINK("https://otsuka-europe-crm.veevavault.com/ui/#object/approved_document__v/V5OZ025E82TFUPI", "Spain - HCP Survey Email - June 2025")</f>
        <v>Spain - HCP Survey Email - June 2025</v>
      </c>
      <c r="C1684" s="3" t="str">
        <f>HYPERLINK("https://otsuka-europe-crm.veevavault.com/ui/#object/sent_email__v/VBLZ025E82GMYWW", "SE-000268770")</f>
        <v>SE-000268770</v>
      </c>
      <c r="D1684" s="1">
        <v>45916.338692129626</v>
      </c>
      <c r="E1684" s="2">
        <v>1</v>
      </c>
      <c r="F1684" s="2">
        <v>1</v>
      </c>
      <c r="G1684" s="2">
        <v>0</v>
      </c>
      <c r="H1684" s="1" t="s">
        <v>0</v>
      </c>
      <c r="I1684" s="2">
        <v>0</v>
      </c>
      <c r="J1684" s="1">
        <v>45915.378819444442</v>
      </c>
    </row>
    <row r="1685" spans="1:10" x14ac:dyDescent="0.2">
      <c r="A1685" s="4" t="s">
        <v>1</v>
      </c>
      <c r="B1685" s="3" t="str">
        <f>HYPERLINK("https://otsuka-europe-crm.veevavault.com/ui/#object/approved_document__v/V5OZ025E82TFUPI", "Spain - HCP Survey Email - June 2025")</f>
        <v>Spain - HCP Survey Email - June 2025</v>
      </c>
      <c r="C1685" s="3" t="str">
        <f>HYPERLINK("https://otsuka-europe-crm.veevavault.com/ui/#object/sent_email__v/VBLZ025E82GMYWX", "SE-000268771")</f>
        <v>SE-000268771</v>
      </c>
      <c r="D1685" s="1">
        <v>45920.871180555558</v>
      </c>
      <c r="E1685" s="2">
        <v>1</v>
      </c>
      <c r="F1685" s="2">
        <v>3</v>
      </c>
      <c r="G1685" s="2">
        <v>0</v>
      </c>
      <c r="H1685" s="1" t="s">
        <v>0</v>
      </c>
      <c r="I1685" s="2">
        <v>0</v>
      </c>
      <c r="J1685" s="1">
        <v>45915.378703703704</v>
      </c>
    </row>
    <row r="1686" spans="1:10" x14ac:dyDescent="0.2">
      <c r="A1686" s="4" t="s">
        <v>1</v>
      </c>
      <c r="B1686" s="3" t="str">
        <f>HYPERLINK("https://otsuka-europe-crm.veevavault.com/ui/#object/approved_document__v/V5OZ025E82TFUPI", "Spain - HCP Survey Email - June 2025")</f>
        <v>Spain - HCP Survey Email - June 2025</v>
      </c>
      <c r="C1686" s="3" t="str">
        <f>HYPERLINK("https://otsuka-europe-crm.veevavault.com/ui/#object/sent_email__v/VBLZ025E82GMYWY", "SE-000268772")</f>
        <v>SE-000268772</v>
      </c>
      <c r="D1686" s="1" t="s">
        <v>0</v>
      </c>
      <c r="E1686" s="2">
        <v>0</v>
      </c>
      <c r="F1686" s="2">
        <v>0</v>
      </c>
      <c r="G1686" s="2">
        <v>0</v>
      </c>
      <c r="H1686" s="1" t="s">
        <v>0</v>
      </c>
      <c r="I1686" s="2">
        <v>0</v>
      </c>
      <c r="J1686" s="1">
        <v>45915.379120370373</v>
      </c>
    </row>
    <row r="1687" spans="1:10" x14ac:dyDescent="0.2">
      <c r="A1687" s="4" t="s">
        <v>1</v>
      </c>
      <c r="B1687" s="3" t="str">
        <f>HYPERLINK("https://otsuka-europe-crm.veevavault.com/ui/#object/approved_document__v/V5OZ025E82TFUPI", "Spain - HCP Survey Email - June 2025")</f>
        <v>Spain - HCP Survey Email - June 2025</v>
      </c>
      <c r="C1687" s="3" t="str">
        <f>HYPERLINK("https://otsuka-europe-crm.veevavault.com/ui/#object/sent_email__v/VBLZ025E82GMYWZ", "SE-000268773")</f>
        <v>SE-000268773</v>
      </c>
      <c r="D1687" s="1">
        <v>45915.391701388886</v>
      </c>
      <c r="E1687" s="2">
        <v>1</v>
      </c>
      <c r="F1687" s="2">
        <v>1</v>
      </c>
      <c r="G1687" s="2">
        <v>0</v>
      </c>
      <c r="H1687" s="1" t="s">
        <v>0</v>
      </c>
      <c r="I1687" s="2">
        <v>0</v>
      </c>
      <c r="J1687" s="1">
        <v>45915.377754629626</v>
      </c>
    </row>
    <row r="1688" spans="1:10" x14ac:dyDescent="0.2">
      <c r="A1688" s="4" t="s">
        <v>1</v>
      </c>
      <c r="B1688" s="3" t="str">
        <f>HYPERLINK("https://otsuka-europe-crm.veevavault.com/ui/#object/approved_document__v/V5OZ025E82TFUPI", "Spain - HCP Survey Email - June 2025")</f>
        <v>Spain - HCP Survey Email - June 2025</v>
      </c>
      <c r="C1688" s="3" t="str">
        <f>HYPERLINK("https://otsuka-europe-crm.veevavault.com/ui/#object/sent_email__v/VBLZ025E82GMYX0", "SE-000268774")</f>
        <v>SE-000268774</v>
      </c>
      <c r="D1688" s="1">
        <v>45915.390428240738</v>
      </c>
      <c r="E1688" s="2">
        <v>1</v>
      </c>
      <c r="F1688" s="2">
        <v>1</v>
      </c>
      <c r="G1688" s="2">
        <v>1</v>
      </c>
      <c r="H1688" s="1">
        <v>45915.390775462962</v>
      </c>
      <c r="I1688" s="2">
        <v>1</v>
      </c>
      <c r="J1688" s="1">
        <v>45915.378344907411</v>
      </c>
    </row>
    <row r="1689" spans="1:10" x14ac:dyDescent="0.2">
      <c r="A1689" s="4" t="s">
        <v>1</v>
      </c>
      <c r="B1689" s="3" t="str">
        <f>HYPERLINK("https://otsuka-europe-crm.veevavault.com/ui/#object/approved_document__v/V5OZ025E82TFUPI", "Spain - HCP Survey Email - June 2025")</f>
        <v>Spain - HCP Survey Email - June 2025</v>
      </c>
      <c r="C1689" s="3" t="str">
        <f>HYPERLINK("https://otsuka-europe-crm.veevavault.com/ui/#object/sent_email__v/VBLZ025E82GMYX1", "SE-000268775")</f>
        <v>SE-000268775</v>
      </c>
      <c r="D1689" s="1">
        <v>45927.495162037034</v>
      </c>
      <c r="E1689" s="2">
        <v>1</v>
      </c>
      <c r="F1689" s="2">
        <v>1</v>
      </c>
      <c r="G1689" s="2">
        <v>0</v>
      </c>
      <c r="H1689" s="1" t="s">
        <v>0</v>
      </c>
      <c r="I1689" s="2">
        <v>0</v>
      </c>
      <c r="J1689" s="1">
        <v>45915.378113425926</v>
      </c>
    </row>
    <row r="1690" spans="1:10" x14ac:dyDescent="0.2">
      <c r="A1690" s="4" t="s">
        <v>1</v>
      </c>
      <c r="B1690" s="3" t="str">
        <f>HYPERLINK("https://otsuka-europe-crm.veevavault.com/ui/#object/approved_document__v/V5OZ025E82TFUPI", "Spain - HCP Survey Email - June 2025")</f>
        <v>Spain - HCP Survey Email - June 2025</v>
      </c>
      <c r="C1690" s="3" t="str">
        <f>HYPERLINK("https://otsuka-europe-crm.veevavault.com/ui/#object/sent_email__v/VBLZ025E82GMYX2", "SE-000268776")</f>
        <v>SE-000268776</v>
      </c>
      <c r="D1690" s="1" t="s">
        <v>0</v>
      </c>
      <c r="E1690" s="2">
        <v>0</v>
      </c>
      <c r="F1690" s="2">
        <v>0</v>
      </c>
      <c r="G1690" s="2">
        <v>0</v>
      </c>
      <c r="H1690" s="1" t="s">
        <v>0</v>
      </c>
      <c r="I1690" s="2">
        <v>0</v>
      </c>
      <c r="J1690" s="1">
        <v>45915.37908564815</v>
      </c>
    </row>
    <row r="1691" spans="1:10" x14ac:dyDescent="0.2">
      <c r="A1691" s="4" t="s">
        <v>1</v>
      </c>
      <c r="B1691" s="3" t="str">
        <f>HYPERLINK("https://otsuka-europe-crm.veevavault.com/ui/#object/approved_document__v/V5OZ025E82TFUPI", "Spain - HCP Survey Email - June 2025")</f>
        <v>Spain - HCP Survey Email - June 2025</v>
      </c>
      <c r="C1691" s="3" t="str">
        <f>HYPERLINK("https://otsuka-europe-crm.veevavault.com/ui/#object/sent_email__v/VBLZ025E82GMYX3", "SE-000268777")</f>
        <v>SE-000268777</v>
      </c>
      <c r="D1691" s="1" t="s">
        <v>0</v>
      </c>
      <c r="E1691" s="2">
        <v>0</v>
      </c>
      <c r="F1691" s="2">
        <v>0</v>
      </c>
      <c r="G1691" s="2">
        <v>0</v>
      </c>
      <c r="H1691" s="1" t="s">
        <v>0</v>
      </c>
      <c r="I1691" s="2">
        <v>0</v>
      </c>
      <c r="J1691" s="1">
        <v>45915.377870370372</v>
      </c>
    </row>
    <row r="1692" spans="1:10" x14ac:dyDescent="0.2">
      <c r="A1692" s="4" t="s">
        <v>1</v>
      </c>
      <c r="B1692" s="3" t="str">
        <f>HYPERLINK("https://otsuka-europe-crm.veevavault.com/ui/#object/approved_document__v/V5OZ025E82TFUPI", "Spain - HCP Survey Email - June 2025")</f>
        <v>Spain - HCP Survey Email - June 2025</v>
      </c>
      <c r="C1692" s="3" t="str">
        <f>HYPERLINK("https://otsuka-europe-crm.veevavault.com/ui/#object/sent_email__v/VBLZ025E82GMYX4", "SE-000268778")</f>
        <v>SE-000268778</v>
      </c>
      <c r="D1692" s="1" t="s">
        <v>0</v>
      </c>
      <c r="E1692" s="2">
        <v>0</v>
      </c>
      <c r="F1692" s="2">
        <v>0</v>
      </c>
      <c r="G1692" s="2">
        <v>0</v>
      </c>
      <c r="H1692" s="1" t="s">
        <v>0</v>
      </c>
      <c r="I1692" s="2">
        <v>0</v>
      </c>
      <c r="J1692" s="1">
        <v>45915.378275462965</v>
      </c>
    </row>
    <row r="1693" spans="1:10" x14ac:dyDescent="0.2">
      <c r="A1693" s="4" t="s">
        <v>1</v>
      </c>
      <c r="B1693" s="3" t="str">
        <f>HYPERLINK("https://otsuka-europe-crm.veevavault.com/ui/#object/approved_document__v/V5OZ025E82TFUPI", "Spain - HCP Survey Email - June 2025")</f>
        <v>Spain - HCP Survey Email - June 2025</v>
      </c>
      <c r="C1693" s="3" t="str">
        <f>HYPERLINK("https://otsuka-europe-crm.veevavault.com/ui/#object/sent_email__v/VBLZ025E82GMYX5", "SE-000268779")</f>
        <v>SE-000268779</v>
      </c>
      <c r="D1693" s="1">
        <v>45916.720057870371</v>
      </c>
      <c r="E1693" s="2">
        <v>1</v>
      </c>
      <c r="F1693" s="2">
        <v>1</v>
      </c>
      <c r="G1693" s="2">
        <v>0</v>
      </c>
      <c r="H1693" s="1" t="s">
        <v>0</v>
      </c>
      <c r="I1693" s="2">
        <v>0</v>
      </c>
      <c r="J1693" s="1">
        <v>45915.378263888888</v>
      </c>
    </row>
    <row r="1694" spans="1:10" x14ac:dyDescent="0.2">
      <c r="A1694" s="4" t="s">
        <v>1</v>
      </c>
      <c r="B1694" s="3" t="str">
        <f>HYPERLINK("https://otsuka-europe-crm.veevavault.com/ui/#object/approved_document__v/V5OZ025E82TFUPI", "Spain - HCP Survey Email - June 2025")</f>
        <v>Spain - HCP Survey Email - June 2025</v>
      </c>
      <c r="C1694" s="3" t="str">
        <f>HYPERLINK("https://otsuka-europe-crm.veevavault.com/ui/#object/sent_email__v/VBLZ025E82GMYX6", "SE-000268780")</f>
        <v>SE-000268780</v>
      </c>
      <c r="D1694" s="1" t="s">
        <v>0</v>
      </c>
      <c r="E1694" s="2">
        <v>0</v>
      </c>
      <c r="F1694" s="2">
        <v>0</v>
      </c>
      <c r="G1694" s="2">
        <v>0</v>
      </c>
      <c r="H1694" s="1" t="s">
        <v>0</v>
      </c>
      <c r="I1694" s="2">
        <v>0</v>
      </c>
      <c r="J1694" s="1">
        <v>45915.378541666665</v>
      </c>
    </row>
    <row r="1695" spans="1:10" x14ac:dyDescent="0.2">
      <c r="A1695" s="4" t="s">
        <v>1</v>
      </c>
      <c r="B1695" s="3" t="str">
        <f>HYPERLINK("https://otsuka-europe-crm.veevavault.com/ui/#object/approved_document__v/V5OZ025E82TFUPI", "Spain - HCP Survey Email - June 2025")</f>
        <v>Spain - HCP Survey Email - June 2025</v>
      </c>
      <c r="C1695" s="3" t="str">
        <f>HYPERLINK("https://otsuka-europe-crm.veevavault.com/ui/#object/sent_email__v/VBLZ025E82GMYX7", "SE-000268781")</f>
        <v>SE-000268781</v>
      </c>
      <c r="D1695" s="1" t="s">
        <v>0</v>
      </c>
      <c r="E1695" s="2">
        <v>0</v>
      </c>
      <c r="F1695" s="2">
        <v>0</v>
      </c>
      <c r="G1695" s="2">
        <v>0</v>
      </c>
      <c r="H1695" s="1" t="s">
        <v>0</v>
      </c>
      <c r="I1695" s="2">
        <v>0</v>
      </c>
      <c r="J1695" s="1">
        <v>45915.379930555559</v>
      </c>
    </row>
    <row r="1696" spans="1:10" x14ac:dyDescent="0.2">
      <c r="A1696" s="4" t="s">
        <v>1</v>
      </c>
      <c r="B1696" s="3" t="str">
        <f>HYPERLINK("https://otsuka-europe-crm.veevavault.com/ui/#object/approved_document__v/V5OZ025E82TFUPI", "Spain - HCP Survey Email - June 2025")</f>
        <v>Spain - HCP Survey Email - June 2025</v>
      </c>
      <c r="C1696" s="3" t="str">
        <f>HYPERLINK("https://otsuka-europe-crm.veevavault.com/ui/#object/sent_email__v/VBLZ025E82GMYX8", "SE-000268782")</f>
        <v>SE-000268782</v>
      </c>
      <c r="D1696" s="1" t="s">
        <v>0</v>
      </c>
      <c r="E1696" s="2">
        <v>0</v>
      </c>
      <c r="F1696" s="2">
        <v>0</v>
      </c>
      <c r="G1696" s="2">
        <v>0</v>
      </c>
      <c r="H1696" s="1" t="s">
        <v>0</v>
      </c>
      <c r="I1696" s="2">
        <v>0</v>
      </c>
      <c r="J1696" s="1">
        <v>45915.37767361111</v>
      </c>
    </row>
    <row r="1697" spans="1:10" x14ac:dyDescent="0.2">
      <c r="A1697" s="4" t="s">
        <v>1</v>
      </c>
      <c r="B1697" s="3" t="str">
        <f>HYPERLINK("https://otsuka-europe-crm.veevavault.com/ui/#object/approved_document__v/V5OZ025E82TFUPI", "Spain - HCP Survey Email - June 2025")</f>
        <v>Spain - HCP Survey Email - June 2025</v>
      </c>
      <c r="C1697" s="3" t="str">
        <f>HYPERLINK("https://otsuka-europe-crm.veevavault.com/ui/#object/sent_email__v/VBLZ025E82GMYX9", "SE-000268783")</f>
        <v>SE-000268783</v>
      </c>
      <c r="D1697" s="1">
        <v>45915.382048611114</v>
      </c>
      <c r="E1697" s="2">
        <v>1</v>
      </c>
      <c r="F1697" s="2">
        <v>1</v>
      </c>
      <c r="G1697" s="2">
        <v>0</v>
      </c>
      <c r="H1697" s="1" t="s">
        <v>0</v>
      </c>
      <c r="I1697" s="2">
        <v>0</v>
      </c>
      <c r="J1697" s="1">
        <v>45915.377465277779</v>
      </c>
    </row>
    <row r="1698" spans="1:10" x14ac:dyDescent="0.2">
      <c r="A1698" s="4" t="s">
        <v>1</v>
      </c>
      <c r="B1698" s="3" t="str">
        <f>HYPERLINK("https://otsuka-europe-crm.veevavault.com/ui/#object/approved_document__v/V5OZ025E82TFUPI", "Spain - HCP Survey Email - June 2025")</f>
        <v>Spain - HCP Survey Email - June 2025</v>
      </c>
      <c r="C1698" s="3" t="str">
        <f>HYPERLINK("https://otsuka-europe-crm.veevavault.com/ui/#object/sent_email__v/VBLZ025E82GMYXA", "SE-000268784")</f>
        <v>SE-000268784</v>
      </c>
      <c r="D1698" s="1">
        <v>45915.959444444445</v>
      </c>
      <c r="E1698" s="2">
        <v>1</v>
      </c>
      <c r="F1698" s="2">
        <v>1</v>
      </c>
      <c r="G1698" s="2">
        <v>0</v>
      </c>
      <c r="H1698" s="1" t="s">
        <v>0</v>
      </c>
      <c r="I1698" s="2">
        <v>0</v>
      </c>
      <c r="J1698" s="1">
        <v>45915.378379629627</v>
      </c>
    </row>
    <row r="1699" spans="1:10" x14ac:dyDescent="0.2">
      <c r="A1699" s="4" t="s">
        <v>1</v>
      </c>
      <c r="B1699" s="3" t="str">
        <f>HYPERLINK("https://otsuka-europe-crm.veevavault.com/ui/#object/approved_document__v/V5OZ025E82TFUPI", "Spain - HCP Survey Email - June 2025")</f>
        <v>Spain - HCP Survey Email - June 2025</v>
      </c>
      <c r="C1699" s="3" t="str">
        <f>HYPERLINK("https://otsuka-europe-crm.veevavault.com/ui/#object/sent_email__v/VBLZ025E82GMYXB", "SE-000268785")</f>
        <v>SE-000268785</v>
      </c>
      <c r="D1699" s="1" t="s">
        <v>0</v>
      </c>
      <c r="E1699" s="2">
        <v>0</v>
      </c>
      <c r="F1699" s="2">
        <v>0</v>
      </c>
      <c r="G1699" s="2">
        <v>0</v>
      </c>
      <c r="H1699" s="1" t="s">
        <v>0</v>
      </c>
      <c r="I1699" s="2">
        <v>0</v>
      </c>
      <c r="J1699" s="1">
        <v>45915.37877314815</v>
      </c>
    </row>
    <row r="1700" spans="1:10" x14ac:dyDescent="0.2">
      <c r="A1700" s="4" t="s">
        <v>1</v>
      </c>
      <c r="B1700" s="3" t="str">
        <f>HYPERLINK("https://otsuka-europe-crm.veevavault.com/ui/#object/approved_document__v/V5OZ025E82TFUPI", "Spain - HCP Survey Email - June 2025")</f>
        <v>Spain - HCP Survey Email - June 2025</v>
      </c>
      <c r="C1700" s="3" t="str">
        <f>HYPERLINK("https://otsuka-europe-crm.veevavault.com/ui/#object/sent_email__v/VBLZ025E82GMYXC", "SE-000268786")</f>
        <v>SE-000268786</v>
      </c>
      <c r="D1700" s="1">
        <v>45915.589606481481</v>
      </c>
      <c r="E1700" s="2">
        <v>1</v>
      </c>
      <c r="F1700" s="2">
        <v>1</v>
      </c>
      <c r="G1700" s="2">
        <v>0</v>
      </c>
      <c r="H1700" s="1" t="s">
        <v>0</v>
      </c>
      <c r="I1700" s="2">
        <v>0</v>
      </c>
      <c r="J1700" s="1">
        <v>45915.37872685185</v>
      </c>
    </row>
    <row r="1701" spans="1:10" x14ac:dyDescent="0.2">
      <c r="A1701" s="4" t="s">
        <v>1</v>
      </c>
      <c r="B1701" s="3" t="str">
        <f>HYPERLINK("https://otsuka-europe-crm.veevavault.com/ui/#object/approved_document__v/V5OZ025E82TFUPI", "Spain - HCP Survey Email - June 2025")</f>
        <v>Spain - HCP Survey Email - June 2025</v>
      </c>
      <c r="C1701" s="3" t="str">
        <f>HYPERLINK("https://otsuka-europe-crm.veevavault.com/ui/#object/sent_email__v/VBLZ025E82GMYXD", "SE-000268787")</f>
        <v>SE-000268787</v>
      </c>
      <c r="D1701" s="1" t="s">
        <v>0</v>
      </c>
      <c r="E1701" s="2">
        <v>0</v>
      </c>
      <c r="F1701" s="2">
        <v>0</v>
      </c>
      <c r="G1701" s="2">
        <v>0</v>
      </c>
      <c r="H1701" s="1" t="s">
        <v>0</v>
      </c>
      <c r="I1701" s="2">
        <v>0</v>
      </c>
      <c r="J1701" s="1">
        <v>45915.379166666666</v>
      </c>
    </row>
    <row r="1702" spans="1:10" x14ac:dyDescent="0.2">
      <c r="A1702" s="4" t="s">
        <v>1</v>
      </c>
      <c r="B1702" s="3" t="str">
        <f>HYPERLINK("https://otsuka-europe-crm.veevavault.com/ui/#object/approved_document__v/V5OZ025E82TFUPI", "Spain - HCP Survey Email - June 2025")</f>
        <v>Spain - HCP Survey Email - June 2025</v>
      </c>
      <c r="C1702" s="3" t="str">
        <f>HYPERLINK("https://otsuka-europe-crm.veevavault.com/ui/#object/sent_email__v/VBLZ025E82GMYXE", "SE-000268788")</f>
        <v>SE-000268788</v>
      </c>
      <c r="D1702" s="1" t="s">
        <v>0</v>
      </c>
      <c r="E1702" s="2">
        <v>0</v>
      </c>
      <c r="F1702" s="2">
        <v>0</v>
      </c>
      <c r="G1702" s="2">
        <v>0</v>
      </c>
      <c r="H1702" s="1" t="s">
        <v>0</v>
      </c>
      <c r="I1702" s="2">
        <v>0</v>
      </c>
      <c r="J1702" s="1">
        <v>45915.377893518518</v>
      </c>
    </row>
    <row r="1703" spans="1:10" x14ac:dyDescent="0.2">
      <c r="A1703" s="4" t="s">
        <v>1</v>
      </c>
      <c r="B1703" s="3" t="str">
        <f>HYPERLINK("https://otsuka-europe-crm.veevavault.com/ui/#object/approved_document__v/V5OZ025E82TFUPI", "Spain - HCP Survey Email - June 2025")</f>
        <v>Spain - HCP Survey Email - June 2025</v>
      </c>
      <c r="C1703" s="3" t="str">
        <f>HYPERLINK("https://otsuka-europe-crm.veevavault.com/ui/#object/sent_email__v/VBLZ025E82GMYXF", "SE-000268789")</f>
        <v>SE-000268789</v>
      </c>
      <c r="D1703" s="1">
        <v>45915.59915509259</v>
      </c>
      <c r="E1703" s="2">
        <v>1</v>
      </c>
      <c r="F1703" s="2">
        <v>3</v>
      </c>
      <c r="G1703" s="2">
        <v>1</v>
      </c>
      <c r="H1703" s="1">
        <v>45915.390138888892</v>
      </c>
      <c r="I1703" s="2">
        <v>2</v>
      </c>
      <c r="J1703" s="1">
        <v>45915.378263888888</v>
      </c>
    </row>
    <row r="1704" spans="1:10" x14ac:dyDescent="0.2">
      <c r="A1704" s="4" t="s">
        <v>1</v>
      </c>
      <c r="B1704" s="3" t="str">
        <f>HYPERLINK("https://otsuka-europe-crm.veevavault.com/ui/#object/approved_document__v/V5OZ025E82TFUPI", "Spain - HCP Survey Email - June 2025")</f>
        <v>Spain - HCP Survey Email - June 2025</v>
      </c>
      <c r="C1704" s="3" t="str">
        <f>HYPERLINK("https://otsuka-europe-crm.veevavault.com/ui/#object/sent_email__v/VBLZ025E82GMYXG", "SE-000268790")</f>
        <v>SE-000268790</v>
      </c>
      <c r="D1704" s="1" t="s">
        <v>0</v>
      </c>
      <c r="E1704" s="2">
        <v>0</v>
      </c>
      <c r="F1704" s="2">
        <v>0</v>
      </c>
      <c r="G1704" s="2">
        <v>0</v>
      </c>
      <c r="H1704" s="1" t="s">
        <v>0</v>
      </c>
      <c r="I1704" s="2">
        <v>0</v>
      </c>
      <c r="J1704" s="1">
        <v>45915.378125000003</v>
      </c>
    </row>
    <row r="1705" spans="1:10" x14ac:dyDescent="0.2">
      <c r="A1705" s="4" t="s">
        <v>1</v>
      </c>
      <c r="B1705" s="3" t="str">
        <f>HYPERLINK("https://otsuka-europe-crm.veevavault.com/ui/#object/approved_document__v/V5OZ025E82TFUPI", "Spain - HCP Survey Email - June 2025")</f>
        <v>Spain - HCP Survey Email - June 2025</v>
      </c>
      <c r="C1705" s="3" t="str">
        <f>HYPERLINK("https://otsuka-europe-crm.veevavault.com/ui/#object/sent_email__v/VBLZ025E82GMYXH", "SE-000268791")</f>
        <v>SE-000268791</v>
      </c>
      <c r="D1705" s="1">
        <v>45915.397430555553</v>
      </c>
      <c r="E1705" s="2">
        <v>1</v>
      </c>
      <c r="F1705" s="2">
        <v>1</v>
      </c>
      <c r="G1705" s="2">
        <v>1</v>
      </c>
      <c r="H1705" s="1">
        <v>45915.699293981481</v>
      </c>
      <c r="I1705" s="2">
        <v>1</v>
      </c>
      <c r="J1705" s="1">
        <v>45915.378611111111</v>
      </c>
    </row>
    <row r="1706" spans="1:10" x14ac:dyDescent="0.2">
      <c r="A1706" s="4" t="s">
        <v>1</v>
      </c>
      <c r="B1706" s="3" t="str">
        <f>HYPERLINK("https://otsuka-europe-crm.veevavault.com/ui/#object/approved_document__v/V5OZ025E82TFUPI", "Spain - HCP Survey Email - June 2025")</f>
        <v>Spain - HCP Survey Email - June 2025</v>
      </c>
      <c r="C1706" s="3" t="str">
        <f>HYPERLINK("https://otsuka-europe-crm.veevavault.com/ui/#object/sent_email__v/VBLZ025E82GMYXI", "SE-000268792")</f>
        <v>SE-000268792</v>
      </c>
      <c r="D1706" s="1">
        <v>45918.377569444441</v>
      </c>
      <c r="E1706" s="2">
        <v>1</v>
      </c>
      <c r="F1706" s="2">
        <v>2</v>
      </c>
      <c r="G1706" s="2">
        <v>0</v>
      </c>
      <c r="H1706" s="1" t="s">
        <v>0</v>
      </c>
      <c r="I1706" s="2">
        <v>0</v>
      </c>
      <c r="J1706" s="1">
        <v>45915.379942129628</v>
      </c>
    </row>
    <row r="1707" spans="1:10" x14ac:dyDescent="0.2">
      <c r="A1707" s="4" t="s">
        <v>1</v>
      </c>
      <c r="B1707" s="3" t="str">
        <f>HYPERLINK("https://otsuka-europe-crm.veevavault.com/ui/#object/approved_document__v/V5OZ025E82TFUPI", "Spain - HCP Survey Email - June 2025")</f>
        <v>Spain - HCP Survey Email - June 2025</v>
      </c>
      <c r="C1707" s="3" t="str">
        <f>HYPERLINK("https://otsuka-europe-crm.veevavault.com/ui/#object/sent_email__v/VBLZ025E82GMYXJ", "SE-000268793")</f>
        <v>SE-000268793</v>
      </c>
      <c r="D1707" s="1">
        <v>45915.739930555559</v>
      </c>
      <c r="E1707" s="2">
        <v>1</v>
      </c>
      <c r="F1707" s="2">
        <v>1</v>
      </c>
      <c r="G1707" s="2">
        <v>0</v>
      </c>
      <c r="H1707" s="1" t="s">
        <v>0</v>
      </c>
      <c r="I1707" s="2">
        <v>0</v>
      </c>
      <c r="J1707" s="1">
        <v>45915.379432870373</v>
      </c>
    </row>
    <row r="1708" spans="1:10" x14ac:dyDescent="0.2">
      <c r="A1708" s="4" t="s">
        <v>1</v>
      </c>
      <c r="B1708" s="3" t="str">
        <f>HYPERLINK("https://otsuka-europe-crm.veevavault.com/ui/#object/approved_document__v/V5OZ025E82TFUPI", "Spain - HCP Survey Email - June 2025")</f>
        <v>Spain - HCP Survey Email - June 2025</v>
      </c>
      <c r="C1708" s="3" t="str">
        <f>HYPERLINK("https://otsuka-europe-crm.veevavault.com/ui/#object/sent_email__v/VBLZ025E82GMYXK", "SE-000268794")</f>
        <v>SE-000268794</v>
      </c>
      <c r="D1708" s="1" t="s">
        <v>0</v>
      </c>
      <c r="E1708" s="2">
        <v>0</v>
      </c>
      <c r="F1708" s="2">
        <v>0</v>
      </c>
      <c r="G1708" s="2">
        <v>0</v>
      </c>
      <c r="H1708" s="1" t="s">
        <v>0</v>
      </c>
      <c r="I1708" s="2">
        <v>0</v>
      </c>
      <c r="J1708" s="1">
        <v>45915.377465277779</v>
      </c>
    </row>
    <row r="1709" spans="1:10" x14ac:dyDescent="0.2">
      <c r="A1709" s="4" t="s">
        <v>1</v>
      </c>
      <c r="B1709" s="3" t="str">
        <f>HYPERLINK("https://otsuka-europe-crm.veevavault.com/ui/#object/approved_document__v/V5OZ025E82TFUPI", "Spain - HCP Survey Email - June 2025")</f>
        <v>Spain - HCP Survey Email - June 2025</v>
      </c>
      <c r="C1709" s="3" t="str">
        <f>HYPERLINK("https://otsuka-europe-crm.veevavault.com/ui/#object/sent_email__v/VBLZ025E82GMYXL", "SE-000268795")</f>
        <v>SE-000268795</v>
      </c>
      <c r="D1709" s="1">
        <v>45924.60365740741</v>
      </c>
      <c r="E1709" s="2">
        <v>1</v>
      </c>
      <c r="F1709" s="2">
        <v>15</v>
      </c>
      <c r="G1709" s="2">
        <v>0</v>
      </c>
      <c r="H1709" s="1" t="s">
        <v>0</v>
      </c>
      <c r="I1709" s="2">
        <v>0</v>
      </c>
      <c r="J1709" s="1">
        <v>45915.378379629627</v>
      </c>
    </row>
    <row r="1710" spans="1:10" x14ac:dyDescent="0.2">
      <c r="A1710" s="4" t="s">
        <v>1</v>
      </c>
      <c r="B1710" s="3" t="str">
        <f>HYPERLINK("https://otsuka-europe-crm.veevavault.com/ui/#object/approved_document__v/V5OZ025E82TFUPI", "Spain - HCP Survey Email - June 2025")</f>
        <v>Spain - HCP Survey Email - June 2025</v>
      </c>
      <c r="C1710" s="3" t="str">
        <f>HYPERLINK("https://otsuka-europe-crm.veevavault.com/ui/#object/sent_email__v/VBLZ025E82GMYXM", "SE-000268796")</f>
        <v>SE-000268796</v>
      </c>
      <c r="D1710" s="1" t="s">
        <v>0</v>
      </c>
      <c r="E1710" s="2">
        <v>0</v>
      </c>
      <c r="F1710" s="2">
        <v>0</v>
      </c>
      <c r="G1710" s="2">
        <v>0</v>
      </c>
      <c r="H1710" s="1" t="s">
        <v>0</v>
      </c>
      <c r="I1710" s="2">
        <v>0</v>
      </c>
      <c r="J1710" s="1">
        <v>45915.378807870373</v>
      </c>
    </row>
    <row r="1711" spans="1:10" x14ac:dyDescent="0.2">
      <c r="A1711" s="4" t="s">
        <v>1</v>
      </c>
      <c r="B1711" s="3" t="str">
        <f>HYPERLINK("https://otsuka-europe-crm.veevavault.com/ui/#object/approved_document__v/V5OZ025E82TFUPI", "Spain - HCP Survey Email - June 2025")</f>
        <v>Spain - HCP Survey Email - June 2025</v>
      </c>
      <c r="C1711" s="3" t="str">
        <f>HYPERLINK("https://otsuka-europe-crm.veevavault.com/ui/#object/sent_email__v/VBLZ025E82GMYXN", "SE-000268797")</f>
        <v>SE-000268797</v>
      </c>
      <c r="D1711" s="1">
        <v>45920.062777777777</v>
      </c>
      <c r="E1711" s="2">
        <v>1</v>
      </c>
      <c r="F1711" s="2">
        <v>2</v>
      </c>
      <c r="G1711" s="2">
        <v>0</v>
      </c>
      <c r="H1711" s="1" t="s">
        <v>0</v>
      </c>
      <c r="I1711" s="2">
        <v>0</v>
      </c>
      <c r="J1711" s="1">
        <v>45915.378657407404</v>
      </c>
    </row>
    <row r="1712" spans="1:10" x14ac:dyDescent="0.2">
      <c r="A1712" s="4" t="s">
        <v>1</v>
      </c>
      <c r="B1712" s="3" t="str">
        <f>HYPERLINK("https://otsuka-europe-crm.veevavault.com/ui/#object/approved_document__v/V5OZ025E82TFUPI", "Spain - HCP Survey Email - June 2025")</f>
        <v>Spain - HCP Survey Email - June 2025</v>
      </c>
      <c r="C1712" s="3" t="str">
        <f>HYPERLINK("https://otsuka-europe-crm.veevavault.com/ui/#object/sent_email__v/VBLZ025E82GMYXO", "SE-000268798")</f>
        <v>SE-000268798</v>
      </c>
      <c r="D1712" s="1">
        <v>45915.410902777781</v>
      </c>
      <c r="E1712" s="2">
        <v>1</v>
      </c>
      <c r="F1712" s="2">
        <v>1</v>
      </c>
      <c r="G1712" s="2">
        <v>0</v>
      </c>
      <c r="H1712" s="1" t="s">
        <v>0</v>
      </c>
      <c r="I1712" s="2">
        <v>0</v>
      </c>
      <c r="J1712" s="1">
        <v>45915.379062499997</v>
      </c>
    </row>
    <row r="1713" spans="1:10" x14ac:dyDescent="0.2">
      <c r="A1713" s="4" t="s">
        <v>1</v>
      </c>
      <c r="B1713" s="3" t="str">
        <f>HYPERLINK("https://otsuka-europe-crm.veevavault.com/ui/#object/approved_document__v/V5OZ025E82TFUPI", "Spain - HCP Survey Email - June 2025")</f>
        <v>Spain - HCP Survey Email - June 2025</v>
      </c>
      <c r="C1713" s="3" t="str">
        <f>HYPERLINK("https://otsuka-europe-crm.veevavault.com/ui/#object/sent_email__v/VBLZ025E82GMYXP", "SE-000268799")</f>
        <v>SE-000268799</v>
      </c>
      <c r="D1713" s="1">
        <v>45915.407222222224</v>
      </c>
      <c r="E1713" s="2">
        <v>1</v>
      </c>
      <c r="F1713" s="2">
        <v>1</v>
      </c>
      <c r="G1713" s="2">
        <v>0</v>
      </c>
      <c r="H1713" s="1" t="s">
        <v>0</v>
      </c>
      <c r="I1713" s="2">
        <v>0</v>
      </c>
      <c r="J1713" s="1">
        <v>45915.377881944441</v>
      </c>
    </row>
    <row r="1714" spans="1:10" x14ac:dyDescent="0.2">
      <c r="A1714" s="4" t="s">
        <v>1</v>
      </c>
      <c r="B1714" s="3" t="str">
        <f>HYPERLINK("https://otsuka-europe-crm.veevavault.com/ui/#object/approved_document__v/V5OZ025E82TFUPI", "Spain - HCP Survey Email - June 2025")</f>
        <v>Spain - HCP Survey Email - June 2025</v>
      </c>
      <c r="C1714" s="3" t="str">
        <f>HYPERLINK("https://otsuka-europe-crm.veevavault.com/ui/#object/sent_email__v/VBLZ025E82GMYXQ", "SE-000268800")</f>
        <v>SE-000268800</v>
      </c>
      <c r="D1714" s="1" t="s">
        <v>0</v>
      </c>
      <c r="E1714" s="2">
        <v>0</v>
      </c>
      <c r="F1714" s="2">
        <v>0</v>
      </c>
      <c r="G1714" s="2">
        <v>0</v>
      </c>
      <c r="H1714" s="1" t="s">
        <v>0</v>
      </c>
      <c r="I1714" s="2">
        <v>0</v>
      </c>
      <c r="J1714" s="1">
        <v>45915.378379629627</v>
      </c>
    </row>
    <row r="1715" spans="1:10" x14ac:dyDescent="0.2">
      <c r="A1715" s="4" t="s">
        <v>1</v>
      </c>
      <c r="B1715" s="3" t="str">
        <f>HYPERLINK("https://otsuka-europe-crm.veevavault.com/ui/#object/approved_document__v/V5OZ025E82TFUPI", "Spain - HCP Survey Email - June 2025")</f>
        <v>Spain - HCP Survey Email - June 2025</v>
      </c>
      <c r="C1715" s="3" t="str">
        <f>HYPERLINK("https://otsuka-europe-crm.veevavault.com/ui/#object/sent_email__v/VBLZ025E82GMYXR", "SE-000268801")</f>
        <v>SE-000268801</v>
      </c>
      <c r="D1715" s="1">
        <v>45921.273229166669</v>
      </c>
      <c r="E1715" s="2">
        <v>1</v>
      </c>
      <c r="F1715" s="2">
        <v>1</v>
      </c>
      <c r="G1715" s="2">
        <v>0</v>
      </c>
      <c r="H1715" s="1" t="s">
        <v>0</v>
      </c>
      <c r="I1715" s="2">
        <v>0</v>
      </c>
      <c r="J1715" s="1">
        <v>45915.378217592595</v>
      </c>
    </row>
    <row r="1716" spans="1:10" x14ac:dyDescent="0.2">
      <c r="A1716" s="4" t="s">
        <v>1</v>
      </c>
      <c r="B1716" s="3" t="str">
        <f>HYPERLINK("https://otsuka-europe-crm.veevavault.com/ui/#object/approved_document__v/V5OZ025E82TFUPI", "Spain - HCP Survey Email - June 2025")</f>
        <v>Spain - HCP Survey Email - June 2025</v>
      </c>
      <c r="C1716" s="3" t="str">
        <f>HYPERLINK("https://otsuka-europe-crm.veevavault.com/ui/#object/sent_email__v/VBLZ025E82GMYXS", "SE-000268802")</f>
        <v>SE-000268802</v>
      </c>
      <c r="D1716" s="1">
        <v>45970.780624999999</v>
      </c>
      <c r="E1716" s="2">
        <v>1</v>
      </c>
      <c r="F1716" s="2">
        <v>10</v>
      </c>
      <c r="G1716" s="2">
        <v>1</v>
      </c>
      <c r="H1716" s="1">
        <v>45917.343599537038</v>
      </c>
      <c r="I1716" s="2">
        <v>1</v>
      </c>
      <c r="J1716" s="1">
        <v>45915.378634259258</v>
      </c>
    </row>
    <row r="1717" spans="1:10" x14ac:dyDescent="0.2">
      <c r="A1717" s="4" t="s">
        <v>1</v>
      </c>
      <c r="B1717" s="3" t="str">
        <f>HYPERLINK("https://otsuka-europe-crm.veevavault.com/ui/#object/approved_document__v/V5OZ025E82TFUPI", "Spain - HCP Survey Email - June 2025")</f>
        <v>Spain - HCP Survey Email - June 2025</v>
      </c>
      <c r="C1717" s="3" t="str">
        <f>HYPERLINK("https://otsuka-europe-crm.veevavault.com/ui/#object/sent_email__v/VBLZ025E82GMYXT", "SE-000268803")</f>
        <v>SE-000268803</v>
      </c>
      <c r="D1717" s="1" t="s">
        <v>0</v>
      </c>
      <c r="E1717" s="2">
        <v>0</v>
      </c>
      <c r="F1717" s="2">
        <v>0</v>
      </c>
      <c r="G1717" s="2">
        <v>0</v>
      </c>
      <c r="H1717" s="1" t="s">
        <v>0</v>
      </c>
      <c r="I1717" s="2">
        <v>0</v>
      </c>
      <c r="J1717" s="1">
        <v>45915.379120370373</v>
      </c>
    </row>
    <row r="1718" spans="1:10" x14ac:dyDescent="0.2">
      <c r="A1718" s="4" t="s">
        <v>1</v>
      </c>
      <c r="B1718" s="3" t="str">
        <f>HYPERLINK("https://otsuka-europe-crm.veevavault.com/ui/#object/approved_document__v/V5OZ025E82TFUPI", "Spain - HCP Survey Email - June 2025")</f>
        <v>Spain - HCP Survey Email - June 2025</v>
      </c>
      <c r="C1718" s="3" t="str">
        <f>HYPERLINK("https://otsuka-europe-crm.veevavault.com/ui/#object/sent_email__v/VBLZ025E82GMYXU", "SE-000268804")</f>
        <v>SE-000268804</v>
      </c>
      <c r="D1718" s="1">
        <v>45915.409259259257</v>
      </c>
      <c r="E1718" s="2">
        <v>1</v>
      </c>
      <c r="F1718" s="2">
        <v>1</v>
      </c>
      <c r="G1718" s="2">
        <v>0</v>
      </c>
      <c r="H1718" s="1" t="s">
        <v>0</v>
      </c>
      <c r="I1718" s="2">
        <v>0</v>
      </c>
      <c r="J1718" s="1">
        <v>45915.377870370372</v>
      </c>
    </row>
    <row r="1719" spans="1:10" x14ac:dyDescent="0.2">
      <c r="A1719" s="4" t="s">
        <v>1</v>
      </c>
      <c r="B1719" s="3" t="str">
        <f>HYPERLINK("https://otsuka-europe-crm.veevavault.com/ui/#object/approved_document__v/V5OZ025E82TFUPI", "Spain - HCP Survey Email - June 2025")</f>
        <v>Spain - HCP Survey Email - June 2025</v>
      </c>
      <c r="C1719" s="3" t="str">
        <f>HYPERLINK("https://otsuka-europe-crm.veevavault.com/ui/#object/sent_email__v/VBLZ025E82GMYXV", "SE-000268805")</f>
        <v>SE-000268805</v>
      </c>
      <c r="D1719" s="1">
        <v>45925.079259259262</v>
      </c>
      <c r="E1719" s="2">
        <v>1</v>
      </c>
      <c r="F1719" s="2">
        <v>3</v>
      </c>
      <c r="G1719" s="2">
        <v>0</v>
      </c>
      <c r="H1719" s="1" t="s">
        <v>0</v>
      </c>
      <c r="I1719" s="2">
        <v>0</v>
      </c>
      <c r="J1719" s="1">
        <v>45915.378298611111</v>
      </c>
    </row>
    <row r="1720" spans="1:10" x14ac:dyDescent="0.2">
      <c r="A1720" s="4" t="s">
        <v>1</v>
      </c>
      <c r="B1720" s="3" t="str">
        <f>HYPERLINK("https://otsuka-europe-crm.veevavault.com/ui/#object/approved_document__v/V5OZ025E82TFUPI", "Spain - HCP Survey Email - June 2025")</f>
        <v>Spain - HCP Survey Email - June 2025</v>
      </c>
      <c r="C1720" s="3" t="str">
        <f>HYPERLINK("https://otsuka-europe-crm.veevavault.com/ui/#object/sent_email__v/VBLZ025E82GMYXW", "SE-000268806")</f>
        <v>SE-000268806</v>
      </c>
      <c r="D1720" s="1" t="s">
        <v>0</v>
      </c>
      <c r="E1720" s="2">
        <v>0</v>
      </c>
      <c r="F1720" s="2">
        <v>0</v>
      </c>
      <c r="G1720" s="2">
        <v>0</v>
      </c>
      <c r="H1720" s="1" t="s">
        <v>0</v>
      </c>
      <c r="I1720" s="2">
        <v>0</v>
      </c>
      <c r="J1720" s="1">
        <v>45912.692523148151</v>
      </c>
    </row>
    <row r="1721" spans="1:10" x14ac:dyDescent="0.2">
      <c r="A1721" s="4" t="s">
        <v>1</v>
      </c>
      <c r="B1721" s="3" t="str">
        <f>HYPERLINK("https://otsuka-europe-crm.veevavault.com/ui/#object/approved_document__v/V5OZ025E82TFUPI", "Spain - HCP Survey Email - June 2025")</f>
        <v>Spain - HCP Survey Email - June 2025</v>
      </c>
      <c r="C1721" s="3" t="str">
        <f>HYPERLINK("https://otsuka-europe-crm.veevavault.com/ui/#object/sent_email__v/VBLZ025E82GMYXX", "SE-000268807")</f>
        <v>SE-000268807</v>
      </c>
      <c r="D1721" s="1" t="s">
        <v>0</v>
      </c>
      <c r="E1721" s="2">
        <v>0</v>
      </c>
      <c r="F1721" s="2">
        <v>0</v>
      </c>
      <c r="G1721" s="2">
        <v>0</v>
      </c>
      <c r="H1721" s="1" t="s">
        <v>0</v>
      </c>
      <c r="I1721" s="2">
        <v>0</v>
      </c>
      <c r="J1721" s="1">
        <v>45915.378541666665</v>
      </c>
    </row>
    <row r="1722" spans="1:10" x14ac:dyDescent="0.2">
      <c r="A1722" s="4" t="s">
        <v>1</v>
      </c>
      <c r="B1722" s="3" t="str">
        <f>HYPERLINK("https://otsuka-europe-crm.veevavault.com/ui/#object/approved_document__v/V5OZ025E82TFUPI", "Spain - HCP Survey Email - June 2025")</f>
        <v>Spain - HCP Survey Email - June 2025</v>
      </c>
      <c r="C1722" s="3" t="str">
        <f>HYPERLINK("https://otsuka-europe-crm.veevavault.com/ui/#object/sent_email__v/VBLZ025E82GMYXY", "SE-000268808")</f>
        <v>SE-000268808</v>
      </c>
      <c r="D1722" s="1">
        <v>45915.50953703704</v>
      </c>
      <c r="E1722" s="2">
        <v>1</v>
      </c>
      <c r="F1722" s="2">
        <v>2</v>
      </c>
      <c r="G1722" s="2">
        <v>0</v>
      </c>
      <c r="H1722" s="1" t="s">
        <v>0</v>
      </c>
      <c r="I1722" s="2">
        <v>0</v>
      </c>
      <c r="J1722" s="1">
        <v>45915.379942129628</v>
      </c>
    </row>
    <row r="1723" spans="1:10" x14ac:dyDescent="0.2">
      <c r="A1723" s="4" t="s">
        <v>1</v>
      </c>
      <c r="B1723" s="3" t="str">
        <f>HYPERLINK("https://otsuka-europe-crm.veevavault.com/ui/#object/approved_document__v/V5OZ025E82TFUPI", "Spain - HCP Survey Email - June 2025")</f>
        <v>Spain - HCP Survey Email - June 2025</v>
      </c>
      <c r="C1723" s="3" t="str">
        <f>HYPERLINK("https://otsuka-europe-crm.veevavault.com/ui/#object/sent_email__v/VBLZ025E82GMYXZ", "SE-000268809")</f>
        <v>SE-000268809</v>
      </c>
      <c r="D1723" s="1">
        <v>45918.250462962962</v>
      </c>
      <c r="E1723" s="2">
        <v>1</v>
      </c>
      <c r="F1723" s="2">
        <v>1</v>
      </c>
      <c r="G1723" s="2">
        <v>0</v>
      </c>
      <c r="H1723" s="1" t="s">
        <v>0</v>
      </c>
      <c r="I1723" s="2">
        <v>0</v>
      </c>
      <c r="J1723" s="1">
        <v>45915.379363425927</v>
      </c>
    </row>
    <row r="1724" spans="1:10" x14ac:dyDescent="0.2">
      <c r="A1724" s="4" t="s">
        <v>1</v>
      </c>
      <c r="B1724" s="3" t="str">
        <f>HYPERLINK("https://otsuka-europe-crm.veevavault.com/ui/#object/approved_document__v/V5OZ025E82TFUPI", "Spain - HCP Survey Email - June 2025")</f>
        <v>Spain - HCP Survey Email - June 2025</v>
      </c>
      <c r="C1724" s="3" t="str">
        <f>HYPERLINK("https://otsuka-europe-crm.veevavault.com/ui/#object/sent_email__v/VBLZ025E82GMYY0", "SE-000268810")</f>
        <v>SE-000268810</v>
      </c>
      <c r="D1724" s="1" t="s">
        <v>0</v>
      </c>
      <c r="E1724" s="2">
        <v>0</v>
      </c>
      <c r="F1724" s="2">
        <v>0</v>
      </c>
      <c r="G1724" s="2">
        <v>0</v>
      </c>
      <c r="H1724" s="1" t="s">
        <v>0</v>
      </c>
      <c r="I1724" s="2">
        <v>0</v>
      </c>
      <c r="J1724" s="1">
        <v>45915.377430555556</v>
      </c>
    </row>
    <row r="1725" spans="1:10" x14ac:dyDescent="0.2">
      <c r="A1725" s="4" t="s">
        <v>1</v>
      </c>
      <c r="B1725" s="3" t="str">
        <f>HYPERLINK("https://otsuka-europe-crm.veevavault.com/ui/#object/approved_document__v/V5OZ025E82TFUPI", "Spain - HCP Survey Email - June 2025")</f>
        <v>Spain - HCP Survey Email - June 2025</v>
      </c>
      <c r="C1725" s="3" t="str">
        <f>HYPERLINK("https://otsuka-europe-crm.veevavault.com/ui/#object/sent_email__v/VBLZ025E82GMYY1", "SE-000268811")</f>
        <v>SE-000268811</v>
      </c>
      <c r="D1725" s="1">
        <v>45915.396817129629</v>
      </c>
      <c r="E1725" s="2">
        <v>1</v>
      </c>
      <c r="F1725" s="2">
        <v>1</v>
      </c>
      <c r="G1725" s="2">
        <v>1</v>
      </c>
      <c r="H1725" s="1">
        <v>45915.618622685186</v>
      </c>
      <c r="I1725" s="2">
        <v>1</v>
      </c>
      <c r="J1725" s="1">
        <v>45915.378425925926</v>
      </c>
    </row>
    <row r="1726" spans="1:10" x14ac:dyDescent="0.2">
      <c r="A1726" s="4" t="s">
        <v>1</v>
      </c>
      <c r="B1726" s="3" t="str">
        <f>HYPERLINK("https://otsuka-europe-crm.veevavault.com/ui/#object/approved_document__v/V5OZ025E82TFUPI", "Spain - HCP Survey Email - June 2025")</f>
        <v>Spain - HCP Survey Email - June 2025</v>
      </c>
      <c r="C1726" s="3" t="str">
        <f>HYPERLINK("https://otsuka-europe-crm.veevavault.com/ui/#object/sent_email__v/VBLZ025E82GMYY2", "SE-000268812")</f>
        <v>SE-000268812</v>
      </c>
      <c r="D1726" s="1">
        <v>45915.846319444441</v>
      </c>
      <c r="E1726" s="2">
        <v>1</v>
      </c>
      <c r="F1726" s="2">
        <v>1</v>
      </c>
      <c r="G1726" s="2">
        <v>1</v>
      </c>
      <c r="H1726" s="1">
        <v>45915.846458333333</v>
      </c>
      <c r="I1726" s="2">
        <v>1</v>
      </c>
      <c r="J1726" s="1">
        <v>45915.378831018519</v>
      </c>
    </row>
    <row r="1727" spans="1:10" x14ac:dyDescent="0.2">
      <c r="A1727" s="4" t="s">
        <v>1</v>
      </c>
      <c r="B1727" s="3" t="str">
        <f>HYPERLINK("https://otsuka-europe-crm.veevavault.com/ui/#object/approved_document__v/V5OZ025E82TFUPI", "Spain - HCP Survey Email - June 2025")</f>
        <v>Spain - HCP Survey Email - June 2025</v>
      </c>
      <c r="C1727" s="3" t="str">
        <f>HYPERLINK("https://otsuka-europe-crm.veevavault.com/ui/#object/sent_email__v/VBLZ025E82GMYY3", "SE-000268813")</f>
        <v>SE-000268813</v>
      </c>
      <c r="D1727" s="1">
        <v>45925.317870370367</v>
      </c>
      <c r="E1727" s="2">
        <v>1</v>
      </c>
      <c r="F1727" s="2">
        <v>1</v>
      </c>
      <c r="G1727" s="2">
        <v>0</v>
      </c>
      <c r="H1727" s="1" t="s">
        <v>0</v>
      </c>
      <c r="I1727" s="2">
        <v>0</v>
      </c>
      <c r="J1727" s="1">
        <v>45915.378576388888</v>
      </c>
    </row>
    <row r="1728" spans="1:10" x14ac:dyDescent="0.2">
      <c r="A1728" s="4" t="s">
        <v>1</v>
      </c>
      <c r="B1728" s="3" t="str">
        <f>HYPERLINK("https://otsuka-europe-crm.veevavault.com/ui/#object/approved_document__v/V5OZ025E82TFUPI", "Spain - HCP Survey Email - June 2025")</f>
        <v>Spain - HCP Survey Email - June 2025</v>
      </c>
      <c r="C1728" s="3" t="str">
        <f>HYPERLINK("https://otsuka-europe-crm.veevavault.com/ui/#object/sent_email__v/VBLZ025E82GMYY5", "SE-000268815")</f>
        <v>SE-000268815</v>
      </c>
      <c r="D1728" s="1">
        <v>45916.970300925925</v>
      </c>
      <c r="E1728" s="2">
        <v>1</v>
      </c>
      <c r="F1728" s="2">
        <v>2</v>
      </c>
      <c r="G1728" s="2">
        <v>0</v>
      </c>
      <c r="H1728" s="1" t="s">
        <v>0</v>
      </c>
      <c r="I1728" s="2">
        <v>0</v>
      </c>
      <c r="J1728" s="1">
        <v>45915.377905092595</v>
      </c>
    </row>
    <row r="1729" spans="1:10" x14ac:dyDescent="0.2">
      <c r="A1729" s="4" t="s">
        <v>1</v>
      </c>
      <c r="B1729" s="3" t="str">
        <f>HYPERLINK("https://otsuka-europe-crm.veevavault.com/ui/#object/approved_document__v/V5OZ025E82TFUPI", "Spain - HCP Survey Email - June 2025")</f>
        <v>Spain - HCP Survey Email - June 2025</v>
      </c>
      <c r="C1729" s="3" t="str">
        <f>HYPERLINK("https://otsuka-europe-crm.veevavault.com/ui/#object/sent_email__v/VBLZ025E82GMYY6", "SE-000268816")</f>
        <v>SE-000268816</v>
      </c>
      <c r="D1729" s="1" t="s">
        <v>0</v>
      </c>
      <c r="E1729" s="2">
        <v>0</v>
      </c>
      <c r="F1729" s="2">
        <v>0</v>
      </c>
      <c r="G1729" s="2">
        <v>0</v>
      </c>
      <c r="H1729" s="1" t="s">
        <v>0</v>
      </c>
      <c r="I1729" s="2">
        <v>0</v>
      </c>
      <c r="J1729" s="1">
        <v>45915.378240740742</v>
      </c>
    </row>
    <row r="1730" spans="1:10" x14ac:dyDescent="0.2">
      <c r="A1730" s="4" t="s">
        <v>1</v>
      </c>
      <c r="B1730" s="3" t="str">
        <f>HYPERLINK("https://otsuka-europe-crm.veevavault.com/ui/#object/approved_document__v/V5OZ025E82TFUPI", "Spain - HCP Survey Email - June 2025")</f>
        <v>Spain - HCP Survey Email - June 2025</v>
      </c>
      <c r="C1730" s="3" t="str">
        <f>HYPERLINK("https://otsuka-europe-crm.veevavault.com/ui/#object/sent_email__v/VBLZ025E82GMYY7", "SE-000268817")</f>
        <v>SE-000268817</v>
      </c>
      <c r="D1730" s="1" t="s">
        <v>0</v>
      </c>
      <c r="E1730" s="2">
        <v>0</v>
      </c>
      <c r="F1730" s="2">
        <v>0</v>
      </c>
      <c r="G1730" s="2">
        <v>0</v>
      </c>
      <c r="H1730" s="1" t="s">
        <v>0</v>
      </c>
      <c r="I1730" s="2">
        <v>0</v>
      </c>
      <c r="J1730" s="1">
        <v>45915.378136574072</v>
      </c>
    </row>
    <row r="1731" spans="1:10" x14ac:dyDescent="0.2">
      <c r="A1731" s="4" t="s">
        <v>1</v>
      </c>
      <c r="B1731" s="3" t="str">
        <f>HYPERLINK("https://otsuka-europe-crm.veevavault.com/ui/#object/approved_document__v/V5OZ025E82TFUPI", "Spain - HCP Survey Email - June 2025")</f>
        <v>Spain - HCP Survey Email - June 2025</v>
      </c>
      <c r="C1731" s="3" t="str">
        <f>HYPERLINK("https://otsuka-europe-crm.veevavault.com/ui/#object/sent_email__v/VBLZ025E82GMYY8", "SE-000268818")</f>
        <v>SE-000268818</v>
      </c>
      <c r="D1731" s="1" t="s">
        <v>0</v>
      </c>
      <c r="E1731" s="2">
        <v>0</v>
      </c>
      <c r="F1731" s="2">
        <v>0</v>
      </c>
      <c r="G1731" s="2">
        <v>0</v>
      </c>
      <c r="H1731" s="1" t="s">
        <v>0</v>
      </c>
      <c r="I1731" s="2">
        <v>0</v>
      </c>
      <c r="J1731" s="1">
        <v>45915.378599537034</v>
      </c>
    </row>
    <row r="1732" spans="1:10" x14ac:dyDescent="0.2">
      <c r="A1732" s="4" t="s">
        <v>1</v>
      </c>
      <c r="B1732" s="3" t="str">
        <f>HYPERLINK("https://otsuka-europe-crm.veevavault.com/ui/#object/approved_document__v/V5OZ025E82TFUPI", "Spain - HCP Survey Email - June 2025")</f>
        <v>Spain - HCP Survey Email - June 2025</v>
      </c>
      <c r="C1732" s="3" t="str">
        <f>HYPERLINK("https://otsuka-europe-crm.veevavault.com/ui/#object/sent_email__v/VBLZ025E82GMYY9", "SE-000268819")</f>
        <v>SE-000268819</v>
      </c>
      <c r="D1732" s="1" t="s">
        <v>0</v>
      </c>
      <c r="E1732" s="2">
        <v>0</v>
      </c>
      <c r="F1732" s="2">
        <v>0</v>
      </c>
      <c r="G1732" s="2">
        <v>0</v>
      </c>
      <c r="H1732" s="1" t="s">
        <v>0</v>
      </c>
      <c r="I1732" s="2">
        <v>0</v>
      </c>
      <c r="J1732" s="1">
        <v>45915.379872685182</v>
      </c>
    </row>
    <row r="1733" spans="1:10" x14ac:dyDescent="0.2">
      <c r="A1733" s="4" t="s">
        <v>1</v>
      </c>
      <c r="B1733" s="3" t="str">
        <f>HYPERLINK("https://otsuka-europe-crm.veevavault.com/ui/#object/approved_document__v/V5OZ025E82TFUPI", "Spain - HCP Survey Email - June 2025")</f>
        <v>Spain - HCP Survey Email - June 2025</v>
      </c>
      <c r="C1733" s="3" t="str">
        <f>HYPERLINK("https://otsuka-europe-crm.veevavault.com/ui/#object/sent_email__v/VBLZ025E82GMYYA", "SE-000268820")</f>
        <v>SE-000268820</v>
      </c>
      <c r="D1733" s="1">
        <v>45916.025289351855</v>
      </c>
      <c r="E1733" s="2">
        <v>1</v>
      </c>
      <c r="F1733" s="2">
        <v>1</v>
      </c>
      <c r="G1733" s="2">
        <v>0</v>
      </c>
      <c r="H1733" s="1" t="s">
        <v>0</v>
      </c>
      <c r="I1733" s="2">
        <v>0</v>
      </c>
      <c r="J1733" s="1">
        <v>45915.379467592589</v>
      </c>
    </row>
    <row r="1734" spans="1:10" x14ac:dyDescent="0.2">
      <c r="A1734" s="4" t="s">
        <v>1</v>
      </c>
      <c r="B1734" s="3" t="str">
        <f>HYPERLINK("https://otsuka-europe-crm.veevavault.com/ui/#object/approved_document__v/V5OZ025E82TFUPI", "Spain - HCP Survey Email - June 2025")</f>
        <v>Spain - HCP Survey Email - June 2025</v>
      </c>
      <c r="C1734" s="3" t="str">
        <f>HYPERLINK("https://otsuka-europe-crm.veevavault.com/ui/#object/sent_email__v/VBLZ025E82GMYYB", "SE-000268821")</f>
        <v>SE-000268821</v>
      </c>
      <c r="D1734" s="1" t="s">
        <v>0</v>
      </c>
      <c r="E1734" s="2">
        <v>0</v>
      </c>
      <c r="F1734" s="2">
        <v>0</v>
      </c>
      <c r="G1734" s="2">
        <v>0</v>
      </c>
      <c r="H1734" s="1" t="s">
        <v>0</v>
      </c>
      <c r="I1734" s="2">
        <v>0</v>
      </c>
      <c r="J1734" s="1">
        <v>45915.377430555556</v>
      </c>
    </row>
    <row r="1735" spans="1:10" x14ac:dyDescent="0.2">
      <c r="A1735" s="4" t="s">
        <v>1</v>
      </c>
      <c r="B1735" s="3" t="str">
        <f>HYPERLINK("https://otsuka-europe-crm.veevavault.com/ui/#object/approved_document__v/V5OZ025E82TFUPI", "Spain - HCP Survey Email - June 2025")</f>
        <v>Spain - HCP Survey Email - June 2025</v>
      </c>
      <c r="C1735" s="3" t="str">
        <f>HYPERLINK("https://otsuka-europe-crm.veevavault.com/ui/#object/sent_email__v/VBLZ025E82GMYYC", "SE-000268822")</f>
        <v>SE-000268822</v>
      </c>
      <c r="D1735" s="1" t="s">
        <v>0</v>
      </c>
      <c r="E1735" s="2">
        <v>0</v>
      </c>
      <c r="F1735" s="2">
        <v>0</v>
      </c>
      <c r="G1735" s="2">
        <v>0</v>
      </c>
      <c r="H1735" s="1" t="s">
        <v>0</v>
      </c>
      <c r="I1735" s="2">
        <v>0</v>
      </c>
      <c r="J1735" s="1">
        <v>45915.378391203703</v>
      </c>
    </row>
    <row r="1736" spans="1:10" x14ac:dyDescent="0.2">
      <c r="A1736" s="4" t="s">
        <v>1</v>
      </c>
      <c r="B1736" s="3" t="str">
        <f>HYPERLINK("https://otsuka-europe-crm.veevavault.com/ui/#object/approved_document__v/V5OZ025E82TFUPI", "Spain - HCP Survey Email - June 2025")</f>
        <v>Spain - HCP Survey Email - June 2025</v>
      </c>
      <c r="C1736" s="3" t="str">
        <f>HYPERLINK("https://otsuka-europe-crm.veevavault.com/ui/#object/sent_email__v/VBLZ025E82GMYYD", "SE-000268823")</f>
        <v>SE-000268823</v>
      </c>
      <c r="D1736" s="1" t="s">
        <v>0</v>
      </c>
      <c r="E1736" s="2">
        <v>0</v>
      </c>
      <c r="F1736" s="2">
        <v>0</v>
      </c>
      <c r="G1736" s="2">
        <v>0</v>
      </c>
      <c r="H1736" s="1" t="s">
        <v>0</v>
      </c>
      <c r="I1736" s="2">
        <v>0</v>
      </c>
      <c r="J1736" s="1">
        <v>45915.378831018519</v>
      </c>
    </row>
    <row r="1737" spans="1:10" x14ac:dyDescent="0.2">
      <c r="A1737" s="4" t="s">
        <v>1</v>
      </c>
      <c r="B1737" s="3" t="str">
        <f>HYPERLINK("https://otsuka-europe-crm.veevavault.com/ui/#object/approved_document__v/V5OZ025E82TFUPI", "Spain - HCP Survey Email - June 2025")</f>
        <v>Spain - HCP Survey Email - June 2025</v>
      </c>
      <c r="C1737" s="3" t="str">
        <f>HYPERLINK("https://otsuka-europe-crm.veevavault.com/ui/#object/sent_email__v/VBLZ025E82GMYYE", "SE-000268824")</f>
        <v>SE-000268824</v>
      </c>
      <c r="D1737" s="1" t="s">
        <v>0</v>
      </c>
      <c r="E1737" s="2">
        <v>0</v>
      </c>
      <c r="F1737" s="2">
        <v>0</v>
      </c>
      <c r="G1737" s="2">
        <v>0</v>
      </c>
      <c r="H1737" s="1" t="s">
        <v>0</v>
      </c>
      <c r="I1737" s="2">
        <v>0</v>
      </c>
      <c r="J1737" s="1">
        <v>45915.378668981481</v>
      </c>
    </row>
    <row r="1738" spans="1:10" x14ac:dyDescent="0.2">
      <c r="A1738" s="4" t="s">
        <v>1</v>
      </c>
      <c r="B1738" s="3" t="str">
        <f>HYPERLINK("https://otsuka-europe-crm.veevavault.com/ui/#object/approved_document__v/V5OZ025E82TFUPI", "Spain - HCP Survey Email - June 2025")</f>
        <v>Spain - HCP Survey Email - June 2025</v>
      </c>
      <c r="C1738" s="3" t="str">
        <f>HYPERLINK("https://otsuka-europe-crm.veevavault.com/ui/#object/sent_email__v/VBLZ025E82GMYYF", "SE-000268825")</f>
        <v>SE-000268825</v>
      </c>
      <c r="D1738" s="1" t="s">
        <v>0</v>
      </c>
      <c r="E1738" s="2">
        <v>0</v>
      </c>
      <c r="F1738" s="2">
        <v>0</v>
      </c>
      <c r="G1738" s="2">
        <v>0</v>
      </c>
      <c r="H1738" s="1" t="s">
        <v>0</v>
      </c>
      <c r="I1738" s="2">
        <v>0</v>
      </c>
      <c r="J1738" s="1">
        <v>45915.379340277781</v>
      </c>
    </row>
    <row r="1739" spans="1:10" x14ac:dyDescent="0.2">
      <c r="A1739" s="4" t="s">
        <v>1</v>
      </c>
      <c r="B1739" s="3" t="str">
        <f>HYPERLINK("https://otsuka-europe-crm.veevavault.com/ui/#object/approved_document__v/V5OZ025E82TFUPI", "Spain - HCP Survey Email - June 2025")</f>
        <v>Spain - HCP Survey Email - June 2025</v>
      </c>
      <c r="C1739" s="3" t="str">
        <f>HYPERLINK("https://otsuka-europe-crm.veevavault.com/ui/#object/sent_email__v/VBLZ025E82GMYYG", "SE-000268826")</f>
        <v>SE-000268826</v>
      </c>
      <c r="D1739" s="1" t="s">
        <v>0</v>
      </c>
      <c r="E1739" s="2">
        <v>0</v>
      </c>
      <c r="F1739" s="2">
        <v>0</v>
      </c>
      <c r="G1739" s="2">
        <v>0</v>
      </c>
      <c r="H1739" s="1" t="s">
        <v>0</v>
      </c>
      <c r="I1739" s="2">
        <v>0</v>
      </c>
      <c r="J1739" s="1">
        <v>45915.377881944441</v>
      </c>
    </row>
    <row r="1740" spans="1:10" x14ac:dyDescent="0.2">
      <c r="A1740" s="4" t="s">
        <v>1</v>
      </c>
      <c r="B1740" s="3" t="str">
        <f>HYPERLINK("https://otsuka-europe-crm.veevavault.com/ui/#object/approved_document__v/V5OZ025E82TFUPI", "Spain - HCP Survey Email - June 2025")</f>
        <v>Spain - HCP Survey Email - June 2025</v>
      </c>
      <c r="C1740" s="3" t="str">
        <f>HYPERLINK("https://otsuka-europe-crm.veevavault.com/ui/#object/sent_email__v/VBLZ025E82GMYYH", "SE-000268827")</f>
        <v>SE-000268827</v>
      </c>
      <c r="D1740" s="1">
        <v>45915.399641203701</v>
      </c>
      <c r="E1740" s="2">
        <v>1</v>
      </c>
      <c r="F1740" s="2">
        <v>1</v>
      </c>
      <c r="G1740" s="2">
        <v>1</v>
      </c>
      <c r="H1740" s="1">
        <v>45915.400057870371</v>
      </c>
      <c r="I1740" s="2">
        <v>3</v>
      </c>
      <c r="J1740" s="1">
        <v>45915.378194444442</v>
      </c>
    </row>
    <row r="1741" spans="1:10" x14ac:dyDescent="0.2">
      <c r="A1741" s="4" t="s">
        <v>1</v>
      </c>
      <c r="B1741" s="3" t="str">
        <f>HYPERLINK("https://otsuka-europe-crm.veevavault.com/ui/#object/approved_document__v/V5OZ025E82TFUPI", "Spain - HCP Survey Email - June 2025")</f>
        <v>Spain - HCP Survey Email - June 2025</v>
      </c>
      <c r="C1741" s="3" t="str">
        <f>HYPERLINK("https://otsuka-europe-crm.veevavault.com/ui/#object/sent_email__v/VBLZ025E82GMYYI", "SE-000268828")</f>
        <v>SE-000268828</v>
      </c>
      <c r="D1741" s="1" t="s">
        <v>0</v>
      </c>
      <c r="E1741" s="2">
        <v>0</v>
      </c>
      <c r="F1741" s="2">
        <v>0</v>
      </c>
      <c r="G1741" s="2">
        <v>0</v>
      </c>
      <c r="H1741" s="1" t="s">
        <v>0</v>
      </c>
      <c r="I1741" s="2">
        <v>0</v>
      </c>
      <c r="J1741" s="1">
        <v>45915.378125000003</v>
      </c>
    </row>
    <row r="1742" spans="1:10" x14ac:dyDescent="0.2">
      <c r="A1742" s="4" t="s">
        <v>1</v>
      </c>
      <c r="B1742" s="3" t="str">
        <f>HYPERLINK("https://otsuka-europe-crm.veevavault.com/ui/#object/approved_document__v/V5OZ025E82TFUPI", "Spain - HCP Survey Email - June 2025")</f>
        <v>Spain - HCP Survey Email - June 2025</v>
      </c>
      <c r="C1742" s="3" t="str">
        <f>HYPERLINK("https://otsuka-europe-crm.veevavault.com/ui/#object/sent_email__v/VBLZ025E82GMYYJ", "SE-000268829")</f>
        <v>SE-000268829</v>
      </c>
      <c r="D1742" s="1" t="s">
        <v>0</v>
      </c>
      <c r="E1742" s="2">
        <v>0</v>
      </c>
      <c r="F1742" s="2">
        <v>0</v>
      </c>
      <c r="G1742" s="2">
        <v>0</v>
      </c>
      <c r="H1742" s="1" t="s">
        <v>0</v>
      </c>
      <c r="I1742" s="2">
        <v>0</v>
      </c>
      <c r="J1742" s="1">
        <v>45915.378587962965</v>
      </c>
    </row>
    <row r="1743" spans="1:10" x14ac:dyDescent="0.2">
      <c r="A1743" s="4" t="s">
        <v>1</v>
      </c>
      <c r="B1743" s="3" t="str">
        <f>HYPERLINK("https://otsuka-europe-crm.veevavault.com/ui/#object/approved_document__v/V5OZ025E82TFUPI", "Spain - HCP Survey Email - June 2025")</f>
        <v>Spain - HCP Survey Email - June 2025</v>
      </c>
      <c r="C1743" s="3" t="str">
        <f>HYPERLINK("https://otsuka-europe-crm.veevavault.com/ui/#object/sent_email__v/VBLZ025E82GMYYK", "SE-000268830")</f>
        <v>SE-000268830</v>
      </c>
      <c r="D1743" s="1">
        <v>45933.360486111109</v>
      </c>
      <c r="E1743" s="2">
        <v>1</v>
      </c>
      <c r="F1743" s="2">
        <v>1</v>
      </c>
      <c r="G1743" s="2">
        <v>1</v>
      </c>
      <c r="H1743" s="1">
        <v>45933.360486111109</v>
      </c>
      <c r="I1743" s="2">
        <v>1</v>
      </c>
      <c r="J1743" s="1">
        <v>45915.379918981482</v>
      </c>
    </row>
    <row r="1744" spans="1:10" x14ac:dyDescent="0.2">
      <c r="A1744" s="4" t="s">
        <v>1</v>
      </c>
      <c r="B1744" s="3" t="str">
        <f>HYPERLINK("https://otsuka-europe-crm.veevavault.com/ui/#object/approved_document__v/V5OZ025E82TFUPI", "Spain - HCP Survey Email - June 2025")</f>
        <v>Spain - HCP Survey Email - June 2025</v>
      </c>
      <c r="C1744" s="3" t="str">
        <f>HYPERLINK("https://otsuka-europe-crm.veevavault.com/ui/#object/sent_email__v/VBLZ025E82GMYYL", "SE-000268831")</f>
        <v>SE-000268831</v>
      </c>
      <c r="D1744" s="1" t="s">
        <v>0</v>
      </c>
      <c r="E1744" s="2">
        <v>0</v>
      </c>
      <c r="F1744" s="2">
        <v>0</v>
      </c>
      <c r="G1744" s="2">
        <v>0</v>
      </c>
      <c r="H1744" s="1" t="s">
        <v>0</v>
      </c>
      <c r="I1744" s="2">
        <v>0</v>
      </c>
      <c r="J1744" s="1">
        <v>45915.37773148148</v>
      </c>
    </row>
    <row r="1745" spans="1:10" x14ac:dyDescent="0.2">
      <c r="A1745" s="4" t="s">
        <v>1</v>
      </c>
      <c r="B1745" s="3" t="str">
        <f>HYPERLINK("https://otsuka-europe-crm.veevavault.com/ui/#object/approved_document__v/V5OZ025E82TFUPI", "Spain - HCP Survey Email - June 2025")</f>
        <v>Spain - HCP Survey Email - June 2025</v>
      </c>
      <c r="C1745" s="3" t="str">
        <f>HYPERLINK("https://otsuka-europe-crm.veevavault.com/ui/#object/sent_email__v/VBLZ025E82GMYYM", "SE-000268832")</f>
        <v>SE-000268832</v>
      </c>
      <c r="D1745" s="1" t="s">
        <v>0</v>
      </c>
      <c r="E1745" s="2">
        <v>0</v>
      </c>
      <c r="F1745" s="2">
        <v>0</v>
      </c>
      <c r="G1745" s="2">
        <v>0</v>
      </c>
      <c r="H1745" s="1" t="s">
        <v>0</v>
      </c>
      <c r="I1745" s="2">
        <v>0</v>
      </c>
      <c r="J1745" s="1">
        <v>45915.377465277779</v>
      </c>
    </row>
    <row r="1746" spans="1:10" x14ac:dyDescent="0.2">
      <c r="A1746" s="4" t="s">
        <v>1</v>
      </c>
      <c r="B1746" s="3" t="str">
        <f>HYPERLINK("https://otsuka-europe-crm.veevavault.com/ui/#object/approved_document__v/V5OZ025E82TFUPI", "Spain - HCP Survey Email - June 2025")</f>
        <v>Spain - HCP Survey Email - June 2025</v>
      </c>
      <c r="C1746" s="3" t="str">
        <f>HYPERLINK("https://otsuka-europe-crm.veevavault.com/ui/#object/sent_email__v/VBLZ025E82GMYYN", "SE-000268833")</f>
        <v>SE-000268833</v>
      </c>
      <c r="D1746" s="1" t="s">
        <v>0</v>
      </c>
      <c r="E1746" s="2">
        <v>0</v>
      </c>
      <c r="F1746" s="2">
        <v>0</v>
      </c>
      <c r="G1746" s="2">
        <v>0</v>
      </c>
      <c r="H1746" s="1" t="s">
        <v>0</v>
      </c>
      <c r="I1746" s="2">
        <v>0</v>
      </c>
      <c r="J1746" s="1">
        <v>45915.37841435185</v>
      </c>
    </row>
    <row r="1747" spans="1:10" x14ac:dyDescent="0.2">
      <c r="A1747" s="4" t="s">
        <v>1</v>
      </c>
      <c r="B1747" s="3" t="str">
        <f>HYPERLINK("https://otsuka-europe-crm.veevavault.com/ui/#object/approved_document__v/V5OZ025E82TFUPI", "Spain - HCP Survey Email - June 2025")</f>
        <v>Spain - HCP Survey Email - June 2025</v>
      </c>
      <c r="C1747" s="3" t="str">
        <f>HYPERLINK("https://otsuka-europe-crm.veevavault.com/ui/#object/sent_email__v/VBLZ025E82GMYYO", "SE-000268834")</f>
        <v>SE-000268834</v>
      </c>
      <c r="D1747" s="1">
        <v>45915.866203703707</v>
      </c>
      <c r="E1747" s="2">
        <v>1</v>
      </c>
      <c r="F1747" s="2">
        <v>1</v>
      </c>
      <c r="G1747" s="2">
        <v>1</v>
      </c>
      <c r="H1747" s="1">
        <v>45915.866516203707</v>
      </c>
      <c r="I1747" s="2">
        <v>1</v>
      </c>
      <c r="J1747" s="1">
        <v>45915.378831018519</v>
      </c>
    </row>
    <row r="1748" spans="1:10" x14ac:dyDescent="0.2">
      <c r="A1748" s="4" t="s">
        <v>1</v>
      </c>
      <c r="B1748" s="3" t="str">
        <f>HYPERLINK("https://otsuka-europe-crm.veevavault.com/ui/#object/approved_document__v/V5OZ025E82TFUPI", "Spain - HCP Survey Email - June 2025")</f>
        <v>Spain - HCP Survey Email - June 2025</v>
      </c>
      <c r="C1748" s="3" t="str">
        <f>HYPERLINK("https://otsuka-europe-crm.veevavault.com/ui/#object/sent_email__v/VBLZ025E82GMYYP", "SE-000268835")</f>
        <v>SE-000268835</v>
      </c>
      <c r="D1748" s="1">
        <v>45915.775069444448</v>
      </c>
      <c r="E1748" s="2">
        <v>1</v>
      </c>
      <c r="F1748" s="2">
        <v>1</v>
      </c>
      <c r="G1748" s="2">
        <v>0</v>
      </c>
      <c r="H1748" s="1" t="s">
        <v>0</v>
      </c>
      <c r="I1748" s="2">
        <v>0</v>
      </c>
      <c r="J1748" s="1">
        <v>45915.37872685185</v>
      </c>
    </row>
    <row r="1749" spans="1:10" x14ac:dyDescent="0.2">
      <c r="A1749" s="4" t="s">
        <v>1</v>
      </c>
      <c r="B1749" s="3" t="str">
        <f>HYPERLINK("https://otsuka-europe-crm.veevavault.com/ui/#object/approved_document__v/V5OZ025E82TFUPI", "Spain - HCP Survey Email - June 2025")</f>
        <v>Spain - HCP Survey Email - June 2025</v>
      </c>
      <c r="C1749" s="3" t="str">
        <f>HYPERLINK("https://otsuka-europe-crm.veevavault.com/ui/#object/sent_email__v/VBLZ025E82GMYYQ", "SE-000268836")</f>
        <v>SE-000268836</v>
      </c>
      <c r="D1749" s="1" t="s">
        <v>0</v>
      </c>
      <c r="E1749" s="2">
        <v>0</v>
      </c>
      <c r="F1749" s="2">
        <v>0</v>
      </c>
      <c r="G1749" s="2">
        <v>0</v>
      </c>
      <c r="H1749" s="1" t="s">
        <v>0</v>
      </c>
      <c r="I1749" s="2">
        <v>0</v>
      </c>
      <c r="J1749" s="1">
        <v>45915.379027777781</v>
      </c>
    </row>
    <row r="1750" spans="1:10" x14ac:dyDescent="0.2">
      <c r="A1750" s="4" t="s">
        <v>1</v>
      </c>
      <c r="B1750" s="3" t="str">
        <f>HYPERLINK("https://otsuka-europe-crm.veevavault.com/ui/#object/approved_document__v/V5OZ025E82TFUPI", "Spain - HCP Survey Email - June 2025")</f>
        <v>Spain - HCP Survey Email - June 2025</v>
      </c>
      <c r="C1750" s="3" t="str">
        <f>HYPERLINK("https://otsuka-europe-crm.veevavault.com/ui/#object/sent_email__v/VBLZ025E82GMYYR", "SE-000268837")</f>
        <v>SE-000268837</v>
      </c>
      <c r="D1750" s="1" t="s">
        <v>0</v>
      </c>
      <c r="E1750" s="2">
        <v>0</v>
      </c>
      <c r="F1750" s="2">
        <v>0</v>
      </c>
      <c r="G1750" s="2">
        <v>0</v>
      </c>
      <c r="H1750" s="1" t="s">
        <v>0</v>
      </c>
      <c r="I1750" s="2">
        <v>0</v>
      </c>
      <c r="J1750" s="1">
        <v>45915.377928240741</v>
      </c>
    </row>
    <row r="1751" spans="1:10" x14ac:dyDescent="0.2">
      <c r="A1751" s="4" t="s">
        <v>1</v>
      </c>
      <c r="B1751" s="3" t="str">
        <f>HYPERLINK("https://otsuka-europe-crm.veevavault.com/ui/#object/approved_document__v/V5OZ025E82TFUPI", "Spain - HCP Survey Email - June 2025")</f>
        <v>Spain - HCP Survey Email - June 2025</v>
      </c>
      <c r="C1751" s="3" t="str">
        <f>HYPERLINK("https://otsuka-europe-crm.veevavault.com/ui/#object/sent_email__v/VBLZ025E82GMYYS", "SE-000268838")</f>
        <v>SE-000268838</v>
      </c>
      <c r="D1751" s="1">
        <v>45919.772210648145</v>
      </c>
      <c r="E1751" s="2">
        <v>1</v>
      </c>
      <c r="F1751" s="2">
        <v>2</v>
      </c>
      <c r="G1751" s="2">
        <v>0</v>
      </c>
      <c r="H1751" s="1" t="s">
        <v>0</v>
      </c>
      <c r="I1751" s="2">
        <v>0</v>
      </c>
      <c r="J1751" s="1">
        <v>45915.378842592596</v>
      </c>
    </row>
    <row r="1752" spans="1:10" x14ac:dyDescent="0.2">
      <c r="A1752" s="4" t="s">
        <v>1</v>
      </c>
      <c r="B1752" s="3" t="str">
        <f>HYPERLINK("https://otsuka-europe-crm.veevavault.com/ui/#object/approved_document__v/V5OZ025E82TFUPI", "Spain - HCP Survey Email - June 2025")</f>
        <v>Spain - HCP Survey Email - June 2025</v>
      </c>
      <c r="C1752" s="3" t="str">
        <f>HYPERLINK("https://otsuka-europe-crm.veevavault.com/ui/#object/sent_email__v/VBLZ025E82GMYYT", "SE-000268839")</f>
        <v>SE-000268839</v>
      </c>
      <c r="D1752" s="1" t="s">
        <v>0</v>
      </c>
      <c r="E1752" s="2">
        <v>0</v>
      </c>
      <c r="F1752" s="2">
        <v>0</v>
      </c>
      <c r="G1752" s="2">
        <v>0</v>
      </c>
      <c r="H1752" s="1" t="s">
        <v>0</v>
      </c>
      <c r="I1752" s="2">
        <v>0</v>
      </c>
      <c r="J1752" s="1">
        <v>45915.378645833334</v>
      </c>
    </row>
    <row r="1753" spans="1:10" x14ac:dyDescent="0.2">
      <c r="A1753" s="4" t="s">
        <v>1</v>
      </c>
      <c r="B1753" s="3" t="str">
        <f>HYPERLINK("https://otsuka-europe-crm.veevavault.com/ui/#object/approved_document__v/V5OZ025E82TFUPI", "Spain - HCP Survey Email - June 2025")</f>
        <v>Spain - HCP Survey Email - June 2025</v>
      </c>
      <c r="C1753" s="3" t="str">
        <f>HYPERLINK("https://otsuka-europe-crm.veevavault.com/ui/#object/sent_email__v/VBLZ025E82GMYYU", "SE-000268840")</f>
        <v>SE-000268840</v>
      </c>
      <c r="D1753" s="1">
        <v>45915.381238425929</v>
      </c>
      <c r="E1753" s="2">
        <v>1</v>
      </c>
      <c r="F1753" s="2">
        <v>1</v>
      </c>
      <c r="G1753" s="2">
        <v>0</v>
      </c>
      <c r="H1753" s="1" t="s">
        <v>0</v>
      </c>
      <c r="I1753" s="2">
        <v>0</v>
      </c>
      <c r="J1753" s="1">
        <v>45915.379108796296</v>
      </c>
    </row>
    <row r="1754" spans="1:10" x14ac:dyDescent="0.2">
      <c r="A1754" s="4" t="s">
        <v>1</v>
      </c>
      <c r="B1754" s="3" t="str">
        <f>HYPERLINK("https://otsuka-europe-crm.veevavault.com/ui/#object/approved_document__v/V5OZ025E82TFUPI", "Spain - HCP Survey Email - June 2025")</f>
        <v>Spain - HCP Survey Email - June 2025</v>
      </c>
      <c r="C1754" s="3" t="str">
        <f>HYPERLINK("https://otsuka-europe-crm.veevavault.com/ui/#object/sent_email__v/VBLZ025E82GMYYV", "SE-000268841")</f>
        <v>SE-000268841</v>
      </c>
      <c r="D1754" s="1">
        <v>45915.945601851854</v>
      </c>
      <c r="E1754" s="2">
        <v>1</v>
      </c>
      <c r="F1754" s="2">
        <v>1</v>
      </c>
      <c r="G1754" s="2">
        <v>0</v>
      </c>
      <c r="H1754" s="1" t="s">
        <v>0</v>
      </c>
      <c r="I1754" s="2">
        <v>0</v>
      </c>
      <c r="J1754" s="1">
        <v>45915.377916666665</v>
      </c>
    </row>
    <row r="1755" spans="1:10" x14ac:dyDescent="0.2">
      <c r="A1755" s="4" t="s">
        <v>1</v>
      </c>
      <c r="B1755" s="3" t="str">
        <f>HYPERLINK("https://otsuka-europe-crm.veevavault.com/ui/#object/approved_document__v/V5OZ025E82TFUPI", "Spain - HCP Survey Email - June 2025")</f>
        <v>Spain - HCP Survey Email - June 2025</v>
      </c>
      <c r="C1755" s="3" t="str">
        <f>HYPERLINK("https://otsuka-europe-crm.veevavault.com/ui/#object/sent_email__v/VBLZ025E82GMYYW", "SE-000268842")</f>
        <v>SE-000268842</v>
      </c>
      <c r="D1755" s="1" t="s">
        <v>0</v>
      </c>
      <c r="E1755" s="2">
        <v>0</v>
      </c>
      <c r="F1755" s="2">
        <v>0</v>
      </c>
      <c r="G1755" s="2">
        <v>0</v>
      </c>
      <c r="H1755" s="1" t="s">
        <v>0</v>
      </c>
      <c r="I1755" s="2">
        <v>0</v>
      </c>
      <c r="J1755" s="1">
        <v>45915.378287037034</v>
      </c>
    </row>
    <row r="1756" spans="1:10" x14ac:dyDescent="0.2">
      <c r="A1756" s="4" t="s">
        <v>1</v>
      </c>
      <c r="B1756" s="3" t="str">
        <f>HYPERLINK("https://otsuka-europe-crm.veevavault.com/ui/#object/approved_document__v/V5OZ025E82TFUPI", "Spain - HCP Survey Email - June 2025")</f>
        <v>Spain - HCP Survey Email - June 2025</v>
      </c>
      <c r="C1756" s="3" t="str">
        <f>HYPERLINK("https://otsuka-europe-crm.veevavault.com/ui/#object/sent_email__v/VBLZ025E82GMYYX", "SE-000268843")</f>
        <v>SE-000268843</v>
      </c>
      <c r="D1756" s="1" t="s">
        <v>0</v>
      </c>
      <c r="E1756" s="2">
        <v>0</v>
      </c>
      <c r="F1756" s="2">
        <v>0</v>
      </c>
      <c r="G1756" s="2">
        <v>0</v>
      </c>
      <c r="H1756" s="1" t="s">
        <v>0</v>
      </c>
      <c r="I1756" s="2">
        <v>0</v>
      </c>
      <c r="J1756" s="1">
        <v>45915.378136574072</v>
      </c>
    </row>
    <row r="1757" spans="1:10" x14ac:dyDescent="0.2">
      <c r="A1757" s="4" t="s">
        <v>1</v>
      </c>
      <c r="B1757" s="3" t="str">
        <f>HYPERLINK("https://otsuka-europe-crm.veevavault.com/ui/#object/approved_document__v/V5OZ025E82TFUPI", "Spain - HCP Survey Email - June 2025")</f>
        <v>Spain - HCP Survey Email - June 2025</v>
      </c>
      <c r="C1757" s="3" t="str">
        <f>HYPERLINK("https://otsuka-europe-crm.veevavault.com/ui/#object/sent_email__v/VBLZ025E82GMYYY", "SE-000268844")</f>
        <v>SE-000268844</v>
      </c>
      <c r="D1757" s="1">
        <v>45915.617361111108</v>
      </c>
      <c r="E1757" s="2">
        <v>1</v>
      </c>
      <c r="F1757" s="2">
        <v>2</v>
      </c>
      <c r="G1757" s="2">
        <v>0</v>
      </c>
      <c r="H1757" s="1" t="s">
        <v>0</v>
      </c>
      <c r="I1757" s="2">
        <v>0</v>
      </c>
      <c r="J1757" s="1">
        <v>45915.378576388888</v>
      </c>
    </row>
    <row r="1758" spans="1:10" x14ac:dyDescent="0.2">
      <c r="A1758" s="4" t="s">
        <v>1</v>
      </c>
      <c r="B1758" s="3" t="str">
        <f>HYPERLINK("https://otsuka-europe-crm.veevavault.com/ui/#object/approved_document__v/V5OZ025E82TFUPI", "Spain - HCP Survey Email - June 2025")</f>
        <v>Spain - HCP Survey Email - June 2025</v>
      </c>
      <c r="C1758" s="3" t="str">
        <f>HYPERLINK("https://otsuka-europe-crm.veevavault.com/ui/#object/sent_email__v/VBLZ025E82GMYYZ", "SE-000268845")</f>
        <v>SE-000268845</v>
      </c>
      <c r="D1758" s="1">
        <v>45916.934155092589</v>
      </c>
      <c r="E1758" s="2">
        <v>1</v>
      </c>
      <c r="F1758" s="2">
        <v>1</v>
      </c>
      <c r="G1758" s="2">
        <v>0</v>
      </c>
      <c r="H1758" s="1" t="s">
        <v>0</v>
      </c>
      <c r="I1758" s="2">
        <v>0</v>
      </c>
      <c r="J1758" s="1">
        <v>45915.379849537036</v>
      </c>
    </row>
    <row r="1759" spans="1:10" x14ac:dyDescent="0.2">
      <c r="A1759" s="4" t="s">
        <v>1</v>
      </c>
      <c r="B1759" s="3" t="str">
        <f>HYPERLINK("https://otsuka-europe-crm.veevavault.com/ui/#object/approved_document__v/V5OZ025E82TFUPI", "Spain - HCP Survey Email - June 2025")</f>
        <v>Spain - HCP Survey Email - June 2025</v>
      </c>
      <c r="C1759" s="3" t="str">
        <f>HYPERLINK("https://otsuka-europe-crm.veevavault.com/ui/#object/sent_email__v/VBLZ025E82GMYZ0", "SE-000268846")</f>
        <v>SE-000268846</v>
      </c>
      <c r="D1759" s="1">
        <v>45915.75335648148</v>
      </c>
      <c r="E1759" s="2">
        <v>1</v>
      </c>
      <c r="F1759" s="2">
        <v>1</v>
      </c>
      <c r="G1759" s="2">
        <v>0</v>
      </c>
      <c r="H1759" s="1" t="s">
        <v>0</v>
      </c>
      <c r="I1759" s="2">
        <v>0</v>
      </c>
      <c r="J1759" s="1">
        <v>45915.379490740743</v>
      </c>
    </row>
    <row r="1760" spans="1:10" x14ac:dyDescent="0.2">
      <c r="A1760" s="4" t="s">
        <v>1</v>
      </c>
      <c r="B1760" s="3" t="str">
        <f>HYPERLINK("https://otsuka-europe-crm.veevavault.com/ui/#object/approved_document__v/V5OZ025E82TFUPI", "Spain - HCP Survey Email - June 2025")</f>
        <v>Spain - HCP Survey Email - June 2025</v>
      </c>
      <c r="C1760" s="3" t="str">
        <f>HYPERLINK("https://otsuka-europe-crm.veevavault.com/ui/#object/sent_email__v/VBLZ025E82GMYZ1", "SE-000268847")</f>
        <v>SE-000268847</v>
      </c>
      <c r="D1760" s="1">
        <v>45916.295023148145</v>
      </c>
      <c r="E1760" s="2">
        <v>1</v>
      </c>
      <c r="F1760" s="2">
        <v>1</v>
      </c>
      <c r="G1760" s="2">
        <v>0</v>
      </c>
      <c r="H1760" s="1" t="s">
        <v>0</v>
      </c>
      <c r="I1760" s="2">
        <v>0</v>
      </c>
      <c r="J1760" s="1">
        <v>45915.377500000002</v>
      </c>
    </row>
    <row r="1761" spans="1:10" x14ac:dyDescent="0.2">
      <c r="A1761" s="4" t="s">
        <v>1</v>
      </c>
      <c r="B1761" s="3" t="str">
        <f>HYPERLINK("https://otsuka-europe-crm.veevavault.com/ui/#object/approved_document__v/V5OZ025E82TFUPI", "Spain - HCP Survey Email - June 2025")</f>
        <v>Spain - HCP Survey Email - June 2025</v>
      </c>
      <c r="C1761" s="3" t="str">
        <f>HYPERLINK("https://otsuka-europe-crm.veevavault.com/ui/#object/sent_email__v/VBLZ025E82GMYZ2", "SE-000268848")</f>
        <v>SE-000268848</v>
      </c>
      <c r="D1761" s="1">
        <v>45937.75503472222</v>
      </c>
      <c r="E1761" s="2">
        <v>1</v>
      </c>
      <c r="F1761" s="2">
        <v>2</v>
      </c>
      <c r="G1761" s="2">
        <v>0</v>
      </c>
      <c r="H1761" s="1" t="s">
        <v>0</v>
      </c>
      <c r="I1761" s="2">
        <v>0</v>
      </c>
      <c r="J1761" s="1">
        <v>45915.37840277778</v>
      </c>
    </row>
    <row r="1762" spans="1:10" x14ac:dyDescent="0.2">
      <c r="A1762" s="4" t="s">
        <v>1</v>
      </c>
      <c r="B1762" s="3" t="str">
        <f>HYPERLINK("https://otsuka-europe-crm.veevavault.com/ui/#object/approved_document__v/V5OZ025E82TFUPI", "Spain - HCP Survey Email - June 2025")</f>
        <v>Spain - HCP Survey Email - June 2025</v>
      </c>
      <c r="C1762" s="3" t="str">
        <f>HYPERLINK("https://otsuka-europe-crm.veevavault.com/ui/#object/sent_email__v/VBLZ025E82GMYZ3", "SE-000268849")</f>
        <v>SE-000268849</v>
      </c>
      <c r="D1762" s="1">
        <v>45916.701678240737</v>
      </c>
      <c r="E1762" s="2">
        <v>1</v>
      </c>
      <c r="F1762" s="2">
        <v>1</v>
      </c>
      <c r="G1762" s="2">
        <v>0</v>
      </c>
      <c r="H1762" s="1" t="s">
        <v>0</v>
      </c>
      <c r="I1762" s="2">
        <v>0</v>
      </c>
      <c r="J1762" s="1">
        <v>45915.378865740742</v>
      </c>
    </row>
    <row r="1763" spans="1:10" x14ac:dyDescent="0.2">
      <c r="A1763" s="4" t="s">
        <v>1</v>
      </c>
      <c r="B1763" s="3" t="str">
        <f>HYPERLINK("https://otsuka-europe-crm.veevavault.com/ui/#object/approved_document__v/V5OZ025E82TFUPI", "Spain - HCP Survey Email - June 2025")</f>
        <v>Spain - HCP Survey Email - June 2025</v>
      </c>
      <c r="C1763" s="3" t="str">
        <f>HYPERLINK("https://otsuka-europe-crm.veevavault.com/ui/#object/sent_email__v/VBLZ025E82GMYZ4", "SE-000268850")</f>
        <v>SE-000268850</v>
      </c>
      <c r="D1763" s="1" t="s">
        <v>0</v>
      </c>
      <c r="E1763" s="2">
        <v>0</v>
      </c>
      <c r="F1763" s="2">
        <v>0</v>
      </c>
      <c r="G1763" s="2">
        <v>0</v>
      </c>
      <c r="H1763" s="1" t="s">
        <v>0</v>
      </c>
      <c r="I1763" s="2">
        <v>0</v>
      </c>
      <c r="J1763" s="1">
        <v>45915.37871527778</v>
      </c>
    </row>
    <row r="1764" spans="1:10" x14ac:dyDescent="0.2">
      <c r="A1764" s="4" t="s">
        <v>1</v>
      </c>
      <c r="B1764" s="3" t="str">
        <f>HYPERLINK("https://otsuka-europe-crm.veevavault.com/ui/#object/approved_document__v/V5OZ025E82TFUPI", "Spain - HCP Survey Email - June 2025")</f>
        <v>Spain - HCP Survey Email - June 2025</v>
      </c>
      <c r="C1764" s="3" t="str">
        <f>HYPERLINK("https://otsuka-europe-crm.veevavault.com/ui/#object/sent_email__v/VBLZ025E82GMYZ5", "SE-000268851")</f>
        <v>SE-000268851</v>
      </c>
      <c r="D1764" s="1">
        <v>45915.616215277776</v>
      </c>
      <c r="E1764" s="2">
        <v>1</v>
      </c>
      <c r="F1764" s="2">
        <v>3</v>
      </c>
      <c r="G1764" s="2">
        <v>0</v>
      </c>
      <c r="H1764" s="1" t="s">
        <v>0</v>
      </c>
      <c r="I1764" s="2">
        <v>0</v>
      </c>
      <c r="J1764" s="1">
        <v>45915.379270833335</v>
      </c>
    </row>
    <row r="1765" spans="1:10" x14ac:dyDescent="0.2">
      <c r="A1765" s="4" t="s">
        <v>1</v>
      </c>
      <c r="B1765" s="3" t="str">
        <f>HYPERLINK("https://otsuka-europe-crm.veevavault.com/ui/#object/approved_document__v/V5OZ025E82TFUPI", "Spain - HCP Survey Email - June 2025")</f>
        <v>Spain - HCP Survey Email - June 2025</v>
      </c>
      <c r="C1765" s="3" t="str">
        <f>HYPERLINK("https://otsuka-europe-crm.veevavault.com/ui/#object/sent_email__v/VBLZ025E82GMYZ6", "SE-000268852")</f>
        <v>SE-000268852</v>
      </c>
      <c r="D1765" s="1">
        <v>45915.388761574075</v>
      </c>
      <c r="E1765" s="2">
        <v>1</v>
      </c>
      <c r="F1765" s="2">
        <v>1</v>
      </c>
      <c r="G1765" s="2">
        <v>0</v>
      </c>
      <c r="H1765" s="1" t="s">
        <v>0</v>
      </c>
      <c r="I1765" s="2">
        <v>0</v>
      </c>
      <c r="J1765" s="1">
        <v>45915.377893518518</v>
      </c>
    </row>
    <row r="1766" spans="1:10" x14ac:dyDescent="0.2">
      <c r="A1766" s="4" t="s">
        <v>1</v>
      </c>
      <c r="B1766" s="3" t="str">
        <f>HYPERLINK("https://otsuka-europe-crm.veevavault.com/ui/#object/approved_document__v/V5OZ025E82TFUPI", "Spain - HCP Survey Email - June 2025")</f>
        <v>Spain - HCP Survey Email - June 2025</v>
      </c>
      <c r="C1766" s="3" t="str">
        <f>HYPERLINK("https://otsuka-europe-crm.veevavault.com/ui/#object/sent_email__v/VBLZ025E82GMYZ7", "SE-000268853")</f>
        <v>SE-000268853</v>
      </c>
      <c r="D1766" s="1">
        <v>45915.380509259259</v>
      </c>
      <c r="E1766" s="2">
        <v>1</v>
      </c>
      <c r="F1766" s="2">
        <v>1</v>
      </c>
      <c r="G1766" s="2">
        <v>0</v>
      </c>
      <c r="H1766" s="1" t="s">
        <v>0</v>
      </c>
      <c r="I1766" s="2">
        <v>0</v>
      </c>
      <c r="J1766" s="1">
        <v>45915.378379629627</v>
      </c>
    </row>
    <row r="1767" spans="1:10" x14ac:dyDescent="0.2">
      <c r="A1767" s="4" t="s">
        <v>1</v>
      </c>
      <c r="B1767" s="3" t="str">
        <f>HYPERLINK("https://otsuka-europe-crm.veevavault.com/ui/#object/approved_document__v/V5OZ025E82TFUPI", "Spain - HCP Survey Email - June 2025")</f>
        <v>Spain - HCP Survey Email - June 2025</v>
      </c>
      <c r="C1767" s="3" t="str">
        <f>HYPERLINK("https://otsuka-europe-crm.veevavault.com/ui/#object/sent_email__v/VBLZ025E82GMYZ8", "SE-000268854")</f>
        <v>SE-000268854</v>
      </c>
      <c r="D1767" s="1" t="s">
        <v>0</v>
      </c>
      <c r="E1767" s="2">
        <v>0</v>
      </c>
      <c r="F1767" s="2">
        <v>0</v>
      </c>
      <c r="G1767" s="2">
        <v>0</v>
      </c>
      <c r="H1767" s="1" t="s">
        <v>0</v>
      </c>
      <c r="I1767" s="2">
        <v>0</v>
      </c>
      <c r="J1767" s="1">
        <v>45915.378206018519</v>
      </c>
    </row>
    <row r="1768" spans="1:10" x14ac:dyDescent="0.2">
      <c r="A1768" s="4" t="s">
        <v>1</v>
      </c>
      <c r="B1768" s="3" t="str">
        <f>HYPERLINK("https://otsuka-europe-crm.veevavault.com/ui/#object/approved_document__v/V5OZ025E82TFUPI", "Spain - HCP Survey Email - June 2025")</f>
        <v>Spain - HCP Survey Email - June 2025</v>
      </c>
      <c r="C1768" s="3" t="str">
        <f>HYPERLINK("https://otsuka-europe-crm.veevavault.com/ui/#object/sent_email__v/VBLZ025E82GMYZ9", "SE-000268855")</f>
        <v>SE-000268855</v>
      </c>
      <c r="D1768" s="1">
        <v>45915.477210648147</v>
      </c>
      <c r="E1768" s="2">
        <v>1</v>
      </c>
      <c r="F1768" s="2">
        <v>1</v>
      </c>
      <c r="G1768" s="2">
        <v>0</v>
      </c>
      <c r="H1768" s="1" t="s">
        <v>0</v>
      </c>
      <c r="I1768" s="2">
        <v>0</v>
      </c>
      <c r="J1768" s="1">
        <v>45915.378622685188</v>
      </c>
    </row>
    <row r="1769" spans="1:10" x14ac:dyDescent="0.2">
      <c r="A1769" s="4" t="s">
        <v>1</v>
      </c>
      <c r="B1769" s="3" t="str">
        <f>HYPERLINK("https://otsuka-europe-crm.veevavault.com/ui/#object/approved_document__v/V5OZ025E82TFUPI", "Spain - HCP Survey Email - June 2025")</f>
        <v>Spain - HCP Survey Email - June 2025</v>
      </c>
      <c r="C1769" s="3" t="str">
        <f>HYPERLINK("https://otsuka-europe-crm.veevavault.com/ui/#object/sent_email__v/VBLZ025E82GMYZA", "SE-000268856")</f>
        <v>SE-000268856</v>
      </c>
      <c r="D1769" s="1" t="s">
        <v>0</v>
      </c>
      <c r="E1769" s="2">
        <v>0</v>
      </c>
      <c r="F1769" s="2">
        <v>0</v>
      </c>
      <c r="G1769" s="2">
        <v>0</v>
      </c>
      <c r="H1769" s="1" t="s">
        <v>0</v>
      </c>
      <c r="I1769" s="2">
        <v>0</v>
      </c>
      <c r="J1769" s="1">
        <v>45915.38</v>
      </c>
    </row>
    <row r="1770" spans="1:10" x14ac:dyDescent="0.2">
      <c r="A1770" s="4" t="s">
        <v>1</v>
      </c>
      <c r="B1770" s="3" t="str">
        <f>HYPERLINK("https://otsuka-europe-crm.veevavault.com/ui/#object/approved_document__v/V5OZ025E82TFUPI", "Spain - HCP Survey Email - June 2025")</f>
        <v>Spain - HCP Survey Email - June 2025</v>
      </c>
      <c r="C1770" s="3" t="str">
        <f>HYPERLINK("https://otsuka-europe-crm.veevavault.com/ui/#object/sent_email__v/VBLZ025E82GMYZB", "SE-000268857")</f>
        <v>SE-000268857</v>
      </c>
      <c r="D1770" s="1">
        <v>45915.605983796297</v>
      </c>
      <c r="E1770" s="2">
        <v>1</v>
      </c>
      <c r="F1770" s="2">
        <v>1</v>
      </c>
      <c r="G1770" s="2">
        <v>0</v>
      </c>
      <c r="H1770" s="1" t="s">
        <v>0</v>
      </c>
      <c r="I1770" s="2">
        <v>0</v>
      </c>
      <c r="J1770" s="1">
        <v>45915.379293981481</v>
      </c>
    </row>
    <row r="1771" spans="1:10" x14ac:dyDescent="0.2">
      <c r="A1771" s="4" t="s">
        <v>1</v>
      </c>
      <c r="B1771" s="3" t="str">
        <f>HYPERLINK("https://otsuka-europe-crm.veevavault.com/ui/#object/approved_document__v/V5OZ025E82TFUPI", "Spain - HCP Survey Email - June 2025")</f>
        <v>Spain - HCP Survey Email - June 2025</v>
      </c>
      <c r="C1771" s="3" t="str">
        <f>HYPERLINK("https://otsuka-europe-crm.veevavault.com/ui/#object/sent_email__v/VBLZ025E82GMYZC", "SE-000268858")</f>
        <v>SE-000268858</v>
      </c>
      <c r="D1771" s="1">
        <v>45915.387048611112</v>
      </c>
      <c r="E1771" s="2">
        <v>1</v>
      </c>
      <c r="F1771" s="2">
        <v>1</v>
      </c>
      <c r="G1771" s="2">
        <v>0</v>
      </c>
      <c r="H1771" s="1" t="s">
        <v>0</v>
      </c>
      <c r="I1771" s="2">
        <v>0</v>
      </c>
      <c r="J1771" s="1">
        <v>45915.377430555556</v>
      </c>
    </row>
    <row r="1772" spans="1:10" x14ac:dyDescent="0.2">
      <c r="A1772" s="4" t="s">
        <v>1</v>
      </c>
      <c r="B1772" s="3" t="str">
        <f>HYPERLINK("https://otsuka-europe-crm.veevavault.com/ui/#object/approved_document__v/V5OZ025E82TFUPI", "Spain - HCP Survey Email - June 2025")</f>
        <v>Spain - HCP Survey Email - June 2025</v>
      </c>
      <c r="C1772" s="3" t="str">
        <f>HYPERLINK("https://otsuka-europe-crm.veevavault.com/ui/#object/sent_email__v/VBLZ025E82GMYZD", "SE-000268859")</f>
        <v>SE-000268859</v>
      </c>
      <c r="D1772" s="1">
        <v>45915.524236111109</v>
      </c>
      <c r="E1772" s="2">
        <v>1</v>
      </c>
      <c r="F1772" s="2">
        <v>2</v>
      </c>
      <c r="G1772" s="2">
        <v>0</v>
      </c>
      <c r="H1772" s="1" t="s">
        <v>0</v>
      </c>
      <c r="I1772" s="2">
        <v>0</v>
      </c>
      <c r="J1772" s="1">
        <v>45915.378310185188</v>
      </c>
    </row>
    <row r="1773" spans="1:10" x14ac:dyDescent="0.2">
      <c r="A1773" s="4" t="s">
        <v>1</v>
      </c>
      <c r="B1773" s="3" t="str">
        <f>HYPERLINK("https://otsuka-europe-crm.veevavault.com/ui/#object/approved_document__v/V5OZ025E82TFUPI", "Spain - HCP Survey Email - June 2025")</f>
        <v>Spain - HCP Survey Email - June 2025</v>
      </c>
      <c r="C1773" s="3" t="str">
        <f>HYPERLINK("https://otsuka-europe-crm.veevavault.com/ui/#object/sent_email__v/VBLZ025E82GMYZE", "SE-000268860")</f>
        <v>SE-000268860</v>
      </c>
      <c r="D1773" s="1" t="s">
        <v>0</v>
      </c>
      <c r="E1773" s="2">
        <v>0</v>
      </c>
      <c r="F1773" s="2">
        <v>0</v>
      </c>
      <c r="G1773" s="2">
        <v>0</v>
      </c>
      <c r="H1773" s="1" t="s">
        <v>0</v>
      </c>
      <c r="I1773" s="2">
        <v>0</v>
      </c>
      <c r="J1773" s="1">
        <v>45915.378912037035</v>
      </c>
    </row>
    <row r="1774" spans="1:10" x14ac:dyDescent="0.2">
      <c r="A1774" s="4" t="s">
        <v>1</v>
      </c>
      <c r="B1774" s="3" t="str">
        <f>HYPERLINK("https://otsuka-europe-crm.veevavault.com/ui/#object/approved_document__v/V5OZ025E82TFUPI", "Spain - HCP Survey Email - June 2025")</f>
        <v>Spain - HCP Survey Email - June 2025</v>
      </c>
      <c r="C1774" s="3" t="str">
        <f>HYPERLINK("https://otsuka-europe-crm.veevavault.com/ui/#object/sent_email__v/VBLZ025E82GMYZF", "SE-000268861")</f>
        <v>SE-000268861</v>
      </c>
      <c r="D1774" s="1" t="s">
        <v>0</v>
      </c>
      <c r="E1774" s="2">
        <v>0</v>
      </c>
      <c r="F1774" s="2">
        <v>0</v>
      </c>
      <c r="G1774" s="2">
        <v>0</v>
      </c>
      <c r="H1774" s="1" t="s">
        <v>0</v>
      </c>
      <c r="I1774" s="2">
        <v>0</v>
      </c>
      <c r="J1774" s="1">
        <v>45915.378692129627</v>
      </c>
    </row>
    <row r="1775" spans="1:10" x14ac:dyDescent="0.2">
      <c r="A1775" s="4" t="s">
        <v>1</v>
      </c>
      <c r="B1775" s="3" t="str">
        <f>HYPERLINK("https://otsuka-europe-crm.veevavault.com/ui/#object/approved_document__v/V5OZ025E82TFUPI", "Spain - HCP Survey Email - June 2025")</f>
        <v>Spain - HCP Survey Email - June 2025</v>
      </c>
      <c r="C1775" s="3" t="str">
        <f>HYPERLINK("https://otsuka-europe-crm.veevavault.com/ui/#object/sent_email__v/VBLZ025E82GMYZG", "SE-000268862")</f>
        <v>SE-000268862</v>
      </c>
      <c r="D1775" s="1">
        <v>45915.722233796296</v>
      </c>
      <c r="E1775" s="2">
        <v>1</v>
      </c>
      <c r="F1775" s="2">
        <v>2</v>
      </c>
      <c r="G1775" s="2">
        <v>0</v>
      </c>
      <c r="H1775" s="1" t="s">
        <v>0</v>
      </c>
      <c r="I1775" s="2">
        <v>0</v>
      </c>
      <c r="J1775" s="1">
        <v>45915.379282407404</v>
      </c>
    </row>
    <row r="1776" spans="1:10" x14ac:dyDescent="0.2">
      <c r="A1776" s="4" t="s">
        <v>1</v>
      </c>
      <c r="B1776" s="3" t="str">
        <f>HYPERLINK("https://otsuka-europe-crm.veevavault.com/ui/#object/approved_document__v/V5OZ025E82TFUPI", "Spain - HCP Survey Email - June 2025")</f>
        <v>Spain - HCP Survey Email - June 2025</v>
      </c>
      <c r="C1776" s="3" t="str">
        <f>HYPERLINK("https://otsuka-europe-crm.veevavault.com/ui/#object/sent_email__v/VBLZ025E82GMYZH", "SE-000268863")</f>
        <v>SE-000268863</v>
      </c>
      <c r="D1776" s="1">
        <v>45939.693657407406</v>
      </c>
      <c r="E1776" s="2">
        <v>1</v>
      </c>
      <c r="F1776" s="2">
        <v>7</v>
      </c>
      <c r="G1776" s="2">
        <v>0</v>
      </c>
      <c r="H1776" s="1" t="s">
        <v>0</v>
      </c>
      <c r="I1776" s="2">
        <v>0</v>
      </c>
      <c r="J1776" s="1">
        <v>45915.377881944441</v>
      </c>
    </row>
    <row r="1777" spans="1:10" x14ac:dyDescent="0.2">
      <c r="A1777" s="4" t="s">
        <v>1</v>
      </c>
      <c r="B1777" s="3" t="str">
        <f>HYPERLINK("https://otsuka-europe-crm.veevavault.com/ui/#object/approved_document__v/V5OZ025E82TFUPI", "Spain - HCP Survey Email - June 2025")</f>
        <v>Spain - HCP Survey Email - June 2025</v>
      </c>
      <c r="C1777" s="3" t="str">
        <f>HYPERLINK("https://otsuka-europe-crm.veevavault.com/ui/#object/sent_email__v/VBLZ025E82GMYZI", "SE-000268864")</f>
        <v>SE-000268864</v>
      </c>
      <c r="D1777" s="1" t="s">
        <v>0</v>
      </c>
      <c r="E1777" s="2">
        <v>0</v>
      </c>
      <c r="F1777" s="2">
        <v>0</v>
      </c>
      <c r="G1777" s="2">
        <v>0</v>
      </c>
      <c r="H1777" s="1" t="s">
        <v>0</v>
      </c>
      <c r="I1777" s="2">
        <v>0</v>
      </c>
      <c r="J1777" s="1">
        <v>45915.378298611111</v>
      </c>
    </row>
    <row r="1778" spans="1:10" x14ac:dyDescent="0.2">
      <c r="A1778" s="4" t="s">
        <v>1</v>
      </c>
      <c r="B1778" s="3" t="str">
        <f>HYPERLINK("https://otsuka-europe-crm.veevavault.com/ui/#object/approved_document__v/V5OZ025E82TFUPI", "Spain - HCP Survey Email - June 2025")</f>
        <v>Spain - HCP Survey Email - June 2025</v>
      </c>
      <c r="C1778" s="3" t="str">
        <f>HYPERLINK("https://otsuka-europe-crm.veevavault.com/ui/#object/sent_email__v/VBLZ025E82GMYZJ", "SE-000268865")</f>
        <v>SE-000268865</v>
      </c>
      <c r="D1778" s="1" t="s">
        <v>0</v>
      </c>
      <c r="E1778" s="2">
        <v>0</v>
      </c>
      <c r="F1778" s="2">
        <v>0</v>
      </c>
      <c r="G1778" s="2">
        <v>0</v>
      </c>
      <c r="H1778" s="1" t="s">
        <v>0</v>
      </c>
      <c r="I1778" s="2">
        <v>0</v>
      </c>
      <c r="J1778" s="1">
        <v>45915.378854166665</v>
      </c>
    </row>
    <row r="1779" spans="1:10" x14ac:dyDescent="0.2">
      <c r="A1779" s="4" t="s">
        <v>1</v>
      </c>
      <c r="B1779" s="3" t="str">
        <f>HYPERLINK("https://otsuka-europe-crm.veevavault.com/ui/#object/approved_document__v/V5OZ025E82TFUPI", "Spain - HCP Survey Email - June 2025")</f>
        <v>Spain - HCP Survey Email - June 2025</v>
      </c>
      <c r="C1779" s="3" t="str">
        <f>HYPERLINK("https://otsuka-europe-crm.veevavault.com/ui/#object/sent_email__v/VBLZ025E82GMYZK", "SE-000268866")</f>
        <v>SE-000268866</v>
      </c>
      <c r="D1779" s="1" t="s">
        <v>0</v>
      </c>
      <c r="E1779" s="2">
        <v>0</v>
      </c>
      <c r="F1779" s="2">
        <v>0</v>
      </c>
      <c r="G1779" s="2">
        <v>0</v>
      </c>
      <c r="H1779" s="1" t="s">
        <v>0</v>
      </c>
      <c r="I1779" s="2">
        <v>0</v>
      </c>
      <c r="J1779" s="1">
        <v>45915.378599537034</v>
      </c>
    </row>
    <row r="1780" spans="1:10" x14ac:dyDescent="0.2">
      <c r="A1780" s="4" t="s">
        <v>1</v>
      </c>
      <c r="B1780" s="3" t="str">
        <f>HYPERLINK("https://otsuka-europe-crm.veevavault.com/ui/#object/approved_document__v/V5OZ025E82TFUPI", "Spain - HCP Survey Email - June 2025")</f>
        <v>Spain - HCP Survey Email - June 2025</v>
      </c>
      <c r="C1780" s="3" t="str">
        <f>HYPERLINK("https://otsuka-europe-crm.veevavault.com/ui/#object/sent_email__v/VBLZ025E82GMYZL", "SE-000268867")</f>
        <v>SE-000268867</v>
      </c>
      <c r="D1780" s="1">
        <v>45915.394293981481</v>
      </c>
      <c r="E1780" s="2">
        <v>1</v>
      </c>
      <c r="F1780" s="2">
        <v>1</v>
      </c>
      <c r="G1780" s="2">
        <v>1</v>
      </c>
      <c r="H1780" s="1">
        <v>45915.394293981481</v>
      </c>
      <c r="I1780" s="2">
        <v>1</v>
      </c>
      <c r="J1780" s="1">
        <v>45915.379247685189</v>
      </c>
    </row>
    <row r="1781" spans="1:10" x14ac:dyDescent="0.2">
      <c r="A1781" s="4" t="s">
        <v>1</v>
      </c>
      <c r="B1781" s="3" t="str">
        <f>HYPERLINK("https://otsuka-europe-crm.veevavault.com/ui/#object/approved_document__v/V5OZ025E82TFUPI", "Spain - HCP Survey Email - June 2025")</f>
        <v>Spain - HCP Survey Email - June 2025</v>
      </c>
      <c r="C1781" s="3" t="str">
        <f>HYPERLINK("https://otsuka-europe-crm.veevavault.com/ui/#object/sent_email__v/VBLZ025E82GMYZM", "SE-000268868")</f>
        <v>SE-000268868</v>
      </c>
      <c r="D1781" s="1" t="s">
        <v>0</v>
      </c>
      <c r="E1781" s="2">
        <v>0</v>
      </c>
      <c r="F1781" s="2">
        <v>0</v>
      </c>
      <c r="G1781" s="2">
        <v>0</v>
      </c>
      <c r="H1781" s="1" t="s">
        <v>0</v>
      </c>
      <c r="I1781" s="2">
        <v>0</v>
      </c>
      <c r="J1781" s="1">
        <v>45915.377870370372</v>
      </c>
    </row>
    <row r="1782" spans="1:10" x14ac:dyDescent="0.2">
      <c r="A1782" s="4" t="s">
        <v>1</v>
      </c>
      <c r="B1782" s="3" t="str">
        <f>HYPERLINK("https://otsuka-europe-crm.veevavault.com/ui/#object/approved_document__v/V5OZ025E82TFUPI", "Spain - HCP Survey Email - June 2025")</f>
        <v>Spain - HCP Survey Email - June 2025</v>
      </c>
      <c r="C1782" s="3" t="str">
        <f>HYPERLINK("https://otsuka-europe-crm.veevavault.com/ui/#object/sent_email__v/VBLZ025E82GMYZN", "SE-000268869")</f>
        <v>SE-000268869</v>
      </c>
      <c r="D1782" s="1" t="s">
        <v>0</v>
      </c>
      <c r="E1782" s="2">
        <v>0</v>
      </c>
      <c r="F1782" s="2">
        <v>0</v>
      </c>
      <c r="G1782" s="2">
        <v>0</v>
      </c>
      <c r="H1782" s="1" t="s">
        <v>0</v>
      </c>
      <c r="I1782" s="2">
        <v>0</v>
      </c>
      <c r="J1782" s="1">
        <v>45915.378310185188</v>
      </c>
    </row>
    <row r="1783" spans="1:10" x14ac:dyDescent="0.2">
      <c r="A1783" s="4" t="s">
        <v>1</v>
      </c>
      <c r="B1783" s="3" t="str">
        <f>HYPERLINK("https://otsuka-europe-crm.veevavault.com/ui/#object/approved_document__v/V5OZ025E82TFUPI", "Spain - HCP Survey Email - June 2025")</f>
        <v>Spain - HCP Survey Email - June 2025</v>
      </c>
      <c r="C1783" s="3" t="str">
        <f>HYPERLINK("https://otsuka-europe-crm.veevavault.com/ui/#object/sent_email__v/VBLZ025E82GMYZO", "SE-000268870")</f>
        <v>SE-000268870</v>
      </c>
      <c r="D1783" s="1" t="s">
        <v>0</v>
      </c>
      <c r="E1783" s="2">
        <v>0</v>
      </c>
      <c r="F1783" s="2">
        <v>0</v>
      </c>
      <c r="G1783" s="2">
        <v>0</v>
      </c>
      <c r="H1783" s="1" t="s">
        <v>0</v>
      </c>
      <c r="I1783" s="2">
        <v>0</v>
      </c>
      <c r="J1783" s="1">
        <v>45915.378159722219</v>
      </c>
    </row>
    <row r="1784" spans="1:10" x14ac:dyDescent="0.2">
      <c r="A1784" s="4" t="s">
        <v>1</v>
      </c>
      <c r="B1784" s="3" t="str">
        <f>HYPERLINK("https://otsuka-europe-crm.veevavault.com/ui/#object/approved_document__v/V5OZ025E82TFUPI", "Spain - HCP Survey Email - June 2025")</f>
        <v>Spain - HCP Survey Email - June 2025</v>
      </c>
      <c r="C1784" s="3" t="str">
        <f>HYPERLINK("https://otsuka-europe-crm.veevavault.com/ui/#object/sent_email__v/VBLZ025E82GMYZP", "SE-000268871")</f>
        <v>SE-000268871</v>
      </c>
      <c r="D1784" s="1" t="s">
        <v>0</v>
      </c>
      <c r="E1784" s="2">
        <v>0</v>
      </c>
      <c r="F1784" s="2">
        <v>0</v>
      </c>
      <c r="G1784" s="2">
        <v>0</v>
      </c>
      <c r="H1784" s="1" t="s">
        <v>0</v>
      </c>
      <c r="I1784" s="2">
        <v>0</v>
      </c>
      <c r="J1784" s="1">
        <v>45915.378564814811</v>
      </c>
    </row>
    <row r="1785" spans="1:10" x14ac:dyDescent="0.2">
      <c r="A1785" s="4" t="s">
        <v>1</v>
      </c>
      <c r="B1785" s="3" t="str">
        <f>HYPERLINK("https://otsuka-europe-crm.veevavault.com/ui/#object/approved_document__v/V5OZ025E82TFUPI", "Spain - HCP Survey Email - June 2025")</f>
        <v>Spain - HCP Survey Email - June 2025</v>
      </c>
      <c r="C1785" s="3" t="str">
        <f>HYPERLINK("https://otsuka-europe-crm.veevavault.com/ui/#object/sent_email__v/VBLZ025E82GMYZQ", "SE-000268872")</f>
        <v>SE-000268872</v>
      </c>
      <c r="D1785" s="1">
        <v>45929.938692129632</v>
      </c>
      <c r="E1785" s="2">
        <v>1</v>
      </c>
      <c r="F1785" s="2">
        <v>2</v>
      </c>
      <c r="G1785" s="2">
        <v>0</v>
      </c>
      <c r="H1785" s="1" t="s">
        <v>0</v>
      </c>
      <c r="I1785" s="2">
        <v>0</v>
      </c>
      <c r="J1785" s="1">
        <v>45915.37972222222</v>
      </c>
    </row>
    <row r="1786" spans="1:10" x14ac:dyDescent="0.2">
      <c r="A1786" s="4" t="s">
        <v>1</v>
      </c>
      <c r="B1786" s="3" t="str">
        <f>HYPERLINK("https://otsuka-europe-crm.veevavault.com/ui/#object/approved_document__v/V5OZ025E82TFUPI", "Spain - HCP Survey Email - June 2025")</f>
        <v>Spain - HCP Survey Email - June 2025</v>
      </c>
      <c r="C1786" s="3" t="str">
        <f>HYPERLINK("https://otsuka-europe-crm.veevavault.com/ui/#object/sent_email__v/VBLZ025E82GMYZR", "SE-000268873")</f>
        <v>SE-000268873</v>
      </c>
      <c r="D1786" s="1" t="s">
        <v>0</v>
      </c>
      <c r="E1786" s="2">
        <v>0</v>
      </c>
      <c r="F1786" s="2">
        <v>0</v>
      </c>
      <c r="G1786" s="2">
        <v>0</v>
      </c>
      <c r="H1786" s="1" t="s">
        <v>0</v>
      </c>
      <c r="I1786" s="2">
        <v>0</v>
      </c>
      <c r="J1786" s="1">
        <v>45915.379386574074</v>
      </c>
    </row>
    <row r="1787" spans="1:10" x14ac:dyDescent="0.2">
      <c r="A1787" s="4" t="s">
        <v>1</v>
      </c>
      <c r="B1787" s="3" t="str">
        <f>HYPERLINK("https://otsuka-europe-crm.veevavault.com/ui/#object/approved_document__v/V5OZ025E82TFUPI", "Spain - HCP Survey Email - June 2025")</f>
        <v>Spain - HCP Survey Email - June 2025</v>
      </c>
      <c r="C1787" s="3" t="str">
        <f>HYPERLINK("https://otsuka-europe-crm.veevavault.com/ui/#object/sent_email__v/VBLZ025E82GMYZS", "SE-000268874")</f>
        <v>SE-000268874</v>
      </c>
      <c r="D1787" s="1" t="s">
        <v>0</v>
      </c>
      <c r="E1787" s="2">
        <v>0</v>
      </c>
      <c r="F1787" s="2">
        <v>0</v>
      </c>
      <c r="G1787" s="2">
        <v>0</v>
      </c>
      <c r="H1787" s="1" t="s">
        <v>0</v>
      </c>
      <c r="I1787" s="2">
        <v>0</v>
      </c>
      <c r="J1787" s="1">
        <v>45915.377453703702</v>
      </c>
    </row>
    <row r="1788" spans="1:10" x14ac:dyDescent="0.2">
      <c r="A1788" s="4" t="s">
        <v>1</v>
      </c>
      <c r="B1788" s="3" t="str">
        <f>HYPERLINK("https://otsuka-europe-crm.veevavault.com/ui/#object/approved_document__v/V5OZ025E82TFUPI", "Spain - HCP Survey Email - June 2025")</f>
        <v>Spain - HCP Survey Email - June 2025</v>
      </c>
      <c r="C1788" s="3" t="str">
        <f>HYPERLINK("https://otsuka-europe-crm.veevavault.com/ui/#object/sent_email__v/VBLZ025E82GMYZT", "SE-000268875")</f>
        <v>SE-000268875</v>
      </c>
      <c r="D1788" s="1" t="s">
        <v>0</v>
      </c>
      <c r="E1788" s="2">
        <v>0</v>
      </c>
      <c r="F1788" s="2">
        <v>0</v>
      </c>
      <c r="G1788" s="2">
        <v>0</v>
      </c>
      <c r="H1788" s="1" t="s">
        <v>0</v>
      </c>
      <c r="I1788" s="2">
        <v>0</v>
      </c>
      <c r="J1788" s="1">
        <v>45915.37841435185</v>
      </c>
    </row>
    <row r="1789" spans="1:10" x14ac:dyDescent="0.2">
      <c r="A1789" s="4" t="s">
        <v>1</v>
      </c>
      <c r="B1789" s="3" t="str">
        <f>HYPERLINK("https://otsuka-europe-crm.veevavault.com/ui/#object/approved_document__v/V5OZ025E82TFUPI", "Spain - HCP Survey Email - June 2025")</f>
        <v>Spain - HCP Survey Email - June 2025</v>
      </c>
      <c r="C1789" s="3" t="str">
        <f>HYPERLINK("https://otsuka-europe-crm.veevavault.com/ui/#object/sent_email__v/VBLZ025E82GMYZU", "SE-000268876")</f>
        <v>SE-000268876</v>
      </c>
      <c r="D1789" s="1">
        <v>45916.956932870373</v>
      </c>
      <c r="E1789" s="2">
        <v>1</v>
      </c>
      <c r="F1789" s="2">
        <v>2</v>
      </c>
      <c r="G1789" s="2">
        <v>0</v>
      </c>
      <c r="H1789" s="1" t="s">
        <v>0</v>
      </c>
      <c r="I1789" s="2">
        <v>0</v>
      </c>
      <c r="J1789" s="1">
        <v>45915.378865740742</v>
      </c>
    </row>
    <row r="1790" spans="1:10" x14ac:dyDescent="0.2">
      <c r="A1790" s="4" t="s">
        <v>1</v>
      </c>
      <c r="B1790" s="3" t="str">
        <f>HYPERLINK("https://otsuka-europe-crm.veevavault.com/ui/#object/approved_document__v/V5OZ025E82TFUPI", "Spain - HCP Survey Email - June 2025")</f>
        <v>Spain - HCP Survey Email - June 2025</v>
      </c>
      <c r="C1790" s="3" t="str">
        <f>HYPERLINK("https://otsuka-europe-crm.veevavault.com/ui/#object/sent_email__v/VBLZ025E82GMYZV", "SE-000268877")</f>
        <v>SE-000268877</v>
      </c>
      <c r="D1790" s="1">
        <v>45915.38113425926</v>
      </c>
      <c r="E1790" s="2">
        <v>1</v>
      </c>
      <c r="F1790" s="2">
        <v>1</v>
      </c>
      <c r="G1790" s="2">
        <v>0</v>
      </c>
      <c r="H1790" s="1" t="s">
        <v>0</v>
      </c>
      <c r="I1790" s="2">
        <v>0</v>
      </c>
      <c r="J1790" s="1">
        <v>45915.378668981481</v>
      </c>
    </row>
    <row r="1791" spans="1:10" x14ac:dyDescent="0.2">
      <c r="A1791" s="4" t="s">
        <v>1</v>
      </c>
      <c r="B1791" s="3" t="str">
        <f>HYPERLINK("https://otsuka-europe-crm.veevavault.com/ui/#object/approved_document__v/V5OZ025E82TFUPI", "Spain - HCP Survey Email - June 2025")</f>
        <v>Spain - HCP Survey Email - June 2025</v>
      </c>
      <c r="C1791" s="3" t="str">
        <f>HYPERLINK("https://otsuka-europe-crm.veevavault.com/ui/#object/sent_email__v/VBLZ025E82GMYZW", "SE-000268878")</f>
        <v>SE-000268878</v>
      </c>
      <c r="D1791" s="1" t="s">
        <v>0</v>
      </c>
      <c r="E1791" s="2">
        <v>0</v>
      </c>
      <c r="F1791" s="2">
        <v>0</v>
      </c>
      <c r="G1791" s="2">
        <v>0</v>
      </c>
      <c r="H1791" s="1" t="s">
        <v>0</v>
      </c>
      <c r="I1791" s="2">
        <v>0</v>
      </c>
      <c r="J1791" s="1">
        <v>45915.379155092596</v>
      </c>
    </row>
    <row r="1792" spans="1:10" x14ac:dyDescent="0.2">
      <c r="A1792" s="4" t="s">
        <v>1</v>
      </c>
      <c r="B1792" s="3" t="str">
        <f>HYPERLINK("https://otsuka-europe-crm.veevavault.com/ui/#object/approved_document__v/V5OZ025E82TFUPI", "Spain - HCP Survey Email - June 2025")</f>
        <v>Spain - HCP Survey Email - June 2025</v>
      </c>
      <c r="C1792" s="3" t="str">
        <f>HYPERLINK("https://otsuka-europe-crm.veevavault.com/ui/#object/sent_email__v/VBLZ025E82GMYZX", "SE-000268879")</f>
        <v>SE-000268879</v>
      </c>
      <c r="D1792" s="1" t="s">
        <v>0</v>
      </c>
      <c r="E1792" s="2">
        <v>0</v>
      </c>
      <c r="F1792" s="2">
        <v>0</v>
      </c>
      <c r="G1792" s="2">
        <v>0</v>
      </c>
      <c r="H1792" s="1" t="s">
        <v>0</v>
      </c>
      <c r="I1792" s="2">
        <v>0</v>
      </c>
      <c r="J1792" s="1">
        <v>45915.377881944441</v>
      </c>
    </row>
    <row r="1793" spans="1:10" x14ac:dyDescent="0.2">
      <c r="A1793" s="4" t="s">
        <v>1</v>
      </c>
      <c r="B1793" s="3" t="str">
        <f>HYPERLINK("https://otsuka-europe-crm.veevavault.com/ui/#object/approved_document__v/V5OZ025E82TFUPI", "Spain - HCP Survey Email - June 2025")</f>
        <v>Spain - HCP Survey Email - June 2025</v>
      </c>
      <c r="C1793" s="3" t="str">
        <f>HYPERLINK("https://otsuka-europe-crm.veevavault.com/ui/#object/sent_email__v/VBLZ025E82GMYZY", "SE-000268880")</f>
        <v>SE-000268880</v>
      </c>
      <c r="D1793" s="1">
        <v>45915.574502314812</v>
      </c>
      <c r="E1793" s="2">
        <v>1</v>
      </c>
      <c r="F1793" s="2">
        <v>1</v>
      </c>
      <c r="G1793" s="2">
        <v>0</v>
      </c>
      <c r="H1793" s="1" t="s">
        <v>0</v>
      </c>
      <c r="I1793" s="2">
        <v>0</v>
      </c>
      <c r="J1793" s="1">
        <v>45915.378287037034</v>
      </c>
    </row>
    <row r="1794" spans="1:10" x14ac:dyDescent="0.2">
      <c r="A1794" s="4" t="s">
        <v>1</v>
      </c>
      <c r="B1794" s="3" t="str">
        <f>HYPERLINK("https://otsuka-europe-crm.veevavault.com/ui/#object/approved_document__v/V5OZ025E82TFUPI", "Spain - HCP Survey Email - June 2025")</f>
        <v>Spain - HCP Survey Email - June 2025</v>
      </c>
      <c r="C1794" s="3" t="str">
        <f>HYPERLINK("https://otsuka-europe-crm.veevavault.com/ui/#object/sent_email__v/VBLZ025E82GMYZZ", "SE-000268881")</f>
        <v>SE-000268881</v>
      </c>
      <c r="D1794" s="1" t="s">
        <v>0</v>
      </c>
      <c r="E1794" s="2">
        <v>0</v>
      </c>
      <c r="F1794" s="2">
        <v>0</v>
      </c>
      <c r="G1794" s="2">
        <v>0</v>
      </c>
      <c r="H1794" s="1" t="s">
        <v>0</v>
      </c>
      <c r="I1794" s="2">
        <v>0</v>
      </c>
      <c r="J1794" s="1">
        <v>45915.378125000003</v>
      </c>
    </row>
    <row r="1795" spans="1:10" x14ac:dyDescent="0.2">
      <c r="A1795" s="4" t="s">
        <v>1</v>
      </c>
      <c r="B1795" s="3" t="str">
        <f>HYPERLINK("https://otsuka-europe-crm.veevavault.com/ui/#object/approved_document__v/V5OZ025E82TFUPI", "Spain - HCP Survey Email - June 2025")</f>
        <v>Spain - HCP Survey Email - June 2025</v>
      </c>
      <c r="C1795" s="3" t="str">
        <f>HYPERLINK("https://otsuka-europe-crm.veevavault.com/ui/#object/sent_email__v/VBLZ025E82GMZ00", "SE-000268882")</f>
        <v>SE-000268882</v>
      </c>
      <c r="D1795" s="1">
        <v>45916.003842592596</v>
      </c>
      <c r="E1795" s="2">
        <v>1</v>
      </c>
      <c r="F1795" s="2">
        <v>1</v>
      </c>
      <c r="G1795" s="2">
        <v>0</v>
      </c>
      <c r="H1795" s="1" t="s">
        <v>0</v>
      </c>
      <c r="I1795" s="2">
        <v>0</v>
      </c>
      <c r="J1795" s="1">
        <v>45915.378553240742</v>
      </c>
    </row>
    <row r="1796" spans="1:10" x14ac:dyDescent="0.2">
      <c r="A1796" s="4" t="s">
        <v>1</v>
      </c>
      <c r="B1796" s="3" t="str">
        <f>HYPERLINK("https://otsuka-europe-crm.veevavault.com/ui/#object/approved_document__v/V5OZ025E82TFUPI", "Spain - HCP Survey Email - June 2025")</f>
        <v>Spain - HCP Survey Email - June 2025</v>
      </c>
      <c r="C1796" s="3" t="str">
        <f>HYPERLINK("https://otsuka-europe-crm.veevavault.com/ui/#object/sent_email__v/VBLZ025E82GMZ01", "SE-000268883")</f>
        <v>SE-000268883</v>
      </c>
      <c r="D1796" s="1" t="s">
        <v>0</v>
      </c>
      <c r="E1796" s="2">
        <v>0</v>
      </c>
      <c r="F1796" s="2">
        <v>0</v>
      </c>
      <c r="G1796" s="2">
        <v>0</v>
      </c>
      <c r="H1796" s="1" t="s">
        <v>0</v>
      </c>
      <c r="I1796" s="2">
        <v>0</v>
      </c>
      <c r="J1796" s="1">
        <v>45915.379791666666</v>
      </c>
    </row>
    <row r="1797" spans="1:10" x14ac:dyDescent="0.2">
      <c r="A1797" s="4" t="s">
        <v>1</v>
      </c>
      <c r="B1797" s="3" t="str">
        <f>HYPERLINK("https://otsuka-europe-crm.veevavault.com/ui/#object/approved_document__v/V5OZ025E82TFUPI", "Spain - HCP Survey Email - June 2025")</f>
        <v>Spain - HCP Survey Email - June 2025</v>
      </c>
      <c r="C1797" s="3" t="str">
        <f>HYPERLINK("https://otsuka-europe-crm.veevavault.com/ui/#object/sent_email__v/VBLZ025E82GMZ02", "SE-000268884")</f>
        <v>SE-000268884</v>
      </c>
      <c r="D1797" s="1" t="s">
        <v>0</v>
      </c>
      <c r="E1797" s="2">
        <v>0</v>
      </c>
      <c r="F1797" s="2">
        <v>0</v>
      </c>
      <c r="G1797" s="2">
        <v>0</v>
      </c>
      <c r="H1797" s="1" t="s">
        <v>0</v>
      </c>
      <c r="I1797" s="2">
        <v>0</v>
      </c>
      <c r="J1797" s="1">
        <v>45915.379467592589</v>
      </c>
    </row>
    <row r="1798" spans="1:10" x14ac:dyDescent="0.2">
      <c r="A1798" s="4" t="s">
        <v>1</v>
      </c>
      <c r="B1798" s="3" t="str">
        <f>HYPERLINK("https://otsuka-europe-crm.veevavault.com/ui/#object/approved_document__v/V5OZ025E82TFUPI", "Spain - HCP Survey Email - June 2025")</f>
        <v>Spain - HCP Survey Email - June 2025</v>
      </c>
      <c r="C1798" s="3" t="str">
        <f>HYPERLINK("https://otsuka-europe-crm.veevavault.com/ui/#object/sent_email__v/VBLZ025E82GMZ03", "SE-000268885")</f>
        <v>SE-000268885</v>
      </c>
      <c r="D1798" s="1">
        <v>45915.665567129632</v>
      </c>
      <c r="E1798" s="2">
        <v>1</v>
      </c>
      <c r="F1798" s="2">
        <v>1</v>
      </c>
      <c r="G1798" s="2">
        <v>0</v>
      </c>
      <c r="H1798" s="1" t="s">
        <v>0</v>
      </c>
      <c r="I1798" s="2">
        <v>0</v>
      </c>
      <c r="J1798" s="1">
        <v>45915.377430555556</v>
      </c>
    </row>
    <row r="1799" spans="1:10" x14ac:dyDescent="0.2">
      <c r="A1799" s="4" t="s">
        <v>1</v>
      </c>
      <c r="B1799" s="3" t="str">
        <f>HYPERLINK("https://otsuka-europe-crm.veevavault.com/ui/#object/approved_document__v/V5OZ025E82TFUPI", "Spain - HCP Survey Email - June 2025")</f>
        <v>Spain - HCP Survey Email - June 2025</v>
      </c>
      <c r="C1799" s="3" t="str">
        <f>HYPERLINK("https://otsuka-europe-crm.veevavault.com/ui/#object/sent_email__v/VBLZ025E82GMZ04", "SE-000268886")</f>
        <v>SE-000268886</v>
      </c>
      <c r="D1799" s="1" t="s">
        <v>0</v>
      </c>
      <c r="E1799" s="2">
        <v>0</v>
      </c>
      <c r="F1799" s="2">
        <v>0</v>
      </c>
      <c r="G1799" s="2">
        <v>0</v>
      </c>
      <c r="H1799" s="1" t="s">
        <v>0</v>
      </c>
      <c r="I1799" s="2">
        <v>0</v>
      </c>
      <c r="J1799" s="1">
        <v>45915.378321759257</v>
      </c>
    </row>
    <row r="1800" spans="1:10" x14ac:dyDescent="0.2">
      <c r="A1800" s="4" t="s">
        <v>1</v>
      </c>
      <c r="B1800" s="3" t="str">
        <f>HYPERLINK("https://otsuka-europe-crm.veevavault.com/ui/#object/approved_document__v/V5OZ025E82TFUPI", "Spain - HCP Survey Email - June 2025")</f>
        <v>Spain - HCP Survey Email - June 2025</v>
      </c>
      <c r="C1800" s="3" t="str">
        <f>HYPERLINK("https://otsuka-europe-crm.veevavault.com/ui/#object/sent_email__v/VBLZ025E82GMZ05", "SE-000268887")</f>
        <v>SE-000268887</v>
      </c>
      <c r="D1800" s="1" t="s">
        <v>0</v>
      </c>
      <c r="E1800" s="2">
        <v>0</v>
      </c>
      <c r="F1800" s="2">
        <v>0</v>
      </c>
      <c r="G1800" s="2">
        <v>0</v>
      </c>
      <c r="H1800" s="1" t="s">
        <v>0</v>
      </c>
      <c r="I1800" s="2">
        <v>0</v>
      </c>
      <c r="J1800" s="1">
        <v>45915.378854166665</v>
      </c>
    </row>
    <row r="1801" spans="1:10" x14ac:dyDescent="0.2">
      <c r="A1801" s="4" t="s">
        <v>1</v>
      </c>
      <c r="B1801" s="3" t="str">
        <f>HYPERLINK("https://otsuka-europe-crm.veevavault.com/ui/#object/approved_document__v/V5OZ025E82TFUPI", "Spain - HCP Survey Email - June 2025")</f>
        <v>Spain - HCP Survey Email - June 2025</v>
      </c>
      <c r="C1801" s="3" t="str">
        <f>HYPERLINK("https://otsuka-europe-crm.veevavault.com/ui/#object/sent_email__v/VBLZ025E82GMZ06", "SE-000268888")</f>
        <v>SE-000268888</v>
      </c>
      <c r="D1801" s="1" t="s">
        <v>0</v>
      </c>
      <c r="E1801" s="2">
        <v>0</v>
      </c>
      <c r="F1801" s="2">
        <v>0</v>
      </c>
      <c r="G1801" s="2">
        <v>0</v>
      </c>
      <c r="H1801" s="1" t="s">
        <v>0</v>
      </c>
      <c r="I1801" s="2">
        <v>0</v>
      </c>
      <c r="J1801" s="1">
        <v>45915.378587962965</v>
      </c>
    </row>
    <row r="1802" spans="1:10" x14ac:dyDescent="0.2">
      <c r="A1802" s="4" t="s">
        <v>1</v>
      </c>
      <c r="B1802" s="3" t="str">
        <f>HYPERLINK("https://otsuka-europe-crm.veevavault.com/ui/#object/approved_document__v/V5OZ025E82TFUPI", "Spain - HCP Survey Email - June 2025")</f>
        <v>Spain - HCP Survey Email - June 2025</v>
      </c>
      <c r="C1802" s="3" t="str">
        <f>HYPERLINK("https://otsuka-europe-crm.veevavault.com/ui/#object/sent_email__v/VBLZ025E82GMZ07", "SE-000268889")</f>
        <v>SE-000268889</v>
      </c>
      <c r="D1802" s="1" t="s">
        <v>0</v>
      </c>
      <c r="E1802" s="2">
        <v>0</v>
      </c>
      <c r="F1802" s="2">
        <v>0</v>
      </c>
      <c r="G1802" s="2">
        <v>0</v>
      </c>
      <c r="H1802" s="1" t="s">
        <v>0</v>
      </c>
      <c r="I1802" s="2">
        <v>0</v>
      </c>
      <c r="J1802" s="1">
        <v>45915.379224537035</v>
      </c>
    </row>
    <row r="1803" spans="1:10" x14ac:dyDescent="0.2">
      <c r="A1803" s="4" t="s">
        <v>1</v>
      </c>
      <c r="B1803" s="3" t="str">
        <f>HYPERLINK("https://otsuka-europe-crm.veevavault.com/ui/#object/approved_document__v/V5OZ025E82TFUPI", "Spain - HCP Survey Email - June 2025")</f>
        <v>Spain - HCP Survey Email - June 2025</v>
      </c>
      <c r="C1803" s="3" t="str">
        <f>HYPERLINK("https://otsuka-europe-crm.veevavault.com/ui/#object/sent_email__v/VBLZ025E82GMZ08", "SE-000268890")</f>
        <v>SE-000268890</v>
      </c>
      <c r="D1803" s="1">
        <v>45917.69635416667</v>
      </c>
      <c r="E1803" s="2">
        <v>1</v>
      </c>
      <c r="F1803" s="2">
        <v>1</v>
      </c>
      <c r="G1803" s="2">
        <v>0</v>
      </c>
      <c r="H1803" s="1" t="s">
        <v>0</v>
      </c>
      <c r="I1803" s="2">
        <v>0</v>
      </c>
      <c r="J1803" s="1">
        <v>45915.377881944441</v>
      </c>
    </row>
    <row r="1804" spans="1:10" x14ac:dyDescent="0.2">
      <c r="A1804" s="4" t="s">
        <v>1</v>
      </c>
      <c r="B1804" s="3" t="str">
        <f>HYPERLINK("https://otsuka-europe-crm.veevavault.com/ui/#object/approved_document__v/V5OZ025E82TFUPI", "Spain - HCP Survey Email - June 2025")</f>
        <v>Spain - HCP Survey Email - June 2025</v>
      </c>
      <c r="C1804" s="3" t="str">
        <f>HYPERLINK("https://otsuka-europe-crm.veevavault.com/ui/#object/sent_email__v/VBLZ025E82GMZ09", "SE-000268891")</f>
        <v>SE-000268891</v>
      </c>
      <c r="D1804" s="1" t="s">
        <v>0</v>
      </c>
      <c r="E1804" s="2">
        <v>0</v>
      </c>
      <c r="F1804" s="2">
        <v>0</v>
      </c>
      <c r="G1804" s="2">
        <v>0</v>
      </c>
      <c r="H1804" s="1" t="s">
        <v>0</v>
      </c>
      <c r="I1804" s="2">
        <v>0</v>
      </c>
      <c r="J1804" s="1">
        <v>45915.378263888888</v>
      </c>
    </row>
    <row r="1805" spans="1:10" x14ac:dyDescent="0.2">
      <c r="A1805" s="4" t="s">
        <v>1</v>
      </c>
      <c r="B1805" s="3" t="str">
        <f>HYPERLINK("https://otsuka-europe-crm.veevavault.com/ui/#object/approved_document__v/V5OZ025E82TFUPI", "Spain - HCP Survey Email - June 2025")</f>
        <v>Spain - HCP Survey Email - June 2025</v>
      </c>
      <c r="C1805" s="3" t="str">
        <f>HYPERLINK("https://otsuka-europe-crm.veevavault.com/ui/#object/sent_email__v/VBLZ025E82GMZ0A", "SE-000268892")</f>
        <v>SE-000268892</v>
      </c>
      <c r="D1805" s="1">
        <v>45915.601655092592</v>
      </c>
      <c r="E1805" s="2">
        <v>1</v>
      </c>
      <c r="F1805" s="2">
        <v>2</v>
      </c>
      <c r="G1805" s="2">
        <v>0</v>
      </c>
      <c r="H1805" s="1" t="s">
        <v>0</v>
      </c>
      <c r="I1805" s="2">
        <v>0</v>
      </c>
      <c r="J1805" s="1">
        <v>45915.378148148149</v>
      </c>
    </row>
    <row r="1806" spans="1:10" x14ac:dyDescent="0.2">
      <c r="A1806" s="4" t="s">
        <v>1</v>
      </c>
      <c r="B1806" s="3" t="str">
        <f>HYPERLINK("https://otsuka-europe-crm.veevavault.com/ui/#object/approved_document__v/V5OZ025E82TFUPI", "Spain - HCP Survey Email - June 2025")</f>
        <v>Spain - HCP Survey Email - June 2025</v>
      </c>
      <c r="C1806" s="3" t="str">
        <f>HYPERLINK("https://otsuka-europe-crm.veevavault.com/ui/#object/sent_email__v/VBLZ025E82GMZ0B", "SE-000268893")</f>
        <v>SE-000268893</v>
      </c>
      <c r="D1806" s="1" t="s">
        <v>0</v>
      </c>
      <c r="E1806" s="2">
        <v>0</v>
      </c>
      <c r="F1806" s="2">
        <v>0</v>
      </c>
      <c r="G1806" s="2">
        <v>0</v>
      </c>
      <c r="H1806" s="1" t="s">
        <v>0</v>
      </c>
      <c r="I1806" s="2">
        <v>0</v>
      </c>
      <c r="J1806" s="1">
        <v>45915.378553240742</v>
      </c>
    </row>
    <row r="1807" spans="1:10" x14ac:dyDescent="0.2">
      <c r="A1807" s="4" t="s">
        <v>1</v>
      </c>
      <c r="B1807" s="3" t="str">
        <f>HYPERLINK("https://otsuka-europe-crm.veevavault.com/ui/#object/approved_document__v/V5OZ025E82TFUPI", "Spain - HCP Survey Email - June 2025")</f>
        <v>Spain - HCP Survey Email - June 2025</v>
      </c>
      <c r="C1807" s="3" t="str">
        <f>HYPERLINK("https://otsuka-europe-crm.veevavault.com/ui/#object/sent_email__v/VBLZ025E82GMZ0C", "SE-000268894")</f>
        <v>SE-000268894</v>
      </c>
      <c r="D1807" s="1">
        <v>45915.919594907406</v>
      </c>
      <c r="E1807" s="2">
        <v>1</v>
      </c>
      <c r="F1807" s="2">
        <v>2</v>
      </c>
      <c r="G1807" s="2">
        <v>0</v>
      </c>
      <c r="H1807" s="1" t="s">
        <v>0</v>
      </c>
      <c r="I1807" s="2">
        <v>0</v>
      </c>
      <c r="J1807" s="1">
        <v>45915.379965277774</v>
      </c>
    </row>
    <row r="1808" spans="1:10" x14ac:dyDescent="0.2">
      <c r="A1808" s="4" t="s">
        <v>1</v>
      </c>
      <c r="B1808" s="3" t="str">
        <f>HYPERLINK("https://otsuka-europe-crm.veevavault.com/ui/#object/approved_document__v/V5OZ025E82TFUPI", "Spain - HCP Survey Email - June 2025")</f>
        <v>Spain - HCP Survey Email - June 2025</v>
      </c>
      <c r="C1808" s="3" t="str">
        <f>HYPERLINK("https://otsuka-europe-crm.veevavault.com/ui/#object/sent_email__v/VBLZ025E82GMZ0D", "SE-000268895")</f>
        <v>SE-000268895</v>
      </c>
      <c r="D1808" s="1" t="s">
        <v>0</v>
      </c>
      <c r="E1808" s="2">
        <v>0</v>
      </c>
      <c r="F1808" s="2">
        <v>0</v>
      </c>
      <c r="G1808" s="2">
        <v>0</v>
      </c>
      <c r="H1808" s="1" t="s">
        <v>0</v>
      </c>
      <c r="I1808" s="2">
        <v>0</v>
      </c>
      <c r="J1808" s="1">
        <v>45915.37939814815</v>
      </c>
    </row>
    <row r="1809" spans="1:10" x14ac:dyDescent="0.2">
      <c r="A1809" s="4" t="s">
        <v>1</v>
      </c>
      <c r="B1809" s="3" t="str">
        <f>HYPERLINK("https://otsuka-europe-crm.veevavault.com/ui/#object/approved_document__v/V5OZ025E82TFUPI", "Spain - HCP Survey Email - June 2025")</f>
        <v>Spain - HCP Survey Email - June 2025</v>
      </c>
      <c r="C1809" s="3" t="str">
        <f>HYPERLINK("https://otsuka-europe-crm.veevavault.com/ui/#object/sent_email__v/VBLZ025E82GMZ0E", "SE-000268896")</f>
        <v>SE-000268896</v>
      </c>
      <c r="D1809" s="1">
        <v>45951.457569444443</v>
      </c>
      <c r="E1809" s="2">
        <v>1</v>
      </c>
      <c r="F1809" s="2">
        <v>1</v>
      </c>
      <c r="G1809" s="2">
        <v>0</v>
      </c>
      <c r="H1809" s="1" t="s">
        <v>0</v>
      </c>
      <c r="I1809" s="2">
        <v>0</v>
      </c>
      <c r="J1809" s="1">
        <v>45915.377476851849</v>
      </c>
    </row>
    <row r="1810" spans="1:10" x14ac:dyDescent="0.2">
      <c r="A1810" s="4" t="s">
        <v>1</v>
      </c>
      <c r="B1810" s="3" t="str">
        <f>HYPERLINK("https://otsuka-europe-crm.veevavault.com/ui/#object/approved_document__v/V5OZ025E82TFUPI", "Spain - HCP Survey Email - June 2025")</f>
        <v>Spain - HCP Survey Email - June 2025</v>
      </c>
      <c r="C1810" s="3" t="str">
        <f>HYPERLINK("https://otsuka-europe-crm.veevavault.com/ui/#object/sent_email__v/VBLZ025E82GMZ0F", "SE-000268897")</f>
        <v>SE-000268897</v>
      </c>
      <c r="D1810" s="1" t="s">
        <v>0</v>
      </c>
      <c r="E1810" s="2">
        <v>0</v>
      </c>
      <c r="F1810" s="2">
        <v>0</v>
      </c>
      <c r="G1810" s="2">
        <v>0</v>
      </c>
      <c r="H1810" s="1" t="s">
        <v>0</v>
      </c>
      <c r="I1810" s="2">
        <v>0</v>
      </c>
      <c r="J1810" s="1">
        <v>45915.37840277778</v>
      </c>
    </row>
    <row r="1811" spans="1:10" x14ac:dyDescent="0.2">
      <c r="A1811" s="4" t="s">
        <v>1</v>
      </c>
      <c r="B1811" s="3" t="str">
        <f>HYPERLINK("https://otsuka-europe-crm.veevavault.com/ui/#object/approved_document__v/V5OZ025E82TFUPI", "Spain - HCP Survey Email - June 2025")</f>
        <v>Spain - HCP Survey Email - June 2025</v>
      </c>
      <c r="C1811" s="3" t="str">
        <f>HYPERLINK("https://otsuka-europe-crm.veevavault.com/ui/#object/sent_email__v/VBLZ025E82GMZ0G", "SE-000268898")</f>
        <v>SE-000268898</v>
      </c>
      <c r="D1811" s="1" t="s">
        <v>0</v>
      </c>
      <c r="E1811" s="2">
        <v>0</v>
      </c>
      <c r="F1811" s="2">
        <v>0</v>
      </c>
      <c r="G1811" s="2">
        <v>0</v>
      </c>
      <c r="H1811" s="1" t="s">
        <v>0</v>
      </c>
      <c r="I1811" s="2">
        <v>0</v>
      </c>
      <c r="J1811" s="1">
        <v>45915.378854166665</v>
      </c>
    </row>
    <row r="1812" spans="1:10" x14ac:dyDescent="0.2">
      <c r="A1812" s="4" t="s">
        <v>1</v>
      </c>
      <c r="B1812" s="3" t="str">
        <f>HYPERLINK("https://otsuka-europe-crm.veevavault.com/ui/#object/approved_document__v/V5OZ025E82TFUPI", "Spain - HCP Survey Email - June 2025")</f>
        <v>Spain - HCP Survey Email - June 2025</v>
      </c>
      <c r="C1812" s="3" t="str">
        <f>HYPERLINK("https://otsuka-europe-crm.veevavault.com/ui/#object/sent_email__v/VBLZ025E82GMZ0H", "SE-000268899")</f>
        <v>SE-000268899</v>
      </c>
      <c r="D1812" s="1">
        <v>45918.248495370368</v>
      </c>
      <c r="E1812" s="2">
        <v>1</v>
      </c>
      <c r="F1812" s="2">
        <v>1</v>
      </c>
      <c r="G1812" s="2">
        <v>0</v>
      </c>
      <c r="H1812" s="1" t="s">
        <v>0</v>
      </c>
      <c r="I1812" s="2">
        <v>0</v>
      </c>
      <c r="J1812" s="1">
        <v>45915.378645833334</v>
      </c>
    </row>
    <row r="1813" spans="1:10" x14ac:dyDescent="0.2">
      <c r="A1813" s="4" t="s">
        <v>1</v>
      </c>
      <c r="B1813" s="3" t="str">
        <f>HYPERLINK("https://otsuka-europe-crm.veevavault.com/ui/#object/approved_document__v/V5OZ025E82TFUPI", "Spain - HCP Survey Email - June 2025")</f>
        <v>Spain - HCP Survey Email - June 2025</v>
      </c>
      <c r="C1813" s="3" t="str">
        <f>HYPERLINK("https://otsuka-europe-crm.veevavault.com/ui/#object/sent_email__v/VBLZ025E82GMZ0I", "SE-000268900")</f>
        <v>SE-000268900</v>
      </c>
      <c r="D1813" s="1" t="s">
        <v>0</v>
      </c>
      <c r="E1813" s="2">
        <v>0</v>
      </c>
      <c r="F1813" s="2">
        <v>0</v>
      </c>
      <c r="G1813" s="2">
        <v>0</v>
      </c>
      <c r="H1813" s="1" t="s">
        <v>0</v>
      </c>
      <c r="I1813" s="2">
        <v>0</v>
      </c>
      <c r="J1813" s="1">
        <v>45915.377465277779</v>
      </c>
    </row>
    <row r="1814" spans="1:10" x14ac:dyDescent="0.2">
      <c r="A1814" s="4" t="s">
        <v>1</v>
      </c>
      <c r="B1814" s="3" t="str">
        <f>HYPERLINK("https://otsuka-europe-crm.veevavault.com/ui/#object/approved_document__v/V5OZ025E82TFUPI", "Spain - HCP Survey Email - June 2025")</f>
        <v>Spain - HCP Survey Email - June 2025</v>
      </c>
      <c r="C1814" s="3" t="str">
        <f>HYPERLINK("https://otsuka-europe-crm.veevavault.com/ui/#object/sent_email__v/VBLZ025E82GMZ0J", "SE-000268901")</f>
        <v>SE-000268901</v>
      </c>
      <c r="D1814" s="1" t="s">
        <v>0</v>
      </c>
      <c r="E1814" s="2">
        <v>0</v>
      </c>
      <c r="F1814" s="2">
        <v>0</v>
      </c>
      <c r="G1814" s="2">
        <v>0</v>
      </c>
      <c r="H1814" s="1" t="s">
        <v>0</v>
      </c>
      <c r="I1814" s="2">
        <v>0</v>
      </c>
      <c r="J1814" s="1">
        <v>45915.378298611111</v>
      </c>
    </row>
    <row r="1815" spans="1:10" x14ac:dyDescent="0.2">
      <c r="A1815" s="4" t="s">
        <v>1</v>
      </c>
      <c r="B1815" s="3" t="str">
        <f>HYPERLINK("https://otsuka-europe-crm.veevavault.com/ui/#object/approved_document__v/V5OZ025E82TFUPI", "Spain - HCP Survey Email - June 2025")</f>
        <v>Spain - HCP Survey Email - June 2025</v>
      </c>
      <c r="C1815" s="3" t="str">
        <f>HYPERLINK("https://otsuka-europe-crm.veevavault.com/ui/#object/sent_email__v/VBLZ025E82GMZ0K", "SE-000268902")</f>
        <v>SE-000268902</v>
      </c>
      <c r="D1815" s="1" t="s">
        <v>0</v>
      </c>
      <c r="E1815" s="2">
        <v>0</v>
      </c>
      <c r="F1815" s="2">
        <v>0</v>
      </c>
      <c r="G1815" s="2">
        <v>0</v>
      </c>
      <c r="H1815" s="1" t="s">
        <v>0</v>
      </c>
      <c r="I1815" s="2">
        <v>0</v>
      </c>
      <c r="J1815" s="1">
        <v>45915.378831018519</v>
      </c>
    </row>
    <row r="1816" spans="1:10" x14ac:dyDescent="0.2">
      <c r="A1816" s="4" t="s">
        <v>1</v>
      </c>
      <c r="B1816" s="3" t="str">
        <f>HYPERLINK("https://otsuka-europe-crm.veevavault.com/ui/#object/approved_document__v/V5OZ025E82TFUPI", "Spain - HCP Survey Email - June 2025")</f>
        <v>Spain - HCP Survey Email - June 2025</v>
      </c>
      <c r="C1816" s="3" t="str">
        <f>HYPERLINK("https://otsuka-europe-crm.veevavault.com/ui/#object/sent_email__v/VBLZ025E82GMZ0L", "SE-000268903")</f>
        <v>SE-000268903</v>
      </c>
      <c r="D1816" s="1">
        <v>45918.695405092592</v>
      </c>
      <c r="E1816" s="2">
        <v>1</v>
      </c>
      <c r="F1816" s="2">
        <v>3</v>
      </c>
      <c r="G1816" s="2">
        <v>0</v>
      </c>
      <c r="H1816" s="1" t="s">
        <v>0</v>
      </c>
      <c r="I1816" s="2">
        <v>0</v>
      </c>
      <c r="J1816" s="1">
        <v>45915.378738425927</v>
      </c>
    </row>
    <row r="1817" spans="1:10" x14ac:dyDescent="0.2">
      <c r="A1817" s="4" t="s">
        <v>1</v>
      </c>
      <c r="B1817" s="3" t="str">
        <f>HYPERLINK("https://otsuka-europe-crm.veevavault.com/ui/#object/approved_document__v/V5OZ025E82TFUPI", "Spain - HCP Survey Email - June 2025")</f>
        <v>Spain - HCP Survey Email - June 2025</v>
      </c>
      <c r="C1817" s="3" t="str">
        <f>HYPERLINK("https://otsuka-europe-crm.veevavault.com/ui/#object/sent_email__v/VBLZ025E82GMZ0M", "SE-000268904")</f>
        <v>SE-000268904</v>
      </c>
      <c r="D1817" s="1">
        <v>45915.425671296296</v>
      </c>
      <c r="E1817" s="2">
        <v>1</v>
      </c>
      <c r="F1817" s="2">
        <v>1</v>
      </c>
      <c r="G1817" s="2">
        <v>0</v>
      </c>
      <c r="H1817" s="1" t="s">
        <v>0</v>
      </c>
      <c r="I1817" s="2">
        <v>0</v>
      </c>
      <c r="J1817" s="1">
        <v>45915.379305555558</v>
      </c>
    </row>
    <row r="1818" spans="1:10" x14ac:dyDescent="0.2">
      <c r="A1818" s="4" t="s">
        <v>1</v>
      </c>
      <c r="B1818" s="3" t="str">
        <f>HYPERLINK("https://otsuka-europe-crm.veevavault.com/ui/#object/approved_document__v/V5OZ025E82TFUPI", "Spain - HCP Survey Email - June 2025")</f>
        <v>Spain - HCP Survey Email - June 2025</v>
      </c>
      <c r="C1818" s="3" t="str">
        <f>HYPERLINK("https://otsuka-europe-crm.veevavault.com/ui/#object/sent_email__v/VBLZ025E82GMZ0N", "SE-000268905")</f>
        <v>SE-000268905</v>
      </c>
      <c r="D1818" s="1" t="s">
        <v>0</v>
      </c>
      <c r="E1818" s="2">
        <v>0</v>
      </c>
      <c r="F1818" s="2">
        <v>0</v>
      </c>
      <c r="G1818" s="2">
        <v>0</v>
      </c>
      <c r="H1818" s="1" t="s">
        <v>0</v>
      </c>
      <c r="I1818" s="2">
        <v>0</v>
      </c>
      <c r="J1818" s="1">
        <v>45915.377916666665</v>
      </c>
    </row>
    <row r="1819" spans="1:10" x14ac:dyDescent="0.2">
      <c r="A1819" s="4" t="s">
        <v>1</v>
      </c>
      <c r="B1819" s="3" t="str">
        <f>HYPERLINK("https://otsuka-europe-crm.veevavault.com/ui/#object/approved_document__v/V5OZ025E82TFUPI", "Spain - HCP Survey Email - June 2025")</f>
        <v>Spain - HCP Survey Email - June 2025</v>
      </c>
      <c r="C1819" s="3" t="str">
        <f>HYPERLINK("https://otsuka-europe-crm.veevavault.com/ui/#object/sent_email__v/VBLZ025E82GMZ0O", "SE-000268906")</f>
        <v>SE-000268906</v>
      </c>
      <c r="D1819" s="1">
        <v>45915.544386574074</v>
      </c>
      <c r="E1819" s="2">
        <v>1</v>
      </c>
      <c r="F1819" s="2">
        <v>2</v>
      </c>
      <c r="G1819" s="2">
        <v>0</v>
      </c>
      <c r="H1819" s="1" t="s">
        <v>0</v>
      </c>
      <c r="I1819" s="2">
        <v>0</v>
      </c>
      <c r="J1819" s="1">
        <v>45915.37835648148</v>
      </c>
    </row>
    <row r="1820" spans="1:10" x14ac:dyDescent="0.2">
      <c r="A1820" s="4" t="s">
        <v>1</v>
      </c>
      <c r="B1820" s="3" t="str">
        <f>HYPERLINK("https://otsuka-europe-crm.veevavault.com/ui/#object/approved_document__v/V5OZ025E82TFUPI", "Spain - HCP Survey Email - June 2025")</f>
        <v>Spain - HCP Survey Email - June 2025</v>
      </c>
      <c r="C1820" s="3" t="str">
        <f>HYPERLINK("https://otsuka-europe-crm.veevavault.com/ui/#object/sent_email__v/VBLZ025E82GMZ0P", "SE-000268907")</f>
        <v>SE-000268907</v>
      </c>
      <c r="D1820" s="1">
        <v>45915.432581018518</v>
      </c>
      <c r="E1820" s="2">
        <v>1</v>
      </c>
      <c r="F1820" s="2">
        <v>2</v>
      </c>
      <c r="G1820" s="2">
        <v>0</v>
      </c>
      <c r="H1820" s="1" t="s">
        <v>0</v>
      </c>
      <c r="I1820" s="2">
        <v>0</v>
      </c>
      <c r="J1820" s="1">
        <v>45915.378101851849</v>
      </c>
    </row>
    <row r="1821" spans="1:10" x14ac:dyDescent="0.2">
      <c r="A1821" s="4" t="s">
        <v>1</v>
      </c>
      <c r="B1821" s="3" t="str">
        <f>HYPERLINK("https://otsuka-europe-crm.veevavault.com/ui/#object/approved_document__v/V5OZ025E82TFUPI", "Spain - HCP Survey Email - June 2025")</f>
        <v>Spain - HCP Survey Email - June 2025</v>
      </c>
      <c r="C1821" s="3" t="str">
        <f>HYPERLINK("https://otsuka-europe-crm.veevavault.com/ui/#object/sent_email__v/VBLZ025E82GMZ0Q", "SE-000268908")</f>
        <v>SE-000268908</v>
      </c>
      <c r="D1821" s="1">
        <v>45915.542858796296</v>
      </c>
      <c r="E1821" s="2">
        <v>1</v>
      </c>
      <c r="F1821" s="2">
        <v>1</v>
      </c>
      <c r="G1821" s="2">
        <v>0</v>
      </c>
      <c r="H1821" s="1" t="s">
        <v>0</v>
      </c>
      <c r="I1821" s="2">
        <v>0</v>
      </c>
      <c r="J1821" s="1">
        <v>45915.378634259258</v>
      </c>
    </row>
    <row r="1822" spans="1:10" x14ac:dyDescent="0.2">
      <c r="A1822" s="4" t="s">
        <v>1</v>
      </c>
      <c r="B1822" s="3" t="str">
        <f>HYPERLINK("https://otsuka-europe-crm.veevavault.com/ui/#object/approved_document__v/V5OZ025E82TFUPI", "Spain - HCP Survey Email - June 2025")</f>
        <v>Spain - HCP Survey Email - June 2025</v>
      </c>
      <c r="C1822" s="3" t="str">
        <f>HYPERLINK("https://otsuka-europe-crm.veevavault.com/ui/#object/sent_email__v/VBLZ025E82GMZ0R", "SE-000268909")</f>
        <v>SE-000268909</v>
      </c>
      <c r="D1822" s="1">
        <v>45916.645092592589</v>
      </c>
      <c r="E1822" s="2">
        <v>1</v>
      </c>
      <c r="F1822" s="2">
        <v>2</v>
      </c>
      <c r="G1822" s="2">
        <v>0</v>
      </c>
      <c r="H1822" s="1" t="s">
        <v>0</v>
      </c>
      <c r="I1822" s="2">
        <v>0</v>
      </c>
      <c r="J1822" s="1">
        <v>45915.37972222222</v>
      </c>
    </row>
    <row r="1823" spans="1:10" x14ac:dyDescent="0.2">
      <c r="A1823" s="4" t="s">
        <v>1</v>
      </c>
      <c r="B1823" s="3" t="str">
        <f>HYPERLINK("https://otsuka-europe-crm.veevavault.com/ui/#object/approved_document__v/V5OZ025E82TFUPI", "Spain - HCP Survey Email - June 2025")</f>
        <v>Spain - HCP Survey Email - June 2025</v>
      </c>
      <c r="C1823" s="3" t="str">
        <f>HYPERLINK("https://otsuka-europe-crm.veevavault.com/ui/#object/sent_email__v/VBLZ025E82GMZ0S", "SE-000268910")</f>
        <v>SE-000268910</v>
      </c>
      <c r="D1823" s="1" t="s">
        <v>0</v>
      </c>
      <c r="E1823" s="2">
        <v>0</v>
      </c>
      <c r="F1823" s="2">
        <v>0</v>
      </c>
      <c r="G1823" s="2">
        <v>0</v>
      </c>
      <c r="H1823" s="1" t="s">
        <v>0</v>
      </c>
      <c r="I1823" s="2">
        <v>0</v>
      </c>
      <c r="J1823" s="1">
        <v>45915.379363425927</v>
      </c>
    </row>
    <row r="1824" spans="1:10" x14ac:dyDescent="0.2">
      <c r="A1824" s="4" t="s">
        <v>1</v>
      </c>
      <c r="B1824" s="3" t="str">
        <f>HYPERLINK("https://otsuka-europe-crm.veevavault.com/ui/#object/approved_document__v/V5OZ025E82TFUPI", "Spain - HCP Survey Email - June 2025")</f>
        <v>Spain - HCP Survey Email - June 2025</v>
      </c>
      <c r="C1824" s="3" t="str">
        <f>HYPERLINK("https://otsuka-europe-crm.veevavault.com/ui/#object/sent_email__v/VBLZ025E82GMZ0T", "SE-000268911")</f>
        <v>SE-000268911</v>
      </c>
      <c r="D1824" s="1">
        <v>45916.586967592593</v>
      </c>
      <c r="E1824" s="2">
        <v>1</v>
      </c>
      <c r="F1824" s="2">
        <v>2</v>
      </c>
      <c r="G1824" s="2">
        <v>0</v>
      </c>
      <c r="H1824" s="1" t="s">
        <v>0</v>
      </c>
      <c r="I1824" s="2">
        <v>0</v>
      </c>
      <c r="J1824" s="1">
        <v>45915.377430555556</v>
      </c>
    </row>
    <row r="1825" spans="1:10" x14ac:dyDescent="0.2">
      <c r="A1825" s="4" t="s">
        <v>1</v>
      </c>
      <c r="B1825" s="3" t="str">
        <f>HYPERLINK("https://otsuka-europe-crm.veevavault.com/ui/#object/approved_document__v/V5OZ025E82TFUPI", "Spain - HCP Survey Email - June 2025")</f>
        <v>Spain - HCP Survey Email - June 2025</v>
      </c>
      <c r="C1825" s="3" t="str">
        <f>HYPERLINK("https://otsuka-europe-crm.veevavault.com/ui/#object/sent_email__v/VBLZ025E82GMZ0U", "SE-000268912")</f>
        <v>SE-000268912</v>
      </c>
      <c r="D1825" s="1">
        <v>45970.586064814815</v>
      </c>
      <c r="E1825" s="2">
        <v>1</v>
      </c>
      <c r="F1825" s="2">
        <v>8</v>
      </c>
      <c r="G1825" s="2">
        <v>0</v>
      </c>
      <c r="H1825" s="1" t="s">
        <v>0</v>
      </c>
      <c r="I1825" s="2">
        <v>0</v>
      </c>
      <c r="J1825" s="1">
        <v>45915.378449074073</v>
      </c>
    </row>
    <row r="1826" spans="1:10" x14ac:dyDescent="0.2">
      <c r="A1826" s="4" t="s">
        <v>1</v>
      </c>
      <c r="B1826" s="3" t="str">
        <f>HYPERLINK("https://otsuka-europe-crm.veevavault.com/ui/#object/approved_document__v/V5OZ025E82TFUPI", "Spain - HCP Survey Email - June 2025")</f>
        <v>Spain - HCP Survey Email - June 2025</v>
      </c>
      <c r="C1826" s="3" t="str">
        <f>HYPERLINK("https://otsuka-europe-crm.veevavault.com/ui/#object/sent_email__v/VBLZ025E82GMZ0V", "SE-000268913")</f>
        <v>SE-000268913</v>
      </c>
      <c r="D1826" s="1">
        <v>45960.770682870374</v>
      </c>
      <c r="E1826" s="2">
        <v>1</v>
      </c>
      <c r="F1826" s="2">
        <v>4</v>
      </c>
      <c r="G1826" s="2">
        <v>0</v>
      </c>
      <c r="H1826" s="1" t="s">
        <v>0</v>
      </c>
      <c r="I1826" s="2">
        <v>0</v>
      </c>
      <c r="J1826" s="1">
        <v>45915.378807870373</v>
      </c>
    </row>
    <row r="1827" spans="1:10" x14ac:dyDescent="0.2">
      <c r="A1827" s="4" t="s">
        <v>1</v>
      </c>
      <c r="B1827" s="3" t="str">
        <f>HYPERLINK("https://otsuka-europe-crm.veevavault.com/ui/#object/approved_document__v/V5OZ025E82TFUPI", "Spain - HCP Survey Email - June 2025")</f>
        <v>Spain - HCP Survey Email - June 2025</v>
      </c>
      <c r="C1827" s="3" t="str">
        <f>HYPERLINK("https://otsuka-europe-crm.veevavault.com/ui/#object/sent_email__v/VBLZ025E82GMZ0W", "SE-000268914")</f>
        <v>SE-000268914</v>
      </c>
      <c r="D1827" s="1">
        <v>45915.422743055555</v>
      </c>
      <c r="E1827" s="2">
        <v>1</v>
      </c>
      <c r="F1827" s="2">
        <v>3</v>
      </c>
      <c r="G1827" s="2">
        <v>0</v>
      </c>
      <c r="H1827" s="1" t="s">
        <v>0</v>
      </c>
      <c r="I1827" s="2">
        <v>0</v>
      </c>
      <c r="J1827" s="1">
        <v>45915.378738425927</v>
      </c>
    </row>
    <row r="1828" spans="1:10" x14ac:dyDescent="0.2">
      <c r="A1828" s="4" t="s">
        <v>1</v>
      </c>
      <c r="B1828" s="3" t="str">
        <f>HYPERLINK("https://otsuka-europe-crm.veevavault.com/ui/#object/approved_document__v/V5OZ025E82TFUPI", "Spain - HCP Survey Email - June 2025")</f>
        <v>Spain - HCP Survey Email - June 2025</v>
      </c>
      <c r="C1828" s="3" t="str">
        <f>HYPERLINK("https://otsuka-europe-crm.veevavault.com/ui/#object/sent_email__v/VBLZ025E82GMZ0X", "SE-000268915")</f>
        <v>SE-000268915</v>
      </c>
      <c r="D1828" s="1" t="s">
        <v>0</v>
      </c>
      <c r="E1828" s="2">
        <v>0</v>
      </c>
      <c r="F1828" s="2">
        <v>0</v>
      </c>
      <c r="G1828" s="2">
        <v>0</v>
      </c>
      <c r="H1828" s="1" t="s">
        <v>0</v>
      </c>
      <c r="I1828" s="2">
        <v>0</v>
      </c>
      <c r="J1828" s="1">
        <v>45915.379131944443</v>
      </c>
    </row>
    <row r="1829" spans="1:10" x14ac:dyDescent="0.2">
      <c r="A1829" s="4" t="s">
        <v>1</v>
      </c>
      <c r="B1829" s="3" t="str">
        <f>HYPERLINK("https://otsuka-europe-crm.veevavault.com/ui/#object/approved_document__v/V5OZ025E82TFUPI", "Spain - HCP Survey Email - June 2025")</f>
        <v>Spain - HCP Survey Email - June 2025</v>
      </c>
      <c r="C1829" s="3" t="str">
        <f>HYPERLINK("https://otsuka-europe-crm.veevavault.com/ui/#object/sent_email__v/VBLZ025E82GMZ0Y", "SE-000268916")</f>
        <v>SE-000268916</v>
      </c>
      <c r="D1829" s="1" t="s">
        <v>0</v>
      </c>
      <c r="E1829" s="2">
        <v>0</v>
      </c>
      <c r="F1829" s="2">
        <v>0</v>
      </c>
      <c r="G1829" s="2">
        <v>0</v>
      </c>
      <c r="H1829" s="1" t="s">
        <v>0</v>
      </c>
      <c r="I1829" s="2">
        <v>0</v>
      </c>
      <c r="J1829" s="1">
        <v>45915.377881944441</v>
      </c>
    </row>
    <row r="1830" spans="1:10" x14ac:dyDescent="0.2">
      <c r="A1830" s="4" t="s">
        <v>1</v>
      </c>
      <c r="B1830" s="3" t="str">
        <f>HYPERLINK("https://otsuka-europe-crm.veevavault.com/ui/#object/approved_document__v/V5OZ025E82TFUPI", "Spain - HCP Survey Email - June 2025")</f>
        <v>Spain - HCP Survey Email - June 2025</v>
      </c>
      <c r="C1830" s="3" t="str">
        <f>HYPERLINK("https://otsuka-europe-crm.veevavault.com/ui/#object/sent_email__v/VBLZ025E82GMZ0Z", "SE-000268917")</f>
        <v>SE-000268917</v>
      </c>
      <c r="D1830" s="1" t="s">
        <v>0</v>
      </c>
      <c r="E1830" s="2">
        <v>0</v>
      </c>
      <c r="F1830" s="2">
        <v>0</v>
      </c>
      <c r="G1830" s="2">
        <v>0</v>
      </c>
      <c r="H1830" s="1" t="s">
        <v>0</v>
      </c>
      <c r="I1830" s="2">
        <v>0</v>
      </c>
      <c r="J1830" s="1">
        <v>45915.378275462965</v>
      </c>
    </row>
    <row r="1831" spans="1:10" x14ac:dyDescent="0.2">
      <c r="A1831" s="4" t="s">
        <v>1</v>
      </c>
      <c r="B1831" s="3" t="str">
        <f>HYPERLINK("https://otsuka-europe-crm.veevavault.com/ui/#object/approved_document__v/V5OZ025E82TFUPI", "Spain - HCP Survey Email - June 2025")</f>
        <v>Spain - HCP Survey Email - June 2025</v>
      </c>
      <c r="C1831" s="3" t="str">
        <f>HYPERLINK("https://otsuka-europe-crm.veevavault.com/ui/#object/sent_email__v/VBLZ025E82GMZ10", "SE-000268918")</f>
        <v>SE-000268918</v>
      </c>
      <c r="D1831" s="1" t="s">
        <v>0</v>
      </c>
      <c r="E1831" s="2">
        <v>0</v>
      </c>
      <c r="F1831" s="2">
        <v>0</v>
      </c>
      <c r="G1831" s="2">
        <v>0</v>
      </c>
      <c r="H1831" s="1" t="s">
        <v>0</v>
      </c>
      <c r="I1831" s="2">
        <v>0</v>
      </c>
      <c r="J1831" s="1">
        <v>45915.378101851849</v>
      </c>
    </row>
    <row r="1832" spans="1:10" x14ac:dyDescent="0.2">
      <c r="A1832" s="4" t="s">
        <v>1</v>
      </c>
      <c r="B1832" s="3" t="str">
        <f>HYPERLINK("https://otsuka-europe-crm.veevavault.com/ui/#object/approved_document__v/V5OZ025E82TFUPI", "Spain - HCP Survey Email - June 2025")</f>
        <v>Spain - HCP Survey Email - June 2025</v>
      </c>
      <c r="C1832" s="3" t="str">
        <f>HYPERLINK("https://otsuka-europe-crm.veevavault.com/ui/#object/sent_email__v/VBLZ025E82GMZ11", "SE-000268919")</f>
        <v>SE-000268919</v>
      </c>
      <c r="D1832" s="1">
        <v>45943.949907407405</v>
      </c>
      <c r="E1832" s="2">
        <v>1</v>
      </c>
      <c r="F1832" s="2">
        <v>4</v>
      </c>
      <c r="G1832" s="2">
        <v>0</v>
      </c>
      <c r="H1832" s="1" t="s">
        <v>0</v>
      </c>
      <c r="I1832" s="2">
        <v>0</v>
      </c>
      <c r="J1832" s="1">
        <v>45915.378599537034</v>
      </c>
    </row>
    <row r="1833" spans="1:10" x14ac:dyDescent="0.2">
      <c r="A1833" s="4" t="s">
        <v>1</v>
      </c>
      <c r="B1833" s="3" t="str">
        <f>HYPERLINK("https://otsuka-europe-crm.veevavault.com/ui/#object/approved_document__v/V5OZ025E82TFUPI", "Spain - HCP Survey Email - June 2025")</f>
        <v>Spain - HCP Survey Email - June 2025</v>
      </c>
      <c r="C1833" s="3" t="str">
        <f>HYPERLINK("https://otsuka-europe-crm.veevavault.com/ui/#object/sent_email__v/VBLZ025E82GMZ12", "SE-000268920")</f>
        <v>SE-000268920</v>
      </c>
      <c r="D1833" s="1">
        <v>45915.987557870372</v>
      </c>
      <c r="E1833" s="2">
        <v>1</v>
      </c>
      <c r="F1833" s="2">
        <v>1</v>
      </c>
      <c r="G1833" s="2">
        <v>0</v>
      </c>
      <c r="H1833" s="1" t="s">
        <v>0</v>
      </c>
      <c r="I1833" s="2">
        <v>0</v>
      </c>
      <c r="J1833" s="1">
        <v>45915.379826388889</v>
      </c>
    </row>
    <row r="1834" spans="1:10" x14ac:dyDescent="0.2">
      <c r="A1834" s="4" t="s">
        <v>1</v>
      </c>
      <c r="B1834" s="3" t="str">
        <f>HYPERLINK("https://otsuka-europe-crm.veevavault.com/ui/#object/approved_document__v/V5OZ025E82TFUPI", "Spain - HCP Survey Email - June 2025")</f>
        <v>Spain - HCP Survey Email - June 2025</v>
      </c>
      <c r="C1834" s="3" t="str">
        <f>HYPERLINK("https://otsuka-europe-crm.veevavault.com/ui/#object/sent_email__v/VBLZ025E82GMZ13", "SE-000268921")</f>
        <v>SE-000268921</v>
      </c>
      <c r="D1834" s="1">
        <v>45915.816041666665</v>
      </c>
      <c r="E1834" s="2">
        <v>1</v>
      </c>
      <c r="F1834" s="2">
        <v>3</v>
      </c>
      <c r="G1834" s="2">
        <v>0</v>
      </c>
      <c r="H1834" s="1" t="s">
        <v>0</v>
      </c>
      <c r="I1834" s="2">
        <v>0</v>
      </c>
      <c r="J1834" s="1">
        <v>45915.379374999997</v>
      </c>
    </row>
    <row r="1835" spans="1:10" x14ac:dyDescent="0.2">
      <c r="A1835" s="4" t="s">
        <v>1</v>
      </c>
      <c r="B1835" s="3" t="str">
        <f>HYPERLINK("https://otsuka-europe-crm.veevavault.com/ui/#object/approved_document__v/V5OZ025E82TFUPI", "Spain - HCP Survey Email - June 2025")</f>
        <v>Spain - HCP Survey Email - June 2025</v>
      </c>
      <c r="C1835" s="3" t="str">
        <f>HYPERLINK("https://otsuka-europe-crm.veevavault.com/ui/#object/sent_email__v/VBLZ025E82GMZ14", "SE-000268922")</f>
        <v>SE-000268922</v>
      </c>
      <c r="D1835" s="1" t="s">
        <v>0</v>
      </c>
      <c r="E1835" s="2">
        <v>0</v>
      </c>
      <c r="F1835" s="2">
        <v>0</v>
      </c>
      <c r="G1835" s="2">
        <v>0</v>
      </c>
      <c r="H1835" s="1" t="s">
        <v>0</v>
      </c>
      <c r="I1835" s="2">
        <v>0</v>
      </c>
      <c r="J1835" s="1">
        <v>45915.37740740741</v>
      </c>
    </row>
    <row r="1836" spans="1:10" x14ac:dyDescent="0.2">
      <c r="A1836" s="4" t="s">
        <v>1</v>
      </c>
      <c r="B1836" s="3" t="str">
        <f>HYPERLINK("https://otsuka-europe-crm.veevavault.com/ui/#object/approved_document__v/V5OZ025E82TFUPI", "Spain - HCP Survey Email - June 2025")</f>
        <v>Spain - HCP Survey Email - June 2025</v>
      </c>
      <c r="C1836" s="3" t="str">
        <f>HYPERLINK("https://otsuka-europe-crm.veevavault.com/ui/#object/sent_email__v/VBLZ025E82GMZ15", "SE-000268923")</f>
        <v>SE-000268923</v>
      </c>
      <c r="D1836" s="1">
        <v>45915.394953703704</v>
      </c>
      <c r="E1836" s="2">
        <v>1</v>
      </c>
      <c r="F1836" s="2">
        <v>1</v>
      </c>
      <c r="G1836" s="2">
        <v>1</v>
      </c>
      <c r="H1836" s="1">
        <v>45915.395092592589</v>
      </c>
      <c r="I1836" s="2">
        <v>1</v>
      </c>
      <c r="J1836" s="1">
        <v>45915.37835648148</v>
      </c>
    </row>
    <row r="1837" spans="1:10" x14ac:dyDescent="0.2">
      <c r="A1837" s="4" t="s">
        <v>1</v>
      </c>
      <c r="B1837" s="3" t="str">
        <f>HYPERLINK("https://otsuka-europe-crm.veevavault.com/ui/#object/approved_document__v/V5OZ025E82TFUPI", "Spain - HCP Survey Email - June 2025")</f>
        <v>Spain - HCP Survey Email - June 2025</v>
      </c>
      <c r="C1837" s="3" t="str">
        <f>HYPERLINK("https://otsuka-europe-crm.veevavault.com/ui/#object/sent_email__v/VBLZ025E82GMZ16", "SE-000268924")</f>
        <v>SE-000268924</v>
      </c>
      <c r="D1837" s="1" t="s">
        <v>0</v>
      </c>
      <c r="E1837" s="2">
        <v>0</v>
      </c>
      <c r="F1837" s="2">
        <v>0</v>
      </c>
      <c r="G1837" s="2">
        <v>0</v>
      </c>
      <c r="H1837" s="1" t="s">
        <v>0</v>
      </c>
      <c r="I1837" s="2">
        <v>0</v>
      </c>
      <c r="J1837" s="1">
        <v>45915.378831018519</v>
      </c>
    </row>
    <row r="1838" spans="1:10" x14ac:dyDescent="0.2">
      <c r="A1838" s="4" t="s">
        <v>1</v>
      </c>
      <c r="B1838" s="3" t="str">
        <f>HYPERLINK("https://otsuka-europe-crm.veevavault.com/ui/#object/approved_document__v/V5OZ025E82TFUPI", "Spain - HCP Survey Email - June 2025")</f>
        <v>Spain - HCP Survey Email - June 2025</v>
      </c>
      <c r="C1838" s="3" t="str">
        <f>HYPERLINK("https://otsuka-europe-crm.veevavault.com/ui/#object/sent_email__v/VBLZ025E82GMZ17", "SE-000268925")</f>
        <v>SE-000268925</v>
      </c>
      <c r="D1838" s="1">
        <v>45915.994108796294</v>
      </c>
      <c r="E1838" s="2">
        <v>1</v>
      </c>
      <c r="F1838" s="2">
        <v>1</v>
      </c>
      <c r="G1838" s="2">
        <v>0</v>
      </c>
      <c r="H1838" s="1" t="s">
        <v>0</v>
      </c>
      <c r="I1838" s="2">
        <v>0</v>
      </c>
      <c r="J1838" s="1">
        <v>45915.37872685185</v>
      </c>
    </row>
    <row r="1839" spans="1:10" x14ac:dyDescent="0.2">
      <c r="A1839" s="4" t="s">
        <v>1</v>
      </c>
      <c r="B1839" s="3" t="str">
        <f>HYPERLINK("https://otsuka-europe-crm.veevavault.com/ui/#object/approved_document__v/V5OZ025E82TFUPI", "Spain - HCP Survey Email - June 2025")</f>
        <v>Spain - HCP Survey Email - June 2025</v>
      </c>
      <c r="C1839" s="3" t="str">
        <f>HYPERLINK("https://otsuka-europe-crm.veevavault.com/ui/#object/sent_email__v/VBLZ025E82GMZ18", "SE-000268926")</f>
        <v>SE-000268926</v>
      </c>
      <c r="D1839" s="1" t="s">
        <v>0</v>
      </c>
      <c r="E1839" s="2">
        <v>0</v>
      </c>
      <c r="F1839" s="2">
        <v>0</v>
      </c>
      <c r="G1839" s="2">
        <v>0</v>
      </c>
      <c r="H1839" s="1" t="s">
        <v>0</v>
      </c>
      <c r="I1839" s="2">
        <v>0</v>
      </c>
      <c r="J1839" s="1">
        <v>45915.37940972222</v>
      </c>
    </row>
    <row r="1840" spans="1:10" x14ac:dyDescent="0.2">
      <c r="A1840" s="4" t="s">
        <v>1</v>
      </c>
      <c r="B1840" s="3" t="str">
        <f>HYPERLINK("https://otsuka-europe-crm.veevavault.com/ui/#object/approved_document__v/V5OZ025E82TFUPI", "Spain - HCP Survey Email - June 2025")</f>
        <v>Spain - HCP Survey Email - June 2025</v>
      </c>
      <c r="C1840" s="3" t="str">
        <f>HYPERLINK("https://otsuka-europe-crm.veevavault.com/ui/#object/sent_email__v/VBLZ025E82GMZ19", "SE-000268927")</f>
        <v>SE-000268927</v>
      </c>
      <c r="D1840" s="1">
        <v>45915.572233796294</v>
      </c>
      <c r="E1840" s="2">
        <v>1</v>
      </c>
      <c r="F1840" s="2">
        <v>1</v>
      </c>
      <c r="G1840" s="2">
        <v>0</v>
      </c>
      <c r="H1840" s="1" t="s">
        <v>0</v>
      </c>
      <c r="I1840" s="2">
        <v>0</v>
      </c>
      <c r="J1840" s="1">
        <v>45915.377395833333</v>
      </c>
    </row>
    <row r="1841" spans="1:10" x14ac:dyDescent="0.2">
      <c r="A1841" s="4" t="s">
        <v>1</v>
      </c>
      <c r="B1841" s="3" t="str">
        <f>HYPERLINK("https://otsuka-europe-crm.veevavault.com/ui/#object/approved_document__v/V5OZ025E82TFUPI", "Spain - HCP Survey Email - June 2025")</f>
        <v>Spain - HCP Survey Email - June 2025</v>
      </c>
      <c r="C1841" s="3" t="str">
        <f>HYPERLINK("https://otsuka-europe-crm.veevavault.com/ui/#object/sent_email__v/VBLZ025E82GMZ1A", "SE-000268928")</f>
        <v>SE-000268928</v>
      </c>
      <c r="D1841" s="1">
        <v>45927.989050925928</v>
      </c>
      <c r="E1841" s="2">
        <v>1</v>
      </c>
      <c r="F1841" s="2">
        <v>4</v>
      </c>
      <c r="G1841" s="2">
        <v>0</v>
      </c>
      <c r="H1841" s="1" t="s">
        <v>0</v>
      </c>
      <c r="I1841" s="2">
        <v>0</v>
      </c>
      <c r="J1841" s="1">
        <v>45915.378368055557</v>
      </c>
    </row>
    <row r="1842" spans="1:10" x14ac:dyDescent="0.2">
      <c r="A1842" s="4" t="s">
        <v>1</v>
      </c>
      <c r="B1842" s="3" t="str">
        <f>HYPERLINK("https://otsuka-europe-crm.veevavault.com/ui/#object/approved_document__v/V5OZ025E82TFUPI", "Spain - HCP Survey Email - June 2025")</f>
        <v>Spain - HCP Survey Email - June 2025</v>
      </c>
      <c r="C1842" s="3" t="str">
        <f>HYPERLINK("https://otsuka-europe-crm.veevavault.com/ui/#object/sent_email__v/VBLZ025E82GMZ1B", "SE-000268929")</f>
        <v>SE-000268929</v>
      </c>
      <c r="D1842" s="1">
        <v>45915.386203703703</v>
      </c>
      <c r="E1842" s="2">
        <v>1</v>
      </c>
      <c r="F1842" s="2">
        <v>1</v>
      </c>
      <c r="G1842" s="2">
        <v>0</v>
      </c>
      <c r="H1842" s="1" t="s">
        <v>0</v>
      </c>
      <c r="I1842" s="2">
        <v>0</v>
      </c>
      <c r="J1842" s="1">
        <v>45915.378842592596</v>
      </c>
    </row>
    <row r="1843" spans="1:10" x14ac:dyDescent="0.2">
      <c r="A1843" s="4" t="s">
        <v>1</v>
      </c>
      <c r="B1843" s="3" t="str">
        <f>HYPERLINK("https://otsuka-europe-crm.veevavault.com/ui/#object/approved_document__v/V5OZ025E82TFUPI", "Spain - HCP Survey Email - June 2025")</f>
        <v>Spain - HCP Survey Email - June 2025</v>
      </c>
      <c r="C1843" s="3" t="str">
        <f>HYPERLINK("https://otsuka-europe-crm.veevavault.com/ui/#object/sent_email__v/VBLZ025E82GMZ1C", "SE-000268930")</f>
        <v>SE-000268930</v>
      </c>
      <c r="D1843" s="1">
        <v>45915.747499999998</v>
      </c>
      <c r="E1843" s="2">
        <v>1</v>
      </c>
      <c r="F1843" s="2">
        <v>1</v>
      </c>
      <c r="G1843" s="2">
        <v>1</v>
      </c>
      <c r="H1843" s="1">
        <v>45915.747835648152</v>
      </c>
      <c r="I1843" s="2">
        <v>1</v>
      </c>
      <c r="J1843" s="1">
        <v>45915.378784722219</v>
      </c>
    </row>
    <row r="1844" spans="1:10" x14ac:dyDescent="0.2">
      <c r="A1844" s="4" t="s">
        <v>1</v>
      </c>
      <c r="B1844" s="3" t="str">
        <f>HYPERLINK("https://otsuka-europe-crm.veevavault.com/ui/#object/approved_document__v/V5OZ025E82TFUPI", "Spain - HCP Survey Email - June 2025")</f>
        <v>Spain - HCP Survey Email - June 2025</v>
      </c>
      <c r="C1844" s="3" t="str">
        <f>HYPERLINK("https://otsuka-europe-crm.veevavault.com/ui/#object/sent_email__v/VBLZ025E82GMZ1D", "SE-000268931")</f>
        <v>SE-000268931</v>
      </c>
      <c r="D1844" s="1" t="s">
        <v>0</v>
      </c>
      <c r="E1844" s="2">
        <v>0</v>
      </c>
      <c r="F1844" s="2">
        <v>0</v>
      </c>
      <c r="G1844" s="2">
        <v>0</v>
      </c>
      <c r="H1844" s="1" t="s">
        <v>0</v>
      </c>
      <c r="I1844" s="2">
        <v>0</v>
      </c>
      <c r="J1844" s="1">
        <v>45915.379212962966</v>
      </c>
    </row>
    <row r="1845" spans="1:10" x14ac:dyDescent="0.2">
      <c r="A1845" s="4" t="s">
        <v>1</v>
      </c>
      <c r="B1845" s="3" t="str">
        <f>HYPERLINK("https://otsuka-europe-crm.veevavault.com/ui/#object/approved_document__v/V5OZ025E82TFUPI", "Spain - HCP Survey Email - June 2025")</f>
        <v>Spain - HCP Survey Email - June 2025</v>
      </c>
      <c r="C1845" s="3" t="str">
        <f>HYPERLINK("https://otsuka-europe-crm.veevavault.com/ui/#object/sent_email__v/VBLZ025E82GMZ1E", "SE-000268932")</f>
        <v>SE-000268932</v>
      </c>
      <c r="D1845" s="1">
        <v>45915.8284375</v>
      </c>
      <c r="E1845" s="2">
        <v>1</v>
      </c>
      <c r="F1845" s="2">
        <v>2</v>
      </c>
      <c r="G1845" s="2">
        <v>1</v>
      </c>
      <c r="H1845" s="1">
        <v>45915.828518518516</v>
      </c>
      <c r="I1845" s="2">
        <v>1</v>
      </c>
      <c r="J1845" s="1">
        <v>45915.377870370372</v>
      </c>
    </row>
    <row r="1846" spans="1:10" x14ac:dyDescent="0.2">
      <c r="A1846" s="4" t="s">
        <v>1</v>
      </c>
      <c r="B1846" s="3" t="str">
        <f>HYPERLINK("https://otsuka-europe-crm.veevavault.com/ui/#object/approved_document__v/V5OZ025E82TFUPI", "Spain - HCP Survey Email - June 2025")</f>
        <v>Spain - HCP Survey Email - June 2025</v>
      </c>
      <c r="C1846" s="3" t="str">
        <f>HYPERLINK("https://otsuka-europe-crm.veevavault.com/ui/#object/sent_email__v/VBLZ025E82GMZ1F", "SE-000268933")</f>
        <v>SE-000268933</v>
      </c>
      <c r="D1846" s="1">
        <v>45915.429699074077</v>
      </c>
      <c r="E1846" s="2">
        <v>1</v>
      </c>
      <c r="F1846" s="2">
        <v>1</v>
      </c>
      <c r="G1846" s="2">
        <v>0</v>
      </c>
      <c r="H1846" s="1" t="s">
        <v>0</v>
      </c>
      <c r="I1846" s="2">
        <v>0</v>
      </c>
      <c r="J1846" s="1">
        <v>45915.378240740742</v>
      </c>
    </row>
    <row r="1847" spans="1:10" x14ac:dyDescent="0.2">
      <c r="A1847" s="4" t="s">
        <v>1</v>
      </c>
      <c r="B1847" s="3" t="str">
        <f>HYPERLINK("https://otsuka-europe-crm.veevavault.com/ui/#object/approved_document__v/V5OZ025E82TFUPI", "Spain - HCP Survey Email - June 2025")</f>
        <v>Spain - HCP Survey Email - June 2025</v>
      </c>
      <c r="C1847" s="3" t="str">
        <f>HYPERLINK("https://otsuka-europe-crm.veevavault.com/ui/#object/sent_email__v/VBLZ025E82GMZ1G", "SE-000268934")</f>
        <v>SE-000268934</v>
      </c>
      <c r="D1847" s="1">
        <v>45915.39607638889</v>
      </c>
      <c r="E1847" s="2">
        <v>1</v>
      </c>
      <c r="F1847" s="2">
        <v>1</v>
      </c>
      <c r="G1847" s="2">
        <v>0</v>
      </c>
      <c r="H1847" s="1" t="s">
        <v>0</v>
      </c>
      <c r="I1847" s="2">
        <v>0</v>
      </c>
      <c r="J1847" s="1">
        <v>45915.37809027778</v>
      </c>
    </row>
    <row r="1848" spans="1:10" x14ac:dyDescent="0.2">
      <c r="A1848" s="4" t="s">
        <v>1</v>
      </c>
      <c r="B1848" s="3" t="str">
        <f>HYPERLINK("https://otsuka-europe-crm.veevavault.com/ui/#object/approved_document__v/V5OZ025E82TFUPI", "Spain - HCP Survey Email - June 2025")</f>
        <v>Spain - HCP Survey Email - June 2025</v>
      </c>
      <c r="C1848" s="3" t="str">
        <f>HYPERLINK("https://otsuka-europe-crm.veevavault.com/ui/#object/sent_email__v/VBLZ025E82GMZ1H", "SE-000268935")</f>
        <v>SE-000268935</v>
      </c>
      <c r="D1848" s="1">
        <v>45921.886828703704</v>
      </c>
      <c r="E1848" s="2">
        <v>1</v>
      </c>
      <c r="F1848" s="2">
        <v>2</v>
      </c>
      <c r="G1848" s="2">
        <v>0</v>
      </c>
      <c r="H1848" s="1" t="s">
        <v>0</v>
      </c>
      <c r="I1848" s="2">
        <v>0</v>
      </c>
      <c r="J1848" s="1">
        <v>45915.378518518519</v>
      </c>
    </row>
    <row r="1849" spans="1:10" x14ac:dyDescent="0.2">
      <c r="A1849" s="4" t="s">
        <v>1</v>
      </c>
      <c r="B1849" s="3" t="str">
        <f>HYPERLINK("https://otsuka-europe-crm.veevavault.com/ui/#object/approved_document__v/V5OZ025E82TFUPI", "Spain - HCP Survey Email - June 2025")</f>
        <v>Spain - HCP Survey Email - June 2025</v>
      </c>
      <c r="C1849" s="3" t="str">
        <f>HYPERLINK("https://otsuka-europe-crm.veevavault.com/ui/#object/sent_email__v/VBLZ025E82GMZ1I", "SE-000268936")</f>
        <v>SE-000268936</v>
      </c>
      <c r="D1849" s="1" t="s">
        <v>0</v>
      </c>
      <c r="E1849" s="2">
        <v>0</v>
      </c>
      <c r="F1849" s="2">
        <v>0</v>
      </c>
      <c r="G1849" s="2">
        <v>0</v>
      </c>
      <c r="H1849" s="1" t="s">
        <v>0</v>
      </c>
      <c r="I1849" s="2">
        <v>0</v>
      </c>
      <c r="J1849" s="1">
        <v>45915.379560185182</v>
      </c>
    </row>
    <row r="1850" spans="1:10" x14ac:dyDescent="0.2">
      <c r="A1850" s="4" t="s">
        <v>1</v>
      </c>
      <c r="B1850" s="3" t="str">
        <f>HYPERLINK("https://otsuka-europe-crm.veevavault.com/ui/#object/approved_document__v/V5OZ025E82TFUPI", "Spain - HCP Survey Email - June 2025")</f>
        <v>Spain - HCP Survey Email - June 2025</v>
      </c>
      <c r="C1850" s="3" t="str">
        <f>HYPERLINK("https://otsuka-europe-crm.veevavault.com/ui/#object/sent_email__v/VBLZ025E82GMZ1J", "SE-000268937")</f>
        <v>SE-000268937</v>
      </c>
      <c r="D1850" s="1">
        <v>45915.387488425928</v>
      </c>
      <c r="E1850" s="2">
        <v>1</v>
      </c>
      <c r="F1850" s="2">
        <v>1</v>
      </c>
      <c r="G1850" s="2">
        <v>0</v>
      </c>
      <c r="H1850" s="1" t="s">
        <v>0</v>
      </c>
      <c r="I1850" s="2">
        <v>0</v>
      </c>
      <c r="J1850" s="1">
        <v>45915.379340277781</v>
      </c>
    </row>
    <row r="1851" spans="1:10" x14ac:dyDescent="0.2">
      <c r="A1851" s="4" t="s">
        <v>1</v>
      </c>
      <c r="B1851" s="3" t="str">
        <f>HYPERLINK("https://otsuka-europe-crm.veevavault.com/ui/#object/approved_document__v/V5OZ025E82TFUPI", "Spain - HCP Survey Email - June 2025")</f>
        <v>Spain - HCP Survey Email - June 2025</v>
      </c>
      <c r="C1851" s="3" t="str">
        <f>HYPERLINK("https://otsuka-europe-crm.veevavault.com/ui/#object/sent_email__v/VBLZ025E82GMZ1K", "SE-000268938")</f>
        <v>SE-000268938</v>
      </c>
      <c r="D1851" s="1">
        <v>45939.982222222221</v>
      </c>
      <c r="E1851" s="2">
        <v>1</v>
      </c>
      <c r="F1851" s="2">
        <v>3</v>
      </c>
      <c r="G1851" s="2">
        <v>1</v>
      </c>
      <c r="H1851" s="1">
        <v>45915.448587962965</v>
      </c>
      <c r="I1851" s="2">
        <v>1</v>
      </c>
      <c r="J1851" s="1">
        <v>45915.377476851849</v>
      </c>
    </row>
    <row r="1852" spans="1:10" x14ac:dyDescent="0.2">
      <c r="A1852" s="4" t="s">
        <v>1</v>
      </c>
      <c r="B1852" s="3" t="str">
        <f>HYPERLINK("https://otsuka-europe-crm.veevavault.com/ui/#object/approved_document__v/V5OZ025E82TFUPI", "Spain - HCP Survey Email - June 2025")</f>
        <v>Spain - HCP Survey Email - June 2025</v>
      </c>
      <c r="C1852" s="3" t="str">
        <f>HYPERLINK("https://otsuka-europe-crm.veevavault.com/ui/#object/sent_email__v/VBLZ025E82GMZ1L", "SE-000268939")</f>
        <v>SE-000268939</v>
      </c>
      <c r="D1852" s="1">
        <v>45915.380185185182</v>
      </c>
      <c r="E1852" s="2">
        <v>1</v>
      </c>
      <c r="F1852" s="2">
        <v>1</v>
      </c>
      <c r="G1852" s="2">
        <v>0</v>
      </c>
      <c r="H1852" s="1" t="s">
        <v>0</v>
      </c>
      <c r="I1852" s="2">
        <v>0</v>
      </c>
      <c r="J1852" s="1">
        <v>45915.37840277778</v>
      </c>
    </row>
    <row r="1853" spans="1:10" x14ac:dyDescent="0.2">
      <c r="A1853" s="4" t="s">
        <v>1</v>
      </c>
      <c r="B1853" s="3" t="str">
        <f>HYPERLINK("https://otsuka-europe-crm.veevavault.com/ui/#object/approved_document__v/V5OZ025E82TFUPI", "Spain - HCP Survey Email - June 2025")</f>
        <v>Spain - HCP Survey Email - June 2025</v>
      </c>
      <c r="C1853" s="3" t="str">
        <f>HYPERLINK("https://otsuka-europe-crm.veevavault.com/ui/#object/sent_email__v/VBLZ025E82GMZ1M", "SE-000268940")</f>
        <v>SE-000268940</v>
      </c>
      <c r="D1853" s="1" t="s">
        <v>0</v>
      </c>
      <c r="E1853" s="2">
        <v>0</v>
      </c>
      <c r="F1853" s="2">
        <v>0</v>
      </c>
      <c r="G1853" s="2">
        <v>0</v>
      </c>
      <c r="H1853" s="1" t="s">
        <v>0</v>
      </c>
      <c r="I1853" s="2">
        <v>0</v>
      </c>
      <c r="J1853" s="1">
        <v>45915.378854166665</v>
      </c>
    </row>
    <row r="1854" spans="1:10" x14ac:dyDescent="0.2">
      <c r="A1854" s="4" t="s">
        <v>1</v>
      </c>
      <c r="B1854" s="3" t="str">
        <f>HYPERLINK("https://otsuka-europe-crm.veevavault.com/ui/#object/approved_document__v/V5OZ025E82TFUPI", "Spain - HCP Survey Email - June 2025")</f>
        <v>Spain - HCP Survey Email - June 2025</v>
      </c>
      <c r="C1854" s="3" t="str">
        <f>HYPERLINK("https://otsuka-europe-crm.veevavault.com/ui/#object/sent_email__v/VBLZ025E82GMZ1N", "SE-000268941")</f>
        <v>SE-000268941</v>
      </c>
      <c r="D1854" s="1">
        <v>45917.50744212963</v>
      </c>
      <c r="E1854" s="2">
        <v>1</v>
      </c>
      <c r="F1854" s="2">
        <v>3</v>
      </c>
      <c r="G1854" s="2">
        <v>0</v>
      </c>
      <c r="H1854" s="1" t="s">
        <v>0</v>
      </c>
      <c r="I1854" s="2">
        <v>0</v>
      </c>
      <c r="J1854" s="1">
        <v>45915.378796296296</v>
      </c>
    </row>
    <row r="1855" spans="1:10" x14ac:dyDescent="0.2">
      <c r="A1855" s="4" t="s">
        <v>1</v>
      </c>
      <c r="B1855" s="3" t="str">
        <f>HYPERLINK("https://otsuka-europe-crm.veevavault.com/ui/#object/approved_document__v/V5OZ025E82TFUPI", "Spain - HCP Survey Email - June 2025")</f>
        <v>Spain - HCP Survey Email - June 2025</v>
      </c>
      <c r="C1855" s="3" t="str">
        <f>HYPERLINK("https://otsuka-europe-crm.veevavault.com/ui/#object/sent_email__v/VBLZ025E82GMZ1O", "SE-000268942")</f>
        <v>SE-000268942</v>
      </c>
      <c r="D1855" s="1">
        <v>45969.383842592593</v>
      </c>
      <c r="E1855" s="2">
        <v>1</v>
      </c>
      <c r="F1855" s="2">
        <v>3</v>
      </c>
      <c r="G1855" s="2">
        <v>0</v>
      </c>
      <c r="H1855" s="1" t="s">
        <v>0</v>
      </c>
      <c r="I1855" s="2">
        <v>0</v>
      </c>
      <c r="J1855" s="1">
        <v>45915.379247685189</v>
      </c>
    </row>
    <row r="1856" spans="1:10" x14ac:dyDescent="0.2">
      <c r="A1856" s="4" t="s">
        <v>1</v>
      </c>
      <c r="B1856" s="3" t="str">
        <f>HYPERLINK("https://otsuka-europe-crm.veevavault.com/ui/#object/approved_document__v/V5OZ025E82TFUPI", "Spain - HCP Survey Email - June 2025")</f>
        <v>Spain - HCP Survey Email - June 2025</v>
      </c>
      <c r="C1856" s="3" t="str">
        <f>HYPERLINK("https://otsuka-europe-crm.veevavault.com/ui/#object/sent_email__v/VBLZ025E82GMZ1P", "SE-000268943")</f>
        <v>SE-000268943</v>
      </c>
      <c r="D1856" s="1" t="s">
        <v>0</v>
      </c>
      <c r="E1856" s="2">
        <v>0</v>
      </c>
      <c r="F1856" s="2">
        <v>0</v>
      </c>
      <c r="G1856" s="2">
        <v>0</v>
      </c>
      <c r="H1856" s="1" t="s">
        <v>0</v>
      </c>
      <c r="I1856" s="2">
        <v>0</v>
      </c>
      <c r="J1856" s="1">
        <v>45915.377893518518</v>
      </c>
    </row>
    <row r="1857" spans="1:10" x14ac:dyDescent="0.2">
      <c r="A1857" s="4" t="s">
        <v>1</v>
      </c>
      <c r="B1857" s="3" t="str">
        <f>HYPERLINK("https://otsuka-europe-crm.veevavault.com/ui/#object/approved_document__v/V5OZ025E82TFUPI", "Spain - HCP Survey Email - June 2025")</f>
        <v>Spain - HCP Survey Email - June 2025</v>
      </c>
      <c r="C1857" s="3" t="str">
        <f>HYPERLINK("https://otsuka-europe-crm.veevavault.com/ui/#object/sent_email__v/VBLZ025E82GMZ1Q", "SE-000268944")</f>
        <v>SE-000268944</v>
      </c>
      <c r="D1857" s="1" t="s">
        <v>0</v>
      </c>
      <c r="E1857" s="2">
        <v>0</v>
      </c>
      <c r="F1857" s="2">
        <v>0</v>
      </c>
      <c r="G1857" s="2">
        <v>0</v>
      </c>
      <c r="H1857" s="1" t="s">
        <v>0</v>
      </c>
      <c r="I1857" s="2">
        <v>0</v>
      </c>
      <c r="J1857" s="1">
        <v>45915.378275462965</v>
      </c>
    </row>
    <row r="1858" spans="1:10" x14ac:dyDescent="0.2">
      <c r="A1858" s="4" t="s">
        <v>1</v>
      </c>
      <c r="B1858" s="3" t="str">
        <f>HYPERLINK("https://otsuka-europe-crm.veevavault.com/ui/#object/approved_document__v/V5OZ025E82TFUPI", "Spain - HCP Survey Email - June 2025")</f>
        <v>Spain - HCP Survey Email - June 2025</v>
      </c>
      <c r="C1858" s="3" t="str">
        <f>HYPERLINK("https://otsuka-europe-crm.veevavault.com/ui/#object/sent_email__v/VBLZ025E82GMZ1R", "SE-000268945")</f>
        <v>SE-000268945</v>
      </c>
      <c r="D1858" s="1" t="s">
        <v>0</v>
      </c>
      <c r="E1858" s="2">
        <v>0</v>
      </c>
      <c r="F1858" s="2">
        <v>0</v>
      </c>
      <c r="G1858" s="2">
        <v>0</v>
      </c>
      <c r="H1858" s="1" t="s">
        <v>0</v>
      </c>
      <c r="I1858" s="2">
        <v>0</v>
      </c>
      <c r="J1858" s="1">
        <v>45915.37809027778</v>
      </c>
    </row>
    <row r="1859" spans="1:10" x14ac:dyDescent="0.2">
      <c r="A1859" s="4" t="s">
        <v>1</v>
      </c>
      <c r="B1859" s="3" t="str">
        <f>HYPERLINK("https://otsuka-europe-crm.veevavault.com/ui/#object/approved_document__v/V5OZ025E82TFUPI", "Spain - HCP Survey Email - June 2025")</f>
        <v>Spain - HCP Survey Email - June 2025</v>
      </c>
      <c r="C1859" s="3" t="str">
        <f>HYPERLINK("https://otsuka-europe-crm.veevavault.com/ui/#object/sent_email__v/VBLZ025E82GMZ1S", "SE-000268946")</f>
        <v>SE-000268946</v>
      </c>
      <c r="D1859" s="1">
        <v>45915.484652777777</v>
      </c>
      <c r="E1859" s="2">
        <v>1</v>
      </c>
      <c r="F1859" s="2">
        <v>1</v>
      </c>
      <c r="G1859" s="2">
        <v>0</v>
      </c>
      <c r="H1859" s="1" t="s">
        <v>0</v>
      </c>
      <c r="I1859" s="2">
        <v>0</v>
      </c>
      <c r="J1859" s="1">
        <v>45915.378553240742</v>
      </c>
    </row>
    <row r="1860" spans="1:10" x14ac:dyDescent="0.2">
      <c r="A1860" s="4" t="s">
        <v>1</v>
      </c>
      <c r="B1860" s="3" t="str">
        <f>HYPERLINK("https://otsuka-europe-crm.veevavault.com/ui/#object/approved_document__v/V5OZ025E82TFUPI", "Spain - HCP Survey Email - June 2025")</f>
        <v>Spain - HCP Survey Email - June 2025</v>
      </c>
      <c r="C1860" s="3" t="str">
        <f>HYPERLINK("https://otsuka-europe-crm.veevavault.com/ui/#object/sent_email__v/VBLZ025E82GMZ1T", "SE-000268947")</f>
        <v>SE-000268947</v>
      </c>
      <c r="D1860" s="1" t="s">
        <v>0</v>
      </c>
      <c r="E1860" s="2">
        <v>0</v>
      </c>
      <c r="F1860" s="2">
        <v>0</v>
      </c>
      <c r="G1860" s="2">
        <v>0</v>
      </c>
      <c r="H1860" s="1" t="s">
        <v>0</v>
      </c>
      <c r="I1860" s="2">
        <v>0</v>
      </c>
      <c r="J1860" s="1">
        <v>45915.379733796297</v>
      </c>
    </row>
    <row r="1861" spans="1:10" x14ac:dyDescent="0.2">
      <c r="A1861" s="4" t="s">
        <v>1</v>
      </c>
      <c r="B1861" s="3" t="str">
        <f>HYPERLINK("https://otsuka-europe-crm.veevavault.com/ui/#object/approved_document__v/V5OZ025E82TFUPI", "Spain - HCP Survey Email - June 2025")</f>
        <v>Spain - HCP Survey Email - June 2025</v>
      </c>
      <c r="C1861" s="3" t="str">
        <f>HYPERLINK("https://otsuka-europe-crm.veevavault.com/ui/#object/sent_email__v/VBLZ025E82GMZ1U", "SE-000268948")</f>
        <v>SE-000268948</v>
      </c>
      <c r="D1861" s="1" t="s">
        <v>0</v>
      </c>
      <c r="E1861" s="2">
        <v>0</v>
      </c>
      <c r="F1861" s="2">
        <v>0</v>
      </c>
      <c r="G1861" s="2">
        <v>0</v>
      </c>
      <c r="H1861" s="1" t="s">
        <v>0</v>
      </c>
      <c r="I1861" s="2">
        <v>0</v>
      </c>
      <c r="J1861" s="1">
        <v>45915.379340277781</v>
      </c>
    </row>
    <row r="1862" spans="1:10" x14ac:dyDescent="0.2">
      <c r="A1862" s="4" t="s">
        <v>1</v>
      </c>
      <c r="B1862" s="3" t="str">
        <f>HYPERLINK("https://otsuka-europe-crm.veevavault.com/ui/#object/approved_document__v/V5OZ025E82TFUPI", "Spain - HCP Survey Email - June 2025")</f>
        <v>Spain - HCP Survey Email - June 2025</v>
      </c>
      <c r="C1862" s="3" t="str">
        <f>HYPERLINK("https://otsuka-europe-crm.veevavault.com/ui/#object/sent_email__v/VBLZ025E82GMZ1V", "SE-000268949")</f>
        <v>SE-000268949</v>
      </c>
      <c r="D1862" s="1" t="s">
        <v>0</v>
      </c>
      <c r="E1862" s="2">
        <v>0</v>
      </c>
      <c r="F1862" s="2">
        <v>0</v>
      </c>
      <c r="G1862" s="2">
        <v>0</v>
      </c>
      <c r="H1862" s="1" t="s">
        <v>0</v>
      </c>
      <c r="I1862" s="2">
        <v>0</v>
      </c>
      <c r="J1862" s="1">
        <v>45915.377442129633</v>
      </c>
    </row>
    <row r="1863" spans="1:10" x14ac:dyDescent="0.2">
      <c r="A1863" s="4" t="s">
        <v>1</v>
      </c>
      <c r="B1863" s="3" t="str">
        <f>HYPERLINK("https://otsuka-europe-crm.veevavault.com/ui/#object/approved_document__v/V5OZ025E82TFUPI", "Spain - HCP Survey Email - June 2025")</f>
        <v>Spain - HCP Survey Email - June 2025</v>
      </c>
      <c r="C1863" s="3" t="str">
        <f>HYPERLINK("https://otsuka-europe-crm.veevavault.com/ui/#object/sent_email__v/VBLZ025E82GMZ1W", "SE-000268950")</f>
        <v>SE-000268950</v>
      </c>
      <c r="D1863" s="1" t="s">
        <v>0</v>
      </c>
      <c r="E1863" s="2">
        <v>0</v>
      </c>
      <c r="F1863" s="2">
        <v>0</v>
      </c>
      <c r="G1863" s="2">
        <v>0</v>
      </c>
      <c r="H1863" s="1" t="s">
        <v>0</v>
      </c>
      <c r="I1863" s="2">
        <v>0</v>
      </c>
      <c r="J1863" s="1">
        <v>45915.37835648148</v>
      </c>
    </row>
    <row r="1864" spans="1:10" x14ac:dyDescent="0.2">
      <c r="A1864" s="4" t="s">
        <v>1</v>
      </c>
      <c r="B1864" s="3" t="str">
        <f>HYPERLINK("https://otsuka-europe-crm.veevavault.com/ui/#object/approved_document__v/V5OZ025E82TFUPI", "Spain - HCP Survey Email - June 2025")</f>
        <v>Spain - HCP Survey Email - June 2025</v>
      </c>
      <c r="C1864" s="3" t="str">
        <f>HYPERLINK("https://otsuka-europe-crm.veevavault.com/ui/#object/sent_email__v/VBLZ025E82GMZ1X", "SE-000268951")</f>
        <v>SE-000268951</v>
      </c>
      <c r="D1864" s="1" t="s">
        <v>0</v>
      </c>
      <c r="E1864" s="2">
        <v>0</v>
      </c>
      <c r="F1864" s="2">
        <v>0</v>
      </c>
      <c r="G1864" s="2">
        <v>0</v>
      </c>
      <c r="H1864" s="1" t="s">
        <v>0</v>
      </c>
      <c r="I1864" s="2">
        <v>0</v>
      </c>
      <c r="J1864" s="1">
        <v>45915.378888888888</v>
      </c>
    </row>
    <row r="1865" spans="1:10" x14ac:dyDescent="0.2">
      <c r="A1865" s="4" t="s">
        <v>1</v>
      </c>
      <c r="B1865" s="3" t="str">
        <f>HYPERLINK("https://otsuka-europe-crm.veevavault.com/ui/#object/approved_document__v/V5OZ025E82TFUPI", "Spain - HCP Survey Email - June 2025")</f>
        <v>Spain - HCP Survey Email - June 2025</v>
      </c>
      <c r="C1865" s="3" t="str">
        <f>HYPERLINK("https://otsuka-europe-crm.veevavault.com/ui/#object/sent_email__v/VBLZ025E82GMZ1Y", "SE-000268952")</f>
        <v>SE-000268952</v>
      </c>
      <c r="D1865" s="1" t="s">
        <v>0</v>
      </c>
      <c r="E1865" s="2">
        <v>0</v>
      </c>
      <c r="F1865" s="2">
        <v>0</v>
      </c>
      <c r="G1865" s="2">
        <v>0</v>
      </c>
      <c r="H1865" s="1" t="s">
        <v>0</v>
      </c>
      <c r="I1865" s="2">
        <v>0</v>
      </c>
      <c r="J1865" s="1">
        <v>45915.378703703704</v>
      </c>
    </row>
    <row r="1866" spans="1:10" x14ac:dyDescent="0.2">
      <c r="A1866" s="4" t="s">
        <v>1</v>
      </c>
      <c r="B1866" s="3" t="str">
        <f>HYPERLINK("https://otsuka-europe-crm.veevavault.com/ui/#object/approved_document__v/V5OZ025E82TFUPI", "Spain - HCP Survey Email - June 2025")</f>
        <v>Spain - HCP Survey Email - June 2025</v>
      </c>
      <c r="C1866" s="3" t="str">
        <f>HYPERLINK("https://otsuka-europe-crm.veevavault.com/ui/#object/sent_email__v/VBLZ025E82GMZ1Z", "SE-000268953")</f>
        <v>SE-000268953</v>
      </c>
      <c r="D1866" s="1" t="s">
        <v>0</v>
      </c>
      <c r="E1866" s="2">
        <v>0</v>
      </c>
      <c r="F1866" s="2">
        <v>0</v>
      </c>
      <c r="G1866" s="2">
        <v>0</v>
      </c>
      <c r="H1866" s="1" t="s">
        <v>0</v>
      </c>
      <c r="I1866" s="2">
        <v>0</v>
      </c>
      <c r="J1866" s="1">
        <v>45915.379270833335</v>
      </c>
    </row>
    <row r="1867" spans="1:10" x14ac:dyDescent="0.2">
      <c r="A1867" s="4" t="s">
        <v>1</v>
      </c>
      <c r="B1867" s="3" t="str">
        <f>HYPERLINK("https://otsuka-europe-crm.veevavault.com/ui/#object/approved_document__v/V5OZ025E82TFUPI", "Spain - HCP Survey Email - June 2025")</f>
        <v>Spain - HCP Survey Email - June 2025</v>
      </c>
      <c r="C1867" s="3" t="str">
        <f>HYPERLINK("https://otsuka-europe-crm.veevavault.com/ui/#object/sent_email__v/VBLZ025E82GMZ20", "SE-000268954")</f>
        <v>SE-000268954</v>
      </c>
      <c r="D1867" s="1">
        <v>45915.421643518515</v>
      </c>
      <c r="E1867" s="2">
        <v>1</v>
      </c>
      <c r="F1867" s="2">
        <v>1</v>
      </c>
      <c r="G1867" s="2">
        <v>1</v>
      </c>
      <c r="H1867" s="1">
        <v>45915.421643518515</v>
      </c>
      <c r="I1867" s="2">
        <v>1</v>
      </c>
      <c r="J1867" s="1">
        <v>45915.377974537034</v>
      </c>
    </row>
    <row r="1868" spans="1:10" x14ac:dyDescent="0.2">
      <c r="A1868" s="4" t="s">
        <v>1</v>
      </c>
      <c r="B1868" s="3" t="str">
        <f>HYPERLINK("https://otsuka-europe-crm.veevavault.com/ui/#object/approved_document__v/V5OZ025E82TFUPI", "Spain - HCP Survey Email - June 2025")</f>
        <v>Spain - HCP Survey Email - June 2025</v>
      </c>
      <c r="C1868" s="3" t="str">
        <f>HYPERLINK("https://otsuka-europe-crm.veevavault.com/ui/#object/sent_email__v/VBLZ025E82GMZ21", "SE-000268955")</f>
        <v>SE-000268955</v>
      </c>
      <c r="D1868" s="1">
        <v>45915.49763888889</v>
      </c>
      <c r="E1868" s="2">
        <v>1</v>
      </c>
      <c r="F1868" s="2">
        <v>1</v>
      </c>
      <c r="G1868" s="2">
        <v>0</v>
      </c>
      <c r="H1868" s="1" t="s">
        <v>0</v>
      </c>
      <c r="I1868" s="2">
        <v>0</v>
      </c>
      <c r="J1868" s="1">
        <v>45915.378333333334</v>
      </c>
    </row>
    <row r="1869" spans="1:10" x14ac:dyDescent="0.2">
      <c r="A1869" s="4" t="s">
        <v>1</v>
      </c>
      <c r="B1869" s="3" t="str">
        <f>HYPERLINK("https://otsuka-europe-crm.veevavault.com/ui/#object/approved_document__v/V5OZ025E82TFUPI", "Spain - HCP Survey Email - June 2025")</f>
        <v>Spain - HCP Survey Email - June 2025</v>
      </c>
      <c r="C1869" s="3" t="str">
        <f>HYPERLINK("https://otsuka-europe-crm.veevavault.com/ui/#object/sent_email__v/VBLZ025E82GMZ23", "SE-000268957")</f>
        <v>SE-000268957</v>
      </c>
      <c r="D1869" s="1">
        <v>45915.38921296296</v>
      </c>
      <c r="E1869" s="2">
        <v>1</v>
      </c>
      <c r="F1869" s="2">
        <v>1</v>
      </c>
      <c r="G1869" s="2">
        <v>0</v>
      </c>
      <c r="H1869" s="1" t="s">
        <v>0</v>
      </c>
      <c r="I1869" s="2">
        <v>0</v>
      </c>
      <c r="J1869" s="1">
        <v>45915.378553240742</v>
      </c>
    </row>
    <row r="1870" spans="1:10" x14ac:dyDescent="0.2">
      <c r="A1870" s="4" t="s">
        <v>1</v>
      </c>
      <c r="B1870" s="3" t="str">
        <f>HYPERLINK("https://otsuka-europe-crm.veevavault.com/ui/#object/approved_document__v/V5OZ025E82TFUPI", "Spain - HCP Survey Email - June 2025")</f>
        <v>Spain - HCP Survey Email - June 2025</v>
      </c>
      <c r="C1870" s="3" t="str">
        <f>HYPERLINK("https://otsuka-europe-crm.veevavault.com/ui/#object/sent_email__v/VBLZ025E82GMZ24", "SE-000268958")</f>
        <v>SE-000268958</v>
      </c>
      <c r="D1870" s="1">
        <v>45916.716215277775</v>
      </c>
      <c r="E1870" s="2">
        <v>1</v>
      </c>
      <c r="F1870" s="2">
        <v>2</v>
      </c>
      <c r="G1870" s="2">
        <v>0</v>
      </c>
      <c r="H1870" s="1" t="s">
        <v>0</v>
      </c>
      <c r="I1870" s="2">
        <v>0</v>
      </c>
      <c r="J1870" s="1">
        <v>45915.379652777781</v>
      </c>
    </row>
    <row r="1871" spans="1:10" x14ac:dyDescent="0.2">
      <c r="A1871" s="4" t="s">
        <v>1</v>
      </c>
      <c r="B1871" s="3" t="str">
        <f>HYPERLINK("https://otsuka-europe-crm.veevavault.com/ui/#object/approved_document__v/V5OZ025E82TFUPI", "Spain - HCP Survey Email - June 2025")</f>
        <v>Spain - HCP Survey Email - June 2025</v>
      </c>
      <c r="C1871" s="3" t="str">
        <f>HYPERLINK("https://otsuka-europe-crm.veevavault.com/ui/#object/sent_email__v/VBLZ025E82GMZ25", "SE-000268959")</f>
        <v>SE-000268959</v>
      </c>
      <c r="D1871" s="1">
        <v>45925.867256944446</v>
      </c>
      <c r="E1871" s="2">
        <v>1</v>
      </c>
      <c r="F1871" s="2">
        <v>2</v>
      </c>
      <c r="G1871" s="2">
        <v>0</v>
      </c>
      <c r="H1871" s="1" t="s">
        <v>0</v>
      </c>
      <c r="I1871" s="2">
        <v>0</v>
      </c>
      <c r="J1871" s="1">
        <v>45915.37945601852</v>
      </c>
    </row>
    <row r="1872" spans="1:10" x14ac:dyDescent="0.2">
      <c r="A1872" s="4" t="s">
        <v>1</v>
      </c>
      <c r="B1872" s="3" t="str">
        <f>HYPERLINK("https://otsuka-europe-crm.veevavault.com/ui/#object/approved_document__v/V5OZ025E82TFUPI", "Spain - HCP Survey Email - June 2025")</f>
        <v>Spain - HCP Survey Email - June 2025</v>
      </c>
      <c r="C1872" s="3" t="str">
        <f>HYPERLINK("https://otsuka-europe-crm.veevavault.com/ui/#object/sent_email__v/VBLZ025E82GMZ26", "SE-000268960")</f>
        <v>SE-000268960</v>
      </c>
      <c r="D1872" s="1">
        <v>45915.384074074071</v>
      </c>
      <c r="E1872" s="2">
        <v>1</v>
      </c>
      <c r="F1872" s="2">
        <v>1</v>
      </c>
      <c r="G1872" s="2">
        <v>0</v>
      </c>
      <c r="H1872" s="1" t="s">
        <v>0</v>
      </c>
      <c r="I1872" s="2">
        <v>0</v>
      </c>
      <c r="J1872" s="1">
        <v>45915.377430555556</v>
      </c>
    </row>
    <row r="1873" spans="1:10" x14ac:dyDescent="0.2">
      <c r="A1873" s="4" t="s">
        <v>1</v>
      </c>
      <c r="B1873" s="3" t="str">
        <f>HYPERLINK("https://otsuka-europe-crm.veevavault.com/ui/#object/approved_document__v/V5OZ025E82TFUPI", "Spain - HCP Survey Email - June 2025")</f>
        <v>Spain - HCP Survey Email - June 2025</v>
      </c>
      <c r="C1873" s="3" t="str">
        <f>HYPERLINK("https://otsuka-europe-crm.veevavault.com/ui/#object/sent_email__v/VBLZ025E82GMZ27", "SE-000268961")</f>
        <v>SE-000268961</v>
      </c>
      <c r="D1873" s="1" t="s">
        <v>0</v>
      </c>
      <c r="E1873" s="2">
        <v>0</v>
      </c>
      <c r="F1873" s="2">
        <v>0</v>
      </c>
      <c r="G1873" s="2">
        <v>0</v>
      </c>
      <c r="H1873" s="1" t="s">
        <v>0</v>
      </c>
      <c r="I1873" s="2">
        <v>0</v>
      </c>
      <c r="J1873" s="1">
        <v>45915.378298611111</v>
      </c>
    </row>
    <row r="1874" spans="1:10" x14ac:dyDescent="0.2">
      <c r="A1874" s="4" t="s">
        <v>1</v>
      </c>
      <c r="B1874" s="3" t="str">
        <f>HYPERLINK("https://otsuka-europe-crm.veevavault.com/ui/#object/approved_document__v/V5OZ025E82TFUPI", "Spain - HCP Survey Email - June 2025")</f>
        <v>Spain - HCP Survey Email - June 2025</v>
      </c>
      <c r="C1874" s="3" t="str">
        <f>HYPERLINK("https://otsuka-europe-crm.veevavault.com/ui/#object/sent_email__v/VBLZ025E82GMZ28", "SE-000268962")</f>
        <v>SE-000268962</v>
      </c>
      <c r="D1874" s="1">
        <v>45915.417083333334</v>
      </c>
      <c r="E1874" s="2">
        <v>1</v>
      </c>
      <c r="F1874" s="2">
        <v>1</v>
      </c>
      <c r="G1874" s="2">
        <v>1</v>
      </c>
      <c r="H1874" s="1">
        <v>45915.417233796295</v>
      </c>
      <c r="I1874" s="2">
        <v>2</v>
      </c>
      <c r="J1874" s="1">
        <v>45915.379675925928</v>
      </c>
    </row>
    <row r="1875" spans="1:10" x14ac:dyDescent="0.2">
      <c r="A1875" s="4" t="s">
        <v>1</v>
      </c>
      <c r="B1875" s="3" t="str">
        <f>HYPERLINK("https://otsuka-europe-crm.veevavault.com/ui/#object/approved_document__v/V5OZ025E82TFUPI", "Spain - HCP Survey Email - June 2025")</f>
        <v>Spain - HCP Survey Email - June 2025</v>
      </c>
      <c r="C1875" s="3" t="str">
        <f>HYPERLINK("https://otsuka-europe-crm.veevavault.com/ui/#object/sent_email__v/VBLZ025E82GMZ29", "SE-000268963")</f>
        <v>SE-000268963</v>
      </c>
      <c r="D1875" s="1">
        <v>45915.695879629631</v>
      </c>
      <c r="E1875" s="2">
        <v>1</v>
      </c>
      <c r="F1875" s="2">
        <v>1</v>
      </c>
      <c r="G1875" s="2">
        <v>0</v>
      </c>
      <c r="H1875" s="1" t="s">
        <v>0</v>
      </c>
      <c r="I1875" s="2">
        <v>0</v>
      </c>
      <c r="J1875" s="1">
        <v>45915.379444444443</v>
      </c>
    </row>
    <row r="1876" spans="1:10" x14ac:dyDescent="0.2">
      <c r="A1876" s="4" t="s">
        <v>1</v>
      </c>
      <c r="B1876" s="3" t="str">
        <f>HYPERLINK("https://otsuka-europe-crm.veevavault.com/ui/#object/approved_document__v/V5OZ025E82TFUPI", "Spain - HCP Survey Email - June 2025")</f>
        <v>Spain - HCP Survey Email - June 2025</v>
      </c>
      <c r="C1876" s="3" t="str">
        <f>HYPERLINK("https://otsuka-europe-crm.veevavault.com/ui/#object/sent_email__v/VBLZ025E82GMZ2A", "SE-000268964")</f>
        <v>SE-000268964</v>
      </c>
      <c r="D1876" s="1">
        <v>45915.41207175926</v>
      </c>
      <c r="E1876" s="2">
        <v>1</v>
      </c>
      <c r="F1876" s="2">
        <v>1</v>
      </c>
      <c r="G1876" s="2">
        <v>0</v>
      </c>
      <c r="H1876" s="1" t="s">
        <v>0</v>
      </c>
      <c r="I1876" s="2">
        <v>0</v>
      </c>
      <c r="J1876" s="1">
        <v>45915.377442129633</v>
      </c>
    </row>
    <row r="1877" spans="1:10" x14ac:dyDescent="0.2">
      <c r="A1877" s="4" t="s">
        <v>1</v>
      </c>
      <c r="B1877" s="3" t="str">
        <f>HYPERLINK("https://otsuka-europe-crm.veevavault.com/ui/#object/approved_document__v/V5OZ025E82TFUPI", "Spain - HCP Survey Email - June 2025")</f>
        <v>Spain - HCP Survey Email - June 2025</v>
      </c>
      <c r="C1877" s="3" t="str">
        <f>HYPERLINK("https://otsuka-europe-crm.veevavault.com/ui/#object/sent_email__v/VBLZ025E82GMZ2B", "SE-000268965")</f>
        <v>SE-000268965</v>
      </c>
      <c r="D1877" s="1" t="s">
        <v>0</v>
      </c>
      <c r="E1877" s="2">
        <v>0</v>
      </c>
      <c r="F1877" s="2">
        <v>0</v>
      </c>
      <c r="G1877" s="2">
        <v>0</v>
      </c>
      <c r="H1877" s="1" t="s">
        <v>0</v>
      </c>
      <c r="I1877" s="2">
        <v>0</v>
      </c>
      <c r="J1877" s="1">
        <v>45915.378391203703</v>
      </c>
    </row>
    <row r="1878" spans="1:10" x14ac:dyDescent="0.2">
      <c r="A1878" s="4" t="s">
        <v>1</v>
      </c>
      <c r="B1878" s="3" t="str">
        <f>HYPERLINK("https://otsuka-europe-crm.veevavault.com/ui/#object/approved_document__v/V5OZ025E82TFUPI", "Spain - HCP Survey Email - June 2025")</f>
        <v>Spain - HCP Survey Email - June 2025</v>
      </c>
      <c r="C1878" s="3" t="str">
        <f>HYPERLINK("https://otsuka-europe-crm.veevavault.com/ui/#object/sent_email__v/VBLZ025E82GMZ2C", "SE-000268966")</f>
        <v>SE-000268966</v>
      </c>
      <c r="D1878" s="1" t="s">
        <v>0</v>
      </c>
      <c r="E1878" s="2">
        <v>0</v>
      </c>
      <c r="F1878" s="2">
        <v>0</v>
      </c>
      <c r="G1878" s="2">
        <v>0</v>
      </c>
      <c r="H1878" s="1" t="s">
        <v>0</v>
      </c>
      <c r="I1878" s="2">
        <v>0</v>
      </c>
      <c r="J1878" s="1">
        <v>45915.378761574073</v>
      </c>
    </row>
    <row r="1879" spans="1:10" x14ac:dyDescent="0.2">
      <c r="A1879" s="4" t="s">
        <v>1</v>
      </c>
      <c r="B1879" s="3" t="str">
        <f>HYPERLINK("https://otsuka-europe-crm.veevavault.com/ui/#object/approved_document__v/V5OZ025E82TFUPI", "Spain - HCP Survey Email - June 2025")</f>
        <v>Spain - HCP Survey Email - June 2025</v>
      </c>
      <c r="C1879" s="3" t="str">
        <f>HYPERLINK("https://otsuka-europe-crm.veevavault.com/ui/#object/sent_email__v/VBLZ025E82GMZ2D", "SE-000268967")</f>
        <v>SE-000268967</v>
      </c>
      <c r="D1879" s="1">
        <v>45915.698831018519</v>
      </c>
      <c r="E1879" s="2">
        <v>1</v>
      </c>
      <c r="F1879" s="2">
        <v>2</v>
      </c>
      <c r="G1879" s="2">
        <v>0</v>
      </c>
      <c r="H1879" s="1" t="s">
        <v>0</v>
      </c>
      <c r="I1879" s="2">
        <v>0</v>
      </c>
      <c r="J1879" s="1">
        <v>45915.378819444442</v>
      </c>
    </row>
    <row r="1880" spans="1:10" x14ac:dyDescent="0.2">
      <c r="A1880" s="4" t="s">
        <v>1</v>
      </c>
      <c r="B1880" s="3" t="str">
        <f>HYPERLINK("https://otsuka-europe-crm.veevavault.com/ui/#object/approved_document__v/V5OZ025E82TFUPI", "Spain - HCP Survey Email - June 2025")</f>
        <v>Spain - HCP Survey Email - June 2025</v>
      </c>
      <c r="C1880" s="3" t="str">
        <f>HYPERLINK("https://otsuka-europe-crm.veevavault.com/ui/#object/sent_email__v/VBLZ025E82GMZ2E", "SE-000268968")</f>
        <v>SE-000268968</v>
      </c>
      <c r="D1880" s="1">
        <v>45916.223124999997</v>
      </c>
      <c r="E1880" s="2">
        <v>1</v>
      </c>
      <c r="F1880" s="2">
        <v>2</v>
      </c>
      <c r="G1880" s="2">
        <v>0</v>
      </c>
      <c r="H1880" s="1" t="s">
        <v>0</v>
      </c>
      <c r="I1880" s="2">
        <v>0</v>
      </c>
      <c r="J1880" s="1">
        <v>45915.379189814812</v>
      </c>
    </row>
    <row r="1881" spans="1:10" x14ac:dyDescent="0.2">
      <c r="A1881" s="4" t="s">
        <v>1</v>
      </c>
      <c r="B1881" s="3" t="str">
        <f>HYPERLINK("https://otsuka-europe-crm.veevavault.com/ui/#object/approved_document__v/V5OZ025E82TFUPI", "Spain - HCP Survey Email - June 2025")</f>
        <v>Spain - HCP Survey Email - June 2025</v>
      </c>
      <c r="C1881" s="3" t="str">
        <f>HYPERLINK("https://otsuka-europe-crm.veevavault.com/ui/#object/sent_email__v/VBLZ025E82GMZ2F", "SE-000268969")</f>
        <v>SE-000268969</v>
      </c>
      <c r="D1881" s="1">
        <v>45920.909583333334</v>
      </c>
      <c r="E1881" s="2">
        <v>1</v>
      </c>
      <c r="F1881" s="2">
        <v>1</v>
      </c>
      <c r="G1881" s="2">
        <v>1</v>
      </c>
      <c r="H1881" s="1">
        <v>45920.909733796296</v>
      </c>
      <c r="I1881" s="2">
        <v>1</v>
      </c>
      <c r="J1881" s="1">
        <v>45915.377916666665</v>
      </c>
    </row>
    <row r="1882" spans="1:10" x14ac:dyDescent="0.2">
      <c r="A1882" s="4" t="s">
        <v>1</v>
      </c>
      <c r="B1882" s="3" t="str">
        <f>HYPERLINK("https://otsuka-europe-crm.veevavault.com/ui/#object/approved_document__v/V5OZ025E82TFUPI", "Spain - HCP Survey Email - June 2025")</f>
        <v>Spain - HCP Survey Email - June 2025</v>
      </c>
      <c r="C1882" s="3" t="str">
        <f>HYPERLINK("https://otsuka-europe-crm.veevavault.com/ui/#object/sent_email__v/VBLZ025E82GMZ2G", "SE-000268970")</f>
        <v>SE-000268970</v>
      </c>
      <c r="D1882" s="1">
        <v>45915.570277777777</v>
      </c>
      <c r="E1882" s="2">
        <v>1</v>
      </c>
      <c r="F1882" s="2">
        <v>1</v>
      </c>
      <c r="G1882" s="2">
        <v>1</v>
      </c>
      <c r="H1882" s="1">
        <v>45915.570486111108</v>
      </c>
      <c r="I1882" s="2">
        <v>1</v>
      </c>
      <c r="J1882" s="1">
        <v>45915.378321759257</v>
      </c>
    </row>
    <row r="1883" spans="1:10" x14ac:dyDescent="0.2">
      <c r="A1883" s="4" t="s">
        <v>1</v>
      </c>
      <c r="B1883" s="3" t="str">
        <f>HYPERLINK("https://otsuka-europe-crm.veevavault.com/ui/#object/approved_document__v/V5OZ025E82TFUPI", "Spain - HCP Survey Email - June 2025")</f>
        <v>Spain - HCP Survey Email - June 2025</v>
      </c>
      <c r="C1883" s="3" t="str">
        <f>HYPERLINK("https://otsuka-europe-crm.veevavault.com/ui/#object/sent_email__v/VBLZ025E82GMZ2H", "SE-000268971")</f>
        <v>SE-000268971</v>
      </c>
      <c r="D1883" s="1">
        <v>45916.337638888886</v>
      </c>
      <c r="E1883" s="2">
        <v>1</v>
      </c>
      <c r="F1883" s="2">
        <v>1</v>
      </c>
      <c r="G1883" s="2">
        <v>0</v>
      </c>
      <c r="H1883" s="1" t="s">
        <v>0</v>
      </c>
      <c r="I1883" s="2">
        <v>0</v>
      </c>
      <c r="J1883" s="1">
        <v>45915.37809027778</v>
      </c>
    </row>
    <row r="1884" spans="1:10" x14ac:dyDescent="0.2">
      <c r="A1884" s="4" t="s">
        <v>1</v>
      </c>
      <c r="B1884" s="3" t="str">
        <f>HYPERLINK("https://otsuka-europe-crm.veevavault.com/ui/#object/approved_document__v/V5OZ025E82TFUPI", "Spain - HCP Survey Email - June 2025")</f>
        <v>Spain - HCP Survey Email - June 2025</v>
      </c>
      <c r="C1884" s="3" t="str">
        <f>HYPERLINK("https://otsuka-europe-crm.veevavault.com/ui/#object/sent_email__v/VBLZ025E82GMZ2I", "SE-000268972")</f>
        <v>SE-000268972</v>
      </c>
      <c r="D1884" s="1" t="s">
        <v>0</v>
      </c>
      <c r="E1884" s="2">
        <v>0</v>
      </c>
      <c r="F1884" s="2">
        <v>0</v>
      </c>
      <c r="G1884" s="2">
        <v>0</v>
      </c>
      <c r="H1884" s="1" t="s">
        <v>0</v>
      </c>
      <c r="I1884" s="2">
        <v>0</v>
      </c>
      <c r="J1884" s="1">
        <v>45915.378611111111</v>
      </c>
    </row>
    <row r="1885" spans="1:10" x14ac:dyDescent="0.2">
      <c r="A1885" s="4" t="s">
        <v>1</v>
      </c>
      <c r="B1885" s="3" t="str">
        <f>HYPERLINK("https://otsuka-europe-crm.veevavault.com/ui/#object/approved_document__v/V5OZ025E82TFUPI", "Spain - HCP Survey Email - June 2025")</f>
        <v>Spain - HCP Survey Email - June 2025</v>
      </c>
      <c r="C1885" s="3" t="str">
        <f>HYPERLINK("https://otsuka-europe-crm.veevavault.com/ui/#object/sent_email__v/VBLZ025E82GMZ2J", "SE-000268973")</f>
        <v>SE-000268973</v>
      </c>
      <c r="D1885" s="1">
        <v>45915.386990740742</v>
      </c>
      <c r="E1885" s="2">
        <v>1</v>
      </c>
      <c r="F1885" s="2">
        <v>2</v>
      </c>
      <c r="G1885" s="2">
        <v>0</v>
      </c>
      <c r="H1885" s="1" t="s">
        <v>0</v>
      </c>
      <c r="I1885" s="2">
        <v>0</v>
      </c>
      <c r="J1885" s="1">
        <v>45915.379756944443</v>
      </c>
    </row>
    <row r="1886" spans="1:10" x14ac:dyDescent="0.2">
      <c r="A1886" s="4" t="s">
        <v>1</v>
      </c>
      <c r="B1886" s="3" t="str">
        <f>HYPERLINK("https://otsuka-europe-crm.veevavault.com/ui/#object/approved_document__v/V5OZ025E82TFUPI", "Spain - HCP Survey Email - June 2025")</f>
        <v>Spain - HCP Survey Email - June 2025</v>
      </c>
      <c r="C1886" s="3" t="str">
        <f>HYPERLINK("https://otsuka-europe-crm.veevavault.com/ui/#object/sent_email__v/VBLZ025E82GMZ2L", "SE-000268975")</f>
        <v>SE-000268975</v>
      </c>
      <c r="D1886" s="1">
        <v>45915.49015046296</v>
      </c>
      <c r="E1886" s="2">
        <v>1</v>
      </c>
      <c r="F1886" s="2">
        <v>2</v>
      </c>
      <c r="G1886" s="2">
        <v>0</v>
      </c>
      <c r="H1886" s="1" t="s">
        <v>0</v>
      </c>
      <c r="I1886" s="2">
        <v>0</v>
      </c>
      <c r="J1886" s="1">
        <v>45915.377430555556</v>
      </c>
    </row>
    <row r="1887" spans="1:10" x14ac:dyDescent="0.2">
      <c r="A1887" s="4" t="s">
        <v>1</v>
      </c>
      <c r="B1887" s="3" t="str">
        <f>HYPERLINK("https://otsuka-europe-crm.veevavault.com/ui/#object/approved_document__v/V5OZ025E82TFUPI", "Spain - HCP Survey Email - June 2025")</f>
        <v>Spain - HCP Survey Email - June 2025</v>
      </c>
      <c r="C1887" s="3" t="str">
        <f>HYPERLINK("https://otsuka-europe-crm.veevavault.com/ui/#object/sent_email__v/VBLZ025E82GMZ2M", "SE-000268976")</f>
        <v>SE-000268976</v>
      </c>
      <c r="D1887" s="1" t="s">
        <v>0</v>
      </c>
      <c r="E1887" s="2">
        <v>0</v>
      </c>
      <c r="F1887" s="2">
        <v>0</v>
      </c>
      <c r="G1887" s="2">
        <v>0</v>
      </c>
      <c r="H1887" s="1" t="s">
        <v>0</v>
      </c>
      <c r="I1887" s="2">
        <v>0</v>
      </c>
      <c r="J1887" s="1">
        <v>45915.37840277778</v>
      </c>
    </row>
    <row r="1888" spans="1:10" x14ac:dyDescent="0.2">
      <c r="A1888" s="4" t="s">
        <v>1</v>
      </c>
      <c r="B1888" s="3" t="str">
        <f>HYPERLINK("https://otsuka-europe-crm.veevavault.com/ui/#object/approved_document__v/V5OZ025E82TFUPI", "Spain - HCP Survey Email - June 2025")</f>
        <v>Spain - HCP Survey Email - June 2025</v>
      </c>
      <c r="C1888" s="3" t="str">
        <f>HYPERLINK("https://otsuka-europe-crm.veevavault.com/ui/#object/sent_email__v/VBLZ025E82GMZ2N", "SE-000268977")</f>
        <v>SE-000268977</v>
      </c>
      <c r="D1888" s="1">
        <v>45915.507002314815</v>
      </c>
      <c r="E1888" s="2">
        <v>1</v>
      </c>
      <c r="F1888" s="2">
        <v>1</v>
      </c>
      <c r="G1888" s="2">
        <v>0</v>
      </c>
      <c r="H1888" s="1" t="s">
        <v>0</v>
      </c>
      <c r="I1888" s="2">
        <v>0</v>
      </c>
      <c r="J1888" s="1">
        <v>45915.378784722219</v>
      </c>
    </row>
    <row r="1889" spans="1:10" x14ac:dyDescent="0.2">
      <c r="A1889" s="4" t="s">
        <v>1</v>
      </c>
      <c r="B1889" s="3" t="str">
        <f>HYPERLINK("https://otsuka-europe-crm.veevavault.com/ui/#object/approved_document__v/V5OZ025E82TFUPI", "Spain - HCP Survey Email - June 2025")</f>
        <v>Spain - HCP Survey Email - June 2025</v>
      </c>
      <c r="C1889" s="3" t="str">
        <f>HYPERLINK("https://otsuka-europe-crm.veevavault.com/ui/#object/sent_email__v/VBLZ025E82GMZ2O", "SE-000268978")</f>
        <v>SE-000268978</v>
      </c>
      <c r="D1889" s="1" t="s">
        <v>0</v>
      </c>
      <c r="E1889" s="2">
        <v>0</v>
      </c>
      <c r="F1889" s="2">
        <v>0</v>
      </c>
      <c r="G1889" s="2">
        <v>0</v>
      </c>
      <c r="H1889" s="1" t="s">
        <v>0</v>
      </c>
      <c r="I1889" s="2">
        <v>0</v>
      </c>
      <c r="J1889" s="1">
        <v>45915.378703703704</v>
      </c>
    </row>
    <row r="1890" spans="1:10" x14ac:dyDescent="0.2">
      <c r="A1890" s="4" t="s">
        <v>1</v>
      </c>
      <c r="B1890" s="3" t="str">
        <f>HYPERLINK("https://otsuka-europe-crm.veevavault.com/ui/#object/approved_document__v/V5OZ025E82TFUPI", "Spain - HCP Survey Email - June 2025")</f>
        <v>Spain - HCP Survey Email - June 2025</v>
      </c>
      <c r="C1890" s="3" t="str">
        <f>HYPERLINK("https://otsuka-europe-crm.veevavault.com/ui/#object/sent_email__v/VBLZ025E82GMZ2P", "SE-000268979")</f>
        <v>SE-000268979</v>
      </c>
      <c r="D1890" s="1" t="s">
        <v>0</v>
      </c>
      <c r="E1890" s="2">
        <v>0</v>
      </c>
      <c r="F1890" s="2">
        <v>0</v>
      </c>
      <c r="G1890" s="2">
        <v>0</v>
      </c>
      <c r="H1890" s="1" t="s">
        <v>0</v>
      </c>
      <c r="I1890" s="2">
        <v>0</v>
      </c>
      <c r="J1890" s="1">
        <v>45915.379236111112</v>
      </c>
    </row>
    <row r="1891" spans="1:10" x14ac:dyDescent="0.2">
      <c r="A1891" s="4" t="s">
        <v>1</v>
      </c>
      <c r="B1891" s="3" t="str">
        <f>HYPERLINK("https://otsuka-europe-crm.veevavault.com/ui/#object/approved_document__v/V5OZ025E82TFUPI", "Spain - HCP Survey Email - June 2025")</f>
        <v>Spain - HCP Survey Email - June 2025</v>
      </c>
      <c r="C1891" s="3" t="str">
        <f>HYPERLINK("https://otsuka-europe-crm.veevavault.com/ui/#object/sent_email__v/VBLZ025E82GMZ2Q", "SE-000268980")</f>
        <v>SE-000268980</v>
      </c>
      <c r="D1891" s="1">
        <v>45915.600277777776</v>
      </c>
      <c r="E1891" s="2">
        <v>1</v>
      </c>
      <c r="F1891" s="2">
        <v>1</v>
      </c>
      <c r="G1891" s="2">
        <v>1</v>
      </c>
      <c r="H1891" s="1">
        <v>45915.600277777776</v>
      </c>
      <c r="I1891" s="2">
        <v>1</v>
      </c>
      <c r="J1891" s="1">
        <v>45915.377962962964</v>
      </c>
    </row>
    <row r="1892" spans="1:10" x14ac:dyDescent="0.2">
      <c r="A1892" s="4" t="s">
        <v>1</v>
      </c>
      <c r="B1892" s="3" t="str">
        <f>HYPERLINK("https://otsuka-europe-crm.veevavault.com/ui/#object/approved_document__v/V5OZ025E82TFUPI", "Spain - HCP Survey Email - June 2025")</f>
        <v>Spain - HCP Survey Email - June 2025</v>
      </c>
      <c r="C1892" s="3" t="str">
        <f>HYPERLINK("https://otsuka-europe-crm.veevavault.com/ui/#object/sent_email__v/VBLZ025E82GMZ2R", "SE-000268981")</f>
        <v>SE-000268981</v>
      </c>
      <c r="D1892" s="1">
        <v>45917.813159722224</v>
      </c>
      <c r="E1892" s="2">
        <v>1</v>
      </c>
      <c r="F1892" s="2">
        <v>1</v>
      </c>
      <c r="G1892" s="2">
        <v>1</v>
      </c>
      <c r="H1892" s="1">
        <v>45917.823125000003</v>
      </c>
      <c r="I1892" s="2">
        <v>2</v>
      </c>
      <c r="J1892" s="1">
        <v>45915.378252314818</v>
      </c>
    </row>
    <row r="1893" spans="1:10" x14ac:dyDescent="0.2">
      <c r="A1893" s="4" t="s">
        <v>1</v>
      </c>
      <c r="B1893" s="3" t="str">
        <f>HYPERLINK("https://otsuka-europe-crm.veevavault.com/ui/#object/approved_document__v/V5OZ025E82TFUPI", "Spain - HCP Survey Email - June 2025")</f>
        <v>Spain - HCP Survey Email - June 2025</v>
      </c>
      <c r="C1893" s="3" t="str">
        <f>HYPERLINK("https://otsuka-europe-crm.veevavault.com/ui/#object/sent_email__v/VBLZ025E82GMZ2S", "SE-000268982")</f>
        <v>SE-000268982</v>
      </c>
      <c r="D1893" s="1">
        <v>45915.472870370373</v>
      </c>
      <c r="E1893" s="2">
        <v>1</v>
      </c>
      <c r="F1893" s="2">
        <v>1</v>
      </c>
      <c r="G1893" s="2">
        <v>0</v>
      </c>
      <c r="H1893" s="1" t="s">
        <v>0</v>
      </c>
      <c r="I1893" s="2">
        <v>0</v>
      </c>
      <c r="J1893" s="1">
        <v>45915.378171296295</v>
      </c>
    </row>
    <row r="1894" spans="1:10" x14ac:dyDescent="0.2">
      <c r="A1894" s="4" t="s">
        <v>1</v>
      </c>
      <c r="B1894" s="3" t="str">
        <f>HYPERLINK("https://otsuka-europe-crm.veevavault.com/ui/#object/approved_document__v/V5OZ025E82TFUPI", "Spain - HCP Survey Email - June 2025")</f>
        <v>Spain - HCP Survey Email - June 2025</v>
      </c>
      <c r="C1894" s="3" t="str">
        <f>HYPERLINK("https://otsuka-europe-crm.veevavault.com/ui/#object/sent_email__v/VBLZ025E82GMZ2T", "SE-000268983")</f>
        <v>SE-000268983</v>
      </c>
      <c r="D1894" s="1">
        <v>45915.445775462962</v>
      </c>
      <c r="E1894" s="2">
        <v>1</v>
      </c>
      <c r="F1894" s="2">
        <v>2</v>
      </c>
      <c r="G1894" s="2">
        <v>0</v>
      </c>
      <c r="H1894" s="1" t="s">
        <v>0</v>
      </c>
      <c r="I1894" s="2">
        <v>0</v>
      </c>
      <c r="J1894" s="1">
        <v>45915.378923611112</v>
      </c>
    </row>
    <row r="1895" spans="1:10" x14ac:dyDescent="0.2">
      <c r="A1895" s="4" t="s">
        <v>1</v>
      </c>
      <c r="B1895" s="3" t="str">
        <f>HYPERLINK("https://otsuka-europe-crm.veevavault.com/ui/#object/approved_document__v/V5OZ025E82TFUPI", "Spain - HCP Survey Email - June 2025")</f>
        <v>Spain - HCP Survey Email - June 2025</v>
      </c>
      <c r="C1895" s="3" t="str">
        <f>HYPERLINK("https://otsuka-europe-crm.veevavault.com/ui/#object/sent_email__v/VBLZ025E82GMZ2U", "SE-000268984")</f>
        <v>SE-000268984</v>
      </c>
      <c r="D1895" s="1">
        <v>45915.757569444446</v>
      </c>
      <c r="E1895" s="2">
        <v>1</v>
      </c>
      <c r="F1895" s="2">
        <v>2</v>
      </c>
      <c r="G1895" s="2">
        <v>0</v>
      </c>
      <c r="H1895" s="1" t="s">
        <v>0</v>
      </c>
      <c r="I1895" s="2">
        <v>0</v>
      </c>
      <c r="J1895" s="1">
        <v>45915.379629629628</v>
      </c>
    </row>
    <row r="1896" spans="1:10" x14ac:dyDescent="0.2">
      <c r="A1896" s="4" t="s">
        <v>1</v>
      </c>
      <c r="B1896" s="3" t="str">
        <f>HYPERLINK("https://otsuka-europe-crm.veevavault.com/ui/#object/approved_document__v/V5OZ025E82TFUPI", "Spain - HCP Survey Email - June 2025")</f>
        <v>Spain - HCP Survey Email - June 2025</v>
      </c>
      <c r="C1896" s="3" t="str">
        <f>HYPERLINK("https://otsuka-europe-crm.veevavault.com/ui/#object/sent_email__v/VBLZ025E82GMZ2V", "SE-000268985")</f>
        <v>SE-000268985</v>
      </c>
      <c r="D1896" s="1">
        <v>45915.971701388888</v>
      </c>
      <c r="E1896" s="2">
        <v>1</v>
      </c>
      <c r="F1896" s="2">
        <v>1</v>
      </c>
      <c r="G1896" s="2">
        <v>0</v>
      </c>
      <c r="H1896" s="1" t="s">
        <v>0</v>
      </c>
      <c r="I1896" s="2">
        <v>0</v>
      </c>
      <c r="J1896" s="1">
        <v>45915.379363425927</v>
      </c>
    </row>
    <row r="1897" spans="1:10" x14ac:dyDescent="0.2">
      <c r="A1897" s="4" t="s">
        <v>1</v>
      </c>
      <c r="B1897" s="3" t="str">
        <f>HYPERLINK("https://otsuka-europe-crm.veevavault.com/ui/#object/approved_document__v/V5OZ025E82TFUPI", "Spain - HCP Survey Email - June 2025")</f>
        <v>Spain - HCP Survey Email - June 2025</v>
      </c>
      <c r="C1897" s="3" t="str">
        <f>HYPERLINK("https://otsuka-europe-crm.veevavault.com/ui/#object/sent_email__v/VBLZ025E82GMZ2W", "SE-000268986")</f>
        <v>SE-000268986</v>
      </c>
      <c r="D1897" s="1">
        <v>45916.665277777778</v>
      </c>
      <c r="E1897" s="2">
        <v>1</v>
      </c>
      <c r="F1897" s="2">
        <v>1</v>
      </c>
      <c r="G1897" s="2">
        <v>0</v>
      </c>
      <c r="H1897" s="1" t="s">
        <v>0</v>
      </c>
      <c r="I1897" s="2">
        <v>0</v>
      </c>
      <c r="J1897" s="1">
        <v>45915.377465277779</v>
      </c>
    </row>
    <row r="1898" spans="1:10" x14ac:dyDescent="0.2">
      <c r="A1898" s="4" t="s">
        <v>1</v>
      </c>
      <c r="B1898" s="3" t="str">
        <f>HYPERLINK("https://otsuka-europe-crm.veevavault.com/ui/#object/approved_document__v/V5OZ025E82TFUPI", "Spain - HCP Survey Email - June 2025")</f>
        <v>Spain - HCP Survey Email - June 2025</v>
      </c>
      <c r="C1898" s="3" t="str">
        <f>HYPERLINK("https://otsuka-europe-crm.veevavault.com/ui/#object/sent_email__v/VBLZ025E82GMZ2X", "SE-000268987")</f>
        <v>SE-000268987</v>
      </c>
      <c r="D1898" s="1" t="s">
        <v>0</v>
      </c>
      <c r="E1898" s="2">
        <v>0</v>
      </c>
      <c r="F1898" s="2">
        <v>0</v>
      </c>
      <c r="G1898" s="2">
        <v>0</v>
      </c>
      <c r="H1898" s="1" t="s">
        <v>0</v>
      </c>
      <c r="I1898" s="2">
        <v>0</v>
      </c>
      <c r="J1898" s="1">
        <v>45915.37835648148</v>
      </c>
    </row>
    <row r="1899" spans="1:10" x14ac:dyDescent="0.2">
      <c r="A1899" s="4" t="s">
        <v>1</v>
      </c>
      <c r="B1899" s="3" t="str">
        <f>HYPERLINK("https://otsuka-europe-crm.veevavault.com/ui/#object/approved_document__v/V5OZ025E82TFUPI", "Spain - HCP Survey Email - June 2025")</f>
        <v>Spain - HCP Survey Email - June 2025</v>
      </c>
      <c r="C1899" s="3" t="str">
        <f>HYPERLINK("https://otsuka-europe-crm.veevavault.com/ui/#object/sent_email__v/VBLZ025E82GMZ2Y", "SE-000268988")</f>
        <v>SE-000268988</v>
      </c>
      <c r="D1899" s="1">
        <v>45915.407083333332</v>
      </c>
      <c r="E1899" s="2">
        <v>1</v>
      </c>
      <c r="F1899" s="2">
        <v>2</v>
      </c>
      <c r="G1899" s="2">
        <v>0</v>
      </c>
      <c r="H1899" s="1" t="s">
        <v>0</v>
      </c>
      <c r="I1899" s="2">
        <v>0</v>
      </c>
      <c r="J1899" s="1">
        <v>45915.378912037035</v>
      </c>
    </row>
    <row r="1900" spans="1:10" x14ac:dyDescent="0.2">
      <c r="A1900" s="4" t="s">
        <v>1</v>
      </c>
      <c r="B1900" s="3" t="str">
        <f>HYPERLINK("https://otsuka-europe-crm.veevavault.com/ui/#object/approved_document__v/V5OZ025E82TFUPI", "Spain - HCP Survey Email - June 2025")</f>
        <v>Spain - HCP Survey Email - June 2025</v>
      </c>
      <c r="C1900" s="3" t="str">
        <f>HYPERLINK("https://otsuka-europe-crm.veevavault.com/ui/#object/sent_email__v/VBLZ025E82GMZ2Z", "SE-000268989")</f>
        <v>SE-000268989</v>
      </c>
      <c r="D1900" s="1">
        <v>45915.41133101852</v>
      </c>
      <c r="E1900" s="2">
        <v>1</v>
      </c>
      <c r="F1900" s="2">
        <v>1</v>
      </c>
      <c r="G1900" s="2">
        <v>0</v>
      </c>
      <c r="H1900" s="1" t="s">
        <v>0</v>
      </c>
      <c r="I1900" s="2">
        <v>0</v>
      </c>
      <c r="J1900" s="1">
        <v>45915.379664351851</v>
      </c>
    </row>
    <row r="1901" spans="1:10" x14ac:dyDescent="0.2">
      <c r="A1901" s="4" t="s">
        <v>1</v>
      </c>
      <c r="B1901" s="3" t="str">
        <f>HYPERLINK("https://otsuka-europe-crm.veevavault.com/ui/#object/approved_document__v/V5OZ025E82TFUPI", "Spain - HCP Survey Email - June 2025")</f>
        <v>Spain - HCP Survey Email - June 2025</v>
      </c>
      <c r="C1901" s="3" t="str">
        <f>HYPERLINK("https://otsuka-europe-crm.veevavault.com/ui/#object/sent_email__v/VBLZ025E82GMZ30", "SE-000268990")</f>
        <v>SE-000268990</v>
      </c>
      <c r="D1901" s="1" t="s">
        <v>0</v>
      </c>
      <c r="E1901" s="2">
        <v>0</v>
      </c>
      <c r="F1901" s="2">
        <v>0</v>
      </c>
      <c r="G1901" s="2">
        <v>0</v>
      </c>
      <c r="H1901" s="1" t="s">
        <v>0</v>
      </c>
      <c r="I1901" s="2">
        <v>0</v>
      </c>
      <c r="J1901" s="1">
        <v>45915.379432870373</v>
      </c>
    </row>
    <row r="1902" spans="1:10" x14ac:dyDescent="0.2">
      <c r="A1902" s="4" t="s">
        <v>1</v>
      </c>
      <c r="B1902" s="3" t="str">
        <f>HYPERLINK("https://otsuka-europe-crm.veevavault.com/ui/#object/approved_document__v/V5OZ025E82TFUPI", "Spain - HCP Survey Email - June 2025")</f>
        <v>Spain - HCP Survey Email - June 2025</v>
      </c>
      <c r="C1902" s="3" t="str">
        <f>HYPERLINK("https://otsuka-europe-crm.veevavault.com/ui/#object/sent_email__v/VBLZ025E82GMZ31", "SE-000268991")</f>
        <v>SE-000268991</v>
      </c>
      <c r="D1902" s="1" t="s">
        <v>0</v>
      </c>
      <c r="E1902" s="2">
        <v>0</v>
      </c>
      <c r="F1902" s="2">
        <v>0</v>
      </c>
      <c r="G1902" s="2">
        <v>0</v>
      </c>
      <c r="H1902" s="1" t="s">
        <v>0</v>
      </c>
      <c r="I1902" s="2">
        <v>0</v>
      </c>
      <c r="J1902" s="1">
        <v>45915.377465277779</v>
      </c>
    </row>
    <row r="1903" spans="1:10" x14ac:dyDescent="0.2">
      <c r="A1903" s="4" t="s">
        <v>1</v>
      </c>
      <c r="B1903" s="3" t="str">
        <f>HYPERLINK("https://otsuka-europe-crm.veevavault.com/ui/#object/approved_document__v/V5OZ025E82TFUPI", "Spain - HCP Survey Email - June 2025")</f>
        <v>Spain - HCP Survey Email - June 2025</v>
      </c>
      <c r="C1903" s="3" t="str">
        <f>HYPERLINK("https://otsuka-europe-crm.veevavault.com/ui/#object/sent_email__v/VBLZ025E82GMZ32", "SE-000268992")</f>
        <v>SE-000268992</v>
      </c>
      <c r="D1903" s="1" t="s">
        <v>0</v>
      </c>
      <c r="E1903" s="2">
        <v>0</v>
      </c>
      <c r="F1903" s="2">
        <v>0</v>
      </c>
      <c r="G1903" s="2">
        <v>0</v>
      </c>
      <c r="H1903" s="1" t="s">
        <v>0</v>
      </c>
      <c r="I1903" s="2">
        <v>0</v>
      </c>
      <c r="J1903" s="1">
        <v>45915.378321759257</v>
      </c>
    </row>
    <row r="1904" spans="1:10" x14ac:dyDescent="0.2">
      <c r="A1904" s="4" t="s">
        <v>1</v>
      </c>
      <c r="B1904" s="3" t="str">
        <f>HYPERLINK("https://otsuka-europe-crm.veevavault.com/ui/#object/approved_document__v/V5OZ025E82TFUPI", "Spain - HCP Survey Email - June 2025")</f>
        <v>Spain - HCP Survey Email - June 2025</v>
      </c>
      <c r="C1904" s="3" t="str">
        <f>HYPERLINK("https://otsuka-europe-crm.veevavault.com/ui/#object/sent_email__v/VBLZ025E82GMZ33", "SE-000268993")</f>
        <v>SE-000268993</v>
      </c>
      <c r="D1904" s="1" t="s">
        <v>0</v>
      </c>
      <c r="E1904" s="2">
        <v>0</v>
      </c>
      <c r="F1904" s="2">
        <v>0</v>
      </c>
      <c r="G1904" s="2">
        <v>0</v>
      </c>
      <c r="H1904" s="1" t="s">
        <v>0</v>
      </c>
      <c r="I1904" s="2">
        <v>0</v>
      </c>
      <c r="J1904" s="1">
        <v>45915.378703703704</v>
      </c>
    </row>
    <row r="1905" spans="1:10" x14ac:dyDescent="0.2">
      <c r="A1905" s="4" t="s">
        <v>1</v>
      </c>
      <c r="B1905" s="3" t="str">
        <f>HYPERLINK("https://otsuka-europe-crm.veevavault.com/ui/#object/approved_document__v/V5OZ025E82TFUPI", "Spain - HCP Survey Email - June 2025")</f>
        <v>Spain - HCP Survey Email - June 2025</v>
      </c>
      <c r="C1905" s="3" t="str">
        <f>HYPERLINK("https://otsuka-europe-crm.veevavault.com/ui/#object/sent_email__v/VBLZ025E82GMZ34", "SE-000268994")</f>
        <v>SE-000268994</v>
      </c>
      <c r="D1905" s="1">
        <v>45915.929907407408</v>
      </c>
      <c r="E1905" s="2">
        <v>1</v>
      </c>
      <c r="F1905" s="2">
        <v>2</v>
      </c>
      <c r="G1905" s="2">
        <v>0</v>
      </c>
      <c r="H1905" s="1" t="s">
        <v>0</v>
      </c>
      <c r="I1905" s="2">
        <v>0</v>
      </c>
      <c r="J1905" s="1">
        <v>45915.378703703704</v>
      </c>
    </row>
    <row r="1906" spans="1:10" x14ac:dyDescent="0.2">
      <c r="A1906" s="4" t="s">
        <v>1</v>
      </c>
      <c r="B1906" s="3" t="str">
        <f>HYPERLINK("https://otsuka-europe-crm.veevavault.com/ui/#object/approved_document__v/V5OZ025E82TFUPI", "Spain - HCP Survey Email - June 2025")</f>
        <v>Spain - HCP Survey Email - June 2025</v>
      </c>
      <c r="C1906" s="3" t="str">
        <f>HYPERLINK("https://otsuka-europe-crm.veevavault.com/ui/#object/sent_email__v/VBLZ025E82GMZ35", "SE-000268995")</f>
        <v>SE-000268995</v>
      </c>
      <c r="D1906" s="1" t="s">
        <v>0</v>
      </c>
      <c r="E1906" s="2">
        <v>0</v>
      </c>
      <c r="F1906" s="2">
        <v>0</v>
      </c>
      <c r="G1906" s="2">
        <v>0</v>
      </c>
      <c r="H1906" s="1" t="s">
        <v>0</v>
      </c>
      <c r="I1906" s="2">
        <v>0</v>
      </c>
      <c r="J1906" s="1">
        <v>45915.379282407404</v>
      </c>
    </row>
    <row r="1907" spans="1:10" x14ac:dyDescent="0.2">
      <c r="A1907" s="4" t="s">
        <v>1</v>
      </c>
      <c r="B1907" s="3" t="str">
        <f>HYPERLINK("https://otsuka-europe-crm.veevavault.com/ui/#object/approved_document__v/V5OZ025E82TFUPI", "Spain - HCP Survey Email - June 2025")</f>
        <v>Spain - HCP Survey Email - June 2025</v>
      </c>
      <c r="C1907" s="3" t="str">
        <f>HYPERLINK("https://otsuka-europe-crm.veevavault.com/ui/#object/sent_email__v/VBLZ025E82GMZ36", "SE-000268996")</f>
        <v>SE-000268996</v>
      </c>
      <c r="D1907" s="1">
        <v>45915.68953703704</v>
      </c>
      <c r="E1907" s="2">
        <v>1</v>
      </c>
      <c r="F1907" s="2">
        <v>3</v>
      </c>
      <c r="G1907" s="2">
        <v>0</v>
      </c>
      <c r="H1907" s="1" t="s">
        <v>0</v>
      </c>
      <c r="I1907" s="2">
        <v>0</v>
      </c>
      <c r="J1907" s="1">
        <v>45915.377939814818</v>
      </c>
    </row>
    <row r="1908" spans="1:10" x14ac:dyDescent="0.2">
      <c r="A1908" s="4" t="s">
        <v>1</v>
      </c>
      <c r="B1908" s="3" t="str">
        <f>HYPERLINK("https://otsuka-europe-crm.veevavault.com/ui/#object/approved_document__v/V5OZ025E82TFUPI", "Spain - HCP Survey Email - June 2025")</f>
        <v>Spain - HCP Survey Email - June 2025</v>
      </c>
      <c r="C1908" s="3" t="str">
        <f>HYPERLINK("https://otsuka-europe-crm.veevavault.com/ui/#object/sent_email__v/VBLZ025E82GMZ37", "SE-000268997")</f>
        <v>SE-000268997</v>
      </c>
      <c r="D1908" s="1" t="s">
        <v>0</v>
      </c>
      <c r="E1908" s="2">
        <v>0</v>
      </c>
      <c r="F1908" s="2">
        <v>0</v>
      </c>
      <c r="G1908" s="2">
        <v>0</v>
      </c>
      <c r="H1908" s="1" t="s">
        <v>0</v>
      </c>
      <c r="I1908" s="2">
        <v>0</v>
      </c>
      <c r="J1908" s="1">
        <v>45915.378263888888</v>
      </c>
    </row>
    <row r="1909" spans="1:10" x14ac:dyDescent="0.2">
      <c r="A1909" s="4" t="s">
        <v>1</v>
      </c>
      <c r="B1909" s="3" t="str">
        <f>HYPERLINK("https://otsuka-europe-crm.veevavault.com/ui/#object/approved_document__v/V5OZ025E82TFUPI", "Spain - HCP Survey Email - June 2025")</f>
        <v>Spain - HCP Survey Email - June 2025</v>
      </c>
      <c r="C1909" s="3" t="str">
        <f>HYPERLINK("https://otsuka-europe-crm.veevavault.com/ui/#object/sent_email__v/VBLZ025E82GMZ38", "SE-000268998")</f>
        <v>SE-000268998</v>
      </c>
      <c r="D1909" s="1" t="s">
        <v>0</v>
      </c>
      <c r="E1909" s="2">
        <v>0</v>
      </c>
      <c r="F1909" s="2">
        <v>0</v>
      </c>
      <c r="G1909" s="2">
        <v>0</v>
      </c>
      <c r="H1909" s="1" t="s">
        <v>0</v>
      </c>
      <c r="I1909" s="2">
        <v>0</v>
      </c>
      <c r="J1909" s="1">
        <v>45915.378101851849</v>
      </c>
    </row>
    <row r="1910" spans="1:10" x14ac:dyDescent="0.2">
      <c r="A1910" s="4" t="s">
        <v>1</v>
      </c>
      <c r="B1910" s="3" t="str">
        <f>HYPERLINK("https://otsuka-europe-crm.veevavault.com/ui/#object/approved_document__v/V5OZ025E82TFUPI", "Spain - HCP Survey Email - June 2025")</f>
        <v>Spain - HCP Survey Email - June 2025</v>
      </c>
      <c r="C1910" s="3" t="str">
        <f>HYPERLINK("https://otsuka-europe-crm.veevavault.com/ui/#object/sent_email__v/VBLZ025E82GMZ39", "SE-000268999")</f>
        <v>SE-000268999</v>
      </c>
      <c r="D1910" s="1" t="s">
        <v>0</v>
      </c>
      <c r="E1910" s="2">
        <v>0</v>
      </c>
      <c r="F1910" s="2">
        <v>0</v>
      </c>
      <c r="G1910" s="2">
        <v>0</v>
      </c>
      <c r="H1910" s="1" t="s">
        <v>0</v>
      </c>
      <c r="I1910" s="2">
        <v>0</v>
      </c>
      <c r="J1910" s="1">
        <v>45915.378993055558</v>
      </c>
    </row>
    <row r="1911" spans="1:10" x14ac:dyDescent="0.2">
      <c r="A1911" s="4" t="s">
        <v>1</v>
      </c>
      <c r="B1911" s="3" t="str">
        <f>HYPERLINK("https://otsuka-europe-crm.veevavault.com/ui/#object/approved_document__v/V5OZ025E82TFUPI", "Spain - HCP Survey Email - June 2025")</f>
        <v>Spain - HCP Survey Email - June 2025</v>
      </c>
      <c r="C1911" s="3" t="str">
        <f>HYPERLINK("https://otsuka-europe-crm.veevavault.com/ui/#object/sent_email__v/VBLZ025E82GMZ3A", "SE-000269000")</f>
        <v>SE-000269000</v>
      </c>
      <c r="D1911" s="1">
        <v>45929.917500000003</v>
      </c>
      <c r="E1911" s="2">
        <v>1</v>
      </c>
      <c r="F1911" s="2">
        <v>2</v>
      </c>
      <c r="G1911" s="2">
        <v>0</v>
      </c>
      <c r="H1911" s="1" t="s">
        <v>0</v>
      </c>
      <c r="I1911" s="2">
        <v>0</v>
      </c>
      <c r="J1911" s="1">
        <v>45915.379652777781</v>
      </c>
    </row>
    <row r="1912" spans="1:10" x14ac:dyDescent="0.2">
      <c r="A1912" s="4" t="s">
        <v>1</v>
      </c>
      <c r="B1912" s="3" t="str">
        <f>HYPERLINK("https://otsuka-europe-crm.veevavault.com/ui/#object/approved_document__v/V5OZ025E82TFUPI", "Spain - HCP Survey Email - June 2025")</f>
        <v>Spain - HCP Survey Email - June 2025</v>
      </c>
      <c r="C1912" s="3" t="str">
        <f>HYPERLINK("https://otsuka-europe-crm.veevavault.com/ui/#object/sent_email__v/VBLZ025E82GMZ3B", "SE-000269001")</f>
        <v>SE-000269001</v>
      </c>
      <c r="D1912" s="1" t="s">
        <v>0</v>
      </c>
      <c r="E1912" s="2">
        <v>0</v>
      </c>
      <c r="F1912" s="2">
        <v>0</v>
      </c>
      <c r="G1912" s="2">
        <v>0</v>
      </c>
      <c r="H1912" s="1" t="s">
        <v>0</v>
      </c>
      <c r="I1912" s="2">
        <v>0</v>
      </c>
      <c r="J1912" s="1">
        <v>45915.379247685189</v>
      </c>
    </row>
    <row r="1913" spans="1:10" x14ac:dyDescent="0.2">
      <c r="A1913" s="4" t="s">
        <v>1</v>
      </c>
      <c r="B1913" s="3" t="str">
        <f>HYPERLINK("https://otsuka-europe-crm.veevavault.com/ui/#object/approved_document__v/V5OZ025E82TFUPI", "Spain - HCP Survey Email - June 2025")</f>
        <v>Spain - HCP Survey Email - June 2025</v>
      </c>
      <c r="C1913" s="3" t="str">
        <f>HYPERLINK("https://otsuka-europe-crm.veevavault.com/ui/#object/sent_email__v/VBLZ025E82GMZ3C", "SE-000269002")</f>
        <v>SE-000269002</v>
      </c>
      <c r="D1913" s="1" t="s">
        <v>0</v>
      </c>
      <c r="E1913" s="2">
        <v>0</v>
      </c>
      <c r="F1913" s="2">
        <v>0</v>
      </c>
      <c r="G1913" s="2">
        <v>0</v>
      </c>
      <c r="H1913" s="1" t="s">
        <v>0</v>
      </c>
      <c r="I1913" s="2">
        <v>0</v>
      </c>
      <c r="J1913" s="1">
        <v>45915.37740740741</v>
      </c>
    </row>
    <row r="1914" spans="1:10" x14ac:dyDescent="0.2">
      <c r="A1914" s="4" t="s">
        <v>1</v>
      </c>
      <c r="B1914" s="3" t="str">
        <f>HYPERLINK("https://otsuka-europe-crm.veevavault.com/ui/#object/approved_document__v/V5OZ025E82TFUPI", "Spain - HCP Survey Email - June 2025")</f>
        <v>Spain - HCP Survey Email - June 2025</v>
      </c>
      <c r="C1914" s="3" t="str">
        <f>HYPERLINK("https://otsuka-europe-crm.veevavault.com/ui/#object/sent_email__v/VBLZ025E82GMZ3D", "SE-000269003")</f>
        <v>SE-000269003</v>
      </c>
      <c r="D1914" s="1" t="s">
        <v>0</v>
      </c>
      <c r="E1914" s="2">
        <v>0</v>
      </c>
      <c r="F1914" s="2">
        <v>0</v>
      </c>
      <c r="G1914" s="2">
        <v>0</v>
      </c>
      <c r="H1914" s="1" t="s">
        <v>0</v>
      </c>
      <c r="I1914" s="2">
        <v>0</v>
      </c>
      <c r="J1914" s="1">
        <v>45915.378368055557</v>
      </c>
    </row>
    <row r="1915" spans="1:10" x14ac:dyDescent="0.2">
      <c r="A1915" s="4" t="s">
        <v>1</v>
      </c>
      <c r="B1915" s="3" t="str">
        <f>HYPERLINK("https://otsuka-europe-crm.veevavault.com/ui/#object/approved_document__v/V5OZ025E82TFUPI", "Spain - HCP Survey Email - June 2025")</f>
        <v>Spain - HCP Survey Email - June 2025</v>
      </c>
      <c r="C1915" s="3" t="str">
        <f>HYPERLINK("https://otsuka-europe-crm.veevavault.com/ui/#object/sent_email__v/VBLZ025E82GMZ3E", "SE-000269004")</f>
        <v>SE-000269004</v>
      </c>
      <c r="D1915" s="1">
        <v>45915.379050925927</v>
      </c>
      <c r="E1915" s="2">
        <v>1</v>
      </c>
      <c r="F1915" s="2">
        <v>2</v>
      </c>
      <c r="G1915" s="2">
        <v>1</v>
      </c>
      <c r="H1915" s="1">
        <v>45915.379050925927</v>
      </c>
      <c r="I1915" s="2">
        <v>2</v>
      </c>
      <c r="J1915" s="1">
        <v>45915.378946759258</v>
      </c>
    </row>
    <row r="1916" spans="1:10" x14ac:dyDescent="0.2">
      <c r="A1916" s="4" t="s">
        <v>1</v>
      </c>
      <c r="B1916" s="3" t="str">
        <f>HYPERLINK("https://otsuka-europe-crm.veevavault.com/ui/#object/approved_document__v/V5OZ025E82TFUPI", "Spain - HCP Survey Email - June 2025")</f>
        <v>Spain - HCP Survey Email - June 2025</v>
      </c>
      <c r="C1916" s="3" t="str">
        <f>HYPERLINK("https://otsuka-europe-crm.veevavault.com/ui/#object/sent_email__v/VBLZ025E82GMZ3F", "SE-000269005")</f>
        <v>SE-000269005</v>
      </c>
      <c r="D1916" s="1" t="s">
        <v>0</v>
      </c>
      <c r="E1916" s="2">
        <v>0</v>
      </c>
      <c r="F1916" s="2">
        <v>0</v>
      </c>
      <c r="G1916" s="2">
        <v>0</v>
      </c>
      <c r="H1916" s="1" t="s">
        <v>0</v>
      </c>
      <c r="I1916" s="2">
        <v>0</v>
      </c>
      <c r="J1916" s="1">
        <v>45915.378807870373</v>
      </c>
    </row>
    <row r="1917" spans="1:10" x14ac:dyDescent="0.2">
      <c r="A1917" s="4" t="s">
        <v>1</v>
      </c>
      <c r="B1917" s="3" t="str">
        <f>HYPERLINK("https://otsuka-europe-crm.veevavault.com/ui/#object/approved_document__v/V5OZ025E82TFUPI", "Spain - HCP Survey Email - June 2025")</f>
        <v>Spain - HCP Survey Email - June 2025</v>
      </c>
      <c r="C1917" s="3" t="str">
        <f>HYPERLINK("https://otsuka-europe-crm.veevavault.com/ui/#object/sent_email__v/VBLZ025E82GMZ3G", "SE-000269006")</f>
        <v>SE-000269006</v>
      </c>
      <c r="D1917" s="1">
        <v>45916.923726851855</v>
      </c>
      <c r="E1917" s="2">
        <v>1</v>
      </c>
      <c r="F1917" s="2">
        <v>6</v>
      </c>
      <c r="G1917" s="2">
        <v>1</v>
      </c>
      <c r="H1917" s="1">
        <v>45915.379606481481</v>
      </c>
      <c r="I1917" s="2">
        <v>2</v>
      </c>
      <c r="J1917" s="1">
        <v>45915.379224537035</v>
      </c>
    </row>
    <row r="1918" spans="1:10" x14ac:dyDescent="0.2">
      <c r="A1918" s="4" t="s">
        <v>1</v>
      </c>
      <c r="B1918" s="3" t="str">
        <f>HYPERLINK("https://otsuka-europe-crm.veevavault.com/ui/#object/approved_document__v/V5OZ025E82TFUPI", "Spain - HCP Survey Email - June 2025")</f>
        <v>Spain - HCP Survey Email - June 2025</v>
      </c>
      <c r="C1918" s="3" t="str">
        <f>HYPERLINK("https://otsuka-europe-crm.veevavault.com/ui/#object/sent_email__v/VBLZ025E82GMZ3H", "SE-000269007")</f>
        <v>SE-000269007</v>
      </c>
      <c r="D1918" s="1">
        <v>45915.402199074073</v>
      </c>
      <c r="E1918" s="2">
        <v>1</v>
      </c>
      <c r="F1918" s="2">
        <v>2</v>
      </c>
      <c r="G1918" s="2">
        <v>1</v>
      </c>
      <c r="H1918" s="1">
        <v>45921.489861111113</v>
      </c>
      <c r="I1918" s="2">
        <v>1</v>
      </c>
      <c r="J1918" s="1">
        <v>45915.377858796295</v>
      </c>
    </row>
    <row r="1919" spans="1:10" x14ac:dyDescent="0.2">
      <c r="A1919" s="4" t="s">
        <v>1</v>
      </c>
      <c r="B1919" s="3" t="str">
        <f>HYPERLINK("https://otsuka-europe-crm.veevavault.com/ui/#object/approved_document__v/V5OZ025E82TFUPI", "Spain - HCP Survey Email - June 2025")</f>
        <v>Spain - HCP Survey Email - June 2025</v>
      </c>
      <c r="C1919" s="3" t="str">
        <f>HYPERLINK("https://otsuka-europe-crm.veevavault.com/ui/#object/sent_email__v/VBLZ025E82GMZ3I", "SE-000269008")</f>
        <v>SE-000269008</v>
      </c>
      <c r="D1919" s="1" t="s">
        <v>0</v>
      </c>
      <c r="E1919" s="2">
        <v>0</v>
      </c>
      <c r="F1919" s="2">
        <v>0</v>
      </c>
      <c r="G1919" s="2">
        <v>0</v>
      </c>
      <c r="H1919" s="1" t="s">
        <v>0</v>
      </c>
      <c r="I1919" s="2">
        <v>0</v>
      </c>
      <c r="J1919" s="1">
        <v>45915.378321759257</v>
      </c>
    </row>
    <row r="1920" spans="1:10" x14ac:dyDescent="0.2">
      <c r="A1920" s="4" t="s">
        <v>1</v>
      </c>
      <c r="B1920" s="3" t="str">
        <f>HYPERLINK("https://otsuka-europe-crm.veevavault.com/ui/#object/approved_document__v/V5OZ025E82TFUPI", "Spain - HCP Survey Email - June 2025")</f>
        <v>Spain - HCP Survey Email - June 2025</v>
      </c>
      <c r="C1920" s="3" t="str">
        <f>HYPERLINK("https://otsuka-europe-crm.veevavault.com/ui/#object/sent_email__v/VBLZ025E82GMZ3J", "SE-000269009")</f>
        <v>SE-000269009</v>
      </c>
      <c r="D1920" s="1">
        <v>45934.786956018521</v>
      </c>
      <c r="E1920" s="2">
        <v>1</v>
      </c>
      <c r="F1920" s="2">
        <v>5</v>
      </c>
      <c r="G1920" s="2">
        <v>0</v>
      </c>
      <c r="H1920" s="1" t="s">
        <v>0</v>
      </c>
      <c r="I1920" s="2">
        <v>0</v>
      </c>
      <c r="J1920" s="1">
        <v>45915.378159722219</v>
      </c>
    </row>
    <row r="1921" spans="1:10" x14ac:dyDescent="0.2">
      <c r="A1921" s="4" t="s">
        <v>1</v>
      </c>
      <c r="B1921" s="3" t="str">
        <f>HYPERLINK("https://otsuka-europe-crm.veevavault.com/ui/#object/approved_document__v/V5OZ025E82TFUPI", "Spain - HCP Survey Email - June 2025")</f>
        <v>Spain - HCP Survey Email - June 2025</v>
      </c>
      <c r="C1921" s="3" t="str">
        <f>HYPERLINK("https://otsuka-europe-crm.veevavault.com/ui/#object/sent_email__v/VBLZ025E82GMZ3K", "SE-000269010")</f>
        <v>SE-000269010</v>
      </c>
      <c r="D1921" s="1" t="s">
        <v>0</v>
      </c>
      <c r="E1921" s="2">
        <v>0</v>
      </c>
      <c r="F1921" s="2">
        <v>0</v>
      </c>
      <c r="G1921" s="2">
        <v>0</v>
      </c>
      <c r="H1921" s="1" t="s">
        <v>0</v>
      </c>
      <c r="I1921" s="2">
        <v>0</v>
      </c>
      <c r="J1921" s="1">
        <v>45915.379050925927</v>
      </c>
    </row>
    <row r="1922" spans="1:10" x14ac:dyDescent="0.2">
      <c r="A1922" s="4" t="s">
        <v>1</v>
      </c>
      <c r="B1922" s="3" t="str">
        <f>HYPERLINK("https://otsuka-europe-crm.veevavault.com/ui/#object/approved_document__v/V5OZ025E82TFUPI", "Spain - HCP Survey Email - June 2025")</f>
        <v>Spain - HCP Survey Email - June 2025</v>
      </c>
      <c r="C1922" s="3" t="str">
        <f>HYPERLINK("https://otsuka-europe-crm.veevavault.com/ui/#object/sent_email__v/VBLZ025E82GMZ3L", "SE-000269011")</f>
        <v>SE-000269011</v>
      </c>
      <c r="D1922" s="1" t="s">
        <v>0</v>
      </c>
      <c r="E1922" s="2">
        <v>0</v>
      </c>
      <c r="F1922" s="2">
        <v>0</v>
      </c>
      <c r="G1922" s="2">
        <v>0</v>
      </c>
      <c r="H1922" s="1" t="s">
        <v>0</v>
      </c>
      <c r="I1922" s="2">
        <v>0</v>
      </c>
      <c r="J1922" s="1">
        <v>45915.379629629628</v>
      </c>
    </row>
    <row r="1923" spans="1:10" x14ac:dyDescent="0.2">
      <c r="A1923" s="4" t="s">
        <v>1</v>
      </c>
      <c r="B1923" s="3" t="str">
        <f>HYPERLINK("https://otsuka-europe-crm.veevavault.com/ui/#object/approved_document__v/V5OZ025E82TFUPI", "Spain - HCP Survey Email - June 2025")</f>
        <v>Spain - HCP Survey Email - June 2025</v>
      </c>
      <c r="C1923" s="3" t="str">
        <f>HYPERLINK("https://otsuka-europe-crm.veevavault.com/ui/#object/sent_email__v/VBLZ025E82GMZ3M", "SE-000269012")</f>
        <v>SE-000269012</v>
      </c>
      <c r="D1923" s="1">
        <v>45915.379421296297</v>
      </c>
      <c r="E1923" s="2">
        <v>1</v>
      </c>
      <c r="F1923" s="2">
        <v>1</v>
      </c>
      <c r="G1923" s="2">
        <v>1</v>
      </c>
      <c r="H1923" s="1">
        <v>45915.380046296297</v>
      </c>
      <c r="I1923" s="2">
        <v>2</v>
      </c>
      <c r="J1923" s="1">
        <v>45915.379328703704</v>
      </c>
    </row>
    <row r="1924" spans="1:10" x14ac:dyDescent="0.2">
      <c r="A1924" s="4" t="s">
        <v>1</v>
      </c>
      <c r="B1924" s="3" t="str">
        <f>HYPERLINK("https://otsuka-europe-crm.veevavault.com/ui/#object/approved_document__v/V5OZ025E82TFUPI", "Spain - HCP Survey Email - June 2025")</f>
        <v>Spain - HCP Survey Email - June 2025</v>
      </c>
      <c r="C1924" s="3" t="str">
        <f>HYPERLINK("https://otsuka-europe-crm.veevavault.com/ui/#object/sent_email__v/VBLZ025E82GMZ3N", "SE-000269013")</f>
        <v>SE-000269013</v>
      </c>
      <c r="D1924" s="1">
        <v>45929.885775462964</v>
      </c>
      <c r="E1924" s="2">
        <v>1</v>
      </c>
      <c r="F1924" s="2">
        <v>2</v>
      </c>
      <c r="G1924" s="2">
        <v>0</v>
      </c>
      <c r="H1924" s="1" t="s">
        <v>0</v>
      </c>
      <c r="I1924" s="2">
        <v>0</v>
      </c>
      <c r="J1924" s="1">
        <v>45915.377430555556</v>
      </c>
    </row>
    <row r="1925" spans="1:10" x14ac:dyDescent="0.2">
      <c r="A1925" s="4" t="s">
        <v>1</v>
      </c>
      <c r="B1925" s="3" t="str">
        <f>HYPERLINK("https://otsuka-europe-crm.veevavault.com/ui/#object/approved_document__v/V5OZ025E82TFUPI", "Spain - HCP Survey Email - June 2025")</f>
        <v>Spain - HCP Survey Email - June 2025</v>
      </c>
      <c r="C1925" s="3" t="str">
        <f>HYPERLINK("https://otsuka-europe-crm.veevavault.com/ui/#object/sent_email__v/VBLZ025E82GMZ3O", "SE-000269014")</f>
        <v>SE-000269014</v>
      </c>
      <c r="D1925" s="1">
        <v>45916.753009259257</v>
      </c>
      <c r="E1925" s="2">
        <v>1</v>
      </c>
      <c r="F1925" s="2">
        <v>1</v>
      </c>
      <c r="G1925" s="2">
        <v>0</v>
      </c>
      <c r="H1925" s="1" t="s">
        <v>0</v>
      </c>
      <c r="I1925" s="2">
        <v>0</v>
      </c>
      <c r="J1925" s="1">
        <v>45915.378460648149</v>
      </c>
    </row>
    <row r="1926" spans="1:10" x14ac:dyDescent="0.2">
      <c r="A1926" s="4" t="s">
        <v>1</v>
      </c>
      <c r="B1926" s="3" t="str">
        <f>HYPERLINK("https://otsuka-europe-crm.veevavault.com/ui/#object/approved_document__v/V5OZ025E82TFUPI", "Spain - HCP Survey Email - June 2025")</f>
        <v>Spain - HCP Survey Email - June 2025</v>
      </c>
      <c r="C1926" s="3" t="str">
        <f>HYPERLINK("https://otsuka-europe-crm.veevavault.com/ui/#object/sent_email__v/VBLZ025E82GMZ3P", "SE-000269015")</f>
        <v>SE-000269015</v>
      </c>
      <c r="D1926" s="1">
        <v>45915.610497685186</v>
      </c>
      <c r="E1926" s="2">
        <v>1</v>
      </c>
      <c r="F1926" s="2">
        <v>1</v>
      </c>
      <c r="G1926" s="2">
        <v>1</v>
      </c>
      <c r="H1926" s="1">
        <v>45915.61136574074</v>
      </c>
      <c r="I1926" s="2">
        <v>2</v>
      </c>
      <c r="J1926" s="1">
        <v>45915.378888888888</v>
      </c>
    </row>
    <row r="1927" spans="1:10" x14ac:dyDescent="0.2">
      <c r="A1927" s="4" t="s">
        <v>1</v>
      </c>
      <c r="B1927" s="3" t="str">
        <f>HYPERLINK("https://otsuka-europe-crm.veevavault.com/ui/#object/approved_document__v/V5OZ025E82TFUPI", "Spain - HCP Survey Email - June 2025")</f>
        <v>Spain - HCP Survey Email - June 2025</v>
      </c>
      <c r="C1927" s="3" t="str">
        <f>HYPERLINK("https://otsuka-europe-crm.veevavault.com/ui/#object/sent_email__v/VBLZ025E82GMZ3Q", "SE-000269016")</f>
        <v>SE-000269016</v>
      </c>
      <c r="D1927" s="1" t="s">
        <v>0</v>
      </c>
      <c r="E1927" s="2">
        <v>0</v>
      </c>
      <c r="F1927" s="2">
        <v>0</v>
      </c>
      <c r="G1927" s="2">
        <v>0</v>
      </c>
      <c r="H1927" s="1" t="s">
        <v>0</v>
      </c>
      <c r="I1927" s="2">
        <v>0</v>
      </c>
      <c r="J1927" s="1">
        <v>45915.378703703704</v>
      </c>
    </row>
    <row r="1928" spans="1:10" x14ac:dyDescent="0.2">
      <c r="A1928" s="4" t="s">
        <v>1</v>
      </c>
      <c r="B1928" s="3" t="str">
        <f>HYPERLINK("https://otsuka-europe-crm.veevavault.com/ui/#object/approved_document__v/V5OZ025E82TFUPI", "Spain - HCP Survey Email - June 2025")</f>
        <v>Spain - HCP Survey Email - June 2025</v>
      </c>
      <c r="C1928" s="3" t="str">
        <f>HYPERLINK("https://otsuka-europe-crm.veevavault.com/ui/#object/sent_email__v/VBLZ025E82GMZ3R", "SE-000269017")</f>
        <v>SE-000269017</v>
      </c>
      <c r="D1928" s="1" t="s">
        <v>0</v>
      </c>
      <c r="E1928" s="2">
        <v>0</v>
      </c>
      <c r="F1928" s="2">
        <v>0</v>
      </c>
      <c r="G1928" s="2">
        <v>0</v>
      </c>
      <c r="H1928" s="1" t="s">
        <v>0</v>
      </c>
      <c r="I1928" s="2">
        <v>0</v>
      </c>
      <c r="J1928" s="1">
        <v>45915.379236111112</v>
      </c>
    </row>
    <row r="1929" spans="1:10" x14ac:dyDescent="0.2">
      <c r="A1929" s="4" t="s">
        <v>1</v>
      </c>
      <c r="B1929" s="3" t="str">
        <f>HYPERLINK("https://otsuka-europe-crm.veevavault.com/ui/#object/approved_document__v/V5OZ025E82TFUPI", "Spain - HCP Survey Email - June 2025")</f>
        <v>Spain - HCP Survey Email - June 2025</v>
      </c>
      <c r="C1929" s="3" t="str">
        <f>HYPERLINK("https://otsuka-europe-crm.veevavault.com/ui/#object/sent_email__v/VBLZ025E82GMZ3S", "SE-000269018")</f>
        <v>SE-000269018</v>
      </c>
      <c r="D1929" s="1">
        <v>45915.577199074076</v>
      </c>
      <c r="E1929" s="2">
        <v>1</v>
      </c>
      <c r="F1929" s="2">
        <v>1</v>
      </c>
      <c r="G1929" s="2">
        <v>1</v>
      </c>
      <c r="H1929" s="1">
        <v>45915.577199074076</v>
      </c>
      <c r="I1929" s="2">
        <v>1</v>
      </c>
      <c r="J1929" s="1">
        <v>45915.377870370372</v>
      </c>
    </row>
    <row r="1930" spans="1:10" x14ac:dyDescent="0.2">
      <c r="A1930" s="4" t="s">
        <v>1</v>
      </c>
      <c r="B1930" s="3" t="str">
        <f>HYPERLINK("https://otsuka-europe-crm.veevavault.com/ui/#object/approved_document__v/V5OZ025E82TFUPI", "Spain - HCP Survey Email - June 2025")</f>
        <v>Spain - HCP Survey Email - June 2025</v>
      </c>
      <c r="C1930" s="3" t="str">
        <f>HYPERLINK("https://otsuka-europe-crm.veevavault.com/ui/#object/sent_email__v/VBLZ025E82GMZ3T", "SE-000269019")</f>
        <v>SE-000269019</v>
      </c>
      <c r="D1930" s="1" t="s">
        <v>0</v>
      </c>
      <c r="E1930" s="2">
        <v>0</v>
      </c>
      <c r="F1930" s="2">
        <v>0</v>
      </c>
      <c r="G1930" s="2">
        <v>0</v>
      </c>
      <c r="H1930" s="1" t="s">
        <v>0</v>
      </c>
      <c r="I1930" s="2">
        <v>0</v>
      </c>
      <c r="J1930" s="1">
        <v>45915.378275462965</v>
      </c>
    </row>
    <row r="1931" spans="1:10" x14ac:dyDescent="0.2">
      <c r="A1931" s="4" t="s">
        <v>1</v>
      </c>
      <c r="B1931" s="3" t="str">
        <f>HYPERLINK("https://otsuka-europe-crm.veevavault.com/ui/#object/approved_document__v/V5OZ025E82TFUPI", "Spain - HCP Survey Email - June 2025")</f>
        <v>Spain - HCP Survey Email - June 2025</v>
      </c>
      <c r="C1931" s="3" t="str">
        <f>HYPERLINK("https://otsuka-europe-crm.veevavault.com/ui/#object/sent_email__v/VBLZ025E82GMZ3U", "SE-000269020")</f>
        <v>SE-000269020</v>
      </c>
      <c r="D1931" s="1" t="s">
        <v>0</v>
      </c>
      <c r="E1931" s="2">
        <v>0</v>
      </c>
      <c r="F1931" s="2">
        <v>0</v>
      </c>
      <c r="G1931" s="2">
        <v>0</v>
      </c>
      <c r="H1931" s="1" t="s">
        <v>0</v>
      </c>
      <c r="I1931" s="2">
        <v>0</v>
      </c>
      <c r="J1931" s="1">
        <v>45915.378078703703</v>
      </c>
    </row>
    <row r="1932" spans="1:10" x14ac:dyDescent="0.2">
      <c r="A1932" s="4" t="s">
        <v>1</v>
      </c>
      <c r="B1932" s="3" t="str">
        <f>HYPERLINK("https://otsuka-europe-crm.veevavault.com/ui/#object/approved_document__v/V5OZ025E82TFUPI", "Spain - HCP Survey Email - June 2025")</f>
        <v>Spain - HCP Survey Email - June 2025</v>
      </c>
      <c r="C1932" s="3" t="str">
        <f>HYPERLINK("https://otsuka-europe-crm.veevavault.com/ui/#object/sent_email__v/VBLZ025E82GMZ3V", "SE-000269021")</f>
        <v>SE-000269021</v>
      </c>
      <c r="D1932" s="1" t="s">
        <v>0</v>
      </c>
      <c r="E1932" s="2">
        <v>0</v>
      </c>
      <c r="F1932" s="2">
        <v>0</v>
      </c>
      <c r="G1932" s="2">
        <v>0</v>
      </c>
      <c r="H1932" s="1" t="s">
        <v>0</v>
      </c>
      <c r="I1932" s="2">
        <v>0</v>
      </c>
      <c r="J1932" s="1">
        <v>45915.378599537034</v>
      </c>
    </row>
    <row r="1933" spans="1:10" x14ac:dyDescent="0.2">
      <c r="A1933" s="4" t="s">
        <v>1</v>
      </c>
      <c r="B1933" s="3" t="str">
        <f>HYPERLINK("https://otsuka-europe-crm.veevavault.com/ui/#object/approved_document__v/V5OZ025E82TFUPI", "Spain - HCP Survey Email - June 2025")</f>
        <v>Spain - HCP Survey Email - June 2025</v>
      </c>
      <c r="C1933" s="3" t="str">
        <f>HYPERLINK("https://otsuka-europe-crm.veevavault.com/ui/#object/sent_email__v/VBLZ025E82GMZ3W", "SE-000269022")</f>
        <v>SE-000269022</v>
      </c>
      <c r="D1933" s="1">
        <v>45917.473020833335</v>
      </c>
      <c r="E1933" s="2">
        <v>1</v>
      </c>
      <c r="F1933" s="2">
        <v>1</v>
      </c>
      <c r="G1933" s="2">
        <v>1</v>
      </c>
      <c r="H1933" s="1">
        <v>45917.474259259259</v>
      </c>
      <c r="I1933" s="2">
        <v>2</v>
      </c>
      <c r="J1933" s="1">
        <v>45915.379583333335</v>
      </c>
    </row>
    <row r="1934" spans="1:10" x14ac:dyDescent="0.2">
      <c r="A1934" s="4" t="s">
        <v>1</v>
      </c>
      <c r="B1934" s="3" t="str">
        <f>HYPERLINK("https://otsuka-europe-crm.veevavault.com/ui/#object/approved_document__v/V5OZ025E82TFUPI", "Spain - HCP Survey Email - June 2025")</f>
        <v>Spain - HCP Survey Email - June 2025</v>
      </c>
      <c r="C1934" s="3" t="str">
        <f>HYPERLINK("https://otsuka-europe-crm.veevavault.com/ui/#object/sent_email__v/VBLZ025E82GMZ3X", "SE-000269023")</f>
        <v>SE-000269023</v>
      </c>
      <c r="D1934" s="1">
        <v>45925.582858796297</v>
      </c>
      <c r="E1934" s="2">
        <v>1</v>
      </c>
      <c r="F1934" s="2">
        <v>6</v>
      </c>
      <c r="G1934" s="2">
        <v>0</v>
      </c>
      <c r="H1934" s="1" t="s">
        <v>0</v>
      </c>
      <c r="I1934" s="2">
        <v>0</v>
      </c>
      <c r="J1934" s="1">
        <v>45915.37940972222</v>
      </c>
    </row>
    <row r="1935" spans="1:10" x14ac:dyDescent="0.2">
      <c r="A1935" s="4" t="s">
        <v>1</v>
      </c>
      <c r="B1935" s="3" t="str">
        <f>HYPERLINK("https://otsuka-europe-crm.veevavault.com/ui/#object/approved_document__v/V5OZ025E82TFUPI", "Spain - HCP Survey Email - June 2025")</f>
        <v>Spain - HCP Survey Email - June 2025</v>
      </c>
      <c r="C1935" s="3" t="str">
        <f>HYPERLINK("https://otsuka-europe-crm.veevavault.com/ui/#object/sent_email__v/VBLZ025E82GMZ3Y", "SE-000269024")</f>
        <v>SE-000269024</v>
      </c>
      <c r="D1935" s="1">
        <v>45916.439085648148</v>
      </c>
      <c r="E1935" s="2">
        <v>1</v>
      </c>
      <c r="F1935" s="2">
        <v>2</v>
      </c>
      <c r="G1935" s="2">
        <v>0</v>
      </c>
      <c r="H1935" s="1" t="s">
        <v>0</v>
      </c>
      <c r="I1935" s="2">
        <v>0</v>
      </c>
      <c r="J1935" s="1">
        <v>45915.378078703703</v>
      </c>
    </row>
    <row r="1936" spans="1:10" x14ac:dyDescent="0.2">
      <c r="A1936" s="4" t="s">
        <v>1</v>
      </c>
      <c r="B1936" s="3" t="str">
        <f>HYPERLINK("https://otsuka-europe-crm.veevavault.com/ui/#object/approved_document__v/V5OZ025E82TFUPI", "Spain - HCP Survey Email - June 2025")</f>
        <v>Spain - HCP Survey Email - June 2025</v>
      </c>
      <c r="C1936" s="3" t="str">
        <f>HYPERLINK("https://otsuka-europe-crm.veevavault.com/ui/#object/sent_email__v/VBLZ025E82GMZ3Z", "SE-000269025")</f>
        <v>SE-000269025</v>
      </c>
      <c r="D1936" s="1" t="s">
        <v>0</v>
      </c>
      <c r="E1936" s="2">
        <v>0</v>
      </c>
      <c r="F1936" s="2">
        <v>0</v>
      </c>
      <c r="G1936" s="2">
        <v>0</v>
      </c>
      <c r="H1936" s="1" t="s">
        <v>0</v>
      </c>
      <c r="I1936" s="2">
        <v>0</v>
      </c>
      <c r="J1936" s="1">
        <v>45915.379004629627</v>
      </c>
    </row>
    <row r="1937" spans="1:10" x14ac:dyDescent="0.2">
      <c r="A1937" s="4" t="s">
        <v>1</v>
      </c>
      <c r="B1937" s="3" t="str">
        <f>HYPERLINK("https://otsuka-europe-crm.veevavault.com/ui/#object/approved_document__v/V5OZ025E82TFUPI", "Spain - HCP Survey Email - June 2025")</f>
        <v>Spain - HCP Survey Email - June 2025</v>
      </c>
      <c r="C1937" s="3" t="str">
        <f>HYPERLINK("https://otsuka-europe-crm.veevavault.com/ui/#object/sent_email__v/VBLZ025E82GMZ40", "SE-000269026")</f>
        <v>SE-000269026</v>
      </c>
      <c r="D1937" s="1" t="s">
        <v>0</v>
      </c>
      <c r="E1937" s="2">
        <v>0</v>
      </c>
      <c r="F1937" s="2">
        <v>0</v>
      </c>
      <c r="G1937" s="2">
        <v>0</v>
      </c>
      <c r="H1937" s="1" t="s">
        <v>0</v>
      </c>
      <c r="I1937" s="2">
        <v>0</v>
      </c>
      <c r="J1937" s="1">
        <v>45915.379675925928</v>
      </c>
    </row>
    <row r="1938" spans="1:10" x14ac:dyDescent="0.2">
      <c r="A1938" s="4" t="s">
        <v>1</v>
      </c>
      <c r="B1938" s="3" t="str">
        <f>HYPERLINK("https://otsuka-europe-crm.veevavault.com/ui/#object/approved_document__v/V5OZ025E82TFUPI", "Spain - HCP Survey Email - June 2025")</f>
        <v>Spain - HCP Survey Email - June 2025</v>
      </c>
      <c r="C1938" s="3" t="str">
        <f>HYPERLINK("https://otsuka-europe-crm.veevavault.com/ui/#object/sent_email__v/VBLZ025E82GMZ41", "SE-000269027")</f>
        <v>SE-000269027</v>
      </c>
      <c r="D1938" s="1" t="s">
        <v>0</v>
      </c>
      <c r="E1938" s="2">
        <v>0</v>
      </c>
      <c r="F1938" s="2">
        <v>0</v>
      </c>
      <c r="G1938" s="2">
        <v>0</v>
      </c>
      <c r="H1938" s="1" t="s">
        <v>0</v>
      </c>
      <c r="I1938" s="2">
        <v>0</v>
      </c>
      <c r="J1938" s="1">
        <v>45915.379432870373</v>
      </c>
    </row>
    <row r="1939" spans="1:10" x14ac:dyDescent="0.2">
      <c r="A1939" s="4" t="s">
        <v>1</v>
      </c>
      <c r="B1939" s="3" t="str">
        <f>HYPERLINK("https://otsuka-europe-crm.veevavault.com/ui/#object/approved_document__v/V5OZ025E82TFUPI", "Spain - HCP Survey Email - June 2025")</f>
        <v>Spain - HCP Survey Email - June 2025</v>
      </c>
      <c r="C1939" s="3" t="str">
        <f>HYPERLINK("https://otsuka-europe-crm.veevavault.com/ui/#object/sent_email__v/VBLZ025E82GMZ42", "SE-000269028")</f>
        <v>SE-000269028</v>
      </c>
      <c r="D1939" s="1" t="s">
        <v>0</v>
      </c>
      <c r="E1939" s="2">
        <v>0</v>
      </c>
      <c r="F1939" s="2">
        <v>0</v>
      </c>
      <c r="G1939" s="2">
        <v>0</v>
      </c>
      <c r="H1939" s="1" t="s">
        <v>0</v>
      </c>
      <c r="I1939" s="2">
        <v>0</v>
      </c>
      <c r="J1939" s="1">
        <v>45915.377465277779</v>
      </c>
    </row>
    <row r="1940" spans="1:10" x14ac:dyDescent="0.2">
      <c r="A1940" s="4" t="s">
        <v>1</v>
      </c>
      <c r="B1940" s="3" t="str">
        <f>HYPERLINK("https://otsuka-europe-crm.veevavault.com/ui/#object/approved_document__v/V5OZ025E82TFUPI", "Spain - HCP Survey Email - June 2025")</f>
        <v>Spain - HCP Survey Email - June 2025</v>
      </c>
      <c r="C1940" s="3" t="str">
        <f>HYPERLINK("https://otsuka-europe-crm.veevavault.com/ui/#object/sent_email__v/VBLZ025E82GMZ43", "SE-000269029")</f>
        <v>SE-000269029</v>
      </c>
      <c r="D1940" s="1">
        <v>45924.854166666664</v>
      </c>
      <c r="E1940" s="2">
        <v>1</v>
      </c>
      <c r="F1940" s="2">
        <v>2</v>
      </c>
      <c r="G1940" s="2">
        <v>0</v>
      </c>
      <c r="H1940" s="1" t="s">
        <v>0</v>
      </c>
      <c r="I1940" s="2">
        <v>0</v>
      </c>
      <c r="J1940" s="1">
        <v>45915.378368055557</v>
      </c>
    </row>
    <row r="1941" spans="1:10" x14ac:dyDescent="0.2">
      <c r="A1941" s="4" t="s">
        <v>1</v>
      </c>
      <c r="B1941" s="3" t="str">
        <f>HYPERLINK("https://otsuka-europe-crm.veevavault.com/ui/#object/approved_document__v/V5OZ025E82TFUPI", "Spain - HCP Survey Email - June 2025")</f>
        <v>Spain - HCP Survey Email - June 2025</v>
      </c>
      <c r="C1941" s="3" t="str">
        <f>HYPERLINK("https://otsuka-europe-crm.veevavault.com/ui/#object/sent_email__v/VBLZ025E82GMZ44", "SE-000269030")</f>
        <v>SE-000269030</v>
      </c>
      <c r="D1941" s="1" t="s">
        <v>0</v>
      </c>
      <c r="E1941" s="2">
        <v>0</v>
      </c>
      <c r="F1941" s="2">
        <v>0</v>
      </c>
      <c r="G1941" s="2">
        <v>0</v>
      </c>
      <c r="H1941" s="1" t="s">
        <v>0</v>
      </c>
      <c r="I1941" s="2">
        <v>0</v>
      </c>
      <c r="J1941" s="1">
        <v>45915.378854166665</v>
      </c>
    </row>
    <row r="1942" spans="1:10" x14ac:dyDescent="0.2">
      <c r="A1942" s="4" t="s">
        <v>1</v>
      </c>
      <c r="B1942" s="3" t="str">
        <f>HYPERLINK("https://otsuka-europe-crm.veevavault.com/ui/#object/approved_document__v/V5OZ025E82TFUPI", "Spain - HCP Survey Email - June 2025")</f>
        <v>Spain - HCP Survey Email - June 2025</v>
      </c>
      <c r="C1942" s="3" t="str">
        <f>HYPERLINK("https://otsuka-europe-crm.veevavault.com/ui/#object/sent_email__v/VBLZ025E82GMZ45", "SE-000269031")</f>
        <v>SE-000269031</v>
      </c>
      <c r="D1942" s="1" t="s">
        <v>0</v>
      </c>
      <c r="E1942" s="2">
        <v>0</v>
      </c>
      <c r="F1942" s="2">
        <v>0</v>
      </c>
      <c r="G1942" s="2">
        <v>0</v>
      </c>
      <c r="H1942" s="1" t="s">
        <v>0</v>
      </c>
      <c r="I1942" s="2">
        <v>0</v>
      </c>
      <c r="J1942" s="1">
        <v>45915.378784722219</v>
      </c>
    </row>
    <row r="1943" spans="1:10" x14ac:dyDescent="0.2">
      <c r="A1943" s="4" t="s">
        <v>1</v>
      </c>
      <c r="B1943" s="3" t="str">
        <f>HYPERLINK("https://otsuka-europe-crm.veevavault.com/ui/#object/approved_document__v/V5OZ025E82TFUPI", "Spain - HCP Survey Email - June 2025")</f>
        <v>Spain - HCP Survey Email - June 2025</v>
      </c>
      <c r="C1943" s="3" t="str">
        <f>HYPERLINK("https://otsuka-europe-crm.veevavault.com/ui/#object/sent_email__v/VBLZ025E82GMZ47", "SE-000269033")</f>
        <v>SE-000269033</v>
      </c>
      <c r="D1943" s="1">
        <v>45915.484039351853</v>
      </c>
      <c r="E1943" s="2">
        <v>1</v>
      </c>
      <c r="F1943" s="2">
        <v>4</v>
      </c>
      <c r="G1943" s="2">
        <v>1</v>
      </c>
      <c r="H1943" s="1">
        <v>45915.42527777778</v>
      </c>
      <c r="I1943" s="2">
        <v>1</v>
      </c>
      <c r="J1943" s="1">
        <v>45915.377951388888</v>
      </c>
    </row>
    <row r="1944" spans="1:10" x14ac:dyDescent="0.2">
      <c r="A1944" s="4" t="s">
        <v>1</v>
      </c>
      <c r="B1944" s="3" t="str">
        <f>HYPERLINK("https://otsuka-europe-crm.veevavault.com/ui/#object/approved_document__v/V5OZ025E82TFUPI", "Spain - HCP Survey Email - June 2025")</f>
        <v>Spain - HCP Survey Email - June 2025</v>
      </c>
      <c r="C1944" s="3" t="str">
        <f>HYPERLINK("https://otsuka-europe-crm.veevavault.com/ui/#object/sent_email__v/VBLZ025E82GMZ48", "SE-000269034")</f>
        <v>SE-000269034</v>
      </c>
      <c r="D1944" s="1" t="s">
        <v>0</v>
      </c>
      <c r="E1944" s="2">
        <v>0</v>
      </c>
      <c r="F1944" s="2">
        <v>0</v>
      </c>
      <c r="G1944" s="2">
        <v>0</v>
      </c>
      <c r="H1944" s="1" t="s">
        <v>0</v>
      </c>
      <c r="I1944" s="2">
        <v>0</v>
      </c>
      <c r="J1944" s="1">
        <v>45915.378368055557</v>
      </c>
    </row>
    <row r="1945" spans="1:10" x14ac:dyDescent="0.2">
      <c r="A1945" s="4" t="s">
        <v>1</v>
      </c>
      <c r="B1945" s="3" t="str">
        <f>HYPERLINK("https://otsuka-europe-crm.veevavault.com/ui/#object/approved_document__v/V5OZ025E82TFUPI", "Spain - HCP Survey Email - June 2025")</f>
        <v>Spain - HCP Survey Email - June 2025</v>
      </c>
      <c r="C1945" s="3" t="str">
        <f>HYPERLINK("https://otsuka-europe-crm.veevavault.com/ui/#object/sent_email__v/VBLZ025E82GMZ4A", "SE-000269036")</f>
        <v>SE-000269036</v>
      </c>
      <c r="D1945" s="1">
        <v>45917.546273148146</v>
      </c>
      <c r="E1945" s="2">
        <v>1</v>
      </c>
      <c r="F1945" s="2">
        <v>3</v>
      </c>
      <c r="G1945" s="2">
        <v>1</v>
      </c>
      <c r="H1945" s="1">
        <v>45917.546400462961</v>
      </c>
      <c r="I1945" s="2">
        <v>1</v>
      </c>
      <c r="J1945" s="1">
        <v>45915.378981481481</v>
      </c>
    </row>
    <row r="1946" spans="1:10" x14ac:dyDescent="0.2">
      <c r="A1946" s="4" t="s">
        <v>1</v>
      </c>
      <c r="B1946" s="3" t="str">
        <f>HYPERLINK("https://otsuka-europe-crm.veevavault.com/ui/#object/approved_document__v/V5OZ025E82TFUPI", "Spain - HCP Survey Email - June 2025")</f>
        <v>Spain - HCP Survey Email - June 2025</v>
      </c>
      <c r="C1946" s="3" t="str">
        <f>HYPERLINK("https://otsuka-europe-crm.veevavault.com/ui/#object/sent_email__v/VBLZ025E82GMZ4B", "SE-000269037")</f>
        <v>SE-000269037</v>
      </c>
      <c r="D1946" s="1" t="s">
        <v>0</v>
      </c>
      <c r="E1946" s="2">
        <v>0</v>
      </c>
      <c r="F1946" s="2">
        <v>0</v>
      </c>
      <c r="G1946" s="2">
        <v>0</v>
      </c>
      <c r="H1946" s="1" t="s">
        <v>0</v>
      </c>
      <c r="I1946" s="2">
        <v>0</v>
      </c>
      <c r="J1946" s="1">
        <v>45915.379594907405</v>
      </c>
    </row>
    <row r="1947" spans="1:10" x14ac:dyDescent="0.2">
      <c r="A1947" s="4" t="s">
        <v>1</v>
      </c>
      <c r="B1947" s="3" t="str">
        <f>HYPERLINK("https://otsuka-europe-crm.veevavault.com/ui/#object/approved_document__v/V5OZ025E82TFUPI", "Spain - HCP Survey Email - June 2025")</f>
        <v>Spain - HCP Survey Email - June 2025</v>
      </c>
      <c r="C1947" s="3" t="str">
        <f>HYPERLINK("https://otsuka-europe-crm.veevavault.com/ui/#object/sent_email__v/VBLZ025E82GMZ4C", "SE-000269038")</f>
        <v>SE-000269038</v>
      </c>
      <c r="D1947" s="1">
        <v>45915.416701388887</v>
      </c>
      <c r="E1947" s="2">
        <v>1</v>
      </c>
      <c r="F1947" s="2">
        <v>2</v>
      </c>
      <c r="G1947" s="2">
        <v>1</v>
      </c>
      <c r="H1947" s="1">
        <v>45915.417025462964</v>
      </c>
      <c r="I1947" s="2">
        <v>2</v>
      </c>
      <c r="J1947" s="1">
        <v>45915.379374999997</v>
      </c>
    </row>
    <row r="1948" spans="1:10" x14ac:dyDescent="0.2">
      <c r="A1948" s="4" t="s">
        <v>1</v>
      </c>
      <c r="B1948" s="3" t="str">
        <f>HYPERLINK("https://otsuka-europe-crm.veevavault.com/ui/#object/approved_document__v/V5OZ025E82TFUPI", "Spain - HCP Survey Email - June 2025")</f>
        <v>Spain - HCP Survey Email - June 2025</v>
      </c>
      <c r="C1948" s="3" t="str">
        <f>HYPERLINK("https://otsuka-europe-crm.veevavault.com/ui/#object/sent_email__v/VBLZ025E82GMZ4D", "SE-000269039")</f>
        <v>SE-000269039</v>
      </c>
      <c r="D1948" s="1" t="s">
        <v>0</v>
      </c>
      <c r="E1948" s="2">
        <v>0</v>
      </c>
      <c r="F1948" s="2">
        <v>0</v>
      </c>
      <c r="G1948" s="2">
        <v>0</v>
      </c>
      <c r="H1948" s="1" t="s">
        <v>0</v>
      </c>
      <c r="I1948" s="2">
        <v>0</v>
      </c>
      <c r="J1948" s="1">
        <v>45915.377430555556</v>
      </c>
    </row>
    <row r="1949" spans="1:10" x14ac:dyDescent="0.2">
      <c r="A1949" s="4" t="s">
        <v>1</v>
      </c>
      <c r="B1949" s="3" t="str">
        <f>HYPERLINK("https://otsuka-europe-crm.veevavault.com/ui/#object/approved_document__v/V5OZ025E82TFUPI", "Spain - HCP Survey Email - June 2025")</f>
        <v>Spain - HCP Survey Email - June 2025</v>
      </c>
      <c r="C1949" s="3" t="str">
        <f>HYPERLINK("https://otsuka-europe-crm.veevavault.com/ui/#object/sent_email__v/VBLZ025E82GMZ4E", "SE-000269040")</f>
        <v>SE-000269040</v>
      </c>
      <c r="D1949" s="1">
        <v>45916.672951388886</v>
      </c>
      <c r="E1949" s="2">
        <v>1</v>
      </c>
      <c r="F1949" s="2">
        <v>1</v>
      </c>
      <c r="G1949" s="2">
        <v>0</v>
      </c>
      <c r="H1949" s="1" t="s">
        <v>0</v>
      </c>
      <c r="I1949" s="2">
        <v>0</v>
      </c>
      <c r="J1949" s="1">
        <v>45915.378275462965</v>
      </c>
    </row>
    <row r="1950" spans="1:10" x14ac:dyDescent="0.2">
      <c r="A1950" s="4" t="s">
        <v>1</v>
      </c>
      <c r="B1950" s="3" t="str">
        <f>HYPERLINK("https://otsuka-europe-crm.veevavault.com/ui/#object/approved_document__v/V5OZ025E82TFUPI", "Spain - HCP Survey Email - June 2025")</f>
        <v>Spain - HCP Survey Email - June 2025</v>
      </c>
      <c r="C1950" s="3" t="str">
        <f>HYPERLINK("https://otsuka-europe-crm.veevavault.com/ui/#object/sent_email__v/VBLZ025E82GMZ4F", "SE-000269041")</f>
        <v>SE-000269041</v>
      </c>
      <c r="D1950" s="1" t="s">
        <v>0</v>
      </c>
      <c r="E1950" s="2">
        <v>0</v>
      </c>
      <c r="F1950" s="2">
        <v>0</v>
      </c>
      <c r="G1950" s="2">
        <v>0</v>
      </c>
      <c r="H1950" s="1" t="s">
        <v>0</v>
      </c>
      <c r="I1950" s="2">
        <v>0</v>
      </c>
      <c r="J1950" s="1">
        <v>45915.378888888888</v>
      </c>
    </row>
    <row r="1951" spans="1:10" x14ac:dyDescent="0.2">
      <c r="A1951" s="4" t="s">
        <v>1</v>
      </c>
      <c r="B1951" s="3" t="str">
        <f>HYPERLINK("https://otsuka-europe-crm.veevavault.com/ui/#object/approved_document__v/V5OZ025E82TFUPI", "Spain - HCP Survey Email - June 2025")</f>
        <v>Spain - HCP Survey Email - June 2025</v>
      </c>
      <c r="C1951" s="3" t="str">
        <f>HYPERLINK("https://otsuka-europe-crm.veevavault.com/ui/#object/sent_email__v/VBLZ025E82GMZ4G", "SE-000269042")</f>
        <v>SE-000269042</v>
      </c>
      <c r="D1951" s="1" t="s">
        <v>0</v>
      </c>
      <c r="E1951" s="2">
        <v>0</v>
      </c>
      <c r="F1951" s="2">
        <v>0</v>
      </c>
      <c r="G1951" s="2">
        <v>0</v>
      </c>
      <c r="H1951" s="1" t="s">
        <v>0</v>
      </c>
      <c r="I1951" s="2">
        <v>0</v>
      </c>
      <c r="J1951" s="1">
        <v>45915.378738425927</v>
      </c>
    </row>
    <row r="1952" spans="1:10" x14ac:dyDescent="0.2">
      <c r="A1952" s="4" t="s">
        <v>1</v>
      </c>
      <c r="B1952" s="3" t="str">
        <f>HYPERLINK("https://otsuka-europe-crm.veevavault.com/ui/#object/approved_document__v/V5OZ025E82TFUPI", "Spain - HCP Survey Email - June 2025")</f>
        <v>Spain - HCP Survey Email - June 2025</v>
      </c>
      <c r="C1952" s="3" t="str">
        <f>HYPERLINK("https://otsuka-europe-crm.veevavault.com/ui/#object/sent_email__v/VBLZ025E82GMZ4H", "SE-000269043")</f>
        <v>SE-000269043</v>
      </c>
      <c r="D1952" s="1">
        <v>45928.953136574077</v>
      </c>
      <c r="E1952" s="2">
        <v>1</v>
      </c>
      <c r="F1952" s="2">
        <v>3</v>
      </c>
      <c r="G1952" s="2">
        <v>0</v>
      </c>
      <c r="H1952" s="1" t="s">
        <v>0</v>
      </c>
      <c r="I1952" s="2">
        <v>0</v>
      </c>
      <c r="J1952" s="1">
        <v>45915.379270833335</v>
      </c>
    </row>
    <row r="1953" spans="1:10" x14ac:dyDescent="0.2">
      <c r="A1953" s="4" t="s">
        <v>1</v>
      </c>
      <c r="B1953" s="3" t="str">
        <f>HYPERLINK("https://otsuka-europe-crm.veevavault.com/ui/#object/approved_document__v/V5OZ025E82TFUPI", "Spain - HCP Survey Email - June 2025")</f>
        <v>Spain - HCP Survey Email - June 2025</v>
      </c>
      <c r="C1953" s="3" t="str">
        <f>HYPERLINK("https://otsuka-europe-crm.veevavault.com/ui/#object/sent_email__v/VBLZ025E82GMZ4I", "SE-000269044")</f>
        <v>SE-000269044</v>
      </c>
      <c r="D1953" s="1">
        <v>45915.378969907404</v>
      </c>
      <c r="E1953" s="2">
        <v>1</v>
      </c>
      <c r="F1953" s="2">
        <v>2</v>
      </c>
      <c r="G1953" s="2">
        <v>0</v>
      </c>
      <c r="H1953" s="1" t="s">
        <v>0</v>
      </c>
      <c r="I1953" s="2">
        <v>0</v>
      </c>
      <c r="J1953" s="1">
        <v>45915.377858796295</v>
      </c>
    </row>
    <row r="1954" spans="1:10" x14ac:dyDescent="0.2">
      <c r="A1954" s="4" t="s">
        <v>1</v>
      </c>
      <c r="B1954" s="3" t="str">
        <f>HYPERLINK("https://otsuka-europe-crm.veevavault.com/ui/#object/approved_document__v/V5OZ025E82TFUPI", "Spain - HCP Survey Email - June 2025")</f>
        <v>Spain - HCP Survey Email - June 2025</v>
      </c>
      <c r="C1954" s="3" t="str">
        <f>HYPERLINK("https://otsuka-europe-crm.veevavault.com/ui/#object/sent_email__v/VBLZ025E82GMZ4K", "SE-000269046")</f>
        <v>SE-000269046</v>
      </c>
      <c r="D1954" s="1">
        <v>45916.711192129631</v>
      </c>
      <c r="E1954" s="2">
        <v>1</v>
      </c>
      <c r="F1954" s="2">
        <v>1</v>
      </c>
      <c r="G1954" s="2">
        <v>1</v>
      </c>
      <c r="H1954" s="1">
        <v>45916.711354166669</v>
      </c>
      <c r="I1954" s="2">
        <v>1</v>
      </c>
      <c r="J1954" s="1">
        <v>45915.378101851849</v>
      </c>
    </row>
    <row r="1955" spans="1:10" x14ac:dyDescent="0.2">
      <c r="A1955" s="4" t="s">
        <v>1</v>
      </c>
      <c r="B1955" s="3" t="str">
        <f>HYPERLINK("https://otsuka-europe-crm.veevavault.com/ui/#object/approved_document__v/V5OZ025E82TFUPI", "Spain - HCP Survey Email - June 2025")</f>
        <v>Spain - HCP Survey Email - June 2025</v>
      </c>
      <c r="C1955" s="3" t="str">
        <f>HYPERLINK("https://otsuka-europe-crm.veevavault.com/ui/#object/sent_email__v/VBLZ025E82GMZ4L", "SE-000269047")</f>
        <v>SE-000269047</v>
      </c>
      <c r="D1955" s="1">
        <v>45927.995393518519</v>
      </c>
      <c r="E1955" s="2">
        <v>1</v>
      </c>
      <c r="F1955" s="2">
        <v>2</v>
      </c>
      <c r="G1955" s="2">
        <v>0</v>
      </c>
      <c r="H1955" s="1" t="s">
        <v>0</v>
      </c>
      <c r="I1955" s="2">
        <v>0</v>
      </c>
      <c r="J1955" s="1">
        <v>45915.379016203704</v>
      </c>
    </row>
    <row r="1956" spans="1:10" x14ac:dyDescent="0.2">
      <c r="A1956" s="4" t="s">
        <v>1</v>
      </c>
      <c r="B1956" s="3" t="str">
        <f>HYPERLINK("https://otsuka-europe-crm.veevavault.com/ui/#object/approved_document__v/V5OZ025E82TFUPI", "Spain - HCP Survey Email - June 2025")</f>
        <v>Spain - HCP Survey Email - June 2025</v>
      </c>
      <c r="C1956" s="3" t="str">
        <f>HYPERLINK("https://otsuka-europe-crm.veevavault.com/ui/#object/sent_email__v/VBLZ025E82GMZ4M", "SE-000269048")</f>
        <v>SE-000269048</v>
      </c>
      <c r="D1956" s="1">
        <v>45941.122789351852</v>
      </c>
      <c r="E1956" s="2">
        <v>1</v>
      </c>
      <c r="F1956" s="2">
        <v>1</v>
      </c>
      <c r="G1956" s="2">
        <v>0</v>
      </c>
      <c r="H1956" s="1" t="s">
        <v>0</v>
      </c>
      <c r="I1956" s="2">
        <v>0</v>
      </c>
      <c r="J1956" s="1">
        <v>45915.379641203705</v>
      </c>
    </row>
    <row r="1957" spans="1:10" x14ac:dyDescent="0.2">
      <c r="A1957" s="4" t="s">
        <v>1</v>
      </c>
      <c r="B1957" s="3" t="str">
        <f>HYPERLINK("https://otsuka-europe-crm.veevavault.com/ui/#object/approved_document__v/V5OZ025E82TFUPI", "Spain - HCP Survey Email - June 2025")</f>
        <v>Spain - HCP Survey Email - June 2025</v>
      </c>
      <c r="C1957" s="3" t="str">
        <f>HYPERLINK("https://otsuka-europe-crm.veevavault.com/ui/#object/sent_email__v/VBLZ025E82GMZ4N", "SE-000269049")</f>
        <v>SE-000269049</v>
      </c>
      <c r="D1957" s="1">
        <v>45922.624849537038</v>
      </c>
      <c r="E1957" s="2">
        <v>1</v>
      </c>
      <c r="F1957" s="2">
        <v>2</v>
      </c>
      <c r="G1957" s="2">
        <v>0</v>
      </c>
      <c r="H1957" s="1" t="s">
        <v>0</v>
      </c>
      <c r="I1957" s="2">
        <v>0</v>
      </c>
      <c r="J1957" s="1">
        <v>45915.379351851851</v>
      </c>
    </row>
    <row r="1958" spans="1:10" x14ac:dyDescent="0.2">
      <c r="A1958" s="4" t="s">
        <v>1</v>
      </c>
      <c r="B1958" s="3" t="str">
        <f>HYPERLINK("https://otsuka-europe-crm.veevavault.com/ui/#object/approved_document__v/V5OZ025E82TFUPI", "Spain - HCP Survey Email - June 2025")</f>
        <v>Spain - HCP Survey Email - June 2025</v>
      </c>
      <c r="C1958" s="3" t="str">
        <f>HYPERLINK("https://otsuka-europe-crm.veevavault.com/ui/#object/sent_email__v/VBLZ025E82GMZ4O", "SE-000269050")</f>
        <v>SE-000269050</v>
      </c>
      <c r="D1958" s="1" t="s">
        <v>0</v>
      </c>
      <c r="E1958" s="2">
        <v>0</v>
      </c>
      <c r="F1958" s="2">
        <v>0</v>
      </c>
      <c r="G1958" s="2">
        <v>0</v>
      </c>
      <c r="H1958" s="1" t="s">
        <v>0</v>
      </c>
      <c r="I1958" s="2">
        <v>0</v>
      </c>
      <c r="J1958" s="1">
        <v>45915.378171296295</v>
      </c>
    </row>
    <row r="1959" spans="1:10" x14ac:dyDescent="0.2">
      <c r="A1959" s="4" t="s">
        <v>1</v>
      </c>
      <c r="B1959" s="3" t="str">
        <f>HYPERLINK("https://otsuka-europe-crm.veevavault.com/ui/#object/approved_document__v/V5OZ025E82TFUPI", "Spain - HCP Survey Email - June 2025")</f>
        <v>Spain - HCP Survey Email - June 2025</v>
      </c>
      <c r="C1959" s="3" t="str">
        <f>HYPERLINK("https://otsuka-europe-crm.veevavault.com/ui/#object/sent_email__v/VBLZ025E82GMZ4P", "SE-000269051")</f>
        <v>SE-000269051</v>
      </c>
      <c r="D1959" s="1">
        <v>45918.300555555557</v>
      </c>
      <c r="E1959" s="2">
        <v>1</v>
      </c>
      <c r="F1959" s="2">
        <v>1</v>
      </c>
      <c r="G1959" s="2">
        <v>0</v>
      </c>
      <c r="H1959" s="1" t="s">
        <v>0</v>
      </c>
      <c r="I1959" s="2">
        <v>0</v>
      </c>
      <c r="J1959" s="1">
        <v>45915.378067129626</v>
      </c>
    </row>
    <row r="1960" spans="1:10" x14ac:dyDescent="0.2">
      <c r="A1960" s="4" t="s">
        <v>1</v>
      </c>
      <c r="B1960" s="3" t="str">
        <f>HYPERLINK("https://otsuka-europe-crm.veevavault.com/ui/#object/approved_document__v/V5OZ025E82TFUPI", "Spain - HCP Survey Email - June 2025")</f>
        <v>Spain - HCP Survey Email - June 2025</v>
      </c>
      <c r="C1960" s="3" t="str">
        <f>HYPERLINK("https://otsuka-europe-crm.veevavault.com/ui/#object/sent_email__v/VBLZ025E82GMZ4Q", "SE-000269052")</f>
        <v>SE-000269052</v>
      </c>
      <c r="D1960" s="1">
        <v>45943.843726851854</v>
      </c>
      <c r="E1960" s="2">
        <v>1</v>
      </c>
      <c r="F1960" s="2">
        <v>2</v>
      </c>
      <c r="G1960" s="2">
        <v>0</v>
      </c>
      <c r="H1960" s="1" t="s">
        <v>0</v>
      </c>
      <c r="I1960" s="2">
        <v>0</v>
      </c>
      <c r="J1960" s="1">
        <v>45915.378981481481</v>
      </c>
    </row>
    <row r="1961" spans="1:10" x14ac:dyDescent="0.2">
      <c r="A1961" s="4" t="s">
        <v>1</v>
      </c>
      <c r="B1961" s="3" t="str">
        <f>HYPERLINK("https://otsuka-europe-crm.veevavault.com/ui/#object/approved_document__v/V5OZ025E82TFUPI", "Spain - HCP Survey Email - June 2025")</f>
        <v>Spain - HCP Survey Email - June 2025</v>
      </c>
      <c r="C1961" s="3" t="str">
        <f>HYPERLINK("https://otsuka-europe-crm.veevavault.com/ui/#object/sent_email__v/VBLZ025E82GMZ4R", "SE-000269053")</f>
        <v>SE-000269053</v>
      </c>
      <c r="D1961" s="1" t="s">
        <v>0</v>
      </c>
      <c r="E1961" s="2">
        <v>0</v>
      </c>
      <c r="F1961" s="2">
        <v>0</v>
      </c>
      <c r="G1961" s="2">
        <v>0</v>
      </c>
      <c r="H1961" s="1" t="s">
        <v>0</v>
      </c>
      <c r="I1961" s="2">
        <v>0</v>
      </c>
      <c r="J1961" s="1">
        <v>45915.379641203705</v>
      </c>
    </row>
    <row r="1962" spans="1:10" x14ac:dyDescent="0.2">
      <c r="A1962" s="4" t="s">
        <v>1</v>
      </c>
      <c r="B1962" s="3" t="str">
        <f>HYPERLINK("https://otsuka-europe-crm.veevavault.com/ui/#object/approved_document__v/V5OZ025E82TFUPI", "Spain - HCP Survey Email - June 2025")</f>
        <v>Spain - HCP Survey Email - June 2025</v>
      </c>
      <c r="C1962" s="3" t="str">
        <f>HYPERLINK("https://otsuka-europe-crm.veevavault.com/ui/#object/sent_email__v/VBLZ025E82GMZ4S", "SE-000269054")</f>
        <v>SE-000269054</v>
      </c>
      <c r="D1962" s="1">
        <v>45915.437673611108</v>
      </c>
      <c r="E1962" s="2">
        <v>1</v>
      </c>
      <c r="F1962" s="2">
        <v>1</v>
      </c>
      <c r="G1962" s="2">
        <v>0</v>
      </c>
      <c r="H1962" s="1" t="s">
        <v>0</v>
      </c>
      <c r="I1962" s="2">
        <v>0</v>
      </c>
      <c r="J1962" s="1">
        <v>45915.379479166666</v>
      </c>
    </row>
    <row r="1963" spans="1:10" x14ac:dyDescent="0.2">
      <c r="A1963" s="4" t="s">
        <v>1</v>
      </c>
      <c r="B1963" s="3" t="str">
        <f>HYPERLINK("https://otsuka-europe-crm.veevavault.com/ui/#object/approved_document__v/V5OZ025E82TFUPI", "Spain - HCP Survey Email - June 2025")</f>
        <v>Spain - HCP Survey Email - June 2025</v>
      </c>
      <c r="C1963" s="3" t="str">
        <f>HYPERLINK("https://otsuka-europe-crm.veevavault.com/ui/#object/sent_email__v/VBLZ025E82GMZ4T", "SE-000269055")</f>
        <v>SE-000269055</v>
      </c>
      <c r="D1963" s="1" t="s">
        <v>0</v>
      </c>
      <c r="E1963" s="2">
        <v>0</v>
      </c>
      <c r="F1963" s="2">
        <v>0</v>
      </c>
      <c r="G1963" s="2">
        <v>0</v>
      </c>
      <c r="H1963" s="1" t="s">
        <v>0</v>
      </c>
      <c r="I1963" s="2">
        <v>0</v>
      </c>
      <c r="J1963" s="1">
        <v>45915.377546296295</v>
      </c>
    </row>
    <row r="1964" spans="1:10" x14ac:dyDescent="0.2">
      <c r="A1964" s="4" t="s">
        <v>1</v>
      </c>
      <c r="B1964" s="3" t="str">
        <f>HYPERLINK("https://otsuka-europe-crm.veevavault.com/ui/#object/approved_document__v/V5OZ025E82TFUPI", "Spain - HCP Survey Email - June 2025")</f>
        <v>Spain - HCP Survey Email - June 2025</v>
      </c>
      <c r="C1964" s="3" t="str">
        <f>HYPERLINK("https://otsuka-europe-crm.veevavault.com/ui/#object/sent_email__v/VBLZ025E82GMZ4U", "SE-000269056")</f>
        <v>SE-000269056</v>
      </c>
      <c r="D1964" s="1" t="s">
        <v>0</v>
      </c>
      <c r="E1964" s="2">
        <v>0</v>
      </c>
      <c r="F1964" s="2">
        <v>0</v>
      </c>
      <c r="G1964" s="2">
        <v>0</v>
      </c>
      <c r="H1964" s="1" t="s">
        <v>0</v>
      </c>
      <c r="I1964" s="2">
        <v>0</v>
      </c>
      <c r="J1964" s="1">
        <v>45915.378506944442</v>
      </c>
    </row>
    <row r="1965" spans="1:10" x14ac:dyDescent="0.2">
      <c r="A1965" s="4" t="s">
        <v>1</v>
      </c>
      <c r="B1965" s="3" t="str">
        <f>HYPERLINK("https://otsuka-europe-crm.veevavault.com/ui/#object/approved_document__v/V5OZ025E82TFUPI", "Spain - HCP Survey Email - June 2025")</f>
        <v>Spain - HCP Survey Email - June 2025</v>
      </c>
      <c r="C1965" s="3" t="str">
        <f>HYPERLINK("https://otsuka-europe-crm.veevavault.com/ui/#object/sent_email__v/VBLZ025E82GMZ4V", "SE-000269057")</f>
        <v>SE-000269057</v>
      </c>
      <c r="D1965" s="1">
        <v>45915.933923611112</v>
      </c>
      <c r="E1965" s="2">
        <v>1</v>
      </c>
      <c r="F1965" s="2">
        <v>1</v>
      </c>
      <c r="G1965" s="2">
        <v>0</v>
      </c>
      <c r="H1965" s="1" t="s">
        <v>0</v>
      </c>
      <c r="I1965" s="2">
        <v>0</v>
      </c>
      <c r="J1965" s="1">
        <v>45915.378900462965</v>
      </c>
    </row>
    <row r="1966" spans="1:10" x14ac:dyDescent="0.2">
      <c r="A1966" s="4" t="s">
        <v>1</v>
      </c>
      <c r="B1966" s="3" t="str">
        <f>HYPERLINK("https://otsuka-europe-crm.veevavault.com/ui/#object/approved_document__v/V5OZ025E82TFUPI", "Spain - HCP Survey Email - June 2025")</f>
        <v>Spain - HCP Survey Email - June 2025</v>
      </c>
      <c r="C1966" s="3" t="str">
        <f>HYPERLINK("https://otsuka-europe-crm.veevavault.com/ui/#object/sent_email__v/VBLZ025E82GMZ4W", "SE-000269058")</f>
        <v>SE-000269058</v>
      </c>
      <c r="D1966" s="1">
        <v>45918.859490740739</v>
      </c>
      <c r="E1966" s="2">
        <v>1</v>
      </c>
      <c r="F1966" s="2">
        <v>6</v>
      </c>
      <c r="G1966" s="2">
        <v>1</v>
      </c>
      <c r="H1966" s="1">
        <v>45917.793182870373</v>
      </c>
      <c r="I1966" s="2">
        <v>1</v>
      </c>
      <c r="J1966" s="1">
        <v>45915.378703703704</v>
      </c>
    </row>
    <row r="1967" spans="1:10" x14ac:dyDescent="0.2">
      <c r="A1967" s="4" t="s">
        <v>1</v>
      </c>
      <c r="B1967" s="3" t="str">
        <f>HYPERLINK("https://otsuka-europe-crm.veevavault.com/ui/#object/approved_document__v/V5OZ025E82TFUPI", "Spain - HCP Survey Email - June 2025")</f>
        <v>Spain - HCP Survey Email - June 2025</v>
      </c>
      <c r="C1967" s="3" t="str">
        <f>HYPERLINK("https://otsuka-europe-crm.veevavault.com/ui/#object/sent_email__v/VBLZ025E82GMZ4X", "SE-000269059")</f>
        <v>SE-000269059</v>
      </c>
      <c r="D1967" s="1" t="s">
        <v>0</v>
      </c>
      <c r="E1967" s="2">
        <v>0</v>
      </c>
      <c r="F1967" s="2">
        <v>0</v>
      </c>
      <c r="G1967" s="2">
        <v>0</v>
      </c>
      <c r="H1967" s="1" t="s">
        <v>0</v>
      </c>
      <c r="I1967" s="2">
        <v>0</v>
      </c>
      <c r="J1967" s="1">
        <v>45915.379131944443</v>
      </c>
    </row>
    <row r="1968" spans="1:10" x14ac:dyDescent="0.2">
      <c r="A1968" s="4" t="s">
        <v>1</v>
      </c>
      <c r="B1968" s="3" t="str">
        <f>HYPERLINK("https://otsuka-europe-crm.veevavault.com/ui/#object/approved_document__v/V5OZ025E82TFUPI", "Spain - HCP Survey Email - June 2025")</f>
        <v>Spain - HCP Survey Email - June 2025</v>
      </c>
      <c r="C1968" s="3" t="str">
        <f>HYPERLINK("https://otsuka-europe-crm.veevavault.com/ui/#object/sent_email__v/VBLZ025E82GMZ4Y", "SE-000269060")</f>
        <v>SE-000269060</v>
      </c>
      <c r="D1968" s="1" t="s">
        <v>0</v>
      </c>
      <c r="E1968" s="2">
        <v>0</v>
      </c>
      <c r="F1968" s="2">
        <v>0</v>
      </c>
      <c r="G1968" s="2">
        <v>0</v>
      </c>
      <c r="H1968" s="1" t="s">
        <v>0</v>
      </c>
      <c r="I1968" s="2">
        <v>0</v>
      </c>
      <c r="J1968" s="1">
        <v>45915.377858796295</v>
      </c>
    </row>
    <row r="1969" spans="1:10" x14ac:dyDescent="0.2">
      <c r="A1969" s="4" t="s">
        <v>1</v>
      </c>
      <c r="B1969" s="3" t="str">
        <f>HYPERLINK("https://otsuka-europe-crm.veevavault.com/ui/#object/approved_document__v/V5OZ025E82TFUPI", "Spain - HCP Survey Email - June 2025")</f>
        <v>Spain - HCP Survey Email - June 2025</v>
      </c>
      <c r="C1969" s="3" t="str">
        <f>HYPERLINK("https://otsuka-europe-crm.veevavault.com/ui/#object/sent_email__v/VBLZ025E82GMZ4Z", "SE-000269061")</f>
        <v>SE-000269061</v>
      </c>
      <c r="D1969" s="1" t="s">
        <v>0</v>
      </c>
      <c r="E1969" s="2">
        <v>0</v>
      </c>
      <c r="F1969" s="2">
        <v>0</v>
      </c>
      <c r="G1969" s="2">
        <v>0</v>
      </c>
      <c r="H1969" s="1" t="s">
        <v>0</v>
      </c>
      <c r="I1969" s="2">
        <v>0</v>
      </c>
      <c r="J1969" s="1">
        <v>45915.378229166665</v>
      </c>
    </row>
    <row r="1970" spans="1:10" x14ac:dyDescent="0.2">
      <c r="A1970" s="4" t="s">
        <v>1</v>
      </c>
      <c r="B1970" s="3" t="str">
        <f>HYPERLINK("https://otsuka-europe-crm.veevavault.com/ui/#object/approved_document__v/V5OZ025E82TFUPI", "Spain - HCP Survey Email - June 2025")</f>
        <v>Spain - HCP Survey Email - June 2025</v>
      </c>
      <c r="C1970" s="3" t="str">
        <f>HYPERLINK("https://otsuka-europe-crm.veevavault.com/ui/#object/sent_email__v/VBLZ025E82GMZ50", "SE-000269062")</f>
        <v>SE-000269062</v>
      </c>
      <c r="D1970" s="1">
        <v>45915.725231481483</v>
      </c>
      <c r="E1970" s="2">
        <v>1</v>
      </c>
      <c r="F1970" s="2">
        <v>1</v>
      </c>
      <c r="G1970" s="2">
        <v>0</v>
      </c>
      <c r="H1970" s="1" t="s">
        <v>0</v>
      </c>
      <c r="I1970" s="2">
        <v>0</v>
      </c>
      <c r="J1970" s="1">
        <v>45915.377986111111</v>
      </c>
    </row>
    <row r="1971" spans="1:10" x14ac:dyDescent="0.2">
      <c r="A1971" s="4" t="s">
        <v>1</v>
      </c>
      <c r="B1971" s="3" t="str">
        <f>HYPERLINK("https://otsuka-europe-crm.veevavault.com/ui/#object/approved_document__v/V5OZ025E82TFUPI", "Spain - HCP Survey Email - June 2025")</f>
        <v>Spain - HCP Survey Email - June 2025</v>
      </c>
      <c r="C1971" s="3" t="str">
        <f>HYPERLINK("https://otsuka-europe-crm.veevavault.com/ui/#object/sent_email__v/VBLZ025E82GMZ51", "SE-000269063")</f>
        <v>SE-000269063</v>
      </c>
      <c r="D1971" s="1" t="s">
        <v>0</v>
      </c>
      <c r="E1971" s="2">
        <v>0</v>
      </c>
      <c r="F1971" s="2">
        <v>0</v>
      </c>
      <c r="G1971" s="2">
        <v>0</v>
      </c>
      <c r="H1971" s="1" t="s">
        <v>0</v>
      </c>
      <c r="I1971" s="2">
        <v>0</v>
      </c>
      <c r="J1971" s="1">
        <v>45915.379050925927</v>
      </c>
    </row>
    <row r="1972" spans="1:10" x14ac:dyDescent="0.2">
      <c r="A1972" s="4" t="s">
        <v>1</v>
      </c>
      <c r="B1972" s="3" t="str">
        <f>HYPERLINK("https://otsuka-europe-crm.veevavault.com/ui/#object/approved_document__v/V5OZ025E82TFUPI", "Spain - HCP Survey Email - June 2025")</f>
        <v>Spain - HCP Survey Email - June 2025</v>
      </c>
      <c r="C1972" s="3" t="str">
        <f>HYPERLINK("https://otsuka-europe-crm.veevavault.com/ui/#object/sent_email__v/VBLZ025E82GMZ52", "SE-000269064")</f>
        <v>SE-000269064</v>
      </c>
      <c r="D1972" s="1" t="s">
        <v>0</v>
      </c>
      <c r="E1972" s="2">
        <v>0</v>
      </c>
      <c r="F1972" s="2">
        <v>0</v>
      </c>
      <c r="G1972" s="2">
        <v>0</v>
      </c>
      <c r="H1972" s="1" t="s">
        <v>0</v>
      </c>
      <c r="I1972" s="2">
        <v>0</v>
      </c>
      <c r="J1972" s="1">
        <v>45915.379687499997</v>
      </c>
    </row>
    <row r="1973" spans="1:10" x14ac:dyDescent="0.2">
      <c r="A1973" s="4" t="s">
        <v>1</v>
      </c>
      <c r="B1973" s="3" t="str">
        <f>HYPERLINK("https://otsuka-europe-crm.veevavault.com/ui/#object/approved_document__v/V5OZ025E82TFUPI", "Spain - HCP Survey Email - June 2025")</f>
        <v>Spain - HCP Survey Email - June 2025</v>
      </c>
      <c r="C1973" s="3" t="str">
        <f>HYPERLINK("https://otsuka-europe-crm.veevavault.com/ui/#object/sent_email__v/VBLZ025E82GMZ53", "SE-000269065")</f>
        <v>SE-000269065</v>
      </c>
      <c r="D1973" s="1" t="s">
        <v>0</v>
      </c>
      <c r="E1973" s="2">
        <v>0</v>
      </c>
      <c r="F1973" s="2">
        <v>0</v>
      </c>
      <c r="G1973" s="2">
        <v>0</v>
      </c>
      <c r="H1973" s="1" t="s">
        <v>0</v>
      </c>
      <c r="I1973" s="2">
        <v>0</v>
      </c>
      <c r="J1973" s="1">
        <v>45915.379479166666</v>
      </c>
    </row>
    <row r="1974" spans="1:10" x14ac:dyDescent="0.2">
      <c r="A1974" s="4" t="s">
        <v>1</v>
      </c>
      <c r="B1974" s="3" t="str">
        <f>HYPERLINK("https://otsuka-europe-crm.veevavault.com/ui/#object/approved_document__v/V5OZ025E82TFUPI", "Spain - HCP Survey Email - June 2025")</f>
        <v>Spain - HCP Survey Email - June 2025</v>
      </c>
      <c r="C1974" s="3" t="str">
        <f>HYPERLINK("https://otsuka-europe-crm.veevavault.com/ui/#object/sent_email__v/VBLZ025E82GMZ54", "SE-000269066")</f>
        <v>SE-000269066</v>
      </c>
      <c r="D1974" s="1">
        <v>45915.391909722224</v>
      </c>
      <c r="E1974" s="2">
        <v>1</v>
      </c>
      <c r="F1974" s="2">
        <v>2</v>
      </c>
      <c r="G1974" s="2">
        <v>1</v>
      </c>
      <c r="H1974" s="1">
        <v>45915.392106481479</v>
      </c>
      <c r="I1974" s="2">
        <v>1</v>
      </c>
      <c r="J1974" s="1">
        <v>45915.377557870372</v>
      </c>
    </row>
    <row r="1975" spans="1:10" x14ac:dyDescent="0.2">
      <c r="A1975" s="4" t="s">
        <v>1</v>
      </c>
      <c r="B1975" s="3" t="str">
        <f>HYPERLINK("https://otsuka-europe-crm.veevavault.com/ui/#object/approved_document__v/V5OZ025E82TFUPI", "Spain - HCP Survey Email - June 2025")</f>
        <v>Spain - HCP Survey Email - June 2025</v>
      </c>
      <c r="C1975" s="3" t="str">
        <f>HYPERLINK("https://otsuka-europe-crm.veevavault.com/ui/#object/sent_email__v/VBLZ025E82GMZ55", "SE-000269067")</f>
        <v>SE-000269067</v>
      </c>
      <c r="D1975" s="1">
        <v>45915.992048611108</v>
      </c>
      <c r="E1975" s="2">
        <v>1</v>
      </c>
      <c r="F1975" s="2">
        <v>1</v>
      </c>
      <c r="G1975" s="2">
        <v>0</v>
      </c>
      <c r="H1975" s="1" t="s">
        <v>0</v>
      </c>
      <c r="I1975" s="2">
        <v>0</v>
      </c>
      <c r="J1975" s="1">
        <v>45915.378587962965</v>
      </c>
    </row>
    <row r="1976" spans="1:10" x14ac:dyDescent="0.2">
      <c r="A1976" s="4" t="s">
        <v>1</v>
      </c>
      <c r="B1976" s="3" t="str">
        <f>HYPERLINK("https://otsuka-europe-crm.veevavault.com/ui/#object/approved_document__v/V5OZ025E82TFUPI", "Spain - HCP Survey Email - June 2025")</f>
        <v>Spain - HCP Survey Email - June 2025</v>
      </c>
      <c r="C1976" s="3" t="str">
        <f>HYPERLINK("https://otsuka-europe-crm.veevavault.com/ui/#object/sent_email__v/VBLZ025E82GMZ56", "SE-000269068")</f>
        <v>SE-000269068</v>
      </c>
      <c r="D1976" s="1">
        <v>45916.25577546296</v>
      </c>
      <c r="E1976" s="2">
        <v>1</v>
      </c>
      <c r="F1976" s="2">
        <v>2</v>
      </c>
      <c r="G1976" s="2">
        <v>1</v>
      </c>
      <c r="H1976" s="1">
        <v>45916.256053240744</v>
      </c>
      <c r="I1976" s="2">
        <v>1</v>
      </c>
      <c r="J1976" s="1">
        <v>45915.378877314812</v>
      </c>
    </row>
    <row r="1977" spans="1:10" x14ac:dyDescent="0.2">
      <c r="A1977" s="4" t="s">
        <v>1</v>
      </c>
      <c r="B1977" s="3" t="str">
        <f>HYPERLINK("https://otsuka-europe-crm.veevavault.com/ui/#object/approved_document__v/V5OZ025E82TFUPI", "Spain - HCP Survey Email - June 2025")</f>
        <v>Spain - HCP Survey Email - June 2025</v>
      </c>
      <c r="C1977" s="3" t="str">
        <f>HYPERLINK("https://otsuka-europe-crm.veevavault.com/ui/#object/sent_email__v/VBLZ025E82GMZ57", "SE-000269069")</f>
        <v>SE-000269069</v>
      </c>
      <c r="D1977" s="1">
        <v>45915.378761574073</v>
      </c>
      <c r="E1977" s="2">
        <v>1</v>
      </c>
      <c r="F1977" s="2">
        <v>1</v>
      </c>
      <c r="G1977" s="2">
        <v>0</v>
      </c>
      <c r="H1977" s="1" t="s">
        <v>0</v>
      </c>
      <c r="I1977" s="2">
        <v>0</v>
      </c>
      <c r="J1977" s="1">
        <v>45915.378692129627</v>
      </c>
    </row>
    <row r="1978" spans="1:10" x14ac:dyDescent="0.2">
      <c r="A1978" s="4" t="s">
        <v>1</v>
      </c>
      <c r="B1978" s="3" t="str">
        <f>HYPERLINK("https://otsuka-europe-crm.veevavault.com/ui/#object/approved_document__v/V5OZ025E82TFUPI", "Spain - HCP Survey Email - June 2025")</f>
        <v>Spain - HCP Survey Email - June 2025</v>
      </c>
      <c r="C1978" s="3" t="str">
        <f>HYPERLINK("https://otsuka-europe-crm.veevavault.com/ui/#object/sent_email__v/VBLZ025E82GMZ58", "SE-000269070")</f>
        <v>SE-000269070</v>
      </c>
      <c r="D1978" s="1">
        <v>45915.688622685186</v>
      </c>
      <c r="E1978" s="2">
        <v>1</v>
      </c>
      <c r="F1978" s="2">
        <v>2</v>
      </c>
      <c r="G1978" s="2">
        <v>0</v>
      </c>
      <c r="H1978" s="1" t="s">
        <v>0</v>
      </c>
      <c r="I1978" s="2">
        <v>0</v>
      </c>
      <c r="J1978" s="1">
        <v>45915.379074074073</v>
      </c>
    </row>
    <row r="1979" spans="1:10" x14ac:dyDescent="0.2">
      <c r="A1979" s="4" t="s">
        <v>1</v>
      </c>
      <c r="B1979" s="3" t="str">
        <f>HYPERLINK("https://otsuka-europe-crm.veevavault.com/ui/#object/approved_document__v/V5OZ025E82TFUPI", "Spain - HCP Survey Email - June 2025")</f>
        <v>Spain - HCP Survey Email - June 2025</v>
      </c>
      <c r="C1979" s="3" t="str">
        <f>HYPERLINK("https://otsuka-europe-crm.veevavault.com/ui/#object/sent_email__v/VBLZ025E82GMZ59", "SE-000269071")</f>
        <v>SE-000269071</v>
      </c>
      <c r="D1979" s="1">
        <v>45915.615393518521</v>
      </c>
      <c r="E1979" s="2">
        <v>1</v>
      </c>
      <c r="F1979" s="2">
        <v>1</v>
      </c>
      <c r="G1979" s="2">
        <v>0</v>
      </c>
      <c r="H1979" s="1" t="s">
        <v>0</v>
      </c>
      <c r="I1979" s="2">
        <v>0</v>
      </c>
      <c r="J1979" s="1">
        <v>45915.377800925926</v>
      </c>
    </row>
    <row r="1980" spans="1:10" x14ac:dyDescent="0.2">
      <c r="A1980" s="4" t="s">
        <v>1</v>
      </c>
      <c r="B1980" s="3" t="str">
        <f>HYPERLINK("https://otsuka-europe-crm.veevavault.com/ui/#object/approved_document__v/V5OZ025E82TFUPI", "Spain - HCP Survey Email - June 2025")</f>
        <v>Spain - HCP Survey Email - June 2025</v>
      </c>
      <c r="C1980" s="3" t="str">
        <f>HYPERLINK("https://otsuka-europe-crm.veevavault.com/ui/#object/sent_email__v/VBLZ025E82GMZ5B", "SE-000269073")</f>
        <v>SE-000269073</v>
      </c>
      <c r="D1980" s="1" t="s">
        <v>0</v>
      </c>
      <c r="E1980" s="2">
        <v>0</v>
      </c>
      <c r="F1980" s="2">
        <v>0</v>
      </c>
      <c r="G1980" s="2">
        <v>0</v>
      </c>
      <c r="H1980" s="1" t="s">
        <v>0</v>
      </c>
      <c r="I1980" s="2">
        <v>0</v>
      </c>
      <c r="J1980" s="1">
        <v>45915.377951388888</v>
      </c>
    </row>
    <row r="1981" spans="1:10" x14ac:dyDescent="0.2">
      <c r="A1981" s="4" t="s">
        <v>1</v>
      </c>
      <c r="B1981" s="3" t="str">
        <f>HYPERLINK("https://otsuka-europe-crm.veevavault.com/ui/#object/approved_document__v/V5OZ025E82TFUPI", "Spain - HCP Survey Email - June 2025")</f>
        <v>Spain - HCP Survey Email - June 2025</v>
      </c>
      <c r="C1981" s="3" t="str">
        <f>HYPERLINK("https://otsuka-europe-crm.veevavault.com/ui/#object/sent_email__v/VBLZ025E82GMZ5C", "SE-000269074")</f>
        <v>SE-000269074</v>
      </c>
      <c r="D1981" s="1" t="s">
        <v>0</v>
      </c>
      <c r="E1981" s="2">
        <v>0</v>
      </c>
      <c r="F1981" s="2">
        <v>0</v>
      </c>
      <c r="G1981" s="2">
        <v>0</v>
      </c>
      <c r="H1981" s="1" t="s">
        <v>0</v>
      </c>
      <c r="I1981" s="2">
        <v>0</v>
      </c>
      <c r="J1981" s="1">
        <v>45915.378969907404</v>
      </c>
    </row>
    <row r="1982" spans="1:10" x14ac:dyDescent="0.2">
      <c r="A1982" s="4" t="s">
        <v>1</v>
      </c>
      <c r="B1982" s="3" t="str">
        <f>HYPERLINK("https://otsuka-europe-crm.veevavault.com/ui/#object/approved_document__v/V5OZ025E82TFUPI", "Spain - HCP Survey Email - June 2025")</f>
        <v>Spain - HCP Survey Email - June 2025</v>
      </c>
      <c r="C1982" s="3" t="str">
        <f>HYPERLINK("https://otsuka-europe-crm.veevavault.com/ui/#object/sent_email__v/VBLZ025E82GMZ5D", "SE-000269075")</f>
        <v>SE-000269075</v>
      </c>
      <c r="D1982" s="1">
        <v>45915.383125</v>
      </c>
      <c r="E1982" s="2">
        <v>1</v>
      </c>
      <c r="F1982" s="2">
        <v>2</v>
      </c>
      <c r="G1982" s="2">
        <v>1</v>
      </c>
      <c r="H1982" s="1">
        <v>45915.383391203701</v>
      </c>
      <c r="I1982" s="2">
        <v>1</v>
      </c>
      <c r="J1982" s="1">
        <v>45915.379803240743</v>
      </c>
    </row>
    <row r="1983" spans="1:10" x14ac:dyDescent="0.2">
      <c r="A1983" s="4" t="s">
        <v>1</v>
      </c>
      <c r="B1983" s="3" t="str">
        <f>HYPERLINK("https://otsuka-europe-crm.veevavault.com/ui/#object/approved_document__v/V5OZ025E82TFUPI", "Spain - HCP Survey Email - June 2025")</f>
        <v>Spain - HCP Survey Email - June 2025</v>
      </c>
      <c r="C1983" s="3" t="str">
        <f>HYPERLINK("https://otsuka-europe-crm.veevavault.com/ui/#object/sent_email__v/VBLZ025E82GMZ5E", "SE-000269076")</f>
        <v>SE-000269076</v>
      </c>
      <c r="D1983" s="1" t="s">
        <v>0</v>
      </c>
      <c r="E1983" s="2">
        <v>0</v>
      </c>
      <c r="F1983" s="2">
        <v>0</v>
      </c>
      <c r="G1983" s="2">
        <v>0</v>
      </c>
      <c r="H1983" s="1" t="s">
        <v>0</v>
      </c>
      <c r="I1983" s="2">
        <v>0</v>
      </c>
      <c r="J1983" s="1">
        <v>45915.379328703704</v>
      </c>
    </row>
    <row r="1984" spans="1:10" x14ac:dyDescent="0.2">
      <c r="A1984" s="4" t="s">
        <v>1</v>
      </c>
      <c r="B1984" s="3" t="str">
        <f>HYPERLINK("https://otsuka-europe-crm.veevavault.com/ui/#object/approved_document__v/V5OZ025E82TFUPI", "Spain - HCP Survey Email - June 2025")</f>
        <v>Spain - HCP Survey Email - June 2025</v>
      </c>
      <c r="C1984" s="3" t="str">
        <f>HYPERLINK("https://otsuka-europe-crm.veevavault.com/ui/#object/sent_email__v/VBLZ025E82GMZ5F", "SE-000269077")</f>
        <v>SE-000269077</v>
      </c>
      <c r="D1984" s="1">
        <v>45915.661597222221</v>
      </c>
      <c r="E1984" s="2">
        <v>1</v>
      </c>
      <c r="F1984" s="2">
        <v>1</v>
      </c>
      <c r="G1984" s="2">
        <v>0</v>
      </c>
      <c r="H1984" s="1" t="s">
        <v>0</v>
      </c>
      <c r="I1984" s="2">
        <v>0</v>
      </c>
      <c r="J1984" s="1">
        <v>45915.377395833333</v>
      </c>
    </row>
    <row r="1985" spans="1:10" x14ac:dyDescent="0.2">
      <c r="A1985" s="4" t="s">
        <v>1</v>
      </c>
      <c r="B1985" s="3" t="str">
        <f>HYPERLINK("https://otsuka-europe-crm.veevavault.com/ui/#object/approved_document__v/V5OZ025E82TFUPI", "Spain - HCP Survey Email - June 2025")</f>
        <v>Spain - HCP Survey Email - June 2025</v>
      </c>
      <c r="C1985" s="3" t="str">
        <f>HYPERLINK("https://otsuka-europe-crm.veevavault.com/ui/#object/sent_email__v/VBLZ025E82GMZ5G", "SE-000269078")</f>
        <v>SE-000269078</v>
      </c>
      <c r="D1985" s="1">
        <v>45922.492928240739</v>
      </c>
      <c r="E1985" s="2">
        <v>1</v>
      </c>
      <c r="F1985" s="2">
        <v>2</v>
      </c>
      <c r="G1985" s="2">
        <v>0</v>
      </c>
      <c r="H1985" s="1" t="s">
        <v>0</v>
      </c>
      <c r="I1985" s="2">
        <v>0</v>
      </c>
      <c r="J1985" s="1">
        <v>45915.378379629627</v>
      </c>
    </row>
    <row r="1986" spans="1:10" x14ac:dyDescent="0.2">
      <c r="A1986" s="4" t="s">
        <v>1</v>
      </c>
      <c r="B1986" s="3" t="str">
        <f>HYPERLINK("https://otsuka-europe-crm.veevavault.com/ui/#object/approved_document__v/V5OZ025E82TFUPI", "Spain - HCP Survey Email - June 2025")</f>
        <v>Spain - HCP Survey Email - June 2025</v>
      </c>
      <c r="C1986" s="3" t="str">
        <f>HYPERLINK("https://otsuka-europe-crm.veevavault.com/ui/#object/sent_email__v/VBLZ025E82GMZ5H", "SE-000269079")</f>
        <v>SE-000269079</v>
      </c>
      <c r="D1986" s="1">
        <v>45915.392094907409</v>
      </c>
      <c r="E1986" s="2">
        <v>1</v>
      </c>
      <c r="F1986" s="2">
        <v>1</v>
      </c>
      <c r="G1986" s="2">
        <v>0</v>
      </c>
      <c r="H1986" s="1" t="s">
        <v>0</v>
      </c>
      <c r="I1986" s="2">
        <v>0</v>
      </c>
      <c r="J1986" s="1">
        <v>45915.378958333335</v>
      </c>
    </row>
    <row r="1987" spans="1:10" x14ac:dyDescent="0.2">
      <c r="A1987" s="4" t="s">
        <v>1</v>
      </c>
      <c r="B1987" s="3" t="str">
        <f>HYPERLINK("https://otsuka-europe-crm.veevavault.com/ui/#object/approved_document__v/V5OZ025E82TFUPI", "Spain - HCP Survey Email - June 2025")</f>
        <v>Spain - HCP Survey Email - June 2025</v>
      </c>
      <c r="C1987" s="3" t="str">
        <f>HYPERLINK("https://otsuka-europe-crm.veevavault.com/ui/#object/sent_email__v/VBLZ025E82GMZ5I", "SE-000269080")</f>
        <v>SE-000269080</v>
      </c>
      <c r="D1987" s="1" t="s">
        <v>0</v>
      </c>
      <c r="E1987" s="2">
        <v>0</v>
      </c>
      <c r="F1987" s="2">
        <v>0</v>
      </c>
      <c r="G1987" s="2">
        <v>0</v>
      </c>
      <c r="H1987" s="1" t="s">
        <v>0</v>
      </c>
      <c r="I1987" s="2">
        <v>0</v>
      </c>
      <c r="J1987" s="1">
        <v>45915.378750000003</v>
      </c>
    </row>
    <row r="1988" spans="1:10" x14ac:dyDescent="0.2">
      <c r="A1988" s="4" t="s">
        <v>1</v>
      </c>
      <c r="B1988" s="3" t="str">
        <f>HYPERLINK("https://otsuka-europe-crm.veevavault.com/ui/#object/approved_document__v/V5OZ025E82TFUPI", "Spain - HCP Survey Email - June 2025")</f>
        <v>Spain - HCP Survey Email - June 2025</v>
      </c>
      <c r="C1988" s="3" t="str">
        <f>HYPERLINK("https://otsuka-europe-crm.veevavault.com/ui/#object/sent_email__v/VBLZ025E82GMZ5J", "SE-000269081")</f>
        <v>SE-000269081</v>
      </c>
      <c r="D1988" s="1" t="s">
        <v>0</v>
      </c>
      <c r="E1988" s="2">
        <v>0</v>
      </c>
      <c r="F1988" s="2">
        <v>0</v>
      </c>
      <c r="G1988" s="2">
        <v>0</v>
      </c>
      <c r="H1988" s="1" t="s">
        <v>0</v>
      </c>
      <c r="I1988" s="2">
        <v>0</v>
      </c>
      <c r="J1988" s="1">
        <v>45915.379317129627</v>
      </c>
    </row>
    <row r="1989" spans="1:10" x14ac:dyDescent="0.2">
      <c r="A1989" s="4" t="s">
        <v>1</v>
      </c>
      <c r="B1989" s="3" t="str">
        <f>HYPERLINK("https://otsuka-europe-crm.veevavault.com/ui/#object/approved_document__v/V5OZ025E82TFUPI", "Spain - HCP Survey Email - June 2025")</f>
        <v>Spain - HCP Survey Email - June 2025</v>
      </c>
      <c r="C1989" s="3" t="str">
        <f>HYPERLINK("https://otsuka-europe-crm.veevavault.com/ui/#object/sent_email__v/VBLZ025E82GMZ5K", "SE-000269082")</f>
        <v>SE-000269082</v>
      </c>
      <c r="D1989" s="1" t="s">
        <v>0</v>
      </c>
      <c r="E1989" s="2">
        <v>0</v>
      </c>
      <c r="F1989" s="2">
        <v>0</v>
      </c>
      <c r="G1989" s="2">
        <v>0</v>
      </c>
      <c r="H1989" s="1" t="s">
        <v>0</v>
      </c>
      <c r="I1989" s="2">
        <v>0</v>
      </c>
      <c r="J1989" s="1">
        <v>45915.377858796295</v>
      </c>
    </row>
    <row r="1990" spans="1:10" x14ac:dyDescent="0.2">
      <c r="A1990" s="4" t="s">
        <v>1</v>
      </c>
      <c r="B1990" s="3" t="str">
        <f>HYPERLINK("https://otsuka-europe-crm.veevavault.com/ui/#object/approved_document__v/V5OZ025E82TFUPI", "Spain - HCP Survey Email - June 2025")</f>
        <v>Spain - HCP Survey Email - June 2025</v>
      </c>
      <c r="C1990" s="3" t="str">
        <f>HYPERLINK("https://otsuka-europe-crm.veevavault.com/ui/#object/sent_email__v/VBLZ025E82GMZ5L", "SE-000269083")</f>
        <v>SE-000269083</v>
      </c>
      <c r="D1990" s="1" t="s">
        <v>0</v>
      </c>
      <c r="E1990" s="2">
        <v>0</v>
      </c>
      <c r="F1990" s="2">
        <v>0</v>
      </c>
      <c r="G1990" s="2">
        <v>0</v>
      </c>
      <c r="H1990" s="1" t="s">
        <v>0</v>
      </c>
      <c r="I1990" s="2">
        <v>0</v>
      </c>
      <c r="J1990" s="1">
        <v>45915.378321759257</v>
      </c>
    </row>
    <row r="1991" spans="1:10" x14ac:dyDescent="0.2">
      <c r="A1991" s="4" t="s">
        <v>1</v>
      </c>
      <c r="B1991" s="3" t="str">
        <f>HYPERLINK("https://otsuka-europe-crm.veevavault.com/ui/#object/approved_document__v/V5OZ025E82TFUPI", "Spain - HCP Survey Email - June 2025")</f>
        <v>Spain - HCP Survey Email - June 2025</v>
      </c>
      <c r="C1991" s="3" t="str">
        <f>HYPERLINK("https://otsuka-europe-crm.veevavault.com/ui/#object/sent_email__v/VBLZ025E82GMZ5M", "SE-000269084")</f>
        <v>SE-000269084</v>
      </c>
      <c r="D1991" s="1">
        <v>45915.385405092595</v>
      </c>
      <c r="E1991" s="2">
        <v>1</v>
      </c>
      <c r="F1991" s="2">
        <v>1</v>
      </c>
      <c r="G1991" s="2">
        <v>1</v>
      </c>
      <c r="H1991" s="1">
        <v>45915.38548611111</v>
      </c>
      <c r="I1991" s="2">
        <v>1</v>
      </c>
      <c r="J1991" s="1">
        <v>45915.378125000003</v>
      </c>
    </row>
    <row r="1992" spans="1:10" x14ac:dyDescent="0.2">
      <c r="A1992" s="4" t="s">
        <v>1</v>
      </c>
      <c r="B1992" s="3" t="str">
        <f>HYPERLINK("https://otsuka-europe-crm.veevavault.com/ui/#object/approved_document__v/V5OZ025E82TFUPI", "Spain - HCP Survey Email - June 2025")</f>
        <v>Spain - HCP Survey Email - June 2025</v>
      </c>
      <c r="C1992" s="3" t="str">
        <f>HYPERLINK("https://otsuka-europe-crm.veevavault.com/ui/#object/sent_email__v/VBLZ025E82GMZ5N", "SE-000269085")</f>
        <v>SE-000269085</v>
      </c>
      <c r="D1992" s="1" t="s">
        <v>0</v>
      </c>
      <c r="E1992" s="2">
        <v>0</v>
      </c>
      <c r="F1992" s="2">
        <v>0</v>
      </c>
      <c r="G1992" s="2">
        <v>0</v>
      </c>
      <c r="H1992" s="1" t="s">
        <v>0</v>
      </c>
      <c r="I1992" s="2">
        <v>0</v>
      </c>
      <c r="J1992" s="1">
        <v>45915.378993055558</v>
      </c>
    </row>
    <row r="1993" spans="1:10" x14ac:dyDescent="0.2">
      <c r="A1993" s="4" t="s">
        <v>1</v>
      </c>
      <c r="B1993" s="3" t="str">
        <f>HYPERLINK("https://otsuka-europe-crm.veevavault.com/ui/#object/approved_document__v/V5OZ025E82TFUPI", "Spain - HCP Survey Email - June 2025")</f>
        <v>Spain - HCP Survey Email - June 2025</v>
      </c>
      <c r="C1993" s="3" t="str">
        <f>HYPERLINK("https://otsuka-europe-crm.veevavault.com/ui/#object/sent_email__v/VBLZ025E82GMZ5O", "SE-000269086")</f>
        <v>SE-000269086</v>
      </c>
      <c r="D1993" s="1" t="s">
        <v>0</v>
      </c>
      <c r="E1993" s="2">
        <v>0</v>
      </c>
      <c r="F1993" s="2">
        <v>0</v>
      </c>
      <c r="G1993" s="2">
        <v>0</v>
      </c>
      <c r="H1993" s="1" t="s">
        <v>0</v>
      </c>
      <c r="I1993" s="2">
        <v>0</v>
      </c>
      <c r="J1993" s="1">
        <v>45915.377824074072</v>
      </c>
    </row>
    <row r="1994" spans="1:10" x14ac:dyDescent="0.2">
      <c r="A1994" s="4" t="s">
        <v>1</v>
      </c>
      <c r="B1994" s="3" t="str">
        <f>HYPERLINK("https://otsuka-europe-crm.veevavault.com/ui/#object/approved_document__v/V5OZ025E82TFUPI", "Spain - HCP Survey Email - June 2025")</f>
        <v>Spain - HCP Survey Email - June 2025</v>
      </c>
      <c r="C1994" s="3" t="str">
        <f>HYPERLINK("https://otsuka-europe-crm.veevavault.com/ui/#object/sent_email__v/VBLZ025E82GMZ5P", "SE-000269087")</f>
        <v>SE-000269087</v>
      </c>
      <c r="D1994" s="1" t="s">
        <v>0</v>
      </c>
      <c r="E1994" s="2">
        <v>0</v>
      </c>
      <c r="F1994" s="2">
        <v>0</v>
      </c>
      <c r="G1994" s="2">
        <v>0</v>
      </c>
      <c r="H1994" s="1" t="s">
        <v>0</v>
      </c>
      <c r="I1994" s="2">
        <v>0</v>
      </c>
      <c r="J1994" s="1">
        <v>45915.378275462965</v>
      </c>
    </row>
    <row r="1995" spans="1:10" x14ac:dyDescent="0.2">
      <c r="A1995" s="4" t="s">
        <v>1</v>
      </c>
      <c r="B1995" s="3" t="str">
        <f>HYPERLINK("https://otsuka-europe-crm.veevavault.com/ui/#object/approved_document__v/V5OZ025E82TFUPI", "Spain - HCP Survey Email - June 2025")</f>
        <v>Spain - HCP Survey Email - June 2025</v>
      </c>
      <c r="C1995" s="3" t="str">
        <f>HYPERLINK("https://otsuka-europe-crm.veevavault.com/ui/#object/sent_email__v/VBLZ025E82GMZ5Q", "SE-000269088")</f>
        <v>SE-000269088</v>
      </c>
      <c r="D1995" s="1" t="s">
        <v>0</v>
      </c>
      <c r="E1995" s="2">
        <v>0</v>
      </c>
      <c r="F1995" s="2">
        <v>0</v>
      </c>
      <c r="G1995" s="2">
        <v>0</v>
      </c>
      <c r="H1995" s="1" t="s">
        <v>0</v>
      </c>
      <c r="I1995" s="2">
        <v>0</v>
      </c>
      <c r="J1995" s="1">
        <v>45915.377997685187</v>
      </c>
    </row>
    <row r="1996" spans="1:10" x14ac:dyDescent="0.2">
      <c r="A1996" s="4" t="s">
        <v>1</v>
      </c>
      <c r="B1996" s="3" t="str">
        <f>HYPERLINK("https://otsuka-europe-crm.veevavault.com/ui/#object/approved_document__v/V5OZ025E82TFUPI", "Spain - HCP Survey Email - June 2025")</f>
        <v>Spain - HCP Survey Email - June 2025</v>
      </c>
      <c r="C1996" s="3" t="str">
        <f>HYPERLINK("https://otsuka-europe-crm.veevavault.com/ui/#object/sent_email__v/VBLZ025E82GMZ5R", "SE-000269089")</f>
        <v>SE-000269089</v>
      </c>
      <c r="D1996" s="1">
        <v>45916.009189814817</v>
      </c>
      <c r="E1996" s="2">
        <v>1</v>
      </c>
      <c r="F1996" s="2">
        <v>1</v>
      </c>
      <c r="G1996" s="2">
        <v>0</v>
      </c>
      <c r="H1996" s="1" t="s">
        <v>0</v>
      </c>
      <c r="I1996" s="2">
        <v>0</v>
      </c>
      <c r="J1996" s="1">
        <v>45915.37903935185</v>
      </c>
    </row>
    <row r="1997" spans="1:10" x14ac:dyDescent="0.2">
      <c r="A1997" s="4" t="s">
        <v>1</v>
      </c>
      <c r="B1997" s="3" t="str">
        <f>HYPERLINK("https://otsuka-europe-crm.veevavault.com/ui/#object/approved_document__v/V5OZ025E82TFUPI", "Spain - HCP Survey Email - June 2025")</f>
        <v>Spain - HCP Survey Email - June 2025</v>
      </c>
      <c r="C1997" s="3" t="str">
        <f>HYPERLINK("https://otsuka-europe-crm.veevavault.com/ui/#object/sent_email__v/VBLZ025E82GMZ5S", "SE-000269090")</f>
        <v>SE-000269090</v>
      </c>
      <c r="D1997" s="1">
        <v>45915.730300925927</v>
      </c>
      <c r="E1997" s="2">
        <v>1</v>
      </c>
      <c r="F1997" s="2">
        <v>2</v>
      </c>
      <c r="G1997" s="2">
        <v>0</v>
      </c>
      <c r="H1997" s="1" t="s">
        <v>0</v>
      </c>
      <c r="I1997" s="2">
        <v>0</v>
      </c>
      <c r="J1997" s="1">
        <v>45915.37976851852</v>
      </c>
    </row>
    <row r="1998" spans="1:10" x14ac:dyDescent="0.2">
      <c r="A1998" s="4" t="s">
        <v>1</v>
      </c>
      <c r="B1998" s="3" t="str">
        <f>HYPERLINK("https://otsuka-europe-crm.veevavault.com/ui/#object/approved_document__v/V5OZ025E82TFUPI", "Spain - HCP Survey Email - June 2025")</f>
        <v>Spain - HCP Survey Email - June 2025</v>
      </c>
      <c r="C1998" s="3" t="str">
        <f>HYPERLINK("https://otsuka-europe-crm.veevavault.com/ui/#object/sent_email__v/VBLZ025E82GMZ5T", "SE-000269091")</f>
        <v>SE-000269091</v>
      </c>
      <c r="D1998" s="1" t="s">
        <v>0</v>
      </c>
      <c r="E1998" s="2">
        <v>0</v>
      </c>
      <c r="F1998" s="2">
        <v>0</v>
      </c>
      <c r="G1998" s="2">
        <v>0</v>
      </c>
      <c r="H1998" s="1" t="s">
        <v>0</v>
      </c>
      <c r="I1998" s="2">
        <v>0</v>
      </c>
      <c r="J1998" s="1">
        <v>45915.379537037035</v>
      </c>
    </row>
    <row r="1999" spans="1:10" x14ac:dyDescent="0.2">
      <c r="A1999" s="4" t="s">
        <v>1</v>
      </c>
      <c r="B1999" s="3" t="str">
        <f>HYPERLINK("https://otsuka-europe-crm.veevavault.com/ui/#object/approved_document__v/V5OZ025E82TFUPI", "Spain - HCP Survey Email - June 2025")</f>
        <v>Spain - HCP Survey Email - June 2025</v>
      </c>
      <c r="C1999" s="3" t="str">
        <f>HYPERLINK("https://otsuka-europe-crm.veevavault.com/ui/#object/sent_email__v/VBLZ025E82GMZ5U", "SE-000269092")</f>
        <v>SE-000269092</v>
      </c>
      <c r="D1999" s="1">
        <v>45915.59884259259</v>
      </c>
      <c r="E1999" s="2">
        <v>1</v>
      </c>
      <c r="F1999" s="2">
        <v>1</v>
      </c>
      <c r="G1999" s="2">
        <v>0</v>
      </c>
      <c r="H1999" s="1" t="s">
        <v>0</v>
      </c>
      <c r="I1999" s="2">
        <v>0</v>
      </c>
      <c r="J1999" s="1">
        <v>45915.377488425926</v>
      </c>
    </row>
    <row r="2000" spans="1:10" x14ac:dyDescent="0.2">
      <c r="A2000" s="4" t="s">
        <v>1</v>
      </c>
      <c r="B2000" s="3" t="str">
        <f>HYPERLINK("https://otsuka-europe-crm.veevavault.com/ui/#object/approved_document__v/V5OZ025E82TFUPI", "Spain - HCP Survey Email - June 2025")</f>
        <v>Spain - HCP Survey Email - June 2025</v>
      </c>
      <c r="C2000" s="3" t="str">
        <f>HYPERLINK("https://otsuka-europe-crm.veevavault.com/ui/#object/sent_email__v/VBLZ025E82GMZ5V", "SE-000269093")</f>
        <v>SE-000269093</v>
      </c>
      <c r="D2000" s="1" t="s">
        <v>0</v>
      </c>
      <c r="E2000" s="2">
        <v>0</v>
      </c>
      <c r="F2000" s="2">
        <v>0</v>
      </c>
      <c r="G2000" s="2">
        <v>0</v>
      </c>
      <c r="H2000" s="1" t="s">
        <v>0</v>
      </c>
      <c r="I2000" s="2">
        <v>0</v>
      </c>
      <c r="J2000" s="1">
        <v>45915.378460648149</v>
      </c>
    </row>
    <row r="2001" spans="1:10" x14ac:dyDescent="0.2">
      <c r="A2001" s="4" t="s">
        <v>1</v>
      </c>
      <c r="B2001" s="3" t="str">
        <f>HYPERLINK("https://otsuka-europe-crm.veevavault.com/ui/#object/approved_document__v/V5OZ025E82TFUPI", "Spain - HCP Survey Email - June 2025")</f>
        <v>Spain - HCP Survey Email - June 2025</v>
      </c>
      <c r="C2001" s="3" t="str">
        <f>HYPERLINK("https://otsuka-europe-crm.veevavault.com/ui/#object/sent_email__v/VBLZ025E82GMZ5W", "SE-000269094")</f>
        <v>SE-000269094</v>
      </c>
      <c r="D2001" s="1" t="s">
        <v>0</v>
      </c>
      <c r="E2001" s="2">
        <v>0</v>
      </c>
      <c r="F2001" s="2">
        <v>0</v>
      </c>
      <c r="G2001" s="2">
        <v>0</v>
      </c>
      <c r="H2001" s="1" t="s">
        <v>0</v>
      </c>
      <c r="I2001" s="2">
        <v>0</v>
      </c>
      <c r="J2001" s="1">
        <v>45915.378831018519</v>
      </c>
    </row>
    <row r="2002" spans="1:10" x14ac:dyDescent="0.2">
      <c r="A2002" s="4" t="s">
        <v>1</v>
      </c>
      <c r="B2002" s="3" t="str">
        <f>HYPERLINK("https://otsuka-europe-crm.veevavault.com/ui/#object/approved_document__v/V5OZ025E82TFUPI", "Spain - HCP Survey Email - June 2025")</f>
        <v>Spain - HCP Survey Email - June 2025</v>
      </c>
      <c r="C2002" s="3" t="str">
        <f>HYPERLINK("https://otsuka-europe-crm.veevavault.com/ui/#object/sent_email__v/VBLZ025E82GMZ5X", "SE-000269095")</f>
        <v>SE-000269095</v>
      </c>
      <c r="D2002" s="1" t="s">
        <v>0</v>
      </c>
      <c r="E2002" s="2">
        <v>0</v>
      </c>
      <c r="F2002" s="2">
        <v>0</v>
      </c>
      <c r="G2002" s="2">
        <v>0</v>
      </c>
      <c r="H2002" s="1" t="s">
        <v>0</v>
      </c>
      <c r="I2002" s="2">
        <v>0</v>
      </c>
      <c r="J2002" s="1">
        <v>45915.378645833334</v>
      </c>
    </row>
    <row r="2003" spans="1:10" x14ac:dyDescent="0.2">
      <c r="A2003" s="4" t="s">
        <v>1</v>
      </c>
      <c r="B2003" s="3" t="str">
        <f>HYPERLINK("https://otsuka-europe-crm.veevavault.com/ui/#object/approved_document__v/V5OZ025E82TFUPI", "Spain - HCP Survey Email - June 2025")</f>
        <v>Spain - HCP Survey Email - June 2025</v>
      </c>
      <c r="C2003" s="3" t="str">
        <f>HYPERLINK("https://otsuka-europe-crm.veevavault.com/ui/#object/sent_email__v/VBLZ025E82GMZ5Y", "SE-000269096")</f>
        <v>SE-000269096</v>
      </c>
      <c r="D2003" s="1">
        <v>45915.704571759263</v>
      </c>
      <c r="E2003" s="2">
        <v>1</v>
      </c>
      <c r="F2003" s="2">
        <v>3</v>
      </c>
      <c r="G2003" s="2">
        <v>0</v>
      </c>
      <c r="H2003" s="1" t="s">
        <v>0</v>
      </c>
      <c r="I2003" s="2">
        <v>0</v>
      </c>
      <c r="J2003" s="1">
        <v>45915.37908564815</v>
      </c>
    </row>
    <row r="2004" spans="1:10" x14ac:dyDescent="0.2">
      <c r="A2004" s="4" t="s">
        <v>1</v>
      </c>
      <c r="B2004" s="3" t="str">
        <f>HYPERLINK("https://otsuka-europe-crm.veevavault.com/ui/#object/approved_document__v/V5OZ025E82TFUPI", "Spain - HCP Survey Email - June 2025")</f>
        <v>Spain - HCP Survey Email - June 2025</v>
      </c>
      <c r="C2004" s="3" t="str">
        <f>HYPERLINK("https://otsuka-europe-crm.veevavault.com/ui/#object/sent_email__v/VBLZ025E82GMZ5Z", "SE-000269097")</f>
        <v>SE-000269097</v>
      </c>
      <c r="D2004" s="1">
        <v>45917.386932870373</v>
      </c>
      <c r="E2004" s="2">
        <v>1</v>
      </c>
      <c r="F2004" s="2">
        <v>3</v>
      </c>
      <c r="G2004" s="2">
        <v>0</v>
      </c>
      <c r="H2004" s="1" t="s">
        <v>0</v>
      </c>
      <c r="I2004" s="2">
        <v>0</v>
      </c>
      <c r="J2004" s="1">
        <v>45915.377881944441</v>
      </c>
    </row>
    <row r="2005" spans="1:10" x14ac:dyDescent="0.2">
      <c r="A2005" s="4" t="s">
        <v>1</v>
      </c>
      <c r="B2005" s="3" t="str">
        <f>HYPERLINK("https://otsuka-europe-crm.veevavault.com/ui/#object/approved_document__v/V5OZ025E82TFUPI", "Spain - HCP Survey Email - June 2025")</f>
        <v>Spain - HCP Survey Email - June 2025</v>
      </c>
      <c r="C2005" s="3" t="str">
        <f>HYPERLINK("https://otsuka-europe-crm.veevavault.com/ui/#object/sent_email__v/VBLZ025E82GMZ60", "SE-000269098")</f>
        <v>SE-000269098</v>
      </c>
      <c r="D2005" s="1" t="s">
        <v>0</v>
      </c>
      <c r="E2005" s="2">
        <v>0</v>
      </c>
      <c r="F2005" s="2">
        <v>0</v>
      </c>
      <c r="G2005" s="2">
        <v>0</v>
      </c>
      <c r="H2005" s="1" t="s">
        <v>0</v>
      </c>
      <c r="I2005" s="2">
        <v>0</v>
      </c>
      <c r="J2005" s="1">
        <v>45915.378217592595</v>
      </c>
    </row>
    <row r="2006" spans="1:10" x14ac:dyDescent="0.2">
      <c r="A2006" s="4" t="s">
        <v>1</v>
      </c>
      <c r="B2006" s="3" t="str">
        <f>HYPERLINK("https://otsuka-europe-crm.veevavault.com/ui/#object/approved_document__v/V5OZ025E82TFUPI", "Spain - HCP Survey Email - June 2025")</f>
        <v>Spain - HCP Survey Email - June 2025</v>
      </c>
      <c r="C2006" s="3" t="str">
        <f>HYPERLINK("https://otsuka-europe-crm.veevavault.com/ui/#object/sent_email__v/VBLZ025E82GMZ62", "SE-000269100")</f>
        <v>SE-000269100</v>
      </c>
      <c r="D2006" s="1">
        <v>45964.576342592591</v>
      </c>
      <c r="E2006" s="2">
        <v>1</v>
      </c>
      <c r="F2006" s="2">
        <v>10</v>
      </c>
      <c r="G2006" s="2">
        <v>0</v>
      </c>
      <c r="H2006" s="1" t="s">
        <v>0</v>
      </c>
      <c r="I2006" s="2">
        <v>0</v>
      </c>
      <c r="J2006" s="1">
        <v>45915.378981481481</v>
      </c>
    </row>
    <row r="2007" spans="1:10" x14ac:dyDescent="0.2">
      <c r="A2007" s="4" t="s">
        <v>1</v>
      </c>
      <c r="B2007" s="3" t="str">
        <f>HYPERLINK("https://otsuka-europe-crm.veevavault.com/ui/#object/approved_document__v/V5OZ025E82TFUPI", "Spain - HCP Survey Email - June 2025")</f>
        <v>Spain - HCP Survey Email - June 2025</v>
      </c>
      <c r="C2007" s="3" t="str">
        <f>HYPERLINK("https://otsuka-europe-crm.veevavault.com/ui/#object/sent_email__v/VBLZ025E82GMZ63", "SE-000269101")</f>
        <v>SE-000269101</v>
      </c>
      <c r="D2007" s="1">
        <v>45931.048715277779</v>
      </c>
      <c r="E2007" s="2">
        <v>1</v>
      </c>
      <c r="F2007" s="2">
        <v>2</v>
      </c>
      <c r="G2007" s="2">
        <v>0</v>
      </c>
      <c r="H2007" s="1" t="s">
        <v>0</v>
      </c>
      <c r="I2007" s="2">
        <v>0</v>
      </c>
      <c r="J2007" s="1">
        <v>45915.379791666666</v>
      </c>
    </row>
    <row r="2008" spans="1:10" x14ac:dyDescent="0.2">
      <c r="A2008" s="4" t="s">
        <v>1</v>
      </c>
      <c r="B2008" s="3" t="str">
        <f>HYPERLINK("https://otsuka-europe-crm.veevavault.com/ui/#object/approved_document__v/V5OZ025E82TFUPI", "Spain - HCP Survey Email - June 2025")</f>
        <v>Spain - HCP Survey Email - June 2025</v>
      </c>
      <c r="C2008" s="3" t="str">
        <f>HYPERLINK("https://otsuka-europe-crm.veevavault.com/ui/#object/sent_email__v/VBLZ025E82GMZ64", "SE-000269102")</f>
        <v>SE-000269102</v>
      </c>
      <c r="D2008" s="1" t="s">
        <v>0</v>
      </c>
      <c r="E2008" s="2">
        <v>0</v>
      </c>
      <c r="F2008" s="2">
        <v>0</v>
      </c>
      <c r="G2008" s="2">
        <v>0</v>
      </c>
      <c r="H2008" s="1" t="s">
        <v>0</v>
      </c>
      <c r="I2008" s="2">
        <v>0</v>
      </c>
      <c r="J2008" s="1">
        <v>45915.379444444443</v>
      </c>
    </row>
    <row r="2009" spans="1:10" x14ac:dyDescent="0.2">
      <c r="A2009" s="4" t="s">
        <v>1</v>
      </c>
      <c r="B2009" s="3" t="str">
        <f>HYPERLINK("https://otsuka-europe-crm.veevavault.com/ui/#object/approved_document__v/V5OZ025E82TFUPI", "Spain - HCP Survey Email - June 2025")</f>
        <v>Spain - HCP Survey Email - June 2025</v>
      </c>
      <c r="C2009" s="3" t="str">
        <f>HYPERLINK("https://otsuka-europe-crm.veevavault.com/ui/#object/sent_email__v/VBLZ025E82GMZ65", "SE-000269103")</f>
        <v>SE-000269103</v>
      </c>
      <c r="D2009" s="1">
        <v>45915.578819444447</v>
      </c>
      <c r="E2009" s="2">
        <v>1</v>
      </c>
      <c r="F2009" s="2">
        <v>1</v>
      </c>
      <c r="G2009" s="2">
        <v>0</v>
      </c>
      <c r="H2009" s="1" t="s">
        <v>0</v>
      </c>
      <c r="I2009" s="2">
        <v>0</v>
      </c>
      <c r="J2009" s="1">
        <v>45915.377557870372</v>
      </c>
    </row>
    <row r="2010" spans="1:10" x14ac:dyDescent="0.2">
      <c r="A2010" s="4" t="s">
        <v>1</v>
      </c>
      <c r="B2010" s="3" t="str">
        <f>HYPERLINK("https://otsuka-europe-crm.veevavault.com/ui/#object/approved_document__v/V5OZ025E82TFUPI", "Spain - HCP Survey Email - June 2025")</f>
        <v>Spain - HCP Survey Email - June 2025</v>
      </c>
      <c r="C2010" s="3" t="str">
        <f>HYPERLINK("https://otsuka-europe-crm.veevavault.com/ui/#object/sent_email__v/VBLZ025E82GMZ66", "SE-000269104")</f>
        <v>SE-000269104</v>
      </c>
      <c r="D2010" s="1" t="s">
        <v>0</v>
      </c>
      <c r="E2010" s="2">
        <v>0</v>
      </c>
      <c r="F2010" s="2">
        <v>0</v>
      </c>
      <c r="G2010" s="2">
        <v>0</v>
      </c>
      <c r="H2010" s="1" t="s">
        <v>0</v>
      </c>
      <c r="I2010" s="2">
        <v>0</v>
      </c>
      <c r="J2010" s="1">
        <v>45915.378495370373</v>
      </c>
    </row>
    <row r="2011" spans="1:10" x14ac:dyDescent="0.2">
      <c r="A2011" s="4" t="s">
        <v>1</v>
      </c>
      <c r="B2011" s="3" t="str">
        <f>HYPERLINK("https://otsuka-europe-crm.veevavault.com/ui/#object/approved_document__v/V5OZ025E82TFUPI", "Spain - HCP Survey Email - June 2025")</f>
        <v>Spain - HCP Survey Email - June 2025</v>
      </c>
      <c r="C2011" s="3" t="str">
        <f>HYPERLINK("https://otsuka-europe-crm.veevavault.com/ui/#object/sent_email__v/VBLZ025E82GMZ67", "SE-000269105")</f>
        <v>SE-000269105</v>
      </c>
      <c r="D2011" s="1" t="s">
        <v>0</v>
      </c>
      <c r="E2011" s="2">
        <v>0</v>
      </c>
      <c r="F2011" s="2">
        <v>0</v>
      </c>
      <c r="G2011" s="2">
        <v>0</v>
      </c>
      <c r="H2011" s="1" t="s">
        <v>0</v>
      </c>
      <c r="I2011" s="2">
        <v>0</v>
      </c>
      <c r="J2011" s="1">
        <v>45915.378842592596</v>
      </c>
    </row>
    <row r="2012" spans="1:10" x14ac:dyDescent="0.2">
      <c r="A2012" s="4" t="s">
        <v>1</v>
      </c>
      <c r="B2012" s="3" t="str">
        <f>HYPERLINK("https://otsuka-europe-crm.veevavault.com/ui/#object/approved_document__v/V5OZ025E82TFUPI", "Spain - HCP Survey Email - June 2025")</f>
        <v>Spain - HCP Survey Email - June 2025</v>
      </c>
      <c r="C2012" s="3" t="str">
        <f>HYPERLINK("https://otsuka-europe-crm.veevavault.com/ui/#object/sent_email__v/VBLZ025E82GMZ68", "SE-000269106")</f>
        <v>SE-000269106</v>
      </c>
      <c r="D2012" s="1">
        <v>45915.625972222224</v>
      </c>
      <c r="E2012" s="2">
        <v>1</v>
      </c>
      <c r="F2012" s="2">
        <v>1</v>
      </c>
      <c r="G2012" s="2">
        <v>0</v>
      </c>
      <c r="H2012" s="1" t="s">
        <v>0</v>
      </c>
      <c r="I2012" s="2">
        <v>0</v>
      </c>
      <c r="J2012" s="1">
        <v>45915.37871527778</v>
      </c>
    </row>
    <row r="2013" spans="1:10" x14ac:dyDescent="0.2">
      <c r="A2013" s="4" t="s">
        <v>1</v>
      </c>
      <c r="B2013" s="3" t="str">
        <f>HYPERLINK("https://otsuka-europe-crm.veevavault.com/ui/#object/approved_document__v/V5OZ025E82TFUPI", "Spain - HCP Survey Email - June 2025")</f>
        <v>Spain - HCP Survey Email - June 2025</v>
      </c>
      <c r="C2013" s="3" t="str">
        <f>HYPERLINK("https://otsuka-europe-crm.veevavault.com/ui/#object/sent_email__v/VBLZ025E82GMZ69", "SE-000269107")</f>
        <v>SE-000269107</v>
      </c>
      <c r="D2013" s="1">
        <v>46034.737962962965</v>
      </c>
      <c r="E2013" s="2">
        <v>1</v>
      </c>
      <c r="F2013" s="2">
        <v>2</v>
      </c>
      <c r="G2013" s="2">
        <v>0</v>
      </c>
      <c r="H2013" s="1" t="s">
        <v>0</v>
      </c>
      <c r="I2013" s="2">
        <v>0</v>
      </c>
      <c r="J2013" s="1">
        <v>45915.37903935185</v>
      </c>
    </row>
    <row r="2014" spans="1:10" x14ac:dyDescent="0.2">
      <c r="A2014" s="4" t="s">
        <v>1</v>
      </c>
      <c r="B2014" s="3" t="str">
        <f>HYPERLINK("https://otsuka-europe-crm.veevavault.com/ui/#object/approved_document__v/V5OZ025E82TFUPI", "Spain - HCP Survey Email - June 2025")</f>
        <v>Spain - HCP Survey Email - June 2025</v>
      </c>
      <c r="C2014" s="3" t="str">
        <f>HYPERLINK("https://otsuka-europe-crm.veevavault.com/ui/#object/sent_email__v/VBLZ025E82GMZ6A", "SE-000269108")</f>
        <v>SE-000269108</v>
      </c>
      <c r="D2014" s="1" t="s">
        <v>0</v>
      </c>
      <c r="E2014" s="2">
        <v>0</v>
      </c>
      <c r="F2014" s="2">
        <v>0</v>
      </c>
      <c r="G2014" s="2">
        <v>0</v>
      </c>
      <c r="H2014" s="1" t="s">
        <v>0</v>
      </c>
      <c r="I2014" s="2">
        <v>0</v>
      </c>
      <c r="J2014" s="1">
        <v>45915.377881944441</v>
      </c>
    </row>
    <row r="2015" spans="1:10" x14ac:dyDescent="0.2">
      <c r="A2015" s="4" t="s">
        <v>1</v>
      </c>
      <c r="B2015" s="3" t="str">
        <f>HYPERLINK("https://otsuka-europe-crm.veevavault.com/ui/#object/approved_document__v/V5OZ025E82TFUPI", "Spain - HCP Survey Email - June 2025")</f>
        <v>Spain - HCP Survey Email - June 2025</v>
      </c>
      <c r="C2015" s="3" t="str">
        <f>HYPERLINK("https://otsuka-europe-crm.veevavault.com/ui/#object/sent_email__v/VBLZ025E82GMZ6B", "SE-000269109")</f>
        <v>SE-000269109</v>
      </c>
      <c r="D2015" s="1" t="s">
        <v>0</v>
      </c>
      <c r="E2015" s="2">
        <v>0</v>
      </c>
      <c r="F2015" s="2">
        <v>0</v>
      </c>
      <c r="G2015" s="2">
        <v>0</v>
      </c>
      <c r="H2015" s="1" t="s">
        <v>0</v>
      </c>
      <c r="I2015" s="2">
        <v>0</v>
      </c>
      <c r="J2015" s="1">
        <v>45915.378344907411</v>
      </c>
    </row>
    <row r="2016" spans="1:10" x14ac:dyDescent="0.2">
      <c r="A2016" s="4" t="s">
        <v>1</v>
      </c>
      <c r="B2016" s="3" t="str">
        <f>HYPERLINK("https://otsuka-europe-crm.veevavault.com/ui/#object/approved_document__v/V5OZ025E82TFUPI", "Spain - HCP Survey Email - June 2025")</f>
        <v>Spain - HCP Survey Email - June 2025</v>
      </c>
      <c r="C2016" s="3" t="str">
        <f>HYPERLINK("https://otsuka-europe-crm.veevavault.com/ui/#object/sent_email__v/VBLZ025E82GMZ6C", "SE-000269110")</f>
        <v>SE-000269110</v>
      </c>
      <c r="D2016" s="1">
        <v>45915.422164351854</v>
      </c>
      <c r="E2016" s="2">
        <v>1</v>
      </c>
      <c r="F2016" s="2">
        <v>1</v>
      </c>
      <c r="G2016" s="2">
        <v>0</v>
      </c>
      <c r="H2016" s="1" t="s">
        <v>0</v>
      </c>
      <c r="I2016" s="2">
        <v>0</v>
      </c>
      <c r="J2016" s="1">
        <v>45915.377962962964</v>
      </c>
    </row>
    <row r="2017" spans="1:10" x14ac:dyDescent="0.2">
      <c r="A2017" s="4" t="s">
        <v>1</v>
      </c>
      <c r="B2017" s="3" t="str">
        <f>HYPERLINK("https://otsuka-europe-crm.veevavault.com/ui/#object/approved_document__v/V5OZ025E82TFUPI", "Spain - HCP Survey Email - June 2025")</f>
        <v>Spain - HCP Survey Email - June 2025</v>
      </c>
      <c r="C2017" s="3" t="str">
        <f>HYPERLINK("https://otsuka-europe-crm.veevavault.com/ui/#object/sent_email__v/VBLZ025E82GMZ6D", "SE-000269111")</f>
        <v>SE-000269111</v>
      </c>
      <c r="D2017" s="1" t="s">
        <v>0</v>
      </c>
      <c r="E2017" s="2">
        <v>0</v>
      </c>
      <c r="F2017" s="2">
        <v>0</v>
      </c>
      <c r="G2017" s="2">
        <v>0</v>
      </c>
      <c r="H2017" s="1" t="s">
        <v>0</v>
      </c>
      <c r="I2017" s="2">
        <v>0</v>
      </c>
      <c r="J2017" s="1">
        <v>45915.379004629627</v>
      </c>
    </row>
    <row r="2018" spans="1:10" x14ac:dyDescent="0.2">
      <c r="A2018" s="4" t="s">
        <v>1</v>
      </c>
      <c r="B2018" s="3" t="str">
        <f>HYPERLINK("https://otsuka-europe-crm.veevavault.com/ui/#object/approved_document__v/V5OZ025E82TFUPI", "Spain - HCP Survey Email - June 2025")</f>
        <v>Spain - HCP Survey Email - June 2025</v>
      </c>
      <c r="C2018" s="3" t="str">
        <f>HYPERLINK("https://otsuka-europe-crm.veevavault.com/ui/#object/sent_email__v/VBLZ025E82GMZ6E", "SE-000269112")</f>
        <v>SE-000269112</v>
      </c>
      <c r="D2018" s="1">
        <v>45920.458298611113</v>
      </c>
      <c r="E2018" s="2">
        <v>1</v>
      </c>
      <c r="F2018" s="2">
        <v>2</v>
      </c>
      <c r="G2018" s="2">
        <v>0</v>
      </c>
      <c r="H2018" s="1" t="s">
        <v>0</v>
      </c>
      <c r="I2018" s="2">
        <v>0</v>
      </c>
      <c r="J2018" s="1">
        <v>45915.37909722222</v>
      </c>
    </row>
    <row r="2019" spans="1:10" x14ac:dyDescent="0.2">
      <c r="A2019" s="4" t="s">
        <v>1</v>
      </c>
      <c r="B2019" s="3" t="str">
        <f>HYPERLINK("https://otsuka-europe-crm.veevavault.com/ui/#object/approved_document__v/V5OZ025E82TFUPI", "Spain - HCP Survey Email - June 2025")</f>
        <v>Spain - HCP Survey Email - June 2025</v>
      </c>
      <c r="C2019" s="3" t="str">
        <f>HYPERLINK("https://otsuka-europe-crm.veevavault.com/ui/#object/sent_email__v/VBLZ025E82GMZ6F", "SE-000269113")</f>
        <v>SE-000269113</v>
      </c>
      <c r="D2019" s="1" t="s">
        <v>0</v>
      </c>
      <c r="E2019" s="2">
        <v>0</v>
      </c>
      <c r="F2019" s="2">
        <v>0</v>
      </c>
      <c r="G2019" s="2">
        <v>0</v>
      </c>
      <c r="H2019" s="1" t="s">
        <v>0</v>
      </c>
      <c r="I2019" s="2">
        <v>0</v>
      </c>
      <c r="J2019" s="1">
        <v>45915.377812500003</v>
      </c>
    </row>
    <row r="2020" spans="1:10" x14ac:dyDescent="0.2">
      <c r="A2020" s="4" t="s">
        <v>1</v>
      </c>
      <c r="B2020" s="3" t="str">
        <f>HYPERLINK("https://otsuka-europe-crm.veevavault.com/ui/#object/approved_document__v/V5OZ025E82TFUPI", "Spain - HCP Survey Email - June 2025")</f>
        <v>Spain - HCP Survey Email - June 2025</v>
      </c>
      <c r="C2020" s="3" t="str">
        <f>HYPERLINK("https://otsuka-europe-crm.veevavault.com/ui/#object/sent_email__v/VBLZ025E82GMZ6G", "SE-000269114")</f>
        <v>SE-000269114</v>
      </c>
      <c r="D2020" s="1">
        <v>45920.527685185189</v>
      </c>
      <c r="E2020" s="2">
        <v>1</v>
      </c>
      <c r="F2020" s="2">
        <v>2</v>
      </c>
      <c r="G2020" s="2">
        <v>0</v>
      </c>
      <c r="H2020" s="1" t="s">
        <v>0</v>
      </c>
      <c r="I2020" s="2">
        <v>0</v>
      </c>
      <c r="J2020" s="1">
        <v>45915.378252314818</v>
      </c>
    </row>
    <row r="2021" spans="1:10" x14ac:dyDescent="0.2">
      <c r="A2021" s="4" t="s">
        <v>1</v>
      </c>
      <c r="B2021" s="3" t="str">
        <f>HYPERLINK("https://otsuka-europe-crm.veevavault.com/ui/#object/approved_document__v/V5OZ025E82TFUPI", "Spain - HCP Survey Email - June 2025")</f>
        <v>Spain - HCP Survey Email - June 2025</v>
      </c>
      <c r="C2021" s="3" t="str">
        <f>HYPERLINK("https://otsuka-europe-crm.veevavault.com/ui/#object/sent_email__v/VBLZ025E82GMZ6H", "SE-000269115")</f>
        <v>SE-000269115</v>
      </c>
      <c r="D2021" s="1" t="s">
        <v>0</v>
      </c>
      <c r="E2021" s="2">
        <v>0</v>
      </c>
      <c r="F2021" s="2">
        <v>0</v>
      </c>
      <c r="G2021" s="2">
        <v>0</v>
      </c>
      <c r="H2021" s="1" t="s">
        <v>0</v>
      </c>
      <c r="I2021" s="2">
        <v>0</v>
      </c>
      <c r="J2021" s="1">
        <v>45915.378020833334</v>
      </c>
    </row>
    <row r="2022" spans="1:10" x14ac:dyDescent="0.2">
      <c r="A2022" s="4" t="s">
        <v>1</v>
      </c>
      <c r="B2022" s="3" t="str">
        <f>HYPERLINK("https://otsuka-europe-crm.veevavault.com/ui/#object/approved_document__v/V5OZ025E82TFUPI", "Spain - HCP Survey Email - June 2025")</f>
        <v>Spain - HCP Survey Email - June 2025</v>
      </c>
      <c r="C2022" s="3" t="str">
        <f>HYPERLINK("https://otsuka-europe-crm.veevavault.com/ui/#object/sent_email__v/VBLZ025E82GMZ6I", "SE-000269116")</f>
        <v>SE-000269116</v>
      </c>
      <c r="D2022" s="1" t="s">
        <v>0</v>
      </c>
      <c r="E2022" s="2">
        <v>0</v>
      </c>
      <c r="F2022" s="2">
        <v>0</v>
      </c>
      <c r="G2022" s="2">
        <v>0</v>
      </c>
      <c r="H2022" s="1" t="s">
        <v>0</v>
      </c>
      <c r="I2022" s="2">
        <v>0</v>
      </c>
      <c r="J2022" s="1">
        <v>45915.378935185188</v>
      </c>
    </row>
    <row r="2023" spans="1:10" x14ac:dyDescent="0.2">
      <c r="A2023" s="4" t="s">
        <v>1</v>
      </c>
      <c r="B2023" s="3" t="str">
        <f>HYPERLINK("https://otsuka-europe-crm.veevavault.com/ui/#object/approved_document__v/V5OZ025E82TFUPI", "Spain - HCP Survey Email - June 2025")</f>
        <v>Spain - HCP Survey Email - June 2025</v>
      </c>
      <c r="C2023" s="3" t="str">
        <f>HYPERLINK("https://otsuka-europe-crm.veevavault.com/ui/#object/sent_email__v/VBLZ025E82GMZ6J", "SE-000269117")</f>
        <v>SE-000269117</v>
      </c>
      <c r="D2023" s="1" t="s">
        <v>0</v>
      </c>
      <c r="E2023" s="2">
        <v>0</v>
      </c>
      <c r="F2023" s="2">
        <v>0</v>
      </c>
      <c r="G2023" s="2">
        <v>0</v>
      </c>
      <c r="H2023" s="1" t="s">
        <v>0</v>
      </c>
      <c r="I2023" s="2">
        <v>0</v>
      </c>
      <c r="J2023" s="1">
        <v>45915.379664351851</v>
      </c>
    </row>
    <row r="2024" spans="1:10" x14ac:dyDescent="0.2">
      <c r="A2024" s="4" t="s">
        <v>1</v>
      </c>
      <c r="B2024" s="3" t="str">
        <f>HYPERLINK("https://otsuka-europe-crm.veevavault.com/ui/#object/approved_document__v/V5OZ025E82TFUPI", "Spain - HCP Survey Email - June 2025")</f>
        <v>Spain - HCP Survey Email - June 2025</v>
      </c>
      <c r="C2024" s="3" t="str">
        <f>HYPERLINK("https://otsuka-europe-crm.veevavault.com/ui/#object/sent_email__v/VBLZ025E82GMZ6K", "SE-000269118")</f>
        <v>SE-000269118</v>
      </c>
      <c r="D2024" s="1">
        <v>45915.879363425927</v>
      </c>
      <c r="E2024" s="2">
        <v>1</v>
      </c>
      <c r="F2024" s="2">
        <v>1</v>
      </c>
      <c r="G2024" s="2">
        <v>0</v>
      </c>
      <c r="H2024" s="1" t="s">
        <v>0</v>
      </c>
      <c r="I2024" s="2">
        <v>0</v>
      </c>
      <c r="J2024" s="1">
        <v>45915.379513888889</v>
      </c>
    </row>
    <row r="2025" spans="1:10" x14ac:dyDescent="0.2">
      <c r="A2025" s="4" t="s">
        <v>1</v>
      </c>
      <c r="B2025" s="3" t="str">
        <f>HYPERLINK("https://otsuka-europe-crm.veevavault.com/ui/#object/approved_document__v/V5OZ025E82TFUPI", "Spain - HCP Survey Email - June 2025")</f>
        <v>Spain - HCP Survey Email - June 2025</v>
      </c>
      <c r="C2025" s="3" t="str">
        <f>HYPERLINK("https://otsuka-europe-crm.veevavault.com/ui/#object/sent_email__v/VBLZ025E82GMZ6L", "SE-000269119")</f>
        <v>SE-000269119</v>
      </c>
      <c r="D2025" s="1" t="s">
        <v>0</v>
      </c>
      <c r="E2025" s="2">
        <v>0</v>
      </c>
      <c r="F2025" s="2">
        <v>0</v>
      </c>
      <c r="G2025" s="2">
        <v>0</v>
      </c>
      <c r="H2025" s="1" t="s">
        <v>0</v>
      </c>
      <c r="I2025" s="2">
        <v>0</v>
      </c>
      <c r="J2025" s="1">
        <v>45915.377569444441</v>
      </c>
    </row>
    <row r="2026" spans="1:10" x14ac:dyDescent="0.2">
      <c r="A2026" s="4" t="s">
        <v>1</v>
      </c>
      <c r="B2026" s="3" t="str">
        <f>HYPERLINK("https://otsuka-europe-crm.veevavault.com/ui/#object/approved_document__v/V5OZ025E82TFUPI", "Spain - HCP Survey Email - June 2025")</f>
        <v>Spain - HCP Survey Email - June 2025</v>
      </c>
      <c r="C2026" s="3" t="str">
        <f>HYPERLINK("https://otsuka-europe-crm.veevavault.com/ui/#object/sent_email__v/VBLZ025E82GMZ6M", "SE-000269120")</f>
        <v>SE-000269120</v>
      </c>
      <c r="D2026" s="1">
        <v>45922.623680555553</v>
      </c>
      <c r="E2026" s="2">
        <v>1</v>
      </c>
      <c r="F2026" s="2">
        <v>2</v>
      </c>
      <c r="G2026" s="2">
        <v>0</v>
      </c>
      <c r="H2026" s="1" t="s">
        <v>0</v>
      </c>
      <c r="I2026" s="2">
        <v>0</v>
      </c>
      <c r="J2026" s="1">
        <v>45915.378379629627</v>
      </c>
    </row>
    <row r="2027" spans="1:10" x14ac:dyDescent="0.2">
      <c r="A2027" s="4" t="s">
        <v>1</v>
      </c>
      <c r="B2027" s="3" t="str">
        <f>HYPERLINK("https://otsuka-europe-crm.veevavault.com/ui/#object/approved_document__v/V5OZ025E82TFUPI", "Spain - HCP Survey Email - June 2025")</f>
        <v>Spain - HCP Survey Email - June 2025</v>
      </c>
      <c r="C2027" s="3" t="str">
        <f>HYPERLINK("https://otsuka-europe-crm.veevavault.com/ui/#object/sent_email__v/VBLZ025E82GMZ6N", "SE-000269121")</f>
        <v>SE-000269121</v>
      </c>
      <c r="D2027" s="1">
        <v>45915.965486111112</v>
      </c>
      <c r="E2027" s="2">
        <v>1</v>
      </c>
      <c r="F2027" s="2">
        <v>1</v>
      </c>
      <c r="G2027" s="2">
        <v>0</v>
      </c>
      <c r="H2027" s="1" t="s">
        <v>0</v>
      </c>
      <c r="I2027" s="2">
        <v>0</v>
      </c>
      <c r="J2027" s="1">
        <v>45915.378877314812</v>
      </c>
    </row>
    <row r="2028" spans="1:10" x14ac:dyDescent="0.2">
      <c r="A2028" s="4" t="s">
        <v>1</v>
      </c>
      <c r="B2028" s="3" t="str">
        <f>HYPERLINK("https://otsuka-europe-crm.veevavault.com/ui/#object/approved_document__v/V5OZ025E82TFUPI", "Spain - HCP Survey Email - June 2025")</f>
        <v>Spain - HCP Survey Email - June 2025</v>
      </c>
      <c r="C2028" s="3" t="str">
        <f>HYPERLINK("https://otsuka-europe-crm.veevavault.com/ui/#object/sent_email__v/VBLZ025E82GMZ6O", "SE-000269122")</f>
        <v>SE-000269122</v>
      </c>
      <c r="D2028" s="1">
        <v>45917.856342592589</v>
      </c>
      <c r="E2028" s="2">
        <v>1</v>
      </c>
      <c r="F2028" s="2">
        <v>1</v>
      </c>
      <c r="G2028" s="2">
        <v>0</v>
      </c>
      <c r="H2028" s="1" t="s">
        <v>0</v>
      </c>
      <c r="I2028" s="2">
        <v>0</v>
      </c>
      <c r="J2028" s="1">
        <v>45915.378680555557</v>
      </c>
    </row>
    <row r="2029" spans="1:10" x14ac:dyDescent="0.2">
      <c r="A2029" s="4" t="s">
        <v>1</v>
      </c>
      <c r="B2029" s="3" t="str">
        <f>HYPERLINK("https://otsuka-europe-crm.veevavault.com/ui/#object/approved_document__v/V5OZ025E82TFUPI", "Spain - HCP Survey Email - June 2025")</f>
        <v>Spain - HCP Survey Email - June 2025</v>
      </c>
      <c r="C2029" s="3" t="str">
        <f>HYPERLINK("https://otsuka-europe-crm.veevavault.com/ui/#object/sent_email__v/VBLZ025E82GMZ6P", "SE-000269123")</f>
        <v>SE-000269123</v>
      </c>
      <c r="D2029" s="1" t="s">
        <v>0</v>
      </c>
      <c r="E2029" s="2">
        <v>0</v>
      </c>
      <c r="F2029" s="2">
        <v>0</v>
      </c>
      <c r="G2029" s="2">
        <v>0</v>
      </c>
      <c r="H2029" s="1" t="s">
        <v>0</v>
      </c>
      <c r="I2029" s="2">
        <v>0</v>
      </c>
      <c r="J2029" s="1">
        <v>45915.379155092596</v>
      </c>
    </row>
    <row r="2030" spans="1:10" x14ac:dyDescent="0.2">
      <c r="A2030" s="4" t="s">
        <v>1</v>
      </c>
      <c r="B2030" s="3" t="str">
        <f>HYPERLINK("https://otsuka-europe-crm.veevavault.com/ui/#object/approved_document__v/V5OZ025E82TFUPI", "Spain - HCP Survey Email - June 2025")</f>
        <v>Spain - HCP Survey Email - June 2025</v>
      </c>
      <c r="C2030" s="3" t="str">
        <f>HYPERLINK("https://otsuka-europe-crm.veevavault.com/ui/#object/sent_email__v/VBLZ025E82GMZ6Q", "SE-000269124")</f>
        <v>SE-000269124</v>
      </c>
      <c r="D2030" s="1" t="s">
        <v>0</v>
      </c>
      <c r="E2030" s="2">
        <v>0</v>
      </c>
      <c r="F2030" s="2">
        <v>0</v>
      </c>
      <c r="G2030" s="2">
        <v>0</v>
      </c>
      <c r="H2030" s="1" t="s">
        <v>0</v>
      </c>
      <c r="I2030" s="2">
        <v>0</v>
      </c>
      <c r="J2030" s="1">
        <v>45915.377824074072</v>
      </c>
    </row>
    <row r="2031" spans="1:10" x14ac:dyDescent="0.2">
      <c r="A2031" s="4" t="s">
        <v>1</v>
      </c>
      <c r="B2031" s="3" t="str">
        <f>HYPERLINK("https://otsuka-europe-crm.veevavault.com/ui/#object/approved_document__v/V5OZ025E82TFUPI", "Spain - HCP Survey Email - June 2025")</f>
        <v>Spain - HCP Survey Email - June 2025</v>
      </c>
      <c r="C2031" s="3" t="str">
        <f>HYPERLINK("https://otsuka-europe-crm.veevavault.com/ui/#object/sent_email__v/VBLZ025E82GMZ6R", "SE-000269125")</f>
        <v>SE-000269125</v>
      </c>
      <c r="D2031" s="1" t="s">
        <v>0</v>
      </c>
      <c r="E2031" s="2">
        <v>0</v>
      </c>
      <c r="F2031" s="2">
        <v>0</v>
      </c>
      <c r="G2031" s="2">
        <v>0</v>
      </c>
      <c r="H2031" s="1" t="s">
        <v>0</v>
      </c>
      <c r="I2031" s="2">
        <v>0</v>
      </c>
      <c r="J2031" s="1">
        <v>45915.378240740742</v>
      </c>
    </row>
    <row r="2032" spans="1:10" x14ac:dyDescent="0.2">
      <c r="A2032" s="4" t="s">
        <v>1</v>
      </c>
      <c r="B2032" s="3" t="str">
        <f>HYPERLINK("https://otsuka-europe-crm.veevavault.com/ui/#object/approved_document__v/V5OZ025E82TFUPI", "Spain - HCP Survey Email - June 2025")</f>
        <v>Spain - HCP Survey Email - June 2025</v>
      </c>
      <c r="C2032" s="3" t="str">
        <f>HYPERLINK("https://otsuka-europe-crm.veevavault.com/ui/#object/sent_email__v/VBLZ025E82GMZ6S", "SE-000269126")</f>
        <v>SE-000269126</v>
      </c>
      <c r="D2032" s="1">
        <v>45922.931435185186</v>
      </c>
      <c r="E2032" s="2">
        <v>1</v>
      </c>
      <c r="F2032" s="2">
        <v>4</v>
      </c>
      <c r="G2032" s="2">
        <v>0</v>
      </c>
      <c r="H2032" s="1" t="s">
        <v>0</v>
      </c>
      <c r="I2032" s="2">
        <v>0</v>
      </c>
      <c r="J2032" s="1">
        <v>45915.378032407411</v>
      </c>
    </row>
    <row r="2033" spans="1:10" x14ac:dyDescent="0.2">
      <c r="A2033" s="4" t="s">
        <v>1</v>
      </c>
      <c r="B2033" s="3" t="str">
        <f>HYPERLINK("https://otsuka-europe-crm.veevavault.com/ui/#object/approved_document__v/V5OZ025E82TFUPI", "Spain - HCP Survey Email - June 2025")</f>
        <v>Spain - HCP Survey Email - June 2025</v>
      </c>
      <c r="C2033" s="3" t="str">
        <f>HYPERLINK("https://otsuka-europe-crm.veevavault.com/ui/#object/sent_email__v/VBLZ025E82GMZ6T", "SE-000269127")</f>
        <v>SE-000269127</v>
      </c>
      <c r="D2033" s="1">
        <v>45935.109444444446</v>
      </c>
      <c r="E2033" s="2">
        <v>1</v>
      </c>
      <c r="F2033" s="2">
        <v>2</v>
      </c>
      <c r="G2033" s="2">
        <v>0</v>
      </c>
      <c r="H2033" s="1" t="s">
        <v>0</v>
      </c>
      <c r="I2033" s="2">
        <v>0</v>
      </c>
      <c r="J2033" s="1">
        <v>45915.378923611112</v>
      </c>
    </row>
    <row r="2034" spans="1:10" x14ac:dyDescent="0.2">
      <c r="A2034" s="4" t="s">
        <v>1</v>
      </c>
      <c r="B2034" s="3" t="str">
        <f>HYPERLINK("https://otsuka-europe-crm.veevavault.com/ui/#object/approved_document__v/V5OZ025E82TFUPI", "Spain - HCP Survey Email - June 2025")</f>
        <v>Spain - HCP Survey Email - June 2025</v>
      </c>
      <c r="C2034" s="3" t="str">
        <f>HYPERLINK("https://otsuka-europe-crm.veevavault.com/ui/#object/sent_email__v/VBLZ025E82GMZ6U", "SE-000269128")</f>
        <v>SE-000269128</v>
      </c>
      <c r="D2034" s="1">
        <v>45915.380289351851</v>
      </c>
      <c r="E2034" s="2">
        <v>1</v>
      </c>
      <c r="F2034" s="2">
        <v>1</v>
      </c>
      <c r="G2034" s="2">
        <v>1</v>
      </c>
      <c r="H2034" s="1">
        <v>45915.380532407406</v>
      </c>
      <c r="I2034" s="2">
        <v>2</v>
      </c>
      <c r="J2034" s="1">
        <v>45915.379756944443</v>
      </c>
    </row>
    <row r="2035" spans="1:10" x14ac:dyDescent="0.2">
      <c r="A2035" s="4" t="s">
        <v>1</v>
      </c>
      <c r="B2035" s="3" t="str">
        <f>HYPERLINK("https://otsuka-europe-crm.veevavault.com/ui/#object/approved_document__v/V5OZ025E82TFUPI", "Spain - HCP Survey Email - June 2025")</f>
        <v>Spain - HCP Survey Email - June 2025</v>
      </c>
      <c r="C2035" s="3" t="str">
        <f>HYPERLINK("https://otsuka-europe-crm.veevavault.com/ui/#object/sent_email__v/VBLZ025E82GMZ6V", "SE-000269129")</f>
        <v>SE-000269129</v>
      </c>
      <c r="D2035" s="1">
        <v>45917.899467592593</v>
      </c>
      <c r="E2035" s="2">
        <v>1</v>
      </c>
      <c r="F2035" s="2">
        <v>2</v>
      </c>
      <c r="G2035" s="2">
        <v>1</v>
      </c>
      <c r="H2035" s="1">
        <v>45917.899791666663</v>
      </c>
      <c r="I2035" s="2">
        <v>1</v>
      </c>
      <c r="J2035" s="1">
        <v>45915.379479166666</v>
      </c>
    </row>
    <row r="2036" spans="1:10" x14ac:dyDescent="0.2">
      <c r="A2036" s="4" t="s">
        <v>1</v>
      </c>
      <c r="B2036" s="3" t="str">
        <f>HYPERLINK("https://otsuka-europe-crm.veevavault.com/ui/#object/approved_document__v/V5OZ025E82TFUPI", "Spain - HCP Survey Email - June 2025")</f>
        <v>Spain - HCP Survey Email - June 2025</v>
      </c>
      <c r="C2036" s="3" t="str">
        <f>HYPERLINK("https://otsuka-europe-crm.veevavault.com/ui/#object/sent_email__v/VBLZ025E82GMZ6W", "SE-000269130")</f>
        <v>SE-000269130</v>
      </c>
      <c r="D2036" s="1">
        <v>45915.401145833333</v>
      </c>
      <c r="E2036" s="2">
        <v>1</v>
      </c>
      <c r="F2036" s="2">
        <v>1</v>
      </c>
      <c r="G2036" s="2">
        <v>0</v>
      </c>
      <c r="H2036" s="1" t="s">
        <v>0</v>
      </c>
      <c r="I2036" s="2">
        <v>0</v>
      </c>
      <c r="J2036" s="1">
        <v>45915.377500000002</v>
      </c>
    </row>
    <row r="2037" spans="1:10" x14ac:dyDescent="0.2">
      <c r="A2037" s="4" t="s">
        <v>1</v>
      </c>
      <c r="B2037" s="3" t="str">
        <f>HYPERLINK("https://otsuka-europe-crm.veevavault.com/ui/#object/approved_document__v/V5OZ025E82TFUPI", "Spain - HCP Survey Email - June 2025")</f>
        <v>Spain - HCP Survey Email - June 2025</v>
      </c>
      <c r="C2037" s="3" t="str">
        <f>HYPERLINK("https://otsuka-europe-crm.veevavault.com/ui/#object/sent_email__v/VBLZ025E82GMZ6X", "SE-000269131")</f>
        <v>SE-000269131</v>
      </c>
      <c r="D2037" s="1">
        <v>45915.640347222223</v>
      </c>
      <c r="E2037" s="2">
        <v>1</v>
      </c>
      <c r="F2037" s="2">
        <v>3</v>
      </c>
      <c r="G2037" s="2">
        <v>0</v>
      </c>
      <c r="H2037" s="1" t="s">
        <v>0</v>
      </c>
      <c r="I2037" s="2">
        <v>0</v>
      </c>
      <c r="J2037" s="1">
        <v>45915.378275462965</v>
      </c>
    </row>
    <row r="2038" spans="1:10" x14ac:dyDescent="0.2">
      <c r="A2038" s="4" t="s">
        <v>1</v>
      </c>
      <c r="B2038" s="3" t="str">
        <f>HYPERLINK("https://otsuka-europe-crm.veevavault.com/ui/#object/approved_document__v/V5OZ025E82TFUPI", "Spain - HCP Survey Email - June 2025")</f>
        <v>Spain - HCP Survey Email - June 2025</v>
      </c>
      <c r="C2038" s="3" t="str">
        <f>HYPERLINK("https://otsuka-europe-crm.veevavault.com/ui/#object/sent_email__v/VBLZ025E82GMZ6Y", "SE-000269132")</f>
        <v>SE-000269132</v>
      </c>
      <c r="D2038" s="1" t="s">
        <v>0</v>
      </c>
      <c r="E2038" s="2">
        <v>0</v>
      </c>
      <c r="F2038" s="2">
        <v>0</v>
      </c>
      <c r="G2038" s="2">
        <v>0</v>
      </c>
      <c r="H2038" s="1" t="s">
        <v>0</v>
      </c>
      <c r="I2038" s="2">
        <v>0</v>
      </c>
      <c r="J2038" s="1">
        <v>45915.37877314815</v>
      </c>
    </row>
    <row r="2039" spans="1:10" x14ac:dyDescent="0.2">
      <c r="A2039" s="4" t="s">
        <v>1</v>
      </c>
      <c r="B2039" s="3" t="str">
        <f>HYPERLINK("https://otsuka-europe-crm.veevavault.com/ui/#object/approved_document__v/V5OZ025E82TFUPI", "Spain - HCP Survey Email - June 2025")</f>
        <v>Spain - HCP Survey Email - June 2025</v>
      </c>
      <c r="C2039" s="3" t="str">
        <f>HYPERLINK("https://otsuka-europe-crm.veevavault.com/ui/#object/sent_email__v/VBLZ025E82GMZ6Z", "SE-000269133")</f>
        <v>SE-000269133</v>
      </c>
      <c r="D2039" s="1">
        <v>45918.441817129627</v>
      </c>
      <c r="E2039" s="2">
        <v>1</v>
      </c>
      <c r="F2039" s="2">
        <v>2</v>
      </c>
      <c r="G2039" s="2">
        <v>0</v>
      </c>
      <c r="H2039" s="1" t="s">
        <v>0</v>
      </c>
      <c r="I2039" s="2">
        <v>0</v>
      </c>
      <c r="J2039" s="1">
        <v>45915.378750000003</v>
      </c>
    </row>
    <row r="2040" spans="1:10" x14ac:dyDescent="0.2">
      <c r="A2040" s="4" t="s">
        <v>1</v>
      </c>
      <c r="B2040" s="3" t="str">
        <f>HYPERLINK("https://otsuka-europe-crm.veevavault.com/ui/#object/approved_document__v/V5OZ025E82TFUPI", "Spain - HCP Survey Email - June 2025")</f>
        <v>Spain - HCP Survey Email - June 2025</v>
      </c>
      <c r="C2040" s="3" t="str">
        <f>HYPERLINK("https://otsuka-europe-crm.veevavault.com/ui/#object/sent_email__v/VBLZ025E82GMZ70", "SE-000269134")</f>
        <v>SE-000269134</v>
      </c>
      <c r="D2040" s="1" t="s">
        <v>0</v>
      </c>
      <c r="E2040" s="2">
        <v>0</v>
      </c>
      <c r="F2040" s="2">
        <v>0</v>
      </c>
      <c r="G2040" s="2">
        <v>0</v>
      </c>
      <c r="H2040" s="1" t="s">
        <v>0</v>
      </c>
      <c r="I2040" s="2">
        <v>0</v>
      </c>
      <c r="J2040" s="1">
        <v>45915.379178240742</v>
      </c>
    </row>
    <row r="2041" spans="1:10" x14ac:dyDescent="0.2">
      <c r="A2041" s="4" t="s">
        <v>1</v>
      </c>
      <c r="B2041" s="3" t="str">
        <f>HYPERLINK("https://otsuka-europe-crm.veevavault.com/ui/#object/approved_document__v/V5OZ025E82TFUPI", "Spain - HCP Survey Email - June 2025")</f>
        <v>Spain - HCP Survey Email - June 2025</v>
      </c>
      <c r="C2041" s="3" t="str">
        <f>HYPERLINK("https://otsuka-europe-crm.veevavault.com/ui/#object/sent_email__v/VBLZ025E82GMZ71", "SE-000269135")</f>
        <v>SE-000269135</v>
      </c>
      <c r="D2041" s="1">
        <v>45915.617314814815</v>
      </c>
      <c r="E2041" s="2">
        <v>1</v>
      </c>
      <c r="F2041" s="2">
        <v>2</v>
      </c>
      <c r="G2041" s="2">
        <v>0</v>
      </c>
      <c r="H2041" s="1" t="s">
        <v>0</v>
      </c>
      <c r="I2041" s="2">
        <v>0</v>
      </c>
      <c r="J2041" s="1">
        <v>45915.377812500003</v>
      </c>
    </row>
    <row r="2042" spans="1:10" x14ac:dyDescent="0.2">
      <c r="A2042" s="4" t="s">
        <v>1</v>
      </c>
      <c r="B2042" s="3" t="str">
        <f>HYPERLINK("https://otsuka-europe-crm.veevavault.com/ui/#object/approved_document__v/V5OZ025E82TFUPI", "Spain - HCP Survey Email - June 2025")</f>
        <v>Spain - HCP Survey Email - June 2025</v>
      </c>
      <c r="C2042" s="3" t="str">
        <f>HYPERLINK("https://otsuka-europe-crm.veevavault.com/ui/#object/sent_email__v/VBLZ025E82GMZ72", "SE-000269136")</f>
        <v>SE-000269136</v>
      </c>
      <c r="D2042" s="1">
        <v>45916.073761574073</v>
      </c>
      <c r="E2042" s="2">
        <v>1</v>
      </c>
      <c r="F2042" s="2">
        <v>1</v>
      </c>
      <c r="G2042" s="2">
        <v>0</v>
      </c>
      <c r="H2042" s="1" t="s">
        <v>0</v>
      </c>
      <c r="I2042" s="2">
        <v>0</v>
      </c>
      <c r="J2042" s="1">
        <v>45915.378229166665</v>
      </c>
    </row>
    <row r="2043" spans="1:10" x14ac:dyDescent="0.2">
      <c r="A2043" s="4" t="s">
        <v>1</v>
      </c>
      <c r="B2043" s="3" t="str">
        <f>HYPERLINK("https://otsuka-europe-crm.veevavault.com/ui/#object/approved_document__v/V5OZ025E82TFUPI", "Spain - HCP Survey Email - June 2025")</f>
        <v>Spain - HCP Survey Email - June 2025</v>
      </c>
      <c r="C2043" s="3" t="str">
        <f>HYPERLINK("https://otsuka-europe-crm.veevavault.com/ui/#object/sent_email__v/VBLZ025E82GMZ73", "SE-000269137")</f>
        <v>SE-000269137</v>
      </c>
      <c r="D2043" s="1" t="s">
        <v>0</v>
      </c>
      <c r="E2043" s="2">
        <v>0</v>
      </c>
      <c r="F2043" s="2">
        <v>0</v>
      </c>
      <c r="G2043" s="2">
        <v>0</v>
      </c>
      <c r="H2043" s="1" t="s">
        <v>0</v>
      </c>
      <c r="I2043" s="2">
        <v>0</v>
      </c>
      <c r="J2043" s="1">
        <v>45915.377928240741</v>
      </c>
    </row>
    <row r="2044" spans="1:10" x14ac:dyDescent="0.2">
      <c r="A2044" s="4" t="s">
        <v>1</v>
      </c>
      <c r="B2044" s="3" t="str">
        <f>HYPERLINK("https://otsuka-europe-crm.veevavault.com/ui/#object/approved_document__v/V5OZ025E82TFUPI", "Spain - HCP Survey Email - June 2025")</f>
        <v>Spain - HCP Survey Email - June 2025</v>
      </c>
      <c r="C2044" s="3" t="str">
        <f>HYPERLINK("https://otsuka-europe-crm.veevavault.com/ui/#object/sent_email__v/VBLZ025E82GMZ74", "SE-000269138")</f>
        <v>SE-000269138</v>
      </c>
      <c r="D2044" s="1" t="s">
        <v>0</v>
      </c>
      <c r="E2044" s="2">
        <v>0</v>
      </c>
      <c r="F2044" s="2">
        <v>0</v>
      </c>
      <c r="G2044" s="2">
        <v>0</v>
      </c>
      <c r="H2044" s="1" t="s">
        <v>0</v>
      </c>
      <c r="I2044" s="2">
        <v>0</v>
      </c>
      <c r="J2044" s="1">
        <v>45915.379027777781</v>
      </c>
    </row>
    <row r="2045" spans="1:10" x14ac:dyDescent="0.2">
      <c r="A2045" s="4" t="s">
        <v>1</v>
      </c>
      <c r="B2045" s="3" t="str">
        <f>HYPERLINK("https://otsuka-europe-crm.veevavault.com/ui/#object/approved_document__v/V5OZ025E82TFUPI", "Spain - HCP Survey Email - June 2025")</f>
        <v>Spain - HCP Survey Email - June 2025</v>
      </c>
      <c r="C2045" s="3" t="str">
        <f>HYPERLINK("https://otsuka-europe-crm.veevavault.com/ui/#object/sent_email__v/VBLZ025E82GMZ75", "SE-000269139")</f>
        <v>SE-000269139</v>
      </c>
      <c r="D2045" s="1" t="s">
        <v>0</v>
      </c>
      <c r="E2045" s="2">
        <v>0</v>
      </c>
      <c r="F2045" s="2">
        <v>0</v>
      </c>
      <c r="G2045" s="2">
        <v>0</v>
      </c>
      <c r="H2045" s="1" t="s">
        <v>0</v>
      </c>
      <c r="I2045" s="2">
        <v>0</v>
      </c>
      <c r="J2045" s="1">
        <v>45915.379652777781</v>
      </c>
    </row>
    <row r="2046" spans="1:10" x14ac:dyDescent="0.2">
      <c r="A2046" s="4" t="s">
        <v>1</v>
      </c>
      <c r="B2046" s="3" t="str">
        <f>HYPERLINK("https://otsuka-europe-crm.veevavault.com/ui/#object/approved_document__v/V5OZ025E82TFUPI", "Spain - HCP Survey Email - June 2025")</f>
        <v>Spain - HCP Survey Email - June 2025</v>
      </c>
      <c r="C2046" s="3" t="str">
        <f>HYPERLINK("https://otsuka-europe-crm.veevavault.com/ui/#object/sent_email__v/VBLZ025E82GMZ76", "SE-000269140")</f>
        <v>SE-000269140</v>
      </c>
      <c r="D2046" s="1">
        <v>45929.368321759262</v>
      </c>
      <c r="E2046" s="2">
        <v>1</v>
      </c>
      <c r="F2046" s="2">
        <v>2</v>
      </c>
      <c r="G2046" s="2">
        <v>0</v>
      </c>
      <c r="H2046" s="1" t="s">
        <v>0</v>
      </c>
      <c r="I2046" s="2">
        <v>0</v>
      </c>
      <c r="J2046" s="1">
        <v>45915.379467592589</v>
      </c>
    </row>
    <row r="2047" spans="1:10" x14ac:dyDescent="0.2">
      <c r="A2047" s="4" t="s">
        <v>1</v>
      </c>
      <c r="B2047" s="3" t="str">
        <f>HYPERLINK("https://otsuka-europe-crm.veevavault.com/ui/#object/approved_document__v/V5OZ025E82TFUPI", "Spain - HCP Survey Email - June 2025")</f>
        <v>Spain - HCP Survey Email - June 2025</v>
      </c>
      <c r="C2047" s="3" t="str">
        <f>HYPERLINK("https://otsuka-europe-crm.veevavault.com/ui/#object/sent_email__v/VBLZ025E82GMZ77", "SE-000269141")</f>
        <v>SE-000269141</v>
      </c>
      <c r="D2047" s="1" t="s">
        <v>0</v>
      </c>
      <c r="E2047" s="2">
        <v>0</v>
      </c>
      <c r="F2047" s="2">
        <v>0</v>
      </c>
      <c r="G2047" s="2">
        <v>0</v>
      </c>
      <c r="H2047" s="1" t="s">
        <v>0</v>
      </c>
      <c r="I2047" s="2">
        <v>0</v>
      </c>
      <c r="J2047" s="1">
        <v>45915.377488425926</v>
      </c>
    </row>
    <row r="2048" spans="1:10" x14ac:dyDescent="0.2">
      <c r="A2048" s="4" t="s">
        <v>1</v>
      </c>
      <c r="B2048" s="3" t="str">
        <f>HYPERLINK("https://otsuka-europe-crm.veevavault.com/ui/#object/approved_document__v/V5OZ025E82TFUPI", "Spain - HCP Survey Email - June 2025")</f>
        <v>Spain - HCP Survey Email - June 2025</v>
      </c>
      <c r="C2048" s="3" t="str">
        <f>HYPERLINK("https://otsuka-europe-crm.veevavault.com/ui/#object/sent_email__v/VBLZ025E82GMZ78", "SE-000269142")</f>
        <v>SE-000269142</v>
      </c>
      <c r="D2048" s="1" t="s">
        <v>0</v>
      </c>
      <c r="E2048" s="2">
        <v>0</v>
      </c>
      <c r="F2048" s="2">
        <v>0</v>
      </c>
      <c r="G2048" s="2">
        <v>0</v>
      </c>
      <c r="H2048" s="1" t="s">
        <v>0</v>
      </c>
      <c r="I2048" s="2">
        <v>0</v>
      </c>
      <c r="J2048" s="1">
        <v>45915.378587962965</v>
      </c>
    </row>
    <row r="2049" spans="1:10" x14ac:dyDescent="0.2">
      <c r="A2049" s="4" t="s">
        <v>1</v>
      </c>
      <c r="B2049" s="3" t="str">
        <f>HYPERLINK("https://otsuka-europe-crm.veevavault.com/ui/#object/approved_document__v/V5OZ025E82TFUPI", "Spain - HCP Survey Email - June 2025")</f>
        <v>Spain - HCP Survey Email - June 2025</v>
      </c>
      <c r="C2049" s="3" t="str">
        <f>HYPERLINK("https://otsuka-europe-crm.veevavault.com/ui/#object/sent_email__v/VBLZ025E82GMZ79", "SE-000269143")</f>
        <v>SE-000269143</v>
      </c>
      <c r="D2049" s="1">
        <v>45917.778391203705</v>
      </c>
      <c r="E2049" s="2">
        <v>1</v>
      </c>
      <c r="F2049" s="2">
        <v>2</v>
      </c>
      <c r="G2049" s="2">
        <v>1</v>
      </c>
      <c r="H2049" s="1">
        <v>45917.778495370374</v>
      </c>
      <c r="I2049" s="2">
        <v>1</v>
      </c>
      <c r="J2049" s="1">
        <v>45915.378900462965</v>
      </c>
    </row>
    <row r="2050" spans="1:10" x14ac:dyDescent="0.2">
      <c r="A2050" s="4" t="s">
        <v>1</v>
      </c>
      <c r="B2050" s="3" t="str">
        <f>HYPERLINK("https://otsuka-europe-crm.veevavault.com/ui/#object/approved_document__v/V5OZ025E82TFUPI", "Spain - HCP Survey Email - June 2025")</f>
        <v>Spain - HCP Survey Email - June 2025</v>
      </c>
      <c r="C2050" s="3" t="str">
        <f>HYPERLINK("https://otsuka-europe-crm.veevavault.com/ui/#object/sent_email__v/VBLZ025E82GMZ7A", "SE-000269144")</f>
        <v>SE-000269144</v>
      </c>
      <c r="D2050" s="1" t="s">
        <v>0</v>
      </c>
      <c r="E2050" s="2">
        <v>0</v>
      </c>
      <c r="F2050" s="2">
        <v>0</v>
      </c>
      <c r="G2050" s="2">
        <v>0</v>
      </c>
      <c r="H2050" s="1" t="s">
        <v>0</v>
      </c>
      <c r="I2050" s="2">
        <v>0</v>
      </c>
      <c r="J2050" s="1">
        <v>45915.37871527778</v>
      </c>
    </row>
    <row r="2051" spans="1:10" x14ac:dyDescent="0.2">
      <c r="A2051" s="4" t="s">
        <v>1</v>
      </c>
      <c r="B2051" s="3" t="str">
        <f>HYPERLINK("https://otsuka-europe-crm.veevavault.com/ui/#object/approved_document__v/V5OZ025E82TFUPI", "Spain - HCP Survey Email - June 2025")</f>
        <v>Spain - HCP Survey Email - June 2025</v>
      </c>
      <c r="C2051" s="3" t="str">
        <f>HYPERLINK("https://otsuka-europe-crm.veevavault.com/ui/#object/sent_email__v/VBLZ025E82GMZ7B", "SE-000269145")</f>
        <v>SE-000269145</v>
      </c>
      <c r="D2051" s="1" t="s">
        <v>0</v>
      </c>
      <c r="E2051" s="2">
        <v>0</v>
      </c>
      <c r="F2051" s="2">
        <v>0</v>
      </c>
      <c r="G2051" s="2">
        <v>0</v>
      </c>
      <c r="H2051" s="1" t="s">
        <v>0</v>
      </c>
      <c r="I2051" s="2">
        <v>0</v>
      </c>
      <c r="J2051" s="1">
        <v>45915.379074074073</v>
      </c>
    </row>
    <row r="2052" spans="1:10" x14ac:dyDescent="0.2">
      <c r="A2052" s="4" t="s">
        <v>1</v>
      </c>
      <c r="B2052" s="3" t="str">
        <f>HYPERLINK("https://otsuka-europe-crm.veevavault.com/ui/#object/approved_document__v/V5OZ025E82TFUPI", "Spain - HCP Survey Email - June 2025")</f>
        <v>Spain - HCP Survey Email - June 2025</v>
      </c>
      <c r="C2052" s="3" t="str">
        <f>HYPERLINK("https://otsuka-europe-crm.veevavault.com/ui/#object/sent_email__v/VBLZ025E82GMZ7C", "SE-000269146")</f>
        <v>SE-000269146</v>
      </c>
      <c r="D2052" s="1">
        <v>45915.70925925926</v>
      </c>
      <c r="E2052" s="2">
        <v>1</v>
      </c>
      <c r="F2052" s="2">
        <v>1</v>
      </c>
      <c r="G2052" s="2">
        <v>0</v>
      </c>
      <c r="H2052" s="1" t="s">
        <v>0</v>
      </c>
      <c r="I2052" s="2">
        <v>0</v>
      </c>
      <c r="J2052" s="1">
        <v>45915.377800925926</v>
      </c>
    </row>
    <row r="2053" spans="1:10" x14ac:dyDescent="0.2">
      <c r="A2053" s="4" t="s">
        <v>1</v>
      </c>
      <c r="B2053" s="3" t="str">
        <f>HYPERLINK("https://otsuka-europe-crm.veevavault.com/ui/#object/approved_document__v/V5OZ025E82TFUPI", "Spain - HCP Survey Email - June 2025")</f>
        <v>Spain - HCP Survey Email - June 2025</v>
      </c>
      <c r="C2053" s="3" t="str">
        <f>HYPERLINK("https://otsuka-europe-crm.veevavault.com/ui/#object/sent_email__v/VBLZ025E82GMZ7E", "SE-000269148")</f>
        <v>SE-000269148</v>
      </c>
      <c r="D2053" s="1">
        <v>45915.390844907408</v>
      </c>
      <c r="E2053" s="2">
        <v>1</v>
      </c>
      <c r="F2053" s="2">
        <v>2</v>
      </c>
      <c r="G2053" s="2">
        <v>0</v>
      </c>
      <c r="H2053" s="1" t="s">
        <v>0</v>
      </c>
      <c r="I2053" s="2">
        <v>0</v>
      </c>
      <c r="J2053" s="1">
        <v>45915.37872685185</v>
      </c>
    </row>
    <row r="2054" spans="1:10" x14ac:dyDescent="0.2">
      <c r="A2054" s="4" t="s">
        <v>1</v>
      </c>
      <c r="B2054" s="3" t="str">
        <f>HYPERLINK("https://otsuka-europe-crm.veevavault.com/ui/#object/approved_document__v/V5OZ025E82TFUPI", "Spain - HCP Survey Email - June 2025")</f>
        <v>Spain - HCP Survey Email - June 2025</v>
      </c>
      <c r="C2054" s="3" t="str">
        <f>HYPERLINK("https://otsuka-europe-crm.veevavault.com/ui/#object/sent_email__v/VBLZ025E82GMZ7F", "SE-000269149")</f>
        <v>SE-000269149</v>
      </c>
      <c r="D2054" s="1" t="s">
        <v>0</v>
      </c>
      <c r="E2054" s="2">
        <v>0</v>
      </c>
      <c r="F2054" s="2">
        <v>0</v>
      </c>
      <c r="G2054" s="2">
        <v>0</v>
      </c>
      <c r="H2054" s="1" t="s">
        <v>0</v>
      </c>
      <c r="I2054" s="2">
        <v>0</v>
      </c>
      <c r="J2054" s="1">
        <v>45915.379131944443</v>
      </c>
    </row>
    <row r="2055" spans="1:10" x14ac:dyDescent="0.2">
      <c r="A2055" s="4" t="s">
        <v>1</v>
      </c>
      <c r="B2055" s="3" t="str">
        <f>HYPERLINK("https://otsuka-europe-crm.veevavault.com/ui/#object/approved_document__v/V5OZ025E82TFUPI", "Spain - HCP Survey Email - June 2025")</f>
        <v>Spain - HCP Survey Email - June 2025</v>
      </c>
      <c r="C2055" s="3" t="str">
        <f>HYPERLINK("https://otsuka-europe-crm.veevavault.com/ui/#object/sent_email__v/VBLZ025E82GMZ7G", "SE-000269150")</f>
        <v>SE-000269150</v>
      </c>
      <c r="D2055" s="1">
        <v>45917.283912037034</v>
      </c>
      <c r="E2055" s="2">
        <v>1</v>
      </c>
      <c r="F2055" s="2">
        <v>1</v>
      </c>
      <c r="G2055" s="2">
        <v>0</v>
      </c>
      <c r="H2055" s="1" t="s">
        <v>0</v>
      </c>
      <c r="I2055" s="2">
        <v>0</v>
      </c>
      <c r="J2055" s="1">
        <v>45915.377800925926</v>
      </c>
    </row>
    <row r="2056" spans="1:10" x14ac:dyDescent="0.2">
      <c r="A2056" s="4" t="s">
        <v>1</v>
      </c>
      <c r="B2056" s="3" t="str">
        <f>HYPERLINK("https://otsuka-europe-crm.veevavault.com/ui/#object/approved_document__v/V5OZ025E82TFUPI", "Spain - HCP Survey Email - June 2025")</f>
        <v>Spain - HCP Survey Email - June 2025</v>
      </c>
      <c r="C2056" s="3" t="str">
        <f>HYPERLINK("https://otsuka-europe-crm.veevavault.com/ui/#object/sent_email__v/VBLZ025E82GMZ7H", "SE-000269151")</f>
        <v>SE-000269151</v>
      </c>
      <c r="D2056" s="1">
        <v>45915.745115740741</v>
      </c>
      <c r="E2056" s="2">
        <v>1</v>
      </c>
      <c r="F2056" s="2">
        <v>2</v>
      </c>
      <c r="G2056" s="2">
        <v>0</v>
      </c>
      <c r="H2056" s="1" t="s">
        <v>0</v>
      </c>
      <c r="I2056" s="2">
        <v>0</v>
      </c>
      <c r="J2056" s="1">
        <v>45915.378252314818</v>
      </c>
    </row>
    <row r="2057" spans="1:10" x14ac:dyDescent="0.2">
      <c r="A2057" s="4" t="s">
        <v>1</v>
      </c>
      <c r="B2057" s="3" t="str">
        <f>HYPERLINK("https://otsuka-europe-crm.veevavault.com/ui/#object/approved_document__v/V5OZ025E82TFUPI", "Spain - HCP Survey Email - June 2025")</f>
        <v>Spain - HCP Survey Email - June 2025</v>
      </c>
      <c r="C2057" s="3" t="str">
        <f>HYPERLINK("https://otsuka-europe-crm.veevavault.com/ui/#object/sent_email__v/VBLZ025E82GMZ7I", "SE-000269152")</f>
        <v>SE-000269152</v>
      </c>
      <c r="D2057" s="1" t="s">
        <v>0</v>
      </c>
      <c r="E2057" s="2">
        <v>0</v>
      </c>
      <c r="F2057" s="2">
        <v>0</v>
      </c>
      <c r="G2057" s="2">
        <v>0</v>
      </c>
      <c r="H2057" s="1" t="s">
        <v>0</v>
      </c>
      <c r="I2057" s="2">
        <v>0</v>
      </c>
      <c r="J2057" s="1">
        <v>45915.378020833334</v>
      </c>
    </row>
    <row r="2058" spans="1:10" x14ac:dyDescent="0.2">
      <c r="A2058" s="4" t="s">
        <v>1</v>
      </c>
      <c r="B2058" s="3" t="str">
        <f>HYPERLINK("https://otsuka-europe-crm.veevavault.com/ui/#object/approved_document__v/V5OZ025E82TFUPI", "Spain - HCP Survey Email - June 2025")</f>
        <v>Spain - HCP Survey Email - June 2025</v>
      </c>
      <c r="C2058" s="3" t="str">
        <f>HYPERLINK("https://otsuka-europe-crm.veevavault.com/ui/#object/sent_email__v/VBLZ025E82GMZ7J", "SE-000269153")</f>
        <v>SE-000269153</v>
      </c>
      <c r="D2058" s="1">
        <v>45921.498668981483</v>
      </c>
      <c r="E2058" s="2">
        <v>1</v>
      </c>
      <c r="F2058" s="2">
        <v>2</v>
      </c>
      <c r="G2058" s="2">
        <v>0</v>
      </c>
      <c r="H2058" s="1" t="s">
        <v>0</v>
      </c>
      <c r="I2058" s="2">
        <v>0</v>
      </c>
      <c r="J2058" s="1">
        <v>45915.379027777781</v>
      </c>
    </row>
    <row r="2059" spans="1:10" x14ac:dyDescent="0.2">
      <c r="A2059" s="4" t="s">
        <v>1</v>
      </c>
      <c r="B2059" s="3" t="str">
        <f>HYPERLINK("https://otsuka-europe-crm.veevavault.com/ui/#object/approved_document__v/V5OZ025E82TFUPI", "Spain - HCP Survey Email - June 2025")</f>
        <v>Spain - HCP Survey Email - June 2025</v>
      </c>
      <c r="C2059" s="3" t="str">
        <f>HYPERLINK("https://otsuka-europe-crm.veevavault.com/ui/#object/sent_email__v/VBLZ025E82GMZ7K", "SE-000269154")</f>
        <v>SE-000269154</v>
      </c>
      <c r="D2059" s="1" t="s">
        <v>0</v>
      </c>
      <c r="E2059" s="2">
        <v>0</v>
      </c>
      <c r="F2059" s="2">
        <v>0</v>
      </c>
      <c r="G2059" s="2">
        <v>0</v>
      </c>
      <c r="H2059" s="1" t="s">
        <v>0</v>
      </c>
      <c r="I2059" s="2">
        <v>0</v>
      </c>
      <c r="J2059" s="1">
        <v>45915.379652777781</v>
      </c>
    </row>
    <row r="2060" spans="1:10" x14ac:dyDescent="0.2">
      <c r="A2060" s="4" t="s">
        <v>1</v>
      </c>
      <c r="B2060" s="3" t="str">
        <f>HYPERLINK("https://otsuka-europe-crm.veevavault.com/ui/#object/approved_document__v/V5OZ025E82TFUPI", "Spain - HCP Survey Email - June 2025")</f>
        <v>Spain - HCP Survey Email - June 2025</v>
      </c>
      <c r="C2060" s="3" t="str">
        <f>HYPERLINK("https://otsuka-europe-crm.veevavault.com/ui/#object/sent_email__v/VBLZ025E82GMZ7L", "SE-000269155")</f>
        <v>SE-000269155</v>
      </c>
      <c r="D2060" s="1" t="s">
        <v>0</v>
      </c>
      <c r="E2060" s="2">
        <v>0</v>
      </c>
      <c r="F2060" s="2">
        <v>0</v>
      </c>
      <c r="G2060" s="2">
        <v>0</v>
      </c>
      <c r="H2060" s="1" t="s">
        <v>0</v>
      </c>
      <c r="I2060" s="2">
        <v>0</v>
      </c>
      <c r="J2060" s="1">
        <v>45915.379386574074</v>
      </c>
    </row>
    <row r="2061" spans="1:10" x14ac:dyDescent="0.2">
      <c r="A2061" s="4" t="s">
        <v>1</v>
      </c>
      <c r="B2061" s="3" t="str">
        <f>HYPERLINK("https://otsuka-europe-crm.veevavault.com/ui/#object/approved_document__v/V5OZ025E82TFUPI", "Spain - HCP Survey Email - June 2025")</f>
        <v>Spain - HCP Survey Email - June 2025</v>
      </c>
      <c r="C2061" s="3" t="str">
        <f>HYPERLINK("https://otsuka-europe-crm.veevavault.com/ui/#object/sent_email__v/VBLZ025E82GMZ7M", "SE-000269156")</f>
        <v>SE-000269156</v>
      </c>
      <c r="D2061" s="1" t="s">
        <v>0</v>
      </c>
      <c r="E2061" s="2">
        <v>0</v>
      </c>
      <c r="F2061" s="2">
        <v>0</v>
      </c>
      <c r="G2061" s="2">
        <v>0</v>
      </c>
      <c r="H2061" s="1" t="s">
        <v>0</v>
      </c>
      <c r="I2061" s="2">
        <v>0</v>
      </c>
      <c r="J2061" s="1">
        <v>45915.377511574072</v>
      </c>
    </row>
    <row r="2062" spans="1:10" x14ac:dyDescent="0.2">
      <c r="A2062" s="4" t="s">
        <v>1</v>
      </c>
      <c r="B2062" s="3" t="str">
        <f>HYPERLINK("https://otsuka-europe-crm.veevavault.com/ui/#object/approved_document__v/V5OZ025E82TFUPI", "Spain - HCP Survey Email - June 2025")</f>
        <v>Spain - HCP Survey Email - June 2025</v>
      </c>
      <c r="C2062" s="3" t="str">
        <f>HYPERLINK("https://otsuka-europe-crm.veevavault.com/ui/#object/sent_email__v/VBLZ025E82GMZ7N", "SE-000269157")</f>
        <v>SE-000269157</v>
      </c>
      <c r="D2062" s="1">
        <v>45916.366597222222</v>
      </c>
      <c r="E2062" s="2">
        <v>1</v>
      </c>
      <c r="F2062" s="2">
        <v>2</v>
      </c>
      <c r="G2062" s="2">
        <v>0</v>
      </c>
      <c r="H2062" s="1" t="s">
        <v>0</v>
      </c>
      <c r="I2062" s="2">
        <v>0</v>
      </c>
      <c r="J2062" s="1">
        <v>45915.378321759257</v>
      </c>
    </row>
    <row r="2063" spans="1:10" x14ac:dyDescent="0.2">
      <c r="A2063" s="4" t="s">
        <v>1</v>
      </c>
      <c r="B2063" s="3" t="str">
        <f>HYPERLINK("https://otsuka-europe-crm.veevavault.com/ui/#object/approved_document__v/V5OZ025E82TFUPI", "Spain - HCP Survey Email - June 2025")</f>
        <v>Spain - HCP Survey Email - June 2025</v>
      </c>
      <c r="C2063" s="3" t="str">
        <f>HYPERLINK("https://otsuka-europe-crm.veevavault.com/ui/#object/sent_email__v/VBLZ025E82GMZ7O", "SE-000269158")</f>
        <v>SE-000269158</v>
      </c>
      <c r="D2063" s="1">
        <v>45916.339467592596</v>
      </c>
      <c r="E2063" s="2">
        <v>1</v>
      </c>
      <c r="F2063" s="2">
        <v>1</v>
      </c>
      <c r="G2063" s="2">
        <v>0</v>
      </c>
      <c r="H2063" s="1" t="s">
        <v>0</v>
      </c>
      <c r="I2063" s="2">
        <v>0</v>
      </c>
      <c r="J2063" s="1">
        <v>45915.37877314815</v>
      </c>
    </row>
    <row r="2064" spans="1:10" x14ac:dyDescent="0.2">
      <c r="A2064" s="4" t="s">
        <v>1</v>
      </c>
      <c r="B2064" s="3" t="str">
        <f>HYPERLINK("https://otsuka-europe-crm.veevavault.com/ui/#object/approved_document__v/V5OZ025E82TFUPI", "Spain - HCP Survey Email - June 2025")</f>
        <v>Spain - HCP Survey Email - June 2025</v>
      </c>
      <c r="C2064" s="3" t="str">
        <f>HYPERLINK("https://otsuka-europe-crm.veevavault.com/ui/#object/sent_email__v/VBLZ025E82GMZ7Q", "SE-000269160")</f>
        <v>SE-000269160</v>
      </c>
      <c r="D2064" s="1" t="s">
        <v>0</v>
      </c>
      <c r="E2064" s="2">
        <v>0</v>
      </c>
      <c r="F2064" s="2">
        <v>0</v>
      </c>
      <c r="G2064" s="2">
        <v>0</v>
      </c>
      <c r="H2064" s="1" t="s">
        <v>0</v>
      </c>
      <c r="I2064" s="2">
        <v>0</v>
      </c>
      <c r="J2064" s="1">
        <v>45915.37909722222</v>
      </c>
    </row>
    <row r="2065" spans="1:10" x14ac:dyDescent="0.2">
      <c r="A2065" s="4" t="s">
        <v>1</v>
      </c>
      <c r="B2065" s="3" t="str">
        <f>HYPERLINK("https://otsuka-europe-crm.veevavault.com/ui/#object/approved_document__v/V5OZ025E82TFUPI", "Spain - HCP Survey Email - June 2025")</f>
        <v>Spain - HCP Survey Email - June 2025</v>
      </c>
      <c r="C2065" s="3" t="str">
        <f>HYPERLINK("https://otsuka-europe-crm.veevavault.com/ui/#object/sent_email__v/VBLZ025E82GMZ7R", "SE-000269161")</f>
        <v>SE-000269161</v>
      </c>
      <c r="D2065" s="1" t="s">
        <v>0</v>
      </c>
      <c r="E2065" s="2">
        <v>0</v>
      </c>
      <c r="F2065" s="2">
        <v>0</v>
      </c>
      <c r="G2065" s="2">
        <v>0</v>
      </c>
      <c r="H2065" s="1" t="s">
        <v>0</v>
      </c>
      <c r="I2065" s="2">
        <v>0</v>
      </c>
      <c r="J2065" s="1">
        <v>45915.377824074072</v>
      </c>
    </row>
    <row r="2066" spans="1:10" x14ac:dyDescent="0.2">
      <c r="A2066" s="4" t="s">
        <v>1</v>
      </c>
      <c r="B2066" s="3" t="str">
        <f>HYPERLINK("https://otsuka-europe-crm.veevavault.com/ui/#object/approved_document__v/V5OZ025E82TFUPI", "Spain - HCP Survey Email - June 2025")</f>
        <v>Spain - HCP Survey Email - June 2025</v>
      </c>
      <c r="C2066" s="3" t="str">
        <f>HYPERLINK("https://otsuka-europe-crm.veevavault.com/ui/#object/sent_email__v/VBLZ025E82GMZ7S", "SE-000269162")</f>
        <v>SE-000269162</v>
      </c>
      <c r="D2066" s="1">
        <v>45915.399768518517</v>
      </c>
      <c r="E2066" s="2">
        <v>1</v>
      </c>
      <c r="F2066" s="2">
        <v>1</v>
      </c>
      <c r="G2066" s="2">
        <v>1</v>
      </c>
      <c r="H2066" s="1">
        <v>45915.399768518517</v>
      </c>
      <c r="I2066" s="2">
        <v>1</v>
      </c>
      <c r="J2066" s="1">
        <v>45915.378298611111</v>
      </c>
    </row>
    <row r="2067" spans="1:10" x14ac:dyDescent="0.2">
      <c r="A2067" s="4" t="s">
        <v>1</v>
      </c>
      <c r="B2067" s="3" t="str">
        <f>HYPERLINK("https://otsuka-europe-crm.veevavault.com/ui/#object/approved_document__v/V5OZ025E82TFUPI", "Spain - HCP Survey Email - June 2025")</f>
        <v>Spain - HCP Survey Email - June 2025</v>
      </c>
      <c r="C2067" s="3" t="str">
        <f>HYPERLINK("https://otsuka-europe-crm.veevavault.com/ui/#object/sent_email__v/VBLZ025E82GMZ7T", "SE-000269163")</f>
        <v>SE-000269163</v>
      </c>
      <c r="D2067" s="1" t="s">
        <v>0</v>
      </c>
      <c r="E2067" s="2">
        <v>0</v>
      </c>
      <c r="F2067" s="2">
        <v>0</v>
      </c>
      <c r="G2067" s="2">
        <v>0</v>
      </c>
      <c r="H2067" s="1" t="s">
        <v>0</v>
      </c>
      <c r="I2067" s="2">
        <v>0</v>
      </c>
      <c r="J2067" s="1">
        <v>45915.377997685187</v>
      </c>
    </row>
    <row r="2068" spans="1:10" x14ac:dyDescent="0.2">
      <c r="A2068" s="4" t="s">
        <v>1</v>
      </c>
      <c r="B2068" s="3" t="str">
        <f>HYPERLINK("https://otsuka-europe-crm.veevavault.com/ui/#object/approved_document__v/V5OZ025E82TFUPI", "Spain - HCP Survey Email - June 2025")</f>
        <v>Spain - HCP Survey Email - June 2025</v>
      </c>
      <c r="C2068" s="3" t="str">
        <f>HYPERLINK("https://otsuka-europe-crm.veevavault.com/ui/#object/sent_email__v/VBLZ025E82GMZ7U", "SE-000269164")</f>
        <v>SE-000269164</v>
      </c>
      <c r="D2068" s="1">
        <v>45923.79724537037</v>
      </c>
      <c r="E2068" s="2">
        <v>1</v>
      </c>
      <c r="F2068" s="2">
        <v>2</v>
      </c>
      <c r="G2068" s="2">
        <v>0</v>
      </c>
      <c r="H2068" s="1" t="s">
        <v>0</v>
      </c>
      <c r="I2068" s="2">
        <v>0</v>
      </c>
      <c r="J2068" s="1">
        <v>45915.379016203704</v>
      </c>
    </row>
    <row r="2069" spans="1:10" x14ac:dyDescent="0.2">
      <c r="A2069" s="4" t="s">
        <v>1</v>
      </c>
      <c r="B2069" s="3" t="str">
        <f>HYPERLINK("https://otsuka-europe-crm.veevavault.com/ui/#object/approved_document__v/V5OZ025E82TFUPI", "Spain - HCP Survey Email - June 2025")</f>
        <v>Spain - HCP Survey Email - June 2025</v>
      </c>
      <c r="C2069" s="3" t="str">
        <f>HYPERLINK("https://otsuka-europe-crm.veevavault.com/ui/#object/sent_email__v/VBLZ025E82GMZ7V", "SE-000269165")</f>
        <v>SE-000269165</v>
      </c>
      <c r="D2069" s="1">
        <v>45915.380057870374</v>
      </c>
      <c r="E2069" s="2">
        <v>1</v>
      </c>
      <c r="F2069" s="2">
        <v>1</v>
      </c>
      <c r="G2069" s="2">
        <v>1</v>
      </c>
      <c r="H2069" s="1">
        <v>45915.380590277775</v>
      </c>
      <c r="I2069" s="2">
        <v>1</v>
      </c>
      <c r="J2069" s="1">
        <v>45915.379710648151</v>
      </c>
    </row>
    <row r="2070" spans="1:10" x14ac:dyDescent="0.2">
      <c r="A2070" s="4" t="s">
        <v>1</v>
      </c>
      <c r="B2070" s="3" t="str">
        <f>HYPERLINK("https://otsuka-europe-crm.veevavault.com/ui/#object/approved_document__v/V5OZ025E82TFUPI", "Spain - HCP Survey Email - June 2025")</f>
        <v>Spain - HCP Survey Email - June 2025</v>
      </c>
      <c r="C2070" s="3" t="str">
        <f>HYPERLINK("https://otsuka-europe-crm.veevavault.com/ui/#object/sent_email__v/VBLZ025E82GMZ7W", "SE-000269166")</f>
        <v>SE-000269166</v>
      </c>
      <c r="D2070" s="1" t="s">
        <v>0</v>
      </c>
      <c r="E2070" s="2">
        <v>0</v>
      </c>
      <c r="F2070" s="2">
        <v>0</v>
      </c>
      <c r="G2070" s="2">
        <v>0</v>
      </c>
      <c r="H2070" s="1" t="s">
        <v>0</v>
      </c>
      <c r="I2070" s="2">
        <v>0</v>
      </c>
      <c r="J2070" s="1">
        <v>45915.37945601852</v>
      </c>
    </row>
    <row r="2071" spans="1:10" x14ac:dyDescent="0.2">
      <c r="A2071" s="4" t="s">
        <v>1</v>
      </c>
      <c r="B2071" s="3" t="str">
        <f>HYPERLINK("https://otsuka-europe-crm.veevavault.com/ui/#object/approved_document__v/V5OZ025E82TFUPI", "Spain - HCP Survey Email - June 2025")</f>
        <v>Spain - HCP Survey Email - June 2025</v>
      </c>
      <c r="C2071" s="3" t="str">
        <f>HYPERLINK("https://otsuka-europe-crm.veevavault.com/ui/#object/sent_email__v/VBLZ025E82GMZ7X", "SE-000269167")</f>
        <v>SE-000269167</v>
      </c>
      <c r="D2071" s="1" t="s">
        <v>0</v>
      </c>
      <c r="E2071" s="2">
        <v>0</v>
      </c>
      <c r="F2071" s="2">
        <v>0</v>
      </c>
      <c r="G2071" s="2">
        <v>0</v>
      </c>
      <c r="H2071" s="1" t="s">
        <v>0</v>
      </c>
      <c r="I2071" s="2">
        <v>0</v>
      </c>
      <c r="J2071" s="1">
        <v>45915.377569444441</v>
      </c>
    </row>
    <row r="2072" spans="1:10" x14ac:dyDescent="0.2">
      <c r="A2072" s="4" t="s">
        <v>1</v>
      </c>
      <c r="B2072" s="3" t="str">
        <f>HYPERLINK("https://otsuka-europe-crm.veevavault.com/ui/#object/approved_document__v/V5OZ025E82TFUPI", "Spain - HCP Survey Email - June 2025")</f>
        <v>Spain - HCP Survey Email - June 2025</v>
      </c>
      <c r="C2072" s="3" t="str">
        <f>HYPERLINK("https://otsuka-europe-crm.veevavault.com/ui/#object/sent_email__v/VBLZ025E82GMZ7Y", "SE-000269168")</f>
        <v>SE-000269168</v>
      </c>
      <c r="D2072" s="1">
        <v>45936.452025462961</v>
      </c>
      <c r="E2072" s="2">
        <v>1</v>
      </c>
      <c r="F2072" s="2">
        <v>4</v>
      </c>
      <c r="G2072" s="2">
        <v>0</v>
      </c>
      <c r="H2072" s="1" t="s">
        <v>0</v>
      </c>
      <c r="I2072" s="2">
        <v>0</v>
      </c>
      <c r="J2072" s="1">
        <v>45915.378321759257</v>
      </c>
    </row>
    <row r="2073" spans="1:10" x14ac:dyDescent="0.2">
      <c r="A2073" s="4" t="s">
        <v>1</v>
      </c>
      <c r="B2073" s="3" t="str">
        <f>HYPERLINK("https://otsuka-europe-crm.veevavault.com/ui/#object/approved_document__v/V5OZ025E82TFUPI", "Spain - HCP Survey Email - June 2025")</f>
        <v>Spain - HCP Survey Email - June 2025</v>
      </c>
      <c r="C2073" s="3" t="str">
        <f>HYPERLINK("https://otsuka-europe-crm.veevavault.com/ui/#object/sent_email__v/VBLZ025E82GMZ7Z", "SE-000269169")</f>
        <v>SE-000269169</v>
      </c>
      <c r="D2073" s="1">
        <v>45916.596712962964</v>
      </c>
      <c r="E2073" s="2">
        <v>1</v>
      </c>
      <c r="F2073" s="2">
        <v>2</v>
      </c>
      <c r="G2073" s="2">
        <v>1</v>
      </c>
      <c r="H2073" s="1">
        <v>45917.537372685183</v>
      </c>
      <c r="I2073" s="2">
        <v>1</v>
      </c>
      <c r="J2073" s="1">
        <v>45915.37877314815</v>
      </c>
    </row>
    <row r="2074" spans="1:10" x14ac:dyDescent="0.2">
      <c r="A2074" s="4" t="s">
        <v>1</v>
      </c>
      <c r="B2074" s="3" t="str">
        <f>HYPERLINK("https://otsuka-europe-crm.veevavault.com/ui/#object/approved_document__v/V5OZ025E82TFUPI", "Spain - HCP Survey Email - June 2025")</f>
        <v>Spain - HCP Survey Email - June 2025</v>
      </c>
      <c r="C2074" s="3" t="str">
        <f>HYPERLINK("https://otsuka-europe-crm.veevavault.com/ui/#object/sent_email__v/VBLZ025E82GMZ80", "SE-000269170")</f>
        <v>SE-000269170</v>
      </c>
      <c r="D2074" s="1" t="s">
        <v>0</v>
      </c>
      <c r="E2074" s="2">
        <v>0</v>
      </c>
      <c r="F2074" s="2">
        <v>0</v>
      </c>
      <c r="G2074" s="2">
        <v>0</v>
      </c>
      <c r="H2074" s="1" t="s">
        <v>0</v>
      </c>
      <c r="I2074" s="2">
        <v>0</v>
      </c>
      <c r="J2074" s="1">
        <v>45915.378692129627</v>
      </c>
    </row>
    <row r="2075" spans="1:10" x14ac:dyDescent="0.2">
      <c r="A2075" s="4" t="s">
        <v>1</v>
      </c>
      <c r="B2075" s="3" t="str">
        <f>HYPERLINK("https://otsuka-europe-crm.veevavault.com/ui/#object/approved_document__v/V5OZ025E82TFUPI", "Spain - HCP Survey Email - June 2025")</f>
        <v>Spain - HCP Survey Email - June 2025</v>
      </c>
      <c r="C2075" s="3" t="str">
        <f>HYPERLINK("https://otsuka-europe-crm.veevavault.com/ui/#object/sent_email__v/VBLZ025E82GMZ81", "SE-000269171")</f>
        <v>SE-000269171</v>
      </c>
      <c r="D2075" s="1">
        <v>45919.736828703702</v>
      </c>
      <c r="E2075" s="2">
        <v>1</v>
      </c>
      <c r="F2075" s="2">
        <v>2</v>
      </c>
      <c r="G2075" s="2">
        <v>1</v>
      </c>
      <c r="H2075" s="1">
        <v>45915.857789351852</v>
      </c>
      <c r="I2075" s="2">
        <v>1</v>
      </c>
      <c r="J2075" s="1">
        <v>45915.37909722222</v>
      </c>
    </row>
    <row r="2076" spans="1:10" x14ac:dyDescent="0.2">
      <c r="A2076" s="4" t="s">
        <v>1</v>
      </c>
      <c r="B2076" s="3" t="str">
        <f>HYPERLINK("https://otsuka-europe-crm.veevavault.com/ui/#object/approved_document__v/V5OZ025E82TFUPI", "Spain - HCP Survey Email - June 2025")</f>
        <v>Spain - HCP Survey Email - June 2025</v>
      </c>
      <c r="C2076" s="3" t="str">
        <f>HYPERLINK("https://otsuka-europe-crm.veevavault.com/ui/#object/sent_email__v/VBLZ025E82GMZ82", "SE-000269172")</f>
        <v>SE-000269172</v>
      </c>
      <c r="D2076" s="1">
        <v>45940.486793981479</v>
      </c>
      <c r="E2076" s="2">
        <v>1</v>
      </c>
      <c r="F2076" s="2">
        <v>3</v>
      </c>
      <c r="G2076" s="2">
        <v>1</v>
      </c>
      <c r="H2076" s="1">
        <v>45917.538425925923</v>
      </c>
      <c r="I2076" s="2">
        <v>1</v>
      </c>
      <c r="J2076" s="1">
        <v>45915.377800925926</v>
      </c>
    </row>
    <row r="2077" spans="1:10" x14ac:dyDescent="0.2">
      <c r="A2077" s="4" t="s">
        <v>1</v>
      </c>
      <c r="B2077" s="3" t="str">
        <f>HYPERLINK("https://otsuka-europe-crm.veevavault.com/ui/#object/approved_document__v/V5OZ025E82TFUPI", "Spain - HCP Survey Email - June 2025")</f>
        <v>Spain - HCP Survey Email - June 2025</v>
      </c>
      <c r="C2077" s="3" t="str">
        <f>HYPERLINK("https://otsuka-europe-crm.veevavault.com/ui/#object/sent_email__v/VBLZ025E82GMZ83", "SE-000269173")</f>
        <v>SE-000269173</v>
      </c>
      <c r="D2077" s="1">
        <v>45916.949965277781</v>
      </c>
      <c r="E2077" s="2">
        <v>1</v>
      </c>
      <c r="F2077" s="2">
        <v>1</v>
      </c>
      <c r="G2077" s="2">
        <v>0</v>
      </c>
      <c r="H2077" s="1" t="s">
        <v>0</v>
      </c>
      <c r="I2077" s="2">
        <v>0</v>
      </c>
      <c r="J2077" s="1">
        <v>45915.377627314818</v>
      </c>
    </row>
    <row r="2078" spans="1:10" x14ac:dyDescent="0.2">
      <c r="A2078" s="4" t="s">
        <v>1</v>
      </c>
      <c r="B2078" s="3" t="str">
        <f>HYPERLINK("https://otsuka-europe-crm.veevavault.com/ui/#object/approved_document__v/V5OZ025E82TFUPI", "Spain - HCP Survey Email - June 2025")</f>
        <v>Spain - HCP Survey Email - June 2025</v>
      </c>
      <c r="C2078" s="3" t="str">
        <f>HYPERLINK("https://otsuka-europe-crm.veevavault.com/ui/#object/sent_email__v/VBLZ025E82GMZ84", "SE-000269174")</f>
        <v>SE-000269174</v>
      </c>
      <c r="D2078" s="1" t="s">
        <v>0</v>
      </c>
      <c r="E2078" s="2">
        <v>0</v>
      </c>
      <c r="F2078" s="2">
        <v>0</v>
      </c>
      <c r="G2078" s="2">
        <v>0</v>
      </c>
      <c r="H2078" s="1" t="s">
        <v>0</v>
      </c>
      <c r="I2078" s="2">
        <v>0</v>
      </c>
      <c r="J2078" s="1">
        <v>45915.378796296296</v>
      </c>
    </row>
    <row r="2079" spans="1:10" x14ac:dyDescent="0.2">
      <c r="A2079" s="4" t="s">
        <v>1</v>
      </c>
      <c r="B2079" s="3" t="str">
        <f>HYPERLINK("https://otsuka-europe-crm.veevavault.com/ui/#object/approved_document__v/V5OZ025E82TFUPI", "Spain - HCP Survey Email - June 2025")</f>
        <v>Spain - HCP Survey Email - June 2025</v>
      </c>
      <c r="C2079" s="3" t="str">
        <f>HYPERLINK("https://otsuka-europe-crm.veevavault.com/ui/#object/sent_email__v/VBLZ025E82GMZ85", "SE-000269175")</f>
        <v>SE-000269175</v>
      </c>
      <c r="D2079" s="1" t="s">
        <v>0</v>
      </c>
      <c r="E2079" s="2">
        <v>0</v>
      </c>
      <c r="F2079" s="2">
        <v>0</v>
      </c>
      <c r="G2079" s="2">
        <v>0</v>
      </c>
      <c r="H2079" s="1" t="s">
        <v>0</v>
      </c>
      <c r="I2079" s="2">
        <v>0</v>
      </c>
      <c r="J2079" s="1">
        <v>45915.378680555557</v>
      </c>
    </row>
    <row r="2080" spans="1:10" x14ac:dyDescent="0.2">
      <c r="A2080" s="4" t="s">
        <v>1</v>
      </c>
      <c r="B2080" s="3" t="str">
        <f>HYPERLINK("https://otsuka-europe-crm.veevavault.com/ui/#object/approved_document__v/V5OZ025E82TFUPI", "Spain - HCP Survey Email - June 2025")</f>
        <v>Spain - HCP Survey Email - June 2025</v>
      </c>
      <c r="C2080" s="3" t="str">
        <f>HYPERLINK("https://otsuka-europe-crm.veevavault.com/ui/#object/sent_email__v/VBLZ025E82GMZ86", "SE-000269176")</f>
        <v>SE-000269176</v>
      </c>
      <c r="D2080" s="1">
        <v>45927.87090277778</v>
      </c>
      <c r="E2080" s="2">
        <v>1</v>
      </c>
      <c r="F2080" s="2">
        <v>3</v>
      </c>
      <c r="G2080" s="2">
        <v>0</v>
      </c>
      <c r="H2080" s="1" t="s">
        <v>0</v>
      </c>
      <c r="I2080" s="2">
        <v>0</v>
      </c>
      <c r="J2080" s="1">
        <v>45915.379270833335</v>
      </c>
    </row>
    <row r="2081" spans="1:10" x14ac:dyDescent="0.2">
      <c r="A2081" s="4" t="s">
        <v>1</v>
      </c>
      <c r="B2081" s="3" t="str">
        <f>HYPERLINK("https://otsuka-europe-crm.veevavault.com/ui/#object/approved_document__v/V5OZ025E82TFUPI", "Spain - HCP Survey Email - June 2025")</f>
        <v>Spain - HCP Survey Email - June 2025</v>
      </c>
      <c r="C2081" s="3" t="str">
        <f>HYPERLINK("https://otsuka-europe-crm.veevavault.com/ui/#object/sent_email__v/VBLZ025E82GMZ87", "SE-000269177")</f>
        <v>SE-000269177</v>
      </c>
      <c r="D2081" s="1">
        <v>45915.941666666666</v>
      </c>
      <c r="E2081" s="2">
        <v>1</v>
      </c>
      <c r="F2081" s="2">
        <v>1</v>
      </c>
      <c r="G2081" s="2">
        <v>0</v>
      </c>
      <c r="H2081" s="1" t="s">
        <v>0</v>
      </c>
      <c r="I2081" s="2">
        <v>0</v>
      </c>
      <c r="J2081" s="1">
        <v>45915.377870370372</v>
      </c>
    </row>
    <row r="2082" spans="1:10" x14ac:dyDescent="0.2">
      <c r="A2082" s="4" t="s">
        <v>1</v>
      </c>
      <c r="B2082" s="3" t="str">
        <f>HYPERLINK("https://otsuka-europe-crm.veevavault.com/ui/#object/approved_document__v/V5OZ025E82TFUPI", "Spain - HCP Survey Email - June 2025")</f>
        <v>Spain - HCP Survey Email - June 2025</v>
      </c>
      <c r="C2082" s="3" t="str">
        <f>HYPERLINK("https://otsuka-europe-crm.veevavault.com/ui/#object/sent_email__v/VBLZ025E82GMZ88", "SE-000269178")</f>
        <v>SE-000269178</v>
      </c>
      <c r="D2082" s="1" t="s">
        <v>0</v>
      </c>
      <c r="E2082" s="2">
        <v>0</v>
      </c>
      <c r="F2082" s="2">
        <v>0</v>
      </c>
      <c r="G2082" s="2">
        <v>0</v>
      </c>
      <c r="H2082" s="1" t="s">
        <v>0</v>
      </c>
      <c r="I2082" s="2">
        <v>0</v>
      </c>
      <c r="J2082" s="1">
        <v>45915.377581018518</v>
      </c>
    </row>
    <row r="2083" spans="1:10" x14ac:dyDescent="0.2">
      <c r="A2083" s="4" t="s">
        <v>1</v>
      </c>
      <c r="B2083" s="3" t="str">
        <f>HYPERLINK("https://otsuka-europe-crm.veevavault.com/ui/#object/approved_document__v/V5OZ025E82TFUPI", "Spain - HCP Survey Email - June 2025")</f>
        <v>Spain - HCP Survey Email - June 2025</v>
      </c>
      <c r="C2083" s="3" t="str">
        <f>HYPERLINK("https://otsuka-europe-crm.veevavault.com/ui/#object/sent_email__v/VBLZ025E82GMZ89", "SE-000269179")</f>
        <v>SE-000269179</v>
      </c>
      <c r="D2083" s="1" t="s">
        <v>0</v>
      </c>
      <c r="E2083" s="2">
        <v>0</v>
      </c>
      <c r="F2083" s="2">
        <v>0</v>
      </c>
      <c r="G2083" s="2">
        <v>0</v>
      </c>
      <c r="H2083" s="1" t="s">
        <v>0</v>
      </c>
      <c r="I2083" s="2">
        <v>0</v>
      </c>
      <c r="J2083" s="1">
        <v>45915.377962962964</v>
      </c>
    </row>
    <row r="2084" spans="1:10" x14ac:dyDescent="0.2">
      <c r="A2084" s="4" t="s">
        <v>1</v>
      </c>
      <c r="B2084" s="3" t="str">
        <f>HYPERLINK("https://otsuka-europe-crm.veevavault.com/ui/#object/approved_document__v/V5OZ025E82TFUPI", "Spain - HCP Survey Email - June 2025")</f>
        <v>Spain - HCP Survey Email - June 2025</v>
      </c>
      <c r="C2084" s="3" t="str">
        <f>HYPERLINK("https://otsuka-europe-crm.veevavault.com/ui/#object/sent_email__v/VBLZ025E82GMZ8A", "SE-000269180")</f>
        <v>SE-000269180</v>
      </c>
      <c r="D2084" s="1" t="s">
        <v>0</v>
      </c>
      <c r="E2084" s="2">
        <v>0</v>
      </c>
      <c r="F2084" s="2">
        <v>0</v>
      </c>
      <c r="G2084" s="2">
        <v>0</v>
      </c>
      <c r="H2084" s="1" t="s">
        <v>0</v>
      </c>
      <c r="I2084" s="2">
        <v>0</v>
      </c>
      <c r="J2084" s="1">
        <v>45915.379131944443</v>
      </c>
    </row>
    <row r="2085" spans="1:10" x14ac:dyDescent="0.2">
      <c r="A2085" s="4" t="s">
        <v>1</v>
      </c>
      <c r="B2085" s="3" t="str">
        <f>HYPERLINK("https://otsuka-europe-crm.veevavault.com/ui/#object/approved_document__v/V5OZ025E82TFUPI", "Spain - HCP Survey Email - June 2025")</f>
        <v>Spain - HCP Survey Email - June 2025</v>
      </c>
      <c r="C2085" s="3" t="str">
        <f>HYPERLINK("https://otsuka-europe-crm.veevavault.com/ui/#object/sent_email__v/VBLZ025E82GMZ8B", "SE-000269181")</f>
        <v>SE-000269181</v>
      </c>
      <c r="D2085" s="1">
        <v>45921.754907407405</v>
      </c>
      <c r="E2085" s="2">
        <v>1</v>
      </c>
      <c r="F2085" s="2">
        <v>2</v>
      </c>
      <c r="G2085" s="2">
        <v>0</v>
      </c>
      <c r="H2085" s="1" t="s">
        <v>0</v>
      </c>
      <c r="I2085" s="2">
        <v>0</v>
      </c>
      <c r="J2085" s="1">
        <v>45915.379699074074</v>
      </c>
    </row>
    <row r="2086" spans="1:10" x14ac:dyDescent="0.2">
      <c r="A2086" s="4" t="s">
        <v>1</v>
      </c>
      <c r="B2086" s="3" t="str">
        <f>HYPERLINK("https://otsuka-europe-crm.veevavault.com/ui/#object/approved_document__v/V5OZ025E82TFUPI", "Spain - HCP Survey Email - June 2025")</f>
        <v>Spain - HCP Survey Email - June 2025</v>
      </c>
      <c r="C2086" s="3" t="str">
        <f>HYPERLINK("https://otsuka-europe-crm.veevavault.com/ui/#object/sent_email__v/VBLZ025E82GMZ8C", "SE-000269182")</f>
        <v>SE-000269182</v>
      </c>
      <c r="D2086" s="1" t="s">
        <v>0</v>
      </c>
      <c r="E2086" s="2">
        <v>0</v>
      </c>
      <c r="F2086" s="2">
        <v>0</v>
      </c>
      <c r="G2086" s="2">
        <v>0</v>
      </c>
      <c r="H2086" s="1" t="s">
        <v>0</v>
      </c>
      <c r="I2086" s="2">
        <v>0</v>
      </c>
      <c r="J2086" s="1">
        <v>45915.37945601852</v>
      </c>
    </row>
    <row r="2087" spans="1:10" x14ac:dyDescent="0.2">
      <c r="A2087" s="4" t="s">
        <v>1</v>
      </c>
      <c r="B2087" s="3" t="str">
        <f>HYPERLINK("https://otsuka-europe-crm.veevavault.com/ui/#object/approved_document__v/V5OZ025E82TFUPI", "Spain - HCP Survey Email - June 2025")</f>
        <v>Spain - HCP Survey Email - June 2025</v>
      </c>
      <c r="C2087" s="3" t="str">
        <f>HYPERLINK("https://otsuka-europe-crm.veevavault.com/ui/#object/sent_email__v/VBLZ025E82GMZ8D", "SE-000269183")</f>
        <v>SE-000269183</v>
      </c>
      <c r="D2087" s="1" t="s">
        <v>0</v>
      </c>
      <c r="E2087" s="2">
        <v>0</v>
      </c>
      <c r="F2087" s="2">
        <v>0</v>
      </c>
      <c r="G2087" s="2">
        <v>0</v>
      </c>
      <c r="H2087" s="1" t="s">
        <v>0</v>
      </c>
      <c r="I2087" s="2">
        <v>0</v>
      </c>
      <c r="J2087" s="1">
        <v>45915.377581018518</v>
      </c>
    </row>
    <row r="2088" spans="1:10" x14ac:dyDescent="0.2">
      <c r="A2088" s="4" t="s">
        <v>1</v>
      </c>
      <c r="B2088" s="3" t="str">
        <f>HYPERLINK("https://otsuka-europe-crm.veevavault.com/ui/#object/approved_document__v/V5OZ025E82TFUPI", "Spain - HCP Survey Email - June 2025")</f>
        <v>Spain - HCP Survey Email - June 2025</v>
      </c>
      <c r="C2088" s="3" t="str">
        <f>HYPERLINK("https://otsuka-europe-crm.veevavault.com/ui/#object/sent_email__v/VBLZ025E82GMZ8E", "SE-000269184")</f>
        <v>SE-000269184</v>
      </c>
      <c r="D2088" s="1">
        <v>46044.744074074071</v>
      </c>
      <c r="E2088" s="2">
        <v>1</v>
      </c>
      <c r="F2088" s="2">
        <v>4</v>
      </c>
      <c r="G2088" s="2">
        <v>0</v>
      </c>
      <c r="H2088" s="1" t="s">
        <v>0</v>
      </c>
      <c r="I2088" s="2">
        <v>0</v>
      </c>
      <c r="J2088" s="1">
        <v>45915.37835648148</v>
      </c>
    </row>
    <row r="2089" spans="1:10" x14ac:dyDescent="0.2">
      <c r="A2089" s="4" t="s">
        <v>1</v>
      </c>
      <c r="B2089" s="3" t="str">
        <f>HYPERLINK("https://otsuka-europe-crm.veevavault.com/ui/#object/approved_document__v/V5OZ025E82TFUPI", "Spain - HCP Survey Email - June 2025")</f>
        <v>Spain - HCP Survey Email - June 2025</v>
      </c>
      <c r="C2089" s="3" t="str">
        <f>HYPERLINK("https://otsuka-europe-crm.veevavault.com/ui/#object/sent_email__v/VBLZ025E82GMZ8F", "SE-000269185")</f>
        <v>SE-000269185</v>
      </c>
      <c r="D2089" s="1" t="s">
        <v>0</v>
      </c>
      <c r="E2089" s="2">
        <v>0</v>
      </c>
      <c r="F2089" s="2">
        <v>0</v>
      </c>
      <c r="G2089" s="2">
        <v>0</v>
      </c>
      <c r="H2089" s="1" t="s">
        <v>0</v>
      </c>
      <c r="I2089" s="2">
        <v>0</v>
      </c>
      <c r="J2089" s="1">
        <v>45915.378761574073</v>
      </c>
    </row>
    <row r="2090" spans="1:10" x14ac:dyDescent="0.2">
      <c r="A2090" s="4" t="s">
        <v>1</v>
      </c>
      <c r="B2090" s="3" t="str">
        <f>HYPERLINK("https://otsuka-europe-crm.veevavault.com/ui/#object/approved_document__v/V5OZ025E82TFUPI", "Spain - HCP Survey Email - June 2025")</f>
        <v>Spain - HCP Survey Email - June 2025</v>
      </c>
      <c r="C2090" s="3" t="str">
        <f>HYPERLINK("https://otsuka-europe-crm.veevavault.com/ui/#object/sent_email__v/VBLZ025E82GMZ8G", "SE-000269186")</f>
        <v>SE-000269186</v>
      </c>
      <c r="D2090" s="1">
        <v>45942.951585648145</v>
      </c>
      <c r="E2090" s="2">
        <v>1</v>
      </c>
      <c r="F2090" s="2">
        <v>2</v>
      </c>
      <c r="G2090" s="2">
        <v>1</v>
      </c>
      <c r="H2090" s="1">
        <v>45915.509270833332</v>
      </c>
      <c r="I2090" s="2">
        <v>1</v>
      </c>
      <c r="J2090" s="1">
        <v>45915.378692129627</v>
      </c>
    </row>
    <row r="2091" spans="1:10" x14ac:dyDescent="0.2">
      <c r="A2091" s="4" t="s">
        <v>1</v>
      </c>
      <c r="B2091" s="3" t="str">
        <f>HYPERLINK("https://otsuka-europe-crm.veevavault.com/ui/#object/approved_document__v/V5OZ025E82TFUPI", "Spain - HCP Survey Email - June 2025")</f>
        <v>Spain - HCP Survey Email - June 2025</v>
      </c>
      <c r="C2091" s="3" t="str">
        <f>HYPERLINK("https://otsuka-europe-crm.veevavault.com/ui/#object/sent_email__v/VBLZ025E82GMZ8H", "SE-000269187")</f>
        <v>SE-000269187</v>
      </c>
      <c r="D2091" s="1">
        <v>45918.747060185182</v>
      </c>
      <c r="E2091" s="2">
        <v>1</v>
      </c>
      <c r="F2091" s="2">
        <v>2</v>
      </c>
      <c r="G2091" s="2">
        <v>1</v>
      </c>
      <c r="H2091" s="1">
        <v>45915.382337962961</v>
      </c>
      <c r="I2091" s="2">
        <v>1</v>
      </c>
      <c r="J2091" s="1">
        <v>45915.379189814812</v>
      </c>
    </row>
    <row r="2092" spans="1:10" x14ac:dyDescent="0.2">
      <c r="A2092" s="4" t="s">
        <v>1</v>
      </c>
      <c r="B2092" s="3" t="str">
        <f>HYPERLINK("https://otsuka-europe-crm.veevavault.com/ui/#object/approved_document__v/V5OZ025E82TFUPI", "Spain - HCP Survey Email - June 2025")</f>
        <v>Spain - HCP Survey Email - June 2025</v>
      </c>
      <c r="C2092" s="3" t="str">
        <f>HYPERLINK("https://otsuka-europe-crm.veevavault.com/ui/#object/sent_email__v/VBLZ025E82GMZ8I", "SE-000269188")</f>
        <v>SE-000269188</v>
      </c>
      <c r="D2092" s="1">
        <v>45921.804386574076</v>
      </c>
      <c r="E2092" s="2">
        <v>1</v>
      </c>
      <c r="F2092" s="2">
        <v>2</v>
      </c>
      <c r="G2092" s="2">
        <v>0</v>
      </c>
      <c r="H2092" s="1" t="s">
        <v>0</v>
      </c>
      <c r="I2092" s="2">
        <v>0</v>
      </c>
      <c r="J2092" s="1">
        <v>45915.377916666665</v>
      </c>
    </row>
    <row r="2093" spans="1:10" x14ac:dyDescent="0.2">
      <c r="A2093" s="4" t="s">
        <v>1</v>
      </c>
      <c r="B2093" s="3" t="str">
        <f>HYPERLINK("https://otsuka-europe-crm.veevavault.com/ui/#object/approved_document__v/V5OZ025E82TFUPI", "Spain - HCP Survey Email - June 2025")</f>
        <v>Spain - HCP Survey Email - June 2025</v>
      </c>
      <c r="C2093" s="3" t="str">
        <f>HYPERLINK("https://otsuka-europe-crm.veevavault.com/ui/#object/sent_email__v/VBLZ025E82GMZ8J", "SE-000269189")</f>
        <v>SE-000269189</v>
      </c>
      <c r="D2093" s="1">
        <v>45916.713854166665</v>
      </c>
      <c r="E2093" s="2">
        <v>1</v>
      </c>
      <c r="F2093" s="2">
        <v>1</v>
      </c>
      <c r="G2093" s="2">
        <v>0</v>
      </c>
      <c r="H2093" s="1" t="s">
        <v>0</v>
      </c>
      <c r="I2093" s="2">
        <v>0</v>
      </c>
      <c r="J2093" s="1">
        <v>45915.377627314818</v>
      </c>
    </row>
    <row r="2094" spans="1:10" x14ac:dyDescent="0.2">
      <c r="A2094" s="4" t="s">
        <v>1</v>
      </c>
      <c r="B2094" s="3" t="str">
        <f>HYPERLINK("https://otsuka-europe-crm.veevavault.com/ui/#object/approved_document__v/V5OZ025E82TFUPI", "Spain - HCP Survey Email - June 2025")</f>
        <v>Spain - HCP Survey Email - June 2025</v>
      </c>
      <c r="C2094" s="3" t="str">
        <f>HYPERLINK("https://otsuka-europe-crm.veevavault.com/ui/#object/sent_email__v/VBLZ025E82GMZ8K", "SE-000269190")</f>
        <v>SE-000269190</v>
      </c>
      <c r="D2094" s="1" t="s">
        <v>0</v>
      </c>
      <c r="E2094" s="2">
        <v>0</v>
      </c>
      <c r="F2094" s="2">
        <v>0</v>
      </c>
      <c r="G2094" s="2">
        <v>0</v>
      </c>
      <c r="H2094" s="1" t="s">
        <v>0</v>
      </c>
      <c r="I2094" s="2">
        <v>0</v>
      </c>
      <c r="J2094" s="1">
        <v>45915.377997685187</v>
      </c>
    </row>
    <row r="2095" spans="1:10" x14ac:dyDescent="0.2">
      <c r="A2095" s="4" t="s">
        <v>1</v>
      </c>
      <c r="B2095" s="3" t="str">
        <f>HYPERLINK("https://otsuka-europe-crm.veevavault.com/ui/#object/approved_document__v/V5OZ025E82TFUPI", "Spain - HCP Survey Email - June 2025")</f>
        <v>Spain - HCP Survey Email - June 2025</v>
      </c>
      <c r="C2095" s="3" t="str">
        <f>HYPERLINK("https://otsuka-europe-crm.veevavault.com/ui/#object/sent_email__v/VBLZ025E82GMZ8L", "SE-000269191")</f>
        <v>SE-000269191</v>
      </c>
      <c r="D2095" s="1" t="s">
        <v>0</v>
      </c>
      <c r="E2095" s="2">
        <v>0</v>
      </c>
      <c r="F2095" s="2">
        <v>0</v>
      </c>
      <c r="G2095" s="2">
        <v>0</v>
      </c>
      <c r="H2095" s="1" t="s">
        <v>0</v>
      </c>
      <c r="I2095" s="2">
        <v>0</v>
      </c>
      <c r="J2095" s="1">
        <v>45915.378981481481</v>
      </c>
    </row>
    <row r="2096" spans="1:10" x14ac:dyDescent="0.2">
      <c r="A2096" s="4" t="s">
        <v>1</v>
      </c>
      <c r="B2096" s="3" t="str">
        <f>HYPERLINK("https://otsuka-europe-crm.veevavault.com/ui/#object/approved_document__v/V5OZ025E82TFUPI", "Spain - HCP Survey Email - June 2025")</f>
        <v>Spain - HCP Survey Email - June 2025</v>
      </c>
      <c r="C2096" s="3" t="str">
        <f>HYPERLINK("https://otsuka-europe-crm.veevavault.com/ui/#object/sent_email__v/VBLZ025E82GMZ8M", "SE-000269192")</f>
        <v>SE-000269192</v>
      </c>
      <c r="D2096" s="1">
        <v>45915.383599537039</v>
      </c>
      <c r="E2096" s="2">
        <v>1</v>
      </c>
      <c r="F2096" s="2">
        <v>1</v>
      </c>
      <c r="G2096" s="2">
        <v>0</v>
      </c>
      <c r="H2096" s="1" t="s">
        <v>0</v>
      </c>
      <c r="I2096" s="2">
        <v>0</v>
      </c>
      <c r="J2096" s="1">
        <v>45915.379780092589</v>
      </c>
    </row>
    <row r="2097" spans="1:10" x14ac:dyDescent="0.2">
      <c r="A2097" s="4" t="s">
        <v>1</v>
      </c>
      <c r="B2097" s="3" t="str">
        <f>HYPERLINK("https://otsuka-europe-crm.veevavault.com/ui/#object/approved_document__v/V5OZ025E82TFUPI", "Spain - HCP Survey Email - June 2025")</f>
        <v>Spain - HCP Survey Email - June 2025</v>
      </c>
      <c r="C2097" s="3" t="str">
        <f>HYPERLINK("https://otsuka-europe-crm.veevavault.com/ui/#object/sent_email__v/VBLZ025E82GMZ8N", "SE-000269193")</f>
        <v>SE-000269193</v>
      </c>
      <c r="D2097" s="1" t="s">
        <v>0</v>
      </c>
      <c r="E2097" s="2">
        <v>0</v>
      </c>
      <c r="F2097" s="2">
        <v>0</v>
      </c>
      <c r="G2097" s="2">
        <v>0</v>
      </c>
      <c r="H2097" s="1" t="s">
        <v>0</v>
      </c>
      <c r="I2097" s="2">
        <v>0</v>
      </c>
      <c r="J2097" s="1">
        <v>45915.379513888889</v>
      </c>
    </row>
    <row r="2098" spans="1:10" x14ac:dyDescent="0.2">
      <c r="A2098" s="4" t="s">
        <v>1</v>
      </c>
      <c r="B2098" s="3" t="str">
        <f>HYPERLINK("https://otsuka-europe-crm.veevavault.com/ui/#object/approved_document__v/V5OZ025E82TFUPI", "Spain - HCP Survey Email - June 2025")</f>
        <v>Spain - HCP Survey Email - June 2025</v>
      </c>
      <c r="C2098" s="3" t="str">
        <f>HYPERLINK("https://otsuka-europe-crm.veevavault.com/ui/#object/sent_email__v/VBLZ025E82GMZ8O", "SE-000269194")</f>
        <v>SE-000269194</v>
      </c>
      <c r="D2098" s="1">
        <v>45915.378449074073</v>
      </c>
      <c r="E2098" s="2">
        <v>1</v>
      </c>
      <c r="F2098" s="2">
        <v>1</v>
      </c>
      <c r="G2098" s="2">
        <v>1</v>
      </c>
      <c r="H2098" s="1">
        <v>45915.378657407404</v>
      </c>
      <c r="I2098" s="2">
        <v>2</v>
      </c>
      <c r="J2098" s="1">
        <v>45915.377442129633</v>
      </c>
    </row>
    <row r="2099" spans="1:10" x14ac:dyDescent="0.2">
      <c r="A2099" s="4" t="s">
        <v>1</v>
      </c>
      <c r="B2099" s="3" t="str">
        <f>HYPERLINK("https://otsuka-europe-crm.veevavault.com/ui/#object/approved_document__v/V5OZ025E82TFUPI", "Spain - HCP Survey Email - June 2025")</f>
        <v>Spain - HCP Survey Email - June 2025</v>
      </c>
      <c r="C2099" s="3" t="str">
        <f>HYPERLINK("https://otsuka-europe-crm.veevavault.com/ui/#object/sent_email__v/VBLZ025E82GMZ8P", "SE-000269195")</f>
        <v>SE-000269195</v>
      </c>
      <c r="D2099" s="1">
        <v>45935.411585648151</v>
      </c>
      <c r="E2099" s="2">
        <v>1</v>
      </c>
      <c r="F2099" s="2">
        <v>1</v>
      </c>
      <c r="G2099" s="2">
        <v>0</v>
      </c>
      <c r="H2099" s="1" t="s">
        <v>0</v>
      </c>
      <c r="I2099" s="2">
        <v>0</v>
      </c>
      <c r="J2099" s="1">
        <v>45915.378298611111</v>
      </c>
    </row>
    <row r="2100" spans="1:10" x14ac:dyDescent="0.2">
      <c r="A2100" s="4" t="s">
        <v>1</v>
      </c>
      <c r="B2100" s="3" t="str">
        <f>HYPERLINK("https://otsuka-europe-crm.veevavault.com/ui/#object/approved_document__v/V5OZ025E82TFUPI", "Spain - HCP Survey Email - June 2025")</f>
        <v>Spain - HCP Survey Email - June 2025</v>
      </c>
      <c r="C2100" s="3" t="str">
        <f>HYPERLINK("https://otsuka-europe-crm.veevavault.com/ui/#object/sent_email__v/VBLZ025E82GMZ8Q", "SE-000269196")</f>
        <v>SE-000269196</v>
      </c>
      <c r="D2100" s="1" t="s">
        <v>0</v>
      </c>
      <c r="E2100" s="2">
        <v>0</v>
      </c>
      <c r="F2100" s="2">
        <v>0</v>
      </c>
      <c r="G2100" s="2">
        <v>0</v>
      </c>
      <c r="H2100" s="1" t="s">
        <v>0</v>
      </c>
      <c r="I2100" s="2">
        <v>0</v>
      </c>
      <c r="J2100" s="1">
        <v>45915.378842592596</v>
      </c>
    </row>
    <row r="2101" spans="1:10" x14ac:dyDescent="0.2">
      <c r="A2101" s="4" t="s">
        <v>1</v>
      </c>
      <c r="B2101" s="3" t="str">
        <f>HYPERLINK("https://otsuka-europe-crm.veevavault.com/ui/#object/approved_document__v/V5OZ025E82TFUPI", "Spain - HCP Survey Email - June 2025")</f>
        <v>Spain - HCP Survey Email - June 2025</v>
      </c>
      <c r="C2101" s="3" t="str">
        <f>HYPERLINK("https://otsuka-europe-crm.veevavault.com/ui/#object/sent_email__v/VBLZ025E82GMZ8R", "SE-000269197")</f>
        <v>SE-000269197</v>
      </c>
      <c r="D2101" s="1">
        <v>45915.650891203702</v>
      </c>
      <c r="E2101" s="2">
        <v>1</v>
      </c>
      <c r="F2101" s="2">
        <v>2</v>
      </c>
      <c r="G2101" s="2">
        <v>0</v>
      </c>
      <c r="H2101" s="1" t="s">
        <v>0</v>
      </c>
      <c r="I2101" s="2">
        <v>0</v>
      </c>
      <c r="J2101" s="1">
        <v>45915.37871527778</v>
      </c>
    </row>
    <row r="2102" spans="1:10" x14ac:dyDescent="0.2">
      <c r="A2102" s="4" t="s">
        <v>1</v>
      </c>
      <c r="B2102" s="3" t="str">
        <f>HYPERLINK("https://otsuka-europe-crm.veevavault.com/ui/#object/approved_document__v/V5OZ025E82TFUPI", "Spain - HCP Survey Email - June 2025")</f>
        <v>Spain - HCP Survey Email - June 2025</v>
      </c>
      <c r="C2102" s="3" t="str">
        <f>HYPERLINK("https://otsuka-europe-crm.veevavault.com/ui/#object/sent_email__v/VBLZ025E82GMZ8S", "SE-000269198")</f>
        <v>SE-000269198</v>
      </c>
      <c r="D2102" s="1">
        <v>45923.678831018522</v>
      </c>
      <c r="E2102" s="2">
        <v>1</v>
      </c>
      <c r="F2102" s="2">
        <v>1</v>
      </c>
      <c r="G2102" s="2">
        <v>0</v>
      </c>
      <c r="H2102" s="1" t="s">
        <v>0</v>
      </c>
      <c r="I2102" s="2">
        <v>0</v>
      </c>
      <c r="J2102" s="1">
        <v>45915.37909722222</v>
      </c>
    </row>
    <row r="2103" spans="1:10" x14ac:dyDescent="0.2">
      <c r="A2103" s="4" t="s">
        <v>1</v>
      </c>
      <c r="B2103" s="3" t="str">
        <f>HYPERLINK("https://otsuka-europe-crm.veevavault.com/ui/#object/approved_document__v/V5OZ025E82TFUPI", "Spain - HCP Survey Email - June 2025")</f>
        <v>Spain - HCP Survey Email - June 2025</v>
      </c>
      <c r="C2103" s="3" t="str">
        <f>HYPERLINK("https://otsuka-europe-crm.veevavault.com/ui/#object/sent_email__v/VBLZ025E82GMZ8T", "SE-000269199")</f>
        <v>SE-000269199</v>
      </c>
      <c r="D2103" s="1" t="s">
        <v>0</v>
      </c>
      <c r="E2103" s="2">
        <v>0</v>
      </c>
      <c r="F2103" s="2">
        <v>0</v>
      </c>
      <c r="G2103" s="2">
        <v>0</v>
      </c>
      <c r="H2103" s="1" t="s">
        <v>0</v>
      </c>
      <c r="I2103" s="2">
        <v>0</v>
      </c>
      <c r="J2103" s="1">
        <v>45915.377847222226</v>
      </c>
    </row>
    <row r="2104" spans="1:10" x14ac:dyDescent="0.2">
      <c r="A2104" s="4" t="s">
        <v>1</v>
      </c>
      <c r="B2104" s="3" t="str">
        <f>HYPERLINK("https://otsuka-europe-crm.veevavault.com/ui/#object/approved_document__v/V5OZ025E82TFUPI", "Spain - HCP Survey Email - June 2025")</f>
        <v>Spain - HCP Survey Email - June 2025</v>
      </c>
      <c r="C2104" s="3" t="str">
        <f>HYPERLINK("https://otsuka-europe-crm.veevavault.com/ui/#object/sent_email__v/VBLZ025E82GMZ8U", "SE-000269200")</f>
        <v>SE-000269200</v>
      </c>
      <c r="D2104" s="1">
        <v>45915.943599537037</v>
      </c>
      <c r="E2104" s="2">
        <v>1</v>
      </c>
      <c r="F2104" s="2">
        <v>3</v>
      </c>
      <c r="G2104" s="2">
        <v>0</v>
      </c>
      <c r="H2104" s="1" t="s">
        <v>0</v>
      </c>
      <c r="I2104" s="2">
        <v>0</v>
      </c>
      <c r="J2104" s="1">
        <v>45915.378252314818</v>
      </c>
    </row>
    <row r="2105" spans="1:10" x14ac:dyDescent="0.2">
      <c r="A2105" s="4" t="s">
        <v>1</v>
      </c>
      <c r="B2105" s="3" t="str">
        <f>HYPERLINK("https://otsuka-europe-crm.veevavault.com/ui/#object/approved_document__v/V5OZ025E82TFUPI", "Spain - HCP Survey Email - June 2025")</f>
        <v>Spain - HCP Survey Email - June 2025</v>
      </c>
      <c r="C2105" s="3" t="str">
        <f>HYPERLINK("https://otsuka-europe-crm.veevavault.com/ui/#object/sent_email__v/VBLZ025E82GMZ8V", "SE-000269201")</f>
        <v>SE-000269201</v>
      </c>
      <c r="D2105" s="1" t="s">
        <v>0</v>
      </c>
      <c r="E2105" s="2">
        <v>0</v>
      </c>
      <c r="F2105" s="2">
        <v>0</v>
      </c>
      <c r="G2105" s="2">
        <v>0</v>
      </c>
      <c r="H2105" s="1" t="s">
        <v>0</v>
      </c>
      <c r="I2105" s="2">
        <v>0</v>
      </c>
      <c r="J2105" s="1">
        <v>45915.378020833334</v>
      </c>
    </row>
    <row r="2106" spans="1:10" x14ac:dyDescent="0.2">
      <c r="A2106" s="4" t="s">
        <v>1</v>
      </c>
      <c r="B2106" s="3" t="str">
        <f>HYPERLINK("https://otsuka-europe-crm.veevavault.com/ui/#object/approved_document__v/V5OZ025E82TFUPI", "Spain - HCP Survey Email - June 2025")</f>
        <v>Spain - HCP Survey Email - June 2025</v>
      </c>
      <c r="C2106" s="3" t="str">
        <f>HYPERLINK("https://otsuka-europe-crm.veevavault.com/ui/#object/sent_email__v/VBLZ025E82GMZ8W", "SE-000269202")</f>
        <v>SE-000269202</v>
      </c>
      <c r="D2106" s="1">
        <v>45921.875648148147</v>
      </c>
      <c r="E2106" s="2">
        <v>1</v>
      </c>
      <c r="F2106" s="2">
        <v>1</v>
      </c>
      <c r="G2106" s="2">
        <v>0</v>
      </c>
      <c r="H2106" s="1" t="s">
        <v>0</v>
      </c>
      <c r="I2106" s="2">
        <v>0</v>
      </c>
      <c r="J2106" s="1">
        <v>45915.378923611112</v>
      </c>
    </row>
    <row r="2107" spans="1:10" x14ac:dyDescent="0.2">
      <c r="A2107" s="4" t="s">
        <v>1</v>
      </c>
      <c r="B2107" s="3" t="str">
        <f>HYPERLINK("https://otsuka-europe-crm.veevavault.com/ui/#object/approved_document__v/V5OZ025E82TFUPI", "Spain - HCP Survey Email - June 2025")</f>
        <v>Spain - HCP Survey Email - June 2025</v>
      </c>
      <c r="C2107" s="3" t="str">
        <f>HYPERLINK("https://otsuka-europe-crm.veevavault.com/ui/#object/sent_email__v/VBLZ025E82GMZ8X", "SE-000269203")</f>
        <v>SE-000269203</v>
      </c>
      <c r="D2107" s="1">
        <v>45916.949259259258</v>
      </c>
      <c r="E2107" s="2">
        <v>1</v>
      </c>
      <c r="F2107" s="2">
        <v>2</v>
      </c>
      <c r="G2107" s="2">
        <v>1</v>
      </c>
      <c r="H2107" s="1">
        <v>45925.290405092594</v>
      </c>
      <c r="I2107" s="2">
        <v>4</v>
      </c>
      <c r="J2107" s="1">
        <v>45915.379699074074</v>
      </c>
    </row>
    <row r="2108" spans="1:10" x14ac:dyDescent="0.2">
      <c r="A2108" s="4" t="s">
        <v>1</v>
      </c>
      <c r="B2108" s="3" t="str">
        <f>HYPERLINK("https://otsuka-europe-crm.veevavault.com/ui/#object/approved_document__v/V5OZ025E82TFUPI", "Spain - HCP Survey Email - June 2025")</f>
        <v>Spain - HCP Survey Email - June 2025</v>
      </c>
      <c r="C2108" s="3" t="str">
        <f>HYPERLINK("https://otsuka-europe-crm.veevavault.com/ui/#object/sent_email__v/VBLZ025E82GMZ8Y", "SE-000269204")</f>
        <v>SE-000269204</v>
      </c>
      <c r="D2108" s="1" t="s">
        <v>0</v>
      </c>
      <c r="E2108" s="2">
        <v>0</v>
      </c>
      <c r="F2108" s="2">
        <v>0</v>
      </c>
      <c r="G2108" s="2">
        <v>0</v>
      </c>
      <c r="H2108" s="1" t="s">
        <v>0</v>
      </c>
      <c r="I2108" s="2">
        <v>0</v>
      </c>
      <c r="J2108" s="1">
        <v>45915.379490740743</v>
      </c>
    </row>
    <row r="2109" spans="1:10" x14ac:dyDescent="0.2">
      <c r="A2109" s="4" t="s">
        <v>1</v>
      </c>
      <c r="B2109" s="3" t="str">
        <f>HYPERLINK("https://otsuka-europe-crm.veevavault.com/ui/#object/approved_document__v/V5OZ025E82TFUPI", "Spain - HCP Survey Email - June 2025")</f>
        <v>Spain - HCP Survey Email - June 2025</v>
      </c>
      <c r="C2109" s="3" t="str">
        <f>HYPERLINK("https://otsuka-europe-crm.veevavault.com/ui/#object/sent_email__v/VBLZ025E82GMZ8Z", "SE-000269205")</f>
        <v>SE-000269205</v>
      </c>
      <c r="D2109" s="1" t="s">
        <v>0</v>
      </c>
      <c r="E2109" s="2">
        <v>0</v>
      </c>
      <c r="F2109" s="2">
        <v>0</v>
      </c>
      <c r="G2109" s="2">
        <v>0</v>
      </c>
      <c r="H2109" s="1" t="s">
        <v>0</v>
      </c>
      <c r="I2109" s="2">
        <v>0</v>
      </c>
      <c r="J2109" s="1">
        <v>45915.377500000002</v>
      </c>
    </row>
    <row r="2110" spans="1:10" x14ac:dyDescent="0.2">
      <c r="A2110" s="4" t="s">
        <v>1</v>
      </c>
      <c r="B2110" s="3" t="str">
        <f>HYPERLINK("https://otsuka-europe-crm.veevavault.com/ui/#object/approved_document__v/V5OZ025E82TFUPI", "Spain - HCP Survey Email - June 2025")</f>
        <v>Spain - HCP Survey Email - June 2025</v>
      </c>
      <c r="C2110" s="3" t="str">
        <f>HYPERLINK("https://otsuka-europe-crm.veevavault.com/ui/#object/sent_email__v/VBLZ025E82GMZ90", "SE-000269206")</f>
        <v>SE-000269206</v>
      </c>
      <c r="D2110" s="1">
        <v>45932.875775462962</v>
      </c>
      <c r="E2110" s="2">
        <v>1</v>
      </c>
      <c r="F2110" s="2">
        <v>6</v>
      </c>
      <c r="G2110" s="2">
        <v>1</v>
      </c>
      <c r="H2110" s="1">
        <v>45915.79855324074</v>
      </c>
      <c r="I2110" s="2">
        <v>1</v>
      </c>
      <c r="J2110" s="1">
        <v>45915.378310185188</v>
      </c>
    </row>
    <row r="2111" spans="1:10" x14ac:dyDescent="0.2">
      <c r="A2111" s="4" t="s">
        <v>1</v>
      </c>
      <c r="B2111" s="3" t="str">
        <f>HYPERLINK("https://otsuka-europe-crm.veevavault.com/ui/#object/approved_document__v/V5OZ025E82TFUPI", "Spain - HCP Survey Email - June 2025")</f>
        <v>Spain - HCP Survey Email - June 2025</v>
      </c>
      <c r="C2111" s="3" t="str">
        <f>HYPERLINK("https://otsuka-europe-crm.veevavault.com/ui/#object/sent_email__v/VBLZ025E82GMZ91", "SE-000269207")</f>
        <v>SE-000269207</v>
      </c>
      <c r="D2111" s="1">
        <v>45916.007847222223</v>
      </c>
      <c r="E2111" s="2">
        <v>1</v>
      </c>
      <c r="F2111" s="2">
        <v>1</v>
      </c>
      <c r="G2111" s="2">
        <v>0</v>
      </c>
      <c r="H2111" s="1" t="s">
        <v>0</v>
      </c>
      <c r="I2111" s="2">
        <v>0</v>
      </c>
      <c r="J2111" s="1">
        <v>45915.378796296296</v>
      </c>
    </row>
    <row r="2112" spans="1:10" x14ac:dyDescent="0.2">
      <c r="A2112" s="4" t="s">
        <v>1</v>
      </c>
      <c r="B2112" s="3" t="str">
        <f>HYPERLINK("https://otsuka-europe-crm.veevavault.com/ui/#object/approved_document__v/V5OZ025E82TFUPI", "Spain - HCP Survey Email - June 2025")</f>
        <v>Spain - HCP Survey Email - June 2025</v>
      </c>
      <c r="C2112" s="3" t="str">
        <f>HYPERLINK("https://otsuka-europe-crm.veevavault.com/ui/#object/sent_email__v/VBLZ025E82GMZ92", "SE-000269208")</f>
        <v>SE-000269208</v>
      </c>
      <c r="D2112" s="1">
        <v>45915.484548611108</v>
      </c>
      <c r="E2112" s="2">
        <v>1</v>
      </c>
      <c r="F2112" s="2">
        <v>2</v>
      </c>
      <c r="G2112" s="2">
        <v>1</v>
      </c>
      <c r="H2112" s="1">
        <v>45915.379247685189</v>
      </c>
      <c r="I2112" s="2">
        <v>1</v>
      </c>
      <c r="J2112" s="1">
        <v>45915.378761574073</v>
      </c>
    </row>
    <row r="2113" spans="1:10" x14ac:dyDescent="0.2">
      <c r="A2113" s="4" t="s">
        <v>1</v>
      </c>
      <c r="B2113" s="3" t="str">
        <f>HYPERLINK("https://otsuka-europe-crm.veevavault.com/ui/#object/approved_document__v/V5OZ025E82TFUPI", "Spain - HCP Survey Email - June 2025")</f>
        <v>Spain - HCP Survey Email - June 2025</v>
      </c>
      <c r="C2113" s="3" t="str">
        <f>HYPERLINK("https://otsuka-europe-crm.veevavault.com/ui/#object/sent_email__v/VBLZ025E82GMZ93", "SE-000269209")</f>
        <v>SE-000269209</v>
      </c>
      <c r="D2113" s="1" t="s">
        <v>0</v>
      </c>
      <c r="E2113" s="2">
        <v>0</v>
      </c>
      <c r="F2113" s="2">
        <v>0</v>
      </c>
      <c r="G2113" s="2">
        <v>0</v>
      </c>
      <c r="H2113" s="1" t="s">
        <v>0</v>
      </c>
      <c r="I2113" s="2">
        <v>0</v>
      </c>
      <c r="J2113" s="1">
        <v>45915.379131944443</v>
      </c>
    </row>
    <row r="2114" spans="1:10" x14ac:dyDescent="0.2">
      <c r="A2114" s="4" t="s">
        <v>1</v>
      </c>
      <c r="B2114" s="3" t="str">
        <f>HYPERLINK("https://otsuka-europe-crm.veevavault.com/ui/#object/approved_document__v/V5OZ025E82TFUPI", "Spain - HCP Survey Email - June 2025")</f>
        <v>Spain - HCP Survey Email - June 2025</v>
      </c>
      <c r="C2114" s="3" t="str">
        <f>HYPERLINK("https://otsuka-europe-crm.veevavault.com/ui/#object/sent_email__v/VBLZ025E82GMZ94", "SE-000269210")</f>
        <v>SE-000269210</v>
      </c>
      <c r="D2114" s="1">
        <v>45915.404687499999</v>
      </c>
      <c r="E2114" s="2">
        <v>1</v>
      </c>
      <c r="F2114" s="2">
        <v>1</v>
      </c>
      <c r="G2114" s="2">
        <v>0</v>
      </c>
      <c r="H2114" s="1" t="s">
        <v>0</v>
      </c>
      <c r="I2114" s="2">
        <v>0</v>
      </c>
      <c r="J2114" s="1">
        <v>45915.37841435185</v>
      </c>
    </row>
    <row r="2115" spans="1:10" x14ac:dyDescent="0.2">
      <c r="A2115" s="4" t="s">
        <v>1</v>
      </c>
      <c r="B2115" s="3" t="str">
        <f>HYPERLINK("https://otsuka-europe-crm.veevavault.com/ui/#object/approved_document__v/V5OZ025E82TFUPI", "Spain - HCP Survey Email - June 2025")</f>
        <v>Spain - HCP Survey Email - June 2025</v>
      </c>
      <c r="C2115" s="3" t="str">
        <f>HYPERLINK("https://otsuka-europe-crm.veevavault.com/ui/#object/sent_email__v/VBLZ025E82GMZ95", "SE-000269211")</f>
        <v>SE-000269211</v>
      </c>
      <c r="D2115" s="1" t="s">
        <v>0</v>
      </c>
      <c r="E2115" s="2">
        <v>0</v>
      </c>
      <c r="F2115" s="2">
        <v>0</v>
      </c>
      <c r="G2115" s="2">
        <v>0</v>
      </c>
      <c r="H2115" s="1" t="s">
        <v>0</v>
      </c>
      <c r="I2115" s="2">
        <v>0</v>
      </c>
      <c r="J2115" s="1">
        <v>45915.378969907404</v>
      </c>
    </row>
    <row r="2116" spans="1:10" x14ac:dyDescent="0.2">
      <c r="A2116" s="4" t="s">
        <v>1</v>
      </c>
      <c r="B2116" s="3" t="str">
        <f>HYPERLINK("https://otsuka-europe-crm.veevavault.com/ui/#object/approved_document__v/V5OZ025E82TFUPI", "Spain - HCP Survey Email - June 2025")</f>
        <v>Spain - HCP Survey Email - June 2025</v>
      </c>
      <c r="C2116" s="3" t="str">
        <f>HYPERLINK("https://otsuka-europe-crm.veevavault.com/ui/#object/sent_email__v/VBLZ025E82GMZ96", "SE-000269212")</f>
        <v>SE-000269212</v>
      </c>
      <c r="D2116" s="1">
        <v>45915.401296296295</v>
      </c>
      <c r="E2116" s="2">
        <v>1</v>
      </c>
      <c r="F2116" s="2">
        <v>1</v>
      </c>
      <c r="G2116" s="2">
        <v>0</v>
      </c>
      <c r="H2116" s="1" t="s">
        <v>0</v>
      </c>
      <c r="I2116" s="2">
        <v>0</v>
      </c>
      <c r="J2116" s="1">
        <v>45915.378703703704</v>
      </c>
    </row>
    <row r="2117" spans="1:10" x14ac:dyDescent="0.2">
      <c r="A2117" s="4" t="s">
        <v>1</v>
      </c>
      <c r="B2117" s="3" t="str">
        <f>HYPERLINK("https://otsuka-europe-crm.veevavault.com/ui/#object/approved_document__v/V5OZ025E82TFUPI", "Spain - HCP Survey Email - June 2025")</f>
        <v>Spain - HCP Survey Email - June 2025</v>
      </c>
      <c r="C2117" s="3" t="str">
        <f>HYPERLINK("https://otsuka-europe-crm.veevavault.com/ui/#object/sent_email__v/VBLZ025E82GMZ97", "SE-000269213")</f>
        <v>SE-000269213</v>
      </c>
      <c r="D2117" s="1">
        <v>45915.713969907411</v>
      </c>
      <c r="E2117" s="2">
        <v>1</v>
      </c>
      <c r="F2117" s="2">
        <v>1</v>
      </c>
      <c r="G2117" s="2">
        <v>1</v>
      </c>
      <c r="H2117" s="1">
        <v>45915.713969907411</v>
      </c>
      <c r="I2117" s="2">
        <v>1</v>
      </c>
      <c r="J2117" s="1">
        <v>45915.37909722222</v>
      </c>
    </row>
    <row r="2118" spans="1:10" x14ac:dyDescent="0.2">
      <c r="A2118" s="4" t="s">
        <v>1</v>
      </c>
      <c r="B2118" s="3" t="str">
        <f>HYPERLINK("https://otsuka-europe-crm.veevavault.com/ui/#object/approved_document__v/V5OZ025E82TFUPI", "Spain - HCP Survey Email - June 2025")</f>
        <v>Spain - HCP Survey Email - June 2025</v>
      </c>
      <c r="C2118" s="3" t="str">
        <f>HYPERLINK("https://otsuka-europe-crm.veevavault.com/ui/#object/sent_email__v/VBLZ025E82GMZ98", "SE-000269214")</f>
        <v>SE-000269214</v>
      </c>
      <c r="D2118" s="1">
        <v>45919.625601851854</v>
      </c>
      <c r="E2118" s="2">
        <v>1</v>
      </c>
      <c r="F2118" s="2">
        <v>3</v>
      </c>
      <c r="G2118" s="2">
        <v>0</v>
      </c>
      <c r="H2118" s="1" t="s">
        <v>0</v>
      </c>
      <c r="I2118" s="2">
        <v>0</v>
      </c>
      <c r="J2118" s="1">
        <v>45915.377916666665</v>
      </c>
    </row>
    <row r="2119" spans="1:10" x14ac:dyDescent="0.2">
      <c r="A2119" s="4" t="s">
        <v>1</v>
      </c>
      <c r="B2119" s="3" t="str">
        <f>HYPERLINK("https://otsuka-europe-crm.veevavault.com/ui/#object/approved_document__v/V5OZ025E82TFUPI", "Spain - HCP Survey Email - June 2025")</f>
        <v>Spain - HCP Survey Email - June 2025</v>
      </c>
      <c r="C2119" s="3" t="str">
        <f>HYPERLINK("https://otsuka-europe-crm.veevavault.com/ui/#object/sent_email__v/VBLZ025E82GMZ99", "SE-000269215")</f>
        <v>SE-000269215</v>
      </c>
      <c r="D2119" s="1" t="s">
        <v>0</v>
      </c>
      <c r="E2119" s="2">
        <v>0</v>
      </c>
      <c r="F2119" s="2">
        <v>0</v>
      </c>
      <c r="G2119" s="2">
        <v>0</v>
      </c>
      <c r="H2119" s="1" t="s">
        <v>0</v>
      </c>
      <c r="I2119" s="2">
        <v>0</v>
      </c>
      <c r="J2119" s="1">
        <v>45915.377592592595</v>
      </c>
    </row>
    <row r="2120" spans="1:10" x14ac:dyDescent="0.2">
      <c r="A2120" s="4" t="s">
        <v>1</v>
      </c>
      <c r="B2120" s="3" t="str">
        <f>HYPERLINK("https://otsuka-europe-crm.veevavault.com/ui/#object/approved_document__v/V5OZ025E82TFUPI", "Spain - HCP Survey Email - June 2025")</f>
        <v>Spain - HCP Survey Email - June 2025</v>
      </c>
      <c r="C2120" s="3" t="str">
        <f>HYPERLINK("https://otsuka-europe-crm.veevavault.com/ui/#object/sent_email__v/VBLZ025E82GMZ9A", "SE-000269216")</f>
        <v>SE-000269216</v>
      </c>
      <c r="D2120" s="1">
        <v>45922.27412037037</v>
      </c>
      <c r="E2120" s="2">
        <v>1</v>
      </c>
      <c r="F2120" s="2">
        <v>1</v>
      </c>
      <c r="G2120" s="2">
        <v>0</v>
      </c>
      <c r="H2120" s="1" t="s">
        <v>0</v>
      </c>
      <c r="I2120" s="2">
        <v>0</v>
      </c>
      <c r="J2120" s="1">
        <v>45915.378067129626</v>
      </c>
    </row>
    <row r="2121" spans="1:10" x14ac:dyDescent="0.2">
      <c r="A2121" s="4" t="s">
        <v>1</v>
      </c>
      <c r="B2121" s="3" t="str">
        <f>HYPERLINK("https://otsuka-europe-crm.veevavault.com/ui/#object/approved_document__v/V5OZ025E82TFUPI", "Spain - HCP Survey Email - June 2025")</f>
        <v>Spain - HCP Survey Email - June 2025</v>
      </c>
      <c r="C2121" s="3" t="str">
        <f>HYPERLINK("https://otsuka-europe-crm.veevavault.com/ui/#object/sent_email__v/VBLZ025E82GMZ9B", "SE-000269217")</f>
        <v>SE-000269217</v>
      </c>
      <c r="D2121" s="1">
        <v>45918.3203125</v>
      </c>
      <c r="E2121" s="2">
        <v>1</v>
      </c>
      <c r="F2121" s="2">
        <v>1</v>
      </c>
      <c r="G2121" s="2">
        <v>1</v>
      </c>
      <c r="H2121" s="1">
        <v>45918.320590277777</v>
      </c>
      <c r="I2121" s="2">
        <v>1</v>
      </c>
      <c r="J2121" s="1">
        <v>45915.37908564815</v>
      </c>
    </row>
    <row r="2122" spans="1:10" x14ac:dyDescent="0.2">
      <c r="A2122" s="4" t="s">
        <v>1</v>
      </c>
      <c r="B2122" s="3" t="str">
        <f>HYPERLINK("https://otsuka-europe-crm.veevavault.com/ui/#object/approved_document__v/V5OZ025E82TFUPI", "Spain - HCP Survey Email - June 2025")</f>
        <v>Spain - HCP Survey Email - June 2025</v>
      </c>
      <c r="C2122" s="3" t="str">
        <f>HYPERLINK("https://otsuka-europe-crm.veevavault.com/ui/#object/sent_email__v/VBLZ025E82GMZ9C", "SE-000269218")</f>
        <v>SE-000269218</v>
      </c>
      <c r="D2122" s="1" t="s">
        <v>0</v>
      </c>
      <c r="E2122" s="2">
        <v>0</v>
      </c>
      <c r="F2122" s="2">
        <v>0</v>
      </c>
      <c r="G2122" s="2">
        <v>0</v>
      </c>
      <c r="H2122" s="1" t="s">
        <v>0</v>
      </c>
      <c r="I2122" s="2">
        <v>0</v>
      </c>
      <c r="J2122" s="1">
        <v>45915.379618055558</v>
      </c>
    </row>
    <row r="2123" spans="1:10" x14ac:dyDescent="0.2">
      <c r="A2123" s="4" t="s">
        <v>1</v>
      </c>
      <c r="B2123" s="3" t="str">
        <f>HYPERLINK("https://otsuka-europe-crm.veevavault.com/ui/#object/approved_document__v/V5OZ025E82TFUPI", "Spain - HCP Survey Email - June 2025")</f>
        <v>Spain - HCP Survey Email - June 2025</v>
      </c>
      <c r="C2123" s="3" t="str">
        <f>HYPERLINK("https://otsuka-europe-crm.veevavault.com/ui/#object/sent_email__v/VBLZ025E82GMZ9D", "SE-000269219")</f>
        <v>SE-000269219</v>
      </c>
      <c r="D2123" s="1">
        <v>45915.446562500001</v>
      </c>
      <c r="E2123" s="2">
        <v>1</v>
      </c>
      <c r="F2123" s="2">
        <v>1</v>
      </c>
      <c r="G2123" s="2">
        <v>0</v>
      </c>
      <c r="H2123" s="1" t="s">
        <v>0</v>
      </c>
      <c r="I2123" s="2">
        <v>0</v>
      </c>
      <c r="J2123" s="1">
        <v>45915.379548611112</v>
      </c>
    </row>
    <row r="2124" spans="1:10" x14ac:dyDescent="0.2">
      <c r="A2124" s="4" t="s">
        <v>1</v>
      </c>
      <c r="B2124" s="3" t="str">
        <f>HYPERLINK("https://otsuka-europe-crm.veevavault.com/ui/#object/approved_document__v/V5OZ025E82TFUPI", "Spain - HCP Survey Email - June 2025")</f>
        <v>Spain - HCP Survey Email - June 2025</v>
      </c>
      <c r="C2124" s="3" t="str">
        <f>HYPERLINK("https://otsuka-europe-crm.veevavault.com/ui/#object/sent_email__v/VBLZ025E82GMZ9E", "SE-000269220")</f>
        <v>SE-000269220</v>
      </c>
      <c r="D2124" s="1" t="s">
        <v>0</v>
      </c>
      <c r="E2124" s="2">
        <v>0</v>
      </c>
      <c r="F2124" s="2">
        <v>0</v>
      </c>
      <c r="G2124" s="2">
        <v>0</v>
      </c>
      <c r="H2124" s="1" t="s">
        <v>0</v>
      </c>
      <c r="I2124" s="2">
        <v>0</v>
      </c>
      <c r="J2124" s="1">
        <v>45915.377500000002</v>
      </c>
    </row>
    <row r="2125" spans="1:10" x14ac:dyDescent="0.2">
      <c r="A2125" s="4" t="s">
        <v>1</v>
      </c>
      <c r="B2125" s="3" t="str">
        <f>HYPERLINK("https://otsuka-europe-crm.veevavault.com/ui/#object/approved_document__v/V5OZ025E82TFUPI", "Spain - HCP Survey Email - June 2025")</f>
        <v>Spain - HCP Survey Email - June 2025</v>
      </c>
      <c r="C2125" s="3" t="str">
        <f>HYPERLINK("https://otsuka-europe-crm.veevavault.com/ui/#object/sent_email__v/VBLZ025E82GMZ9F", "SE-000269221")</f>
        <v>SE-000269221</v>
      </c>
      <c r="D2125" s="1">
        <v>45915.518287037034</v>
      </c>
      <c r="E2125" s="2">
        <v>1</v>
      </c>
      <c r="F2125" s="2">
        <v>1</v>
      </c>
      <c r="G2125" s="2">
        <v>1</v>
      </c>
      <c r="H2125" s="1">
        <v>45915.532118055555</v>
      </c>
      <c r="I2125" s="2">
        <v>1</v>
      </c>
      <c r="J2125" s="1">
        <v>45915.378298611111</v>
      </c>
    </row>
    <row r="2126" spans="1:10" x14ac:dyDescent="0.2">
      <c r="A2126" s="4" t="s">
        <v>1</v>
      </c>
      <c r="B2126" s="3" t="str">
        <f>HYPERLINK("https://otsuka-europe-crm.veevavault.com/ui/#object/approved_document__v/V5OZ025E82TFUPI", "Spain - HCP Survey Email - June 2025")</f>
        <v>Spain - HCP Survey Email - June 2025</v>
      </c>
      <c r="C2126" s="3" t="str">
        <f>HYPERLINK("https://otsuka-europe-crm.veevavault.com/ui/#object/sent_email__v/VBLZ025E82GMZ9G", "SE-000269222")</f>
        <v>SE-000269222</v>
      </c>
      <c r="D2126" s="1" t="s">
        <v>0</v>
      </c>
      <c r="E2126" s="2">
        <v>0</v>
      </c>
      <c r="F2126" s="2">
        <v>0</v>
      </c>
      <c r="G2126" s="2">
        <v>0</v>
      </c>
      <c r="H2126" s="1" t="s">
        <v>0</v>
      </c>
      <c r="I2126" s="2">
        <v>0</v>
      </c>
      <c r="J2126" s="1">
        <v>45915.378854166665</v>
      </c>
    </row>
    <row r="2127" spans="1:10" x14ac:dyDescent="0.2">
      <c r="A2127" s="4" t="s">
        <v>1</v>
      </c>
      <c r="B2127" s="3" t="str">
        <f>HYPERLINK("https://otsuka-europe-crm.veevavault.com/ui/#object/approved_document__v/V5OZ025E82TFUPI", "Spain - HCP Survey Email - June 2025")</f>
        <v>Spain - HCP Survey Email - June 2025</v>
      </c>
      <c r="C2127" s="3" t="str">
        <f>HYPERLINK("https://otsuka-europe-crm.veevavault.com/ui/#object/sent_email__v/VBLZ025E82GMZ9H", "SE-000269223")</f>
        <v>SE-000269223</v>
      </c>
      <c r="D2127" s="1" t="s">
        <v>0</v>
      </c>
      <c r="E2127" s="2">
        <v>0</v>
      </c>
      <c r="F2127" s="2">
        <v>0</v>
      </c>
      <c r="G2127" s="2">
        <v>0</v>
      </c>
      <c r="H2127" s="1" t="s">
        <v>0</v>
      </c>
      <c r="I2127" s="2">
        <v>0</v>
      </c>
      <c r="J2127" s="1">
        <v>45915.378611111111</v>
      </c>
    </row>
    <row r="2128" spans="1:10" x14ac:dyDescent="0.2">
      <c r="A2128" s="4" t="s">
        <v>1</v>
      </c>
      <c r="B2128" s="3" t="str">
        <f>HYPERLINK("https://otsuka-europe-crm.veevavault.com/ui/#object/approved_document__v/V5OZ025E82TFUPI", "Spain - HCP Survey Email - June 2025")</f>
        <v>Spain - HCP Survey Email - June 2025</v>
      </c>
      <c r="C2128" s="3" t="str">
        <f>HYPERLINK("https://otsuka-europe-crm.veevavault.com/ui/#object/sent_email__v/VBLZ025E82GMZ9I", "SE-000269224")</f>
        <v>SE-000269224</v>
      </c>
      <c r="D2128" s="1">
        <v>45915.413506944446</v>
      </c>
      <c r="E2128" s="2">
        <v>1</v>
      </c>
      <c r="F2128" s="2">
        <v>1</v>
      </c>
      <c r="G2128" s="2">
        <v>0</v>
      </c>
      <c r="H2128" s="1" t="s">
        <v>0</v>
      </c>
      <c r="I2128" s="2">
        <v>0</v>
      </c>
      <c r="J2128" s="1">
        <v>45915.379120370373</v>
      </c>
    </row>
    <row r="2129" spans="1:10" x14ac:dyDescent="0.2">
      <c r="A2129" s="4" t="s">
        <v>1</v>
      </c>
      <c r="B2129" s="3" t="str">
        <f>HYPERLINK("https://otsuka-europe-crm.veevavault.com/ui/#object/approved_document__v/V5OZ025E82TFUPI", "Spain - HCP Survey Email - June 2025")</f>
        <v>Spain - HCP Survey Email - June 2025</v>
      </c>
      <c r="C2129" s="3" t="str">
        <f>HYPERLINK("https://otsuka-europe-crm.veevavault.com/ui/#object/sent_email__v/VBLZ025E82GMZ9J", "SE-000269225")</f>
        <v>SE-000269225</v>
      </c>
      <c r="D2129" s="1" t="s">
        <v>0</v>
      </c>
      <c r="E2129" s="2">
        <v>0</v>
      </c>
      <c r="F2129" s="2">
        <v>0</v>
      </c>
      <c r="G2129" s="2">
        <v>0</v>
      </c>
      <c r="H2129" s="1" t="s">
        <v>0</v>
      </c>
      <c r="I2129" s="2">
        <v>0</v>
      </c>
      <c r="J2129" s="1">
        <v>45915.377835648149</v>
      </c>
    </row>
    <row r="2130" spans="1:10" x14ac:dyDescent="0.2">
      <c r="A2130" s="4" t="s">
        <v>1</v>
      </c>
      <c r="B2130" s="3" t="str">
        <f>HYPERLINK("https://otsuka-europe-crm.veevavault.com/ui/#object/approved_document__v/V5OZ025E82TFUPI", "Spain - HCP Survey Email - June 2025")</f>
        <v>Spain - HCP Survey Email - June 2025</v>
      </c>
      <c r="C2130" s="3" t="str">
        <f>HYPERLINK("https://otsuka-europe-crm.veevavault.com/ui/#object/sent_email__v/VBLZ025E82GMZ9K", "SE-000269226")</f>
        <v>SE-000269226</v>
      </c>
      <c r="D2130" s="1">
        <v>45916.646099537036</v>
      </c>
      <c r="E2130" s="2">
        <v>1</v>
      </c>
      <c r="F2130" s="2">
        <v>1</v>
      </c>
      <c r="G2130" s="2">
        <v>0</v>
      </c>
      <c r="H2130" s="1" t="s">
        <v>0</v>
      </c>
      <c r="I2130" s="2">
        <v>0</v>
      </c>
      <c r="J2130" s="1">
        <v>45915.377581018518</v>
      </c>
    </row>
    <row r="2131" spans="1:10" x14ac:dyDescent="0.2">
      <c r="A2131" s="4" t="s">
        <v>1</v>
      </c>
      <c r="B2131" s="3" t="str">
        <f>HYPERLINK("https://otsuka-europe-crm.veevavault.com/ui/#object/approved_document__v/V5OZ025E82TFUPI", "Spain - HCP Survey Email - June 2025")</f>
        <v>Spain - HCP Survey Email - June 2025</v>
      </c>
      <c r="C2131" s="3" t="str">
        <f>HYPERLINK("https://otsuka-europe-crm.veevavault.com/ui/#object/sent_email__v/VBLZ025E82GMZ9L", "SE-000269227")</f>
        <v>SE-000269227</v>
      </c>
      <c r="D2131" s="1" t="s">
        <v>0</v>
      </c>
      <c r="E2131" s="2">
        <v>0</v>
      </c>
      <c r="F2131" s="2">
        <v>0</v>
      </c>
      <c r="G2131" s="2">
        <v>0</v>
      </c>
      <c r="H2131" s="1" t="s">
        <v>0</v>
      </c>
      <c r="I2131" s="2">
        <v>0</v>
      </c>
      <c r="J2131" s="1">
        <v>45915.377974537034</v>
      </c>
    </row>
    <row r="2132" spans="1:10" x14ac:dyDescent="0.2">
      <c r="A2132" s="4" t="s">
        <v>1</v>
      </c>
      <c r="B2132" s="3" t="str">
        <f>HYPERLINK("https://otsuka-europe-crm.veevavault.com/ui/#object/approved_document__v/V5OZ025E82TFUPI", "Spain - HCP Survey Email - June 2025")</f>
        <v>Spain - HCP Survey Email - June 2025</v>
      </c>
      <c r="C2132" s="3" t="str">
        <f>HYPERLINK("https://otsuka-europe-crm.veevavault.com/ui/#object/sent_email__v/VBLZ025E82GMZ9M", "SE-000269228")</f>
        <v>SE-000269228</v>
      </c>
      <c r="D2132" s="1">
        <v>45918.799456018518</v>
      </c>
      <c r="E2132" s="2">
        <v>1</v>
      </c>
      <c r="F2132" s="2">
        <v>1</v>
      </c>
      <c r="G2132" s="2">
        <v>0</v>
      </c>
      <c r="H2132" s="1" t="s">
        <v>0</v>
      </c>
      <c r="I2132" s="2">
        <v>0</v>
      </c>
      <c r="J2132" s="1">
        <v>45915.379131944443</v>
      </c>
    </row>
    <row r="2133" spans="1:10" x14ac:dyDescent="0.2">
      <c r="A2133" s="4" t="s">
        <v>1</v>
      </c>
      <c r="B2133" s="3" t="str">
        <f>HYPERLINK("https://otsuka-europe-crm.veevavault.com/ui/#object/approved_document__v/V5OZ025E82TFUPI", "Spain - HCP Survey Email - June 2025")</f>
        <v>Spain - HCP Survey Email - June 2025</v>
      </c>
      <c r="C2133" s="3" t="str">
        <f>HYPERLINK("https://otsuka-europe-crm.veevavault.com/ui/#object/sent_email__v/VBLZ025E82GMZ9N", "SE-000269229")</f>
        <v>SE-000269229</v>
      </c>
      <c r="D2133" s="1" t="s">
        <v>0</v>
      </c>
      <c r="E2133" s="2">
        <v>0</v>
      </c>
      <c r="F2133" s="2">
        <v>0</v>
      </c>
      <c r="G2133" s="2">
        <v>0</v>
      </c>
      <c r="H2133" s="1" t="s">
        <v>0</v>
      </c>
      <c r="I2133" s="2">
        <v>0</v>
      </c>
      <c r="J2133" s="1">
        <v>45915.379733796297</v>
      </c>
    </row>
    <row r="2134" spans="1:10" x14ac:dyDescent="0.2">
      <c r="A2134" s="4" t="s">
        <v>1</v>
      </c>
      <c r="B2134" s="3" t="str">
        <f>HYPERLINK("https://otsuka-europe-crm.veevavault.com/ui/#object/approved_document__v/V5OZ025E82TFUPI", "Spain - HCP Survey Email - June 2025")</f>
        <v>Spain - HCP Survey Email - June 2025</v>
      </c>
      <c r="C2134" s="3" t="str">
        <f>HYPERLINK("https://otsuka-europe-crm.veevavault.com/ui/#object/sent_email__v/VBLZ025E82GMZ9O", "SE-000269230")</f>
        <v>SE-000269230</v>
      </c>
      <c r="D2134" s="1">
        <v>45915.452870370369</v>
      </c>
      <c r="E2134" s="2">
        <v>1</v>
      </c>
      <c r="F2134" s="2">
        <v>1</v>
      </c>
      <c r="G2134" s="2">
        <v>0</v>
      </c>
      <c r="H2134" s="1" t="s">
        <v>0</v>
      </c>
      <c r="I2134" s="2">
        <v>0</v>
      </c>
      <c r="J2134" s="1">
        <v>45915.379502314812</v>
      </c>
    </row>
    <row r="2135" spans="1:10" x14ac:dyDescent="0.2">
      <c r="A2135" s="4" t="s">
        <v>1</v>
      </c>
      <c r="B2135" s="3" t="str">
        <f>HYPERLINK("https://otsuka-europe-crm.veevavault.com/ui/#object/approved_document__v/V5OZ025E82TFUPI", "Spain - HCP Survey Email - June 2025")</f>
        <v>Spain - HCP Survey Email - June 2025</v>
      </c>
      <c r="C2135" s="3" t="str">
        <f>HYPERLINK("https://otsuka-europe-crm.veevavault.com/ui/#object/sent_email__v/VBLZ025E82GMZ9P", "SE-000269231")</f>
        <v>SE-000269231</v>
      </c>
      <c r="D2135" s="1" t="s">
        <v>0</v>
      </c>
      <c r="E2135" s="2">
        <v>0</v>
      </c>
      <c r="F2135" s="2">
        <v>0</v>
      </c>
      <c r="G2135" s="2">
        <v>0</v>
      </c>
      <c r="H2135" s="1" t="s">
        <v>0</v>
      </c>
      <c r="I2135" s="2">
        <v>0</v>
      </c>
      <c r="J2135" s="1">
        <v>45915.377395833333</v>
      </c>
    </row>
    <row r="2136" spans="1:10" x14ac:dyDescent="0.2">
      <c r="A2136" s="4" t="s">
        <v>1</v>
      </c>
      <c r="B2136" s="3" t="str">
        <f>HYPERLINK("https://otsuka-europe-crm.veevavault.com/ui/#object/approved_document__v/V5OZ025E82TFUPI", "Spain - HCP Survey Email - June 2025")</f>
        <v>Spain - HCP Survey Email - June 2025</v>
      </c>
      <c r="C2136" s="3" t="str">
        <f>HYPERLINK("https://otsuka-europe-crm.veevavault.com/ui/#object/sent_email__v/VBLZ025E82GMZ9Q", "SE-000269232")</f>
        <v>SE-000269232</v>
      </c>
      <c r="D2136" s="1">
        <v>45915.486944444441</v>
      </c>
      <c r="E2136" s="2">
        <v>1</v>
      </c>
      <c r="F2136" s="2">
        <v>1</v>
      </c>
      <c r="G2136" s="2">
        <v>1</v>
      </c>
      <c r="H2136" s="1">
        <v>45915.486944444441</v>
      </c>
      <c r="I2136" s="2">
        <v>1</v>
      </c>
      <c r="J2136" s="1">
        <v>45915.378287037034</v>
      </c>
    </row>
    <row r="2137" spans="1:10" x14ac:dyDescent="0.2">
      <c r="A2137" s="4" t="s">
        <v>1</v>
      </c>
      <c r="B2137" s="3" t="str">
        <f>HYPERLINK("https://otsuka-europe-crm.veevavault.com/ui/#object/approved_document__v/V5OZ025E82TFUPI", "Spain - HCP Survey Email - June 2025")</f>
        <v>Spain - HCP Survey Email - June 2025</v>
      </c>
      <c r="C2137" s="3" t="str">
        <f>HYPERLINK("https://otsuka-europe-crm.veevavault.com/ui/#object/sent_email__v/VBLZ025E82GMZ9R", "SE-000269233")</f>
        <v>SE-000269233</v>
      </c>
      <c r="D2137" s="1" t="s">
        <v>0</v>
      </c>
      <c r="E2137" s="2">
        <v>0</v>
      </c>
      <c r="F2137" s="2">
        <v>0</v>
      </c>
      <c r="G2137" s="2">
        <v>0</v>
      </c>
      <c r="H2137" s="1" t="s">
        <v>0</v>
      </c>
      <c r="I2137" s="2">
        <v>0</v>
      </c>
      <c r="J2137" s="1">
        <v>45915.378807870373</v>
      </c>
    </row>
    <row r="2138" spans="1:10" x14ac:dyDescent="0.2">
      <c r="A2138" s="4" t="s">
        <v>1</v>
      </c>
      <c r="B2138" s="3" t="str">
        <f>HYPERLINK("https://otsuka-europe-crm.veevavault.com/ui/#object/approved_document__v/V5OZ025E82TFUPI", "Spain - HCP Survey Email - June 2025")</f>
        <v>Spain - HCP Survey Email - June 2025</v>
      </c>
      <c r="C2138" s="3" t="str">
        <f>HYPERLINK("https://otsuka-europe-crm.veevavault.com/ui/#object/sent_email__v/VBLZ025E82GMZ9S", "SE-000269234")</f>
        <v>SE-000269234</v>
      </c>
      <c r="D2138" s="1" t="s">
        <v>0</v>
      </c>
      <c r="E2138" s="2">
        <v>0</v>
      </c>
      <c r="F2138" s="2">
        <v>0</v>
      </c>
      <c r="G2138" s="2">
        <v>0</v>
      </c>
      <c r="H2138" s="1" t="s">
        <v>0</v>
      </c>
      <c r="I2138" s="2">
        <v>0</v>
      </c>
      <c r="J2138" s="1">
        <v>45915.378622685188</v>
      </c>
    </row>
    <row r="2139" spans="1:10" x14ac:dyDescent="0.2">
      <c r="A2139" s="4" t="s">
        <v>1</v>
      </c>
      <c r="B2139" s="3" t="str">
        <f>HYPERLINK("https://otsuka-europe-crm.veevavault.com/ui/#object/approved_document__v/V5OZ025E82TFUPI", "Spain - HCP Survey Email - June 2025")</f>
        <v>Spain - HCP Survey Email - June 2025</v>
      </c>
      <c r="C2139" s="3" t="str">
        <f>HYPERLINK("https://otsuka-europe-crm.veevavault.com/ui/#object/sent_email__v/VBLZ025E82GMZ9T", "SE-000269235")</f>
        <v>SE-000269235</v>
      </c>
      <c r="D2139" s="1" t="s">
        <v>0</v>
      </c>
      <c r="E2139" s="2">
        <v>0</v>
      </c>
      <c r="F2139" s="2">
        <v>0</v>
      </c>
      <c r="G2139" s="2">
        <v>0</v>
      </c>
      <c r="H2139" s="1" t="s">
        <v>0</v>
      </c>
      <c r="I2139" s="2">
        <v>0</v>
      </c>
      <c r="J2139" s="1">
        <v>45915.379027777781</v>
      </c>
    </row>
    <row r="2140" spans="1:10" x14ac:dyDescent="0.2">
      <c r="A2140" s="4" t="s">
        <v>1</v>
      </c>
      <c r="B2140" s="3" t="str">
        <f>HYPERLINK("https://otsuka-europe-crm.veevavault.com/ui/#object/approved_document__v/V5OZ025E82TFUPI", "Spain - HCP Survey Email - June 2025")</f>
        <v>Spain - HCP Survey Email - June 2025</v>
      </c>
      <c r="C2140" s="3" t="str">
        <f>HYPERLINK("https://otsuka-europe-crm.veevavault.com/ui/#object/sent_email__v/VBLZ025E82GMZ9U", "SE-000269236")</f>
        <v>SE-000269236</v>
      </c>
      <c r="D2140" s="1" t="s">
        <v>0</v>
      </c>
      <c r="E2140" s="2">
        <v>0</v>
      </c>
      <c r="F2140" s="2">
        <v>0</v>
      </c>
      <c r="G2140" s="2">
        <v>0</v>
      </c>
      <c r="H2140" s="1" t="s">
        <v>0</v>
      </c>
      <c r="I2140" s="2">
        <v>0</v>
      </c>
      <c r="J2140" s="1">
        <v>45915.377372685187</v>
      </c>
    </row>
    <row r="2141" spans="1:10" x14ac:dyDescent="0.2">
      <c r="A2141" s="4" t="s">
        <v>1</v>
      </c>
      <c r="B2141" s="3" t="str">
        <f>HYPERLINK("https://otsuka-europe-crm.veevavault.com/ui/#object/approved_document__v/V5OZ025E82TFUPI", "Spain - HCP Survey Email - June 2025")</f>
        <v>Spain - HCP Survey Email - June 2025</v>
      </c>
      <c r="C2141" s="3" t="str">
        <f>HYPERLINK("https://otsuka-europe-crm.veevavault.com/ui/#object/sent_email__v/VBLZ025E82GMZ9V", "SE-000269237")</f>
        <v>SE-000269237</v>
      </c>
      <c r="D2141" s="1">
        <v>45915.450972222221</v>
      </c>
      <c r="E2141" s="2">
        <v>1</v>
      </c>
      <c r="F2141" s="2">
        <v>1</v>
      </c>
      <c r="G2141" s="2">
        <v>0</v>
      </c>
      <c r="H2141" s="1" t="s">
        <v>0</v>
      </c>
      <c r="I2141" s="2">
        <v>0</v>
      </c>
      <c r="J2141" s="1">
        <v>45915.378368055557</v>
      </c>
    </row>
    <row r="2142" spans="1:10" x14ac:dyDescent="0.2">
      <c r="A2142" s="4" t="s">
        <v>1</v>
      </c>
      <c r="B2142" s="3" t="str">
        <f>HYPERLINK("https://otsuka-europe-crm.veevavault.com/ui/#object/approved_document__v/V5OZ025E82TFUPI", "Spain - HCP Survey Email - June 2025")</f>
        <v>Spain - HCP Survey Email - June 2025</v>
      </c>
      <c r="C2142" s="3" t="str">
        <f>HYPERLINK("https://otsuka-europe-crm.veevavault.com/ui/#object/sent_email__v/VBLZ025E82GMZ9W", "SE-000269238")</f>
        <v>SE-000269238</v>
      </c>
      <c r="D2142" s="1" t="s">
        <v>0</v>
      </c>
      <c r="E2142" s="2">
        <v>0</v>
      </c>
      <c r="F2142" s="2">
        <v>0</v>
      </c>
      <c r="G2142" s="2">
        <v>0</v>
      </c>
      <c r="H2142" s="1" t="s">
        <v>0</v>
      </c>
      <c r="I2142" s="2">
        <v>0</v>
      </c>
      <c r="J2142" s="1">
        <v>45915.378877314812</v>
      </c>
    </row>
    <row r="2143" spans="1:10" x14ac:dyDescent="0.2">
      <c r="A2143" s="4" t="s">
        <v>1</v>
      </c>
      <c r="B2143" s="3" t="str">
        <f>HYPERLINK("https://otsuka-europe-crm.veevavault.com/ui/#object/approved_document__v/V5OZ025E82TFUPI", "Spain - HCP Survey Email - June 2025")</f>
        <v>Spain - HCP Survey Email - June 2025</v>
      </c>
      <c r="C2143" s="3" t="str">
        <f>HYPERLINK("https://otsuka-europe-crm.veevavault.com/ui/#object/sent_email__v/VBLZ025E82GMZ9X", "SE-000269239")</f>
        <v>SE-000269239</v>
      </c>
      <c r="D2143" s="1">
        <v>45915.564953703702</v>
      </c>
      <c r="E2143" s="2">
        <v>1</v>
      </c>
      <c r="F2143" s="2">
        <v>1</v>
      </c>
      <c r="G2143" s="2">
        <v>1</v>
      </c>
      <c r="H2143" s="1">
        <v>45915.754490740743</v>
      </c>
      <c r="I2143" s="2">
        <v>1</v>
      </c>
      <c r="J2143" s="1">
        <v>45915.378738425927</v>
      </c>
    </row>
    <row r="2144" spans="1:10" x14ac:dyDescent="0.2">
      <c r="A2144" s="4" t="s">
        <v>1</v>
      </c>
      <c r="B2144" s="3" t="str">
        <f>HYPERLINK("https://otsuka-europe-crm.veevavault.com/ui/#object/approved_document__v/V5OZ025E82TFUPI", "Spain - HCP Survey Email - June 2025")</f>
        <v>Spain - HCP Survey Email - June 2025</v>
      </c>
      <c r="C2144" s="3" t="str">
        <f>HYPERLINK("https://otsuka-europe-crm.veevavault.com/ui/#object/sent_email__v/VBLZ025E82GMZ9Y", "SE-000269240")</f>
        <v>SE-000269240</v>
      </c>
      <c r="D2144" s="1">
        <v>46009.927881944444</v>
      </c>
      <c r="E2144" s="2">
        <v>1</v>
      </c>
      <c r="F2144" s="2">
        <v>3</v>
      </c>
      <c r="G2144" s="2">
        <v>0</v>
      </c>
      <c r="H2144" s="1" t="s">
        <v>0</v>
      </c>
      <c r="I2144" s="2">
        <v>0</v>
      </c>
      <c r="J2144" s="1">
        <v>45915.379155092596</v>
      </c>
    </row>
    <row r="2145" spans="1:10" x14ac:dyDescent="0.2">
      <c r="A2145" s="4" t="s">
        <v>1</v>
      </c>
      <c r="B2145" s="3" t="str">
        <f>HYPERLINK("https://otsuka-europe-crm.veevavault.com/ui/#object/approved_document__v/V5OZ025E82TFUPI", "Spain - HCP Survey Email - June 2025")</f>
        <v>Spain - HCP Survey Email - June 2025</v>
      </c>
      <c r="C2145" s="3" t="str">
        <f>HYPERLINK("https://otsuka-europe-crm.veevavault.com/ui/#object/sent_email__v/VBLZ025E82GMZ9Z", "SE-000269241")</f>
        <v>SE-000269241</v>
      </c>
      <c r="D2145" s="1" t="s">
        <v>0</v>
      </c>
      <c r="E2145" s="2">
        <v>0</v>
      </c>
      <c r="F2145" s="2">
        <v>0</v>
      </c>
      <c r="G2145" s="2">
        <v>0</v>
      </c>
      <c r="H2145" s="1" t="s">
        <v>0</v>
      </c>
      <c r="I2145" s="2">
        <v>0</v>
      </c>
      <c r="J2145" s="1">
        <v>45915.377905092595</v>
      </c>
    </row>
    <row r="2146" spans="1:10" x14ac:dyDescent="0.2">
      <c r="A2146" s="4" t="s">
        <v>1</v>
      </c>
      <c r="B2146" s="3" t="str">
        <f>HYPERLINK("https://otsuka-europe-crm.veevavault.com/ui/#object/approved_document__v/V5OZ025E82TFUPI", "Spain - HCP Survey Email - June 2025")</f>
        <v>Spain - HCP Survey Email - June 2025</v>
      </c>
      <c r="C2146" s="3" t="str">
        <f>HYPERLINK("https://otsuka-europe-crm.veevavault.com/ui/#object/sent_email__v/VBLZ025E82GMZA0", "SE-000269242")</f>
        <v>SE-000269242</v>
      </c>
      <c r="D2146" s="1">
        <v>45915.572743055556</v>
      </c>
      <c r="E2146" s="2">
        <v>1</v>
      </c>
      <c r="F2146" s="2">
        <v>1</v>
      </c>
      <c r="G2146" s="2">
        <v>0</v>
      </c>
      <c r="H2146" s="1" t="s">
        <v>0</v>
      </c>
      <c r="I2146" s="2">
        <v>0</v>
      </c>
      <c r="J2146" s="1">
        <v>45915.377592592595</v>
      </c>
    </row>
    <row r="2147" spans="1:10" x14ac:dyDescent="0.2">
      <c r="A2147" s="4" t="s">
        <v>1</v>
      </c>
      <c r="B2147" s="3" t="str">
        <f>HYPERLINK("https://otsuka-europe-crm.veevavault.com/ui/#object/approved_document__v/V5OZ025E82TFUPI", "Spain - HCP Survey Email - June 2025")</f>
        <v>Spain - HCP Survey Email - June 2025</v>
      </c>
      <c r="C2147" s="3" t="str">
        <f>HYPERLINK("https://otsuka-europe-crm.veevavault.com/ui/#object/sent_email__v/VBLZ025E82GMZA1", "SE-000269243")</f>
        <v>SE-000269243</v>
      </c>
      <c r="D2147" s="1" t="s">
        <v>0</v>
      </c>
      <c r="E2147" s="2">
        <v>0</v>
      </c>
      <c r="F2147" s="2">
        <v>0</v>
      </c>
      <c r="G2147" s="2">
        <v>0</v>
      </c>
      <c r="H2147" s="1" t="s">
        <v>0</v>
      </c>
      <c r="I2147" s="2">
        <v>0</v>
      </c>
      <c r="J2147" s="1">
        <v>45915.378055555557</v>
      </c>
    </row>
    <row r="2148" spans="1:10" x14ac:dyDescent="0.2">
      <c r="A2148" s="4" t="s">
        <v>1</v>
      </c>
      <c r="B2148" s="3" t="str">
        <f>HYPERLINK("https://otsuka-europe-crm.veevavault.com/ui/#object/approved_document__v/V5OZ025E82TFUPI", "Spain - HCP Survey Email - June 2025")</f>
        <v>Spain - HCP Survey Email - June 2025</v>
      </c>
      <c r="C2148" s="3" t="str">
        <f>HYPERLINK("https://otsuka-europe-crm.veevavault.com/ui/#object/sent_email__v/VBLZ025E82GMZA2", "SE-000269244")</f>
        <v>SE-000269244</v>
      </c>
      <c r="D2148" s="1">
        <v>45916.398159722223</v>
      </c>
      <c r="E2148" s="2">
        <v>1</v>
      </c>
      <c r="F2148" s="2">
        <v>3</v>
      </c>
      <c r="G2148" s="2">
        <v>1</v>
      </c>
      <c r="H2148" s="1">
        <v>45916.397951388892</v>
      </c>
      <c r="I2148" s="2">
        <v>1</v>
      </c>
      <c r="J2148" s="1">
        <v>45915.379004629627</v>
      </c>
    </row>
    <row r="2149" spans="1:10" x14ac:dyDescent="0.2">
      <c r="A2149" s="4" t="s">
        <v>1</v>
      </c>
      <c r="B2149" s="3" t="str">
        <f>HYPERLINK("https://otsuka-europe-crm.veevavault.com/ui/#object/approved_document__v/V5OZ025E82TFUPI", "Spain - HCP Survey Email - June 2025")</f>
        <v>Spain - HCP Survey Email - June 2025</v>
      </c>
      <c r="C2149" s="3" t="str">
        <f>HYPERLINK("https://otsuka-europe-crm.veevavault.com/ui/#object/sent_email__v/VBLZ025E82GMZA3", "SE-000269245")</f>
        <v>SE-000269245</v>
      </c>
      <c r="D2149" s="1">
        <v>45934.642789351848</v>
      </c>
      <c r="E2149" s="2">
        <v>1</v>
      </c>
      <c r="F2149" s="2">
        <v>3</v>
      </c>
      <c r="G2149" s="2">
        <v>0</v>
      </c>
      <c r="H2149" s="1" t="s">
        <v>0</v>
      </c>
      <c r="I2149" s="2">
        <v>0</v>
      </c>
      <c r="J2149" s="1">
        <v>45915.379710648151</v>
      </c>
    </row>
    <row r="2150" spans="1:10" x14ac:dyDescent="0.2">
      <c r="A2150" s="4" t="s">
        <v>1</v>
      </c>
      <c r="B2150" s="3" t="str">
        <f>HYPERLINK("https://otsuka-europe-crm.veevavault.com/ui/#object/approved_document__v/V5OZ025E82TFUPI", "Spain - HCP Survey Email - June 2025")</f>
        <v>Spain - HCP Survey Email - June 2025</v>
      </c>
      <c r="C2150" s="3" t="str">
        <f>HYPERLINK("https://otsuka-europe-crm.veevavault.com/ui/#object/sent_email__v/VBLZ025E82GMZA4", "SE-000269246")</f>
        <v>SE-000269246</v>
      </c>
      <c r="D2150" s="1" t="s">
        <v>0</v>
      </c>
      <c r="E2150" s="2">
        <v>0</v>
      </c>
      <c r="F2150" s="2">
        <v>0</v>
      </c>
      <c r="G2150" s="2">
        <v>0</v>
      </c>
      <c r="H2150" s="1" t="s">
        <v>0</v>
      </c>
      <c r="I2150" s="2">
        <v>0</v>
      </c>
      <c r="J2150" s="1">
        <v>45915.379502314812</v>
      </c>
    </row>
    <row r="2151" spans="1:10" x14ac:dyDescent="0.2">
      <c r="A2151" s="4" t="s">
        <v>1</v>
      </c>
      <c r="B2151" s="3" t="str">
        <f>HYPERLINK("https://otsuka-europe-crm.veevavault.com/ui/#object/approved_document__v/V5OZ025E82TFUPI", "Spain - HCP Survey Email - June 2025")</f>
        <v>Spain - HCP Survey Email - June 2025</v>
      </c>
      <c r="C2151" s="3" t="str">
        <f>HYPERLINK("https://otsuka-europe-crm.veevavault.com/ui/#object/sent_email__v/VBLZ025E82GMZA5", "SE-000269247")</f>
        <v>SE-000269247</v>
      </c>
      <c r="D2151" s="1" t="s">
        <v>0</v>
      </c>
      <c r="E2151" s="2">
        <v>0</v>
      </c>
      <c r="F2151" s="2">
        <v>0</v>
      </c>
      <c r="G2151" s="2">
        <v>0</v>
      </c>
      <c r="H2151" s="1" t="s">
        <v>0</v>
      </c>
      <c r="I2151" s="2">
        <v>0</v>
      </c>
      <c r="J2151" s="1">
        <v>45915.377442129633</v>
      </c>
    </row>
    <row r="2152" spans="1:10" x14ac:dyDescent="0.2">
      <c r="A2152" s="4" t="s">
        <v>1</v>
      </c>
      <c r="B2152" s="3" t="str">
        <f>HYPERLINK("https://otsuka-europe-crm.veevavault.com/ui/#object/approved_document__v/V5OZ025E82TFUPI", "Spain - HCP Survey Email - June 2025")</f>
        <v>Spain - HCP Survey Email - June 2025</v>
      </c>
      <c r="C2152" s="3" t="str">
        <f>HYPERLINK("https://otsuka-europe-crm.veevavault.com/ui/#object/sent_email__v/VBLZ025E82GMZA6", "SE-000269248")</f>
        <v>SE-000269248</v>
      </c>
      <c r="D2152" s="1">
        <v>45919.798321759263</v>
      </c>
      <c r="E2152" s="2">
        <v>1</v>
      </c>
      <c r="F2152" s="2">
        <v>3</v>
      </c>
      <c r="G2152" s="2">
        <v>0</v>
      </c>
      <c r="H2152" s="1" t="s">
        <v>0</v>
      </c>
      <c r="I2152" s="2">
        <v>0</v>
      </c>
      <c r="J2152" s="1">
        <v>45915.378321759257</v>
      </c>
    </row>
    <row r="2153" spans="1:10" x14ac:dyDescent="0.2">
      <c r="A2153" s="4" t="s">
        <v>1</v>
      </c>
      <c r="B2153" s="3" t="str">
        <f>HYPERLINK("https://otsuka-europe-crm.veevavault.com/ui/#object/approved_document__v/V5OZ025E82TFUPI", "Spain - HCP Survey Email - June 2025")</f>
        <v>Spain - HCP Survey Email - June 2025</v>
      </c>
      <c r="C2153" s="3" t="str">
        <f>HYPERLINK("https://otsuka-europe-crm.veevavault.com/ui/#object/sent_email__v/VBLZ025E82GMZA7", "SE-000269249")</f>
        <v>SE-000269249</v>
      </c>
      <c r="D2153" s="1" t="s">
        <v>0</v>
      </c>
      <c r="E2153" s="2">
        <v>0</v>
      </c>
      <c r="F2153" s="2">
        <v>0</v>
      </c>
      <c r="G2153" s="2">
        <v>0</v>
      </c>
      <c r="H2153" s="1" t="s">
        <v>0</v>
      </c>
      <c r="I2153" s="2">
        <v>0</v>
      </c>
      <c r="J2153" s="1">
        <v>45915.378900462965</v>
      </c>
    </row>
    <row r="2154" spans="1:10" x14ac:dyDescent="0.2">
      <c r="A2154" s="4" t="s">
        <v>1</v>
      </c>
      <c r="B2154" s="3" t="str">
        <f>HYPERLINK("https://otsuka-europe-crm.veevavault.com/ui/#object/approved_document__v/V5OZ025E82TFUPI", "Spain - HCP Survey Email - June 2025")</f>
        <v>Spain - HCP Survey Email - June 2025</v>
      </c>
      <c r="C2154" s="3" t="str">
        <f>HYPERLINK("https://otsuka-europe-crm.veevavault.com/ui/#object/sent_email__v/VBLZ025E82GMZA8", "SE-000269250")</f>
        <v>SE-000269250</v>
      </c>
      <c r="D2154" s="1">
        <v>45915.62296296296</v>
      </c>
      <c r="E2154" s="2">
        <v>1</v>
      </c>
      <c r="F2154" s="2">
        <v>2</v>
      </c>
      <c r="G2154" s="2">
        <v>0</v>
      </c>
      <c r="H2154" s="1" t="s">
        <v>0</v>
      </c>
      <c r="I2154" s="2">
        <v>0</v>
      </c>
      <c r="J2154" s="1">
        <v>45915.378750000003</v>
      </c>
    </row>
    <row r="2155" spans="1:10" x14ac:dyDescent="0.2">
      <c r="A2155" s="4" t="s">
        <v>1</v>
      </c>
      <c r="B2155" s="3" t="str">
        <f>HYPERLINK("https://otsuka-europe-crm.veevavault.com/ui/#object/approved_document__v/V5OZ025E82TFUPI", "Spain - HCP Survey Email - June 2025")</f>
        <v>Spain - HCP Survey Email - June 2025</v>
      </c>
      <c r="C2155" s="3" t="str">
        <f>HYPERLINK("https://otsuka-europe-crm.veevavault.com/ui/#object/sent_email__v/VBLZ025E82GMZA9", "SE-000269251")</f>
        <v>SE-000269251</v>
      </c>
      <c r="D2155" s="1">
        <v>45915.926423611112</v>
      </c>
      <c r="E2155" s="2">
        <v>1</v>
      </c>
      <c r="F2155" s="2">
        <v>1</v>
      </c>
      <c r="G2155" s="2">
        <v>0</v>
      </c>
      <c r="H2155" s="1" t="s">
        <v>0</v>
      </c>
      <c r="I2155" s="2">
        <v>0</v>
      </c>
      <c r="J2155" s="1">
        <v>45915.379108796296</v>
      </c>
    </row>
    <row r="2156" spans="1:10" x14ac:dyDescent="0.2">
      <c r="A2156" s="4" t="s">
        <v>1</v>
      </c>
      <c r="B2156" s="3" t="str">
        <f>HYPERLINK("https://otsuka-europe-crm.veevavault.com/ui/#object/approved_document__v/V5OZ025E82TFUPI", "Spain - HCP Survey Email - June 2025")</f>
        <v>Spain - HCP Survey Email - June 2025</v>
      </c>
      <c r="C2156" s="3" t="str">
        <f>HYPERLINK("https://otsuka-europe-crm.veevavault.com/ui/#object/sent_email__v/VBLZ025E82GMZAA", "SE-000269252")</f>
        <v>SE-000269252</v>
      </c>
      <c r="D2156" s="1" t="s">
        <v>0</v>
      </c>
      <c r="E2156" s="2">
        <v>0</v>
      </c>
      <c r="F2156" s="2">
        <v>0</v>
      </c>
      <c r="G2156" s="2">
        <v>0</v>
      </c>
      <c r="H2156" s="1" t="s">
        <v>0</v>
      </c>
      <c r="I2156" s="2">
        <v>0</v>
      </c>
      <c r="J2156" s="1">
        <v>45915.377685185187</v>
      </c>
    </row>
    <row r="2157" spans="1:10" x14ac:dyDescent="0.2">
      <c r="A2157" s="4" t="s">
        <v>1</v>
      </c>
      <c r="B2157" s="3" t="str">
        <f>HYPERLINK("https://otsuka-europe-crm.veevavault.com/ui/#object/approved_document__v/V5OZ025E82TFUPI", "Spain - HCP Survey Email - June 2025")</f>
        <v>Spain - HCP Survey Email - June 2025</v>
      </c>
      <c r="C2157" s="3" t="str">
        <f>HYPERLINK("https://otsuka-europe-crm.veevavault.com/ui/#object/sent_email__v/VBLZ025E82GMZAB", "SE-000269253")</f>
        <v>SE-000269253</v>
      </c>
      <c r="D2157" s="1" t="s">
        <v>0</v>
      </c>
      <c r="E2157" s="2">
        <v>0</v>
      </c>
      <c r="F2157" s="2">
        <v>0</v>
      </c>
      <c r="G2157" s="2">
        <v>0</v>
      </c>
      <c r="H2157" s="1" t="s">
        <v>0</v>
      </c>
      <c r="I2157" s="2">
        <v>0</v>
      </c>
      <c r="J2157" s="1">
        <v>45915.377592592595</v>
      </c>
    </row>
    <row r="2158" spans="1:10" x14ac:dyDescent="0.2">
      <c r="A2158" s="4" t="s">
        <v>1</v>
      </c>
      <c r="B2158" s="3" t="str">
        <f>HYPERLINK("https://otsuka-europe-crm.veevavault.com/ui/#object/approved_document__v/V5OZ025E82TFUPI", "Spain - HCP Survey Email - June 2025")</f>
        <v>Spain - HCP Survey Email - June 2025</v>
      </c>
      <c r="C2158" s="3" t="str">
        <f>HYPERLINK("https://otsuka-europe-crm.veevavault.com/ui/#object/sent_email__v/VBLZ025E82GMZAC", "SE-000269254")</f>
        <v>SE-000269254</v>
      </c>
      <c r="D2158" s="1">
        <v>45915.383229166669</v>
      </c>
      <c r="E2158" s="2">
        <v>1</v>
      </c>
      <c r="F2158" s="2">
        <v>1</v>
      </c>
      <c r="G2158" s="2">
        <v>0</v>
      </c>
      <c r="H2158" s="1" t="s">
        <v>0</v>
      </c>
      <c r="I2158" s="2">
        <v>0</v>
      </c>
      <c r="J2158" s="1">
        <v>45915.377997685187</v>
      </c>
    </row>
    <row r="2159" spans="1:10" x14ac:dyDescent="0.2">
      <c r="A2159" s="4" t="s">
        <v>1</v>
      </c>
      <c r="B2159" s="3" t="str">
        <f>HYPERLINK("https://otsuka-europe-crm.veevavault.com/ui/#object/approved_document__v/V5OZ025E82TFUPI", "Spain - HCP Survey Email - June 2025")</f>
        <v>Spain - HCP Survey Email - June 2025</v>
      </c>
      <c r="C2159" s="3" t="str">
        <f>HYPERLINK("https://otsuka-europe-crm.veevavault.com/ui/#object/sent_email__v/VBLZ025E82GMZAD", "SE-000269255")</f>
        <v>SE-000269255</v>
      </c>
      <c r="D2159" s="1">
        <v>45915.619583333333</v>
      </c>
      <c r="E2159" s="2">
        <v>1</v>
      </c>
      <c r="F2159" s="2">
        <v>1</v>
      </c>
      <c r="G2159" s="2">
        <v>0</v>
      </c>
      <c r="H2159" s="1" t="s">
        <v>0</v>
      </c>
      <c r="I2159" s="2">
        <v>0</v>
      </c>
      <c r="J2159" s="1">
        <v>45915.378981481481</v>
      </c>
    </row>
    <row r="2160" spans="1:10" x14ac:dyDescent="0.2">
      <c r="A2160" s="4" t="s">
        <v>1</v>
      </c>
      <c r="B2160" s="3" t="str">
        <f>HYPERLINK("https://otsuka-europe-crm.veevavault.com/ui/#object/approved_document__v/V5OZ025E82TFUPI", "Spain - HCP Survey Email - June 2025")</f>
        <v>Spain - HCP Survey Email - June 2025</v>
      </c>
      <c r="C2160" s="3" t="str">
        <f>HYPERLINK("https://otsuka-europe-crm.veevavault.com/ui/#object/sent_email__v/VBLZ025E82GMZAE", "SE-000269256")</f>
        <v>SE-000269256</v>
      </c>
      <c r="D2160" s="1">
        <v>45916.886840277781</v>
      </c>
      <c r="E2160" s="2">
        <v>1</v>
      </c>
      <c r="F2160" s="2">
        <v>3</v>
      </c>
      <c r="G2160" s="2">
        <v>0</v>
      </c>
      <c r="H2160" s="1" t="s">
        <v>0</v>
      </c>
      <c r="I2160" s="2">
        <v>0</v>
      </c>
      <c r="J2160" s="1">
        <v>45915.379803240743</v>
      </c>
    </row>
    <row r="2161" spans="1:10" x14ac:dyDescent="0.2">
      <c r="A2161" s="4" t="s">
        <v>1</v>
      </c>
      <c r="B2161" s="3" t="str">
        <f>HYPERLINK("https://otsuka-europe-crm.veevavault.com/ui/#object/approved_document__v/V5OZ025E82TFUPI", "Spain - HCP Survey Email - June 2025")</f>
        <v>Spain - HCP Survey Email - June 2025</v>
      </c>
      <c r="C2161" s="3" t="str">
        <f>HYPERLINK("https://otsuka-europe-crm.veevavault.com/ui/#object/sent_email__v/VBLZ025E82GMZAF", "SE-000269257")</f>
        <v>SE-000269257</v>
      </c>
      <c r="D2161" s="1">
        <v>45922.555659722224</v>
      </c>
      <c r="E2161" s="2">
        <v>1</v>
      </c>
      <c r="F2161" s="2">
        <v>1</v>
      </c>
      <c r="G2161" s="2">
        <v>0</v>
      </c>
      <c r="H2161" s="1" t="s">
        <v>0</v>
      </c>
      <c r="I2161" s="2">
        <v>0</v>
      </c>
      <c r="J2161" s="1">
        <v>45915.379583333335</v>
      </c>
    </row>
    <row r="2162" spans="1:10" x14ac:dyDescent="0.2">
      <c r="A2162" s="4" t="s">
        <v>1</v>
      </c>
      <c r="B2162" s="3" t="str">
        <f>HYPERLINK("https://otsuka-europe-crm.veevavault.com/ui/#object/approved_document__v/V5OZ025E82TFUPI", "Spain - HCP Survey Email - June 2025")</f>
        <v>Spain - HCP Survey Email - June 2025</v>
      </c>
      <c r="C2162" s="3" t="str">
        <f>HYPERLINK("https://otsuka-europe-crm.veevavault.com/ui/#object/sent_email__v/VBLZ025E82GMZAG", "SE-000269258")</f>
        <v>SE-000269258</v>
      </c>
      <c r="D2162" s="1" t="s">
        <v>0</v>
      </c>
      <c r="E2162" s="2">
        <v>0</v>
      </c>
      <c r="F2162" s="2">
        <v>0</v>
      </c>
      <c r="G2162" s="2">
        <v>0</v>
      </c>
      <c r="H2162" s="1" t="s">
        <v>0</v>
      </c>
      <c r="I2162" s="2">
        <v>0</v>
      </c>
      <c r="J2162" s="1">
        <v>45915.377442129633</v>
      </c>
    </row>
    <row r="2163" spans="1:10" x14ac:dyDescent="0.2">
      <c r="A2163" s="4" t="s">
        <v>1</v>
      </c>
      <c r="B2163" s="3" t="str">
        <f>HYPERLINK("https://otsuka-europe-crm.veevavault.com/ui/#object/approved_document__v/V5OZ025E82TFUPI", "Spain - HCP Survey Email - June 2025")</f>
        <v>Spain - HCP Survey Email - June 2025</v>
      </c>
      <c r="C2163" s="3" t="str">
        <f>HYPERLINK("https://otsuka-europe-crm.veevavault.com/ui/#object/sent_email__v/VBLZ025E82GMZAH", "SE-000269259")</f>
        <v>SE-000269259</v>
      </c>
      <c r="D2163" s="1" t="s">
        <v>0</v>
      </c>
      <c r="E2163" s="2">
        <v>0</v>
      </c>
      <c r="F2163" s="2">
        <v>0</v>
      </c>
      <c r="G2163" s="2">
        <v>0</v>
      </c>
      <c r="H2163" s="1" t="s">
        <v>0</v>
      </c>
      <c r="I2163" s="2">
        <v>0</v>
      </c>
      <c r="J2163" s="1">
        <v>45915.378391203703</v>
      </c>
    </row>
    <row r="2164" spans="1:10" x14ac:dyDescent="0.2">
      <c r="A2164" s="4" t="s">
        <v>1</v>
      </c>
      <c r="B2164" s="3" t="str">
        <f>HYPERLINK("https://otsuka-europe-crm.veevavault.com/ui/#object/approved_document__v/V5OZ025E82TFUPI", "Spain - HCP Survey Email - June 2025")</f>
        <v>Spain - HCP Survey Email - June 2025</v>
      </c>
      <c r="C2164" s="3" t="str">
        <f>HYPERLINK("https://otsuka-europe-crm.veevavault.com/ui/#object/sent_email__v/VBLZ025E82GMZAI", "SE-000269260")</f>
        <v>SE-000269260</v>
      </c>
      <c r="D2164" s="1" t="s">
        <v>0</v>
      </c>
      <c r="E2164" s="2">
        <v>0</v>
      </c>
      <c r="F2164" s="2">
        <v>0</v>
      </c>
      <c r="G2164" s="2">
        <v>0</v>
      </c>
      <c r="H2164" s="1" t="s">
        <v>0</v>
      </c>
      <c r="I2164" s="2">
        <v>0</v>
      </c>
      <c r="J2164" s="1">
        <v>45915.378854166665</v>
      </c>
    </row>
    <row r="2165" spans="1:10" x14ac:dyDescent="0.2">
      <c r="A2165" s="4" t="s">
        <v>1</v>
      </c>
      <c r="B2165" s="3" t="str">
        <f>HYPERLINK("https://otsuka-europe-crm.veevavault.com/ui/#object/approved_document__v/V5OZ025E82TFUPI", "Spain - HCP Survey Email - June 2025")</f>
        <v>Spain - HCP Survey Email - June 2025</v>
      </c>
      <c r="C2165" s="3" t="str">
        <f>HYPERLINK("https://otsuka-europe-crm.veevavault.com/ui/#object/sent_email__v/VBLZ025E82GMZAJ", "SE-000269261")</f>
        <v>SE-000269261</v>
      </c>
      <c r="D2165" s="1" t="s">
        <v>0</v>
      </c>
      <c r="E2165" s="2">
        <v>0</v>
      </c>
      <c r="F2165" s="2">
        <v>0</v>
      </c>
      <c r="G2165" s="2">
        <v>0</v>
      </c>
      <c r="H2165" s="1" t="s">
        <v>0</v>
      </c>
      <c r="I2165" s="2">
        <v>0</v>
      </c>
      <c r="J2165" s="1">
        <v>45915.378877314812</v>
      </c>
    </row>
    <row r="2166" spans="1:10" x14ac:dyDescent="0.2">
      <c r="A2166" s="4" t="s">
        <v>1</v>
      </c>
      <c r="B2166" s="3" t="str">
        <f>HYPERLINK("https://otsuka-europe-crm.veevavault.com/ui/#object/approved_document__v/V5OZ025E82TFUPI", "Spain - HCP Survey Email - June 2025")</f>
        <v>Spain - HCP Survey Email - June 2025</v>
      </c>
      <c r="C2166" s="3" t="str">
        <f>HYPERLINK("https://otsuka-europe-crm.veevavault.com/ui/#object/sent_email__v/VBLZ025E82GMZAK", "SE-000269262")</f>
        <v>SE-000269262</v>
      </c>
      <c r="D2166" s="1" t="s">
        <v>0</v>
      </c>
      <c r="E2166" s="2">
        <v>0</v>
      </c>
      <c r="F2166" s="2">
        <v>0</v>
      </c>
      <c r="G2166" s="2">
        <v>0</v>
      </c>
      <c r="H2166" s="1" t="s">
        <v>0</v>
      </c>
      <c r="I2166" s="2">
        <v>0</v>
      </c>
      <c r="J2166" s="1">
        <v>45915.379189814812</v>
      </c>
    </row>
    <row r="2167" spans="1:10" x14ac:dyDescent="0.2">
      <c r="A2167" s="4" t="s">
        <v>1</v>
      </c>
      <c r="B2167" s="3" t="str">
        <f>HYPERLINK("https://otsuka-europe-crm.veevavault.com/ui/#object/approved_document__v/V5OZ025E82TFUPI", "Spain - HCP Survey Email - June 2025")</f>
        <v>Spain - HCP Survey Email - June 2025</v>
      </c>
      <c r="C2167" s="3" t="str">
        <f>HYPERLINK("https://otsuka-europe-crm.veevavault.com/ui/#object/sent_email__v/VBLZ025E82GMZAL", "SE-000269263")</f>
        <v>SE-000269263</v>
      </c>
      <c r="D2167" s="1" t="s">
        <v>0</v>
      </c>
      <c r="E2167" s="2">
        <v>0</v>
      </c>
      <c r="F2167" s="2">
        <v>0</v>
      </c>
      <c r="G2167" s="2">
        <v>0</v>
      </c>
      <c r="H2167" s="1" t="s">
        <v>0</v>
      </c>
      <c r="I2167" s="2">
        <v>0</v>
      </c>
      <c r="J2167" s="1">
        <v>45915.377858796295</v>
      </c>
    </row>
    <row r="2168" spans="1:10" x14ac:dyDescent="0.2">
      <c r="A2168" s="4" t="s">
        <v>1</v>
      </c>
      <c r="B2168" s="3" t="str">
        <f>HYPERLINK("https://otsuka-europe-crm.veevavault.com/ui/#object/approved_document__v/V5OZ025E82TFUPI", "Spain - HCP Survey Email - June 2025")</f>
        <v>Spain - HCP Survey Email - June 2025</v>
      </c>
      <c r="C2168" s="3" t="str">
        <f>HYPERLINK("https://otsuka-europe-crm.veevavault.com/ui/#object/sent_email__v/VBLZ025E82GMZAM", "SE-000269264")</f>
        <v>SE-000269264</v>
      </c>
      <c r="D2168" s="1">
        <v>45916.30369212963</v>
      </c>
      <c r="E2168" s="2">
        <v>1</v>
      </c>
      <c r="F2168" s="2">
        <v>2</v>
      </c>
      <c r="G2168" s="2">
        <v>0</v>
      </c>
      <c r="H2168" s="1" t="s">
        <v>0</v>
      </c>
      <c r="I2168" s="2">
        <v>0</v>
      </c>
      <c r="J2168" s="1">
        <v>45915.377546296295</v>
      </c>
    </row>
    <row r="2169" spans="1:10" x14ac:dyDescent="0.2">
      <c r="A2169" s="4" t="s">
        <v>1</v>
      </c>
      <c r="B2169" s="3" t="str">
        <f>HYPERLINK("https://otsuka-europe-crm.veevavault.com/ui/#object/approved_document__v/V5OZ025E82TFUPI", "Spain - HCP Survey Email - June 2025")</f>
        <v>Spain - HCP Survey Email - June 2025</v>
      </c>
      <c r="C2169" s="3" t="str">
        <f>HYPERLINK("https://otsuka-europe-crm.veevavault.com/ui/#object/sent_email__v/VBLZ025E82GMZAN", "SE-000269265")</f>
        <v>SE-000269265</v>
      </c>
      <c r="D2169" s="1">
        <v>45915.379340277781</v>
      </c>
      <c r="E2169" s="2">
        <v>1</v>
      </c>
      <c r="F2169" s="2">
        <v>2</v>
      </c>
      <c r="G2169" s="2">
        <v>0</v>
      </c>
      <c r="H2169" s="1" t="s">
        <v>0</v>
      </c>
      <c r="I2169" s="2">
        <v>0</v>
      </c>
      <c r="J2169" s="1">
        <v>45915.377986111111</v>
      </c>
    </row>
    <row r="2170" spans="1:10" x14ac:dyDescent="0.2">
      <c r="A2170" s="4" t="s">
        <v>1</v>
      </c>
      <c r="B2170" s="3" t="str">
        <f>HYPERLINK("https://otsuka-europe-crm.veevavault.com/ui/#object/approved_document__v/V5OZ025E82TFUPI", "Spain - HCP Survey Email - June 2025")</f>
        <v>Spain - HCP Survey Email - June 2025</v>
      </c>
      <c r="C2170" s="3" t="str">
        <f>HYPERLINK("https://otsuka-europe-crm.veevavault.com/ui/#object/sent_email__v/VBLZ025E82GMZAO", "SE-000269266")</f>
        <v>SE-000269266</v>
      </c>
      <c r="D2170" s="1">
        <v>45915.396469907406</v>
      </c>
      <c r="E2170" s="2">
        <v>1</v>
      </c>
      <c r="F2170" s="2">
        <v>1</v>
      </c>
      <c r="G2170" s="2">
        <v>0</v>
      </c>
      <c r="H2170" s="1" t="s">
        <v>0</v>
      </c>
      <c r="I2170" s="2">
        <v>0</v>
      </c>
      <c r="J2170" s="1">
        <v>45915.379050925927</v>
      </c>
    </row>
    <row r="2171" spans="1:10" x14ac:dyDescent="0.2">
      <c r="A2171" s="4" t="s">
        <v>1</v>
      </c>
      <c r="B2171" s="3" t="str">
        <f>HYPERLINK("https://otsuka-europe-crm.veevavault.com/ui/#object/approved_document__v/V5OZ025E82TFUPI", "Spain - HCP Survey Email - June 2025")</f>
        <v>Spain - HCP Survey Email - June 2025</v>
      </c>
      <c r="C2171" s="3" t="str">
        <f>HYPERLINK("https://otsuka-europe-crm.veevavault.com/ui/#object/sent_email__v/VBLZ025E82GMZAP", "SE-000269267")</f>
        <v>SE-000269267</v>
      </c>
      <c r="D2171" s="1">
        <v>45919.719247685185</v>
      </c>
      <c r="E2171" s="2">
        <v>1</v>
      </c>
      <c r="F2171" s="2">
        <v>2</v>
      </c>
      <c r="G2171" s="2">
        <v>0</v>
      </c>
      <c r="H2171" s="1" t="s">
        <v>0</v>
      </c>
      <c r="I2171" s="2">
        <v>0</v>
      </c>
      <c r="J2171" s="1">
        <v>45915.379594907405</v>
      </c>
    </row>
    <row r="2172" spans="1:10" x14ac:dyDescent="0.2">
      <c r="A2172" s="4" t="s">
        <v>1</v>
      </c>
      <c r="B2172" s="3" t="str">
        <f>HYPERLINK("https://otsuka-europe-crm.veevavault.com/ui/#object/approved_document__v/V5OZ025E82TFUPI", "Spain - HCP Survey Email - June 2025")</f>
        <v>Spain - HCP Survey Email - June 2025</v>
      </c>
      <c r="C2172" s="3" t="str">
        <f>HYPERLINK("https://otsuka-europe-crm.veevavault.com/ui/#object/sent_email__v/VBLZ025E82GMZAQ", "SE-000269268")</f>
        <v>SE-000269268</v>
      </c>
      <c r="D2172" s="1">
        <v>45923.966585648152</v>
      </c>
      <c r="E2172" s="2">
        <v>1</v>
      </c>
      <c r="F2172" s="2">
        <v>1</v>
      </c>
      <c r="G2172" s="2">
        <v>0</v>
      </c>
      <c r="H2172" s="1" t="s">
        <v>0</v>
      </c>
      <c r="I2172" s="2">
        <v>0</v>
      </c>
      <c r="J2172" s="1">
        <v>45915.37945601852</v>
      </c>
    </row>
    <row r="2173" spans="1:10" x14ac:dyDescent="0.2">
      <c r="A2173" s="4" t="s">
        <v>1</v>
      </c>
      <c r="B2173" s="3" t="str">
        <f>HYPERLINK("https://otsuka-europe-crm.veevavault.com/ui/#object/approved_document__v/V5OZ025E82TFUPI", "Spain - HCP Survey Email - June 2025")</f>
        <v>Spain - HCP Survey Email - June 2025</v>
      </c>
      <c r="C2173" s="3" t="str">
        <f>HYPERLINK("https://otsuka-europe-crm.veevavault.com/ui/#object/sent_email__v/VBLZ025E82GMZAR", "SE-000269269")</f>
        <v>SE-000269269</v>
      </c>
      <c r="D2173" s="1" t="s">
        <v>0</v>
      </c>
      <c r="E2173" s="2">
        <v>0</v>
      </c>
      <c r="F2173" s="2">
        <v>0</v>
      </c>
      <c r="G2173" s="2">
        <v>0</v>
      </c>
      <c r="H2173" s="1" t="s">
        <v>0</v>
      </c>
      <c r="I2173" s="2">
        <v>0</v>
      </c>
      <c r="J2173" s="1">
        <v>45915.377442129633</v>
      </c>
    </row>
    <row r="2174" spans="1:10" x14ac:dyDescent="0.2">
      <c r="A2174" s="4" t="s">
        <v>1</v>
      </c>
      <c r="B2174" s="3" t="str">
        <f>HYPERLINK("https://otsuka-europe-crm.veevavault.com/ui/#object/approved_document__v/V5OZ025E82TFUPI", "Spain - HCP Survey Email - June 2025")</f>
        <v>Spain - HCP Survey Email - June 2025</v>
      </c>
      <c r="C2174" s="3" t="str">
        <f>HYPERLINK("https://otsuka-europe-crm.veevavault.com/ui/#object/sent_email__v/VBLZ025E82GMZAS", "SE-000269270")</f>
        <v>SE-000269270</v>
      </c>
      <c r="D2174" s="1" t="s">
        <v>0</v>
      </c>
      <c r="E2174" s="2">
        <v>0</v>
      </c>
      <c r="F2174" s="2">
        <v>0</v>
      </c>
      <c r="G2174" s="2">
        <v>0</v>
      </c>
      <c r="H2174" s="1" t="s">
        <v>0</v>
      </c>
      <c r="I2174" s="2">
        <v>0</v>
      </c>
      <c r="J2174" s="1">
        <v>45915.378287037034</v>
      </c>
    </row>
    <row r="2175" spans="1:10" x14ac:dyDescent="0.2">
      <c r="A2175" s="4" t="s">
        <v>1</v>
      </c>
      <c r="B2175" s="3" t="str">
        <f>HYPERLINK("https://otsuka-europe-crm.veevavault.com/ui/#object/approved_document__v/V5OZ025E82TFUPI", "Spain - HCP Survey Email - June 2025")</f>
        <v>Spain - HCP Survey Email - June 2025</v>
      </c>
      <c r="C2175" s="3" t="str">
        <f>HYPERLINK("https://otsuka-europe-crm.veevavault.com/ui/#object/sent_email__v/VBLZ025E82GMZAT", "SE-000269271")</f>
        <v>SE-000269271</v>
      </c>
      <c r="D2175" s="1" t="s">
        <v>0</v>
      </c>
      <c r="E2175" s="2">
        <v>0</v>
      </c>
      <c r="F2175" s="2">
        <v>0</v>
      </c>
      <c r="G2175" s="2">
        <v>0</v>
      </c>
      <c r="H2175" s="1" t="s">
        <v>0</v>
      </c>
      <c r="I2175" s="2">
        <v>0</v>
      </c>
      <c r="J2175" s="1">
        <v>45915.378842592596</v>
      </c>
    </row>
    <row r="2176" spans="1:10" x14ac:dyDescent="0.2">
      <c r="A2176" s="4" t="s">
        <v>1</v>
      </c>
      <c r="B2176" s="3" t="str">
        <f>HYPERLINK("https://otsuka-europe-crm.veevavault.com/ui/#object/approved_document__v/V5OZ025E82TFUPI", "Spain - HCP Survey Email - June 2025")</f>
        <v>Spain - HCP Survey Email - June 2025</v>
      </c>
      <c r="C2176" s="3" t="str">
        <f>HYPERLINK("https://otsuka-europe-crm.veevavault.com/ui/#object/sent_email__v/VBLZ025E82GMZAU", "SE-000269272")</f>
        <v>SE-000269272</v>
      </c>
      <c r="D2176" s="1" t="s">
        <v>0</v>
      </c>
      <c r="E2176" s="2">
        <v>0</v>
      </c>
      <c r="F2176" s="2">
        <v>0</v>
      </c>
      <c r="G2176" s="2">
        <v>0</v>
      </c>
      <c r="H2176" s="1" t="s">
        <v>0</v>
      </c>
      <c r="I2176" s="2">
        <v>0</v>
      </c>
      <c r="J2176" s="1">
        <v>45915.379525462966</v>
      </c>
    </row>
    <row r="2177" spans="1:10" x14ac:dyDescent="0.2">
      <c r="A2177" s="4" t="s">
        <v>1</v>
      </c>
      <c r="B2177" s="3" t="str">
        <f>HYPERLINK("https://otsuka-europe-crm.veevavault.com/ui/#object/approved_document__v/V5OZ025E82TFUPI", "Spain - HCP Survey Email - June 2025")</f>
        <v>Spain - HCP Survey Email - June 2025</v>
      </c>
      <c r="C2177" s="3" t="str">
        <f>HYPERLINK("https://otsuka-europe-crm.veevavault.com/ui/#object/sent_email__v/VBLZ025E82GMZAV", "SE-000269273")</f>
        <v>SE-000269273</v>
      </c>
      <c r="D2177" s="1" t="s">
        <v>0</v>
      </c>
      <c r="E2177" s="2">
        <v>0</v>
      </c>
      <c r="F2177" s="2">
        <v>0</v>
      </c>
      <c r="G2177" s="2">
        <v>0</v>
      </c>
      <c r="H2177" s="1" t="s">
        <v>0</v>
      </c>
      <c r="I2177" s="2">
        <v>0</v>
      </c>
      <c r="J2177" s="1">
        <v>45915.377372685187</v>
      </c>
    </row>
    <row r="2178" spans="1:10" x14ac:dyDescent="0.2">
      <c r="A2178" s="4" t="s">
        <v>1</v>
      </c>
      <c r="B2178" s="3" t="str">
        <f>HYPERLINK("https://otsuka-europe-crm.veevavault.com/ui/#object/approved_document__v/V5OZ025E82TFUPI", "Spain - HCP Survey Email - June 2025")</f>
        <v>Spain - HCP Survey Email - June 2025</v>
      </c>
      <c r="C2178" s="3" t="str">
        <f>HYPERLINK("https://otsuka-europe-crm.veevavault.com/ui/#object/sent_email__v/VBLZ025E82GMZAW", "SE-000269274")</f>
        <v>SE-000269274</v>
      </c>
      <c r="D2178" s="1">
        <v>45915.383981481478</v>
      </c>
      <c r="E2178" s="2">
        <v>1</v>
      </c>
      <c r="F2178" s="2">
        <v>1</v>
      </c>
      <c r="G2178" s="2">
        <v>0</v>
      </c>
      <c r="H2178" s="1" t="s">
        <v>0</v>
      </c>
      <c r="I2178" s="2">
        <v>0</v>
      </c>
      <c r="J2178" s="1">
        <v>45915.378379629627</v>
      </c>
    </row>
    <row r="2179" spans="1:10" x14ac:dyDescent="0.2">
      <c r="A2179" s="4" t="s">
        <v>1</v>
      </c>
      <c r="B2179" s="3" t="str">
        <f>HYPERLINK("https://otsuka-europe-crm.veevavault.com/ui/#object/approved_document__v/V5OZ025E82TFUPI", "Spain - HCP Survey Email - June 2025")</f>
        <v>Spain - HCP Survey Email - June 2025</v>
      </c>
      <c r="C2179" s="3" t="str">
        <f>HYPERLINK("https://otsuka-europe-crm.veevavault.com/ui/#object/sent_email__v/VBLZ025E82GMZAX", "SE-000269275")</f>
        <v>SE-000269275</v>
      </c>
      <c r="D2179" s="1">
        <v>45915.47797453704</v>
      </c>
      <c r="E2179" s="2">
        <v>1</v>
      </c>
      <c r="F2179" s="2">
        <v>1</v>
      </c>
      <c r="G2179" s="2">
        <v>0</v>
      </c>
      <c r="H2179" s="1" t="s">
        <v>0</v>
      </c>
      <c r="I2179" s="2">
        <v>0</v>
      </c>
      <c r="J2179" s="1">
        <v>45915.378807870373</v>
      </c>
    </row>
    <row r="2180" spans="1:10" x14ac:dyDescent="0.2">
      <c r="A2180" s="4" t="s">
        <v>1</v>
      </c>
      <c r="B2180" s="3" t="str">
        <f>HYPERLINK("https://otsuka-europe-crm.veevavault.com/ui/#object/approved_document__v/V5OZ025E82TFUPI", "Spain - HCP Survey Email - June 2025")</f>
        <v>Spain - HCP Survey Email - June 2025</v>
      </c>
      <c r="C2180" s="3" t="str">
        <f>HYPERLINK("https://otsuka-europe-crm.veevavault.com/ui/#object/sent_email__v/VBLZ025E82GMZAY", "SE-000269276")</f>
        <v>SE-000269276</v>
      </c>
      <c r="D2180" s="1">
        <v>45915.645613425928</v>
      </c>
      <c r="E2180" s="2">
        <v>1</v>
      </c>
      <c r="F2180" s="2">
        <v>1</v>
      </c>
      <c r="G2180" s="2">
        <v>0</v>
      </c>
      <c r="H2180" s="1" t="s">
        <v>0</v>
      </c>
      <c r="I2180" s="2">
        <v>0</v>
      </c>
      <c r="J2180" s="1">
        <v>45915.378692129627</v>
      </c>
    </row>
    <row r="2181" spans="1:10" x14ac:dyDescent="0.2">
      <c r="A2181" s="4" t="s">
        <v>1</v>
      </c>
      <c r="B2181" s="3" t="str">
        <f>HYPERLINK("https://otsuka-europe-crm.veevavault.com/ui/#object/approved_document__v/V5OZ025E82TFUPI", "Spain - HCP Survey Email - June 2025")</f>
        <v>Spain - HCP Survey Email - June 2025</v>
      </c>
      <c r="C2181" s="3" t="str">
        <f>HYPERLINK("https://otsuka-europe-crm.veevavault.com/ui/#object/sent_email__v/VBLZ025E82GMZAZ", "SE-000269277")</f>
        <v>SE-000269277</v>
      </c>
      <c r="D2181" s="1" t="s">
        <v>0</v>
      </c>
      <c r="E2181" s="2">
        <v>0</v>
      </c>
      <c r="F2181" s="2">
        <v>0</v>
      </c>
      <c r="G2181" s="2">
        <v>0</v>
      </c>
      <c r="H2181" s="1" t="s">
        <v>0</v>
      </c>
      <c r="I2181" s="2">
        <v>0</v>
      </c>
      <c r="J2181" s="1">
        <v>45915.37903935185</v>
      </c>
    </row>
    <row r="2182" spans="1:10" x14ac:dyDescent="0.2">
      <c r="A2182" s="4" t="s">
        <v>1</v>
      </c>
      <c r="B2182" s="3" t="str">
        <f>HYPERLINK("https://otsuka-europe-crm.veevavault.com/ui/#object/approved_document__v/V5OZ025E82TFUPI", "Spain - HCP Survey Email - June 2025")</f>
        <v>Spain - HCP Survey Email - June 2025</v>
      </c>
      <c r="C2182" s="3" t="str">
        <f>HYPERLINK("https://otsuka-europe-crm.veevavault.com/ui/#object/sent_email__v/VBLZ025E82GMZB0", "SE-000269278")</f>
        <v>SE-000269278</v>
      </c>
      <c r="D2182" s="1">
        <v>45915.412442129629</v>
      </c>
      <c r="E2182" s="2">
        <v>1</v>
      </c>
      <c r="F2182" s="2">
        <v>1</v>
      </c>
      <c r="G2182" s="2">
        <v>1</v>
      </c>
      <c r="H2182" s="1">
        <v>45915.624293981484</v>
      </c>
      <c r="I2182" s="2">
        <v>1</v>
      </c>
      <c r="J2182" s="1">
        <v>45915.37767361111</v>
      </c>
    </row>
    <row r="2183" spans="1:10" x14ac:dyDescent="0.2">
      <c r="A2183" s="4" t="s">
        <v>1</v>
      </c>
      <c r="B2183" s="3" t="str">
        <f>HYPERLINK("https://otsuka-europe-crm.veevavault.com/ui/#object/approved_document__v/V5OZ025E82TFUPI", "Spain - HCP Survey Email - June 2025")</f>
        <v>Spain - HCP Survey Email - June 2025</v>
      </c>
      <c r="C2183" s="3" t="str">
        <f>HYPERLINK("https://otsuka-europe-crm.veevavault.com/ui/#object/sent_email__v/VBLZ025E82GMZB1", "SE-000269279")</f>
        <v>SE-000269279</v>
      </c>
      <c r="D2183" s="1" t="s">
        <v>0</v>
      </c>
      <c r="E2183" s="2">
        <v>0</v>
      </c>
      <c r="F2183" s="2">
        <v>0</v>
      </c>
      <c r="G2183" s="2">
        <v>0</v>
      </c>
      <c r="H2183" s="1" t="s">
        <v>0</v>
      </c>
      <c r="I2183" s="2">
        <v>0</v>
      </c>
      <c r="J2183" s="1">
        <v>45915.377604166664</v>
      </c>
    </row>
    <row r="2184" spans="1:10" x14ac:dyDescent="0.2">
      <c r="A2184" s="4" t="s">
        <v>1</v>
      </c>
      <c r="B2184" s="3" t="str">
        <f>HYPERLINK("https://otsuka-europe-crm.veevavault.com/ui/#object/approved_document__v/V5OZ025E82TFUPI", "Spain - HCP Survey Email - June 2025")</f>
        <v>Spain - HCP Survey Email - June 2025</v>
      </c>
      <c r="C2184" s="3" t="str">
        <f>HYPERLINK("https://otsuka-europe-crm.veevavault.com/ui/#object/sent_email__v/VBLZ025E82GMZB2", "SE-000269280")</f>
        <v>SE-000269280</v>
      </c>
      <c r="D2184" s="1">
        <v>45916.31486111111</v>
      </c>
      <c r="E2184" s="2">
        <v>1</v>
      </c>
      <c r="F2184" s="2">
        <v>1</v>
      </c>
      <c r="G2184" s="2">
        <v>1</v>
      </c>
      <c r="H2184" s="1">
        <v>45916.314988425926</v>
      </c>
      <c r="I2184" s="2">
        <v>1</v>
      </c>
      <c r="J2184" s="1">
        <v>45915.37809027778</v>
      </c>
    </row>
    <row r="2185" spans="1:10" x14ac:dyDescent="0.2">
      <c r="A2185" s="4" t="s">
        <v>1</v>
      </c>
      <c r="B2185" s="3" t="str">
        <f>HYPERLINK("https://otsuka-europe-crm.veevavault.com/ui/#object/approved_document__v/V5OZ025E82TFUPI", "Spain - HCP Survey Email - June 2025")</f>
        <v>Spain - HCP Survey Email - June 2025</v>
      </c>
      <c r="C2185" s="3" t="str">
        <f>HYPERLINK("https://otsuka-europe-crm.veevavault.com/ui/#object/sent_email__v/VBLZ025E82GMZB3", "SE-000269281")</f>
        <v>SE-000269281</v>
      </c>
      <c r="D2185" s="1" t="s">
        <v>0</v>
      </c>
      <c r="E2185" s="2">
        <v>0</v>
      </c>
      <c r="F2185" s="2">
        <v>0</v>
      </c>
      <c r="G2185" s="2">
        <v>0</v>
      </c>
      <c r="H2185" s="1" t="s">
        <v>0</v>
      </c>
      <c r="I2185" s="2">
        <v>0</v>
      </c>
      <c r="J2185" s="1">
        <v>45915.379016203704</v>
      </c>
    </row>
    <row r="2186" spans="1:10" x14ac:dyDescent="0.2">
      <c r="A2186" s="4" t="s">
        <v>1</v>
      </c>
      <c r="B2186" s="3" t="str">
        <f>HYPERLINK("https://otsuka-europe-crm.veevavault.com/ui/#object/approved_document__v/V5OZ025E82TFUPI", "Spain - HCP Survey Email - June 2025")</f>
        <v>Spain - HCP Survey Email - June 2025</v>
      </c>
      <c r="C2186" s="3" t="str">
        <f>HYPERLINK("https://otsuka-europe-crm.veevavault.com/ui/#object/sent_email__v/VBLZ025E82GMZB4", "SE-000269282")</f>
        <v>SE-000269282</v>
      </c>
      <c r="D2186" s="1">
        <v>45915.920844907407</v>
      </c>
      <c r="E2186" s="2">
        <v>1</v>
      </c>
      <c r="F2186" s="2">
        <v>1</v>
      </c>
      <c r="G2186" s="2">
        <v>0</v>
      </c>
      <c r="H2186" s="1" t="s">
        <v>0</v>
      </c>
      <c r="I2186" s="2">
        <v>0</v>
      </c>
      <c r="J2186" s="1">
        <v>45915.37976851852</v>
      </c>
    </row>
    <row r="2187" spans="1:10" x14ac:dyDescent="0.2">
      <c r="A2187" s="4" t="s">
        <v>1</v>
      </c>
      <c r="B2187" s="3" t="str">
        <f>HYPERLINK("https://otsuka-europe-crm.veevavault.com/ui/#object/approved_document__v/V5OZ025E82TFUPI", "Spain - HCP Survey Email - June 2025")</f>
        <v>Spain - HCP Survey Email - June 2025</v>
      </c>
      <c r="C2187" s="3" t="str">
        <f>HYPERLINK("https://otsuka-europe-crm.veevavault.com/ui/#object/sent_email__v/VBLZ025E82GMZB5", "SE-000269283")</f>
        <v>SE-000269283</v>
      </c>
      <c r="D2187" s="1" t="s">
        <v>0</v>
      </c>
      <c r="E2187" s="2">
        <v>0</v>
      </c>
      <c r="F2187" s="2">
        <v>0</v>
      </c>
      <c r="G2187" s="2">
        <v>0</v>
      </c>
      <c r="H2187" s="1" t="s">
        <v>0</v>
      </c>
      <c r="I2187" s="2">
        <v>0</v>
      </c>
      <c r="J2187" s="1">
        <v>45915.379479166666</v>
      </c>
    </row>
    <row r="2188" spans="1:10" x14ac:dyDescent="0.2">
      <c r="A2188" s="4" t="s">
        <v>1</v>
      </c>
      <c r="B2188" s="3" t="str">
        <f>HYPERLINK("https://otsuka-europe-crm.veevavault.com/ui/#object/approved_document__v/V5OZ025E82TFUPI", "Spain - HCP Survey Email - June 2025")</f>
        <v>Spain - HCP Survey Email - June 2025</v>
      </c>
      <c r="C2188" s="3" t="str">
        <f>HYPERLINK("https://otsuka-europe-crm.veevavault.com/ui/#object/sent_email__v/VBLZ025E82GMZB6", "SE-000269284")</f>
        <v>SE-000269284</v>
      </c>
      <c r="D2188" s="1" t="s">
        <v>0</v>
      </c>
      <c r="E2188" s="2">
        <v>0</v>
      </c>
      <c r="F2188" s="2">
        <v>0</v>
      </c>
      <c r="G2188" s="2">
        <v>0</v>
      </c>
      <c r="H2188" s="1" t="s">
        <v>0</v>
      </c>
      <c r="I2188" s="2">
        <v>0</v>
      </c>
      <c r="J2188" s="1">
        <v>45915.377395833333</v>
      </c>
    </row>
    <row r="2189" spans="1:10" x14ac:dyDescent="0.2">
      <c r="A2189" s="4" t="s">
        <v>1</v>
      </c>
      <c r="B2189" s="3" t="str">
        <f>HYPERLINK("https://otsuka-europe-crm.veevavault.com/ui/#object/approved_document__v/V5OZ025E82TFUPI", "Spain - HCP Survey Email - June 2025")</f>
        <v>Spain - HCP Survey Email - June 2025</v>
      </c>
      <c r="C2189" s="3" t="str">
        <f>HYPERLINK("https://otsuka-europe-crm.veevavault.com/ui/#object/sent_email__v/VBLZ025E82GMZB7", "SE-000269285")</f>
        <v>SE-000269285</v>
      </c>
      <c r="D2189" s="1" t="s">
        <v>0</v>
      </c>
      <c r="E2189" s="2">
        <v>0</v>
      </c>
      <c r="F2189" s="2">
        <v>0</v>
      </c>
      <c r="G2189" s="2">
        <v>0</v>
      </c>
      <c r="H2189" s="1" t="s">
        <v>0</v>
      </c>
      <c r="I2189" s="2">
        <v>0</v>
      </c>
      <c r="J2189" s="1">
        <v>45915.37840277778</v>
      </c>
    </row>
    <row r="2190" spans="1:10" x14ac:dyDescent="0.2">
      <c r="A2190" s="4" t="s">
        <v>1</v>
      </c>
      <c r="B2190" s="3" t="str">
        <f>HYPERLINK("https://otsuka-europe-crm.veevavault.com/ui/#object/approved_document__v/V5OZ025E82TFUPI", "Spain - HCP Survey Email - June 2025")</f>
        <v>Spain - HCP Survey Email - June 2025</v>
      </c>
      <c r="C2190" s="3" t="str">
        <f>HYPERLINK("https://otsuka-europe-crm.veevavault.com/ui/#object/sent_email__v/VBLZ025E82GMZB8", "SE-000269286")</f>
        <v>SE-000269286</v>
      </c>
      <c r="D2190" s="1">
        <v>45915.511550925927</v>
      </c>
      <c r="E2190" s="2">
        <v>1</v>
      </c>
      <c r="F2190" s="2">
        <v>2</v>
      </c>
      <c r="G2190" s="2">
        <v>0</v>
      </c>
      <c r="H2190" s="1" t="s">
        <v>0</v>
      </c>
      <c r="I2190" s="2">
        <v>0</v>
      </c>
      <c r="J2190" s="1">
        <v>45915.378784722219</v>
      </c>
    </row>
    <row r="2191" spans="1:10" x14ac:dyDescent="0.2">
      <c r="A2191" s="4" t="s">
        <v>1</v>
      </c>
      <c r="B2191" s="3" t="str">
        <f>HYPERLINK("https://otsuka-europe-crm.veevavault.com/ui/#object/approved_document__v/V5OZ025E82TFUPI", "Spain - HCP Survey Email - June 2025")</f>
        <v>Spain - HCP Survey Email - June 2025</v>
      </c>
      <c r="C2191" s="3" t="str">
        <f>HYPERLINK("https://otsuka-europe-crm.veevavault.com/ui/#object/sent_email__v/VBLZ025E82GMZB9", "SE-000269287")</f>
        <v>SE-000269287</v>
      </c>
      <c r="D2191" s="1">
        <v>45915.379166666666</v>
      </c>
      <c r="E2191" s="2">
        <v>1</v>
      </c>
      <c r="F2191" s="2">
        <v>2</v>
      </c>
      <c r="G2191" s="2">
        <v>0</v>
      </c>
      <c r="H2191" s="1" t="s">
        <v>0</v>
      </c>
      <c r="I2191" s="2">
        <v>0</v>
      </c>
      <c r="J2191" s="1">
        <v>45915.37877314815</v>
      </c>
    </row>
    <row r="2192" spans="1:10" x14ac:dyDescent="0.2">
      <c r="A2192" s="4" t="s">
        <v>1</v>
      </c>
      <c r="B2192" s="3" t="str">
        <f>HYPERLINK("https://otsuka-europe-crm.veevavault.com/ui/#object/approved_document__v/V5OZ025E82TFUPI", "Spain - HCP Survey Email - June 2025")</f>
        <v>Spain - HCP Survey Email - June 2025</v>
      </c>
      <c r="C2192" s="3" t="str">
        <f>HYPERLINK("https://otsuka-europe-crm.veevavault.com/ui/#object/sent_email__v/VBLZ025E82GMZBA", "SE-000269288")</f>
        <v>SE-000269288</v>
      </c>
      <c r="D2192" s="1" t="s">
        <v>0</v>
      </c>
      <c r="E2192" s="2">
        <v>0</v>
      </c>
      <c r="F2192" s="2">
        <v>0</v>
      </c>
      <c r="G2192" s="2">
        <v>0</v>
      </c>
      <c r="H2192" s="1" t="s">
        <v>0</v>
      </c>
      <c r="I2192" s="2">
        <v>0</v>
      </c>
      <c r="J2192" s="1">
        <v>45915.379155092596</v>
      </c>
    </row>
    <row r="2193" spans="1:10" x14ac:dyDescent="0.2">
      <c r="A2193" s="4" t="s">
        <v>1</v>
      </c>
      <c r="B2193" s="3" t="str">
        <f>HYPERLINK("https://otsuka-europe-crm.veevavault.com/ui/#object/approved_document__v/V5OZ025E82TFUPI", "Spain - HCP Survey Email - June 2025")</f>
        <v>Spain - HCP Survey Email - June 2025</v>
      </c>
      <c r="C2193" s="3" t="str">
        <f>HYPERLINK("https://otsuka-europe-crm.veevavault.com/ui/#object/sent_email__v/VBLZ025E82GMZBB", "SE-000269289")</f>
        <v>SE-000269289</v>
      </c>
      <c r="D2193" s="1">
        <v>45915.673310185186</v>
      </c>
      <c r="E2193" s="2">
        <v>1</v>
      </c>
      <c r="F2193" s="2">
        <v>1</v>
      </c>
      <c r="G2193" s="2">
        <v>0</v>
      </c>
      <c r="H2193" s="1" t="s">
        <v>0</v>
      </c>
      <c r="I2193" s="2">
        <v>0</v>
      </c>
      <c r="J2193" s="1">
        <v>45915.37771990741</v>
      </c>
    </row>
    <row r="2194" spans="1:10" x14ac:dyDescent="0.2">
      <c r="A2194" s="4" t="s">
        <v>1</v>
      </c>
      <c r="B2194" s="3" t="str">
        <f>HYPERLINK("https://otsuka-europe-crm.veevavault.com/ui/#object/approved_document__v/V5OZ025E82TFUPI", "Spain - HCP Survey Email - June 2025")</f>
        <v>Spain - HCP Survey Email - June 2025</v>
      </c>
      <c r="C2194" s="3" t="str">
        <f>HYPERLINK("https://otsuka-europe-crm.veevavault.com/ui/#object/sent_email__v/VBLZ025E82GMZBC", "SE-000269290")</f>
        <v>SE-000269290</v>
      </c>
      <c r="D2194" s="1">
        <v>45915.735081018516</v>
      </c>
      <c r="E2194" s="2">
        <v>1</v>
      </c>
      <c r="F2194" s="2">
        <v>2</v>
      </c>
      <c r="G2194" s="2">
        <v>0</v>
      </c>
      <c r="H2194" s="1" t="s">
        <v>0</v>
      </c>
      <c r="I2194" s="2">
        <v>0</v>
      </c>
      <c r="J2194" s="1">
        <v>45915.377569444441</v>
      </c>
    </row>
    <row r="2195" spans="1:10" x14ac:dyDescent="0.2">
      <c r="A2195" s="4" t="s">
        <v>1</v>
      </c>
      <c r="B2195" s="3" t="str">
        <f>HYPERLINK("https://otsuka-europe-crm.veevavault.com/ui/#object/approved_document__v/V5OZ025E82TFUPI", "Spain - HCP Survey Email - June 2025")</f>
        <v>Spain - HCP Survey Email - June 2025</v>
      </c>
      <c r="C2195" s="3" t="str">
        <f>HYPERLINK("https://otsuka-europe-crm.veevavault.com/ui/#object/sent_email__v/VBLZ025E82GMZBD", "SE-000269291")</f>
        <v>SE-000269291</v>
      </c>
      <c r="D2195" s="1">
        <v>45917.393113425926</v>
      </c>
      <c r="E2195" s="2">
        <v>1</v>
      </c>
      <c r="F2195" s="2">
        <v>1</v>
      </c>
      <c r="G2195" s="2">
        <v>0</v>
      </c>
      <c r="H2195" s="1" t="s">
        <v>0</v>
      </c>
      <c r="I2195" s="2">
        <v>0</v>
      </c>
      <c r="J2195" s="1">
        <v>45915.377986111111</v>
      </c>
    </row>
    <row r="2196" spans="1:10" x14ac:dyDescent="0.2">
      <c r="A2196" s="4" t="s">
        <v>1</v>
      </c>
      <c r="B2196" s="3" t="str">
        <f>HYPERLINK("https://otsuka-europe-crm.veevavault.com/ui/#object/approved_document__v/V5OZ025E82TFUPI", "Spain - HCP Survey Email - June 2025")</f>
        <v>Spain - HCP Survey Email - June 2025</v>
      </c>
      <c r="C2196" s="3" t="str">
        <f>HYPERLINK("https://otsuka-europe-crm.veevavault.com/ui/#object/sent_email__v/VBLZ025E82GMZBE", "SE-000269292")</f>
        <v>SE-000269292</v>
      </c>
      <c r="D2196" s="1">
        <v>45915.491608796299</v>
      </c>
      <c r="E2196" s="2">
        <v>1</v>
      </c>
      <c r="F2196" s="2">
        <v>5</v>
      </c>
      <c r="G2196" s="2">
        <v>1</v>
      </c>
      <c r="H2196" s="1">
        <v>45915.390636574077</v>
      </c>
      <c r="I2196" s="2">
        <v>1</v>
      </c>
      <c r="J2196" s="1">
        <v>45915.379108796296</v>
      </c>
    </row>
    <row r="2197" spans="1:10" x14ac:dyDescent="0.2">
      <c r="A2197" s="4" t="s">
        <v>1</v>
      </c>
      <c r="B2197" s="3" t="str">
        <f>HYPERLINK("https://otsuka-europe-crm.veevavault.com/ui/#object/approved_document__v/V5OZ025E82TFUPI", "Spain - HCP Survey Email - June 2025")</f>
        <v>Spain - HCP Survey Email - June 2025</v>
      </c>
      <c r="C2197" s="3" t="str">
        <f>HYPERLINK("https://otsuka-europe-crm.veevavault.com/ui/#object/sent_email__v/VBLZ025E82GMZBF", "SE-000269293")</f>
        <v>SE-000269293</v>
      </c>
      <c r="D2197" s="1" t="s">
        <v>0</v>
      </c>
      <c r="E2197" s="2">
        <v>0</v>
      </c>
      <c r="F2197" s="2">
        <v>0</v>
      </c>
      <c r="G2197" s="2">
        <v>0</v>
      </c>
      <c r="H2197" s="1" t="s">
        <v>0</v>
      </c>
      <c r="I2197" s="2">
        <v>0</v>
      </c>
      <c r="J2197" s="1">
        <v>45915.379733796297</v>
      </c>
    </row>
    <row r="2198" spans="1:10" x14ac:dyDescent="0.2">
      <c r="A2198" s="4" t="s">
        <v>1</v>
      </c>
      <c r="B2198" s="3" t="str">
        <f>HYPERLINK("https://otsuka-europe-crm.veevavault.com/ui/#object/approved_document__v/V5OZ025E82TFUPI", "Spain - HCP Survey Email - June 2025")</f>
        <v>Spain - HCP Survey Email - June 2025</v>
      </c>
      <c r="C2198" s="3" t="str">
        <f>HYPERLINK("https://otsuka-europe-crm.veevavault.com/ui/#object/sent_email__v/VBLZ025E82GMZBG", "SE-000269294")</f>
        <v>SE-000269294</v>
      </c>
      <c r="D2198" s="1">
        <v>45953.303240740737</v>
      </c>
      <c r="E2198" s="2">
        <v>1</v>
      </c>
      <c r="F2198" s="2">
        <v>1</v>
      </c>
      <c r="G2198" s="2">
        <v>1</v>
      </c>
      <c r="H2198" s="1">
        <v>45953.303240740737</v>
      </c>
      <c r="I2198" s="2">
        <v>1</v>
      </c>
      <c r="J2198" s="1">
        <v>45915.379432870373</v>
      </c>
    </row>
    <row r="2199" spans="1:10" x14ac:dyDescent="0.2">
      <c r="A2199" s="4" t="s">
        <v>1</v>
      </c>
      <c r="B2199" s="3" t="str">
        <f>HYPERLINK("https://otsuka-europe-crm.veevavault.com/ui/#object/approved_document__v/V5OZ025E82TFUPI", "Spain - HCP Survey Email - June 2025")</f>
        <v>Spain - HCP Survey Email - June 2025</v>
      </c>
      <c r="C2199" s="3" t="str">
        <f>HYPERLINK("https://otsuka-europe-crm.veevavault.com/ui/#object/sent_email__v/VBLZ025E82GMZBH", "SE-000269295")</f>
        <v>SE-000269295</v>
      </c>
      <c r="D2199" s="1" t="s">
        <v>0</v>
      </c>
      <c r="E2199" s="2">
        <v>0</v>
      </c>
      <c r="F2199" s="2">
        <v>0</v>
      </c>
      <c r="G2199" s="2">
        <v>0</v>
      </c>
      <c r="H2199" s="1" t="s">
        <v>0</v>
      </c>
      <c r="I2199" s="2">
        <v>0</v>
      </c>
      <c r="J2199" s="1">
        <v>45915.37740740741</v>
      </c>
    </row>
    <row r="2200" spans="1:10" x14ac:dyDescent="0.2">
      <c r="A2200" s="4" t="s">
        <v>1</v>
      </c>
      <c r="B2200" s="3" t="str">
        <f>HYPERLINK("https://otsuka-europe-crm.veevavault.com/ui/#object/approved_document__v/V5OZ025E82TFUPI", "Spain - HCP Survey Email - June 2025")</f>
        <v>Spain - HCP Survey Email - June 2025</v>
      </c>
      <c r="C2200" s="3" t="str">
        <f>HYPERLINK("https://otsuka-europe-crm.veevavault.com/ui/#object/sent_email__v/VBLZ025E82GMZBI", "SE-000269296")</f>
        <v>SE-000269296</v>
      </c>
      <c r="D2200" s="1">
        <v>45915.41810185185</v>
      </c>
      <c r="E2200" s="2">
        <v>1</v>
      </c>
      <c r="F2200" s="2">
        <v>1</v>
      </c>
      <c r="G2200" s="2">
        <v>0</v>
      </c>
      <c r="H2200" s="1" t="s">
        <v>0</v>
      </c>
      <c r="I2200" s="2">
        <v>0</v>
      </c>
      <c r="J2200" s="1">
        <v>45915.378391203703</v>
      </c>
    </row>
    <row r="2201" spans="1:10" x14ac:dyDescent="0.2">
      <c r="A2201" s="4" t="s">
        <v>1</v>
      </c>
      <c r="B2201" s="3" t="str">
        <f>HYPERLINK("https://otsuka-europe-crm.veevavault.com/ui/#object/approved_document__v/V5OZ025E82TFUPI", "Spain - HCP Survey Email - June 2025")</f>
        <v>Spain - HCP Survey Email - June 2025</v>
      </c>
      <c r="C2201" s="3" t="str">
        <f>HYPERLINK("https://otsuka-europe-crm.veevavault.com/ui/#object/sent_email__v/VBLZ025E82GMZBJ", "SE-000269297")</f>
        <v>SE-000269297</v>
      </c>
      <c r="D2201" s="1">
        <v>45915.439351851855</v>
      </c>
      <c r="E2201" s="2">
        <v>1</v>
      </c>
      <c r="F2201" s="2">
        <v>1</v>
      </c>
      <c r="G2201" s="2">
        <v>1</v>
      </c>
      <c r="H2201" s="1">
        <v>45915.439664351848</v>
      </c>
      <c r="I2201" s="2">
        <v>1</v>
      </c>
      <c r="J2201" s="1">
        <v>45915.378935185188</v>
      </c>
    </row>
    <row r="2202" spans="1:10" x14ac:dyDescent="0.2">
      <c r="A2202" s="4" t="s">
        <v>1</v>
      </c>
      <c r="B2202" s="3" t="str">
        <f>HYPERLINK("https://otsuka-europe-crm.veevavault.com/ui/#object/approved_document__v/V5OZ025E82TFUPI", "Spain - HCP Survey Email - June 2025")</f>
        <v>Spain - HCP Survey Email - June 2025</v>
      </c>
      <c r="C2202" s="3" t="str">
        <f>HYPERLINK("https://otsuka-europe-crm.veevavault.com/ui/#object/sent_email__v/VBLZ025E82GMZBK", "SE-000269298")</f>
        <v>SE-000269298</v>
      </c>
      <c r="D2202" s="1">
        <v>45936.394884259258</v>
      </c>
      <c r="E2202" s="2">
        <v>1</v>
      </c>
      <c r="F2202" s="2">
        <v>1</v>
      </c>
      <c r="G2202" s="2">
        <v>0</v>
      </c>
      <c r="H2202" s="1" t="s">
        <v>0</v>
      </c>
      <c r="I2202" s="2">
        <v>0</v>
      </c>
      <c r="J2202" s="1">
        <v>45915.379791666666</v>
      </c>
    </row>
    <row r="2203" spans="1:10" x14ac:dyDescent="0.2">
      <c r="A2203" s="4" t="s">
        <v>1</v>
      </c>
      <c r="B2203" s="3" t="str">
        <f>HYPERLINK("https://otsuka-europe-crm.veevavault.com/ui/#object/approved_document__v/V5OZ025E82TFUPI", "Spain - HCP Survey Email - June 2025")</f>
        <v>Spain - HCP Survey Email - June 2025</v>
      </c>
      <c r="C2203" s="3" t="str">
        <f>HYPERLINK("https://otsuka-europe-crm.veevavault.com/ui/#object/sent_email__v/VBLZ025E82GMZBM", "SE-000269300")</f>
        <v>SE-000269300</v>
      </c>
      <c r="D2203" s="1">
        <v>45915.471145833333</v>
      </c>
      <c r="E2203" s="2">
        <v>1</v>
      </c>
      <c r="F2203" s="2">
        <v>3</v>
      </c>
      <c r="G2203" s="2">
        <v>0</v>
      </c>
      <c r="H2203" s="1" t="s">
        <v>0</v>
      </c>
      <c r="I2203" s="2">
        <v>0</v>
      </c>
      <c r="J2203" s="1">
        <v>45915.377372685187</v>
      </c>
    </row>
    <row r="2204" spans="1:10" x14ac:dyDescent="0.2">
      <c r="A2204" s="4" t="s">
        <v>1</v>
      </c>
      <c r="B2204" s="3" t="str">
        <f>HYPERLINK("https://otsuka-europe-crm.veevavault.com/ui/#object/approved_document__v/V5OZ025E82TFUPI", "Spain - HCP Survey Email - June 2025")</f>
        <v>Spain - HCP Survey Email - June 2025</v>
      </c>
      <c r="C2204" s="3" t="str">
        <f>HYPERLINK("https://otsuka-europe-crm.veevavault.com/ui/#object/sent_email__v/VBLZ025E82GMZBN", "SE-000269301")</f>
        <v>SE-000269301</v>
      </c>
      <c r="D2204" s="1" t="s">
        <v>0</v>
      </c>
      <c r="E2204" s="2">
        <v>0</v>
      </c>
      <c r="F2204" s="2">
        <v>0</v>
      </c>
      <c r="G2204" s="2">
        <v>0</v>
      </c>
      <c r="H2204" s="1" t="s">
        <v>0</v>
      </c>
      <c r="I2204" s="2">
        <v>0</v>
      </c>
      <c r="J2204" s="1">
        <v>45915.378391203703</v>
      </c>
    </row>
    <row r="2205" spans="1:10" x14ac:dyDescent="0.2">
      <c r="A2205" s="4" t="s">
        <v>1</v>
      </c>
      <c r="B2205" s="3" t="str">
        <f>HYPERLINK("https://otsuka-europe-crm.veevavault.com/ui/#object/approved_document__v/V5OZ025E82TFUPI", "Spain - HCP Survey Email - June 2025")</f>
        <v>Spain - HCP Survey Email - June 2025</v>
      </c>
      <c r="C2205" s="3" t="str">
        <f>HYPERLINK("https://otsuka-europe-crm.veevavault.com/ui/#object/sent_email__v/VBLZ025E82GMZBO", "SE-000269302")</f>
        <v>SE-000269302</v>
      </c>
      <c r="D2205" s="1">
        <v>45927.844687500001</v>
      </c>
      <c r="E2205" s="2">
        <v>1</v>
      </c>
      <c r="F2205" s="2">
        <v>1</v>
      </c>
      <c r="G2205" s="2">
        <v>1</v>
      </c>
      <c r="H2205" s="1">
        <v>45927.844687500001</v>
      </c>
      <c r="I2205" s="2">
        <v>1</v>
      </c>
      <c r="J2205" s="1">
        <v>45915.378819444442</v>
      </c>
    </row>
    <row r="2206" spans="1:10" x14ac:dyDescent="0.2">
      <c r="A2206" s="4" t="s">
        <v>1</v>
      </c>
      <c r="B2206" s="3" t="str">
        <f>HYPERLINK("https://otsuka-europe-crm.veevavault.com/ui/#object/approved_document__v/V5OZ025E82TFUPI", "Spain - HCP Survey Email - June 2025")</f>
        <v>Spain - HCP Survey Email - June 2025</v>
      </c>
      <c r="C2206" s="3" t="str">
        <f>HYPERLINK("https://otsuka-europe-crm.veevavault.com/ui/#object/sent_email__v/VBLZ025E82GMZBP", "SE-000269303")</f>
        <v>SE-000269303</v>
      </c>
      <c r="D2206" s="1" t="s">
        <v>0</v>
      </c>
      <c r="E2206" s="2">
        <v>0</v>
      </c>
      <c r="F2206" s="2">
        <v>0</v>
      </c>
      <c r="G2206" s="2">
        <v>0</v>
      </c>
      <c r="H2206" s="1" t="s">
        <v>0</v>
      </c>
      <c r="I2206" s="2">
        <v>0</v>
      </c>
      <c r="J2206" s="1">
        <v>45915.378761574073</v>
      </c>
    </row>
    <row r="2207" spans="1:10" x14ac:dyDescent="0.2">
      <c r="A2207" s="4" t="s">
        <v>1</v>
      </c>
      <c r="B2207" s="3" t="str">
        <f>HYPERLINK("https://otsuka-europe-crm.veevavault.com/ui/#object/approved_document__v/V5OZ025E82TFUPI", "Spain - HCP Survey Email - June 2025")</f>
        <v>Spain - HCP Survey Email - June 2025</v>
      </c>
      <c r="C2207" s="3" t="str">
        <f>HYPERLINK("https://otsuka-europe-crm.veevavault.com/ui/#object/sent_email__v/VBLZ025E82GMZBQ", "SE-000269304")</f>
        <v>SE-000269304</v>
      </c>
      <c r="D2207" s="1" t="s">
        <v>0</v>
      </c>
      <c r="E2207" s="2">
        <v>0</v>
      </c>
      <c r="F2207" s="2">
        <v>0</v>
      </c>
      <c r="G2207" s="2">
        <v>0</v>
      </c>
      <c r="H2207" s="1" t="s">
        <v>0</v>
      </c>
      <c r="I2207" s="2">
        <v>0</v>
      </c>
      <c r="J2207" s="1">
        <v>45915.379270833335</v>
      </c>
    </row>
    <row r="2208" spans="1:10" x14ac:dyDescent="0.2">
      <c r="A2208" s="4" t="s">
        <v>1</v>
      </c>
      <c r="B2208" s="3" t="str">
        <f>HYPERLINK("https://otsuka-europe-crm.veevavault.com/ui/#object/approved_document__v/V5OZ025E82TFUPI", "Spain - HCP Survey Email - June 2025")</f>
        <v>Spain - HCP Survey Email - June 2025</v>
      </c>
      <c r="C2208" s="3" t="str">
        <f>HYPERLINK("https://otsuka-europe-crm.veevavault.com/ui/#object/sent_email__v/VBLZ025E82GMZBR", "SE-000269305")</f>
        <v>SE-000269305</v>
      </c>
      <c r="D2208" s="1" t="s">
        <v>0</v>
      </c>
      <c r="E2208" s="2">
        <v>0</v>
      </c>
      <c r="F2208" s="2">
        <v>0</v>
      </c>
      <c r="G2208" s="2">
        <v>0</v>
      </c>
      <c r="H2208" s="1" t="s">
        <v>0</v>
      </c>
      <c r="I2208" s="2">
        <v>0</v>
      </c>
      <c r="J2208" s="1">
        <v>45915.37767361111</v>
      </c>
    </row>
    <row r="2209" spans="1:10" x14ac:dyDescent="0.2">
      <c r="A2209" s="4" t="s">
        <v>1</v>
      </c>
      <c r="B2209" s="3" t="str">
        <f>HYPERLINK("https://otsuka-europe-crm.veevavault.com/ui/#object/approved_document__v/V5OZ025E82TFUPI", "Spain - HCP Survey Email - June 2025")</f>
        <v>Spain - HCP Survey Email - June 2025</v>
      </c>
      <c r="C2209" s="3" t="str">
        <f>HYPERLINK("https://otsuka-europe-crm.veevavault.com/ui/#object/sent_email__v/VBLZ025E82GMZBS", "SE-000269306")</f>
        <v>SE-000269306</v>
      </c>
      <c r="D2209" s="1" t="s">
        <v>0</v>
      </c>
      <c r="E2209" s="2">
        <v>0</v>
      </c>
      <c r="F2209" s="2">
        <v>0</v>
      </c>
      <c r="G2209" s="2">
        <v>0</v>
      </c>
      <c r="H2209" s="1" t="s">
        <v>0</v>
      </c>
      <c r="I2209" s="2">
        <v>0</v>
      </c>
      <c r="J2209" s="1">
        <v>45915.377581018518</v>
      </c>
    </row>
    <row r="2210" spans="1:10" x14ac:dyDescent="0.2">
      <c r="A2210" s="4" t="s">
        <v>1</v>
      </c>
      <c r="B2210" s="3" t="str">
        <f>HYPERLINK("https://otsuka-europe-crm.veevavault.com/ui/#object/approved_document__v/V5OZ025E82TFUPI", "Spain - HCP Survey Email - June 2025")</f>
        <v>Spain - HCP Survey Email - June 2025</v>
      </c>
      <c r="C2210" s="3" t="str">
        <f>HYPERLINK("https://otsuka-europe-crm.veevavault.com/ui/#object/sent_email__v/VBLZ025E82GMZBT", "SE-000269307")</f>
        <v>SE-000269307</v>
      </c>
      <c r="D2210" s="1" t="s">
        <v>0</v>
      </c>
      <c r="E2210" s="2">
        <v>0</v>
      </c>
      <c r="F2210" s="2">
        <v>0</v>
      </c>
      <c r="G2210" s="2">
        <v>0</v>
      </c>
      <c r="H2210" s="1" t="s">
        <v>0</v>
      </c>
      <c r="I2210" s="2">
        <v>0</v>
      </c>
      <c r="J2210" s="1">
        <v>45915.377997685187</v>
      </c>
    </row>
    <row r="2211" spans="1:10" x14ac:dyDescent="0.2">
      <c r="A2211" s="4" t="s">
        <v>1</v>
      </c>
      <c r="B2211" s="3" t="str">
        <f>HYPERLINK("https://otsuka-europe-crm.veevavault.com/ui/#object/approved_document__v/V5OZ025E82TFUPI", "Spain - HCP Survey Email - June 2025")</f>
        <v>Spain - HCP Survey Email - June 2025</v>
      </c>
      <c r="C2211" s="3" t="str">
        <f>HYPERLINK("https://otsuka-europe-crm.veevavault.com/ui/#object/sent_email__v/VBLZ025E82GMZBU", "SE-000269308")</f>
        <v>SE-000269308</v>
      </c>
      <c r="D2211" s="1" t="s">
        <v>0</v>
      </c>
      <c r="E2211" s="2">
        <v>0</v>
      </c>
      <c r="F2211" s="2">
        <v>0</v>
      </c>
      <c r="G2211" s="2">
        <v>0</v>
      </c>
      <c r="H2211" s="1" t="s">
        <v>0</v>
      </c>
      <c r="I2211" s="2">
        <v>0</v>
      </c>
      <c r="J2211" s="1">
        <v>45915.379074074073</v>
      </c>
    </row>
    <row r="2212" spans="1:10" x14ac:dyDescent="0.2">
      <c r="A2212" s="4" t="s">
        <v>1</v>
      </c>
      <c r="B2212" s="3" t="str">
        <f>HYPERLINK("https://otsuka-europe-crm.veevavault.com/ui/#object/approved_document__v/V5OZ025E82TFUPI", "Spain - HCP Survey Email - June 2025")</f>
        <v>Spain - HCP Survey Email - June 2025</v>
      </c>
      <c r="C2212" s="3" t="str">
        <f>HYPERLINK("https://otsuka-europe-crm.veevavault.com/ui/#object/sent_email__v/VBLZ025E82GMZBV", "SE-000269309")</f>
        <v>SE-000269309</v>
      </c>
      <c r="D2212" s="1">
        <v>45915.951319444444</v>
      </c>
      <c r="E2212" s="2">
        <v>1</v>
      </c>
      <c r="F2212" s="2">
        <v>1</v>
      </c>
      <c r="G2212" s="2">
        <v>0</v>
      </c>
      <c r="H2212" s="1" t="s">
        <v>0</v>
      </c>
      <c r="I2212" s="2">
        <v>0</v>
      </c>
      <c r="J2212" s="1">
        <v>45915.379780092589</v>
      </c>
    </row>
    <row r="2213" spans="1:10" x14ac:dyDescent="0.2">
      <c r="A2213" s="4" t="s">
        <v>1</v>
      </c>
      <c r="B2213" s="3" t="str">
        <f>HYPERLINK("https://otsuka-europe-crm.veevavault.com/ui/#object/approved_document__v/V5OZ025E82TFUPI", "Spain - HCP Survey Email - June 2025")</f>
        <v>Spain - HCP Survey Email - June 2025</v>
      </c>
      <c r="C2213" s="3" t="str">
        <f>HYPERLINK("https://otsuka-europe-crm.veevavault.com/ui/#object/sent_email__v/VBLZ025E82GMZBW", "SE-000269310")</f>
        <v>SE-000269310</v>
      </c>
      <c r="D2213" s="1" t="s">
        <v>0</v>
      </c>
      <c r="E2213" s="2">
        <v>0</v>
      </c>
      <c r="F2213" s="2">
        <v>0</v>
      </c>
      <c r="G2213" s="2">
        <v>0</v>
      </c>
      <c r="H2213" s="1" t="s">
        <v>0</v>
      </c>
      <c r="I2213" s="2">
        <v>0</v>
      </c>
      <c r="J2213" s="1">
        <v>45915.379270833335</v>
      </c>
    </row>
    <row r="2214" spans="1:10" x14ac:dyDescent="0.2">
      <c r="A2214" s="4" t="s">
        <v>1</v>
      </c>
      <c r="B2214" s="3" t="str">
        <f>HYPERLINK("https://otsuka-europe-crm.veevavault.com/ui/#object/approved_document__v/V5OZ025E82TFUPI", "Spain - HCP Survey Email - June 2025")</f>
        <v>Spain - HCP Survey Email - June 2025</v>
      </c>
      <c r="C2214" s="3" t="str">
        <f>HYPERLINK("https://otsuka-europe-crm.veevavault.com/ui/#object/sent_email__v/VBLZ025E82GMZBX", "SE-000269311")</f>
        <v>SE-000269311</v>
      </c>
      <c r="D2214" s="1" t="s">
        <v>0</v>
      </c>
      <c r="E2214" s="2">
        <v>0</v>
      </c>
      <c r="F2214" s="2">
        <v>0</v>
      </c>
      <c r="G2214" s="2">
        <v>0</v>
      </c>
      <c r="H2214" s="1" t="s">
        <v>0</v>
      </c>
      <c r="I2214" s="2">
        <v>0</v>
      </c>
      <c r="J2214" s="1">
        <v>45915.377442129633</v>
      </c>
    </row>
    <row r="2215" spans="1:10" x14ac:dyDescent="0.2">
      <c r="A2215" s="4" t="s">
        <v>1</v>
      </c>
      <c r="B2215" s="3" t="str">
        <f>HYPERLINK("https://otsuka-europe-crm.veevavault.com/ui/#object/approved_document__v/V5OZ025E82TFUPI", "Spain - HCP Survey Email - June 2025")</f>
        <v>Spain - HCP Survey Email - June 2025</v>
      </c>
      <c r="C2215" s="3" t="str">
        <f>HYPERLINK("https://otsuka-europe-crm.veevavault.com/ui/#object/sent_email__v/VBLZ025E82GMZBY", "SE-000269312")</f>
        <v>SE-000269312</v>
      </c>
      <c r="D2215" s="1" t="s">
        <v>0</v>
      </c>
      <c r="E2215" s="2">
        <v>0</v>
      </c>
      <c r="F2215" s="2">
        <v>0</v>
      </c>
      <c r="G2215" s="2">
        <v>0</v>
      </c>
      <c r="H2215" s="1" t="s">
        <v>0</v>
      </c>
      <c r="I2215" s="2">
        <v>0</v>
      </c>
      <c r="J2215" s="1">
        <v>45915.378460648149</v>
      </c>
    </row>
    <row r="2216" spans="1:10" x14ac:dyDescent="0.2">
      <c r="A2216" s="4" t="s">
        <v>1</v>
      </c>
      <c r="B2216" s="3" t="str">
        <f>HYPERLINK("https://otsuka-europe-crm.veevavault.com/ui/#object/approved_document__v/V5OZ025E82TFUPI", "Spain - HCP Survey Email - June 2025")</f>
        <v>Spain - HCP Survey Email - June 2025</v>
      </c>
      <c r="C2216" s="3" t="str">
        <f>HYPERLINK("https://otsuka-europe-crm.veevavault.com/ui/#object/sent_email__v/VBLZ025E82GMZC0", "SE-000269314")</f>
        <v>SE-000269314</v>
      </c>
      <c r="D2216" s="1">
        <v>45916.590046296296</v>
      </c>
      <c r="E2216" s="2">
        <v>1</v>
      </c>
      <c r="F2216" s="2">
        <v>1</v>
      </c>
      <c r="G2216" s="2">
        <v>0</v>
      </c>
      <c r="H2216" s="1" t="s">
        <v>0</v>
      </c>
      <c r="I2216" s="2">
        <v>0</v>
      </c>
      <c r="J2216" s="1">
        <v>45915.378657407404</v>
      </c>
    </row>
    <row r="2217" spans="1:10" x14ac:dyDescent="0.2">
      <c r="A2217" s="4" t="s">
        <v>1</v>
      </c>
      <c r="B2217" s="3" t="str">
        <f>HYPERLINK("https://otsuka-europe-crm.veevavault.com/ui/#object/approved_document__v/V5OZ025E82TFUPI", "Spain - HCP Survey Email - June 2025")</f>
        <v>Spain - HCP Survey Email - June 2025</v>
      </c>
      <c r="C2217" s="3" t="str">
        <f>HYPERLINK("https://otsuka-europe-crm.veevavault.com/ui/#object/sent_email__v/VBLZ025E82GMZC1", "SE-000269315")</f>
        <v>SE-000269315</v>
      </c>
      <c r="D2217" s="1" t="s">
        <v>0</v>
      </c>
      <c r="E2217" s="2">
        <v>0</v>
      </c>
      <c r="F2217" s="2">
        <v>0</v>
      </c>
      <c r="G2217" s="2">
        <v>0</v>
      </c>
      <c r="H2217" s="1" t="s">
        <v>0</v>
      </c>
      <c r="I2217" s="2">
        <v>0</v>
      </c>
      <c r="J2217" s="1">
        <v>45915.379143518519</v>
      </c>
    </row>
    <row r="2218" spans="1:10" x14ac:dyDescent="0.2">
      <c r="A2218" s="4" t="s">
        <v>1</v>
      </c>
      <c r="B2218" s="3" t="str">
        <f>HYPERLINK("https://otsuka-europe-crm.veevavault.com/ui/#object/approved_document__v/V5OZ025E82TFUPI", "Spain - HCP Survey Email - June 2025")</f>
        <v>Spain - HCP Survey Email - June 2025</v>
      </c>
      <c r="C2218" s="3" t="str">
        <f>HYPERLINK("https://otsuka-europe-crm.veevavault.com/ui/#object/sent_email__v/VBLZ025E82GMZC2", "SE-000269316")</f>
        <v>SE-000269316</v>
      </c>
      <c r="D2218" s="1">
        <v>45944.565416666665</v>
      </c>
      <c r="E2218" s="2">
        <v>1</v>
      </c>
      <c r="F2218" s="2">
        <v>2</v>
      </c>
      <c r="G2218" s="2">
        <v>0</v>
      </c>
      <c r="H2218" s="1" t="s">
        <v>0</v>
      </c>
      <c r="I2218" s="2">
        <v>0</v>
      </c>
      <c r="J2218" s="1">
        <v>45915.377743055556</v>
      </c>
    </row>
    <row r="2219" spans="1:10" x14ac:dyDescent="0.2">
      <c r="A2219" s="4" t="s">
        <v>1</v>
      </c>
      <c r="B2219" s="3" t="str">
        <f>HYPERLINK("https://otsuka-europe-crm.veevavault.com/ui/#object/approved_document__v/V5OZ025E82TFUPI", "Spain - HCP Survey Email - June 2025")</f>
        <v>Spain - HCP Survey Email - June 2025</v>
      </c>
      <c r="C2219" s="3" t="str">
        <f>HYPERLINK("https://otsuka-europe-crm.veevavault.com/ui/#object/sent_email__v/VBLZ025E82GMZC3", "SE-000269317")</f>
        <v>SE-000269317</v>
      </c>
      <c r="D2219" s="1" t="s">
        <v>0</v>
      </c>
      <c r="E2219" s="2">
        <v>0</v>
      </c>
      <c r="F2219" s="2">
        <v>0</v>
      </c>
      <c r="G2219" s="2">
        <v>0</v>
      </c>
      <c r="H2219" s="1" t="s">
        <v>0</v>
      </c>
      <c r="I2219" s="2">
        <v>0</v>
      </c>
      <c r="J2219" s="1">
        <v>45915.377638888887</v>
      </c>
    </row>
    <row r="2220" spans="1:10" x14ac:dyDescent="0.2">
      <c r="A2220" s="4" t="s">
        <v>1</v>
      </c>
      <c r="B2220" s="3" t="str">
        <f>HYPERLINK("https://otsuka-europe-crm.veevavault.com/ui/#object/approved_document__v/V5OZ025E82TFUPI", "Spain - HCP Survey Email - June 2025")</f>
        <v>Spain - HCP Survey Email - June 2025</v>
      </c>
      <c r="C2220" s="3" t="str">
        <f>HYPERLINK("https://otsuka-europe-crm.veevavault.com/ui/#object/sent_email__v/VBLZ025E82GMZC4", "SE-000269318")</f>
        <v>SE-000269318</v>
      </c>
      <c r="D2220" s="1" t="s">
        <v>0</v>
      </c>
      <c r="E2220" s="2">
        <v>0</v>
      </c>
      <c r="F2220" s="2">
        <v>0</v>
      </c>
      <c r="G2220" s="2">
        <v>0</v>
      </c>
      <c r="H2220" s="1" t="s">
        <v>0</v>
      </c>
      <c r="I2220" s="2">
        <v>0</v>
      </c>
      <c r="J2220" s="1">
        <v>45915.378032407411</v>
      </c>
    </row>
    <row r="2221" spans="1:10" x14ac:dyDescent="0.2">
      <c r="A2221" s="4" t="s">
        <v>1</v>
      </c>
      <c r="B2221" s="3" t="str">
        <f>HYPERLINK("https://otsuka-europe-crm.veevavault.com/ui/#object/approved_document__v/V5OZ025E82TFUPI", "Spain - HCP Survey Email - June 2025")</f>
        <v>Spain - HCP Survey Email - June 2025</v>
      </c>
      <c r="C2221" s="3" t="str">
        <f>HYPERLINK("https://otsuka-europe-crm.veevavault.com/ui/#object/sent_email__v/VBLZ025E82GMZC5", "SE-000269319")</f>
        <v>SE-000269319</v>
      </c>
      <c r="D2221" s="1">
        <v>45915.616851851853</v>
      </c>
      <c r="E2221" s="2">
        <v>1</v>
      </c>
      <c r="F2221" s="2">
        <v>1</v>
      </c>
      <c r="G2221" s="2">
        <v>0</v>
      </c>
      <c r="H2221" s="1" t="s">
        <v>0</v>
      </c>
      <c r="I2221" s="2">
        <v>0</v>
      </c>
      <c r="J2221" s="1">
        <v>45915.378946759258</v>
      </c>
    </row>
    <row r="2222" spans="1:10" x14ac:dyDescent="0.2">
      <c r="A2222" s="4" t="s">
        <v>1</v>
      </c>
      <c r="B2222" s="3" t="str">
        <f>HYPERLINK("https://otsuka-europe-crm.veevavault.com/ui/#object/approved_document__v/V5OZ025E82TFUPI", "Spain - HCP Survey Email - June 2025")</f>
        <v>Spain - HCP Survey Email - June 2025</v>
      </c>
      <c r="C2222" s="3" t="str">
        <f>HYPERLINK("https://otsuka-europe-crm.veevavault.com/ui/#object/sent_email__v/VBLZ025E82GMZC6", "SE-000269320")</f>
        <v>SE-000269320</v>
      </c>
      <c r="D2222" s="1">
        <v>45928.04005787037</v>
      </c>
      <c r="E2222" s="2">
        <v>1</v>
      </c>
      <c r="F2222" s="2">
        <v>2</v>
      </c>
      <c r="G2222" s="2">
        <v>0</v>
      </c>
      <c r="H2222" s="1" t="s">
        <v>0</v>
      </c>
      <c r="I2222" s="2">
        <v>0</v>
      </c>
      <c r="J2222" s="1">
        <v>45915.37976851852</v>
      </c>
    </row>
    <row r="2223" spans="1:10" x14ac:dyDescent="0.2">
      <c r="A2223" s="4" t="s">
        <v>1</v>
      </c>
      <c r="B2223" s="3" t="str">
        <f>HYPERLINK("https://otsuka-europe-crm.veevavault.com/ui/#object/approved_document__v/V5OZ025E82TFUPI", "Spain - HCP Survey Email - June 2025")</f>
        <v>Spain - HCP Survey Email - June 2025</v>
      </c>
      <c r="C2223" s="3" t="str">
        <f>HYPERLINK("https://otsuka-europe-crm.veevavault.com/ui/#object/sent_email__v/VBLZ025E82GMZC7", "SE-000269321")</f>
        <v>SE-000269321</v>
      </c>
      <c r="D2223" s="1" t="s">
        <v>0</v>
      </c>
      <c r="E2223" s="2">
        <v>0</v>
      </c>
      <c r="F2223" s="2">
        <v>0</v>
      </c>
      <c r="G2223" s="2">
        <v>0</v>
      </c>
      <c r="H2223" s="1" t="s">
        <v>0</v>
      </c>
      <c r="I2223" s="2">
        <v>0</v>
      </c>
      <c r="J2223" s="1">
        <v>45915.379259259258</v>
      </c>
    </row>
    <row r="2224" spans="1:10" x14ac:dyDescent="0.2">
      <c r="A2224" s="4" t="s">
        <v>1</v>
      </c>
      <c r="B2224" s="3" t="str">
        <f>HYPERLINK("https://otsuka-europe-crm.veevavault.com/ui/#object/approved_document__v/V5OZ025E82TFUPI", "Spain - HCP Survey Email - June 2025")</f>
        <v>Spain - HCP Survey Email - June 2025</v>
      </c>
      <c r="C2224" s="3" t="str">
        <f>HYPERLINK("https://otsuka-europe-crm.veevavault.com/ui/#object/sent_email__v/VBLZ025E82GMZC8", "SE-000269322")</f>
        <v>SE-000269322</v>
      </c>
      <c r="D2224" s="1">
        <v>45916.00818287037</v>
      </c>
      <c r="E2224" s="2">
        <v>1</v>
      </c>
      <c r="F2224" s="2">
        <v>1</v>
      </c>
      <c r="G2224" s="2">
        <v>0</v>
      </c>
      <c r="H2224" s="1" t="s">
        <v>0</v>
      </c>
      <c r="I2224" s="2">
        <v>0</v>
      </c>
      <c r="J2224" s="1">
        <v>45915.377395833333</v>
      </c>
    </row>
    <row r="2225" spans="1:10" x14ac:dyDescent="0.2">
      <c r="A2225" s="4" t="s">
        <v>1</v>
      </c>
      <c r="B2225" s="3" t="str">
        <f>HYPERLINK("https://otsuka-europe-crm.veevavault.com/ui/#object/approved_document__v/V5OZ025E82TFUPI", "Spain - HCP Survey Email - June 2025")</f>
        <v>Spain - HCP Survey Email - June 2025</v>
      </c>
      <c r="C2225" s="3" t="str">
        <f>HYPERLINK("https://otsuka-europe-crm.veevavault.com/ui/#object/sent_email__v/VBLZ025E82GMZC9", "SE-000269323")</f>
        <v>SE-000269323</v>
      </c>
      <c r="D2225" s="1">
        <v>45915.382048611114</v>
      </c>
      <c r="E2225" s="2">
        <v>1</v>
      </c>
      <c r="F2225" s="2">
        <v>1</v>
      </c>
      <c r="G2225" s="2">
        <v>0</v>
      </c>
      <c r="H2225" s="1" t="s">
        <v>0</v>
      </c>
      <c r="I2225" s="2">
        <v>0</v>
      </c>
      <c r="J2225" s="1">
        <v>45915.37841435185</v>
      </c>
    </row>
    <row r="2226" spans="1:10" x14ac:dyDescent="0.2">
      <c r="A2226" s="4" t="s">
        <v>1</v>
      </c>
      <c r="B2226" s="3" t="str">
        <f>HYPERLINK("https://otsuka-europe-crm.veevavault.com/ui/#object/approved_document__v/V5OZ025E82TFUPI", "Spain - HCP Survey Email - June 2025")</f>
        <v>Spain - HCP Survey Email - June 2025</v>
      </c>
      <c r="C2226" s="3" t="str">
        <f>HYPERLINK("https://otsuka-europe-crm.veevavault.com/ui/#object/sent_email__v/VBLZ025E82GMZCA", "SE-000269324")</f>
        <v>SE-000269324</v>
      </c>
      <c r="D2226" s="1" t="s">
        <v>0</v>
      </c>
      <c r="E2226" s="2">
        <v>0</v>
      </c>
      <c r="F2226" s="2">
        <v>0</v>
      </c>
      <c r="G2226" s="2">
        <v>0</v>
      </c>
      <c r="H2226" s="1" t="s">
        <v>0</v>
      </c>
      <c r="I2226" s="2">
        <v>0</v>
      </c>
      <c r="J2226" s="1">
        <v>45915.378819444442</v>
      </c>
    </row>
    <row r="2227" spans="1:10" x14ac:dyDescent="0.2">
      <c r="A2227" s="4" t="s">
        <v>1</v>
      </c>
      <c r="B2227" s="3" t="str">
        <f>HYPERLINK("https://otsuka-europe-crm.veevavault.com/ui/#object/approved_document__v/V5OZ025E82TFUPI", "Spain - HCP Survey Email - June 2025")</f>
        <v>Spain - HCP Survey Email - June 2025</v>
      </c>
      <c r="C2227" s="3" t="str">
        <f>HYPERLINK("https://otsuka-europe-crm.veevavault.com/ui/#object/sent_email__v/VBLZ025E82GMZCB", "SE-000269325")</f>
        <v>SE-000269325</v>
      </c>
      <c r="D2227" s="1">
        <v>45915.506157407406</v>
      </c>
      <c r="E2227" s="2">
        <v>1</v>
      </c>
      <c r="F2227" s="2">
        <v>1</v>
      </c>
      <c r="G2227" s="2">
        <v>1</v>
      </c>
      <c r="H2227" s="1">
        <v>45915.506157407406</v>
      </c>
      <c r="I2227" s="2">
        <v>1</v>
      </c>
      <c r="J2227" s="1">
        <v>45915.378703703704</v>
      </c>
    </row>
    <row r="2228" spans="1:10" x14ac:dyDescent="0.2">
      <c r="A2228" s="4" t="s">
        <v>1</v>
      </c>
      <c r="B2228" s="3" t="str">
        <f>HYPERLINK("https://otsuka-europe-crm.veevavault.com/ui/#object/approved_document__v/V5OZ025E82TFUPI", "Spain - HCP Survey Email - June 2025")</f>
        <v>Spain - HCP Survey Email - June 2025</v>
      </c>
      <c r="C2228" s="3" t="str">
        <f>HYPERLINK("https://otsuka-europe-crm.veevavault.com/ui/#object/sent_email__v/VBLZ025E82GMZCC", "SE-000269326")</f>
        <v>SE-000269326</v>
      </c>
      <c r="D2228" s="1" t="s">
        <v>0</v>
      </c>
      <c r="E2228" s="2">
        <v>0</v>
      </c>
      <c r="F2228" s="2">
        <v>0</v>
      </c>
      <c r="G2228" s="2">
        <v>0</v>
      </c>
      <c r="H2228" s="1" t="s">
        <v>0</v>
      </c>
      <c r="I2228" s="2">
        <v>0</v>
      </c>
      <c r="J2228" s="1">
        <v>45915.379108796296</v>
      </c>
    </row>
    <row r="2229" spans="1:10" x14ac:dyDescent="0.2">
      <c r="A2229" s="4" t="s">
        <v>1</v>
      </c>
      <c r="B2229" s="3" t="str">
        <f>HYPERLINK("https://otsuka-europe-crm.veevavault.com/ui/#object/approved_document__v/V5OZ025E82TFUPI", "Spain - HCP Survey Email - June 2025")</f>
        <v>Spain - HCP Survey Email - June 2025</v>
      </c>
      <c r="C2229" s="3" t="str">
        <f>HYPERLINK("https://otsuka-europe-crm.veevavault.com/ui/#object/sent_email__v/VBLZ025E82GMZCD", "SE-000269327")</f>
        <v>SE-000269327</v>
      </c>
      <c r="D2229" s="1" t="s">
        <v>0</v>
      </c>
      <c r="E2229" s="2">
        <v>0</v>
      </c>
      <c r="F2229" s="2">
        <v>0</v>
      </c>
      <c r="G2229" s="2">
        <v>0</v>
      </c>
      <c r="H2229" s="1" t="s">
        <v>0</v>
      </c>
      <c r="I2229" s="2">
        <v>0</v>
      </c>
      <c r="J2229" s="1">
        <v>45915.377696759257</v>
      </c>
    </row>
    <row r="2230" spans="1:10" x14ac:dyDescent="0.2">
      <c r="A2230" s="4" t="s">
        <v>1</v>
      </c>
      <c r="B2230" s="3" t="str">
        <f>HYPERLINK("https://otsuka-europe-crm.veevavault.com/ui/#object/approved_document__v/V5OZ025E82TFUPI", "Spain - HCP Survey Email - June 2025")</f>
        <v>Spain - HCP Survey Email - June 2025</v>
      </c>
      <c r="C2230" s="3" t="str">
        <f>HYPERLINK("https://otsuka-europe-crm.veevavault.com/ui/#object/sent_email__v/VBLZ025E82GMZCE", "SE-000269328")</f>
        <v>SE-000269328</v>
      </c>
      <c r="D2230" s="1" t="s">
        <v>0</v>
      </c>
      <c r="E2230" s="2">
        <v>0</v>
      </c>
      <c r="F2230" s="2">
        <v>0</v>
      </c>
      <c r="G2230" s="2">
        <v>0</v>
      </c>
      <c r="H2230" s="1" t="s">
        <v>0</v>
      </c>
      <c r="I2230" s="2">
        <v>0</v>
      </c>
      <c r="J2230" s="1">
        <v>45915.377581018518</v>
      </c>
    </row>
    <row r="2231" spans="1:10" x14ac:dyDescent="0.2">
      <c r="A2231" s="4" t="s">
        <v>1</v>
      </c>
      <c r="B2231" s="3" t="str">
        <f>HYPERLINK("https://otsuka-europe-crm.veevavault.com/ui/#object/approved_document__v/V5OZ025E82TFUPI", "Spain - HCP Survey Email - June 2025")</f>
        <v>Spain - HCP Survey Email - June 2025</v>
      </c>
      <c r="C2231" s="3" t="str">
        <f>HYPERLINK("https://otsuka-europe-crm.veevavault.com/ui/#object/sent_email__v/VBLZ025E82GMZCF", "SE-000269329")</f>
        <v>SE-000269329</v>
      </c>
      <c r="D2231" s="1">
        <v>45915.942800925928</v>
      </c>
      <c r="E2231" s="2">
        <v>1</v>
      </c>
      <c r="F2231" s="2">
        <v>1</v>
      </c>
      <c r="G2231" s="2">
        <v>0</v>
      </c>
      <c r="H2231" s="1" t="s">
        <v>0</v>
      </c>
      <c r="I2231" s="2">
        <v>0</v>
      </c>
      <c r="J2231" s="1">
        <v>45915.377997685187</v>
      </c>
    </row>
    <row r="2232" spans="1:10" x14ac:dyDescent="0.2">
      <c r="A2232" s="4" t="s">
        <v>1</v>
      </c>
      <c r="B2232" s="3" t="str">
        <f>HYPERLINK("https://otsuka-europe-crm.veevavault.com/ui/#object/approved_document__v/V5OZ025E82TFUPI", "Spain - HCP Survey Email - June 2025")</f>
        <v>Spain - HCP Survey Email - June 2025</v>
      </c>
      <c r="C2232" s="3" t="str">
        <f>HYPERLINK("https://otsuka-europe-crm.veevavault.com/ui/#object/sent_email__v/VBLZ025E82GMZCG", "SE-000269330")</f>
        <v>SE-000269330</v>
      </c>
      <c r="D2232" s="1">
        <v>45915.6562037037</v>
      </c>
      <c r="E2232" s="2">
        <v>1</v>
      </c>
      <c r="F2232" s="2">
        <v>1</v>
      </c>
      <c r="G2232" s="2">
        <v>0</v>
      </c>
      <c r="H2232" s="1" t="s">
        <v>0</v>
      </c>
      <c r="I2232" s="2">
        <v>0</v>
      </c>
      <c r="J2232" s="1">
        <v>45915.379016203704</v>
      </c>
    </row>
    <row r="2233" spans="1:10" x14ac:dyDescent="0.2">
      <c r="A2233" s="4" t="s">
        <v>1</v>
      </c>
      <c r="B2233" s="3" t="str">
        <f>HYPERLINK("https://otsuka-europe-crm.veevavault.com/ui/#object/approved_document__v/V5OZ025E82TFUPI", "Spain - HCP Survey Email - June 2025")</f>
        <v>Spain - HCP Survey Email - June 2025</v>
      </c>
      <c r="C2233" s="3" t="str">
        <f>HYPERLINK("https://otsuka-europe-crm.veevavault.com/ui/#object/sent_email__v/VBLZ025E82GMZCH", "SE-000269331")</f>
        <v>SE-000269331</v>
      </c>
      <c r="D2233" s="1">
        <v>45915.55431712963</v>
      </c>
      <c r="E2233" s="2">
        <v>1</v>
      </c>
      <c r="F2233" s="2">
        <v>1</v>
      </c>
      <c r="G2233" s="2">
        <v>0</v>
      </c>
      <c r="H2233" s="1" t="s">
        <v>0</v>
      </c>
      <c r="I2233" s="2">
        <v>0</v>
      </c>
      <c r="J2233" s="1">
        <v>45915.37972222222</v>
      </c>
    </row>
    <row r="2234" spans="1:10" x14ac:dyDescent="0.2">
      <c r="A2234" s="4" t="s">
        <v>1</v>
      </c>
      <c r="B2234" s="3" t="str">
        <f>HYPERLINK("https://otsuka-europe-crm.veevavault.com/ui/#object/approved_document__v/V5OZ025E82TFUPI", "Spain - HCP Survey Email - June 2025")</f>
        <v>Spain - HCP Survey Email - June 2025</v>
      </c>
      <c r="C2234" s="3" t="str">
        <f>HYPERLINK("https://otsuka-europe-crm.veevavault.com/ui/#object/sent_email__v/VBLZ025E82GMZCI", "SE-000269332")</f>
        <v>SE-000269332</v>
      </c>
      <c r="D2234" s="1" t="s">
        <v>0</v>
      </c>
      <c r="E2234" s="2">
        <v>0</v>
      </c>
      <c r="F2234" s="2">
        <v>0</v>
      </c>
      <c r="G2234" s="2">
        <v>0</v>
      </c>
      <c r="H2234" s="1" t="s">
        <v>0</v>
      </c>
      <c r="I2234" s="2">
        <v>0</v>
      </c>
      <c r="J2234" s="1">
        <v>45915.379583333335</v>
      </c>
    </row>
    <row r="2235" spans="1:10" x14ac:dyDescent="0.2">
      <c r="A2235" s="4" t="s">
        <v>1</v>
      </c>
      <c r="B2235" s="3" t="str">
        <f>HYPERLINK("https://otsuka-europe-crm.veevavault.com/ui/#object/approved_document__v/V5OZ025E82TFUPI", "Spain - HCP Survey Email - June 2025")</f>
        <v>Spain - HCP Survey Email - June 2025</v>
      </c>
      <c r="C2235" s="3" t="str">
        <f>HYPERLINK("https://otsuka-europe-crm.veevavault.com/ui/#object/sent_email__v/VBLZ025E82GMZCJ", "SE-000269333")</f>
        <v>SE-000269333</v>
      </c>
      <c r="D2235" s="1">
        <v>45942.959675925929</v>
      </c>
      <c r="E2235" s="2">
        <v>1</v>
      </c>
      <c r="F2235" s="2">
        <v>2</v>
      </c>
      <c r="G2235" s="2">
        <v>0</v>
      </c>
      <c r="H2235" s="1" t="s">
        <v>0</v>
      </c>
      <c r="I2235" s="2">
        <v>0</v>
      </c>
      <c r="J2235" s="1">
        <v>45915.377430555556</v>
      </c>
    </row>
    <row r="2236" spans="1:10" x14ac:dyDescent="0.2">
      <c r="A2236" s="4" t="s">
        <v>1</v>
      </c>
      <c r="B2236" s="3" t="str">
        <f>HYPERLINK("https://otsuka-europe-crm.veevavault.com/ui/#object/approved_document__v/V5OZ025E82TFUPI", "Spain - HCP Survey Email - June 2025")</f>
        <v>Spain - HCP Survey Email - June 2025</v>
      </c>
      <c r="C2236" s="3" t="str">
        <f>HYPERLINK("https://otsuka-europe-crm.veevavault.com/ui/#object/sent_email__v/VBLZ025E82GMZCK", "SE-000269334")</f>
        <v>SE-000269334</v>
      </c>
      <c r="D2236" s="1">
        <v>45915.424664351849</v>
      </c>
      <c r="E2236" s="2">
        <v>1</v>
      </c>
      <c r="F2236" s="2">
        <v>2</v>
      </c>
      <c r="G2236" s="2">
        <v>0</v>
      </c>
      <c r="H2236" s="1" t="s">
        <v>0</v>
      </c>
      <c r="I2236" s="2">
        <v>0</v>
      </c>
      <c r="J2236" s="1">
        <v>45915.379016203704</v>
      </c>
    </row>
    <row r="2237" spans="1:10" x14ac:dyDescent="0.2">
      <c r="A2237" s="4" t="s">
        <v>1</v>
      </c>
      <c r="B2237" s="3" t="str">
        <f>HYPERLINK("https://otsuka-europe-crm.veevavault.com/ui/#object/approved_document__v/V5OZ025E82TFUPI", "Spain - HCP Survey Email - June 2025")</f>
        <v>Spain - HCP Survey Email - June 2025</v>
      </c>
      <c r="C2237" s="3" t="str">
        <f>HYPERLINK("https://otsuka-europe-crm.veevavault.com/ui/#object/sent_email__v/VBLZ025E82GMZCL", "SE-000269335")</f>
        <v>SE-000269335</v>
      </c>
      <c r="D2237" s="1" t="s">
        <v>0</v>
      </c>
      <c r="E2237" s="2">
        <v>0</v>
      </c>
      <c r="F2237" s="2">
        <v>0</v>
      </c>
      <c r="G2237" s="2">
        <v>0</v>
      </c>
      <c r="H2237" s="1" t="s">
        <v>0</v>
      </c>
      <c r="I2237" s="2">
        <v>0</v>
      </c>
      <c r="J2237" s="1">
        <v>45915.379803240743</v>
      </c>
    </row>
    <row r="2238" spans="1:10" x14ac:dyDescent="0.2">
      <c r="A2238" s="4" t="s">
        <v>1</v>
      </c>
      <c r="B2238" s="3" t="str">
        <f>HYPERLINK("https://otsuka-europe-crm.veevavault.com/ui/#object/approved_document__v/V5OZ025E82TFUPI", "Spain - HCP Survey Email - June 2025")</f>
        <v>Spain - HCP Survey Email - June 2025</v>
      </c>
      <c r="C2238" s="3" t="str">
        <f>HYPERLINK("https://otsuka-europe-crm.veevavault.com/ui/#object/sent_email__v/VBLZ025E82GMZCM", "SE-000269336")</f>
        <v>SE-000269336</v>
      </c>
      <c r="D2238" s="1" t="s">
        <v>0</v>
      </c>
      <c r="E2238" s="2">
        <v>0</v>
      </c>
      <c r="F2238" s="2">
        <v>0</v>
      </c>
      <c r="G2238" s="2">
        <v>0</v>
      </c>
      <c r="H2238" s="1" t="s">
        <v>0</v>
      </c>
      <c r="I2238" s="2">
        <v>0</v>
      </c>
      <c r="J2238" s="1">
        <v>45915.379259259258</v>
      </c>
    </row>
    <row r="2239" spans="1:10" x14ac:dyDescent="0.2">
      <c r="A2239" s="4" t="s">
        <v>1</v>
      </c>
      <c r="B2239" s="3" t="str">
        <f>HYPERLINK("https://otsuka-europe-crm.veevavault.com/ui/#object/approved_document__v/V5OZ025E82TFUPI", "Spain - HCP Survey Email - June 2025")</f>
        <v>Spain - HCP Survey Email - June 2025</v>
      </c>
      <c r="C2239" s="3" t="str">
        <f>HYPERLINK("https://otsuka-europe-crm.veevavault.com/ui/#object/sent_email__v/VBLZ025E82GMZCN", "SE-000269337")</f>
        <v>SE-000269337</v>
      </c>
      <c r="D2239" s="1" t="s">
        <v>0</v>
      </c>
      <c r="E2239" s="2">
        <v>0</v>
      </c>
      <c r="F2239" s="2">
        <v>0</v>
      </c>
      <c r="G2239" s="2">
        <v>0</v>
      </c>
      <c r="H2239" s="1" t="s">
        <v>0</v>
      </c>
      <c r="I2239" s="2">
        <v>0</v>
      </c>
      <c r="J2239" s="1">
        <v>45915.377372685187</v>
      </c>
    </row>
    <row r="2240" spans="1:10" x14ac:dyDescent="0.2">
      <c r="A2240" s="4" t="s">
        <v>1</v>
      </c>
      <c r="B2240" s="3" t="str">
        <f>HYPERLINK("https://otsuka-europe-crm.veevavault.com/ui/#object/approved_document__v/V5OZ025E82TFUPI", "Spain - HCP Survey Email - June 2025")</f>
        <v>Spain - HCP Survey Email - June 2025</v>
      </c>
      <c r="C2240" s="3" t="str">
        <f>HYPERLINK("https://otsuka-europe-crm.veevavault.com/ui/#object/sent_email__v/VBLZ025E82GMZCO", "SE-000269338")</f>
        <v>SE-000269338</v>
      </c>
      <c r="D2240" s="1">
        <v>45932.708425925928</v>
      </c>
      <c r="E2240" s="2">
        <v>1</v>
      </c>
      <c r="F2240" s="2">
        <v>1</v>
      </c>
      <c r="G2240" s="2">
        <v>0</v>
      </c>
      <c r="H2240" s="1" t="s">
        <v>0</v>
      </c>
      <c r="I2240" s="2">
        <v>0</v>
      </c>
      <c r="J2240" s="1">
        <v>45915.378379629627</v>
      </c>
    </row>
    <row r="2241" spans="1:10" x14ac:dyDescent="0.2">
      <c r="A2241" s="4" t="s">
        <v>1</v>
      </c>
      <c r="B2241" s="3" t="str">
        <f>HYPERLINK("https://otsuka-europe-crm.veevavault.com/ui/#object/approved_document__v/V5OZ025E82TFUPI", "Spain - HCP Survey Email - June 2025")</f>
        <v>Spain - HCP Survey Email - June 2025</v>
      </c>
      <c r="C2241" s="3" t="str">
        <f>HYPERLINK("https://otsuka-europe-crm.veevavault.com/ui/#object/sent_email__v/VBLZ025E82GMZCP", "SE-000269339")</f>
        <v>SE-000269339</v>
      </c>
      <c r="D2241" s="1" t="s">
        <v>0</v>
      </c>
      <c r="E2241" s="2">
        <v>0</v>
      </c>
      <c r="F2241" s="2">
        <v>0</v>
      </c>
      <c r="G2241" s="2">
        <v>0</v>
      </c>
      <c r="H2241" s="1" t="s">
        <v>0</v>
      </c>
      <c r="I2241" s="2">
        <v>0</v>
      </c>
      <c r="J2241" s="1">
        <v>45915.378819444442</v>
      </c>
    </row>
    <row r="2242" spans="1:10" x14ac:dyDescent="0.2">
      <c r="A2242" s="4" t="s">
        <v>1</v>
      </c>
      <c r="B2242" s="3" t="str">
        <f>HYPERLINK("https://otsuka-europe-crm.veevavault.com/ui/#object/approved_document__v/V5OZ025E82TFUPI", "Spain - HCP Survey Email - June 2025")</f>
        <v>Spain - HCP Survey Email - June 2025</v>
      </c>
      <c r="C2242" s="3" t="str">
        <f>HYPERLINK("https://otsuka-europe-crm.veevavault.com/ui/#object/sent_email__v/VBLZ025E82GMZCQ", "SE-000269340")</f>
        <v>SE-000269340</v>
      </c>
      <c r="D2242" s="1">
        <v>45922.918379629627</v>
      </c>
      <c r="E2242" s="2">
        <v>1</v>
      </c>
      <c r="F2242" s="2">
        <v>1</v>
      </c>
      <c r="G2242" s="2">
        <v>0</v>
      </c>
      <c r="H2242" s="1" t="s">
        <v>0</v>
      </c>
      <c r="I2242" s="2">
        <v>0</v>
      </c>
      <c r="J2242" s="1">
        <v>45915.378668981481</v>
      </c>
    </row>
    <row r="2243" spans="1:10" x14ac:dyDescent="0.2">
      <c r="A2243" s="4" t="s">
        <v>1</v>
      </c>
      <c r="B2243" s="3" t="str">
        <f>HYPERLINK("https://otsuka-europe-crm.veevavault.com/ui/#object/approved_document__v/V5OZ025E82TFUPI", "Spain - HCP Survey Email - June 2025")</f>
        <v>Spain - HCP Survey Email - June 2025</v>
      </c>
      <c r="C2243" s="3" t="str">
        <f>HYPERLINK("https://otsuka-europe-crm.veevavault.com/ui/#object/sent_email__v/VBLZ025E82GMZCR", "SE-000269341")</f>
        <v>SE-000269341</v>
      </c>
      <c r="D2243" s="1" t="s">
        <v>0</v>
      </c>
      <c r="E2243" s="2">
        <v>0</v>
      </c>
      <c r="F2243" s="2">
        <v>0</v>
      </c>
      <c r="G2243" s="2">
        <v>0</v>
      </c>
      <c r="H2243" s="1" t="s">
        <v>0</v>
      </c>
      <c r="I2243" s="2">
        <v>0</v>
      </c>
      <c r="J2243" s="1">
        <v>45915.379074074073</v>
      </c>
    </row>
    <row r="2244" spans="1:10" x14ac:dyDescent="0.2">
      <c r="A2244" s="4" t="s">
        <v>1</v>
      </c>
      <c r="B2244" s="3" t="str">
        <f>HYPERLINK("https://otsuka-europe-crm.veevavault.com/ui/#object/approved_document__v/V5OZ025E82TFUPI", "Spain - HCP Survey Email - June 2025")</f>
        <v>Spain - HCP Survey Email - June 2025</v>
      </c>
      <c r="C2244" s="3" t="str">
        <f>HYPERLINK("https://otsuka-europe-crm.veevavault.com/ui/#object/sent_email__v/VBLZ025E82GMZCS", "SE-000269342")</f>
        <v>SE-000269342</v>
      </c>
      <c r="D2244" s="1">
        <v>45916.738993055558</v>
      </c>
      <c r="E2244" s="2">
        <v>1</v>
      </c>
      <c r="F2244" s="2">
        <v>2</v>
      </c>
      <c r="G2244" s="2">
        <v>0</v>
      </c>
      <c r="H2244" s="1" t="s">
        <v>0</v>
      </c>
      <c r="I2244" s="2">
        <v>0</v>
      </c>
      <c r="J2244" s="1">
        <v>45915.377743055556</v>
      </c>
    </row>
    <row r="2245" spans="1:10" x14ac:dyDescent="0.2">
      <c r="A2245" s="4" t="s">
        <v>1</v>
      </c>
      <c r="B2245" s="3" t="str">
        <f>HYPERLINK("https://otsuka-europe-crm.veevavault.com/ui/#object/approved_document__v/V5OZ025E82TFUPI", "Spain - HCP Survey Email - June 2025")</f>
        <v>Spain - HCP Survey Email - June 2025</v>
      </c>
      <c r="C2245" s="3" t="str">
        <f>HYPERLINK("https://otsuka-europe-crm.veevavault.com/ui/#object/sent_email__v/VBLZ025E82GMZCT", "SE-000269343")</f>
        <v>SE-000269343</v>
      </c>
      <c r="D2245" s="1">
        <v>45933.968668981484</v>
      </c>
      <c r="E2245" s="2">
        <v>1</v>
      </c>
      <c r="F2245" s="2">
        <v>2</v>
      </c>
      <c r="G2245" s="2">
        <v>0</v>
      </c>
      <c r="H2245" s="1" t="s">
        <v>0</v>
      </c>
      <c r="I2245" s="2">
        <v>0</v>
      </c>
      <c r="J2245" s="1">
        <v>45915.377604166664</v>
      </c>
    </row>
    <row r="2246" spans="1:10" x14ac:dyDescent="0.2">
      <c r="A2246" s="4" t="s">
        <v>1</v>
      </c>
      <c r="B2246" s="3" t="str">
        <f>HYPERLINK("https://otsuka-europe-crm.veevavault.com/ui/#object/approved_document__v/V5OZ025E82TFUPI", "Spain - HCP Survey Email - June 2025")</f>
        <v>Spain - HCP Survey Email - June 2025</v>
      </c>
      <c r="C2246" s="3" t="str">
        <f>HYPERLINK("https://otsuka-europe-crm.veevavault.com/ui/#object/sent_email__v/VBLZ025E82GMZCU", "SE-000269344")</f>
        <v>SE-000269344</v>
      </c>
      <c r="D2246" s="1" t="s">
        <v>0</v>
      </c>
      <c r="E2246" s="2">
        <v>0</v>
      </c>
      <c r="F2246" s="2">
        <v>0</v>
      </c>
      <c r="G2246" s="2">
        <v>0</v>
      </c>
      <c r="H2246" s="1" t="s">
        <v>0</v>
      </c>
      <c r="I2246" s="2">
        <v>0</v>
      </c>
      <c r="J2246" s="1">
        <v>45915.378032407411</v>
      </c>
    </row>
    <row r="2247" spans="1:10" x14ac:dyDescent="0.2">
      <c r="A2247" s="4" t="s">
        <v>1</v>
      </c>
      <c r="B2247" s="3" t="str">
        <f>HYPERLINK("https://otsuka-europe-crm.veevavault.com/ui/#object/approved_document__v/V5OZ025E82TFUPI", "Spain - HCP Survey Email - June 2025")</f>
        <v>Spain - HCP Survey Email - June 2025</v>
      </c>
      <c r="C2247" s="3" t="str">
        <f>HYPERLINK("https://otsuka-europe-crm.veevavault.com/ui/#object/sent_email__v/VBLZ025E82GMZCV", "SE-000269345")</f>
        <v>SE-000269345</v>
      </c>
      <c r="D2247" s="1" t="s">
        <v>0</v>
      </c>
      <c r="E2247" s="2">
        <v>0</v>
      </c>
      <c r="F2247" s="2">
        <v>0</v>
      </c>
      <c r="G2247" s="2">
        <v>0</v>
      </c>
      <c r="H2247" s="1" t="s">
        <v>0</v>
      </c>
      <c r="I2247" s="2">
        <v>0</v>
      </c>
      <c r="J2247" s="1">
        <v>45915.379062499997</v>
      </c>
    </row>
    <row r="2248" spans="1:10" x14ac:dyDescent="0.2">
      <c r="A2248" s="4" t="s">
        <v>1</v>
      </c>
      <c r="B2248" s="3" t="str">
        <f>HYPERLINK("https://otsuka-europe-crm.veevavault.com/ui/#object/approved_document__v/V5OZ025E82TFUPI", "Spain - HCP Survey Email - June 2025")</f>
        <v>Spain - HCP Survey Email - June 2025</v>
      </c>
      <c r="C2248" s="3" t="str">
        <f>HYPERLINK("https://otsuka-europe-crm.veevavault.com/ui/#object/sent_email__v/VBLZ025E82GMZCW", "SE-000269346")</f>
        <v>SE-000269346</v>
      </c>
      <c r="D2248" s="1">
        <v>45915.896793981483</v>
      </c>
      <c r="E2248" s="2">
        <v>1</v>
      </c>
      <c r="F2248" s="2">
        <v>2</v>
      </c>
      <c r="G2248" s="2">
        <v>0</v>
      </c>
      <c r="H2248" s="1" t="s">
        <v>0</v>
      </c>
      <c r="I2248" s="2">
        <v>0</v>
      </c>
      <c r="J2248" s="1">
        <v>45915.379756944443</v>
      </c>
    </row>
    <row r="2249" spans="1:10" x14ac:dyDescent="0.2">
      <c r="A2249" s="4" t="s">
        <v>1</v>
      </c>
      <c r="B2249" s="3" t="str">
        <f>HYPERLINK("https://otsuka-europe-crm.veevavault.com/ui/#object/approved_document__v/V5OZ025E82TFUPI", "Spain - HCP Survey Email - June 2025")</f>
        <v>Spain - HCP Survey Email - June 2025</v>
      </c>
      <c r="C2249" s="3" t="str">
        <f>HYPERLINK("https://otsuka-europe-crm.veevavault.com/ui/#object/sent_email__v/VBLZ025E82GMZCX", "SE-000269347")</f>
        <v>SE-000269347</v>
      </c>
      <c r="D2249" s="1">
        <v>45969.742719907408</v>
      </c>
      <c r="E2249" s="2">
        <v>1</v>
      </c>
      <c r="F2249" s="2">
        <v>1</v>
      </c>
      <c r="G2249" s="2">
        <v>0</v>
      </c>
      <c r="H2249" s="1" t="s">
        <v>0</v>
      </c>
      <c r="I2249" s="2">
        <v>0</v>
      </c>
      <c r="J2249" s="1">
        <v>45915.379351851851</v>
      </c>
    </row>
    <row r="2250" spans="1:10" x14ac:dyDescent="0.2">
      <c r="A2250" s="4" t="s">
        <v>1</v>
      </c>
      <c r="B2250" s="3" t="str">
        <f>HYPERLINK("https://otsuka-europe-crm.veevavault.com/ui/#object/approved_document__v/V5OZ025E82TFUPI", "Spain - HCP Survey Email - June 2025")</f>
        <v>Spain - HCP Survey Email - June 2025</v>
      </c>
      <c r="C2250" s="3" t="str">
        <f>HYPERLINK("https://otsuka-europe-crm.veevavault.com/ui/#object/sent_email__v/VBLZ025E82GMZCY", "SE-000269348")</f>
        <v>SE-000269348</v>
      </c>
      <c r="D2250" s="1">
        <v>45915.453900462962</v>
      </c>
      <c r="E2250" s="2">
        <v>1</v>
      </c>
      <c r="F2250" s="2">
        <v>2</v>
      </c>
      <c r="G2250" s="2">
        <v>0</v>
      </c>
      <c r="H2250" s="1" t="s">
        <v>0</v>
      </c>
      <c r="I2250" s="2">
        <v>0</v>
      </c>
      <c r="J2250" s="1">
        <v>45915.377372685187</v>
      </c>
    </row>
    <row r="2251" spans="1:10" x14ac:dyDescent="0.2">
      <c r="A2251" s="4" t="s">
        <v>1</v>
      </c>
      <c r="B2251" s="3" t="str">
        <f>HYPERLINK("https://otsuka-europe-crm.veevavault.com/ui/#object/approved_document__v/V5OZ025E82TFUPI", "Spain - HCP Survey Email - June 2025")</f>
        <v>Spain - HCP Survey Email - June 2025</v>
      </c>
      <c r="C2251" s="3" t="str">
        <f>HYPERLINK("https://otsuka-europe-crm.veevavault.com/ui/#object/sent_email__v/VBLZ025E82GMZCZ", "SE-000269349")</f>
        <v>SE-000269349</v>
      </c>
      <c r="D2251" s="1">
        <v>45915.952511574076</v>
      </c>
      <c r="E2251" s="2">
        <v>1</v>
      </c>
      <c r="F2251" s="2">
        <v>1</v>
      </c>
      <c r="G2251" s="2">
        <v>0</v>
      </c>
      <c r="H2251" s="1" t="s">
        <v>0</v>
      </c>
      <c r="I2251" s="2">
        <v>0</v>
      </c>
      <c r="J2251" s="1">
        <v>45915.378368055557</v>
      </c>
    </row>
    <row r="2252" spans="1:10" x14ac:dyDescent="0.2">
      <c r="A2252" s="4" t="s">
        <v>1</v>
      </c>
      <c r="B2252" s="3" t="str">
        <f>HYPERLINK("https://otsuka-europe-crm.veevavault.com/ui/#object/approved_document__v/V5OZ025E82TFUPI", "Spain - HCP Survey Email - June 2025")</f>
        <v>Spain - HCP Survey Email - June 2025</v>
      </c>
      <c r="C2252" s="3" t="str">
        <f>HYPERLINK("https://otsuka-europe-crm.veevavault.com/ui/#object/sent_email__v/VBLZ025E82GMZD0", "SE-000269350")</f>
        <v>SE-000269350</v>
      </c>
      <c r="D2252" s="1">
        <v>45915.744120370371</v>
      </c>
      <c r="E2252" s="2">
        <v>1</v>
      </c>
      <c r="F2252" s="2">
        <v>2</v>
      </c>
      <c r="G2252" s="2">
        <v>0</v>
      </c>
      <c r="H2252" s="1" t="s">
        <v>0</v>
      </c>
      <c r="I2252" s="2">
        <v>0</v>
      </c>
      <c r="J2252" s="1">
        <v>45915.37877314815</v>
      </c>
    </row>
    <row r="2253" spans="1:10" x14ac:dyDescent="0.2">
      <c r="A2253" s="4" t="s">
        <v>1</v>
      </c>
      <c r="B2253" s="3" t="str">
        <f>HYPERLINK("https://otsuka-europe-crm.veevavault.com/ui/#object/approved_document__v/V5OZ025E82TFUPI", "Spain - HCP Survey Email - June 2025")</f>
        <v>Spain - HCP Survey Email - June 2025</v>
      </c>
      <c r="C2253" s="3" t="str">
        <f>HYPERLINK("https://otsuka-europe-crm.veevavault.com/ui/#object/sent_email__v/VBLZ025E82GMZD1", "SE-000269351")</f>
        <v>SE-000269351</v>
      </c>
      <c r="D2253" s="1">
        <v>45915.398043981484</v>
      </c>
      <c r="E2253" s="2">
        <v>1</v>
      </c>
      <c r="F2253" s="2">
        <v>1</v>
      </c>
      <c r="G2253" s="2">
        <v>1</v>
      </c>
      <c r="H2253" s="1">
        <v>45915.400370370371</v>
      </c>
      <c r="I2253" s="2">
        <v>1</v>
      </c>
      <c r="J2253" s="1">
        <v>45915.378703703704</v>
      </c>
    </row>
    <row r="2254" spans="1:10" x14ac:dyDescent="0.2">
      <c r="A2254" s="4" t="s">
        <v>1</v>
      </c>
      <c r="B2254" s="3" t="str">
        <f>HYPERLINK("https://otsuka-europe-crm.veevavault.com/ui/#object/approved_document__v/V5OZ025E82TFUPI", "Spain - HCP Survey Email - June 2025")</f>
        <v>Spain - HCP Survey Email - June 2025</v>
      </c>
      <c r="C2254" s="3" t="str">
        <f>HYPERLINK("https://otsuka-europe-crm.veevavault.com/ui/#object/sent_email__v/VBLZ025E82GMZD2", "SE-000269352")</f>
        <v>SE-000269352</v>
      </c>
      <c r="D2254" s="1" t="s">
        <v>0</v>
      </c>
      <c r="E2254" s="2">
        <v>0</v>
      </c>
      <c r="F2254" s="2">
        <v>0</v>
      </c>
      <c r="G2254" s="2">
        <v>0</v>
      </c>
      <c r="H2254" s="1" t="s">
        <v>0</v>
      </c>
      <c r="I2254" s="2">
        <v>0</v>
      </c>
      <c r="J2254" s="1">
        <v>45915.379189814812</v>
      </c>
    </row>
    <row r="2255" spans="1:10" x14ac:dyDescent="0.2">
      <c r="A2255" s="4" t="s">
        <v>1</v>
      </c>
      <c r="B2255" s="3" t="str">
        <f>HYPERLINK("https://otsuka-europe-crm.veevavault.com/ui/#object/approved_document__v/V5OZ025E82TFUPI", "Spain - HCP Survey Email - June 2025")</f>
        <v>Spain - HCP Survey Email - June 2025</v>
      </c>
      <c r="C2255" s="3" t="str">
        <f>HYPERLINK("https://otsuka-europe-crm.veevavault.com/ui/#object/sent_email__v/VBLZ025E82GMZD3", "SE-000269353")</f>
        <v>SE-000269353</v>
      </c>
      <c r="D2255" s="1" t="s">
        <v>0</v>
      </c>
      <c r="E2255" s="2">
        <v>0</v>
      </c>
      <c r="F2255" s="2">
        <v>0</v>
      </c>
      <c r="G2255" s="2">
        <v>0</v>
      </c>
      <c r="H2255" s="1" t="s">
        <v>0</v>
      </c>
      <c r="I2255" s="2">
        <v>0</v>
      </c>
      <c r="J2255" s="1">
        <v>45915.377650462964</v>
      </c>
    </row>
    <row r="2256" spans="1:10" x14ac:dyDescent="0.2">
      <c r="A2256" s="4" t="s">
        <v>1</v>
      </c>
      <c r="B2256" s="3" t="str">
        <f>HYPERLINK("https://otsuka-europe-crm.veevavault.com/ui/#object/approved_document__v/V5OZ025E82TFUPI", "Spain - HCP Survey Email - June 2025")</f>
        <v>Spain - HCP Survey Email - June 2025</v>
      </c>
      <c r="C2256" s="3" t="str">
        <f>HYPERLINK("https://otsuka-europe-crm.veevavault.com/ui/#object/sent_email__v/VBLZ025E82GMZD4", "SE-000269354")</f>
        <v>SE-000269354</v>
      </c>
      <c r="D2256" s="1" t="s">
        <v>0</v>
      </c>
      <c r="E2256" s="2">
        <v>0</v>
      </c>
      <c r="F2256" s="2">
        <v>0</v>
      </c>
      <c r="G2256" s="2">
        <v>0</v>
      </c>
      <c r="H2256" s="1" t="s">
        <v>0</v>
      </c>
      <c r="I2256" s="2">
        <v>0</v>
      </c>
      <c r="J2256" s="1">
        <v>45915.377592592595</v>
      </c>
    </row>
    <row r="2257" spans="1:10" x14ac:dyDescent="0.2">
      <c r="A2257" s="4" t="s">
        <v>1</v>
      </c>
      <c r="B2257" s="3" t="str">
        <f>HYPERLINK("https://otsuka-europe-crm.veevavault.com/ui/#object/approved_document__v/V5OZ025E82TFUPI", "Spain - HCP Survey Email - June 2025")</f>
        <v>Spain - HCP Survey Email - June 2025</v>
      </c>
      <c r="C2257" s="3" t="str">
        <f>HYPERLINK("https://otsuka-europe-crm.veevavault.com/ui/#object/sent_email__v/VBLZ025E82GMZD5", "SE-000269355")</f>
        <v>SE-000269355</v>
      </c>
      <c r="D2257" s="1" t="s">
        <v>0</v>
      </c>
      <c r="E2257" s="2">
        <v>0</v>
      </c>
      <c r="F2257" s="2">
        <v>0</v>
      </c>
      <c r="G2257" s="2">
        <v>0</v>
      </c>
      <c r="H2257" s="1" t="s">
        <v>0</v>
      </c>
      <c r="I2257" s="2">
        <v>0</v>
      </c>
      <c r="J2257" s="1">
        <v>45915.378078703703</v>
      </c>
    </row>
    <row r="2258" spans="1:10" x14ac:dyDescent="0.2">
      <c r="A2258" s="4" t="s">
        <v>1</v>
      </c>
      <c r="B2258" s="3" t="str">
        <f>HYPERLINK("https://otsuka-europe-crm.veevavault.com/ui/#object/approved_document__v/V5OZ025E82TFUPI", "Spain - HCP Survey Email - June 2025")</f>
        <v>Spain - HCP Survey Email - June 2025</v>
      </c>
      <c r="C2258" s="3" t="str">
        <f>HYPERLINK("https://otsuka-europe-crm.veevavault.com/ui/#object/sent_email__v/VBLZ025E82GMZD6", "SE-000269356")</f>
        <v>SE-000269356</v>
      </c>
      <c r="D2258" s="1">
        <v>45915.602916666663</v>
      </c>
      <c r="E2258" s="2">
        <v>1</v>
      </c>
      <c r="F2258" s="2">
        <v>2</v>
      </c>
      <c r="G2258" s="2">
        <v>1</v>
      </c>
      <c r="H2258" s="1">
        <v>45915.603055555555</v>
      </c>
      <c r="I2258" s="2">
        <v>1</v>
      </c>
      <c r="J2258" s="1">
        <v>45915.379027777781</v>
      </c>
    </row>
    <row r="2259" spans="1:10" x14ac:dyDescent="0.2">
      <c r="A2259" s="4" t="s">
        <v>1</v>
      </c>
      <c r="B2259" s="3" t="str">
        <f>HYPERLINK("https://otsuka-europe-crm.veevavault.com/ui/#object/approved_document__v/V5OZ025E82TFUPI", "Spain - HCP Survey Email - June 2025")</f>
        <v>Spain - HCP Survey Email - June 2025</v>
      </c>
      <c r="C2259" s="3" t="str">
        <f>HYPERLINK("https://otsuka-europe-crm.veevavault.com/ui/#object/sent_email__v/VBLZ025E82GMZD7", "SE-000269357")</f>
        <v>SE-000269357</v>
      </c>
      <c r="D2259" s="1" t="s">
        <v>0</v>
      </c>
      <c r="E2259" s="2">
        <v>0</v>
      </c>
      <c r="F2259" s="2">
        <v>0</v>
      </c>
      <c r="G2259" s="2">
        <v>0</v>
      </c>
      <c r="H2259" s="1" t="s">
        <v>0</v>
      </c>
      <c r="I2259" s="2">
        <v>0</v>
      </c>
      <c r="J2259" s="1">
        <v>45915.379745370374</v>
      </c>
    </row>
    <row r="2260" spans="1:10" x14ac:dyDescent="0.2">
      <c r="A2260" s="4" t="s">
        <v>1</v>
      </c>
      <c r="B2260" s="3" t="str">
        <f>HYPERLINK("https://otsuka-europe-crm.veevavault.com/ui/#object/approved_document__v/V5OZ025E82TFUPI", "Spain - HCP Survey Email - June 2025")</f>
        <v>Spain - HCP Survey Email - June 2025</v>
      </c>
      <c r="C2260" s="3" t="str">
        <f>HYPERLINK("https://otsuka-europe-crm.veevavault.com/ui/#object/sent_email__v/VBLZ025E82GMZD8", "SE-000269358")</f>
        <v>SE-000269358</v>
      </c>
      <c r="D2260" s="1" t="s">
        <v>0</v>
      </c>
      <c r="E2260" s="2">
        <v>0</v>
      </c>
      <c r="F2260" s="2">
        <v>0</v>
      </c>
      <c r="G2260" s="2">
        <v>0</v>
      </c>
      <c r="H2260" s="1" t="s">
        <v>0</v>
      </c>
      <c r="I2260" s="2">
        <v>0</v>
      </c>
      <c r="J2260" s="1">
        <v>45915.379293981481</v>
      </c>
    </row>
    <row r="2261" spans="1:10" x14ac:dyDescent="0.2">
      <c r="A2261" s="4" t="s">
        <v>1</v>
      </c>
      <c r="B2261" s="3" t="str">
        <f>HYPERLINK("https://otsuka-europe-crm.veevavault.com/ui/#object/approved_document__v/V5OZ025E82TFUPI", "Spain - HCP Survey Email - June 2025")</f>
        <v>Spain - HCP Survey Email - June 2025</v>
      </c>
      <c r="C2261" s="3" t="str">
        <f>HYPERLINK("https://otsuka-europe-crm.veevavault.com/ui/#object/sent_email__v/VBLZ025E82GMZD9", "SE-000269359")</f>
        <v>SE-000269359</v>
      </c>
      <c r="D2261" s="1" t="s">
        <v>0</v>
      </c>
      <c r="E2261" s="2">
        <v>0</v>
      </c>
      <c r="F2261" s="2">
        <v>0</v>
      </c>
      <c r="G2261" s="2">
        <v>0</v>
      </c>
      <c r="H2261" s="1" t="s">
        <v>0</v>
      </c>
      <c r="I2261" s="2">
        <v>0</v>
      </c>
      <c r="J2261" s="1">
        <v>45915.377465277779</v>
      </c>
    </row>
    <row r="2262" spans="1:10" x14ac:dyDescent="0.2">
      <c r="A2262" s="4" t="s">
        <v>1</v>
      </c>
      <c r="B2262" s="3" t="str">
        <f>HYPERLINK("https://otsuka-europe-crm.veevavault.com/ui/#object/approved_document__v/V5OZ025E82TFUPI", "Spain - HCP Survey Email - June 2025")</f>
        <v>Spain - HCP Survey Email - June 2025</v>
      </c>
      <c r="C2262" s="3" t="str">
        <f>HYPERLINK("https://otsuka-europe-crm.veevavault.com/ui/#object/sent_email__v/VBLZ025E82GMZDA", "SE-000269360")</f>
        <v>SE-000269360</v>
      </c>
      <c r="D2262" s="1">
        <v>45915.788055555553</v>
      </c>
      <c r="E2262" s="2">
        <v>1</v>
      </c>
      <c r="F2262" s="2">
        <v>1</v>
      </c>
      <c r="G2262" s="2">
        <v>0</v>
      </c>
      <c r="H2262" s="1" t="s">
        <v>0</v>
      </c>
      <c r="I2262" s="2">
        <v>0</v>
      </c>
      <c r="J2262" s="1">
        <v>45915.378032407411</v>
      </c>
    </row>
    <row r="2263" spans="1:10" x14ac:dyDescent="0.2">
      <c r="A2263" s="4" t="s">
        <v>1</v>
      </c>
      <c r="B2263" s="3" t="str">
        <f>HYPERLINK("https://otsuka-europe-crm.veevavault.com/ui/#object/approved_document__v/V5OZ025E82TFUPI", "Spain - HCP Survey Email - June 2025")</f>
        <v>Spain - HCP Survey Email - June 2025</v>
      </c>
      <c r="C2263" s="3" t="str">
        <f>HYPERLINK("https://otsuka-europe-crm.veevavault.com/ui/#object/sent_email__v/VBLZ025E82GMZDB", "SE-000269361")</f>
        <v>SE-000269361</v>
      </c>
      <c r="D2263" s="1" t="s">
        <v>0</v>
      </c>
      <c r="E2263" s="2">
        <v>0</v>
      </c>
      <c r="F2263" s="2">
        <v>0</v>
      </c>
      <c r="G2263" s="2">
        <v>0</v>
      </c>
      <c r="H2263" s="1" t="s">
        <v>0</v>
      </c>
      <c r="I2263" s="2">
        <v>0</v>
      </c>
      <c r="J2263" s="1">
        <v>45915.379050925927</v>
      </c>
    </row>
    <row r="2264" spans="1:10" x14ac:dyDescent="0.2">
      <c r="A2264" s="4" t="s">
        <v>1</v>
      </c>
      <c r="B2264" s="3" t="str">
        <f>HYPERLINK("https://otsuka-europe-crm.veevavault.com/ui/#object/approved_document__v/V5OZ025E82TFUPI", "Spain - HCP Survey Email - June 2025")</f>
        <v>Spain - HCP Survey Email - June 2025</v>
      </c>
      <c r="C2264" s="3" t="str">
        <f>HYPERLINK("https://otsuka-europe-crm.veevavault.com/ui/#object/sent_email__v/VBLZ025E82GMZDC", "SE-000269362")</f>
        <v>SE-000269362</v>
      </c>
      <c r="D2264" s="1" t="s">
        <v>0</v>
      </c>
      <c r="E2264" s="2">
        <v>0</v>
      </c>
      <c r="F2264" s="2">
        <v>0</v>
      </c>
      <c r="G2264" s="2">
        <v>0</v>
      </c>
      <c r="H2264" s="1" t="s">
        <v>0</v>
      </c>
      <c r="I2264" s="2">
        <v>0</v>
      </c>
      <c r="J2264" s="1">
        <v>45915.379733796297</v>
      </c>
    </row>
    <row r="2265" spans="1:10" x14ac:dyDescent="0.2">
      <c r="A2265" s="4" t="s">
        <v>1</v>
      </c>
      <c r="B2265" s="3" t="str">
        <f>HYPERLINK("https://otsuka-europe-crm.veevavault.com/ui/#object/approved_document__v/V5OZ025E82TFUPI", "Spain - HCP Survey Email - June 2025")</f>
        <v>Spain - HCP Survey Email - June 2025</v>
      </c>
      <c r="C2265" s="3" t="str">
        <f>HYPERLINK("https://otsuka-europe-crm.veevavault.com/ui/#object/sent_email__v/VBLZ025E82GMZDD", "SE-000269363")</f>
        <v>SE-000269363</v>
      </c>
      <c r="D2265" s="1">
        <v>45915.492766203701</v>
      </c>
      <c r="E2265" s="2">
        <v>1</v>
      </c>
      <c r="F2265" s="2">
        <v>1</v>
      </c>
      <c r="G2265" s="2">
        <v>0</v>
      </c>
      <c r="H2265" s="1" t="s">
        <v>0</v>
      </c>
      <c r="I2265" s="2">
        <v>0</v>
      </c>
      <c r="J2265" s="1">
        <v>45915.37945601852</v>
      </c>
    </row>
    <row r="2266" spans="1:10" x14ac:dyDescent="0.2">
      <c r="A2266" s="4" t="s">
        <v>1</v>
      </c>
      <c r="B2266" s="3" t="str">
        <f>HYPERLINK("https://otsuka-europe-crm.veevavault.com/ui/#object/approved_document__v/V5OZ025E82TFUPI", "Spain - HCP Survey Email - June 2025")</f>
        <v>Spain - HCP Survey Email - June 2025</v>
      </c>
      <c r="C2266" s="3" t="str">
        <f>HYPERLINK("https://otsuka-europe-crm.veevavault.com/ui/#object/sent_email__v/VBLZ025E82GMZDE", "SE-000269364")</f>
        <v>SE-000269364</v>
      </c>
      <c r="D2266" s="1" t="s">
        <v>0</v>
      </c>
      <c r="E2266" s="2">
        <v>0</v>
      </c>
      <c r="F2266" s="2">
        <v>0</v>
      </c>
      <c r="G2266" s="2">
        <v>0</v>
      </c>
      <c r="H2266" s="1" t="s">
        <v>0</v>
      </c>
      <c r="I2266" s="2">
        <v>0</v>
      </c>
      <c r="J2266" s="1">
        <v>45915.377395833333</v>
      </c>
    </row>
    <row r="2267" spans="1:10" x14ac:dyDescent="0.2">
      <c r="A2267" s="4" t="s">
        <v>1</v>
      </c>
      <c r="B2267" s="3" t="str">
        <f>HYPERLINK("https://otsuka-europe-crm.veevavault.com/ui/#object/approved_document__v/V5OZ025E82TFUPI", "Spain - HCP Survey Email - June 2025")</f>
        <v>Spain - HCP Survey Email - June 2025</v>
      </c>
      <c r="C2267" s="3" t="str">
        <f>HYPERLINK("https://otsuka-europe-crm.veevavault.com/ui/#object/sent_email__v/VBLZ025E82GMZDF", "SE-000269365")</f>
        <v>SE-000269365</v>
      </c>
      <c r="D2267" s="1">
        <v>45916.976747685185</v>
      </c>
      <c r="E2267" s="2">
        <v>1</v>
      </c>
      <c r="F2267" s="2">
        <v>1</v>
      </c>
      <c r="G2267" s="2">
        <v>0</v>
      </c>
      <c r="H2267" s="1" t="s">
        <v>0</v>
      </c>
      <c r="I2267" s="2">
        <v>0</v>
      </c>
      <c r="J2267" s="1">
        <v>45915.37835648148</v>
      </c>
    </row>
    <row r="2268" spans="1:10" x14ac:dyDescent="0.2">
      <c r="A2268" s="4" t="s">
        <v>1</v>
      </c>
      <c r="B2268" s="3" t="str">
        <f>HYPERLINK("https://otsuka-europe-crm.veevavault.com/ui/#object/approved_document__v/V5OZ025E82TFUPI", "Spain - HCP Survey Email - June 2025")</f>
        <v>Spain - HCP Survey Email - June 2025</v>
      </c>
      <c r="C2268" s="3" t="str">
        <f>HYPERLINK("https://otsuka-europe-crm.veevavault.com/ui/#object/sent_email__v/VBLZ025E82GMZDG", "SE-000269366")</f>
        <v>SE-000269366</v>
      </c>
      <c r="D2268" s="1">
        <v>45915.864722222221</v>
      </c>
      <c r="E2268" s="2">
        <v>1</v>
      </c>
      <c r="F2268" s="2">
        <v>2</v>
      </c>
      <c r="G2268" s="2">
        <v>1</v>
      </c>
      <c r="H2268" s="1">
        <v>45915.865497685183</v>
      </c>
      <c r="I2268" s="2">
        <v>2</v>
      </c>
      <c r="J2268" s="1">
        <v>45915.378900462965</v>
      </c>
    </row>
    <row r="2269" spans="1:10" x14ac:dyDescent="0.2">
      <c r="A2269" s="4" t="s">
        <v>1</v>
      </c>
      <c r="B2269" s="3" t="str">
        <f>HYPERLINK("https://otsuka-europe-crm.veevavault.com/ui/#object/approved_document__v/V5OZ025E82TFUPI", "Spain - HCP Survey Email - June 2025")</f>
        <v>Spain - HCP Survey Email - June 2025</v>
      </c>
      <c r="C2269" s="3" t="str">
        <f>HYPERLINK("https://otsuka-europe-crm.veevavault.com/ui/#object/sent_email__v/VBLZ025E82GMZDH", "SE-000269367")</f>
        <v>SE-000269367</v>
      </c>
      <c r="D2269" s="1" t="s">
        <v>0</v>
      </c>
      <c r="E2269" s="2">
        <v>0</v>
      </c>
      <c r="F2269" s="2">
        <v>0</v>
      </c>
      <c r="G2269" s="2">
        <v>0</v>
      </c>
      <c r="H2269" s="1" t="s">
        <v>0</v>
      </c>
      <c r="I2269" s="2">
        <v>0</v>
      </c>
      <c r="J2269" s="1">
        <v>45915.378784722219</v>
      </c>
    </row>
    <row r="2270" spans="1:10" x14ac:dyDescent="0.2">
      <c r="A2270" s="4" t="s">
        <v>1</v>
      </c>
      <c r="B2270" s="3" t="str">
        <f>HYPERLINK("https://otsuka-europe-crm.veevavault.com/ui/#object/approved_document__v/V5OZ025E82TFUPI", "Spain - HCP Survey Email - June 2025")</f>
        <v>Spain - HCP Survey Email - June 2025</v>
      </c>
      <c r="C2270" s="3" t="str">
        <f>HYPERLINK("https://otsuka-europe-crm.veevavault.com/ui/#object/sent_email__v/VBLZ025E82GMZDI", "SE-000269368")</f>
        <v>SE-000269368</v>
      </c>
      <c r="D2270" s="1">
        <v>45915.838900462964</v>
      </c>
      <c r="E2270" s="2">
        <v>1</v>
      </c>
      <c r="F2270" s="2">
        <v>3</v>
      </c>
      <c r="G2270" s="2">
        <v>0</v>
      </c>
      <c r="H2270" s="1" t="s">
        <v>0</v>
      </c>
      <c r="I2270" s="2">
        <v>0</v>
      </c>
      <c r="J2270" s="1">
        <v>45915.379872685182</v>
      </c>
    </row>
    <row r="2271" spans="1:10" x14ac:dyDescent="0.2">
      <c r="A2271" s="4" t="s">
        <v>1</v>
      </c>
      <c r="B2271" s="3" t="str">
        <f>HYPERLINK("https://otsuka-europe-crm.veevavault.com/ui/#object/approved_document__v/V5OZ025E82TFUPI", "Spain - HCP Survey Email - June 2025")</f>
        <v>Spain - HCP Survey Email - June 2025</v>
      </c>
      <c r="C2271" s="3" t="str">
        <f>HYPERLINK("https://otsuka-europe-crm.veevavault.com/ui/#object/sent_email__v/VBLZ025E82GMZDJ", "SE-000269369")</f>
        <v>SE-000269369</v>
      </c>
      <c r="D2271" s="1" t="s">
        <v>0</v>
      </c>
      <c r="E2271" s="2">
        <v>0</v>
      </c>
      <c r="F2271" s="2">
        <v>0</v>
      </c>
      <c r="G2271" s="2">
        <v>0</v>
      </c>
      <c r="H2271" s="1" t="s">
        <v>0</v>
      </c>
      <c r="I2271" s="2">
        <v>0</v>
      </c>
      <c r="J2271" s="1">
        <v>45915.377685185187</v>
      </c>
    </row>
    <row r="2272" spans="1:10" x14ac:dyDescent="0.2">
      <c r="A2272" s="4" t="s">
        <v>1</v>
      </c>
      <c r="B2272" s="3" t="str">
        <f>HYPERLINK("https://otsuka-europe-crm.veevavault.com/ui/#object/approved_document__v/V5OZ025E82TFUPI", "Spain - HCP Survey Email - June 2025")</f>
        <v>Spain - HCP Survey Email - June 2025</v>
      </c>
      <c r="C2272" s="3" t="str">
        <f>HYPERLINK("https://otsuka-europe-crm.veevavault.com/ui/#object/sent_email__v/VBLZ025E82GMZDK", "SE-000269370")</f>
        <v>SE-000269370</v>
      </c>
      <c r="D2272" s="1" t="s">
        <v>0</v>
      </c>
      <c r="E2272" s="2">
        <v>0</v>
      </c>
      <c r="F2272" s="2">
        <v>0</v>
      </c>
      <c r="G2272" s="2">
        <v>0</v>
      </c>
      <c r="H2272" s="1" t="s">
        <v>0</v>
      </c>
      <c r="I2272" s="2">
        <v>0</v>
      </c>
      <c r="J2272" s="1">
        <v>45915.377569444441</v>
      </c>
    </row>
    <row r="2273" spans="1:10" x14ac:dyDescent="0.2">
      <c r="A2273" s="4" t="s">
        <v>1</v>
      </c>
      <c r="B2273" s="3" t="str">
        <f>HYPERLINK("https://otsuka-europe-crm.veevavault.com/ui/#object/approved_document__v/V5OZ025E82TFUPI", "Spain - HCP Survey Email - June 2025")</f>
        <v>Spain - HCP Survey Email - June 2025</v>
      </c>
      <c r="C2273" s="3" t="str">
        <f>HYPERLINK("https://otsuka-europe-crm.veevavault.com/ui/#object/sent_email__v/VBLZ025E82GMZDL", "SE-000269371")</f>
        <v>SE-000269371</v>
      </c>
      <c r="D2273" s="1" t="s">
        <v>0</v>
      </c>
      <c r="E2273" s="2">
        <v>0</v>
      </c>
      <c r="F2273" s="2">
        <v>0</v>
      </c>
      <c r="G2273" s="2">
        <v>0</v>
      </c>
      <c r="H2273" s="1" t="s">
        <v>0</v>
      </c>
      <c r="I2273" s="2">
        <v>0</v>
      </c>
      <c r="J2273" s="1">
        <v>45915.378009259257</v>
      </c>
    </row>
    <row r="2274" spans="1:10" x14ac:dyDescent="0.2">
      <c r="A2274" s="4" t="s">
        <v>1</v>
      </c>
      <c r="B2274" s="3" t="str">
        <f>HYPERLINK("https://otsuka-europe-crm.veevavault.com/ui/#object/approved_document__v/V5OZ025E82TFUPI", "Spain - HCP Survey Email - June 2025")</f>
        <v>Spain - HCP Survey Email - June 2025</v>
      </c>
      <c r="C2274" s="3" t="str">
        <f>HYPERLINK("https://otsuka-europe-crm.veevavault.com/ui/#object/sent_email__v/VBLZ025E82GMZDM", "SE-000269372")</f>
        <v>SE-000269372</v>
      </c>
      <c r="D2274" s="1">
        <v>45915.429525462961</v>
      </c>
      <c r="E2274" s="2">
        <v>1</v>
      </c>
      <c r="F2274" s="2">
        <v>3</v>
      </c>
      <c r="G2274" s="2">
        <v>1</v>
      </c>
      <c r="H2274" s="1">
        <v>45915.429652777777</v>
      </c>
      <c r="I2274" s="2">
        <v>1</v>
      </c>
      <c r="J2274" s="1">
        <v>45915.379016203704</v>
      </c>
    </row>
    <row r="2275" spans="1:10" x14ac:dyDescent="0.2">
      <c r="A2275" s="4" t="s">
        <v>1</v>
      </c>
      <c r="B2275" s="3" t="str">
        <f>HYPERLINK("https://otsuka-europe-crm.veevavault.com/ui/#object/approved_document__v/V5OZ025E82TFUPI", "Spain - HCP Survey Email - June 2025")</f>
        <v>Spain - HCP Survey Email - June 2025</v>
      </c>
      <c r="C2275" s="3" t="str">
        <f>HYPERLINK("https://otsuka-europe-crm.veevavault.com/ui/#object/sent_email__v/VBLZ025E82GMZDN", "SE-000269373")</f>
        <v>SE-000269373</v>
      </c>
      <c r="D2275" s="1">
        <v>45915.47115740741</v>
      </c>
      <c r="E2275" s="2">
        <v>1</v>
      </c>
      <c r="F2275" s="2">
        <v>1</v>
      </c>
      <c r="G2275" s="2">
        <v>0</v>
      </c>
      <c r="H2275" s="1" t="s">
        <v>0</v>
      </c>
      <c r="I2275" s="2">
        <v>0</v>
      </c>
      <c r="J2275" s="1">
        <v>45915.379803240743</v>
      </c>
    </row>
    <row r="2276" spans="1:10" x14ac:dyDescent="0.2">
      <c r="A2276" s="4" t="s">
        <v>1</v>
      </c>
      <c r="B2276" s="3" t="str">
        <f>HYPERLINK("https://otsuka-europe-crm.veevavault.com/ui/#object/approved_document__v/V5OZ025E82TFUPI", "Spain - HCP Survey Email - June 2025")</f>
        <v>Spain - HCP Survey Email - June 2025</v>
      </c>
      <c r="C2276" s="3" t="str">
        <f>HYPERLINK("https://otsuka-europe-crm.veevavault.com/ui/#object/sent_email__v/VBLZ025E82GMZDO", "SE-000269374")</f>
        <v>SE-000269374</v>
      </c>
      <c r="D2276" s="1" t="s">
        <v>0</v>
      </c>
      <c r="E2276" s="2">
        <v>0</v>
      </c>
      <c r="F2276" s="2">
        <v>0</v>
      </c>
      <c r="G2276" s="2">
        <v>0</v>
      </c>
      <c r="H2276" s="1" t="s">
        <v>0</v>
      </c>
      <c r="I2276" s="2">
        <v>0</v>
      </c>
      <c r="J2276" s="1">
        <v>45915.379166666666</v>
      </c>
    </row>
    <row r="2277" spans="1:10" x14ac:dyDescent="0.2">
      <c r="A2277" s="4" t="s">
        <v>1</v>
      </c>
      <c r="B2277" s="3" t="str">
        <f>HYPERLINK("https://otsuka-europe-crm.veevavault.com/ui/#object/approved_document__v/V5OZ025E82TFUPI", "Spain - HCP Survey Email - June 2025")</f>
        <v>Spain - HCP Survey Email - June 2025</v>
      </c>
      <c r="C2277" s="3" t="str">
        <f>HYPERLINK("https://otsuka-europe-crm.veevavault.com/ui/#object/sent_email__v/VBLZ025E82GMZDP", "SE-000269375")</f>
        <v>SE-000269375</v>
      </c>
      <c r="D2277" s="1" t="s">
        <v>0</v>
      </c>
      <c r="E2277" s="2">
        <v>0</v>
      </c>
      <c r="F2277" s="2">
        <v>0</v>
      </c>
      <c r="G2277" s="2">
        <v>0</v>
      </c>
      <c r="H2277" s="1" t="s">
        <v>0</v>
      </c>
      <c r="I2277" s="2">
        <v>0</v>
      </c>
      <c r="J2277" s="1">
        <v>45915.37740740741</v>
      </c>
    </row>
    <row r="2278" spans="1:10" x14ac:dyDescent="0.2">
      <c r="A2278" s="4" t="s">
        <v>1</v>
      </c>
      <c r="B2278" s="3" t="str">
        <f>HYPERLINK("https://otsuka-europe-crm.veevavault.com/ui/#object/approved_document__v/V5OZ025E82TFUPI", "Spain - HCP Survey Email - June 2025")</f>
        <v>Spain - HCP Survey Email - June 2025</v>
      </c>
      <c r="C2278" s="3" t="str">
        <f>HYPERLINK("https://otsuka-europe-crm.veevavault.com/ui/#object/sent_email__v/VBLZ025E82GMZDQ", "SE-000269376")</f>
        <v>SE-000269376</v>
      </c>
      <c r="D2278" s="1" t="s">
        <v>0</v>
      </c>
      <c r="E2278" s="2">
        <v>0</v>
      </c>
      <c r="F2278" s="2">
        <v>0</v>
      </c>
      <c r="G2278" s="2">
        <v>0</v>
      </c>
      <c r="H2278" s="1" t="s">
        <v>0</v>
      </c>
      <c r="I2278" s="2">
        <v>0</v>
      </c>
      <c r="J2278" s="1">
        <v>45915.378460648149</v>
      </c>
    </row>
    <row r="2279" spans="1:10" x14ac:dyDescent="0.2">
      <c r="A2279" s="4" t="s">
        <v>1</v>
      </c>
      <c r="B2279" s="3" t="str">
        <f>HYPERLINK("https://otsuka-europe-crm.veevavault.com/ui/#object/approved_document__v/V5OZ025E82TFUPI", "Spain - HCP Survey Email - June 2025")</f>
        <v>Spain - HCP Survey Email - June 2025</v>
      </c>
      <c r="C2279" s="3" t="str">
        <f>HYPERLINK("https://otsuka-europe-crm.veevavault.com/ui/#object/sent_email__v/VBLZ025E82GMZDR", "SE-000269377")</f>
        <v>SE-000269377</v>
      </c>
      <c r="D2279" s="1">
        <v>45915.47420138889</v>
      </c>
      <c r="E2279" s="2">
        <v>1</v>
      </c>
      <c r="F2279" s="2">
        <v>1</v>
      </c>
      <c r="G2279" s="2">
        <v>0</v>
      </c>
      <c r="H2279" s="1" t="s">
        <v>0</v>
      </c>
      <c r="I2279" s="2">
        <v>0</v>
      </c>
      <c r="J2279" s="1">
        <v>45915.378796296296</v>
      </c>
    </row>
    <row r="2280" spans="1:10" x14ac:dyDescent="0.2">
      <c r="A2280" s="4" t="s">
        <v>1</v>
      </c>
      <c r="B2280" s="3" t="str">
        <f>HYPERLINK("https://otsuka-europe-crm.veevavault.com/ui/#object/approved_document__v/V5OZ025E82TFUPI", "Spain - HCP Survey Email - June 2025")</f>
        <v>Spain - HCP Survey Email - June 2025</v>
      </c>
      <c r="C2280" s="3" t="str">
        <f>HYPERLINK("https://otsuka-europe-crm.veevavault.com/ui/#object/sent_email__v/VBLZ025E82GMZDS", "SE-000269378")</f>
        <v>SE-000269378</v>
      </c>
      <c r="D2280" s="1">
        <v>45915.389340277776</v>
      </c>
      <c r="E2280" s="2">
        <v>1</v>
      </c>
      <c r="F2280" s="2">
        <v>2</v>
      </c>
      <c r="G2280" s="2">
        <v>0</v>
      </c>
      <c r="H2280" s="1" t="s">
        <v>0</v>
      </c>
      <c r="I2280" s="2">
        <v>0</v>
      </c>
      <c r="J2280" s="1">
        <v>45915.378819444442</v>
      </c>
    </row>
    <row r="2281" spans="1:10" x14ac:dyDescent="0.2">
      <c r="A2281" s="4" t="s">
        <v>1</v>
      </c>
      <c r="B2281" s="3" t="str">
        <f>HYPERLINK("https://otsuka-europe-crm.veevavault.com/ui/#object/approved_document__v/V5OZ025E82TFUPI", "Spain - HCP Survey Email - June 2025")</f>
        <v>Spain - HCP Survey Email - June 2025</v>
      </c>
      <c r="C2281" s="3" t="str">
        <f>HYPERLINK("https://otsuka-europe-crm.veevavault.com/ui/#object/sent_email__v/VBLZ025E82GMZDT", "SE-000269379")</f>
        <v>SE-000269379</v>
      </c>
      <c r="D2281" s="1">
        <v>45916.9684375</v>
      </c>
      <c r="E2281" s="2">
        <v>1</v>
      </c>
      <c r="F2281" s="2">
        <v>1</v>
      </c>
      <c r="G2281" s="2">
        <v>0</v>
      </c>
      <c r="H2281" s="1" t="s">
        <v>0</v>
      </c>
      <c r="I2281" s="2">
        <v>0</v>
      </c>
      <c r="J2281" s="1">
        <v>45915.38003472222</v>
      </c>
    </row>
    <row r="2282" spans="1:10" x14ac:dyDescent="0.2">
      <c r="A2282" s="4" t="s">
        <v>1</v>
      </c>
      <c r="B2282" s="3" t="str">
        <f>HYPERLINK("https://otsuka-europe-crm.veevavault.com/ui/#object/approved_document__v/V5OZ025E82TFUPI", "Spain - HCP Survey Email - June 2025")</f>
        <v>Spain - HCP Survey Email - June 2025</v>
      </c>
      <c r="C2282" s="3" t="str">
        <f>HYPERLINK("https://otsuka-europe-crm.veevavault.com/ui/#object/sent_email__v/VBLZ025E82GMZDU", "SE-000269380")</f>
        <v>SE-000269380</v>
      </c>
      <c r="D2282" s="1">
        <v>45915.383506944447</v>
      </c>
      <c r="E2282" s="2">
        <v>1</v>
      </c>
      <c r="F2282" s="2">
        <v>1</v>
      </c>
      <c r="G2282" s="2">
        <v>0</v>
      </c>
      <c r="H2282" s="1" t="s">
        <v>0</v>
      </c>
      <c r="I2282" s="2">
        <v>0</v>
      </c>
      <c r="J2282" s="1">
        <v>45915.377766203703</v>
      </c>
    </row>
    <row r="2283" spans="1:10" x14ac:dyDescent="0.2">
      <c r="A2283" s="4" t="s">
        <v>1</v>
      </c>
      <c r="B2283" s="3" t="str">
        <f>HYPERLINK("https://otsuka-europe-crm.veevavault.com/ui/#object/approved_document__v/V5OZ025E82TFUPI", "Spain - HCP Survey Email - June 2025")</f>
        <v>Spain - HCP Survey Email - June 2025</v>
      </c>
      <c r="C2283" s="3" t="str">
        <f>HYPERLINK("https://otsuka-europe-crm.veevavault.com/ui/#object/sent_email__v/VBLZ025E82GMZDV", "SE-000269381")</f>
        <v>SE-000269381</v>
      </c>
      <c r="D2283" s="1">
        <v>45915.45752314815</v>
      </c>
      <c r="E2283" s="2">
        <v>1</v>
      </c>
      <c r="F2283" s="2">
        <v>1</v>
      </c>
      <c r="G2283" s="2">
        <v>1</v>
      </c>
      <c r="H2283" s="1">
        <v>45915.457696759258</v>
      </c>
      <c r="I2283" s="2">
        <v>2</v>
      </c>
      <c r="J2283" s="1">
        <v>45915.377638888887</v>
      </c>
    </row>
    <row r="2284" spans="1:10" x14ac:dyDescent="0.2">
      <c r="A2284" s="4" t="s">
        <v>1</v>
      </c>
      <c r="B2284" s="3" t="str">
        <f>HYPERLINK("https://otsuka-europe-crm.veevavault.com/ui/#object/approved_document__v/V5OZ025E82TFUPI", "Spain - HCP Survey Email - June 2025")</f>
        <v>Spain - HCP Survey Email - June 2025</v>
      </c>
      <c r="C2284" s="3" t="str">
        <f>HYPERLINK("https://otsuka-europe-crm.veevavault.com/ui/#object/sent_email__v/VBLZ025E82GMZDW", "SE-000269382")</f>
        <v>SE-000269382</v>
      </c>
      <c r="D2284" s="1" t="s">
        <v>0</v>
      </c>
      <c r="E2284" s="2">
        <v>0</v>
      </c>
      <c r="F2284" s="2">
        <v>0</v>
      </c>
      <c r="G2284" s="2">
        <v>0</v>
      </c>
      <c r="H2284" s="1" t="s">
        <v>0</v>
      </c>
      <c r="I2284" s="2">
        <v>0</v>
      </c>
      <c r="J2284" s="1">
        <v>45915.377986111111</v>
      </c>
    </row>
    <row r="2285" spans="1:10" x14ac:dyDescent="0.2">
      <c r="A2285" s="4" t="s">
        <v>1</v>
      </c>
      <c r="B2285" s="3" t="str">
        <f>HYPERLINK("https://otsuka-europe-crm.veevavault.com/ui/#object/approved_document__v/V5OZ025E82TFUPI", "Spain - HCP Survey Email - June 2025")</f>
        <v>Spain - HCP Survey Email - June 2025</v>
      </c>
      <c r="C2285" s="3" t="str">
        <f>HYPERLINK("https://otsuka-europe-crm.veevavault.com/ui/#object/sent_email__v/VBLZ025E82GMZDX", "SE-000269383")</f>
        <v>SE-000269383</v>
      </c>
      <c r="D2285" s="1">
        <v>45915.742118055554</v>
      </c>
      <c r="E2285" s="2">
        <v>1</v>
      </c>
      <c r="F2285" s="2">
        <v>1</v>
      </c>
      <c r="G2285" s="2">
        <v>0</v>
      </c>
      <c r="H2285" s="1" t="s">
        <v>0</v>
      </c>
      <c r="I2285" s="2">
        <v>0</v>
      </c>
      <c r="J2285" s="1">
        <v>45915.379050925927</v>
      </c>
    </row>
    <row r="2286" spans="1:10" x14ac:dyDescent="0.2">
      <c r="A2286" s="4" t="s">
        <v>1</v>
      </c>
      <c r="B2286" s="3" t="str">
        <f>HYPERLINK("https://otsuka-europe-crm.veevavault.com/ui/#object/approved_document__v/V5OZ025E82TFUPI", "Spain - HCP Survey Email - June 2025")</f>
        <v>Spain - HCP Survey Email - June 2025</v>
      </c>
      <c r="C2286" s="3" t="str">
        <f>HYPERLINK("https://otsuka-europe-crm.veevavault.com/ui/#object/sent_email__v/VBLZ025E82GMZDY", "SE-000269384")</f>
        <v>SE-000269384</v>
      </c>
      <c r="D2286" s="1">
        <v>45915.566747685189</v>
      </c>
      <c r="E2286" s="2">
        <v>1</v>
      </c>
      <c r="F2286" s="2">
        <v>1</v>
      </c>
      <c r="G2286" s="2">
        <v>0</v>
      </c>
      <c r="H2286" s="1" t="s">
        <v>0</v>
      </c>
      <c r="I2286" s="2">
        <v>0</v>
      </c>
      <c r="J2286" s="1">
        <v>45915.379791666666</v>
      </c>
    </row>
    <row r="2287" spans="1:10" x14ac:dyDescent="0.2">
      <c r="A2287" s="4" t="s">
        <v>1</v>
      </c>
      <c r="B2287" s="3" t="str">
        <f>HYPERLINK("https://otsuka-europe-crm.veevavault.com/ui/#object/approved_document__v/V5OZ025E82TFUPI", "Spain - HCP Survey Email - June 2025")</f>
        <v>Spain - HCP Survey Email - June 2025</v>
      </c>
      <c r="C2287" s="3" t="str">
        <f>HYPERLINK("https://otsuka-europe-crm.veevavault.com/ui/#object/sent_email__v/VBLZ025E82GMZDZ", "SE-000269385")</f>
        <v>SE-000269385</v>
      </c>
      <c r="D2287" s="1" t="s">
        <v>0</v>
      </c>
      <c r="E2287" s="2">
        <v>0</v>
      </c>
      <c r="F2287" s="2">
        <v>0</v>
      </c>
      <c r="G2287" s="2">
        <v>0</v>
      </c>
      <c r="H2287" s="1" t="s">
        <v>0</v>
      </c>
      <c r="I2287" s="2">
        <v>0</v>
      </c>
      <c r="J2287" s="1">
        <v>45915.379236111112</v>
      </c>
    </row>
    <row r="2288" spans="1:10" x14ac:dyDescent="0.2">
      <c r="A2288" s="4" t="s">
        <v>1</v>
      </c>
      <c r="B2288" s="3" t="str">
        <f>HYPERLINK("https://otsuka-europe-crm.veevavault.com/ui/#object/approved_document__v/V5OZ025E82TFUPI", "Spain - HCP Survey Email - June 2025")</f>
        <v>Spain - HCP Survey Email - June 2025</v>
      </c>
      <c r="C2288" s="3" t="str">
        <f>HYPERLINK("https://otsuka-europe-crm.veevavault.com/ui/#object/sent_email__v/VBLZ025E82GMZE0", "SE-000269386")</f>
        <v>SE-000269386</v>
      </c>
      <c r="D2288" s="1" t="s">
        <v>0</v>
      </c>
      <c r="E2288" s="2">
        <v>0</v>
      </c>
      <c r="F2288" s="2">
        <v>0</v>
      </c>
      <c r="G2288" s="2">
        <v>0</v>
      </c>
      <c r="H2288" s="1" t="s">
        <v>0</v>
      </c>
      <c r="I2288" s="2">
        <v>0</v>
      </c>
      <c r="J2288" s="1">
        <v>45915.377395833333</v>
      </c>
    </row>
    <row r="2289" spans="1:10" x14ac:dyDescent="0.2">
      <c r="A2289" s="4" t="s">
        <v>1</v>
      </c>
      <c r="B2289" s="3" t="str">
        <f>HYPERLINK("https://otsuka-europe-crm.veevavault.com/ui/#object/approved_document__v/V5OZ025E82TFUPI", "Spain - HCP Survey Email - June 2025")</f>
        <v>Spain - HCP Survey Email - June 2025</v>
      </c>
      <c r="C2289" s="3" t="str">
        <f>HYPERLINK("https://otsuka-europe-crm.veevavault.com/ui/#object/sent_email__v/VBLZ025E82GMZE1", "SE-000269387")</f>
        <v>SE-000269387</v>
      </c>
      <c r="D2289" s="1" t="s">
        <v>0</v>
      </c>
      <c r="E2289" s="2">
        <v>0</v>
      </c>
      <c r="F2289" s="2">
        <v>0</v>
      </c>
      <c r="G2289" s="2">
        <v>0</v>
      </c>
      <c r="H2289" s="1" t="s">
        <v>0</v>
      </c>
      <c r="I2289" s="2">
        <v>0</v>
      </c>
      <c r="J2289" s="1">
        <v>45915.378333333334</v>
      </c>
    </row>
    <row r="2290" spans="1:10" x14ac:dyDescent="0.2">
      <c r="A2290" s="4" t="s">
        <v>1</v>
      </c>
      <c r="B2290" s="3" t="str">
        <f>HYPERLINK("https://otsuka-europe-crm.veevavault.com/ui/#object/approved_document__v/V5OZ025E82TFUPI", "Spain - HCP Survey Email - June 2025")</f>
        <v>Spain - HCP Survey Email - June 2025</v>
      </c>
      <c r="C2290" s="3" t="str">
        <f>HYPERLINK("https://otsuka-europe-crm.veevavault.com/ui/#object/sent_email__v/VBLZ025E82GMZE2", "SE-000269388")</f>
        <v>SE-000269388</v>
      </c>
      <c r="D2290" s="1" t="s">
        <v>0</v>
      </c>
      <c r="E2290" s="2">
        <v>0</v>
      </c>
      <c r="F2290" s="2">
        <v>0</v>
      </c>
      <c r="G2290" s="2">
        <v>0</v>
      </c>
      <c r="H2290" s="1" t="s">
        <v>0</v>
      </c>
      <c r="I2290" s="2">
        <v>0</v>
      </c>
      <c r="J2290" s="1">
        <v>45915.378831018519</v>
      </c>
    </row>
    <row r="2291" spans="1:10" x14ac:dyDescent="0.2">
      <c r="A2291" s="4" t="s">
        <v>1</v>
      </c>
      <c r="B2291" s="3" t="str">
        <f>HYPERLINK("https://otsuka-europe-crm.veevavault.com/ui/#object/approved_document__v/V5OZ025E82TFUPI", "Spain - HCP Survey Email - June 2025")</f>
        <v>Spain - HCP Survey Email - June 2025</v>
      </c>
      <c r="C2291" s="3" t="str">
        <f>HYPERLINK("https://otsuka-europe-crm.veevavault.com/ui/#object/sent_email__v/VBLZ025E82GMZE4", "SE-000269390")</f>
        <v>SE-000269390</v>
      </c>
      <c r="D2291" s="1" t="s">
        <v>0</v>
      </c>
      <c r="E2291" s="2">
        <v>0</v>
      </c>
      <c r="F2291" s="2">
        <v>0</v>
      </c>
      <c r="G2291" s="2">
        <v>0</v>
      </c>
      <c r="H2291" s="1" t="s">
        <v>0</v>
      </c>
      <c r="I2291" s="2">
        <v>0</v>
      </c>
      <c r="J2291" s="1">
        <v>45915.379166666666</v>
      </c>
    </row>
    <row r="2292" spans="1:10" x14ac:dyDescent="0.2">
      <c r="A2292" s="4" t="s">
        <v>1</v>
      </c>
      <c r="B2292" s="3" t="str">
        <f>HYPERLINK("https://otsuka-europe-crm.veevavault.com/ui/#object/approved_document__v/V5OZ025E82TFUPI", "Spain - HCP Survey Email - June 2025")</f>
        <v>Spain - HCP Survey Email - June 2025</v>
      </c>
      <c r="C2292" s="3" t="str">
        <f>HYPERLINK("https://otsuka-europe-crm.veevavault.com/ui/#object/sent_email__v/VBLZ025E82GMZE5", "SE-000269391")</f>
        <v>SE-000269391</v>
      </c>
      <c r="D2292" s="1">
        <v>45917.882928240739</v>
      </c>
      <c r="E2292" s="2">
        <v>1</v>
      </c>
      <c r="F2292" s="2">
        <v>1</v>
      </c>
      <c r="G2292" s="2">
        <v>0</v>
      </c>
      <c r="H2292" s="1" t="s">
        <v>0</v>
      </c>
      <c r="I2292" s="2">
        <v>0</v>
      </c>
      <c r="J2292" s="1">
        <v>45915.377708333333</v>
      </c>
    </row>
    <row r="2293" spans="1:10" x14ac:dyDescent="0.2">
      <c r="A2293" s="4" t="s">
        <v>1</v>
      </c>
      <c r="B2293" s="3" t="str">
        <f>HYPERLINK("https://otsuka-europe-crm.veevavault.com/ui/#object/approved_document__v/V5OZ025E82TFUPI", "Spain - HCP Survey Email - June 2025")</f>
        <v>Spain - HCP Survey Email - June 2025</v>
      </c>
      <c r="C2293" s="3" t="str">
        <f>HYPERLINK("https://otsuka-europe-crm.veevavault.com/ui/#object/sent_email__v/VBLZ025E82GMZE6", "SE-000269392")</f>
        <v>SE-000269392</v>
      </c>
      <c r="D2293" s="1">
        <v>45915.942893518521</v>
      </c>
      <c r="E2293" s="2">
        <v>1</v>
      </c>
      <c r="F2293" s="2">
        <v>4</v>
      </c>
      <c r="G2293" s="2">
        <v>1</v>
      </c>
      <c r="H2293" s="1">
        <v>45915.436168981483</v>
      </c>
      <c r="I2293" s="2">
        <v>1</v>
      </c>
      <c r="J2293" s="1">
        <v>45915.377581018518</v>
      </c>
    </row>
    <row r="2294" spans="1:10" x14ac:dyDescent="0.2">
      <c r="A2294" s="4" t="s">
        <v>1</v>
      </c>
      <c r="B2294" s="3" t="str">
        <f>HYPERLINK("https://otsuka-europe-crm.veevavault.com/ui/#object/approved_document__v/V5OZ025E82TFUPI", "Spain - HCP Survey Email - June 2025")</f>
        <v>Spain - HCP Survey Email - June 2025</v>
      </c>
      <c r="C2294" s="3" t="str">
        <f>HYPERLINK("https://otsuka-europe-crm.veevavault.com/ui/#object/sent_email__v/VBLZ025E82GMZE7", "SE-000269393")</f>
        <v>SE-000269393</v>
      </c>
      <c r="D2294" s="1">
        <v>45915.438078703701</v>
      </c>
      <c r="E2294" s="2">
        <v>1</v>
      </c>
      <c r="F2294" s="2">
        <v>1</v>
      </c>
      <c r="G2294" s="2">
        <v>0</v>
      </c>
      <c r="H2294" s="1" t="s">
        <v>0</v>
      </c>
      <c r="I2294" s="2">
        <v>0</v>
      </c>
      <c r="J2294" s="1">
        <v>45915.378020833334</v>
      </c>
    </row>
    <row r="2295" spans="1:10" x14ac:dyDescent="0.2">
      <c r="A2295" s="4" t="s">
        <v>1</v>
      </c>
      <c r="B2295" s="3" t="str">
        <f>HYPERLINK("https://otsuka-europe-crm.veevavault.com/ui/#object/approved_document__v/V5OZ025E82TFUPI", "Spain - HCP Survey Email - June 2025")</f>
        <v>Spain - HCP Survey Email - June 2025</v>
      </c>
      <c r="C2295" s="3" t="str">
        <f>HYPERLINK("https://otsuka-europe-crm.veevavault.com/ui/#object/sent_email__v/VBLZ025E82GMZE8", "SE-000269394")</f>
        <v>SE-000269394</v>
      </c>
      <c r="D2295" s="1">
        <v>45915.546631944446</v>
      </c>
      <c r="E2295" s="2">
        <v>1</v>
      </c>
      <c r="F2295" s="2">
        <v>1</v>
      </c>
      <c r="G2295" s="2">
        <v>0</v>
      </c>
      <c r="H2295" s="1" t="s">
        <v>0</v>
      </c>
      <c r="I2295" s="2">
        <v>0</v>
      </c>
      <c r="J2295" s="1">
        <v>45915.378946759258</v>
      </c>
    </row>
    <row r="2296" spans="1:10" x14ac:dyDescent="0.2">
      <c r="A2296" s="4" t="s">
        <v>1</v>
      </c>
      <c r="B2296" s="3" t="str">
        <f>HYPERLINK("https://otsuka-europe-crm.veevavault.com/ui/#object/approved_document__v/V5OZ025E82TFUPI", "Spain - HCP Survey Email - June 2025")</f>
        <v>Spain - HCP Survey Email - June 2025</v>
      </c>
      <c r="C2296" s="3" t="str">
        <f>HYPERLINK("https://otsuka-europe-crm.veevavault.com/ui/#object/sent_email__v/VBLZ025E82GMZE9", "SE-000269395")</f>
        <v>SE-000269395</v>
      </c>
      <c r="D2296" s="1">
        <v>45916.386944444443</v>
      </c>
      <c r="E2296" s="2">
        <v>1</v>
      </c>
      <c r="F2296" s="2">
        <v>1</v>
      </c>
      <c r="G2296" s="2">
        <v>0</v>
      </c>
      <c r="H2296" s="1" t="s">
        <v>0</v>
      </c>
      <c r="I2296" s="2">
        <v>0</v>
      </c>
      <c r="J2296" s="1">
        <v>45915.379618055558</v>
      </c>
    </row>
    <row r="2297" spans="1:10" x14ac:dyDescent="0.2">
      <c r="A2297" s="4" t="s">
        <v>1</v>
      </c>
      <c r="B2297" s="3" t="str">
        <f>HYPERLINK("https://otsuka-europe-crm.veevavault.com/ui/#object/approved_document__v/V5OZ025E82TFUPI", "Spain - HCP Survey Email - June 2025")</f>
        <v>Spain - HCP Survey Email - June 2025</v>
      </c>
      <c r="C2297" s="3" t="str">
        <f>HYPERLINK("https://otsuka-europe-crm.veevavault.com/ui/#object/sent_email__v/VBLZ025E82GMZEA", "SE-000269396")</f>
        <v>SE-000269396</v>
      </c>
      <c r="D2297" s="1" t="s">
        <v>0</v>
      </c>
      <c r="E2297" s="2">
        <v>0</v>
      </c>
      <c r="F2297" s="2">
        <v>0</v>
      </c>
      <c r="G2297" s="2">
        <v>0</v>
      </c>
      <c r="H2297" s="1" t="s">
        <v>0</v>
      </c>
      <c r="I2297" s="2">
        <v>0</v>
      </c>
      <c r="J2297" s="1">
        <v>45915.377569444441</v>
      </c>
    </row>
    <row r="2298" spans="1:10" x14ac:dyDescent="0.2">
      <c r="A2298" s="4" t="s">
        <v>1</v>
      </c>
      <c r="B2298" s="3" t="str">
        <f>HYPERLINK("https://otsuka-europe-crm.veevavault.com/ui/#object/approved_document__v/V5OZ025E82TFUPI", "Spain - HCP Survey Email - June 2025")</f>
        <v>Spain - HCP Survey Email - June 2025</v>
      </c>
      <c r="C2298" s="3" t="str">
        <f>HYPERLINK("https://otsuka-europe-crm.veevavault.com/ui/#object/sent_email__v/VBLZ025E82GMZEB", "SE-000269397")</f>
        <v>SE-000269397</v>
      </c>
      <c r="D2298" s="1">
        <v>45917.618854166663</v>
      </c>
      <c r="E2298" s="2">
        <v>1</v>
      </c>
      <c r="F2298" s="2">
        <v>2</v>
      </c>
      <c r="G2298" s="2">
        <v>0</v>
      </c>
      <c r="H2298" s="1" t="s">
        <v>0</v>
      </c>
      <c r="I2298" s="2">
        <v>0</v>
      </c>
      <c r="J2298" s="1">
        <v>45915.378020833334</v>
      </c>
    </row>
    <row r="2299" spans="1:10" x14ac:dyDescent="0.2">
      <c r="A2299" s="4" t="s">
        <v>1</v>
      </c>
      <c r="B2299" s="3" t="str">
        <f>HYPERLINK("https://otsuka-europe-crm.veevavault.com/ui/#object/approved_document__v/V5OZ025E82TFUPI", "Spain - HCP Survey Email - June 2025")</f>
        <v>Spain - HCP Survey Email - June 2025</v>
      </c>
      <c r="C2299" s="3" t="str">
        <f>HYPERLINK("https://otsuka-europe-crm.veevavault.com/ui/#object/sent_email__v/VBLZ025E82GMZEC", "SE-000269398")</f>
        <v>SE-000269398</v>
      </c>
      <c r="D2299" s="1" t="s">
        <v>0</v>
      </c>
      <c r="E2299" s="2">
        <v>0</v>
      </c>
      <c r="F2299" s="2">
        <v>0</v>
      </c>
      <c r="G2299" s="2">
        <v>0</v>
      </c>
      <c r="H2299" s="1" t="s">
        <v>0</v>
      </c>
      <c r="I2299" s="2">
        <v>0</v>
      </c>
      <c r="J2299" s="1">
        <v>45915.379050925927</v>
      </c>
    </row>
    <row r="2300" spans="1:10" x14ac:dyDescent="0.2">
      <c r="A2300" s="4" t="s">
        <v>1</v>
      </c>
      <c r="B2300" s="3" t="str">
        <f>HYPERLINK("https://otsuka-europe-crm.veevavault.com/ui/#object/approved_document__v/V5OZ025E82TFUPI", "Spain - HCP Survey Email - June 2025")</f>
        <v>Spain - HCP Survey Email - June 2025</v>
      </c>
      <c r="C2300" s="3" t="str">
        <f>HYPERLINK("https://otsuka-europe-crm.veevavault.com/ui/#object/sent_email__v/VBLZ025E82GMZED", "SE-000269399")</f>
        <v>SE-000269399</v>
      </c>
      <c r="D2300" s="1">
        <v>45915.901064814818</v>
      </c>
      <c r="E2300" s="2">
        <v>1</v>
      </c>
      <c r="F2300" s="2">
        <v>1</v>
      </c>
      <c r="G2300" s="2">
        <v>0</v>
      </c>
      <c r="H2300" s="1" t="s">
        <v>0</v>
      </c>
      <c r="I2300" s="2">
        <v>0</v>
      </c>
      <c r="J2300" s="1">
        <v>45915.379710648151</v>
      </c>
    </row>
    <row r="2301" spans="1:10" x14ac:dyDescent="0.2">
      <c r="A2301" s="4" t="s">
        <v>1</v>
      </c>
      <c r="B2301" s="3" t="str">
        <f>HYPERLINK("https://otsuka-europe-crm.veevavault.com/ui/#object/approved_document__v/V5OZ025E82TFUPI", "Spain - HCP Survey Email - June 2025")</f>
        <v>Spain - HCP Survey Email - June 2025</v>
      </c>
      <c r="C2301" s="3" t="str">
        <f>HYPERLINK("https://otsuka-europe-crm.veevavault.com/ui/#object/sent_email__v/VBLZ025E82GMZEE", "SE-000269400")</f>
        <v>SE-000269400</v>
      </c>
      <c r="D2301" s="1" t="s">
        <v>0</v>
      </c>
      <c r="E2301" s="2">
        <v>0</v>
      </c>
      <c r="F2301" s="2">
        <v>0</v>
      </c>
      <c r="G2301" s="2">
        <v>0</v>
      </c>
      <c r="H2301" s="1" t="s">
        <v>0</v>
      </c>
      <c r="I2301" s="2">
        <v>0</v>
      </c>
      <c r="J2301" s="1">
        <v>45915.379328703704</v>
      </c>
    </row>
    <row r="2302" spans="1:10" x14ac:dyDescent="0.2">
      <c r="A2302" s="4" t="s">
        <v>1</v>
      </c>
      <c r="B2302" s="3" t="str">
        <f>HYPERLINK("https://otsuka-europe-crm.veevavault.com/ui/#object/approved_document__v/V5OZ025E82TFUPI", "Spain - HCP Survey Email - June 2025")</f>
        <v>Spain - HCP Survey Email - June 2025</v>
      </c>
      <c r="C2302" s="3" t="str">
        <f>HYPERLINK("https://otsuka-europe-crm.veevavault.com/ui/#object/sent_email__v/VBLZ025E82GMZEF", "SE-000269401")</f>
        <v>SE-000269401</v>
      </c>
      <c r="D2302" s="1">
        <v>45917.633159722223</v>
      </c>
      <c r="E2302" s="2">
        <v>1</v>
      </c>
      <c r="F2302" s="2">
        <v>1</v>
      </c>
      <c r="G2302" s="2">
        <v>0</v>
      </c>
      <c r="H2302" s="1" t="s">
        <v>0</v>
      </c>
      <c r="I2302" s="2">
        <v>0</v>
      </c>
      <c r="J2302" s="1">
        <v>45915.377476851849</v>
      </c>
    </row>
    <row r="2303" spans="1:10" x14ac:dyDescent="0.2">
      <c r="A2303" s="4" t="s">
        <v>1</v>
      </c>
      <c r="B2303" s="3" t="str">
        <f>HYPERLINK("https://otsuka-europe-crm.veevavault.com/ui/#object/approved_document__v/V5OZ025E82TFUPI", "Spain - HCP Survey Email - June 2025")</f>
        <v>Spain - HCP Survey Email - June 2025</v>
      </c>
      <c r="C2303" s="3" t="str">
        <f>HYPERLINK("https://otsuka-europe-crm.veevavault.com/ui/#object/sent_email__v/VBLZ025E82GMZEG", "SE-000269402")</f>
        <v>SE-000269402</v>
      </c>
      <c r="D2303" s="1" t="s">
        <v>0</v>
      </c>
      <c r="E2303" s="2">
        <v>0</v>
      </c>
      <c r="F2303" s="2">
        <v>0</v>
      </c>
      <c r="G2303" s="2">
        <v>0</v>
      </c>
      <c r="H2303" s="1" t="s">
        <v>0</v>
      </c>
      <c r="I2303" s="2">
        <v>0</v>
      </c>
      <c r="J2303" s="1">
        <v>45915.378368055557</v>
      </c>
    </row>
    <row r="2304" spans="1:10" x14ac:dyDescent="0.2">
      <c r="A2304" s="4" t="s">
        <v>1</v>
      </c>
      <c r="B2304" s="3" t="str">
        <f>HYPERLINK("https://otsuka-europe-crm.veevavault.com/ui/#object/approved_document__v/V5OZ025E82TFUPI", "Spain - HCP Survey Email - June 2025")</f>
        <v>Spain - HCP Survey Email - June 2025</v>
      </c>
      <c r="C2304" s="3" t="str">
        <f>HYPERLINK("https://otsuka-europe-crm.veevavault.com/ui/#object/sent_email__v/VBLZ025E82GMZEH", "SE-000269403")</f>
        <v>SE-000269403</v>
      </c>
      <c r="D2304" s="1">
        <v>45915.398796296293</v>
      </c>
      <c r="E2304" s="2">
        <v>1</v>
      </c>
      <c r="F2304" s="2">
        <v>1</v>
      </c>
      <c r="G2304" s="2">
        <v>0</v>
      </c>
      <c r="H2304" s="1" t="s">
        <v>0</v>
      </c>
      <c r="I2304" s="2">
        <v>0</v>
      </c>
      <c r="J2304" s="1">
        <v>45915.378819444442</v>
      </c>
    </row>
    <row r="2305" spans="1:10" x14ac:dyDescent="0.2">
      <c r="A2305" s="4" t="s">
        <v>1</v>
      </c>
      <c r="B2305" s="3" t="str">
        <f>HYPERLINK("https://otsuka-europe-crm.veevavault.com/ui/#object/approved_document__v/V5OZ025E82TFUPI", "Spain - HCP Survey Email - June 2025")</f>
        <v>Spain - HCP Survey Email - June 2025</v>
      </c>
      <c r="C2305" s="3" t="str">
        <f>HYPERLINK("https://otsuka-europe-crm.veevavault.com/ui/#object/sent_email__v/VBLZ025E82GMZEI", "SE-000269404")</f>
        <v>SE-000269404</v>
      </c>
      <c r="D2305" s="1" t="s">
        <v>0</v>
      </c>
      <c r="E2305" s="2">
        <v>0</v>
      </c>
      <c r="F2305" s="2">
        <v>0</v>
      </c>
      <c r="G2305" s="2">
        <v>0</v>
      </c>
      <c r="H2305" s="1" t="s">
        <v>0</v>
      </c>
      <c r="I2305" s="2">
        <v>0</v>
      </c>
      <c r="J2305" s="1">
        <v>45915.378750000003</v>
      </c>
    </row>
    <row r="2306" spans="1:10" x14ac:dyDescent="0.2">
      <c r="A2306" s="4" t="s">
        <v>1</v>
      </c>
      <c r="B2306" s="3" t="str">
        <f>HYPERLINK("https://otsuka-europe-crm.veevavault.com/ui/#object/approved_document__v/V5OZ025E82TFUPI", "Spain - HCP Survey Email - June 2025")</f>
        <v>Spain - HCP Survey Email - June 2025</v>
      </c>
      <c r="C2306" s="3" t="str">
        <f>HYPERLINK("https://otsuka-europe-crm.veevavault.com/ui/#object/sent_email__v/VBLZ025E82GMZEJ", "SE-000269405")</f>
        <v>SE-000269405</v>
      </c>
      <c r="D2306" s="1" t="s">
        <v>0</v>
      </c>
      <c r="E2306" s="2">
        <v>0</v>
      </c>
      <c r="F2306" s="2">
        <v>0</v>
      </c>
      <c r="G2306" s="2">
        <v>0</v>
      </c>
      <c r="H2306" s="1" t="s">
        <v>0</v>
      </c>
      <c r="I2306" s="2">
        <v>0</v>
      </c>
      <c r="J2306" s="1">
        <v>45915.379988425928</v>
      </c>
    </row>
    <row r="2307" spans="1:10" x14ac:dyDescent="0.2">
      <c r="A2307" s="4" t="s">
        <v>1</v>
      </c>
      <c r="B2307" s="3" t="str">
        <f>HYPERLINK("https://otsuka-europe-crm.veevavault.com/ui/#object/approved_document__v/V5OZ025E82TFUPI", "Spain - HCP Survey Email - June 2025")</f>
        <v>Spain - HCP Survey Email - June 2025</v>
      </c>
      <c r="C2307" s="3" t="str">
        <f>HYPERLINK("https://otsuka-europe-crm.veevavault.com/ui/#object/sent_email__v/VBLZ025E82GMZEK", "SE-000269406")</f>
        <v>SE-000269406</v>
      </c>
      <c r="D2307" s="1">
        <v>45915.602361111109</v>
      </c>
      <c r="E2307" s="2">
        <v>1</v>
      </c>
      <c r="F2307" s="2">
        <v>1</v>
      </c>
      <c r="G2307" s="2">
        <v>0</v>
      </c>
      <c r="H2307" s="1" t="s">
        <v>0</v>
      </c>
      <c r="I2307" s="2">
        <v>0</v>
      </c>
      <c r="J2307" s="1">
        <v>45915.377708333333</v>
      </c>
    </row>
    <row r="2308" spans="1:10" x14ac:dyDescent="0.2">
      <c r="A2308" s="4" t="s">
        <v>1</v>
      </c>
      <c r="B2308" s="3" t="str">
        <f>HYPERLINK("https://otsuka-europe-crm.veevavault.com/ui/#object/approved_document__v/V5OZ025E82TFUPI", "Spain - HCP Survey Email - June 2025")</f>
        <v>Spain - HCP Survey Email - June 2025</v>
      </c>
      <c r="C2308" s="3" t="str">
        <f>HYPERLINK("https://otsuka-europe-crm.veevavault.com/ui/#object/sent_email__v/VBLZ025E82GMZEL", "SE-000269407")</f>
        <v>SE-000269407</v>
      </c>
      <c r="D2308" s="1" t="s">
        <v>0</v>
      </c>
      <c r="E2308" s="2">
        <v>0</v>
      </c>
      <c r="F2308" s="2">
        <v>0</v>
      </c>
      <c r="G2308" s="2">
        <v>0</v>
      </c>
      <c r="H2308" s="1" t="s">
        <v>0</v>
      </c>
      <c r="I2308" s="2">
        <v>0</v>
      </c>
      <c r="J2308" s="1">
        <v>45915.377569444441</v>
      </c>
    </row>
    <row r="2309" spans="1:10" x14ac:dyDescent="0.2">
      <c r="A2309" s="4" t="s">
        <v>1</v>
      </c>
      <c r="B2309" s="3" t="str">
        <f>HYPERLINK("https://otsuka-europe-crm.veevavault.com/ui/#object/approved_document__v/V5OZ025E82TFUPI", "Spain - HCP Survey Email - June 2025")</f>
        <v>Spain - HCP Survey Email - June 2025</v>
      </c>
      <c r="C2309" s="3" t="str">
        <f>HYPERLINK("https://otsuka-europe-crm.veevavault.com/ui/#object/sent_email__v/VBLZ025E82GMZEM", "SE-000269408")</f>
        <v>SE-000269408</v>
      </c>
      <c r="D2309" s="1" t="s">
        <v>0</v>
      </c>
      <c r="E2309" s="2">
        <v>0</v>
      </c>
      <c r="F2309" s="2">
        <v>0</v>
      </c>
      <c r="G2309" s="2">
        <v>0</v>
      </c>
      <c r="H2309" s="1" t="s">
        <v>0</v>
      </c>
      <c r="I2309" s="2">
        <v>0</v>
      </c>
      <c r="J2309" s="1">
        <v>45915.378182870372</v>
      </c>
    </row>
    <row r="2310" spans="1:10" x14ac:dyDescent="0.2">
      <c r="A2310" s="4" t="s">
        <v>1</v>
      </c>
      <c r="B2310" s="3" t="str">
        <f>HYPERLINK("https://otsuka-europe-crm.veevavault.com/ui/#object/approved_document__v/V5OZ025E82TFUPI", "Spain - HCP Survey Email - June 2025")</f>
        <v>Spain - HCP Survey Email - June 2025</v>
      </c>
      <c r="C2310" s="3" t="str">
        <f>HYPERLINK("https://otsuka-europe-crm.veevavault.com/ui/#object/sent_email__v/VBLZ025E82GMZEN", "SE-000269409")</f>
        <v>SE-000269409</v>
      </c>
      <c r="D2310" s="1" t="s">
        <v>0</v>
      </c>
      <c r="E2310" s="2">
        <v>0</v>
      </c>
      <c r="F2310" s="2">
        <v>0</v>
      </c>
      <c r="G2310" s="2">
        <v>0</v>
      </c>
      <c r="H2310" s="1" t="s">
        <v>0</v>
      </c>
      <c r="I2310" s="2">
        <v>0</v>
      </c>
      <c r="J2310" s="1">
        <v>45915.37903935185</v>
      </c>
    </row>
    <row r="2311" spans="1:10" x14ac:dyDescent="0.2">
      <c r="A2311" s="4" t="s">
        <v>1</v>
      </c>
      <c r="B2311" s="3" t="str">
        <f>HYPERLINK("https://otsuka-europe-crm.veevavault.com/ui/#object/approved_document__v/V5OZ025E82TFUPI", "Spain - HCP Survey Email - June 2025")</f>
        <v>Spain - HCP Survey Email - June 2025</v>
      </c>
      <c r="C2311" s="3" t="str">
        <f>HYPERLINK("https://otsuka-europe-crm.veevavault.com/ui/#object/sent_email__v/VBLZ025E82GMZEO", "SE-000269410")</f>
        <v>SE-000269410</v>
      </c>
      <c r="D2311" s="1" t="s">
        <v>0</v>
      </c>
      <c r="E2311" s="2">
        <v>0</v>
      </c>
      <c r="F2311" s="2">
        <v>0</v>
      </c>
      <c r="G2311" s="2">
        <v>0</v>
      </c>
      <c r="H2311" s="1" t="s">
        <v>0</v>
      </c>
      <c r="I2311" s="2">
        <v>0</v>
      </c>
      <c r="J2311" s="1">
        <v>45915.379699074074</v>
      </c>
    </row>
    <row r="2312" spans="1:10" x14ac:dyDescent="0.2">
      <c r="A2312" s="4" t="s">
        <v>1</v>
      </c>
      <c r="B2312" s="3" t="str">
        <f>HYPERLINK("https://otsuka-europe-crm.veevavault.com/ui/#object/approved_document__v/V5OZ025E82TFUPI", "Spain - HCP Survey Email - June 2025")</f>
        <v>Spain - HCP Survey Email - June 2025</v>
      </c>
      <c r="C2312" s="3" t="str">
        <f>HYPERLINK("https://otsuka-europe-crm.veevavault.com/ui/#object/sent_email__v/VBLZ025E82GMZEP", "SE-000269411")</f>
        <v>SE-000269411</v>
      </c>
      <c r="D2312" s="1" t="s">
        <v>0</v>
      </c>
      <c r="E2312" s="2">
        <v>0</v>
      </c>
      <c r="F2312" s="2">
        <v>0</v>
      </c>
      <c r="G2312" s="2">
        <v>0</v>
      </c>
      <c r="H2312" s="1" t="s">
        <v>0</v>
      </c>
      <c r="I2312" s="2">
        <v>0</v>
      </c>
      <c r="J2312" s="1">
        <v>45915.379212962966</v>
      </c>
    </row>
    <row r="2313" spans="1:10" x14ac:dyDescent="0.2">
      <c r="A2313" s="4" t="s">
        <v>1</v>
      </c>
      <c r="B2313" s="3" t="str">
        <f>HYPERLINK("https://otsuka-europe-crm.veevavault.com/ui/#object/approved_document__v/V5OZ025E82TFUPI", "Spain - HCP Survey Email - June 2025")</f>
        <v>Spain - HCP Survey Email - June 2025</v>
      </c>
      <c r="C2313" s="3" t="str">
        <f>HYPERLINK("https://otsuka-europe-crm.veevavault.com/ui/#object/sent_email__v/VBLZ025E82GMZEQ", "SE-000269412")</f>
        <v>SE-000269412</v>
      </c>
      <c r="D2313" s="1">
        <v>45915.39472222222</v>
      </c>
      <c r="E2313" s="2">
        <v>1</v>
      </c>
      <c r="F2313" s="2">
        <v>2</v>
      </c>
      <c r="G2313" s="2">
        <v>0</v>
      </c>
      <c r="H2313" s="1" t="s">
        <v>0</v>
      </c>
      <c r="I2313" s="2">
        <v>0</v>
      </c>
      <c r="J2313" s="1">
        <v>45915.377430555556</v>
      </c>
    </row>
    <row r="2314" spans="1:10" x14ac:dyDescent="0.2">
      <c r="A2314" s="4" t="s">
        <v>1</v>
      </c>
      <c r="B2314" s="3" t="str">
        <f>HYPERLINK("https://otsuka-europe-crm.veevavault.com/ui/#object/approved_document__v/V5OZ025E82TFUPI", "Spain - HCP Survey Email - June 2025")</f>
        <v>Spain - HCP Survey Email - June 2025</v>
      </c>
      <c r="C2314" s="3" t="str">
        <f>HYPERLINK("https://otsuka-europe-crm.veevavault.com/ui/#object/sent_email__v/VBLZ025E82GMZER", "SE-000269413")</f>
        <v>SE-000269413</v>
      </c>
      <c r="D2314" s="1" t="s">
        <v>0</v>
      </c>
      <c r="E2314" s="2">
        <v>0</v>
      </c>
      <c r="F2314" s="2">
        <v>0</v>
      </c>
      <c r="G2314" s="2">
        <v>0</v>
      </c>
      <c r="H2314" s="1" t="s">
        <v>0</v>
      </c>
      <c r="I2314" s="2">
        <v>0</v>
      </c>
      <c r="J2314" s="1">
        <v>45915.378553240742</v>
      </c>
    </row>
    <row r="2315" spans="1:10" x14ac:dyDescent="0.2">
      <c r="A2315" s="4" t="s">
        <v>1</v>
      </c>
      <c r="B2315" s="3" t="str">
        <f>HYPERLINK("https://otsuka-europe-crm.veevavault.com/ui/#object/approved_document__v/V5OZ025E82TFUPI", "Spain - HCP Survey Email - June 2025")</f>
        <v>Spain - HCP Survey Email - June 2025</v>
      </c>
      <c r="C2315" s="3" t="str">
        <f>HYPERLINK("https://otsuka-europe-crm.veevavault.com/ui/#object/sent_email__v/VBLZ025E82GMZES", "SE-000269414")</f>
        <v>SE-000269414</v>
      </c>
      <c r="D2315" s="1" t="s">
        <v>0</v>
      </c>
      <c r="E2315" s="2">
        <v>0</v>
      </c>
      <c r="F2315" s="2">
        <v>0</v>
      </c>
      <c r="G2315" s="2">
        <v>0</v>
      </c>
      <c r="H2315" s="1" t="s">
        <v>0</v>
      </c>
      <c r="I2315" s="2">
        <v>0</v>
      </c>
      <c r="J2315" s="1">
        <v>45915.378819444442</v>
      </c>
    </row>
    <row r="2316" spans="1:10" x14ac:dyDescent="0.2">
      <c r="A2316" s="4" t="s">
        <v>1</v>
      </c>
      <c r="B2316" s="3" t="str">
        <f>HYPERLINK("https://otsuka-europe-crm.veevavault.com/ui/#object/approved_document__v/V5OZ025E82TFUPI", "Spain - HCP Survey Email - June 2025")</f>
        <v>Spain - HCP Survey Email - June 2025</v>
      </c>
      <c r="C2316" s="3" t="str">
        <f>HYPERLINK("https://otsuka-europe-crm.veevavault.com/ui/#object/sent_email__v/VBLZ025E82GMZET", "SE-000269415")</f>
        <v>SE-000269415</v>
      </c>
      <c r="D2316" s="1">
        <v>45957.718981481485</v>
      </c>
      <c r="E2316" s="2">
        <v>1</v>
      </c>
      <c r="F2316" s="2">
        <v>2</v>
      </c>
      <c r="G2316" s="2">
        <v>0</v>
      </c>
      <c r="H2316" s="1" t="s">
        <v>0</v>
      </c>
      <c r="I2316" s="2">
        <v>0</v>
      </c>
      <c r="J2316" s="1">
        <v>45915.37871527778</v>
      </c>
    </row>
    <row r="2317" spans="1:10" x14ac:dyDescent="0.2">
      <c r="A2317" s="4" t="s">
        <v>1</v>
      </c>
      <c r="B2317" s="3" t="str">
        <f>HYPERLINK("https://otsuka-europe-crm.veevavault.com/ui/#object/approved_document__v/V5OZ025E82TFUPI", "Spain - HCP Survey Email - June 2025")</f>
        <v>Spain - HCP Survey Email - June 2025</v>
      </c>
      <c r="C2317" s="3" t="str">
        <f>HYPERLINK("https://otsuka-europe-crm.veevavault.com/ui/#object/sent_email__v/VBLZ025E82GMZEU", "SE-000269416")</f>
        <v>SE-000269416</v>
      </c>
      <c r="D2317" s="1">
        <v>45932.793020833335</v>
      </c>
      <c r="E2317" s="2">
        <v>1</v>
      </c>
      <c r="F2317" s="2">
        <v>2</v>
      </c>
      <c r="G2317" s="2">
        <v>1</v>
      </c>
      <c r="H2317" s="1">
        <v>45932.793194444443</v>
      </c>
      <c r="I2317" s="2">
        <v>1</v>
      </c>
      <c r="J2317" s="1">
        <v>45915.379803240743</v>
      </c>
    </row>
    <row r="2318" spans="1:10" x14ac:dyDescent="0.2">
      <c r="A2318" s="4" t="s">
        <v>1</v>
      </c>
      <c r="B2318" s="3" t="str">
        <f>HYPERLINK("https://otsuka-europe-crm.veevavault.com/ui/#object/approved_document__v/V5OZ025E82TFUPI", "Spain - HCP Survey Email - June 2025")</f>
        <v>Spain - HCP Survey Email - June 2025</v>
      </c>
      <c r="C2318" s="3" t="str">
        <f>HYPERLINK("https://otsuka-europe-crm.veevavault.com/ui/#object/sent_email__v/VBLZ025E82GMZEV", "SE-000269417")</f>
        <v>SE-000269417</v>
      </c>
      <c r="D2318" s="1" t="s">
        <v>0</v>
      </c>
      <c r="E2318" s="2">
        <v>0</v>
      </c>
      <c r="F2318" s="2">
        <v>0</v>
      </c>
      <c r="G2318" s="2">
        <v>0</v>
      </c>
      <c r="H2318" s="1" t="s">
        <v>0</v>
      </c>
      <c r="I2318" s="2">
        <v>0</v>
      </c>
      <c r="J2318" s="1">
        <v>45915.377708333333</v>
      </c>
    </row>
    <row r="2319" spans="1:10" x14ac:dyDescent="0.2">
      <c r="A2319" s="4" t="s">
        <v>1</v>
      </c>
      <c r="B2319" s="3" t="str">
        <f>HYPERLINK("https://otsuka-europe-crm.veevavault.com/ui/#object/approved_document__v/V5OZ025E82TFUPI", "Spain - HCP Survey Email - June 2025")</f>
        <v>Spain - HCP Survey Email - June 2025</v>
      </c>
      <c r="C2319" s="3" t="str">
        <f>HYPERLINK("https://otsuka-europe-crm.veevavault.com/ui/#object/sent_email__v/VBLZ025E82GMZEW", "SE-000269418")</f>
        <v>SE-000269418</v>
      </c>
      <c r="D2319" s="1" t="s">
        <v>0</v>
      </c>
      <c r="E2319" s="2">
        <v>0</v>
      </c>
      <c r="F2319" s="2">
        <v>0</v>
      </c>
      <c r="G2319" s="2">
        <v>0</v>
      </c>
      <c r="H2319" s="1" t="s">
        <v>0</v>
      </c>
      <c r="I2319" s="2">
        <v>0</v>
      </c>
      <c r="J2319" s="1">
        <v>45915.377615740741</v>
      </c>
    </row>
    <row r="2320" spans="1:10" x14ac:dyDescent="0.2">
      <c r="A2320" s="4" t="s">
        <v>1</v>
      </c>
      <c r="B2320" s="3" t="str">
        <f>HYPERLINK("https://otsuka-europe-crm.veevavault.com/ui/#object/approved_document__v/V5OZ025E82TFUPI", "Spain - HCP Survey Email - June 2025")</f>
        <v>Spain - HCP Survey Email - June 2025</v>
      </c>
      <c r="C2320" s="3" t="str">
        <f>HYPERLINK("https://otsuka-europe-crm.veevavault.com/ui/#object/sent_email__v/VBLZ025E82GMZEX", "SE-000269419")</f>
        <v>SE-000269419</v>
      </c>
      <c r="D2320" s="1" t="s">
        <v>0</v>
      </c>
      <c r="E2320" s="2">
        <v>0</v>
      </c>
      <c r="F2320" s="2">
        <v>0</v>
      </c>
      <c r="G2320" s="2">
        <v>0</v>
      </c>
      <c r="H2320" s="1" t="s">
        <v>0</v>
      </c>
      <c r="I2320" s="2">
        <v>0</v>
      </c>
      <c r="J2320" s="1">
        <v>45915.378009259257</v>
      </c>
    </row>
    <row r="2321" spans="1:10" x14ac:dyDescent="0.2">
      <c r="A2321" s="4" t="s">
        <v>1</v>
      </c>
      <c r="B2321" s="3" t="str">
        <f>HYPERLINK("https://otsuka-europe-crm.veevavault.com/ui/#object/approved_document__v/V5OZ025E82TFUPI", "Spain - HCP Survey Email - June 2025")</f>
        <v>Spain - HCP Survey Email - June 2025</v>
      </c>
      <c r="C2321" s="3" t="str">
        <f>HYPERLINK("https://otsuka-europe-crm.veevavault.com/ui/#object/sent_email__v/VBLZ025E82GMZEY", "SE-000269420")</f>
        <v>SE-000269420</v>
      </c>
      <c r="D2321" s="1" t="s">
        <v>0</v>
      </c>
      <c r="E2321" s="2">
        <v>0</v>
      </c>
      <c r="F2321" s="2">
        <v>0</v>
      </c>
      <c r="G2321" s="2">
        <v>0</v>
      </c>
      <c r="H2321" s="1" t="s">
        <v>0</v>
      </c>
      <c r="I2321" s="2">
        <v>0</v>
      </c>
      <c r="J2321" s="1">
        <v>45915.379143518519</v>
      </c>
    </row>
    <row r="2322" spans="1:10" x14ac:dyDescent="0.2">
      <c r="A2322" s="4" t="s">
        <v>1</v>
      </c>
      <c r="B2322" s="3" t="str">
        <f>HYPERLINK("https://otsuka-europe-crm.veevavault.com/ui/#object/approved_document__v/V5OZ025E82TFUPI", "Spain - HCP Survey Email - June 2025")</f>
        <v>Spain - HCP Survey Email - June 2025</v>
      </c>
      <c r="C2322" s="3" t="str">
        <f>HYPERLINK("https://otsuka-europe-crm.veevavault.com/ui/#object/sent_email__v/VBLZ025E82GMZEZ", "SE-000269421")</f>
        <v>SE-000269421</v>
      </c>
      <c r="D2322" s="1">
        <v>45915.408113425925</v>
      </c>
      <c r="E2322" s="2">
        <v>1</v>
      </c>
      <c r="F2322" s="2">
        <v>2</v>
      </c>
      <c r="G2322" s="2">
        <v>0</v>
      </c>
      <c r="H2322" s="1" t="s">
        <v>0</v>
      </c>
      <c r="I2322" s="2">
        <v>0</v>
      </c>
      <c r="J2322" s="1">
        <v>45915.379513888889</v>
      </c>
    </row>
    <row r="2323" spans="1:10" x14ac:dyDescent="0.2">
      <c r="A2323" s="4" t="s">
        <v>1</v>
      </c>
      <c r="B2323" s="3" t="str">
        <f>HYPERLINK("https://otsuka-europe-crm.veevavault.com/ui/#object/approved_document__v/V5OZ025E82TFUPI", "Spain - HCP Survey Email - June 2025")</f>
        <v>Spain - HCP Survey Email - June 2025</v>
      </c>
      <c r="C2323" s="3" t="str">
        <f>HYPERLINK("https://otsuka-europe-crm.veevavault.com/ui/#object/sent_email__v/VBLZ025E82GMZF0", "SE-000269422")</f>
        <v>SE-000269422</v>
      </c>
      <c r="D2323" s="1" t="s">
        <v>0</v>
      </c>
      <c r="E2323" s="2">
        <v>0</v>
      </c>
      <c r="F2323" s="2">
        <v>0</v>
      </c>
      <c r="G2323" s="2">
        <v>0</v>
      </c>
      <c r="H2323" s="1" t="s">
        <v>0</v>
      </c>
      <c r="I2323" s="2">
        <v>0</v>
      </c>
      <c r="J2323" s="1">
        <v>45915.37771990741</v>
      </c>
    </row>
    <row r="2324" spans="1:10" x14ac:dyDescent="0.2">
      <c r="A2324" s="4" t="s">
        <v>1</v>
      </c>
      <c r="B2324" s="3" t="str">
        <f>HYPERLINK("https://otsuka-europe-crm.veevavault.com/ui/#object/approved_document__v/V5OZ025E82TFUPI", "Spain - HCP Survey Email - June 2025")</f>
        <v>Spain - HCP Survey Email - June 2025</v>
      </c>
      <c r="C2324" s="3" t="str">
        <f>HYPERLINK("https://otsuka-europe-crm.veevavault.com/ui/#object/sent_email__v/VBLZ025E82GMZF1", "SE-000269423")</f>
        <v>SE-000269423</v>
      </c>
      <c r="D2324" s="1" t="s">
        <v>0</v>
      </c>
      <c r="E2324" s="2">
        <v>0</v>
      </c>
      <c r="F2324" s="2">
        <v>0</v>
      </c>
      <c r="G2324" s="2">
        <v>0</v>
      </c>
      <c r="H2324" s="1" t="s">
        <v>0</v>
      </c>
      <c r="I2324" s="2">
        <v>0</v>
      </c>
      <c r="J2324" s="1">
        <v>45915.377581018518</v>
      </c>
    </row>
    <row r="2325" spans="1:10" x14ac:dyDescent="0.2">
      <c r="A2325" s="4" t="s">
        <v>1</v>
      </c>
      <c r="B2325" s="3" t="str">
        <f>HYPERLINK("https://otsuka-europe-crm.veevavault.com/ui/#object/approved_document__v/V5OZ025E82TFUPI", "Spain - HCP Survey Email - June 2025")</f>
        <v>Spain - HCP Survey Email - June 2025</v>
      </c>
      <c r="C2325" s="3" t="str">
        <f>HYPERLINK("https://otsuka-europe-crm.veevavault.com/ui/#object/sent_email__v/VBLZ025E82GMZF2", "SE-000269424")</f>
        <v>SE-000269424</v>
      </c>
      <c r="D2325" s="1" t="s">
        <v>0</v>
      </c>
      <c r="E2325" s="2">
        <v>0</v>
      </c>
      <c r="F2325" s="2">
        <v>0</v>
      </c>
      <c r="G2325" s="2">
        <v>0</v>
      </c>
      <c r="H2325" s="1" t="s">
        <v>0</v>
      </c>
      <c r="I2325" s="2">
        <v>0</v>
      </c>
      <c r="J2325" s="1">
        <v>45915.377951388888</v>
      </c>
    </row>
    <row r="2326" spans="1:10" x14ac:dyDescent="0.2">
      <c r="A2326" s="4" t="s">
        <v>1</v>
      </c>
      <c r="B2326" s="3" t="str">
        <f>HYPERLINK("https://otsuka-europe-crm.veevavault.com/ui/#object/approved_document__v/V5OZ025E82TFUPI", "Spain - HCP Survey Email - June 2025")</f>
        <v>Spain - HCP Survey Email - June 2025</v>
      </c>
      <c r="C2326" s="3" t="str">
        <f>HYPERLINK("https://otsuka-europe-crm.veevavault.com/ui/#object/sent_email__v/VBLZ025E82GMZF3", "SE-000269425")</f>
        <v>SE-000269425</v>
      </c>
      <c r="D2326" s="1">
        <v>45915.483587962961</v>
      </c>
      <c r="E2326" s="2">
        <v>1</v>
      </c>
      <c r="F2326" s="2">
        <v>1</v>
      </c>
      <c r="G2326" s="2">
        <v>0</v>
      </c>
      <c r="H2326" s="1" t="s">
        <v>0</v>
      </c>
      <c r="I2326" s="2">
        <v>0</v>
      </c>
      <c r="J2326" s="1">
        <v>45915.378981481481</v>
      </c>
    </row>
    <row r="2327" spans="1:10" x14ac:dyDescent="0.2">
      <c r="A2327" s="4" t="s">
        <v>1</v>
      </c>
      <c r="B2327" s="3" t="str">
        <f>HYPERLINK("https://otsuka-europe-crm.veevavault.com/ui/#object/approved_document__v/V5OZ025E82TFUPI", "Spain - HCP Survey Email - June 2025")</f>
        <v>Spain - HCP Survey Email - June 2025</v>
      </c>
      <c r="C2327" s="3" t="str">
        <f>HYPERLINK("https://otsuka-europe-crm.veevavault.com/ui/#object/sent_email__v/VBLZ025E82GMZF4", "SE-000269426")</f>
        <v>SE-000269426</v>
      </c>
      <c r="D2327" s="1">
        <v>45917.786493055559</v>
      </c>
      <c r="E2327" s="2">
        <v>1</v>
      </c>
      <c r="F2327" s="2">
        <v>1</v>
      </c>
      <c r="G2327" s="2">
        <v>0</v>
      </c>
      <c r="H2327" s="1" t="s">
        <v>0</v>
      </c>
      <c r="I2327" s="2">
        <v>0</v>
      </c>
      <c r="J2327" s="1">
        <v>45915.379525462966</v>
      </c>
    </row>
    <row r="2328" spans="1:10" x14ac:dyDescent="0.2">
      <c r="A2328" s="4" t="s">
        <v>1</v>
      </c>
      <c r="B2328" s="3" t="str">
        <f>HYPERLINK("https://otsuka-europe-crm.veevavault.com/ui/#object/approved_document__v/V5OZ025E82TFUPI", "Spain - HCP Survey Email - June 2025")</f>
        <v>Spain - HCP Survey Email - June 2025</v>
      </c>
      <c r="C2328" s="3" t="str">
        <f>HYPERLINK("https://otsuka-europe-crm.veevavault.com/ui/#object/sent_email__v/VBLZ025E82GMZF5", "SE-000269427")</f>
        <v>SE-000269427</v>
      </c>
      <c r="D2328" s="1" t="s">
        <v>0</v>
      </c>
      <c r="E2328" s="2">
        <v>0</v>
      </c>
      <c r="F2328" s="2">
        <v>0</v>
      </c>
      <c r="G2328" s="2">
        <v>0</v>
      </c>
      <c r="H2328" s="1" t="s">
        <v>0</v>
      </c>
      <c r="I2328" s="2">
        <v>0</v>
      </c>
      <c r="J2328" s="1">
        <v>45915.37939814815</v>
      </c>
    </row>
    <row r="2329" spans="1:10" x14ac:dyDescent="0.2">
      <c r="A2329" s="4" t="s">
        <v>1</v>
      </c>
      <c r="B2329" s="3" t="str">
        <f>HYPERLINK("https://otsuka-europe-crm.veevavault.com/ui/#object/approved_document__v/V5OZ025E82TFUPI", "Spain - HCP Survey Email - June 2025")</f>
        <v>Spain - HCP Survey Email - June 2025</v>
      </c>
      <c r="C2329" s="3" t="str">
        <f>HYPERLINK("https://otsuka-europe-crm.veevavault.com/ui/#object/sent_email__v/VBLZ025E82GMZF6", "SE-000269428")</f>
        <v>SE-000269428</v>
      </c>
      <c r="D2329" s="1">
        <v>45948.747384259259</v>
      </c>
      <c r="E2329" s="2">
        <v>1</v>
      </c>
      <c r="F2329" s="2">
        <v>1</v>
      </c>
      <c r="G2329" s="2">
        <v>0</v>
      </c>
      <c r="H2329" s="1" t="s">
        <v>0</v>
      </c>
      <c r="I2329" s="2">
        <v>0</v>
      </c>
      <c r="J2329" s="1">
        <v>45915.37740740741</v>
      </c>
    </row>
    <row r="2330" spans="1:10" x14ac:dyDescent="0.2">
      <c r="A2330" s="4" t="s">
        <v>1</v>
      </c>
      <c r="B2330" s="3" t="str">
        <f>HYPERLINK("https://otsuka-europe-crm.veevavault.com/ui/#object/approved_document__v/V5OZ025E82TFUPI", "Spain - HCP Survey Email - June 2025")</f>
        <v>Spain - HCP Survey Email - June 2025</v>
      </c>
      <c r="C2330" s="3" t="str">
        <f>HYPERLINK("https://otsuka-europe-crm.veevavault.com/ui/#object/sent_email__v/VBLZ025E82GMZF7", "SE-000269429")</f>
        <v>SE-000269429</v>
      </c>
      <c r="D2330" s="1">
        <v>45915.617326388892</v>
      </c>
      <c r="E2330" s="2">
        <v>1</v>
      </c>
      <c r="F2330" s="2">
        <v>1</v>
      </c>
      <c r="G2330" s="2">
        <v>0</v>
      </c>
      <c r="H2330" s="1" t="s">
        <v>0</v>
      </c>
      <c r="I2330" s="2">
        <v>0</v>
      </c>
      <c r="J2330" s="1">
        <v>45915.378472222219</v>
      </c>
    </row>
    <row r="2331" spans="1:10" x14ac:dyDescent="0.2">
      <c r="A2331" s="4" t="s">
        <v>1</v>
      </c>
      <c r="B2331" s="3" t="str">
        <f>HYPERLINK("https://otsuka-europe-crm.veevavault.com/ui/#object/approved_document__v/V5OZ025E82TFUPI", "Spain - HCP Survey Email - June 2025")</f>
        <v>Spain - HCP Survey Email - June 2025</v>
      </c>
      <c r="C2331" s="3" t="str">
        <f>HYPERLINK("https://otsuka-europe-crm.veevavault.com/ui/#object/sent_email__v/VBLZ025E82GMZF8", "SE-000269430")</f>
        <v>SE-000269430</v>
      </c>
      <c r="D2331" s="1">
        <v>45915.871469907404</v>
      </c>
      <c r="E2331" s="2">
        <v>1</v>
      </c>
      <c r="F2331" s="2">
        <v>1</v>
      </c>
      <c r="G2331" s="2">
        <v>0</v>
      </c>
      <c r="H2331" s="1" t="s">
        <v>0</v>
      </c>
      <c r="I2331" s="2">
        <v>0</v>
      </c>
      <c r="J2331" s="1">
        <v>45915.378935185188</v>
      </c>
    </row>
    <row r="2332" spans="1:10" x14ac:dyDescent="0.2">
      <c r="A2332" s="4" t="s">
        <v>1</v>
      </c>
      <c r="B2332" s="3" t="str">
        <f>HYPERLINK("https://otsuka-europe-crm.veevavault.com/ui/#object/approved_document__v/V5OZ025E82TFUPI", "Spain - HCP Survey Email - June 2025")</f>
        <v>Spain - HCP Survey Email - June 2025</v>
      </c>
      <c r="C2332" s="3" t="str">
        <f>HYPERLINK("https://otsuka-europe-crm.veevavault.com/ui/#object/sent_email__v/VBLZ025E82GMZF9", "SE-000269431")</f>
        <v>SE-000269431</v>
      </c>
      <c r="D2332" s="1">
        <v>45921.776608796295</v>
      </c>
      <c r="E2332" s="2">
        <v>1</v>
      </c>
      <c r="F2332" s="2">
        <v>2</v>
      </c>
      <c r="G2332" s="2">
        <v>0</v>
      </c>
      <c r="H2332" s="1" t="s">
        <v>0</v>
      </c>
      <c r="I2332" s="2">
        <v>0</v>
      </c>
      <c r="J2332" s="1">
        <v>45915.37871527778</v>
      </c>
    </row>
    <row r="2333" spans="1:10" x14ac:dyDescent="0.2">
      <c r="A2333" s="4" t="s">
        <v>1</v>
      </c>
      <c r="B2333" s="3" t="str">
        <f>HYPERLINK("https://otsuka-europe-crm.veevavault.com/ui/#object/approved_document__v/V5OZ025E82TFUPI", "Spain - HCP Survey Email - June 2025")</f>
        <v>Spain - HCP Survey Email - June 2025</v>
      </c>
      <c r="C2333" s="3" t="str">
        <f>HYPERLINK("https://otsuka-europe-crm.veevavault.com/ui/#object/sent_email__v/VBLZ025E82GMZFA", "SE-000269432")</f>
        <v>SE-000269432</v>
      </c>
      <c r="D2333" s="1" t="s">
        <v>0</v>
      </c>
      <c r="E2333" s="2">
        <v>0</v>
      </c>
      <c r="F2333" s="2">
        <v>0</v>
      </c>
      <c r="G2333" s="2">
        <v>0</v>
      </c>
      <c r="H2333" s="1" t="s">
        <v>0</v>
      </c>
      <c r="I2333" s="2">
        <v>0</v>
      </c>
      <c r="J2333" s="1">
        <v>45915.379976851851</v>
      </c>
    </row>
    <row r="2334" spans="1:10" x14ac:dyDescent="0.2">
      <c r="A2334" s="4" t="s">
        <v>1</v>
      </c>
      <c r="B2334" s="3" t="str">
        <f>HYPERLINK("https://otsuka-europe-crm.veevavault.com/ui/#object/approved_document__v/V5OZ025E82TFUPI", "Spain - HCP Survey Email - June 2025")</f>
        <v>Spain - HCP Survey Email - June 2025</v>
      </c>
      <c r="C2334" s="3" t="str">
        <f>HYPERLINK("https://otsuka-europe-crm.veevavault.com/ui/#object/sent_email__v/VBLZ025E82GMZFB", "SE-000269433")</f>
        <v>SE-000269433</v>
      </c>
      <c r="D2334" s="1">
        <v>45915.383136574077</v>
      </c>
      <c r="E2334" s="2">
        <v>1</v>
      </c>
      <c r="F2334" s="2">
        <v>1</v>
      </c>
      <c r="G2334" s="2">
        <v>0</v>
      </c>
      <c r="H2334" s="1" t="s">
        <v>0</v>
      </c>
      <c r="I2334" s="2">
        <v>0</v>
      </c>
      <c r="J2334" s="1">
        <v>45915.37771990741</v>
      </c>
    </row>
    <row r="2335" spans="1:10" x14ac:dyDescent="0.2">
      <c r="A2335" s="4" t="s">
        <v>1</v>
      </c>
      <c r="B2335" s="3" t="str">
        <f>HYPERLINK("https://otsuka-europe-crm.veevavault.com/ui/#object/approved_document__v/V5OZ025E82TFUPI", "Spain - HCP Survey Email - June 2025")</f>
        <v>Spain - HCP Survey Email - June 2025</v>
      </c>
      <c r="C2335" s="3" t="str">
        <f>HYPERLINK("https://otsuka-europe-crm.veevavault.com/ui/#object/sent_email__v/VBLZ025E82GMZFC", "SE-000269434")</f>
        <v>SE-000269434</v>
      </c>
      <c r="D2335" s="1" t="s">
        <v>0</v>
      </c>
      <c r="E2335" s="2">
        <v>0</v>
      </c>
      <c r="F2335" s="2">
        <v>0</v>
      </c>
      <c r="G2335" s="2">
        <v>0</v>
      </c>
      <c r="H2335" s="1" t="s">
        <v>0</v>
      </c>
      <c r="I2335" s="2">
        <v>0</v>
      </c>
      <c r="J2335" s="1">
        <v>45915.377615740741</v>
      </c>
    </row>
    <row r="2336" spans="1:10" x14ac:dyDescent="0.2">
      <c r="A2336" s="4" t="s">
        <v>1</v>
      </c>
      <c r="B2336" s="3" t="str">
        <f>HYPERLINK("https://otsuka-europe-crm.veevavault.com/ui/#object/approved_document__v/V5OZ025E82TFUPI", "Spain - HCP Survey Email - June 2025")</f>
        <v>Spain - HCP Survey Email - June 2025</v>
      </c>
      <c r="C2336" s="3" t="str">
        <f>HYPERLINK("https://otsuka-europe-crm.veevavault.com/ui/#object/sent_email__v/VBLZ025E82GMZFD", "SE-000269435")</f>
        <v>SE-000269435</v>
      </c>
      <c r="D2336" s="1" t="s">
        <v>0</v>
      </c>
      <c r="E2336" s="2">
        <v>0</v>
      </c>
      <c r="F2336" s="2">
        <v>0</v>
      </c>
      <c r="G2336" s="2">
        <v>0</v>
      </c>
      <c r="H2336" s="1" t="s">
        <v>0</v>
      </c>
      <c r="I2336" s="2">
        <v>0</v>
      </c>
      <c r="J2336" s="1">
        <v>45915.378020833334</v>
      </c>
    </row>
    <row r="2337" spans="1:10" x14ac:dyDescent="0.2">
      <c r="A2337" s="4" t="s">
        <v>1</v>
      </c>
      <c r="B2337" s="3" t="str">
        <f>HYPERLINK("https://otsuka-europe-crm.veevavault.com/ui/#object/approved_document__v/V5OZ025E82TFUPI", "Spain - HCP Survey Email - June 2025")</f>
        <v>Spain - HCP Survey Email - June 2025</v>
      </c>
      <c r="C2337" s="3" t="str">
        <f>HYPERLINK("https://otsuka-europe-crm.veevavault.com/ui/#object/sent_email__v/VBLZ025E82GMZFE", "SE-000269436")</f>
        <v>SE-000269436</v>
      </c>
      <c r="D2337" s="1">
        <v>45915.58489583333</v>
      </c>
      <c r="E2337" s="2">
        <v>1</v>
      </c>
      <c r="F2337" s="2">
        <v>1</v>
      </c>
      <c r="G2337" s="2">
        <v>0</v>
      </c>
      <c r="H2337" s="1" t="s">
        <v>0</v>
      </c>
      <c r="I2337" s="2">
        <v>0</v>
      </c>
      <c r="J2337" s="1">
        <v>45915.379143518519</v>
      </c>
    </row>
    <row r="2338" spans="1:10" x14ac:dyDescent="0.2">
      <c r="A2338" s="4" t="s">
        <v>1</v>
      </c>
      <c r="B2338" s="3" t="str">
        <f>HYPERLINK("https://otsuka-europe-crm.veevavault.com/ui/#object/approved_document__v/V5OZ025E82TFUPI", "Spain - HCP Survey Email - June 2025")</f>
        <v>Spain - HCP Survey Email - June 2025</v>
      </c>
      <c r="C2338" s="3" t="str">
        <f>HYPERLINK("https://otsuka-europe-crm.veevavault.com/ui/#object/sent_email__v/VBLZ025E82GMZFF", "SE-000269437")</f>
        <v>SE-000269437</v>
      </c>
      <c r="D2338" s="1">
        <v>45916.01666666667</v>
      </c>
      <c r="E2338" s="2">
        <v>1</v>
      </c>
      <c r="F2338" s="2">
        <v>2</v>
      </c>
      <c r="G2338" s="2">
        <v>0</v>
      </c>
      <c r="H2338" s="1" t="s">
        <v>0</v>
      </c>
      <c r="I2338" s="2">
        <v>0</v>
      </c>
      <c r="J2338" s="1">
        <v>45915.379687499997</v>
      </c>
    </row>
    <row r="2339" spans="1:10" x14ac:dyDescent="0.2">
      <c r="A2339" s="4" t="s">
        <v>1</v>
      </c>
      <c r="B2339" s="3" t="str">
        <f>HYPERLINK("https://otsuka-europe-crm.veevavault.com/ui/#object/approved_document__v/V5OZ025E82TFUPI", "Spain - HCP Survey Email - June 2025")</f>
        <v>Spain - HCP Survey Email - June 2025</v>
      </c>
      <c r="C2339" s="3" t="str">
        <f>HYPERLINK("https://otsuka-europe-crm.veevavault.com/ui/#object/sent_email__v/VBLZ025E82GMZFG", "SE-000269438")</f>
        <v>SE-000269438</v>
      </c>
      <c r="D2339" s="1" t="s">
        <v>0</v>
      </c>
      <c r="E2339" s="2">
        <v>0</v>
      </c>
      <c r="F2339" s="2">
        <v>0</v>
      </c>
      <c r="G2339" s="2">
        <v>0</v>
      </c>
      <c r="H2339" s="1" t="s">
        <v>0</v>
      </c>
      <c r="I2339" s="2">
        <v>0</v>
      </c>
      <c r="J2339" s="1">
        <v>45915.379270833335</v>
      </c>
    </row>
    <row r="2340" spans="1:10" x14ac:dyDescent="0.2">
      <c r="A2340" s="4" t="s">
        <v>1</v>
      </c>
      <c r="B2340" s="3" t="str">
        <f>HYPERLINK("https://otsuka-europe-crm.veevavault.com/ui/#object/approved_document__v/V5OZ025E82TFUPI", "Spain - HCP Survey Email - June 2025")</f>
        <v>Spain - HCP Survey Email - June 2025</v>
      </c>
      <c r="C2340" s="3" t="str">
        <f>HYPERLINK("https://otsuka-europe-crm.veevavault.com/ui/#object/sent_email__v/VBLZ025E82GMZFH", "SE-000269439")</f>
        <v>SE-000269439</v>
      </c>
      <c r="D2340" s="1">
        <v>45915.428611111114</v>
      </c>
      <c r="E2340" s="2">
        <v>1</v>
      </c>
      <c r="F2340" s="2">
        <v>2</v>
      </c>
      <c r="G2340" s="2">
        <v>1</v>
      </c>
      <c r="H2340" s="1">
        <v>45915.428773148145</v>
      </c>
      <c r="I2340" s="2">
        <v>1</v>
      </c>
      <c r="J2340" s="1">
        <v>45915.377395833333</v>
      </c>
    </row>
    <row r="2341" spans="1:10" x14ac:dyDescent="0.2">
      <c r="A2341" s="4" t="s">
        <v>1</v>
      </c>
      <c r="B2341" s="3" t="str">
        <f>HYPERLINK("https://otsuka-europe-crm.veevavault.com/ui/#object/approved_document__v/V5OZ025E82TFUPI", "Spain - HCP Survey Email - June 2025")</f>
        <v>Spain - HCP Survey Email - June 2025</v>
      </c>
      <c r="C2341" s="3" t="str">
        <f>HYPERLINK("https://otsuka-europe-crm.veevavault.com/ui/#object/sent_email__v/VBLZ025E82GMZFI", "SE-000269440")</f>
        <v>SE-000269440</v>
      </c>
      <c r="D2341" s="1" t="s">
        <v>0</v>
      </c>
      <c r="E2341" s="2">
        <v>0</v>
      </c>
      <c r="F2341" s="2">
        <v>0</v>
      </c>
      <c r="G2341" s="2">
        <v>0</v>
      </c>
      <c r="H2341" s="1" t="s">
        <v>0</v>
      </c>
      <c r="I2341" s="2">
        <v>0</v>
      </c>
      <c r="J2341" s="1">
        <v>45915.378425925926</v>
      </c>
    </row>
    <row r="2342" spans="1:10" x14ac:dyDescent="0.2">
      <c r="A2342" s="4" t="s">
        <v>1</v>
      </c>
      <c r="B2342" s="3" t="str">
        <f>HYPERLINK("https://otsuka-europe-crm.veevavault.com/ui/#object/approved_document__v/V5OZ025E82TFUPI", "Spain - HCP Survey Email - June 2025")</f>
        <v>Spain - HCP Survey Email - June 2025</v>
      </c>
      <c r="C2342" s="3" t="str">
        <f>HYPERLINK("https://otsuka-europe-crm.veevavault.com/ui/#object/sent_email__v/VBLZ025E82GMZFJ", "SE-000269441")</f>
        <v>SE-000269441</v>
      </c>
      <c r="D2342" s="1" t="s">
        <v>0</v>
      </c>
      <c r="E2342" s="2">
        <v>0</v>
      </c>
      <c r="F2342" s="2">
        <v>0</v>
      </c>
      <c r="G2342" s="2">
        <v>0</v>
      </c>
      <c r="H2342" s="1" t="s">
        <v>0</v>
      </c>
      <c r="I2342" s="2">
        <v>0</v>
      </c>
      <c r="J2342" s="1">
        <v>45915.378865740742</v>
      </c>
    </row>
    <row r="2343" spans="1:10" x14ac:dyDescent="0.2">
      <c r="A2343" s="4" t="s">
        <v>1</v>
      </c>
      <c r="B2343" s="3" t="str">
        <f>HYPERLINK("https://otsuka-europe-crm.veevavault.com/ui/#object/approved_document__v/V5OZ025E82TFUPI", "Spain - HCP Survey Email - June 2025")</f>
        <v>Spain - HCP Survey Email - June 2025</v>
      </c>
      <c r="C2343" s="3" t="str">
        <f>HYPERLINK("https://otsuka-europe-crm.veevavault.com/ui/#object/sent_email__v/VBLZ025E82GMZFK", "SE-000269442")</f>
        <v>SE-000269442</v>
      </c>
      <c r="D2343" s="1">
        <v>45915.517893518518</v>
      </c>
      <c r="E2343" s="2">
        <v>1</v>
      </c>
      <c r="F2343" s="2">
        <v>1</v>
      </c>
      <c r="G2343" s="2">
        <v>0</v>
      </c>
      <c r="H2343" s="1" t="s">
        <v>0</v>
      </c>
      <c r="I2343" s="2">
        <v>0</v>
      </c>
      <c r="J2343" s="1">
        <v>45915.378587962965</v>
      </c>
    </row>
    <row r="2344" spans="1:10" x14ac:dyDescent="0.2">
      <c r="A2344" s="4" t="s">
        <v>1</v>
      </c>
      <c r="B2344" s="3" t="str">
        <f>HYPERLINK("https://otsuka-europe-crm.veevavault.com/ui/#object/approved_document__v/V5OZ025E82TFUPI", "Spain - HCP Survey Email - June 2025")</f>
        <v>Spain - HCP Survey Email - June 2025</v>
      </c>
      <c r="C2344" s="3" t="str">
        <f>HYPERLINK("https://otsuka-europe-crm.veevavault.com/ui/#object/sent_email__v/VBLZ025E82GMZFL", "SE-000269443")</f>
        <v>SE-000269443</v>
      </c>
      <c r="D2344" s="1" t="s">
        <v>0</v>
      </c>
      <c r="E2344" s="2">
        <v>0</v>
      </c>
      <c r="F2344" s="2">
        <v>0</v>
      </c>
      <c r="G2344" s="2">
        <v>0</v>
      </c>
      <c r="H2344" s="1" t="s">
        <v>0</v>
      </c>
      <c r="I2344" s="2">
        <v>0</v>
      </c>
      <c r="J2344" s="1">
        <v>45915.379872685182</v>
      </c>
    </row>
    <row r="2345" spans="1:10" x14ac:dyDescent="0.2">
      <c r="A2345" s="4" t="s">
        <v>1</v>
      </c>
      <c r="B2345" s="3" t="str">
        <f>HYPERLINK("https://otsuka-europe-crm.veevavault.com/ui/#object/approved_document__v/V5OZ025E82TFUPI", "Spain - HCP Survey Email - June 2025")</f>
        <v>Spain - HCP Survey Email - June 2025</v>
      </c>
      <c r="C2345" s="3" t="str">
        <f>HYPERLINK("https://otsuka-europe-crm.veevavault.com/ui/#object/sent_email__v/VBLZ025E82GMZFM", "SE-000269444")</f>
        <v>SE-000269444</v>
      </c>
      <c r="D2345" s="1">
        <v>45915.481886574074</v>
      </c>
      <c r="E2345" s="2">
        <v>1</v>
      </c>
      <c r="F2345" s="2">
        <v>2</v>
      </c>
      <c r="G2345" s="2">
        <v>0</v>
      </c>
      <c r="H2345" s="1" t="s">
        <v>0</v>
      </c>
      <c r="I2345" s="2">
        <v>0</v>
      </c>
      <c r="J2345" s="1">
        <v>45915.377708333333</v>
      </c>
    </row>
    <row r="2346" spans="1:10" x14ac:dyDescent="0.2">
      <c r="A2346" s="4" t="s">
        <v>1</v>
      </c>
      <c r="B2346" s="3" t="str">
        <f>HYPERLINK("https://otsuka-europe-crm.veevavault.com/ui/#object/approved_document__v/V5OZ025E82TFUPI", "Spain - HCP Survey Email - June 2025")</f>
        <v>Spain - HCP Survey Email - June 2025</v>
      </c>
      <c r="C2346" s="3" t="str">
        <f>HYPERLINK("https://otsuka-europe-crm.veevavault.com/ui/#object/sent_email__v/VBLZ025E82GMZFN", "SE-000269445")</f>
        <v>SE-000269445</v>
      </c>
      <c r="D2346" s="1" t="s">
        <v>0</v>
      </c>
      <c r="E2346" s="2">
        <v>0</v>
      </c>
      <c r="F2346" s="2">
        <v>0</v>
      </c>
      <c r="G2346" s="2">
        <v>0</v>
      </c>
      <c r="H2346" s="1" t="s">
        <v>0</v>
      </c>
      <c r="I2346" s="2">
        <v>0</v>
      </c>
      <c r="J2346" s="1">
        <v>45915.377638888887</v>
      </c>
    </row>
    <row r="2347" spans="1:10" x14ac:dyDescent="0.2">
      <c r="A2347" s="4" t="s">
        <v>1</v>
      </c>
      <c r="B2347" s="3" t="str">
        <f>HYPERLINK("https://otsuka-europe-crm.veevavault.com/ui/#object/approved_document__v/V5OZ025E82TFUPI", "Spain - HCP Survey Email - June 2025")</f>
        <v>Spain - HCP Survey Email - June 2025</v>
      </c>
      <c r="C2347" s="3" t="str">
        <f>HYPERLINK("https://otsuka-europe-crm.veevavault.com/ui/#object/sent_email__v/VBLZ025E82GMZFO", "SE-000269446")</f>
        <v>SE-000269446</v>
      </c>
      <c r="D2347" s="1">
        <v>45919.856446759259</v>
      </c>
      <c r="E2347" s="2">
        <v>1</v>
      </c>
      <c r="F2347" s="2">
        <v>2</v>
      </c>
      <c r="G2347" s="2">
        <v>0</v>
      </c>
      <c r="H2347" s="1" t="s">
        <v>0</v>
      </c>
      <c r="I2347" s="2">
        <v>0</v>
      </c>
      <c r="J2347" s="1">
        <v>45915.378067129626</v>
      </c>
    </row>
    <row r="2348" spans="1:10" x14ac:dyDescent="0.2">
      <c r="A2348" s="4" t="s">
        <v>1</v>
      </c>
      <c r="B2348" s="3" t="str">
        <f>HYPERLINK("https://otsuka-europe-crm.veevavault.com/ui/#object/approved_document__v/V5OZ025E82TFUPI", "Spain - HCP Survey Email - June 2025")</f>
        <v>Spain - HCP Survey Email - June 2025</v>
      </c>
      <c r="C2348" s="3" t="str">
        <f>HYPERLINK("https://otsuka-europe-crm.veevavault.com/ui/#object/sent_email__v/VBLZ025E82GMZFP", "SE-000269447")</f>
        <v>SE-000269447</v>
      </c>
      <c r="D2348" s="1">
        <v>45915.406168981484</v>
      </c>
      <c r="E2348" s="2">
        <v>1</v>
      </c>
      <c r="F2348" s="2">
        <v>1</v>
      </c>
      <c r="G2348" s="2">
        <v>0</v>
      </c>
      <c r="H2348" s="1" t="s">
        <v>0</v>
      </c>
      <c r="I2348" s="2">
        <v>0</v>
      </c>
      <c r="J2348" s="1">
        <v>45915.379062499997</v>
      </c>
    </row>
    <row r="2349" spans="1:10" x14ac:dyDescent="0.2">
      <c r="A2349" s="4" t="s">
        <v>1</v>
      </c>
      <c r="B2349" s="3" t="str">
        <f>HYPERLINK("https://otsuka-europe-crm.veevavault.com/ui/#object/approved_document__v/V5OZ025E82TFUPI", "Spain - HCP Survey Email - June 2025")</f>
        <v>Spain - HCP Survey Email - June 2025</v>
      </c>
      <c r="C2349" s="3" t="str">
        <f>HYPERLINK("https://otsuka-europe-crm.veevavault.com/ui/#object/sent_email__v/VBLZ025E82GMZFQ", "SE-000269448")</f>
        <v>SE-000269448</v>
      </c>
      <c r="D2349" s="1" t="s">
        <v>0</v>
      </c>
      <c r="E2349" s="2">
        <v>0</v>
      </c>
      <c r="F2349" s="2">
        <v>0</v>
      </c>
      <c r="G2349" s="2">
        <v>0</v>
      </c>
      <c r="H2349" s="1" t="s">
        <v>0</v>
      </c>
      <c r="I2349" s="2">
        <v>0</v>
      </c>
      <c r="J2349" s="1">
        <v>45915.379872685182</v>
      </c>
    </row>
    <row r="2350" spans="1:10" x14ac:dyDescent="0.2">
      <c r="A2350" s="4" t="s">
        <v>1</v>
      </c>
      <c r="B2350" s="3" t="str">
        <f>HYPERLINK("https://otsuka-europe-crm.veevavault.com/ui/#object/approved_document__v/V5OZ025E82TFUPI", "Spain - HCP Survey Email - June 2025")</f>
        <v>Spain - HCP Survey Email - June 2025</v>
      </c>
      <c r="C2350" s="3" t="str">
        <f>HYPERLINK("https://otsuka-europe-crm.veevavault.com/ui/#object/sent_email__v/VBLZ025E82GMZFR", "SE-000269449")</f>
        <v>SE-000269449</v>
      </c>
      <c r="D2350" s="1">
        <v>45915.392418981479</v>
      </c>
      <c r="E2350" s="2">
        <v>1</v>
      </c>
      <c r="F2350" s="2">
        <v>1</v>
      </c>
      <c r="G2350" s="2">
        <v>0</v>
      </c>
      <c r="H2350" s="1" t="s">
        <v>0</v>
      </c>
      <c r="I2350" s="2">
        <v>0</v>
      </c>
      <c r="J2350" s="1">
        <v>45915.379178240742</v>
      </c>
    </row>
    <row r="2351" spans="1:10" x14ac:dyDescent="0.2">
      <c r="A2351" s="4" t="s">
        <v>1</v>
      </c>
      <c r="B2351" s="3" t="str">
        <f>HYPERLINK("https://otsuka-europe-crm.veevavault.com/ui/#object/approved_document__v/V5OZ025E82TFUPI", "Spain - HCP Survey Email - June 2025")</f>
        <v>Spain - HCP Survey Email - June 2025</v>
      </c>
      <c r="C2351" s="3" t="str">
        <f>HYPERLINK("https://otsuka-europe-crm.veevavault.com/ui/#object/sent_email__v/VBLZ025E82GMZFS", "SE-000269450")</f>
        <v>SE-000269450</v>
      </c>
      <c r="D2351" s="1" t="s">
        <v>0</v>
      </c>
      <c r="E2351" s="2">
        <v>0</v>
      </c>
      <c r="F2351" s="2">
        <v>0</v>
      </c>
      <c r="G2351" s="2">
        <v>0</v>
      </c>
      <c r="H2351" s="1" t="s">
        <v>0</v>
      </c>
      <c r="I2351" s="2">
        <v>0</v>
      </c>
      <c r="J2351" s="1">
        <v>45915.377476851849</v>
      </c>
    </row>
    <row r="2352" spans="1:10" x14ac:dyDescent="0.2">
      <c r="A2352" s="4" t="s">
        <v>1</v>
      </c>
      <c r="B2352" s="3" t="str">
        <f>HYPERLINK("https://otsuka-europe-crm.veevavault.com/ui/#object/approved_document__v/V5OZ025E82TFUPI", "Spain - HCP Survey Email - June 2025")</f>
        <v>Spain - HCP Survey Email - June 2025</v>
      </c>
      <c r="C2352" s="3" t="str">
        <f>HYPERLINK("https://otsuka-europe-crm.veevavault.com/ui/#object/sent_email__v/VBLZ025E82GMZFT", "SE-000269451")</f>
        <v>SE-000269451</v>
      </c>
      <c r="D2352" s="1">
        <v>45916.374803240738</v>
      </c>
      <c r="E2352" s="2">
        <v>1</v>
      </c>
      <c r="F2352" s="2">
        <v>1</v>
      </c>
      <c r="G2352" s="2">
        <v>1</v>
      </c>
      <c r="H2352" s="1">
        <v>45916.375069444446</v>
      </c>
      <c r="I2352" s="2">
        <v>2</v>
      </c>
      <c r="J2352" s="1">
        <v>45915.378368055557</v>
      </c>
    </row>
    <row r="2353" spans="1:10" x14ac:dyDescent="0.2">
      <c r="A2353" s="4" t="s">
        <v>1</v>
      </c>
      <c r="B2353" s="3" t="str">
        <f>HYPERLINK("https://otsuka-europe-crm.veevavault.com/ui/#object/approved_document__v/V5OZ025E82TFUPI", "Spain - HCP Survey Email - June 2025")</f>
        <v>Spain - HCP Survey Email - June 2025</v>
      </c>
      <c r="C2353" s="3" t="str">
        <f>HYPERLINK("https://otsuka-europe-crm.veevavault.com/ui/#object/sent_email__v/VBLZ025E82GMZFU", "SE-000269452")</f>
        <v>SE-000269452</v>
      </c>
      <c r="D2353" s="1">
        <v>45919.739027777781</v>
      </c>
      <c r="E2353" s="2">
        <v>1</v>
      </c>
      <c r="F2353" s="2">
        <v>1</v>
      </c>
      <c r="G2353" s="2">
        <v>1</v>
      </c>
      <c r="H2353" s="1">
        <v>45919.739317129628</v>
      </c>
      <c r="I2353" s="2">
        <v>1</v>
      </c>
      <c r="J2353" s="1">
        <v>45915.378854166665</v>
      </c>
    </row>
    <row r="2354" spans="1:10" x14ac:dyDescent="0.2">
      <c r="A2354" s="4" t="s">
        <v>1</v>
      </c>
      <c r="B2354" s="3" t="str">
        <f>HYPERLINK("https://otsuka-europe-crm.veevavault.com/ui/#object/approved_document__v/V5OZ025E82TFUPI", "Spain - HCP Survey Email - June 2025")</f>
        <v>Spain - HCP Survey Email - June 2025</v>
      </c>
      <c r="C2354" s="3" t="str">
        <f>HYPERLINK("https://otsuka-europe-crm.veevavault.com/ui/#object/sent_email__v/VBLZ025E82GMZFV", "SE-000269453")</f>
        <v>SE-000269453</v>
      </c>
      <c r="D2354" s="1" t="s">
        <v>0</v>
      </c>
      <c r="E2354" s="2">
        <v>0</v>
      </c>
      <c r="F2354" s="2">
        <v>0</v>
      </c>
      <c r="G2354" s="2">
        <v>0</v>
      </c>
      <c r="H2354" s="1" t="s">
        <v>0</v>
      </c>
      <c r="I2354" s="2">
        <v>0</v>
      </c>
      <c r="J2354" s="1">
        <v>45915.378657407404</v>
      </c>
    </row>
    <row r="2355" spans="1:10" x14ac:dyDescent="0.2">
      <c r="A2355" s="4" t="s">
        <v>1</v>
      </c>
      <c r="B2355" s="3" t="str">
        <f>HYPERLINK("https://otsuka-europe-crm.veevavault.com/ui/#object/approved_document__v/V5OZ025E82TFUPI", "Spain - HCP Survey Email - June 2025")</f>
        <v>Spain - HCP Survey Email - June 2025</v>
      </c>
      <c r="C2355" s="3" t="str">
        <f>HYPERLINK("https://otsuka-europe-crm.veevavault.com/ui/#object/sent_email__v/VBLZ025E82GMZFW", "SE-000269454")</f>
        <v>SE-000269454</v>
      </c>
      <c r="D2355" s="1" t="s">
        <v>0</v>
      </c>
      <c r="E2355" s="2">
        <v>0</v>
      </c>
      <c r="F2355" s="2">
        <v>0</v>
      </c>
      <c r="G2355" s="2">
        <v>0</v>
      </c>
      <c r="H2355" s="1" t="s">
        <v>0</v>
      </c>
      <c r="I2355" s="2">
        <v>0</v>
      </c>
      <c r="J2355" s="1">
        <v>45915.379965277774</v>
      </c>
    </row>
    <row r="2356" spans="1:10" x14ac:dyDescent="0.2">
      <c r="A2356" s="4" t="s">
        <v>1</v>
      </c>
      <c r="B2356" s="3" t="str">
        <f>HYPERLINK("https://otsuka-europe-crm.veevavault.com/ui/#object/approved_document__v/V5OZ025E82TFUPI", "Spain - HCP Survey Email - June 2025")</f>
        <v>Spain - HCP Survey Email - June 2025</v>
      </c>
      <c r="C2356" s="3" t="str">
        <f>HYPERLINK("https://otsuka-europe-crm.veevavault.com/ui/#object/sent_email__v/VBLZ025E82GMZFX", "SE-000269455")</f>
        <v>SE-000269455</v>
      </c>
      <c r="D2356" s="1">
        <v>45915.712511574071</v>
      </c>
      <c r="E2356" s="2">
        <v>1</v>
      </c>
      <c r="F2356" s="2">
        <v>2</v>
      </c>
      <c r="G2356" s="2">
        <v>0</v>
      </c>
      <c r="H2356" s="1" t="s">
        <v>0</v>
      </c>
      <c r="I2356" s="2">
        <v>0</v>
      </c>
      <c r="J2356" s="1">
        <v>45915.377685185187</v>
      </c>
    </row>
    <row r="2357" spans="1:10" x14ac:dyDescent="0.2">
      <c r="A2357" s="4" t="s">
        <v>1</v>
      </c>
      <c r="B2357" s="3" t="str">
        <f>HYPERLINK("https://otsuka-europe-crm.veevavault.com/ui/#object/approved_document__v/V5OZ025E82TFUPI", "Spain - HCP Survey Email - June 2025")</f>
        <v>Spain - HCP Survey Email - June 2025</v>
      </c>
      <c r="C2357" s="3" t="str">
        <f>HYPERLINK("https://otsuka-europe-crm.veevavault.com/ui/#object/sent_email__v/VBLZ025E82GMZFZ", "SE-000269457")</f>
        <v>SE-000269457</v>
      </c>
      <c r="D2357" s="1" t="s">
        <v>0</v>
      </c>
      <c r="E2357" s="2">
        <v>0</v>
      </c>
      <c r="F2357" s="2">
        <v>0</v>
      </c>
      <c r="G2357" s="2">
        <v>0</v>
      </c>
      <c r="H2357" s="1" t="s">
        <v>0</v>
      </c>
      <c r="I2357" s="2">
        <v>0</v>
      </c>
      <c r="J2357" s="1">
        <v>45915.378020833334</v>
      </c>
    </row>
    <row r="2358" spans="1:10" x14ac:dyDescent="0.2">
      <c r="A2358" s="4" t="s">
        <v>1</v>
      </c>
      <c r="B2358" s="3" t="str">
        <f>HYPERLINK("https://otsuka-europe-crm.veevavault.com/ui/#object/approved_document__v/V5OZ025E82TFUPI", "Spain - HCP Survey Email - June 2025")</f>
        <v>Spain - HCP Survey Email - June 2025</v>
      </c>
      <c r="C2358" s="3" t="str">
        <f>HYPERLINK("https://otsuka-europe-crm.veevavault.com/ui/#object/sent_email__v/VBLZ025E82GMZG0", "SE-000269458")</f>
        <v>SE-000269458</v>
      </c>
      <c r="D2358" s="1" t="s">
        <v>0</v>
      </c>
      <c r="E2358" s="2">
        <v>0</v>
      </c>
      <c r="F2358" s="2">
        <v>0</v>
      </c>
      <c r="G2358" s="2">
        <v>0</v>
      </c>
      <c r="H2358" s="1" t="s">
        <v>0</v>
      </c>
      <c r="I2358" s="2">
        <v>0</v>
      </c>
      <c r="J2358" s="1">
        <v>45915.379895833335</v>
      </c>
    </row>
    <row r="2359" spans="1:10" x14ac:dyDescent="0.2">
      <c r="A2359" s="4" t="s">
        <v>1</v>
      </c>
      <c r="B2359" s="3" t="str">
        <f>HYPERLINK("https://otsuka-europe-crm.veevavault.com/ui/#object/approved_document__v/V5OZ025E82TFUPI", "Spain - HCP Survey Email - June 2025")</f>
        <v>Spain - HCP Survey Email - June 2025</v>
      </c>
      <c r="C2359" s="3" t="str">
        <f>HYPERLINK("https://otsuka-europe-crm.veevavault.com/ui/#object/sent_email__v/VBLZ025E82GMZG1", "SE-000269459")</f>
        <v>SE-000269459</v>
      </c>
      <c r="D2359" s="1">
        <v>45915.688009259262</v>
      </c>
      <c r="E2359" s="2">
        <v>1</v>
      </c>
      <c r="F2359" s="2">
        <v>1</v>
      </c>
      <c r="G2359" s="2">
        <v>0</v>
      </c>
      <c r="H2359" s="1" t="s">
        <v>0</v>
      </c>
      <c r="I2359" s="2">
        <v>0</v>
      </c>
      <c r="J2359" s="1">
        <v>45915.377708333333</v>
      </c>
    </row>
    <row r="2360" spans="1:10" x14ac:dyDescent="0.2">
      <c r="A2360" s="4" t="s">
        <v>1</v>
      </c>
      <c r="B2360" s="3" t="str">
        <f>HYPERLINK("https://otsuka-europe-crm.veevavault.com/ui/#object/approved_document__v/V5OZ025E82TFUPI", "Spain - HCP Survey Email - June 2025")</f>
        <v>Spain - HCP Survey Email - June 2025</v>
      </c>
      <c r="C2360" s="3" t="str">
        <f>HYPERLINK("https://otsuka-europe-crm.veevavault.com/ui/#object/sent_email__v/VBLZ025E82GMZG2", "SE-000269460")</f>
        <v>SE-000269460</v>
      </c>
      <c r="D2360" s="1" t="s">
        <v>0</v>
      </c>
      <c r="E2360" s="2">
        <v>0</v>
      </c>
      <c r="F2360" s="2">
        <v>0</v>
      </c>
      <c r="G2360" s="2">
        <v>0</v>
      </c>
      <c r="H2360" s="1" t="s">
        <v>0</v>
      </c>
      <c r="I2360" s="2">
        <v>0</v>
      </c>
      <c r="J2360" s="1">
        <v>45915.37767361111</v>
      </c>
    </row>
    <row r="2361" spans="1:10" x14ac:dyDescent="0.2">
      <c r="A2361" s="4" t="s">
        <v>1</v>
      </c>
      <c r="B2361" s="3" t="str">
        <f>HYPERLINK("https://otsuka-europe-crm.veevavault.com/ui/#object/approved_document__v/V5OZ025E82TFUPI", "Spain - HCP Survey Email - June 2025")</f>
        <v>Spain - HCP Survey Email - June 2025</v>
      </c>
      <c r="C2361" s="3" t="str">
        <f>HYPERLINK("https://otsuka-europe-crm.veevavault.com/ui/#object/sent_email__v/VBLZ025E82GMZG3", "SE-000269461")</f>
        <v>SE-000269461</v>
      </c>
      <c r="D2361" s="1" t="s">
        <v>0</v>
      </c>
      <c r="E2361" s="2">
        <v>0</v>
      </c>
      <c r="F2361" s="2">
        <v>0</v>
      </c>
      <c r="G2361" s="2">
        <v>0</v>
      </c>
      <c r="H2361" s="1" t="s">
        <v>0</v>
      </c>
      <c r="I2361" s="2">
        <v>0</v>
      </c>
      <c r="J2361" s="1">
        <v>45915.377962962964</v>
      </c>
    </row>
    <row r="2362" spans="1:10" x14ac:dyDescent="0.2">
      <c r="A2362" s="4" t="s">
        <v>1</v>
      </c>
      <c r="B2362" s="3" t="str">
        <f>HYPERLINK("https://otsuka-europe-crm.veevavault.com/ui/#object/approved_document__v/V5OZ025E82TFUPI", "Spain - HCP Survey Email - June 2025")</f>
        <v>Spain - HCP Survey Email - June 2025</v>
      </c>
      <c r="C2362" s="3" t="str">
        <f>HYPERLINK("https://otsuka-europe-crm.veevavault.com/ui/#object/sent_email__v/VBLZ025E82GMZG4", "SE-000269462")</f>
        <v>SE-000269462</v>
      </c>
      <c r="D2362" s="1">
        <v>45916.979930555557</v>
      </c>
      <c r="E2362" s="2">
        <v>1</v>
      </c>
      <c r="F2362" s="2">
        <v>1</v>
      </c>
      <c r="G2362" s="2">
        <v>0</v>
      </c>
      <c r="H2362" s="1" t="s">
        <v>0</v>
      </c>
      <c r="I2362" s="2">
        <v>0</v>
      </c>
      <c r="J2362" s="1">
        <v>45915.37909722222</v>
      </c>
    </row>
    <row r="2363" spans="1:10" x14ac:dyDescent="0.2">
      <c r="A2363" s="4" t="s">
        <v>1</v>
      </c>
      <c r="B2363" s="3" t="str">
        <f>HYPERLINK("https://otsuka-europe-crm.veevavault.com/ui/#object/approved_document__v/V5OZ025E82TFUPI", "Spain - HCP Survey Email - June 2025")</f>
        <v>Spain - HCP Survey Email - June 2025</v>
      </c>
      <c r="C2363" s="3" t="str">
        <f>HYPERLINK("https://otsuka-europe-crm.veevavault.com/ui/#object/sent_email__v/VBLZ025E82GMZG5", "SE-000269463")</f>
        <v>SE-000269463</v>
      </c>
      <c r="D2363" s="1" t="s">
        <v>0</v>
      </c>
      <c r="E2363" s="2">
        <v>0</v>
      </c>
      <c r="F2363" s="2">
        <v>0</v>
      </c>
      <c r="G2363" s="2">
        <v>0</v>
      </c>
      <c r="H2363" s="1" t="s">
        <v>0</v>
      </c>
      <c r="I2363" s="2">
        <v>0</v>
      </c>
      <c r="J2363" s="1">
        <v>45915.379687499997</v>
      </c>
    </row>
    <row r="2364" spans="1:10" x14ac:dyDescent="0.2">
      <c r="A2364" s="4" t="s">
        <v>1</v>
      </c>
      <c r="B2364" s="3" t="str">
        <f>HYPERLINK("https://otsuka-europe-crm.veevavault.com/ui/#object/approved_document__v/V5OZ025E82TFUPI", "Spain - HCP Survey Email - June 2025")</f>
        <v>Spain - HCP Survey Email - June 2025</v>
      </c>
      <c r="C2364" s="3" t="str">
        <f>HYPERLINK("https://otsuka-europe-crm.veevavault.com/ui/#object/sent_email__v/VBLZ025E82GMZG6", "SE-000269464")</f>
        <v>SE-000269464</v>
      </c>
      <c r="D2364" s="1" t="s">
        <v>0</v>
      </c>
      <c r="E2364" s="2">
        <v>0</v>
      </c>
      <c r="F2364" s="2">
        <v>0</v>
      </c>
      <c r="G2364" s="2">
        <v>0</v>
      </c>
      <c r="H2364" s="1" t="s">
        <v>0</v>
      </c>
      <c r="I2364" s="2">
        <v>0</v>
      </c>
      <c r="J2364" s="1">
        <v>45915.379328703704</v>
      </c>
    </row>
    <row r="2365" spans="1:10" x14ac:dyDescent="0.2">
      <c r="A2365" s="4" t="s">
        <v>1</v>
      </c>
      <c r="B2365" s="3" t="str">
        <f>HYPERLINK("https://otsuka-europe-crm.veevavault.com/ui/#object/approved_document__v/V5OZ025E82TFUPI", "Spain - HCP Survey Email - June 2025")</f>
        <v>Spain - HCP Survey Email - June 2025</v>
      </c>
      <c r="C2365" s="3" t="str">
        <f>HYPERLINK("https://otsuka-europe-crm.veevavault.com/ui/#object/sent_email__v/VBLZ025E82GMZG7", "SE-000269465")</f>
        <v>SE-000269465</v>
      </c>
      <c r="D2365" s="1">
        <v>45922.321400462963</v>
      </c>
      <c r="E2365" s="2">
        <v>1</v>
      </c>
      <c r="F2365" s="2">
        <v>1</v>
      </c>
      <c r="G2365" s="2">
        <v>1</v>
      </c>
      <c r="H2365" s="1">
        <v>45922.321828703702</v>
      </c>
      <c r="I2365" s="2">
        <v>1</v>
      </c>
      <c r="J2365" s="1">
        <v>45915.37740740741</v>
      </c>
    </row>
    <row r="2366" spans="1:10" x14ac:dyDescent="0.2">
      <c r="A2366" s="4" t="s">
        <v>1</v>
      </c>
      <c r="B2366" s="3" t="str">
        <f>HYPERLINK("https://otsuka-europe-crm.veevavault.com/ui/#object/approved_document__v/V5OZ025E82TFUPI", "Spain - HCP Survey Email - June 2025")</f>
        <v>Spain - HCP Survey Email - June 2025</v>
      </c>
      <c r="C2366" s="3" t="str">
        <f>HYPERLINK("https://otsuka-europe-crm.veevavault.com/ui/#object/sent_email__v/VBLZ025E82GMZG8", "SE-000269466")</f>
        <v>SE-000269466</v>
      </c>
      <c r="D2366" s="1" t="s">
        <v>0</v>
      </c>
      <c r="E2366" s="2">
        <v>0</v>
      </c>
      <c r="F2366" s="2">
        <v>0</v>
      </c>
      <c r="G2366" s="2">
        <v>0</v>
      </c>
      <c r="H2366" s="1" t="s">
        <v>0</v>
      </c>
      <c r="I2366" s="2">
        <v>0</v>
      </c>
      <c r="J2366" s="1">
        <v>45915.378437500003</v>
      </c>
    </row>
    <row r="2367" spans="1:10" x14ac:dyDescent="0.2">
      <c r="A2367" s="4" t="s">
        <v>1</v>
      </c>
      <c r="B2367" s="3" t="str">
        <f>HYPERLINK("https://otsuka-europe-crm.veevavault.com/ui/#object/approved_document__v/V5OZ025E82TFUPI", "Spain - HCP Survey Email - June 2025")</f>
        <v>Spain - HCP Survey Email - June 2025</v>
      </c>
      <c r="C2367" s="3" t="str">
        <f>HYPERLINK("https://otsuka-europe-crm.veevavault.com/ui/#object/sent_email__v/VBLZ025E82GMZG9", "SE-000269467")</f>
        <v>SE-000269467</v>
      </c>
      <c r="D2367" s="1" t="s">
        <v>0</v>
      </c>
      <c r="E2367" s="2">
        <v>0</v>
      </c>
      <c r="F2367" s="2">
        <v>0</v>
      </c>
      <c r="G2367" s="2">
        <v>0</v>
      </c>
      <c r="H2367" s="1" t="s">
        <v>0</v>
      </c>
      <c r="I2367" s="2">
        <v>0</v>
      </c>
      <c r="J2367" s="1">
        <v>45915.378912037035</v>
      </c>
    </row>
    <row r="2368" spans="1:10" x14ac:dyDescent="0.2">
      <c r="A2368" s="4" t="s">
        <v>1</v>
      </c>
      <c r="B2368" s="3" t="str">
        <f>HYPERLINK("https://otsuka-europe-crm.veevavault.com/ui/#object/approved_document__v/V5OZ025E82TFUPI", "Spain - HCP Survey Email - June 2025")</f>
        <v>Spain - HCP Survey Email - June 2025</v>
      </c>
      <c r="C2368" s="3" t="str">
        <f>HYPERLINK("https://otsuka-europe-crm.veevavault.com/ui/#object/sent_email__v/VBLZ025E82GMZGA", "SE-000269468")</f>
        <v>SE-000269468</v>
      </c>
      <c r="D2368" s="1">
        <v>45915.43644675926</v>
      </c>
      <c r="E2368" s="2">
        <v>1</v>
      </c>
      <c r="F2368" s="2">
        <v>2</v>
      </c>
      <c r="G2368" s="2">
        <v>0</v>
      </c>
      <c r="H2368" s="1" t="s">
        <v>0</v>
      </c>
      <c r="I2368" s="2">
        <v>0</v>
      </c>
      <c r="J2368" s="1">
        <v>45915.37872685185</v>
      </c>
    </row>
    <row r="2369" spans="1:10" x14ac:dyDescent="0.2">
      <c r="A2369" s="4" t="s">
        <v>1</v>
      </c>
      <c r="B2369" s="3" t="str">
        <f>HYPERLINK("https://otsuka-europe-crm.veevavault.com/ui/#object/approved_document__v/V5OZ025E82TFUPI", "Spain - HCP Survey Email - June 2025")</f>
        <v>Spain - HCP Survey Email - June 2025</v>
      </c>
      <c r="C2369" s="3" t="str">
        <f>HYPERLINK("https://otsuka-europe-crm.veevavault.com/ui/#object/sent_email__v/VBLZ025E82GMZGB", "SE-000269469")</f>
        <v>SE-000269469</v>
      </c>
      <c r="D2369" s="1" t="s">
        <v>0</v>
      </c>
      <c r="E2369" s="2">
        <v>0</v>
      </c>
      <c r="F2369" s="2">
        <v>0</v>
      </c>
      <c r="G2369" s="2">
        <v>0</v>
      </c>
      <c r="H2369" s="1" t="s">
        <v>0</v>
      </c>
      <c r="I2369" s="2">
        <v>0</v>
      </c>
      <c r="J2369" s="1">
        <v>45915.37976851852</v>
      </c>
    </row>
    <row r="2370" spans="1:10" x14ac:dyDescent="0.2">
      <c r="A2370" s="4" t="s">
        <v>1</v>
      </c>
      <c r="B2370" s="3" t="str">
        <f>HYPERLINK("https://otsuka-europe-crm.veevavault.com/ui/#object/approved_document__v/V5OZ025E82TFUPI", "Spain - HCP Survey Email - June 2025")</f>
        <v>Spain - HCP Survey Email - June 2025</v>
      </c>
      <c r="C2370" s="3" t="str">
        <f>HYPERLINK("https://otsuka-europe-crm.veevavault.com/ui/#object/sent_email__v/VBLZ025E82GMZGC", "SE-000269470")</f>
        <v>SE-000269470</v>
      </c>
      <c r="D2370" s="1">
        <v>45916.762511574074</v>
      </c>
      <c r="E2370" s="2">
        <v>1</v>
      </c>
      <c r="F2370" s="2">
        <v>1</v>
      </c>
      <c r="G2370" s="2">
        <v>0</v>
      </c>
      <c r="H2370" s="1" t="s">
        <v>0</v>
      </c>
      <c r="I2370" s="2">
        <v>0</v>
      </c>
      <c r="J2370" s="1">
        <v>45915.377754629626</v>
      </c>
    </row>
    <row r="2371" spans="1:10" x14ac:dyDescent="0.2">
      <c r="A2371" s="4" t="s">
        <v>1</v>
      </c>
      <c r="B2371" s="3" t="str">
        <f>HYPERLINK("https://otsuka-europe-crm.veevavault.com/ui/#object/approved_document__v/V5OZ025E82TFUPI", "Spain - HCP Survey Email - June 2025")</f>
        <v>Spain - HCP Survey Email - June 2025</v>
      </c>
      <c r="C2371" s="3" t="str">
        <f>HYPERLINK("https://otsuka-europe-crm.veevavault.com/ui/#object/sent_email__v/VBLZ025E82GMZGD", "SE-000269471")</f>
        <v>SE-000269471</v>
      </c>
      <c r="D2371" s="1" t="s">
        <v>0</v>
      </c>
      <c r="E2371" s="2">
        <v>0</v>
      </c>
      <c r="F2371" s="2">
        <v>0</v>
      </c>
      <c r="G2371" s="2">
        <v>0</v>
      </c>
      <c r="H2371" s="1" t="s">
        <v>0</v>
      </c>
      <c r="I2371" s="2">
        <v>0</v>
      </c>
      <c r="J2371" s="1">
        <v>45915.377604166664</v>
      </c>
    </row>
    <row r="2372" spans="1:10" x14ac:dyDescent="0.2">
      <c r="A2372" s="4" t="s">
        <v>1</v>
      </c>
      <c r="B2372" s="3" t="str">
        <f>HYPERLINK("https://otsuka-europe-crm.veevavault.com/ui/#object/approved_document__v/V5OZ025E82TFUPI", "Spain - HCP Survey Email - June 2025")</f>
        <v>Spain - HCP Survey Email - June 2025</v>
      </c>
      <c r="C2372" s="3" t="str">
        <f>HYPERLINK("https://otsuka-europe-crm.veevavault.com/ui/#object/sent_email__v/VBLZ025E82GMZGE", "SE-000269472")</f>
        <v>SE-000269472</v>
      </c>
      <c r="D2372" s="1">
        <v>45915.378784722219</v>
      </c>
      <c r="E2372" s="2">
        <v>1</v>
      </c>
      <c r="F2372" s="2">
        <v>1</v>
      </c>
      <c r="G2372" s="2">
        <v>0</v>
      </c>
      <c r="H2372" s="1" t="s">
        <v>0</v>
      </c>
      <c r="I2372" s="2">
        <v>0</v>
      </c>
      <c r="J2372" s="1">
        <v>45915.377986111111</v>
      </c>
    </row>
    <row r="2373" spans="1:10" x14ac:dyDescent="0.2">
      <c r="A2373" s="4" t="s">
        <v>1</v>
      </c>
      <c r="B2373" s="3" t="str">
        <f>HYPERLINK("https://otsuka-europe-crm.veevavault.com/ui/#object/approved_document__v/V5OZ025E82TFUPI", "Spain - HCP Survey Email - June 2025")</f>
        <v>Spain - HCP Survey Email - June 2025</v>
      </c>
      <c r="C2373" s="3" t="str">
        <f>HYPERLINK("https://otsuka-europe-crm.veevavault.com/ui/#object/sent_email__v/VBLZ025E82GMZGF", "SE-000269473")</f>
        <v>SE-000269473</v>
      </c>
      <c r="D2373" s="1">
        <v>45984.334803240738</v>
      </c>
      <c r="E2373" s="2">
        <v>1</v>
      </c>
      <c r="F2373" s="2">
        <v>2</v>
      </c>
      <c r="G2373" s="2">
        <v>0</v>
      </c>
      <c r="H2373" s="1" t="s">
        <v>0</v>
      </c>
      <c r="I2373" s="2">
        <v>0</v>
      </c>
      <c r="J2373" s="1">
        <v>45915.378981481481</v>
      </c>
    </row>
    <row r="2374" spans="1:10" x14ac:dyDescent="0.2">
      <c r="A2374" s="4" t="s">
        <v>1</v>
      </c>
      <c r="B2374" s="3" t="str">
        <f>HYPERLINK("https://otsuka-europe-crm.veevavault.com/ui/#object/approved_document__v/V5OZ025E82TFUPI", "Spain - HCP Survey Email - June 2025")</f>
        <v>Spain - HCP Survey Email - June 2025</v>
      </c>
      <c r="C2374" s="3" t="str">
        <f>HYPERLINK("https://otsuka-europe-crm.veevavault.com/ui/#object/sent_email__v/VBLZ025E82GMZGG", "SE-000269474")</f>
        <v>SE-000269474</v>
      </c>
      <c r="D2374" s="1">
        <v>45916.381562499999</v>
      </c>
      <c r="E2374" s="2">
        <v>1</v>
      </c>
      <c r="F2374" s="2">
        <v>2</v>
      </c>
      <c r="G2374" s="2">
        <v>0</v>
      </c>
      <c r="H2374" s="1" t="s">
        <v>0</v>
      </c>
      <c r="I2374" s="2">
        <v>0</v>
      </c>
      <c r="J2374" s="1">
        <v>45915.379548611112</v>
      </c>
    </row>
    <row r="2375" spans="1:10" x14ac:dyDescent="0.2">
      <c r="A2375" s="4" t="s">
        <v>1</v>
      </c>
      <c r="B2375" s="3" t="str">
        <f>HYPERLINK("https://otsuka-europe-crm.veevavault.com/ui/#object/approved_document__v/V5OZ025E82TFUPI", "Spain - HCP Survey Email - June 2025")</f>
        <v>Spain - HCP Survey Email - June 2025</v>
      </c>
      <c r="C2375" s="3" t="str">
        <f>HYPERLINK("https://otsuka-europe-crm.veevavault.com/ui/#object/sent_email__v/VBLZ025E82GMZGH", "SE-000269475")</f>
        <v>SE-000269475</v>
      </c>
      <c r="D2375" s="1">
        <v>45915.385497685187</v>
      </c>
      <c r="E2375" s="2">
        <v>1</v>
      </c>
      <c r="F2375" s="2">
        <v>1</v>
      </c>
      <c r="G2375" s="2">
        <v>0</v>
      </c>
      <c r="H2375" s="1" t="s">
        <v>0</v>
      </c>
      <c r="I2375" s="2">
        <v>0</v>
      </c>
      <c r="J2375" s="1">
        <v>45915.379374999997</v>
      </c>
    </row>
    <row r="2376" spans="1:10" x14ac:dyDescent="0.2">
      <c r="A2376" s="4" t="s">
        <v>1</v>
      </c>
      <c r="B2376" s="3" t="str">
        <f>HYPERLINK("https://otsuka-europe-crm.veevavault.com/ui/#object/approved_document__v/V5OZ025E82TFUPI", "Spain - HCP Survey Email - June 2025")</f>
        <v>Spain - HCP Survey Email - June 2025</v>
      </c>
      <c r="C2376" s="3" t="str">
        <f>HYPERLINK("https://otsuka-europe-crm.veevavault.com/ui/#object/sent_email__v/VBLZ025E82GMZGI", "SE-000269476")</f>
        <v>SE-000269476</v>
      </c>
      <c r="D2376" s="1">
        <v>45916.755428240744</v>
      </c>
      <c r="E2376" s="2">
        <v>1</v>
      </c>
      <c r="F2376" s="2">
        <v>1</v>
      </c>
      <c r="G2376" s="2">
        <v>0</v>
      </c>
      <c r="H2376" s="1" t="s">
        <v>0</v>
      </c>
      <c r="I2376" s="2">
        <v>0</v>
      </c>
      <c r="J2376" s="1">
        <v>45915.377395833333</v>
      </c>
    </row>
    <row r="2377" spans="1:10" x14ac:dyDescent="0.2">
      <c r="A2377" s="4" t="s">
        <v>1</v>
      </c>
      <c r="B2377" s="3" t="str">
        <f>HYPERLINK("https://otsuka-europe-crm.veevavault.com/ui/#object/approved_document__v/V5OZ025E82TFUPI", "Spain - HCP Survey Email - June 2025")</f>
        <v>Spain - HCP Survey Email - June 2025</v>
      </c>
      <c r="C2377" s="3" t="str">
        <f>HYPERLINK("https://otsuka-europe-crm.veevavault.com/ui/#object/sent_email__v/VBLZ025E82GMZGJ", "SE-000269477")</f>
        <v>SE-000269477</v>
      </c>
      <c r="D2377" s="1">
        <v>45915.384236111109</v>
      </c>
      <c r="E2377" s="2">
        <v>1</v>
      </c>
      <c r="F2377" s="2">
        <v>1</v>
      </c>
      <c r="G2377" s="2">
        <v>0</v>
      </c>
      <c r="H2377" s="1" t="s">
        <v>0</v>
      </c>
      <c r="I2377" s="2">
        <v>0</v>
      </c>
      <c r="J2377" s="1">
        <v>45915.378321759257</v>
      </c>
    </row>
    <row r="2378" spans="1:10" x14ac:dyDescent="0.2">
      <c r="A2378" s="4" t="s">
        <v>1</v>
      </c>
      <c r="B2378" s="3" t="str">
        <f>HYPERLINK("https://otsuka-europe-crm.veevavault.com/ui/#object/approved_document__v/V5OZ025E82TFUPI", "Spain - HCP Survey Email - June 2025")</f>
        <v>Spain - HCP Survey Email - June 2025</v>
      </c>
      <c r="C2378" s="3" t="str">
        <f>HYPERLINK("https://otsuka-europe-crm.veevavault.com/ui/#object/sent_email__v/VBLZ025E82GMZGK", "SE-000269478")</f>
        <v>SE-000269478</v>
      </c>
      <c r="D2378" s="1">
        <v>45915.393182870372</v>
      </c>
      <c r="E2378" s="2">
        <v>1</v>
      </c>
      <c r="F2378" s="2">
        <v>1</v>
      </c>
      <c r="G2378" s="2">
        <v>0</v>
      </c>
      <c r="H2378" s="1" t="s">
        <v>0</v>
      </c>
      <c r="I2378" s="2">
        <v>0</v>
      </c>
      <c r="J2378" s="1">
        <v>45915.378935185188</v>
      </c>
    </row>
    <row r="2379" spans="1:10" x14ac:dyDescent="0.2">
      <c r="A2379" s="4" t="s">
        <v>1</v>
      </c>
      <c r="B2379" s="3" t="str">
        <f>HYPERLINK("https://otsuka-europe-crm.veevavault.com/ui/#object/approved_document__v/V5OZ025E82TFUPI", "Spain - HCP Survey Email - June 2025")</f>
        <v>Spain - HCP Survey Email - June 2025</v>
      </c>
      <c r="C2379" s="3" t="str">
        <f>HYPERLINK("https://otsuka-europe-crm.veevavault.com/ui/#object/sent_email__v/VBLZ025E82GMZGL", "SE-000269479")</f>
        <v>SE-000269479</v>
      </c>
      <c r="D2379" s="1">
        <v>45915.380486111113</v>
      </c>
      <c r="E2379" s="2">
        <v>1</v>
      </c>
      <c r="F2379" s="2">
        <v>1</v>
      </c>
      <c r="G2379" s="2">
        <v>0</v>
      </c>
      <c r="H2379" s="1" t="s">
        <v>0</v>
      </c>
      <c r="I2379" s="2">
        <v>0</v>
      </c>
      <c r="J2379" s="1">
        <v>45915.378622685188</v>
      </c>
    </row>
    <row r="2380" spans="1:10" x14ac:dyDescent="0.2">
      <c r="A2380" s="4" t="s">
        <v>1</v>
      </c>
      <c r="B2380" s="3" t="str">
        <f>HYPERLINK("https://otsuka-europe-crm.veevavault.com/ui/#object/approved_document__v/V5OZ025E82TFUPI", "Spain - HCP Survey Email - June 2025")</f>
        <v>Spain - HCP Survey Email - June 2025</v>
      </c>
      <c r="C2380" s="3" t="str">
        <f>HYPERLINK("https://otsuka-europe-crm.veevavault.com/ui/#object/sent_email__v/VBLZ025E82GMZGM", "SE-000269480")</f>
        <v>SE-000269480</v>
      </c>
      <c r="D2380" s="1">
        <v>45918.455428240741</v>
      </c>
      <c r="E2380" s="2">
        <v>1</v>
      </c>
      <c r="F2380" s="2">
        <v>3</v>
      </c>
      <c r="G2380" s="2">
        <v>0</v>
      </c>
      <c r="H2380" s="1" t="s">
        <v>0</v>
      </c>
      <c r="I2380" s="2">
        <v>0</v>
      </c>
      <c r="J2380" s="1">
        <v>45915.379884259259</v>
      </c>
    </row>
    <row r="2381" spans="1:10" x14ac:dyDescent="0.2">
      <c r="A2381" s="4" t="s">
        <v>1</v>
      </c>
      <c r="B2381" s="3" t="str">
        <f>HYPERLINK("https://otsuka-europe-crm.veevavault.com/ui/#object/approved_document__v/V5OZ025E82TFUPI", "Spain - HCP Survey Email - June 2025")</f>
        <v>Spain - HCP Survey Email - June 2025</v>
      </c>
      <c r="C2381" s="3" t="str">
        <f>HYPERLINK("https://otsuka-europe-crm.veevavault.com/ui/#object/sent_email__v/VBLZ025E82GMZGN", "SE-000269481")</f>
        <v>SE-000269481</v>
      </c>
      <c r="D2381" s="1" t="s">
        <v>0</v>
      </c>
      <c r="E2381" s="2">
        <v>0</v>
      </c>
      <c r="F2381" s="2">
        <v>0</v>
      </c>
      <c r="G2381" s="2">
        <v>0</v>
      </c>
      <c r="H2381" s="1" t="s">
        <v>0</v>
      </c>
      <c r="I2381" s="2">
        <v>0</v>
      </c>
      <c r="J2381" s="1">
        <v>45915.377766203703</v>
      </c>
    </row>
    <row r="2382" spans="1:10" x14ac:dyDescent="0.2">
      <c r="A2382" s="4" t="s">
        <v>1</v>
      </c>
      <c r="B2382" s="3" t="str">
        <f>HYPERLINK("https://otsuka-europe-crm.veevavault.com/ui/#object/approved_document__v/V5OZ025E82TFUPI", "Spain - HCP Survey Email - June 2025")</f>
        <v>Spain - HCP Survey Email - June 2025</v>
      </c>
      <c r="C2382" s="3" t="str">
        <f>HYPERLINK("https://otsuka-europe-crm.veevavault.com/ui/#object/sent_email__v/VBLZ025E82GMZGO", "SE-000269482")</f>
        <v>SE-000269482</v>
      </c>
      <c r="D2382" s="1">
        <v>45921.878344907411</v>
      </c>
      <c r="E2382" s="2">
        <v>1</v>
      </c>
      <c r="F2382" s="2">
        <v>4</v>
      </c>
      <c r="G2382" s="2">
        <v>0</v>
      </c>
      <c r="H2382" s="1" t="s">
        <v>0</v>
      </c>
      <c r="I2382" s="2">
        <v>0</v>
      </c>
      <c r="J2382" s="1">
        <v>45915.377662037034</v>
      </c>
    </row>
    <row r="2383" spans="1:10" x14ac:dyDescent="0.2">
      <c r="A2383" s="4" t="s">
        <v>1</v>
      </c>
      <c r="B2383" s="3" t="str">
        <f>HYPERLINK("https://otsuka-europe-crm.veevavault.com/ui/#object/approved_document__v/V5OZ025E82TFUPI", "Spain - HCP Survey Email - June 2025")</f>
        <v>Spain - HCP Survey Email - June 2025</v>
      </c>
      <c r="C2383" s="3" t="str">
        <f>HYPERLINK("https://otsuka-europe-crm.veevavault.com/ui/#object/sent_email__v/VBLZ025E82GMZGP", "SE-000269483")</f>
        <v>SE-000269483</v>
      </c>
      <c r="D2383" s="1">
        <v>45915.406076388892</v>
      </c>
      <c r="E2383" s="2">
        <v>1</v>
      </c>
      <c r="F2383" s="2">
        <v>1</v>
      </c>
      <c r="G2383" s="2">
        <v>0</v>
      </c>
      <c r="H2383" s="1" t="s">
        <v>0</v>
      </c>
      <c r="I2383" s="2">
        <v>0</v>
      </c>
      <c r="J2383" s="1">
        <v>45915.378032407411</v>
      </c>
    </row>
    <row r="2384" spans="1:10" x14ac:dyDescent="0.2">
      <c r="A2384" s="4" t="s">
        <v>1</v>
      </c>
      <c r="B2384" s="3" t="str">
        <f>HYPERLINK("https://otsuka-europe-crm.veevavault.com/ui/#object/approved_document__v/V5OZ025E82TFUPI", "Spain - HCP Survey Email - June 2025")</f>
        <v>Spain - HCP Survey Email - June 2025</v>
      </c>
      <c r="C2384" s="3" t="str">
        <f>HYPERLINK("https://otsuka-europe-crm.veevavault.com/ui/#object/sent_email__v/VBLZ025E82GMZGQ", "SE-000269484")</f>
        <v>SE-000269484</v>
      </c>
      <c r="D2384" s="1">
        <v>45915.9606712963</v>
      </c>
      <c r="E2384" s="2">
        <v>1</v>
      </c>
      <c r="F2384" s="2">
        <v>1</v>
      </c>
      <c r="G2384" s="2">
        <v>0</v>
      </c>
      <c r="H2384" s="1" t="s">
        <v>0</v>
      </c>
      <c r="I2384" s="2">
        <v>0</v>
      </c>
      <c r="J2384" s="1">
        <v>45915.378553240742</v>
      </c>
    </row>
    <row r="2385" spans="1:10" x14ac:dyDescent="0.2">
      <c r="A2385" s="4" t="s">
        <v>1</v>
      </c>
      <c r="B2385" s="3" t="str">
        <f>HYPERLINK("https://otsuka-europe-crm.veevavault.com/ui/#object/approved_document__v/V5OZ025E82TFUPI", "Spain - HCP Survey Email - June 2025")</f>
        <v>Spain - HCP Survey Email - June 2025</v>
      </c>
      <c r="C2385" s="3" t="str">
        <f>HYPERLINK("https://otsuka-europe-crm.veevavault.com/ui/#object/sent_email__v/VBLZ025E82GMZGR", "SE-000269485")</f>
        <v>SE-000269485</v>
      </c>
      <c r="D2385" s="1">
        <v>45915.380416666667</v>
      </c>
      <c r="E2385" s="2">
        <v>1</v>
      </c>
      <c r="F2385" s="2">
        <v>1</v>
      </c>
      <c r="G2385" s="2">
        <v>0</v>
      </c>
      <c r="H2385" s="1" t="s">
        <v>0</v>
      </c>
      <c r="I2385" s="2">
        <v>0</v>
      </c>
      <c r="J2385" s="1">
        <v>45915.379884259259</v>
      </c>
    </row>
    <row r="2386" spans="1:10" x14ac:dyDescent="0.2">
      <c r="A2386" s="4" t="s">
        <v>1</v>
      </c>
      <c r="B2386" s="3" t="str">
        <f>HYPERLINK("https://otsuka-europe-crm.veevavault.com/ui/#object/approved_document__v/V5OZ025E82TFUPI", "Spain - HCP Survey Email - June 2025")</f>
        <v>Spain - HCP Survey Email - June 2025</v>
      </c>
      <c r="C2386" s="3" t="str">
        <f>HYPERLINK("https://otsuka-europe-crm.veevavault.com/ui/#object/sent_email__v/VBLZ025E82GMZGS", "SE-000269486")</f>
        <v>SE-000269486</v>
      </c>
      <c r="D2386" s="1" t="s">
        <v>0</v>
      </c>
      <c r="E2386" s="2">
        <v>0</v>
      </c>
      <c r="F2386" s="2">
        <v>0</v>
      </c>
      <c r="G2386" s="2">
        <v>0</v>
      </c>
      <c r="H2386" s="1" t="s">
        <v>0</v>
      </c>
      <c r="I2386" s="2">
        <v>0</v>
      </c>
      <c r="J2386" s="1">
        <v>45915.37771990741</v>
      </c>
    </row>
    <row r="2387" spans="1:10" x14ac:dyDescent="0.2">
      <c r="A2387" s="4" t="s">
        <v>1</v>
      </c>
      <c r="B2387" s="3" t="str">
        <f>HYPERLINK("https://otsuka-europe-crm.veevavault.com/ui/#object/approved_document__v/V5OZ025E82TFUPI", "Spain - HCP Survey Email - June 2025")</f>
        <v>Spain - HCP Survey Email - June 2025</v>
      </c>
      <c r="C2387" s="3" t="str">
        <f>HYPERLINK("https://otsuka-europe-crm.veevavault.com/ui/#object/sent_email__v/VBLZ025E82GMZGT", "SE-000269487")</f>
        <v>SE-000269487</v>
      </c>
      <c r="D2387" s="1" t="s">
        <v>0</v>
      </c>
      <c r="E2387" s="2">
        <v>0</v>
      </c>
      <c r="F2387" s="2">
        <v>0</v>
      </c>
      <c r="G2387" s="2">
        <v>0</v>
      </c>
      <c r="H2387" s="1" t="s">
        <v>0</v>
      </c>
      <c r="I2387" s="2">
        <v>0</v>
      </c>
      <c r="J2387" s="1">
        <v>45915.377662037034</v>
      </c>
    </row>
    <row r="2388" spans="1:10" x14ac:dyDescent="0.2">
      <c r="A2388" s="4" t="s">
        <v>1</v>
      </c>
      <c r="B2388" s="3" t="str">
        <f>HYPERLINK("https://otsuka-europe-crm.veevavault.com/ui/#object/approved_document__v/V5OZ025E82TFUPI", "Spain - HCP Survey Email - June 2025")</f>
        <v>Spain - HCP Survey Email - June 2025</v>
      </c>
      <c r="C2388" s="3" t="str">
        <f>HYPERLINK("https://otsuka-europe-crm.veevavault.com/ui/#object/sent_email__v/VBLZ025E82GMZGU", "SE-000269488")</f>
        <v>SE-000269488</v>
      </c>
      <c r="D2388" s="1" t="s">
        <v>0</v>
      </c>
      <c r="E2388" s="2">
        <v>0</v>
      </c>
      <c r="F2388" s="2">
        <v>0</v>
      </c>
      <c r="G2388" s="2">
        <v>0</v>
      </c>
      <c r="H2388" s="1" t="s">
        <v>0</v>
      </c>
      <c r="I2388" s="2">
        <v>0</v>
      </c>
      <c r="J2388" s="1">
        <v>45915.378009259257</v>
      </c>
    </row>
    <row r="2389" spans="1:10" x14ac:dyDescent="0.2">
      <c r="A2389" s="4" t="s">
        <v>1</v>
      </c>
      <c r="B2389" s="3" t="str">
        <f>HYPERLINK("https://otsuka-europe-crm.veevavault.com/ui/#object/approved_document__v/V5OZ025E82TFUPI", "Spain - HCP Survey Email - June 2025")</f>
        <v>Spain - HCP Survey Email - June 2025</v>
      </c>
      <c r="C2389" s="3" t="str">
        <f>HYPERLINK("https://otsuka-europe-crm.veevavault.com/ui/#object/sent_email__v/VBLZ025E82GMZGV", "SE-000269489")</f>
        <v>SE-000269489</v>
      </c>
      <c r="D2389" s="1">
        <v>45927.915138888886</v>
      </c>
      <c r="E2389" s="2">
        <v>1</v>
      </c>
      <c r="F2389" s="2">
        <v>2</v>
      </c>
      <c r="G2389" s="2">
        <v>0</v>
      </c>
      <c r="H2389" s="1" t="s">
        <v>0</v>
      </c>
      <c r="I2389" s="2">
        <v>0</v>
      </c>
      <c r="J2389" s="1">
        <v>45915.379108796296</v>
      </c>
    </row>
    <row r="2390" spans="1:10" x14ac:dyDescent="0.2">
      <c r="A2390" s="4" t="s">
        <v>1</v>
      </c>
      <c r="B2390" s="3" t="str">
        <f>HYPERLINK("https://otsuka-europe-crm.veevavault.com/ui/#object/approved_document__v/V5OZ025E82TFUPI", "Spain - HCP Survey Email - June 2025")</f>
        <v>Spain - HCP Survey Email - June 2025</v>
      </c>
      <c r="C2390" s="3" t="str">
        <f>HYPERLINK("https://otsuka-europe-crm.veevavault.com/ui/#object/sent_email__v/VBLZ025E82GMZGW", "SE-000269490")</f>
        <v>SE-000269490</v>
      </c>
      <c r="D2390" s="1">
        <v>45915.655601851853</v>
      </c>
      <c r="E2390" s="2">
        <v>1</v>
      </c>
      <c r="F2390" s="2">
        <v>1</v>
      </c>
      <c r="G2390" s="2">
        <v>0</v>
      </c>
      <c r="H2390" s="1" t="s">
        <v>0</v>
      </c>
      <c r="I2390" s="2">
        <v>0</v>
      </c>
      <c r="J2390" s="1">
        <v>45915.379537037035</v>
      </c>
    </row>
    <row r="2391" spans="1:10" x14ac:dyDescent="0.2">
      <c r="A2391" s="4" t="s">
        <v>1</v>
      </c>
      <c r="B2391" s="3" t="str">
        <f>HYPERLINK("https://otsuka-europe-crm.veevavault.com/ui/#object/approved_document__v/V5OZ025E82TFUPI", "Spain - HCP Survey Email - June 2025")</f>
        <v>Spain - HCP Survey Email - June 2025</v>
      </c>
      <c r="C2391" s="3" t="str">
        <f>HYPERLINK("https://otsuka-europe-crm.veevavault.com/ui/#object/sent_email__v/VBLZ025E82GMZGX", "SE-000269491")</f>
        <v>SE-000269491</v>
      </c>
      <c r="D2391" s="1">
        <v>45915.607118055559</v>
      </c>
      <c r="E2391" s="2">
        <v>1</v>
      </c>
      <c r="F2391" s="2">
        <v>2</v>
      </c>
      <c r="G2391" s="2">
        <v>0</v>
      </c>
      <c r="H2391" s="1" t="s">
        <v>0</v>
      </c>
      <c r="I2391" s="2">
        <v>0</v>
      </c>
      <c r="J2391" s="1">
        <v>45915.37939814815</v>
      </c>
    </row>
    <row r="2392" spans="1:10" x14ac:dyDescent="0.2">
      <c r="A2392" s="4" t="s">
        <v>1</v>
      </c>
      <c r="B2392" s="3" t="str">
        <f>HYPERLINK("https://otsuka-europe-crm.veevavault.com/ui/#object/approved_document__v/V5OZ025E82TFUPI", "Spain - HCP Survey Email - June 2025")</f>
        <v>Spain - HCP Survey Email - June 2025</v>
      </c>
      <c r="C2392" s="3" t="str">
        <f>HYPERLINK("https://otsuka-europe-crm.veevavault.com/ui/#object/sent_email__v/VBLZ025E82GMZGY", "SE-000269492")</f>
        <v>SE-000269492</v>
      </c>
      <c r="D2392" s="1" t="s">
        <v>0</v>
      </c>
      <c r="E2392" s="2">
        <v>0</v>
      </c>
      <c r="F2392" s="2">
        <v>0</v>
      </c>
      <c r="G2392" s="2">
        <v>0</v>
      </c>
      <c r="H2392" s="1" t="s">
        <v>0</v>
      </c>
      <c r="I2392" s="2">
        <v>0</v>
      </c>
      <c r="J2392" s="1">
        <v>45915.377430555556</v>
      </c>
    </row>
    <row r="2393" spans="1:10" x14ac:dyDescent="0.2">
      <c r="A2393" s="4" t="s">
        <v>1</v>
      </c>
      <c r="B2393" s="3" t="str">
        <f>HYPERLINK("https://otsuka-europe-crm.veevavault.com/ui/#object/approved_document__v/V5OZ025E82TFUPI", "Spain - HCP Survey Email - June 2025")</f>
        <v>Spain - HCP Survey Email - June 2025</v>
      </c>
      <c r="C2393" s="3" t="str">
        <f>HYPERLINK("https://otsuka-europe-crm.veevavault.com/ui/#object/sent_email__v/VBLZ025E82GMZGZ", "SE-000269493")</f>
        <v>SE-000269493</v>
      </c>
      <c r="D2393" s="1" t="s">
        <v>0</v>
      </c>
      <c r="E2393" s="2">
        <v>0</v>
      </c>
      <c r="F2393" s="2">
        <v>0</v>
      </c>
      <c r="G2393" s="2">
        <v>0</v>
      </c>
      <c r="H2393" s="1" t="s">
        <v>0</v>
      </c>
      <c r="I2393" s="2">
        <v>0</v>
      </c>
      <c r="J2393" s="1">
        <v>45915.378379629627</v>
      </c>
    </row>
    <row r="2394" spans="1:10" x14ac:dyDescent="0.2">
      <c r="A2394" s="4" t="s">
        <v>1</v>
      </c>
      <c r="B2394" s="3" t="str">
        <f>HYPERLINK("https://otsuka-europe-crm.veevavault.com/ui/#object/approved_document__v/V5OZ025E82TFUPI", "Spain - HCP Survey Email - June 2025")</f>
        <v>Spain - HCP Survey Email - June 2025</v>
      </c>
      <c r="C2394" s="3" t="str">
        <f>HYPERLINK("https://otsuka-europe-crm.veevavault.com/ui/#object/sent_email__v/VBLZ025E82GMZH0", "SE-000269494")</f>
        <v>SE-000269494</v>
      </c>
      <c r="D2394" s="1">
        <v>45915.589456018519</v>
      </c>
      <c r="E2394" s="2">
        <v>1</v>
      </c>
      <c r="F2394" s="2">
        <v>1</v>
      </c>
      <c r="G2394" s="2">
        <v>0</v>
      </c>
      <c r="H2394" s="1" t="s">
        <v>0</v>
      </c>
      <c r="I2394" s="2">
        <v>0</v>
      </c>
      <c r="J2394" s="1">
        <v>45915.378842592596</v>
      </c>
    </row>
    <row r="2395" spans="1:10" x14ac:dyDescent="0.2">
      <c r="A2395" s="4" t="s">
        <v>1</v>
      </c>
      <c r="B2395" s="3" t="str">
        <f>HYPERLINK("https://otsuka-europe-crm.veevavault.com/ui/#object/approved_document__v/V5OZ025E82TFUPI", "Spain - HCP Survey Email - June 2025")</f>
        <v>Spain - HCP Survey Email - June 2025</v>
      </c>
      <c r="C2395" s="3" t="str">
        <f>HYPERLINK("https://otsuka-europe-crm.veevavault.com/ui/#object/sent_email__v/VBLZ025E82GMZH1", "SE-000269495")</f>
        <v>SE-000269495</v>
      </c>
      <c r="D2395" s="1" t="s">
        <v>0</v>
      </c>
      <c r="E2395" s="2">
        <v>0</v>
      </c>
      <c r="F2395" s="2">
        <v>0</v>
      </c>
      <c r="G2395" s="2">
        <v>0</v>
      </c>
      <c r="H2395" s="1" t="s">
        <v>0</v>
      </c>
      <c r="I2395" s="2">
        <v>0</v>
      </c>
      <c r="J2395" s="1">
        <v>45915.378576388888</v>
      </c>
    </row>
    <row r="2396" spans="1:10" x14ac:dyDescent="0.2">
      <c r="A2396" s="4" t="s">
        <v>1</v>
      </c>
      <c r="B2396" s="3" t="str">
        <f>HYPERLINK("https://otsuka-europe-crm.veevavault.com/ui/#object/approved_document__v/V5OZ025E82TFUPI", "Spain - HCP Survey Email - June 2025")</f>
        <v>Spain - HCP Survey Email - June 2025</v>
      </c>
      <c r="C2396" s="3" t="str">
        <f>HYPERLINK("https://otsuka-europe-crm.veevavault.com/ui/#object/sent_email__v/VBLZ025E82GMZH2", "SE-000269496")</f>
        <v>SE-000269496</v>
      </c>
      <c r="D2396" s="1" t="s">
        <v>0</v>
      </c>
      <c r="E2396" s="2">
        <v>0</v>
      </c>
      <c r="F2396" s="2">
        <v>0</v>
      </c>
      <c r="G2396" s="2">
        <v>0</v>
      </c>
      <c r="H2396" s="1" t="s">
        <v>0</v>
      </c>
      <c r="I2396" s="2">
        <v>0</v>
      </c>
      <c r="J2396" s="1">
        <v>45915.379849537036</v>
      </c>
    </row>
    <row r="2397" spans="1:10" x14ac:dyDescent="0.2">
      <c r="A2397" s="4" t="s">
        <v>1</v>
      </c>
      <c r="B2397" s="3" t="str">
        <f>HYPERLINK("https://otsuka-europe-crm.veevavault.com/ui/#object/approved_document__v/V5OZ025E82TFUPI", "Spain - HCP Survey Email - June 2025")</f>
        <v>Spain - HCP Survey Email - June 2025</v>
      </c>
      <c r="C2397" s="3" t="str">
        <f>HYPERLINK("https://otsuka-europe-crm.veevavault.com/ui/#object/sent_email__v/VBLZ025E82GMZH3", "SE-000269497")</f>
        <v>SE-000269497</v>
      </c>
      <c r="D2397" s="1">
        <v>45915.992986111109</v>
      </c>
      <c r="E2397" s="2">
        <v>1</v>
      </c>
      <c r="F2397" s="2">
        <v>1</v>
      </c>
      <c r="G2397" s="2">
        <v>0</v>
      </c>
      <c r="H2397" s="1" t="s">
        <v>0</v>
      </c>
      <c r="I2397" s="2">
        <v>0</v>
      </c>
      <c r="J2397" s="1">
        <v>45915.377754629626</v>
      </c>
    </row>
    <row r="2398" spans="1:10" x14ac:dyDescent="0.2">
      <c r="A2398" s="4" t="s">
        <v>1</v>
      </c>
      <c r="B2398" s="3" t="str">
        <f>HYPERLINK("https://otsuka-europe-crm.veevavault.com/ui/#object/approved_document__v/V5OZ025E82TFUPI", "Spain - HCP Survey Email - June 2025")</f>
        <v>Spain - HCP Survey Email - June 2025</v>
      </c>
      <c r="C2398" s="3" t="str">
        <f>HYPERLINK("https://otsuka-europe-crm.veevavault.com/ui/#object/sent_email__v/VBLZ025E82GMZH4", "SE-000269498")</f>
        <v>SE-000269498</v>
      </c>
      <c r="D2398" s="1">
        <v>45915.377962962964</v>
      </c>
      <c r="E2398" s="2">
        <v>1</v>
      </c>
      <c r="F2398" s="2">
        <v>1</v>
      </c>
      <c r="G2398" s="2">
        <v>1</v>
      </c>
      <c r="H2398" s="1">
        <v>45915.378483796296</v>
      </c>
      <c r="I2398" s="2">
        <v>2</v>
      </c>
      <c r="J2398" s="1">
        <v>45915.377662037034</v>
      </c>
    </row>
    <row r="2399" spans="1:10" x14ac:dyDescent="0.2">
      <c r="A2399" s="4" t="s">
        <v>1</v>
      </c>
      <c r="B2399" s="3" t="str">
        <f>HYPERLINK("https://otsuka-europe-crm.veevavault.com/ui/#object/approved_document__v/V5OZ025E82TFUPI", "Spain - HCP Survey Email - June 2025")</f>
        <v>Spain - HCP Survey Email - June 2025</v>
      </c>
      <c r="C2399" s="3" t="str">
        <f>HYPERLINK("https://otsuka-europe-crm.veevavault.com/ui/#object/sent_email__v/VBLZ025E82GMZH5", "SE-000269499")</f>
        <v>SE-000269499</v>
      </c>
      <c r="D2399" s="1" t="s">
        <v>0</v>
      </c>
      <c r="E2399" s="2">
        <v>0</v>
      </c>
      <c r="F2399" s="2">
        <v>0</v>
      </c>
      <c r="G2399" s="2">
        <v>0</v>
      </c>
      <c r="H2399" s="1" t="s">
        <v>0</v>
      </c>
      <c r="I2399" s="2">
        <v>0</v>
      </c>
      <c r="J2399" s="1">
        <v>45915.378020833334</v>
      </c>
    </row>
    <row r="2400" spans="1:10" x14ac:dyDescent="0.2">
      <c r="A2400" s="4" t="s">
        <v>1</v>
      </c>
      <c r="B2400" s="3" t="str">
        <f>HYPERLINK("https://otsuka-europe-crm.veevavault.com/ui/#object/approved_document__v/V5OZ025E82TFUPI", "Spain - HCP Survey Email - June 2025")</f>
        <v>Spain - HCP Survey Email - June 2025</v>
      </c>
      <c r="C2400" s="3" t="str">
        <f>HYPERLINK("https://otsuka-europe-crm.veevavault.com/ui/#object/sent_email__v/VBLZ025E82GMZH6", "SE-000269500")</f>
        <v>SE-000269500</v>
      </c>
      <c r="D2400" s="1" t="s">
        <v>0</v>
      </c>
      <c r="E2400" s="2">
        <v>0</v>
      </c>
      <c r="F2400" s="2">
        <v>0</v>
      </c>
      <c r="G2400" s="2">
        <v>0</v>
      </c>
      <c r="H2400" s="1" t="s">
        <v>0</v>
      </c>
      <c r="I2400" s="2">
        <v>0</v>
      </c>
      <c r="J2400" s="1">
        <v>45915.378935185188</v>
      </c>
    </row>
    <row r="2401" spans="1:10" x14ac:dyDescent="0.2">
      <c r="A2401" s="4" t="s">
        <v>1</v>
      </c>
      <c r="B2401" s="3" t="str">
        <f>HYPERLINK("https://otsuka-europe-crm.veevavault.com/ui/#object/approved_document__v/V5OZ025E82TFUPI", "Spain - HCP Survey Email - June 2025")</f>
        <v>Spain - HCP Survey Email - June 2025</v>
      </c>
      <c r="C2401" s="3" t="str">
        <f>HYPERLINK("https://otsuka-europe-crm.veevavault.com/ui/#object/sent_email__v/VBLZ025E82GMZH7", "SE-000269501")</f>
        <v>SE-000269501</v>
      </c>
      <c r="D2401" s="1" t="s">
        <v>0</v>
      </c>
      <c r="E2401" s="2">
        <v>0</v>
      </c>
      <c r="F2401" s="2">
        <v>0</v>
      </c>
      <c r="G2401" s="2">
        <v>0</v>
      </c>
      <c r="H2401" s="1" t="s">
        <v>0</v>
      </c>
      <c r="I2401" s="2">
        <v>0</v>
      </c>
      <c r="J2401" s="1">
        <v>45915.379537037035</v>
      </c>
    </row>
    <row r="2402" spans="1:10" x14ac:dyDescent="0.2">
      <c r="A2402" s="4" t="s">
        <v>1</v>
      </c>
      <c r="B2402" s="3" t="str">
        <f>HYPERLINK("https://otsuka-europe-crm.veevavault.com/ui/#object/approved_document__v/V5OZ025E82TFUPI", "Spain - HCP Survey Email - June 2025")</f>
        <v>Spain - HCP Survey Email - June 2025</v>
      </c>
      <c r="C2402" s="3" t="str">
        <f>HYPERLINK("https://otsuka-europe-crm.veevavault.com/ui/#object/sent_email__v/VBLZ025E82GMZH8", "SE-000269502")</f>
        <v>SE-000269502</v>
      </c>
      <c r="D2402" s="1">
        <v>45944.700914351852</v>
      </c>
      <c r="E2402" s="2">
        <v>1</v>
      </c>
      <c r="F2402" s="2">
        <v>2</v>
      </c>
      <c r="G2402" s="2">
        <v>0</v>
      </c>
      <c r="H2402" s="1" t="s">
        <v>0</v>
      </c>
      <c r="I2402" s="2">
        <v>0</v>
      </c>
      <c r="J2402" s="1">
        <v>45915.379340277781</v>
      </c>
    </row>
    <row r="2403" spans="1:10" x14ac:dyDescent="0.2">
      <c r="A2403" s="4" t="s">
        <v>1</v>
      </c>
      <c r="B2403" s="3" t="str">
        <f>HYPERLINK("https://otsuka-europe-crm.veevavault.com/ui/#object/approved_document__v/V5OZ025E82TFUPI", "Spain - HCP Survey Email - June 2025")</f>
        <v>Spain - HCP Survey Email - June 2025</v>
      </c>
      <c r="C2403" s="3" t="str">
        <f>HYPERLINK("https://otsuka-europe-crm.veevavault.com/ui/#object/sent_email__v/VBLZ025E82GMZH9", "SE-000269503")</f>
        <v>SE-000269503</v>
      </c>
      <c r="D2403" s="1">
        <v>45922.814155092594</v>
      </c>
      <c r="E2403" s="2">
        <v>1</v>
      </c>
      <c r="F2403" s="2">
        <v>8</v>
      </c>
      <c r="G2403" s="2">
        <v>0</v>
      </c>
      <c r="H2403" s="1" t="s">
        <v>0</v>
      </c>
      <c r="I2403" s="2">
        <v>0</v>
      </c>
      <c r="J2403" s="1">
        <v>45915.377465277779</v>
      </c>
    </row>
    <row r="2404" spans="1:10" x14ac:dyDescent="0.2">
      <c r="A2404" s="4" t="s">
        <v>1</v>
      </c>
      <c r="B2404" s="3" t="str">
        <f>HYPERLINK("https://otsuka-europe-crm.veevavault.com/ui/#object/approved_document__v/V5OZ025E82TFUPI", "Spain - HCP Survey Email - June 2025")</f>
        <v>Spain - HCP Survey Email - June 2025</v>
      </c>
      <c r="C2404" s="3" t="str">
        <f>HYPERLINK("https://otsuka-europe-crm.veevavault.com/ui/#object/sent_email__v/VBLZ025E82GMZHA", "SE-000269504")</f>
        <v>SE-000269504</v>
      </c>
      <c r="D2404" s="1">
        <v>45915.508900462963</v>
      </c>
      <c r="E2404" s="2">
        <v>1</v>
      </c>
      <c r="F2404" s="2">
        <v>1</v>
      </c>
      <c r="G2404" s="2">
        <v>0</v>
      </c>
      <c r="H2404" s="1" t="s">
        <v>0</v>
      </c>
      <c r="I2404" s="2">
        <v>0</v>
      </c>
      <c r="J2404" s="1">
        <v>45915.378506944442</v>
      </c>
    </row>
    <row r="2405" spans="1:10" x14ac:dyDescent="0.2">
      <c r="A2405" s="4" t="s">
        <v>1</v>
      </c>
      <c r="B2405" s="3" t="str">
        <f>HYPERLINK("https://otsuka-europe-crm.veevavault.com/ui/#object/approved_document__v/V5OZ025E82TFUPI", "Spain - HCP Survey Email - June 2025")</f>
        <v>Spain - HCP Survey Email - June 2025</v>
      </c>
      <c r="C2405" s="3" t="str">
        <f>HYPERLINK("https://otsuka-europe-crm.veevavault.com/ui/#object/sent_email__v/VBLZ025E82GMZHB", "SE-000269505")</f>
        <v>SE-000269505</v>
      </c>
      <c r="D2405" s="1" t="s">
        <v>0</v>
      </c>
      <c r="E2405" s="2">
        <v>0</v>
      </c>
      <c r="F2405" s="2">
        <v>0</v>
      </c>
      <c r="G2405" s="2">
        <v>0</v>
      </c>
      <c r="H2405" s="1" t="s">
        <v>0</v>
      </c>
      <c r="I2405" s="2">
        <v>0</v>
      </c>
      <c r="J2405" s="1">
        <v>45915.378854166665</v>
      </c>
    </row>
    <row r="2406" spans="1:10" x14ac:dyDescent="0.2">
      <c r="A2406" s="4" t="s">
        <v>1</v>
      </c>
      <c r="B2406" s="3" t="str">
        <f>HYPERLINK("https://otsuka-europe-crm.veevavault.com/ui/#object/approved_document__v/V5OZ025E82TFUPI", "Spain - HCP Survey Email - June 2025")</f>
        <v>Spain - HCP Survey Email - June 2025</v>
      </c>
      <c r="C2406" s="3" t="str">
        <f>HYPERLINK("https://otsuka-europe-crm.veevavault.com/ui/#object/sent_email__v/VBLZ025E82GMZHC", "SE-000269506")</f>
        <v>SE-000269506</v>
      </c>
      <c r="D2406" s="1" t="s">
        <v>0</v>
      </c>
      <c r="E2406" s="2">
        <v>0</v>
      </c>
      <c r="F2406" s="2">
        <v>0</v>
      </c>
      <c r="G2406" s="2">
        <v>0</v>
      </c>
      <c r="H2406" s="1" t="s">
        <v>0</v>
      </c>
      <c r="I2406" s="2">
        <v>0</v>
      </c>
      <c r="J2406" s="1">
        <v>45915.378657407404</v>
      </c>
    </row>
    <row r="2407" spans="1:10" x14ac:dyDescent="0.2">
      <c r="A2407" s="4" t="s">
        <v>1</v>
      </c>
      <c r="B2407" s="3" t="str">
        <f>HYPERLINK("https://otsuka-europe-crm.veevavault.com/ui/#object/approved_document__v/V5OZ025E82TFUPI", "Spain - HCP Survey Email - June 2025")</f>
        <v>Spain - HCP Survey Email - June 2025</v>
      </c>
      <c r="C2407" s="3" t="str">
        <f>HYPERLINK("https://otsuka-europe-crm.veevavault.com/ui/#object/sent_email__v/VBLZ025E82GMZHD", "SE-000269507")</f>
        <v>SE-000269507</v>
      </c>
      <c r="D2407" s="1">
        <v>45915.45826388889</v>
      </c>
      <c r="E2407" s="2">
        <v>1</v>
      </c>
      <c r="F2407" s="2">
        <v>1</v>
      </c>
      <c r="G2407" s="2">
        <v>0</v>
      </c>
      <c r="H2407" s="1" t="s">
        <v>0</v>
      </c>
      <c r="I2407" s="2">
        <v>0</v>
      </c>
      <c r="J2407" s="1">
        <v>45915.379930555559</v>
      </c>
    </row>
    <row r="2408" spans="1:10" x14ac:dyDescent="0.2">
      <c r="A2408" s="4" t="s">
        <v>1</v>
      </c>
      <c r="B2408" s="3" t="str">
        <f>HYPERLINK("https://otsuka-europe-crm.veevavault.com/ui/#object/approved_document__v/V5OZ025E82TFUPI", "Spain - HCP Survey Email - June 2025")</f>
        <v>Spain - HCP Survey Email - June 2025</v>
      </c>
      <c r="C2408" s="3" t="str">
        <f>HYPERLINK("https://otsuka-europe-crm.veevavault.com/ui/#object/sent_email__v/VBLZ025E82GMZHE", "SE-000269508")</f>
        <v>SE-000269508</v>
      </c>
      <c r="D2408" s="1">
        <v>45928.971053240741</v>
      </c>
      <c r="E2408" s="2">
        <v>1</v>
      </c>
      <c r="F2408" s="2">
        <v>3</v>
      </c>
      <c r="G2408" s="2">
        <v>0</v>
      </c>
      <c r="H2408" s="1" t="s">
        <v>0</v>
      </c>
      <c r="I2408" s="2">
        <v>0</v>
      </c>
      <c r="J2408" s="1">
        <v>45915.377743055556</v>
      </c>
    </row>
    <row r="2409" spans="1:10" x14ac:dyDescent="0.2">
      <c r="A2409" s="4" t="s">
        <v>1</v>
      </c>
      <c r="B2409" s="3" t="str">
        <f>HYPERLINK("https://otsuka-europe-crm.veevavault.com/ui/#object/approved_document__v/V5OZ025E82TFUPI", "Spain - HCP Survey Email - June 2025")</f>
        <v>Spain - HCP Survey Email - June 2025</v>
      </c>
      <c r="C2409" s="3" t="str">
        <f>HYPERLINK("https://otsuka-europe-crm.veevavault.com/ui/#object/sent_email__v/VBLZ025E82GMZHF", "SE-000269509")</f>
        <v>SE-000269509</v>
      </c>
      <c r="D2409" s="1">
        <v>45915.633414351854</v>
      </c>
      <c r="E2409" s="2">
        <v>1</v>
      </c>
      <c r="F2409" s="2">
        <v>3</v>
      </c>
      <c r="G2409" s="2">
        <v>1</v>
      </c>
      <c r="H2409" s="1">
        <v>45915.37871527778</v>
      </c>
      <c r="I2409" s="2">
        <v>2</v>
      </c>
      <c r="J2409" s="1">
        <v>45915.377615740741</v>
      </c>
    </row>
    <row r="2410" spans="1:10" x14ac:dyDescent="0.2">
      <c r="A2410" s="4" t="s">
        <v>1</v>
      </c>
      <c r="B2410" s="3" t="str">
        <f>HYPERLINK("https://otsuka-europe-crm.veevavault.com/ui/#object/approved_document__v/V5OZ025E82TFUPI", "Spain - HCP Survey Email - June 2025")</f>
        <v>Spain - HCP Survey Email - June 2025</v>
      </c>
      <c r="C2410" s="3" t="str">
        <f>HYPERLINK("https://otsuka-europe-crm.veevavault.com/ui/#object/sent_email__v/VBLZ025E82GMZHG", "SE-000269510")</f>
        <v>SE-000269510</v>
      </c>
      <c r="D2410" s="1" t="s">
        <v>0</v>
      </c>
      <c r="E2410" s="2">
        <v>0</v>
      </c>
      <c r="F2410" s="2">
        <v>0</v>
      </c>
      <c r="G2410" s="2">
        <v>0</v>
      </c>
      <c r="H2410" s="1" t="s">
        <v>0</v>
      </c>
      <c r="I2410" s="2">
        <v>0</v>
      </c>
      <c r="J2410" s="1">
        <v>45915.377986111111</v>
      </c>
    </row>
    <row r="2411" spans="1:10" x14ac:dyDescent="0.2">
      <c r="A2411" s="4" t="s">
        <v>1</v>
      </c>
      <c r="B2411" s="3" t="str">
        <f>HYPERLINK("https://otsuka-europe-crm.veevavault.com/ui/#object/approved_document__v/V5OZ025E82TFUPI", "Spain - HCP Survey Email - June 2025")</f>
        <v>Spain - HCP Survey Email - June 2025</v>
      </c>
      <c r="C2411" s="3" t="str">
        <f>HYPERLINK("https://otsuka-europe-crm.veevavault.com/ui/#object/sent_email__v/VBLZ025E82GMZHH", "SE-000269511")</f>
        <v>SE-000269511</v>
      </c>
      <c r="D2411" s="1">
        <v>45915.379201388889</v>
      </c>
      <c r="E2411" s="2">
        <v>1</v>
      </c>
      <c r="F2411" s="2">
        <v>1</v>
      </c>
      <c r="G2411" s="2">
        <v>1</v>
      </c>
      <c r="H2411" s="1">
        <v>45915.379490740743</v>
      </c>
      <c r="I2411" s="2">
        <v>2</v>
      </c>
      <c r="J2411" s="1">
        <v>45915.379143518519</v>
      </c>
    </row>
    <row r="2412" spans="1:10" x14ac:dyDescent="0.2">
      <c r="A2412" s="4" t="s">
        <v>1</v>
      </c>
      <c r="B2412" s="3" t="str">
        <f>HYPERLINK("https://otsuka-europe-crm.veevavault.com/ui/#object/approved_document__v/V5OZ025E82TFUPI", "Spain - HCP Survey Email - June 2025")</f>
        <v>Spain - HCP Survey Email - June 2025</v>
      </c>
      <c r="C2412" s="3" t="str">
        <f>HYPERLINK("https://otsuka-europe-crm.veevavault.com/ui/#object/sent_email__v/VBLZ025E82GMZHI", "SE-000269512")</f>
        <v>SE-000269512</v>
      </c>
      <c r="D2412" s="1" t="s">
        <v>0</v>
      </c>
      <c r="E2412" s="2">
        <v>0</v>
      </c>
      <c r="F2412" s="2">
        <v>0</v>
      </c>
      <c r="G2412" s="2">
        <v>0</v>
      </c>
      <c r="H2412" s="1" t="s">
        <v>0</v>
      </c>
      <c r="I2412" s="2">
        <v>0</v>
      </c>
      <c r="J2412" s="1">
        <v>45915.379675925928</v>
      </c>
    </row>
    <row r="2413" spans="1:10" x14ac:dyDescent="0.2">
      <c r="A2413" s="4" t="s">
        <v>1</v>
      </c>
      <c r="B2413" s="3" t="str">
        <f>HYPERLINK("https://otsuka-europe-crm.veevavault.com/ui/#object/approved_document__v/V5OZ025E82TFUPI", "Spain - HCP Survey Email - June 2025")</f>
        <v>Spain - HCP Survey Email - June 2025</v>
      </c>
      <c r="C2413" s="3" t="str">
        <f>HYPERLINK("https://otsuka-europe-crm.veevavault.com/ui/#object/sent_email__v/VBLZ025E82GMZHJ", "SE-000269513")</f>
        <v>SE-000269513</v>
      </c>
      <c r="D2413" s="1">
        <v>45915.449432870373</v>
      </c>
      <c r="E2413" s="2">
        <v>1</v>
      </c>
      <c r="F2413" s="2">
        <v>3</v>
      </c>
      <c r="G2413" s="2">
        <v>0</v>
      </c>
      <c r="H2413" s="1" t="s">
        <v>0</v>
      </c>
      <c r="I2413" s="2">
        <v>0</v>
      </c>
      <c r="J2413" s="1">
        <v>45915.37940972222</v>
      </c>
    </row>
    <row r="2414" spans="1:10" x14ac:dyDescent="0.2">
      <c r="A2414" s="4" t="s">
        <v>1</v>
      </c>
      <c r="B2414" s="3" t="str">
        <f>HYPERLINK("https://otsuka-europe-crm.veevavault.com/ui/#object/approved_document__v/V5OZ025E82TFUPI", "Spain - HCP Survey Email - June 2025")</f>
        <v>Spain - HCP Survey Email - June 2025</v>
      </c>
      <c r="C2414" s="3" t="str">
        <f>HYPERLINK("https://otsuka-europe-crm.veevavault.com/ui/#object/sent_email__v/VBLZ025E82GMZHK", "SE-000269514")</f>
        <v>SE-000269514</v>
      </c>
      <c r="D2414" s="1" t="s">
        <v>0</v>
      </c>
      <c r="E2414" s="2">
        <v>0</v>
      </c>
      <c r="F2414" s="2">
        <v>0</v>
      </c>
      <c r="G2414" s="2">
        <v>0</v>
      </c>
      <c r="H2414" s="1" t="s">
        <v>0</v>
      </c>
      <c r="I2414" s="2">
        <v>0</v>
      </c>
      <c r="J2414" s="1">
        <v>45915.377395833333</v>
      </c>
    </row>
    <row r="2415" spans="1:10" x14ac:dyDescent="0.2">
      <c r="A2415" s="4" t="s">
        <v>1</v>
      </c>
      <c r="B2415" s="3" t="str">
        <f>HYPERLINK("https://otsuka-europe-crm.veevavault.com/ui/#object/approved_document__v/V5OZ025E82TFUPI", "Spain - HCP Survey Email - June 2025")</f>
        <v>Spain - HCP Survey Email - June 2025</v>
      </c>
      <c r="C2415" s="3" t="str">
        <f>HYPERLINK("https://otsuka-europe-crm.veevavault.com/ui/#object/sent_email__v/VBLZ025E82GMZHL", "SE-000269515")</f>
        <v>SE-000269515</v>
      </c>
      <c r="D2415" s="1">
        <v>45916.016296296293</v>
      </c>
      <c r="E2415" s="2">
        <v>1</v>
      </c>
      <c r="F2415" s="2">
        <v>2</v>
      </c>
      <c r="G2415" s="2">
        <v>0</v>
      </c>
      <c r="H2415" s="1" t="s">
        <v>0</v>
      </c>
      <c r="I2415" s="2">
        <v>0</v>
      </c>
      <c r="J2415" s="1">
        <v>45915.37840277778</v>
      </c>
    </row>
    <row r="2416" spans="1:10" x14ac:dyDescent="0.2">
      <c r="A2416" s="4" t="s">
        <v>1</v>
      </c>
      <c r="B2416" s="3" t="str">
        <f>HYPERLINK("https://otsuka-europe-crm.veevavault.com/ui/#object/approved_document__v/V5OZ025E82TFUPI", "Spain - HCP Survey Email - June 2025")</f>
        <v>Spain - HCP Survey Email - June 2025</v>
      </c>
      <c r="C2416" s="3" t="str">
        <f>HYPERLINK("https://otsuka-europe-crm.veevavault.com/ui/#object/sent_email__v/VBLZ025E82GMZHM", "SE-000269516")</f>
        <v>SE-000269516</v>
      </c>
      <c r="D2416" s="1" t="s">
        <v>0</v>
      </c>
      <c r="E2416" s="2">
        <v>0</v>
      </c>
      <c r="F2416" s="2">
        <v>0</v>
      </c>
      <c r="G2416" s="2">
        <v>0</v>
      </c>
      <c r="H2416" s="1" t="s">
        <v>0</v>
      </c>
      <c r="I2416" s="2">
        <v>0</v>
      </c>
      <c r="J2416" s="1">
        <v>45915.378900462965</v>
      </c>
    </row>
    <row r="2417" spans="1:10" x14ac:dyDescent="0.2">
      <c r="A2417" s="4" t="s">
        <v>1</v>
      </c>
      <c r="B2417" s="3" t="str">
        <f>HYPERLINK("https://otsuka-europe-crm.veevavault.com/ui/#object/approved_document__v/V5OZ025E82TFUPI", "Spain - HCP Survey Email - June 2025")</f>
        <v>Spain - HCP Survey Email - June 2025</v>
      </c>
      <c r="C2417" s="3" t="str">
        <f>HYPERLINK("https://otsuka-europe-crm.veevavault.com/ui/#object/sent_email__v/VBLZ025E82GMZHN", "SE-000269517")</f>
        <v>SE-000269517</v>
      </c>
      <c r="D2417" s="1">
        <v>45915.378784722219</v>
      </c>
      <c r="E2417" s="2">
        <v>1</v>
      </c>
      <c r="F2417" s="2">
        <v>2</v>
      </c>
      <c r="G2417" s="2">
        <v>0</v>
      </c>
      <c r="H2417" s="1" t="s">
        <v>0</v>
      </c>
      <c r="I2417" s="2">
        <v>0</v>
      </c>
      <c r="J2417" s="1">
        <v>45915.378611111111</v>
      </c>
    </row>
    <row r="2418" spans="1:10" x14ac:dyDescent="0.2">
      <c r="A2418" s="4" t="s">
        <v>1</v>
      </c>
      <c r="B2418" s="3" t="str">
        <f>HYPERLINK("https://otsuka-europe-crm.veevavault.com/ui/#object/approved_document__v/V5OZ025E82TFUPI", "Spain - HCP Survey Email - June 2025")</f>
        <v>Spain - HCP Survey Email - June 2025</v>
      </c>
      <c r="C2418" s="3" t="str">
        <f>HYPERLINK("https://otsuka-europe-crm.veevavault.com/ui/#object/sent_email__v/VBLZ025E82GMZHO", "SE-000269518")</f>
        <v>SE-000269518</v>
      </c>
      <c r="D2418" s="1" t="s">
        <v>0</v>
      </c>
      <c r="E2418" s="2">
        <v>0</v>
      </c>
      <c r="F2418" s="2">
        <v>0</v>
      </c>
      <c r="G2418" s="2">
        <v>0</v>
      </c>
      <c r="H2418" s="1" t="s">
        <v>0</v>
      </c>
      <c r="I2418" s="2">
        <v>0</v>
      </c>
      <c r="J2418" s="1">
        <v>45915.379826388889</v>
      </c>
    </row>
    <row r="2419" spans="1:10" x14ac:dyDescent="0.2">
      <c r="A2419" s="4" t="s">
        <v>1</v>
      </c>
      <c r="B2419" s="3" t="str">
        <f>HYPERLINK("https://otsuka-europe-crm.veevavault.com/ui/#object/approved_document__v/V5OZ025E82TFUPI", "Spain - HCP Survey Email - June 2025")</f>
        <v>Spain - HCP Survey Email - June 2025</v>
      </c>
      <c r="C2419" s="3" t="str">
        <f>HYPERLINK("https://otsuka-europe-crm.veevavault.com/ui/#object/sent_email__v/VBLZ025E82GMZHP", "SE-000269519")</f>
        <v>SE-000269519</v>
      </c>
      <c r="D2419" s="1">
        <v>45915.452546296299</v>
      </c>
      <c r="E2419" s="2">
        <v>1</v>
      </c>
      <c r="F2419" s="2">
        <v>1</v>
      </c>
      <c r="G2419" s="2">
        <v>0</v>
      </c>
      <c r="H2419" s="1" t="s">
        <v>0</v>
      </c>
      <c r="I2419" s="2">
        <v>0</v>
      </c>
      <c r="J2419" s="1">
        <v>45915.377685185187</v>
      </c>
    </row>
    <row r="2420" spans="1:10" x14ac:dyDescent="0.2">
      <c r="A2420" s="4" t="s">
        <v>1</v>
      </c>
      <c r="B2420" s="3" t="str">
        <f>HYPERLINK("https://otsuka-europe-crm.veevavault.com/ui/#object/approved_document__v/V5OZ025E82TFUPI", "Spain - HCP Survey Email - June 2025")</f>
        <v>Spain - HCP Survey Email - June 2025</v>
      </c>
      <c r="C2420" s="3" t="str">
        <f>HYPERLINK("https://otsuka-europe-crm.veevavault.com/ui/#object/sent_email__v/VBLZ025E82GMZHQ", "SE-000269520")</f>
        <v>SE-000269520</v>
      </c>
      <c r="D2420" s="1">
        <v>45915.379027777781</v>
      </c>
      <c r="E2420" s="2">
        <v>1</v>
      </c>
      <c r="F2420" s="2">
        <v>1</v>
      </c>
      <c r="G2420" s="2">
        <v>1</v>
      </c>
      <c r="H2420" s="1">
        <v>45915.379374999997</v>
      </c>
      <c r="I2420" s="2">
        <v>2</v>
      </c>
      <c r="J2420" s="1">
        <v>45915.378923611112</v>
      </c>
    </row>
    <row r="2421" spans="1:10" x14ac:dyDescent="0.2">
      <c r="A2421" s="4" t="s">
        <v>1</v>
      </c>
      <c r="B2421" s="3" t="str">
        <f>HYPERLINK("https://otsuka-europe-crm.veevavault.com/ui/#object/approved_document__v/V5OZ025E82TFUPI", "Spain - HCP Survey Email - June 2025")</f>
        <v>Spain - HCP Survey Email - June 2025</v>
      </c>
      <c r="C2421" s="3" t="str">
        <f>HYPERLINK("https://otsuka-europe-crm.veevavault.com/ui/#object/sent_email__v/VBLZ025E82GMZHR", "SE-000269521")</f>
        <v>SE-000269521</v>
      </c>
      <c r="D2421" s="1" t="s">
        <v>0</v>
      </c>
      <c r="E2421" s="2">
        <v>0</v>
      </c>
      <c r="F2421" s="2">
        <v>0</v>
      </c>
      <c r="G2421" s="2">
        <v>0</v>
      </c>
      <c r="H2421" s="1" t="s">
        <v>0</v>
      </c>
      <c r="I2421" s="2">
        <v>0</v>
      </c>
      <c r="J2421" s="1">
        <v>45915.378576388888</v>
      </c>
    </row>
    <row r="2422" spans="1:10" x14ac:dyDescent="0.2">
      <c r="A2422" s="4" t="s">
        <v>1</v>
      </c>
      <c r="B2422" s="3" t="str">
        <f>HYPERLINK("https://otsuka-europe-crm.veevavault.com/ui/#object/approved_document__v/V5OZ025E82TFUPI", "Spain - HCP Survey Email - June 2025")</f>
        <v>Spain - HCP Survey Email - June 2025</v>
      </c>
      <c r="C2422" s="3" t="str">
        <f>HYPERLINK("https://otsuka-europe-crm.veevavault.com/ui/#object/sent_email__v/VBLZ025E82GMZHS", "SE-000269522")</f>
        <v>SE-000269522</v>
      </c>
      <c r="D2422" s="1" t="s">
        <v>0</v>
      </c>
      <c r="E2422" s="2">
        <v>0</v>
      </c>
      <c r="F2422" s="2">
        <v>0</v>
      </c>
      <c r="G2422" s="2">
        <v>0</v>
      </c>
      <c r="H2422" s="1" t="s">
        <v>0</v>
      </c>
      <c r="I2422" s="2">
        <v>0</v>
      </c>
      <c r="J2422" s="1">
        <v>45915.379965277774</v>
      </c>
    </row>
    <row r="2423" spans="1:10" x14ac:dyDescent="0.2">
      <c r="A2423" s="4" t="s">
        <v>1</v>
      </c>
      <c r="B2423" s="3" t="str">
        <f>HYPERLINK("https://otsuka-europe-crm.veevavault.com/ui/#object/approved_document__v/V5OZ025E82TFUPI", "Spain - HCP Survey Email - June 2025")</f>
        <v>Spain - HCP Survey Email - June 2025</v>
      </c>
      <c r="C2423" s="3" t="str">
        <f>HYPERLINK("https://otsuka-europe-crm.veevavault.com/ui/#object/sent_email__v/VBLZ025E82GMZHT", "SE-000269523")</f>
        <v>SE-000269523</v>
      </c>
      <c r="D2423" s="1">
        <v>45915.891493055555</v>
      </c>
      <c r="E2423" s="2">
        <v>1</v>
      </c>
      <c r="F2423" s="2">
        <v>3</v>
      </c>
      <c r="G2423" s="2">
        <v>0</v>
      </c>
      <c r="H2423" s="1" t="s">
        <v>0</v>
      </c>
      <c r="I2423" s="2">
        <v>0</v>
      </c>
      <c r="J2423" s="1">
        <v>45915.37767361111</v>
      </c>
    </row>
    <row r="2424" spans="1:10" x14ac:dyDescent="0.2">
      <c r="A2424" s="4" t="s">
        <v>1</v>
      </c>
      <c r="B2424" s="3" t="str">
        <f>HYPERLINK("https://otsuka-europe-crm.veevavault.com/ui/#object/approved_document__v/V5OZ025E82TFUPI", "Spain - HCP Survey Email - June 2025")</f>
        <v>Spain - HCP Survey Email - June 2025</v>
      </c>
      <c r="C2424" s="3" t="str">
        <f>HYPERLINK("https://otsuka-europe-crm.veevavault.com/ui/#object/sent_email__v/VBLZ025E82GMZHU", "SE-000269524")</f>
        <v>SE-000269524</v>
      </c>
      <c r="D2424" s="1">
        <v>45915.610520833332</v>
      </c>
      <c r="E2424" s="2">
        <v>1</v>
      </c>
      <c r="F2424" s="2">
        <v>4</v>
      </c>
      <c r="G2424" s="2">
        <v>0</v>
      </c>
      <c r="H2424" s="1" t="s">
        <v>0</v>
      </c>
      <c r="I2424" s="2">
        <v>0</v>
      </c>
      <c r="J2424" s="1">
        <v>45915.377615740741</v>
      </c>
    </row>
    <row r="2425" spans="1:10" x14ac:dyDescent="0.2">
      <c r="A2425" s="4" t="s">
        <v>1</v>
      </c>
      <c r="B2425" s="3" t="str">
        <f>HYPERLINK("https://otsuka-europe-crm.veevavault.com/ui/#object/approved_document__v/V5OZ025E82TFUPI", "Spain - HCP Survey Email - June 2025")</f>
        <v>Spain - HCP Survey Email - June 2025</v>
      </c>
      <c r="C2425" s="3" t="str">
        <f>HYPERLINK("https://otsuka-europe-crm.veevavault.com/ui/#object/sent_email__v/VBLZ025E82GMZHV", "SE-000269525")</f>
        <v>SE-000269525</v>
      </c>
      <c r="D2425" s="1">
        <v>45915.483969907407</v>
      </c>
      <c r="E2425" s="2">
        <v>1</v>
      </c>
      <c r="F2425" s="2">
        <v>1</v>
      </c>
      <c r="G2425" s="2">
        <v>1</v>
      </c>
      <c r="H2425" s="1">
        <v>45915.484282407408</v>
      </c>
      <c r="I2425" s="2">
        <v>1</v>
      </c>
      <c r="J2425" s="1">
        <v>45915.378032407411</v>
      </c>
    </row>
    <row r="2426" spans="1:10" x14ac:dyDescent="0.2">
      <c r="A2426" s="4" t="s">
        <v>1</v>
      </c>
      <c r="B2426" s="3" t="str">
        <f>HYPERLINK("https://otsuka-europe-crm.veevavault.com/ui/#object/approved_document__v/V5OZ025E82TFUPI", "Spain - HCP Survey Email - June 2025")</f>
        <v>Spain - HCP Survey Email - June 2025</v>
      </c>
      <c r="C2426" s="3" t="str">
        <f>HYPERLINK("https://otsuka-europe-crm.veevavault.com/ui/#object/sent_email__v/VBLZ025E82GMZHW", "SE-000269526")</f>
        <v>SE-000269526</v>
      </c>
      <c r="D2426" s="1">
        <v>45915.713055555556</v>
      </c>
      <c r="E2426" s="2">
        <v>1</v>
      </c>
      <c r="F2426" s="2">
        <v>2</v>
      </c>
      <c r="G2426" s="2">
        <v>0</v>
      </c>
      <c r="H2426" s="1" t="s">
        <v>0</v>
      </c>
      <c r="I2426" s="2">
        <v>0</v>
      </c>
      <c r="J2426" s="1">
        <v>45915.378935185188</v>
      </c>
    </row>
    <row r="2427" spans="1:10" x14ac:dyDescent="0.2">
      <c r="A2427" s="4" t="s">
        <v>1</v>
      </c>
      <c r="B2427" s="3" t="str">
        <f>HYPERLINK("https://otsuka-europe-crm.veevavault.com/ui/#object/approved_document__v/V5OZ025E82TFUPI", "Spain - HCP Survey Email - June 2025")</f>
        <v>Spain - HCP Survey Email - June 2025</v>
      </c>
      <c r="C2427" s="3" t="str">
        <f>HYPERLINK("https://otsuka-europe-crm.veevavault.com/ui/#object/sent_email__v/VBLZ025E82GMZHX", "SE-000269527")</f>
        <v>SE-000269527</v>
      </c>
      <c r="D2427" s="1">
        <v>45915.822604166664</v>
      </c>
      <c r="E2427" s="2">
        <v>1</v>
      </c>
      <c r="F2427" s="2">
        <v>2</v>
      </c>
      <c r="G2427" s="2">
        <v>0</v>
      </c>
      <c r="H2427" s="1" t="s">
        <v>0</v>
      </c>
      <c r="I2427" s="2">
        <v>0</v>
      </c>
      <c r="J2427" s="1">
        <v>45915.379490740743</v>
      </c>
    </row>
    <row r="2428" spans="1:10" x14ac:dyDescent="0.2">
      <c r="A2428" s="4" t="s">
        <v>1</v>
      </c>
      <c r="B2428" s="3" t="str">
        <f>HYPERLINK("https://otsuka-europe-crm.veevavault.com/ui/#object/approved_document__v/V5OZ025E82TFUPI", "Spain - HCP Survey Email - June 2025")</f>
        <v>Spain - HCP Survey Email - June 2025</v>
      </c>
      <c r="C2428" s="3" t="str">
        <f>HYPERLINK("https://otsuka-europe-crm.veevavault.com/ui/#object/sent_email__v/VBLZ025E82GMZHY", "SE-000269528")</f>
        <v>SE-000269528</v>
      </c>
      <c r="D2428" s="1" t="s">
        <v>0</v>
      </c>
      <c r="E2428" s="2">
        <v>0</v>
      </c>
      <c r="F2428" s="2">
        <v>0</v>
      </c>
      <c r="G2428" s="2">
        <v>0</v>
      </c>
      <c r="H2428" s="1" t="s">
        <v>0</v>
      </c>
      <c r="I2428" s="2">
        <v>0</v>
      </c>
      <c r="J2428" s="1">
        <v>45915.379224537035</v>
      </c>
    </row>
    <row r="2429" spans="1:10" x14ac:dyDescent="0.2">
      <c r="A2429" s="4" t="s">
        <v>1</v>
      </c>
      <c r="B2429" s="3" t="str">
        <f>HYPERLINK("https://otsuka-europe-crm.veevavault.com/ui/#object/approved_document__v/V5OZ025E82TFUPI", "Spain - HCP Survey Email - June 2025")</f>
        <v>Spain - HCP Survey Email - June 2025</v>
      </c>
      <c r="C2429" s="3" t="str">
        <f>HYPERLINK("https://otsuka-europe-crm.veevavault.com/ui/#object/sent_email__v/VBLZ025E82GMZHZ", "SE-000269529")</f>
        <v>SE-000269529</v>
      </c>
      <c r="D2429" s="1" t="s">
        <v>0</v>
      </c>
      <c r="E2429" s="2">
        <v>0</v>
      </c>
      <c r="F2429" s="2">
        <v>0</v>
      </c>
      <c r="G2429" s="2">
        <v>0</v>
      </c>
      <c r="H2429" s="1" t="s">
        <v>0</v>
      </c>
      <c r="I2429" s="2">
        <v>0</v>
      </c>
      <c r="J2429" s="1">
        <v>45915.377430555556</v>
      </c>
    </row>
    <row r="2430" spans="1:10" x14ac:dyDescent="0.2">
      <c r="A2430" s="4" t="s">
        <v>1</v>
      </c>
      <c r="B2430" s="3" t="str">
        <f>HYPERLINK("https://otsuka-europe-crm.veevavault.com/ui/#object/approved_document__v/V5OZ025E82TFUPI", "Spain - HCP Survey Email - June 2025")</f>
        <v>Spain - HCP Survey Email - June 2025</v>
      </c>
      <c r="C2430" s="3" t="str">
        <f>HYPERLINK("https://otsuka-europe-crm.veevavault.com/ui/#object/sent_email__v/VBLZ025E82GMZI0", "SE-000269530")</f>
        <v>SE-000269530</v>
      </c>
      <c r="D2430" s="1" t="s">
        <v>0</v>
      </c>
      <c r="E2430" s="2">
        <v>0</v>
      </c>
      <c r="F2430" s="2">
        <v>0</v>
      </c>
      <c r="G2430" s="2">
        <v>0</v>
      </c>
      <c r="H2430" s="1" t="s">
        <v>0</v>
      </c>
      <c r="I2430" s="2">
        <v>0</v>
      </c>
      <c r="J2430" s="1">
        <v>45915.378495370373</v>
      </c>
    </row>
    <row r="2431" spans="1:10" x14ac:dyDescent="0.2">
      <c r="A2431" s="4" t="s">
        <v>1</v>
      </c>
      <c r="B2431" s="3" t="str">
        <f>HYPERLINK("https://otsuka-europe-crm.veevavault.com/ui/#object/approved_document__v/V5OZ025E82TFUPI", "Spain - HCP Survey Email - June 2025")</f>
        <v>Spain - HCP Survey Email - June 2025</v>
      </c>
      <c r="C2431" s="3" t="str">
        <f>HYPERLINK("https://otsuka-europe-crm.veevavault.com/ui/#object/sent_email__v/VBLZ025E82GMZI1", "SE-000269531")</f>
        <v>SE-000269531</v>
      </c>
      <c r="D2431" s="1" t="s">
        <v>0</v>
      </c>
      <c r="E2431" s="2">
        <v>0</v>
      </c>
      <c r="F2431" s="2">
        <v>0</v>
      </c>
      <c r="G2431" s="2">
        <v>0</v>
      </c>
      <c r="H2431" s="1" t="s">
        <v>0</v>
      </c>
      <c r="I2431" s="2">
        <v>0</v>
      </c>
      <c r="J2431" s="1">
        <v>45915.378912037035</v>
      </c>
    </row>
    <row r="2432" spans="1:10" x14ac:dyDescent="0.2">
      <c r="A2432" s="4" t="s">
        <v>1</v>
      </c>
      <c r="B2432" s="3" t="str">
        <f>HYPERLINK("https://otsuka-europe-crm.veevavault.com/ui/#object/approved_document__v/V5OZ025E82TFUPI", "Spain - HCP Survey Email - June 2025")</f>
        <v>Spain - HCP Survey Email - June 2025</v>
      </c>
      <c r="C2432" s="3" t="str">
        <f>HYPERLINK("https://otsuka-europe-crm.veevavault.com/ui/#object/sent_email__v/VBLZ025E82GMZI2", "SE-000269532")</f>
        <v>SE-000269532</v>
      </c>
      <c r="D2432" s="1" t="s">
        <v>0</v>
      </c>
      <c r="E2432" s="2">
        <v>0</v>
      </c>
      <c r="F2432" s="2">
        <v>0</v>
      </c>
      <c r="G2432" s="2">
        <v>0</v>
      </c>
      <c r="H2432" s="1" t="s">
        <v>0</v>
      </c>
      <c r="I2432" s="2">
        <v>0</v>
      </c>
      <c r="J2432" s="1">
        <v>45915.378576388888</v>
      </c>
    </row>
    <row r="2433" spans="1:10" x14ac:dyDescent="0.2">
      <c r="A2433" s="4" t="s">
        <v>1</v>
      </c>
      <c r="B2433" s="3" t="str">
        <f>HYPERLINK("https://otsuka-europe-crm.veevavault.com/ui/#object/approved_document__v/V5OZ025E82TFUPI", "Spain - HCP Survey Email - June 2025")</f>
        <v>Spain - HCP Survey Email - June 2025</v>
      </c>
      <c r="C2433" s="3" t="str">
        <f>HYPERLINK("https://otsuka-europe-crm.veevavault.com/ui/#object/sent_email__v/VBLZ025E82GMZI3", "SE-000269533")</f>
        <v>SE-000269533</v>
      </c>
      <c r="D2433" s="1" t="s">
        <v>0</v>
      </c>
      <c r="E2433" s="2">
        <v>0</v>
      </c>
      <c r="F2433" s="2">
        <v>0</v>
      </c>
      <c r="G2433" s="2">
        <v>0</v>
      </c>
      <c r="H2433" s="1" t="s">
        <v>0</v>
      </c>
      <c r="I2433" s="2">
        <v>0</v>
      </c>
      <c r="J2433" s="1">
        <v>45915.379918981482</v>
      </c>
    </row>
    <row r="2434" spans="1:10" x14ac:dyDescent="0.2">
      <c r="A2434" s="4" t="s">
        <v>1</v>
      </c>
      <c r="B2434" s="3" t="str">
        <f>HYPERLINK("https://otsuka-europe-crm.veevavault.com/ui/#object/approved_document__v/V5OZ025E82TFUPI", "Spain - HCP Survey Email - June 2025")</f>
        <v>Spain - HCP Survey Email - June 2025</v>
      </c>
      <c r="C2434" s="3" t="str">
        <f>HYPERLINK("https://otsuka-europe-crm.veevavault.com/ui/#object/sent_email__v/VBLZ025E82GMZI4", "SE-000269534")</f>
        <v>SE-000269534</v>
      </c>
      <c r="D2434" s="1" t="s">
        <v>0</v>
      </c>
      <c r="E2434" s="2">
        <v>0</v>
      </c>
      <c r="F2434" s="2">
        <v>0</v>
      </c>
      <c r="G2434" s="2">
        <v>0</v>
      </c>
      <c r="H2434" s="1" t="s">
        <v>0</v>
      </c>
      <c r="I2434" s="2">
        <v>0</v>
      </c>
      <c r="J2434" s="1">
        <v>45915.37771990741</v>
      </c>
    </row>
    <row r="2435" spans="1:10" x14ac:dyDescent="0.2">
      <c r="A2435" s="4" t="s">
        <v>1</v>
      </c>
      <c r="B2435" s="3" t="str">
        <f>HYPERLINK("https://otsuka-europe-crm.veevavault.com/ui/#object/approved_document__v/V5OZ025E82TFUPI", "Spain - HCP Survey Email - June 2025")</f>
        <v>Spain - HCP Survey Email - June 2025</v>
      </c>
      <c r="C2435" s="3" t="str">
        <f>HYPERLINK("https://otsuka-europe-crm.veevavault.com/ui/#object/sent_email__v/VBLZ025E82GMZI5", "SE-000269535")</f>
        <v>SE-000269535</v>
      </c>
      <c r="D2435" s="1">
        <v>45919.537673611114</v>
      </c>
      <c r="E2435" s="2">
        <v>1</v>
      </c>
      <c r="F2435" s="2">
        <v>2</v>
      </c>
      <c r="G2435" s="2">
        <v>0</v>
      </c>
      <c r="H2435" s="1" t="s">
        <v>0</v>
      </c>
      <c r="I2435" s="2">
        <v>0</v>
      </c>
      <c r="J2435" s="1">
        <v>45915.377650462964</v>
      </c>
    </row>
    <row r="2436" spans="1:10" x14ac:dyDescent="0.2">
      <c r="A2436" s="4" t="s">
        <v>1</v>
      </c>
      <c r="B2436" s="3" t="str">
        <f>HYPERLINK("https://otsuka-europe-crm.veevavault.com/ui/#object/approved_document__v/V5OZ025E82TFUPI", "Spain - HCP Survey Email - June 2025")</f>
        <v>Spain - HCP Survey Email - June 2025</v>
      </c>
      <c r="C2436" s="3" t="str">
        <f>HYPERLINK("https://otsuka-europe-crm.veevavault.com/ui/#object/sent_email__v/VBLZ025E82GMZI6", "SE-000269536")</f>
        <v>SE-000269536</v>
      </c>
      <c r="D2436" s="1" t="s">
        <v>0</v>
      </c>
      <c r="E2436" s="2">
        <v>0</v>
      </c>
      <c r="F2436" s="2">
        <v>0</v>
      </c>
      <c r="G2436" s="2">
        <v>0</v>
      </c>
      <c r="H2436" s="1" t="s">
        <v>0</v>
      </c>
      <c r="I2436" s="2">
        <v>0</v>
      </c>
      <c r="J2436" s="1">
        <v>45915.378020833334</v>
      </c>
    </row>
    <row r="2437" spans="1:10" x14ac:dyDescent="0.2">
      <c r="A2437" s="4" t="s">
        <v>1</v>
      </c>
      <c r="B2437" s="3" t="str">
        <f>HYPERLINK("https://otsuka-europe-crm.veevavault.com/ui/#object/approved_document__v/V5OZ025E82TFUPI", "Spain - HCP Survey Email - June 2025")</f>
        <v>Spain - HCP Survey Email - June 2025</v>
      </c>
      <c r="C2437" s="3" t="str">
        <f>HYPERLINK("https://otsuka-europe-crm.veevavault.com/ui/#object/sent_email__v/VBLZ025E82GMZI7", "SE-000269537")</f>
        <v>SE-000269537</v>
      </c>
      <c r="D2437" s="1" t="s">
        <v>0</v>
      </c>
      <c r="E2437" s="2">
        <v>0</v>
      </c>
      <c r="F2437" s="2">
        <v>0</v>
      </c>
      <c r="G2437" s="2">
        <v>0</v>
      </c>
      <c r="H2437" s="1" t="s">
        <v>0</v>
      </c>
      <c r="I2437" s="2">
        <v>0</v>
      </c>
      <c r="J2437" s="1">
        <v>45915.378900462965</v>
      </c>
    </row>
    <row r="2438" spans="1:10" x14ac:dyDescent="0.2">
      <c r="A2438" s="4" t="s">
        <v>1</v>
      </c>
      <c r="B2438" s="3" t="str">
        <f>HYPERLINK("https://otsuka-europe-crm.veevavault.com/ui/#object/approved_document__v/V5OZ025E82TFUPI", "Spain - HCP Survey Email - June 2025")</f>
        <v>Spain - HCP Survey Email - June 2025</v>
      </c>
      <c r="C2438" s="3" t="str">
        <f>HYPERLINK("https://otsuka-europe-crm.veevavault.com/ui/#object/sent_email__v/VBLZ025E82GMZI8", "SE-000269538")</f>
        <v>SE-000269538</v>
      </c>
      <c r="D2438" s="1">
        <v>45915.557974537034</v>
      </c>
      <c r="E2438" s="2">
        <v>1</v>
      </c>
      <c r="F2438" s="2">
        <v>1</v>
      </c>
      <c r="G2438" s="2">
        <v>0</v>
      </c>
      <c r="H2438" s="1" t="s">
        <v>0</v>
      </c>
      <c r="I2438" s="2">
        <v>0</v>
      </c>
      <c r="J2438" s="1">
        <v>45915.379629629628</v>
      </c>
    </row>
    <row r="2439" spans="1:10" x14ac:dyDescent="0.2">
      <c r="A2439" s="4" t="s">
        <v>1</v>
      </c>
      <c r="B2439" s="3" t="str">
        <f>HYPERLINK("https://otsuka-europe-crm.veevavault.com/ui/#object/approved_document__v/V5OZ025E82TFUPI", "Spain - HCP Survey Email - June 2025")</f>
        <v>Spain - HCP Survey Email - June 2025</v>
      </c>
      <c r="C2439" s="3" t="str">
        <f>HYPERLINK("https://otsuka-europe-crm.veevavault.com/ui/#object/sent_email__v/VBLZ025E82GMZI9", "SE-000269539")</f>
        <v>SE-000269539</v>
      </c>
      <c r="D2439" s="1" t="s">
        <v>0</v>
      </c>
      <c r="E2439" s="2">
        <v>0</v>
      </c>
      <c r="F2439" s="2">
        <v>0</v>
      </c>
      <c r="G2439" s="2">
        <v>0</v>
      </c>
      <c r="H2439" s="1" t="s">
        <v>0</v>
      </c>
      <c r="I2439" s="2">
        <v>0</v>
      </c>
      <c r="J2439" s="1">
        <v>45915.379340277781</v>
      </c>
    </row>
    <row r="2440" spans="1:10" x14ac:dyDescent="0.2">
      <c r="A2440" s="4" t="s">
        <v>1</v>
      </c>
      <c r="B2440" s="3" t="str">
        <f>HYPERLINK("https://otsuka-europe-crm.veevavault.com/ui/#object/approved_document__v/V5OZ025E82TFUPI", "Spain - HCP Survey Email - June 2025")</f>
        <v>Spain - HCP Survey Email - June 2025</v>
      </c>
      <c r="C2440" s="3" t="str">
        <f>HYPERLINK("https://otsuka-europe-crm.veevavault.com/ui/#object/sent_email__v/VBLZ025E82GMZIA", "SE-000269540")</f>
        <v>SE-000269540</v>
      </c>
      <c r="D2440" s="1" t="s">
        <v>0</v>
      </c>
      <c r="E2440" s="2">
        <v>0</v>
      </c>
      <c r="F2440" s="2">
        <v>0</v>
      </c>
      <c r="G2440" s="2">
        <v>0</v>
      </c>
      <c r="H2440" s="1" t="s">
        <v>0</v>
      </c>
      <c r="I2440" s="2">
        <v>0</v>
      </c>
      <c r="J2440" s="1">
        <v>45915.377511574072</v>
      </c>
    </row>
    <row r="2441" spans="1:10" x14ac:dyDescent="0.2">
      <c r="A2441" s="4" t="s">
        <v>1</v>
      </c>
      <c r="B2441" s="3" t="str">
        <f>HYPERLINK("https://otsuka-europe-crm.veevavault.com/ui/#object/approved_document__v/V5OZ025E82TFUPI", "Spain - HCP Survey Email - June 2025")</f>
        <v>Spain - HCP Survey Email - June 2025</v>
      </c>
      <c r="C2441" s="3" t="str">
        <f>HYPERLINK("https://otsuka-europe-crm.veevavault.com/ui/#object/sent_email__v/VBLZ025E82GMZIB", "SE-000269541")</f>
        <v>SE-000269541</v>
      </c>
      <c r="D2441" s="1" t="s">
        <v>0</v>
      </c>
      <c r="E2441" s="2">
        <v>0</v>
      </c>
      <c r="F2441" s="2">
        <v>0</v>
      </c>
      <c r="G2441" s="2">
        <v>0</v>
      </c>
      <c r="H2441" s="1" t="s">
        <v>0</v>
      </c>
      <c r="I2441" s="2">
        <v>0</v>
      </c>
      <c r="J2441" s="1">
        <v>45915.378611111111</v>
      </c>
    </row>
    <row r="2442" spans="1:10" x14ac:dyDescent="0.2">
      <c r="A2442" s="4" t="s">
        <v>1</v>
      </c>
      <c r="B2442" s="3" t="str">
        <f>HYPERLINK("https://otsuka-europe-crm.veevavault.com/ui/#object/approved_document__v/V5OZ025E82TFUPI", "Spain - HCP Survey Email - June 2025")</f>
        <v>Spain - HCP Survey Email - June 2025</v>
      </c>
      <c r="C2442" s="3" t="str">
        <f>HYPERLINK("https://otsuka-europe-crm.veevavault.com/ui/#object/sent_email__v/VBLZ025E82GMZIC", "SE-000269542")</f>
        <v>SE-000269542</v>
      </c>
      <c r="D2442" s="1" t="s">
        <v>0</v>
      </c>
      <c r="E2442" s="2">
        <v>0</v>
      </c>
      <c r="F2442" s="2">
        <v>0</v>
      </c>
      <c r="G2442" s="2">
        <v>0</v>
      </c>
      <c r="H2442" s="1" t="s">
        <v>0</v>
      </c>
      <c r="I2442" s="2">
        <v>0</v>
      </c>
      <c r="J2442" s="1">
        <v>45915.378923611112</v>
      </c>
    </row>
    <row r="2443" spans="1:10" x14ac:dyDescent="0.2">
      <c r="A2443" s="4" t="s">
        <v>1</v>
      </c>
      <c r="B2443" s="3" t="str">
        <f>HYPERLINK("https://otsuka-europe-crm.veevavault.com/ui/#object/approved_document__v/V5OZ025E82TFUPI", "Spain - HCP Survey Email - June 2025")</f>
        <v>Spain - HCP Survey Email - June 2025</v>
      </c>
      <c r="C2443" s="3" t="str">
        <f>HYPERLINK("https://otsuka-europe-crm.veevavault.com/ui/#object/sent_email__v/VBLZ025E82GMZID", "SE-000269543")</f>
        <v>SE-000269543</v>
      </c>
      <c r="D2443" s="1">
        <v>45915.378587962965</v>
      </c>
      <c r="E2443" s="2">
        <v>1</v>
      </c>
      <c r="F2443" s="2">
        <v>1</v>
      </c>
      <c r="G2443" s="2">
        <v>0</v>
      </c>
      <c r="H2443" s="1" t="s">
        <v>0</v>
      </c>
      <c r="I2443" s="2">
        <v>0</v>
      </c>
      <c r="J2443" s="1">
        <v>45915.378518518519</v>
      </c>
    </row>
    <row r="2444" spans="1:10" x14ac:dyDescent="0.2">
      <c r="A2444" s="4" t="s">
        <v>1</v>
      </c>
      <c r="B2444" s="3" t="str">
        <f>HYPERLINK("https://otsuka-europe-crm.veevavault.com/ui/#object/approved_document__v/V5OZ025E82TFUPI", "Spain - HCP Survey Email - June 2025")</f>
        <v>Spain - HCP Survey Email - June 2025</v>
      </c>
      <c r="C2444" s="3" t="str">
        <f>HYPERLINK("https://otsuka-europe-crm.veevavault.com/ui/#object/sent_email__v/VBLZ025E82GMZIE", "SE-000269544")</f>
        <v>SE-000269544</v>
      </c>
      <c r="D2444" s="1" t="s">
        <v>0</v>
      </c>
      <c r="E2444" s="2">
        <v>0</v>
      </c>
      <c r="F2444" s="2">
        <v>0</v>
      </c>
      <c r="G2444" s="2">
        <v>0</v>
      </c>
      <c r="H2444" s="1" t="s">
        <v>0</v>
      </c>
      <c r="I2444" s="2">
        <v>0</v>
      </c>
      <c r="J2444" s="1">
        <v>45915.379861111112</v>
      </c>
    </row>
    <row r="2445" spans="1:10" x14ac:dyDescent="0.2">
      <c r="A2445" s="4" t="s">
        <v>1</v>
      </c>
      <c r="B2445" s="3" t="str">
        <f>HYPERLINK("https://otsuka-europe-crm.veevavault.com/ui/#object/approved_document__v/V5OZ025E82TFUPI", "Spain - HCP Survey Email - June 2025")</f>
        <v>Spain - HCP Survey Email - June 2025</v>
      </c>
      <c r="C2445" s="3" t="str">
        <f>HYPERLINK("https://otsuka-europe-crm.veevavault.com/ui/#object/sent_email__v/VBLZ025E82GMZIF", "SE-000269545")</f>
        <v>SE-000269545</v>
      </c>
      <c r="D2445" s="1" t="s">
        <v>0</v>
      </c>
      <c r="E2445" s="2">
        <v>0</v>
      </c>
      <c r="F2445" s="2">
        <v>0</v>
      </c>
      <c r="G2445" s="2">
        <v>0</v>
      </c>
      <c r="H2445" s="1" t="s">
        <v>0</v>
      </c>
      <c r="I2445" s="2">
        <v>0</v>
      </c>
      <c r="J2445" s="1">
        <v>45915.37771990741</v>
      </c>
    </row>
    <row r="2446" spans="1:10" x14ac:dyDescent="0.2">
      <c r="A2446" s="4" t="s">
        <v>1</v>
      </c>
      <c r="B2446" s="3" t="str">
        <f>HYPERLINK("https://otsuka-europe-crm.veevavault.com/ui/#object/approved_document__v/V5OZ025E82TFUPI", "Spain - HCP Survey Email - June 2025")</f>
        <v>Spain - HCP Survey Email - June 2025</v>
      </c>
      <c r="C2446" s="3" t="str">
        <f>HYPERLINK("https://otsuka-europe-crm.veevavault.com/ui/#object/sent_email__v/VBLZ025E82GMZIG", "SE-000269546")</f>
        <v>SE-000269546</v>
      </c>
      <c r="D2446" s="1">
        <v>45915.985636574071</v>
      </c>
      <c r="E2446" s="2">
        <v>1</v>
      </c>
      <c r="F2446" s="2">
        <v>1</v>
      </c>
      <c r="G2446" s="2">
        <v>0</v>
      </c>
      <c r="H2446" s="1" t="s">
        <v>0</v>
      </c>
      <c r="I2446" s="2">
        <v>0</v>
      </c>
      <c r="J2446" s="1">
        <v>45915.378530092596</v>
      </c>
    </row>
    <row r="2447" spans="1:10" x14ac:dyDescent="0.2">
      <c r="A2447" s="4" t="s">
        <v>1</v>
      </c>
      <c r="B2447" s="3" t="str">
        <f>HYPERLINK("https://otsuka-europe-crm.veevavault.com/ui/#object/approved_document__v/V5OZ025E82TFUPI", "Spain - HCP Survey Email - June 2025")</f>
        <v>Spain - HCP Survey Email - June 2025</v>
      </c>
      <c r="C2447" s="3" t="str">
        <f>HYPERLINK("https://otsuka-europe-crm.veevavault.com/ui/#object/sent_email__v/VBLZ025E82GMZIH", "SE-000269547")</f>
        <v>SE-000269547</v>
      </c>
      <c r="D2447" s="1">
        <v>45916.376805555556</v>
      </c>
      <c r="E2447" s="2">
        <v>1</v>
      </c>
      <c r="F2447" s="2">
        <v>1</v>
      </c>
      <c r="G2447" s="2">
        <v>1</v>
      </c>
      <c r="H2447" s="1">
        <v>45916.376805555556</v>
      </c>
      <c r="I2447" s="2">
        <v>1</v>
      </c>
      <c r="J2447" s="1">
        <v>45915.378819444442</v>
      </c>
    </row>
    <row r="2448" spans="1:10" x14ac:dyDescent="0.2">
      <c r="A2448" s="4" t="s">
        <v>1</v>
      </c>
      <c r="B2448" s="3" t="str">
        <f>HYPERLINK("https://otsuka-europe-crm.veevavault.com/ui/#object/approved_document__v/V5OZ025E82TFUPI", "Spain - HCP Survey Email - June 2025")</f>
        <v>Spain - HCP Survey Email - June 2025</v>
      </c>
      <c r="C2448" s="3" t="str">
        <f>HYPERLINK("https://otsuka-europe-crm.veevavault.com/ui/#object/sent_email__v/VBLZ025E82GMZII", "SE-000269548")</f>
        <v>SE-000269548</v>
      </c>
      <c r="D2448" s="1" t="s">
        <v>0</v>
      </c>
      <c r="E2448" s="2">
        <v>0</v>
      </c>
      <c r="F2448" s="2">
        <v>0</v>
      </c>
      <c r="G2448" s="2">
        <v>0</v>
      </c>
      <c r="H2448" s="1" t="s">
        <v>0</v>
      </c>
      <c r="I2448" s="2">
        <v>0</v>
      </c>
      <c r="J2448" s="1">
        <v>45915.378692129627</v>
      </c>
    </row>
    <row r="2449" spans="1:10" x14ac:dyDescent="0.2">
      <c r="A2449" s="4" t="s">
        <v>1</v>
      </c>
      <c r="B2449" s="3" t="str">
        <f>HYPERLINK("https://otsuka-europe-crm.veevavault.com/ui/#object/approved_document__v/V5OZ025E82TFUPI", "Spain - HCP Survey Email - June 2025")</f>
        <v>Spain - HCP Survey Email - June 2025</v>
      </c>
      <c r="C2449" s="3" t="str">
        <f>HYPERLINK("https://otsuka-europe-crm.veevavault.com/ui/#object/sent_email__v/VBLZ025E82GMZIJ", "SE-000269549")</f>
        <v>SE-000269549</v>
      </c>
      <c r="D2449" s="1" t="s">
        <v>0</v>
      </c>
      <c r="E2449" s="2">
        <v>0</v>
      </c>
      <c r="F2449" s="2">
        <v>0</v>
      </c>
      <c r="G2449" s="2">
        <v>0</v>
      </c>
      <c r="H2449" s="1" t="s">
        <v>0</v>
      </c>
      <c r="I2449" s="2">
        <v>0</v>
      </c>
      <c r="J2449" s="1">
        <v>45915.379814814813</v>
      </c>
    </row>
    <row r="2450" spans="1:10" x14ac:dyDescent="0.2">
      <c r="A2450" s="4" t="s">
        <v>1</v>
      </c>
      <c r="B2450" s="3" t="str">
        <f>HYPERLINK("https://otsuka-europe-crm.veevavault.com/ui/#object/approved_document__v/V5OZ025E82TFUPI", "Spain - HCP Survey Email - June 2025")</f>
        <v>Spain - HCP Survey Email - June 2025</v>
      </c>
      <c r="C2450" s="3" t="str">
        <f>HYPERLINK("https://otsuka-europe-crm.veevavault.com/ui/#object/sent_email__v/VBLZ025E82GMZIK", "SE-000269550")</f>
        <v>SE-000269550</v>
      </c>
      <c r="D2450" s="1">
        <v>45916.647187499999</v>
      </c>
      <c r="E2450" s="2">
        <v>1</v>
      </c>
      <c r="F2450" s="2">
        <v>2</v>
      </c>
      <c r="G2450" s="2">
        <v>0</v>
      </c>
      <c r="H2450" s="1" t="s">
        <v>0</v>
      </c>
      <c r="I2450" s="2">
        <v>0</v>
      </c>
      <c r="J2450" s="1">
        <v>45915.377743055556</v>
      </c>
    </row>
    <row r="2451" spans="1:10" x14ac:dyDescent="0.2">
      <c r="A2451" s="4" t="s">
        <v>1</v>
      </c>
      <c r="B2451" s="3" t="str">
        <f>HYPERLINK("https://otsuka-europe-crm.veevavault.com/ui/#object/approved_document__v/V5OZ025E82TFUPI", "Spain - HCP Survey Email - June 2025")</f>
        <v>Spain - HCP Survey Email - June 2025</v>
      </c>
      <c r="C2451" s="3" t="str">
        <f>HYPERLINK("https://otsuka-europe-crm.veevavault.com/ui/#object/sent_email__v/VBLZ025E82GMZIM", "SE-000269552")</f>
        <v>SE-000269552</v>
      </c>
      <c r="D2451" s="1">
        <v>45917.475428240738</v>
      </c>
      <c r="E2451" s="2">
        <v>1</v>
      </c>
      <c r="F2451" s="2">
        <v>1</v>
      </c>
      <c r="G2451" s="2">
        <v>1</v>
      </c>
      <c r="H2451" s="1">
        <v>45917.47556712963</v>
      </c>
      <c r="I2451" s="2">
        <v>2</v>
      </c>
      <c r="J2451" s="1">
        <v>45915.378009259257</v>
      </c>
    </row>
    <row r="2452" spans="1:10" x14ac:dyDescent="0.2">
      <c r="A2452" s="4" t="s">
        <v>1</v>
      </c>
      <c r="B2452" s="3" t="str">
        <f>HYPERLINK("https://otsuka-europe-crm.veevavault.com/ui/#object/approved_document__v/V5OZ025E82TFUPI", "Spain - HCP Survey Email - June 2025")</f>
        <v>Spain - HCP Survey Email - June 2025</v>
      </c>
      <c r="C2452" s="3" t="str">
        <f>HYPERLINK("https://otsuka-europe-crm.veevavault.com/ui/#object/sent_email__v/VBLZ025E82GMZIN", "SE-000269553")</f>
        <v>SE-000269553</v>
      </c>
      <c r="D2452" s="1">
        <v>45915.396678240744</v>
      </c>
      <c r="E2452" s="2">
        <v>1</v>
      </c>
      <c r="F2452" s="2">
        <v>2</v>
      </c>
      <c r="G2452" s="2">
        <v>0</v>
      </c>
      <c r="H2452" s="1" t="s">
        <v>0</v>
      </c>
      <c r="I2452" s="2">
        <v>0</v>
      </c>
      <c r="J2452" s="1">
        <v>45915.378981481481</v>
      </c>
    </row>
    <row r="2453" spans="1:10" x14ac:dyDescent="0.2">
      <c r="A2453" s="4" t="s">
        <v>1</v>
      </c>
      <c r="B2453" s="3" t="str">
        <f>HYPERLINK("https://otsuka-europe-crm.veevavault.com/ui/#object/approved_document__v/V5OZ025E82TFUPI", "Spain - HCP Survey Email - June 2025")</f>
        <v>Spain - HCP Survey Email - June 2025</v>
      </c>
      <c r="C2453" s="3" t="str">
        <f>HYPERLINK("https://otsuka-europe-crm.veevavault.com/ui/#object/sent_email__v/VBLZ025E82GMZIO", "SE-000269554")</f>
        <v>SE-000269554</v>
      </c>
      <c r="D2453" s="1" t="s">
        <v>0</v>
      </c>
      <c r="E2453" s="2">
        <v>0</v>
      </c>
      <c r="F2453" s="2">
        <v>0</v>
      </c>
      <c r="G2453" s="2">
        <v>0</v>
      </c>
      <c r="H2453" s="1" t="s">
        <v>0</v>
      </c>
      <c r="I2453" s="2">
        <v>0</v>
      </c>
      <c r="J2453" s="1">
        <v>45915.379710648151</v>
      </c>
    </row>
    <row r="2454" spans="1:10" x14ac:dyDescent="0.2">
      <c r="A2454" s="4" t="s">
        <v>1</v>
      </c>
      <c r="B2454" s="3" t="str">
        <f>HYPERLINK("https://otsuka-europe-crm.veevavault.com/ui/#object/approved_document__v/V5OZ025E82TFUPI", "Spain - HCP Survey Email - June 2025")</f>
        <v>Spain - HCP Survey Email - June 2025</v>
      </c>
      <c r="C2454" s="3" t="str">
        <f>HYPERLINK("https://otsuka-europe-crm.veevavault.com/ui/#object/sent_email__v/VBLZ025E82GMZIP", "SE-000269555")</f>
        <v>SE-000269555</v>
      </c>
      <c r="D2454" s="1">
        <v>45927.051041666666</v>
      </c>
      <c r="E2454" s="2">
        <v>1</v>
      </c>
      <c r="F2454" s="2">
        <v>2</v>
      </c>
      <c r="G2454" s="2">
        <v>0</v>
      </c>
      <c r="H2454" s="1" t="s">
        <v>0</v>
      </c>
      <c r="I2454" s="2">
        <v>0</v>
      </c>
      <c r="J2454" s="1">
        <v>45915.379317129627</v>
      </c>
    </row>
    <row r="2455" spans="1:10" x14ac:dyDescent="0.2">
      <c r="A2455" s="4" t="s">
        <v>1</v>
      </c>
      <c r="B2455" s="3" t="str">
        <f>HYPERLINK("https://otsuka-europe-crm.veevavault.com/ui/#object/approved_document__v/V5OZ025E82TFUPI", "Spain - HCP Survey Email - June 2025")</f>
        <v>Spain - HCP Survey Email - June 2025</v>
      </c>
      <c r="C2455" s="3" t="str">
        <f>HYPERLINK("https://otsuka-europe-crm.veevavault.com/ui/#object/sent_email__v/VBLZ025E82GMZIQ", "SE-000269556")</f>
        <v>SE-000269556</v>
      </c>
      <c r="D2455" s="1" t="s">
        <v>0</v>
      </c>
      <c r="E2455" s="2">
        <v>0</v>
      </c>
      <c r="F2455" s="2">
        <v>0</v>
      </c>
      <c r="G2455" s="2">
        <v>0</v>
      </c>
      <c r="H2455" s="1" t="s">
        <v>0</v>
      </c>
      <c r="I2455" s="2">
        <v>0</v>
      </c>
      <c r="J2455" s="1">
        <v>45915.377430555556</v>
      </c>
    </row>
    <row r="2456" spans="1:10" x14ac:dyDescent="0.2">
      <c r="A2456" s="4" t="s">
        <v>1</v>
      </c>
      <c r="B2456" s="3" t="str">
        <f>HYPERLINK("https://otsuka-europe-crm.veevavault.com/ui/#object/approved_document__v/V5OZ025E82TFUPI", "Spain - HCP Survey Email - June 2025")</f>
        <v>Spain - HCP Survey Email - June 2025</v>
      </c>
      <c r="C2456" s="3" t="str">
        <f>HYPERLINK("https://otsuka-europe-crm.veevavault.com/ui/#object/sent_email__v/VBLZ025E82GMZIR", "SE-000269557")</f>
        <v>SE-000269557</v>
      </c>
      <c r="D2456" s="1" t="s">
        <v>0</v>
      </c>
      <c r="E2456" s="2">
        <v>0</v>
      </c>
      <c r="F2456" s="2">
        <v>0</v>
      </c>
      <c r="G2456" s="2">
        <v>0</v>
      </c>
      <c r="H2456" s="1" t="s">
        <v>0</v>
      </c>
      <c r="I2456" s="2">
        <v>0</v>
      </c>
      <c r="J2456" s="1">
        <v>45915.378425925926</v>
      </c>
    </row>
    <row r="2457" spans="1:10" x14ac:dyDescent="0.2">
      <c r="A2457" s="4" t="s">
        <v>1</v>
      </c>
      <c r="B2457" s="3" t="str">
        <f>HYPERLINK("https://otsuka-europe-crm.veevavault.com/ui/#object/approved_document__v/V5OZ025E82TFUPI", "Spain - HCP Survey Email - June 2025")</f>
        <v>Spain - HCP Survey Email - June 2025</v>
      </c>
      <c r="C2457" s="3" t="str">
        <f>HYPERLINK("https://otsuka-europe-crm.veevavault.com/ui/#object/sent_email__v/VBLZ025E82GMZIS", "SE-000269558")</f>
        <v>SE-000269558</v>
      </c>
      <c r="D2457" s="1" t="s">
        <v>0</v>
      </c>
      <c r="E2457" s="2">
        <v>0</v>
      </c>
      <c r="F2457" s="2">
        <v>0</v>
      </c>
      <c r="G2457" s="2">
        <v>0</v>
      </c>
      <c r="H2457" s="1" t="s">
        <v>0</v>
      </c>
      <c r="I2457" s="2">
        <v>0</v>
      </c>
      <c r="J2457" s="1">
        <v>45915.378136574072</v>
      </c>
    </row>
    <row r="2458" spans="1:10" x14ac:dyDescent="0.2">
      <c r="A2458" s="4" t="s">
        <v>1</v>
      </c>
      <c r="B2458" s="3" t="str">
        <f>HYPERLINK("https://otsuka-europe-crm.veevavault.com/ui/#object/approved_document__v/V5OZ025E82TFUPI", "Spain - HCP Survey Email - June 2025")</f>
        <v>Spain - HCP Survey Email - June 2025</v>
      </c>
      <c r="C2458" s="3" t="str">
        <f>HYPERLINK("https://otsuka-europe-crm.veevavault.com/ui/#object/sent_email__v/VBLZ025E82GMZIT", "SE-000269559")</f>
        <v>SE-000269559</v>
      </c>
      <c r="D2458" s="1" t="s">
        <v>0</v>
      </c>
      <c r="E2458" s="2">
        <v>0</v>
      </c>
      <c r="F2458" s="2">
        <v>0</v>
      </c>
      <c r="G2458" s="2">
        <v>0</v>
      </c>
      <c r="H2458" s="1" t="s">
        <v>0</v>
      </c>
      <c r="I2458" s="2">
        <v>0</v>
      </c>
      <c r="J2458" s="1">
        <v>45915.378530092596</v>
      </c>
    </row>
    <row r="2459" spans="1:10" x14ac:dyDescent="0.2">
      <c r="A2459" s="4" t="s">
        <v>1</v>
      </c>
      <c r="B2459" s="3" t="str">
        <f>HYPERLINK("https://otsuka-europe-crm.veevavault.com/ui/#object/approved_document__v/V5OZ025E82TFUPI", "Spain - HCP Survey Email - June 2025")</f>
        <v>Spain - HCP Survey Email - June 2025</v>
      </c>
      <c r="C2459" s="3" t="str">
        <f>HYPERLINK("https://otsuka-europe-crm.veevavault.com/ui/#object/sent_email__v/VBLZ025E82GMZIU", "SE-000269560")</f>
        <v>SE-000269560</v>
      </c>
      <c r="D2459" s="1" t="s">
        <v>0</v>
      </c>
      <c r="E2459" s="2">
        <v>0</v>
      </c>
      <c r="F2459" s="2">
        <v>0</v>
      </c>
      <c r="G2459" s="2">
        <v>0</v>
      </c>
      <c r="H2459" s="1" t="s">
        <v>0</v>
      </c>
      <c r="I2459" s="2">
        <v>0</v>
      </c>
      <c r="J2459" s="1">
        <v>45915.379965277774</v>
      </c>
    </row>
    <row r="2460" spans="1:10" x14ac:dyDescent="0.2">
      <c r="A2460" s="4" t="s">
        <v>1</v>
      </c>
      <c r="B2460" s="3" t="str">
        <f>HYPERLINK("https://otsuka-europe-crm.veevavault.com/ui/#object/approved_document__v/V5OZ025E82TFUPI", "Spain - HCP Survey Email - June 2025")</f>
        <v>Spain - HCP Survey Email - June 2025</v>
      </c>
      <c r="C2460" s="3" t="str">
        <f>HYPERLINK("https://otsuka-europe-crm.veevavault.com/ui/#object/sent_email__v/VBLZ025E82GMZIV", "SE-000269561")</f>
        <v>SE-000269561</v>
      </c>
      <c r="D2460" s="1" t="s">
        <v>0</v>
      </c>
      <c r="E2460" s="2">
        <v>0</v>
      </c>
      <c r="F2460" s="2">
        <v>0</v>
      </c>
      <c r="G2460" s="2">
        <v>0</v>
      </c>
      <c r="H2460" s="1" t="s">
        <v>0</v>
      </c>
      <c r="I2460" s="2">
        <v>0</v>
      </c>
      <c r="J2460" s="1">
        <v>45915.377743055556</v>
      </c>
    </row>
    <row r="2461" spans="1:10" x14ac:dyDescent="0.2">
      <c r="A2461" s="4" t="s">
        <v>1</v>
      </c>
      <c r="B2461" s="3" t="str">
        <f>HYPERLINK("https://otsuka-europe-crm.veevavault.com/ui/#object/approved_document__v/V5OZ025E82TFUPI", "Spain - HCP Survey Email - June 2025")</f>
        <v>Spain - HCP Survey Email - June 2025</v>
      </c>
      <c r="C2461" s="3" t="str">
        <f>HYPERLINK("https://otsuka-europe-crm.veevavault.com/ui/#object/sent_email__v/VBLZ025E82GMZIW", "SE-000269562")</f>
        <v>SE-000269562</v>
      </c>
      <c r="D2461" s="1" t="s">
        <v>0</v>
      </c>
      <c r="E2461" s="2">
        <v>0</v>
      </c>
      <c r="F2461" s="2">
        <v>0</v>
      </c>
      <c r="G2461" s="2">
        <v>0</v>
      </c>
      <c r="H2461" s="1" t="s">
        <v>0</v>
      </c>
      <c r="I2461" s="2">
        <v>0</v>
      </c>
      <c r="J2461" s="1">
        <v>45915.377638888887</v>
      </c>
    </row>
    <row r="2462" spans="1:10" x14ac:dyDescent="0.2">
      <c r="A2462" s="4" t="s">
        <v>1</v>
      </c>
      <c r="B2462" s="3" t="str">
        <f>HYPERLINK("https://otsuka-europe-crm.veevavault.com/ui/#object/approved_document__v/V5OZ025E82TFUPI", "Spain - HCP Survey Email - June 2025")</f>
        <v>Spain - HCP Survey Email - June 2025</v>
      </c>
      <c r="C2462" s="3" t="str">
        <f>HYPERLINK("https://otsuka-europe-crm.veevavault.com/ui/#object/sent_email__v/VBLZ025E82GMZIX", "SE-000269563")</f>
        <v>SE-000269563</v>
      </c>
      <c r="D2462" s="1">
        <v>45915.982199074075</v>
      </c>
      <c r="E2462" s="2">
        <v>1</v>
      </c>
      <c r="F2462" s="2">
        <v>1</v>
      </c>
      <c r="G2462" s="2">
        <v>0</v>
      </c>
      <c r="H2462" s="1" t="s">
        <v>0</v>
      </c>
      <c r="I2462" s="2">
        <v>0</v>
      </c>
      <c r="J2462" s="1">
        <v>45915.378078703703</v>
      </c>
    </row>
    <row r="2463" spans="1:10" x14ac:dyDescent="0.2">
      <c r="A2463" s="4" t="s">
        <v>1</v>
      </c>
      <c r="B2463" s="3" t="str">
        <f>HYPERLINK("https://otsuka-europe-crm.veevavault.com/ui/#object/approved_document__v/V5OZ025E82TFUPI", "Spain - HCP Survey Email - June 2025")</f>
        <v>Spain - HCP Survey Email - June 2025</v>
      </c>
      <c r="C2463" s="3" t="str">
        <f>HYPERLINK("https://otsuka-europe-crm.veevavault.com/ui/#object/sent_email__v/VBLZ025E82GMZIY", "SE-000269564")</f>
        <v>SE-000269564</v>
      </c>
      <c r="D2463" s="1">
        <v>45919.158437500002</v>
      </c>
      <c r="E2463" s="2">
        <v>1</v>
      </c>
      <c r="F2463" s="2">
        <v>2</v>
      </c>
      <c r="G2463" s="2">
        <v>0</v>
      </c>
      <c r="H2463" s="1" t="s">
        <v>0</v>
      </c>
      <c r="I2463" s="2">
        <v>0</v>
      </c>
      <c r="J2463" s="1">
        <v>45915.378900462965</v>
      </c>
    </row>
    <row r="2464" spans="1:10" x14ac:dyDescent="0.2">
      <c r="A2464" s="4" t="s">
        <v>1</v>
      </c>
      <c r="B2464" s="3" t="str">
        <f>HYPERLINK("https://otsuka-europe-crm.veevavault.com/ui/#object/approved_document__v/V5OZ025E82TFUPI", "Spain - HCP Survey Email - June 2025")</f>
        <v>Spain - HCP Survey Email - June 2025</v>
      </c>
      <c r="C2464" s="3" t="str">
        <f>HYPERLINK("https://otsuka-europe-crm.veevavault.com/ui/#object/sent_email__v/VBLZ025E82GMZIZ", "SE-000269565")</f>
        <v>SE-000269565</v>
      </c>
      <c r="D2464" s="1">
        <v>45915.397615740738</v>
      </c>
      <c r="E2464" s="2">
        <v>1</v>
      </c>
      <c r="F2464" s="2">
        <v>1</v>
      </c>
      <c r="G2464" s="2">
        <v>1</v>
      </c>
      <c r="H2464" s="1">
        <v>45915.397615740738</v>
      </c>
      <c r="I2464" s="2">
        <v>1</v>
      </c>
      <c r="J2464" s="1">
        <v>45915.379791666666</v>
      </c>
    </row>
    <row r="2465" spans="1:10" x14ac:dyDescent="0.2">
      <c r="A2465" s="4" t="s">
        <v>1</v>
      </c>
      <c r="B2465" s="3" t="str">
        <f>HYPERLINK("https://otsuka-europe-crm.veevavault.com/ui/#object/approved_document__v/V5OZ025E82TFUPI", "Spain - HCP Survey Email - June 2025")</f>
        <v>Spain - HCP Survey Email - June 2025</v>
      </c>
      <c r="C2465" s="3" t="str">
        <f>HYPERLINK("https://otsuka-europe-crm.veevavault.com/ui/#object/sent_email__v/VBLZ025E82GMZJ0", "SE-000269566")</f>
        <v>SE-000269566</v>
      </c>
      <c r="D2465" s="1" t="s">
        <v>0</v>
      </c>
      <c r="E2465" s="2">
        <v>0</v>
      </c>
      <c r="F2465" s="2">
        <v>0</v>
      </c>
      <c r="G2465" s="2">
        <v>0</v>
      </c>
      <c r="H2465" s="1" t="s">
        <v>0</v>
      </c>
      <c r="I2465" s="2">
        <v>0</v>
      </c>
      <c r="J2465" s="1">
        <v>45915.379421296297</v>
      </c>
    </row>
    <row r="2466" spans="1:10" x14ac:dyDescent="0.2">
      <c r="A2466" s="4" t="s">
        <v>1</v>
      </c>
      <c r="B2466" s="3" t="str">
        <f>HYPERLINK("https://otsuka-europe-crm.veevavault.com/ui/#object/approved_document__v/V5OZ025E82TFUPI", "Spain - HCP Survey Email - June 2025")</f>
        <v>Spain - HCP Survey Email - June 2025</v>
      </c>
      <c r="C2466" s="3" t="str">
        <f>HYPERLINK("https://otsuka-europe-crm.veevavault.com/ui/#object/sent_email__v/VBLZ025E82GMZJ1", "SE-000269567")</f>
        <v>SE-000269567</v>
      </c>
      <c r="D2466" s="1">
        <v>45916.127291666664</v>
      </c>
      <c r="E2466" s="2">
        <v>1</v>
      </c>
      <c r="F2466" s="2">
        <v>1</v>
      </c>
      <c r="G2466" s="2">
        <v>0</v>
      </c>
      <c r="H2466" s="1" t="s">
        <v>0</v>
      </c>
      <c r="I2466" s="2">
        <v>0</v>
      </c>
      <c r="J2466" s="1">
        <v>45915.377442129633</v>
      </c>
    </row>
    <row r="2467" spans="1:10" x14ac:dyDescent="0.2">
      <c r="A2467" s="4" t="s">
        <v>1</v>
      </c>
      <c r="B2467" s="3" t="str">
        <f>HYPERLINK("https://otsuka-europe-crm.veevavault.com/ui/#object/approved_document__v/V5OZ025E82TFUPI", "Spain - HCP Survey Email - June 2025")</f>
        <v>Spain - HCP Survey Email - June 2025</v>
      </c>
      <c r="C2467" s="3" t="str">
        <f>HYPERLINK("https://otsuka-europe-crm.veevavault.com/ui/#object/sent_email__v/VBLZ025E82GMZJ2", "SE-000269568")</f>
        <v>SE-000269568</v>
      </c>
      <c r="D2467" s="1" t="s">
        <v>0</v>
      </c>
      <c r="E2467" s="2">
        <v>0</v>
      </c>
      <c r="F2467" s="2">
        <v>0</v>
      </c>
      <c r="G2467" s="2">
        <v>0</v>
      </c>
      <c r="H2467" s="1" t="s">
        <v>0</v>
      </c>
      <c r="I2467" s="2">
        <v>0</v>
      </c>
      <c r="J2467" s="1">
        <v>45915.37835648148</v>
      </c>
    </row>
    <row r="2468" spans="1:10" x14ac:dyDescent="0.2">
      <c r="A2468" s="4" t="s">
        <v>1</v>
      </c>
      <c r="B2468" s="3" t="str">
        <f>HYPERLINK("https://otsuka-europe-crm.veevavault.com/ui/#object/approved_document__v/V5OZ025E82TFUPI", "Spain - HCP Survey Email - June 2025")</f>
        <v>Spain - HCP Survey Email - June 2025</v>
      </c>
      <c r="C2468" s="3" t="str">
        <f>HYPERLINK("https://otsuka-europe-crm.veevavault.com/ui/#object/sent_email__v/VBLZ025E82GMZJ3", "SE-000269569")</f>
        <v>SE-000269569</v>
      </c>
      <c r="D2468" s="1">
        <v>45915.427083333336</v>
      </c>
      <c r="E2468" s="2">
        <v>1</v>
      </c>
      <c r="F2468" s="2">
        <v>1</v>
      </c>
      <c r="G2468" s="2">
        <v>1</v>
      </c>
      <c r="H2468" s="1">
        <v>45915.427731481483</v>
      </c>
      <c r="I2468" s="2">
        <v>2</v>
      </c>
      <c r="J2468" s="1">
        <v>45915.37809027778</v>
      </c>
    </row>
    <row r="2469" spans="1:10" x14ac:dyDescent="0.2">
      <c r="A2469" s="4" t="s">
        <v>1</v>
      </c>
      <c r="B2469" s="3" t="str">
        <f>HYPERLINK("https://otsuka-europe-crm.veevavault.com/ui/#object/approved_document__v/V5OZ025E82TFUPI", "Spain - HCP Survey Email - June 2025")</f>
        <v>Spain - HCP Survey Email - June 2025</v>
      </c>
      <c r="C2469" s="3" t="str">
        <f>HYPERLINK("https://otsuka-europe-crm.veevavault.com/ui/#object/sent_email__v/VBLZ025E82GMZJ4", "SE-000269570")</f>
        <v>SE-000269570</v>
      </c>
      <c r="D2469" s="1">
        <v>45918.25072916667</v>
      </c>
      <c r="E2469" s="2">
        <v>1</v>
      </c>
      <c r="F2469" s="2">
        <v>1</v>
      </c>
      <c r="G2469" s="2">
        <v>0</v>
      </c>
      <c r="H2469" s="1" t="s">
        <v>0</v>
      </c>
      <c r="I2469" s="2">
        <v>0</v>
      </c>
      <c r="J2469" s="1">
        <v>45915.378541666665</v>
      </c>
    </row>
    <row r="2470" spans="1:10" x14ac:dyDescent="0.2">
      <c r="A2470" s="4" t="s">
        <v>1</v>
      </c>
      <c r="B2470" s="3" t="str">
        <f>HYPERLINK("https://otsuka-europe-crm.veevavault.com/ui/#object/approved_document__v/V5OZ025E82TFUPI", "Spain - HCP Survey Email - June 2025")</f>
        <v>Spain - HCP Survey Email - June 2025</v>
      </c>
      <c r="C2470" s="3" t="str">
        <f>HYPERLINK("https://otsuka-europe-crm.veevavault.com/ui/#object/sent_email__v/VBLZ025E82GMZJ5", "SE-000269571")</f>
        <v>SE-000269571</v>
      </c>
      <c r="D2470" s="1" t="s">
        <v>0</v>
      </c>
      <c r="E2470" s="2">
        <v>0</v>
      </c>
      <c r="F2470" s="2">
        <v>0</v>
      </c>
      <c r="G2470" s="2">
        <v>0</v>
      </c>
      <c r="H2470" s="1" t="s">
        <v>0</v>
      </c>
      <c r="I2470" s="2">
        <v>0</v>
      </c>
      <c r="J2470" s="1">
        <v>45915.379918981482</v>
      </c>
    </row>
    <row r="2471" spans="1:10" x14ac:dyDescent="0.2">
      <c r="A2471" s="4" t="s">
        <v>1</v>
      </c>
      <c r="B2471" s="3" t="str">
        <f>HYPERLINK("https://otsuka-europe-crm.veevavault.com/ui/#object/approved_document__v/V5OZ025E82TFUPI", "Spain - HCP Survey Email - June 2025")</f>
        <v>Spain - HCP Survey Email - June 2025</v>
      </c>
      <c r="C2471" s="3" t="str">
        <f>HYPERLINK("https://otsuka-europe-crm.veevavault.com/ui/#object/sent_email__v/VBLZ025E82GMZJ6", "SE-000269572")</f>
        <v>SE-000269572</v>
      </c>
      <c r="D2471" s="1">
        <v>45915.387442129628</v>
      </c>
      <c r="E2471" s="2">
        <v>1</v>
      </c>
      <c r="F2471" s="2">
        <v>2</v>
      </c>
      <c r="G2471" s="2">
        <v>0</v>
      </c>
      <c r="H2471" s="1" t="s">
        <v>0</v>
      </c>
      <c r="I2471" s="2">
        <v>0</v>
      </c>
      <c r="J2471" s="1">
        <v>45915.37773148148</v>
      </c>
    </row>
    <row r="2472" spans="1:10" x14ac:dyDescent="0.2">
      <c r="A2472" s="4" t="s">
        <v>1</v>
      </c>
      <c r="B2472" s="3" t="str">
        <f>HYPERLINK("https://otsuka-europe-crm.veevavault.com/ui/#object/approved_document__v/V5OZ025E82TFUPI", "Spain - HCP Survey Email - June 2025")</f>
        <v>Spain - HCP Survey Email - June 2025</v>
      </c>
      <c r="C2472" s="3" t="str">
        <f>HYPERLINK("https://otsuka-europe-crm.veevavault.com/ui/#object/sent_email__v/VBLZ025E82GMZJ7", "SE-000269573")</f>
        <v>SE-000269573</v>
      </c>
      <c r="D2472" s="1" t="s">
        <v>0</v>
      </c>
      <c r="E2472" s="2">
        <v>0</v>
      </c>
      <c r="F2472" s="2">
        <v>0</v>
      </c>
      <c r="G2472" s="2">
        <v>0</v>
      </c>
      <c r="H2472" s="1" t="s">
        <v>0</v>
      </c>
      <c r="I2472" s="2">
        <v>0</v>
      </c>
      <c r="J2472" s="1">
        <v>45915.377627314818</v>
      </c>
    </row>
    <row r="2473" spans="1:10" x14ac:dyDescent="0.2">
      <c r="A2473" s="4" t="s">
        <v>1</v>
      </c>
      <c r="B2473" s="3" t="str">
        <f>HYPERLINK("https://otsuka-europe-crm.veevavault.com/ui/#object/approved_document__v/V5OZ025E82TFUPI", "Spain - HCP Survey Email - June 2025")</f>
        <v>Spain - HCP Survey Email - June 2025</v>
      </c>
      <c r="C2473" s="3" t="str">
        <f>HYPERLINK("https://otsuka-europe-crm.veevavault.com/ui/#object/sent_email__v/VBLZ025E82GMZJ8", "SE-000269574")</f>
        <v>SE-000269574</v>
      </c>
      <c r="D2473" s="1" t="s">
        <v>0</v>
      </c>
      <c r="E2473" s="2">
        <v>0</v>
      </c>
      <c r="F2473" s="2">
        <v>0</v>
      </c>
      <c r="G2473" s="2">
        <v>0</v>
      </c>
      <c r="H2473" s="1" t="s">
        <v>0</v>
      </c>
      <c r="I2473" s="2">
        <v>0</v>
      </c>
      <c r="J2473" s="1">
        <v>45915.378009259257</v>
      </c>
    </row>
    <row r="2474" spans="1:10" x14ac:dyDescent="0.2">
      <c r="A2474" s="4" t="s">
        <v>1</v>
      </c>
      <c r="B2474" s="3" t="str">
        <f>HYPERLINK("https://otsuka-europe-crm.veevavault.com/ui/#object/approved_document__v/V5OZ025E82TFUPI", "Spain - HCP Survey Email - June 2025")</f>
        <v>Spain - HCP Survey Email - June 2025</v>
      </c>
      <c r="C2474" s="3" t="str">
        <f>HYPERLINK("https://otsuka-europe-crm.veevavault.com/ui/#object/sent_email__v/VBLZ025E82GMZJ9", "SE-000269575")</f>
        <v>SE-000269575</v>
      </c>
      <c r="D2474" s="1">
        <v>45916.476851851854</v>
      </c>
      <c r="E2474" s="2">
        <v>1</v>
      </c>
      <c r="F2474" s="2">
        <v>1</v>
      </c>
      <c r="G2474" s="2">
        <v>0</v>
      </c>
      <c r="H2474" s="1" t="s">
        <v>0</v>
      </c>
      <c r="I2474" s="2">
        <v>0</v>
      </c>
      <c r="J2474" s="1">
        <v>45915.378923611112</v>
      </c>
    </row>
    <row r="2475" spans="1:10" x14ac:dyDescent="0.2">
      <c r="A2475" s="4" t="s">
        <v>1</v>
      </c>
      <c r="B2475" s="3" t="str">
        <f>HYPERLINK("https://otsuka-europe-crm.veevavault.com/ui/#object/approved_document__v/V5OZ025E82TFUPI", "Spain - HCP Survey Email - June 2025")</f>
        <v>Spain - HCP Survey Email - June 2025</v>
      </c>
      <c r="C2475" s="3" t="str">
        <f>HYPERLINK("https://otsuka-europe-crm.veevavault.com/ui/#object/sent_email__v/VBLZ025E82GMZJB", "SE-000269577")</f>
        <v>SE-000269577</v>
      </c>
      <c r="D2475" s="1">
        <v>45918.709872685184</v>
      </c>
      <c r="E2475" s="2">
        <v>1</v>
      </c>
      <c r="F2475" s="2">
        <v>2</v>
      </c>
      <c r="G2475" s="2">
        <v>0</v>
      </c>
      <c r="H2475" s="1" t="s">
        <v>0</v>
      </c>
      <c r="I2475" s="2">
        <v>0</v>
      </c>
      <c r="J2475" s="1">
        <v>45915.379201388889</v>
      </c>
    </row>
    <row r="2476" spans="1:10" x14ac:dyDescent="0.2">
      <c r="A2476" s="4" t="s">
        <v>1</v>
      </c>
      <c r="B2476" s="3" t="str">
        <f>HYPERLINK("https://otsuka-europe-crm.veevavault.com/ui/#object/approved_document__v/V5OZ025E82TFUPI", "Spain - HCP Survey Email - June 2025")</f>
        <v>Spain - HCP Survey Email - June 2025</v>
      </c>
      <c r="C2476" s="3" t="str">
        <f>HYPERLINK("https://otsuka-europe-crm.veevavault.com/ui/#object/sent_email__v/VBLZ025E82GMZJC", "SE-000269578")</f>
        <v>SE-000269578</v>
      </c>
      <c r="D2476" s="1">
        <v>45922.52685185185</v>
      </c>
      <c r="E2476" s="2">
        <v>1</v>
      </c>
      <c r="F2476" s="2">
        <v>6</v>
      </c>
      <c r="G2476" s="2">
        <v>0</v>
      </c>
      <c r="H2476" s="1" t="s">
        <v>0</v>
      </c>
      <c r="I2476" s="2">
        <v>0</v>
      </c>
      <c r="J2476" s="1">
        <v>45915.377430555556</v>
      </c>
    </row>
    <row r="2477" spans="1:10" x14ac:dyDescent="0.2">
      <c r="A2477" s="4" t="s">
        <v>1</v>
      </c>
      <c r="B2477" s="3" t="str">
        <f>HYPERLINK("https://otsuka-europe-crm.veevavault.com/ui/#object/approved_document__v/V5OZ025E82TFUPI", "Spain - HCP Survey Email - June 2025")</f>
        <v>Spain - HCP Survey Email - June 2025</v>
      </c>
      <c r="C2477" s="3" t="str">
        <f>HYPERLINK("https://otsuka-europe-crm.veevavault.com/ui/#object/sent_email__v/VBLZ025E82GMZJD", "SE-000269579")</f>
        <v>SE-000269579</v>
      </c>
      <c r="D2477" s="1">
        <v>45915.612546296295</v>
      </c>
      <c r="E2477" s="2">
        <v>1</v>
      </c>
      <c r="F2477" s="2">
        <v>3</v>
      </c>
      <c r="G2477" s="2">
        <v>0</v>
      </c>
      <c r="H2477" s="1" t="s">
        <v>0</v>
      </c>
      <c r="I2477" s="2">
        <v>0</v>
      </c>
      <c r="J2477" s="1">
        <v>45915.378518518519</v>
      </c>
    </row>
    <row r="2478" spans="1:10" x14ac:dyDescent="0.2">
      <c r="A2478" s="4" t="s">
        <v>1</v>
      </c>
      <c r="B2478" s="3" t="str">
        <f>HYPERLINK("https://otsuka-europe-crm.veevavault.com/ui/#object/approved_document__v/V5OZ025E82TFUPI", "Spain - HCP Survey Email - June 2025")</f>
        <v>Spain - HCP Survey Email - June 2025</v>
      </c>
      <c r="C2478" s="3" t="str">
        <f>HYPERLINK("https://otsuka-europe-crm.veevavault.com/ui/#object/sent_email__v/VBLZ025E82GMZJE", "SE-000269580")</f>
        <v>SE-000269580</v>
      </c>
      <c r="D2478" s="1">
        <v>45945.534201388888</v>
      </c>
      <c r="E2478" s="2">
        <v>1</v>
      </c>
      <c r="F2478" s="2">
        <v>4</v>
      </c>
      <c r="G2478" s="2">
        <v>0</v>
      </c>
      <c r="H2478" s="1" t="s">
        <v>0</v>
      </c>
      <c r="I2478" s="2">
        <v>0</v>
      </c>
      <c r="J2478" s="1">
        <v>45915.378877314812</v>
      </c>
    </row>
    <row r="2479" spans="1:10" x14ac:dyDescent="0.2">
      <c r="A2479" s="4" t="s">
        <v>1</v>
      </c>
      <c r="B2479" s="3" t="str">
        <f>HYPERLINK("https://otsuka-europe-crm.veevavault.com/ui/#object/approved_document__v/V5OZ025E82TFUPI", "Spain - HCP Survey Email - June 2025")</f>
        <v>Spain - HCP Survey Email - June 2025</v>
      </c>
      <c r="C2479" s="3" t="str">
        <f>HYPERLINK("https://otsuka-europe-crm.veevavault.com/ui/#object/sent_email__v/VBLZ025E82GMZJF", "SE-000269581")</f>
        <v>SE-000269581</v>
      </c>
      <c r="D2479" s="1">
        <v>45915.383472222224</v>
      </c>
      <c r="E2479" s="2">
        <v>1</v>
      </c>
      <c r="F2479" s="2">
        <v>1</v>
      </c>
      <c r="G2479" s="2">
        <v>1</v>
      </c>
      <c r="H2479" s="1">
        <v>45915.383645833332</v>
      </c>
      <c r="I2479" s="2">
        <v>1</v>
      </c>
      <c r="J2479" s="1">
        <v>45915.378587962965</v>
      </c>
    </row>
    <row r="2480" spans="1:10" x14ac:dyDescent="0.2">
      <c r="A2480" s="4" t="s">
        <v>1</v>
      </c>
      <c r="B2480" s="3" t="str">
        <f>HYPERLINK("https://otsuka-europe-crm.veevavault.com/ui/#object/approved_document__v/V5OZ025E82TFUPI", "Spain - HCP Survey Email - June 2025")</f>
        <v>Spain - HCP Survey Email - June 2025</v>
      </c>
      <c r="C2480" s="3" t="str">
        <f>HYPERLINK("https://otsuka-europe-crm.veevavault.com/ui/#object/sent_email__v/VBLZ025E82GMZJG", "SE-000269582")</f>
        <v>SE-000269582</v>
      </c>
      <c r="D2480" s="1" t="s">
        <v>0</v>
      </c>
      <c r="E2480" s="2">
        <v>0</v>
      </c>
      <c r="F2480" s="2">
        <v>0</v>
      </c>
      <c r="G2480" s="2">
        <v>0</v>
      </c>
      <c r="H2480" s="1" t="s">
        <v>0</v>
      </c>
      <c r="I2480" s="2">
        <v>0</v>
      </c>
      <c r="J2480" s="1">
        <v>45915.377418981479</v>
      </c>
    </row>
    <row r="2481" spans="1:10" x14ac:dyDescent="0.2">
      <c r="A2481" s="4" t="s">
        <v>1</v>
      </c>
      <c r="B2481" s="3" t="str">
        <f>HYPERLINK("https://otsuka-europe-crm.veevavault.com/ui/#object/approved_document__v/V5OZ025E82TFUPI", "Spain - HCP Survey Email - June 2025")</f>
        <v>Spain - HCP Survey Email - June 2025</v>
      </c>
      <c r="C2481" s="3" t="str">
        <f>HYPERLINK("https://otsuka-europe-crm.veevavault.com/ui/#object/sent_email__v/VBLZ025E82GMZJH", "SE-000269583")</f>
        <v>SE-000269583</v>
      </c>
      <c r="D2481" s="1">
        <v>46032.390092592592</v>
      </c>
      <c r="E2481" s="2">
        <v>1</v>
      </c>
      <c r="F2481" s="2">
        <v>2</v>
      </c>
      <c r="G2481" s="2">
        <v>0</v>
      </c>
      <c r="H2481" s="1" t="s">
        <v>0</v>
      </c>
      <c r="I2481" s="2">
        <v>0</v>
      </c>
      <c r="J2481" s="1">
        <v>45915.37841435185</v>
      </c>
    </row>
    <row r="2482" spans="1:10" x14ac:dyDescent="0.2">
      <c r="A2482" s="4" t="s">
        <v>1</v>
      </c>
      <c r="B2482" s="3" t="str">
        <f>HYPERLINK("https://otsuka-europe-crm.veevavault.com/ui/#object/approved_document__v/V5OZ025E82TFUPI", "Spain - HCP Survey Email - June 2025")</f>
        <v>Spain - HCP Survey Email - June 2025</v>
      </c>
      <c r="C2482" s="3" t="str">
        <f>HYPERLINK("https://otsuka-europe-crm.veevavault.com/ui/#object/sent_email__v/VBLZ025E82GMZJI", "SE-000269584")</f>
        <v>SE-000269584</v>
      </c>
      <c r="D2482" s="1">
        <v>45915.636053240742</v>
      </c>
      <c r="E2482" s="2">
        <v>1</v>
      </c>
      <c r="F2482" s="2">
        <v>2</v>
      </c>
      <c r="G2482" s="2">
        <v>0</v>
      </c>
      <c r="H2482" s="1" t="s">
        <v>0</v>
      </c>
      <c r="I2482" s="2">
        <v>0</v>
      </c>
      <c r="J2482" s="1">
        <v>45915.378159722219</v>
      </c>
    </row>
    <row r="2483" spans="1:10" x14ac:dyDescent="0.2">
      <c r="A2483" s="4" t="s">
        <v>1</v>
      </c>
      <c r="B2483" s="3" t="str">
        <f>HYPERLINK("https://otsuka-europe-crm.veevavault.com/ui/#object/approved_document__v/V5OZ025E82TFUPI", "Spain - HCP Survey Email - June 2025")</f>
        <v>Spain - HCP Survey Email - June 2025</v>
      </c>
      <c r="C2483" s="3" t="str">
        <f>HYPERLINK("https://otsuka-europe-crm.veevavault.com/ui/#object/sent_email__v/VBLZ025E82GMZJJ", "SE-000269585")</f>
        <v>SE-000269585</v>
      </c>
      <c r="D2483" s="1" t="s">
        <v>0</v>
      </c>
      <c r="E2483" s="2">
        <v>0</v>
      </c>
      <c r="F2483" s="2">
        <v>0</v>
      </c>
      <c r="G2483" s="2">
        <v>0</v>
      </c>
      <c r="H2483" s="1" t="s">
        <v>0</v>
      </c>
      <c r="I2483" s="2">
        <v>0</v>
      </c>
      <c r="J2483" s="1">
        <v>45915.378530092596</v>
      </c>
    </row>
    <row r="2484" spans="1:10" x14ac:dyDescent="0.2">
      <c r="A2484" s="4" t="s">
        <v>1</v>
      </c>
      <c r="B2484" s="3" t="str">
        <f>HYPERLINK("https://otsuka-europe-crm.veevavault.com/ui/#object/approved_document__v/V5OZ025E82TFUPI", "Spain - HCP Survey Email - June 2025")</f>
        <v>Spain - HCP Survey Email - June 2025</v>
      </c>
      <c r="C2484" s="3" t="str">
        <f>HYPERLINK("https://otsuka-europe-crm.veevavault.com/ui/#object/sent_email__v/VBLZ025E82GMZJK", "SE-000269586")</f>
        <v>SE-000269586</v>
      </c>
      <c r="D2484" s="1" t="s">
        <v>0</v>
      </c>
      <c r="E2484" s="2">
        <v>0</v>
      </c>
      <c r="F2484" s="2">
        <v>0</v>
      </c>
      <c r="G2484" s="2">
        <v>0</v>
      </c>
      <c r="H2484" s="1" t="s">
        <v>0</v>
      </c>
      <c r="I2484" s="2">
        <v>0</v>
      </c>
      <c r="J2484" s="1">
        <v>45915.380150462966</v>
      </c>
    </row>
    <row r="2485" spans="1:10" x14ac:dyDescent="0.2">
      <c r="A2485" s="4" t="s">
        <v>1</v>
      </c>
      <c r="B2485" s="3" t="str">
        <f>HYPERLINK("https://otsuka-europe-crm.veevavault.com/ui/#object/approved_document__v/V5OZ025E82TFUPI", "Spain - HCP Survey Email - June 2025")</f>
        <v>Spain - HCP Survey Email - June 2025</v>
      </c>
      <c r="C2485" s="3" t="str">
        <f>HYPERLINK("https://otsuka-europe-crm.veevavault.com/ui/#object/sent_email__v/VBLZ025E82GMZJL", "SE-000269587")</f>
        <v>SE-000269587</v>
      </c>
      <c r="D2485" s="1">
        <v>45917.309675925928</v>
      </c>
      <c r="E2485" s="2">
        <v>1</v>
      </c>
      <c r="F2485" s="2">
        <v>1</v>
      </c>
      <c r="G2485" s="2">
        <v>1</v>
      </c>
      <c r="H2485" s="1">
        <v>45917.309803240743</v>
      </c>
      <c r="I2485" s="2">
        <v>2</v>
      </c>
      <c r="J2485" s="1">
        <v>45915.377743055556</v>
      </c>
    </row>
    <row r="2486" spans="1:10" x14ac:dyDescent="0.2">
      <c r="A2486" s="4" t="s">
        <v>1</v>
      </c>
      <c r="B2486" s="3" t="str">
        <f>HYPERLINK("https://otsuka-europe-crm.veevavault.com/ui/#object/approved_document__v/V5OZ025E82TFUPI", "Spain - HCP Survey Email - June 2025")</f>
        <v>Spain - HCP Survey Email - June 2025</v>
      </c>
      <c r="C2486" s="3" t="str">
        <f>HYPERLINK("https://otsuka-europe-crm.veevavault.com/ui/#object/sent_email__v/VBLZ025E82GMZJM", "SE-000269588")</f>
        <v>SE-000269588</v>
      </c>
      <c r="D2486" s="1">
        <v>45918.83798611111</v>
      </c>
      <c r="E2486" s="2">
        <v>1</v>
      </c>
      <c r="F2486" s="2">
        <v>3</v>
      </c>
      <c r="G2486" s="2">
        <v>0</v>
      </c>
      <c r="H2486" s="1" t="s">
        <v>0</v>
      </c>
      <c r="I2486" s="2">
        <v>0</v>
      </c>
      <c r="J2486" s="1">
        <v>45915.377638888887</v>
      </c>
    </row>
    <row r="2487" spans="1:10" x14ac:dyDescent="0.2">
      <c r="A2487" s="4" t="s">
        <v>1</v>
      </c>
      <c r="B2487" s="3" t="str">
        <f>HYPERLINK("https://otsuka-europe-crm.veevavault.com/ui/#object/approved_document__v/V5OZ025E82TFUPI", "Spain - HCP Survey Email - June 2025")</f>
        <v>Spain - HCP Survey Email - June 2025</v>
      </c>
      <c r="C2487" s="3" t="str">
        <f>HYPERLINK("https://otsuka-europe-crm.veevavault.com/ui/#object/sent_email__v/VBLZ025E82GMZJN", "SE-000269589")</f>
        <v>SE-000269589</v>
      </c>
      <c r="D2487" s="1">
        <v>45916.462534722225</v>
      </c>
      <c r="E2487" s="2">
        <v>1</v>
      </c>
      <c r="F2487" s="2">
        <v>3</v>
      </c>
      <c r="G2487" s="2">
        <v>0</v>
      </c>
      <c r="H2487" s="1" t="s">
        <v>0</v>
      </c>
      <c r="I2487" s="2">
        <v>0</v>
      </c>
      <c r="J2487" s="1">
        <v>45915.378078703703</v>
      </c>
    </row>
    <row r="2488" spans="1:10" x14ac:dyDescent="0.2">
      <c r="A2488" s="4" t="s">
        <v>1</v>
      </c>
      <c r="B2488" s="3" t="str">
        <f>HYPERLINK("https://otsuka-europe-crm.veevavault.com/ui/#object/approved_document__v/V5OZ025E82TFUPI", "Spain - HCP Survey Email - June 2025")</f>
        <v>Spain - HCP Survey Email - June 2025</v>
      </c>
      <c r="C2488" s="3" t="str">
        <f>HYPERLINK("https://otsuka-europe-crm.veevavault.com/ui/#object/sent_email__v/VBLZ025E82GMZJO", "SE-000269590")</f>
        <v>SE-000269590</v>
      </c>
      <c r="D2488" s="1" t="s">
        <v>0</v>
      </c>
      <c r="E2488" s="2">
        <v>0</v>
      </c>
      <c r="F2488" s="2">
        <v>0</v>
      </c>
      <c r="G2488" s="2">
        <v>0</v>
      </c>
      <c r="H2488" s="1" t="s">
        <v>0</v>
      </c>
      <c r="I2488" s="2">
        <v>0</v>
      </c>
      <c r="J2488" s="1">
        <v>45915.378923611112</v>
      </c>
    </row>
    <row r="2489" spans="1:10" x14ac:dyDescent="0.2">
      <c r="A2489" s="4" t="s">
        <v>1</v>
      </c>
      <c r="B2489" s="3" t="str">
        <f>HYPERLINK("https://otsuka-europe-crm.veevavault.com/ui/#object/approved_document__v/V5OZ025E82TFUPI", "Spain - HCP Survey Email - June 2025")</f>
        <v>Spain - HCP Survey Email - June 2025</v>
      </c>
      <c r="C2489" s="3" t="str">
        <f>HYPERLINK("https://otsuka-europe-crm.veevavault.com/ui/#object/sent_email__v/VBLZ025E82GMZJP", "SE-000269591")</f>
        <v>SE-000269591</v>
      </c>
      <c r="D2489" s="1">
        <v>45915.395243055558</v>
      </c>
      <c r="E2489" s="2">
        <v>1</v>
      </c>
      <c r="F2489" s="2">
        <v>1</v>
      </c>
      <c r="G2489" s="2">
        <v>0</v>
      </c>
      <c r="H2489" s="1" t="s">
        <v>0</v>
      </c>
      <c r="I2489" s="2">
        <v>0</v>
      </c>
      <c r="J2489" s="1">
        <v>45915.379560185182</v>
      </c>
    </row>
    <row r="2490" spans="1:10" x14ac:dyDescent="0.2">
      <c r="A2490" s="4" t="s">
        <v>1</v>
      </c>
      <c r="B2490" s="3" t="str">
        <f>HYPERLINK("https://otsuka-europe-crm.veevavault.com/ui/#object/approved_document__v/V5OZ025E82TFUPI", "Spain - HCP Survey Email - June 2025")</f>
        <v>Spain - HCP Survey Email - June 2025</v>
      </c>
      <c r="C2490" s="3" t="str">
        <f>HYPERLINK("https://otsuka-europe-crm.veevavault.com/ui/#object/sent_email__v/VBLZ025E82GMZJQ", "SE-000269592")</f>
        <v>SE-000269592</v>
      </c>
      <c r="D2490" s="1" t="s">
        <v>0</v>
      </c>
      <c r="E2490" s="2">
        <v>0</v>
      </c>
      <c r="F2490" s="2">
        <v>0</v>
      </c>
      <c r="G2490" s="2">
        <v>0</v>
      </c>
      <c r="H2490" s="1" t="s">
        <v>0</v>
      </c>
      <c r="I2490" s="2">
        <v>0</v>
      </c>
      <c r="J2490" s="1">
        <v>45915.379270833335</v>
      </c>
    </row>
    <row r="2491" spans="1:10" x14ac:dyDescent="0.2">
      <c r="A2491" s="4" t="s">
        <v>1</v>
      </c>
      <c r="B2491" s="3" t="str">
        <f>HYPERLINK("https://otsuka-europe-crm.veevavault.com/ui/#object/approved_document__v/V5OZ025E82TFUPI", "Spain - HCP Survey Email - June 2025")</f>
        <v>Spain - HCP Survey Email - June 2025</v>
      </c>
      <c r="C2491" s="3" t="str">
        <f>HYPERLINK("https://otsuka-europe-crm.veevavault.com/ui/#object/sent_email__v/VBLZ025E82GMZJR", "SE-000269593")</f>
        <v>SE-000269593</v>
      </c>
      <c r="D2491" s="1" t="s">
        <v>0</v>
      </c>
      <c r="E2491" s="2">
        <v>0</v>
      </c>
      <c r="F2491" s="2">
        <v>0</v>
      </c>
      <c r="G2491" s="2">
        <v>0</v>
      </c>
      <c r="H2491" s="1" t="s">
        <v>0</v>
      </c>
      <c r="I2491" s="2">
        <v>0</v>
      </c>
      <c r="J2491" s="1">
        <v>45915.377476851849</v>
      </c>
    </row>
    <row r="2492" spans="1:10" x14ac:dyDescent="0.2">
      <c r="A2492" s="4" t="s">
        <v>1</v>
      </c>
      <c r="B2492" s="3" t="str">
        <f>HYPERLINK("https://otsuka-europe-crm.veevavault.com/ui/#object/approved_document__v/V5OZ025E82TFUPI", "Spain - HCP Survey Email - June 2025")</f>
        <v>Spain - HCP Survey Email - June 2025</v>
      </c>
      <c r="C2492" s="3" t="str">
        <f>HYPERLINK("https://otsuka-europe-crm.veevavault.com/ui/#object/sent_email__v/VBLZ025E82GMZJS", "SE-000269594")</f>
        <v>SE-000269594</v>
      </c>
      <c r="D2492" s="1">
        <v>45917.012060185189</v>
      </c>
      <c r="E2492" s="2">
        <v>1</v>
      </c>
      <c r="F2492" s="2">
        <v>1</v>
      </c>
      <c r="G2492" s="2">
        <v>0</v>
      </c>
      <c r="H2492" s="1" t="s">
        <v>0</v>
      </c>
      <c r="I2492" s="2">
        <v>0</v>
      </c>
      <c r="J2492" s="1">
        <v>45915.378472222219</v>
      </c>
    </row>
    <row r="2493" spans="1:10" x14ac:dyDescent="0.2">
      <c r="A2493" s="4" t="s">
        <v>1</v>
      </c>
      <c r="B2493" s="3" t="str">
        <f>HYPERLINK("https://otsuka-europe-crm.veevavault.com/ui/#object/approved_document__v/V5OZ025E82TFUPI", "Spain - HCP Survey Email - June 2025")</f>
        <v>Spain - HCP Survey Email - June 2025</v>
      </c>
      <c r="C2493" s="3" t="str">
        <f>HYPERLINK("https://otsuka-europe-crm.veevavault.com/ui/#object/sent_email__v/VBLZ025E82GMZJT", "SE-000269595")</f>
        <v>SE-000269595</v>
      </c>
      <c r="D2493" s="1" t="s">
        <v>0</v>
      </c>
      <c r="E2493" s="2">
        <v>0</v>
      </c>
      <c r="F2493" s="2">
        <v>0</v>
      </c>
      <c r="G2493" s="2">
        <v>0</v>
      </c>
      <c r="H2493" s="1" t="s">
        <v>0</v>
      </c>
      <c r="I2493" s="2">
        <v>0</v>
      </c>
      <c r="J2493" s="1">
        <v>45915.378125000003</v>
      </c>
    </row>
    <row r="2494" spans="1:10" x14ac:dyDescent="0.2">
      <c r="A2494" s="4" t="s">
        <v>1</v>
      </c>
      <c r="B2494" s="3" t="str">
        <f>HYPERLINK("https://otsuka-europe-crm.veevavault.com/ui/#object/approved_document__v/V5OZ025E82TFUPI", "Spain - HCP Survey Email - June 2025")</f>
        <v>Spain - HCP Survey Email - June 2025</v>
      </c>
      <c r="C2494" s="3" t="str">
        <f>HYPERLINK("https://otsuka-europe-crm.veevavault.com/ui/#object/sent_email__v/VBLZ025E82GMZJU", "SE-000269596")</f>
        <v>SE-000269596</v>
      </c>
      <c r="D2494" s="1" t="s">
        <v>0</v>
      </c>
      <c r="E2494" s="2">
        <v>0</v>
      </c>
      <c r="F2494" s="2">
        <v>0</v>
      </c>
      <c r="G2494" s="2">
        <v>0</v>
      </c>
      <c r="H2494" s="1" t="s">
        <v>0</v>
      </c>
      <c r="I2494" s="2">
        <v>0</v>
      </c>
      <c r="J2494" s="1">
        <v>45915.378518518519</v>
      </c>
    </row>
    <row r="2495" spans="1:10" x14ac:dyDescent="0.2">
      <c r="A2495" s="4" t="s">
        <v>1</v>
      </c>
      <c r="B2495" s="3" t="str">
        <f>HYPERLINK("https://otsuka-europe-crm.veevavault.com/ui/#object/approved_document__v/V5OZ025E82TFUPI", "Spain - HCP Survey Email - June 2025")</f>
        <v>Spain - HCP Survey Email - June 2025</v>
      </c>
      <c r="C2495" s="3" t="str">
        <f>HYPERLINK("https://otsuka-europe-crm.veevavault.com/ui/#object/sent_email__v/VBLZ025E82GMZJV", "SE-000269597")</f>
        <v>SE-000269597</v>
      </c>
      <c r="D2495" s="1" t="s">
        <v>0</v>
      </c>
      <c r="E2495" s="2">
        <v>0</v>
      </c>
      <c r="F2495" s="2">
        <v>0</v>
      </c>
      <c r="G2495" s="2">
        <v>0</v>
      </c>
      <c r="H2495" s="1" t="s">
        <v>0</v>
      </c>
      <c r="I2495" s="2">
        <v>0</v>
      </c>
      <c r="J2495" s="1">
        <v>45915.37976851852</v>
      </c>
    </row>
    <row r="2496" spans="1:10" x14ac:dyDescent="0.2">
      <c r="A2496" s="4" t="s">
        <v>1</v>
      </c>
      <c r="B2496" s="3" t="str">
        <f>HYPERLINK("https://otsuka-europe-crm.veevavault.com/ui/#object/approved_document__v/V5OZ025E82TFUPI", "Spain - HCP Survey Email - June 2025")</f>
        <v>Spain - HCP Survey Email - June 2025</v>
      </c>
      <c r="C2496" s="3" t="str">
        <f>HYPERLINK("https://otsuka-europe-crm.veevavault.com/ui/#object/sent_email__v/VBLZ025E82GMZJW", "SE-000269598")</f>
        <v>SE-000269598</v>
      </c>
      <c r="D2496" s="1" t="s">
        <v>0</v>
      </c>
      <c r="E2496" s="2">
        <v>0</v>
      </c>
      <c r="F2496" s="2">
        <v>0</v>
      </c>
      <c r="G2496" s="2">
        <v>0</v>
      </c>
      <c r="H2496" s="1" t="s">
        <v>0</v>
      </c>
      <c r="I2496" s="2">
        <v>0</v>
      </c>
      <c r="J2496" s="1">
        <v>45915.377754629626</v>
      </c>
    </row>
    <row r="2497" spans="1:10" x14ac:dyDescent="0.2">
      <c r="A2497" s="4" t="s">
        <v>1</v>
      </c>
      <c r="B2497" s="3" t="str">
        <f>HYPERLINK("https://otsuka-europe-crm.veevavault.com/ui/#object/approved_document__v/V5OZ025E82TFUPI", "Spain - HCP Survey Email - June 2025")</f>
        <v>Spain - HCP Survey Email - June 2025</v>
      </c>
      <c r="C2497" s="3" t="str">
        <f>HYPERLINK("https://otsuka-europe-crm.veevavault.com/ui/#object/sent_email__v/VBLZ025E82GMZJX", "SE-000269599")</f>
        <v>SE-000269599</v>
      </c>
      <c r="D2497" s="1">
        <v>45915.511377314811</v>
      </c>
      <c r="E2497" s="2">
        <v>1</v>
      </c>
      <c r="F2497" s="2">
        <v>1</v>
      </c>
      <c r="G2497" s="2">
        <v>1</v>
      </c>
      <c r="H2497" s="1">
        <v>45915.511377314811</v>
      </c>
      <c r="I2497" s="2">
        <v>1</v>
      </c>
      <c r="J2497" s="1">
        <v>45915.377638888887</v>
      </c>
    </row>
    <row r="2498" spans="1:10" x14ac:dyDescent="0.2">
      <c r="A2498" s="4" t="s">
        <v>1</v>
      </c>
      <c r="B2498" s="3" t="str">
        <f>HYPERLINK("https://otsuka-europe-crm.veevavault.com/ui/#object/approved_document__v/V5OZ025E82TFUPI", "Spain - HCP Survey Email - June 2025")</f>
        <v>Spain - HCP Survey Email - June 2025</v>
      </c>
      <c r="C2498" s="3" t="str">
        <f>HYPERLINK("https://otsuka-europe-crm.veevavault.com/ui/#object/sent_email__v/VBLZ025E82GMZJY", "SE-000269600")</f>
        <v>SE-000269600</v>
      </c>
      <c r="D2498" s="1">
        <v>45915.831099537034</v>
      </c>
      <c r="E2498" s="2">
        <v>1</v>
      </c>
      <c r="F2498" s="2">
        <v>1</v>
      </c>
      <c r="G2498" s="2">
        <v>0</v>
      </c>
      <c r="H2498" s="1" t="s">
        <v>0</v>
      </c>
      <c r="I2498" s="2">
        <v>0</v>
      </c>
      <c r="J2498" s="1">
        <v>45915.378113425926</v>
      </c>
    </row>
    <row r="2499" spans="1:10" x14ac:dyDescent="0.2">
      <c r="A2499" s="4" t="s">
        <v>1</v>
      </c>
      <c r="B2499" s="3" t="str">
        <f>HYPERLINK("https://otsuka-europe-crm.veevavault.com/ui/#object/approved_document__v/V5OZ025E82TFUPI", "Spain - HCP Survey Email - June 2025")</f>
        <v>Spain - HCP Survey Email - June 2025</v>
      </c>
      <c r="C2499" s="3" t="str">
        <f>HYPERLINK("https://otsuka-europe-crm.veevavault.com/ui/#object/sent_email__v/VBLZ025E82GMZJZ", "SE-000269601")</f>
        <v>SE-000269601</v>
      </c>
      <c r="D2499" s="1">
        <v>45915.609386574077</v>
      </c>
      <c r="E2499" s="2">
        <v>1</v>
      </c>
      <c r="F2499" s="2">
        <v>1</v>
      </c>
      <c r="G2499" s="2">
        <v>0</v>
      </c>
      <c r="H2499" s="1" t="s">
        <v>0</v>
      </c>
      <c r="I2499" s="2">
        <v>0</v>
      </c>
      <c r="J2499" s="1">
        <v>45915.379027777781</v>
      </c>
    </row>
    <row r="2500" spans="1:10" x14ac:dyDescent="0.2">
      <c r="A2500" s="4" t="s">
        <v>1</v>
      </c>
      <c r="B2500" s="3" t="str">
        <f>HYPERLINK("https://otsuka-europe-crm.veevavault.com/ui/#object/approved_document__v/V5OZ025E82TFUPI", "Spain - HCP Survey Email - June 2025")</f>
        <v>Spain - HCP Survey Email - June 2025</v>
      </c>
      <c r="C2500" s="3" t="str">
        <f>HYPERLINK("https://otsuka-europe-crm.veevavault.com/ui/#object/sent_email__v/VBLZ025E82GMZK0", "SE-000269602")</f>
        <v>SE-000269602</v>
      </c>
      <c r="D2500" s="1">
        <v>45928.746539351851</v>
      </c>
      <c r="E2500" s="2">
        <v>1</v>
      </c>
      <c r="F2500" s="2">
        <v>4</v>
      </c>
      <c r="G2500" s="2">
        <v>0</v>
      </c>
      <c r="H2500" s="1" t="s">
        <v>0</v>
      </c>
      <c r="I2500" s="2">
        <v>0</v>
      </c>
      <c r="J2500" s="1">
        <v>45915.379583333335</v>
      </c>
    </row>
    <row r="2501" spans="1:10" x14ac:dyDescent="0.2">
      <c r="A2501" s="4" t="s">
        <v>1</v>
      </c>
      <c r="B2501" s="3" t="str">
        <f>HYPERLINK("https://otsuka-europe-crm.veevavault.com/ui/#object/approved_document__v/V5OZ025E82TFUPI", "Spain - HCP Survey Email - June 2025")</f>
        <v>Spain - HCP Survey Email - June 2025</v>
      </c>
      <c r="C2501" s="3" t="str">
        <f>HYPERLINK("https://otsuka-europe-crm.veevavault.com/ui/#object/sent_email__v/VBLZ025E82GMZK1", "SE-000269603")</f>
        <v>SE-000269603</v>
      </c>
      <c r="D2501" s="1">
        <v>45915.380173611113</v>
      </c>
      <c r="E2501" s="2">
        <v>1</v>
      </c>
      <c r="F2501" s="2">
        <v>1</v>
      </c>
      <c r="G2501" s="2">
        <v>0</v>
      </c>
      <c r="H2501" s="1" t="s">
        <v>0</v>
      </c>
      <c r="I2501" s="2">
        <v>0</v>
      </c>
      <c r="J2501" s="1">
        <v>45915.379305555558</v>
      </c>
    </row>
    <row r="2502" spans="1:10" x14ac:dyDescent="0.2">
      <c r="A2502" s="4" t="s">
        <v>1</v>
      </c>
      <c r="B2502" s="3" t="str">
        <f>HYPERLINK("https://otsuka-europe-crm.veevavault.com/ui/#object/approved_document__v/V5OZ025E82TFUPI", "Spain - HCP Survey Email - June 2025")</f>
        <v>Spain - HCP Survey Email - June 2025</v>
      </c>
      <c r="C2502" s="3" t="str">
        <f>HYPERLINK("https://otsuka-europe-crm.veevavault.com/ui/#object/sent_email__v/VBLZ025E82GMZK2", "SE-000269604")</f>
        <v>SE-000269604</v>
      </c>
      <c r="D2502" s="1">
        <v>45915.495474537034</v>
      </c>
      <c r="E2502" s="2">
        <v>1</v>
      </c>
      <c r="F2502" s="2">
        <v>1</v>
      </c>
      <c r="G2502" s="2">
        <v>1</v>
      </c>
      <c r="H2502" s="1">
        <v>45915.495613425926</v>
      </c>
      <c r="I2502" s="2">
        <v>2</v>
      </c>
      <c r="J2502" s="1">
        <v>45915.377442129633</v>
      </c>
    </row>
    <row r="2503" spans="1:10" x14ac:dyDescent="0.2">
      <c r="A2503" s="4" t="s">
        <v>1</v>
      </c>
      <c r="B2503" s="3" t="str">
        <f>HYPERLINK("https://otsuka-europe-crm.veevavault.com/ui/#object/approved_document__v/V5OZ025E82TFUPI", "Spain - HCP Survey Email - June 2025")</f>
        <v>Spain - HCP Survey Email - June 2025</v>
      </c>
      <c r="C2503" s="3" t="str">
        <f>HYPERLINK("https://otsuka-europe-crm.veevavault.com/ui/#object/sent_email__v/VBLZ025E82GMZK3", "SE-000269605")</f>
        <v>SE-000269605</v>
      </c>
      <c r="D2503" s="1">
        <v>45921.728576388887</v>
      </c>
      <c r="E2503" s="2">
        <v>1</v>
      </c>
      <c r="F2503" s="2">
        <v>2</v>
      </c>
      <c r="G2503" s="2">
        <v>1</v>
      </c>
      <c r="H2503" s="1">
        <v>45915.469293981485</v>
      </c>
      <c r="I2503" s="2">
        <v>1</v>
      </c>
      <c r="J2503" s="1">
        <v>45915.378344907411</v>
      </c>
    </row>
    <row r="2504" spans="1:10" x14ac:dyDescent="0.2">
      <c r="A2504" s="4" t="s">
        <v>1</v>
      </c>
      <c r="B2504" s="3" t="str">
        <f>HYPERLINK("https://otsuka-europe-crm.veevavault.com/ui/#object/approved_document__v/V5OZ025E82TFUPI", "Spain - HCP Survey Email - June 2025")</f>
        <v>Spain - HCP Survey Email - June 2025</v>
      </c>
      <c r="C2504" s="3" t="str">
        <f>HYPERLINK("https://otsuka-europe-crm.veevavault.com/ui/#object/sent_email__v/VBLZ025E82GMZK4", "SE-000269606")</f>
        <v>SE-000269606</v>
      </c>
      <c r="D2504" s="1" t="s">
        <v>0</v>
      </c>
      <c r="E2504" s="2">
        <v>0</v>
      </c>
      <c r="F2504" s="2">
        <v>0</v>
      </c>
      <c r="G2504" s="2">
        <v>0</v>
      </c>
      <c r="H2504" s="1" t="s">
        <v>0</v>
      </c>
      <c r="I2504" s="2">
        <v>0</v>
      </c>
      <c r="J2504" s="1">
        <v>45915.378194444442</v>
      </c>
    </row>
    <row r="2505" spans="1:10" x14ac:dyDescent="0.2">
      <c r="A2505" s="4" t="s">
        <v>1</v>
      </c>
      <c r="B2505" s="3" t="str">
        <f>HYPERLINK("https://otsuka-europe-crm.veevavault.com/ui/#object/approved_document__v/V5OZ025E82TFUPI", "Spain - HCP Survey Email - June 2025")</f>
        <v>Spain - HCP Survey Email - June 2025</v>
      </c>
      <c r="C2505" s="3" t="str">
        <f>HYPERLINK("https://otsuka-europe-crm.veevavault.com/ui/#object/sent_email__v/VBLZ025E82GMZK5", "SE-000269607")</f>
        <v>SE-000269607</v>
      </c>
      <c r="D2505" s="1" t="s">
        <v>0</v>
      </c>
      <c r="E2505" s="2">
        <v>0</v>
      </c>
      <c r="F2505" s="2">
        <v>0</v>
      </c>
      <c r="G2505" s="2">
        <v>0</v>
      </c>
      <c r="H2505" s="1" t="s">
        <v>0</v>
      </c>
      <c r="I2505" s="2">
        <v>0</v>
      </c>
      <c r="J2505" s="1">
        <v>45915.378587962965</v>
      </c>
    </row>
    <row r="2506" spans="1:10" x14ac:dyDescent="0.2">
      <c r="A2506" s="4" t="s">
        <v>1</v>
      </c>
      <c r="B2506" s="3" t="str">
        <f>HYPERLINK("https://otsuka-europe-crm.veevavault.com/ui/#object/approved_document__v/V5OZ025E82TFUPI", "Spain - HCP Survey Email - June 2025")</f>
        <v>Spain - HCP Survey Email - June 2025</v>
      </c>
      <c r="C2506" s="3" t="str">
        <f>HYPERLINK("https://otsuka-europe-crm.veevavault.com/ui/#object/sent_email__v/VBLZ025E82GMZK6", "SE-000269608")</f>
        <v>SE-000269608</v>
      </c>
      <c r="D2506" s="1">
        <v>45916.697928240741</v>
      </c>
      <c r="E2506" s="2">
        <v>1</v>
      </c>
      <c r="F2506" s="2">
        <v>1</v>
      </c>
      <c r="G2506" s="2">
        <v>1</v>
      </c>
      <c r="H2506" s="1">
        <v>45916.697928240741</v>
      </c>
      <c r="I2506" s="2">
        <v>1</v>
      </c>
      <c r="J2506" s="1">
        <v>45915.37945601852</v>
      </c>
    </row>
    <row r="2507" spans="1:10" x14ac:dyDescent="0.2">
      <c r="A2507" s="4" t="s">
        <v>1</v>
      </c>
      <c r="B2507" s="3" t="str">
        <f>HYPERLINK("https://otsuka-europe-crm.veevavault.com/ui/#object/approved_document__v/V5OZ025E82TFUPI", "Spain - HCP Survey Email - June 2025")</f>
        <v>Spain - HCP Survey Email - June 2025</v>
      </c>
      <c r="C2507" s="3" t="str">
        <f>HYPERLINK("https://otsuka-europe-crm.veevavault.com/ui/#object/sent_email__v/VBLZ025E82GMZK7", "SE-000269609")</f>
        <v>SE-000269609</v>
      </c>
      <c r="D2507" s="1">
        <v>45986.691770833335</v>
      </c>
      <c r="E2507" s="2">
        <v>1</v>
      </c>
      <c r="F2507" s="2">
        <v>2</v>
      </c>
      <c r="G2507" s="2">
        <v>0</v>
      </c>
      <c r="H2507" s="1" t="s">
        <v>0</v>
      </c>
      <c r="I2507" s="2">
        <v>0</v>
      </c>
      <c r="J2507" s="1">
        <v>45915.377453703702</v>
      </c>
    </row>
    <row r="2508" spans="1:10" x14ac:dyDescent="0.2">
      <c r="A2508" s="4" t="s">
        <v>1</v>
      </c>
      <c r="B2508" s="3" t="str">
        <f>HYPERLINK("https://otsuka-europe-crm.veevavault.com/ui/#object/approved_document__v/V5OZ025E82TFUPI", "Spain - HCP Survey Email - June 2025")</f>
        <v>Spain - HCP Survey Email - June 2025</v>
      </c>
      <c r="C2508" s="3" t="str">
        <f>HYPERLINK("https://otsuka-europe-crm.veevavault.com/ui/#object/sent_email__v/VBLZ025E82GMZK8", "SE-000269610")</f>
        <v>SE-000269610</v>
      </c>
      <c r="D2508" s="1" t="s">
        <v>0</v>
      </c>
      <c r="E2508" s="2">
        <v>0</v>
      </c>
      <c r="F2508" s="2">
        <v>0</v>
      </c>
      <c r="G2508" s="2">
        <v>0</v>
      </c>
      <c r="H2508" s="1" t="s">
        <v>0</v>
      </c>
      <c r="I2508" s="2">
        <v>0</v>
      </c>
      <c r="J2508" s="1">
        <v>45915.378379629627</v>
      </c>
    </row>
    <row r="2509" spans="1:10" x14ac:dyDescent="0.2">
      <c r="A2509" s="4" t="s">
        <v>1</v>
      </c>
      <c r="B2509" s="3" t="str">
        <f>HYPERLINK("https://otsuka-europe-crm.veevavault.com/ui/#object/approved_document__v/V5OZ025E82TFUPI", "Spain - HCP Survey Email - June 2025")</f>
        <v>Spain - HCP Survey Email - June 2025</v>
      </c>
      <c r="C2509" s="3" t="str">
        <f>HYPERLINK("https://otsuka-europe-crm.veevavault.com/ui/#object/sent_email__v/VBLZ025E82GMZK9", "SE-000269611")</f>
        <v>SE-000269611</v>
      </c>
      <c r="D2509" s="1" t="s">
        <v>0</v>
      </c>
      <c r="E2509" s="2">
        <v>0</v>
      </c>
      <c r="F2509" s="2">
        <v>0</v>
      </c>
      <c r="G2509" s="2">
        <v>0</v>
      </c>
      <c r="H2509" s="1" t="s">
        <v>0</v>
      </c>
      <c r="I2509" s="2">
        <v>0</v>
      </c>
      <c r="J2509" s="1">
        <v>45915.378125000003</v>
      </c>
    </row>
    <row r="2510" spans="1:10" x14ac:dyDescent="0.2">
      <c r="A2510" s="4" t="s">
        <v>1</v>
      </c>
      <c r="B2510" s="3" t="str">
        <f>HYPERLINK("https://otsuka-europe-crm.veevavault.com/ui/#object/approved_document__v/V5OZ025E82TFUPI", "Spain - HCP Survey Email - June 2025")</f>
        <v>Spain - HCP Survey Email - June 2025</v>
      </c>
      <c r="C2510" s="3" t="str">
        <f>HYPERLINK("https://otsuka-europe-crm.veevavault.com/ui/#object/sent_email__v/VBLZ025E82GMZKA", "SE-000269612")</f>
        <v>SE-000269612</v>
      </c>
      <c r="D2510" s="1">
        <v>45915.963738425926</v>
      </c>
      <c r="E2510" s="2">
        <v>1</v>
      </c>
      <c r="F2510" s="2">
        <v>1</v>
      </c>
      <c r="G2510" s="2">
        <v>0</v>
      </c>
      <c r="H2510" s="1" t="s">
        <v>0</v>
      </c>
      <c r="I2510" s="2">
        <v>0</v>
      </c>
      <c r="J2510" s="1">
        <v>45915.378599537034</v>
      </c>
    </row>
    <row r="2511" spans="1:10" x14ac:dyDescent="0.2">
      <c r="A2511" s="4" t="s">
        <v>1</v>
      </c>
      <c r="B2511" s="3" t="str">
        <f>HYPERLINK("https://otsuka-europe-crm.veevavault.com/ui/#object/approved_document__v/V5OZ025E82TFUPI", "Spain - HCP Survey Email - June 2025")</f>
        <v>Spain - HCP Survey Email - June 2025</v>
      </c>
      <c r="C2511" s="3" t="str">
        <f>HYPERLINK("https://otsuka-europe-crm.veevavault.com/ui/#object/sent_email__v/VBLZ025E82GMZKB", "SE-000269613")</f>
        <v>SE-000269613</v>
      </c>
      <c r="D2511" s="1" t="s">
        <v>0</v>
      </c>
      <c r="E2511" s="2">
        <v>0</v>
      </c>
      <c r="F2511" s="2">
        <v>0</v>
      </c>
      <c r="G2511" s="2">
        <v>0</v>
      </c>
      <c r="H2511" s="1" t="s">
        <v>0</v>
      </c>
      <c r="I2511" s="2">
        <v>0</v>
      </c>
      <c r="J2511" s="1">
        <v>45915.380011574074</v>
      </c>
    </row>
    <row r="2512" spans="1:10" x14ac:dyDescent="0.2">
      <c r="A2512" s="4" t="s">
        <v>1</v>
      </c>
      <c r="B2512" s="3" t="str">
        <f>HYPERLINK("https://otsuka-europe-crm.veevavault.com/ui/#object/approved_document__v/V5OZ025E82TFUPI", "Spain - HCP Survey Email - June 2025")</f>
        <v>Spain - HCP Survey Email - June 2025</v>
      </c>
      <c r="C2512" s="3" t="str">
        <f>HYPERLINK("https://otsuka-europe-crm.veevavault.com/ui/#object/sent_email__v/VBLZ025E82GMZKC", "SE-000269614")</f>
        <v>SE-000269614</v>
      </c>
      <c r="D2512" s="1" t="s">
        <v>0</v>
      </c>
      <c r="E2512" s="2">
        <v>0</v>
      </c>
      <c r="F2512" s="2">
        <v>0</v>
      </c>
      <c r="G2512" s="2">
        <v>0</v>
      </c>
      <c r="H2512" s="1" t="s">
        <v>0</v>
      </c>
      <c r="I2512" s="2">
        <v>0</v>
      </c>
      <c r="J2512" s="1">
        <v>45915.377754629626</v>
      </c>
    </row>
    <row r="2513" spans="1:10" x14ac:dyDescent="0.2">
      <c r="A2513" s="4" t="s">
        <v>1</v>
      </c>
      <c r="B2513" s="3" t="str">
        <f>HYPERLINK("https://otsuka-europe-crm.veevavault.com/ui/#object/approved_document__v/V5OZ025E82TFUPI", "Spain - HCP Survey Email - June 2025")</f>
        <v>Spain - HCP Survey Email - June 2025</v>
      </c>
      <c r="C2513" s="3" t="str">
        <f>HYPERLINK("https://otsuka-europe-crm.veevavault.com/ui/#object/sent_email__v/VBLZ025E82GMZKD", "SE-000269615")</f>
        <v>SE-000269615</v>
      </c>
      <c r="D2513" s="1">
        <v>45922.565567129626</v>
      </c>
      <c r="E2513" s="2">
        <v>1</v>
      </c>
      <c r="F2513" s="2">
        <v>2</v>
      </c>
      <c r="G2513" s="2">
        <v>0</v>
      </c>
      <c r="H2513" s="1" t="s">
        <v>0</v>
      </c>
      <c r="I2513" s="2">
        <v>0</v>
      </c>
      <c r="J2513" s="1">
        <v>45915.377592592595</v>
      </c>
    </row>
    <row r="2514" spans="1:10" x14ac:dyDescent="0.2">
      <c r="A2514" s="4" t="s">
        <v>1</v>
      </c>
      <c r="B2514" s="3" t="str">
        <f>HYPERLINK("https://otsuka-europe-crm.veevavault.com/ui/#object/approved_document__v/V5OZ025E82TFUPI", "Spain - HCP Survey Email - June 2025")</f>
        <v>Spain - HCP Survey Email - June 2025</v>
      </c>
      <c r="C2514" s="3" t="str">
        <f>HYPERLINK("https://otsuka-europe-crm.veevavault.com/ui/#object/sent_email__v/VBLZ025E82GMZKE", "SE-000269616")</f>
        <v>SE-000269616</v>
      </c>
      <c r="D2514" s="1">
        <v>45921.947291666664</v>
      </c>
      <c r="E2514" s="2">
        <v>1</v>
      </c>
      <c r="F2514" s="2">
        <v>1</v>
      </c>
      <c r="G2514" s="2">
        <v>0</v>
      </c>
      <c r="H2514" s="1" t="s">
        <v>0</v>
      </c>
      <c r="I2514" s="2">
        <v>0</v>
      </c>
      <c r="J2514" s="1">
        <v>45915.377939814818</v>
      </c>
    </row>
    <row r="2515" spans="1:10" x14ac:dyDescent="0.2">
      <c r="A2515" s="4" t="s">
        <v>1</v>
      </c>
      <c r="B2515" s="3" t="str">
        <f>HYPERLINK("https://otsuka-europe-crm.veevavault.com/ui/#object/approved_document__v/V5OZ025E82TFUPI", "Spain - HCP Survey Email - June 2025")</f>
        <v>Spain - HCP Survey Email - June 2025</v>
      </c>
      <c r="C2515" s="3" t="str">
        <f>HYPERLINK("https://otsuka-europe-crm.veevavault.com/ui/#object/sent_email__v/VBLZ025E82GMZKF", "SE-000269617")</f>
        <v>SE-000269617</v>
      </c>
      <c r="D2515" s="1" t="s">
        <v>0</v>
      </c>
      <c r="E2515" s="2">
        <v>0</v>
      </c>
      <c r="F2515" s="2">
        <v>0</v>
      </c>
      <c r="G2515" s="2">
        <v>0</v>
      </c>
      <c r="H2515" s="1" t="s">
        <v>0</v>
      </c>
      <c r="I2515" s="2">
        <v>0</v>
      </c>
      <c r="J2515" s="1">
        <v>45915.379074074073</v>
      </c>
    </row>
    <row r="2516" spans="1:10" x14ac:dyDescent="0.2">
      <c r="A2516" s="4" t="s">
        <v>1</v>
      </c>
      <c r="B2516" s="3" t="str">
        <f>HYPERLINK("https://otsuka-europe-crm.veevavault.com/ui/#object/approved_document__v/V5OZ025E82TFUPI", "Spain - HCP Survey Email - June 2025")</f>
        <v>Spain - HCP Survey Email - June 2025</v>
      </c>
      <c r="C2516" s="3" t="str">
        <f>HYPERLINK("https://otsuka-europe-crm.veevavault.com/ui/#object/sent_email__v/VBLZ025E82GMZKG", "SE-000269618")</f>
        <v>SE-000269618</v>
      </c>
      <c r="D2516" s="1">
        <v>45916.726006944446</v>
      </c>
      <c r="E2516" s="2">
        <v>1</v>
      </c>
      <c r="F2516" s="2">
        <v>4</v>
      </c>
      <c r="G2516" s="2">
        <v>0</v>
      </c>
      <c r="H2516" s="1" t="s">
        <v>0</v>
      </c>
      <c r="I2516" s="2">
        <v>0</v>
      </c>
      <c r="J2516" s="1">
        <v>45915.379479166666</v>
      </c>
    </row>
    <row r="2517" spans="1:10" x14ac:dyDescent="0.2">
      <c r="A2517" s="4" t="s">
        <v>1</v>
      </c>
      <c r="B2517" s="3" t="str">
        <f>HYPERLINK("https://otsuka-europe-crm.veevavault.com/ui/#object/approved_document__v/V5OZ025E82TFUPI", "Spain - HCP Survey Email - June 2025")</f>
        <v>Spain - HCP Survey Email - June 2025</v>
      </c>
      <c r="C2517" s="3" t="str">
        <f>HYPERLINK("https://otsuka-europe-crm.veevavault.com/ui/#object/sent_email__v/VBLZ025E82GMZKH", "SE-000269619")</f>
        <v>SE-000269619</v>
      </c>
      <c r="D2517" s="1" t="s">
        <v>0</v>
      </c>
      <c r="E2517" s="2">
        <v>0</v>
      </c>
      <c r="F2517" s="2">
        <v>0</v>
      </c>
      <c r="G2517" s="2">
        <v>0</v>
      </c>
      <c r="H2517" s="1" t="s">
        <v>0</v>
      </c>
      <c r="I2517" s="2">
        <v>0</v>
      </c>
      <c r="J2517" s="1">
        <v>45915.379421296297</v>
      </c>
    </row>
    <row r="2518" spans="1:10" x14ac:dyDescent="0.2">
      <c r="A2518" s="4" t="s">
        <v>1</v>
      </c>
      <c r="B2518" s="3" t="str">
        <f>HYPERLINK("https://otsuka-europe-crm.veevavault.com/ui/#object/approved_document__v/V5OZ025E82TFUPI", "Spain - HCP Survey Email - June 2025")</f>
        <v>Spain - HCP Survey Email - June 2025</v>
      </c>
      <c r="C2518" s="3" t="str">
        <f>HYPERLINK("https://otsuka-europe-crm.veevavault.com/ui/#object/sent_email__v/VBLZ025E82GMZKI", "SE-000269620")</f>
        <v>SE-000269620</v>
      </c>
      <c r="D2518" s="1">
        <v>45915.61577546296</v>
      </c>
      <c r="E2518" s="2">
        <v>1</v>
      </c>
      <c r="F2518" s="2">
        <v>1</v>
      </c>
      <c r="G2518" s="2">
        <v>0</v>
      </c>
      <c r="H2518" s="1" t="s">
        <v>0</v>
      </c>
      <c r="I2518" s="2">
        <v>0</v>
      </c>
      <c r="J2518" s="1">
        <v>45915.377430555556</v>
      </c>
    </row>
    <row r="2519" spans="1:10" x14ac:dyDescent="0.2">
      <c r="A2519" s="4" t="s">
        <v>1</v>
      </c>
      <c r="B2519" s="3" t="str">
        <f>HYPERLINK("https://otsuka-europe-crm.veevavault.com/ui/#object/approved_document__v/V5OZ025E82TFUPI", "Spain - HCP Survey Email - June 2025")</f>
        <v>Spain - HCP Survey Email - June 2025</v>
      </c>
      <c r="C2519" s="3" t="str">
        <f>HYPERLINK("https://otsuka-europe-crm.veevavault.com/ui/#object/sent_email__v/VBLZ025E82GMZKJ", "SE-000269621")</f>
        <v>SE-000269621</v>
      </c>
      <c r="D2519" s="1">
        <v>45915.400023148148</v>
      </c>
      <c r="E2519" s="2">
        <v>1</v>
      </c>
      <c r="F2519" s="2">
        <v>1</v>
      </c>
      <c r="G2519" s="2">
        <v>0</v>
      </c>
      <c r="H2519" s="1" t="s">
        <v>0</v>
      </c>
      <c r="I2519" s="2">
        <v>0</v>
      </c>
      <c r="J2519" s="1">
        <v>45915.378425925926</v>
      </c>
    </row>
    <row r="2520" spans="1:10" x14ac:dyDescent="0.2">
      <c r="A2520" s="4" t="s">
        <v>1</v>
      </c>
      <c r="B2520" s="3" t="str">
        <f>HYPERLINK("https://otsuka-europe-crm.veevavault.com/ui/#object/approved_document__v/V5OZ025E82TFUPI", "Spain - HCP Survey Email - June 2025")</f>
        <v>Spain - HCP Survey Email - June 2025</v>
      </c>
      <c r="C2520" s="3" t="str">
        <f>HYPERLINK("https://otsuka-europe-crm.veevavault.com/ui/#object/sent_email__v/VBLZ025E82GMZKK", "SE-000269622")</f>
        <v>SE-000269622</v>
      </c>
      <c r="D2520" s="1">
        <v>45919.352326388886</v>
      </c>
      <c r="E2520" s="2">
        <v>1</v>
      </c>
      <c r="F2520" s="2">
        <v>1</v>
      </c>
      <c r="G2520" s="2">
        <v>0</v>
      </c>
      <c r="H2520" s="1" t="s">
        <v>0</v>
      </c>
      <c r="I2520" s="2">
        <v>0</v>
      </c>
      <c r="J2520" s="1">
        <v>45915.378148148149</v>
      </c>
    </row>
    <row r="2521" spans="1:10" x14ac:dyDescent="0.2">
      <c r="A2521" s="4" t="s">
        <v>1</v>
      </c>
      <c r="B2521" s="3" t="str">
        <f>HYPERLINK("https://otsuka-europe-crm.veevavault.com/ui/#object/approved_document__v/V5OZ025E82TFUPI", "Spain - HCP Survey Email - June 2025")</f>
        <v>Spain - HCP Survey Email - June 2025</v>
      </c>
      <c r="C2521" s="3" t="str">
        <f>HYPERLINK("https://otsuka-europe-crm.veevavault.com/ui/#object/sent_email__v/VBLZ025E82GMZKL", "SE-000269623")</f>
        <v>SE-000269623</v>
      </c>
      <c r="D2521" s="1" t="s">
        <v>0</v>
      </c>
      <c r="E2521" s="2">
        <v>0</v>
      </c>
      <c r="F2521" s="2">
        <v>0</v>
      </c>
      <c r="G2521" s="2">
        <v>0</v>
      </c>
      <c r="H2521" s="1" t="s">
        <v>0</v>
      </c>
      <c r="I2521" s="2">
        <v>0</v>
      </c>
      <c r="J2521" s="1">
        <v>45915.378622685188</v>
      </c>
    </row>
    <row r="2522" spans="1:10" x14ac:dyDescent="0.2">
      <c r="A2522" s="4" t="s">
        <v>1</v>
      </c>
      <c r="B2522" s="3" t="str">
        <f>HYPERLINK("https://otsuka-europe-crm.veevavault.com/ui/#object/approved_document__v/V5OZ025E82TFUPI", "Spain - HCP Survey Email - June 2025")</f>
        <v>Spain - HCP Survey Email - June 2025</v>
      </c>
      <c r="C2522" s="3" t="str">
        <f>HYPERLINK("https://otsuka-europe-crm.veevavault.com/ui/#object/sent_email__v/VBLZ025E82GMZKM", "SE-000269624")</f>
        <v>SE-000269624</v>
      </c>
      <c r="D2522" s="1">
        <v>45924.63013888889</v>
      </c>
      <c r="E2522" s="2">
        <v>1</v>
      </c>
      <c r="F2522" s="2">
        <v>1</v>
      </c>
      <c r="G2522" s="2">
        <v>0</v>
      </c>
      <c r="H2522" s="1" t="s">
        <v>0</v>
      </c>
      <c r="I2522" s="2">
        <v>0</v>
      </c>
      <c r="J2522" s="1">
        <v>45915.379965277774</v>
      </c>
    </row>
    <row r="2523" spans="1:10" x14ac:dyDescent="0.2">
      <c r="A2523" s="4" t="s">
        <v>1</v>
      </c>
      <c r="B2523" s="3" t="str">
        <f>HYPERLINK("https://otsuka-europe-crm.veevavault.com/ui/#object/approved_document__v/V5OZ025E82TFUPI", "Spain - HCP Survey Email - June 2025")</f>
        <v>Spain - HCP Survey Email - June 2025</v>
      </c>
      <c r="C2523" s="3" t="str">
        <f>HYPERLINK("https://otsuka-europe-crm.veevavault.com/ui/#object/sent_email__v/VBLZ025E82GMZKN", "SE-000269625")</f>
        <v>SE-000269625</v>
      </c>
      <c r="D2523" s="1" t="s">
        <v>0</v>
      </c>
      <c r="E2523" s="2">
        <v>0</v>
      </c>
      <c r="F2523" s="2">
        <v>0</v>
      </c>
      <c r="G2523" s="2">
        <v>0</v>
      </c>
      <c r="H2523" s="1" t="s">
        <v>0</v>
      </c>
      <c r="I2523" s="2">
        <v>0</v>
      </c>
      <c r="J2523" s="1">
        <v>45915.377800925926</v>
      </c>
    </row>
    <row r="2524" spans="1:10" x14ac:dyDescent="0.2">
      <c r="A2524" s="4" t="s">
        <v>1</v>
      </c>
      <c r="B2524" s="3" t="str">
        <f>HYPERLINK("https://otsuka-europe-crm.veevavault.com/ui/#object/approved_document__v/V5OZ025E82TFUPI", "Spain - HCP Survey Email - June 2025")</f>
        <v>Spain - HCP Survey Email - June 2025</v>
      </c>
      <c r="C2524" s="3" t="str">
        <f>HYPERLINK("https://otsuka-europe-crm.veevavault.com/ui/#object/sent_email__v/VBLZ025E82GMZKO", "SE-000269626")</f>
        <v>SE-000269626</v>
      </c>
      <c r="D2524" s="1">
        <v>45916.678900462961</v>
      </c>
      <c r="E2524" s="2">
        <v>1</v>
      </c>
      <c r="F2524" s="2">
        <v>3</v>
      </c>
      <c r="G2524" s="2">
        <v>1</v>
      </c>
      <c r="H2524" s="1">
        <v>45916.679062499999</v>
      </c>
      <c r="I2524" s="2">
        <v>1</v>
      </c>
      <c r="J2524" s="1">
        <v>45915.377615740741</v>
      </c>
    </row>
    <row r="2525" spans="1:10" x14ac:dyDescent="0.2">
      <c r="A2525" s="4" t="s">
        <v>1</v>
      </c>
      <c r="B2525" s="3" t="str">
        <f>HYPERLINK("https://otsuka-europe-crm.veevavault.com/ui/#object/approved_document__v/V5OZ025E82TFUPI", "Spain - HCP Survey Email - June 2025")</f>
        <v>Spain - HCP Survey Email - June 2025</v>
      </c>
      <c r="C2525" s="3" t="str">
        <f>HYPERLINK("https://otsuka-europe-crm.veevavault.com/ui/#object/sent_email__v/VBLZ025E82GMZKP", "SE-000269627")</f>
        <v>SE-000269627</v>
      </c>
      <c r="D2525" s="1">
        <v>45915.494386574072</v>
      </c>
      <c r="E2525" s="2">
        <v>1</v>
      </c>
      <c r="F2525" s="2">
        <v>1</v>
      </c>
      <c r="G2525" s="2">
        <v>0</v>
      </c>
      <c r="H2525" s="1" t="s">
        <v>0</v>
      </c>
      <c r="I2525" s="2">
        <v>0</v>
      </c>
      <c r="J2525" s="1">
        <v>45915.377905092595</v>
      </c>
    </row>
    <row r="2526" spans="1:10" x14ac:dyDescent="0.2">
      <c r="A2526" s="4" t="s">
        <v>1</v>
      </c>
      <c r="B2526" s="3" t="str">
        <f>HYPERLINK("https://otsuka-europe-crm.veevavault.com/ui/#object/approved_document__v/V5OZ025E82TFUPI", "Spain - HCP Survey Email - June 2025")</f>
        <v>Spain - HCP Survey Email - June 2025</v>
      </c>
      <c r="C2526" s="3" t="str">
        <f>HYPERLINK("https://otsuka-europe-crm.veevavault.com/ui/#object/sent_email__v/VBLZ025E82GMZKQ", "SE-000269628")</f>
        <v>SE-000269628</v>
      </c>
      <c r="D2526" s="1" t="s">
        <v>0</v>
      </c>
      <c r="E2526" s="2">
        <v>0</v>
      </c>
      <c r="F2526" s="2">
        <v>0</v>
      </c>
      <c r="G2526" s="2">
        <v>0</v>
      </c>
      <c r="H2526" s="1" t="s">
        <v>0</v>
      </c>
      <c r="I2526" s="2">
        <v>0</v>
      </c>
      <c r="J2526" s="1">
        <v>45915.379074074073</v>
      </c>
    </row>
    <row r="2527" spans="1:10" x14ac:dyDescent="0.2">
      <c r="A2527" s="4" t="s">
        <v>1</v>
      </c>
      <c r="B2527" s="3" t="str">
        <f>HYPERLINK("https://otsuka-europe-crm.veevavault.com/ui/#object/approved_document__v/V5OZ025E82TFUPI", "Spain - HCP Survey Email - June 2025")</f>
        <v>Spain - HCP Survey Email - June 2025</v>
      </c>
      <c r="C2527" s="3" t="str">
        <f>HYPERLINK("https://otsuka-europe-crm.veevavault.com/ui/#object/sent_email__v/VBLZ025E82GMZKR", "SE-000269629")</f>
        <v>SE-000269629</v>
      </c>
      <c r="D2527" s="1" t="s">
        <v>0</v>
      </c>
      <c r="E2527" s="2">
        <v>0</v>
      </c>
      <c r="F2527" s="2">
        <v>0</v>
      </c>
      <c r="G2527" s="2">
        <v>0</v>
      </c>
      <c r="H2527" s="1" t="s">
        <v>0</v>
      </c>
      <c r="I2527" s="2">
        <v>0</v>
      </c>
      <c r="J2527" s="1">
        <v>45915.379629629628</v>
      </c>
    </row>
    <row r="2528" spans="1:10" x14ac:dyDescent="0.2">
      <c r="A2528" s="4" t="s">
        <v>1</v>
      </c>
      <c r="B2528" s="3" t="str">
        <f>HYPERLINK("https://otsuka-europe-crm.veevavault.com/ui/#object/approved_document__v/V5OZ025E82TFUPI", "Spain - HCP Survey Email - June 2025")</f>
        <v>Spain - HCP Survey Email - June 2025</v>
      </c>
      <c r="C2528" s="3" t="str">
        <f>HYPERLINK("https://otsuka-europe-crm.veevavault.com/ui/#object/sent_email__v/VBLZ025E82GMZKS", "SE-000269630")</f>
        <v>SE-000269630</v>
      </c>
      <c r="D2528" s="1" t="s">
        <v>0</v>
      </c>
      <c r="E2528" s="2">
        <v>0</v>
      </c>
      <c r="F2528" s="2">
        <v>0</v>
      </c>
      <c r="G2528" s="2">
        <v>0</v>
      </c>
      <c r="H2528" s="1" t="s">
        <v>0</v>
      </c>
      <c r="I2528" s="2">
        <v>0</v>
      </c>
      <c r="J2528" s="1">
        <v>45915.379386574074</v>
      </c>
    </row>
    <row r="2529" spans="1:10" x14ac:dyDescent="0.2">
      <c r="A2529" s="4" t="s">
        <v>1</v>
      </c>
      <c r="B2529" s="3" t="str">
        <f>HYPERLINK("https://otsuka-europe-crm.veevavault.com/ui/#object/approved_document__v/V5OZ025E82TFUPI", "Spain - HCP Survey Email - June 2025")</f>
        <v>Spain - HCP Survey Email - June 2025</v>
      </c>
      <c r="C2529" s="3" t="str">
        <f>HYPERLINK("https://otsuka-europe-crm.veevavault.com/ui/#object/sent_email__v/VBLZ025E82GMZKT", "SE-000269631")</f>
        <v>SE-000269631</v>
      </c>
      <c r="D2529" s="1">
        <v>45915.39230324074</v>
      </c>
      <c r="E2529" s="2">
        <v>1</v>
      </c>
      <c r="F2529" s="2">
        <v>1</v>
      </c>
      <c r="G2529" s="2">
        <v>1</v>
      </c>
      <c r="H2529" s="1">
        <v>45915.392465277779</v>
      </c>
      <c r="I2529" s="2">
        <v>1</v>
      </c>
      <c r="J2529" s="1">
        <v>45915.377453703702</v>
      </c>
    </row>
    <row r="2530" spans="1:10" x14ac:dyDescent="0.2">
      <c r="A2530" s="4" t="s">
        <v>1</v>
      </c>
      <c r="B2530" s="3" t="str">
        <f>HYPERLINK("https://otsuka-europe-crm.veevavault.com/ui/#object/approved_document__v/V5OZ025E82TFUPI", "Spain - HCP Survey Email - June 2025")</f>
        <v>Spain - HCP Survey Email - June 2025</v>
      </c>
      <c r="C2530" s="3" t="str">
        <f>HYPERLINK("https://otsuka-europe-crm.veevavault.com/ui/#object/sent_email__v/VBLZ025E82GMZKU", "SE-000269632")</f>
        <v>SE-000269632</v>
      </c>
      <c r="D2530" s="1">
        <v>45915.469247685185</v>
      </c>
      <c r="E2530" s="2">
        <v>1</v>
      </c>
      <c r="F2530" s="2">
        <v>2</v>
      </c>
      <c r="G2530" s="2">
        <v>0</v>
      </c>
      <c r="H2530" s="1" t="s">
        <v>0</v>
      </c>
      <c r="I2530" s="2">
        <v>0</v>
      </c>
      <c r="J2530" s="1">
        <v>45915.378321759257</v>
      </c>
    </row>
    <row r="2531" spans="1:10" x14ac:dyDescent="0.2">
      <c r="A2531" s="4" t="s">
        <v>1</v>
      </c>
      <c r="B2531" s="3" t="str">
        <f>HYPERLINK("https://otsuka-europe-crm.veevavault.com/ui/#object/approved_document__v/V5OZ025E82TFUPI", "Spain - HCP Survey Email - June 2025")</f>
        <v>Spain - HCP Survey Email - June 2025</v>
      </c>
      <c r="C2531" s="3" t="str">
        <f>HYPERLINK("https://otsuka-europe-crm.veevavault.com/ui/#object/sent_email__v/VBLZ025E82GMZKV", "SE-000269633")</f>
        <v>SE-000269633</v>
      </c>
      <c r="D2531" s="1">
        <v>45932.373888888891</v>
      </c>
      <c r="E2531" s="2">
        <v>1</v>
      </c>
      <c r="F2531" s="2">
        <v>1</v>
      </c>
      <c r="G2531" s="2">
        <v>1</v>
      </c>
      <c r="H2531" s="1">
        <v>45932.374039351853</v>
      </c>
      <c r="I2531" s="2">
        <v>1</v>
      </c>
      <c r="J2531" s="1">
        <v>45915.378206018519</v>
      </c>
    </row>
    <row r="2532" spans="1:10" x14ac:dyDescent="0.2">
      <c r="A2532" s="4" t="s">
        <v>1</v>
      </c>
      <c r="B2532" s="3" t="str">
        <f>HYPERLINK("https://otsuka-europe-crm.veevavault.com/ui/#object/approved_document__v/V5OZ025E82TFUPI", "Spain - HCP Survey Email - June 2025")</f>
        <v>Spain - HCP Survey Email - June 2025</v>
      </c>
      <c r="C2532" s="3" t="str">
        <f>HYPERLINK("https://otsuka-europe-crm.veevavault.com/ui/#object/sent_email__v/VBLZ025E82GMZKW", "SE-000269634")</f>
        <v>SE-000269634</v>
      </c>
      <c r="D2532" s="1" t="s">
        <v>0</v>
      </c>
      <c r="E2532" s="2">
        <v>0</v>
      </c>
      <c r="F2532" s="2">
        <v>0</v>
      </c>
      <c r="G2532" s="2">
        <v>0</v>
      </c>
      <c r="H2532" s="1" t="s">
        <v>0</v>
      </c>
      <c r="I2532" s="2">
        <v>0</v>
      </c>
      <c r="J2532" s="1">
        <v>45915.378622685188</v>
      </c>
    </row>
    <row r="2533" spans="1:10" x14ac:dyDescent="0.2">
      <c r="A2533" s="4" t="s">
        <v>1</v>
      </c>
      <c r="B2533" s="3" t="str">
        <f>HYPERLINK("https://otsuka-europe-crm.veevavault.com/ui/#object/approved_document__v/V5OZ025E82TFUPI", "Spain - HCP Survey Email - June 2025")</f>
        <v>Spain - HCP Survey Email - June 2025</v>
      </c>
      <c r="C2533" s="3" t="str">
        <f>HYPERLINK("https://otsuka-europe-crm.veevavault.com/ui/#object/sent_email__v/VBLZ025E82GMZKX", "SE-000269635")</f>
        <v>SE-000269635</v>
      </c>
      <c r="D2533" s="1" t="s">
        <v>0</v>
      </c>
      <c r="E2533" s="2">
        <v>0</v>
      </c>
      <c r="F2533" s="2">
        <v>0</v>
      </c>
      <c r="G2533" s="2">
        <v>0</v>
      </c>
      <c r="H2533" s="1" t="s">
        <v>0</v>
      </c>
      <c r="I2533" s="2">
        <v>0</v>
      </c>
      <c r="J2533" s="1">
        <v>45915.379907407405</v>
      </c>
    </row>
    <row r="2534" spans="1:10" x14ac:dyDescent="0.2">
      <c r="A2534" s="4" t="s">
        <v>1</v>
      </c>
      <c r="B2534" s="3" t="str">
        <f>HYPERLINK("https://otsuka-europe-crm.veevavault.com/ui/#object/approved_document__v/V5OZ025E82TFUPI", "Spain - HCP Survey Email - June 2025")</f>
        <v>Spain - HCP Survey Email - June 2025</v>
      </c>
      <c r="C2534" s="3" t="str">
        <f>HYPERLINK("https://otsuka-europe-crm.veevavault.com/ui/#object/sent_email__v/VBLZ025E82GMZKY", "SE-000269636")</f>
        <v>SE-000269636</v>
      </c>
      <c r="D2534" s="1" t="s">
        <v>0</v>
      </c>
      <c r="E2534" s="2">
        <v>0</v>
      </c>
      <c r="F2534" s="2">
        <v>0</v>
      </c>
      <c r="G2534" s="2">
        <v>0</v>
      </c>
      <c r="H2534" s="1" t="s">
        <v>0</v>
      </c>
      <c r="I2534" s="2">
        <v>0</v>
      </c>
      <c r="J2534" s="1">
        <v>45915.377766203703</v>
      </c>
    </row>
    <row r="2535" spans="1:10" x14ac:dyDescent="0.2">
      <c r="A2535" s="4" t="s">
        <v>1</v>
      </c>
      <c r="B2535" s="3" t="str">
        <f>HYPERLINK("https://otsuka-europe-crm.veevavault.com/ui/#object/approved_document__v/V5OZ025E82TFUPI", "Spain - HCP Survey Email - June 2025")</f>
        <v>Spain - HCP Survey Email - June 2025</v>
      </c>
      <c r="C2535" s="3" t="str">
        <f>HYPERLINK("https://otsuka-europe-crm.veevavault.com/ui/#object/sent_email__v/VBLZ025E82GMZKZ", "SE-000269637")</f>
        <v>SE-000269637</v>
      </c>
      <c r="D2535" s="1" t="s">
        <v>0</v>
      </c>
      <c r="E2535" s="2">
        <v>0</v>
      </c>
      <c r="F2535" s="2">
        <v>0</v>
      </c>
      <c r="G2535" s="2">
        <v>0</v>
      </c>
      <c r="H2535" s="1" t="s">
        <v>0</v>
      </c>
      <c r="I2535" s="2">
        <v>0</v>
      </c>
      <c r="J2535" s="1">
        <v>45915.377638888887</v>
      </c>
    </row>
    <row r="2536" spans="1:10" x14ac:dyDescent="0.2">
      <c r="A2536" s="4" t="s">
        <v>1</v>
      </c>
      <c r="B2536" s="3" t="str">
        <f>HYPERLINK("https://otsuka-europe-crm.veevavault.com/ui/#object/approved_document__v/V5OZ025E82TFUPI", "Spain - HCP Survey Email - June 2025")</f>
        <v>Spain - HCP Survey Email - June 2025</v>
      </c>
      <c r="C2536" s="3" t="str">
        <f>HYPERLINK("https://otsuka-europe-crm.veevavault.com/ui/#object/sent_email__v/VBLZ025E82GMZL0", "SE-000269638")</f>
        <v>SE-000269638</v>
      </c>
      <c r="D2536" s="1">
        <v>45920.767395833333</v>
      </c>
      <c r="E2536" s="2">
        <v>1</v>
      </c>
      <c r="F2536" s="2">
        <v>2</v>
      </c>
      <c r="G2536" s="2">
        <v>1</v>
      </c>
      <c r="H2536" s="1">
        <v>45920.767557870371</v>
      </c>
      <c r="I2536" s="2">
        <v>1</v>
      </c>
      <c r="J2536" s="1">
        <v>45915.378067129626</v>
      </c>
    </row>
    <row r="2537" spans="1:10" x14ac:dyDescent="0.2">
      <c r="A2537" s="4" t="s">
        <v>1</v>
      </c>
      <c r="B2537" s="3" t="str">
        <f>HYPERLINK("https://otsuka-europe-crm.veevavault.com/ui/#object/approved_document__v/V5OZ025E82TFUPI", "Spain - HCP Survey Email - June 2025")</f>
        <v>Spain - HCP Survey Email - June 2025</v>
      </c>
      <c r="C2537" s="3" t="str">
        <f>HYPERLINK("https://otsuka-europe-crm.veevavault.com/ui/#object/sent_email__v/VBLZ025E82GMZL1", "SE-000269639")</f>
        <v>SE-000269639</v>
      </c>
      <c r="D2537" s="1">
        <v>45915.520451388889</v>
      </c>
      <c r="E2537" s="2">
        <v>1</v>
      </c>
      <c r="F2537" s="2">
        <v>3</v>
      </c>
      <c r="G2537" s="2">
        <v>0</v>
      </c>
      <c r="H2537" s="1" t="s">
        <v>0</v>
      </c>
      <c r="I2537" s="2">
        <v>0</v>
      </c>
      <c r="J2537" s="1">
        <v>45915.378935185188</v>
      </c>
    </row>
    <row r="2538" spans="1:10" x14ac:dyDescent="0.2">
      <c r="A2538" s="4" t="s">
        <v>1</v>
      </c>
      <c r="B2538" s="3" t="str">
        <f>HYPERLINK("https://otsuka-europe-crm.veevavault.com/ui/#object/approved_document__v/V5OZ025E82TFUPI", "Spain - HCP Survey Email - June 2025")</f>
        <v>Spain - HCP Survey Email - June 2025</v>
      </c>
      <c r="C2538" s="3" t="str">
        <f>HYPERLINK("https://otsuka-europe-crm.veevavault.com/ui/#object/sent_email__v/VBLZ025E82GMZL2", "SE-000269640")</f>
        <v>SE-000269640</v>
      </c>
      <c r="D2538" s="1">
        <v>45920.381655092591</v>
      </c>
      <c r="E2538" s="2">
        <v>1</v>
      </c>
      <c r="F2538" s="2">
        <v>3</v>
      </c>
      <c r="G2538" s="2">
        <v>0</v>
      </c>
      <c r="H2538" s="1" t="s">
        <v>0</v>
      </c>
      <c r="I2538" s="2">
        <v>0</v>
      </c>
      <c r="J2538" s="1">
        <v>45915.379710648151</v>
      </c>
    </row>
    <row r="2539" spans="1:10" x14ac:dyDescent="0.2">
      <c r="A2539" s="4" t="s">
        <v>1</v>
      </c>
      <c r="B2539" s="3" t="str">
        <f>HYPERLINK("https://otsuka-europe-crm.veevavault.com/ui/#object/approved_document__v/V5OZ025E82TFUPI", "Spain - HCP Survey Email - June 2025")</f>
        <v>Spain - HCP Survey Email - June 2025</v>
      </c>
      <c r="C2539" s="3" t="str">
        <f>HYPERLINK("https://otsuka-europe-crm.veevavault.com/ui/#object/sent_email__v/VBLZ025E82GMZL3", "SE-000269641")</f>
        <v>SE-000269641</v>
      </c>
      <c r="D2539" s="1" t="s">
        <v>0</v>
      </c>
      <c r="E2539" s="2">
        <v>0</v>
      </c>
      <c r="F2539" s="2">
        <v>0</v>
      </c>
      <c r="G2539" s="2">
        <v>0</v>
      </c>
      <c r="H2539" s="1" t="s">
        <v>0</v>
      </c>
      <c r="I2539" s="2">
        <v>0</v>
      </c>
      <c r="J2539" s="1">
        <v>45915.379351851851</v>
      </c>
    </row>
    <row r="2540" spans="1:10" x14ac:dyDescent="0.2">
      <c r="A2540" s="4" t="s">
        <v>1</v>
      </c>
      <c r="B2540" s="3" t="str">
        <f>HYPERLINK("https://otsuka-europe-crm.veevavault.com/ui/#object/approved_document__v/V5OZ025E82TFUPI", "Spain - HCP Survey Email - June 2025")</f>
        <v>Spain - HCP Survey Email - June 2025</v>
      </c>
      <c r="C2540" s="3" t="str">
        <f>HYPERLINK("https://otsuka-europe-crm.veevavault.com/ui/#object/sent_email__v/VBLZ025E82GMZL4", "SE-000269642")</f>
        <v>SE-000269642</v>
      </c>
      <c r="D2540" s="1">
        <v>45915.413090277776</v>
      </c>
      <c r="E2540" s="2">
        <v>1</v>
      </c>
      <c r="F2540" s="2">
        <v>1</v>
      </c>
      <c r="G2540" s="2">
        <v>0</v>
      </c>
      <c r="H2540" s="1" t="s">
        <v>0</v>
      </c>
      <c r="I2540" s="2">
        <v>0</v>
      </c>
      <c r="J2540" s="1">
        <v>45915.377442129633</v>
      </c>
    </row>
    <row r="2541" spans="1:10" x14ac:dyDescent="0.2">
      <c r="A2541" s="4" t="s">
        <v>1</v>
      </c>
      <c r="B2541" s="3" t="str">
        <f>HYPERLINK("https://otsuka-europe-crm.veevavault.com/ui/#object/approved_document__v/V5OZ025E82TFUPI", "Spain - HCP Survey Email - June 2025")</f>
        <v>Spain - HCP Survey Email - June 2025</v>
      </c>
      <c r="C2541" s="3" t="str">
        <f>HYPERLINK("https://otsuka-europe-crm.veevavault.com/ui/#object/sent_email__v/VBLZ025E82GMZL5", "SE-000269643")</f>
        <v>SE-000269643</v>
      </c>
      <c r="D2541" s="1">
        <v>45923.688993055555</v>
      </c>
      <c r="E2541" s="2">
        <v>1</v>
      </c>
      <c r="F2541" s="2">
        <v>2</v>
      </c>
      <c r="G2541" s="2">
        <v>0</v>
      </c>
      <c r="H2541" s="1" t="s">
        <v>0</v>
      </c>
      <c r="I2541" s="2">
        <v>0</v>
      </c>
      <c r="J2541" s="1">
        <v>45915.37841435185</v>
      </c>
    </row>
    <row r="2542" spans="1:10" x14ac:dyDescent="0.2">
      <c r="A2542" s="4" t="s">
        <v>1</v>
      </c>
      <c r="B2542" s="3" t="str">
        <f>HYPERLINK("https://otsuka-europe-crm.veevavault.com/ui/#object/approved_document__v/V5OZ025E82TFUPI", "Spain - HCP Survey Email - June 2025")</f>
        <v>Spain - HCP Survey Email - June 2025</v>
      </c>
      <c r="C2542" s="3" t="str">
        <f>HYPERLINK("https://otsuka-europe-crm.veevavault.com/ui/#object/sent_email__v/VBLZ025E82GMZL6", "SE-000269644")</f>
        <v>SE-000269644</v>
      </c>
      <c r="D2542" s="1">
        <v>45916.947141203702</v>
      </c>
      <c r="E2542" s="2">
        <v>1</v>
      </c>
      <c r="F2542" s="2">
        <v>3</v>
      </c>
      <c r="G2542" s="2">
        <v>0</v>
      </c>
      <c r="H2542" s="1" t="s">
        <v>0</v>
      </c>
      <c r="I2542" s="2">
        <v>0</v>
      </c>
      <c r="J2542" s="1">
        <v>45915.379537037035</v>
      </c>
    </row>
    <row r="2543" spans="1:10" x14ac:dyDescent="0.2">
      <c r="A2543" s="4" t="s">
        <v>1</v>
      </c>
      <c r="B2543" s="3" t="str">
        <f>HYPERLINK("https://otsuka-europe-crm.veevavault.com/ui/#object/approved_document__v/V5OZ025E82TFUPI", "Spain - HCP Survey Email - June 2025")</f>
        <v>Spain - HCP Survey Email - June 2025</v>
      </c>
      <c r="C2543" s="3" t="str">
        <f>HYPERLINK("https://otsuka-europe-crm.veevavault.com/ui/#object/sent_email__v/VBLZ025E82GMZL7", "SE-000269645")</f>
        <v>SE-000269645</v>
      </c>
      <c r="D2543" s="1">
        <v>45915.38486111111</v>
      </c>
      <c r="E2543" s="2">
        <v>1</v>
      </c>
      <c r="F2543" s="2">
        <v>1</v>
      </c>
      <c r="G2543" s="2">
        <v>0</v>
      </c>
      <c r="H2543" s="1" t="s">
        <v>0</v>
      </c>
      <c r="I2543" s="2">
        <v>0</v>
      </c>
      <c r="J2543" s="1">
        <v>45915.379340277781</v>
      </c>
    </row>
    <row r="2544" spans="1:10" x14ac:dyDescent="0.2">
      <c r="A2544" s="4" t="s">
        <v>1</v>
      </c>
      <c r="B2544" s="3" t="str">
        <f>HYPERLINK("https://otsuka-europe-crm.veevavault.com/ui/#object/approved_document__v/V5OZ025E82TFUPI", "Spain - HCP Survey Email - June 2025")</f>
        <v>Spain - HCP Survey Email - June 2025</v>
      </c>
      <c r="C2544" s="3" t="str">
        <f>HYPERLINK("https://otsuka-europe-crm.veevavault.com/ui/#object/sent_email__v/VBLZ025E82GMZL8", "SE-000269646")</f>
        <v>SE-000269646</v>
      </c>
      <c r="D2544" s="1" t="s">
        <v>0</v>
      </c>
      <c r="E2544" s="2">
        <v>0</v>
      </c>
      <c r="F2544" s="2">
        <v>0</v>
      </c>
      <c r="G2544" s="2">
        <v>0</v>
      </c>
      <c r="H2544" s="1" t="s">
        <v>0</v>
      </c>
      <c r="I2544" s="2">
        <v>0</v>
      </c>
      <c r="J2544" s="1">
        <v>45915.37740740741</v>
      </c>
    </row>
    <row r="2545" spans="1:10" x14ac:dyDescent="0.2">
      <c r="A2545" s="4" t="s">
        <v>1</v>
      </c>
      <c r="B2545" s="3" t="str">
        <f>HYPERLINK("https://otsuka-europe-crm.veevavault.com/ui/#object/approved_document__v/V5OZ025E82TFUPI", "Spain - HCP Survey Email - June 2025")</f>
        <v>Spain - HCP Survey Email - June 2025</v>
      </c>
      <c r="C2545" s="3" t="str">
        <f>HYPERLINK("https://otsuka-europe-crm.veevavault.com/ui/#object/sent_email__v/VBLZ025E82GMZL9", "SE-000269647")</f>
        <v>SE-000269647</v>
      </c>
      <c r="D2545" s="1">
        <v>45915.378634259258</v>
      </c>
      <c r="E2545" s="2">
        <v>1</v>
      </c>
      <c r="F2545" s="2">
        <v>1</v>
      </c>
      <c r="G2545" s="2">
        <v>1</v>
      </c>
      <c r="H2545" s="1">
        <v>45915.379108796296</v>
      </c>
      <c r="I2545" s="2">
        <v>2</v>
      </c>
      <c r="J2545" s="1">
        <v>45915.378483796296</v>
      </c>
    </row>
    <row r="2546" spans="1:10" x14ac:dyDescent="0.2">
      <c r="A2546" s="4" t="s">
        <v>1</v>
      </c>
      <c r="B2546" s="3" t="str">
        <f>HYPERLINK("https://otsuka-europe-crm.veevavault.com/ui/#object/approved_document__v/V5OZ025E82TFUPI", "Spain - HCP Survey Email - June 2025")</f>
        <v>Spain - HCP Survey Email - June 2025</v>
      </c>
      <c r="C2546" s="3" t="str">
        <f>HYPERLINK("https://otsuka-europe-crm.veevavault.com/ui/#object/sent_email__v/VBLZ025E82GMZLA", "SE-000269648")</f>
        <v>SE-000269648</v>
      </c>
      <c r="D2546" s="1">
        <v>45915.380011574074</v>
      </c>
      <c r="E2546" s="2">
        <v>1</v>
      </c>
      <c r="F2546" s="2">
        <v>1</v>
      </c>
      <c r="G2546" s="2">
        <v>0</v>
      </c>
      <c r="H2546" s="1" t="s">
        <v>0</v>
      </c>
      <c r="I2546" s="2">
        <v>0</v>
      </c>
      <c r="J2546" s="1">
        <v>45915.378159722219</v>
      </c>
    </row>
    <row r="2547" spans="1:10" x14ac:dyDescent="0.2">
      <c r="A2547" s="4" t="s">
        <v>1</v>
      </c>
      <c r="B2547" s="3" t="str">
        <f>HYPERLINK("https://otsuka-europe-crm.veevavault.com/ui/#object/approved_document__v/V5OZ025E82TFUPI", "Spain - HCP Survey Email - June 2025")</f>
        <v>Spain - HCP Survey Email - June 2025</v>
      </c>
      <c r="C2547" s="3" t="str">
        <f>HYPERLINK("https://otsuka-europe-crm.veevavault.com/ui/#object/sent_email__v/VBLZ025E82GMZLB", "SE-000269649")</f>
        <v>SE-000269649</v>
      </c>
      <c r="D2547" s="1">
        <v>45916.643842592595</v>
      </c>
      <c r="E2547" s="2">
        <v>1</v>
      </c>
      <c r="F2547" s="2">
        <v>2</v>
      </c>
      <c r="G2547" s="2">
        <v>0</v>
      </c>
      <c r="H2547" s="1" t="s">
        <v>0</v>
      </c>
      <c r="I2547" s="2">
        <v>0</v>
      </c>
      <c r="J2547" s="1">
        <v>45915.378541666665</v>
      </c>
    </row>
    <row r="2548" spans="1:10" x14ac:dyDescent="0.2">
      <c r="A2548" s="4" t="s">
        <v>1</v>
      </c>
      <c r="B2548" s="3" t="str">
        <f>HYPERLINK("https://otsuka-europe-crm.veevavault.com/ui/#object/approved_document__v/V5OZ025E82TFUPI", "Spain - HCP Survey Email - June 2025")</f>
        <v>Spain - HCP Survey Email - June 2025</v>
      </c>
      <c r="C2548" s="3" t="str">
        <f>HYPERLINK("https://otsuka-europe-crm.veevavault.com/ui/#object/sent_email__v/VBLZ025E82GMZLC", "SE-000269650")</f>
        <v>SE-000269650</v>
      </c>
      <c r="D2548" s="1" t="s">
        <v>0</v>
      </c>
      <c r="E2548" s="2">
        <v>0</v>
      </c>
      <c r="F2548" s="2">
        <v>0</v>
      </c>
      <c r="G2548" s="2">
        <v>0</v>
      </c>
      <c r="H2548" s="1" t="s">
        <v>0</v>
      </c>
      <c r="I2548" s="2">
        <v>0</v>
      </c>
      <c r="J2548" s="1">
        <v>45915.379976851851</v>
      </c>
    </row>
    <row r="2549" spans="1:10" x14ac:dyDescent="0.2">
      <c r="A2549" s="4" t="s">
        <v>1</v>
      </c>
      <c r="B2549" s="3" t="str">
        <f>HYPERLINK("https://otsuka-europe-crm.veevavault.com/ui/#object/approved_document__v/V5OZ025E82TFUPI", "Spain - HCP Survey Email - June 2025")</f>
        <v>Spain - HCP Survey Email - June 2025</v>
      </c>
      <c r="C2549" s="3" t="str">
        <f>HYPERLINK("https://otsuka-europe-crm.veevavault.com/ui/#object/sent_email__v/VBLZ025E82GMZLD", "SE-000269651")</f>
        <v>SE-000269651</v>
      </c>
      <c r="D2549" s="1">
        <v>45915.434895833336</v>
      </c>
      <c r="E2549" s="2">
        <v>1</v>
      </c>
      <c r="F2549" s="2">
        <v>1</v>
      </c>
      <c r="G2549" s="2">
        <v>0</v>
      </c>
      <c r="H2549" s="1" t="s">
        <v>0</v>
      </c>
      <c r="I2549" s="2">
        <v>0</v>
      </c>
      <c r="J2549" s="1">
        <v>45915.37777777778</v>
      </c>
    </row>
    <row r="2550" spans="1:10" x14ac:dyDescent="0.2">
      <c r="A2550" s="4" t="s">
        <v>1</v>
      </c>
      <c r="B2550" s="3" t="str">
        <f>HYPERLINK("https://otsuka-europe-crm.veevavault.com/ui/#object/approved_document__v/V5OZ025E82TFUPI", "Spain - HCP Survey Email - June 2025")</f>
        <v>Spain - HCP Survey Email - June 2025</v>
      </c>
      <c r="C2550" s="3" t="str">
        <f>HYPERLINK("https://otsuka-europe-crm.veevavault.com/ui/#object/sent_email__v/VBLZ025E82GMZLE", "SE-000269652")</f>
        <v>SE-000269652</v>
      </c>
      <c r="D2550" s="1">
        <v>45915.826273148145</v>
      </c>
      <c r="E2550" s="2">
        <v>1</v>
      </c>
      <c r="F2550" s="2">
        <v>3</v>
      </c>
      <c r="G2550" s="2">
        <v>0</v>
      </c>
      <c r="H2550" s="1" t="s">
        <v>0</v>
      </c>
      <c r="I2550" s="2">
        <v>0</v>
      </c>
      <c r="J2550" s="1">
        <v>45915.377592592595</v>
      </c>
    </row>
    <row r="2551" spans="1:10" x14ac:dyDescent="0.2">
      <c r="A2551" s="4" t="s">
        <v>1</v>
      </c>
      <c r="B2551" s="3" t="str">
        <f>HYPERLINK("https://otsuka-europe-crm.veevavault.com/ui/#object/approved_document__v/V5OZ025E82TFUPI", "Spain - HCP Survey Email - June 2025")</f>
        <v>Spain - HCP Survey Email - June 2025</v>
      </c>
      <c r="C2551" s="3" t="str">
        <f>HYPERLINK("https://otsuka-europe-crm.veevavault.com/ui/#object/sent_email__v/VBLZ025E82GMZLF", "SE-000269653")</f>
        <v>SE-000269653</v>
      </c>
      <c r="D2551" s="1" t="s">
        <v>0</v>
      </c>
      <c r="E2551" s="2">
        <v>0</v>
      </c>
      <c r="F2551" s="2">
        <v>0</v>
      </c>
      <c r="G2551" s="2">
        <v>0</v>
      </c>
      <c r="H2551" s="1" t="s">
        <v>0</v>
      </c>
      <c r="I2551" s="2">
        <v>0</v>
      </c>
      <c r="J2551" s="1">
        <v>45915.378020833334</v>
      </c>
    </row>
    <row r="2552" spans="1:10" x14ac:dyDescent="0.2">
      <c r="A2552" s="4" t="s">
        <v>1</v>
      </c>
      <c r="B2552" s="3" t="str">
        <f>HYPERLINK("https://otsuka-europe-crm.veevavault.com/ui/#object/approved_document__v/V5OZ025E82TFUPI", "Spain - HCP Survey Email - June 2025")</f>
        <v>Spain - HCP Survey Email - June 2025</v>
      </c>
      <c r="C2552" s="3" t="str">
        <f>HYPERLINK("https://otsuka-europe-crm.veevavault.com/ui/#object/sent_email__v/VBLZ025E82GMZLG", "SE-000269654")</f>
        <v>SE-000269654</v>
      </c>
      <c r="D2552" s="1">
        <v>45942.334444444445</v>
      </c>
      <c r="E2552" s="2">
        <v>1</v>
      </c>
      <c r="F2552" s="2">
        <v>4</v>
      </c>
      <c r="G2552" s="2">
        <v>1</v>
      </c>
      <c r="H2552" s="1">
        <v>45915.483923611115</v>
      </c>
      <c r="I2552" s="2">
        <v>2</v>
      </c>
      <c r="J2552" s="1">
        <v>45915.378912037035</v>
      </c>
    </row>
    <row r="2553" spans="1:10" x14ac:dyDescent="0.2">
      <c r="A2553" s="4" t="s">
        <v>1</v>
      </c>
      <c r="B2553" s="3" t="str">
        <f>HYPERLINK("https://otsuka-europe-crm.veevavault.com/ui/#object/approved_document__v/V5OZ025E82TFUPI", "Spain - HCP Survey Email - June 2025")</f>
        <v>Spain - HCP Survey Email - June 2025</v>
      </c>
      <c r="C2553" s="3" t="str">
        <f>HYPERLINK("https://otsuka-europe-crm.veevavault.com/ui/#object/sent_email__v/VBLZ025E82GMZLH", "SE-000269655")</f>
        <v>SE-000269655</v>
      </c>
      <c r="D2553" s="1">
        <v>45915.613159722219</v>
      </c>
      <c r="E2553" s="2">
        <v>1</v>
      </c>
      <c r="F2553" s="2">
        <v>1</v>
      </c>
      <c r="G2553" s="2">
        <v>0</v>
      </c>
      <c r="H2553" s="1" t="s">
        <v>0</v>
      </c>
      <c r="I2553" s="2">
        <v>0</v>
      </c>
      <c r="J2553" s="1">
        <v>45915.37945601852</v>
      </c>
    </row>
    <row r="2554" spans="1:10" x14ac:dyDescent="0.2">
      <c r="A2554" s="4" t="s">
        <v>1</v>
      </c>
      <c r="B2554" s="3" t="str">
        <f>HYPERLINK("https://otsuka-europe-crm.veevavault.com/ui/#object/approved_document__v/V5OZ025E82TFUPI", "Spain - HCP Survey Email - June 2025")</f>
        <v>Spain - HCP Survey Email - June 2025</v>
      </c>
      <c r="C2554" s="3" t="str">
        <f>HYPERLINK("https://otsuka-europe-crm.veevavault.com/ui/#object/sent_email__v/VBLZ025E82GMZLJ", "SE-000269657")</f>
        <v>SE-000269657</v>
      </c>
      <c r="D2554" s="1">
        <v>45916.30636574074</v>
      </c>
      <c r="E2554" s="2">
        <v>1</v>
      </c>
      <c r="F2554" s="2">
        <v>1</v>
      </c>
      <c r="G2554" s="2">
        <v>0</v>
      </c>
      <c r="H2554" s="1" t="s">
        <v>0</v>
      </c>
      <c r="I2554" s="2">
        <v>0</v>
      </c>
      <c r="J2554" s="1">
        <v>45915.377442129633</v>
      </c>
    </row>
    <row r="2555" spans="1:10" x14ac:dyDescent="0.2">
      <c r="A2555" s="4" t="s">
        <v>1</v>
      </c>
      <c r="B2555" s="3" t="str">
        <f>HYPERLINK("https://otsuka-europe-crm.veevavault.com/ui/#object/approved_document__v/V5OZ025E82TFUPI", "Spain - HCP Survey Email - June 2025")</f>
        <v>Spain - HCP Survey Email - June 2025</v>
      </c>
      <c r="C2555" s="3" t="str">
        <f>HYPERLINK("https://otsuka-europe-crm.veevavault.com/ui/#object/sent_email__v/VBLZ025E82GMZLK", "SE-000269658")</f>
        <v>SE-000269658</v>
      </c>
      <c r="D2555" s="1">
        <v>45915.698344907411</v>
      </c>
      <c r="E2555" s="2">
        <v>1</v>
      </c>
      <c r="F2555" s="2">
        <v>3</v>
      </c>
      <c r="G2555" s="2">
        <v>1</v>
      </c>
      <c r="H2555" s="1">
        <v>45915.698379629626</v>
      </c>
      <c r="I2555" s="2">
        <v>2</v>
      </c>
      <c r="J2555" s="1">
        <v>45915.378425925926</v>
      </c>
    </row>
    <row r="2556" spans="1:10" x14ac:dyDescent="0.2">
      <c r="A2556" s="4" t="s">
        <v>1</v>
      </c>
      <c r="B2556" s="3" t="str">
        <f>HYPERLINK("https://otsuka-europe-crm.veevavault.com/ui/#object/approved_document__v/V5OZ025E82TFUPI", "Spain - HCP Survey Email - June 2025")</f>
        <v>Spain - HCP Survey Email - June 2025</v>
      </c>
      <c r="C2556" s="3" t="str">
        <f>HYPERLINK("https://otsuka-europe-crm.veevavault.com/ui/#object/sent_email__v/VBLZ025E82GMZLL", "SE-000269659")</f>
        <v>SE-000269659</v>
      </c>
      <c r="D2556" s="1" t="s">
        <v>0</v>
      </c>
      <c r="E2556" s="2">
        <v>0</v>
      </c>
      <c r="F2556" s="2">
        <v>0</v>
      </c>
      <c r="G2556" s="2">
        <v>0</v>
      </c>
      <c r="H2556" s="1" t="s">
        <v>0</v>
      </c>
      <c r="I2556" s="2">
        <v>0</v>
      </c>
      <c r="J2556" s="1">
        <v>45915.378101851849</v>
      </c>
    </row>
    <row r="2557" spans="1:10" x14ac:dyDescent="0.2">
      <c r="A2557" s="4" t="s">
        <v>1</v>
      </c>
      <c r="B2557" s="3" t="str">
        <f>HYPERLINK("https://otsuka-europe-crm.veevavault.com/ui/#object/approved_document__v/V5OZ025E82TFUPI", "Spain - HCP Survey Email - June 2025")</f>
        <v>Spain - HCP Survey Email - June 2025</v>
      </c>
      <c r="C2557" s="3" t="str">
        <f>HYPERLINK("https://otsuka-europe-crm.veevavault.com/ui/#object/sent_email__v/VBLZ025E82GMZLM", "SE-000269660")</f>
        <v>SE-000269660</v>
      </c>
      <c r="D2557" s="1">
        <v>45915.644861111112</v>
      </c>
      <c r="E2557" s="2">
        <v>1</v>
      </c>
      <c r="F2557" s="2">
        <v>1</v>
      </c>
      <c r="G2557" s="2">
        <v>0</v>
      </c>
      <c r="H2557" s="1" t="s">
        <v>0</v>
      </c>
      <c r="I2557" s="2">
        <v>0</v>
      </c>
      <c r="J2557" s="1">
        <v>45915.378668981481</v>
      </c>
    </row>
    <row r="2558" spans="1:10" x14ac:dyDescent="0.2">
      <c r="A2558" s="4" t="s">
        <v>1</v>
      </c>
      <c r="B2558" s="3" t="str">
        <f>HYPERLINK("https://otsuka-europe-crm.veevavault.com/ui/#object/approved_document__v/V5OZ025E82TFUPI", "Spain - HCP Survey Email - June 2025")</f>
        <v>Spain - HCP Survey Email - June 2025</v>
      </c>
      <c r="C2558" s="3" t="str">
        <f>HYPERLINK("https://otsuka-europe-crm.veevavault.com/ui/#object/sent_email__v/VBLZ025E82GMZLN", "SE-000269661")</f>
        <v>SE-000269661</v>
      </c>
      <c r="D2558" s="1" t="s">
        <v>0</v>
      </c>
      <c r="E2558" s="2">
        <v>0</v>
      </c>
      <c r="F2558" s="2">
        <v>0</v>
      </c>
      <c r="G2558" s="2">
        <v>0</v>
      </c>
      <c r="H2558" s="1" t="s">
        <v>0</v>
      </c>
      <c r="I2558" s="2">
        <v>0</v>
      </c>
      <c r="J2558" s="1">
        <v>45915.380057870374</v>
      </c>
    </row>
    <row r="2559" spans="1:10" x14ac:dyDescent="0.2">
      <c r="A2559" s="4" t="s">
        <v>1</v>
      </c>
      <c r="B2559" s="3" t="str">
        <f>HYPERLINK("https://otsuka-europe-crm.veevavault.com/ui/#object/approved_document__v/V5OZ025E82TFUPI", "Spain - HCP Survey Email - June 2025")</f>
        <v>Spain - HCP Survey Email - June 2025</v>
      </c>
      <c r="C2559" s="3" t="str">
        <f>HYPERLINK("https://otsuka-europe-crm.veevavault.com/ui/#object/sent_email__v/VBLZ025E82GMZLO", "SE-000269662")</f>
        <v>SE-000269662</v>
      </c>
      <c r="D2559" s="1" t="s">
        <v>0</v>
      </c>
      <c r="E2559" s="2">
        <v>0</v>
      </c>
      <c r="F2559" s="2">
        <v>0</v>
      </c>
      <c r="G2559" s="2">
        <v>0</v>
      </c>
      <c r="H2559" s="1" t="s">
        <v>0</v>
      </c>
      <c r="I2559" s="2">
        <v>0</v>
      </c>
      <c r="J2559" s="1">
        <v>45915.377766203703</v>
      </c>
    </row>
    <row r="2560" spans="1:10" x14ac:dyDescent="0.2">
      <c r="A2560" s="4" t="s">
        <v>1</v>
      </c>
      <c r="B2560" s="3" t="str">
        <f>HYPERLINK("https://otsuka-europe-crm.veevavault.com/ui/#object/approved_document__v/V5OZ025E82TFUPI", "Spain - HCP Survey Email - June 2025")</f>
        <v>Spain - HCP Survey Email - June 2025</v>
      </c>
      <c r="C2560" s="3" t="str">
        <f>HYPERLINK("https://otsuka-europe-crm.veevavault.com/ui/#object/sent_email__v/VBLZ025E82GMZLP", "SE-000269663")</f>
        <v>SE-000269663</v>
      </c>
      <c r="D2560" s="1" t="s">
        <v>0</v>
      </c>
      <c r="E2560" s="2">
        <v>0</v>
      </c>
      <c r="F2560" s="2">
        <v>0</v>
      </c>
      <c r="G2560" s="2">
        <v>0</v>
      </c>
      <c r="H2560" s="1" t="s">
        <v>0</v>
      </c>
      <c r="I2560" s="2">
        <v>0</v>
      </c>
      <c r="J2560" s="1">
        <v>45915.377662037034</v>
      </c>
    </row>
    <row r="2561" spans="1:10" x14ac:dyDescent="0.2">
      <c r="A2561" s="4" t="s">
        <v>1</v>
      </c>
      <c r="B2561" s="3" t="str">
        <f>HYPERLINK("https://otsuka-europe-crm.veevavault.com/ui/#object/approved_document__v/V5OZ025E82TFUPI", "Spain - HCP Survey Email - June 2025")</f>
        <v>Spain - HCP Survey Email - June 2025</v>
      </c>
      <c r="C2561" s="3" t="str">
        <f>HYPERLINK("https://otsuka-europe-crm.veevavault.com/ui/#object/sent_email__v/VBLZ025E82GMZLQ", "SE-000269664")</f>
        <v>SE-000269664</v>
      </c>
      <c r="D2561" s="1" t="s">
        <v>0</v>
      </c>
      <c r="E2561" s="2">
        <v>0</v>
      </c>
      <c r="F2561" s="2">
        <v>0</v>
      </c>
      <c r="G2561" s="2">
        <v>0</v>
      </c>
      <c r="H2561" s="1" t="s">
        <v>0</v>
      </c>
      <c r="I2561" s="2">
        <v>0</v>
      </c>
      <c r="J2561" s="1">
        <v>45915.377928240741</v>
      </c>
    </row>
    <row r="2562" spans="1:10" x14ac:dyDescent="0.2">
      <c r="A2562" s="4" t="s">
        <v>1</v>
      </c>
      <c r="B2562" s="3" t="str">
        <f>HYPERLINK("https://otsuka-europe-crm.veevavault.com/ui/#object/approved_document__v/V5OZ025E82TFUPI", "Spain - HCP Survey Email - June 2025")</f>
        <v>Spain - HCP Survey Email - June 2025</v>
      </c>
      <c r="C2562" s="3" t="str">
        <f>HYPERLINK("https://otsuka-europe-crm.veevavault.com/ui/#object/sent_email__v/VBLZ025E82GMZLR", "SE-000269665")</f>
        <v>SE-000269665</v>
      </c>
      <c r="D2562" s="1">
        <v>45918.637986111113</v>
      </c>
      <c r="E2562" s="2">
        <v>1</v>
      </c>
      <c r="F2562" s="2">
        <v>1</v>
      </c>
      <c r="G2562" s="2">
        <v>1</v>
      </c>
      <c r="H2562" s="1">
        <v>45918.637986111113</v>
      </c>
      <c r="I2562" s="2">
        <v>1</v>
      </c>
      <c r="J2562" s="1">
        <v>45915.379004629627</v>
      </c>
    </row>
    <row r="2563" spans="1:10" x14ac:dyDescent="0.2">
      <c r="A2563" s="4" t="s">
        <v>1</v>
      </c>
      <c r="B2563" s="3" t="str">
        <f>HYPERLINK("https://otsuka-europe-crm.veevavault.com/ui/#object/approved_document__v/V5OZ025E82TFUPI", "Spain - HCP Survey Email - June 2025")</f>
        <v>Spain - HCP Survey Email - June 2025</v>
      </c>
      <c r="C2563" s="3" t="str">
        <f>HYPERLINK("https://otsuka-europe-crm.veevavault.com/ui/#object/sent_email__v/VBLZ025E82GMZLS", "SE-000269666")</f>
        <v>SE-000269666</v>
      </c>
      <c r="D2563" s="1" t="s">
        <v>0</v>
      </c>
      <c r="E2563" s="2">
        <v>0</v>
      </c>
      <c r="F2563" s="2">
        <v>0</v>
      </c>
      <c r="G2563" s="2">
        <v>0</v>
      </c>
      <c r="H2563" s="1" t="s">
        <v>0</v>
      </c>
      <c r="I2563" s="2">
        <v>0</v>
      </c>
      <c r="J2563" s="1">
        <v>45915.379618055558</v>
      </c>
    </row>
    <row r="2564" spans="1:10" x14ac:dyDescent="0.2">
      <c r="A2564" s="4" t="s">
        <v>1</v>
      </c>
      <c r="B2564" s="3" t="str">
        <f>HYPERLINK("https://otsuka-europe-crm.veevavault.com/ui/#object/approved_document__v/V5OZ025E82TFUPI", "Spain - HCP Survey Email - June 2025")</f>
        <v>Spain - HCP Survey Email - June 2025</v>
      </c>
      <c r="C2564" s="3" t="str">
        <f>HYPERLINK("https://otsuka-europe-crm.veevavault.com/ui/#object/sent_email__v/VBLZ025E82GMZLT", "SE-000269667")</f>
        <v>SE-000269667</v>
      </c>
      <c r="D2564" s="1">
        <v>45915.438101851854</v>
      </c>
      <c r="E2564" s="2">
        <v>1</v>
      </c>
      <c r="F2564" s="2">
        <v>2</v>
      </c>
      <c r="G2564" s="2">
        <v>0</v>
      </c>
      <c r="H2564" s="1" t="s">
        <v>0</v>
      </c>
      <c r="I2564" s="2">
        <v>0</v>
      </c>
      <c r="J2564" s="1">
        <v>45915.379467592589</v>
      </c>
    </row>
    <row r="2565" spans="1:10" x14ac:dyDescent="0.2">
      <c r="A2565" s="4" t="s">
        <v>1</v>
      </c>
      <c r="B2565" s="3" t="str">
        <f>HYPERLINK("https://otsuka-europe-crm.veevavault.com/ui/#object/approved_document__v/V5OZ025E82TFUPI", "Spain - HCP Survey Email - June 2025")</f>
        <v>Spain - HCP Survey Email - June 2025</v>
      </c>
      <c r="C2565" s="3" t="str">
        <f>HYPERLINK("https://otsuka-europe-crm.veevavault.com/ui/#object/sent_email__v/VBLZ025E82GMZLU", "SE-000269668")</f>
        <v>SE-000269668</v>
      </c>
      <c r="D2565" s="1">
        <v>45916.928622685184</v>
      </c>
      <c r="E2565" s="2">
        <v>1</v>
      </c>
      <c r="F2565" s="2">
        <v>3</v>
      </c>
      <c r="G2565" s="2">
        <v>0</v>
      </c>
      <c r="H2565" s="1" t="s">
        <v>0</v>
      </c>
      <c r="I2565" s="2">
        <v>0</v>
      </c>
      <c r="J2565" s="1">
        <v>45915.377430555556</v>
      </c>
    </row>
    <row r="2566" spans="1:10" x14ac:dyDescent="0.2">
      <c r="A2566" s="4" t="s">
        <v>1</v>
      </c>
      <c r="B2566" s="3" t="str">
        <f>HYPERLINK("https://otsuka-europe-crm.veevavault.com/ui/#object/approved_document__v/V5OZ025E82TFUPI", "Spain - HCP Survey Email - June 2025")</f>
        <v>Spain - HCP Survey Email - June 2025</v>
      </c>
      <c r="C2566" s="3" t="str">
        <f>HYPERLINK("https://otsuka-europe-crm.veevavault.com/ui/#object/sent_email__v/VBLZ025E82GMZLV", "SE-000269669")</f>
        <v>SE-000269669</v>
      </c>
      <c r="D2566" s="1">
        <v>45918.948773148149</v>
      </c>
      <c r="E2566" s="2">
        <v>1</v>
      </c>
      <c r="F2566" s="2">
        <v>2</v>
      </c>
      <c r="G2566" s="2">
        <v>0</v>
      </c>
      <c r="H2566" s="1" t="s">
        <v>0</v>
      </c>
      <c r="I2566" s="2">
        <v>0</v>
      </c>
      <c r="J2566" s="1">
        <v>45915.378287037034</v>
      </c>
    </row>
    <row r="2567" spans="1:10" x14ac:dyDescent="0.2">
      <c r="A2567" s="4" t="s">
        <v>1</v>
      </c>
      <c r="B2567" s="3" t="str">
        <f>HYPERLINK("https://otsuka-europe-crm.veevavault.com/ui/#object/approved_document__v/V5OZ025E82TFUPI", "Spain - HCP Survey Email - June 2025")</f>
        <v>Spain - HCP Survey Email - June 2025</v>
      </c>
      <c r="C2567" s="3" t="str">
        <f>HYPERLINK("https://otsuka-europe-crm.veevavault.com/ui/#object/sent_email__v/VBLZ025E82GMZLW", "SE-000269670")</f>
        <v>SE-000269670</v>
      </c>
      <c r="D2567" s="1">
        <v>45915.49496527778</v>
      </c>
      <c r="E2567" s="2">
        <v>1</v>
      </c>
      <c r="F2567" s="2">
        <v>1</v>
      </c>
      <c r="G2567" s="2">
        <v>1</v>
      </c>
      <c r="H2567" s="1">
        <v>45915.495092592595</v>
      </c>
      <c r="I2567" s="2">
        <v>2</v>
      </c>
      <c r="J2567" s="1">
        <v>45915.37903935185</v>
      </c>
    </row>
    <row r="2568" spans="1:10" x14ac:dyDescent="0.2">
      <c r="A2568" s="4" t="s">
        <v>1</v>
      </c>
      <c r="B2568" s="3" t="str">
        <f>HYPERLINK("https://otsuka-europe-crm.veevavault.com/ui/#object/approved_document__v/V5OZ025E82TFUPI", "Spain - HCP Survey Email - June 2025")</f>
        <v>Spain - HCP Survey Email - June 2025</v>
      </c>
      <c r="C2568" s="3" t="str">
        <f>HYPERLINK("https://otsuka-europe-crm.veevavault.com/ui/#object/sent_email__v/VBLZ025E82GMZLX", "SE-000269671")</f>
        <v>SE-000269671</v>
      </c>
      <c r="D2568" s="1" t="s">
        <v>0</v>
      </c>
      <c r="E2568" s="2">
        <v>0</v>
      </c>
      <c r="F2568" s="2">
        <v>0</v>
      </c>
      <c r="G2568" s="2">
        <v>0</v>
      </c>
      <c r="H2568" s="1" t="s">
        <v>0</v>
      </c>
      <c r="I2568" s="2">
        <v>0</v>
      </c>
      <c r="J2568" s="1">
        <v>45915.379664351851</v>
      </c>
    </row>
    <row r="2569" spans="1:10" x14ac:dyDescent="0.2">
      <c r="A2569" s="4" t="s">
        <v>1</v>
      </c>
      <c r="B2569" s="3" t="str">
        <f>HYPERLINK("https://otsuka-europe-crm.veevavault.com/ui/#object/approved_document__v/V5OZ025E82TFUPI", "Spain - HCP Survey Email - June 2025")</f>
        <v>Spain - HCP Survey Email - June 2025</v>
      </c>
      <c r="C2569" s="3" t="str">
        <f>HYPERLINK("https://otsuka-europe-crm.veevavault.com/ui/#object/sent_email__v/VBLZ025E82GMZLY", "SE-000269672")</f>
        <v>SE-000269672</v>
      </c>
      <c r="D2569" s="1" t="s">
        <v>0</v>
      </c>
      <c r="E2569" s="2">
        <v>0</v>
      </c>
      <c r="F2569" s="2">
        <v>0</v>
      </c>
      <c r="G2569" s="2">
        <v>0</v>
      </c>
      <c r="H2569" s="1" t="s">
        <v>0</v>
      </c>
      <c r="I2569" s="2">
        <v>0</v>
      </c>
      <c r="J2569" s="1">
        <v>45915.37940972222</v>
      </c>
    </row>
    <row r="2570" spans="1:10" x14ac:dyDescent="0.2">
      <c r="A2570" s="4" t="s">
        <v>1</v>
      </c>
      <c r="B2570" s="3" t="str">
        <f>HYPERLINK("https://otsuka-europe-crm.veevavault.com/ui/#object/approved_document__v/V5OZ025E82TFUPI", "Spain - HCP Survey Email - June 2025")</f>
        <v>Spain - HCP Survey Email - June 2025</v>
      </c>
      <c r="C2570" s="3" t="str">
        <f>HYPERLINK("https://otsuka-europe-crm.veevavault.com/ui/#object/sent_email__v/VBLZ025E82GMZLZ", "SE-000269673")</f>
        <v>SE-000269673</v>
      </c>
      <c r="D2570" s="1" t="s">
        <v>0</v>
      </c>
      <c r="E2570" s="2">
        <v>0</v>
      </c>
      <c r="F2570" s="2">
        <v>0</v>
      </c>
      <c r="G2570" s="2">
        <v>0</v>
      </c>
      <c r="H2570" s="1" t="s">
        <v>0</v>
      </c>
      <c r="I2570" s="2">
        <v>0</v>
      </c>
      <c r="J2570" s="1">
        <v>45915.377453703702</v>
      </c>
    </row>
    <row r="2571" spans="1:10" x14ac:dyDescent="0.2">
      <c r="A2571" s="4" t="s">
        <v>1</v>
      </c>
      <c r="B2571" s="3" t="str">
        <f>HYPERLINK("https://otsuka-europe-crm.veevavault.com/ui/#object/approved_document__v/V5OZ025E82TFUPI", "Spain - HCP Survey Email - June 2025")</f>
        <v>Spain - HCP Survey Email - June 2025</v>
      </c>
      <c r="C2571" s="3" t="str">
        <f>HYPERLINK("https://otsuka-europe-crm.veevavault.com/ui/#object/sent_email__v/VBLZ025E82GMZM0", "SE-000269674")</f>
        <v>SE-000269674</v>
      </c>
      <c r="D2571" s="1" t="s">
        <v>0</v>
      </c>
      <c r="E2571" s="2">
        <v>0</v>
      </c>
      <c r="F2571" s="2">
        <v>0</v>
      </c>
      <c r="G2571" s="2">
        <v>0</v>
      </c>
      <c r="H2571" s="1" t="s">
        <v>0</v>
      </c>
      <c r="I2571" s="2">
        <v>0</v>
      </c>
      <c r="J2571" s="1">
        <v>45915.37835648148</v>
      </c>
    </row>
    <row r="2572" spans="1:10" x14ac:dyDescent="0.2">
      <c r="A2572" s="4" t="s">
        <v>1</v>
      </c>
      <c r="B2572" s="3" t="str">
        <f>HYPERLINK("https://otsuka-europe-crm.veevavault.com/ui/#object/approved_document__v/V5OZ025E82TFUPI", "Spain - HCP Survey Email - June 2025")</f>
        <v>Spain - HCP Survey Email - June 2025</v>
      </c>
      <c r="C2572" s="3" t="str">
        <f>HYPERLINK("https://otsuka-europe-crm.veevavault.com/ui/#object/sent_email__v/VBLZ025E82GMZM1", "SE-000269675")</f>
        <v>SE-000269675</v>
      </c>
      <c r="D2572" s="1" t="s">
        <v>0</v>
      </c>
      <c r="E2572" s="2">
        <v>0</v>
      </c>
      <c r="F2572" s="2">
        <v>0</v>
      </c>
      <c r="G2572" s="2">
        <v>0</v>
      </c>
      <c r="H2572" s="1" t="s">
        <v>0</v>
      </c>
      <c r="I2572" s="2">
        <v>0</v>
      </c>
      <c r="J2572" s="1">
        <v>45915.378171296295</v>
      </c>
    </row>
    <row r="2573" spans="1:10" x14ac:dyDescent="0.2">
      <c r="A2573" s="4" t="s">
        <v>1</v>
      </c>
      <c r="B2573" s="3" t="str">
        <f>HYPERLINK("https://otsuka-europe-crm.veevavault.com/ui/#object/approved_document__v/V5OZ025E82TFUPI", "Spain - HCP Survey Email - June 2025")</f>
        <v>Spain - HCP Survey Email - June 2025</v>
      </c>
      <c r="C2573" s="3" t="str">
        <f>HYPERLINK("https://otsuka-europe-crm.veevavault.com/ui/#object/sent_email__v/VBLZ025E82GMZM2", "SE-000269676")</f>
        <v>SE-000269676</v>
      </c>
      <c r="D2573" s="1" t="s">
        <v>0</v>
      </c>
      <c r="E2573" s="2">
        <v>0</v>
      </c>
      <c r="F2573" s="2">
        <v>0</v>
      </c>
      <c r="G2573" s="2">
        <v>0</v>
      </c>
      <c r="H2573" s="1" t="s">
        <v>0</v>
      </c>
      <c r="I2573" s="2">
        <v>0</v>
      </c>
      <c r="J2573" s="1">
        <v>45915.378553240742</v>
      </c>
    </row>
    <row r="2574" spans="1:10" x14ac:dyDescent="0.2">
      <c r="A2574" s="4" t="s">
        <v>1</v>
      </c>
      <c r="B2574" s="3" t="str">
        <f>HYPERLINK("https://otsuka-europe-crm.veevavault.com/ui/#object/approved_document__v/V5OZ025E82TFUPI", "Spain - HCP Survey Email - June 2025")</f>
        <v>Spain - HCP Survey Email - June 2025</v>
      </c>
      <c r="C2574" s="3" t="str">
        <f>HYPERLINK("https://otsuka-europe-crm.veevavault.com/ui/#object/sent_email__v/VBLZ025E82GMZM3", "SE-000269677")</f>
        <v>SE-000269677</v>
      </c>
      <c r="D2574" s="1">
        <v>45915.927800925929</v>
      </c>
      <c r="E2574" s="2">
        <v>1</v>
      </c>
      <c r="F2574" s="2">
        <v>3</v>
      </c>
      <c r="G2574" s="2">
        <v>0</v>
      </c>
      <c r="H2574" s="1" t="s">
        <v>0</v>
      </c>
      <c r="I2574" s="2">
        <v>0</v>
      </c>
      <c r="J2574" s="1">
        <v>45915.379884259259</v>
      </c>
    </row>
    <row r="2575" spans="1:10" x14ac:dyDescent="0.2">
      <c r="A2575" s="4" t="s">
        <v>1</v>
      </c>
      <c r="B2575" s="3" t="str">
        <f>HYPERLINK("https://otsuka-europe-crm.veevavault.com/ui/#object/approved_document__v/V5OZ025E82TFUPI", "Spain - HCP Survey Email - June 2025")</f>
        <v>Spain - HCP Survey Email - June 2025</v>
      </c>
      <c r="C2575" s="3" t="str">
        <f>HYPERLINK("https://otsuka-europe-crm.veevavault.com/ui/#object/sent_email__v/VBLZ025E82GMZM4", "SE-000269678")</f>
        <v>SE-000269678</v>
      </c>
      <c r="D2575" s="1" t="s">
        <v>0</v>
      </c>
      <c r="E2575" s="2">
        <v>0</v>
      </c>
      <c r="F2575" s="2">
        <v>0</v>
      </c>
      <c r="G2575" s="2">
        <v>0</v>
      </c>
      <c r="H2575" s="1" t="s">
        <v>0</v>
      </c>
      <c r="I2575" s="2">
        <v>0</v>
      </c>
      <c r="J2575" s="1">
        <v>45915.37771990741</v>
      </c>
    </row>
    <row r="2576" spans="1:10" x14ac:dyDescent="0.2">
      <c r="A2576" s="4" t="s">
        <v>1</v>
      </c>
      <c r="B2576" s="3" t="str">
        <f>HYPERLINK("https://otsuka-europe-crm.veevavault.com/ui/#object/approved_document__v/V5OZ025E82TFUPI", "Spain - HCP Survey Email - June 2025")</f>
        <v>Spain - HCP Survey Email - June 2025</v>
      </c>
      <c r="C2576" s="3" t="str">
        <f>HYPERLINK("https://otsuka-europe-crm.veevavault.com/ui/#object/sent_email__v/VBLZ025E82GMZM5", "SE-000269679")</f>
        <v>SE-000269679</v>
      </c>
      <c r="D2576" s="1" t="s">
        <v>0</v>
      </c>
      <c r="E2576" s="2">
        <v>0</v>
      </c>
      <c r="F2576" s="2">
        <v>0</v>
      </c>
      <c r="G2576" s="2">
        <v>0</v>
      </c>
      <c r="H2576" s="1" t="s">
        <v>0</v>
      </c>
      <c r="I2576" s="2">
        <v>0</v>
      </c>
      <c r="J2576" s="1">
        <v>45915.377592592595</v>
      </c>
    </row>
    <row r="2577" spans="1:10" x14ac:dyDescent="0.2">
      <c r="A2577" s="4" t="s">
        <v>1</v>
      </c>
      <c r="B2577" s="3" t="str">
        <f>HYPERLINK("https://otsuka-europe-crm.veevavault.com/ui/#object/approved_document__v/V5OZ025E82TFUPI", "Spain - HCP Survey Email - June 2025")</f>
        <v>Spain - HCP Survey Email - June 2025</v>
      </c>
      <c r="C2577" s="3" t="str">
        <f>HYPERLINK("https://otsuka-europe-crm.veevavault.com/ui/#object/sent_email__v/VBLZ025E82GMZM6", "SE-000269680")</f>
        <v>SE-000269680</v>
      </c>
      <c r="D2577" s="1" t="s">
        <v>0</v>
      </c>
      <c r="E2577" s="2">
        <v>0</v>
      </c>
      <c r="F2577" s="2">
        <v>0</v>
      </c>
      <c r="G2577" s="2">
        <v>0</v>
      </c>
      <c r="H2577" s="1" t="s">
        <v>0</v>
      </c>
      <c r="I2577" s="2">
        <v>0</v>
      </c>
      <c r="J2577" s="1">
        <v>45915.377939814818</v>
      </c>
    </row>
    <row r="2578" spans="1:10" x14ac:dyDescent="0.2">
      <c r="A2578" s="4" t="s">
        <v>1</v>
      </c>
      <c r="B2578" s="3" t="str">
        <f>HYPERLINK("https://otsuka-europe-crm.veevavault.com/ui/#object/approved_document__v/V5OZ025E82TFUPI", "Spain - HCP Survey Email - June 2025")</f>
        <v>Spain - HCP Survey Email - June 2025</v>
      </c>
      <c r="C2578" s="3" t="str">
        <f>HYPERLINK("https://otsuka-europe-crm.veevavault.com/ui/#object/sent_email__v/VBLZ025E82GMZM7", "SE-000269681")</f>
        <v>SE-000269681</v>
      </c>
      <c r="D2578" s="1" t="s">
        <v>0</v>
      </c>
      <c r="E2578" s="2">
        <v>0</v>
      </c>
      <c r="F2578" s="2">
        <v>0</v>
      </c>
      <c r="G2578" s="2">
        <v>0</v>
      </c>
      <c r="H2578" s="1" t="s">
        <v>0</v>
      </c>
      <c r="I2578" s="2">
        <v>0</v>
      </c>
      <c r="J2578" s="1">
        <v>45915.379016203704</v>
      </c>
    </row>
    <row r="2579" spans="1:10" x14ac:dyDescent="0.2">
      <c r="A2579" s="4" t="s">
        <v>1</v>
      </c>
      <c r="B2579" s="3" t="str">
        <f>HYPERLINK("https://otsuka-europe-crm.veevavault.com/ui/#object/approved_document__v/V5OZ025E82TFUPI", "Spain - HCP Survey Email - June 2025")</f>
        <v>Spain - HCP Survey Email - June 2025</v>
      </c>
      <c r="C2579" s="3" t="str">
        <f>HYPERLINK("https://otsuka-europe-crm.veevavault.com/ui/#object/sent_email__v/VBLZ025E82GMZM8", "SE-000269682")</f>
        <v>SE-000269682</v>
      </c>
      <c r="D2579" s="1" t="s">
        <v>0</v>
      </c>
      <c r="E2579" s="2">
        <v>0</v>
      </c>
      <c r="F2579" s="2">
        <v>0</v>
      </c>
      <c r="G2579" s="2">
        <v>0</v>
      </c>
      <c r="H2579" s="1" t="s">
        <v>0</v>
      </c>
      <c r="I2579" s="2">
        <v>0</v>
      </c>
      <c r="J2579" s="1">
        <v>45915.379548611112</v>
      </c>
    </row>
    <row r="2580" spans="1:10" x14ac:dyDescent="0.2">
      <c r="A2580" s="4" t="s">
        <v>1</v>
      </c>
      <c r="B2580" s="3" t="str">
        <f>HYPERLINK("https://otsuka-europe-crm.veevavault.com/ui/#object/approved_document__v/V5OZ025E82TFUPI", "Spain - HCP Survey Email - June 2025")</f>
        <v>Spain - HCP Survey Email - June 2025</v>
      </c>
      <c r="C2580" s="3" t="str">
        <f>HYPERLINK("https://otsuka-europe-crm.veevavault.com/ui/#object/sent_email__v/VBLZ025E82GMZM9", "SE-000269683")</f>
        <v>SE-000269683</v>
      </c>
      <c r="D2580" s="1" t="s">
        <v>0</v>
      </c>
      <c r="E2580" s="2">
        <v>0</v>
      </c>
      <c r="F2580" s="2">
        <v>0</v>
      </c>
      <c r="G2580" s="2">
        <v>0</v>
      </c>
      <c r="H2580" s="1" t="s">
        <v>0</v>
      </c>
      <c r="I2580" s="2">
        <v>0</v>
      </c>
      <c r="J2580" s="1">
        <v>45915.379421296297</v>
      </c>
    </row>
    <row r="2581" spans="1:10" x14ac:dyDescent="0.2">
      <c r="A2581" s="4" t="s">
        <v>1</v>
      </c>
      <c r="B2581" s="3" t="str">
        <f>HYPERLINK("https://otsuka-europe-crm.veevavault.com/ui/#object/approved_document__v/V5OZ025E82TFUPI", "Spain - HCP Survey Email - June 2025")</f>
        <v>Spain - HCP Survey Email - June 2025</v>
      </c>
      <c r="C2581" s="3" t="str">
        <f>HYPERLINK("https://otsuka-europe-crm.veevavault.com/ui/#object/sent_email__v/VBLZ025E82GMZMA", "SE-000269684")</f>
        <v>SE-000269684</v>
      </c>
      <c r="D2581" s="1" t="s">
        <v>0</v>
      </c>
      <c r="E2581" s="2">
        <v>0</v>
      </c>
      <c r="F2581" s="2">
        <v>0</v>
      </c>
      <c r="G2581" s="2">
        <v>0</v>
      </c>
      <c r="H2581" s="1" t="s">
        <v>0</v>
      </c>
      <c r="I2581" s="2">
        <v>0</v>
      </c>
      <c r="J2581" s="1">
        <v>45915.377500000002</v>
      </c>
    </row>
    <row r="2582" spans="1:10" x14ac:dyDescent="0.2">
      <c r="A2582" s="4" t="s">
        <v>1</v>
      </c>
      <c r="B2582" s="3" t="str">
        <f>HYPERLINK("https://otsuka-europe-crm.veevavault.com/ui/#object/approved_document__v/V5OZ025E82TFUPI", "Spain - HCP Survey Email - June 2025")</f>
        <v>Spain - HCP Survey Email - June 2025</v>
      </c>
      <c r="C2582" s="3" t="str">
        <f>HYPERLINK("https://otsuka-europe-crm.veevavault.com/ui/#object/sent_email__v/VBLZ025E82GMZMB", "SE-000269685")</f>
        <v>SE-000269685</v>
      </c>
      <c r="D2582" s="1">
        <v>45919.734340277777</v>
      </c>
      <c r="E2582" s="2">
        <v>1</v>
      </c>
      <c r="F2582" s="2">
        <v>2</v>
      </c>
      <c r="G2582" s="2">
        <v>0</v>
      </c>
      <c r="H2582" s="1" t="s">
        <v>0</v>
      </c>
      <c r="I2582" s="2">
        <v>0</v>
      </c>
      <c r="J2582" s="1">
        <v>45915.378240740742</v>
      </c>
    </row>
    <row r="2583" spans="1:10" x14ac:dyDescent="0.2">
      <c r="A2583" s="4" t="s">
        <v>1</v>
      </c>
      <c r="B2583" s="3" t="str">
        <f>HYPERLINK("https://otsuka-europe-crm.veevavault.com/ui/#object/approved_document__v/V5OZ025E82TFUPI", "Spain - HCP Survey Email - June 2025")</f>
        <v>Spain - HCP Survey Email - June 2025</v>
      </c>
      <c r="C2583" s="3" t="str">
        <f>HYPERLINK("https://otsuka-europe-crm.veevavault.com/ui/#object/sent_email__v/VBLZ025E82GMZMC", "SE-000269686")</f>
        <v>SE-000269686</v>
      </c>
      <c r="D2583" s="1">
        <v>45915.748449074075</v>
      </c>
      <c r="E2583" s="2">
        <v>1</v>
      </c>
      <c r="F2583" s="2">
        <v>2</v>
      </c>
      <c r="G2583" s="2">
        <v>0</v>
      </c>
      <c r="H2583" s="1" t="s">
        <v>0</v>
      </c>
      <c r="I2583" s="2">
        <v>0</v>
      </c>
      <c r="J2583" s="1">
        <v>45915.378125000003</v>
      </c>
    </row>
    <row r="2584" spans="1:10" x14ac:dyDescent="0.2">
      <c r="A2584" s="4" t="s">
        <v>1</v>
      </c>
      <c r="B2584" s="3" t="str">
        <f>HYPERLINK("https://otsuka-europe-crm.veevavault.com/ui/#object/approved_document__v/V5OZ025E82TFUPI", "Spain - HCP Survey Email - June 2025")</f>
        <v>Spain - HCP Survey Email - June 2025</v>
      </c>
      <c r="C2584" s="3" t="str">
        <f>HYPERLINK("https://otsuka-europe-crm.veevavault.com/ui/#object/sent_email__v/VBLZ025E82GMZMD", "SE-000269687")</f>
        <v>SE-000269687</v>
      </c>
      <c r="D2584" s="1">
        <v>45915.688449074078</v>
      </c>
      <c r="E2584" s="2">
        <v>1</v>
      </c>
      <c r="F2584" s="2">
        <v>1</v>
      </c>
      <c r="G2584" s="2">
        <v>0</v>
      </c>
      <c r="H2584" s="1" t="s">
        <v>0</v>
      </c>
      <c r="I2584" s="2">
        <v>0</v>
      </c>
      <c r="J2584" s="1">
        <v>45915.378622685188</v>
      </c>
    </row>
    <row r="2585" spans="1:10" x14ac:dyDescent="0.2">
      <c r="A2585" s="4" t="s">
        <v>1</v>
      </c>
      <c r="B2585" s="3" t="str">
        <f>HYPERLINK("https://otsuka-europe-crm.veevavault.com/ui/#object/approved_document__v/V5OZ025E82TFUPI", "Spain - HCP Survey Email - June 2025")</f>
        <v>Spain - HCP Survey Email - June 2025</v>
      </c>
      <c r="C2585" s="3" t="str">
        <f>HYPERLINK("https://otsuka-europe-crm.veevavault.com/ui/#object/sent_email__v/VBLZ025E82GMZME", "SE-000269688")</f>
        <v>SE-000269688</v>
      </c>
      <c r="D2585" s="1" t="s">
        <v>0</v>
      </c>
      <c r="E2585" s="2">
        <v>0</v>
      </c>
      <c r="F2585" s="2">
        <v>0</v>
      </c>
      <c r="G2585" s="2">
        <v>0</v>
      </c>
      <c r="H2585" s="1" t="s">
        <v>0</v>
      </c>
      <c r="I2585" s="2">
        <v>0</v>
      </c>
      <c r="J2585" s="1">
        <v>45915.380023148151</v>
      </c>
    </row>
    <row r="2586" spans="1:10" x14ac:dyDescent="0.2">
      <c r="A2586" s="4" t="s">
        <v>1</v>
      </c>
      <c r="B2586" s="3" t="str">
        <f>HYPERLINK("https://otsuka-europe-crm.veevavault.com/ui/#object/approved_document__v/V5OZ025E82TFUPI", "Spain - HCP Survey Email - June 2025")</f>
        <v>Spain - HCP Survey Email - June 2025</v>
      </c>
      <c r="C2586" s="3" t="str">
        <f>HYPERLINK("https://otsuka-europe-crm.veevavault.com/ui/#object/sent_email__v/VBLZ025E82GMZMF", "SE-000269689")</f>
        <v>SE-000269689</v>
      </c>
      <c r="D2586" s="1" t="s">
        <v>0</v>
      </c>
      <c r="E2586" s="2">
        <v>0</v>
      </c>
      <c r="F2586" s="2">
        <v>0</v>
      </c>
      <c r="G2586" s="2">
        <v>0</v>
      </c>
      <c r="H2586" s="1" t="s">
        <v>0</v>
      </c>
      <c r="I2586" s="2">
        <v>0</v>
      </c>
      <c r="J2586" s="1">
        <v>45915.377708333333</v>
      </c>
    </row>
    <row r="2587" spans="1:10" x14ac:dyDescent="0.2">
      <c r="A2587" s="4" t="s">
        <v>1</v>
      </c>
      <c r="B2587" s="3" t="str">
        <f>HYPERLINK("https://otsuka-europe-crm.veevavault.com/ui/#object/approved_document__v/V5OZ025E82TFUPI", "Spain - HCP Survey Email - June 2025")</f>
        <v>Spain - HCP Survey Email - June 2025</v>
      </c>
      <c r="C2587" s="3" t="str">
        <f>HYPERLINK("https://otsuka-europe-crm.veevavault.com/ui/#object/sent_email__v/VBLZ025E82GMZMG", "SE-000269690")</f>
        <v>SE-000269690</v>
      </c>
      <c r="D2587" s="1" t="s">
        <v>0</v>
      </c>
      <c r="E2587" s="2">
        <v>0</v>
      </c>
      <c r="F2587" s="2">
        <v>0</v>
      </c>
      <c r="G2587" s="2">
        <v>0</v>
      </c>
      <c r="H2587" s="1" t="s">
        <v>0</v>
      </c>
      <c r="I2587" s="2">
        <v>0</v>
      </c>
      <c r="J2587" s="1">
        <v>45915.377546296295</v>
      </c>
    </row>
    <row r="2588" spans="1:10" x14ac:dyDescent="0.2">
      <c r="A2588" s="4" t="s">
        <v>1</v>
      </c>
      <c r="B2588" s="3" t="str">
        <f>HYPERLINK("https://otsuka-europe-crm.veevavault.com/ui/#object/approved_document__v/V5OZ025E82TFUPI", "Spain - HCP Survey Email - June 2025")</f>
        <v>Spain - HCP Survey Email - June 2025</v>
      </c>
      <c r="C2588" s="3" t="str">
        <f>HYPERLINK("https://otsuka-europe-crm.veevavault.com/ui/#object/sent_email__v/VBLZ025E82GMZMH", "SE-000269691")</f>
        <v>SE-000269691</v>
      </c>
      <c r="D2588" s="1">
        <v>45918.784895833334</v>
      </c>
      <c r="E2588" s="2">
        <v>1</v>
      </c>
      <c r="F2588" s="2">
        <v>2</v>
      </c>
      <c r="G2588" s="2">
        <v>0</v>
      </c>
      <c r="H2588" s="1" t="s">
        <v>0</v>
      </c>
      <c r="I2588" s="2">
        <v>0</v>
      </c>
      <c r="J2588" s="1">
        <v>45915.377916666665</v>
      </c>
    </row>
    <row r="2589" spans="1:10" x14ac:dyDescent="0.2">
      <c r="A2589" s="4" t="s">
        <v>1</v>
      </c>
      <c r="B2589" s="3" t="str">
        <f>HYPERLINK("https://otsuka-europe-crm.veevavault.com/ui/#object/approved_document__v/V5OZ025E82TFUPI", "Spain - HCP Survey Email - June 2025")</f>
        <v>Spain - HCP Survey Email - June 2025</v>
      </c>
      <c r="C2589" s="3" t="str">
        <f>HYPERLINK("https://otsuka-europe-crm.veevavault.com/ui/#object/sent_email__v/VBLZ025E82GMZMI", "SE-000269692")</f>
        <v>SE-000269692</v>
      </c>
      <c r="D2589" s="1" t="s">
        <v>0</v>
      </c>
      <c r="E2589" s="2">
        <v>0</v>
      </c>
      <c r="F2589" s="2">
        <v>0</v>
      </c>
      <c r="G2589" s="2">
        <v>0</v>
      </c>
      <c r="H2589" s="1" t="s">
        <v>0</v>
      </c>
      <c r="I2589" s="2">
        <v>0</v>
      </c>
      <c r="J2589" s="1">
        <v>45915.378912037035</v>
      </c>
    </row>
    <row r="2590" spans="1:10" x14ac:dyDescent="0.2">
      <c r="A2590" s="4" t="s">
        <v>1</v>
      </c>
      <c r="B2590" s="3" t="str">
        <f>HYPERLINK("https://otsuka-europe-crm.veevavault.com/ui/#object/approved_document__v/V5OZ025E82TFUPI", "Spain - HCP Survey Email - June 2025")</f>
        <v>Spain - HCP Survey Email - June 2025</v>
      </c>
      <c r="C2590" s="3" t="str">
        <f>HYPERLINK("https://otsuka-europe-crm.veevavault.com/ui/#object/sent_email__v/VBLZ025E82GMZMJ", "SE-000269693")</f>
        <v>SE-000269693</v>
      </c>
      <c r="D2590" s="1" t="s">
        <v>0</v>
      </c>
      <c r="E2590" s="2">
        <v>0</v>
      </c>
      <c r="F2590" s="2">
        <v>0</v>
      </c>
      <c r="G2590" s="2">
        <v>0</v>
      </c>
      <c r="H2590" s="1" t="s">
        <v>0</v>
      </c>
      <c r="I2590" s="2">
        <v>0</v>
      </c>
      <c r="J2590" s="1">
        <v>45915.379641203705</v>
      </c>
    </row>
    <row r="2591" spans="1:10" x14ac:dyDescent="0.2">
      <c r="A2591" s="4" t="s">
        <v>1</v>
      </c>
      <c r="B2591" s="3" t="str">
        <f>HYPERLINK("https://otsuka-europe-crm.veevavault.com/ui/#object/approved_document__v/V5OZ025E82TFUPI", "Spain - HCP Survey Email - June 2025")</f>
        <v>Spain - HCP Survey Email - June 2025</v>
      </c>
      <c r="C2591" s="3" t="str">
        <f>HYPERLINK("https://otsuka-europe-crm.veevavault.com/ui/#object/sent_email__v/VBLZ025E82GMZMK", "SE-000269694")</f>
        <v>SE-000269694</v>
      </c>
      <c r="D2591" s="1">
        <v>45919.779814814814</v>
      </c>
      <c r="E2591" s="2">
        <v>1</v>
      </c>
      <c r="F2591" s="2">
        <v>1</v>
      </c>
      <c r="G2591" s="2">
        <v>0</v>
      </c>
      <c r="H2591" s="1" t="s">
        <v>0</v>
      </c>
      <c r="I2591" s="2">
        <v>0</v>
      </c>
      <c r="J2591" s="1">
        <v>45915.379282407404</v>
      </c>
    </row>
    <row r="2592" spans="1:10" x14ac:dyDescent="0.2">
      <c r="A2592" s="4" t="s">
        <v>1</v>
      </c>
      <c r="B2592" s="3" t="str">
        <f>HYPERLINK("https://otsuka-europe-crm.veevavault.com/ui/#object/approved_document__v/V5OZ025E82TFUPI", "Spain - HCP Survey Email - June 2025")</f>
        <v>Spain - HCP Survey Email - June 2025</v>
      </c>
      <c r="C2592" s="3" t="str">
        <f>HYPERLINK("https://otsuka-europe-crm.veevavault.com/ui/#object/sent_email__v/VBLZ025E82GMZML", "SE-000269695")</f>
        <v>SE-000269695</v>
      </c>
      <c r="D2592" s="1" t="s">
        <v>0</v>
      </c>
      <c r="E2592" s="2">
        <v>0</v>
      </c>
      <c r="F2592" s="2">
        <v>0</v>
      </c>
      <c r="G2592" s="2">
        <v>0</v>
      </c>
      <c r="H2592" s="1" t="s">
        <v>0</v>
      </c>
      <c r="I2592" s="2">
        <v>0</v>
      </c>
      <c r="J2592" s="1">
        <v>45915.377430555556</v>
      </c>
    </row>
    <row r="2593" spans="1:10" x14ac:dyDescent="0.2">
      <c r="A2593" s="4" t="s">
        <v>1</v>
      </c>
      <c r="B2593" s="3" t="str">
        <f>HYPERLINK("https://otsuka-europe-crm.veevavault.com/ui/#object/approved_document__v/V5OZ025E82TFUPI", "Spain - HCP Survey Email - June 2025")</f>
        <v>Spain - HCP Survey Email - June 2025</v>
      </c>
      <c r="C2593" s="3" t="str">
        <f>HYPERLINK("https://otsuka-europe-crm.veevavault.com/ui/#object/sent_email__v/VBLZ025E82GMZMM", "SE-000269696")</f>
        <v>SE-000269696</v>
      </c>
      <c r="D2593" s="1" t="s">
        <v>0</v>
      </c>
      <c r="E2593" s="2">
        <v>0</v>
      </c>
      <c r="F2593" s="2">
        <v>0</v>
      </c>
      <c r="G2593" s="2">
        <v>0</v>
      </c>
      <c r="H2593" s="1" t="s">
        <v>0</v>
      </c>
      <c r="I2593" s="2">
        <v>0</v>
      </c>
      <c r="J2593" s="1">
        <v>45915.378425925926</v>
      </c>
    </row>
    <row r="2594" spans="1:10" x14ac:dyDescent="0.2">
      <c r="A2594" s="4" t="s">
        <v>1</v>
      </c>
      <c r="B2594" s="3" t="str">
        <f>HYPERLINK("https://otsuka-europe-crm.veevavault.com/ui/#object/approved_document__v/V5OZ025E82TFUPI", "Spain - HCP Survey Email - June 2025")</f>
        <v>Spain - HCP Survey Email - June 2025</v>
      </c>
      <c r="C2594" s="3" t="str">
        <f>HYPERLINK("https://otsuka-europe-crm.veevavault.com/ui/#object/sent_email__v/VBLZ025E82GMZMN", "SE-000269697")</f>
        <v>SE-000269697</v>
      </c>
      <c r="D2594" s="1">
        <v>45918.721666666665</v>
      </c>
      <c r="E2594" s="2">
        <v>1</v>
      </c>
      <c r="F2594" s="2">
        <v>1</v>
      </c>
      <c r="G2594" s="2">
        <v>0</v>
      </c>
      <c r="H2594" s="1" t="s">
        <v>0</v>
      </c>
      <c r="I2594" s="2">
        <v>0</v>
      </c>
      <c r="J2594" s="1">
        <v>45915.378171296295</v>
      </c>
    </row>
    <row r="2595" spans="1:10" x14ac:dyDescent="0.2">
      <c r="A2595" s="4" t="s">
        <v>1</v>
      </c>
      <c r="B2595" s="3" t="str">
        <f>HYPERLINK("https://otsuka-europe-crm.veevavault.com/ui/#object/approved_document__v/V5OZ025E82TFUPI", "Spain - HCP Survey Email - June 2025")</f>
        <v>Spain - HCP Survey Email - June 2025</v>
      </c>
      <c r="C2595" s="3" t="str">
        <f>HYPERLINK("https://otsuka-europe-crm.veevavault.com/ui/#object/sent_email__v/VBLZ025E82GMZMO", "SE-000269698")</f>
        <v>SE-000269698</v>
      </c>
      <c r="D2595" s="1">
        <v>45915.770231481481</v>
      </c>
      <c r="E2595" s="2">
        <v>1</v>
      </c>
      <c r="F2595" s="2">
        <v>1</v>
      </c>
      <c r="G2595" s="2">
        <v>0</v>
      </c>
      <c r="H2595" s="1" t="s">
        <v>0</v>
      </c>
      <c r="I2595" s="2">
        <v>0</v>
      </c>
      <c r="J2595" s="1">
        <v>45915.378645833334</v>
      </c>
    </row>
    <row r="2596" spans="1:10" x14ac:dyDescent="0.2">
      <c r="A2596" s="4" t="s">
        <v>1</v>
      </c>
      <c r="B2596" s="3" t="str">
        <f>HYPERLINK("https://otsuka-europe-crm.veevavault.com/ui/#object/approved_document__v/V5OZ025E82TFUPI", "Spain - HCP Survey Email - June 2025")</f>
        <v>Spain - HCP Survey Email - June 2025</v>
      </c>
      <c r="C2596" s="3" t="str">
        <f>HYPERLINK("https://otsuka-europe-crm.veevavault.com/ui/#object/sent_email__v/VBLZ025E82GMZMP", "SE-000269699")</f>
        <v>SE-000269699</v>
      </c>
      <c r="D2596" s="1">
        <v>45915.381504629629</v>
      </c>
      <c r="E2596" s="2">
        <v>1</v>
      </c>
      <c r="F2596" s="2">
        <v>1</v>
      </c>
      <c r="G2596" s="2">
        <v>0</v>
      </c>
      <c r="H2596" s="1" t="s">
        <v>0</v>
      </c>
      <c r="I2596" s="2">
        <v>0</v>
      </c>
      <c r="J2596" s="1">
        <v>45915.379988425928</v>
      </c>
    </row>
    <row r="2597" spans="1:10" x14ac:dyDescent="0.2">
      <c r="A2597" s="4" t="s">
        <v>1</v>
      </c>
      <c r="B2597" s="3" t="str">
        <f>HYPERLINK("https://otsuka-europe-crm.veevavault.com/ui/#object/approved_document__v/V5OZ025E82TFUPI", "Spain - HCP Survey Email - June 2025")</f>
        <v>Spain - HCP Survey Email - June 2025</v>
      </c>
      <c r="C2597" s="3" t="str">
        <f>HYPERLINK("https://otsuka-europe-crm.veevavault.com/ui/#object/sent_email__v/VBLZ025E82GMZMQ", "SE-000269700")</f>
        <v>SE-000269700</v>
      </c>
      <c r="D2597" s="1">
        <v>45915.377870370372</v>
      </c>
      <c r="E2597" s="2">
        <v>1</v>
      </c>
      <c r="F2597" s="2">
        <v>1</v>
      </c>
      <c r="G2597" s="2">
        <v>1</v>
      </c>
      <c r="H2597" s="1">
        <v>45915.378182870372</v>
      </c>
      <c r="I2597" s="2">
        <v>2</v>
      </c>
      <c r="J2597" s="1">
        <v>45915.377812500003</v>
      </c>
    </row>
    <row r="2598" spans="1:10" x14ac:dyDescent="0.2">
      <c r="A2598" s="4" t="s">
        <v>1</v>
      </c>
      <c r="B2598" s="3" t="str">
        <f>HYPERLINK("https://otsuka-europe-crm.veevavault.com/ui/#object/approved_document__v/V5OZ025E82TFUPI", "Spain - HCP Survey Email - June 2025")</f>
        <v>Spain - HCP Survey Email - June 2025</v>
      </c>
      <c r="C2598" s="3" t="str">
        <f>HYPERLINK("https://otsuka-europe-crm.veevavault.com/ui/#object/sent_email__v/VBLZ025E82GMZMR", "SE-000269701")</f>
        <v>SE-000269701</v>
      </c>
      <c r="D2598" s="1" t="s">
        <v>0</v>
      </c>
      <c r="E2598" s="2">
        <v>0</v>
      </c>
      <c r="F2598" s="2">
        <v>0</v>
      </c>
      <c r="G2598" s="2">
        <v>0</v>
      </c>
      <c r="H2598" s="1" t="s">
        <v>0</v>
      </c>
      <c r="I2598" s="2">
        <v>0</v>
      </c>
      <c r="J2598" s="1">
        <v>45915.377627314818</v>
      </c>
    </row>
    <row r="2599" spans="1:10" x14ac:dyDescent="0.2">
      <c r="A2599" s="4" t="s">
        <v>1</v>
      </c>
      <c r="B2599" s="3" t="str">
        <f>HYPERLINK("https://otsuka-europe-crm.veevavault.com/ui/#object/approved_document__v/V5OZ025E82TFUPI", "Spain - HCP Survey Email - June 2025")</f>
        <v>Spain - HCP Survey Email - June 2025</v>
      </c>
      <c r="C2599" s="3" t="str">
        <f>HYPERLINK("https://otsuka-europe-crm.veevavault.com/ui/#object/sent_email__v/VBLZ025E82GMZMS", "SE-000269702")</f>
        <v>SE-000269702</v>
      </c>
      <c r="D2599" s="1">
        <v>45915.715127314812</v>
      </c>
      <c r="E2599" s="2">
        <v>1</v>
      </c>
      <c r="F2599" s="2">
        <v>2</v>
      </c>
      <c r="G2599" s="2">
        <v>0</v>
      </c>
      <c r="H2599" s="1" t="s">
        <v>0</v>
      </c>
      <c r="I2599" s="2">
        <v>0</v>
      </c>
      <c r="J2599" s="1">
        <v>45915.377939814818</v>
      </c>
    </row>
    <row r="2600" spans="1:10" x14ac:dyDescent="0.2">
      <c r="A2600" s="4" t="s">
        <v>1</v>
      </c>
      <c r="B2600" s="3" t="str">
        <f>HYPERLINK("https://otsuka-europe-crm.veevavault.com/ui/#object/approved_document__v/V5OZ025E82TFUPI", "Spain - HCP Survey Email - June 2025")</f>
        <v>Spain - HCP Survey Email - June 2025</v>
      </c>
      <c r="C2600" s="3" t="str">
        <f>HYPERLINK("https://otsuka-europe-crm.veevavault.com/ui/#object/sent_email__v/VBLZ025E82GMZMT", "SE-000269703")</f>
        <v>SE-000269703</v>
      </c>
      <c r="D2600" s="1" t="s">
        <v>0</v>
      </c>
      <c r="E2600" s="2">
        <v>0</v>
      </c>
      <c r="F2600" s="2">
        <v>0</v>
      </c>
      <c r="G2600" s="2">
        <v>0</v>
      </c>
      <c r="H2600" s="1" t="s">
        <v>0</v>
      </c>
      <c r="I2600" s="2">
        <v>0</v>
      </c>
      <c r="J2600" s="1">
        <v>45915.378993055558</v>
      </c>
    </row>
    <row r="2601" spans="1:10" x14ac:dyDescent="0.2">
      <c r="A2601" s="4" t="s">
        <v>1</v>
      </c>
      <c r="B2601" s="3" t="str">
        <f>HYPERLINK("https://otsuka-europe-crm.veevavault.com/ui/#object/approved_document__v/V5OZ025E82TFUPI", "Spain - HCP Survey Email - June 2025")</f>
        <v>Spain - HCP Survey Email - June 2025</v>
      </c>
      <c r="C2601" s="3" t="str">
        <f>HYPERLINK("https://otsuka-europe-crm.veevavault.com/ui/#object/sent_email__v/VBLZ025E82GMZMU", "SE-000269704")</f>
        <v>SE-000269704</v>
      </c>
      <c r="D2601" s="1" t="s">
        <v>0</v>
      </c>
      <c r="E2601" s="2">
        <v>0</v>
      </c>
      <c r="F2601" s="2">
        <v>0</v>
      </c>
      <c r="G2601" s="2">
        <v>0</v>
      </c>
      <c r="H2601" s="1" t="s">
        <v>0</v>
      </c>
      <c r="I2601" s="2">
        <v>0</v>
      </c>
      <c r="J2601" s="1">
        <v>45915.379525462966</v>
      </c>
    </row>
    <row r="2602" spans="1:10" x14ac:dyDescent="0.2">
      <c r="A2602" s="4" t="s">
        <v>1</v>
      </c>
      <c r="B2602" s="3" t="str">
        <f>HYPERLINK("https://otsuka-europe-crm.veevavault.com/ui/#object/approved_document__v/V5OZ025E82TFUPI", "Spain - HCP Survey Email - June 2025")</f>
        <v>Spain - HCP Survey Email - June 2025</v>
      </c>
      <c r="C2602" s="3" t="str">
        <f>HYPERLINK("https://otsuka-europe-crm.veevavault.com/ui/#object/sent_email__v/VBLZ025E82GMZMW", "SE-000269706")</f>
        <v>SE-000269706</v>
      </c>
      <c r="D2602" s="1">
        <v>45915.928761574076</v>
      </c>
      <c r="E2602" s="2">
        <v>1</v>
      </c>
      <c r="F2602" s="2">
        <v>1</v>
      </c>
      <c r="G2602" s="2">
        <v>0</v>
      </c>
      <c r="H2602" s="1" t="s">
        <v>0</v>
      </c>
      <c r="I2602" s="2">
        <v>0</v>
      </c>
      <c r="J2602" s="1">
        <v>45915.378009259257</v>
      </c>
    </row>
    <row r="2603" spans="1:10" x14ac:dyDescent="0.2">
      <c r="A2603" s="4" t="s">
        <v>1</v>
      </c>
      <c r="B2603" s="3" t="str">
        <f>HYPERLINK("https://otsuka-europe-crm.veevavault.com/ui/#object/approved_document__v/V5OZ025E82TFUPI", "Spain - HCP Survey Email - June 2025")</f>
        <v>Spain - HCP Survey Email - June 2025</v>
      </c>
      <c r="C2603" s="3" t="str">
        <f>HYPERLINK("https://otsuka-europe-crm.veevavault.com/ui/#object/sent_email__v/VBLZ025E82GMZMX", "SE-000269707")</f>
        <v>SE-000269707</v>
      </c>
      <c r="D2603" s="1" t="s">
        <v>0</v>
      </c>
      <c r="E2603" s="2">
        <v>0</v>
      </c>
      <c r="F2603" s="2">
        <v>0</v>
      </c>
      <c r="G2603" s="2">
        <v>0</v>
      </c>
      <c r="H2603" s="1" t="s">
        <v>0</v>
      </c>
      <c r="I2603" s="2">
        <v>0</v>
      </c>
      <c r="J2603" s="1">
        <v>45915.379027777781</v>
      </c>
    </row>
    <row r="2604" spans="1:10" x14ac:dyDescent="0.2">
      <c r="A2604" s="4" t="s">
        <v>1</v>
      </c>
      <c r="B2604" s="3" t="str">
        <f>HYPERLINK("https://otsuka-europe-crm.veevavault.com/ui/#object/approved_document__v/V5OZ025E82TFUPI", "Spain - HCP Survey Email - June 2025")</f>
        <v>Spain - HCP Survey Email - June 2025</v>
      </c>
      <c r="C2604" s="3" t="str">
        <f>HYPERLINK("https://otsuka-europe-crm.veevavault.com/ui/#object/sent_email__v/VBLZ025E82GMZMY", "SE-000269708")</f>
        <v>SE-000269708</v>
      </c>
      <c r="D2604" s="1" t="s">
        <v>0</v>
      </c>
      <c r="E2604" s="2">
        <v>0</v>
      </c>
      <c r="F2604" s="2">
        <v>0</v>
      </c>
      <c r="G2604" s="2">
        <v>0</v>
      </c>
      <c r="H2604" s="1" t="s">
        <v>0</v>
      </c>
      <c r="I2604" s="2">
        <v>0</v>
      </c>
      <c r="J2604" s="1">
        <v>45915.379571759258</v>
      </c>
    </row>
    <row r="2605" spans="1:10" x14ac:dyDescent="0.2">
      <c r="A2605" s="4" t="s">
        <v>1</v>
      </c>
      <c r="B2605" s="3" t="str">
        <f>HYPERLINK("https://otsuka-europe-crm.veevavault.com/ui/#object/approved_document__v/V5OZ025E82TFUPI", "Spain - HCP Survey Email - June 2025")</f>
        <v>Spain - HCP Survey Email - June 2025</v>
      </c>
      <c r="C2605" s="3" t="str">
        <f>HYPERLINK("https://otsuka-europe-crm.veevavault.com/ui/#object/sent_email__v/VBLZ025E82GMZMZ", "SE-000269709")</f>
        <v>SE-000269709</v>
      </c>
      <c r="D2605" s="1" t="s">
        <v>0</v>
      </c>
      <c r="E2605" s="2">
        <v>0</v>
      </c>
      <c r="F2605" s="2">
        <v>0</v>
      </c>
      <c r="G2605" s="2">
        <v>0</v>
      </c>
      <c r="H2605" s="1" t="s">
        <v>0</v>
      </c>
      <c r="I2605" s="2">
        <v>0</v>
      </c>
      <c r="J2605" s="1">
        <v>45915.379293981481</v>
      </c>
    </row>
    <row r="2606" spans="1:10" x14ac:dyDescent="0.2">
      <c r="A2606" s="4" t="s">
        <v>1</v>
      </c>
      <c r="B2606" s="3" t="str">
        <f>HYPERLINK("https://otsuka-europe-crm.veevavault.com/ui/#object/approved_document__v/V5OZ025E82TFUPI", "Spain - HCP Survey Email - June 2025")</f>
        <v>Spain - HCP Survey Email - June 2025</v>
      </c>
      <c r="C2606" s="3" t="str">
        <f>HYPERLINK("https://otsuka-europe-crm.veevavault.com/ui/#object/sent_email__v/VBLZ025E82GMZN0", "SE-000269710")</f>
        <v>SE-000269710</v>
      </c>
      <c r="D2606" s="1">
        <v>45915.394895833335</v>
      </c>
      <c r="E2606" s="2">
        <v>1</v>
      </c>
      <c r="F2606" s="2">
        <v>1</v>
      </c>
      <c r="G2606" s="2">
        <v>0</v>
      </c>
      <c r="H2606" s="1" t="s">
        <v>0</v>
      </c>
      <c r="I2606" s="2">
        <v>0</v>
      </c>
      <c r="J2606" s="1">
        <v>45915.377430555556</v>
      </c>
    </row>
    <row r="2607" spans="1:10" x14ac:dyDescent="0.2">
      <c r="A2607" s="4" t="s">
        <v>1</v>
      </c>
      <c r="B2607" s="3" t="str">
        <f>HYPERLINK("https://otsuka-europe-crm.veevavault.com/ui/#object/approved_document__v/V5OZ025E82TFUPI", "Spain - HCP Survey Email - June 2025")</f>
        <v>Spain - HCP Survey Email - June 2025</v>
      </c>
      <c r="C2607" s="3" t="str">
        <f>HYPERLINK("https://otsuka-europe-crm.veevavault.com/ui/#object/sent_email__v/VBLZ025E82GMZN1", "SE-000269711")</f>
        <v>SE-000269711</v>
      </c>
      <c r="D2607" s="1" t="s">
        <v>0</v>
      </c>
      <c r="E2607" s="2">
        <v>0</v>
      </c>
      <c r="F2607" s="2">
        <v>0</v>
      </c>
      <c r="G2607" s="2">
        <v>0</v>
      </c>
      <c r="H2607" s="1" t="s">
        <v>0</v>
      </c>
      <c r="I2607" s="2">
        <v>0</v>
      </c>
      <c r="J2607" s="1">
        <v>45915.378263888888</v>
      </c>
    </row>
    <row r="2608" spans="1:10" x14ac:dyDescent="0.2">
      <c r="A2608" s="4" t="s">
        <v>1</v>
      </c>
      <c r="B2608" s="3" t="str">
        <f>HYPERLINK("https://otsuka-europe-crm.veevavault.com/ui/#object/approved_document__v/V5OZ025E82TFUPI", "Spain - HCP Survey Email - June 2025")</f>
        <v>Spain - HCP Survey Email - June 2025</v>
      </c>
      <c r="C2608" s="3" t="str">
        <f>HYPERLINK("https://otsuka-europe-crm.veevavault.com/ui/#object/sent_email__v/VBLZ025E82GMZN2", "SE-000269712")</f>
        <v>SE-000269712</v>
      </c>
      <c r="D2608" s="1" t="s">
        <v>0</v>
      </c>
      <c r="E2608" s="2">
        <v>0</v>
      </c>
      <c r="F2608" s="2">
        <v>0</v>
      </c>
      <c r="G2608" s="2">
        <v>0</v>
      </c>
      <c r="H2608" s="1" t="s">
        <v>0</v>
      </c>
      <c r="I2608" s="2">
        <v>0</v>
      </c>
      <c r="J2608" s="1">
        <v>45915.378148148149</v>
      </c>
    </row>
    <row r="2609" spans="1:10" x14ac:dyDescent="0.2">
      <c r="A2609" s="4" t="s">
        <v>1</v>
      </c>
      <c r="B2609" s="3" t="str">
        <f>HYPERLINK("https://otsuka-europe-crm.veevavault.com/ui/#object/approved_document__v/V5OZ025E82TFUPI", "Spain - HCP Survey Email - June 2025")</f>
        <v>Spain - HCP Survey Email - June 2025</v>
      </c>
      <c r="C2609" s="3" t="str">
        <f>HYPERLINK("https://otsuka-europe-crm.veevavault.com/ui/#object/sent_email__v/VBLZ025E82GMZN3", "SE-000269713")</f>
        <v>SE-000269713</v>
      </c>
      <c r="D2609" s="1" t="s">
        <v>0</v>
      </c>
      <c r="E2609" s="2">
        <v>0</v>
      </c>
      <c r="F2609" s="2">
        <v>0</v>
      </c>
      <c r="G2609" s="2">
        <v>0</v>
      </c>
      <c r="H2609" s="1" t="s">
        <v>0</v>
      </c>
      <c r="I2609" s="2">
        <v>0</v>
      </c>
      <c r="J2609" s="1">
        <v>45915.378622685188</v>
      </c>
    </row>
    <row r="2610" spans="1:10" x14ac:dyDescent="0.2">
      <c r="A2610" s="4" t="s">
        <v>1</v>
      </c>
      <c r="B2610" s="3" t="str">
        <f>HYPERLINK("https://otsuka-europe-crm.veevavault.com/ui/#object/approved_document__v/V5OZ025E82TFUPI", "Spain - HCP Survey Email - June 2025")</f>
        <v>Spain - HCP Survey Email - June 2025</v>
      </c>
      <c r="C2610" s="3" t="str">
        <f>HYPERLINK("https://otsuka-europe-crm.veevavault.com/ui/#object/sent_email__v/VBLZ025E82GMZN4", "SE-000269714")</f>
        <v>SE-000269714</v>
      </c>
      <c r="D2610" s="1">
        <v>45930.694699074076</v>
      </c>
      <c r="E2610" s="2">
        <v>1</v>
      </c>
      <c r="F2610" s="2">
        <v>4</v>
      </c>
      <c r="G2610" s="2">
        <v>0</v>
      </c>
      <c r="H2610" s="1" t="s">
        <v>0</v>
      </c>
      <c r="I2610" s="2">
        <v>0</v>
      </c>
      <c r="J2610" s="1">
        <v>45915.379942129628</v>
      </c>
    </row>
    <row r="2611" spans="1:10" x14ac:dyDescent="0.2">
      <c r="A2611" s="4" t="s">
        <v>1</v>
      </c>
      <c r="B2611" s="3" t="str">
        <f>HYPERLINK("https://otsuka-europe-crm.veevavault.com/ui/#object/approved_document__v/V5OZ025E82TFUPI", "Spain - HCP Survey Email - June 2025")</f>
        <v>Spain - HCP Survey Email - June 2025</v>
      </c>
      <c r="C2611" s="3" t="str">
        <f>HYPERLINK("https://otsuka-europe-crm.veevavault.com/ui/#object/sent_email__v/VBLZ025E82GMZN5", "SE-000269715")</f>
        <v>SE-000269715</v>
      </c>
      <c r="D2611" s="1" t="s">
        <v>0</v>
      </c>
      <c r="E2611" s="2">
        <v>0</v>
      </c>
      <c r="F2611" s="2">
        <v>0</v>
      </c>
      <c r="G2611" s="2">
        <v>0</v>
      </c>
      <c r="H2611" s="1" t="s">
        <v>0</v>
      </c>
      <c r="I2611" s="2">
        <v>0</v>
      </c>
      <c r="J2611" s="1">
        <v>45915.37773148148</v>
      </c>
    </row>
    <row r="2612" spans="1:10" x14ac:dyDescent="0.2">
      <c r="A2612" s="4" t="s">
        <v>1</v>
      </c>
      <c r="B2612" s="3" t="str">
        <f>HYPERLINK("https://otsuka-europe-crm.veevavault.com/ui/#object/approved_document__v/V5OZ025E82TFUPI", "Spain - HCP Survey Email - June 2025")</f>
        <v>Spain - HCP Survey Email - June 2025</v>
      </c>
      <c r="C2612" s="3" t="str">
        <f>HYPERLINK("https://otsuka-europe-crm.veevavault.com/ui/#object/sent_email__v/VBLZ025E82GMZN6", "SE-000269716")</f>
        <v>SE-000269716</v>
      </c>
      <c r="D2612" s="1">
        <v>45915.390347222223</v>
      </c>
      <c r="E2612" s="2">
        <v>1</v>
      </c>
      <c r="F2612" s="2">
        <v>1</v>
      </c>
      <c r="G2612" s="2">
        <v>0</v>
      </c>
      <c r="H2612" s="1" t="s">
        <v>0</v>
      </c>
      <c r="I2612" s="2">
        <v>0</v>
      </c>
      <c r="J2612" s="1">
        <v>45915.377581018518</v>
      </c>
    </row>
    <row r="2613" spans="1:10" x14ac:dyDescent="0.2">
      <c r="A2613" s="4" t="s">
        <v>1</v>
      </c>
      <c r="B2613" s="3" t="str">
        <f>HYPERLINK("https://otsuka-europe-crm.veevavault.com/ui/#object/approved_document__v/V5OZ025E82TFUPI", "Spain - HCP Survey Email - June 2025")</f>
        <v>Spain - HCP Survey Email - June 2025</v>
      </c>
      <c r="C2613" s="3" t="str">
        <f>HYPERLINK("https://otsuka-europe-crm.veevavault.com/ui/#object/sent_email__v/VBLZ025E82GMZN7", "SE-000269717")</f>
        <v>SE-000269717</v>
      </c>
      <c r="D2613" s="1">
        <v>45916.687696759262</v>
      </c>
      <c r="E2613" s="2">
        <v>1</v>
      </c>
      <c r="F2613" s="2">
        <v>1</v>
      </c>
      <c r="G2613" s="2">
        <v>0</v>
      </c>
      <c r="H2613" s="1" t="s">
        <v>0</v>
      </c>
      <c r="I2613" s="2">
        <v>0</v>
      </c>
      <c r="J2613" s="1">
        <v>45915.377916666665</v>
      </c>
    </row>
    <row r="2614" spans="1:10" x14ac:dyDescent="0.2">
      <c r="A2614" s="4" t="s">
        <v>1</v>
      </c>
      <c r="B2614" s="3" t="str">
        <f>HYPERLINK("https://otsuka-europe-crm.veevavault.com/ui/#object/approved_document__v/V5OZ025E82TFUPI", "Spain - HCP Survey Email - June 2025")</f>
        <v>Spain - HCP Survey Email - June 2025</v>
      </c>
      <c r="C2614" s="3" t="str">
        <f>HYPERLINK("https://otsuka-europe-crm.veevavault.com/ui/#object/sent_email__v/VBLZ025E82GMZN8", "SE-000269718")</f>
        <v>SE-000269718</v>
      </c>
      <c r="D2614" s="1" t="s">
        <v>0</v>
      </c>
      <c r="E2614" s="2">
        <v>0</v>
      </c>
      <c r="F2614" s="2">
        <v>0</v>
      </c>
      <c r="G2614" s="2">
        <v>0</v>
      </c>
      <c r="H2614" s="1" t="s">
        <v>0</v>
      </c>
      <c r="I2614" s="2">
        <v>0</v>
      </c>
      <c r="J2614" s="1">
        <v>45915.378969907404</v>
      </c>
    </row>
    <row r="2615" spans="1:10" x14ac:dyDescent="0.2">
      <c r="A2615" s="4" t="s">
        <v>1</v>
      </c>
      <c r="B2615" s="3" t="str">
        <f>HYPERLINK("https://otsuka-europe-crm.veevavault.com/ui/#object/approved_document__v/V5OZ025E82TFUPI", "Spain - HCP Survey Email - June 2025")</f>
        <v>Spain - HCP Survey Email - June 2025</v>
      </c>
      <c r="C2615" s="3" t="str">
        <f>HYPERLINK("https://otsuka-europe-crm.veevavault.com/ui/#object/sent_email__v/VBLZ025E82GMZN9", "SE-000269719")</f>
        <v>SE-000269719</v>
      </c>
      <c r="D2615" s="1" t="s">
        <v>0</v>
      </c>
      <c r="E2615" s="2">
        <v>0</v>
      </c>
      <c r="F2615" s="2">
        <v>0</v>
      </c>
      <c r="G2615" s="2">
        <v>0</v>
      </c>
      <c r="H2615" s="1" t="s">
        <v>0</v>
      </c>
      <c r="I2615" s="2">
        <v>0</v>
      </c>
      <c r="J2615" s="1">
        <v>45915.379594907405</v>
      </c>
    </row>
    <row r="2616" spans="1:10" x14ac:dyDescent="0.2">
      <c r="A2616" s="4" t="s">
        <v>1</v>
      </c>
      <c r="B2616" s="3" t="str">
        <f>HYPERLINK("https://otsuka-europe-crm.veevavault.com/ui/#object/approved_document__v/V5OZ025E82TFUPI", "Spain - HCP Survey Email - June 2025")</f>
        <v>Spain - HCP Survey Email - June 2025</v>
      </c>
      <c r="C2616" s="3" t="str">
        <f>HYPERLINK("https://otsuka-europe-crm.veevavault.com/ui/#object/sent_email__v/VBLZ025E82GMZNA", "SE-000269720")</f>
        <v>SE-000269720</v>
      </c>
      <c r="D2616" s="1" t="s">
        <v>0</v>
      </c>
      <c r="E2616" s="2">
        <v>0</v>
      </c>
      <c r="F2616" s="2">
        <v>0</v>
      </c>
      <c r="G2616" s="2">
        <v>0</v>
      </c>
      <c r="H2616" s="1" t="s">
        <v>0</v>
      </c>
      <c r="I2616" s="2">
        <v>0</v>
      </c>
      <c r="J2616" s="1">
        <v>45915.379328703704</v>
      </c>
    </row>
    <row r="2617" spans="1:10" x14ac:dyDescent="0.2">
      <c r="A2617" s="4" t="s">
        <v>1</v>
      </c>
      <c r="B2617" s="3" t="str">
        <f>HYPERLINK("https://otsuka-europe-crm.veevavault.com/ui/#object/approved_document__v/V5OZ025E82TFUPI", "Spain - HCP Survey Email - June 2025")</f>
        <v>Spain - HCP Survey Email - June 2025</v>
      </c>
      <c r="C2617" s="3" t="str">
        <f>HYPERLINK("https://otsuka-europe-crm.veevavault.com/ui/#object/sent_email__v/VBLZ025E82GMZNB", "SE-000269721")</f>
        <v>SE-000269721</v>
      </c>
      <c r="D2617" s="1" t="s">
        <v>0</v>
      </c>
      <c r="E2617" s="2">
        <v>0</v>
      </c>
      <c r="F2617" s="2">
        <v>0</v>
      </c>
      <c r="G2617" s="2">
        <v>0</v>
      </c>
      <c r="H2617" s="1" t="s">
        <v>0</v>
      </c>
      <c r="I2617" s="2">
        <v>0</v>
      </c>
      <c r="J2617" s="1">
        <v>45915.377442129633</v>
      </c>
    </row>
    <row r="2618" spans="1:10" x14ac:dyDescent="0.2">
      <c r="A2618" s="4" t="s">
        <v>1</v>
      </c>
      <c r="B2618" s="3" t="str">
        <f>HYPERLINK("https://otsuka-europe-crm.veevavault.com/ui/#object/approved_document__v/V5OZ025E82TFUPI", "Spain - HCP Survey Email - June 2025")</f>
        <v>Spain - HCP Survey Email - June 2025</v>
      </c>
      <c r="C2618" s="3" t="str">
        <f>HYPERLINK("https://otsuka-europe-crm.veevavault.com/ui/#object/sent_email__v/VBLZ025E82GMZNC", "SE-000269722")</f>
        <v>SE-000269722</v>
      </c>
      <c r="D2618" s="1">
        <v>45915.524074074077</v>
      </c>
      <c r="E2618" s="2">
        <v>1</v>
      </c>
      <c r="F2618" s="2">
        <v>1</v>
      </c>
      <c r="G2618" s="2">
        <v>0</v>
      </c>
      <c r="H2618" s="1" t="s">
        <v>0</v>
      </c>
      <c r="I2618" s="2">
        <v>0</v>
      </c>
      <c r="J2618" s="1">
        <v>45915.378321759257</v>
      </c>
    </row>
    <row r="2619" spans="1:10" x14ac:dyDescent="0.2">
      <c r="A2619" s="4" t="s">
        <v>1</v>
      </c>
      <c r="B2619" s="3" t="str">
        <f>HYPERLINK("https://otsuka-europe-crm.veevavault.com/ui/#object/approved_document__v/V5OZ025E82TFUPI", "Spain - HCP Survey Email - June 2025")</f>
        <v>Spain - HCP Survey Email - June 2025</v>
      </c>
      <c r="C2619" s="3" t="str">
        <f>HYPERLINK("https://otsuka-europe-crm.veevavault.com/ui/#object/sent_email__v/VBLZ025E82GMZND", "SE-000269723")</f>
        <v>SE-000269723</v>
      </c>
      <c r="D2619" s="1">
        <v>45915.519062500003</v>
      </c>
      <c r="E2619" s="2">
        <v>1</v>
      </c>
      <c r="F2619" s="2">
        <v>1</v>
      </c>
      <c r="G2619" s="2">
        <v>1</v>
      </c>
      <c r="H2619" s="1">
        <v>45915.519224537034</v>
      </c>
      <c r="I2619" s="2">
        <v>1</v>
      </c>
      <c r="J2619" s="1">
        <v>45915.378067129626</v>
      </c>
    </row>
    <row r="2620" spans="1:10" x14ac:dyDescent="0.2">
      <c r="A2620" s="4" t="s">
        <v>1</v>
      </c>
      <c r="B2620" s="3" t="str">
        <f>HYPERLINK("https://otsuka-europe-crm.veevavault.com/ui/#object/approved_document__v/V5OZ025E82TFUPI", "Spain - HCP Survey Email - June 2025")</f>
        <v>Spain - HCP Survey Email - June 2025</v>
      </c>
      <c r="C2620" s="3" t="str">
        <f>HYPERLINK("https://otsuka-europe-crm.veevavault.com/ui/#object/sent_email__v/VBLZ025E82GMZNE", "SE-000269724")</f>
        <v>SE-000269724</v>
      </c>
      <c r="D2620" s="1" t="s">
        <v>0</v>
      </c>
      <c r="E2620" s="2">
        <v>0</v>
      </c>
      <c r="F2620" s="2">
        <v>0</v>
      </c>
      <c r="G2620" s="2">
        <v>0</v>
      </c>
      <c r="H2620" s="1" t="s">
        <v>0</v>
      </c>
      <c r="I2620" s="2">
        <v>0</v>
      </c>
      <c r="J2620" s="1">
        <v>45915.378564814811</v>
      </c>
    </row>
    <row r="2621" spans="1:10" x14ac:dyDescent="0.2">
      <c r="A2621" s="4" t="s">
        <v>1</v>
      </c>
      <c r="B2621" s="3" t="str">
        <f>HYPERLINK("https://otsuka-europe-crm.veevavault.com/ui/#object/approved_document__v/V5OZ025E82TFUPI", "Spain - HCP Survey Email - June 2025")</f>
        <v>Spain - HCP Survey Email - June 2025</v>
      </c>
      <c r="C2621" s="3" t="str">
        <f>HYPERLINK("https://otsuka-europe-crm.veevavault.com/ui/#object/sent_email__v/VBLZ025E82GMZNF", "SE-000269725")</f>
        <v>SE-000269725</v>
      </c>
      <c r="D2621" s="1">
        <v>45915.614942129629</v>
      </c>
      <c r="E2621" s="2">
        <v>1</v>
      </c>
      <c r="F2621" s="2">
        <v>2</v>
      </c>
      <c r="G2621" s="2">
        <v>0</v>
      </c>
      <c r="H2621" s="1" t="s">
        <v>0</v>
      </c>
      <c r="I2621" s="2">
        <v>0</v>
      </c>
      <c r="J2621" s="1">
        <v>45915.380011574074</v>
      </c>
    </row>
    <row r="2622" spans="1:10" x14ac:dyDescent="0.2">
      <c r="A2622" s="4" t="s">
        <v>1</v>
      </c>
      <c r="B2622" s="3" t="str">
        <f>HYPERLINK("https://otsuka-europe-crm.veevavault.com/ui/#object/approved_document__v/V5OZ025E82TFUPI", "Spain - HCP Survey Email - June 2025")</f>
        <v>Spain - HCP Survey Email - June 2025</v>
      </c>
      <c r="C2622" s="3" t="str">
        <f>HYPERLINK("https://otsuka-europe-crm.veevavault.com/ui/#object/sent_email__v/VBLZ025E82GMZNG", "SE-000269726")</f>
        <v>SE-000269726</v>
      </c>
      <c r="D2622" s="1" t="s">
        <v>0</v>
      </c>
      <c r="E2622" s="2">
        <v>0</v>
      </c>
      <c r="F2622" s="2">
        <v>0</v>
      </c>
      <c r="G2622" s="2">
        <v>0</v>
      </c>
      <c r="H2622" s="1" t="s">
        <v>0</v>
      </c>
      <c r="I2622" s="2">
        <v>0</v>
      </c>
      <c r="J2622" s="1">
        <v>45915.377812500003</v>
      </c>
    </row>
    <row r="2623" spans="1:10" x14ac:dyDescent="0.2">
      <c r="A2623" s="4" t="s">
        <v>1</v>
      </c>
      <c r="B2623" s="3" t="str">
        <f>HYPERLINK("https://otsuka-europe-crm.veevavault.com/ui/#object/approved_document__v/V5OZ025E82TFUPI", "Spain - HCP Survey Email - June 2025")</f>
        <v>Spain - HCP Survey Email - June 2025</v>
      </c>
      <c r="C2623" s="3" t="str">
        <f>HYPERLINK("https://otsuka-europe-crm.veevavault.com/ui/#object/sent_email__v/VBLZ025E82GMZNH", "SE-000269727")</f>
        <v>SE-000269727</v>
      </c>
      <c r="D2623" s="1" t="s">
        <v>0</v>
      </c>
      <c r="E2623" s="2">
        <v>0</v>
      </c>
      <c r="F2623" s="2">
        <v>0</v>
      </c>
      <c r="G2623" s="2">
        <v>0</v>
      </c>
      <c r="H2623" s="1" t="s">
        <v>0</v>
      </c>
      <c r="I2623" s="2">
        <v>0</v>
      </c>
      <c r="J2623" s="1">
        <v>45915.377592592595</v>
      </c>
    </row>
    <row r="2624" spans="1:10" x14ac:dyDescent="0.2">
      <c r="A2624" s="4" t="s">
        <v>1</v>
      </c>
      <c r="B2624" s="3" t="str">
        <f>HYPERLINK("https://otsuka-europe-crm.veevavault.com/ui/#object/approved_document__v/V5OZ025E82TFUPI", "Spain - HCP Survey Email - June 2025")</f>
        <v>Spain - HCP Survey Email - June 2025</v>
      </c>
      <c r="C2624" s="3" t="str">
        <f>HYPERLINK("https://otsuka-europe-crm.veevavault.com/ui/#object/sent_email__v/VBLZ025E82GMZNI", "SE-000269728")</f>
        <v>SE-000269728</v>
      </c>
      <c r="D2624" s="1" t="s">
        <v>0</v>
      </c>
      <c r="E2624" s="2">
        <v>0</v>
      </c>
      <c r="F2624" s="2">
        <v>0</v>
      </c>
      <c r="G2624" s="2">
        <v>0</v>
      </c>
      <c r="H2624" s="1" t="s">
        <v>0</v>
      </c>
      <c r="I2624" s="2">
        <v>0</v>
      </c>
      <c r="J2624" s="1">
        <v>45915.377951388888</v>
      </c>
    </row>
    <row r="2625" spans="1:10" x14ac:dyDescent="0.2">
      <c r="A2625" s="4" t="s">
        <v>1</v>
      </c>
      <c r="B2625" s="3" t="str">
        <f>HYPERLINK("https://otsuka-europe-crm.veevavault.com/ui/#object/approved_document__v/V5OZ025E82TFUPI", "Spain - HCP Survey Email - June 2025")</f>
        <v>Spain - HCP Survey Email - June 2025</v>
      </c>
      <c r="C2625" s="3" t="str">
        <f>HYPERLINK("https://otsuka-europe-crm.veevavault.com/ui/#object/sent_email__v/VBLZ025E82GMZNJ", "SE-000269729")</f>
        <v>SE-000269729</v>
      </c>
      <c r="D2625" s="1" t="s">
        <v>0</v>
      </c>
      <c r="E2625" s="2">
        <v>0</v>
      </c>
      <c r="F2625" s="2">
        <v>0</v>
      </c>
      <c r="G2625" s="2">
        <v>0</v>
      </c>
      <c r="H2625" s="1" t="s">
        <v>0</v>
      </c>
      <c r="I2625" s="2">
        <v>0</v>
      </c>
      <c r="J2625" s="1">
        <v>45915.378981481481</v>
      </c>
    </row>
    <row r="2626" spans="1:10" x14ac:dyDescent="0.2">
      <c r="A2626" s="4" t="s">
        <v>1</v>
      </c>
      <c r="B2626" s="3" t="str">
        <f>HYPERLINK("https://otsuka-europe-crm.veevavault.com/ui/#object/approved_document__v/V5OZ025E82TFUPI", "Spain - HCP Survey Email - June 2025")</f>
        <v>Spain - HCP Survey Email - June 2025</v>
      </c>
      <c r="C2626" s="3" t="str">
        <f>HYPERLINK("https://otsuka-europe-crm.veevavault.com/ui/#object/sent_email__v/VBLZ025E82GMZNK", "SE-000269730")</f>
        <v>SE-000269730</v>
      </c>
      <c r="D2626" s="1" t="s">
        <v>0</v>
      </c>
      <c r="E2626" s="2">
        <v>0</v>
      </c>
      <c r="F2626" s="2">
        <v>0</v>
      </c>
      <c r="G2626" s="2">
        <v>0</v>
      </c>
      <c r="H2626" s="1" t="s">
        <v>0</v>
      </c>
      <c r="I2626" s="2">
        <v>0</v>
      </c>
      <c r="J2626" s="1">
        <v>45915.379502314812</v>
      </c>
    </row>
    <row r="2627" spans="1:10" x14ac:dyDescent="0.2">
      <c r="A2627" s="4" t="s">
        <v>1</v>
      </c>
      <c r="B2627" s="3" t="str">
        <f>HYPERLINK("https://otsuka-europe-crm.veevavault.com/ui/#object/approved_document__v/V5OZ025E82TFUPI", "Spain - HCP Survey Email - June 2025")</f>
        <v>Spain - HCP Survey Email - June 2025</v>
      </c>
      <c r="C2627" s="3" t="str">
        <f>HYPERLINK("https://otsuka-europe-crm.veevavault.com/ui/#object/sent_email__v/VBLZ025E82GMZNL", "SE-000269731")</f>
        <v>SE-000269731</v>
      </c>
      <c r="D2627" s="1" t="s">
        <v>0</v>
      </c>
      <c r="E2627" s="2">
        <v>0</v>
      </c>
      <c r="F2627" s="2">
        <v>0</v>
      </c>
      <c r="G2627" s="2">
        <v>0</v>
      </c>
      <c r="H2627" s="1" t="s">
        <v>0</v>
      </c>
      <c r="I2627" s="2">
        <v>0</v>
      </c>
      <c r="J2627" s="1">
        <v>45915.379305555558</v>
      </c>
    </row>
    <row r="2628" spans="1:10" x14ac:dyDescent="0.2">
      <c r="A2628" s="4" t="s">
        <v>1</v>
      </c>
      <c r="B2628" s="3" t="str">
        <f>HYPERLINK("https://otsuka-europe-crm.veevavault.com/ui/#object/approved_document__v/V5OZ025E82TFUPI", "Spain - HCP Survey Email - June 2025")</f>
        <v>Spain - HCP Survey Email - June 2025</v>
      </c>
      <c r="C2628" s="3" t="str">
        <f>HYPERLINK("https://otsuka-europe-crm.veevavault.com/ui/#object/sent_email__v/VBLZ025E82GMZNM", "SE-000269732")</f>
        <v>SE-000269732</v>
      </c>
      <c r="D2628" s="1">
        <v>45915.585810185185</v>
      </c>
      <c r="E2628" s="2">
        <v>1</v>
      </c>
      <c r="F2628" s="2">
        <v>2</v>
      </c>
      <c r="G2628" s="2">
        <v>0</v>
      </c>
      <c r="H2628" s="1" t="s">
        <v>0</v>
      </c>
      <c r="I2628" s="2">
        <v>0</v>
      </c>
      <c r="J2628" s="1">
        <v>45915.377534722225</v>
      </c>
    </row>
    <row r="2629" spans="1:10" x14ac:dyDescent="0.2">
      <c r="A2629" s="4" t="s">
        <v>1</v>
      </c>
      <c r="B2629" s="3" t="str">
        <f>HYPERLINK("https://otsuka-europe-crm.veevavault.com/ui/#object/approved_document__v/V5OZ025E82TFUPI", "Spain - HCP Survey Email - June 2025")</f>
        <v>Spain - HCP Survey Email - June 2025</v>
      </c>
      <c r="C2629" s="3" t="str">
        <f>HYPERLINK("https://otsuka-europe-crm.veevavault.com/ui/#object/sent_email__v/VBLZ025E82GMZNN", "SE-000269733")</f>
        <v>SE-000269733</v>
      </c>
      <c r="D2629" s="1">
        <v>45915.564884259256</v>
      </c>
      <c r="E2629" s="2">
        <v>1</v>
      </c>
      <c r="F2629" s="2">
        <v>1</v>
      </c>
      <c r="G2629" s="2">
        <v>0</v>
      </c>
      <c r="H2629" s="1" t="s">
        <v>0</v>
      </c>
      <c r="I2629" s="2">
        <v>0</v>
      </c>
      <c r="J2629" s="1">
        <v>45915.377905092595</v>
      </c>
    </row>
    <row r="2630" spans="1:10" x14ac:dyDescent="0.2">
      <c r="A2630" s="4" t="s">
        <v>1</v>
      </c>
      <c r="B2630" s="3" t="str">
        <f>HYPERLINK("https://otsuka-europe-crm.veevavault.com/ui/#object/approved_document__v/V5OZ025E82TFUPI", "Spain - HCP Survey Email - June 2025")</f>
        <v>Spain - HCP Survey Email - June 2025</v>
      </c>
      <c r="C2630" s="3" t="str">
        <f>HYPERLINK("https://otsuka-europe-crm.veevavault.com/ui/#object/sent_email__v/VBLZ025E82GMZNO", "SE-000269734")</f>
        <v>SE-000269734</v>
      </c>
      <c r="D2630" s="1">
        <v>45915.513414351852</v>
      </c>
      <c r="E2630" s="2">
        <v>1</v>
      </c>
      <c r="F2630" s="2">
        <v>1</v>
      </c>
      <c r="G2630" s="2">
        <v>0</v>
      </c>
      <c r="H2630" s="1" t="s">
        <v>0</v>
      </c>
      <c r="I2630" s="2">
        <v>0</v>
      </c>
      <c r="J2630" s="1">
        <v>45915.378923611112</v>
      </c>
    </row>
    <row r="2631" spans="1:10" x14ac:dyDescent="0.2">
      <c r="A2631" s="4" t="s">
        <v>1</v>
      </c>
      <c r="B2631" s="3" t="str">
        <f>HYPERLINK("https://otsuka-europe-crm.veevavault.com/ui/#object/approved_document__v/V5OZ025E82TFUPI", "Spain - HCP Survey Email - June 2025")</f>
        <v>Spain - HCP Survey Email - June 2025</v>
      </c>
      <c r="C2631" s="3" t="str">
        <f>HYPERLINK("https://otsuka-europe-crm.veevavault.com/ui/#object/sent_email__v/VBLZ025E82GMZNP", "SE-000269735")</f>
        <v>SE-000269735</v>
      </c>
      <c r="D2631" s="1" t="s">
        <v>0</v>
      </c>
      <c r="E2631" s="2">
        <v>0</v>
      </c>
      <c r="F2631" s="2">
        <v>0</v>
      </c>
      <c r="G2631" s="2">
        <v>0</v>
      </c>
      <c r="H2631" s="1" t="s">
        <v>0</v>
      </c>
      <c r="I2631" s="2">
        <v>0</v>
      </c>
      <c r="J2631" s="1">
        <v>45915.379629629628</v>
      </c>
    </row>
    <row r="2632" spans="1:10" x14ac:dyDescent="0.2">
      <c r="A2632" s="4" t="s">
        <v>1</v>
      </c>
      <c r="B2632" s="3" t="str">
        <f>HYPERLINK("https://otsuka-europe-crm.veevavault.com/ui/#object/approved_document__v/V5OZ025E82TFUPI", "Spain - HCP Survey Email - June 2025")</f>
        <v>Spain - HCP Survey Email - June 2025</v>
      </c>
      <c r="C2632" s="3" t="str">
        <f>HYPERLINK("https://otsuka-europe-crm.veevavault.com/ui/#object/sent_email__v/VBLZ025E82GMZNQ", "SE-000269736")</f>
        <v>SE-000269736</v>
      </c>
      <c r="D2632" s="1">
        <v>45915.476122685184</v>
      </c>
      <c r="E2632" s="2">
        <v>1</v>
      </c>
      <c r="F2632" s="2">
        <v>2</v>
      </c>
      <c r="G2632" s="2">
        <v>0</v>
      </c>
      <c r="H2632" s="1" t="s">
        <v>0</v>
      </c>
      <c r="I2632" s="2">
        <v>0</v>
      </c>
      <c r="J2632" s="1">
        <v>45915.379374999997</v>
      </c>
    </row>
    <row r="2633" spans="1:10" x14ac:dyDescent="0.2">
      <c r="A2633" s="4" t="s">
        <v>1</v>
      </c>
      <c r="B2633" s="3" t="str">
        <f>HYPERLINK("https://otsuka-europe-crm.veevavault.com/ui/#object/approved_document__v/V5OZ025E82TFUPI", "Spain - HCP Survey Email - June 2025")</f>
        <v>Spain - HCP Survey Email - June 2025</v>
      </c>
      <c r="C2633" s="3" t="str">
        <f>HYPERLINK("https://otsuka-europe-crm.veevavault.com/ui/#object/sent_email__v/VBLZ025E82GMZNR", "SE-000269737")</f>
        <v>SE-000269737</v>
      </c>
      <c r="D2633" s="1" t="s">
        <v>0</v>
      </c>
      <c r="E2633" s="2">
        <v>0</v>
      </c>
      <c r="F2633" s="2">
        <v>0</v>
      </c>
      <c r="G2633" s="2">
        <v>0</v>
      </c>
      <c r="H2633" s="1" t="s">
        <v>0</v>
      </c>
      <c r="I2633" s="2">
        <v>0</v>
      </c>
      <c r="J2633" s="1">
        <v>45915.377500000002</v>
      </c>
    </row>
    <row r="2634" spans="1:10" x14ac:dyDescent="0.2">
      <c r="A2634" s="4" t="s">
        <v>1</v>
      </c>
      <c r="B2634" s="3" t="str">
        <f>HYPERLINK("https://otsuka-europe-crm.veevavault.com/ui/#object/approved_document__v/V5OZ025E82TFUPI", "Spain - HCP Survey Email - June 2025")</f>
        <v>Spain - HCP Survey Email - June 2025</v>
      </c>
      <c r="C2634" s="3" t="str">
        <f>HYPERLINK("https://otsuka-europe-crm.veevavault.com/ui/#object/sent_email__v/VBLZ025E82GMZNS", "SE-000269738")</f>
        <v>SE-000269738</v>
      </c>
      <c r="D2634" s="1">
        <v>45916.463182870371</v>
      </c>
      <c r="E2634" s="2">
        <v>1</v>
      </c>
      <c r="F2634" s="2">
        <v>1</v>
      </c>
      <c r="G2634" s="2">
        <v>0</v>
      </c>
      <c r="H2634" s="1" t="s">
        <v>0</v>
      </c>
      <c r="I2634" s="2">
        <v>0</v>
      </c>
      <c r="J2634" s="1">
        <v>45915.378275462965</v>
      </c>
    </row>
    <row r="2635" spans="1:10" x14ac:dyDescent="0.2">
      <c r="A2635" s="4" t="s">
        <v>1</v>
      </c>
      <c r="B2635" s="3" t="str">
        <f>HYPERLINK("https://otsuka-europe-crm.veevavault.com/ui/#object/approved_document__v/V5OZ025E82TFUPI", "Spain - HCP Survey Email - June 2025")</f>
        <v>Spain - HCP Survey Email - June 2025</v>
      </c>
      <c r="C2635" s="3" t="str">
        <f>HYPERLINK("https://otsuka-europe-crm.veevavault.com/ui/#object/sent_email__v/VBLZ025E82GMZNU", "SE-000269740")</f>
        <v>SE-000269740</v>
      </c>
      <c r="D2635" s="1">
        <v>45943.386782407404</v>
      </c>
      <c r="E2635" s="2">
        <v>1</v>
      </c>
      <c r="F2635" s="2">
        <v>6</v>
      </c>
      <c r="G2635" s="2">
        <v>0</v>
      </c>
      <c r="H2635" s="1" t="s">
        <v>0</v>
      </c>
      <c r="I2635" s="2">
        <v>0</v>
      </c>
      <c r="J2635" s="1">
        <v>45915.378576388888</v>
      </c>
    </row>
    <row r="2636" spans="1:10" x14ac:dyDescent="0.2">
      <c r="A2636" s="4" t="s">
        <v>1</v>
      </c>
      <c r="B2636" s="3" t="str">
        <f>HYPERLINK("https://otsuka-europe-crm.veevavault.com/ui/#object/approved_document__v/V5OZ025E82TFUPI", "Spain - HCP Survey Email - June 2025")</f>
        <v>Spain - HCP Survey Email - June 2025</v>
      </c>
      <c r="C2636" s="3" t="str">
        <f>HYPERLINK("https://otsuka-europe-crm.veevavault.com/ui/#object/sent_email__v/VBLZ025E82GMZNV", "SE-000269741")</f>
        <v>SE-000269741</v>
      </c>
      <c r="D2636" s="1">
        <v>45921.949745370373</v>
      </c>
      <c r="E2636" s="2">
        <v>1</v>
      </c>
      <c r="F2636" s="2">
        <v>1</v>
      </c>
      <c r="G2636" s="2">
        <v>0</v>
      </c>
      <c r="H2636" s="1" t="s">
        <v>0</v>
      </c>
      <c r="I2636" s="2">
        <v>0</v>
      </c>
      <c r="J2636" s="1">
        <v>45915.380127314813</v>
      </c>
    </row>
    <row r="2637" spans="1:10" x14ac:dyDescent="0.2">
      <c r="A2637" s="4" t="s">
        <v>1</v>
      </c>
      <c r="B2637" s="3" t="str">
        <f>HYPERLINK("https://otsuka-europe-crm.veevavault.com/ui/#object/approved_document__v/V5OZ025E82TFUPI", "Spain - HCP Survey Email - June 2025")</f>
        <v>Spain - HCP Survey Email - June 2025</v>
      </c>
      <c r="C2637" s="3" t="str">
        <f>HYPERLINK("https://otsuka-europe-crm.veevavault.com/ui/#object/sent_email__v/VBLZ025E82GMZNW", "SE-000269742")</f>
        <v>SE-000269742</v>
      </c>
      <c r="D2637" s="1" t="s">
        <v>0</v>
      </c>
      <c r="E2637" s="2">
        <v>0</v>
      </c>
      <c r="F2637" s="2">
        <v>0</v>
      </c>
      <c r="G2637" s="2">
        <v>0</v>
      </c>
      <c r="H2637" s="1" t="s">
        <v>0</v>
      </c>
      <c r="I2637" s="2">
        <v>0</v>
      </c>
      <c r="J2637" s="1">
        <v>45915.37771990741</v>
      </c>
    </row>
    <row r="2638" spans="1:10" x14ac:dyDescent="0.2">
      <c r="A2638" s="4" t="s">
        <v>1</v>
      </c>
      <c r="B2638" s="3" t="str">
        <f>HYPERLINK("https://otsuka-europe-crm.veevavault.com/ui/#object/approved_document__v/V5OZ025E82TFUPI", "Spain - HCP Survey Email - June 2025")</f>
        <v>Spain - HCP Survey Email - June 2025</v>
      </c>
      <c r="C2638" s="3" t="str">
        <f>HYPERLINK("https://otsuka-europe-crm.veevavault.com/ui/#object/sent_email__v/VBLZ025E82GMZNX", "SE-000269743")</f>
        <v>SE-000269743</v>
      </c>
      <c r="D2638" s="1">
        <v>45915.660810185182</v>
      </c>
      <c r="E2638" s="2">
        <v>1</v>
      </c>
      <c r="F2638" s="2">
        <v>2</v>
      </c>
      <c r="G2638" s="2">
        <v>0</v>
      </c>
      <c r="H2638" s="1" t="s">
        <v>0</v>
      </c>
      <c r="I2638" s="2">
        <v>0</v>
      </c>
      <c r="J2638" s="1">
        <v>45915.377581018518</v>
      </c>
    </row>
    <row r="2639" spans="1:10" x14ac:dyDescent="0.2">
      <c r="A2639" s="4" t="s">
        <v>1</v>
      </c>
      <c r="B2639" s="3" t="str">
        <f>HYPERLINK("https://otsuka-europe-crm.veevavault.com/ui/#object/approved_document__v/V5OZ025E82TFUPI", "Spain - HCP Survey Email - June 2025")</f>
        <v>Spain - HCP Survey Email - June 2025</v>
      </c>
      <c r="C2639" s="3" t="str">
        <f>HYPERLINK("https://otsuka-europe-crm.veevavault.com/ui/#object/sent_email__v/VBLZ025E82GMZNY", "SE-000269744")</f>
        <v>SE-000269744</v>
      </c>
      <c r="D2639" s="1">
        <v>45915.621666666666</v>
      </c>
      <c r="E2639" s="2">
        <v>1</v>
      </c>
      <c r="F2639" s="2">
        <v>2</v>
      </c>
      <c r="G2639" s="2">
        <v>0</v>
      </c>
      <c r="H2639" s="1" t="s">
        <v>0</v>
      </c>
      <c r="I2639" s="2">
        <v>0</v>
      </c>
      <c r="J2639" s="1">
        <v>45915.377893518518</v>
      </c>
    </row>
    <row r="2640" spans="1:10" x14ac:dyDescent="0.2">
      <c r="A2640" s="4" t="s">
        <v>1</v>
      </c>
      <c r="B2640" s="3" t="str">
        <f>HYPERLINK("https://otsuka-europe-crm.veevavault.com/ui/#object/approved_document__v/V5OZ025E82TFUPI", "Spain - HCP Survey Email - June 2025")</f>
        <v>Spain - HCP Survey Email - June 2025</v>
      </c>
      <c r="C2640" s="3" t="str">
        <f>HYPERLINK("https://otsuka-europe-crm.veevavault.com/ui/#object/sent_email__v/VBLZ025E82GMZNZ", "SE-000269745")</f>
        <v>SE-000269745</v>
      </c>
      <c r="D2640" s="1">
        <v>45924.036770833336</v>
      </c>
      <c r="E2640" s="2">
        <v>1</v>
      </c>
      <c r="F2640" s="2">
        <v>3</v>
      </c>
      <c r="G2640" s="2">
        <v>0</v>
      </c>
      <c r="H2640" s="1" t="s">
        <v>0</v>
      </c>
      <c r="I2640" s="2">
        <v>0</v>
      </c>
      <c r="J2640" s="1">
        <v>45915.378923611112</v>
      </c>
    </row>
    <row r="2641" spans="1:10" x14ac:dyDescent="0.2">
      <c r="A2641" s="4" t="s">
        <v>1</v>
      </c>
      <c r="B2641" s="3" t="str">
        <f>HYPERLINK("https://otsuka-europe-crm.veevavault.com/ui/#object/approved_document__v/V5OZ025E82TFUPI", "Spain - HCP Survey Email - June 2025")</f>
        <v>Spain - HCP Survey Email - June 2025</v>
      </c>
      <c r="C2641" s="3" t="str">
        <f>HYPERLINK("https://otsuka-europe-crm.veevavault.com/ui/#object/sent_email__v/VBLZ025E82GMZO0", "SE-000269746")</f>
        <v>SE-000269746</v>
      </c>
      <c r="D2641" s="1">
        <v>45929.734027777777</v>
      </c>
      <c r="E2641" s="2">
        <v>1</v>
      </c>
      <c r="F2641" s="2">
        <v>2</v>
      </c>
      <c r="G2641" s="2">
        <v>0</v>
      </c>
      <c r="H2641" s="1" t="s">
        <v>0</v>
      </c>
      <c r="I2641" s="2">
        <v>0</v>
      </c>
      <c r="J2641" s="1">
        <v>45915.379745370374</v>
      </c>
    </row>
    <row r="2642" spans="1:10" x14ac:dyDescent="0.2">
      <c r="A2642" s="4" t="s">
        <v>1</v>
      </c>
      <c r="B2642" s="3" t="str">
        <f>HYPERLINK("https://otsuka-europe-crm.veevavault.com/ui/#object/approved_document__v/V5OZ025E82TFUPI", "Spain - HCP Survey Email - June 2025")</f>
        <v>Spain - HCP Survey Email - June 2025</v>
      </c>
      <c r="C2642" s="3" t="str">
        <f>HYPERLINK("https://otsuka-europe-crm.veevavault.com/ui/#object/sent_email__v/VBLZ025E82GMZO1", "SE-000269747")</f>
        <v>SE-000269747</v>
      </c>
      <c r="D2642" s="1" t="s">
        <v>0</v>
      </c>
      <c r="E2642" s="2">
        <v>0</v>
      </c>
      <c r="F2642" s="2">
        <v>0</v>
      </c>
      <c r="G2642" s="2">
        <v>0</v>
      </c>
      <c r="H2642" s="1" t="s">
        <v>0</v>
      </c>
      <c r="I2642" s="2">
        <v>0</v>
      </c>
      <c r="J2642" s="1">
        <v>45915.379293981481</v>
      </c>
    </row>
    <row r="2643" spans="1:10" x14ac:dyDescent="0.2">
      <c r="A2643" s="4" t="s">
        <v>1</v>
      </c>
      <c r="B2643" s="3" t="str">
        <f>HYPERLINK("https://otsuka-europe-crm.veevavault.com/ui/#object/approved_document__v/V5OZ025E82TFUPI", "Spain - HCP Survey Email - June 2025")</f>
        <v>Spain - HCP Survey Email - June 2025</v>
      </c>
      <c r="C2643" s="3" t="str">
        <f>HYPERLINK("https://otsuka-europe-crm.veevavault.com/ui/#object/sent_email__v/VBLZ025E82GMZO2", "SE-000269748")</f>
        <v>SE-000269748</v>
      </c>
      <c r="D2643" s="1" t="s">
        <v>0</v>
      </c>
      <c r="E2643" s="2">
        <v>0</v>
      </c>
      <c r="F2643" s="2">
        <v>0</v>
      </c>
      <c r="G2643" s="2">
        <v>0</v>
      </c>
      <c r="H2643" s="1" t="s">
        <v>0</v>
      </c>
      <c r="I2643" s="2">
        <v>0</v>
      </c>
      <c r="J2643" s="1">
        <v>45915.377905092595</v>
      </c>
    </row>
    <row r="2644" spans="1:10" x14ac:dyDescent="0.2">
      <c r="A2644" s="4" t="s">
        <v>1</v>
      </c>
      <c r="B2644" s="3" t="str">
        <f>HYPERLINK("https://otsuka-europe-crm.veevavault.com/ui/#object/approved_document__v/V5OZ025E82TFUPI", "Spain - HCP Survey Email - June 2025")</f>
        <v>Spain - HCP Survey Email - June 2025</v>
      </c>
      <c r="C2644" s="3" t="str">
        <f>HYPERLINK("https://otsuka-europe-crm.veevavault.com/ui/#object/sent_email__v/VBLZ025E82GMZO3", "SE-000269749")</f>
        <v>SE-000269749</v>
      </c>
      <c r="D2644" s="1">
        <v>45917.409675925926</v>
      </c>
      <c r="E2644" s="2">
        <v>1</v>
      </c>
      <c r="F2644" s="2">
        <v>2</v>
      </c>
      <c r="G2644" s="2">
        <v>0</v>
      </c>
      <c r="H2644" s="1" t="s">
        <v>0</v>
      </c>
      <c r="I2644" s="2">
        <v>0</v>
      </c>
      <c r="J2644" s="1">
        <v>45915.378263888888</v>
      </c>
    </row>
    <row r="2645" spans="1:10" x14ac:dyDescent="0.2">
      <c r="A2645" s="4" t="s">
        <v>1</v>
      </c>
      <c r="B2645" s="3" t="str">
        <f>HYPERLINK("https://otsuka-europe-crm.veevavault.com/ui/#object/approved_document__v/V5OZ025E82TFUPI", "Spain - HCP Survey Email - June 2025")</f>
        <v>Spain - HCP Survey Email - June 2025</v>
      </c>
      <c r="C2645" s="3" t="str">
        <f>HYPERLINK("https://otsuka-europe-crm.veevavault.com/ui/#object/sent_email__v/VBLZ025E82GMZO4", "SE-000269750")</f>
        <v>SE-000269750</v>
      </c>
      <c r="D2645" s="1" t="s">
        <v>0</v>
      </c>
      <c r="E2645" s="2">
        <v>0</v>
      </c>
      <c r="F2645" s="2">
        <v>0</v>
      </c>
      <c r="G2645" s="2">
        <v>0</v>
      </c>
      <c r="H2645" s="1" t="s">
        <v>0</v>
      </c>
      <c r="I2645" s="2">
        <v>0</v>
      </c>
      <c r="J2645" s="1">
        <v>45915.37809027778</v>
      </c>
    </row>
    <row r="2646" spans="1:10" x14ac:dyDescent="0.2">
      <c r="A2646" s="4" t="s">
        <v>1</v>
      </c>
      <c r="B2646" s="3" t="str">
        <f>HYPERLINK("https://otsuka-europe-crm.veevavault.com/ui/#object/approved_document__v/V5OZ025E82TFUPI", "Spain - HCP Survey Email - June 2025")</f>
        <v>Spain - HCP Survey Email - June 2025</v>
      </c>
      <c r="C2646" s="3" t="str">
        <f>HYPERLINK("https://otsuka-europe-crm.veevavault.com/ui/#object/sent_email__v/VBLZ025E82GMZO5", "SE-000269751")</f>
        <v>SE-000269751</v>
      </c>
      <c r="D2646" s="1" t="s">
        <v>0</v>
      </c>
      <c r="E2646" s="2">
        <v>0</v>
      </c>
      <c r="F2646" s="2">
        <v>0</v>
      </c>
      <c r="G2646" s="2">
        <v>0</v>
      </c>
      <c r="H2646" s="1" t="s">
        <v>0</v>
      </c>
      <c r="I2646" s="2">
        <v>0</v>
      </c>
      <c r="J2646" s="1">
        <v>45915.378622685188</v>
      </c>
    </row>
    <row r="2647" spans="1:10" x14ac:dyDescent="0.2">
      <c r="A2647" s="4" t="s">
        <v>1</v>
      </c>
      <c r="B2647" s="3" t="str">
        <f>HYPERLINK("https://otsuka-europe-crm.veevavault.com/ui/#object/approved_document__v/V5OZ025E82TFUPI", "Spain - HCP Survey Email - June 2025")</f>
        <v>Spain - HCP Survey Email - June 2025</v>
      </c>
      <c r="C2647" s="3" t="str">
        <f>HYPERLINK("https://otsuka-europe-crm.veevavault.com/ui/#object/sent_email__v/VBLZ025E82GMZO6", "SE-000269752")</f>
        <v>SE-000269752</v>
      </c>
      <c r="D2647" s="1" t="s">
        <v>0</v>
      </c>
      <c r="E2647" s="2">
        <v>0</v>
      </c>
      <c r="F2647" s="2">
        <v>0</v>
      </c>
      <c r="G2647" s="2">
        <v>0</v>
      </c>
      <c r="H2647" s="1" t="s">
        <v>0</v>
      </c>
      <c r="I2647" s="2">
        <v>0</v>
      </c>
      <c r="J2647" s="1">
        <v>45915.380023148151</v>
      </c>
    </row>
    <row r="2648" spans="1:10" x14ac:dyDescent="0.2">
      <c r="A2648" s="4" t="s">
        <v>1</v>
      </c>
      <c r="B2648" s="3" t="str">
        <f>HYPERLINK("https://otsuka-europe-crm.veevavault.com/ui/#object/approved_document__v/V5OZ025E82TFUPI", "Spain - HCP Survey Email - June 2025")</f>
        <v>Spain - HCP Survey Email - June 2025</v>
      </c>
      <c r="C2648" s="3" t="str">
        <f>HYPERLINK("https://otsuka-europe-crm.veevavault.com/ui/#object/sent_email__v/VBLZ025E82GMZO7", "SE-000269753")</f>
        <v>SE-000269753</v>
      </c>
      <c r="D2648" s="1" t="s">
        <v>0</v>
      </c>
      <c r="E2648" s="2">
        <v>0</v>
      </c>
      <c r="F2648" s="2">
        <v>0</v>
      </c>
      <c r="G2648" s="2">
        <v>0</v>
      </c>
      <c r="H2648" s="1" t="s">
        <v>0</v>
      </c>
      <c r="I2648" s="2">
        <v>0</v>
      </c>
      <c r="J2648" s="1">
        <v>45915.37777777778</v>
      </c>
    </row>
    <row r="2649" spans="1:10" x14ac:dyDescent="0.2">
      <c r="A2649" s="4" t="s">
        <v>1</v>
      </c>
      <c r="B2649" s="3" t="str">
        <f>HYPERLINK("https://otsuka-europe-crm.veevavault.com/ui/#object/approved_document__v/V5OZ025E82TFUPI", "Spain - HCP Survey Email - June 2025")</f>
        <v>Spain - HCP Survey Email - June 2025</v>
      </c>
      <c r="C2649" s="3" t="str">
        <f>HYPERLINK("https://otsuka-europe-crm.veevavault.com/ui/#object/sent_email__v/VBLZ025E82GMZO8", "SE-000269754")</f>
        <v>SE-000269754</v>
      </c>
      <c r="D2649" s="1" t="s">
        <v>0</v>
      </c>
      <c r="E2649" s="2">
        <v>0</v>
      </c>
      <c r="F2649" s="2">
        <v>0</v>
      </c>
      <c r="G2649" s="2">
        <v>0</v>
      </c>
      <c r="H2649" s="1" t="s">
        <v>0</v>
      </c>
      <c r="I2649" s="2">
        <v>0</v>
      </c>
      <c r="J2649" s="1">
        <v>45915.377592592595</v>
      </c>
    </row>
    <row r="2650" spans="1:10" x14ac:dyDescent="0.2">
      <c r="A2650" s="4" t="s">
        <v>1</v>
      </c>
      <c r="B2650" s="3" t="str">
        <f>HYPERLINK("https://otsuka-europe-crm.veevavault.com/ui/#object/approved_document__v/V5OZ025E82TFUPI", "Spain - HCP Survey Email - June 2025")</f>
        <v>Spain - HCP Survey Email - June 2025</v>
      </c>
      <c r="C2650" s="3" t="str">
        <f>HYPERLINK("https://otsuka-europe-crm.veevavault.com/ui/#object/sent_email__v/VBLZ025E82GMZOA", "SE-000269756")</f>
        <v>SE-000269756</v>
      </c>
      <c r="D2650" s="1" t="s">
        <v>0</v>
      </c>
      <c r="E2650" s="2">
        <v>0</v>
      </c>
      <c r="F2650" s="2">
        <v>0</v>
      </c>
      <c r="G2650" s="2">
        <v>0</v>
      </c>
      <c r="H2650" s="1" t="s">
        <v>0</v>
      </c>
      <c r="I2650" s="2">
        <v>0</v>
      </c>
      <c r="J2650" s="1">
        <v>45915.379062499997</v>
      </c>
    </row>
    <row r="2651" spans="1:10" x14ac:dyDescent="0.2">
      <c r="A2651" s="4" t="s">
        <v>1</v>
      </c>
      <c r="B2651" s="3" t="str">
        <f>HYPERLINK("https://otsuka-europe-crm.veevavault.com/ui/#object/approved_document__v/V5OZ025E82TFUPI", "Spain - HCP Survey Email - June 2025")</f>
        <v>Spain - HCP Survey Email - June 2025</v>
      </c>
      <c r="C2651" s="3" t="str">
        <f>HYPERLINK("https://otsuka-europe-crm.veevavault.com/ui/#object/sent_email__v/VBLZ025E82GMZOB", "SE-000269757")</f>
        <v>SE-000269757</v>
      </c>
      <c r="D2651" s="1" t="s">
        <v>0</v>
      </c>
      <c r="E2651" s="2">
        <v>0</v>
      </c>
      <c r="F2651" s="2">
        <v>0</v>
      </c>
      <c r="G2651" s="2">
        <v>0</v>
      </c>
      <c r="H2651" s="1" t="s">
        <v>0</v>
      </c>
      <c r="I2651" s="2">
        <v>0</v>
      </c>
      <c r="J2651" s="1">
        <v>45915.379675925928</v>
      </c>
    </row>
    <row r="2652" spans="1:10" x14ac:dyDescent="0.2">
      <c r="A2652" s="4" t="s">
        <v>1</v>
      </c>
      <c r="B2652" s="3" t="str">
        <f>HYPERLINK("https://otsuka-europe-crm.veevavault.com/ui/#object/approved_document__v/V5OZ025E82TFUPI", "Spain - HCP Survey Email - June 2025")</f>
        <v>Spain - HCP Survey Email - June 2025</v>
      </c>
      <c r="C2652" s="3" t="str">
        <f>HYPERLINK("https://otsuka-europe-crm.veevavault.com/ui/#object/sent_email__v/VBLZ025E82GMZOC", "SE-000269758")</f>
        <v>SE-000269758</v>
      </c>
      <c r="D2652" s="1">
        <v>45915.790370370371</v>
      </c>
      <c r="E2652" s="2">
        <v>1</v>
      </c>
      <c r="F2652" s="2">
        <v>2</v>
      </c>
      <c r="G2652" s="2">
        <v>0</v>
      </c>
      <c r="H2652" s="1" t="s">
        <v>0</v>
      </c>
      <c r="I2652" s="2">
        <v>0</v>
      </c>
      <c r="J2652" s="1">
        <v>45915.377800925926</v>
      </c>
    </row>
    <row r="2653" spans="1:10" x14ac:dyDescent="0.2">
      <c r="A2653" s="4" t="s">
        <v>1</v>
      </c>
      <c r="B2653" s="3" t="str">
        <f>HYPERLINK("https://otsuka-europe-crm.veevavault.com/ui/#object/approved_document__v/V5OZ025E82TFUPI", "Spain - HCP Survey Email - June 2025")</f>
        <v>Spain - HCP Survey Email - June 2025</v>
      </c>
      <c r="C2653" s="3" t="str">
        <f>HYPERLINK("https://otsuka-europe-crm.veevavault.com/ui/#object/sent_email__v/VBLZ025E82GMZOD", "SE-000269759")</f>
        <v>SE-000269759</v>
      </c>
      <c r="D2653" s="1">
        <v>45915.378275462965</v>
      </c>
      <c r="E2653" s="2">
        <v>1</v>
      </c>
      <c r="F2653" s="2">
        <v>1</v>
      </c>
      <c r="G2653" s="2">
        <v>1</v>
      </c>
      <c r="H2653" s="1">
        <v>45915.378738425927</v>
      </c>
      <c r="I2653" s="2">
        <v>2</v>
      </c>
      <c r="J2653" s="1">
        <v>45915.378206018519</v>
      </c>
    </row>
    <row r="2654" spans="1:10" x14ac:dyDescent="0.2">
      <c r="A2654" s="4" t="s">
        <v>1</v>
      </c>
      <c r="B2654" s="3" t="str">
        <f>HYPERLINK("https://otsuka-europe-crm.veevavault.com/ui/#object/approved_document__v/V5OZ025E82TFUPI", "Spain - HCP Survey Email - June 2025")</f>
        <v>Spain - HCP Survey Email - June 2025</v>
      </c>
      <c r="C2654" s="3" t="str">
        <f>HYPERLINK("https://otsuka-europe-crm.veevavault.com/ui/#object/sent_email__v/VBLZ025E82GMZOE", "SE-000269760")</f>
        <v>SE-000269760</v>
      </c>
      <c r="D2654" s="1" t="s">
        <v>0</v>
      </c>
      <c r="E2654" s="2">
        <v>0</v>
      </c>
      <c r="F2654" s="2">
        <v>0</v>
      </c>
      <c r="G2654" s="2">
        <v>0</v>
      </c>
      <c r="H2654" s="1" t="s">
        <v>0</v>
      </c>
      <c r="I2654" s="2">
        <v>0</v>
      </c>
      <c r="J2654" s="1">
        <v>45915.378136574072</v>
      </c>
    </row>
    <row r="2655" spans="1:10" x14ac:dyDescent="0.2">
      <c r="A2655" s="4" t="s">
        <v>1</v>
      </c>
      <c r="B2655" s="3" t="str">
        <f>HYPERLINK("https://otsuka-europe-crm.veevavault.com/ui/#object/approved_document__v/V5OZ025E82TFUPI", "Spain - HCP Survey Email - June 2025")</f>
        <v>Spain - HCP Survey Email - June 2025</v>
      </c>
      <c r="C2655" s="3" t="str">
        <f>HYPERLINK("https://otsuka-europe-crm.veevavault.com/ui/#object/sent_email__v/VBLZ025E82GMZOF", "SE-000269761")</f>
        <v>SE-000269761</v>
      </c>
      <c r="D2655" s="1">
        <v>45915.672627314816</v>
      </c>
      <c r="E2655" s="2">
        <v>1</v>
      </c>
      <c r="F2655" s="2">
        <v>1</v>
      </c>
      <c r="G2655" s="2">
        <v>0</v>
      </c>
      <c r="H2655" s="1" t="s">
        <v>0</v>
      </c>
      <c r="I2655" s="2">
        <v>0</v>
      </c>
      <c r="J2655" s="1">
        <v>45915.378645833334</v>
      </c>
    </row>
    <row r="2656" spans="1:10" x14ac:dyDescent="0.2">
      <c r="A2656" s="4" t="s">
        <v>1</v>
      </c>
      <c r="B2656" s="3" t="str">
        <f>HYPERLINK("https://otsuka-europe-crm.veevavault.com/ui/#object/approved_document__v/V5OZ025E82TFUPI", "Spain - HCP Survey Email - June 2025")</f>
        <v>Spain - HCP Survey Email - June 2025</v>
      </c>
      <c r="C2656" s="3" t="str">
        <f>HYPERLINK("https://otsuka-europe-crm.veevavault.com/ui/#object/sent_email__v/VBLZ025E82GMZOG", "SE-000269762")</f>
        <v>SE-000269762</v>
      </c>
      <c r="D2656" s="1">
        <v>45915.616562499999</v>
      </c>
      <c r="E2656" s="2">
        <v>1</v>
      </c>
      <c r="F2656" s="2">
        <v>1</v>
      </c>
      <c r="G2656" s="2">
        <v>0</v>
      </c>
      <c r="H2656" s="1" t="s">
        <v>0</v>
      </c>
      <c r="I2656" s="2">
        <v>0</v>
      </c>
      <c r="J2656" s="1">
        <v>45915.379930555559</v>
      </c>
    </row>
    <row r="2657" spans="1:10" x14ac:dyDescent="0.2">
      <c r="A2657" s="4" t="s">
        <v>1</v>
      </c>
      <c r="B2657" s="3" t="str">
        <f>HYPERLINK("https://otsuka-europe-crm.veevavault.com/ui/#object/approved_document__v/V5OZ025E82TFUPI", "Spain - HCP Survey Email - June 2025")</f>
        <v>Spain - HCP Survey Email - June 2025</v>
      </c>
      <c r="C2657" s="3" t="str">
        <f>HYPERLINK("https://otsuka-europe-crm.veevavault.com/ui/#object/sent_email__v/VBLZ025E82GMZOH", "SE-000269763")</f>
        <v>SE-000269763</v>
      </c>
      <c r="D2657" s="1">
        <v>45915.58153935185</v>
      </c>
      <c r="E2657" s="2">
        <v>1</v>
      </c>
      <c r="F2657" s="2">
        <v>2</v>
      </c>
      <c r="G2657" s="2">
        <v>0</v>
      </c>
      <c r="H2657" s="1" t="s">
        <v>0</v>
      </c>
      <c r="I2657" s="2">
        <v>0</v>
      </c>
      <c r="J2657" s="1">
        <v>45915.377789351849</v>
      </c>
    </row>
    <row r="2658" spans="1:10" x14ac:dyDescent="0.2">
      <c r="A2658" s="4" t="s">
        <v>1</v>
      </c>
      <c r="B2658" s="3" t="str">
        <f>HYPERLINK("https://otsuka-europe-crm.veevavault.com/ui/#object/approved_document__v/V5OZ025E82TFUPI", "Spain - HCP Survey Email - June 2025")</f>
        <v>Spain - HCP Survey Email - June 2025</v>
      </c>
      <c r="C2658" s="3" t="str">
        <f>HYPERLINK("https://otsuka-europe-crm.veevavault.com/ui/#object/sent_email__v/VBLZ025E82GMZOI", "SE-000269764")</f>
        <v>SE-000269764</v>
      </c>
      <c r="D2658" s="1" t="s">
        <v>0</v>
      </c>
      <c r="E2658" s="2">
        <v>0</v>
      </c>
      <c r="F2658" s="2">
        <v>0</v>
      </c>
      <c r="G2658" s="2">
        <v>0</v>
      </c>
      <c r="H2658" s="1" t="s">
        <v>0</v>
      </c>
      <c r="I2658" s="2">
        <v>0</v>
      </c>
      <c r="J2658" s="1">
        <v>45915.377604166664</v>
      </c>
    </row>
    <row r="2659" spans="1:10" x14ac:dyDescent="0.2">
      <c r="A2659" s="4" t="s">
        <v>1</v>
      </c>
      <c r="B2659" s="3" t="str">
        <f>HYPERLINK("https://otsuka-europe-crm.veevavault.com/ui/#object/approved_document__v/V5OZ025E82TFUPI", "Spain - HCP Survey Email - June 2025")</f>
        <v>Spain - HCP Survey Email - June 2025</v>
      </c>
      <c r="C2659" s="3" t="str">
        <f>HYPERLINK("https://otsuka-europe-crm.veevavault.com/ui/#object/sent_email__v/VBLZ025E82GMZOJ", "SE-000269765")</f>
        <v>SE-000269765</v>
      </c>
      <c r="D2659" s="1">
        <v>45930.274074074077</v>
      </c>
      <c r="E2659" s="2">
        <v>1</v>
      </c>
      <c r="F2659" s="2">
        <v>3</v>
      </c>
      <c r="G2659" s="2">
        <v>0</v>
      </c>
      <c r="H2659" s="1" t="s">
        <v>0</v>
      </c>
      <c r="I2659" s="2">
        <v>0</v>
      </c>
      <c r="J2659" s="1">
        <v>45915.378009259257</v>
      </c>
    </row>
    <row r="2660" spans="1:10" x14ac:dyDescent="0.2">
      <c r="A2660" s="4" t="s">
        <v>1</v>
      </c>
      <c r="B2660" s="3" t="str">
        <f>HYPERLINK("https://otsuka-europe-crm.veevavault.com/ui/#object/approved_document__v/V5OZ025E82TFUPI", "Spain - HCP Survey Email - June 2025")</f>
        <v>Spain - HCP Survey Email - June 2025</v>
      </c>
      <c r="C2660" s="3" t="str">
        <f>HYPERLINK("https://otsuka-europe-crm.veevavault.com/ui/#object/sent_email__v/VBLZ025E82GMZOL", "SE-000269767")</f>
        <v>SE-000269767</v>
      </c>
      <c r="D2660" s="1" t="s">
        <v>0</v>
      </c>
      <c r="E2660" s="2">
        <v>0</v>
      </c>
      <c r="F2660" s="2">
        <v>0</v>
      </c>
      <c r="G2660" s="2">
        <v>0</v>
      </c>
      <c r="H2660" s="1" t="s">
        <v>0</v>
      </c>
      <c r="I2660" s="2">
        <v>0</v>
      </c>
      <c r="J2660" s="1">
        <v>45915.37877314815</v>
      </c>
    </row>
    <row r="2661" spans="1:10" x14ac:dyDescent="0.2">
      <c r="A2661" s="4" t="s">
        <v>1</v>
      </c>
      <c r="B2661" s="3" t="str">
        <f>HYPERLINK("https://otsuka-europe-crm.veevavault.com/ui/#object/approved_document__v/V5OZ025E82TFUPI", "Spain - HCP Survey Email - June 2025")</f>
        <v>Spain - HCP Survey Email - June 2025</v>
      </c>
      <c r="C2661" s="3" t="str">
        <f>HYPERLINK("https://otsuka-europe-crm.veevavault.com/ui/#object/sent_email__v/VBLZ025E82GMZOM", "SE-000269768")</f>
        <v>SE-000269768</v>
      </c>
      <c r="D2661" s="1" t="s">
        <v>0</v>
      </c>
      <c r="E2661" s="2">
        <v>0</v>
      </c>
      <c r="F2661" s="2">
        <v>0</v>
      </c>
      <c r="G2661" s="2">
        <v>0</v>
      </c>
      <c r="H2661" s="1" t="s">
        <v>0</v>
      </c>
      <c r="I2661" s="2">
        <v>0</v>
      </c>
      <c r="J2661" s="1">
        <v>45915.377638888887</v>
      </c>
    </row>
    <row r="2662" spans="1:10" x14ac:dyDescent="0.2">
      <c r="A2662" s="4" t="s">
        <v>1</v>
      </c>
      <c r="B2662" s="3" t="str">
        <f>HYPERLINK("https://otsuka-europe-crm.veevavault.com/ui/#object/approved_document__v/V5OZ025E82TFUPI", "Spain - HCP Survey Email - June 2025")</f>
        <v>Spain - HCP Survey Email - June 2025</v>
      </c>
      <c r="C2662" s="3" t="str">
        <f>HYPERLINK("https://otsuka-europe-crm.veevavault.com/ui/#object/sent_email__v/VBLZ025E82GMZON", "SE-000269769")</f>
        <v>SE-000269769</v>
      </c>
      <c r="D2662" s="1">
        <v>45933.50403935185</v>
      </c>
      <c r="E2662" s="2">
        <v>1</v>
      </c>
      <c r="F2662" s="2">
        <v>4</v>
      </c>
      <c r="G2662" s="2">
        <v>0</v>
      </c>
      <c r="H2662" s="1" t="s">
        <v>0</v>
      </c>
      <c r="I2662" s="2">
        <v>0</v>
      </c>
      <c r="J2662" s="1">
        <v>45915.378321759257</v>
      </c>
    </row>
    <row r="2663" spans="1:10" x14ac:dyDescent="0.2">
      <c r="A2663" s="4" t="s">
        <v>1</v>
      </c>
      <c r="B2663" s="3" t="str">
        <f>HYPERLINK("https://otsuka-europe-crm.veevavault.com/ui/#object/approved_document__v/V5OZ025E82TFUPI", "Spain - HCP Survey Email - June 2025")</f>
        <v>Spain - HCP Survey Email - June 2025</v>
      </c>
      <c r="C2663" s="3" t="str">
        <f>HYPERLINK("https://otsuka-europe-crm.veevavault.com/ui/#object/sent_email__v/VBLZ025E82GMZOO", "SE-000269770")</f>
        <v>SE-000269770</v>
      </c>
      <c r="D2663" s="1">
        <v>45924.431273148148</v>
      </c>
      <c r="E2663" s="2">
        <v>1</v>
      </c>
      <c r="F2663" s="2">
        <v>2</v>
      </c>
      <c r="G2663" s="2">
        <v>1</v>
      </c>
      <c r="H2663" s="1">
        <v>45915.412083333336</v>
      </c>
      <c r="I2663" s="2">
        <v>1</v>
      </c>
      <c r="J2663" s="1">
        <v>45915.378831018519</v>
      </c>
    </row>
    <row r="2664" spans="1:10" x14ac:dyDescent="0.2">
      <c r="A2664" s="4" t="s">
        <v>1</v>
      </c>
      <c r="B2664" s="3" t="str">
        <f>HYPERLINK("https://otsuka-europe-crm.veevavault.com/ui/#object/approved_document__v/V5OZ025E82TFUPI", "Spain - HCP Survey Email - June 2025")</f>
        <v>Spain - HCP Survey Email - June 2025</v>
      </c>
      <c r="C2664" s="3" t="str">
        <f>HYPERLINK("https://otsuka-europe-crm.veevavault.com/ui/#object/sent_email__v/VBLZ025E82GMZOP", "SE-000269771")</f>
        <v>SE-000269771</v>
      </c>
      <c r="D2664" s="1">
        <v>45916.477638888886</v>
      </c>
      <c r="E2664" s="2">
        <v>1</v>
      </c>
      <c r="F2664" s="2">
        <v>1</v>
      </c>
      <c r="G2664" s="2">
        <v>0</v>
      </c>
      <c r="H2664" s="1" t="s">
        <v>0</v>
      </c>
      <c r="I2664" s="2">
        <v>0</v>
      </c>
      <c r="J2664" s="1">
        <v>45915.378703703704</v>
      </c>
    </row>
    <row r="2665" spans="1:10" x14ac:dyDescent="0.2">
      <c r="A2665" s="4" t="s">
        <v>1</v>
      </c>
      <c r="B2665" s="3" t="str">
        <f>HYPERLINK("https://otsuka-europe-crm.veevavault.com/ui/#object/approved_document__v/V5OZ025E82TFUPI", "Spain - HCP Survey Email - June 2025")</f>
        <v>Spain - HCP Survey Email - June 2025</v>
      </c>
      <c r="C2665" s="3" t="str">
        <f>HYPERLINK("https://otsuka-europe-crm.veevavault.com/ui/#object/sent_email__v/VBLZ025E82GMZOQ", "SE-000269772")</f>
        <v>SE-000269772</v>
      </c>
      <c r="D2665" s="1">
        <v>45915.616076388891</v>
      </c>
      <c r="E2665" s="2">
        <v>1</v>
      </c>
      <c r="F2665" s="2">
        <v>1</v>
      </c>
      <c r="G2665" s="2">
        <v>0</v>
      </c>
      <c r="H2665" s="1" t="s">
        <v>0</v>
      </c>
      <c r="I2665" s="2">
        <v>0</v>
      </c>
      <c r="J2665" s="1">
        <v>45915.379155092596</v>
      </c>
    </row>
    <row r="2666" spans="1:10" x14ac:dyDescent="0.2">
      <c r="A2666" s="4" t="s">
        <v>1</v>
      </c>
      <c r="B2666" s="3" t="str">
        <f>HYPERLINK("https://otsuka-europe-crm.veevavault.com/ui/#object/approved_document__v/V5OZ025E82TFUPI", "Spain - HCP Survey Email - June 2025")</f>
        <v>Spain - HCP Survey Email - June 2025</v>
      </c>
      <c r="C2666" s="3" t="str">
        <f>HYPERLINK("https://otsuka-europe-crm.veevavault.com/ui/#object/sent_email__v/VBLZ025E82GMZOR", "SE-000269773")</f>
        <v>SE-000269773</v>
      </c>
      <c r="D2666" s="1">
        <v>45916.830474537041</v>
      </c>
      <c r="E2666" s="2">
        <v>1</v>
      </c>
      <c r="F2666" s="2">
        <v>2</v>
      </c>
      <c r="G2666" s="2">
        <v>0</v>
      </c>
      <c r="H2666" s="1" t="s">
        <v>0</v>
      </c>
      <c r="I2666" s="2">
        <v>0</v>
      </c>
      <c r="J2666" s="1">
        <v>45915.377835648149</v>
      </c>
    </row>
    <row r="2667" spans="1:10" x14ac:dyDescent="0.2">
      <c r="A2667" s="4" t="s">
        <v>1</v>
      </c>
      <c r="B2667" s="3" t="str">
        <f>HYPERLINK("https://otsuka-europe-crm.veevavault.com/ui/#object/approved_document__v/V5OZ025E82TFUPI", "Spain - HCP Survey Email - June 2025")</f>
        <v>Spain - HCP Survey Email - June 2025</v>
      </c>
      <c r="C2667" s="3" t="str">
        <f>HYPERLINK("https://otsuka-europe-crm.veevavault.com/ui/#object/sent_email__v/VBLZ025E82GMZOS", "SE-000269774")</f>
        <v>SE-000269774</v>
      </c>
      <c r="D2667" s="1">
        <v>45916.564502314817</v>
      </c>
      <c r="E2667" s="2">
        <v>1</v>
      </c>
      <c r="F2667" s="2">
        <v>1</v>
      </c>
      <c r="G2667" s="2">
        <v>0</v>
      </c>
      <c r="H2667" s="1" t="s">
        <v>0</v>
      </c>
      <c r="I2667" s="2">
        <v>0</v>
      </c>
      <c r="J2667" s="1">
        <v>45915.378287037034</v>
      </c>
    </row>
    <row r="2668" spans="1:10" x14ac:dyDescent="0.2">
      <c r="A2668" s="4" t="s">
        <v>1</v>
      </c>
      <c r="B2668" s="3" t="str">
        <f>HYPERLINK("https://otsuka-europe-crm.veevavault.com/ui/#object/approved_document__v/V5OZ025E82TFUPI", "Spain - HCP Survey Email - June 2025")</f>
        <v>Spain - HCP Survey Email - June 2025</v>
      </c>
      <c r="C2668" s="3" t="str">
        <f>HYPERLINK("https://otsuka-europe-crm.veevavault.com/ui/#object/sent_email__v/VBLZ025E82GMZOT", "SE-000269775")</f>
        <v>SE-000269775</v>
      </c>
      <c r="D2668" s="1">
        <v>45915.385011574072</v>
      </c>
      <c r="E2668" s="2">
        <v>1</v>
      </c>
      <c r="F2668" s="2">
        <v>1</v>
      </c>
      <c r="G2668" s="2">
        <v>0</v>
      </c>
      <c r="H2668" s="1" t="s">
        <v>0</v>
      </c>
      <c r="I2668" s="2">
        <v>0</v>
      </c>
      <c r="J2668" s="1">
        <v>45915.378055555557</v>
      </c>
    </row>
    <row r="2669" spans="1:10" x14ac:dyDescent="0.2">
      <c r="A2669" s="4" t="s">
        <v>1</v>
      </c>
      <c r="B2669" s="3" t="str">
        <f>HYPERLINK("https://otsuka-europe-crm.veevavault.com/ui/#object/approved_document__v/V5OZ025E82TFUPI", "Spain - HCP Survey Email - June 2025")</f>
        <v>Spain - HCP Survey Email - June 2025</v>
      </c>
      <c r="C2669" s="3" t="str">
        <f>HYPERLINK("https://otsuka-europe-crm.veevavault.com/ui/#object/sent_email__v/VBLZ025E82GMZOU", "SE-000269776")</f>
        <v>SE-000269776</v>
      </c>
      <c r="D2669" s="1" t="s">
        <v>0</v>
      </c>
      <c r="E2669" s="2">
        <v>0</v>
      </c>
      <c r="F2669" s="2">
        <v>0</v>
      </c>
      <c r="G2669" s="2">
        <v>0</v>
      </c>
      <c r="H2669" s="1" t="s">
        <v>0</v>
      </c>
      <c r="I2669" s="2">
        <v>0</v>
      </c>
      <c r="J2669" s="1">
        <v>45915.378541666665</v>
      </c>
    </row>
    <row r="2670" spans="1:10" x14ac:dyDescent="0.2">
      <c r="A2670" s="4" t="s">
        <v>1</v>
      </c>
      <c r="B2670" s="3" t="str">
        <f>HYPERLINK("https://otsuka-europe-crm.veevavault.com/ui/#object/approved_document__v/V5OZ025E82TFUPI", "Spain - HCP Survey Email - June 2025")</f>
        <v>Spain - HCP Survey Email - June 2025</v>
      </c>
      <c r="C2670" s="3" t="str">
        <f>HYPERLINK("https://otsuka-europe-crm.veevavault.com/ui/#object/sent_email__v/VBLZ025E82GMZOV", "SE-000269777")</f>
        <v>SE-000269777</v>
      </c>
      <c r="D2670" s="1">
        <v>45915.879988425928</v>
      </c>
      <c r="E2670" s="2">
        <v>1</v>
      </c>
      <c r="F2670" s="2">
        <v>2</v>
      </c>
      <c r="G2670" s="2">
        <v>0</v>
      </c>
      <c r="H2670" s="1" t="s">
        <v>0</v>
      </c>
      <c r="I2670" s="2">
        <v>0</v>
      </c>
      <c r="J2670" s="1">
        <v>45915.380011574074</v>
      </c>
    </row>
    <row r="2671" spans="1:10" x14ac:dyDescent="0.2">
      <c r="A2671" s="4" t="s">
        <v>1</v>
      </c>
      <c r="B2671" s="3" t="str">
        <f>HYPERLINK("https://otsuka-europe-crm.veevavault.com/ui/#object/approved_document__v/V5OZ025E82TFUPI", "Spain - HCP Survey Email - June 2025")</f>
        <v>Spain - HCP Survey Email - June 2025</v>
      </c>
      <c r="C2671" s="3" t="str">
        <f>HYPERLINK("https://otsuka-europe-crm.veevavault.com/ui/#object/sent_email__v/VBLZ025E82GMZOW", "SE-000269778")</f>
        <v>SE-000269778</v>
      </c>
      <c r="D2671" s="1" t="s">
        <v>0</v>
      </c>
      <c r="E2671" s="2">
        <v>0</v>
      </c>
      <c r="F2671" s="2">
        <v>0</v>
      </c>
      <c r="G2671" s="2">
        <v>0</v>
      </c>
      <c r="H2671" s="1" t="s">
        <v>0</v>
      </c>
      <c r="I2671" s="2">
        <v>0</v>
      </c>
      <c r="J2671" s="1">
        <v>45915.377754629626</v>
      </c>
    </row>
    <row r="2672" spans="1:10" x14ac:dyDescent="0.2">
      <c r="A2672" s="4" t="s">
        <v>1</v>
      </c>
      <c r="B2672" s="3" t="str">
        <f>HYPERLINK("https://otsuka-europe-crm.veevavault.com/ui/#object/approved_document__v/V5OZ025E82TFUPI", "Spain - HCP Survey Email - June 2025")</f>
        <v>Spain - HCP Survey Email - June 2025</v>
      </c>
      <c r="C2672" s="3" t="str">
        <f>HYPERLINK("https://otsuka-europe-crm.veevavault.com/ui/#object/sent_email__v/VBLZ025E82GMZOX", "SE-000269779")</f>
        <v>SE-000269779</v>
      </c>
      <c r="D2672" s="1" t="s">
        <v>0</v>
      </c>
      <c r="E2672" s="2">
        <v>0</v>
      </c>
      <c r="F2672" s="2">
        <v>0</v>
      </c>
      <c r="G2672" s="2">
        <v>0</v>
      </c>
      <c r="H2672" s="1" t="s">
        <v>0</v>
      </c>
      <c r="I2672" s="2">
        <v>0</v>
      </c>
      <c r="J2672" s="1">
        <v>45915.377685185187</v>
      </c>
    </row>
    <row r="2673" spans="1:10" x14ac:dyDescent="0.2">
      <c r="A2673" s="4" t="s">
        <v>1</v>
      </c>
      <c r="B2673" s="3" t="str">
        <f>HYPERLINK("https://otsuka-europe-crm.veevavault.com/ui/#object/approved_document__v/V5OZ025E82TFUPI", "Spain - HCP Survey Email - June 2025")</f>
        <v>Spain - HCP Survey Email - June 2025</v>
      </c>
      <c r="C2673" s="3" t="str">
        <f>HYPERLINK("https://otsuka-europe-crm.veevavault.com/ui/#object/sent_email__v/VBLZ025E82GMZOY", "SE-000269780")</f>
        <v>SE-000269780</v>
      </c>
      <c r="D2673" s="1">
        <v>45915.470150462963</v>
      </c>
      <c r="E2673" s="2">
        <v>1</v>
      </c>
      <c r="F2673" s="2">
        <v>1</v>
      </c>
      <c r="G2673" s="2">
        <v>0</v>
      </c>
      <c r="H2673" s="1" t="s">
        <v>0</v>
      </c>
      <c r="I2673" s="2">
        <v>0</v>
      </c>
      <c r="J2673" s="1">
        <v>45915.378321759257</v>
      </c>
    </row>
    <row r="2674" spans="1:10" x14ac:dyDescent="0.2">
      <c r="A2674" s="4" t="s">
        <v>1</v>
      </c>
      <c r="B2674" s="3" t="str">
        <f>HYPERLINK("https://otsuka-europe-crm.veevavault.com/ui/#object/approved_document__v/V5OZ025E82TFUPI", "Spain - HCP Survey Email - June 2025")</f>
        <v>Spain - HCP Survey Email - June 2025</v>
      </c>
      <c r="C2674" s="3" t="str">
        <f>HYPERLINK("https://otsuka-europe-crm.veevavault.com/ui/#object/sent_email__v/VBLZ025E82GMZOZ", "SE-000269781")</f>
        <v>SE-000269781</v>
      </c>
      <c r="D2674" s="1" t="s">
        <v>0</v>
      </c>
      <c r="E2674" s="2">
        <v>0</v>
      </c>
      <c r="F2674" s="2">
        <v>0</v>
      </c>
      <c r="G2674" s="2">
        <v>0</v>
      </c>
      <c r="H2674" s="1" t="s">
        <v>0</v>
      </c>
      <c r="I2674" s="2">
        <v>0</v>
      </c>
      <c r="J2674" s="1">
        <v>45915.378807870373</v>
      </c>
    </row>
    <row r="2675" spans="1:10" x14ac:dyDescent="0.2">
      <c r="A2675" s="4" t="s">
        <v>1</v>
      </c>
      <c r="B2675" s="3" t="str">
        <f>HYPERLINK("https://otsuka-europe-crm.veevavault.com/ui/#object/approved_document__v/V5OZ025E82TFUPI", "Spain - HCP Survey Email - June 2025")</f>
        <v>Spain - HCP Survey Email - June 2025</v>
      </c>
      <c r="C2675" s="3" t="str">
        <f>HYPERLINK("https://otsuka-europe-crm.veevavault.com/ui/#object/sent_email__v/VBLZ025E82GMZP0", "SE-000269782")</f>
        <v>SE-000269782</v>
      </c>
      <c r="D2675" s="1" t="s">
        <v>0</v>
      </c>
      <c r="E2675" s="2">
        <v>0</v>
      </c>
      <c r="F2675" s="2">
        <v>0</v>
      </c>
      <c r="G2675" s="2">
        <v>0</v>
      </c>
      <c r="H2675" s="1" t="s">
        <v>0</v>
      </c>
      <c r="I2675" s="2">
        <v>0</v>
      </c>
      <c r="J2675" s="1">
        <v>45915.378622685188</v>
      </c>
    </row>
    <row r="2676" spans="1:10" x14ac:dyDescent="0.2">
      <c r="A2676" s="4" t="s">
        <v>1</v>
      </c>
      <c r="B2676" s="3" t="str">
        <f>HYPERLINK("https://otsuka-europe-crm.veevavault.com/ui/#object/approved_document__v/V5OZ025E82TFUPI", "Spain - HCP Survey Email - June 2025")</f>
        <v>Spain - HCP Survey Email - June 2025</v>
      </c>
      <c r="C2676" s="3" t="str">
        <f>HYPERLINK("https://otsuka-europe-crm.veevavault.com/ui/#object/sent_email__v/VBLZ025E82GMZP1", "SE-000269783")</f>
        <v>SE-000269783</v>
      </c>
      <c r="D2676" s="1" t="s">
        <v>0</v>
      </c>
      <c r="E2676" s="2">
        <v>0</v>
      </c>
      <c r="F2676" s="2">
        <v>0</v>
      </c>
      <c r="G2676" s="2">
        <v>0</v>
      </c>
      <c r="H2676" s="1" t="s">
        <v>0</v>
      </c>
      <c r="I2676" s="2">
        <v>0</v>
      </c>
      <c r="J2676" s="1">
        <v>45915.379108796296</v>
      </c>
    </row>
    <row r="2677" spans="1:10" x14ac:dyDescent="0.2">
      <c r="A2677" s="4" t="s">
        <v>1</v>
      </c>
      <c r="B2677" s="3" t="str">
        <f>HYPERLINK("https://otsuka-europe-crm.veevavault.com/ui/#object/approved_document__v/V5OZ025E82TFUPI", "Spain - HCP Survey Email - June 2025")</f>
        <v>Spain - HCP Survey Email - June 2025</v>
      </c>
      <c r="C2677" s="3" t="str">
        <f>HYPERLINK("https://otsuka-europe-crm.veevavault.com/ui/#object/sent_email__v/VBLZ025E82GMZP2", "SE-000269784")</f>
        <v>SE-000269784</v>
      </c>
      <c r="D2677" s="1" t="s">
        <v>0</v>
      </c>
      <c r="E2677" s="2">
        <v>0</v>
      </c>
      <c r="F2677" s="2">
        <v>0</v>
      </c>
      <c r="G2677" s="2">
        <v>0</v>
      </c>
      <c r="H2677" s="1" t="s">
        <v>0</v>
      </c>
      <c r="I2677" s="2">
        <v>0</v>
      </c>
      <c r="J2677" s="1">
        <v>45915.377824074072</v>
      </c>
    </row>
    <row r="2678" spans="1:10" x14ac:dyDescent="0.2">
      <c r="A2678" s="4" t="s">
        <v>1</v>
      </c>
      <c r="B2678" s="3" t="str">
        <f>HYPERLINK("https://otsuka-europe-crm.veevavault.com/ui/#object/approved_document__v/V5OZ025E82TFUPI", "Spain - HCP Survey Email - June 2025")</f>
        <v>Spain - HCP Survey Email - June 2025</v>
      </c>
      <c r="C2678" s="3" t="str">
        <f>HYPERLINK("https://otsuka-europe-crm.veevavault.com/ui/#object/sent_email__v/VBLZ025E82GMZP3", "SE-000269785")</f>
        <v>SE-000269785</v>
      </c>
      <c r="D2678" s="1">
        <v>45916.265092592592</v>
      </c>
      <c r="E2678" s="2">
        <v>1</v>
      </c>
      <c r="F2678" s="2">
        <v>1</v>
      </c>
      <c r="G2678" s="2">
        <v>0</v>
      </c>
      <c r="H2678" s="1" t="s">
        <v>0</v>
      </c>
      <c r="I2678" s="2">
        <v>0</v>
      </c>
      <c r="J2678" s="1">
        <v>45915.378310185188</v>
      </c>
    </row>
    <row r="2679" spans="1:10" x14ac:dyDescent="0.2">
      <c r="A2679" s="4" t="s">
        <v>1</v>
      </c>
      <c r="B2679" s="3" t="str">
        <f>HYPERLINK("https://otsuka-europe-crm.veevavault.com/ui/#object/approved_document__v/V5OZ025E82TFUPI", "Spain - HCP Survey Email - June 2025")</f>
        <v>Spain - HCP Survey Email - June 2025</v>
      </c>
      <c r="C2679" s="3" t="str">
        <f>HYPERLINK("https://otsuka-europe-crm.veevavault.com/ui/#object/sent_email__v/VBLZ025E82GMZP4", "SE-000269786")</f>
        <v>SE-000269786</v>
      </c>
      <c r="D2679" s="1" t="s">
        <v>0</v>
      </c>
      <c r="E2679" s="2">
        <v>0</v>
      </c>
      <c r="F2679" s="2">
        <v>0</v>
      </c>
      <c r="G2679" s="2">
        <v>0</v>
      </c>
      <c r="H2679" s="1" t="s">
        <v>0</v>
      </c>
      <c r="I2679" s="2">
        <v>0</v>
      </c>
      <c r="J2679" s="1">
        <v>45915.378078703703</v>
      </c>
    </row>
    <row r="2680" spans="1:10" x14ac:dyDescent="0.2">
      <c r="A2680" s="4" t="s">
        <v>1</v>
      </c>
      <c r="B2680" s="3" t="str">
        <f>HYPERLINK("https://otsuka-europe-crm.veevavault.com/ui/#object/approved_document__v/V5OZ025E82TFUPI", "Spain - HCP Survey Email - June 2025")</f>
        <v>Spain - HCP Survey Email - June 2025</v>
      </c>
      <c r="C2680" s="3" t="str">
        <f>HYPERLINK("https://otsuka-europe-crm.veevavault.com/ui/#object/sent_email__v/VBLZ025E82GMZP5", "SE-000269787")</f>
        <v>SE-000269787</v>
      </c>
      <c r="D2680" s="1" t="s">
        <v>0</v>
      </c>
      <c r="E2680" s="2">
        <v>0</v>
      </c>
      <c r="F2680" s="2">
        <v>0</v>
      </c>
      <c r="G2680" s="2">
        <v>0</v>
      </c>
      <c r="H2680" s="1" t="s">
        <v>0</v>
      </c>
      <c r="I2680" s="2">
        <v>0</v>
      </c>
      <c r="J2680" s="1">
        <v>45915.378518518519</v>
      </c>
    </row>
    <row r="2681" spans="1:10" x14ac:dyDescent="0.2">
      <c r="A2681" s="4" t="s">
        <v>1</v>
      </c>
      <c r="B2681" s="3" t="str">
        <f>HYPERLINK("https://otsuka-europe-crm.veevavault.com/ui/#object/approved_document__v/V5OZ025E82TFUPI", "Spain - HCP Survey Email - June 2025")</f>
        <v>Spain - HCP Survey Email - June 2025</v>
      </c>
      <c r="C2681" s="3" t="str">
        <f>HYPERLINK("https://otsuka-europe-crm.veevavault.com/ui/#object/sent_email__v/VBLZ025E82GMZP6", "SE-000269788")</f>
        <v>SE-000269788</v>
      </c>
      <c r="D2681" s="1">
        <v>45915.842638888891</v>
      </c>
      <c r="E2681" s="2">
        <v>1</v>
      </c>
      <c r="F2681" s="2">
        <v>1</v>
      </c>
      <c r="G2681" s="2">
        <v>0</v>
      </c>
      <c r="H2681" s="1" t="s">
        <v>0</v>
      </c>
      <c r="I2681" s="2">
        <v>0</v>
      </c>
      <c r="J2681" s="1">
        <v>45915.379930555559</v>
      </c>
    </row>
    <row r="2682" spans="1:10" x14ac:dyDescent="0.2">
      <c r="A2682" s="4" t="s">
        <v>1</v>
      </c>
      <c r="B2682" s="3" t="str">
        <f>HYPERLINK("https://otsuka-europe-crm.veevavault.com/ui/#object/approved_document__v/V5OZ025E82TFUPI", "Spain - HCP Survey Email - June 2025")</f>
        <v>Spain - HCP Survey Email - June 2025</v>
      </c>
      <c r="C2682" s="3" t="str">
        <f>HYPERLINK("https://otsuka-europe-crm.veevavault.com/ui/#object/sent_email__v/VBLZ025E82GMZP7", "SE-000269789")</f>
        <v>SE-000269789</v>
      </c>
      <c r="D2682" s="1" t="s">
        <v>0</v>
      </c>
      <c r="E2682" s="2">
        <v>0</v>
      </c>
      <c r="F2682" s="2">
        <v>0</v>
      </c>
      <c r="G2682" s="2">
        <v>0</v>
      </c>
      <c r="H2682" s="1" t="s">
        <v>0</v>
      </c>
      <c r="I2682" s="2">
        <v>0</v>
      </c>
      <c r="J2682" s="1">
        <v>45915.377754629626</v>
      </c>
    </row>
    <row r="2683" spans="1:10" x14ac:dyDescent="0.2">
      <c r="A2683" s="4" t="s">
        <v>1</v>
      </c>
      <c r="B2683" s="3" t="str">
        <f>HYPERLINK("https://otsuka-europe-crm.veevavault.com/ui/#object/approved_document__v/V5OZ025E82TFUPI", "Spain - HCP Survey Email - June 2025")</f>
        <v>Spain - HCP Survey Email - June 2025</v>
      </c>
      <c r="C2683" s="3" t="str">
        <f>HYPERLINK("https://otsuka-europe-crm.veevavault.com/ui/#object/sent_email__v/VBLZ025E82GMZP8", "SE-000269790")</f>
        <v>SE-000269790</v>
      </c>
      <c r="D2683" s="1">
        <v>45917.396562499998</v>
      </c>
      <c r="E2683" s="2">
        <v>1</v>
      </c>
      <c r="F2683" s="2">
        <v>1</v>
      </c>
      <c r="G2683" s="2">
        <v>0</v>
      </c>
      <c r="H2683" s="1" t="s">
        <v>0</v>
      </c>
      <c r="I2683" s="2">
        <v>0</v>
      </c>
      <c r="J2683" s="1">
        <v>45915.377627314818</v>
      </c>
    </row>
    <row r="2684" spans="1:10" x14ac:dyDescent="0.2">
      <c r="A2684" s="4" t="s">
        <v>1</v>
      </c>
      <c r="B2684" s="3" t="str">
        <f>HYPERLINK("https://otsuka-europe-crm.veevavault.com/ui/#object/approved_document__v/V5OZ025E82TFUPI", "Spain - HCP Survey Email - June 2025")</f>
        <v>Spain - HCP Survey Email - June 2025</v>
      </c>
      <c r="C2684" s="3" t="str">
        <f>HYPERLINK("https://otsuka-europe-crm.veevavault.com/ui/#object/sent_email__v/VBLZ025E82GMZP9", "SE-000269791")</f>
        <v>SE-000269791</v>
      </c>
      <c r="D2684" s="1" t="s">
        <v>0</v>
      </c>
      <c r="E2684" s="2">
        <v>0</v>
      </c>
      <c r="F2684" s="2">
        <v>0</v>
      </c>
      <c r="G2684" s="2">
        <v>0</v>
      </c>
      <c r="H2684" s="1" t="s">
        <v>0</v>
      </c>
      <c r="I2684" s="2">
        <v>0</v>
      </c>
      <c r="J2684" s="1">
        <v>45915.378321759257</v>
      </c>
    </row>
    <row r="2685" spans="1:10" x14ac:dyDescent="0.2">
      <c r="A2685" s="4" t="s">
        <v>1</v>
      </c>
      <c r="B2685" s="3" t="str">
        <f>HYPERLINK("https://otsuka-europe-crm.veevavault.com/ui/#object/approved_document__v/V5OZ025E82TFUPI", "Spain - HCP Survey Email - June 2025")</f>
        <v>Spain - HCP Survey Email - June 2025</v>
      </c>
      <c r="C2685" s="3" t="str">
        <f>HYPERLINK("https://otsuka-europe-crm.veevavault.com/ui/#object/sent_email__v/VBLZ025E82GMZPA", "SE-000269792")</f>
        <v>SE-000269792</v>
      </c>
      <c r="D2685" s="1">
        <v>45915.400729166664</v>
      </c>
      <c r="E2685" s="2">
        <v>1</v>
      </c>
      <c r="F2685" s="2">
        <v>1</v>
      </c>
      <c r="G2685" s="2">
        <v>0</v>
      </c>
      <c r="H2685" s="1" t="s">
        <v>0</v>
      </c>
      <c r="I2685" s="2">
        <v>0</v>
      </c>
      <c r="J2685" s="1">
        <v>45915.378796296296</v>
      </c>
    </row>
    <row r="2686" spans="1:10" x14ac:dyDescent="0.2">
      <c r="A2686" s="4" t="s">
        <v>1</v>
      </c>
      <c r="B2686" s="3" t="str">
        <f>HYPERLINK("https://otsuka-europe-crm.veevavault.com/ui/#object/approved_document__v/V5OZ025E82TFUPI", "Spain - HCP Survey Email - June 2025")</f>
        <v>Spain - HCP Survey Email - June 2025</v>
      </c>
      <c r="C2686" s="3" t="str">
        <f>HYPERLINK("https://otsuka-europe-crm.veevavault.com/ui/#object/sent_email__v/VBLZ025E82GMZPB", "SE-000269793")</f>
        <v>SE-000269793</v>
      </c>
      <c r="D2686" s="1">
        <v>45915.626423611109</v>
      </c>
      <c r="E2686" s="2">
        <v>1</v>
      </c>
      <c r="F2686" s="2">
        <v>1</v>
      </c>
      <c r="G2686" s="2">
        <v>0</v>
      </c>
      <c r="H2686" s="1" t="s">
        <v>0</v>
      </c>
      <c r="I2686" s="2">
        <v>0</v>
      </c>
      <c r="J2686" s="1">
        <v>45915.378750000003</v>
      </c>
    </row>
    <row r="2687" spans="1:10" x14ac:dyDescent="0.2">
      <c r="A2687" s="4" t="s">
        <v>1</v>
      </c>
      <c r="B2687" s="3" t="str">
        <f>HYPERLINK("https://otsuka-europe-crm.veevavault.com/ui/#object/approved_document__v/V5OZ025E82TFUPI", "Spain - HCP Survey Email - June 2025")</f>
        <v>Spain - HCP Survey Email - June 2025</v>
      </c>
      <c r="C2687" s="3" t="str">
        <f>HYPERLINK("https://otsuka-europe-crm.veevavault.com/ui/#object/sent_email__v/VBLZ025E82GMZPC", "SE-000269794")</f>
        <v>SE-000269794</v>
      </c>
      <c r="D2687" s="1" t="s">
        <v>0</v>
      </c>
      <c r="E2687" s="2">
        <v>0</v>
      </c>
      <c r="F2687" s="2">
        <v>0</v>
      </c>
      <c r="G2687" s="2">
        <v>0</v>
      </c>
      <c r="H2687" s="1" t="s">
        <v>0</v>
      </c>
      <c r="I2687" s="2">
        <v>0</v>
      </c>
      <c r="J2687" s="1">
        <v>45915.37777777778</v>
      </c>
    </row>
    <row r="2688" spans="1:10" x14ac:dyDescent="0.2">
      <c r="A2688" s="4" t="s">
        <v>1</v>
      </c>
      <c r="B2688" s="3" t="str">
        <f>HYPERLINK("https://otsuka-europe-crm.veevavault.com/ui/#object/approved_document__v/V5OZ025E82TFUPI", "Spain - HCP Survey Email - June 2025")</f>
        <v>Spain - HCP Survey Email - June 2025</v>
      </c>
      <c r="C2688" s="3" t="str">
        <f>HYPERLINK("https://otsuka-europe-crm.veevavault.com/ui/#object/sent_email__v/VBLZ025E82GMZPD", "SE-000269795")</f>
        <v>SE-000269795</v>
      </c>
      <c r="D2688" s="1" t="s">
        <v>0</v>
      </c>
      <c r="E2688" s="2">
        <v>0</v>
      </c>
      <c r="F2688" s="2">
        <v>0</v>
      </c>
      <c r="G2688" s="2">
        <v>0</v>
      </c>
      <c r="H2688" s="1" t="s">
        <v>0</v>
      </c>
      <c r="I2688" s="2">
        <v>0</v>
      </c>
      <c r="J2688" s="1">
        <v>45915.377627314818</v>
      </c>
    </row>
    <row r="2689" spans="1:10" x14ac:dyDescent="0.2">
      <c r="A2689" s="4" t="s">
        <v>1</v>
      </c>
      <c r="B2689" s="3" t="str">
        <f>HYPERLINK("https://otsuka-europe-crm.veevavault.com/ui/#object/approved_document__v/V5OZ025E82TFUPI", "Spain - HCP Survey Email - June 2025")</f>
        <v>Spain - HCP Survey Email - June 2025</v>
      </c>
      <c r="C2689" s="3" t="str">
        <f>HYPERLINK("https://otsuka-europe-crm.veevavault.com/ui/#object/sent_email__v/VBLZ025E82GMZPE", "SE-000269796")</f>
        <v>SE-000269796</v>
      </c>
      <c r="D2689" s="1">
        <v>46036.415555555555</v>
      </c>
      <c r="E2689" s="2">
        <v>1</v>
      </c>
      <c r="F2689" s="2">
        <v>4</v>
      </c>
      <c r="G2689" s="2">
        <v>0</v>
      </c>
      <c r="H2689" s="1" t="s">
        <v>0</v>
      </c>
      <c r="I2689" s="2">
        <v>0</v>
      </c>
      <c r="J2689" s="1">
        <v>45915.37835648148</v>
      </c>
    </row>
    <row r="2690" spans="1:10" x14ac:dyDescent="0.2">
      <c r="A2690" s="4" t="s">
        <v>1</v>
      </c>
      <c r="B2690" s="3" t="str">
        <f>HYPERLINK("https://otsuka-europe-crm.veevavault.com/ui/#object/approved_document__v/V5OZ025E82TFUPI", "Spain - HCP Survey Email - June 2025")</f>
        <v>Spain - HCP Survey Email - June 2025</v>
      </c>
      <c r="C2690" s="3" t="str">
        <f>HYPERLINK("https://otsuka-europe-crm.veevavault.com/ui/#object/sent_email__v/VBLZ025E82GMZPF", "SE-000269797")</f>
        <v>SE-000269797</v>
      </c>
      <c r="D2690" s="1">
        <v>45915.666122685187</v>
      </c>
      <c r="E2690" s="2">
        <v>1</v>
      </c>
      <c r="F2690" s="2">
        <v>4</v>
      </c>
      <c r="G2690" s="2">
        <v>1</v>
      </c>
      <c r="H2690" s="1">
        <v>45915.666585648149</v>
      </c>
      <c r="I2690" s="2">
        <v>1</v>
      </c>
      <c r="J2690" s="1">
        <v>45915.378796296296</v>
      </c>
    </row>
    <row r="2691" spans="1:10" x14ac:dyDescent="0.2">
      <c r="A2691" s="4" t="s">
        <v>1</v>
      </c>
      <c r="B2691" s="3" t="str">
        <f>HYPERLINK("https://otsuka-europe-crm.veevavault.com/ui/#object/approved_document__v/V5OZ025E82TFUPI", "Spain - HCP Survey Email - June 2025")</f>
        <v>Spain - HCP Survey Email - June 2025</v>
      </c>
      <c r="C2691" s="3" t="str">
        <f>HYPERLINK("https://otsuka-europe-crm.veevavault.com/ui/#object/sent_email__v/VBLZ025E82GMZPG", "SE-000269798")</f>
        <v>SE-000269798</v>
      </c>
      <c r="D2691" s="1" t="s">
        <v>0</v>
      </c>
      <c r="E2691" s="2">
        <v>0</v>
      </c>
      <c r="F2691" s="2">
        <v>0</v>
      </c>
      <c r="G2691" s="2">
        <v>0</v>
      </c>
      <c r="H2691" s="1" t="s">
        <v>0</v>
      </c>
      <c r="I2691" s="2">
        <v>0</v>
      </c>
      <c r="J2691" s="1">
        <v>45915.378657407404</v>
      </c>
    </row>
    <row r="2692" spans="1:10" x14ac:dyDescent="0.2">
      <c r="A2692" s="4" t="s">
        <v>1</v>
      </c>
      <c r="B2692" s="3" t="str">
        <f>HYPERLINK("https://otsuka-europe-crm.veevavault.com/ui/#object/approved_document__v/V5OZ025E82TFUPI", "Spain - HCP Survey Email - June 2025")</f>
        <v>Spain - HCP Survey Email - June 2025</v>
      </c>
      <c r="C2692" s="3" t="str">
        <f>HYPERLINK("https://otsuka-europe-crm.veevavault.com/ui/#object/sent_email__v/VBLZ025E82GMZPH", "SE-000269799")</f>
        <v>SE-000269799</v>
      </c>
      <c r="D2692" s="1" t="s">
        <v>0</v>
      </c>
      <c r="E2692" s="2">
        <v>0</v>
      </c>
      <c r="F2692" s="2">
        <v>0</v>
      </c>
      <c r="G2692" s="2">
        <v>0</v>
      </c>
      <c r="H2692" s="1" t="s">
        <v>0</v>
      </c>
      <c r="I2692" s="2">
        <v>0</v>
      </c>
      <c r="J2692" s="1">
        <v>45915.379062499997</v>
      </c>
    </row>
    <row r="2693" spans="1:10" x14ac:dyDescent="0.2">
      <c r="A2693" s="4" t="s">
        <v>1</v>
      </c>
      <c r="B2693" s="3" t="str">
        <f>HYPERLINK("https://otsuka-europe-crm.veevavault.com/ui/#object/approved_document__v/V5OZ025E82TFUPI", "Spain - HCP Survey Email - June 2025")</f>
        <v>Spain - HCP Survey Email - June 2025</v>
      </c>
      <c r="C2693" s="3" t="str">
        <f>HYPERLINK("https://otsuka-europe-crm.veevavault.com/ui/#object/sent_email__v/VBLZ025E82GMZPI", "SE-000269800")</f>
        <v>SE-000269800</v>
      </c>
      <c r="D2693" s="1" t="s">
        <v>0</v>
      </c>
      <c r="E2693" s="2">
        <v>0</v>
      </c>
      <c r="F2693" s="2">
        <v>0</v>
      </c>
      <c r="G2693" s="2">
        <v>0</v>
      </c>
      <c r="H2693" s="1" t="s">
        <v>0</v>
      </c>
      <c r="I2693" s="2">
        <v>0</v>
      </c>
      <c r="J2693" s="1">
        <v>45915.377870370372</v>
      </c>
    </row>
    <row r="2694" spans="1:10" x14ac:dyDescent="0.2">
      <c r="A2694" s="4" t="s">
        <v>1</v>
      </c>
      <c r="B2694" s="3" t="str">
        <f>HYPERLINK("https://otsuka-europe-crm.veevavault.com/ui/#object/approved_document__v/V5OZ025E82TFUPI", "Spain - HCP Survey Email - June 2025")</f>
        <v>Spain - HCP Survey Email - June 2025</v>
      </c>
      <c r="C2694" s="3" t="str">
        <f>HYPERLINK("https://otsuka-europe-crm.veevavault.com/ui/#object/sent_email__v/VBLZ025E82GMZPJ", "SE-000269801")</f>
        <v>SE-000269801</v>
      </c>
      <c r="D2694" s="1" t="s">
        <v>0</v>
      </c>
      <c r="E2694" s="2">
        <v>0</v>
      </c>
      <c r="F2694" s="2">
        <v>0</v>
      </c>
      <c r="G2694" s="2">
        <v>0</v>
      </c>
      <c r="H2694" s="1" t="s">
        <v>0</v>
      </c>
      <c r="I2694" s="2">
        <v>0</v>
      </c>
      <c r="J2694" s="1">
        <v>45915.378298611111</v>
      </c>
    </row>
    <row r="2695" spans="1:10" x14ac:dyDescent="0.2">
      <c r="A2695" s="4" t="s">
        <v>1</v>
      </c>
      <c r="B2695" s="3" t="str">
        <f>HYPERLINK("https://otsuka-europe-crm.veevavault.com/ui/#object/approved_document__v/V5OZ025E82TFUPI", "Spain - HCP Survey Email - June 2025")</f>
        <v>Spain - HCP Survey Email - June 2025</v>
      </c>
      <c r="C2695" s="3" t="str">
        <f>HYPERLINK("https://otsuka-europe-crm.veevavault.com/ui/#object/sent_email__v/VBLZ025E82GMZPK", "SE-000269802")</f>
        <v>SE-000269802</v>
      </c>
      <c r="D2695" s="1">
        <v>45920.507037037038</v>
      </c>
      <c r="E2695" s="2">
        <v>1</v>
      </c>
      <c r="F2695" s="2">
        <v>1</v>
      </c>
      <c r="G2695" s="2">
        <v>0</v>
      </c>
      <c r="H2695" s="1" t="s">
        <v>0</v>
      </c>
      <c r="I2695" s="2">
        <v>0</v>
      </c>
      <c r="J2695" s="1">
        <v>45915.37809027778</v>
      </c>
    </row>
    <row r="2696" spans="1:10" x14ac:dyDescent="0.2">
      <c r="A2696" s="4" t="s">
        <v>1</v>
      </c>
      <c r="B2696" s="3" t="str">
        <f>HYPERLINK("https://otsuka-europe-crm.veevavault.com/ui/#object/approved_document__v/V5OZ025E82TFUPI", "Spain - HCP Survey Email - June 2025")</f>
        <v>Spain - HCP Survey Email - June 2025</v>
      </c>
      <c r="C2696" s="3" t="str">
        <f>HYPERLINK("https://otsuka-europe-crm.veevavault.com/ui/#object/sent_email__v/VBLZ025E82GMZPL", "SE-000269803")</f>
        <v>SE-000269803</v>
      </c>
      <c r="D2696" s="1">
        <v>45932.871412037035</v>
      </c>
      <c r="E2696" s="2">
        <v>1</v>
      </c>
      <c r="F2696" s="2">
        <v>1</v>
      </c>
      <c r="G2696" s="2">
        <v>0</v>
      </c>
      <c r="H2696" s="1" t="s">
        <v>0</v>
      </c>
      <c r="I2696" s="2">
        <v>0</v>
      </c>
      <c r="J2696" s="1">
        <v>45915.378518518519</v>
      </c>
    </row>
    <row r="2697" spans="1:10" x14ac:dyDescent="0.2">
      <c r="A2697" s="4" t="s">
        <v>1</v>
      </c>
      <c r="B2697" s="3" t="str">
        <f>HYPERLINK("https://otsuka-europe-crm.veevavault.com/ui/#object/approved_document__v/V5OZ025E82TFUPI", "Spain - HCP Survey Email - June 2025")</f>
        <v>Spain - HCP Survey Email - June 2025</v>
      </c>
      <c r="C2697" s="3" t="str">
        <f>HYPERLINK("https://otsuka-europe-crm.veevavault.com/ui/#object/sent_email__v/VBLZ025E82GMZPM", "SE-000269804")</f>
        <v>SE-000269804</v>
      </c>
      <c r="D2697" s="1">
        <v>45915.63890046296</v>
      </c>
      <c r="E2697" s="2">
        <v>1</v>
      </c>
      <c r="F2697" s="2">
        <v>1</v>
      </c>
      <c r="G2697" s="2">
        <v>0</v>
      </c>
      <c r="H2697" s="1" t="s">
        <v>0</v>
      </c>
      <c r="I2697" s="2">
        <v>0</v>
      </c>
      <c r="J2697" s="1">
        <v>45915.379837962966</v>
      </c>
    </row>
    <row r="2698" spans="1:10" x14ac:dyDescent="0.2">
      <c r="A2698" s="4" t="s">
        <v>1</v>
      </c>
      <c r="B2698" s="3" t="str">
        <f>HYPERLINK("https://otsuka-europe-crm.veevavault.com/ui/#object/approved_document__v/V5OZ025E82TFUPI", "Spain - HCP Survey Email - June 2025")</f>
        <v>Spain - HCP Survey Email - June 2025</v>
      </c>
      <c r="C2698" s="3" t="str">
        <f>HYPERLINK("https://otsuka-europe-crm.veevavault.com/ui/#object/sent_email__v/VBLZ025E82GMZPN", "SE-000269805")</f>
        <v>SE-000269805</v>
      </c>
      <c r="D2698" s="1" t="s">
        <v>0</v>
      </c>
      <c r="E2698" s="2">
        <v>0</v>
      </c>
      <c r="F2698" s="2">
        <v>0</v>
      </c>
      <c r="G2698" s="2">
        <v>0</v>
      </c>
      <c r="H2698" s="1" t="s">
        <v>0</v>
      </c>
      <c r="I2698" s="2">
        <v>0</v>
      </c>
      <c r="J2698" s="1">
        <v>45915.377835648149</v>
      </c>
    </row>
    <row r="2699" spans="1:10" x14ac:dyDescent="0.2">
      <c r="A2699" s="4" t="s">
        <v>1</v>
      </c>
      <c r="B2699" s="3" t="str">
        <f>HYPERLINK("https://otsuka-europe-crm.veevavault.com/ui/#object/approved_document__v/V5OZ025E82TFUPI", "Spain - HCP Survey Email - June 2025")</f>
        <v>Spain - HCP Survey Email - June 2025</v>
      </c>
      <c r="C2699" s="3" t="str">
        <f>HYPERLINK("https://otsuka-europe-crm.veevavault.com/ui/#object/sent_email__v/VBLZ025E82GMZPO", "SE-000269806")</f>
        <v>SE-000269806</v>
      </c>
      <c r="D2699" s="1" t="s">
        <v>0</v>
      </c>
      <c r="E2699" s="2">
        <v>0</v>
      </c>
      <c r="F2699" s="2">
        <v>0</v>
      </c>
      <c r="G2699" s="2">
        <v>0</v>
      </c>
      <c r="H2699" s="1" t="s">
        <v>0</v>
      </c>
      <c r="I2699" s="2">
        <v>0</v>
      </c>
      <c r="J2699" s="1">
        <v>45915.377627314818</v>
      </c>
    </row>
    <row r="2700" spans="1:10" x14ac:dyDescent="0.2">
      <c r="A2700" s="4" t="s">
        <v>1</v>
      </c>
      <c r="B2700" s="3" t="str">
        <f>HYPERLINK("https://otsuka-europe-crm.veevavault.com/ui/#object/approved_document__v/V5OZ025E82TFUPI", "Spain - HCP Survey Email - June 2025")</f>
        <v>Spain - HCP Survey Email - June 2025</v>
      </c>
      <c r="C2700" s="3" t="str">
        <f>HYPERLINK("https://otsuka-europe-crm.veevavault.com/ui/#object/sent_email__v/VBLZ025E82GMZPP", "SE-000269807")</f>
        <v>SE-000269807</v>
      </c>
      <c r="D2700" s="1">
        <v>45915.565937500003</v>
      </c>
      <c r="E2700" s="2">
        <v>1</v>
      </c>
      <c r="F2700" s="2">
        <v>1</v>
      </c>
      <c r="G2700" s="2">
        <v>0</v>
      </c>
      <c r="H2700" s="1" t="s">
        <v>0</v>
      </c>
      <c r="I2700" s="2">
        <v>0</v>
      </c>
      <c r="J2700" s="1">
        <v>45915.37840277778</v>
      </c>
    </row>
    <row r="2701" spans="1:10" x14ac:dyDescent="0.2">
      <c r="A2701" s="4" t="s">
        <v>1</v>
      </c>
      <c r="B2701" s="3" t="str">
        <f>HYPERLINK("https://otsuka-europe-crm.veevavault.com/ui/#object/approved_document__v/V5OZ025E82TFUPI", "Spain - HCP Survey Email - June 2025")</f>
        <v>Spain - HCP Survey Email - June 2025</v>
      </c>
      <c r="C2701" s="3" t="str">
        <f>HYPERLINK("https://otsuka-europe-crm.veevavault.com/ui/#object/sent_email__v/VBLZ025E82GMZPQ", "SE-000269808")</f>
        <v>SE-000269808</v>
      </c>
      <c r="D2701" s="1" t="s">
        <v>0</v>
      </c>
      <c r="E2701" s="2">
        <v>0</v>
      </c>
      <c r="F2701" s="2">
        <v>0</v>
      </c>
      <c r="G2701" s="2">
        <v>0</v>
      </c>
      <c r="H2701" s="1" t="s">
        <v>0</v>
      </c>
      <c r="I2701" s="2">
        <v>0</v>
      </c>
      <c r="J2701" s="1">
        <v>45915.378923611112</v>
      </c>
    </row>
    <row r="2702" spans="1:10" x14ac:dyDescent="0.2">
      <c r="A2702" s="4" t="s">
        <v>1</v>
      </c>
      <c r="B2702" s="3" t="str">
        <f>HYPERLINK("https://otsuka-europe-crm.veevavault.com/ui/#object/approved_document__v/V5OZ025E82TFUPI", "Spain - HCP Survey Email - June 2025")</f>
        <v>Spain - HCP Survey Email - June 2025</v>
      </c>
      <c r="C2702" s="3" t="str">
        <f>HYPERLINK("https://otsuka-europe-crm.veevavault.com/ui/#object/sent_email__v/VBLZ025E82GMZPR", "SE-000269809")</f>
        <v>SE-000269809</v>
      </c>
      <c r="D2702" s="1" t="s">
        <v>0</v>
      </c>
      <c r="E2702" s="2">
        <v>0</v>
      </c>
      <c r="F2702" s="2">
        <v>0</v>
      </c>
      <c r="G2702" s="2">
        <v>0</v>
      </c>
      <c r="H2702" s="1" t="s">
        <v>0</v>
      </c>
      <c r="I2702" s="2">
        <v>0</v>
      </c>
      <c r="J2702" s="1">
        <v>45915.378738425927</v>
      </c>
    </row>
    <row r="2703" spans="1:10" x14ac:dyDescent="0.2">
      <c r="A2703" s="4" t="s">
        <v>1</v>
      </c>
      <c r="B2703" s="3" t="str">
        <f>HYPERLINK("https://otsuka-europe-crm.veevavault.com/ui/#object/approved_document__v/V5OZ025E82TFUPI", "Spain - HCP Survey Email - June 2025")</f>
        <v>Spain - HCP Survey Email - June 2025</v>
      </c>
      <c r="C2703" s="3" t="str">
        <f>HYPERLINK("https://otsuka-europe-crm.veevavault.com/ui/#object/sent_email__v/VBLZ025E82GMZPT", "SE-000269811")</f>
        <v>SE-000269811</v>
      </c>
      <c r="D2703" s="1">
        <v>45915.58489583333</v>
      </c>
      <c r="E2703" s="2">
        <v>1</v>
      </c>
      <c r="F2703" s="2">
        <v>1</v>
      </c>
      <c r="G2703" s="2">
        <v>0</v>
      </c>
      <c r="H2703" s="1" t="s">
        <v>0</v>
      </c>
      <c r="I2703" s="2">
        <v>0</v>
      </c>
      <c r="J2703" s="1">
        <v>45915.377847222226</v>
      </c>
    </row>
    <row r="2704" spans="1:10" x14ac:dyDescent="0.2">
      <c r="A2704" s="4" t="s">
        <v>1</v>
      </c>
      <c r="B2704" s="3" t="str">
        <f>HYPERLINK("https://otsuka-europe-crm.veevavault.com/ui/#object/approved_document__v/V5OZ025E82TFUPI", "Spain - HCP Survey Email - June 2025")</f>
        <v>Spain - HCP Survey Email - June 2025</v>
      </c>
      <c r="C2704" s="3" t="str">
        <f>HYPERLINK("https://otsuka-europe-crm.veevavault.com/ui/#object/sent_email__v/VBLZ025E82GMZPU", "SE-000269812")</f>
        <v>SE-000269812</v>
      </c>
      <c r="D2704" s="1" t="s">
        <v>0</v>
      </c>
      <c r="E2704" s="2">
        <v>0</v>
      </c>
      <c r="F2704" s="2">
        <v>0</v>
      </c>
      <c r="G2704" s="2">
        <v>0</v>
      </c>
      <c r="H2704" s="1" t="s">
        <v>0</v>
      </c>
      <c r="I2704" s="2">
        <v>0</v>
      </c>
      <c r="J2704" s="1">
        <v>45915.378240740742</v>
      </c>
    </row>
    <row r="2705" spans="1:10" x14ac:dyDescent="0.2">
      <c r="A2705" s="4" t="s">
        <v>1</v>
      </c>
      <c r="B2705" s="3" t="str">
        <f>HYPERLINK("https://otsuka-europe-crm.veevavault.com/ui/#object/approved_document__v/V5OZ025E82TFUPI", "Spain - HCP Survey Email - June 2025")</f>
        <v>Spain - HCP Survey Email - June 2025</v>
      </c>
      <c r="C2705" s="3" t="str">
        <f>HYPERLINK("https://otsuka-europe-crm.veevavault.com/ui/#object/sent_email__v/VBLZ025E82GMZPV", "SE-000269813")</f>
        <v>SE-000269813</v>
      </c>
      <c r="D2705" s="1">
        <v>45915.386817129627</v>
      </c>
      <c r="E2705" s="2">
        <v>1</v>
      </c>
      <c r="F2705" s="2">
        <v>1</v>
      </c>
      <c r="G2705" s="2">
        <v>0</v>
      </c>
      <c r="H2705" s="1" t="s">
        <v>0</v>
      </c>
      <c r="I2705" s="2">
        <v>0</v>
      </c>
      <c r="J2705" s="1">
        <v>45915.378078703703</v>
      </c>
    </row>
    <row r="2706" spans="1:10" x14ac:dyDescent="0.2">
      <c r="A2706" s="4" t="s">
        <v>1</v>
      </c>
      <c r="B2706" s="3" t="str">
        <f>HYPERLINK("https://otsuka-europe-crm.veevavault.com/ui/#object/approved_document__v/V5OZ025E82TFUPI", "Spain - HCP Survey Email - June 2025")</f>
        <v>Spain - HCP Survey Email - June 2025</v>
      </c>
      <c r="C2706" s="3" t="str">
        <f>HYPERLINK("https://otsuka-europe-crm.veevavault.com/ui/#object/sent_email__v/VBLZ025E82GMZPW", "SE-000269814")</f>
        <v>SE-000269814</v>
      </c>
      <c r="D2706" s="1" t="s">
        <v>0</v>
      </c>
      <c r="E2706" s="2">
        <v>0</v>
      </c>
      <c r="F2706" s="2">
        <v>0</v>
      </c>
      <c r="G2706" s="2">
        <v>0</v>
      </c>
      <c r="H2706" s="1" t="s">
        <v>0</v>
      </c>
      <c r="I2706" s="2">
        <v>0</v>
      </c>
      <c r="J2706" s="1">
        <v>45915.378599537034</v>
      </c>
    </row>
    <row r="2707" spans="1:10" x14ac:dyDescent="0.2">
      <c r="A2707" s="4" t="s">
        <v>1</v>
      </c>
      <c r="B2707" s="3" t="str">
        <f>HYPERLINK("https://otsuka-europe-crm.veevavault.com/ui/#object/approved_document__v/V5OZ025E82TFUPI", "Spain - HCP Survey Email - June 2025")</f>
        <v>Spain - HCP Survey Email - June 2025</v>
      </c>
      <c r="C2707" s="3" t="str">
        <f>HYPERLINK("https://otsuka-europe-crm.veevavault.com/ui/#object/sent_email__v/VBLZ025E82GMZPX", "SE-000269815")</f>
        <v>SE-000269815</v>
      </c>
      <c r="D2707" s="1" t="s">
        <v>0</v>
      </c>
      <c r="E2707" s="2">
        <v>0</v>
      </c>
      <c r="F2707" s="2">
        <v>0</v>
      </c>
      <c r="G2707" s="2">
        <v>0</v>
      </c>
      <c r="H2707" s="1" t="s">
        <v>0</v>
      </c>
      <c r="I2707" s="2">
        <v>0</v>
      </c>
      <c r="J2707" s="1">
        <v>45915.379988425928</v>
      </c>
    </row>
    <row r="2708" spans="1:10" x14ac:dyDescent="0.2">
      <c r="A2708" s="4" t="s">
        <v>1</v>
      </c>
      <c r="B2708" s="3" t="str">
        <f>HYPERLINK("https://otsuka-europe-crm.veevavault.com/ui/#object/approved_document__v/V5OZ025E82TFUPI", "Spain - HCP Survey Email - June 2025")</f>
        <v>Spain - HCP Survey Email - June 2025</v>
      </c>
      <c r="C2708" s="3" t="str">
        <f>HYPERLINK("https://otsuka-europe-crm.veevavault.com/ui/#object/sent_email__v/VBLZ025E82GMZPY", "SE-000269816")</f>
        <v>SE-000269816</v>
      </c>
      <c r="D2708" s="1">
        <v>45915.378622685188</v>
      </c>
      <c r="E2708" s="2">
        <v>1</v>
      </c>
      <c r="F2708" s="2">
        <v>2</v>
      </c>
      <c r="G2708" s="2">
        <v>1</v>
      </c>
      <c r="H2708" s="1">
        <v>45915.379849537036</v>
      </c>
      <c r="I2708" s="2">
        <v>2</v>
      </c>
      <c r="J2708" s="1">
        <v>45915.377824074072</v>
      </c>
    </row>
    <row r="2709" spans="1:10" x14ac:dyDescent="0.2">
      <c r="A2709" s="4" t="s">
        <v>1</v>
      </c>
      <c r="B2709" s="3" t="str">
        <f>HYPERLINK("https://otsuka-europe-crm.veevavault.com/ui/#object/approved_document__v/V5OZ025E82TFUPI", "Spain - HCP Survey Email - June 2025")</f>
        <v>Spain - HCP Survey Email - June 2025</v>
      </c>
      <c r="C2709" s="3" t="str">
        <f>HYPERLINK("https://otsuka-europe-crm.veevavault.com/ui/#object/sent_email__v/VBLZ025E82GMZPZ", "SE-000269817")</f>
        <v>SE-000269817</v>
      </c>
      <c r="D2709" s="1">
        <v>45915.511689814812</v>
      </c>
      <c r="E2709" s="2">
        <v>1</v>
      </c>
      <c r="F2709" s="2">
        <v>2</v>
      </c>
      <c r="G2709" s="2">
        <v>0</v>
      </c>
      <c r="H2709" s="1" t="s">
        <v>0</v>
      </c>
      <c r="I2709" s="2">
        <v>0</v>
      </c>
      <c r="J2709" s="1">
        <v>45915.377638888887</v>
      </c>
    </row>
    <row r="2710" spans="1:10" x14ac:dyDescent="0.2">
      <c r="A2710" s="4" t="s">
        <v>1</v>
      </c>
      <c r="B2710" s="3" t="str">
        <f>HYPERLINK("https://otsuka-europe-crm.veevavault.com/ui/#object/approved_document__v/V5OZ025E82TFUPI", "Spain - HCP Survey Email - June 2025")</f>
        <v>Spain - HCP Survey Email - June 2025</v>
      </c>
      <c r="C2710" s="3" t="str">
        <f>HYPERLINK("https://otsuka-europe-crm.veevavault.com/ui/#object/sent_email__v/VBLZ025E82GMZQ0", "SE-000269818")</f>
        <v>SE-000269818</v>
      </c>
      <c r="D2710" s="1">
        <v>45916.723923611113</v>
      </c>
      <c r="E2710" s="2">
        <v>1</v>
      </c>
      <c r="F2710" s="2">
        <v>4</v>
      </c>
      <c r="G2710" s="2">
        <v>1</v>
      </c>
      <c r="H2710" s="1">
        <v>45916.724016203705</v>
      </c>
      <c r="I2710" s="2">
        <v>1</v>
      </c>
      <c r="J2710" s="1">
        <v>45915.378310185188</v>
      </c>
    </row>
    <row r="2711" spans="1:10" x14ac:dyDescent="0.2">
      <c r="A2711" s="4" t="s">
        <v>1</v>
      </c>
      <c r="B2711" s="3" t="str">
        <f>HYPERLINK("https://otsuka-europe-crm.veevavault.com/ui/#object/approved_document__v/V5OZ025E82TFUPI", "Spain - HCP Survey Email - June 2025")</f>
        <v>Spain - HCP Survey Email - June 2025</v>
      </c>
      <c r="C2711" s="3" t="str">
        <f>HYPERLINK("https://otsuka-europe-crm.veevavault.com/ui/#object/sent_email__v/VBLZ025E82GMZQ1", "SE-000269819")</f>
        <v>SE-000269819</v>
      </c>
      <c r="D2711" s="1">
        <v>45915.725023148145</v>
      </c>
      <c r="E2711" s="2">
        <v>1</v>
      </c>
      <c r="F2711" s="2">
        <v>1</v>
      </c>
      <c r="G2711" s="2">
        <v>0</v>
      </c>
      <c r="H2711" s="1" t="s">
        <v>0</v>
      </c>
      <c r="I2711" s="2">
        <v>0</v>
      </c>
      <c r="J2711" s="1">
        <v>45915.378831018519</v>
      </c>
    </row>
    <row r="2712" spans="1:10" x14ac:dyDescent="0.2">
      <c r="A2712" s="4" t="s">
        <v>1</v>
      </c>
      <c r="B2712" s="3" t="str">
        <f>HYPERLINK("https://otsuka-europe-crm.veevavault.com/ui/#object/approved_document__v/V5OZ025E82TFUPI", "Spain - HCP Survey Email - June 2025")</f>
        <v>Spain - HCP Survey Email - June 2025</v>
      </c>
      <c r="C2712" s="3" t="str">
        <f>HYPERLINK("https://otsuka-europe-crm.veevavault.com/ui/#object/sent_email__v/VBLZ025E82GMZQ2", "SE-000269820")</f>
        <v>SE-000269820</v>
      </c>
      <c r="D2712" s="1" t="s">
        <v>0</v>
      </c>
      <c r="E2712" s="2">
        <v>0</v>
      </c>
      <c r="F2712" s="2">
        <v>0</v>
      </c>
      <c r="G2712" s="2">
        <v>0</v>
      </c>
      <c r="H2712" s="1" t="s">
        <v>0</v>
      </c>
      <c r="I2712" s="2">
        <v>0</v>
      </c>
      <c r="J2712" s="1">
        <v>45915.378761574073</v>
      </c>
    </row>
    <row r="2713" spans="1:10" x14ac:dyDescent="0.2">
      <c r="A2713" s="4" t="s">
        <v>1</v>
      </c>
      <c r="B2713" s="3" t="str">
        <f>HYPERLINK("https://otsuka-europe-crm.veevavault.com/ui/#object/approved_document__v/V5OZ025E82TFUPI", "Spain - HCP Survey Email - June 2025")</f>
        <v>Spain - HCP Survey Email - June 2025</v>
      </c>
      <c r="C2713" s="3" t="str">
        <f>HYPERLINK("https://otsuka-europe-crm.veevavault.com/ui/#object/sent_email__v/VBLZ025E82GMZQ3", "SE-000269821")</f>
        <v>SE-000269821</v>
      </c>
      <c r="D2713" s="1" t="s">
        <v>0</v>
      </c>
      <c r="E2713" s="2">
        <v>0</v>
      </c>
      <c r="F2713" s="2">
        <v>0</v>
      </c>
      <c r="G2713" s="2">
        <v>0</v>
      </c>
      <c r="H2713" s="1" t="s">
        <v>0</v>
      </c>
      <c r="I2713" s="2">
        <v>0</v>
      </c>
      <c r="J2713" s="1">
        <v>45915.379108796296</v>
      </c>
    </row>
    <row r="2714" spans="1:10" x14ac:dyDescent="0.2">
      <c r="A2714" s="4" t="s">
        <v>1</v>
      </c>
      <c r="B2714" s="3" t="str">
        <f>HYPERLINK("https://otsuka-europe-crm.veevavault.com/ui/#object/approved_document__v/V5OZ025E82TFUPI", "Spain - HCP Survey Email - June 2025")</f>
        <v>Spain - HCP Survey Email - June 2025</v>
      </c>
      <c r="C2714" s="3" t="str">
        <f>HYPERLINK("https://otsuka-europe-crm.veevavault.com/ui/#object/sent_email__v/VBLZ025E82GMZQ4", "SE-000269822")</f>
        <v>SE-000269822</v>
      </c>
      <c r="D2714" s="1" t="s">
        <v>0</v>
      </c>
      <c r="E2714" s="2">
        <v>0</v>
      </c>
      <c r="F2714" s="2">
        <v>0</v>
      </c>
      <c r="G2714" s="2">
        <v>0</v>
      </c>
      <c r="H2714" s="1" t="s">
        <v>0</v>
      </c>
      <c r="I2714" s="2">
        <v>0</v>
      </c>
      <c r="J2714" s="1">
        <v>45915.377870370372</v>
      </c>
    </row>
    <row r="2715" spans="1:10" x14ac:dyDescent="0.2">
      <c r="A2715" s="4" t="s">
        <v>1</v>
      </c>
      <c r="B2715" s="3" t="str">
        <f>HYPERLINK("https://otsuka-europe-crm.veevavault.com/ui/#object/approved_document__v/V5OZ025E82TFUPI", "Spain - HCP Survey Email - June 2025")</f>
        <v>Spain - HCP Survey Email - June 2025</v>
      </c>
      <c r="C2715" s="3" t="str">
        <f>HYPERLINK("https://otsuka-europe-crm.veevavault.com/ui/#object/sent_email__v/VBLZ025E82GMZQ5", "SE-000269823")</f>
        <v>SE-000269823</v>
      </c>
      <c r="D2715" s="1" t="s">
        <v>0</v>
      </c>
      <c r="E2715" s="2">
        <v>0</v>
      </c>
      <c r="F2715" s="2">
        <v>0</v>
      </c>
      <c r="G2715" s="2">
        <v>0</v>
      </c>
      <c r="H2715" s="1" t="s">
        <v>0</v>
      </c>
      <c r="I2715" s="2">
        <v>0</v>
      </c>
      <c r="J2715" s="1">
        <v>45915.378263888888</v>
      </c>
    </row>
    <row r="2716" spans="1:10" x14ac:dyDescent="0.2">
      <c r="A2716" s="4" t="s">
        <v>1</v>
      </c>
      <c r="B2716" s="3" t="str">
        <f>HYPERLINK("https://otsuka-europe-crm.veevavault.com/ui/#object/approved_document__v/V5OZ025E82TFUPI", "Spain - HCP Survey Email - June 2025")</f>
        <v>Spain - HCP Survey Email - June 2025</v>
      </c>
      <c r="C2716" s="3" t="str">
        <f>HYPERLINK("https://otsuka-europe-crm.veevavault.com/ui/#object/sent_email__v/VBLZ025E82GMZQ6", "SE-000269824")</f>
        <v>SE-000269824</v>
      </c>
      <c r="D2716" s="1" t="s">
        <v>0</v>
      </c>
      <c r="E2716" s="2">
        <v>0</v>
      </c>
      <c r="F2716" s="2">
        <v>0</v>
      </c>
      <c r="G2716" s="2">
        <v>0</v>
      </c>
      <c r="H2716" s="1" t="s">
        <v>0</v>
      </c>
      <c r="I2716" s="2">
        <v>0</v>
      </c>
      <c r="J2716" s="1">
        <v>45915.37809027778</v>
      </c>
    </row>
    <row r="2717" spans="1:10" x14ac:dyDescent="0.2">
      <c r="A2717" s="4" t="s">
        <v>1</v>
      </c>
      <c r="B2717" s="3" t="str">
        <f>HYPERLINK("https://otsuka-europe-crm.veevavault.com/ui/#object/approved_document__v/V5OZ025E82TFUPI", "Spain - HCP Survey Email - June 2025")</f>
        <v>Spain - HCP Survey Email - June 2025</v>
      </c>
      <c r="C2717" s="3" t="str">
        <f>HYPERLINK("https://otsuka-europe-crm.veevavault.com/ui/#object/sent_email__v/VBLZ025E82GMZQ7", "SE-000269825")</f>
        <v>SE-000269825</v>
      </c>
      <c r="D2717" s="1">
        <v>45915.384756944448</v>
      </c>
      <c r="E2717" s="2">
        <v>1</v>
      </c>
      <c r="F2717" s="2">
        <v>1</v>
      </c>
      <c r="G2717" s="2">
        <v>0</v>
      </c>
      <c r="H2717" s="1" t="s">
        <v>0</v>
      </c>
      <c r="I2717" s="2">
        <v>0</v>
      </c>
      <c r="J2717" s="1">
        <v>45915.378553240742</v>
      </c>
    </row>
    <row r="2718" spans="1:10" x14ac:dyDescent="0.2">
      <c r="A2718" s="4" t="s">
        <v>1</v>
      </c>
      <c r="B2718" s="3" t="str">
        <f>HYPERLINK("https://otsuka-europe-crm.veevavault.com/ui/#object/approved_document__v/V5OZ025E82TFUPI", "Spain - HCP Survey Email - June 2025")</f>
        <v>Spain - HCP Survey Email - June 2025</v>
      </c>
      <c r="C2718" s="3" t="str">
        <f>HYPERLINK("https://otsuka-europe-crm.veevavault.com/ui/#object/sent_email__v/VBLZ025E82GMZQ8", "SE-000269826")</f>
        <v>SE-000269826</v>
      </c>
      <c r="D2718" s="1">
        <v>45957.409305555557</v>
      </c>
      <c r="E2718" s="2">
        <v>1</v>
      </c>
      <c r="F2718" s="2">
        <v>4</v>
      </c>
      <c r="G2718" s="2">
        <v>0</v>
      </c>
      <c r="H2718" s="1" t="s">
        <v>0</v>
      </c>
      <c r="I2718" s="2">
        <v>0</v>
      </c>
      <c r="J2718" s="1">
        <v>45915.379918981482</v>
      </c>
    </row>
    <row r="2719" spans="1:10" x14ac:dyDescent="0.2">
      <c r="A2719" s="4" t="s">
        <v>1</v>
      </c>
      <c r="B2719" s="3" t="str">
        <f>HYPERLINK("https://otsuka-europe-crm.veevavault.com/ui/#object/approved_document__v/V5OZ025E82TFUPI", "Spain - HCP Survey Email - June 2025")</f>
        <v>Spain - HCP Survey Email - June 2025</v>
      </c>
      <c r="C2719" s="3" t="str">
        <f>HYPERLINK("https://otsuka-europe-crm.veevavault.com/ui/#object/sent_email__v/VBLZ025E82GMZQ9", "SE-000269827")</f>
        <v>SE-000269827</v>
      </c>
      <c r="D2719" s="1">
        <v>45915.394317129627</v>
      </c>
      <c r="E2719" s="2">
        <v>1</v>
      </c>
      <c r="F2719" s="2">
        <v>1</v>
      </c>
      <c r="G2719" s="2">
        <v>0</v>
      </c>
      <c r="H2719" s="1" t="s">
        <v>0</v>
      </c>
      <c r="I2719" s="2">
        <v>0</v>
      </c>
      <c r="J2719" s="1">
        <v>45915.377754629626</v>
      </c>
    </row>
    <row r="2720" spans="1:10" x14ac:dyDescent="0.2">
      <c r="A2720" s="4" t="s">
        <v>1</v>
      </c>
      <c r="B2720" s="3" t="str">
        <f>HYPERLINK("https://otsuka-europe-crm.veevavault.com/ui/#object/approved_document__v/V5OZ025E82TFUPI", "Spain - HCP Survey Email - June 2025")</f>
        <v>Spain - HCP Survey Email - June 2025</v>
      </c>
      <c r="C2720" s="3" t="str">
        <f>HYPERLINK("https://otsuka-europe-crm.veevavault.com/ui/#object/sent_email__v/VBLZ025E82GMZQA", "SE-000269828")</f>
        <v>SE-000269828</v>
      </c>
      <c r="D2720" s="1" t="s">
        <v>0</v>
      </c>
      <c r="E2720" s="2">
        <v>0</v>
      </c>
      <c r="F2720" s="2">
        <v>0</v>
      </c>
      <c r="G2720" s="2">
        <v>0</v>
      </c>
      <c r="H2720" s="1" t="s">
        <v>0</v>
      </c>
      <c r="I2720" s="2">
        <v>0</v>
      </c>
      <c r="J2720" s="1">
        <v>45915.377696759257</v>
      </c>
    </row>
    <row r="2721" spans="1:10" x14ac:dyDescent="0.2">
      <c r="A2721" s="4" t="s">
        <v>1</v>
      </c>
      <c r="B2721" s="3" t="str">
        <f>HYPERLINK("https://otsuka-europe-crm.veevavault.com/ui/#object/approved_document__v/V5OZ025E82TFUPI", "Spain - HCP Survey Email - June 2025")</f>
        <v>Spain - HCP Survey Email - June 2025</v>
      </c>
      <c r="C2721" s="3" t="str">
        <f>HYPERLINK("https://otsuka-europe-crm.veevavault.com/ui/#object/sent_email__v/VBLZ025E82GMZQB", "SE-000269829")</f>
        <v>SE-000269829</v>
      </c>
      <c r="D2721" s="1">
        <v>45930.473067129627</v>
      </c>
      <c r="E2721" s="2">
        <v>1</v>
      </c>
      <c r="F2721" s="2">
        <v>1</v>
      </c>
      <c r="G2721" s="2">
        <v>1</v>
      </c>
      <c r="H2721" s="1">
        <v>45930.473067129627</v>
      </c>
      <c r="I2721" s="2">
        <v>1</v>
      </c>
      <c r="J2721" s="1">
        <v>45915.378310185188</v>
      </c>
    </row>
    <row r="2722" spans="1:10" x14ac:dyDescent="0.2">
      <c r="A2722" s="4" t="s">
        <v>1</v>
      </c>
      <c r="B2722" s="3" t="str">
        <f>HYPERLINK("https://otsuka-europe-crm.veevavault.com/ui/#object/approved_document__v/V5OZ025E82TFUPI", "Spain - HCP Survey Email - June 2025")</f>
        <v>Spain - HCP Survey Email - June 2025</v>
      </c>
      <c r="C2722" s="3" t="str">
        <f>HYPERLINK("https://otsuka-europe-crm.veevavault.com/ui/#object/sent_email__v/VBLZ025E82GMZQC", "SE-000269830")</f>
        <v>SE-000269830</v>
      </c>
      <c r="D2722" s="1">
        <v>45921.609375</v>
      </c>
      <c r="E2722" s="2">
        <v>1</v>
      </c>
      <c r="F2722" s="2">
        <v>2</v>
      </c>
      <c r="G2722" s="2">
        <v>0</v>
      </c>
      <c r="H2722" s="1" t="s">
        <v>0</v>
      </c>
      <c r="I2722" s="2">
        <v>0</v>
      </c>
      <c r="J2722" s="1">
        <v>45915.380115740743</v>
      </c>
    </row>
    <row r="2723" spans="1:10" x14ac:dyDescent="0.2">
      <c r="A2723" s="4" t="s">
        <v>1</v>
      </c>
      <c r="B2723" s="3" t="str">
        <f>HYPERLINK("https://otsuka-europe-crm.veevavault.com/ui/#object/approved_document__v/V5OZ025E82TFUPI", "Spain - HCP Survey Email - June 2025")</f>
        <v>Spain - HCP Survey Email - June 2025</v>
      </c>
      <c r="C2723" s="3" t="str">
        <f>HYPERLINK("https://otsuka-europe-crm.veevavault.com/ui/#object/sent_email__v/VBLZ025E82GMZQD", "SE-000269831")</f>
        <v>SE-000269831</v>
      </c>
      <c r="D2723" s="1">
        <v>45917.811747685184</v>
      </c>
      <c r="E2723" s="2">
        <v>1</v>
      </c>
      <c r="F2723" s="2">
        <v>6</v>
      </c>
      <c r="G2723" s="2">
        <v>1</v>
      </c>
      <c r="H2723" s="1">
        <v>45915.623761574076</v>
      </c>
      <c r="I2723" s="2">
        <v>1</v>
      </c>
      <c r="J2723" s="1">
        <v>45915.377789351849</v>
      </c>
    </row>
    <row r="2724" spans="1:10" x14ac:dyDescent="0.2">
      <c r="A2724" s="4" t="s">
        <v>1</v>
      </c>
      <c r="B2724" s="3" t="str">
        <f>HYPERLINK("https://otsuka-europe-crm.veevavault.com/ui/#object/approved_document__v/V5OZ025E82TFUPI", "Spain - HCP Survey Email - June 2025")</f>
        <v>Spain - HCP Survey Email - June 2025</v>
      </c>
      <c r="C2724" s="3" t="str">
        <f>HYPERLINK("https://otsuka-europe-crm.veevavault.com/ui/#object/sent_email__v/VBLZ025E82GMZQF", "SE-000269833")</f>
        <v>SE-000269833</v>
      </c>
      <c r="D2724" s="1">
        <v>45915.84642361111</v>
      </c>
      <c r="E2724" s="2">
        <v>1</v>
      </c>
      <c r="F2724" s="2">
        <v>1</v>
      </c>
      <c r="G2724" s="2">
        <v>0</v>
      </c>
      <c r="H2724" s="1" t="s">
        <v>0</v>
      </c>
      <c r="I2724" s="2">
        <v>0</v>
      </c>
      <c r="J2724" s="1">
        <v>45915.378298611111</v>
      </c>
    </row>
    <row r="2725" spans="1:10" x14ac:dyDescent="0.2">
      <c r="A2725" s="4" t="s">
        <v>1</v>
      </c>
      <c r="B2725" s="3" t="str">
        <f>HYPERLINK("https://otsuka-europe-crm.veevavault.com/ui/#object/approved_document__v/V5OZ025E82TFUPI", "Spain - HCP Survey Email - June 2025")</f>
        <v>Spain - HCP Survey Email - June 2025</v>
      </c>
      <c r="C2725" s="3" t="str">
        <f>HYPERLINK("https://otsuka-europe-crm.veevavault.com/ui/#object/sent_email__v/VBLZ025E82GMZQG", "SE-000269834")</f>
        <v>SE-000269834</v>
      </c>
      <c r="D2725" s="1" t="s">
        <v>0</v>
      </c>
      <c r="E2725" s="2">
        <v>0</v>
      </c>
      <c r="F2725" s="2">
        <v>0</v>
      </c>
      <c r="G2725" s="2">
        <v>0</v>
      </c>
      <c r="H2725" s="1" t="s">
        <v>0</v>
      </c>
      <c r="I2725" s="2">
        <v>0</v>
      </c>
      <c r="J2725" s="1">
        <v>45915.378877314812</v>
      </c>
    </row>
    <row r="2726" spans="1:10" x14ac:dyDescent="0.2">
      <c r="A2726" s="4" t="s">
        <v>1</v>
      </c>
      <c r="B2726" s="3" t="str">
        <f>HYPERLINK("https://otsuka-europe-crm.veevavault.com/ui/#object/approved_document__v/V5OZ025E82TFUPI", "Spain - HCP Survey Email - June 2025")</f>
        <v>Spain - HCP Survey Email - June 2025</v>
      </c>
      <c r="C2726" s="3" t="str">
        <f>HYPERLINK("https://otsuka-europe-crm.veevavault.com/ui/#object/sent_email__v/VBLZ025E82GMZQH", "SE-000269835")</f>
        <v>SE-000269835</v>
      </c>
      <c r="D2726" s="1" t="s">
        <v>0</v>
      </c>
      <c r="E2726" s="2">
        <v>0</v>
      </c>
      <c r="F2726" s="2">
        <v>0</v>
      </c>
      <c r="G2726" s="2">
        <v>0</v>
      </c>
      <c r="H2726" s="1" t="s">
        <v>0</v>
      </c>
      <c r="I2726" s="2">
        <v>0</v>
      </c>
      <c r="J2726" s="1">
        <v>45915.378703703704</v>
      </c>
    </row>
    <row r="2727" spans="1:10" x14ac:dyDescent="0.2">
      <c r="A2727" s="4" t="s">
        <v>1</v>
      </c>
      <c r="B2727" s="3" t="str">
        <f>HYPERLINK("https://otsuka-europe-crm.veevavault.com/ui/#object/approved_document__v/V5OZ025E82TFUPI", "Spain - HCP Survey Email - June 2025")</f>
        <v>Spain - HCP Survey Email - June 2025</v>
      </c>
      <c r="C2727" s="3" t="str">
        <f>HYPERLINK("https://otsuka-europe-crm.veevavault.com/ui/#object/sent_email__v/VBLZ025E82GMZQI", "SE-000269836")</f>
        <v>SE-000269836</v>
      </c>
      <c r="D2727" s="1">
        <v>45917.742731481485</v>
      </c>
      <c r="E2727" s="2">
        <v>1</v>
      </c>
      <c r="F2727" s="2">
        <v>2</v>
      </c>
      <c r="G2727" s="2">
        <v>0</v>
      </c>
      <c r="H2727" s="1" t="s">
        <v>0</v>
      </c>
      <c r="I2727" s="2">
        <v>0</v>
      </c>
      <c r="J2727" s="1">
        <v>45915.379108796296</v>
      </c>
    </row>
    <row r="2728" spans="1:10" x14ac:dyDescent="0.2">
      <c r="A2728" s="4" t="s">
        <v>1</v>
      </c>
      <c r="B2728" s="3" t="str">
        <f>HYPERLINK("https://otsuka-europe-crm.veevavault.com/ui/#object/approved_document__v/V5OZ025E82TFUPI", "Spain - HCP Survey Email - June 2025")</f>
        <v>Spain - HCP Survey Email - June 2025</v>
      </c>
      <c r="C2728" s="3" t="str">
        <f>HYPERLINK("https://otsuka-europe-crm.veevavault.com/ui/#object/sent_email__v/VBLZ025E82GMZQJ", "SE-000269837")</f>
        <v>SE-000269837</v>
      </c>
      <c r="D2728" s="1" t="s">
        <v>0</v>
      </c>
      <c r="E2728" s="2">
        <v>0</v>
      </c>
      <c r="F2728" s="2">
        <v>0</v>
      </c>
      <c r="G2728" s="2">
        <v>0</v>
      </c>
      <c r="H2728" s="1" t="s">
        <v>0</v>
      </c>
      <c r="I2728" s="2">
        <v>0</v>
      </c>
      <c r="J2728" s="1">
        <v>45915.377858796295</v>
      </c>
    </row>
    <row r="2729" spans="1:10" x14ac:dyDescent="0.2">
      <c r="A2729" s="4" t="s">
        <v>1</v>
      </c>
      <c r="B2729" s="3" t="str">
        <f>HYPERLINK("https://otsuka-europe-crm.veevavault.com/ui/#object/approved_document__v/V5OZ025E82TFUPI", "Spain - HCP Survey Email - June 2025")</f>
        <v>Spain - HCP Survey Email - June 2025</v>
      </c>
      <c r="C2729" s="3" t="str">
        <f>HYPERLINK("https://otsuka-europe-crm.veevavault.com/ui/#object/sent_email__v/VBLZ025E82GMZQK", "SE-000269838")</f>
        <v>SE-000269838</v>
      </c>
      <c r="D2729" s="1">
        <v>45920.3359837963</v>
      </c>
      <c r="E2729" s="2">
        <v>1</v>
      </c>
      <c r="F2729" s="2">
        <v>1</v>
      </c>
      <c r="G2729" s="2">
        <v>0</v>
      </c>
      <c r="H2729" s="1" t="s">
        <v>0</v>
      </c>
      <c r="I2729" s="2">
        <v>0</v>
      </c>
      <c r="J2729" s="1">
        <v>45915.378287037034</v>
      </c>
    </row>
    <row r="2730" spans="1:10" x14ac:dyDescent="0.2">
      <c r="A2730" s="4" t="s">
        <v>1</v>
      </c>
      <c r="B2730" s="3" t="str">
        <f>HYPERLINK("https://otsuka-europe-crm.veevavault.com/ui/#object/approved_document__v/V5OZ025E82TFUPI", "Spain - HCP Survey Email - June 2025")</f>
        <v>Spain - HCP Survey Email - June 2025</v>
      </c>
      <c r="C2730" s="3" t="str">
        <f>HYPERLINK("https://otsuka-europe-crm.veevavault.com/ui/#object/sent_email__v/VBLZ025E82GMZQL", "SE-000269839")</f>
        <v>SE-000269839</v>
      </c>
      <c r="D2730" s="1">
        <v>45915.511620370373</v>
      </c>
      <c r="E2730" s="2">
        <v>1</v>
      </c>
      <c r="F2730" s="2">
        <v>1</v>
      </c>
      <c r="G2730" s="2">
        <v>0</v>
      </c>
      <c r="H2730" s="1" t="s">
        <v>0</v>
      </c>
      <c r="I2730" s="2">
        <v>0</v>
      </c>
      <c r="J2730" s="1">
        <v>45915.378275462965</v>
      </c>
    </row>
    <row r="2731" spans="1:10" x14ac:dyDescent="0.2">
      <c r="A2731" s="4" t="s">
        <v>1</v>
      </c>
      <c r="B2731" s="3" t="str">
        <f>HYPERLINK("https://otsuka-europe-crm.veevavault.com/ui/#object/approved_document__v/V5OZ025E82TFUPI", "Spain - HCP Survey Email - June 2025")</f>
        <v>Spain - HCP Survey Email - June 2025</v>
      </c>
      <c r="C2731" s="3" t="str">
        <f>HYPERLINK("https://otsuka-europe-crm.veevavault.com/ui/#object/sent_email__v/VBLZ025E82GMZQM", "SE-000269840")</f>
        <v>SE-000269840</v>
      </c>
      <c r="D2731" s="1">
        <v>46004.445833333331</v>
      </c>
      <c r="E2731" s="2">
        <v>1</v>
      </c>
      <c r="F2731" s="2">
        <v>3</v>
      </c>
      <c r="G2731" s="2">
        <v>0</v>
      </c>
      <c r="H2731" s="1" t="s">
        <v>0</v>
      </c>
      <c r="I2731" s="2">
        <v>0</v>
      </c>
      <c r="J2731" s="1">
        <v>45915.378553240742</v>
      </c>
    </row>
    <row r="2732" spans="1:10" x14ac:dyDescent="0.2">
      <c r="A2732" s="4" t="s">
        <v>1</v>
      </c>
      <c r="B2732" s="3" t="str">
        <f>HYPERLINK("https://otsuka-europe-crm.veevavault.com/ui/#object/approved_document__v/V5OZ025E82TFUPI", "Spain - HCP Survey Email - June 2025")</f>
        <v>Spain - HCP Survey Email - June 2025</v>
      </c>
      <c r="C2732" s="3" t="str">
        <f>HYPERLINK("https://otsuka-europe-crm.veevavault.com/ui/#object/sent_email__v/VBLZ025E82GMZQN", "SE-000269841")</f>
        <v>SE-000269841</v>
      </c>
      <c r="D2732" s="1">
        <v>45950.901678240742</v>
      </c>
      <c r="E2732" s="2">
        <v>1</v>
      </c>
      <c r="F2732" s="2">
        <v>1</v>
      </c>
      <c r="G2732" s="2">
        <v>0</v>
      </c>
      <c r="H2732" s="1" t="s">
        <v>0</v>
      </c>
      <c r="I2732" s="2">
        <v>0</v>
      </c>
      <c r="J2732" s="1">
        <v>45915.38</v>
      </c>
    </row>
    <row r="2733" spans="1:10" x14ac:dyDescent="0.2">
      <c r="A2733" s="4" t="s">
        <v>1</v>
      </c>
      <c r="B2733" s="3" t="str">
        <f>HYPERLINK("https://otsuka-europe-crm.veevavault.com/ui/#object/approved_document__v/V5OZ025E82TFUPI", "Spain - HCP Survey Email - June 2025")</f>
        <v>Spain - HCP Survey Email - June 2025</v>
      </c>
      <c r="C2733" s="3" t="str">
        <f>HYPERLINK("https://otsuka-europe-crm.veevavault.com/ui/#object/sent_email__v/VBLZ025E82GMZQO", "SE-000269842")</f>
        <v>SE-000269842</v>
      </c>
      <c r="D2733" s="1" t="s">
        <v>0</v>
      </c>
      <c r="E2733" s="2">
        <v>0</v>
      </c>
      <c r="F2733" s="2">
        <v>0</v>
      </c>
      <c r="G2733" s="2">
        <v>0</v>
      </c>
      <c r="H2733" s="1" t="s">
        <v>0</v>
      </c>
      <c r="I2733" s="2">
        <v>0</v>
      </c>
      <c r="J2733" s="1">
        <v>45915.377824074072</v>
      </c>
    </row>
    <row r="2734" spans="1:10" x14ac:dyDescent="0.2">
      <c r="A2734" s="4" t="s">
        <v>1</v>
      </c>
      <c r="B2734" s="3" t="str">
        <f>HYPERLINK("https://otsuka-europe-crm.veevavault.com/ui/#object/approved_document__v/V5OZ025E82TFUPI", "Spain - HCP Survey Email - June 2025")</f>
        <v>Spain - HCP Survey Email - June 2025</v>
      </c>
      <c r="C2734" s="3" t="str">
        <f>HYPERLINK("https://otsuka-europe-crm.veevavault.com/ui/#object/sent_email__v/VBLZ025E82GMZQP", "SE-000269843")</f>
        <v>SE-000269843</v>
      </c>
      <c r="D2734" s="1" t="s">
        <v>0</v>
      </c>
      <c r="E2734" s="2">
        <v>0</v>
      </c>
      <c r="F2734" s="2">
        <v>0</v>
      </c>
      <c r="G2734" s="2">
        <v>0</v>
      </c>
      <c r="H2734" s="1" t="s">
        <v>0</v>
      </c>
      <c r="I2734" s="2">
        <v>0</v>
      </c>
      <c r="J2734" s="1">
        <v>45915.377638888887</v>
      </c>
    </row>
    <row r="2735" spans="1:10" x14ac:dyDescent="0.2">
      <c r="A2735" s="4" t="s">
        <v>1</v>
      </c>
      <c r="B2735" s="3" t="str">
        <f>HYPERLINK("https://otsuka-europe-crm.veevavault.com/ui/#object/approved_document__v/V5OZ025E82TFUPI", "Spain - HCP Survey Email - June 2025")</f>
        <v>Spain - HCP Survey Email - June 2025</v>
      </c>
      <c r="C2735" s="3" t="str">
        <f>HYPERLINK("https://otsuka-europe-crm.veevavault.com/ui/#object/sent_email__v/VBLZ025E82GMZQQ", "SE-000269844")</f>
        <v>SE-000269844</v>
      </c>
      <c r="D2735" s="1">
        <v>45915.848379629628</v>
      </c>
      <c r="E2735" s="2">
        <v>1</v>
      </c>
      <c r="F2735" s="2">
        <v>2</v>
      </c>
      <c r="G2735" s="2">
        <v>0</v>
      </c>
      <c r="H2735" s="1" t="s">
        <v>0</v>
      </c>
      <c r="I2735" s="2">
        <v>0</v>
      </c>
      <c r="J2735" s="1">
        <v>45915.378298611111</v>
      </c>
    </row>
    <row r="2736" spans="1:10" x14ac:dyDescent="0.2">
      <c r="A2736" s="4" t="s">
        <v>1</v>
      </c>
      <c r="B2736" s="3" t="str">
        <f>HYPERLINK("https://otsuka-europe-crm.veevavault.com/ui/#object/approved_document__v/V5OZ025E82TFUPI", "Spain - HCP Survey Email - June 2025")</f>
        <v>Spain - HCP Survey Email - June 2025</v>
      </c>
      <c r="C2736" s="3" t="str">
        <f>HYPERLINK("https://otsuka-europe-crm.veevavault.com/ui/#object/sent_email__v/VBLZ025E82GMZQR", "SE-000269845")</f>
        <v>SE-000269845</v>
      </c>
      <c r="D2736" s="1">
        <v>45920.370891203704</v>
      </c>
      <c r="E2736" s="2">
        <v>1</v>
      </c>
      <c r="F2736" s="2">
        <v>4</v>
      </c>
      <c r="G2736" s="2">
        <v>1</v>
      </c>
      <c r="H2736" s="1">
        <v>45920.370995370373</v>
      </c>
      <c r="I2736" s="2">
        <v>1</v>
      </c>
      <c r="J2736" s="1">
        <v>45915.378796296296</v>
      </c>
    </row>
    <row r="2737" spans="1:10" x14ac:dyDescent="0.2">
      <c r="A2737" s="4" t="s">
        <v>1</v>
      </c>
      <c r="B2737" s="3" t="str">
        <f>HYPERLINK("https://otsuka-europe-crm.veevavault.com/ui/#object/approved_document__v/V5OZ025E82TFUPI", "Spain - HCP Survey Email - June 2025")</f>
        <v>Spain - HCP Survey Email - June 2025</v>
      </c>
      <c r="C2737" s="3" t="str">
        <f>HYPERLINK("https://otsuka-europe-crm.veevavault.com/ui/#object/sent_email__v/VBLZ025E82GMZQS", "SE-000269846")</f>
        <v>SE-000269846</v>
      </c>
      <c r="D2737" s="1" t="s">
        <v>0</v>
      </c>
      <c r="E2737" s="2">
        <v>0</v>
      </c>
      <c r="F2737" s="2">
        <v>0</v>
      </c>
      <c r="G2737" s="2">
        <v>0</v>
      </c>
      <c r="H2737" s="1" t="s">
        <v>0</v>
      </c>
      <c r="I2737" s="2">
        <v>0</v>
      </c>
      <c r="J2737" s="1">
        <v>45915.378842592596</v>
      </c>
    </row>
    <row r="2738" spans="1:10" x14ac:dyDescent="0.2">
      <c r="A2738" s="4" t="s">
        <v>1</v>
      </c>
      <c r="B2738" s="3" t="str">
        <f>HYPERLINK("https://otsuka-europe-crm.veevavault.com/ui/#object/approved_document__v/V5OZ025E82TFUPI", "Spain - HCP Survey Email - June 2025")</f>
        <v>Spain - HCP Survey Email - June 2025</v>
      </c>
      <c r="C2738" s="3" t="str">
        <f>HYPERLINK("https://otsuka-europe-crm.veevavault.com/ui/#object/sent_email__v/VBLZ025E82GMZQT", "SE-000269847")</f>
        <v>SE-000269847</v>
      </c>
      <c r="D2738" s="1" t="s">
        <v>0</v>
      </c>
      <c r="E2738" s="2">
        <v>0</v>
      </c>
      <c r="F2738" s="2">
        <v>0</v>
      </c>
      <c r="G2738" s="2">
        <v>0</v>
      </c>
      <c r="H2738" s="1" t="s">
        <v>0</v>
      </c>
      <c r="I2738" s="2">
        <v>0</v>
      </c>
      <c r="J2738" s="1">
        <v>45915.379050925927</v>
      </c>
    </row>
    <row r="2739" spans="1:10" x14ac:dyDescent="0.2">
      <c r="A2739" s="4" t="s">
        <v>1</v>
      </c>
      <c r="B2739" s="3" t="str">
        <f>HYPERLINK("https://otsuka-europe-crm.veevavault.com/ui/#object/approved_document__v/V5OZ025E82TFUPI", "Spain - HCP Survey Email - June 2025")</f>
        <v>Spain - HCP Survey Email - June 2025</v>
      </c>
      <c r="C2739" s="3" t="str">
        <f>HYPERLINK("https://otsuka-europe-crm.veevavault.com/ui/#object/sent_email__v/VBLZ025E82GMZQU", "SE-000269848")</f>
        <v>SE-000269848</v>
      </c>
      <c r="D2739" s="1">
        <v>45915.916527777779</v>
      </c>
      <c r="E2739" s="2">
        <v>1</v>
      </c>
      <c r="F2739" s="2">
        <v>1</v>
      </c>
      <c r="G2739" s="2">
        <v>0</v>
      </c>
      <c r="H2739" s="1" t="s">
        <v>0</v>
      </c>
      <c r="I2739" s="2">
        <v>0</v>
      </c>
      <c r="J2739" s="1">
        <v>45915.377835648149</v>
      </c>
    </row>
    <row r="2740" spans="1:10" x14ac:dyDescent="0.2">
      <c r="A2740" s="4" t="s">
        <v>1</v>
      </c>
      <c r="B2740" s="3" t="str">
        <f>HYPERLINK("https://otsuka-europe-crm.veevavault.com/ui/#object/approved_document__v/V5OZ025E82TFUPI", "Spain - HCP Survey Email - June 2025")</f>
        <v>Spain - HCP Survey Email - June 2025</v>
      </c>
      <c r="C2740" s="3" t="str">
        <f>HYPERLINK("https://otsuka-europe-crm.veevavault.com/ui/#object/sent_email__v/VBLZ025E82GMZQV", "SE-000269849")</f>
        <v>SE-000269849</v>
      </c>
      <c r="D2740" s="1">
        <v>45915.549224537041</v>
      </c>
      <c r="E2740" s="2">
        <v>1</v>
      </c>
      <c r="F2740" s="2">
        <v>1</v>
      </c>
      <c r="G2740" s="2">
        <v>1</v>
      </c>
      <c r="H2740" s="1">
        <v>45916.818506944444</v>
      </c>
      <c r="I2740" s="2">
        <v>2</v>
      </c>
      <c r="J2740" s="1">
        <v>45915.378310185188</v>
      </c>
    </row>
    <row r="2741" spans="1:10" x14ac:dyDescent="0.2">
      <c r="A2741" s="4" t="s">
        <v>1</v>
      </c>
      <c r="B2741" s="3" t="str">
        <f>HYPERLINK("https://otsuka-europe-crm.veevavault.com/ui/#object/approved_document__v/V5OZ025E82TFUPI", "Spain - HCP Survey Email - June 2025")</f>
        <v>Spain - HCP Survey Email - June 2025</v>
      </c>
      <c r="C2741" s="3" t="str">
        <f>HYPERLINK("https://otsuka-europe-crm.veevavault.com/ui/#object/sent_email__v/VBLZ025E82GMZQW", "SE-000269850")</f>
        <v>SE-000269850</v>
      </c>
      <c r="D2741" s="1">
        <v>45943.72824074074</v>
      </c>
      <c r="E2741" s="2">
        <v>1</v>
      </c>
      <c r="F2741" s="2">
        <v>1</v>
      </c>
      <c r="G2741" s="2">
        <v>0</v>
      </c>
      <c r="H2741" s="1" t="s">
        <v>0</v>
      </c>
      <c r="I2741" s="2">
        <v>0</v>
      </c>
      <c r="J2741" s="1">
        <v>45915.378148148149</v>
      </c>
    </row>
    <row r="2742" spans="1:10" x14ac:dyDescent="0.2">
      <c r="A2742" s="4" t="s">
        <v>1</v>
      </c>
      <c r="B2742" s="3" t="str">
        <f>HYPERLINK("https://otsuka-europe-crm.veevavault.com/ui/#object/approved_document__v/V5OZ025E82TFUPI", "Spain - HCP Survey Email - June 2025")</f>
        <v>Spain - HCP Survey Email - June 2025</v>
      </c>
      <c r="C2742" s="3" t="str">
        <f>HYPERLINK("https://otsuka-europe-crm.veevavault.com/ui/#object/sent_email__v/VBLZ025E82GMZQX", "SE-000269851")</f>
        <v>SE-000269851</v>
      </c>
      <c r="D2742" s="1">
        <v>45920.591180555559</v>
      </c>
      <c r="E2742" s="2">
        <v>1</v>
      </c>
      <c r="F2742" s="2">
        <v>3</v>
      </c>
      <c r="G2742" s="2">
        <v>0</v>
      </c>
      <c r="H2742" s="1" t="s">
        <v>0</v>
      </c>
      <c r="I2742" s="2">
        <v>0</v>
      </c>
      <c r="J2742" s="1">
        <v>45915.378703703704</v>
      </c>
    </row>
    <row r="2743" spans="1:10" x14ac:dyDescent="0.2">
      <c r="A2743" s="4" t="s">
        <v>1</v>
      </c>
      <c r="B2743" s="3" t="str">
        <f>HYPERLINK("https://otsuka-europe-crm.veevavault.com/ui/#object/approved_document__v/V5OZ025E82TFUPI", "Spain - HCP Survey Email - June 2025")</f>
        <v>Spain - HCP Survey Email - June 2025</v>
      </c>
      <c r="C2743" s="3" t="str">
        <f>HYPERLINK("https://otsuka-europe-crm.veevavault.com/ui/#object/sent_email__v/VBLZ025E82GMZQY", "SE-000269852")</f>
        <v>SE-000269852</v>
      </c>
      <c r="D2743" s="1">
        <v>45915.413194444445</v>
      </c>
      <c r="E2743" s="2">
        <v>1</v>
      </c>
      <c r="F2743" s="2">
        <v>2</v>
      </c>
      <c r="G2743" s="2">
        <v>0</v>
      </c>
      <c r="H2743" s="1" t="s">
        <v>0</v>
      </c>
      <c r="I2743" s="2">
        <v>0</v>
      </c>
      <c r="J2743" s="1">
        <v>45915.38008101852</v>
      </c>
    </row>
    <row r="2744" spans="1:10" x14ac:dyDescent="0.2">
      <c r="A2744" s="4" t="s">
        <v>1</v>
      </c>
      <c r="B2744" s="3" t="str">
        <f>HYPERLINK("https://otsuka-europe-crm.veevavault.com/ui/#object/approved_document__v/V5OZ025E82TFUPI", "Spain - HCP Survey Email - June 2025")</f>
        <v>Spain - HCP Survey Email - June 2025</v>
      </c>
      <c r="C2744" s="3" t="str">
        <f>HYPERLINK("https://otsuka-europe-crm.veevavault.com/ui/#object/sent_email__v/VBLZ025E82GMZR0", "SE-000269854")</f>
        <v>SE-000269854</v>
      </c>
      <c r="D2744" s="1" t="s">
        <v>0</v>
      </c>
      <c r="E2744" s="2">
        <v>0</v>
      </c>
      <c r="F2744" s="2">
        <v>0</v>
      </c>
      <c r="G2744" s="2">
        <v>0</v>
      </c>
      <c r="H2744" s="1" t="s">
        <v>0</v>
      </c>
      <c r="I2744" s="2">
        <v>0</v>
      </c>
      <c r="J2744" s="1">
        <v>45915.377442129633</v>
      </c>
    </row>
    <row r="2745" spans="1:10" x14ac:dyDescent="0.2">
      <c r="A2745" s="4" t="s">
        <v>1</v>
      </c>
      <c r="B2745" s="3" t="str">
        <f>HYPERLINK("https://otsuka-europe-crm.veevavault.com/ui/#object/approved_document__v/V5OZ025E82TFUPI", "Spain - HCP Survey Email - June 2025")</f>
        <v>Spain - HCP Survey Email - June 2025</v>
      </c>
      <c r="C2745" s="3" t="str">
        <f>HYPERLINK("https://otsuka-europe-crm.veevavault.com/ui/#object/sent_email__v/VBLZ025E82GMZR2", "SE-000269856")</f>
        <v>SE-000269856</v>
      </c>
      <c r="D2745" s="1">
        <v>45915.389502314814</v>
      </c>
      <c r="E2745" s="2">
        <v>1</v>
      </c>
      <c r="F2745" s="2">
        <v>1</v>
      </c>
      <c r="G2745" s="2">
        <v>0</v>
      </c>
      <c r="H2745" s="1" t="s">
        <v>0</v>
      </c>
      <c r="I2745" s="2">
        <v>0</v>
      </c>
      <c r="J2745" s="1">
        <v>45915.378634259258</v>
      </c>
    </row>
    <row r="2746" spans="1:10" x14ac:dyDescent="0.2">
      <c r="A2746" s="4" t="s">
        <v>1</v>
      </c>
      <c r="B2746" s="3" t="str">
        <f>HYPERLINK("https://otsuka-europe-crm.veevavault.com/ui/#object/approved_document__v/V5OZ025E82TFUPI", "Spain - HCP Survey Email - June 2025")</f>
        <v>Spain - HCP Survey Email - June 2025</v>
      </c>
      <c r="C2746" s="3" t="str">
        <f>HYPERLINK("https://otsuka-europe-crm.veevavault.com/ui/#object/sent_email__v/VBLZ025E82GMZR3", "SE-000269857")</f>
        <v>SE-000269857</v>
      </c>
      <c r="D2746" s="1" t="s">
        <v>0</v>
      </c>
      <c r="E2746" s="2">
        <v>0</v>
      </c>
      <c r="F2746" s="2">
        <v>0</v>
      </c>
      <c r="G2746" s="2">
        <v>0</v>
      </c>
      <c r="H2746" s="1" t="s">
        <v>0</v>
      </c>
      <c r="I2746" s="2">
        <v>0</v>
      </c>
      <c r="J2746" s="1">
        <v>45915.379780092589</v>
      </c>
    </row>
    <row r="2747" spans="1:10" x14ac:dyDescent="0.2">
      <c r="A2747" s="4" t="s">
        <v>1</v>
      </c>
      <c r="B2747" s="3" t="str">
        <f>HYPERLINK("https://otsuka-europe-crm.veevavault.com/ui/#object/approved_document__v/V5OZ025E82TFUPI", "Spain - HCP Survey Email - June 2025")</f>
        <v>Spain - HCP Survey Email - June 2025</v>
      </c>
      <c r="C2747" s="3" t="str">
        <f>HYPERLINK("https://otsuka-europe-crm.veevavault.com/ui/#object/sent_email__v/VBLZ025E82GMZR4", "SE-000269858")</f>
        <v>SE-000269858</v>
      </c>
      <c r="D2747" s="1">
        <v>45915.900868055556</v>
      </c>
      <c r="E2747" s="2">
        <v>1</v>
      </c>
      <c r="F2747" s="2">
        <v>1</v>
      </c>
      <c r="G2747" s="2">
        <v>0</v>
      </c>
      <c r="H2747" s="1" t="s">
        <v>0</v>
      </c>
      <c r="I2747" s="2">
        <v>0</v>
      </c>
      <c r="J2747" s="1">
        <v>45915.377754629626</v>
      </c>
    </row>
    <row r="2748" spans="1:10" x14ac:dyDescent="0.2">
      <c r="A2748" s="4" t="s">
        <v>1</v>
      </c>
      <c r="B2748" s="3" t="str">
        <f>HYPERLINK("https://otsuka-europe-crm.veevavault.com/ui/#object/approved_document__v/V5OZ025E82TFUPI", "Spain - HCP Survey Email - June 2025")</f>
        <v>Spain - HCP Survey Email - June 2025</v>
      </c>
      <c r="C2748" s="3" t="str">
        <f>HYPERLINK("https://otsuka-europe-crm.veevavault.com/ui/#object/sent_email__v/VBLZ025E82GMZR5", "SE-000269859")</f>
        <v>SE-000269859</v>
      </c>
      <c r="D2748" s="1" t="s">
        <v>0</v>
      </c>
      <c r="E2748" s="2">
        <v>0</v>
      </c>
      <c r="F2748" s="2">
        <v>0</v>
      </c>
      <c r="G2748" s="2">
        <v>0</v>
      </c>
      <c r="H2748" s="1" t="s">
        <v>0</v>
      </c>
      <c r="I2748" s="2">
        <v>0</v>
      </c>
      <c r="J2748" s="1">
        <v>45915.377372685187</v>
      </c>
    </row>
    <row r="2749" spans="1:10" x14ac:dyDescent="0.2">
      <c r="A2749" s="4" t="s">
        <v>1</v>
      </c>
      <c r="B2749" s="3" t="str">
        <f>HYPERLINK("https://otsuka-europe-crm.veevavault.com/ui/#object/approved_document__v/V5OZ025E82TFUPI", "Spain - HCP Survey Email - June 2025")</f>
        <v>Spain - HCP Survey Email - June 2025</v>
      </c>
      <c r="C2749" s="3" t="str">
        <f>HYPERLINK("https://otsuka-europe-crm.veevavault.com/ui/#object/sent_email__v/VBLZ025E82GMZR6", "SE-000269860")</f>
        <v>SE-000269860</v>
      </c>
      <c r="D2749" s="1" t="s">
        <v>0</v>
      </c>
      <c r="E2749" s="2">
        <v>0</v>
      </c>
      <c r="F2749" s="2">
        <v>0</v>
      </c>
      <c r="G2749" s="2">
        <v>0</v>
      </c>
      <c r="H2749" s="1" t="s">
        <v>0</v>
      </c>
      <c r="I2749" s="2">
        <v>0</v>
      </c>
      <c r="J2749" s="1">
        <v>45915.378310185188</v>
      </c>
    </row>
    <row r="2750" spans="1:10" x14ac:dyDescent="0.2">
      <c r="A2750" s="4" t="s">
        <v>1</v>
      </c>
      <c r="B2750" s="3" t="str">
        <f>HYPERLINK("https://otsuka-europe-crm.veevavault.com/ui/#object/approved_document__v/V5OZ025E82TFUPI", "Spain - HCP Survey Email - June 2025")</f>
        <v>Spain - HCP Survey Email - June 2025</v>
      </c>
      <c r="C2750" s="3" t="str">
        <f>HYPERLINK("https://otsuka-europe-crm.veevavault.com/ui/#object/sent_email__v/VBLZ025E82GMZR7", "SE-000269861")</f>
        <v>SE-000269861</v>
      </c>
      <c r="D2750" s="1" t="s">
        <v>0</v>
      </c>
      <c r="E2750" s="2">
        <v>0</v>
      </c>
      <c r="F2750" s="2">
        <v>0</v>
      </c>
      <c r="G2750" s="2">
        <v>0</v>
      </c>
      <c r="H2750" s="1" t="s">
        <v>0</v>
      </c>
      <c r="I2750" s="2">
        <v>0</v>
      </c>
      <c r="J2750" s="1">
        <v>45915.37872685185</v>
      </c>
    </row>
    <row r="2751" spans="1:10" x14ac:dyDescent="0.2">
      <c r="A2751" s="4" t="s">
        <v>1</v>
      </c>
      <c r="B2751" s="3" t="str">
        <f>HYPERLINK("https://otsuka-europe-crm.veevavault.com/ui/#object/approved_document__v/V5OZ025E82TFUPI", "Spain - HCP Survey Email - June 2025")</f>
        <v>Spain - HCP Survey Email - June 2025</v>
      </c>
      <c r="C2751" s="3" t="str">
        <f>HYPERLINK("https://otsuka-europe-crm.veevavault.com/ui/#object/sent_email__v/VBLZ025E82GMZR8", "SE-000269862")</f>
        <v>SE-000269862</v>
      </c>
      <c r="D2751" s="1">
        <v>45915.961840277778</v>
      </c>
      <c r="E2751" s="2">
        <v>1</v>
      </c>
      <c r="F2751" s="2">
        <v>1</v>
      </c>
      <c r="G2751" s="2">
        <v>0</v>
      </c>
      <c r="H2751" s="1" t="s">
        <v>0</v>
      </c>
      <c r="I2751" s="2">
        <v>0</v>
      </c>
      <c r="J2751" s="1">
        <v>45915.378703703704</v>
      </c>
    </row>
    <row r="2752" spans="1:10" x14ac:dyDescent="0.2">
      <c r="A2752" s="4" t="s">
        <v>1</v>
      </c>
      <c r="B2752" s="3" t="str">
        <f>HYPERLINK("https://otsuka-europe-crm.veevavault.com/ui/#object/approved_document__v/V5OZ025E82TFUPI", "Spain - HCP Survey Email - June 2025")</f>
        <v>Spain - HCP Survey Email - June 2025</v>
      </c>
      <c r="C2752" s="3" t="str">
        <f>HYPERLINK("https://otsuka-europe-crm.veevavault.com/ui/#object/sent_email__v/VBLZ025E82GMZR9", "SE-000269863")</f>
        <v>SE-000269863</v>
      </c>
      <c r="D2752" s="1">
        <v>45915.985150462962</v>
      </c>
      <c r="E2752" s="2">
        <v>1</v>
      </c>
      <c r="F2752" s="2">
        <v>1</v>
      </c>
      <c r="G2752" s="2">
        <v>0</v>
      </c>
      <c r="H2752" s="1" t="s">
        <v>0</v>
      </c>
      <c r="I2752" s="2">
        <v>0</v>
      </c>
      <c r="J2752" s="1">
        <v>45915.37909722222</v>
      </c>
    </row>
    <row r="2753" spans="1:10" x14ac:dyDescent="0.2">
      <c r="A2753" s="4" t="s">
        <v>1</v>
      </c>
      <c r="B2753" s="3" t="str">
        <f>HYPERLINK("https://otsuka-europe-crm.veevavault.com/ui/#object/approved_document__v/V5OZ025E82TFUPI", "Spain - HCP Survey Email - June 2025")</f>
        <v>Spain - HCP Survey Email - June 2025</v>
      </c>
      <c r="C2753" s="3" t="str">
        <f>HYPERLINK("https://otsuka-europe-crm.veevavault.com/ui/#object/sent_email__v/VBLZ025E82GMZRA", "SE-000269864")</f>
        <v>SE-000269864</v>
      </c>
      <c r="D2753" s="1">
        <v>45915.51085648148</v>
      </c>
      <c r="E2753" s="2">
        <v>1</v>
      </c>
      <c r="F2753" s="2">
        <v>6</v>
      </c>
      <c r="G2753" s="2">
        <v>1</v>
      </c>
      <c r="H2753" s="1">
        <v>45915.511018518519</v>
      </c>
      <c r="I2753" s="2">
        <v>1</v>
      </c>
      <c r="J2753" s="1">
        <v>45915.377870370372</v>
      </c>
    </row>
    <row r="2754" spans="1:10" x14ac:dyDescent="0.2">
      <c r="A2754" s="4" t="s">
        <v>1</v>
      </c>
      <c r="B2754" s="3" t="str">
        <f>HYPERLINK("https://otsuka-europe-crm.veevavault.com/ui/#object/approved_document__v/V5OZ025E82TFUPI", "Spain - HCP Survey Email - June 2025")</f>
        <v>Spain - HCP Survey Email - June 2025</v>
      </c>
      <c r="C2754" s="3" t="str">
        <f>HYPERLINK("https://otsuka-europe-crm.veevavault.com/ui/#object/sent_email__v/VBLZ025E82GMZRB", "SE-000269865")</f>
        <v>SE-000269865</v>
      </c>
      <c r="D2754" s="1">
        <v>45915.507013888891</v>
      </c>
      <c r="E2754" s="2">
        <v>1</v>
      </c>
      <c r="F2754" s="2">
        <v>2</v>
      </c>
      <c r="G2754" s="2">
        <v>0</v>
      </c>
      <c r="H2754" s="1" t="s">
        <v>0</v>
      </c>
      <c r="I2754" s="2">
        <v>0</v>
      </c>
      <c r="J2754" s="1">
        <v>45915.378229166665</v>
      </c>
    </row>
    <row r="2755" spans="1:10" x14ac:dyDescent="0.2">
      <c r="A2755" s="4" t="s">
        <v>1</v>
      </c>
      <c r="B2755" s="3" t="str">
        <f>HYPERLINK("https://otsuka-europe-crm.veevavault.com/ui/#object/approved_document__v/V5OZ025E82TFUPI", "Spain - HCP Survey Email - June 2025")</f>
        <v>Spain - HCP Survey Email - June 2025</v>
      </c>
      <c r="C2755" s="3" t="str">
        <f>HYPERLINK("https://otsuka-europe-crm.veevavault.com/ui/#object/sent_email__v/VBLZ025E82GMZRC", "SE-000269866")</f>
        <v>SE-000269866</v>
      </c>
      <c r="D2755" s="1" t="s">
        <v>0</v>
      </c>
      <c r="E2755" s="2">
        <v>0</v>
      </c>
      <c r="F2755" s="2">
        <v>0</v>
      </c>
      <c r="G2755" s="2">
        <v>0</v>
      </c>
      <c r="H2755" s="1" t="s">
        <v>0</v>
      </c>
      <c r="I2755" s="2">
        <v>0</v>
      </c>
      <c r="J2755" s="1">
        <v>45915.378194444442</v>
      </c>
    </row>
    <row r="2756" spans="1:10" x14ac:dyDescent="0.2">
      <c r="A2756" s="4" t="s">
        <v>1</v>
      </c>
      <c r="B2756" s="3" t="str">
        <f>HYPERLINK("https://otsuka-europe-crm.veevavault.com/ui/#object/approved_document__v/V5OZ025E82TFUPI", "Spain - HCP Survey Email - June 2025")</f>
        <v>Spain - HCP Survey Email - June 2025</v>
      </c>
      <c r="C2756" s="3" t="str">
        <f>HYPERLINK("https://otsuka-europe-crm.veevavault.com/ui/#object/sent_email__v/VBLZ025E82GMZRD", "SE-000269867")</f>
        <v>SE-000269867</v>
      </c>
      <c r="D2756" s="1">
        <v>45928.056284722225</v>
      </c>
      <c r="E2756" s="2">
        <v>1</v>
      </c>
      <c r="F2756" s="2">
        <v>2</v>
      </c>
      <c r="G2756" s="2">
        <v>0</v>
      </c>
      <c r="H2756" s="1" t="s">
        <v>0</v>
      </c>
      <c r="I2756" s="2">
        <v>0</v>
      </c>
      <c r="J2756" s="1">
        <v>45915.378692129627</v>
      </c>
    </row>
    <row r="2757" spans="1:10" x14ac:dyDescent="0.2">
      <c r="A2757" s="4" t="s">
        <v>1</v>
      </c>
      <c r="B2757" s="3" t="str">
        <f>HYPERLINK("https://otsuka-europe-crm.veevavault.com/ui/#object/approved_document__v/V5OZ025E82TFUPI", "Spain - HCP Survey Email - June 2025")</f>
        <v>Spain - HCP Survey Email - June 2025</v>
      </c>
      <c r="C2757" s="3" t="str">
        <f>HYPERLINK("https://otsuka-europe-crm.veevavault.com/ui/#object/sent_email__v/VBLZ025E82GMZRE", "SE-000269868")</f>
        <v>SE-000269868</v>
      </c>
      <c r="D2757" s="1">
        <v>45915.648182870369</v>
      </c>
      <c r="E2757" s="2">
        <v>1</v>
      </c>
      <c r="F2757" s="2">
        <v>9</v>
      </c>
      <c r="G2757" s="2">
        <v>1</v>
      </c>
      <c r="H2757" s="1">
        <v>45915.647951388892</v>
      </c>
      <c r="I2757" s="2">
        <v>2</v>
      </c>
      <c r="J2757" s="1">
        <v>45915.379884259259</v>
      </c>
    </row>
    <row r="2758" spans="1:10" x14ac:dyDescent="0.2">
      <c r="A2758" s="4" t="s">
        <v>1</v>
      </c>
      <c r="B2758" s="3" t="str">
        <f>HYPERLINK("https://otsuka-europe-crm.veevavault.com/ui/#object/approved_document__v/V5OZ025E82TFUPI", "Spain - HCP Survey Email - June 2025")</f>
        <v>Spain - HCP Survey Email - June 2025</v>
      </c>
      <c r="C2758" s="3" t="str">
        <f>HYPERLINK("https://otsuka-europe-crm.veevavault.com/ui/#object/sent_email__v/VBLZ025E82GMZRF", "SE-000269869")</f>
        <v>SE-000269869</v>
      </c>
      <c r="D2758" s="1">
        <v>45931.687604166669</v>
      </c>
      <c r="E2758" s="2">
        <v>1</v>
      </c>
      <c r="F2758" s="2">
        <v>3</v>
      </c>
      <c r="G2758" s="2">
        <v>0</v>
      </c>
      <c r="H2758" s="1" t="s">
        <v>0</v>
      </c>
      <c r="I2758" s="2">
        <v>0</v>
      </c>
      <c r="J2758" s="1">
        <v>45915.377800925926</v>
      </c>
    </row>
    <row r="2759" spans="1:10" x14ac:dyDescent="0.2">
      <c r="A2759" s="4" t="s">
        <v>1</v>
      </c>
      <c r="B2759" s="3" t="str">
        <f>HYPERLINK("https://otsuka-europe-crm.veevavault.com/ui/#object/approved_document__v/V5OZ025E82TFUPI", "Spain - HCP Survey Email - June 2025")</f>
        <v>Spain - HCP Survey Email - June 2025</v>
      </c>
      <c r="C2759" s="3" t="str">
        <f>HYPERLINK("https://otsuka-europe-crm.veevavault.com/ui/#object/sent_email__v/VBLZ025E82GMZRG", "SE-000269870")</f>
        <v>SE-000269870</v>
      </c>
      <c r="D2759" s="1">
        <v>45915.384571759256</v>
      </c>
      <c r="E2759" s="2">
        <v>1</v>
      </c>
      <c r="F2759" s="2">
        <v>1</v>
      </c>
      <c r="G2759" s="2">
        <v>0</v>
      </c>
      <c r="H2759" s="1" t="s">
        <v>0</v>
      </c>
      <c r="I2759" s="2">
        <v>0</v>
      </c>
      <c r="J2759" s="1">
        <v>45915.37740740741</v>
      </c>
    </row>
    <row r="2760" spans="1:10" x14ac:dyDescent="0.2">
      <c r="A2760" s="4" t="s">
        <v>1</v>
      </c>
      <c r="B2760" s="3" t="str">
        <f>HYPERLINK("https://otsuka-europe-crm.veevavault.com/ui/#object/approved_document__v/V5OZ025E82TFUPI", "Spain - HCP Survey Email - June 2025")</f>
        <v>Spain - HCP Survey Email - June 2025</v>
      </c>
      <c r="C2760" s="3" t="str">
        <f>HYPERLINK("https://otsuka-europe-crm.veevavault.com/ui/#object/sent_email__v/VBLZ025E82GMZRH", "SE-000269871")</f>
        <v>SE-000269871</v>
      </c>
      <c r="D2760" s="1" t="s">
        <v>0</v>
      </c>
      <c r="E2760" s="2">
        <v>0</v>
      </c>
      <c r="F2760" s="2">
        <v>0</v>
      </c>
      <c r="G2760" s="2">
        <v>0</v>
      </c>
      <c r="H2760" s="1" t="s">
        <v>0</v>
      </c>
      <c r="I2760" s="2">
        <v>0</v>
      </c>
      <c r="J2760" s="1">
        <v>45915.378287037034</v>
      </c>
    </row>
    <row r="2761" spans="1:10" x14ac:dyDescent="0.2">
      <c r="A2761" s="4" t="s">
        <v>1</v>
      </c>
      <c r="B2761" s="3" t="str">
        <f>HYPERLINK("https://otsuka-europe-crm.veevavault.com/ui/#object/approved_document__v/V5OZ025E82TFUPI", "Spain - HCP Survey Email - June 2025")</f>
        <v>Spain - HCP Survey Email - June 2025</v>
      </c>
      <c r="C2761" s="3" t="str">
        <f>HYPERLINK("https://otsuka-europe-crm.veevavault.com/ui/#object/sent_email__v/VBLZ025E82GMZRI", "SE-000269872")</f>
        <v>SE-000269872</v>
      </c>
      <c r="D2761" s="1" t="s">
        <v>0</v>
      </c>
      <c r="E2761" s="2">
        <v>0</v>
      </c>
      <c r="F2761" s="2">
        <v>0</v>
      </c>
      <c r="G2761" s="2">
        <v>0</v>
      </c>
      <c r="H2761" s="1" t="s">
        <v>0</v>
      </c>
      <c r="I2761" s="2">
        <v>0</v>
      </c>
      <c r="J2761" s="1">
        <v>45915.378784722219</v>
      </c>
    </row>
    <row r="2762" spans="1:10" x14ac:dyDescent="0.2">
      <c r="A2762" s="4" t="s">
        <v>1</v>
      </c>
      <c r="B2762" s="3" t="str">
        <f>HYPERLINK("https://otsuka-europe-crm.veevavault.com/ui/#object/approved_document__v/V5OZ025E82TFUPI", "Spain - HCP Survey Email - June 2025")</f>
        <v>Spain - HCP Survey Email - June 2025</v>
      </c>
      <c r="C2762" s="3" t="str">
        <f>HYPERLINK("https://otsuka-europe-crm.veevavault.com/ui/#object/sent_email__v/VBLZ025E82GMZRJ", "SE-000269873")</f>
        <v>SE-000269873</v>
      </c>
      <c r="D2762" s="1">
        <v>45915.392071759263</v>
      </c>
      <c r="E2762" s="2">
        <v>1</v>
      </c>
      <c r="F2762" s="2">
        <v>2</v>
      </c>
      <c r="G2762" s="2">
        <v>0</v>
      </c>
      <c r="H2762" s="1" t="s">
        <v>0</v>
      </c>
      <c r="I2762" s="2">
        <v>0</v>
      </c>
      <c r="J2762" s="1">
        <v>45915.378668981481</v>
      </c>
    </row>
    <row r="2763" spans="1:10" x14ac:dyDescent="0.2">
      <c r="A2763" s="4" t="s">
        <v>1</v>
      </c>
      <c r="B2763" s="3" t="str">
        <f>HYPERLINK("https://otsuka-europe-crm.veevavault.com/ui/#object/approved_document__v/V5OZ025E82TFUPI", "Spain - HCP Survey Email - June 2025")</f>
        <v>Spain - HCP Survey Email - June 2025</v>
      </c>
      <c r="C2763" s="3" t="str">
        <f>HYPERLINK("https://otsuka-europe-crm.veevavault.com/ui/#object/sent_email__v/VBLZ025E82GMZRK", "SE-000269874")</f>
        <v>SE-000269874</v>
      </c>
      <c r="D2763" s="1" t="s">
        <v>0</v>
      </c>
      <c r="E2763" s="2">
        <v>0</v>
      </c>
      <c r="F2763" s="2">
        <v>0</v>
      </c>
      <c r="G2763" s="2">
        <v>0</v>
      </c>
      <c r="H2763" s="1" t="s">
        <v>0</v>
      </c>
      <c r="I2763" s="2">
        <v>0</v>
      </c>
      <c r="J2763" s="1">
        <v>45915.379305555558</v>
      </c>
    </row>
    <row r="2764" spans="1:10" x14ac:dyDescent="0.2">
      <c r="A2764" s="4" t="s">
        <v>1</v>
      </c>
      <c r="B2764" s="3" t="str">
        <f>HYPERLINK("https://otsuka-europe-crm.veevavault.com/ui/#object/approved_document__v/V5OZ025E82TFUPI", "Spain - HCP Survey Email - June 2025")</f>
        <v>Spain - HCP Survey Email - June 2025</v>
      </c>
      <c r="C2764" s="3" t="str">
        <f>HYPERLINK("https://otsuka-europe-crm.veevavault.com/ui/#object/sent_email__v/VBLZ025E82GMZRL", "SE-000269875")</f>
        <v>SE-000269875</v>
      </c>
      <c r="D2764" s="1" t="s">
        <v>0</v>
      </c>
      <c r="E2764" s="2">
        <v>0</v>
      </c>
      <c r="F2764" s="2">
        <v>0</v>
      </c>
      <c r="G2764" s="2">
        <v>0</v>
      </c>
      <c r="H2764" s="1" t="s">
        <v>0</v>
      </c>
      <c r="I2764" s="2">
        <v>0</v>
      </c>
      <c r="J2764" s="1">
        <v>45915.377835648149</v>
      </c>
    </row>
    <row r="2765" spans="1:10" x14ac:dyDescent="0.2">
      <c r="A2765" s="4" t="s">
        <v>1</v>
      </c>
      <c r="B2765" s="3" t="str">
        <f>HYPERLINK("https://otsuka-europe-crm.veevavault.com/ui/#object/approved_document__v/V5OZ025E82TFUPI", "Spain - HCP Survey Email - June 2025")</f>
        <v>Spain - HCP Survey Email - June 2025</v>
      </c>
      <c r="C2765" s="3" t="str">
        <f>HYPERLINK("https://otsuka-europe-crm.veevavault.com/ui/#object/sent_email__v/VBLZ025E82GMZRM", "SE-000269876")</f>
        <v>SE-000269876</v>
      </c>
      <c r="D2765" s="1">
        <v>45915.401655092595</v>
      </c>
      <c r="E2765" s="2">
        <v>1</v>
      </c>
      <c r="F2765" s="2">
        <v>1</v>
      </c>
      <c r="G2765" s="2">
        <v>1</v>
      </c>
      <c r="H2765" s="1">
        <v>45915.401770833334</v>
      </c>
      <c r="I2765" s="2">
        <v>2</v>
      </c>
      <c r="J2765" s="1">
        <v>45915.378240740742</v>
      </c>
    </row>
    <row r="2766" spans="1:10" x14ac:dyDescent="0.2">
      <c r="A2766" s="4" t="s">
        <v>1</v>
      </c>
      <c r="B2766" s="3" t="str">
        <f>HYPERLINK("https://otsuka-europe-crm.veevavault.com/ui/#object/approved_document__v/V5OZ025E82TFUPI", "Spain - HCP Survey Email - June 2025")</f>
        <v>Spain - HCP Survey Email - June 2025</v>
      </c>
      <c r="C2766" s="3" t="str">
        <f>HYPERLINK("https://otsuka-europe-crm.veevavault.com/ui/#object/sent_email__v/VBLZ025E82GMZRN", "SE-000269877")</f>
        <v>SE-000269877</v>
      </c>
      <c r="D2766" s="1" t="s">
        <v>0</v>
      </c>
      <c r="E2766" s="2">
        <v>0</v>
      </c>
      <c r="F2766" s="2">
        <v>0</v>
      </c>
      <c r="G2766" s="2">
        <v>0</v>
      </c>
      <c r="H2766" s="1" t="s">
        <v>0</v>
      </c>
      <c r="I2766" s="2">
        <v>0</v>
      </c>
      <c r="J2766" s="1">
        <v>45915.378171296295</v>
      </c>
    </row>
    <row r="2767" spans="1:10" x14ac:dyDescent="0.2">
      <c r="A2767" s="4" t="s">
        <v>1</v>
      </c>
      <c r="B2767" s="3" t="str">
        <f>HYPERLINK("https://otsuka-europe-crm.veevavault.com/ui/#object/approved_document__v/V5OZ025E82TFUPI", "Spain - HCP Survey Email - June 2025")</f>
        <v>Spain - HCP Survey Email - June 2025</v>
      </c>
      <c r="C2767" s="3" t="str">
        <f>HYPERLINK("https://otsuka-europe-crm.veevavault.com/ui/#object/sent_email__v/VBLZ025E82GMZRO", "SE-000269878")</f>
        <v>SE-000269878</v>
      </c>
      <c r="D2767" s="1">
        <v>45915.995868055557</v>
      </c>
      <c r="E2767" s="2">
        <v>1</v>
      </c>
      <c r="F2767" s="2">
        <v>1</v>
      </c>
      <c r="G2767" s="2">
        <v>0</v>
      </c>
      <c r="H2767" s="1" t="s">
        <v>0</v>
      </c>
      <c r="I2767" s="2">
        <v>0</v>
      </c>
      <c r="J2767" s="1">
        <v>45915.378587962965</v>
      </c>
    </row>
    <row r="2768" spans="1:10" x14ac:dyDescent="0.2">
      <c r="A2768" s="4" t="s">
        <v>1</v>
      </c>
      <c r="B2768" s="3" t="str">
        <f>HYPERLINK("https://otsuka-europe-crm.veevavault.com/ui/#object/approved_document__v/V5OZ025E82TFUPI", "Spain - HCP Survey Email - June 2025")</f>
        <v>Spain - HCP Survey Email - June 2025</v>
      </c>
      <c r="C2768" s="3" t="str">
        <f>HYPERLINK("https://otsuka-europe-crm.veevavault.com/ui/#object/sent_email__v/VBLZ025E82GMZRP", "SE-000269879")</f>
        <v>SE-000269879</v>
      </c>
      <c r="D2768" s="1" t="s">
        <v>0</v>
      </c>
      <c r="E2768" s="2">
        <v>0</v>
      </c>
      <c r="F2768" s="2">
        <v>0</v>
      </c>
      <c r="G2768" s="2">
        <v>0</v>
      </c>
      <c r="H2768" s="1" t="s">
        <v>0</v>
      </c>
      <c r="I2768" s="2">
        <v>0</v>
      </c>
      <c r="J2768" s="1">
        <v>45915.379918981482</v>
      </c>
    </row>
    <row r="2769" spans="1:10" x14ac:dyDescent="0.2">
      <c r="A2769" s="4" t="s">
        <v>1</v>
      </c>
      <c r="B2769" s="3" t="str">
        <f>HYPERLINK("https://otsuka-europe-crm.veevavault.com/ui/#object/approved_document__v/V5OZ025E82TFUPI", "Spain - HCP Survey Email - June 2025")</f>
        <v>Spain - HCP Survey Email - June 2025</v>
      </c>
      <c r="C2769" s="3" t="str">
        <f>HYPERLINK("https://otsuka-europe-crm.veevavault.com/ui/#object/sent_email__v/VBLZ025E82GMZRQ", "SE-000269880")</f>
        <v>SE-000269880</v>
      </c>
      <c r="D2769" s="1">
        <v>45917.445740740739</v>
      </c>
      <c r="E2769" s="2">
        <v>1</v>
      </c>
      <c r="F2769" s="2">
        <v>1</v>
      </c>
      <c r="G2769" s="2">
        <v>0</v>
      </c>
      <c r="H2769" s="1" t="s">
        <v>0</v>
      </c>
      <c r="I2769" s="2">
        <v>0</v>
      </c>
      <c r="J2769" s="1">
        <v>45915.37777777778</v>
      </c>
    </row>
    <row r="2770" spans="1:10" x14ac:dyDescent="0.2">
      <c r="A2770" s="4" t="s">
        <v>1</v>
      </c>
      <c r="B2770" s="3" t="str">
        <f>HYPERLINK("https://otsuka-europe-crm.veevavault.com/ui/#object/approved_document__v/V5OZ025E82TFUPI", "Spain - HCP Survey Email - June 2025")</f>
        <v>Spain - HCP Survey Email - June 2025</v>
      </c>
      <c r="C2770" s="3" t="str">
        <f>HYPERLINK("https://otsuka-europe-crm.veevavault.com/ui/#object/sent_email__v/VBLZ025E82GMZRR", "SE-000269881")</f>
        <v>SE-000269881</v>
      </c>
      <c r="D2770" s="1">
        <v>45915.38894675926</v>
      </c>
      <c r="E2770" s="2">
        <v>1</v>
      </c>
      <c r="F2770" s="2">
        <v>1</v>
      </c>
      <c r="G2770" s="2">
        <v>1</v>
      </c>
      <c r="H2770" s="1">
        <v>45915.389085648145</v>
      </c>
      <c r="I2770" s="2">
        <v>1</v>
      </c>
      <c r="J2770" s="1">
        <v>45915.377430555556</v>
      </c>
    </row>
    <row r="2771" spans="1:10" x14ac:dyDescent="0.2">
      <c r="A2771" s="4" t="s">
        <v>1</v>
      </c>
      <c r="B2771" s="3" t="str">
        <f>HYPERLINK("https://otsuka-europe-crm.veevavault.com/ui/#object/approved_document__v/V5OZ025E82TFUPI", "Spain - HCP Survey Email - June 2025")</f>
        <v>Spain - HCP Survey Email - June 2025</v>
      </c>
      <c r="C2771" s="3" t="str">
        <f>HYPERLINK("https://otsuka-europe-crm.veevavault.com/ui/#object/sent_email__v/VBLZ025E82GMZRS", "SE-000269882")</f>
        <v>SE-000269882</v>
      </c>
      <c r="D2771" s="1" t="s">
        <v>0</v>
      </c>
      <c r="E2771" s="2">
        <v>0</v>
      </c>
      <c r="F2771" s="2">
        <v>0</v>
      </c>
      <c r="G2771" s="2">
        <v>0</v>
      </c>
      <c r="H2771" s="1" t="s">
        <v>0</v>
      </c>
      <c r="I2771" s="2">
        <v>0</v>
      </c>
      <c r="J2771" s="1">
        <v>45915.378368055557</v>
      </c>
    </row>
    <row r="2772" spans="1:10" x14ac:dyDescent="0.2">
      <c r="A2772" s="4" t="s">
        <v>1</v>
      </c>
      <c r="B2772" s="3" t="str">
        <f>HYPERLINK("https://otsuka-europe-crm.veevavault.com/ui/#object/approved_document__v/V5OZ025E82TFUPI", "Spain - HCP Survey Email - June 2025")</f>
        <v>Spain - HCP Survey Email - June 2025</v>
      </c>
      <c r="C2772" s="3" t="str">
        <f>HYPERLINK("https://otsuka-europe-crm.veevavault.com/ui/#object/sent_email__v/VBLZ025E82GMZRT", "SE-000269883")</f>
        <v>SE-000269883</v>
      </c>
      <c r="D2772" s="1">
        <v>45953.786840277775</v>
      </c>
      <c r="E2772" s="2">
        <v>1</v>
      </c>
      <c r="F2772" s="2">
        <v>4</v>
      </c>
      <c r="G2772" s="2">
        <v>1</v>
      </c>
      <c r="H2772" s="1">
        <v>45915.606087962966</v>
      </c>
      <c r="I2772" s="2">
        <v>1</v>
      </c>
      <c r="J2772" s="1">
        <v>45915.378831018519</v>
      </c>
    </row>
    <row r="2773" spans="1:10" x14ac:dyDescent="0.2">
      <c r="A2773" s="4" t="s">
        <v>1</v>
      </c>
      <c r="B2773" s="3" t="str">
        <f>HYPERLINK("https://otsuka-europe-crm.veevavault.com/ui/#object/approved_document__v/V5OZ025E82TFUPI", "Spain - HCP Survey Email - June 2025")</f>
        <v>Spain - HCP Survey Email - June 2025</v>
      </c>
      <c r="C2773" s="3" t="str">
        <f>HYPERLINK("https://otsuka-europe-crm.veevavault.com/ui/#object/sent_email__v/VBLZ025E82GMZRU", "SE-000269884")</f>
        <v>SE-000269884</v>
      </c>
      <c r="D2773" s="1">
        <v>45915.507361111115</v>
      </c>
      <c r="E2773" s="2">
        <v>1</v>
      </c>
      <c r="F2773" s="2">
        <v>1</v>
      </c>
      <c r="G2773" s="2">
        <v>1</v>
      </c>
      <c r="H2773" s="1">
        <v>45915.5075462963</v>
      </c>
      <c r="I2773" s="2">
        <v>1</v>
      </c>
      <c r="J2773" s="1">
        <v>45915.378738425927</v>
      </c>
    </row>
    <row r="2774" spans="1:10" x14ac:dyDescent="0.2">
      <c r="A2774" s="4" t="s">
        <v>1</v>
      </c>
      <c r="B2774" s="3" t="str">
        <f>HYPERLINK("https://otsuka-europe-crm.veevavault.com/ui/#object/approved_document__v/V5OZ025E82TFUPI", "Spain - HCP Survey Email - June 2025")</f>
        <v>Spain - HCP Survey Email - June 2025</v>
      </c>
      <c r="C2774" s="3" t="str">
        <f>HYPERLINK("https://otsuka-europe-crm.veevavault.com/ui/#object/sent_email__v/VBLZ025E82GMZRV", "SE-000269885")</f>
        <v>SE-000269885</v>
      </c>
      <c r="D2774" s="1">
        <v>45915.590798611112</v>
      </c>
      <c r="E2774" s="2">
        <v>1</v>
      </c>
      <c r="F2774" s="2">
        <v>2</v>
      </c>
      <c r="G2774" s="2">
        <v>0</v>
      </c>
      <c r="H2774" s="1" t="s">
        <v>0</v>
      </c>
      <c r="I2774" s="2">
        <v>0</v>
      </c>
      <c r="J2774" s="1">
        <v>45915.379143518519</v>
      </c>
    </row>
    <row r="2775" spans="1:10" x14ac:dyDescent="0.2">
      <c r="A2775" s="4" t="s">
        <v>1</v>
      </c>
      <c r="B2775" s="3" t="str">
        <f>HYPERLINK("https://otsuka-europe-crm.veevavault.com/ui/#object/approved_document__v/V5OZ025E82TFUPI", "Spain - HCP Survey Email - June 2025")</f>
        <v>Spain - HCP Survey Email - June 2025</v>
      </c>
      <c r="C2775" s="3" t="str">
        <f>HYPERLINK("https://otsuka-europe-crm.veevavault.com/ui/#object/sent_email__v/VBLZ025E82GMZRW", "SE-000269886")</f>
        <v>SE-000269886</v>
      </c>
      <c r="D2775" s="1">
        <v>45915.549537037034</v>
      </c>
      <c r="E2775" s="2">
        <v>1</v>
      </c>
      <c r="F2775" s="2">
        <v>1</v>
      </c>
      <c r="G2775" s="2">
        <v>0</v>
      </c>
      <c r="H2775" s="1" t="s">
        <v>0</v>
      </c>
      <c r="I2775" s="2">
        <v>0</v>
      </c>
      <c r="J2775" s="1">
        <v>45915.377847222226</v>
      </c>
    </row>
    <row r="2776" spans="1:10" x14ac:dyDescent="0.2">
      <c r="A2776" s="4" t="s">
        <v>1</v>
      </c>
      <c r="B2776" s="3" t="str">
        <f>HYPERLINK("https://otsuka-europe-crm.veevavault.com/ui/#object/approved_document__v/V5OZ025E82TFUPI", "Spain - HCP Survey Email - June 2025")</f>
        <v>Spain - HCP Survey Email - June 2025</v>
      </c>
      <c r="C2776" s="3" t="str">
        <f>HYPERLINK("https://otsuka-europe-crm.veevavault.com/ui/#object/sent_email__v/VBLZ025E82GMZRX", "SE-000269887")</f>
        <v>SE-000269887</v>
      </c>
      <c r="D2776" s="1" t="s">
        <v>0</v>
      </c>
      <c r="E2776" s="2">
        <v>0</v>
      </c>
      <c r="F2776" s="2">
        <v>0</v>
      </c>
      <c r="G2776" s="2">
        <v>0</v>
      </c>
      <c r="H2776" s="1" t="s">
        <v>0</v>
      </c>
      <c r="I2776" s="2">
        <v>0</v>
      </c>
      <c r="J2776" s="1">
        <v>45915.378287037034</v>
      </c>
    </row>
    <row r="2777" spans="1:10" x14ac:dyDescent="0.2">
      <c r="A2777" s="4" t="s">
        <v>1</v>
      </c>
      <c r="B2777" s="3" t="str">
        <f>HYPERLINK("https://otsuka-europe-crm.veevavault.com/ui/#object/approved_document__v/V5OZ025E82TFUPI", "Spain - HCP Survey Email - June 2025")</f>
        <v>Spain - HCP Survey Email - June 2025</v>
      </c>
      <c r="C2777" s="3" t="str">
        <f>HYPERLINK("https://otsuka-europe-crm.veevavault.com/ui/#object/sent_email__v/VBLZ025E82GMZRY", "SE-000269888")</f>
        <v>SE-000269888</v>
      </c>
      <c r="D2777" s="1">
        <v>45915.378263888888</v>
      </c>
      <c r="E2777" s="2">
        <v>1</v>
      </c>
      <c r="F2777" s="2">
        <v>1</v>
      </c>
      <c r="G2777" s="2">
        <v>1</v>
      </c>
      <c r="H2777" s="1">
        <v>45915.378564814811</v>
      </c>
      <c r="I2777" s="2">
        <v>2</v>
      </c>
      <c r="J2777" s="1">
        <v>45915.378136574072</v>
      </c>
    </row>
    <row r="2778" spans="1:10" x14ac:dyDescent="0.2">
      <c r="A2778" s="4" t="s">
        <v>1</v>
      </c>
      <c r="B2778" s="3" t="str">
        <f>HYPERLINK("https://otsuka-europe-crm.veevavault.com/ui/#object/approved_document__v/V5OZ025E82TFUPI", "Spain - HCP Survey Email - June 2025")</f>
        <v>Spain - HCP Survey Email - June 2025</v>
      </c>
      <c r="C2778" s="3" t="str">
        <f>HYPERLINK("https://otsuka-europe-crm.veevavault.com/ui/#object/sent_email__v/VBLZ025E82GMZRZ", "SE-000269889")</f>
        <v>SE-000269889</v>
      </c>
      <c r="D2778" s="1" t="s">
        <v>0</v>
      </c>
      <c r="E2778" s="2">
        <v>0</v>
      </c>
      <c r="F2778" s="2">
        <v>0</v>
      </c>
      <c r="G2778" s="2">
        <v>0</v>
      </c>
      <c r="H2778" s="1" t="s">
        <v>0</v>
      </c>
      <c r="I2778" s="2">
        <v>0</v>
      </c>
      <c r="J2778" s="1">
        <v>45915.378599537034</v>
      </c>
    </row>
    <row r="2779" spans="1:10" x14ac:dyDescent="0.2">
      <c r="A2779" s="4" t="s">
        <v>1</v>
      </c>
      <c r="B2779" s="3" t="str">
        <f>HYPERLINK("https://otsuka-europe-crm.veevavault.com/ui/#object/approved_document__v/V5OZ025E82TFUPI", "Spain - HCP Survey Email - June 2025")</f>
        <v>Spain - HCP Survey Email - June 2025</v>
      </c>
      <c r="C2779" s="3" t="str">
        <f>HYPERLINK("https://otsuka-europe-crm.veevavault.com/ui/#object/sent_email__v/VBLZ025E82GMZS0", "SE-000269890")</f>
        <v>SE-000269890</v>
      </c>
      <c r="D2779" s="1" t="s">
        <v>0</v>
      </c>
      <c r="E2779" s="2">
        <v>0</v>
      </c>
      <c r="F2779" s="2">
        <v>0</v>
      </c>
      <c r="G2779" s="2">
        <v>0</v>
      </c>
      <c r="H2779" s="1" t="s">
        <v>0</v>
      </c>
      <c r="I2779" s="2">
        <v>0</v>
      </c>
      <c r="J2779" s="1">
        <v>45915.380011574074</v>
      </c>
    </row>
    <row r="2780" spans="1:10" x14ac:dyDescent="0.2">
      <c r="A2780" s="4" t="s">
        <v>1</v>
      </c>
      <c r="B2780" s="3" t="str">
        <f>HYPERLINK("https://otsuka-europe-crm.veevavault.com/ui/#object/approved_document__v/V5OZ025E82TFUPI", "Spain - HCP Survey Email - June 2025")</f>
        <v>Spain - HCP Survey Email - June 2025</v>
      </c>
      <c r="C2780" s="3" t="str">
        <f>HYPERLINK("https://otsuka-europe-crm.veevavault.com/ui/#object/sent_email__v/VBLZ025E82GMZS1", "SE-000269891")</f>
        <v>SE-000269891</v>
      </c>
      <c r="D2780" s="1" t="s">
        <v>0</v>
      </c>
      <c r="E2780" s="2">
        <v>0</v>
      </c>
      <c r="F2780" s="2">
        <v>0</v>
      </c>
      <c r="G2780" s="2">
        <v>0</v>
      </c>
      <c r="H2780" s="1" t="s">
        <v>0</v>
      </c>
      <c r="I2780" s="2">
        <v>0</v>
      </c>
      <c r="J2780" s="1">
        <v>45915.377812500003</v>
      </c>
    </row>
    <row r="2781" spans="1:10" x14ac:dyDescent="0.2">
      <c r="A2781" s="4" t="s">
        <v>1</v>
      </c>
      <c r="B2781" s="3" t="str">
        <f>HYPERLINK("https://otsuka-europe-crm.veevavault.com/ui/#object/approved_document__v/V5OZ025E82TFUPI", "Spain - HCP Survey Email - June 2025")</f>
        <v>Spain - HCP Survey Email - June 2025</v>
      </c>
      <c r="C2781" s="3" t="str">
        <f>HYPERLINK("https://otsuka-europe-crm.veevavault.com/ui/#object/sent_email__v/VBLZ025E82GMZS2", "SE-000269892")</f>
        <v>SE-000269892</v>
      </c>
      <c r="D2781" s="1" t="s">
        <v>0</v>
      </c>
      <c r="E2781" s="2">
        <v>0</v>
      </c>
      <c r="F2781" s="2">
        <v>0</v>
      </c>
      <c r="G2781" s="2">
        <v>0</v>
      </c>
      <c r="H2781" s="1" t="s">
        <v>0</v>
      </c>
      <c r="I2781" s="2">
        <v>0</v>
      </c>
      <c r="J2781" s="1">
        <v>45915.378136574072</v>
      </c>
    </row>
    <row r="2782" spans="1:10" x14ac:dyDescent="0.2">
      <c r="A2782" s="4" t="s">
        <v>1</v>
      </c>
      <c r="B2782" s="3" t="str">
        <f>HYPERLINK("https://otsuka-europe-crm.veevavault.com/ui/#object/approved_document__v/V5OZ025E82TFUPI", "Spain - HCP Survey Email - June 2025")</f>
        <v>Spain - HCP Survey Email - June 2025</v>
      </c>
      <c r="C2782" s="3" t="str">
        <f>HYPERLINK("https://otsuka-europe-crm.veevavault.com/ui/#object/sent_email__v/VBLZ025E82GMZS3", "SE-000269893")</f>
        <v>SE-000269893</v>
      </c>
      <c r="D2782" s="1">
        <v>45915.605324074073</v>
      </c>
      <c r="E2782" s="2">
        <v>1</v>
      </c>
      <c r="F2782" s="2">
        <v>1</v>
      </c>
      <c r="G2782" s="2">
        <v>1</v>
      </c>
      <c r="H2782" s="1">
        <v>45915.605451388888</v>
      </c>
      <c r="I2782" s="2">
        <v>1</v>
      </c>
      <c r="J2782" s="1">
        <v>45915.378692129627</v>
      </c>
    </row>
    <row r="2783" spans="1:10" x14ac:dyDescent="0.2">
      <c r="A2783" s="4" t="s">
        <v>1</v>
      </c>
      <c r="B2783" s="3" t="str">
        <f>HYPERLINK("https://otsuka-europe-crm.veevavault.com/ui/#object/approved_document__v/V5OZ025E82TFUPI", "Spain - HCP Survey Email - June 2025")</f>
        <v>Spain - HCP Survey Email - June 2025</v>
      </c>
      <c r="C2783" s="3" t="str">
        <f>HYPERLINK("https://otsuka-europe-crm.veevavault.com/ui/#object/sent_email__v/VBLZ025E82GMZS4", "SE-000269894")</f>
        <v>SE-000269894</v>
      </c>
      <c r="D2783" s="1">
        <v>45915.630011574074</v>
      </c>
      <c r="E2783" s="2">
        <v>1</v>
      </c>
      <c r="F2783" s="2">
        <v>1</v>
      </c>
      <c r="G2783" s="2">
        <v>0</v>
      </c>
      <c r="H2783" s="1" t="s">
        <v>0</v>
      </c>
      <c r="I2783" s="2">
        <v>0</v>
      </c>
      <c r="J2783" s="1">
        <v>45915.379976851851</v>
      </c>
    </row>
    <row r="2784" spans="1:10" x14ac:dyDescent="0.2">
      <c r="A2784" s="4" t="s">
        <v>1</v>
      </c>
      <c r="B2784" s="3" t="str">
        <f>HYPERLINK("https://otsuka-europe-crm.veevavault.com/ui/#object/approved_document__v/V5OZ025E82TFUPI", "Spain - HCP Survey Email - June 2025")</f>
        <v>Spain - HCP Survey Email - June 2025</v>
      </c>
      <c r="C2784" s="3" t="str">
        <f>HYPERLINK("https://otsuka-europe-crm.veevavault.com/ui/#object/sent_email__v/VBLZ025E82GMZS5", "SE-000269895")</f>
        <v>SE-000269895</v>
      </c>
      <c r="D2784" s="1" t="s">
        <v>0</v>
      </c>
      <c r="E2784" s="2">
        <v>0</v>
      </c>
      <c r="F2784" s="2">
        <v>0</v>
      </c>
      <c r="G2784" s="2">
        <v>0</v>
      </c>
      <c r="H2784" s="1" t="s">
        <v>0</v>
      </c>
      <c r="I2784" s="2">
        <v>0</v>
      </c>
      <c r="J2784" s="1">
        <v>45915.377789351849</v>
      </c>
    </row>
    <row r="2785" spans="1:10" x14ac:dyDescent="0.2">
      <c r="A2785" s="4" t="s">
        <v>1</v>
      </c>
      <c r="B2785" s="3" t="str">
        <f>HYPERLINK("https://otsuka-europe-crm.veevavault.com/ui/#object/approved_document__v/V5OZ025E82TFUPI", "Spain - HCP Survey Email - June 2025")</f>
        <v>Spain - HCP Survey Email - June 2025</v>
      </c>
      <c r="C2785" s="3" t="str">
        <f>HYPERLINK("https://otsuka-europe-crm.veevavault.com/ui/#object/sent_email__v/VBLZ025E82GMZS6", "SE-000269896")</f>
        <v>SE-000269896</v>
      </c>
      <c r="D2785" s="1">
        <v>45927.46738425926</v>
      </c>
      <c r="E2785" s="2">
        <v>1</v>
      </c>
      <c r="F2785" s="2">
        <v>2</v>
      </c>
      <c r="G2785" s="2">
        <v>1</v>
      </c>
      <c r="H2785" s="1">
        <v>45915.613402777781</v>
      </c>
      <c r="I2785" s="2">
        <v>1</v>
      </c>
      <c r="J2785" s="1">
        <v>45915.377372685187</v>
      </c>
    </row>
    <row r="2786" spans="1:10" x14ac:dyDescent="0.2">
      <c r="A2786" s="4" t="s">
        <v>1</v>
      </c>
      <c r="B2786" s="3" t="str">
        <f>HYPERLINK("https://otsuka-europe-crm.veevavault.com/ui/#object/approved_document__v/V5OZ025E82TFUPI", "Spain - HCP Survey Email - June 2025")</f>
        <v>Spain - HCP Survey Email - June 2025</v>
      </c>
      <c r="C2786" s="3" t="str">
        <f>HYPERLINK("https://otsuka-europe-crm.veevavault.com/ui/#object/sent_email__v/VBLZ025E82GMZS7", "SE-000269897")</f>
        <v>SE-000269897</v>
      </c>
      <c r="D2786" s="1">
        <v>45915.601134259261</v>
      </c>
      <c r="E2786" s="2">
        <v>1</v>
      </c>
      <c r="F2786" s="2">
        <v>1</v>
      </c>
      <c r="G2786" s="2">
        <v>0</v>
      </c>
      <c r="H2786" s="1" t="s">
        <v>0</v>
      </c>
      <c r="I2786" s="2">
        <v>0</v>
      </c>
      <c r="J2786" s="1">
        <v>45915.378263888888</v>
      </c>
    </row>
    <row r="2787" spans="1:10" x14ac:dyDescent="0.2">
      <c r="A2787" s="4" t="s">
        <v>1</v>
      </c>
      <c r="B2787" s="3" t="str">
        <f>HYPERLINK("https://otsuka-europe-crm.veevavault.com/ui/#object/approved_document__v/V5OZ025E82TFUPI", "Spain - HCP Survey Email - June 2025")</f>
        <v>Spain - HCP Survey Email - June 2025</v>
      </c>
      <c r="C2787" s="3" t="str">
        <f>HYPERLINK("https://otsuka-europe-crm.veevavault.com/ui/#object/sent_email__v/VBLZ025E82GMZS8", "SE-000269898")</f>
        <v>SE-000269898</v>
      </c>
      <c r="D2787" s="1">
        <v>45915.543368055558</v>
      </c>
      <c r="E2787" s="2">
        <v>1</v>
      </c>
      <c r="F2787" s="2">
        <v>1</v>
      </c>
      <c r="G2787" s="2">
        <v>0</v>
      </c>
      <c r="H2787" s="1" t="s">
        <v>0</v>
      </c>
      <c r="I2787" s="2">
        <v>0</v>
      </c>
      <c r="J2787" s="1">
        <v>45915.378888888888</v>
      </c>
    </row>
    <row r="2788" spans="1:10" x14ac:dyDescent="0.2">
      <c r="A2788" s="4" t="s">
        <v>1</v>
      </c>
      <c r="B2788" s="3" t="str">
        <f>HYPERLINK("https://otsuka-europe-crm.veevavault.com/ui/#object/approved_document__v/V5OZ025E82TFUPI", "Spain - HCP Survey Email - June 2025")</f>
        <v>Spain - HCP Survey Email - June 2025</v>
      </c>
      <c r="C2788" s="3" t="str">
        <f>HYPERLINK("https://otsuka-europe-crm.veevavault.com/ui/#object/sent_email__v/VBLZ025E82GMZS9", "SE-000269899")</f>
        <v>SE-000269899</v>
      </c>
      <c r="D2788" s="1">
        <v>45915.38113425926</v>
      </c>
      <c r="E2788" s="2">
        <v>1</v>
      </c>
      <c r="F2788" s="2">
        <v>1</v>
      </c>
      <c r="G2788" s="2">
        <v>1</v>
      </c>
      <c r="H2788" s="1">
        <v>45915.381608796299</v>
      </c>
      <c r="I2788" s="2">
        <v>1</v>
      </c>
      <c r="J2788" s="1">
        <v>45915.378634259258</v>
      </c>
    </row>
    <row r="2789" spans="1:10" x14ac:dyDescent="0.2">
      <c r="A2789" s="4" t="s">
        <v>1</v>
      </c>
      <c r="B2789" s="3" t="str">
        <f>HYPERLINK("https://otsuka-europe-crm.veevavault.com/ui/#object/approved_document__v/V5OZ025E82TFUPI", "Spain - HCP Survey Email - June 2025")</f>
        <v>Spain - HCP Survey Email - June 2025</v>
      </c>
      <c r="C2789" s="3" t="str">
        <f>HYPERLINK("https://otsuka-europe-crm.veevavault.com/ui/#object/sent_email__v/VBLZ025E82GMZSA", "SE-000269900")</f>
        <v>SE-000269900</v>
      </c>
      <c r="D2789" s="1">
        <v>45939.479270833333</v>
      </c>
      <c r="E2789" s="2">
        <v>1</v>
      </c>
      <c r="F2789" s="2">
        <v>2</v>
      </c>
      <c r="G2789" s="2">
        <v>0</v>
      </c>
      <c r="H2789" s="1" t="s">
        <v>0</v>
      </c>
      <c r="I2789" s="2">
        <v>0</v>
      </c>
      <c r="J2789" s="1">
        <v>45915.37908564815</v>
      </c>
    </row>
    <row r="2790" spans="1:10" x14ac:dyDescent="0.2">
      <c r="A2790" s="4" t="s">
        <v>1</v>
      </c>
      <c r="B2790" s="3" t="str">
        <f>HYPERLINK("https://otsuka-europe-crm.veevavault.com/ui/#object/approved_document__v/V5OZ025E82TFUPI", "Spain - HCP Survey Email - June 2025")</f>
        <v>Spain - HCP Survey Email - June 2025</v>
      </c>
      <c r="C2790" s="3" t="str">
        <f>HYPERLINK("https://otsuka-europe-crm.veevavault.com/ui/#object/sent_email__v/VBLZ025E82GMZSB", "SE-000269901")</f>
        <v>SE-000269901</v>
      </c>
      <c r="D2790" s="1">
        <v>45915.683078703703</v>
      </c>
      <c r="E2790" s="2">
        <v>1</v>
      </c>
      <c r="F2790" s="2">
        <v>2</v>
      </c>
      <c r="G2790" s="2">
        <v>0</v>
      </c>
      <c r="H2790" s="1" t="s">
        <v>0</v>
      </c>
      <c r="I2790" s="2">
        <v>0</v>
      </c>
      <c r="J2790" s="1">
        <v>45915.377789351849</v>
      </c>
    </row>
    <row r="2791" spans="1:10" x14ac:dyDescent="0.2">
      <c r="A2791" s="4" t="s">
        <v>1</v>
      </c>
      <c r="B2791" s="3" t="str">
        <f>HYPERLINK("https://otsuka-europe-crm.veevavault.com/ui/#object/approved_document__v/V5OZ025E82TFUPI", "Spain - HCP Survey Email - June 2025")</f>
        <v>Spain - HCP Survey Email - June 2025</v>
      </c>
      <c r="C2791" s="3" t="str">
        <f>HYPERLINK("https://otsuka-europe-crm.veevavault.com/ui/#object/sent_email__v/VBLZ025E82GMZSC", "SE-000269902")</f>
        <v>SE-000269902</v>
      </c>
      <c r="D2791" s="1">
        <v>45941.197060185186</v>
      </c>
      <c r="E2791" s="2">
        <v>1</v>
      </c>
      <c r="F2791" s="2">
        <v>4</v>
      </c>
      <c r="G2791" s="2">
        <v>0</v>
      </c>
      <c r="H2791" s="1" t="s">
        <v>0</v>
      </c>
      <c r="I2791" s="2">
        <v>0</v>
      </c>
      <c r="J2791" s="1">
        <v>45915.378240740742</v>
      </c>
    </row>
    <row r="2792" spans="1:10" x14ac:dyDescent="0.2">
      <c r="A2792" s="4" t="s">
        <v>1</v>
      </c>
      <c r="B2792" s="3" t="str">
        <f>HYPERLINK("https://otsuka-europe-crm.veevavault.com/ui/#object/approved_document__v/V5OZ025E82TFUPI", "Spain - HCP Survey Email - June 2025")</f>
        <v>Spain - HCP Survey Email - June 2025</v>
      </c>
      <c r="C2792" s="3" t="str">
        <f>HYPERLINK("https://otsuka-europe-crm.veevavault.com/ui/#object/sent_email__v/VBLZ025E82GMZSD", "SE-000269903")</f>
        <v>SE-000269903</v>
      </c>
      <c r="D2792" s="1" t="s">
        <v>0</v>
      </c>
      <c r="E2792" s="2">
        <v>0</v>
      </c>
      <c r="F2792" s="2">
        <v>0</v>
      </c>
      <c r="G2792" s="2">
        <v>0</v>
      </c>
      <c r="H2792" s="1" t="s">
        <v>0</v>
      </c>
      <c r="I2792" s="2">
        <v>0</v>
      </c>
      <c r="J2792" s="1">
        <v>45915.378206018519</v>
      </c>
    </row>
    <row r="2793" spans="1:10" x14ac:dyDescent="0.2">
      <c r="A2793" s="4" t="s">
        <v>1</v>
      </c>
      <c r="B2793" s="3" t="str">
        <f>HYPERLINK("https://otsuka-europe-crm.veevavault.com/ui/#object/approved_document__v/V5OZ025E82TFUPI", "Spain - HCP Survey Email - June 2025")</f>
        <v>Spain - HCP Survey Email - June 2025</v>
      </c>
      <c r="C2793" s="3" t="str">
        <f>HYPERLINK("https://otsuka-europe-crm.veevavault.com/ui/#object/sent_email__v/VBLZ025E82GMZSE", "SE-000269904")</f>
        <v>SE-000269904</v>
      </c>
      <c r="D2793" s="1">
        <v>45916.541597222225</v>
      </c>
      <c r="E2793" s="2">
        <v>1</v>
      </c>
      <c r="F2793" s="2">
        <v>5</v>
      </c>
      <c r="G2793" s="2">
        <v>0</v>
      </c>
      <c r="H2793" s="1" t="s">
        <v>0</v>
      </c>
      <c r="I2793" s="2">
        <v>0</v>
      </c>
      <c r="J2793" s="1">
        <v>45915.378576388888</v>
      </c>
    </row>
    <row r="2794" spans="1:10" x14ac:dyDescent="0.2">
      <c r="A2794" s="4" t="s">
        <v>1</v>
      </c>
      <c r="B2794" s="3" t="str">
        <f>HYPERLINK("https://otsuka-europe-crm.veevavault.com/ui/#object/approved_document__v/V5OZ025E82TFUPI", "Spain - HCP Survey Email - June 2025")</f>
        <v>Spain - HCP Survey Email - June 2025</v>
      </c>
      <c r="C2794" s="3" t="str">
        <f>HYPERLINK("https://otsuka-europe-crm.veevavault.com/ui/#object/sent_email__v/VBLZ025E82GMZSF", "SE-000269905")</f>
        <v>SE-000269905</v>
      </c>
      <c r="D2794" s="1" t="s">
        <v>0</v>
      </c>
      <c r="E2794" s="2">
        <v>0</v>
      </c>
      <c r="F2794" s="2">
        <v>0</v>
      </c>
      <c r="G2794" s="2">
        <v>0</v>
      </c>
      <c r="H2794" s="1" t="s">
        <v>0</v>
      </c>
      <c r="I2794" s="2">
        <v>0</v>
      </c>
      <c r="J2794" s="1">
        <v>45915.379895833335</v>
      </c>
    </row>
    <row r="2795" spans="1:10" x14ac:dyDescent="0.2">
      <c r="A2795" s="4" t="s">
        <v>1</v>
      </c>
      <c r="B2795" s="3" t="str">
        <f>HYPERLINK("https://otsuka-europe-crm.veevavault.com/ui/#object/approved_document__v/V5OZ025E82TFUPI", "Spain - HCP Survey Email - June 2025")</f>
        <v>Spain - HCP Survey Email - June 2025</v>
      </c>
      <c r="C2795" s="3" t="str">
        <f>HYPERLINK("https://otsuka-europe-crm.veevavault.com/ui/#object/sent_email__v/VBLZ025E82GMZSG", "SE-000269906")</f>
        <v>SE-000269906</v>
      </c>
      <c r="D2795" s="1" t="s">
        <v>0</v>
      </c>
      <c r="E2795" s="2">
        <v>0</v>
      </c>
      <c r="F2795" s="2">
        <v>0</v>
      </c>
      <c r="G2795" s="2">
        <v>0</v>
      </c>
      <c r="H2795" s="1" t="s">
        <v>0</v>
      </c>
      <c r="I2795" s="2">
        <v>0</v>
      </c>
      <c r="J2795" s="1">
        <v>45915.377743055556</v>
      </c>
    </row>
    <row r="2796" spans="1:10" x14ac:dyDescent="0.2">
      <c r="A2796" s="4" t="s">
        <v>1</v>
      </c>
      <c r="B2796" s="3" t="str">
        <f>HYPERLINK("https://otsuka-europe-crm.veevavault.com/ui/#object/approved_document__v/V5OZ025E82TFUPI", "Spain - HCP Survey Email - June 2025")</f>
        <v>Spain - HCP Survey Email - June 2025</v>
      </c>
      <c r="C2796" s="3" t="str">
        <f>HYPERLINK("https://otsuka-europe-crm.veevavault.com/ui/#object/sent_email__v/VBLZ025E82GMZSH", "SE-000269907")</f>
        <v>SE-000269907</v>
      </c>
      <c r="D2796" s="1" t="s">
        <v>0</v>
      </c>
      <c r="E2796" s="2">
        <v>0</v>
      </c>
      <c r="F2796" s="2">
        <v>0</v>
      </c>
      <c r="G2796" s="2">
        <v>0</v>
      </c>
      <c r="H2796" s="1" t="s">
        <v>0</v>
      </c>
      <c r="I2796" s="2">
        <v>0</v>
      </c>
      <c r="J2796" s="1">
        <v>45915.377384259256</v>
      </c>
    </row>
    <row r="2797" spans="1:10" x14ac:dyDescent="0.2">
      <c r="A2797" s="4" t="s">
        <v>1</v>
      </c>
      <c r="B2797" s="3" t="str">
        <f>HYPERLINK("https://otsuka-europe-crm.veevavault.com/ui/#object/approved_document__v/V5OZ025E82TFUPI", "Spain - HCP Survey Email - June 2025")</f>
        <v>Spain - HCP Survey Email - June 2025</v>
      </c>
      <c r="C2797" s="3" t="str">
        <f>HYPERLINK("https://otsuka-europe-crm.veevavault.com/ui/#object/sent_email__v/VBLZ025E82GMZSI", "SE-000269908")</f>
        <v>SE-000269908</v>
      </c>
      <c r="D2797" s="1">
        <v>45915.411249999997</v>
      </c>
      <c r="E2797" s="2">
        <v>1</v>
      </c>
      <c r="F2797" s="2">
        <v>1</v>
      </c>
      <c r="G2797" s="2">
        <v>0</v>
      </c>
      <c r="H2797" s="1" t="s">
        <v>0</v>
      </c>
      <c r="I2797" s="2">
        <v>0</v>
      </c>
      <c r="J2797" s="1">
        <v>45915.378298611111</v>
      </c>
    </row>
    <row r="2798" spans="1:10" x14ac:dyDescent="0.2">
      <c r="A2798" s="4" t="s">
        <v>1</v>
      </c>
      <c r="B2798" s="3" t="str">
        <f>HYPERLINK("https://otsuka-europe-crm.veevavault.com/ui/#object/approved_document__v/V5OZ025E82TFUPI", "Spain - HCP Survey Email - June 2025")</f>
        <v>Spain - HCP Survey Email - June 2025</v>
      </c>
      <c r="C2798" s="3" t="str">
        <f>HYPERLINK("https://otsuka-europe-crm.veevavault.com/ui/#object/sent_email__v/VBLZ025E82GMZSJ", "SE-000269909")</f>
        <v>SE-000269909</v>
      </c>
      <c r="D2798" s="1">
        <v>45915.953726851854</v>
      </c>
      <c r="E2798" s="2">
        <v>1</v>
      </c>
      <c r="F2798" s="2">
        <v>1</v>
      </c>
      <c r="G2798" s="2">
        <v>0</v>
      </c>
      <c r="H2798" s="1" t="s">
        <v>0</v>
      </c>
      <c r="I2798" s="2">
        <v>0</v>
      </c>
      <c r="J2798" s="1">
        <v>45915.378784722219</v>
      </c>
    </row>
    <row r="2799" spans="1:10" x14ac:dyDescent="0.2">
      <c r="A2799" s="4" t="s">
        <v>1</v>
      </c>
      <c r="B2799" s="3" t="str">
        <f>HYPERLINK("https://otsuka-europe-crm.veevavault.com/ui/#object/approved_document__v/V5OZ025E82TFUPI", "Spain - HCP Survey Email - June 2025")</f>
        <v>Spain - HCP Survey Email - June 2025</v>
      </c>
      <c r="C2799" s="3" t="str">
        <f>HYPERLINK("https://otsuka-europe-crm.veevavault.com/ui/#object/sent_email__v/VBLZ025E82GMZSK", "SE-000269910")</f>
        <v>SE-000269910</v>
      </c>
      <c r="D2799" s="1">
        <v>45931.065659722219</v>
      </c>
      <c r="E2799" s="2">
        <v>1</v>
      </c>
      <c r="F2799" s="2">
        <v>4</v>
      </c>
      <c r="G2799" s="2">
        <v>0</v>
      </c>
      <c r="H2799" s="1" t="s">
        <v>0</v>
      </c>
      <c r="I2799" s="2">
        <v>0</v>
      </c>
      <c r="J2799" s="1">
        <v>45915.37871527778</v>
      </c>
    </row>
    <row r="2800" spans="1:10" x14ac:dyDescent="0.2">
      <c r="A2800" s="4" t="s">
        <v>1</v>
      </c>
      <c r="B2800" s="3" t="str">
        <f>HYPERLINK("https://otsuka-europe-crm.veevavault.com/ui/#object/approved_document__v/V5OZ025E82TFUPI", "Spain - HCP Survey Email - June 2025")</f>
        <v>Spain - HCP Survey Email - June 2025</v>
      </c>
      <c r="C2800" s="3" t="str">
        <f>HYPERLINK("https://otsuka-europe-crm.veevavault.com/ui/#object/sent_email__v/VBLZ025E82GMZSL", "SE-000269911")</f>
        <v>SE-000269911</v>
      </c>
      <c r="D2800" s="1">
        <v>45915.451956018522</v>
      </c>
      <c r="E2800" s="2">
        <v>1</v>
      </c>
      <c r="F2800" s="2">
        <v>2</v>
      </c>
      <c r="G2800" s="2">
        <v>0</v>
      </c>
      <c r="H2800" s="1" t="s">
        <v>0</v>
      </c>
      <c r="I2800" s="2">
        <v>0</v>
      </c>
      <c r="J2800" s="1">
        <v>45915.379189814812</v>
      </c>
    </row>
    <row r="2801" spans="1:10" x14ac:dyDescent="0.2">
      <c r="A2801" s="4" t="s">
        <v>1</v>
      </c>
      <c r="B2801" s="3" t="str">
        <f>HYPERLINK("https://otsuka-europe-crm.veevavault.com/ui/#object/approved_document__v/V5OZ025E82TFUPI", "Spain - HCP Survey Email - June 2025")</f>
        <v>Spain - HCP Survey Email - June 2025</v>
      </c>
      <c r="C2801" s="3" t="str">
        <f>HYPERLINK("https://otsuka-europe-crm.veevavault.com/ui/#object/sent_email__v/VBLZ025E82GMZSM", "SE-000269912")</f>
        <v>SE-000269912</v>
      </c>
      <c r="D2801" s="1" t="s">
        <v>0</v>
      </c>
      <c r="E2801" s="2">
        <v>0</v>
      </c>
      <c r="F2801" s="2">
        <v>0</v>
      </c>
      <c r="G2801" s="2">
        <v>0</v>
      </c>
      <c r="H2801" s="1" t="s">
        <v>0</v>
      </c>
      <c r="I2801" s="2">
        <v>0</v>
      </c>
      <c r="J2801" s="1">
        <v>45915.377858796295</v>
      </c>
    </row>
    <row r="2802" spans="1:10" x14ac:dyDescent="0.2">
      <c r="A2802" s="4" t="s">
        <v>1</v>
      </c>
      <c r="B2802" s="3" t="str">
        <f>HYPERLINK("https://otsuka-europe-crm.veevavault.com/ui/#object/approved_document__v/V5OZ025E82TFUPI", "Spain - HCP Survey Email - June 2025")</f>
        <v>Spain - HCP Survey Email - June 2025</v>
      </c>
      <c r="C2802" s="3" t="str">
        <f>HYPERLINK("https://otsuka-europe-crm.veevavault.com/ui/#object/sent_email__v/VBLZ025E82GMZSN", "SE-000269913")</f>
        <v>SE-000269913</v>
      </c>
      <c r="D2802" s="1" t="s">
        <v>0</v>
      </c>
      <c r="E2802" s="2">
        <v>0</v>
      </c>
      <c r="F2802" s="2">
        <v>0</v>
      </c>
      <c r="G2802" s="2">
        <v>0</v>
      </c>
      <c r="H2802" s="1" t="s">
        <v>0</v>
      </c>
      <c r="I2802" s="2">
        <v>0</v>
      </c>
      <c r="J2802" s="1">
        <v>45915.378194444442</v>
      </c>
    </row>
    <row r="2803" spans="1:10" x14ac:dyDescent="0.2">
      <c r="A2803" s="4" t="s">
        <v>1</v>
      </c>
      <c r="B2803" s="3" t="str">
        <f>HYPERLINK("https://otsuka-europe-crm.veevavault.com/ui/#object/approved_document__v/V5OZ025E82TFUPI", "Spain - HCP Survey Email - June 2025")</f>
        <v>Spain - HCP Survey Email - June 2025</v>
      </c>
      <c r="C2803" s="3" t="str">
        <f>HYPERLINK("https://otsuka-europe-crm.veevavault.com/ui/#object/sent_email__v/VBLZ025E82GMZSO", "SE-000269914")</f>
        <v>SE-000269914</v>
      </c>
      <c r="D2803" s="1" t="s">
        <v>0</v>
      </c>
      <c r="E2803" s="2">
        <v>0</v>
      </c>
      <c r="F2803" s="2">
        <v>0</v>
      </c>
      <c r="G2803" s="2">
        <v>0</v>
      </c>
      <c r="H2803" s="1" t="s">
        <v>0</v>
      </c>
      <c r="I2803" s="2">
        <v>0</v>
      </c>
      <c r="J2803" s="1">
        <v>45915.378101851849</v>
      </c>
    </row>
    <row r="2804" spans="1:10" x14ac:dyDescent="0.2">
      <c r="A2804" s="4" t="s">
        <v>1</v>
      </c>
      <c r="B2804" s="3" t="str">
        <f>HYPERLINK("https://otsuka-europe-crm.veevavault.com/ui/#object/approved_document__v/V5OZ025E82TFUPI", "Spain - HCP Survey Email - June 2025")</f>
        <v>Spain - HCP Survey Email - June 2025</v>
      </c>
      <c r="C2804" s="3" t="str">
        <f>HYPERLINK("https://otsuka-europe-crm.veevavault.com/ui/#object/sent_email__v/VBLZ025E82GMZSP", "SE-000269915")</f>
        <v>SE-000269915</v>
      </c>
      <c r="D2804" s="1">
        <v>45918.958078703705</v>
      </c>
      <c r="E2804" s="2">
        <v>1</v>
      </c>
      <c r="F2804" s="2">
        <v>1</v>
      </c>
      <c r="G2804" s="2">
        <v>0</v>
      </c>
      <c r="H2804" s="1" t="s">
        <v>0</v>
      </c>
      <c r="I2804" s="2">
        <v>0</v>
      </c>
      <c r="J2804" s="1">
        <v>45915.378622685188</v>
      </c>
    </row>
    <row r="2805" spans="1:10" x14ac:dyDescent="0.2">
      <c r="A2805" s="4" t="s">
        <v>1</v>
      </c>
      <c r="B2805" s="3" t="str">
        <f>HYPERLINK("https://otsuka-europe-crm.veevavault.com/ui/#object/approved_document__v/V5OZ025E82TFUPI", "Spain - HCP Survey Email - June 2025")</f>
        <v>Spain - HCP Survey Email - June 2025</v>
      </c>
      <c r="C2805" s="3" t="str">
        <f>HYPERLINK("https://otsuka-europe-crm.veevavault.com/ui/#object/sent_email__v/VBLZ025E82GMZSQ", "SE-000269916")</f>
        <v>SE-000269916</v>
      </c>
      <c r="D2805" s="1" t="s">
        <v>0</v>
      </c>
      <c r="E2805" s="2">
        <v>0</v>
      </c>
      <c r="F2805" s="2">
        <v>0</v>
      </c>
      <c r="G2805" s="2">
        <v>0</v>
      </c>
      <c r="H2805" s="1" t="s">
        <v>0</v>
      </c>
      <c r="I2805" s="2">
        <v>0</v>
      </c>
      <c r="J2805" s="1">
        <v>45915.379953703705</v>
      </c>
    </row>
    <row r="2806" spans="1:10" x14ac:dyDescent="0.2">
      <c r="A2806" s="4" t="s">
        <v>1</v>
      </c>
      <c r="B2806" s="3" t="str">
        <f>HYPERLINK("https://otsuka-europe-crm.veevavault.com/ui/#object/approved_document__v/V5OZ025E82TFUPI", "Spain - HCP Survey Email - June 2025")</f>
        <v>Spain - HCP Survey Email - June 2025</v>
      </c>
      <c r="C2806" s="3" t="str">
        <f>HYPERLINK("https://otsuka-europe-crm.veevavault.com/ui/#object/sent_email__v/VBLZ025E82GMZSR", "SE-000269917")</f>
        <v>SE-000269917</v>
      </c>
      <c r="D2806" s="1" t="s">
        <v>0</v>
      </c>
      <c r="E2806" s="2">
        <v>0</v>
      </c>
      <c r="F2806" s="2">
        <v>0</v>
      </c>
      <c r="G2806" s="2">
        <v>0</v>
      </c>
      <c r="H2806" s="1" t="s">
        <v>0</v>
      </c>
      <c r="I2806" s="2">
        <v>0</v>
      </c>
      <c r="J2806" s="1">
        <v>45915.377835648149</v>
      </c>
    </row>
    <row r="2807" spans="1:10" x14ac:dyDescent="0.2">
      <c r="A2807" s="4" t="s">
        <v>1</v>
      </c>
      <c r="B2807" s="3" t="str">
        <f>HYPERLINK("https://otsuka-europe-crm.veevavault.com/ui/#object/approved_document__v/V5OZ025E82TFUPI", "Spain - HCP Survey Email - June 2025")</f>
        <v>Spain - HCP Survey Email - June 2025</v>
      </c>
      <c r="C2807" s="3" t="str">
        <f>HYPERLINK("https://otsuka-europe-crm.veevavault.com/ui/#object/sent_email__v/VBLZ025E82GMZSS", "SE-000269918")</f>
        <v>SE-000269918</v>
      </c>
      <c r="D2807" s="1">
        <v>45915.388854166667</v>
      </c>
      <c r="E2807" s="2">
        <v>1</v>
      </c>
      <c r="F2807" s="2">
        <v>1</v>
      </c>
      <c r="G2807" s="2">
        <v>0</v>
      </c>
      <c r="H2807" s="1" t="s">
        <v>0</v>
      </c>
      <c r="I2807" s="2">
        <v>0</v>
      </c>
      <c r="J2807" s="1">
        <v>45915.378217592595</v>
      </c>
    </row>
    <row r="2808" spans="1:10" x14ac:dyDescent="0.2">
      <c r="A2808" s="4" t="s">
        <v>1</v>
      </c>
      <c r="B2808" s="3" t="str">
        <f>HYPERLINK("https://otsuka-europe-crm.veevavault.com/ui/#object/approved_document__v/V5OZ025E82TFUPI", "Spain - HCP Survey Email - June 2025")</f>
        <v>Spain - HCP Survey Email - June 2025</v>
      </c>
      <c r="C2808" s="3" t="str">
        <f>HYPERLINK("https://otsuka-europe-crm.veevavault.com/ui/#object/sent_email__v/VBLZ025E82GMZST", "SE-000269919")</f>
        <v>SE-000269919</v>
      </c>
      <c r="D2808" s="1" t="s">
        <v>0</v>
      </c>
      <c r="E2808" s="2">
        <v>0</v>
      </c>
      <c r="F2808" s="2">
        <v>0</v>
      </c>
      <c r="G2808" s="2">
        <v>0</v>
      </c>
      <c r="H2808" s="1" t="s">
        <v>0</v>
      </c>
      <c r="I2808" s="2">
        <v>0</v>
      </c>
      <c r="J2808" s="1">
        <v>45915.378125000003</v>
      </c>
    </row>
    <row r="2809" spans="1:10" x14ac:dyDescent="0.2">
      <c r="A2809" s="4" t="s">
        <v>1</v>
      </c>
      <c r="B2809" s="3" t="str">
        <f>HYPERLINK("https://otsuka-europe-crm.veevavault.com/ui/#object/approved_document__v/V5OZ025E82TFUPI", "Spain - HCP Survey Email - June 2025")</f>
        <v>Spain - HCP Survey Email - June 2025</v>
      </c>
      <c r="C2809" s="3" t="str">
        <f>HYPERLINK("https://otsuka-europe-crm.veevavault.com/ui/#object/sent_email__v/VBLZ025E82GMZSU", "SE-000269920")</f>
        <v>SE-000269920</v>
      </c>
      <c r="D2809" s="1" t="s">
        <v>0</v>
      </c>
      <c r="E2809" s="2">
        <v>0</v>
      </c>
      <c r="F2809" s="2">
        <v>0</v>
      </c>
      <c r="G2809" s="2">
        <v>0</v>
      </c>
      <c r="H2809" s="1" t="s">
        <v>0</v>
      </c>
      <c r="I2809" s="2">
        <v>0</v>
      </c>
      <c r="J2809" s="1">
        <v>45915.378657407404</v>
      </c>
    </row>
    <row r="2810" spans="1:10" x14ac:dyDescent="0.2">
      <c r="A2810" s="4" t="s">
        <v>1</v>
      </c>
      <c r="B2810" s="3" t="str">
        <f>HYPERLINK("https://otsuka-europe-crm.veevavault.com/ui/#object/approved_document__v/V5OZ025E82TFUPI", "Spain - HCP Survey Email - June 2025")</f>
        <v>Spain - HCP Survey Email - June 2025</v>
      </c>
      <c r="C2810" s="3" t="str">
        <f>HYPERLINK("https://otsuka-europe-crm.veevavault.com/ui/#object/sent_email__v/VBLZ025E82GMZSV", "SE-000269921")</f>
        <v>SE-000269921</v>
      </c>
      <c r="D2810" s="1" t="s">
        <v>0</v>
      </c>
      <c r="E2810" s="2">
        <v>0</v>
      </c>
      <c r="F2810" s="2">
        <v>0</v>
      </c>
      <c r="G2810" s="2">
        <v>0</v>
      </c>
      <c r="H2810" s="1" t="s">
        <v>0</v>
      </c>
      <c r="I2810" s="2">
        <v>0</v>
      </c>
      <c r="J2810" s="1">
        <v>45915.380150462966</v>
      </c>
    </row>
    <row r="2811" spans="1:10" x14ac:dyDescent="0.2">
      <c r="A2811" s="4" t="s">
        <v>1</v>
      </c>
      <c r="B2811" s="3" t="str">
        <f>HYPERLINK("https://otsuka-europe-crm.veevavault.com/ui/#object/approved_document__v/V5OZ025E82TFUPI", "Spain - HCP Survey Email - June 2025")</f>
        <v>Spain - HCP Survey Email - June 2025</v>
      </c>
      <c r="C2811" s="3" t="str">
        <f>HYPERLINK("https://otsuka-europe-crm.veevavault.com/ui/#object/sent_email__v/VBLZ025E82GMZSW", "SE-000269922")</f>
        <v>SE-000269922</v>
      </c>
      <c r="D2811" s="1" t="s">
        <v>0</v>
      </c>
      <c r="E2811" s="2">
        <v>0</v>
      </c>
      <c r="F2811" s="2">
        <v>0</v>
      </c>
      <c r="G2811" s="2">
        <v>0</v>
      </c>
      <c r="H2811" s="1" t="s">
        <v>0</v>
      </c>
      <c r="I2811" s="2">
        <v>0</v>
      </c>
      <c r="J2811" s="1">
        <v>45915.377754629626</v>
      </c>
    </row>
    <row r="2812" spans="1:10" x14ac:dyDescent="0.2">
      <c r="A2812" s="4" t="s">
        <v>1</v>
      </c>
      <c r="B2812" s="3" t="str">
        <f>HYPERLINK("https://otsuka-europe-crm.veevavault.com/ui/#object/approved_document__v/V5OZ025E82TFUPI", "Spain - HCP Survey Email - June 2025")</f>
        <v>Spain - HCP Survey Email - June 2025</v>
      </c>
      <c r="C2812" s="3" t="str">
        <f>HYPERLINK("https://otsuka-europe-crm.veevavault.com/ui/#object/sent_email__v/VBLZ025E82GMZSX", "SE-000269923")</f>
        <v>SE-000269923</v>
      </c>
      <c r="D2812" s="1">
        <v>45915.719444444447</v>
      </c>
      <c r="E2812" s="2">
        <v>1</v>
      </c>
      <c r="F2812" s="2">
        <v>2</v>
      </c>
      <c r="G2812" s="2">
        <v>0</v>
      </c>
      <c r="H2812" s="1" t="s">
        <v>0</v>
      </c>
      <c r="I2812" s="2">
        <v>0</v>
      </c>
      <c r="J2812" s="1">
        <v>45915.377384259256</v>
      </c>
    </row>
    <row r="2813" spans="1:10" x14ac:dyDescent="0.2">
      <c r="A2813" s="4" t="s">
        <v>1</v>
      </c>
      <c r="B2813" s="3" t="str">
        <f>HYPERLINK("https://otsuka-europe-crm.veevavault.com/ui/#object/approved_document__v/V5OZ025E82TFUPI", "Spain - HCP Survey Email - June 2025")</f>
        <v>Spain - HCP Survey Email - June 2025</v>
      </c>
      <c r="C2813" s="3" t="str">
        <f>HYPERLINK("https://otsuka-europe-crm.veevavault.com/ui/#object/sent_email__v/VBLZ025E82GMZSY", "SE-000269924")</f>
        <v>SE-000269924</v>
      </c>
      <c r="D2813" s="1">
        <v>45916.03292824074</v>
      </c>
      <c r="E2813" s="2">
        <v>1</v>
      </c>
      <c r="F2813" s="2">
        <v>1</v>
      </c>
      <c r="G2813" s="2">
        <v>0</v>
      </c>
      <c r="H2813" s="1" t="s">
        <v>0</v>
      </c>
      <c r="I2813" s="2">
        <v>0</v>
      </c>
      <c r="J2813" s="1">
        <v>45915.378379629627</v>
      </c>
    </row>
    <row r="2814" spans="1:10" x14ac:dyDescent="0.2">
      <c r="A2814" s="4" t="s">
        <v>1</v>
      </c>
      <c r="B2814" s="3" t="str">
        <f>HYPERLINK("https://otsuka-europe-crm.veevavault.com/ui/#object/approved_document__v/V5OZ025E82TFUPI", "Spain - HCP Survey Email - June 2025")</f>
        <v>Spain - HCP Survey Email - June 2025</v>
      </c>
      <c r="C2814" s="3" t="str">
        <f>HYPERLINK("https://otsuka-europe-crm.veevavault.com/ui/#object/sent_email__v/VBLZ025E82GMZSZ", "SE-000269925")</f>
        <v>SE-000269925</v>
      </c>
      <c r="D2814" s="1" t="s">
        <v>0</v>
      </c>
      <c r="E2814" s="2">
        <v>0</v>
      </c>
      <c r="F2814" s="2">
        <v>0</v>
      </c>
      <c r="G2814" s="2">
        <v>0</v>
      </c>
      <c r="H2814" s="1" t="s">
        <v>0</v>
      </c>
      <c r="I2814" s="2">
        <v>0</v>
      </c>
      <c r="J2814" s="1">
        <v>45915.378912037035</v>
      </c>
    </row>
    <row r="2815" spans="1:10" x14ac:dyDescent="0.2">
      <c r="A2815" s="4" t="s">
        <v>1</v>
      </c>
      <c r="B2815" s="3" t="str">
        <f>HYPERLINK("https://otsuka-europe-crm.veevavault.com/ui/#object/approved_document__v/V5OZ025E82TFUPI", "Spain - HCP Survey Email - June 2025")</f>
        <v>Spain - HCP Survey Email - June 2025</v>
      </c>
      <c r="C2815" s="3" t="str">
        <f>HYPERLINK("https://otsuka-europe-crm.veevavault.com/ui/#object/sent_email__v/VBLZ025E82GMZT0", "SE-000269926")</f>
        <v>SE-000269926</v>
      </c>
      <c r="D2815" s="1" t="s">
        <v>0</v>
      </c>
      <c r="E2815" s="2">
        <v>0</v>
      </c>
      <c r="F2815" s="2">
        <v>0</v>
      </c>
      <c r="G2815" s="2">
        <v>0</v>
      </c>
      <c r="H2815" s="1" t="s">
        <v>0</v>
      </c>
      <c r="I2815" s="2">
        <v>0</v>
      </c>
      <c r="J2815" s="1">
        <v>45915.378645833334</v>
      </c>
    </row>
    <row r="2816" spans="1:10" x14ac:dyDescent="0.2">
      <c r="A2816" s="4" t="s">
        <v>1</v>
      </c>
      <c r="B2816" s="3" t="str">
        <f>HYPERLINK("https://otsuka-europe-crm.veevavault.com/ui/#object/approved_document__v/V5OZ025E82TFUPI", "Spain - HCP Survey Email - June 2025")</f>
        <v>Spain - HCP Survey Email - June 2025</v>
      </c>
      <c r="C2816" s="3" t="str">
        <f>HYPERLINK("https://otsuka-europe-crm.veevavault.com/ui/#object/sent_email__v/VBLZ025E82GMZT1", "SE-000269927")</f>
        <v>SE-000269927</v>
      </c>
      <c r="D2816" s="1" t="s">
        <v>0</v>
      </c>
      <c r="E2816" s="2">
        <v>0</v>
      </c>
      <c r="F2816" s="2">
        <v>0</v>
      </c>
      <c r="G2816" s="2">
        <v>0</v>
      </c>
      <c r="H2816" s="1" t="s">
        <v>0</v>
      </c>
      <c r="I2816" s="2">
        <v>0</v>
      </c>
      <c r="J2816" s="1">
        <v>45915.379120370373</v>
      </c>
    </row>
    <row r="2817" spans="1:10" x14ac:dyDescent="0.2">
      <c r="A2817" s="4" t="s">
        <v>1</v>
      </c>
      <c r="B2817" s="3" t="str">
        <f>HYPERLINK("https://otsuka-europe-crm.veevavault.com/ui/#object/approved_document__v/V5OZ025E82TFUPI", "Spain - HCP Survey Email - June 2025")</f>
        <v>Spain - HCP Survey Email - June 2025</v>
      </c>
      <c r="C2817" s="3" t="str">
        <f>HYPERLINK("https://otsuka-europe-crm.veevavault.com/ui/#object/sent_email__v/VBLZ025E82GMZT2", "SE-000269928")</f>
        <v>SE-000269928</v>
      </c>
      <c r="D2817" s="1">
        <v>45916.7575462963</v>
      </c>
      <c r="E2817" s="2">
        <v>1</v>
      </c>
      <c r="F2817" s="2">
        <v>1</v>
      </c>
      <c r="G2817" s="2">
        <v>0</v>
      </c>
      <c r="H2817" s="1" t="s">
        <v>0</v>
      </c>
      <c r="I2817" s="2">
        <v>0</v>
      </c>
      <c r="J2817" s="1">
        <v>45915.377881944441</v>
      </c>
    </row>
    <row r="2818" spans="1:10" x14ac:dyDescent="0.2">
      <c r="A2818" s="4" t="s">
        <v>1</v>
      </c>
      <c r="B2818" s="3" t="str">
        <f>HYPERLINK("https://otsuka-europe-crm.veevavault.com/ui/#object/approved_document__v/V5OZ025E82TFUPI", "Spain - HCP Survey Email - June 2025")</f>
        <v>Spain - HCP Survey Email - June 2025</v>
      </c>
      <c r="C2818" s="3" t="str">
        <f>HYPERLINK("https://otsuka-europe-crm.veevavault.com/ui/#object/sent_email__v/VBLZ025E82GMZT3", "SE-000269929")</f>
        <v>SE-000269929</v>
      </c>
      <c r="D2818" s="1" t="s">
        <v>0</v>
      </c>
      <c r="E2818" s="2">
        <v>0</v>
      </c>
      <c r="F2818" s="2">
        <v>0</v>
      </c>
      <c r="G2818" s="2">
        <v>0</v>
      </c>
      <c r="H2818" s="1" t="s">
        <v>0</v>
      </c>
      <c r="I2818" s="2">
        <v>0</v>
      </c>
      <c r="J2818" s="1">
        <v>45915.378275462965</v>
      </c>
    </row>
    <row r="2819" spans="1:10" x14ac:dyDescent="0.2">
      <c r="A2819" s="4" t="s">
        <v>1</v>
      </c>
      <c r="B2819" s="3" t="str">
        <f>HYPERLINK("https://otsuka-europe-crm.veevavault.com/ui/#object/approved_document__v/V5OZ025E82TFUPI", "Spain - HCP Survey Email - June 2025")</f>
        <v>Spain - HCP Survey Email - June 2025</v>
      </c>
      <c r="C2819" s="3" t="str">
        <f>HYPERLINK("https://otsuka-europe-crm.veevavault.com/ui/#object/sent_email__v/VBLZ025E82GMZT4", "SE-000269930")</f>
        <v>SE-000269930</v>
      </c>
      <c r="D2819" s="1">
        <v>45917.354664351849</v>
      </c>
      <c r="E2819" s="2">
        <v>1</v>
      </c>
      <c r="F2819" s="2">
        <v>1</v>
      </c>
      <c r="G2819" s="2">
        <v>1</v>
      </c>
      <c r="H2819" s="1">
        <v>45917.357673611114</v>
      </c>
      <c r="I2819" s="2">
        <v>2</v>
      </c>
      <c r="J2819" s="1">
        <v>45915.378125000003</v>
      </c>
    </row>
    <row r="2820" spans="1:10" x14ac:dyDescent="0.2">
      <c r="A2820" s="4" t="s">
        <v>1</v>
      </c>
      <c r="B2820" s="3" t="str">
        <f>HYPERLINK("https://otsuka-europe-crm.veevavault.com/ui/#object/approved_document__v/V5OZ025E82TFUPI", "Spain - HCP Survey Email - June 2025")</f>
        <v>Spain - HCP Survey Email - June 2025</v>
      </c>
      <c r="C2820" s="3" t="str">
        <f>HYPERLINK("https://otsuka-europe-crm.veevavault.com/ui/#object/sent_email__v/VBLZ025E82GMZT5", "SE-000269931")</f>
        <v>SE-000269931</v>
      </c>
      <c r="D2820" s="1" t="s">
        <v>0</v>
      </c>
      <c r="E2820" s="2">
        <v>0</v>
      </c>
      <c r="F2820" s="2">
        <v>0</v>
      </c>
      <c r="G2820" s="2">
        <v>0</v>
      </c>
      <c r="H2820" s="1" t="s">
        <v>0</v>
      </c>
      <c r="I2820" s="2">
        <v>0</v>
      </c>
      <c r="J2820" s="1">
        <v>45915.378634259258</v>
      </c>
    </row>
    <row r="2821" spans="1:10" x14ac:dyDescent="0.2">
      <c r="A2821" s="4" t="s">
        <v>1</v>
      </c>
      <c r="B2821" s="3" t="str">
        <f>HYPERLINK("https://otsuka-europe-crm.veevavault.com/ui/#object/approved_document__v/V5OZ025E82TFUPI", "Spain - HCP Survey Email - June 2025")</f>
        <v>Spain - HCP Survey Email - June 2025</v>
      </c>
      <c r="C2821" s="3" t="str">
        <f>HYPERLINK("https://otsuka-europe-crm.veevavault.com/ui/#object/sent_email__v/VBLZ025E82GMZT6", "SE-000269932")</f>
        <v>SE-000269932</v>
      </c>
      <c r="D2821" s="1">
        <v>45925.957627314812</v>
      </c>
      <c r="E2821" s="2">
        <v>1</v>
      </c>
      <c r="F2821" s="2">
        <v>1</v>
      </c>
      <c r="G2821" s="2">
        <v>1</v>
      </c>
      <c r="H2821" s="1">
        <v>45925.957627314812</v>
      </c>
      <c r="I2821" s="2">
        <v>1</v>
      </c>
      <c r="J2821" s="1">
        <v>45915.379803240743</v>
      </c>
    </row>
    <row r="2822" spans="1:10" x14ac:dyDescent="0.2">
      <c r="A2822" s="4" t="s">
        <v>1</v>
      </c>
      <c r="B2822" s="3" t="str">
        <f>HYPERLINK("https://otsuka-europe-crm.veevavault.com/ui/#object/approved_document__v/V5OZ025E82TFUPI", "Spain - HCP Survey Email - June 2025")</f>
        <v>Spain - HCP Survey Email - June 2025</v>
      </c>
      <c r="C2822" s="3" t="str">
        <f>HYPERLINK("https://otsuka-europe-crm.veevavault.com/ui/#object/sent_email__v/VBLZ025E82GMZT7", "SE-000269933")</f>
        <v>SE-000269933</v>
      </c>
      <c r="D2822" s="1" t="s">
        <v>0</v>
      </c>
      <c r="E2822" s="2">
        <v>0</v>
      </c>
      <c r="F2822" s="2">
        <v>0</v>
      </c>
      <c r="G2822" s="2">
        <v>0</v>
      </c>
      <c r="H2822" s="1" t="s">
        <v>0</v>
      </c>
      <c r="I2822" s="2">
        <v>0</v>
      </c>
      <c r="J2822" s="1">
        <v>45915.379212962966</v>
      </c>
    </row>
    <row r="2823" spans="1:10" x14ac:dyDescent="0.2">
      <c r="A2823" s="4" t="s">
        <v>1</v>
      </c>
      <c r="B2823" s="3" t="str">
        <f>HYPERLINK("https://otsuka-europe-crm.veevavault.com/ui/#object/approved_document__v/V5OZ025E82TFUPI", "Spain - HCP Survey Email - June 2025")</f>
        <v>Spain - HCP Survey Email - June 2025</v>
      </c>
      <c r="C2823" s="3" t="str">
        <f>HYPERLINK("https://otsuka-europe-crm.veevavault.com/ui/#object/sent_email__v/VBLZ025E82GMZT8", "SE-000269934")</f>
        <v>SE-000269934</v>
      </c>
      <c r="D2823" s="1">
        <v>45915.9455787037</v>
      </c>
      <c r="E2823" s="2">
        <v>1</v>
      </c>
      <c r="F2823" s="2">
        <v>1</v>
      </c>
      <c r="G2823" s="2">
        <v>0</v>
      </c>
      <c r="H2823" s="1" t="s">
        <v>0</v>
      </c>
      <c r="I2823" s="2">
        <v>0</v>
      </c>
      <c r="J2823" s="1">
        <v>45915.377372685187</v>
      </c>
    </row>
    <row r="2824" spans="1:10" x14ac:dyDescent="0.2">
      <c r="A2824" s="4" t="s">
        <v>1</v>
      </c>
      <c r="B2824" s="3" t="str">
        <f>HYPERLINK("https://otsuka-europe-crm.veevavault.com/ui/#object/approved_document__v/V5OZ025E82TFUPI", "Spain - HCP Survey Email - June 2025")</f>
        <v>Spain - HCP Survey Email - June 2025</v>
      </c>
      <c r="C2824" s="3" t="str">
        <f>HYPERLINK("https://otsuka-europe-crm.veevavault.com/ui/#object/sent_email__v/VBLZ025E82GMZT9", "SE-000269935")</f>
        <v>SE-000269935</v>
      </c>
      <c r="D2824" s="1">
        <v>45915.921284722222</v>
      </c>
      <c r="E2824" s="2">
        <v>1</v>
      </c>
      <c r="F2824" s="2">
        <v>2</v>
      </c>
      <c r="G2824" s="2">
        <v>0</v>
      </c>
      <c r="H2824" s="1" t="s">
        <v>0</v>
      </c>
      <c r="I2824" s="2">
        <v>0</v>
      </c>
      <c r="J2824" s="1">
        <v>45915.378425925926</v>
      </c>
    </row>
    <row r="2825" spans="1:10" x14ac:dyDescent="0.2">
      <c r="A2825" s="4" t="s">
        <v>1</v>
      </c>
      <c r="B2825" s="3" t="str">
        <f>HYPERLINK("https://otsuka-europe-crm.veevavault.com/ui/#object/approved_document__v/V5OZ025E82TFUPI", "Spain - HCP Survey Email - June 2025")</f>
        <v>Spain - HCP Survey Email - June 2025</v>
      </c>
      <c r="C2825" s="3" t="str">
        <f>HYPERLINK("https://otsuka-europe-crm.veevavault.com/ui/#object/sent_email__v/VBLZ025E82GMZTA", "SE-000269936")</f>
        <v>SE-000269936</v>
      </c>
      <c r="D2825" s="1" t="s">
        <v>0</v>
      </c>
      <c r="E2825" s="2">
        <v>0</v>
      </c>
      <c r="F2825" s="2">
        <v>0</v>
      </c>
      <c r="G2825" s="2">
        <v>0</v>
      </c>
      <c r="H2825" s="1" t="s">
        <v>0</v>
      </c>
      <c r="I2825" s="2">
        <v>0</v>
      </c>
      <c r="J2825" s="1">
        <v>45915.378842592596</v>
      </c>
    </row>
    <row r="2826" spans="1:10" x14ac:dyDescent="0.2">
      <c r="A2826" s="4" t="s">
        <v>1</v>
      </c>
      <c r="B2826" s="3" t="str">
        <f>HYPERLINK("https://otsuka-europe-crm.veevavault.com/ui/#object/approved_document__v/V5OZ025E82TFUPI", "Spain - HCP Survey Email - June 2025")</f>
        <v>Spain - HCP Survey Email - June 2025</v>
      </c>
      <c r="C2826" s="3" t="str">
        <f>HYPERLINK("https://otsuka-europe-crm.veevavault.com/ui/#object/sent_email__v/VBLZ025E82GMZTB", "SE-000269937")</f>
        <v>SE-000269937</v>
      </c>
      <c r="D2826" s="1">
        <v>45915.437847222223</v>
      </c>
      <c r="E2826" s="2">
        <v>1</v>
      </c>
      <c r="F2826" s="2">
        <v>2</v>
      </c>
      <c r="G2826" s="2">
        <v>0</v>
      </c>
      <c r="H2826" s="1" t="s">
        <v>0</v>
      </c>
      <c r="I2826" s="2">
        <v>0</v>
      </c>
      <c r="J2826" s="1">
        <v>45915.378784722219</v>
      </c>
    </row>
    <row r="2827" spans="1:10" x14ac:dyDescent="0.2">
      <c r="A2827" s="4" t="s">
        <v>1</v>
      </c>
      <c r="B2827" s="3" t="str">
        <f>HYPERLINK("https://otsuka-europe-crm.veevavault.com/ui/#object/approved_document__v/V5OZ025E82TFUPI", "Spain - HCP Survey Email - June 2025")</f>
        <v>Spain - HCP Survey Email - June 2025</v>
      </c>
      <c r="C2827" s="3" t="str">
        <f>HYPERLINK("https://otsuka-europe-crm.veevavault.com/ui/#object/sent_email__v/VBLZ025E82GMZTC", "SE-000269938")</f>
        <v>SE-000269938</v>
      </c>
      <c r="D2827" s="1">
        <v>45915.77103009259</v>
      </c>
      <c r="E2827" s="2">
        <v>1</v>
      </c>
      <c r="F2827" s="2">
        <v>1</v>
      </c>
      <c r="G2827" s="2">
        <v>0</v>
      </c>
      <c r="H2827" s="1" t="s">
        <v>0</v>
      </c>
      <c r="I2827" s="2">
        <v>0</v>
      </c>
      <c r="J2827" s="1">
        <v>45915.37909722222</v>
      </c>
    </row>
    <row r="2828" spans="1:10" x14ac:dyDescent="0.2">
      <c r="A2828" s="4" t="s">
        <v>1</v>
      </c>
      <c r="B2828" s="3" t="str">
        <f>HYPERLINK("https://otsuka-europe-crm.veevavault.com/ui/#object/approved_document__v/V5OZ025E82TFUPI", "Spain - HCP Survey Email - June 2025")</f>
        <v>Spain - HCP Survey Email - June 2025</v>
      </c>
      <c r="C2828" s="3" t="str">
        <f>HYPERLINK("https://otsuka-europe-crm.veevavault.com/ui/#object/sent_email__v/VBLZ025E82GMZTD", "SE-000269939")</f>
        <v>SE-000269939</v>
      </c>
      <c r="D2828" s="1">
        <v>45915.408101851855</v>
      </c>
      <c r="E2828" s="2">
        <v>1</v>
      </c>
      <c r="F2828" s="2">
        <v>1</v>
      </c>
      <c r="G2828" s="2">
        <v>0</v>
      </c>
      <c r="H2828" s="1" t="s">
        <v>0</v>
      </c>
      <c r="I2828" s="2">
        <v>0</v>
      </c>
      <c r="J2828" s="1">
        <v>45915.377893518518</v>
      </c>
    </row>
    <row r="2829" spans="1:10" x14ac:dyDescent="0.2">
      <c r="A2829" s="4" t="s">
        <v>1</v>
      </c>
      <c r="B2829" s="3" t="str">
        <f>HYPERLINK("https://otsuka-europe-crm.veevavault.com/ui/#object/approved_document__v/V5OZ025E82TFUPI", "Spain - HCP Survey Email - June 2025")</f>
        <v>Spain - HCP Survey Email - June 2025</v>
      </c>
      <c r="C2829" s="3" t="str">
        <f>HYPERLINK("https://otsuka-europe-crm.veevavault.com/ui/#object/sent_email__v/VBLZ025E82GMZTE", "SE-000269940")</f>
        <v>SE-000269940</v>
      </c>
      <c r="D2829" s="1" t="s">
        <v>0</v>
      </c>
      <c r="E2829" s="2">
        <v>0</v>
      </c>
      <c r="F2829" s="2">
        <v>0</v>
      </c>
      <c r="G2829" s="2">
        <v>0</v>
      </c>
      <c r="H2829" s="1" t="s">
        <v>0</v>
      </c>
      <c r="I2829" s="2">
        <v>0</v>
      </c>
      <c r="J2829" s="1">
        <v>45915.378275462965</v>
      </c>
    </row>
    <row r="2830" spans="1:10" x14ac:dyDescent="0.2">
      <c r="A2830" s="4" t="s">
        <v>1</v>
      </c>
      <c r="B2830" s="3" t="str">
        <f>HYPERLINK("https://otsuka-europe-crm.veevavault.com/ui/#object/approved_document__v/V5OZ025E82TFUPI", "Spain - HCP Survey Email - June 2025")</f>
        <v>Spain - HCP Survey Email - June 2025</v>
      </c>
      <c r="C2830" s="3" t="str">
        <f>HYPERLINK("https://otsuka-europe-crm.veevavault.com/ui/#object/sent_email__v/VBLZ025E82GMZTF", "SE-000269941")</f>
        <v>SE-000269941</v>
      </c>
      <c r="D2830" s="1" t="s">
        <v>0</v>
      </c>
      <c r="E2830" s="2">
        <v>0</v>
      </c>
      <c r="F2830" s="2">
        <v>0</v>
      </c>
      <c r="G2830" s="2">
        <v>0</v>
      </c>
      <c r="H2830" s="1" t="s">
        <v>0</v>
      </c>
      <c r="I2830" s="2">
        <v>0</v>
      </c>
      <c r="J2830" s="1">
        <v>45915.378101851849</v>
      </c>
    </row>
    <row r="2831" spans="1:10" x14ac:dyDescent="0.2">
      <c r="A2831" s="4" t="s">
        <v>1</v>
      </c>
      <c r="B2831" s="3" t="str">
        <f>HYPERLINK("https://otsuka-europe-crm.veevavault.com/ui/#object/approved_document__v/V5OZ025E82TFUPI", "Spain - HCP Survey Email - June 2025")</f>
        <v>Spain - HCP Survey Email - June 2025</v>
      </c>
      <c r="C2831" s="3" t="str">
        <f>HYPERLINK("https://otsuka-europe-crm.veevavault.com/ui/#object/sent_email__v/VBLZ025E82GMZTG", "SE-000269942")</f>
        <v>SE-000269942</v>
      </c>
      <c r="D2831" s="1" t="s">
        <v>0</v>
      </c>
      <c r="E2831" s="2">
        <v>0</v>
      </c>
      <c r="F2831" s="2">
        <v>0</v>
      </c>
      <c r="G2831" s="2">
        <v>0</v>
      </c>
      <c r="H2831" s="1" t="s">
        <v>0</v>
      </c>
      <c r="I2831" s="2">
        <v>0</v>
      </c>
      <c r="J2831" s="1">
        <v>45915.378645833334</v>
      </c>
    </row>
    <row r="2832" spans="1:10" x14ac:dyDescent="0.2">
      <c r="A2832" s="4" t="s">
        <v>1</v>
      </c>
      <c r="B2832" s="3" t="str">
        <f>HYPERLINK("https://otsuka-europe-crm.veevavault.com/ui/#object/approved_document__v/V5OZ025E82TFUPI", "Spain - HCP Survey Email - June 2025")</f>
        <v>Spain - HCP Survey Email - June 2025</v>
      </c>
      <c r="C2832" s="3" t="str">
        <f>HYPERLINK("https://otsuka-europe-crm.veevavault.com/ui/#object/sent_email__v/VBLZ025E82GMZTH", "SE-000269943")</f>
        <v>SE-000269943</v>
      </c>
      <c r="D2832" s="1">
        <v>45917.846134259256</v>
      </c>
      <c r="E2832" s="2">
        <v>1</v>
      </c>
      <c r="F2832" s="2">
        <v>2</v>
      </c>
      <c r="G2832" s="2">
        <v>0</v>
      </c>
      <c r="H2832" s="1" t="s">
        <v>0</v>
      </c>
      <c r="I2832" s="2">
        <v>0</v>
      </c>
      <c r="J2832" s="1">
        <v>45915.38009259259</v>
      </c>
    </row>
    <row r="2833" spans="1:10" x14ac:dyDescent="0.2">
      <c r="A2833" s="4" t="s">
        <v>1</v>
      </c>
      <c r="B2833" s="3" t="str">
        <f>HYPERLINK("https://otsuka-europe-crm.veevavault.com/ui/#object/approved_document__v/V5OZ025E82TFUPI", "Spain - HCP Survey Email - June 2025")</f>
        <v>Spain - HCP Survey Email - June 2025</v>
      </c>
      <c r="C2833" s="3" t="str">
        <f>HYPERLINK("https://otsuka-europe-crm.veevavault.com/ui/#object/sent_email__v/VBLZ025E82GMZTI", "SE-000269944")</f>
        <v>SE-000269944</v>
      </c>
      <c r="D2833" s="1" t="s">
        <v>0</v>
      </c>
      <c r="E2833" s="2">
        <v>0</v>
      </c>
      <c r="F2833" s="2">
        <v>0</v>
      </c>
      <c r="G2833" s="2">
        <v>0</v>
      </c>
      <c r="H2833" s="1" t="s">
        <v>0</v>
      </c>
      <c r="I2833" s="2">
        <v>0</v>
      </c>
      <c r="J2833" s="1">
        <v>45915.37777777778</v>
      </c>
    </row>
    <row r="2834" spans="1:10" x14ac:dyDescent="0.2">
      <c r="A2834" s="4" t="s">
        <v>1</v>
      </c>
      <c r="B2834" s="3" t="str">
        <f>HYPERLINK("https://otsuka-europe-crm.veevavault.com/ui/#object/approved_document__v/V5OZ025E82TFUPI", "Spain - HCP Survey Email - June 2025")</f>
        <v>Spain - HCP Survey Email - June 2025</v>
      </c>
      <c r="C2834" s="3" t="str">
        <f>HYPERLINK("https://otsuka-europe-crm.veevavault.com/ui/#object/sent_email__v/VBLZ025E82GMZTJ", "SE-000269945")</f>
        <v>SE-000269945</v>
      </c>
      <c r="D2834" s="1" t="s">
        <v>0</v>
      </c>
      <c r="E2834" s="2">
        <v>0</v>
      </c>
      <c r="F2834" s="2">
        <v>0</v>
      </c>
      <c r="G2834" s="2">
        <v>0</v>
      </c>
      <c r="H2834" s="1" t="s">
        <v>0</v>
      </c>
      <c r="I2834" s="2">
        <v>0</v>
      </c>
      <c r="J2834" s="1">
        <v>45915.37740740741</v>
      </c>
    </row>
    <row r="2835" spans="1:10" x14ac:dyDescent="0.2">
      <c r="A2835" s="4" t="s">
        <v>1</v>
      </c>
      <c r="B2835" s="3" t="str">
        <f>HYPERLINK("https://otsuka-europe-crm.veevavault.com/ui/#object/approved_document__v/V5OZ025E82TFUPI", "Spain - HCP Survey Email - June 2025")</f>
        <v>Spain - HCP Survey Email - June 2025</v>
      </c>
      <c r="C2835" s="3" t="str">
        <f>HYPERLINK("https://otsuka-europe-crm.veevavault.com/ui/#object/sent_email__v/VBLZ025E82GMZTK", "SE-000269946")</f>
        <v>SE-000269946</v>
      </c>
      <c r="D2835" s="1" t="s">
        <v>0</v>
      </c>
      <c r="E2835" s="2">
        <v>0</v>
      </c>
      <c r="F2835" s="2">
        <v>0</v>
      </c>
      <c r="G2835" s="2">
        <v>0</v>
      </c>
      <c r="H2835" s="1" t="s">
        <v>0</v>
      </c>
      <c r="I2835" s="2">
        <v>0</v>
      </c>
      <c r="J2835" s="1">
        <v>45915.378298611111</v>
      </c>
    </row>
    <row r="2836" spans="1:10" x14ac:dyDescent="0.2">
      <c r="A2836" s="4" t="s">
        <v>1</v>
      </c>
      <c r="B2836" s="3" t="str">
        <f>HYPERLINK("https://otsuka-europe-crm.veevavault.com/ui/#object/approved_document__v/V5OZ025E82TFUPI", "Spain - HCP Survey Email - June 2025")</f>
        <v>Spain - HCP Survey Email - June 2025</v>
      </c>
      <c r="C2836" s="3" t="str">
        <f>HYPERLINK("https://otsuka-europe-crm.veevavault.com/ui/#object/sent_email__v/VBLZ025E82GMZTL", "SE-000269947")</f>
        <v>SE-000269947</v>
      </c>
      <c r="D2836" s="1">
        <v>45923.47619212963</v>
      </c>
      <c r="E2836" s="2">
        <v>1</v>
      </c>
      <c r="F2836" s="2">
        <v>2</v>
      </c>
      <c r="G2836" s="2">
        <v>1</v>
      </c>
      <c r="H2836" s="1">
        <v>45916.485833333332</v>
      </c>
      <c r="I2836" s="2">
        <v>2</v>
      </c>
      <c r="J2836" s="1">
        <v>45915.378738425927</v>
      </c>
    </row>
    <row r="2837" spans="1:10" x14ac:dyDescent="0.2">
      <c r="A2837" s="4" t="s">
        <v>1</v>
      </c>
      <c r="B2837" s="3" t="str">
        <f>HYPERLINK("https://otsuka-europe-crm.veevavault.com/ui/#object/approved_document__v/V5OZ025E82TFUPI", "Spain - HCP Survey Email - June 2025")</f>
        <v>Spain - HCP Survey Email - June 2025</v>
      </c>
      <c r="C2837" s="3" t="str">
        <f>HYPERLINK("https://otsuka-europe-crm.veevavault.com/ui/#object/sent_email__v/VBLZ025E82GMZTM", "SE-000269948")</f>
        <v>SE-000269948</v>
      </c>
      <c r="D2837" s="1" t="s">
        <v>0</v>
      </c>
      <c r="E2837" s="2">
        <v>0</v>
      </c>
      <c r="F2837" s="2">
        <v>0</v>
      </c>
      <c r="G2837" s="2">
        <v>0</v>
      </c>
      <c r="H2837" s="1" t="s">
        <v>0</v>
      </c>
      <c r="I2837" s="2">
        <v>0</v>
      </c>
      <c r="J2837" s="1">
        <v>45915.378668981481</v>
      </c>
    </row>
    <row r="2838" spans="1:10" x14ac:dyDescent="0.2">
      <c r="A2838" s="4" t="s">
        <v>1</v>
      </c>
      <c r="B2838" s="3" t="str">
        <f>HYPERLINK("https://otsuka-europe-crm.veevavault.com/ui/#object/approved_document__v/V5OZ025E82TFUPI", "Spain - HCP Survey Email - June 2025")</f>
        <v>Spain - HCP Survey Email - June 2025</v>
      </c>
      <c r="C2838" s="3" t="str">
        <f>HYPERLINK("https://otsuka-europe-crm.veevavault.com/ui/#object/sent_email__v/VBLZ025E82GMZTN", "SE-000269949")</f>
        <v>SE-000269949</v>
      </c>
      <c r="D2838" s="1">
        <v>45915.992071759261</v>
      </c>
      <c r="E2838" s="2">
        <v>1</v>
      </c>
      <c r="F2838" s="2">
        <v>1</v>
      </c>
      <c r="G2838" s="2">
        <v>0</v>
      </c>
      <c r="H2838" s="1" t="s">
        <v>0</v>
      </c>
      <c r="I2838" s="2">
        <v>0</v>
      </c>
      <c r="J2838" s="1">
        <v>45915.379212962966</v>
      </c>
    </row>
    <row r="2839" spans="1:10" x14ac:dyDescent="0.2">
      <c r="A2839" s="4" t="s">
        <v>1</v>
      </c>
      <c r="B2839" s="3" t="str">
        <f>HYPERLINK("https://otsuka-europe-crm.veevavault.com/ui/#object/approved_document__v/V5OZ025E82TFUPI", "Spain - HCP Survey Email - June 2025")</f>
        <v>Spain - HCP Survey Email - June 2025</v>
      </c>
      <c r="C2839" s="3" t="str">
        <f>HYPERLINK("https://otsuka-europe-crm.veevavault.com/ui/#object/sent_email__v/VBLZ025E82GMZTO", "SE-000269950")</f>
        <v>SE-000269950</v>
      </c>
      <c r="D2839" s="1" t="s">
        <v>0</v>
      </c>
      <c r="E2839" s="2">
        <v>0</v>
      </c>
      <c r="F2839" s="2">
        <v>0</v>
      </c>
      <c r="G2839" s="2">
        <v>0</v>
      </c>
      <c r="H2839" s="1" t="s">
        <v>0</v>
      </c>
      <c r="I2839" s="2">
        <v>0</v>
      </c>
      <c r="J2839" s="1">
        <v>45915.377824074072</v>
      </c>
    </row>
    <row r="2840" spans="1:10" x14ac:dyDescent="0.2">
      <c r="A2840" s="4" t="s">
        <v>1</v>
      </c>
      <c r="B2840" s="3" t="str">
        <f>HYPERLINK("https://otsuka-europe-crm.veevavault.com/ui/#object/approved_document__v/V5OZ025E82TFUPI", "Spain - HCP Survey Email - June 2025")</f>
        <v>Spain - HCP Survey Email - June 2025</v>
      </c>
      <c r="C2840" s="3" t="str">
        <f>HYPERLINK("https://otsuka-europe-crm.veevavault.com/ui/#object/sent_email__v/VBLZ025E82GMZTP", "SE-000269951")</f>
        <v>SE-000269951</v>
      </c>
      <c r="D2840" s="1" t="s">
        <v>0</v>
      </c>
      <c r="E2840" s="2">
        <v>0</v>
      </c>
      <c r="F2840" s="2">
        <v>0</v>
      </c>
      <c r="G2840" s="2">
        <v>0</v>
      </c>
      <c r="H2840" s="1" t="s">
        <v>0</v>
      </c>
      <c r="I2840" s="2">
        <v>0</v>
      </c>
      <c r="J2840" s="1">
        <v>45915.378240740742</v>
      </c>
    </row>
    <row r="2841" spans="1:10" x14ac:dyDescent="0.2">
      <c r="A2841" s="4" t="s">
        <v>1</v>
      </c>
      <c r="B2841" s="3" t="str">
        <f>HYPERLINK("https://otsuka-europe-crm.veevavault.com/ui/#object/approved_document__v/V5OZ025E82TFUPI", "Spain - HCP Survey Email - June 2025")</f>
        <v>Spain - HCP Survey Email - June 2025</v>
      </c>
      <c r="C2841" s="3" t="str">
        <f>HYPERLINK("https://otsuka-europe-crm.veevavault.com/ui/#object/sent_email__v/VBLZ025E82GMZTQ", "SE-000269952")</f>
        <v>SE-000269952</v>
      </c>
      <c r="D2841" s="1" t="s">
        <v>0</v>
      </c>
      <c r="E2841" s="2">
        <v>0</v>
      </c>
      <c r="F2841" s="2">
        <v>0</v>
      </c>
      <c r="G2841" s="2">
        <v>0</v>
      </c>
      <c r="H2841" s="1" t="s">
        <v>0</v>
      </c>
      <c r="I2841" s="2">
        <v>0</v>
      </c>
      <c r="J2841" s="1">
        <v>45915.378206018519</v>
      </c>
    </row>
    <row r="2842" spans="1:10" x14ac:dyDescent="0.2">
      <c r="A2842" s="4" t="s">
        <v>1</v>
      </c>
      <c r="B2842" s="3" t="str">
        <f>HYPERLINK("https://otsuka-europe-crm.veevavault.com/ui/#object/approved_document__v/V5OZ025E82TFUPI", "Spain - HCP Survey Email - June 2025")</f>
        <v>Spain - HCP Survey Email - June 2025</v>
      </c>
      <c r="C2842" s="3" t="str">
        <f>HYPERLINK("https://otsuka-europe-crm.veevavault.com/ui/#object/sent_email__v/VBLZ025E82GMZTR", "SE-000269953")</f>
        <v>SE-000269953</v>
      </c>
      <c r="D2842" s="1" t="s">
        <v>0</v>
      </c>
      <c r="E2842" s="2">
        <v>0</v>
      </c>
      <c r="F2842" s="2">
        <v>0</v>
      </c>
      <c r="G2842" s="2">
        <v>0</v>
      </c>
      <c r="H2842" s="1" t="s">
        <v>0</v>
      </c>
      <c r="I2842" s="2">
        <v>0</v>
      </c>
      <c r="J2842" s="1">
        <v>45915.37872685185</v>
      </c>
    </row>
    <row r="2843" spans="1:10" x14ac:dyDescent="0.2">
      <c r="A2843" s="4" t="s">
        <v>1</v>
      </c>
      <c r="B2843" s="3" t="str">
        <f>HYPERLINK("https://otsuka-europe-crm.veevavault.com/ui/#object/approved_document__v/V5OZ025E82TFUPI", "Spain - HCP Survey Email - June 2025")</f>
        <v>Spain - HCP Survey Email - June 2025</v>
      </c>
      <c r="C2843" s="3" t="str">
        <f>HYPERLINK("https://otsuka-europe-crm.veevavault.com/ui/#object/sent_email__v/VBLZ025E82GMZTS", "SE-000269954")</f>
        <v>SE-000269954</v>
      </c>
      <c r="D2843" s="1" t="s">
        <v>0</v>
      </c>
      <c r="E2843" s="2">
        <v>0</v>
      </c>
      <c r="F2843" s="2">
        <v>0</v>
      </c>
      <c r="G2843" s="2">
        <v>0</v>
      </c>
      <c r="H2843" s="1" t="s">
        <v>0</v>
      </c>
      <c r="I2843" s="2">
        <v>0</v>
      </c>
      <c r="J2843" s="1">
        <v>45915.377928240741</v>
      </c>
    </row>
    <row r="2844" spans="1:10" x14ac:dyDescent="0.2">
      <c r="A2844" s="4" t="s">
        <v>1</v>
      </c>
      <c r="B2844" s="3" t="str">
        <f>HYPERLINK("https://otsuka-europe-crm.veevavault.com/ui/#object/approved_document__v/V5OZ025E82TFUPI", "Spain - HCP Survey Email - June 2025")</f>
        <v>Spain - HCP Survey Email - June 2025</v>
      </c>
      <c r="C2844" s="3" t="str">
        <f>HYPERLINK("https://otsuka-europe-crm.veevavault.com/ui/#object/sent_email__v/VBLZ025E82GMZTT", "SE-000269955")</f>
        <v>SE-000269955</v>
      </c>
      <c r="D2844" s="1" t="s">
        <v>0</v>
      </c>
      <c r="E2844" s="2">
        <v>0</v>
      </c>
      <c r="F2844" s="2">
        <v>0</v>
      </c>
      <c r="G2844" s="2">
        <v>0</v>
      </c>
      <c r="H2844" s="1" t="s">
        <v>0</v>
      </c>
      <c r="I2844" s="2">
        <v>0</v>
      </c>
      <c r="J2844" s="1">
        <v>45915.378275462965</v>
      </c>
    </row>
    <row r="2845" spans="1:10" x14ac:dyDescent="0.2">
      <c r="A2845" s="4" t="s">
        <v>1</v>
      </c>
      <c r="B2845" s="3" t="str">
        <f>HYPERLINK("https://otsuka-europe-crm.veevavault.com/ui/#object/approved_document__v/V5OZ025E82TFUPI", "Spain - HCP Survey Email - June 2025")</f>
        <v>Spain - HCP Survey Email - June 2025</v>
      </c>
      <c r="C2845" s="3" t="str">
        <f>HYPERLINK("https://otsuka-europe-crm.veevavault.com/ui/#object/sent_email__v/VBLZ025E82GMZTU", "SE-000269956")</f>
        <v>SE-000269956</v>
      </c>
      <c r="D2845" s="1" t="s">
        <v>0</v>
      </c>
      <c r="E2845" s="2">
        <v>0</v>
      </c>
      <c r="F2845" s="2">
        <v>0</v>
      </c>
      <c r="G2845" s="2">
        <v>0</v>
      </c>
      <c r="H2845" s="1" t="s">
        <v>0</v>
      </c>
      <c r="I2845" s="2">
        <v>0</v>
      </c>
      <c r="J2845" s="1">
        <v>45915.378101851849</v>
      </c>
    </row>
    <row r="2846" spans="1:10" x14ac:dyDescent="0.2">
      <c r="A2846" s="4" t="s">
        <v>1</v>
      </c>
      <c r="B2846" s="3" t="str">
        <f>HYPERLINK("https://otsuka-europe-crm.veevavault.com/ui/#object/approved_document__v/V5OZ025E82TFUPI", "Spain - HCP Survey Email - June 2025")</f>
        <v>Spain - HCP Survey Email - June 2025</v>
      </c>
      <c r="C2846" s="3" t="str">
        <f>HYPERLINK("https://otsuka-europe-crm.veevavault.com/ui/#object/sent_email__v/VBLZ025E82GMZTV", "SE-000269957")</f>
        <v>SE-000269957</v>
      </c>
      <c r="D2846" s="1">
        <v>45915.37872685185</v>
      </c>
      <c r="E2846" s="2">
        <v>1</v>
      </c>
      <c r="F2846" s="2">
        <v>1</v>
      </c>
      <c r="G2846" s="2">
        <v>1</v>
      </c>
      <c r="H2846" s="1">
        <v>45915.378958333335</v>
      </c>
      <c r="I2846" s="2">
        <v>2</v>
      </c>
      <c r="J2846" s="1">
        <v>45915.378622685188</v>
      </c>
    </row>
    <row r="2847" spans="1:10" x14ac:dyDescent="0.2">
      <c r="A2847" s="4" t="s">
        <v>1</v>
      </c>
      <c r="B2847" s="3" t="str">
        <f>HYPERLINK("https://otsuka-europe-crm.veevavault.com/ui/#object/approved_document__v/V5OZ025E82TFUPI", "Spain - HCP Survey Email - June 2025")</f>
        <v>Spain - HCP Survey Email - June 2025</v>
      </c>
      <c r="C2847" s="3" t="str">
        <f>HYPERLINK("https://otsuka-europe-crm.veevavault.com/ui/#object/sent_email__v/VBLZ025E82GMZTW", "SE-000269958")</f>
        <v>SE-000269958</v>
      </c>
      <c r="D2847" s="1" t="s">
        <v>0</v>
      </c>
      <c r="E2847" s="2">
        <v>0</v>
      </c>
      <c r="F2847" s="2">
        <v>0</v>
      </c>
      <c r="G2847" s="2">
        <v>0</v>
      </c>
      <c r="H2847" s="1" t="s">
        <v>0</v>
      </c>
      <c r="I2847" s="2">
        <v>0</v>
      </c>
      <c r="J2847" s="1">
        <v>45915.380046296297</v>
      </c>
    </row>
    <row r="2848" spans="1:10" x14ac:dyDescent="0.2">
      <c r="A2848" s="4" t="s">
        <v>1</v>
      </c>
      <c r="B2848" s="3" t="str">
        <f>HYPERLINK("https://otsuka-europe-crm.veevavault.com/ui/#object/approved_document__v/V5OZ025E82TFUPI", "Spain - HCP Survey Email - June 2025")</f>
        <v>Spain - HCP Survey Email - June 2025</v>
      </c>
      <c r="C2848" s="3" t="str">
        <f>HYPERLINK("https://otsuka-europe-crm.veevavault.com/ui/#object/sent_email__v/VBLZ025E82GMZTX", "SE-000269959")</f>
        <v>SE-000269959</v>
      </c>
      <c r="D2848" s="1">
        <v>45929.887187499997</v>
      </c>
      <c r="E2848" s="2">
        <v>1</v>
      </c>
      <c r="F2848" s="2">
        <v>3</v>
      </c>
      <c r="G2848" s="2">
        <v>1</v>
      </c>
      <c r="H2848" s="1">
        <v>45915.623414351852</v>
      </c>
      <c r="I2848" s="2">
        <v>1</v>
      </c>
      <c r="J2848" s="1">
        <v>45915.379201388889</v>
      </c>
    </row>
    <row r="2849" spans="1:10" x14ac:dyDescent="0.2">
      <c r="A2849" s="4" t="s">
        <v>1</v>
      </c>
      <c r="B2849" s="3" t="str">
        <f>HYPERLINK("https://otsuka-europe-crm.veevavault.com/ui/#object/approved_document__v/V5OZ025E82TFUPI", "Spain - HCP Survey Email - June 2025")</f>
        <v>Spain - HCP Survey Email - June 2025</v>
      </c>
      <c r="C2849" s="3" t="str">
        <f>HYPERLINK("https://otsuka-europe-crm.veevavault.com/ui/#object/sent_email__v/VBLZ025E82GMZTY", "SE-000269960")</f>
        <v>SE-000269960</v>
      </c>
      <c r="D2849" s="1">
        <v>45915.946666666663</v>
      </c>
      <c r="E2849" s="2">
        <v>1</v>
      </c>
      <c r="F2849" s="2">
        <v>3</v>
      </c>
      <c r="G2849" s="2">
        <v>1</v>
      </c>
      <c r="H2849" s="1">
        <v>45915.70516203704</v>
      </c>
      <c r="I2849" s="2">
        <v>1</v>
      </c>
      <c r="J2849" s="1">
        <v>45915.377384259256</v>
      </c>
    </row>
    <row r="2850" spans="1:10" x14ac:dyDescent="0.2">
      <c r="A2850" s="4" t="s">
        <v>1</v>
      </c>
      <c r="B2850" s="3" t="str">
        <f>HYPERLINK("https://otsuka-europe-crm.veevavault.com/ui/#object/approved_document__v/V5OZ025E82TFUPI", "Spain - HCP Survey Email - June 2025")</f>
        <v>Spain - HCP Survey Email - June 2025</v>
      </c>
      <c r="C2850" s="3" t="str">
        <f>HYPERLINK("https://otsuka-europe-crm.veevavault.com/ui/#object/sent_email__v/VBLZ025E82GMZTZ", "SE-000269961")</f>
        <v>SE-000269961</v>
      </c>
      <c r="D2850" s="1" t="s">
        <v>0</v>
      </c>
      <c r="E2850" s="2">
        <v>0</v>
      </c>
      <c r="F2850" s="2">
        <v>0</v>
      </c>
      <c r="G2850" s="2">
        <v>0</v>
      </c>
      <c r="H2850" s="1" t="s">
        <v>0</v>
      </c>
      <c r="I2850" s="2">
        <v>0</v>
      </c>
      <c r="J2850" s="1">
        <v>45915.378379629627</v>
      </c>
    </row>
    <row r="2851" spans="1:10" x14ac:dyDescent="0.2">
      <c r="A2851" s="4" t="s">
        <v>1</v>
      </c>
      <c r="B2851" s="3" t="str">
        <f>HYPERLINK("https://otsuka-europe-crm.veevavault.com/ui/#object/approved_document__v/V5OZ025E82TFUPI", "Spain - HCP Survey Email - June 2025")</f>
        <v>Spain - HCP Survey Email - June 2025</v>
      </c>
      <c r="C2851" s="3" t="str">
        <f>HYPERLINK("https://otsuka-europe-crm.veevavault.com/ui/#object/sent_email__v/VBLZ025E82GMZU0", "SE-000269962")</f>
        <v>SE-000269962</v>
      </c>
      <c r="D2851" s="1">
        <v>45915.379259259258</v>
      </c>
      <c r="E2851" s="2">
        <v>1</v>
      </c>
      <c r="F2851" s="2">
        <v>1</v>
      </c>
      <c r="G2851" s="2">
        <v>0</v>
      </c>
      <c r="H2851" s="1" t="s">
        <v>0</v>
      </c>
      <c r="I2851" s="2">
        <v>0</v>
      </c>
      <c r="J2851" s="1">
        <v>45915.378946759258</v>
      </c>
    </row>
    <row r="2852" spans="1:10" x14ac:dyDescent="0.2">
      <c r="A2852" s="4" t="s">
        <v>1</v>
      </c>
      <c r="B2852" s="3" t="str">
        <f>HYPERLINK("https://otsuka-europe-crm.veevavault.com/ui/#object/approved_document__v/V5OZ025E82TFUPI", "Spain - HCP Survey Email - June 2025")</f>
        <v>Spain - HCP Survey Email - June 2025</v>
      </c>
      <c r="C2852" s="3" t="str">
        <f>HYPERLINK("https://otsuka-europe-crm.veevavault.com/ui/#object/sent_email__v/VBLZ025E82GMZU1", "SE-000269963")</f>
        <v>SE-000269963</v>
      </c>
      <c r="D2852" s="1" t="s">
        <v>0</v>
      </c>
      <c r="E2852" s="2">
        <v>0</v>
      </c>
      <c r="F2852" s="2">
        <v>0</v>
      </c>
      <c r="G2852" s="2">
        <v>0</v>
      </c>
      <c r="H2852" s="1" t="s">
        <v>0</v>
      </c>
      <c r="I2852" s="2">
        <v>0</v>
      </c>
      <c r="J2852" s="1">
        <v>45915.378668981481</v>
      </c>
    </row>
    <row r="2853" spans="1:10" x14ac:dyDescent="0.2">
      <c r="A2853" s="4" t="s">
        <v>1</v>
      </c>
      <c r="B2853" s="3" t="str">
        <f>HYPERLINK("https://otsuka-europe-crm.veevavault.com/ui/#object/approved_document__v/V5OZ025E82TFUPI", "Spain - HCP Survey Email - June 2025")</f>
        <v>Spain - HCP Survey Email - June 2025</v>
      </c>
      <c r="C2853" s="3" t="str">
        <f>HYPERLINK("https://otsuka-europe-crm.veevavault.com/ui/#object/sent_email__v/VBLZ025E82GMZU2", "SE-000269964")</f>
        <v>SE-000269964</v>
      </c>
      <c r="D2853" s="1" t="s">
        <v>0</v>
      </c>
      <c r="E2853" s="2">
        <v>0</v>
      </c>
      <c r="F2853" s="2">
        <v>0</v>
      </c>
      <c r="G2853" s="2">
        <v>0</v>
      </c>
      <c r="H2853" s="1" t="s">
        <v>0</v>
      </c>
      <c r="I2853" s="2">
        <v>0</v>
      </c>
      <c r="J2853" s="1">
        <v>45915.37909722222</v>
      </c>
    </row>
    <row r="2854" spans="1:10" x14ac:dyDescent="0.2">
      <c r="A2854" s="4" t="s">
        <v>1</v>
      </c>
      <c r="B2854" s="3" t="str">
        <f>HYPERLINK("https://otsuka-europe-crm.veevavault.com/ui/#object/approved_document__v/V5OZ025E82TFUPI", "Spain - HCP Survey Email - June 2025")</f>
        <v>Spain - HCP Survey Email - June 2025</v>
      </c>
      <c r="C2854" s="3" t="str">
        <f>HYPERLINK("https://otsuka-europe-crm.veevavault.com/ui/#object/sent_email__v/VBLZ025E82GMZU3", "SE-000269965")</f>
        <v>SE-000269965</v>
      </c>
      <c r="D2854" s="1" t="s">
        <v>0</v>
      </c>
      <c r="E2854" s="2">
        <v>0</v>
      </c>
      <c r="F2854" s="2">
        <v>0</v>
      </c>
      <c r="G2854" s="2">
        <v>0</v>
      </c>
      <c r="H2854" s="1" t="s">
        <v>0</v>
      </c>
      <c r="I2854" s="2">
        <v>0</v>
      </c>
      <c r="J2854" s="1">
        <v>45915.377835648149</v>
      </c>
    </row>
    <row r="2855" spans="1:10" x14ac:dyDescent="0.2">
      <c r="A2855" s="4" t="s">
        <v>1</v>
      </c>
      <c r="B2855" s="3" t="str">
        <f>HYPERLINK("https://otsuka-europe-crm.veevavault.com/ui/#object/approved_document__v/V5OZ025E82TFUPI", "Spain - HCP Survey Email - June 2025")</f>
        <v>Spain - HCP Survey Email - June 2025</v>
      </c>
      <c r="C2855" s="3" t="str">
        <f>HYPERLINK("https://otsuka-europe-crm.veevavault.com/ui/#object/sent_email__v/VBLZ025E82GMZU4", "SE-000269966")</f>
        <v>SE-000269966</v>
      </c>
      <c r="D2855" s="1" t="s">
        <v>0</v>
      </c>
      <c r="E2855" s="2">
        <v>0</v>
      </c>
      <c r="F2855" s="2">
        <v>0</v>
      </c>
      <c r="G2855" s="2">
        <v>0</v>
      </c>
      <c r="H2855" s="1" t="s">
        <v>0</v>
      </c>
      <c r="I2855" s="2">
        <v>0</v>
      </c>
      <c r="J2855" s="1">
        <v>45915.378252314818</v>
      </c>
    </row>
    <row r="2856" spans="1:10" x14ac:dyDescent="0.2">
      <c r="A2856" s="4" t="s">
        <v>1</v>
      </c>
      <c r="B2856" s="3" t="str">
        <f>HYPERLINK("https://otsuka-europe-crm.veevavault.com/ui/#object/approved_document__v/V5OZ025E82TFUPI", "Spain - HCP Survey Email - June 2025")</f>
        <v>Spain - HCP Survey Email - June 2025</v>
      </c>
      <c r="C2856" s="3" t="str">
        <f>HYPERLINK("https://otsuka-europe-crm.veevavault.com/ui/#object/sent_email__v/VBLZ025E82GMZU5", "SE-000269967")</f>
        <v>SE-000269967</v>
      </c>
      <c r="D2856" s="1">
        <v>45915.388460648152</v>
      </c>
      <c r="E2856" s="2">
        <v>1</v>
      </c>
      <c r="F2856" s="2">
        <v>1</v>
      </c>
      <c r="G2856" s="2">
        <v>0</v>
      </c>
      <c r="H2856" s="1" t="s">
        <v>0</v>
      </c>
      <c r="I2856" s="2">
        <v>0</v>
      </c>
      <c r="J2856" s="1">
        <v>45915.378113425926</v>
      </c>
    </row>
    <row r="2857" spans="1:10" x14ac:dyDescent="0.2">
      <c r="A2857" s="4" t="s">
        <v>1</v>
      </c>
      <c r="B2857" s="3" t="str">
        <f>HYPERLINK("https://otsuka-europe-crm.veevavault.com/ui/#object/approved_document__v/V5OZ025E82TFUPI", "Spain - HCP Survey Email - June 2025")</f>
        <v>Spain - HCP Survey Email - June 2025</v>
      </c>
      <c r="C2857" s="3" t="str">
        <f>HYPERLINK("https://otsuka-europe-crm.veevavault.com/ui/#object/sent_email__v/VBLZ025E82GMZU6", "SE-000269968")</f>
        <v>SE-000269968</v>
      </c>
      <c r="D2857" s="1" t="s">
        <v>0</v>
      </c>
      <c r="E2857" s="2">
        <v>0</v>
      </c>
      <c r="F2857" s="2">
        <v>0</v>
      </c>
      <c r="G2857" s="2">
        <v>0</v>
      </c>
      <c r="H2857" s="1" t="s">
        <v>0</v>
      </c>
      <c r="I2857" s="2">
        <v>0</v>
      </c>
      <c r="J2857" s="1">
        <v>45915.378668981481</v>
      </c>
    </row>
    <row r="2858" spans="1:10" x14ac:dyDescent="0.2">
      <c r="A2858" s="4" t="s">
        <v>1</v>
      </c>
      <c r="B2858" s="3" t="str">
        <f>HYPERLINK("https://otsuka-europe-crm.veevavault.com/ui/#object/approved_document__v/V5OZ025E82TFUPI", "Spain - HCP Survey Email - June 2025")</f>
        <v>Spain - HCP Survey Email - June 2025</v>
      </c>
      <c r="C2858" s="3" t="str">
        <f>HYPERLINK("https://otsuka-europe-crm.veevavault.com/ui/#object/sent_email__v/VBLZ025E82GMZU7", "SE-000269969")</f>
        <v>SE-000269969</v>
      </c>
      <c r="D2858" s="1">
        <v>45915.624097222222</v>
      </c>
      <c r="E2858" s="2">
        <v>1</v>
      </c>
      <c r="F2858" s="2">
        <v>1</v>
      </c>
      <c r="G2858" s="2">
        <v>0</v>
      </c>
      <c r="H2858" s="1" t="s">
        <v>0</v>
      </c>
      <c r="I2858" s="2">
        <v>0</v>
      </c>
      <c r="J2858" s="1">
        <v>45915.379988425928</v>
      </c>
    </row>
    <row r="2859" spans="1:10" x14ac:dyDescent="0.2">
      <c r="A2859" s="4" t="s">
        <v>1</v>
      </c>
      <c r="B2859" s="3" t="str">
        <f>HYPERLINK("https://otsuka-europe-crm.veevavault.com/ui/#object/approved_document__v/V5OZ025E82TFUPI", "Spain - HCP Survey Email - June 2025")</f>
        <v>Spain - HCP Survey Email - June 2025</v>
      </c>
      <c r="C2859" s="3" t="str">
        <f>HYPERLINK("https://otsuka-europe-crm.veevavault.com/ui/#object/sent_email__v/VBLZ025E82GMZU8", "SE-000269970")</f>
        <v>SE-000269970</v>
      </c>
      <c r="D2859" s="1" t="s">
        <v>0</v>
      </c>
      <c r="E2859" s="2">
        <v>0</v>
      </c>
      <c r="F2859" s="2">
        <v>0</v>
      </c>
      <c r="G2859" s="2">
        <v>0</v>
      </c>
      <c r="H2859" s="1" t="s">
        <v>0</v>
      </c>
      <c r="I2859" s="2">
        <v>0</v>
      </c>
      <c r="J2859" s="1">
        <v>45915.379363425927</v>
      </c>
    </row>
    <row r="2860" spans="1:10" x14ac:dyDescent="0.2">
      <c r="A2860" s="4" t="s">
        <v>1</v>
      </c>
      <c r="B2860" s="3" t="str">
        <f>HYPERLINK("https://otsuka-europe-crm.veevavault.com/ui/#object/approved_document__v/V5OZ025E82TFUPI", "Spain - HCP Survey Email - June 2025")</f>
        <v>Spain - HCP Survey Email - June 2025</v>
      </c>
      <c r="C2860" s="3" t="str">
        <f>HYPERLINK("https://otsuka-europe-crm.veevavault.com/ui/#object/sent_email__v/VBLZ025E82GMZU9", "SE-000269971")</f>
        <v>SE-000269971</v>
      </c>
      <c r="D2860" s="1" t="s">
        <v>0</v>
      </c>
      <c r="E2860" s="2">
        <v>0</v>
      </c>
      <c r="F2860" s="2">
        <v>0</v>
      </c>
      <c r="G2860" s="2">
        <v>0</v>
      </c>
      <c r="H2860" s="1" t="s">
        <v>0</v>
      </c>
      <c r="I2860" s="2">
        <v>0</v>
      </c>
      <c r="J2860" s="1">
        <v>45915.377372685187</v>
      </c>
    </row>
    <row r="2861" spans="1:10" x14ac:dyDescent="0.2">
      <c r="A2861" s="4" t="s">
        <v>1</v>
      </c>
      <c r="B2861" s="3" t="str">
        <f>HYPERLINK("https://otsuka-europe-crm.veevavault.com/ui/#object/approved_document__v/V5OZ025E82TFUPI", "Spain - HCP Survey Email - June 2025")</f>
        <v>Spain - HCP Survey Email - June 2025</v>
      </c>
      <c r="C2861" s="3" t="str">
        <f>HYPERLINK("https://otsuka-europe-crm.veevavault.com/ui/#object/sent_email__v/VBLZ025E82GMZUA", "SE-000269972")</f>
        <v>SE-000269972</v>
      </c>
      <c r="D2861" s="1" t="s">
        <v>0</v>
      </c>
      <c r="E2861" s="2">
        <v>0</v>
      </c>
      <c r="F2861" s="2">
        <v>0</v>
      </c>
      <c r="G2861" s="2">
        <v>0</v>
      </c>
      <c r="H2861" s="1" t="s">
        <v>0</v>
      </c>
      <c r="I2861" s="2">
        <v>0</v>
      </c>
      <c r="J2861" s="1">
        <v>45915.37841435185</v>
      </c>
    </row>
    <row r="2862" spans="1:10" x14ac:dyDescent="0.2">
      <c r="A2862" s="4" t="s">
        <v>1</v>
      </c>
      <c r="B2862" s="3" t="str">
        <f>HYPERLINK("https://otsuka-europe-crm.veevavault.com/ui/#object/approved_document__v/V5OZ025E82TFUPI", "Spain - HCP Survey Email - June 2025")</f>
        <v>Spain - HCP Survey Email - June 2025</v>
      </c>
      <c r="C2862" s="3" t="str">
        <f>HYPERLINK("https://otsuka-europe-crm.veevavault.com/ui/#object/sent_email__v/VBLZ025E82GMZUB", "SE-000269973")</f>
        <v>SE-000269973</v>
      </c>
      <c r="D2862" s="1" t="s">
        <v>0</v>
      </c>
      <c r="E2862" s="2">
        <v>0</v>
      </c>
      <c r="F2862" s="2">
        <v>0</v>
      </c>
      <c r="G2862" s="2">
        <v>0</v>
      </c>
      <c r="H2862" s="1" t="s">
        <v>0</v>
      </c>
      <c r="I2862" s="2">
        <v>0</v>
      </c>
      <c r="J2862" s="1">
        <v>45915.378842592596</v>
      </c>
    </row>
    <row r="2863" spans="1:10" x14ac:dyDescent="0.2">
      <c r="A2863" s="4" t="s">
        <v>1</v>
      </c>
      <c r="B2863" s="3" t="str">
        <f>HYPERLINK("https://otsuka-europe-crm.veevavault.com/ui/#object/approved_document__v/V5OZ025E82TFUPI", "Spain - HCP Survey Email - June 2025")</f>
        <v>Spain - HCP Survey Email - June 2025</v>
      </c>
      <c r="C2863" s="3" t="str">
        <f>HYPERLINK("https://otsuka-europe-crm.veevavault.com/ui/#object/sent_email__v/VBLZ025E82GMZUC", "SE-000269974")</f>
        <v>SE-000269974</v>
      </c>
      <c r="D2863" s="1" t="s">
        <v>0</v>
      </c>
      <c r="E2863" s="2">
        <v>0</v>
      </c>
      <c r="F2863" s="2">
        <v>0</v>
      </c>
      <c r="G2863" s="2">
        <v>0</v>
      </c>
      <c r="H2863" s="1" t="s">
        <v>0</v>
      </c>
      <c r="I2863" s="2">
        <v>0</v>
      </c>
      <c r="J2863" s="1">
        <v>45915.378761574073</v>
      </c>
    </row>
    <row r="2864" spans="1:10" x14ac:dyDescent="0.2">
      <c r="A2864" s="4" t="s">
        <v>1</v>
      </c>
      <c r="B2864" s="3" t="str">
        <f>HYPERLINK("https://otsuka-europe-crm.veevavault.com/ui/#object/approved_document__v/V5OZ025E82TFUPI", "Spain - HCP Survey Email - June 2025")</f>
        <v>Spain - HCP Survey Email - June 2025</v>
      </c>
      <c r="C2864" s="3" t="str">
        <f>HYPERLINK("https://otsuka-europe-crm.veevavault.com/ui/#object/sent_email__v/VBLZ025E82GMZUD", "SE-000269975")</f>
        <v>SE-000269975</v>
      </c>
      <c r="D2864" s="1" t="s">
        <v>0</v>
      </c>
      <c r="E2864" s="2">
        <v>0</v>
      </c>
      <c r="F2864" s="2">
        <v>0</v>
      </c>
      <c r="G2864" s="2">
        <v>0</v>
      </c>
      <c r="H2864" s="1" t="s">
        <v>0</v>
      </c>
      <c r="I2864" s="2">
        <v>0</v>
      </c>
      <c r="J2864" s="1">
        <v>45915.37909722222</v>
      </c>
    </row>
    <row r="2865" spans="1:10" x14ac:dyDescent="0.2">
      <c r="A2865" s="4" t="s">
        <v>1</v>
      </c>
      <c r="B2865" s="3" t="str">
        <f>HYPERLINK("https://otsuka-europe-crm.veevavault.com/ui/#object/approved_document__v/V5OZ025E82TFUPI", "Spain - HCP Survey Email - June 2025")</f>
        <v>Spain - HCP Survey Email - June 2025</v>
      </c>
      <c r="C2865" s="3" t="str">
        <f>HYPERLINK("https://otsuka-europe-crm.veevavault.com/ui/#object/sent_email__v/VBLZ025E82GMZUE", "SE-000269976")</f>
        <v>SE-000269976</v>
      </c>
      <c r="D2865" s="1">
        <v>45915.38853009259</v>
      </c>
      <c r="E2865" s="2">
        <v>1</v>
      </c>
      <c r="F2865" s="2">
        <v>1</v>
      </c>
      <c r="G2865" s="2">
        <v>0</v>
      </c>
      <c r="H2865" s="1" t="s">
        <v>0</v>
      </c>
      <c r="I2865" s="2">
        <v>0</v>
      </c>
      <c r="J2865" s="1">
        <v>45915.377858796295</v>
      </c>
    </row>
    <row r="2866" spans="1:10" x14ac:dyDescent="0.2">
      <c r="A2866" s="4" t="s">
        <v>1</v>
      </c>
      <c r="B2866" s="3" t="str">
        <f>HYPERLINK("https://otsuka-europe-crm.veevavault.com/ui/#object/approved_document__v/V5OZ025E82TFUPI", "Spain - HCP Survey Email - June 2025")</f>
        <v>Spain - HCP Survey Email - June 2025</v>
      </c>
      <c r="C2866" s="3" t="str">
        <f>HYPERLINK("https://otsuka-europe-crm.veevavault.com/ui/#object/sent_email__v/VBLZ025E82GMZUF", "SE-000269977")</f>
        <v>SE-000269977</v>
      </c>
      <c r="D2866" s="1" t="s">
        <v>0</v>
      </c>
      <c r="E2866" s="2">
        <v>0</v>
      </c>
      <c r="F2866" s="2">
        <v>0</v>
      </c>
      <c r="G2866" s="2">
        <v>0</v>
      </c>
      <c r="H2866" s="1" t="s">
        <v>0</v>
      </c>
      <c r="I2866" s="2">
        <v>0</v>
      </c>
      <c r="J2866" s="1">
        <v>45915.378321759257</v>
      </c>
    </row>
    <row r="2867" spans="1:10" x14ac:dyDescent="0.2">
      <c r="A2867" s="4" t="s">
        <v>1</v>
      </c>
      <c r="B2867" s="3" t="str">
        <f>HYPERLINK("https://otsuka-europe-crm.veevavault.com/ui/#object/approved_document__v/V5OZ025E82TFUPI", "Spain - HCP Survey Email - June 2025")</f>
        <v>Spain - HCP Survey Email - June 2025</v>
      </c>
      <c r="C2867" s="3" t="str">
        <f>HYPERLINK("https://otsuka-europe-crm.veevavault.com/ui/#object/sent_email__v/VBLZ025E82GMZUG", "SE-000269978")</f>
        <v>SE-000269978</v>
      </c>
      <c r="D2867" s="1">
        <v>45915.386516203704</v>
      </c>
      <c r="E2867" s="2">
        <v>1</v>
      </c>
      <c r="F2867" s="2">
        <v>1</v>
      </c>
      <c r="G2867" s="2">
        <v>0</v>
      </c>
      <c r="H2867" s="1" t="s">
        <v>0</v>
      </c>
      <c r="I2867" s="2">
        <v>0</v>
      </c>
      <c r="J2867" s="1">
        <v>45915.378182870372</v>
      </c>
    </row>
    <row r="2868" spans="1:10" x14ac:dyDescent="0.2">
      <c r="A2868" s="4" t="s">
        <v>1</v>
      </c>
      <c r="B2868" s="3" t="str">
        <f>HYPERLINK("https://otsuka-europe-crm.veevavault.com/ui/#object/approved_document__v/V5OZ025E82TFUPI", "Spain - HCP Survey Email - June 2025")</f>
        <v>Spain - HCP Survey Email - June 2025</v>
      </c>
      <c r="C2868" s="3" t="str">
        <f>HYPERLINK("https://otsuka-europe-crm.veevavault.com/ui/#object/sent_email__v/VBLZ025E82GMZUH", "SE-000269979")</f>
        <v>SE-000269979</v>
      </c>
      <c r="D2868" s="1">
        <v>45915.381157407406</v>
      </c>
      <c r="E2868" s="2">
        <v>1</v>
      </c>
      <c r="F2868" s="2">
        <v>2</v>
      </c>
      <c r="G2868" s="2">
        <v>0</v>
      </c>
      <c r="H2868" s="1" t="s">
        <v>0</v>
      </c>
      <c r="I2868" s="2">
        <v>0</v>
      </c>
      <c r="J2868" s="1">
        <v>45915.378668981481</v>
      </c>
    </row>
    <row r="2869" spans="1:10" x14ac:dyDescent="0.2">
      <c r="A2869" s="4" t="s">
        <v>1</v>
      </c>
      <c r="B2869" s="3" t="str">
        <f>HYPERLINK("https://otsuka-europe-crm.veevavault.com/ui/#object/approved_document__v/V5OZ025E82TFUPI", "Spain - HCP Survey Email - June 2025")</f>
        <v>Spain - HCP Survey Email - June 2025</v>
      </c>
      <c r="C2869" s="3" t="str">
        <f>HYPERLINK("https://otsuka-europe-crm.veevavault.com/ui/#object/sent_email__v/VBLZ025E82GMZUI", "SE-000269980")</f>
        <v>SE-000269980</v>
      </c>
      <c r="D2869" s="1">
        <v>45916.984490740739</v>
      </c>
      <c r="E2869" s="2">
        <v>1</v>
      </c>
      <c r="F2869" s="2">
        <v>1</v>
      </c>
      <c r="G2869" s="2">
        <v>0</v>
      </c>
      <c r="H2869" s="1" t="s">
        <v>0</v>
      </c>
      <c r="I2869" s="2">
        <v>0</v>
      </c>
      <c r="J2869" s="1">
        <v>45915.379050925927</v>
      </c>
    </row>
    <row r="2870" spans="1:10" x14ac:dyDescent="0.2">
      <c r="A2870" s="4" t="s">
        <v>1</v>
      </c>
      <c r="B2870" s="3" t="str">
        <f>HYPERLINK("https://otsuka-europe-crm.veevavault.com/ui/#object/approved_document__v/V5OZ025E82TFUPI", "Spain - HCP Survey Email - June 2025")</f>
        <v>Spain - HCP Survey Email - June 2025</v>
      </c>
      <c r="C2870" s="3" t="str">
        <f>HYPERLINK("https://otsuka-europe-crm.veevavault.com/ui/#object/sent_email__v/VBLZ025E82GMZUJ", "SE-000269981")</f>
        <v>SE-000269981</v>
      </c>
      <c r="D2870" s="1" t="s">
        <v>0</v>
      </c>
      <c r="E2870" s="2">
        <v>0</v>
      </c>
      <c r="F2870" s="2">
        <v>0</v>
      </c>
      <c r="G2870" s="2">
        <v>0</v>
      </c>
      <c r="H2870" s="1" t="s">
        <v>0</v>
      </c>
      <c r="I2870" s="2">
        <v>0</v>
      </c>
      <c r="J2870" s="1">
        <v>45915.377870370372</v>
      </c>
    </row>
    <row r="2871" spans="1:10" x14ac:dyDescent="0.2">
      <c r="A2871" s="4" t="s">
        <v>1</v>
      </c>
      <c r="B2871" s="3" t="str">
        <f>HYPERLINK("https://otsuka-europe-crm.veevavault.com/ui/#object/approved_document__v/V5OZ025E82TFUPI", "Spain - HCP Survey Email - June 2025")</f>
        <v>Spain - HCP Survey Email - June 2025</v>
      </c>
      <c r="C2871" s="3" t="str">
        <f>HYPERLINK("https://otsuka-europe-crm.veevavault.com/ui/#object/sent_email__v/VBLZ025E82GMZUK", "SE-000269982")</f>
        <v>SE-000269982</v>
      </c>
      <c r="D2871" s="1" t="s">
        <v>0</v>
      </c>
      <c r="E2871" s="2">
        <v>0</v>
      </c>
      <c r="F2871" s="2">
        <v>0</v>
      </c>
      <c r="G2871" s="2">
        <v>0</v>
      </c>
      <c r="H2871" s="1" t="s">
        <v>0</v>
      </c>
      <c r="I2871" s="2">
        <v>0</v>
      </c>
      <c r="J2871" s="1">
        <v>45915.378263888888</v>
      </c>
    </row>
    <row r="2872" spans="1:10" x14ac:dyDescent="0.2">
      <c r="A2872" s="4" t="s">
        <v>1</v>
      </c>
      <c r="B2872" s="3" t="str">
        <f>HYPERLINK("https://otsuka-europe-crm.veevavault.com/ui/#object/approved_document__v/V5OZ025E82TFUPI", "Spain - HCP Survey Email - June 2025")</f>
        <v>Spain - HCP Survey Email - June 2025</v>
      </c>
      <c r="C2872" s="3" t="str">
        <f>HYPERLINK("https://otsuka-europe-crm.veevavault.com/ui/#object/sent_email__v/VBLZ025E82GMZUL", "SE-000269983")</f>
        <v>SE-000269983</v>
      </c>
      <c r="D2872" s="1" t="s">
        <v>0</v>
      </c>
      <c r="E2872" s="2">
        <v>0</v>
      </c>
      <c r="F2872" s="2">
        <v>0</v>
      </c>
      <c r="G2872" s="2">
        <v>0</v>
      </c>
      <c r="H2872" s="1" t="s">
        <v>0</v>
      </c>
      <c r="I2872" s="2">
        <v>0</v>
      </c>
      <c r="J2872" s="1">
        <v>45915.378148148149</v>
      </c>
    </row>
    <row r="2873" spans="1:10" x14ac:dyDescent="0.2">
      <c r="A2873" s="4" t="s">
        <v>1</v>
      </c>
      <c r="B2873" s="3" t="str">
        <f>HYPERLINK("https://otsuka-europe-crm.veevavault.com/ui/#object/approved_document__v/V5OZ025E82TFUPI", "Spain - HCP Survey Email - June 2025")</f>
        <v>Spain - HCP Survey Email - June 2025</v>
      </c>
      <c r="C2873" s="3" t="str">
        <f>HYPERLINK("https://otsuka-europe-crm.veevavault.com/ui/#object/sent_email__v/VBLZ025E82GMZUM", "SE-000269984")</f>
        <v>SE-000269984</v>
      </c>
      <c r="D2873" s="1" t="s">
        <v>0</v>
      </c>
      <c r="E2873" s="2">
        <v>0</v>
      </c>
      <c r="F2873" s="2">
        <v>0</v>
      </c>
      <c r="G2873" s="2">
        <v>0</v>
      </c>
      <c r="H2873" s="1" t="s">
        <v>0</v>
      </c>
      <c r="I2873" s="2">
        <v>0</v>
      </c>
      <c r="J2873" s="1">
        <v>45915.378611111111</v>
      </c>
    </row>
    <row r="2874" spans="1:10" x14ac:dyDescent="0.2">
      <c r="A2874" s="4" t="s">
        <v>1</v>
      </c>
      <c r="B2874" s="3" t="str">
        <f>HYPERLINK("https://otsuka-europe-crm.veevavault.com/ui/#object/approved_document__v/V5OZ025E82TFUPI", "Spain - HCP Survey Email - June 2025")</f>
        <v>Spain - HCP Survey Email - June 2025</v>
      </c>
      <c r="C2874" s="3" t="str">
        <f>HYPERLINK("https://otsuka-europe-crm.veevavault.com/ui/#object/sent_email__v/VBLZ025E82GMZUN", "SE-000269985")</f>
        <v>SE-000269985</v>
      </c>
      <c r="D2874" s="1">
        <v>45915.569745370369</v>
      </c>
      <c r="E2874" s="2">
        <v>1</v>
      </c>
      <c r="F2874" s="2">
        <v>1</v>
      </c>
      <c r="G2874" s="2">
        <v>0</v>
      </c>
      <c r="H2874" s="1" t="s">
        <v>0</v>
      </c>
      <c r="I2874" s="2">
        <v>0</v>
      </c>
      <c r="J2874" s="1">
        <v>45915.379942129628</v>
      </c>
    </row>
    <row r="2875" spans="1:10" x14ac:dyDescent="0.2">
      <c r="A2875" s="4" t="s">
        <v>1</v>
      </c>
      <c r="B2875" s="3" t="str">
        <f>HYPERLINK("https://otsuka-europe-crm.veevavault.com/ui/#object/approved_document__v/V5OZ025E82TFUPI", "Spain - HCP Survey Email - June 2025")</f>
        <v>Spain - HCP Survey Email - June 2025</v>
      </c>
      <c r="C2875" s="3" t="str">
        <f>HYPERLINK("https://otsuka-europe-crm.veevavault.com/ui/#object/sent_email__v/VBLZ025E82GMZUO", "SE-000269986")</f>
        <v>SE-000269986</v>
      </c>
      <c r="D2875" s="1">
        <v>45915.390798611108</v>
      </c>
      <c r="E2875" s="2">
        <v>1</v>
      </c>
      <c r="F2875" s="2">
        <v>1</v>
      </c>
      <c r="G2875" s="2">
        <v>0</v>
      </c>
      <c r="H2875" s="1" t="s">
        <v>0</v>
      </c>
      <c r="I2875" s="2">
        <v>0</v>
      </c>
      <c r="J2875" s="1">
        <v>45915.379270833335</v>
      </c>
    </row>
    <row r="2876" spans="1:10" x14ac:dyDescent="0.2">
      <c r="A2876" s="4" t="s">
        <v>1</v>
      </c>
      <c r="B2876" s="3" t="str">
        <f>HYPERLINK("https://otsuka-europe-crm.veevavault.com/ui/#object/approved_document__v/V5OZ025E82TFUPI", "Spain - HCP Survey Email - June 2025")</f>
        <v>Spain - HCP Survey Email - June 2025</v>
      </c>
      <c r="C2876" s="3" t="str">
        <f>HYPERLINK("https://otsuka-europe-crm.veevavault.com/ui/#object/sent_email__v/VBLZ025E82GMZUQ", "SE-000269988")</f>
        <v>SE-000269988</v>
      </c>
      <c r="D2876" s="1" t="s">
        <v>0</v>
      </c>
      <c r="E2876" s="2">
        <v>0</v>
      </c>
      <c r="F2876" s="2">
        <v>0</v>
      </c>
      <c r="G2876" s="2">
        <v>0</v>
      </c>
      <c r="H2876" s="1" t="s">
        <v>0</v>
      </c>
      <c r="I2876" s="2">
        <v>0</v>
      </c>
      <c r="J2876" s="1">
        <v>45915.37840277778</v>
      </c>
    </row>
    <row r="2877" spans="1:10" x14ac:dyDescent="0.2">
      <c r="A2877" s="4" t="s">
        <v>1</v>
      </c>
      <c r="B2877" s="3" t="str">
        <f>HYPERLINK("https://otsuka-europe-crm.veevavault.com/ui/#object/approved_document__v/V5OZ025E82TFUPI", "Spain - HCP Survey Email - June 2025")</f>
        <v>Spain - HCP Survey Email - June 2025</v>
      </c>
      <c r="C2877" s="3" t="str">
        <f>HYPERLINK("https://otsuka-europe-crm.veevavault.com/ui/#object/sent_email__v/VBLZ025E82GMZUR", "SE-000269989")</f>
        <v>SE-000269989</v>
      </c>
      <c r="D2877" s="1" t="s">
        <v>0</v>
      </c>
      <c r="E2877" s="2">
        <v>0</v>
      </c>
      <c r="F2877" s="2">
        <v>0</v>
      </c>
      <c r="G2877" s="2">
        <v>0</v>
      </c>
      <c r="H2877" s="1" t="s">
        <v>0</v>
      </c>
      <c r="I2877" s="2">
        <v>0</v>
      </c>
      <c r="J2877" s="1">
        <v>45915.378935185188</v>
      </c>
    </row>
    <row r="2878" spans="1:10" x14ac:dyDescent="0.2">
      <c r="A2878" s="4" t="s">
        <v>1</v>
      </c>
      <c r="B2878" s="3" t="str">
        <f>HYPERLINK("https://otsuka-europe-crm.veevavault.com/ui/#object/approved_document__v/V5OZ025E82TFUPI", "Spain - HCP Survey Email - June 2025")</f>
        <v>Spain - HCP Survey Email - June 2025</v>
      </c>
      <c r="C2878" s="3" t="str">
        <f>HYPERLINK("https://otsuka-europe-crm.veevavault.com/ui/#object/sent_email__v/VBLZ025E82GMZUS", "SE-000269990")</f>
        <v>SE-000269990</v>
      </c>
      <c r="D2878" s="1">
        <v>45915.895381944443</v>
      </c>
      <c r="E2878" s="2">
        <v>1</v>
      </c>
      <c r="F2878" s="2">
        <v>1</v>
      </c>
      <c r="G2878" s="2">
        <v>0</v>
      </c>
      <c r="H2878" s="1" t="s">
        <v>0</v>
      </c>
      <c r="I2878" s="2">
        <v>0</v>
      </c>
      <c r="J2878" s="1">
        <v>45915.378657407404</v>
      </c>
    </row>
    <row r="2879" spans="1:10" x14ac:dyDescent="0.2">
      <c r="A2879" s="4" t="s">
        <v>1</v>
      </c>
      <c r="B2879" s="3" t="str">
        <f>HYPERLINK("https://otsuka-europe-crm.veevavault.com/ui/#object/approved_document__v/V5OZ025E82TFUPI", "Spain - HCP Survey Email - June 2025")</f>
        <v>Spain - HCP Survey Email - June 2025</v>
      </c>
      <c r="C2879" s="3" t="str">
        <f>HYPERLINK("https://otsuka-europe-crm.veevavault.com/ui/#object/sent_email__v/VBLZ025E82GMZUT", "SE-000269991")</f>
        <v>SE-000269991</v>
      </c>
      <c r="D2879" s="1" t="s">
        <v>0</v>
      </c>
      <c r="E2879" s="2">
        <v>0</v>
      </c>
      <c r="F2879" s="2">
        <v>0</v>
      </c>
      <c r="G2879" s="2">
        <v>0</v>
      </c>
      <c r="H2879" s="1" t="s">
        <v>0</v>
      </c>
      <c r="I2879" s="2">
        <v>0</v>
      </c>
      <c r="J2879" s="1">
        <v>45915.379247685189</v>
      </c>
    </row>
    <row r="2880" spans="1:10" x14ac:dyDescent="0.2">
      <c r="A2880" s="4" t="s">
        <v>1</v>
      </c>
      <c r="B2880" s="3" t="str">
        <f>HYPERLINK("https://otsuka-europe-crm.veevavault.com/ui/#object/approved_document__v/V5OZ025E82TFUPI", "Spain - HCP Survey Email - June 2025")</f>
        <v>Spain - HCP Survey Email - June 2025</v>
      </c>
      <c r="C2880" s="3" t="str">
        <f>HYPERLINK("https://otsuka-europe-crm.veevavault.com/ui/#object/sent_email__v/VBLZ025E82GMZUU", "SE-000269992")</f>
        <v>SE-000269992</v>
      </c>
      <c r="D2880" s="1">
        <v>45915.776412037034</v>
      </c>
      <c r="E2880" s="2">
        <v>1</v>
      </c>
      <c r="F2880" s="2">
        <v>1</v>
      </c>
      <c r="G2880" s="2">
        <v>1</v>
      </c>
      <c r="H2880" s="1">
        <v>45915.776562500003</v>
      </c>
      <c r="I2880" s="2">
        <v>3</v>
      </c>
      <c r="J2880" s="1">
        <v>45915.377824074072</v>
      </c>
    </row>
    <row r="2881" spans="1:10" x14ac:dyDescent="0.2">
      <c r="A2881" s="4" t="s">
        <v>1</v>
      </c>
      <c r="B2881" s="3" t="str">
        <f>HYPERLINK("https://otsuka-europe-crm.veevavault.com/ui/#object/approved_document__v/V5OZ025E82TFUPI", "Spain - HCP Survey Email - June 2025")</f>
        <v>Spain - HCP Survey Email - June 2025</v>
      </c>
      <c r="C2881" s="3" t="str">
        <f>HYPERLINK("https://otsuka-europe-crm.veevavault.com/ui/#object/sent_email__v/VBLZ025E82GMZUV", "SE-000269993")</f>
        <v>SE-000269993</v>
      </c>
      <c r="D2881" s="1" t="s">
        <v>0</v>
      </c>
      <c r="E2881" s="2">
        <v>0</v>
      </c>
      <c r="F2881" s="2">
        <v>0</v>
      </c>
      <c r="G2881" s="2">
        <v>0</v>
      </c>
      <c r="H2881" s="1" t="s">
        <v>0</v>
      </c>
      <c r="I2881" s="2">
        <v>0</v>
      </c>
      <c r="J2881" s="1">
        <v>45915.378321759257</v>
      </c>
    </row>
    <row r="2882" spans="1:10" x14ac:dyDescent="0.2">
      <c r="A2882" s="4" t="s">
        <v>1</v>
      </c>
      <c r="B2882" s="3" t="str">
        <f>HYPERLINK("https://otsuka-europe-crm.veevavault.com/ui/#object/approved_document__v/V5OZ025E82TFUPI", "Spain - HCP Survey Email - June 2025")</f>
        <v>Spain - HCP Survey Email - June 2025</v>
      </c>
      <c r="C2882" s="3" t="str">
        <f>HYPERLINK("https://otsuka-europe-crm.veevavault.com/ui/#object/sent_email__v/VBLZ025E82GMZUW", "SE-000269994")</f>
        <v>SE-000269994</v>
      </c>
      <c r="D2882" s="1">
        <v>45969.568333333336</v>
      </c>
      <c r="E2882" s="2">
        <v>1</v>
      </c>
      <c r="F2882" s="2">
        <v>2</v>
      </c>
      <c r="G2882" s="2">
        <v>0</v>
      </c>
      <c r="H2882" s="1" t="s">
        <v>0</v>
      </c>
      <c r="I2882" s="2">
        <v>0</v>
      </c>
      <c r="J2882" s="1">
        <v>45915.378159722219</v>
      </c>
    </row>
    <row r="2883" spans="1:10" x14ac:dyDescent="0.2">
      <c r="A2883" s="4" t="s">
        <v>1</v>
      </c>
      <c r="B2883" s="3" t="str">
        <f>HYPERLINK("https://otsuka-europe-crm.veevavault.com/ui/#object/approved_document__v/V5OZ025E82TFUPI", "Spain - HCP Survey Email - June 2025")</f>
        <v>Spain - HCP Survey Email - June 2025</v>
      </c>
      <c r="C2883" s="3" t="str">
        <f>HYPERLINK("https://otsuka-europe-crm.veevavault.com/ui/#object/sent_email__v/VBLZ025E82GMZUX", "SE-000269995")</f>
        <v>SE-000269995</v>
      </c>
      <c r="D2883" s="1">
        <v>45915.38208333333</v>
      </c>
      <c r="E2883" s="2">
        <v>1</v>
      </c>
      <c r="F2883" s="2">
        <v>2</v>
      </c>
      <c r="G2883" s="2">
        <v>0</v>
      </c>
      <c r="H2883" s="1" t="s">
        <v>0</v>
      </c>
      <c r="I2883" s="2">
        <v>0</v>
      </c>
      <c r="J2883" s="1">
        <v>45915.37871527778</v>
      </c>
    </row>
    <row r="2884" spans="1:10" x14ac:dyDescent="0.2">
      <c r="A2884" s="4" t="s">
        <v>1</v>
      </c>
      <c r="B2884" s="3" t="str">
        <f>HYPERLINK("https://otsuka-europe-crm.veevavault.com/ui/#object/approved_document__v/V5OZ025E82TFUPI", "Spain - HCP Survey Email - June 2025")</f>
        <v>Spain - HCP Survey Email - June 2025</v>
      </c>
      <c r="C2884" s="3" t="str">
        <f>HYPERLINK("https://otsuka-europe-crm.veevavault.com/ui/#object/sent_email__v/VBLZ025E82GMZUY", "SE-000269996")</f>
        <v>SE-000269996</v>
      </c>
      <c r="D2884" s="1" t="s">
        <v>0</v>
      </c>
      <c r="E2884" s="2">
        <v>0</v>
      </c>
      <c r="F2884" s="2">
        <v>0</v>
      </c>
      <c r="G2884" s="2">
        <v>0</v>
      </c>
      <c r="H2884" s="1" t="s">
        <v>0</v>
      </c>
      <c r="I2884" s="2">
        <v>0</v>
      </c>
      <c r="J2884" s="1">
        <v>45915.379976851851</v>
      </c>
    </row>
    <row r="2885" spans="1:10" x14ac:dyDescent="0.2">
      <c r="A2885" s="4" t="s">
        <v>1</v>
      </c>
      <c r="B2885" s="3" t="str">
        <f>HYPERLINK("https://otsuka-europe-crm.veevavault.com/ui/#object/approved_document__v/V5OZ025E82TFUPI", "Spain - HCP Survey Email - June 2025")</f>
        <v>Spain - HCP Survey Email - June 2025</v>
      </c>
      <c r="C2885" s="3" t="str">
        <f>HYPERLINK("https://otsuka-europe-crm.veevavault.com/ui/#object/sent_email__v/VBLZ025E82GMZUZ", "SE-000269997")</f>
        <v>SE-000269997</v>
      </c>
      <c r="D2885" s="1" t="s">
        <v>0</v>
      </c>
      <c r="E2885" s="2">
        <v>0</v>
      </c>
      <c r="F2885" s="2">
        <v>0</v>
      </c>
      <c r="G2885" s="2">
        <v>0</v>
      </c>
      <c r="H2885" s="1" t="s">
        <v>0</v>
      </c>
      <c r="I2885" s="2">
        <v>0</v>
      </c>
      <c r="J2885" s="1">
        <v>45915.379340277781</v>
      </c>
    </row>
    <row r="2886" spans="1:10" x14ac:dyDescent="0.2">
      <c r="A2886" s="4" t="s">
        <v>1</v>
      </c>
      <c r="B2886" s="3" t="str">
        <f>HYPERLINK("https://otsuka-europe-crm.veevavault.com/ui/#object/approved_document__v/V5OZ025E82TFUPI", "Spain - HCP Survey Email - June 2025")</f>
        <v>Spain - HCP Survey Email - June 2025</v>
      </c>
      <c r="C2886" s="3" t="str">
        <f>HYPERLINK("https://otsuka-europe-crm.veevavault.com/ui/#object/sent_email__v/VBLZ025E82GMZV0", "SE-000269998")</f>
        <v>SE-000269998</v>
      </c>
      <c r="D2886" s="1" t="s">
        <v>0</v>
      </c>
      <c r="E2886" s="2">
        <v>0</v>
      </c>
      <c r="F2886" s="2">
        <v>0</v>
      </c>
      <c r="G2886" s="2">
        <v>0</v>
      </c>
      <c r="H2886" s="1" t="s">
        <v>0</v>
      </c>
      <c r="I2886" s="2">
        <v>0</v>
      </c>
      <c r="J2886" s="1">
        <v>45915.377465277779</v>
      </c>
    </row>
    <row r="2887" spans="1:10" x14ac:dyDescent="0.2">
      <c r="A2887" s="4" t="s">
        <v>1</v>
      </c>
      <c r="B2887" s="3" t="str">
        <f>HYPERLINK("https://otsuka-europe-crm.veevavault.com/ui/#object/approved_document__v/V5OZ025E82TFUPI", "Spain - HCP Survey Email - June 2025")</f>
        <v>Spain - HCP Survey Email - June 2025</v>
      </c>
      <c r="C2887" s="3" t="str">
        <f>HYPERLINK("https://otsuka-europe-crm.veevavault.com/ui/#object/sent_email__v/VBLZ025E82GMZV1", "SE-000269999")</f>
        <v>SE-000269999</v>
      </c>
      <c r="D2887" s="1" t="s">
        <v>0</v>
      </c>
      <c r="E2887" s="2">
        <v>0</v>
      </c>
      <c r="F2887" s="2">
        <v>0</v>
      </c>
      <c r="G2887" s="2">
        <v>0</v>
      </c>
      <c r="H2887" s="1" t="s">
        <v>0</v>
      </c>
      <c r="I2887" s="2">
        <v>0</v>
      </c>
      <c r="J2887" s="1">
        <v>45915.378437500003</v>
      </c>
    </row>
    <row r="2888" spans="1:10" x14ac:dyDescent="0.2">
      <c r="A2888" s="4" t="s">
        <v>1</v>
      </c>
      <c r="B2888" s="3" t="str">
        <f>HYPERLINK("https://otsuka-europe-crm.veevavault.com/ui/#object/approved_document__v/V5OZ025E82TFUPI", "Spain - HCP Survey Email - June 2025")</f>
        <v>Spain - HCP Survey Email - June 2025</v>
      </c>
      <c r="C2888" s="3" t="str">
        <f>HYPERLINK("https://otsuka-europe-crm.veevavault.com/ui/#object/sent_email__v/VBLZ025E82GMZV2", "SE-000270000")</f>
        <v>SE-000270000</v>
      </c>
      <c r="D2888" s="1" t="s">
        <v>0</v>
      </c>
      <c r="E2888" s="2">
        <v>0</v>
      </c>
      <c r="F2888" s="2">
        <v>0</v>
      </c>
      <c r="G2888" s="2">
        <v>0</v>
      </c>
      <c r="H2888" s="1" t="s">
        <v>0</v>
      </c>
      <c r="I2888" s="2">
        <v>0</v>
      </c>
      <c r="J2888" s="1">
        <v>45915.378877314812</v>
      </c>
    </row>
    <row r="2889" spans="1:10" x14ac:dyDescent="0.2">
      <c r="A2889" s="4" t="s">
        <v>1</v>
      </c>
      <c r="B2889" s="3" t="str">
        <f>HYPERLINK("https://otsuka-europe-crm.veevavault.com/ui/#object/approved_document__v/V5OZ025E82TFUPI", "Spain - HCP Survey Email - June 2025")</f>
        <v>Spain - HCP Survey Email - June 2025</v>
      </c>
      <c r="C2889" s="3" t="str">
        <f>HYPERLINK("https://otsuka-europe-crm.veevavault.com/ui/#object/sent_email__v/VBLZ025E82GMZV3", "SE-000270001")</f>
        <v>SE-000270001</v>
      </c>
      <c r="D2889" s="1">
        <v>45916.715416666666</v>
      </c>
      <c r="E2889" s="2">
        <v>1</v>
      </c>
      <c r="F2889" s="2">
        <v>2</v>
      </c>
      <c r="G2889" s="2">
        <v>0</v>
      </c>
      <c r="H2889" s="1" t="s">
        <v>0</v>
      </c>
      <c r="I2889" s="2">
        <v>0</v>
      </c>
      <c r="J2889" s="1">
        <v>45915.378645833334</v>
      </c>
    </row>
    <row r="2890" spans="1:10" x14ac:dyDescent="0.2">
      <c r="A2890" s="4" t="s">
        <v>1</v>
      </c>
      <c r="B2890" s="3" t="str">
        <f>HYPERLINK("https://otsuka-europe-crm.veevavault.com/ui/#object/approved_document__v/V5OZ025E82TFUPI", "Spain - HCP Survey Email - June 2025")</f>
        <v>Spain - HCP Survey Email - June 2025</v>
      </c>
      <c r="C2890" s="3" t="str">
        <f>HYPERLINK("https://otsuka-europe-crm.veevavault.com/ui/#object/sent_email__v/VBLZ025E82GMZV4", "SE-000270002")</f>
        <v>SE-000270002</v>
      </c>
      <c r="D2890" s="1" t="s">
        <v>0</v>
      </c>
      <c r="E2890" s="2">
        <v>0</v>
      </c>
      <c r="F2890" s="2">
        <v>0</v>
      </c>
      <c r="G2890" s="2">
        <v>0</v>
      </c>
      <c r="H2890" s="1" t="s">
        <v>0</v>
      </c>
      <c r="I2890" s="2">
        <v>0</v>
      </c>
      <c r="J2890" s="1">
        <v>45915.379143518519</v>
      </c>
    </row>
    <row r="2891" spans="1:10" x14ac:dyDescent="0.2">
      <c r="A2891" s="4" t="s">
        <v>1</v>
      </c>
      <c r="B2891" s="3" t="str">
        <f>HYPERLINK("https://otsuka-europe-crm.veevavault.com/ui/#object/approved_document__v/V5OZ025E82TFUPI", "Spain - HCP Survey Email - June 2025")</f>
        <v>Spain - HCP Survey Email - June 2025</v>
      </c>
      <c r="C2891" s="3" t="str">
        <f>HYPERLINK("https://otsuka-europe-crm.veevavault.com/ui/#object/sent_email__v/VBLZ025E82GMZV6", "SE-000270004")</f>
        <v>SE-000270004</v>
      </c>
      <c r="D2891" s="1">
        <v>45915.904421296298</v>
      </c>
      <c r="E2891" s="2">
        <v>1</v>
      </c>
      <c r="F2891" s="2">
        <v>1</v>
      </c>
      <c r="G2891" s="2">
        <v>0</v>
      </c>
      <c r="H2891" s="1" t="s">
        <v>0</v>
      </c>
      <c r="I2891" s="2">
        <v>0</v>
      </c>
      <c r="J2891" s="1">
        <v>45915.378240740742</v>
      </c>
    </row>
    <row r="2892" spans="1:10" x14ac:dyDescent="0.2">
      <c r="A2892" s="4" t="s">
        <v>1</v>
      </c>
      <c r="B2892" s="3" t="str">
        <f>HYPERLINK("https://otsuka-europe-crm.veevavault.com/ui/#object/approved_document__v/V5OZ025E82TFUPI", "Spain - HCP Survey Email - June 2025")</f>
        <v>Spain - HCP Survey Email - June 2025</v>
      </c>
      <c r="C2892" s="3" t="str">
        <f>HYPERLINK("https://otsuka-europe-crm.veevavault.com/ui/#object/sent_email__v/VBLZ025E82GMZV7", "SE-000270005")</f>
        <v>SE-000270005</v>
      </c>
      <c r="D2892" s="1" t="s">
        <v>0</v>
      </c>
      <c r="E2892" s="2">
        <v>0</v>
      </c>
      <c r="F2892" s="2">
        <v>0</v>
      </c>
      <c r="G2892" s="2">
        <v>0</v>
      </c>
      <c r="H2892" s="1" t="s">
        <v>0</v>
      </c>
      <c r="I2892" s="2">
        <v>0</v>
      </c>
      <c r="J2892" s="1">
        <v>45915.378171296295</v>
      </c>
    </row>
    <row r="2893" spans="1:10" x14ac:dyDescent="0.2">
      <c r="A2893" s="4" t="s">
        <v>1</v>
      </c>
      <c r="B2893" s="3" t="str">
        <f>HYPERLINK("https://otsuka-europe-crm.veevavault.com/ui/#object/approved_document__v/V5OZ025E82TFUPI", "Spain - HCP Survey Email - June 2025")</f>
        <v>Spain - HCP Survey Email - June 2025</v>
      </c>
      <c r="C2893" s="3" t="str">
        <f>HYPERLINK("https://otsuka-europe-crm.veevavault.com/ui/#object/sent_email__v/VBLZ025E82GMZV8", "SE-000270006")</f>
        <v>SE-000270006</v>
      </c>
      <c r="D2893" s="1">
        <v>45915.513009259259</v>
      </c>
      <c r="E2893" s="2">
        <v>1</v>
      </c>
      <c r="F2893" s="2">
        <v>1</v>
      </c>
      <c r="G2893" s="2">
        <v>0</v>
      </c>
      <c r="H2893" s="1" t="s">
        <v>0</v>
      </c>
      <c r="I2893" s="2">
        <v>0</v>
      </c>
      <c r="J2893" s="1">
        <v>45915.378645833334</v>
      </c>
    </row>
    <row r="2894" spans="1:10" x14ac:dyDescent="0.2">
      <c r="A2894" s="4" t="s">
        <v>1</v>
      </c>
      <c r="B2894" s="3" t="str">
        <f>HYPERLINK("https://otsuka-europe-crm.veevavault.com/ui/#object/approved_document__v/V5OZ025E82TFUPI", "Spain - HCP Survey Email - June 2025")</f>
        <v>Spain - HCP Survey Email - June 2025</v>
      </c>
      <c r="C2894" s="3" t="str">
        <f>HYPERLINK("https://otsuka-europe-crm.veevavault.com/ui/#object/sent_email__v/VBLZ025E82GMZV9", "SE-000270007")</f>
        <v>SE-000270007</v>
      </c>
      <c r="D2894" s="1">
        <v>45918.654224537036</v>
      </c>
      <c r="E2894" s="2">
        <v>1</v>
      </c>
      <c r="F2894" s="2">
        <v>5</v>
      </c>
      <c r="G2894" s="2">
        <v>0</v>
      </c>
      <c r="H2894" s="1" t="s">
        <v>0</v>
      </c>
      <c r="I2894" s="2">
        <v>0</v>
      </c>
      <c r="J2894" s="1">
        <v>45915.379895833335</v>
      </c>
    </row>
    <row r="2895" spans="1:10" x14ac:dyDescent="0.2">
      <c r="A2895" s="4" t="s">
        <v>1</v>
      </c>
      <c r="B2895" s="3" t="str">
        <f>HYPERLINK("https://otsuka-europe-crm.veevavault.com/ui/#object/approved_document__v/V5OZ025E82TFUPI", "Spain - HCP Survey Email - June 2025")</f>
        <v>Spain - HCP Survey Email - June 2025</v>
      </c>
      <c r="C2895" s="3" t="str">
        <f>HYPERLINK("https://otsuka-europe-crm.veevavault.com/ui/#object/sent_email__v/VBLZ025E82GMZVA", "SE-000270008")</f>
        <v>SE-000270008</v>
      </c>
      <c r="D2895" s="1">
        <v>45917.636273148149</v>
      </c>
      <c r="E2895" s="2">
        <v>1</v>
      </c>
      <c r="F2895" s="2">
        <v>5</v>
      </c>
      <c r="G2895" s="2">
        <v>0</v>
      </c>
      <c r="H2895" s="1" t="s">
        <v>0</v>
      </c>
      <c r="I2895" s="2">
        <v>0</v>
      </c>
      <c r="J2895" s="1">
        <v>45915.379293981481</v>
      </c>
    </row>
    <row r="2896" spans="1:10" x14ac:dyDescent="0.2">
      <c r="A2896" s="4" t="s">
        <v>1</v>
      </c>
      <c r="B2896" s="3" t="str">
        <f>HYPERLINK("https://otsuka-europe-crm.veevavault.com/ui/#object/approved_document__v/V5OZ025E82TFUPI", "Spain - HCP Survey Email - June 2025")</f>
        <v>Spain - HCP Survey Email - June 2025</v>
      </c>
      <c r="C2896" s="3" t="str">
        <f>HYPERLINK("https://otsuka-europe-crm.veevavault.com/ui/#object/sent_email__v/VBLZ025E82GMZVB", "SE-000270009")</f>
        <v>SE-000270009</v>
      </c>
      <c r="D2896" s="1" t="s">
        <v>0</v>
      </c>
      <c r="E2896" s="2">
        <v>0</v>
      </c>
      <c r="F2896" s="2">
        <v>0</v>
      </c>
      <c r="G2896" s="2">
        <v>0</v>
      </c>
      <c r="H2896" s="1" t="s">
        <v>0</v>
      </c>
      <c r="I2896" s="2">
        <v>0</v>
      </c>
      <c r="J2896" s="1">
        <v>45915.377372685187</v>
      </c>
    </row>
    <row r="2897" spans="1:10" x14ac:dyDescent="0.2">
      <c r="A2897" s="4" t="s">
        <v>1</v>
      </c>
      <c r="B2897" s="3" t="str">
        <f>HYPERLINK("https://otsuka-europe-crm.veevavault.com/ui/#object/approved_document__v/V5OZ025E82TFUPI", "Spain - HCP Survey Email - June 2025")</f>
        <v>Spain - HCP Survey Email - June 2025</v>
      </c>
      <c r="C2897" s="3" t="str">
        <f>HYPERLINK("https://otsuka-europe-crm.veevavault.com/ui/#object/sent_email__v/VBLZ025E82GMZVC", "SE-000270010")</f>
        <v>SE-000270010</v>
      </c>
      <c r="D2897" s="1" t="s">
        <v>0</v>
      </c>
      <c r="E2897" s="2">
        <v>0</v>
      </c>
      <c r="F2897" s="2">
        <v>0</v>
      </c>
      <c r="G2897" s="2">
        <v>0</v>
      </c>
      <c r="H2897" s="1" t="s">
        <v>0</v>
      </c>
      <c r="I2897" s="2">
        <v>0</v>
      </c>
      <c r="J2897" s="1">
        <v>45915.378437500003</v>
      </c>
    </row>
    <row r="2898" spans="1:10" x14ac:dyDescent="0.2">
      <c r="A2898" s="4" t="s">
        <v>1</v>
      </c>
      <c r="B2898" s="3" t="str">
        <f>HYPERLINK("https://otsuka-europe-crm.veevavault.com/ui/#object/approved_document__v/V5OZ025E82TFUPI", "Spain - HCP Survey Email - June 2025")</f>
        <v>Spain - HCP Survey Email - June 2025</v>
      </c>
      <c r="C2898" s="3" t="str">
        <f>HYPERLINK("https://otsuka-europe-crm.veevavault.com/ui/#object/sent_email__v/VBLZ025E82GMZVD", "SE-000270011")</f>
        <v>SE-000270011</v>
      </c>
      <c r="D2898" s="1" t="s">
        <v>0</v>
      </c>
      <c r="E2898" s="2">
        <v>0</v>
      </c>
      <c r="F2898" s="2">
        <v>0</v>
      </c>
      <c r="G2898" s="2">
        <v>0</v>
      </c>
      <c r="H2898" s="1" t="s">
        <v>0</v>
      </c>
      <c r="I2898" s="2">
        <v>0</v>
      </c>
      <c r="J2898" s="1">
        <v>45915.378865740742</v>
      </c>
    </row>
    <row r="2899" spans="1:10" x14ac:dyDescent="0.2">
      <c r="A2899" s="4" t="s">
        <v>1</v>
      </c>
      <c r="B2899" s="3" t="str">
        <f>HYPERLINK("https://otsuka-europe-crm.veevavault.com/ui/#object/approved_document__v/V5OZ025E82TFUPI", "Spain - HCP Survey Email - June 2025")</f>
        <v>Spain - HCP Survey Email - June 2025</v>
      </c>
      <c r="C2899" s="3" t="str">
        <f>HYPERLINK("https://otsuka-europe-crm.veevavault.com/ui/#object/sent_email__v/VBLZ025E82GMZVE", "SE-000270012")</f>
        <v>SE-000270012</v>
      </c>
      <c r="D2899" s="1" t="s">
        <v>0</v>
      </c>
      <c r="E2899" s="2">
        <v>0</v>
      </c>
      <c r="F2899" s="2">
        <v>0</v>
      </c>
      <c r="G2899" s="2">
        <v>0</v>
      </c>
      <c r="H2899" s="1" t="s">
        <v>0</v>
      </c>
      <c r="I2899" s="2">
        <v>0</v>
      </c>
      <c r="J2899" s="1">
        <v>45915.378842592596</v>
      </c>
    </row>
    <row r="2900" spans="1:10" x14ac:dyDescent="0.2">
      <c r="A2900" s="4" t="s">
        <v>1</v>
      </c>
      <c r="B2900" s="3" t="str">
        <f>HYPERLINK("https://otsuka-europe-crm.veevavault.com/ui/#object/approved_document__v/V5OZ025E82TFUPI", "Spain - HCP Survey Email - June 2025")</f>
        <v>Spain - HCP Survey Email - June 2025</v>
      </c>
      <c r="C2900" s="3" t="str">
        <f>HYPERLINK("https://otsuka-europe-crm.veevavault.com/ui/#object/sent_email__v/VBLZ025E82GMZVF", "SE-000270013")</f>
        <v>SE-000270013</v>
      </c>
      <c r="D2900" s="1" t="s">
        <v>0</v>
      </c>
      <c r="E2900" s="2">
        <v>0</v>
      </c>
      <c r="F2900" s="2">
        <v>0</v>
      </c>
      <c r="G2900" s="2">
        <v>0</v>
      </c>
      <c r="H2900" s="1" t="s">
        <v>0</v>
      </c>
      <c r="I2900" s="2">
        <v>0</v>
      </c>
      <c r="J2900" s="1">
        <v>45915.379155092596</v>
      </c>
    </row>
    <row r="2901" spans="1:10" x14ac:dyDescent="0.2">
      <c r="A2901" s="4" t="s">
        <v>1</v>
      </c>
      <c r="B2901" s="3" t="str">
        <f>HYPERLINK("https://otsuka-europe-crm.veevavault.com/ui/#object/approved_document__v/V5OZ025E82TFUPI", "Spain - HCP Survey Email - June 2025")</f>
        <v>Spain - HCP Survey Email - June 2025</v>
      </c>
      <c r="C2901" s="3" t="str">
        <f>HYPERLINK("https://otsuka-europe-crm.veevavault.com/ui/#object/sent_email__v/VBLZ025E82GMZVG", "SE-000270014")</f>
        <v>SE-000270014</v>
      </c>
      <c r="D2901" s="1">
        <v>45915.383912037039</v>
      </c>
      <c r="E2901" s="2">
        <v>1</v>
      </c>
      <c r="F2901" s="2">
        <v>1</v>
      </c>
      <c r="G2901" s="2">
        <v>0</v>
      </c>
      <c r="H2901" s="1" t="s">
        <v>0</v>
      </c>
      <c r="I2901" s="2">
        <v>0</v>
      </c>
      <c r="J2901" s="1">
        <v>45915.377824074072</v>
      </c>
    </row>
    <row r="2902" spans="1:10" x14ac:dyDescent="0.2">
      <c r="A2902" s="4" t="s">
        <v>1</v>
      </c>
      <c r="B2902" s="3" t="str">
        <f>HYPERLINK("https://otsuka-europe-crm.veevavault.com/ui/#object/approved_document__v/V5OZ025E82TFUPI", "Spain - HCP Survey Email - June 2025")</f>
        <v>Spain - HCP Survey Email - June 2025</v>
      </c>
      <c r="C2902" s="3" t="str">
        <f>HYPERLINK("https://otsuka-europe-crm.veevavault.com/ui/#object/sent_email__v/VBLZ025E82GMZVH", "SE-000270015")</f>
        <v>SE-000270015</v>
      </c>
      <c r="D2902" s="1" t="s">
        <v>0</v>
      </c>
      <c r="E2902" s="2">
        <v>0</v>
      </c>
      <c r="F2902" s="2">
        <v>0</v>
      </c>
      <c r="G2902" s="2">
        <v>0</v>
      </c>
      <c r="H2902" s="1" t="s">
        <v>0</v>
      </c>
      <c r="I2902" s="2">
        <v>0</v>
      </c>
      <c r="J2902" s="1">
        <v>45915.378263888888</v>
      </c>
    </row>
    <row r="2903" spans="1:10" x14ac:dyDescent="0.2">
      <c r="A2903" s="4" t="s">
        <v>1</v>
      </c>
      <c r="B2903" s="3" t="str">
        <f>HYPERLINK("https://otsuka-europe-crm.veevavault.com/ui/#object/approved_document__v/V5OZ025E82TFUPI", "Spain - HCP Survey Email - June 2025")</f>
        <v>Spain - HCP Survey Email - June 2025</v>
      </c>
      <c r="C2903" s="3" t="str">
        <f>HYPERLINK("https://otsuka-europe-crm.veevavault.com/ui/#object/sent_email__v/VBLZ025E82GMZVI", "SE-000270016")</f>
        <v>SE-000270016</v>
      </c>
      <c r="D2903" s="1" t="s">
        <v>0</v>
      </c>
      <c r="E2903" s="2">
        <v>0</v>
      </c>
      <c r="F2903" s="2">
        <v>0</v>
      </c>
      <c r="G2903" s="2">
        <v>0</v>
      </c>
      <c r="H2903" s="1" t="s">
        <v>0</v>
      </c>
      <c r="I2903" s="2">
        <v>0</v>
      </c>
      <c r="J2903" s="1">
        <v>45915.378692129627</v>
      </c>
    </row>
    <row r="2904" spans="1:10" x14ac:dyDescent="0.2">
      <c r="A2904" s="4" t="s">
        <v>1</v>
      </c>
      <c r="B2904" s="3" t="str">
        <f>HYPERLINK("https://otsuka-europe-crm.veevavault.com/ui/#object/approved_document__v/V5OZ025E82TFUPI", "Spain - HCP Survey Email - June 2025")</f>
        <v>Spain - HCP Survey Email - June 2025</v>
      </c>
      <c r="C2904" s="3" t="str">
        <f>HYPERLINK("https://otsuka-europe-crm.veevavault.com/ui/#object/sent_email__v/VBLZ025E82GMZVJ", "SE-000270017")</f>
        <v>SE-000270017</v>
      </c>
      <c r="D2904" s="1" t="s">
        <v>0</v>
      </c>
      <c r="E2904" s="2">
        <v>0</v>
      </c>
      <c r="F2904" s="2">
        <v>0</v>
      </c>
      <c r="G2904" s="2">
        <v>0</v>
      </c>
      <c r="H2904" s="1" t="s">
        <v>0</v>
      </c>
      <c r="I2904" s="2">
        <v>0</v>
      </c>
      <c r="J2904" s="1">
        <v>45915.379062499997</v>
      </c>
    </row>
    <row r="2905" spans="1:10" x14ac:dyDescent="0.2">
      <c r="A2905" s="4" t="s">
        <v>1</v>
      </c>
      <c r="B2905" s="3" t="str">
        <f>HYPERLINK("https://otsuka-europe-crm.veevavault.com/ui/#object/approved_document__v/V5OZ025E82TFUPI", "Spain - HCP Survey Email - June 2025")</f>
        <v>Spain - HCP Survey Email - June 2025</v>
      </c>
      <c r="C2905" s="3" t="str">
        <f>HYPERLINK("https://otsuka-europe-crm.veevavault.com/ui/#object/sent_email__v/VBLZ025E82GMZVK", "SE-000270018")</f>
        <v>SE-000270018</v>
      </c>
      <c r="D2905" s="1" t="s">
        <v>0</v>
      </c>
      <c r="E2905" s="2">
        <v>0</v>
      </c>
      <c r="F2905" s="2">
        <v>0</v>
      </c>
      <c r="G2905" s="2">
        <v>0</v>
      </c>
      <c r="H2905" s="1" t="s">
        <v>0</v>
      </c>
      <c r="I2905" s="2">
        <v>0</v>
      </c>
      <c r="J2905" s="1">
        <v>45915.377835648149</v>
      </c>
    </row>
    <row r="2906" spans="1:10" x14ac:dyDescent="0.2">
      <c r="A2906" s="4" t="s">
        <v>1</v>
      </c>
      <c r="B2906" s="3" t="str">
        <f>HYPERLINK("https://otsuka-europe-crm.veevavault.com/ui/#object/approved_document__v/V5OZ025E82TFUPI", "Spain - HCP Survey Email - June 2025")</f>
        <v>Spain - HCP Survey Email - June 2025</v>
      </c>
      <c r="C2906" s="3" t="str">
        <f>HYPERLINK("https://otsuka-europe-crm.veevavault.com/ui/#object/sent_email__v/VBLZ025E82GMZVL", "SE-000270019")</f>
        <v>SE-000270019</v>
      </c>
      <c r="D2906" s="1" t="s">
        <v>0</v>
      </c>
      <c r="E2906" s="2">
        <v>0</v>
      </c>
      <c r="F2906" s="2">
        <v>0</v>
      </c>
      <c r="G2906" s="2">
        <v>0</v>
      </c>
      <c r="H2906" s="1" t="s">
        <v>0</v>
      </c>
      <c r="I2906" s="2">
        <v>0</v>
      </c>
      <c r="J2906" s="1">
        <v>45915.378263888888</v>
      </c>
    </row>
    <row r="2907" spans="1:10" x14ac:dyDescent="0.2">
      <c r="A2907" s="4" t="s">
        <v>1</v>
      </c>
      <c r="B2907" s="3" t="str">
        <f>HYPERLINK("https://otsuka-europe-crm.veevavault.com/ui/#object/approved_document__v/V5OZ025E82TFUPI", "Spain - HCP Survey Email - June 2025")</f>
        <v>Spain - HCP Survey Email - June 2025</v>
      </c>
      <c r="C2907" s="3" t="str">
        <f>HYPERLINK("https://otsuka-europe-crm.veevavault.com/ui/#object/sent_email__v/VBLZ025E82GMZVM", "SE-000270020")</f>
        <v>SE-000270020</v>
      </c>
      <c r="D2907" s="1" t="s">
        <v>0</v>
      </c>
      <c r="E2907" s="2">
        <v>0</v>
      </c>
      <c r="F2907" s="2">
        <v>0</v>
      </c>
      <c r="G2907" s="2">
        <v>0</v>
      </c>
      <c r="H2907" s="1" t="s">
        <v>0</v>
      </c>
      <c r="I2907" s="2">
        <v>0</v>
      </c>
      <c r="J2907" s="1">
        <v>45915.378171296295</v>
      </c>
    </row>
    <row r="2908" spans="1:10" x14ac:dyDescent="0.2">
      <c r="A2908" s="4" t="s">
        <v>1</v>
      </c>
      <c r="B2908" s="3" t="str">
        <f>HYPERLINK("https://otsuka-europe-crm.veevavault.com/ui/#object/approved_document__v/V5OZ025E82TFUPI", "Spain - HCP Survey Email - June 2025")</f>
        <v>Spain - HCP Survey Email - June 2025</v>
      </c>
      <c r="C2908" s="3" t="str">
        <f>HYPERLINK("https://otsuka-europe-crm.veevavault.com/ui/#object/sent_email__v/VBLZ025E82GMZVN", "SE-000270021")</f>
        <v>SE-000270021</v>
      </c>
      <c r="D2908" s="1">
        <v>45916.278935185182</v>
      </c>
      <c r="E2908" s="2">
        <v>1</v>
      </c>
      <c r="F2908" s="2">
        <v>1</v>
      </c>
      <c r="G2908" s="2">
        <v>1</v>
      </c>
      <c r="H2908" s="1">
        <v>45916.279583333337</v>
      </c>
      <c r="I2908" s="2">
        <v>2</v>
      </c>
      <c r="J2908" s="1">
        <v>45915.378611111111</v>
      </c>
    </row>
    <row r="2909" spans="1:10" x14ac:dyDescent="0.2">
      <c r="A2909" s="4" t="s">
        <v>1</v>
      </c>
      <c r="B2909" s="3" t="str">
        <f>HYPERLINK("https://otsuka-europe-crm.veevavault.com/ui/#object/approved_document__v/V5OZ025E82TFUPI", "Spain - HCP Survey Email - June 2025")</f>
        <v>Spain - HCP Survey Email - June 2025</v>
      </c>
      <c r="C2909" s="3" t="str">
        <f>HYPERLINK("https://otsuka-europe-crm.veevavault.com/ui/#object/sent_email__v/VBLZ025E82GMZVO", "SE-000270022")</f>
        <v>SE-000270022</v>
      </c>
      <c r="D2909" s="1" t="s">
        <v>0</v>
      </c>
      <c r="E2909" s="2">
        <v>0</v>
      </c>
      <c r="F2909" s="2">
        <v>0</v>
      </c>
      <c r="G2909" s="2">
        <v>0</v>
      </c>
      <c r="H2909" s="1" t="s">
        <v>0</v>
      </c>
      <c r="I2909" s="2">
        <v>0</v>
      </c>
      <c r="J2909" s="1">
        <v>45915.380023148151</v>
      </c>
    </row>
    <row r="2910" spans="1:10" x14ac:dyDescent="0.2">
      <c r="A2910" s="4" t="s">
        <v>1</v>
      </c>
      <c r="B2910" s="3" t="str">
        <f>HYPERLINK("https://otsuka-europe-crm.veevavault.com/ui/#object/approved_document__v/V5OZ025E82TFUPI", "Spain - HCP Survey Email - June 2025")</f>
        <v>Spain - HCP Survey Email - June 2025</v>
      </c>
      <c r="C2910" s="3" t="str">
        <f>HYPERLINK("https://otsuka-europe-crm.veevavault.com/ui/#object/sent_email__v/VBLZ025E82GMZVP", "SE-000270023")</f>
        <v>SE-000270023</v>
      </c>
      <c r="D2910" s="1">
        <v>45939.712291666663</v>
      </c>
      <c r="E2910" s="2">
        <v>1</v>
      </c>
      <c r="F2910" s="2">
        <v>30</v>
      </c>
      <c r="G2910" s="2">
        <v>0</v>
      </c>
      <c r="H2910" s="1" t="s">
        <v>0</v>
      </c>
      <c r="I2910" s="2">
        <v>0</v>
      </c>
      <c r="J2910" s="1">
        <v>45915.379178240742</v>
      </c>
    </row>
    <row r="2911" spans="1:10" x14ac:dyDescent="0.2">
      <c r="A2911" s="4" t="s">
        <v>1</v>
      </c>
      <c r="B2911" s="3" t="str">
        <f>HYPERLINK("https://otsuka-europe-crm.veevavault.com/ui/#object/approved_document__v/V5OZ025E82TFUPI", "Spain - HCP Survey Email - June 2025")</f>
        <v>Spain - HCP Survey Email - June 2025</v>
      </c>
      <c r="C2911" s="3" t="str">
        <f>HYPERLINK("https://otsuka-europe-crm.veevavault.com/ui/#object/sent_email__v/VBLZ025E82GMZVQ", "SE-000270024")</f>
        <v>SE-000270024</v>
      </c>
      <c r="D2911" s="1" t="s">
        <v>0</v>
      </c>
      <c r="E2911" s="2">
        <v>0</v>
      </c>
      <c r="F2911" s="2">
        <v>0</v>
      </c>
      <c r="G2911" s="2">
        <v>0</v>
      </c>
      <c r="H2911" s="1" t="s">
        <v>0</v>
      </c>
      <c r="I2911" s="2">
        <v>0</v>
      </c>
      <c r="J2911" s="1">
        <v>45915.377442129633</v>
      </c>
    </row>
    <row r="2912" spans="1:10" x14ac:dyDescent="0.2">
      <c r="A2912" s="4" t="s">
        <v>1</v>
      </c>
      <c r="B2912" s="3" t="str">
        <f>HYPERLINK("https://otsuka-europe-crm.veevavault.com/ui/#object/approved_document__v/V5OZ025E82TFUPI", "Spain - HCP Survey Email - June 2025")</f>
        <v>Spain - HCP Survey Email - June 2025</v>
      </c>
      <c r="C2912" s="3" t="str">
        <f>HYPERLINK("https://otsuka-europe-crm.veevavault.com/ui/#object/sent_email__v/VBLZ025E82GMZVR", "SE-000270025")</f>
        <v>SE-000270025</v>
      </c>
      <c r="D2912" s="1" t="s">
        <v>0</v>
      </c>
      <c r="E2912" s="2">
        <v>0</v>
      </c>
      <c r="F2912" s="2">
        <v>0</v>
      </c>
      <c r="G2912" s="2">
        <v>0</v>
      </c>
      <c r="H2912" s="1" t="s">
        <v>0</v>
      </c>
      <c r="I2912" s="2">
        <v>0</v>
      </c>
      <c r="J2912" s="1">
        <v>45915.378379629627</v>
      </c>
    </row>
    <row r="2913" spans="1:10" x14ac:dyDescent="0.2">
      <c r="A2913" s="4" t="s">
        <v>1</v>
      </c>
      <c r="B2913" s="3" t="str">
        <f>HYPERLINK("https://otsuka-europe-crm.veevavault.com/ui/#object/approved_document__v/V5OZ025E82TFUPI", "Spain - HCP Survey Email - June 2025")</f>
        <v>Spain - HCP Survey Email - June 2025</v>
      </c>
      <c r="C2913" s="3" t="str">
        <f>HYPERLINK("https://otsuka-europe-crm.veevavault.com/ui/#object/sent_email__v/VBLZ025E82GMZVS", "SE-000270026")</f>
        <v>SE-000270026</v>
      </c>
      <c r="D2913" s="1">
        <v>45915.708240740743</v>
      </c>
      <c r="E2913" s="2">
        <v>1</v>
      </c>
      <c r="F2913" s="2">
        <v>1</v>
      </c>
      <c r="G2913" s="2">
        <v>0</v>
      </c>
      <c r="H2913" s="1" t="s">
        <v>0</v>
      </c>
      <c r="I2913" s="2">
        <v>0</v>
      </c>
      <c r="J2913" s="1">
        <v>45915.378761574073</v>
      </c>
    </row>
    <row r="2914" spans="1:10" x14ac:dyDescent="0.2">
      <c r="A2914" s="4" t="s">
        <v>1</v>
      </c>
      <c r="B2914" s="3" t="str">
        <f>HYPERLINK("https://otsuka-europe-crm.veevavault.com/ui/#object/approved_document__v/V5OZ025E82TFUPI", "Spain - HCP Survey Email - June 2025")</f>
        <v>Spain - HCP Survey Email - June 2025</v>
      </c>
      <c r="C2914" s="3" t="str">
        <f>HYPERLINK("https://otsuka-europe-crm.veevavault.com/ui/#object/sent_email__v/VBLZ025E82GMZVT", "SE-000270027")</f>
        <v>SE-000270027</v>
      </c>
      <c r="D2914" s="1" t="s">
        <v>0</v>
      </c>
      <c r="E2914" s="2">
        <v>0</v>
      </c>
      <c r="F2914" s="2">
        <v>0</v>
      </c>
      <c r="G2914" s="2">
        <v>0</v>
      </c>
      <c r="H2914" s="1" t="s">
        <v>0</v>
      </c>
      <c r="I2914" s="2">
        <v>0</v>
      </c>
      <c r="J2914" s="1">
        <v>45915.37877314815</v>
      </c>
    </row>
    <row r="2915" spans="1:10" x14ac:dyDescent="0.2">
      <c r="A2915" s="4" t="s">
        <v>1</v>
      </c>
      <c r="B2915" s="3" t="str">
        <f>HYPERLINK("https://otsuka-europe-crm.veevavault.com/ui/#object/approved_document__v/V5OZ025E82TFUPI", "Spain - HCP Survey Email - June 2025")</f>
        <v>Spain - HCP Survey Email - June 2025</v>
      </c>
      <c r="C2915" s="3" t="str">
        <f>HYPERLINK("https://otsuka-europe-crm.veevavault.com/ui/#object/sent_email__v/VBLZ025E82GMZVU", "SE-000270028")</f>
        <v>SE-000270028</v>
      </c>
      <c r="D2915" s="1" t="s">
        <v>0</v>
      </c>
      <c r="E2915" s="2">
        <v>0</v>
      </c>
      <c r="F2915" s="2">
        <v>0</v>
      </c>
      <c r="G2915" s="2">
        <v>0</v>
      </c>
      <c r="H2915" s="1" t="s">
        <v>0</v>
      </c>
      <c r="I2915" s="2">
        <v>0</v>
      </c>
      <c r="J2915" s="1">
        <v>45915.379155092596</v>
      </c>
    </row>
    <row r="2916" spans="1:10" x14ac:dyDescent="0.2">
      <c r="A2916" s="4" t="s">
        <v>1</v>
      </c>
      <c r="B2916" s="3" t="str">
        <f>HYPERLINK("https://otsuka-europe-crm.veevavault.com/ui/#object/approved_document__v/V5OZ025E82TFUPI", "Spain - HCP Survey Email - June 2025")</f>
        <v>Spain - HCP Survey Email - June 2025</v>
      </c>
      <c r="C2916" s="3" t="str">
        <f>HYPERLINK("https://otsuka-europe-crm.veevavault.com/ui/#object/sent_email__v/VBLZ025E82GMZVV", "SE-000270029")</f>
        <v>SE-000270029</v>
      </c>
      <c r="D2916" s="1" t="s">
        <v>0</v>
      </c>
      <c r="E2916" s="2">
        <v>0</v>
      </c>
      <c r="F2916" s="2">
        <v>0</v>
      </c>
      <c r="G2916" s="2">
        <v>0</v>
      </c>
      <c r="H2916" s="1" t="s">
        <v>0</v>
      </c>
      <c r="I2916" s="2">
        <v>0</v>
      </c>
      <c r="J2916" s="1">
        <v>45915.377858796295</v>
      </c>
    </row>
    <row r="2917" spans="1:10" x14ac:dyDescent="0.2">
      <c r="A2917" s="4" t="s">
        <v>1</v>
      </c>
      <c r="B2917" s="3" t="str">
        <f>HYPERLINK("https://otsuka-europe-crm.veevavault.com/ui/#object/approved_document__v/V5OZ025E82TFUPI", "Spain - HCP Survey Email - June 2025")</f>
        <v>Spain - HCP Survey Email - June 2025</v>
      </c>
      <c r="C2917" s="3" t="str">
        <f>HYPERLINK("https://otsuka-europe-crm.veevavault.com/ui/#object/sent_email__v/VBLZ025E82GMZVW", "SE-000270030")</f>
        <v>SE-000270030</v>
      </c>
      <c r="D2917" s="1" t="s">
        <v>0</v>
      </c>
      <c r="E2917" s="2">
        <v>0</v>
      </c>
      <c r="F2917" s="2">
        <v>0</v>
      </c>
      <c r="G2917" s="2">
        <v>0</v>
      </c>
      <c r="H2917" s="1" t="s">
        <v>0</v>
      </c>
      <c r="I2917" s="2">
        <v>0</v>
      </c>
      <c r="J2917" s="1">
        <v>45915.378275462965</v>
      </c>
    </row>
    <row r="2918" spans="1:10" x14ac:dyDescent="0.2">
      <c r="A2918" s="4" t="s">
        <v>1</v>
      </c>
      <c r="B2918" s="3" t="str">
        <f>HYPERLINK("https://otsuka-europe-crm.veevavault.com/ui/#object/approved_document__v/V5OZ025E82TFUPI", "Spain - HCP Survey Email - June 2025")</f>
        <v>Spain - HCP Survey Email - June 2025</v>
      </c>
      <c r="C2918" s="3" t="str">
        <f>HYPERLINK("https://otsuka-europe-crm.veevavault.com/ui/#object/sent_email__v/VBLZ025E82GMZVX", "SE-000270031")</f>
        <v>SE-000270031</v>
      </c>
      <c r="D2918" s="1">
        <v>45922.458460648151</v>
      </c>
      <c r="E2918" s="2">
        <v>1</v>
      </c>
      <c r="F2918" s="2">
        <v>2</v>
      </c>
      <c r="G2918" s="2">
        <v>0</v>
      </c>
      <c r="H2918" s="1" t="s">
        <v>0</v>
      </c>
      <c r="I2918" s="2">
        <v>0</v>
      </c>
      <c r="J2918" s="1">
        <v>45915.378240740742</v>
      </c>
    </row>
    <row r="2919" spans="1:10" x14ac:dyDescent="0.2">
      <c r="A2919" s="4" t="s">
        <v>1</v>
      </c>
      <c r="B2919" s="3" t="str">
        <f>HYPERLINK("https://otsuka-europe-crm.veevavault.com/ui/#object/approved_document__v/V5OZ025E82TFUPI", "Spain - HCP Survey Email - June 2025")</f>
        <v>Spain - HCP Survey Email - June 2025</v>
      </c>
      <c r="C2919" s="3" t="str">
        <f>HYPERLINK("https://otsuka-europe-crm.veevavault.com/ui/#object/sent_email__v/VBLZ025E82GMZVY", "SE-000270032")</f>
        <v>SE-000270032</v>
      </c>
      <c r="D2919" s="1">
        <v>45931.430787037039</v>
      </c>
      <c r="E2919" s="2">
        <v>1</v>
      </c>
      <c r="F2919" s="2">
        <v>1</v>
      </c>
      <c r="G2919" s="2">
        <v>1</v>
      </c>
      <c r="H2919" s="1">
        <v>45931.430891203701</v>
      </c>
      <c r="I2919" s="2">
        <v>1</v>
      </c>
      <c r="J2919" s="1">
        <v>45915.378576388888</v>
      </c>
    </row>
    <row r="2920" spans="1:10" x14ac:dyDescent="0.2">
      <c r="A2920" s="4" t="s">
        <v>1</v>
      </c>
      <c r="B2920" s="3" t="str">
        <f>HYPERLINK("https://otsuka-europe-crm.veevavault.com/ui/#object/approved_document__v/V5OZ025E82TFUPI", "Spain - HCP Survey Email - June 2025")</f>
        <v>Spain - HCP Survey Email - June 2025</v>
      </c>
      <c r="C2920" s="3" t="str">
        <f>HYPERLINK("https://otsuka-europe-crm.veevavault.com/ui/#object/sent_email__v/VBLZ025E82GMZVZ", "SE-000270033")</f>
        <v>SE-000270033</v>
      </c>
      <c r="D2920" s="1">
        <v>45915.456134259257</v>
      </c>
      <c r="E2920" s="2">
        <v>1</v>
      </c>
      <c r="F2920" s="2">
        <v>2</v>
      </c>
      <c r="G2920" s="2">
        <v>1</v>
      </c>
      <c r="H2920" s="1">
        <v>45915.455694444441</v>
      </c>
      <c r="I2920" s="2">
        <v>2</v>
      </c>
      <c r="J2920" s="1">
        <v>45915.380046296297</v>
      </c>
    </row>
    <row r="2921" spans="1:10" x14ac:dyDescent="0.2">
      <c r="A2921" s="4" t="s">
        <v>1</v>
      </c>
      <c r="B2921" s="3" t="str">
        <f>HYPERLINK("https://otsuka-europe-crm.veevavault.com/ui/#object/approved_document__v/V5OZ025E82TFUPI", "Spain - HCP Survey Email - June 2025")</f>
        <v>Spain - HCP Survey Email - June 2025</v>
      </c>
      <c r="C2921" s="3" t="str">
        <f>HYPERLINK("https://otsuka-europe-crm.veevavault.com/ui/#object/sent_email__v/VBLZ025E82GMZW0", "SE-000270034")</f>
        <v>SE-000270034</v>
      </c>
      <c r="D2921" s="1">
        <v>45985.561793981484</v>
      </c>
      <c r="E2921" s="2">
        <v>1</v>
      </c>
      <c r="F2921" s="2">
        <v>4</v>
      </c>
      <c r="G2921" s="2">
        <v>0</v>
      </c>
      <c r="H2921" s="1" t="s">
        <v>0</v>
      </c>
      <c r="I2921" s="2">
        <v>0</v>
      </c>
      <c r="J2921" s="1">
        <v>45915.379155092596</v>
      </c>
    </row>
    <row r="2922" spans="1:10" x14ac:dyDescent="0.2">
      <c r="A2922" s="4" t="s">
        <v>1</v>
      </c>
      <c r="B2922" s="3" t="str">
        <f>HYPERLINK("https://otsuka-europe-crm.veevavault.com/ui/#object/approved_document__v/V5OZ025E82TFUPI", "Spain - HCP Survey Email - June 2025")</f>
        <v>Spain - HCP Survey Email - June 2025</v>
      </c>
      <c r="C2922" s="3" t="str">
        <f>HYPERLINK("https://otsuka-europe-crm.veevavault.com/ui/#object/sent_email__v/VBLZ025E82GMZW1", "SE-000270035")</f>
        <v>SE-000270035</v>
      </c>
      <c r="D2922" s="1" t="s">
        <v>0</v>
      </c>
      <c r="E2922" s="2">
        <v>0</v>
      </c>
      <c r="F2922" s="2">
        <v>0</v>
      </c>
      <c r="G2922" s="2">
        <v>0</v>
      </c>
      <c r="H2922" s="1" t="s">
        <v>0</v>
      </c>
      <c r="I2922" s="2">
        <v>0</v>
      </c>
      <c r="J2922" s="1">
        <v>45915.377395833333</v>
      </c>
    </row>
    <row r="2923" spans="1:10" x14ac:dyDescent="0.2">
      <c r="A2923" s="4" t="s">
        <v>1</v>
      </c>
      <c r="B2923" s="3" t="str">
        <f>HYPERLINK("https://otsuka-europe-crm.veevavault.com/ui/#object/approved_document__v/V5OZ025E82TFUPI", "Spain - HCP Survey Email - June 2025")</f>
        <v>Spain - HCP Survey Email - June 2025</v>
      </c>
      <c r="C2923" s="3" t="str">
        <f>HYPERLINK("https://otsuka-europe-crm.veevavault.com/ui/#object/sent_email__v/VBLZ025E82GMZW2", "SE-000270036")</f>
        <v>SE-000270036</v>
      </c>
      <c r="D2923" s="1">
        <v>45915.895960648151</v>
      </c>
      <c r="E2923" s="2">
        <v>1</v>
      </c>
      <c r="F2923" s="2">
        <v>2</v>
      </c>
      <c r="G2923" s="2">
        <v>0</v>
      </c>
      <c r="H2923" s="1" t="s">
        <v>0</v>
      </c>
      <c r="I2923" s="2">
        <v>0</v>
      </c>
      <c r="J2923" s="1">
        <v>45915.378391203703</v>
      </c>
    </row>
    <row r="2924" spans="1:10" x14ac:dyDescent="0.2">
      <c r="A2924" s="4" t="s">
        <v>1</v>
      </c>
      <c r="B2924" s="3" t="str">
        <f>HYPERLINK("https://otsuka-europe-crm.veevavault.com/ui/#object/approved_document__v/V5OZ025E82TFUPI", "Spain - HCP Survey Email - June 2025")</f>
        <v>Spain - HCP Survey Email - June 2025</v>
      </c>
      <c r="C2924" s="3" t="str">
        <f>HYPERLINK("https://otsuka-europe-crm.veevavault.com/ui/#object/sent_email__v/VBLZ025E82GMZW3", "SE-000270037")</f>
        <v>SE-000270037</v>
      </c>
      <c r="D2924" s="1" t="s">
        <v>0</v>
      </c>
      <c r="E2924" s="2">
        <v>0</v>
      </c>
      <c r="F2924" s="2">
        <v>0</v>
      </c>
      <c r="G2924" s="2">
        <v>0</v>
      </c>
      <c r="H2924" s="1" t="s">
        <v>0</v>
      </c>
      <c r="I2924" s="2">
        <v>0</v>
      </c>
      <c r="J2924" s="1">
        <v>45915.378842592596</v>
      </c>
    </row>
    <row r="2925" spans="1:10" x14ac:dyDescent="0.2">
      <c r="A2925" s="4" t="s">
        <v>1</v>
      </c>
      <c r="B2925" s="3" t="str">
        <f>HYPERLINK("https://otsuka-europe-crm.veevavault.com/ui/#object/approved_document__v/V5OZ025E82TFUPI", "Spain - HCP Survey Email - June 2025")</f>
        <v>Spain - HCP Survey Email - June 2025</v>
      </c>
      <c r="C2925" s="3" t="str">
        <f>HYPERLINK("https://otsuka-europe-crm.veevavault.com/ui/#object/sent_email__v/VBLZ025E82GMZW4", "SE-000270038")</f>
        <v>SE-000270038</v>
      </c>
      <c r="D2925" s="1" t="s">
        <v>0</v>
      </c>
      <c r="E2925" s="2">
        <v>0</v>
      </c>
      <c r="F2925" s="2">
        <v>0</v>
      </c>
      <c r="G2925" s="2">
        <v>0</v>
      </c>
      <c r="H2925" s="1" t="s">
        <v>0</v>
      </c>
      <c r="I2925" s="2">
        <v>0</v>
      </c>
      <c r="J2925" s="1">
        <v>45915.378784722219</v>
      </c>
    </row>
    <row r="2926" spans="1:10" x14ac:dyDescent="0.2">
      <c r="A2926" s="4" t="s">
        <v>1</v>
      </c>
      <c r="B2926" s="3" t="str">
        <f>HYPERLINK("https://otsuka-europe-crm.veevavault.com/ui/#object/approved_document__v/V5OZ025E82TFUPI", "Spain - HCP Survey Email - June 2025")</f>
        <v>Spain - HCP Survey Email - June 2025</v>
      </c>
      <c r="C2926" s="3" t="str">
        <f>HYPERLINK("https://otsuka-europe-crm.veevavault.com/ui/#object/sent_email__v/VBLZ025E82GMZW5", "SE-000270039")</f>
        <v>SE-000270039</v>
      </c>
      <c r="D2926" s="1">
        <v>45915.38585648148</v>
      </c>
      <c r="E2926" s="2">
        <v>1</v>
      </c>
      <c r="F2926" s="2">
        <v>1</v>
      </c>
      <c r="G2926" s="2">
        <v>0</v>
      </c>
      <c r="H2926" s="1" t="s">
        <v>0</v>
      </c>
      <c r="I2926" s="2">
        <v>0</v>
      </c>
      <c r="J2926" s="1">
        <v>45915.379120370373</v>
      </c>
    </row>
    <row r="2927" spans="1:10" x14ac:dyDescent="0.2">
      <c r="A2927" s="4" t="s">
        <v>1</v>
      </c>
      <c r="B2927" s="3" t="str">
        <f>HYPERLINK("https://otsuka-europe-crm.veevavault.com/ui/#object/approved_document__v/V5OZ025E82TFUPI", "Spain - HCP Survey Email - June 2025")</f>
        <v>Spain - HCP Survey Email - June 2025</v>
      </c>
      <c r="C2927" s="3" t="str">
        <f>HYPERLINK("https://otsuka-europe-crm.veevavault.com/ui/#object/sent_email__v/VBLZ025E82GMZW6", "SE-000270040")</f>
        <v>SE-000270040</v>
      </c>
      <c r="D2927" s="1">
        <v>45917.297025462962</v>
      </c>
      <c r="E2927" s="2">
        <v>1</v>
      </c>
      <c r="F2927" s="2">
        <v>2</v>
      </c>
      <c r="G2927" s="2">
        <v>0</v>
      </c>
      <c r="H2927" s="1" t="s">
        <v>0</v>
      </c>
      <c r="I2927" s="2">
        <v>0</v>
      </c>
      <c r="J2927" s="1">
        <v>45915.377939814818</v>
      </c>
    </row>
    <row r="2928" spans="1:10" x14ac:dyDescent="0.2">
      <c r="A2928" s="4" t="s">
        <v>1</v>
      </c>
      <c r="B2928" s="3" t="str">
        <f>HYPERLINK("https://otsuka-europe-crm.veevavault.com/ui/#object/approved_document__v/V5OZ025E82TFUPI", "Spain - HCP Survey Email - June 2025")</f>
        <v>Spain - HCP Survey Email - June 2025</v>
      </c>
      <c r="C2928" s="3" t="str">
        <f>HYPERLINK("https://otsuka-europe-crm.veevavault.com/ui/#object/sent_email__v/VBLZ025E82GMZW7", "SE-000270041")</f>
        <v>SE-000270041</v>
      </c>
      <c r="D2928" s="1">
        <v>45915.546550925923</v>
      </c>
      <c r="E2928" s="2">
        <v>1</v>
      </c>
      <c r="F2928" s="2">
        <v>1</v>
      </c>
      <c r="G2928" s="2">
        <v>0</v>
      </c>
      <c r="H2928" s="1" t="s">
        <v>0</v>
      </c>
      <c r="I2928" s="2">
        <v>0</v>
      </c>
      <c r="J2928" s="1">
        <v>45915.378275462965</v>
      </c>
    </row>
    <row r="2929" spans="1:10" x14ac:dyDescent="0.2">
      <c r="A2929" s="4" t="s">
        <v>1</v>
      </c>
      <c r="B2929" s="3" t="str">
        <f>HYPERLINK("https://otsuka-europe-crm.veevavault.com/ui/#object/approved_document__v/V5OZ025E82TFUPI", "Spain - HCP Survey Email - June 2025")</f>
        <v>Spain - HCP Survey Email - June 2025</v>
      </c>
      <c r="C2929" s="3" t="str">
        <f>HYPERLINK("https://otsuka-europe-crm.veevavault.com/ui/#object/sent_email__v/VBLZ025E82GMZW8", "SE-000270042")</f>
        <v>SE-000270042</v>
      </c>
      <c r="D2929" s="1" t="s">
        <v>0</v>
      </c>
      <c r="E2929" s="2">
        <v>0</v>
      </c>
      <c r="F2929" s="2">
        <v>0</v>
      </c>
      <c r="G2929" s="2">
        <v>0</v>
      </c>
      <c r="H2929" s="1" t="s">
        <v>0</v>
      </c>
      <c r="I2929" s="2">
        <v>0</v>
      </c>
      <c r="J2929" s="1">
        <v>45915.378819444442</v>
      </c>
    </row>
    <row r="2930" spans="1:10" x14ac:dyDescent="0.2">
      <c r="A2930" s="4" t="s">
        <v>1</v>
      </c>
      <c r="B2930" s="3" t="str">
        <f>HYPERLINK("https://otsuka-europe-crm.veevavault.com/ui/#object/approved_document__v/V5OZ025E82TFUPI", "Spain - HCP Survey Email - June 2025")</f>
        <v>Spain - HCP Survey Email - June 2025</v>
      </c>
      <c r="C2930" s="3" t="str">
        <f>HYPERLINK("https://otsuka-europe-crm.veevavault.com/ui/#object/sent_email__v/VBLZ025E82GMZW9", "SE-000270043")</f>
        <v>SE-000270043</v>
      </c>
      <c r="D2930" s="1" t="s">
        <v>0</v>
      </c>
      <c r="E2930" s="2">
        <v>0</v>
      </c>
      <c r="F2930" s="2">
        <v>0</v>
      </c>
      <c r="G2930" s="2">
        <v>0</v>
      </c>
      <c r="H2930" s="1" t="s">
        <v>0</v>
      </c>
      <c r="I2930" s="2">
        <v>0</v>
      </c>
      <c r="J2930" s="1">
        <v>45915.378680555557</v>
      </c>
    </row>
    <row r="2931" spans="1:10" x14ac:dyDescent="0.2">
      <c r="A2931" s="4" t="s">
        <v>1</v>
      </c>
      <c r="B2931" s="3" t="str">
        <f>HYPERLINK("https://otsuka-europe-crm.veevavault.com/ui/#object/approved_document__v/V5OZ025E82TFUPI", "Spain - HCP Survey Email - June 2025")</f>
        <v>Spain - HCP Survey Email - June 2025</v>
      </c>
      <c r="C2931" s="3" t="str">
        <f>HYPERLINK("https://otsuka-europe-crm.veevavault.com/ui/#object/sent_email__v/VBLZ025E82GMZWA", "SE-000270044")</f>
        <v>SE-000270044</v>
      </c>
      <c r="D2931" s="1">
        <v>45915.991828703707</v>
      </c>
      <c r="E2931" s="2">
        <v>1</v>
      </c>
      <c r="F2931" s="2">
        <v>1</v>
      </c>
      <c r="G2931" s="2">
        <v>0</v>
      </c>
      <c r="H2931" s="1" t="s">
        <v>0</v>
      </c>
      <c r="I2931" s="2">
        <v>0</v>
      </c>
      <c r="J2931" s="1">
        <v>45915.379062499997</v>
      </c>
    </row>
    <row r="2932" spans="1:10" x14ac:dyDescent="0.2">
      <c r="A2932" s="4" t="s">
        <v>1</v>
      </c>
      <c r="B2932" s="3" t="str">
        <f>HYPERLINK("https://otsuka-europe-crm.veevavault.com/ui/#object/approved_document__v/V5OZ025E82TFUPI", "Spain - HCP Survey Email - June 2025")</f>
        <v>Spain - HCP Survey Email - June 2025</v>
      </c>
      <c r="C2932" s="3" t="str">
        <f>HYPERLINK("https://otsuka-europe-crm.veevavault.com/ui/#object/sent_email__v/VBLZ025E82GMZWB", "SE-000270045")</f>
        <v>SE-000270045</v>
      </c>
      <c r="D2932" s="1">
        <v>45915.411412037036</v>
      </c>
      <c r="E2932" s="2">
        <v>1</v>
      </c>
      <c r="F2932" s="2">
        <v>2</v>
      </c>
      <c r="G2932" s="2">
        <v>0</v>
      </c>
      <c r="H2932" s="1" t="s">
        <v>0</v>
      </c>
      <c r="I2932" s="2">
        <v>0</v>
      </c>
      <c r="J2932" s="1">
        <v>45915.377939814818</v>
      </c>
    </row>
    <row r="2933" spans="1:10" x14ac:dyDescent="0.2">
      <c r="A2933" s="4" t="s">
        <v>1</v>
      </c>
      <c r="B2933" s="3" t="str">
        <f>HYPERLINK("https://otsuka-europe-crm.veevavault.com/ui/#object/approved_document__v/V5OZ025E82TFUPI", "Spain - HCP Survey Email - June 2025")</f>
        <v>Spain - HCP Survey Email - June 2025</v>
      </c>
      <c r="C2933" s="3" t="str">
        <f>HYPERLINK("https://otsuka-europe-crm.veevavault.com/ui/#object/sent_email__v/VBLZ025E82GMZWC", "SE-000270046")</f>
        <v>SE-000270046</v>
      </c>
      <c r="D2933" s="1">
        <v>45915.409571759257</v>
      </c>
      <c r="E2933" s="2">
        <v>1</v>
      </c>
      <c r="F2933" s="2">
        <v>1</v>
      </c>
      <c r="G2933" s="2">
        <v>1</v>
      </c>
      <c r="H2933" s="1">
        <v>45915.409710648149</v>
      </c>
      <c r="I2933" s="2">
        <v>1</v>
      </c>
      <c r="J2933" s="1">
        <v>45915.378275462965</v>
      </c>
    </row>
    <row r="2934" spans="1:10" x14ac:dyDescent="0.2">
      <c r="A2934" s="4" t="s">
        <v>1</v>
      </c>
      <c r="B2934" s="3" t="str">
        <f>HYPERLINK("https://otsuka-europe-crm.veevavault.com/ui/#object/approved_document__v/V5OZ025E82TFUPI", "Spain - HCP Survey Email - June 2025")</f>
        <v>Spain - HCP Survey Email - June 2025</v>
      </c>
      <c r="C2934" s="3" t="str">
        <f>HYPERLINK("https://otsuka-europe-crm.veevavault.com/ui/#object/sent_email__v/VBLZ025E82GMZWD", "SE-000270047")</f>
        <v>SE-000270047</v>
      </c>
      <c r="D2934" s="1">
        <v>45916.480613425927</v>
      </c>
      <c r="E2934" s="2">
        <v>1</v>
      </c>
      <c r="F2934" s="2">
        <v>1</v>
      </c>
      <c r="G2934" s="2">
        <v>0</v>
      </c>
      <c r="H2934" s="1" t="s">
        <v>0</v>
      </c>
      <c r="I2934" s="2">
        <v>0</v>
      </c>
      <c r="J2934" s="1">
        <v>45915.37809027778</v>
      </c>
    </row>
    <row r="2935" spans="1:10" x14ac:dyDescent="0.2">
      <c r="A2935" s="4" t="s">
        <v>1</v>
      </c>
      <c r="B2935" s="3" t="str">
        <f>HYPERLINK("https://otsuka-europe-crm.veevavault.com/ui/#object/approved_document__v/V5OZ025E82TFUPI", "Spain - HCP Survey Email - June 2025")</f>
        <v>Spain - HCP Survey Email - June 2025</v>
      </c>
      <c r="C2935" s="3" t="str">
        <f>HYPERLINK("https://otsuka-europe-crm.veevavault.com/ui/#object/sent_email__v/VBLZ025E82GMZWE", "SE-000270048")</f>
        <v>SE-000270048</v>
      </c>
      <c r="D2935" s="1" t="s">
        <v>0</v>
      </c>
      <c r="E2935" s="2">
        <v>0</v>
      </c>
      <c r="F2935" s="2">
        <v>0</v>
      </c>
      <c r="G2935" s="2">
        <v>0</v>
      </c>
      <c r="H2935" s="1" t="s">
        <v>0</v>
      </c>
      <c r="I2935" s="2">
        <v>0</v>
      </c>
      <c r="J2935" s="1">
        <v>45915.378692129627</v>
      </c>
    </row>
    <row r="2936" spans="1:10" x14ac:dyDescent="0.2">
      <c r="A2936" s="4" t="s">
        <v>1</v>
      </c>
      <c r="B2936" s="3" t="str">
        <f>HYPERLINK("https://otsuka-europe-crm.veevavault.com/ui/#object/approved_document__v/V5OZ025E82TFUPI", "Spain - HCP Survey Email - June 2025")</f>
        <v>Spain - HCP Survey Email - June 2025</v>
      </c>
      <c r="C2936" s="3" t="str">
        <f>HYPERLINK("https://otsuka-europe-crm.veevavault.com/ui/#object/sent_email__v/VBLZ025E82GMZWF", "SE-000270049")</f>
        <v>SE-000270049</v>
      </c>
      <c r="D2936" s="1" t="s">
        <v>0</v>
      </c>
      <c r="E2936" s="2">
        <v>0</v>
      </c>
      <c r="F2936" s="2">
        <v>0</v>
      </c>
      <c r="G2936" s="2">
        <v>0</v>
      </c>
      <c r="H2936" s="1" t="s">
        <v>0</v>
      </c>
      <c r="I2936" s="2">
        <v>0</v>
      </c>
      <c r="J2936" s="1">
        <v>45915.379502314812</v>
      </c>
    </row>
    <row r="2937" spans="1:10" x14ac:dyDescent="0.2">
      <c r="A2937" s="4" t="s">
        <v>1</v>
      </c>
      <c r="B2937" s="3" t="str">
        <f>HYPERLINK("https://otsuka-europe-crm.veevavault.com/ui/#object/approved_document__v/V5OZ025E82TFUPI", "Spain - HCP Survey Email - June 2025")</f>
        <v>Spain - HCP Survey Email - June 2025</v>
      </c>
      <c r="C2937" s="3" t="str">
        <f>HYPERLINK("https://otsuka-europe-crm.veevavault.com/ui/#object/sent_email__v/VBLZ025E82GMZWG", "SE-000270050")</f>
        <v>SE-000270050</v>
      </c>
      <c r="D2937" s="1">
        <v>45918.872152777774</v>
      </c>
      <c r="E2937" s="2">
        <v>1</v>
      </c>
      <c r="F2937" s="2">
        <v>1</v>
      </c>
      <c r="G2937" s="2">
        <v>0</v>
      </c>
      <c r="H2937" s="1" t="s">
        <v>0</v>
      </c>
      <c r="I2937" s="2">
        <v>0</v>
      </c>
      <c r="J2937" s="1">
        <v>45915.379270833335</v>
      </c>
    </row>
    <row r="2938" spans="1:10" x14ac:dyDescent="0.2">
      <c r="A2938" s="4" t="s">
        <v>1</v>
      </c>
      <c r="B2938" s="3" t="str">
        <f>HYPERLINK("https://otsuka-europe-crm.veevavault.com/ui/#object/approved_document__v/V5OZ025E82TFUPI", "Spain - HCP Survey Email - June 2025")</f>
        <v>Spain - HCP Survey Email - June 2025</v>
      </c>
      <c r="C2938" s="3" t="str">
        <f>HYPERLINK("https://otsuka-europe-crm.veevavault.com/ui/#object/sent_email__v/VBLZ025E82GMZWH", "SE-000270051")</f>
        <v>SE-000270051</v>
      </c>
      <c r="D2938" s="1" t="s">
        <v>0</v>
      </c>
      <c r="E2938" s="2">
        <v>0</v>
      </c>
      <c r="F2938" s="2">
        <v>0</v>
      </c>
      <c r="G2938" s="2">
        <v>0</v>
      </c>
      <c r="H2938" s="1" t="s">
        <v>0</v>
      </c>
      <c r="I2938" s="2">
        <v>0</v>
      </c>
      <c r="J2938" s="1">
        <v>45915.377395833333</v>
      </c>
    </row>
    <row r="2939" spans="1:10" x14ac:dyDescent="0.2">
      <c r="A2939" s="4" t="s">
        <v>1</v>
      </c>
      <c r="B2939" s="3" t="str">
        <f>HYPERLINK("https://otsuka-europe-crm.veevavault.com/ui/#object/approved_document__v/V5OZ025E82TFUPI", "Spain - HCP Survey Email - June 2025")</f>
        <v>Spain - HCP Survey Email - June 2025</v>
      </c>
      <c r="C2939" s="3" t="str">
        <f>HYPERLINK("https://otsuka-europe-crm.veevavault.com/ui/#object/sent_email__v/VBLZ025E82GMZWI", "SE-000270052")</f>
        <v>SE-000270052</v>
      </c>
      <c r="D2939" s="1" t="s">
        <v>0</v>
      </c>
      <c r="E2939" s="2">
        <v>0</v>
      </c>
      <c r="F2939" s="2">
        <v>0</v>
      </c>
      <c r="G2939" s="2">
        <v>0</v>
      </c>
      <c r="H2939" s="1" t="s">
        <v>0</v>
      </c>
      <c r="I2939" s="2">
        <v>0</v>
      </c>
      <c r="J2939" s="1">
        <v>45915.378449074073</v>
      </c>
    </row>
    <row r="2940" spans="1:10" x14ac:dyDescent="0.2">
      <c r="A2940" s="4" t="s">
        <v>1</v>
      </c>
      <c r="B2940" s="3" t="str">
        <f>HYPERLINK("https://otsuka-europe-crm.veevavault.com/ui/#object/approved_document__v/V5OZ025E82TFUPI", "Spain - HCP Survey Email - June 2025")</f>
        <v>Spain - HCP Survey Email - June 2025</v>
      </c>
      <c r="C2940" s="3" t="str">
        <f>HYPERLINK("https://otsuka-europe-crm.veevavault.com/ui/#object/sent_email__v/VBLZ025E82GMZWJ", "SE-000270053")</f>
        <v>SE-000270053</v>
      </c>
      <c r="D2940" s="1" t="s">
        <v>0</v>
      </c>
      <c r="E2940" s="2">
        <v>0</v>
      </c>
      <c r="F2940" s="2">
        <v>0</v>
      </c>
      <c r="G2940" s="2">
        <v>0</v>
      </c>
      <c r="H2940" s="1" t="s">
        <v>0</v>
      </c>
      <c r="I2940" s="2">
        <v>0</v>
      </c>
      <c r="J2940" s="1">
        <v>45915.378877314812</v>
      </c>
    </row>
    <row r="2941" spans="1:10" x14ac:dyDescent="0.2">
      <c r="A2941" s="4" t="s">
        <v>1</v>
      </c>
      <c r="B2941" s="3" t="str">
        <f>HYPERLINK("https://otsuka-europe-crm.veevavault.com/ui/#object/approved_document__v/V5OZ025E82TFUPI", "Spain - HCP Survey Email - June 2025")</f>
        <v>Spain - HCP Survey Email - June 2025</v>
      </c>
      <c r="C2941" s="3" t="str">
        <f>HYPERLINK("https://otsuka-europe-crm.veevavault.com/ui/#object/sent_email__v/VBLZ025E82GMZWK", "SE-000270054")</f>
        <v>SE-000270054</v>
      </c>
      <c r="D2941" s="1">
        <v>45916.651412037034</v>
      </c>
      <c r="E2941" s="2">
        <v>1</v>
      </c>
      <c r="F2941" s="2">
        <v>1</v>
      </c>
      <c r="G2941" s="2">
        <v>0</v>
      </c>
      <c r="H2941" s="1" t="s">
        <v>0</v>
      </c>
      <c r="I2941" s="2">
        <v>0</v>
      </c>
      <c r="J2941" s="1">
        <v>45915.378750000003</v>
      </c>
    </row>
    <row r="2942" spans="1:10" x14ac:dyDescent="0.2">
      <c r="A2942" s="4" t="s">
        <v>1</v>
      </c>
      <c r="B2942" s="3" t="str">
        <f>HYPERLINK("https://otsuka-europe-crm.veevavault.com/ui/#object/approved_document__v/V5OZ025E82TFUPI", "Spain - HCP Survey Email - June 2025")</f>
        <v>Spain - HCP Survey Email - June 2025</v>
      </c>
      <c r="C2942" s="3" t="str">
        <f>HYPERLINK("https://otsuka-europe-crm.veevavault.com/ui/#object/sent_email__v/VBLZ025E82GMZWL", "SE-000270055")</f>
        <v>SE-000270055</v>
      </c>
      <c r="D2942" s="1">
        <v>45915.393773148149</v>
      </c>
      <c r="E2942" s="2">
        <v>1</v>
      </c>
      <c r="F2942" s="2">
        <v>2</v>
      </c>
      <c r="G2942" s="2">
        <v>0</v>
      </c>
      <c r="H2942" s="1" t="s">
        <v>0</v>
      </c>
      <c r="I2942" s="2">
        <v>0</v>
      </c>
      <c r="J2942" s="1">
        <v>45915.37909722222</v>
      </c>
    </row>
    <row r="2943" spans="1:10" x14ac:dyDescent="0.2">
      <c r="A2943" s="4" t="s">
        <v>1</v>
      </c>
      <c r="B2943" s="3" t="str">
        <f>HYPERLINK("https://otsuka-europe-crm.veevavault.com/ui/#object/approved_document__v/V5OZ025E82TFUPI", "Spain - HCP Survey Email - June 2025")</f>
        <v>Spain - HCP Survey Email - June 2025</v>
      </c>
      <c r="C2943" s="3" t="str">
        <f>HYPERLINK("https://otsuka-europe-crm.veevavault.com/ui/#object/sent_email__v/VBLZ025E82GMZWM", "SE-000270056")</f>
        <v>SE-000270056</v>
      </c>
      <c r="D2943" s="1" t="s">
        <v>0</v>
      </c>
      <c r="E2943" s="2">
        <v>0</v>
      </c>
      <c r="F2943" s="2">
        <v>0</v>
      </c>
      <c r="G2943" s="2">
        <v>0</v>
      </c>
      <c r="H2943" s="1" t="s">
        <v>0</v>
      </c>
      <c r="I2943" s="2">
        <v>0</v>
      </c>
      <c r="J2943" s="1">
        <v>45915.377881944441</v>
      </c>
    </row>
    <row r="2944" spans="1:10" x14ac:dyDescent="0.2">
      <c r="A2944" s="4" t="s">
        <v>1</v>
      </c>
      <c r="B2944" s="3" t="str">
        <f>HYPERLINK("https://otsuka-europe-crm.veevavault.com/ui/#object/approved_document__v/V5OZ025E82TFUPI", "Spain - HCP Survey Email - June 2025")</f>
        <v>Spain - HCP Survey Email - June 2025</v>
      </c>
      <c r="C2944" s="3" t="str">
        <f>HYPERLINK("https://otsuka-europe-crm.veevavault.com/ui/#object/sent_email__v/VBLZ025E82GMZWN", "SE-000270057")</f>
        <v>SE-000270057</v>
      </c>
      <c r="D2944" s="1" t="s">
        <v>0</v>
      </c>
      <c r="E2944" s="2">
        <v>0</v>
      </c>
      <c r="F2944" s="2">
        <v>0</v>
      </c>
      <c r="G2944" s="2">
        <v>0</v>
      </c>
      <c r="H2944" s="1" t="s">
        <v>0</v>
      </c>
      <c r="I2944" s="2">
        <v>0</v>
      </c>
      <c r="J2944" s="1">
        <v>45915.378379629627</v>
      </c>
    </row>
    <row r="2945" spans="1:10" x14ac:dyDescent="0.2">
      <c r="A2945" s="4" t="s">
        <v>1</v>
      </c>
      <c r="B2945" s="3" t="str">
        <f>HYPERLINK("https://otsuka-europe-crm.veevavault.com/ui/#object/approved_document__v/V5OZ025E82TFUPI", "Spain - HCP Survey Email - June 2025")</f>
        <v>Spain - HCP Survey Email - June 2025</v>
      </c>
      <c r="C2945" s="3" t="str">
        <f>HYPERLINK("https://otsuka-europe-crm.veevavault.com/ui/#object/sent_email__v/VBLZ025E82GMZWO", "SE-000270058")</f>
        <v>SE-000270058</v>
      </c>
      <c r="D2945" s="1">
        <v>45915.389768518522</v>
      </c>
      <c r="E2945" s="2">
        <v>1</v>
      </c>
      <c r="F2945" s="2">
        <v>2</v>
      </c>
      <c r="G2945" s="2">
        <v>0</v>
      </c>
      <c r="H2945" s="1" t="s">
        <v>0</v>
      </c>
      <c r="I2945" s="2">
        <v>0</v>
      </c>
      <c r="J2945" s="1">
        <v>45915.378136574072</v>
      </c>
    </row>
    <row r="2946" spans="1:10" x14ac:dyDescent="0.2">
      <c r="A2946" s="4" t="s">
        <v>1</v>
      </c>
      <c r="B2946" s="3" t="str">
        <f>HYPERLINK("https://otsuka-europe-crm.veevavault.com/ui/#object/approved_document__v/V5OZ025E82TFUPI", "Spain - HCP Survey Email - June 2025")</f>
        <v>Spain - HCP Survey Email - June 2025</v>
      </c>
      <c r="C2946" s="3" t="str">
        <f>HYPERLINK("https://otsuka-europe-crm.veevavault.com/ui/#object/sent_email__v/VBLZ025E82GMZWP", "SE-000270059")</f>
        <v>SE-000270059</v>
      </c>
      <c r="D2946" s="1">
        <v>45915.390486111108</v>
      </c>
      <c r="E2946" s="2">
        <v>1</v>
      </c>
      <c r="F2946" s="2">
        <v>2</v>
      </c>
      <c r="G2946" s="2">
        <v>0</v>
      </c>
      <c r="H2946" s="1" t="s">
        <v>0</v>
      </c>
      <c r="I2946" s="2">
        <v>0</v>
      </c>
      <c r="J2946" s="1">
        <v>45915.378576388888</v>
      </c>
    </row>
    <row r="2947" spans="1:10" x14ac:dyDescent="0.2">
      <c r="A2947" s="4" t="s">
        <v>1</v>
      </c>
      <c r="B2947" s="3" t="str">
        <f>HYPERLINK("https://otsuka-europe-crm.veevavault.com/ui/#object/approved_document__v/V5OZ025E82TFUPI", "Spain - HCP Survey Email - June 2025")</f>
        <v>Spain - HCP Survey Email - June 2025</v>
      </c>
      <c r="C2947" s="3" t="str">
        <f>HYPERLINK("https://otsuka-europe-crm.veevavault.com/ui/#object/sent_email__v/VBLZ025E82GMZWQ", "SE-000270060")</f>
        <v>SE-000270060</v>
      </c>
      <c r="D2947" s="1" t="s">
        <v>0</v>
      </c>
      <c r="E2947" s="2">
        <v>0</v>
      </c>
      <c r="F2947" s="2">
        <v>0</v>
      </c>
      <c r="G2947" s="2">
        <v>0</v>
      </c>
      <c r="H2947" s="1" t="s">
        <v>0</v>
      </c>
      <c r="I2947" s="2">
        <v>0</v>
      </c>
      <c r="J2947" s="1">
        <v>45915.379479166666</v>
      </c>
    </row>
    <row r="2948" spans="1:10" x14ac:dyDescent="0.2">
      <c r="A2948" s="4" t="s">
        <v>1</v>
      </c>
      <c r="B2948" s="3" t="str">
        <f>HYPERLINK("https://otsuka-europe-crm.veevavault.com/ui/#object/approved_document__v/V5OZ025E82TFUPI", "Spain - HCP Survey Email - June 2025")</f>
        <v>Spain - HCP Survey Email - June 2025</v>
      </c>
      <c r="C2948" s="3" t="str">
        <f>HYPERLINK("https://otsuka-europe-crm.veevavault.com/ui/#object/sent_email__v/VBLZ025E82GMZWR", "SE-000270061")</f>
        <v>SE-000270061</v>
      </c>
      <c r="D2948" s="1" t="s">
        <v>0</v>
      </c>
      <c r="E2948" s="2">
        <v>0</v>
      </c>
      <c r="F2948" s="2">
        <v>0</v>
      </c>
      <c r="G2948" s="2">
        <v>0</v>
      </c>
      <c r="H2948" s="1" t="s">
        <v>0</v>
      </c>
      <c r="I2948" s="2">
        <v>0</v>
      </c>
      <c r="J2948" s="1">
        <v>45915.379317129627</v>
      </c>
    </row>
    <row r="2949" spans="1:10" x14ac:dyDescent="0.2">
      <c r="A2949" s="4" t="s">
        <v>1</v>
      </c>
      <c r="B2949" s="3" t="str">
        <f>HYPERLINK("https://otsuka-europe-crm.veevavault.com/ui/#object/approved_document__v/V5OZ025E82TFUPI", "Spain - HCP Survey Email - June 2025")</f>
        <v>Spain - HCP Survey Email - June 2025</v>
      </c>
      <c r="C2949" s="3" t="str">
        <f>HYPERLINK("https://otsuka-europe-crm.veevavault.com/ui/#object/sent_email__v/VBLZ025E82GMZWS", "SE-000270062")</f>
        <v>SE-000270062</v>
      </c>
      <c r="D2949" s="1" t="s">
        <v>0</v>
      </c>
      <c r="E2949" s="2">
        <v>0</v>
      </c>
      <c r="F2949" s="2">
        <v>0</v>
      </c>
      <c r="G2949" s="2">
        <v>0</v>
      </c>
      <c r="H2949" s="1" t="s">
        <v>0</v>
      </c>
      <c r="I2949" s="2">
        <v>0</v>
      </c>
      <c r="J2949" s="1">
        <v>45915.37740740741</v>
      </c>
    </row>
    <row r="2950" spans="1:10" x14ac:dyDescent="0.2">
      <c r="A2950" s="4" t="s">
        <v>1</v>
      </c>
      <c r="B2950" s="3" t="str">
        <f>HYPERLINK("https://otsuka-europe-crm.veevavault.com/ui/#object/approved_document__v/V5OZ025E82TFUPI", "Spain - HCP Survey Email - June 2025")</f>
        <v>Spain - HCP Survey Email - June 2025</v>
      </c>
      <c r="C2950" s="3" t="str">
        <f>HYPERLINK("https://otsuka-europe-crm.veevavault.com/ui/#object/sent_email__v/VBLZ025E82GMZWT", "SE-000270063")</f>
        <v>SE-000270063</v>
      </c>
      <c r="D2950" s="1">
        <v>45915.392500000002</v>
      </c>
      <c r="E2950" s="2">
        <v>1</v>
      </c>
      <c r="F2950" s="2">
        <v>1</v>
      </c>
      <c r="G2950" s="2">
        <v>1</v>
      </c>
      <c r="H2950" s="1">
        <v>45917.514363425929</v>
      </c>
      <c r="I2950" s="2">
        <v>1</v>
      </c>
      <c r="J2950" s="1">
        <v>45915.378460648149</v>
      </c>
    </row>
    <row r="2951" spans="1:10" x14ac:dyDescent="0.2">
      <c r="A2951" s="4" t="s">
        <v>1</v>
      </c>
      <c r="B2951" s="3" t="str">
        <f>HYPERLINK("https://otsuka-europe-crm.veevavault.com/ui/#object/approved_document__v/V5OZ025E82TFUPI", "Spain - HCP Survey Email - June 2025")</f>
        <v>Spain - HCP Survey Email - June 2025</v>
      </c>
      <c r="C2951" s="3" t="str">
        <f>HYPERLINK("https://otsuka-europe-crm.veevavault.com/ui/#object/sent_email__v/VBLZ025E82GMZWU", "SE-000270064")</f>
        <v>SE-000270064</v>
      </c>
      <c r="D2951" s="1" t="s">
        <v>0</v>
      </c>
      <c r="E2951" s="2">
        <v>0</v>
      </c>
      <c r="F2951" s="2">
        <v>0</v>
      </c>
      <c r="G2951" s="2">
        <v>0</v>
      </c>
      <c r="H2951" s="1" t="s">
        <v>0</v>
      </c>
      <c r="I2951" s="2">
        <v>0</v>
      </c>
      <c r="J2951" s="1">
        <v>45915.378831018519</v>
      </c>
    </row>
    <row r="2952" spans="1:10" x14ac:dyDescent="0.2">
      <c r="A2952" s="4" t="s">
        <v>1</v>
      </c>
      <c r="B2952" s="3" t="str">
        <f>HYPERLINK("https://otsuka-europe-crm.veevavault.com/ui/#object/approved_document__v/V5OZ025E82TFUPI", "Spain - HCP Survey Email - June 2025")</f>
        <v>Spain - HCP Survey Email - June 2025</v>
      </c>
      <c r="C2952" s="3" t="str">
        <f>HYPERLINK("https://otsuka-europe-crm.veevavault.com/ui/#object/sent_email__v/VBLZ025E82GMZWV", "SE-000270065")</f>
        <v>SE-000270065</v>
      </c>
      <c r="D2952" s="1" t="s">
        <v>0</v>
      </c>
      <c r="E2952" s="2">
        <v>0</v>
      </c>
      <c r="F2952" s="2">
        <v>0</v>
      </c>
      <c r="G2952" s="2">
        <v>0</v>
      </c>
      <c r="H2952" s="1" t="s">
        <v>0</v>
      </c>
      <c r="I2952" s="2">
        <v>0</v>
      </c>
      <c r="J2952" s="1">
        <v>45915.378750000003</v>
      </c>
    </row>
    <row r="2953" spans="1:10" x14ac:dyDescent="0.2">
      <c r="A2953" s="4" t="s">
        <v>1</v>
      </c>
      <c r="B2953" s="3" t="str">
        <f>HYPERLINK("https://otsuka-europe-crm.veevavault.com/ui/#object/approved_document__v/V5OZ025E82TFUPI", "Spain - HCP Survey Email - June 2025")</f>
        <v>Spain - HCP Survey Email - June 2025</v>
      </c>
      <c r="C2953" s="3" t="str">
        <f>HYPERLINK("https://otsuka-europe-crm.veevavault.com/ui/#object/sent_email__v/VBLZ025E82GMZWW", "SE-000270066")</f>
        <v>SE-000270066</v>
      </c>
      <c r="D2953" s="1" t="s">
        <v>0</v>
      </c>
      <c r="E2953" s="2">
        <v>0</v>
      </c>
      <c r="F2953" s="2">
        <v>0</v>
      </c>
      <c r="G2953" s="2">
        <v>0</v>
      </c>
      <c r="H2953" s="1" t="s">
        <v>0</v>
      </c>
      <c r="I2953" s="2">
        <v>0</v>
      </c>
      <c r="J2953" s="1">
        <v>45915.379131944443</v>
      </c>
    </row>
    <row r="2954" spans="1:10" x14ac:dyDescent="0.2">
      <c r="A2954" s="4" t="s">
        <v>1</v>
      </c>
      <c r="B2954" s="3" t="str">
        <f>HYPERLINK("https://otsuka-europe-crm.veevavault.com/ui/#object/approved_document__v/V5OZ025E82TFUPI", "Spain - HCP Survey Email - June 2025")</f>
        <v>Spain - HCP Survey Email - June 2025</v>
      </c>
      <c r="C2954" s="3" t="str">
        <f>HYPERLINK("https://otsuka-europe-crm.veevavault.com/ui/#object/sent_email__v/VBLZ025E82GMZWX", "SE-000270067")</f>
        <v>SE-000270067</v>
      </c>
      <c r="D2954" s="1">
        <v>45916.220833333333</v>
      </c>
      <c r="E2954" s="2">
        <v>1</v>
      </c>
      <c r="F2954" s="2">
        <v>2</v>
      </c>
      <c r="G2954" s="2">
        <v>1</v>
      </c>
      <c r="H2954" s="1">
        <v>45915.423622685186</v>
      </c>
      <c r="I2954" s="2">
        <v>1</v>
      </c>
      <c r="J2954" s="1">
        <v>45915.377858796295</v>
      </c>
    </row>
    <row r="2955" spans="1:10" x14ac:dyDescent="0.2">
      <c r="A2955" s="4" t="s">
        <v>1</v>
      </c>
      <c r="B2955" s="3" t="str">
        <f>HYPERLINK("https://otsuka-europe-crm.veevavault.com/ui/#object/approved_document__v/V5OZ025E82TFUPI", "Spain - HCP Survey Email - June 2025")</f>
        <v>Spain - HCP Survey Email - June 2025</v>
      </c>
      <c r="C2955" s="3" t="str">
        <f>HYPERLINK("https://otsuka-europe-crm.veevavault.com/ui/#object/sent_email__v/VBLZ025E82GMZWY", "SE-000270068")</f>
        <v>SE-000270068</v>
      </c>
      <c r="D2955" s="1" t="s">
        <v>0</v>
      </c>
      <c r="E2955" s="2">
        <v>0</v>
      </c>
      <c r="F2955" s="2">
        <v>0</v>
      </c>
      <c r="G2955" s="2">
        <v>0</v>
      </c>
      <c r="H2955" s="1" t="s">
        <v>0</v>
      </c>
      <c r="I2955" s="2">
        <v>0</v>
      </c>
      <c r="J2955" s="1">
        <v>45915.378252314818</v>
      </c>
    </row>
    <row r="2956" spans="1:10" x14ac:dyDescent="0.2">
      <c r="A2956" s="4" t="s">
        <v>1</v>
      </c>
      <c r="B2956" s="3" t="str">
        <f>HYPERLINK("https://otsuka-europe-crm.veevavault.com/ui/#object/approved_document__v/V5OZ025E82TFUPI", "Spain - HCP Survey Email - June 2025")</f>
        <v>Spain - HCP Survey Email - June 2025</v>
      </c>
      <c r="C2956" s="3" t="str">
        <f>HYPERLINK("https://otsuka-europe-crm.veevavault.com/ui/#object/sent_email__v/VBLZ025E82GMZWZ", "SE-000270069")</f>
        <v>SE-000270069</v>
      </c>
      <c r="D2956" s="1">
        <v>45915.383171296293</v>
      </c>
      <c r="E2956" s="2">
        <v>1</v>
      </c>
      <c r="F2956" s="2">
        <v>1</v>
      </c>
      <c r="G2956" s="2">
        <v>1</v>
      </c>
      <c r="H2956" s="1">
        <v>45915.401226851849</v>
      </c>
      <c r="I2956" s="2">
        <v>1</v>
      </c>
      <c r="J2956" s="1">
        <v>45915.378182870372</v>
      </c>
    </row>
    <row r="2957" spans="1:10" x14ac:dyDescent="0.2">
      <c r="A2957" s="4" t="s">
        <v>1</v>
      </c>
      <c r="B2957" s="3" t="str">
        <f>HYPERLINK("https://otsuka-europe-crm.veevavault.com/ui/#object/approved_document__v/V5OZ025E82TFUPI", "Spain - HCP Survey Email - June 2025")</f>
        <v>Spain - HCP Survey Email - June 2025</v>
      </c>
      <c r="C2957" s="3" t="str">
        <f>HYPERLINK("https://otsuka-europe-crm.veevavault.com/ui/#object/sent_email__v/VBLZ025E82GMZX0", "SE-000270070")</f>
        <v>SE-000270070</v>
      </c>
      <c r="D2957" s="1" t="s">
        <v>0</v>
      </c>
      <c r="E2957" s="2">
        <v>0</v>
      </c>
      <c r="F2957" s="2">
        <v>0</v>
      </c>
      <c r="G2957" s="2">
        <v>0</v>
      </c>
      <c r="H2957" s="1" t="s">
        <v>0</v>
      </c>
      <c r="I2957" s="2">
        <v>0</v>
      </c>
      <c r="J2957" s="1">
        <v>45915.378611111111</v>
      </c>
    </row>
    <row r="2958" spans="1:10" x14ac:dyDescent="0.2">
      <c r="A2958" s="4" t="s">
        <v>1</v>
      </c>
      <c r="B2958" s="3" t="str">
        <f>HYPERLINK("https://otsuka-europe-crm.veevavault.com/ui/#object/approved_document__v/V5OZ025E82TFUPI", "Spain - HCP Survey Email - June 2025")</f>
        <v>Spain - HCP Survey Email - June 2025</v>
      </c>
      <c r="C2958" s="3" t="str">
        <f>HYPERLINK("https://otsuka-europe-crm.veevavault.com/ui/#object/sent_email__v/VBLZ025E82GMZX1", "SE-000270071")</f>
        <v>SE-000270071</v>
      </c>
      <c r="D2958" s="1">
        <v>45915.398032407407</v>
      </c>
      <c r="E2958" s="2">
        <v>1</v>
      </c>
      <c r="F2958" s="2">
        <v>1</v>
      </c>
      <c r="G2958" s="2">
        <v>0</v>
      </c>
      <c r="H2958" s="1" t="s">
        <v>0</v>
      </c>
      <c r="I2958" s="2">
        <v>0</v>
      </c>
      <c r="J2958" s="1">
        <v>45915.379942129628</v>
      </c>
    </row>
    <row r="2959" spans="1:10" x14ac:dyDescent="0.2">
      <c r="A2959" s="4" t="s">
        <v>1</v>
      </c>
      <c r="B2959" s="3" t="str">
        <f>HYPERLINK("https://otsuka-europe-crm.veevavault.com/ui/#object/approved_document__v/V5OZ025E82TFUPI", "Spain - HCP Survey Email - June 2025")</f>
        <v>Spain - HCP Survey Email - June 2025</v>
      </c>
      <c r="C2959" s="3" t="str">
        <f>HYPERLINK("https://otsuka-europe-crm.veevavault.com/ui/#object/sent_email__v/VBLZ025E82GMZX2", "SE-000270072")</f>
        <v>SE-000270072</v>
      </c>
      <c r="D2959" s="1">
        <v>45919.717129629629</v>
      </c>
      <c r="E2959" s="2">
        <v>1</v>
      </c>
      <c r="F2959" s="2">
        <v>3</v>
      </c>
      <c r="G2959" s="2">
        <v>0</v>
      </c>
      <c r="H2959" s="1" t="s">
        <v>0</v>
      </c>
      <c r="I2959" s="2">
        <v>0</v>
      </c>
      <c r="J2959" s="1">
        <v>45915.379201388889</v>
      </c>
    </row>
    <row r="2960" spans="1:10" x14ac:dyDescent="0.2">
      <c r="A2960" s="4" t="s">
        <v>1</v>
      </c>
      <c r="B2960" s="3" t="str">
        <f>HYPERLINK("https://otsuka-europe-crm.veevavault.com/ui/#object/approved_document__v/V5OZ025E82TFUPI", "Spain - HCP Survey Email - June 2025")</f>
        <v>Spain - HCP Survey Email - June 2025</v>
      </c>
      <c r="C2960" s="3" t="str">
        <f>HYPERLINK("https://otsuka-europe-crm.veevavault.com/ui/#object/sent_email__v/VBLZ025E82GMZX3", "SE-000270073")</f>
        <v>SE-000270073</v>
      </c>
      <c r="D2960" s="1">
        <v>45986.923101851855</v>
      </c>
      <c r="E2960" s="2">
        <v>1</v>
      </c>
      <c r="F2960" s="2">
        <v>1</v>
      </c>
      <c r="G2960" s="2">
        <v>0</v>
      </c>
      <c r="H2960" s="1" t="s">
        <v>0</v>
      </c>
      <c r="I2960" s="2">
        <v>0</v>
      </c>
      <c r="J2960" s="1">
        <v>45915.377476851849</v>
      </c>
    </row>
    <row r="2961" spans="1:10" x14ac:dyDescent="0.2">
      <c r="A2961" s="4" t="s">
        <v>1</v>
      </c>
      <c r="B2961" s="3" t="str">
        <f>HYPERLINK("https://otsuka-europe-crm.veevavault.com/ui/#object/approved_document__v/V5OZ025E82TFUPI", "Spain - HCP Survey Email - June 2025")</f>
        <v>Spain - HCP Survey Email - June 2025</v>
      </c>
      <c r="C2961" s="3" t="str">
        <f>HYPERLINK("https://otsuka-europe-crm.veevavault.com/ui/#object/sent_email__v/VBLZ025E82GMZX4", "SE-000270074")</f>
        <v>SE-000270074</v>
      </c>
      <c r="D2961" s="1">
        <v>45915.546527777777</v>
      </c>
      <c r="E2961" s="2">
        <v>1</v>
      </c>
      <c r="F2961" s="2">
        <v>2</v>
      </c>
      <c r="G2961" s="2">
        <v>0</v>
      </c>
      <c r="H2961" s="1" t="s">
        <v>0</v>
      </c>
      <c r="I2961" s="2">
        <v>0</v>
      </c>
      <c r="J2961" s="1">
        <v>45915.378379629627</v>
      </c>
    </row>
    <row r="2962" spans="1:10" x14ac:dyDescent="0.2">
      <c r="A2962" s="4" t="s">
        <v>1</v>
      </c>
      <c r="B2962" s="3" t="str">
        <f>HYPERLINK("https://otsuka-europe-crm.veevavault.com/ui/#object/approved_document__v/V5OZ025E82TFUPI", "Spain - HCP Survey Email - June 2025")</f>
        <v>Spain - HCP Survey Email - June 2025</v>
      </c>
      <c r="C2962" s="3" t="str">
        <f>HYPERLINK("https://otsuka-europe-crm.veevavault.com/ui/#object/sent_email__v/VBLZ025E82GMZX5", "SE-000270075")</f>
        <v>SE-000270075</v>
      </c>
      <c r="D2962" s="1" t="s">
        <v>0</v>
      </c>
      <c r="E2962" s="2">
        <v>0</v>
      </c>
      <c r="F2962" s="2">
        <v>0</v>
      </c>
      <c r="G2962" s="2">
        <v>0</v>
      </c>
      <c r="H2962" s="1" t="s">
        <v>0</v>
      </c>
      <c r="I2962" s="2">
        <v>0</v>
      </c>
      <c r="J2962" s="1">
        <v>45915.378750000003</v>
      </c>
    </row>
    <row r="2963" spans="1:10" x14ac:dyDescent="0.2">
      <c r="A2963" s="4" t="s">
        <v>1</v>
      </c>
      <c r="B2963" s="3" t="str">
        <f>HYPERLINK("https://otsuka-europe-crm.veevavault.com/ui/#object/approved_document__v/V5OZ025E82TFUPI", "Spain - HCP Survey Email - June 2025")</f>
        <v>Spain - HCP Survey Email - June 2025</v>
      </c>
      <c r="C2963" s="3" t="str">
        <f>HYPERLINK("https://otsuka-europe-crm.veevavault.com/ui/#object/sent_email__v/VBLZ025E82GMZX6", "SE-000270076")</f>
        <v>SE-000270076</v>
      </c>
      <c r="D2963" s="1" t="s">
        <v>0</v>
      </c>
      <c r="E2963" s="2">
        <v>0</v>
      </c>
      <c r="F2963" s="2">
        <v>0</v>
      </c>
      <c r="G2963" s="2">
        <v>0</v>
      </c>
      <c r="H2963" s="1" t="s">
        <v>0</v>
      </c>
      <c r="I2963" s="2">
        <v>0</v>
      </c>
      <c r="J2963" s="1">
        <v>45915.378703703704</v>
      </c>
    </row>
    <row r="2964" spans="1:10" x14ac:dyDescent="0.2">
      <c r="A2964" s="4" t="s">
        <v>1</v>
      </c>
      <c r="B2964" s="3" t="str">
        <f>HYPERLINK("https://otsuka-europe-crm.veevavault.com/ui/#object/approved_document__v/V5OZ025E82TFUPI", "Spain - HCP Survey Email - June 2025")</f>
        <v>Spain - HCP Survey Email - June 2025</v>
      </c>
      <c r="C2964" s="3" t="str">
        <f>HYPERLINK("https://otsuka-europe-crm.veevavault.com/ui/#object/sent_email__v/VBLZ025E82GMZX7", "SE-000270077")</f>
        <v>SE-000270077</v>
      </c>
      <c r="D2964" s="1" t="s">
        <v>0</v>
      </c>
      <c r="E2964" s="2">
        <v>0</v>
      </c>
      <c r="F2964" s="2">
        <v>0</v>
      </c>
      <c r="G2964" s="2">
        <v>0</v>
      </c>
      <c r="H2964" s="1" t="s">
        <v>0</v>
      </c>
      <c r="I2964" s="2">
        <v>0</v>
      </c>
      <c r="J2964" s="1">
        <v>45915.379108796296</v>
      </c>
    </row>
    <row r="2965" spans="1:10" x14ac:dyDescent="0.2">
      <c r="A2965" s="4" t="s">
        <v>1</v>
      </c>
      <c r="B2965" s="3" t="str">
        <f>HYPERLINK("https://otsuka-europe-crm.veevavault.com/ui/#object/approved_document__v/V5OZ025E82TFUPI", "Spain - HCP Survey Email - June 2025")</f>
        <v>Spain - HCP Survey Email - June 2025</v>
      </c>
      <c r="C2965" s="3" t="str">
        <f>HYPERLINK("https://otsuka-europe-crm.veevavault.com/ui/#object/sent_email__v/VBLZ025E82GMZX8", "SE-000270078")</f>
        <v>SE-000270078</v>
      </c>
      <c r="D2965" s="1">
        <v>45915.519317129627</v>
      </c>
      <c r="E2965" s="2">
        <v>1</v>
      </c>
      <c r="F2965" s="2">
        <v>2</v>
      </c>
      <c r="G2965" s="2">
        <v>0</v>
      </c>
      <c r="H2965" s="1" t="s">
        <v>0</v>
      </c>
      <c r="I2965" s="2">
        <v>0</v>
      </c>
      <c r="J2965" s="1">
        <v>45915.378379629627</v>
      </c>
    </row>
    <row r="2966" spans="1:10" x14ac:dyDescent="0.2">
      <c r="A2966" s="4" t="s">
        <v>1</v>
      </c>
      <c r="B2966" s="3" t="str">
        <f>HYPERLINK("https://otsuka-europe-crm.veevavault.com/ui/#object/approved_document__v/V5OZ025E82TFUPI", "Spain - HCP Survey Email - June 2025")</f>
        <v>Spain - HCP Survey Email - June 2025</v>
      </c>
      <c r="C2966" s="3" t="str">
        <f>HYPERLINK("https://otsuka-europe-crm.veevavault.com/ui/#object/sent_email__v/VBLZ025E82GMZX9", "SE-000270079")</f>
        <v>SE-000270079</v>
      </c>
      <c r="D2966" s="1">
        <v>45915.673888888887</v>
      </c>
      <c r="E2966" s="2">
        <v>1</v>
      </c>
      <c r="F2966" s="2">
        <v>1</v>
      </c>
      <c r="G2966" s="2">
        <v>0</v>
      </c>
      <c r="H2966" s="1" t="s">
        <v>0</v>
      </c>
      <c r="I2966" s="2">
        <v>0</v>
      </c>
      <c r="J2966" s="1">
        <v>45915.378900462965</v>
      </c>
    </row>
    <row r="2967" spans="1:10" x14ac:dyDescent="0.2">
      <c r="A2967" s="4" t="s">
        <v>1</v>
      </c>
      <c r="B2967" s="3" t="str">
        <f>HYPERLINK("https://otsuka-europe-crm.veevavault.com/ui/#object/approved_document__v/V5OZ025E82TFUPI", "Spain - HCP Survey Email - June 2025")</f>
        <v>Spain - HCP Survey Email - June 2025</v>
      </c>
      <c r="C2967" s="3" t="str">
        <f>HYPERLINK("https://otsuka-europe-crm.veevavault.com/ui/#object/sent_email__v/VBLZ025E82GMZXA", "SE-000270080")</f>
        <v>SE-000270080</v>
      </c>
      <c r="D2967" s="1">
        <v>45915.901018518518</v>
      </c>
      <c r="E2967" s="2">
        <v>1</v>
      </c>
      <c r="F2967" s="2">
        <v>1</v>
      </c>
      <c r="G2967" s="2">
        <v>0</v>
      </c>
      <c r="H2967" s="1" t="s">
        <v>0</v>
      </c>
      <c r="I2967" s="2">
        <v>0</v>
      </c>
      <c r="J2967" s="1">
        <v>45915.37872685185</v>
      </c>
    </row>
    <row r="2968" spans="1:10" x14ac:dyDescent="0.2">
      <c r="A2968" s="4" t="s">
        <v>1</v>
      </c>
      <c r="B2968" s="3" t="str">
        <f>HYPERLINK("https://otsuka-europe-crm.veevavault.com/ui/#object/approved_document__v/V5OZ025E82TFUPI", "Spain - HCP Survey Email - June 2025")</f>
        <v>Spain - HCP Survey Email - June 2025</v>
      </c>
      <c r="C2968" s="3" t="str">
        <f>HYPERLINK("https://otsuka-europe-crm.veevavault.com/ui/#object/sent_email__v/VBLZ025E82GMZXB", "SE-000270081")</f>
        <v>SE-000270081</v>
      </c>
      <c r="D2968" s="1">
        <v>45915.451782407406</v>
      </c>
      <c r="E2968" s="2">
        <v>1</v>
      </c>
      <c r="F2968" s="2">
        <v>2</v>
      </c>
      <c r="G2968" s="2">
        <v>0</v>
      </c>
      <c r="H2968" s="1" t="s">
        <v>0</v>
      </c>
      <c r="I2968" s="2">
        <v>0</v>
      </c>
      <c r="J2968" s="1">
        <v>45915.37909722222</v>
      </c>
    </row>
    <row r="2969" spans="1:10" x14ac:dyDescent="0.2">
      <c r="A2969" s="4" t="s">
        <v>1</v>
      </c>
      <c r="B2969" s="3" t="str">
        <f>HYPERLINK("https://otsuka-europe-crm.veevavault.com/ui/#object/approved_document__v/V5OZ025E82TFUPI", "Spain - HCP Survey Email - June 2025")</f>
        <v>Spain - HCP Survey Email - June 2025</v>
      </c>
      <c r="C2969" s="3" t="str">
        <f>HYPERLINK("https://otsuka-europe-crm.veevavault.com/ui/#object/sent_email__v/VBLZ025E82GMZXC", "SE-000270082")</f>
        <v>SE-000270082</v>
      </c>
      <c r="D2969" s="1" t="s">
        <v>0</v>
      </c>
      <c r="E2969" s="2">
        <v>0</v>
      </c>
      <c r="F2969" s="2">
        <v>0</v>
      </c>
      <c r="G2969" s="2">
        <v>0</v>
      </c>
      <c r="H2969" s="1" t="s">
        <v>0</v>
      </c>
      <c r="I2969" s="2">
        <v>0</v>
      </c>
      <c r="J2969" s="1">
        <v>45915.377870370372</v>
      </c>
    </row>
    <row r="2970" spans="1:10" x14ac:dyDescent="0.2">
      <c r="A2970" s="4" t="s">
        <v>1</v>
      </c>
      <c r="B2970" s="3" t="str">
        <f>HYPERLINK("https://otsuka-europe-crm.veevavault.com/ui/#object/approved_document__v/V5OZ025E82TFUPI", "Spain - HCP Survey Email - June 2025")</f>
        <v>Spain - HCP Survey Email - June 2025</v>
      </c>
      <c r="C2970" s="3" t="str">
        <f>HYPERLINK("https://otsuka-europe-crm.veevavault.com/ui/#object/sent_email__v/VBLZ025E82GMZXD", "SE-000270083")</f>
        <v>SE-000270083</v>
      </c>
      <c r="D2970" s="1" t="s">
        <v>0</v>
      </c>
      <c r="E2970" s="2">
        <v>0</v>
      </c>
      <c r="F2970" s="2">
        <v>0</v>
      </c>
      <c r="G2970" s="2">
        <v>0</v>
      </c>
      <c r="H2970" s="1" t="s">
        <v>0</v>
      </c>
      <c r="I2970" s="2">
        <v>0</v>
      </c>
      <c r="J2970" s="1">
        <v>45915.378275462965</v>
      </c>
    </row>
    <row r="2971" spans="1:10" x14ac:dyDescent="0.2">
      <c r="A2971" s="4" t="s">
        <v>1</v>
      </c>
      <c r="B2971" s="3" t="str">
        <f>HYPERLINK("https://otsuka-europe-crm.veevavault.com/ui/#object/approved_document__v/V5OZ025E82TFUPI", "Spain - HCP Survey Email - June 2025")</f>
        <v>Spain - HCP Survey Email - June 2025</v>
      </c>
      <c r="C2971" s="3" t="str">
        <f>HYPERLINK("https://otsuka-europe-crm.veevavault.com/ui/#object/sent_email__v/VBLZ025E82GMZXE", "SE-000270084")</f>
        <v>SE-000270084</v>
      </c>
      <c r="D2971" s="1" t="s">
        <v>0</v>
      </c>
      <c r="E2971" s="2">
        <v>0</v>
      </c>
      <c r="F2971" s="2">
        <v>0</v>
      </c>
      <c r="G2971" s="2">
        <v>0</v>
      </c>
      <c r="H2971" s="1" t="s">
        <v>0</v>
      </c>
      <c r="I2971" s="2">
        <v>0</v>
      </c>
      <c r="J2971" s="1">
        <v>45915.378148148149</v>
      </c>
    </row>
    <row r="2972" spans="1:10" x14ac:dyDescent="0.2">
      <c r="A2972" s="4" t="s">
        <v>1</v>
      </c>
      <c r="B2972" s="3" t="str">
        <f>HYPERLINK("https://otsuka-europe-crm.veevavault.com/ui/#object/approved_document__v/V5OZ025E82TFUPI", "Spain - HCP Survey Email - June 2025")</f>
        <v>Spain - HCP Survey Email - June 2025</v>
      </c>
      <c r="C2972" s="3" t="str">
        <f>HYPERLINK("https://otsuka-europe-crm.veevavault.com/ui/#object/sent_email__v/VBLZ025E82GMZXF", "SE-000270085")</f>
        <v>SE-000270085</v>
      </c>
      <c r="D2972" s="1" t="s">
        <v>0</v>
      </c>
      <c r="E2972" s="2">
        <v>0</v>
      </c>
      <c r="F2972" s="2">
        <v>0</v>
      </c>
      <c r="G2972" s="2">
        <v>0</v>
      </c>
      <c r="H2972" s="1" t="s">
        <v>0</v>
      </c>
      <c r="I2972" s="2">
        <v>0</v>
      </c>
      <c r="J2972" s="1">
        <v>45915.378564814811</v>
      </c>
    </row>
    <row r="2973" spans="1:10" x14ac:dyDescent="0.2">
      <c r="A2973" s="4" t="s">
        <v>1</v>
      </c>
      <c r="B2973" s="3" t="str">
        <f>HYPERLINK("https://otsuka-europe-crm.veevavault.com/ui/#object/approved_document__v/V5OZ025E82TFUPI", "Spain - HCP Survey Email - June 2025")</f>
        <v>Spain - HCP Survey Email - June 2025</v>
      </c>
      <c r="C2973" s="3" t="str">
        <f>HYPERLINK("https://otsuka-europe-crm.veevavault.com/ui/#object/sent_email__v/VBLZ025E82GMZXG", "SE-000270086")</f>
        <v>SE-000270086</v>
      </c>
      <c r="D2973" s="1" t="s">
        <v>0</v>
      </c>
      <c r="E2973" s="2">
        <v>0</v>
      </c>
      <c r="F2973" s="2">
        <v>0</v>
      </c>
      <c r="G2973" s="2">
        <v>0</v>
      </c>
      <c r="H2973" s="1" t="s">
        <v>0</v>
      </c>
      <c r="I2973" s="2">
        <v>0</v>
      </c>
      <c r="J2973" s="1">
        <v>45915.379525462966</v>
      </c>
    </row>
    <row r="2974" spans="1:10" x14ac:dyDescent="0.2">
      <c r="A2974" s="4" t="s">
        <v>1</v>
      </c>
      <c r="B2974" s="3" t="str">
        <f>HYPERLINK("https://otsuka-europe-crm.veevavault.com/ui/#object/approved_document__v/V5OZ025E82TFUPI", "Spain - HCP Survey Email - June 2025")</f>
        <v>Spain - HCP Survey Email - June 2025</v>
      </c>
      <c r="C2974" s="3" t="str">
        <f>HYPERLINK("https://otsuka-europe-crm.veevavault.com/ui/#object/sent_email__v/VBLZ025E82GMZXH", "SE-000270087")</f>
        <v>SE-000270087</v>
      </c>
      <c r="D2974" s="1" t="s">
        <v>0</v>
      </c>
      <c r="E2974" s="2">
        <v>0</v>
      </c>
      <c r="F2974" s="2">
        <v>0</v>
      </c>
      <c r="G2974" s="2">
        <v>0</v>
      </c>
      <c r="H2974" s="1" t="s">
        <v>0</v>
      </c>
      <c r="I2974" s="2">
        <v>0</v>
      </c>
      <c r="J2974" s="1">
        <v>45915.379293981481</v>
      </c>
    </row>
    <row r="2975" spans="1:10" x14ac:dyDescent="0.2">
      <c r="A2975" s="4" t="s">
        <v>1</v>
      </c>
      <c r="B2975" s="3" t="str">
        <f>HYPERLINK("https://otsuka-europe-crm.veevavault.com/ui/#object/approved_document__v/V5OZ025E82TFUPI", "Spain - HCP Survey Email - June 2025")</f>
        <v>Spain - HCP Survey Email - June 2025</v>
      </c>
      <c r="C2975" s="3" t="str">
        <f>HYPERLINK("https://otsuka-europe-crm.veevavault.com/ui/#object/sent_email__v/VBLZ025E82GMZXI", "SE-000270088")</f>
        <v>SE-000270088</v>
      </c>
      <c r="D2975" s="1" t="s">
        <v>0</v>
      </c>
      <c r="E2975" s="2">
        <v>0</v>
      </c>
      <c r="F2975" s="2">
        <v>0</v>
      </c>
      <c r="G2975" s="2">
        <v>0</v>
      </c>
      <c r="H2975" s="1" t="s">
        <v>0</v>
      </c>
      <c r="I2975" s="2">
        <v>0</v>
      </c>
      <c r="J2975" s="1">
        <v>45915.377418981479</v>
      </c>
    </row>
    <row r="2976" spans="1:10" x14ac:dyDescent="0.2">
      <c r="A2976" s="4" t="s">
        <v>1</v>
      </c>
      <c r="B2976" s="3" t="str">
        <f>HYPERLINK("https://otsuka-europe-crm.veevavault.com/ui/#object/approved_document__v/V5OZ025E82TFUPI", "Spain - HCP Survey Email - June 2025")</f>
        <v>Spain - HCP Survey Email - June 2025</v>
      </c>
      <c r="C2976" s="3" t="str">
        <f>HYPERLINK("https://otsuka-europe-crm.veevavault.com/ui/#object/sent_email__v/VBLZ025E82GMZXJ", "SE-000270089")</f>
        <v>SE-000270089</v>
      </c>
      <c r="D2976" s="1">
        <v>45915.504374999997</v>
      </c>
      <c r="E2976" s="2">
        <v>1</v>
      </c>
      <c r="F2976" s="2">
        <v>1</v>
      </c>
      <c r="G2976" s="2">
        <v>0</v>
      </c>
      <c r="H2976" s="1" t="s">
        <v>0</v>
      </c>
      <c r="I2976" s="2">
        <v>0</v>
      </c>
      <c r="J2976" s="1">
        <v>45915.378379629627</v>
      </c>
    </row>
    <row r="2977" spans="1:10" x14ac:dyDescent="0.2">
      <c r="A2977" s="4" t="s">
        <v>1</v>
      </c>
      <c r="B2977" s="3" t="str">
        <f>HYPERLINK("https://otsuka-europe-crm.veevavault.com/ui/#object/approved_document__v/V5OZ025E82TFUPI", "Spain - HCP Survey Email - June 2025")</f>
        <v>Spain - HCP Survey Email - June 2025</v>
      </c>
      <c r="C2977" s="3" t="str">
        <f>HYPERLINK("https://otsuka-europe-crm.veevavault.com/ui/#object/sent_email__v/VBLZ025E82GMZXK", "SE-000270090")</f>
        <v>SE-000270090</v>
      </c>
      <c r="D2977" s="1">
        <v>45985.77820601852</v>
      </c>
      <c r="E2977" s="2">
        <v>1</v>
      </c>
      <c r="F2977" s="2">
        <v>10</v>
      </c>
      <c r="G2977" s="2">
        <v>1</v>
      </c>
      <c r="H2977" s="1">
        <v>45981.588252314818</v>
      </c>
      <c r="I2977" s="2">
        <v>2</v>
      </c>
      <c r="J2977" s="1">
        <v>45915.378912037035</v>
      </c>
    </row>
    <row r="2978" spans="1:10" x14ac:dyDescent="0.2">
      <c r="A2978" s="4" t="s">
        <v>1</v>
      </c>
      <c r="B2978" s="3" t="str">
        <f>HYPERLINK("https://otsuka-europe-crm.veevavault.com/ui/#object/approved_document__v/V5OZ025E82TFUPI", "Spain - HCP Survey Email - June 2025")</f>
        <v>Spain - HCP Survey Email - June 2025</v>
      </c>
      <c r="C2978" s="3" t="str">
        <f>HYPERLINK("https://otsuka-europe-crm.veevavault.com/ui/#object/sent_email__v/VBLZ025E82GMZXL", "SE-000270091")</f>
        <v>SE-000270091</v>
      </c>
      <c r="D2978" s="1">
        <v>45915.381099537037</v>
      </c>
      <c r="E2978" s="2">
        <v>1</v>
      </c>
      <c r="F2978" s="2">
        <v>1</v>
      </c>
      <c r="G2978" s="2">
        <v>0</v>
      </c>
      <c r="H2978" s="1" t="s">
        <v>0</v>
      </c>
      <c r="I2978" s="2">
        <v>0</v>
      </c>
      <c r="J2978" s="1">
        <v>45915.378761574073</v>
      </c>
    </row>
    <row r="2979" spans="1:10" x14ac:dyDescent="0.2">
      <c r="A2979" s="4" t="s">
        <v>1</v>
      </c>
      <c r="B2979" s="3" t="str">
        <f>HYPERLINK("https://otsuka-europe-crm.veevavault.com/ui/#object/approved_document__v/V5OZ025E82TFUPI", "Spain - HCP Survey Email - June 2025")</f>
        <v>Spain - HCP Survey Email - June 2025</v>
      </c>
      <c r="C2979" s="3" t="str">
        <f>HYPERLINK("https://otsuka-europe-crm.veevavault.com/ui/#object/sent_email__v/VBLZ025E82GMZXM", "SE-000270092")</f>
        <v>SE-000270092</v>
      </c>
      <c r="D2979" s="1">
        <v>45917.564039351855</v>
      </c>
      <c r="E2979" s="2">
        <v>1</v>
      </c>
      <c r="F2979" s="2">
        <v>1</v>
      </c>
      <c r="G2979" s="2">
        <v>0</v>
      </c>
      <c r="H2979" s="1" t="s">
        <v>0</v>
      </c>
      <c r="I2979" s="2">
        <v>0</v>
      </c>
      <c r="J2979" s="1">
        <v>45915.379155092596</v>
      </c>
    </row>
    <row r="2980" spans="1:10" x14ac:dyDescent="0.2">
      <c r="A2980" s="4" t="s">
        <v>1</v>
      </c>
      <c r="B2980" s="3" t="str">
        <f>HYPERLINK("https://otsuka-europe-crm.veevavault.com/ui/#object/approved_document__v/V5OZ025E82TFUPI", "Spain - HCP Survey Email - June 2025")</f>
        <v>Spain - HCP Survey Email - June 2025</v>
      </c>
      <c r="C2980" s="3" t="str">
        <f>HYPERLINK("https://otsuka-europe-crm.veevavault.com/ui/#object/sent_email__v/VBLZ025E82GMZXN", "SE-000270093")</f>
        <v>SE-000270093</v>
      </c>
      <c r="D2980" s="1" t="s">
        <v>0</v>
      </c>
      <c r="E2980" s="2">
        <v>0</v>
      </c>
      <c r="F2980" s="2">
        <v>0</v>
      </c>
      <c r="G2980" s="2">
        <v>0</v>
      </c>
      <c r="H2980" s="1" t="s">
        <v>0</v>
      </c>
      <c r="I2980" s="2">
        <v>0</v>
      </c>
      <c r="J2980" s="1">
        <v>45915.377870370372</v>
      </c>
    </row>
    <row r="2981" spans="1:10" x14ac:dyDescent="0.2">
      <c r="A2981" s="4" t="s">
        <v>1</v>
      </c>
      <c r="B2981" s="3" t="str">
        <f>HYPERLINK("https://otsuka-europe-crm.veevavault.com/ui/#object/approved_document__v/V5OZ025E82TFUPI", "Spain - HCP Survey Email - June 2025")</f>
        <v>Spain - HCP Survey Email - June 2025</v>
      </c>
      <c r="C2981" s="3" t="str">
        <f>HYPERLINK("https://otsuka-europe-crm.veevavault.com/ui/#object/sent_email__v/VBLZ025E82GMZXO", "SE-000270094")</f>
        <v>SE-000270094</v>
      </c>
      <c r="D2981" s="1">
        <v>45915.920694444445</v>
      </c>
      <c r="E2981" s="2">
        <v>1</v>
      </c>
      <c r="F2981" s="2">
        <v>1</v>
      </c>
      <c r="G2981" s="2">
        <v>0</v>
      </c>
      <c r="H2981" s="1" t="s">
        <v>0</v>
      </c>
      <c r="I2981" s="2">
        <v>0</v>
      </c>
      <c r="J2981" s="1">
        <v>45915.378298611111</v>
      </c>
    </row>
    <row r="2982" spans="1:10" x14ac:dyDescent="0.2">
      <c r="A2982" s="4" t="s">
        <v>1</v>
      </c>
      <c r="B2982" s="3" t="str">
        <f>HYPERLINK("https://otsuka-europe-crm.veevavault.com/ui/#object/approved_document__v/V5OZ025E82TFUPI", "Spain - HCP Survey Email - June 2025")</f>
        <v>Spain - HCP Survey Email - June 2025</v>
      </c>
      <c r="C2982" s="3" t="str">
        <f>HYPERLINK("https://otsuka-europe-crm.veevavault.com/ui/#object/sent_email__v/VBLZ025E82GMZXP", "SE-000270095")</f>
        <v>SE-000270095</v>
      </c>
      <c r="D2982" s="1" t="s">
        <v>0</v>
      </c>
      <c r="E2982" s="2">
        <v>0</v>
      </c>
      <c r="F2982" s="2">
        <v>0</v>
      </c>
      <c r="G2982" s="2">
        <v>0</v>
      </c>
      <c r="H2982" s="1" t="s">
        <v>0</v>
      </c>
      <c r="I2982" s="2">
        <v>0</v>
      </c>
      <c r="J2982" s="1">
        <v>45915.378125000003</v>
      </c>
    </row>
    <row r="2983" spans="1:10" x14ac:dyDescent="0.2">
      <c r="A2983" s="4" t="s">
        <v>1</v>
      </c>
      <c r="B2983" s="3" t="str">
        <f>HYPERLINK("https://otsuka-europe-crm.veevavault.com/ui/#object/approved_document__v/V5OZ025E82TFUPI", "Spain - HCP Survey Email - June 2025")</f>
        <v>Spain - HCP Survey Email - June 2025</v>
      </c>
      <c r="C2983" s="3" t="str">
        <f>HYPERLINK("https://otsuka-europe-crm.veevavault.com/ui/#object/sent_email__v/VBLZ025E82GMZXQ", "SE-000270096")</f>
        <v>SE-000270096</v>
      </c>
      <c r="D2983" s="1" t="s">
        <v>0</v>
      </c>
      <c r="E2983" s="2">
        <v>0</v>
      </c>
      <c r="F2983" s="2">
        <v>0</v>
      </c>
      <c r="G2983" s="2">
        <v>0</v>
      </c>
      <c r="H2983" s="1" t="s">
        <v>0</v>
      </c>
      <c r="I2983" s="2">
        <v>0</v>
      </c>
      <c r="J2983" s="1">
        <v>45915.378611111111</v>
      </c>
    </row>
    <row r="2984" spans="1:10" x14ac:dyDescent="0.2">
      <c r="A2984" s="4" t="s">
        <v>1</v>
      </c>
      <c r="B2984" s="3" t="str">
        <f>HYPERLINK("https://otsuka-europe-crm.veevavault.com/ui/#object/approved_document__v/V5OZ025E82TFUPI", "Spain - HCP Survey Email - June 2025")</f>
        <v>Spain - HCP Survey Email - June 2025</v>
      </c>
      <c r="C2984" s="3" t="str">
        <f>HYPERLINK("https://otsuka-europe-crm.veevavault.com/ui/#object/sent_email__v/VBLZ025E82GMZXR", "SE-000270097")</f>
        <v>SE-000270097</v>
      </c>
      <c r="D2984" s="1">
        <v>45933.408437500002</v>
      </c>
      <c r="E2984" s="2">
        <v>1</v>
      </c>
      <c r="F2984" s="2">
        <v>4</v>
      </c>
      <c r="G2984" s="2">
        <v>0</v>
      </c>
      <c r="H2984" s="1" t="s">
        <v>0</v>
      </c>
      <c r="I2984" s="2">
        <v>0</v>
      </c>
      <c r="J2984" s="1">
        <v>45915.379594907405</v>
      </c>
    </row>
    <row r="2985" spans="1:10" x14ac:dyDescent="0.2">
      <c r="A2985" s="4" t="s">
        <v>1</v>
      </c>
      <c r="B2985" s="3" t="str">
        <f>HYPERLINK("https://otsuka-europe-crm.veevavault.com/ui/#object/approved_document__v/V5OZ025E82TFUPI", "Spain - HCP Survey Email - June 2025")</f>
        <v>Spain - HCP Survey Email - June 2025</v>
      </c>
      <c r="C2985" s="3" t="str">
        <f>HYPERLINK("https://otsuka-europe-crm.veevavault.com/ui/#object/sent_email__v/VBLZ025E82GMZXS", "SE-000270098")</f>
        <v>SE-000270098</v>
      </c>
      <c r="D2985" s="1" t="s">
        <v>0</v>
      </c>
      <c r="E2985" s="2">
        <v>0</v>
      </c>
      <c r="F2985" s="2">
        <v>0</v>
      </c>
      <c r="G2985" s="2">
        <v>0</v>
      </c>
      <c r="H2985" s="1" t="s">
        <v>0</v>
      </c>
      <c r="I2985" s="2">
        <v>0</v>
      </c>
      <c r="J2985" s="1">
        <v>45915.379293981481</v>
      </c>
    </row>
    <row r="2986" spans="1:10" x14ac:dyDescent="0.2">
      <c r="A2986" s="4" t="s">
        <v>1</v>
      </c>
      <c r="B2986" s="3" t="str">
        <f>HYPERLINK("https://otsuka-europe-crm.veevavault.com/ui/#object/approved_document__v/V5OZ025E82TFUPI", "Spain - HCP Survey Email - June 2025")</f>
        <v>Spain - HCP Survey Email - June 2025</v>
      </c>
      <c r="C2986" s="3" t="str">
        <f>HYPERLINK("https://otsuka-europe-crm.veevavault.com/ui/#object/sent_email__v/VBLZ025E82GMZXT", "SE-000270099")</f>
        <v>SE-000270099</v>
      </c>
      <c r="D2986" s="1">
        <v>45915.925567129627</v>
      </c>
      <c r="E2986" s="2">
        <v>1</v>
      </c>
      <c r="F2986" s="2">
        <v>2</v>
      </c>
      <c r="G2986" s="2">
        <v>1</v>
      </c>
      <c r="H2986" s="1">
        <v>45915.925625000003</v>
      </c>
      <c r="I2986" s="2">
        <v>1</v>
      </c>
      <c r="J2986" s="1">
        <v>45915.377430555556</v>
      </c>
    </row>
    <row r="2987" spans="1:10" x14ac:dyDescent="0.2">
      <c r="A2987" s="4" t="s">
        <v>1</v>
      </c>
      <c r="B2987" s="3" t="str">
        <f>HYPERLINK("https://otsuka-europe-crm.veevavault.com/ui/#object/approved_document__v/V5OZ025E82TFUPI", "Spain - HCP Survey Email - June 2025")</f>
        <v>Spain - HCP Survey Email - June 2025</v>
      </c>
      <c r="C2987" s="3" t="str">
        <f>HYPERLINK("https://otsuka-europe-crm.veevavault.com/ui/#object/sent_email__v/VBLZ025E82GMZXU", "SE-000270100")</f>
        <v>SE-000270100</v>
      </c>
      <c r="D2987" s="1">
        <v>45915.403900462959</v>
      </c>
      <c r="E2987" s="2">
        <v>1</v>
      </c>
      <c r="F2987" s="2">
        <v>1</v>
      </c>
      <c r="G2987" s="2">
        <v>1</v>
      </c>
      <c r="H2987" s="1">
        <v>45915.404062499998</v>
      </c>
      <c r="I2987" s="2">
        <v>1</v>
      </c>
      <c r="J2987" s="1">
        <v>45915.37841435185</v>
      </c>
    </row>
    <row r="2988" spans="1:10" x14ac:dyDescent="0.2">
      <c r="A2988" s="4" t="s">
        <v>1</v>
      </c>
      <c r="B2988" s="3" t="str">
        <f>HYPERLINK("https://otsuka-europe-crm.veevavault.com/ui/#object/approved_document__v/V5OZ025E82TFUPI", "Spain - HCP Survey Email - June 2025")</f>
        <v>Spain - HCP Survey Email - June 2025</v>
      </c>
      <c r="C2988" s="3" t="str">
        <f>HYPERLINK("https://otsuka-europe-crm.veevavault.com/ui/#object/sent_email__v/VBLZ025E82GMZXV", "SE-000270101")</f>
        <v>SE-000270101</v>
      </c>
      <c r="D2988" s="1">
        <v>45915.892395833333</v>
      </c>
      <c r="E2988" s="2">
        <v>1</v>
      </c>
      <c r="F2988" s="2">
        <v>1</v>
      </c>
      <c r="G2988" s="2">
        <v>1</v>
      </c>
      <c r="H2988" s="1">
        <v>45915.89261574074</v>
      </c>
      <c r="I2988" s="2">
        <v>1</v>
      </c>
      <c r="J2988" s="1">
        <v>45915.378888888888</v>
      </c>
    </row>
    <row r="2989" spans="1:10" x14ac:dyDescent="0.2">
      <c r="A2989" s="4" t="s">
        <v>1</v>
      </c>
      <c r="B2989" s="3" t="str">
        <f>HYPERLINK("https://otsuka-europe-crm.veevavault.com/ui/#object/approved_document__v/V5OZ025E82TFUPI", "Spain - HCP Survey Email - June 2025")</f>
        <v>Spain - HCP Survey Email - June 2025</v>
      </c>
      <c r="C2989" s="3" t="str">
        <f>HYPERLINK("https://otsuka-europe-crm.veevavault.com/ui/#object/sent_email__v/VBLZ025E82GMZXW", "SE-000270102")</f>
        <v>SE-000270102</v>
      </c>
      <c r="D2989" s="1">
        <v>45915.776805555557</v>
      </c>
      <c r="E2989" s="2">
        <v>1</v>
      </c>
      <c r="F2989" s="2">
        <v>2</v>
      </c>
      <c r="G2989" s="2">
        <v>1</v>
      </c>
      <c r="H2989" s="1">
        <v>45915.776967592596</v>
      </c>
      <c r="I2989" s="2">
        <v>1</v>
      </c>
      <c r="J2989" s="1">
        <v>45915.378703703704</v>
      </c>
    </row>
    <row r="2990" spans="1:10" x14ac:dyDescent="0.2">
      <c r="A2990" s="4" t="s">
        <v>1</v>
      </c>
      <c r="B2990" s="3" t="str">
        <f>HYPERLINK("https://otsuka-europe-crm.veevavault.com/ui/#object/approved_document__v/V5OZ025E82TFUPI", "Spain - HCP Survey Email - June 2025")</f>
        <v>Spain - HCP Survey Email - June 2025</v>
      </c>
      <c r="C2990" s="3" t="str">
        <f>HYPERLINK("https://otsuka-europe-crm.veevavault.com/ui/#object/sent_email__v/VBLZ025E82GMZXX", "SE-000270103")</f>
        <v>SE-000270103</v>
      </c>
      <c r="D2990" s="1" t="s">
        <v>0</v>
      </c>
      <c r="E2990" s="2">
        <v>0</v>
      </c>
      <c r="F2990" s="2">
        <v>0</v>
      </c>
      <c r="G2990" s="2">
        <v>0</v>
      </c>
      <c r="H2990" s="1" t="s">
        <v>0</v>
      </c>
      <c r="I2990" s="2">
        <v>0</v>
      </c>
      <c r="J2990" s="1">
        <v>45915.379236111112</v>
      </c>
    </row>
    <row r="2991" spans="1:10" x14ac:dyDescent="0.2">
      <c r="A2991" s="4" t="s">
        <v>1</v>
      </c>
      <c r="B2991" s="3" t="str">
        <f>HYPERLINK("https://otsuka-europe-crm.veevavault.com/ui/#object/approved_document__v/V5OZ025E82TFUPI", "Spain - HCP Survey Email - June 2025")</f>
        <v>Spain - HCP Survey Email - June 2025</v>
      </c>
      <c r="C2991" s="3" t="str">
        <f>HYPERLINK("https://otsuka-europe-crm.veevavault.com/ui/#object/sent_email__v/VBLZ025E82GMZXY", "SE-000270104")</f>
        <v>SE-000270104</v>
      </c>
      <c r="D2991" s="1">
        <v>45915.377476851849</v>
      </c>
      <c r="E2991" s="2">
        <v>1</v>
      </c>
      <c r="F2991" s="2">
        <v>1</v>
      </c>
      <c r="G2991" s="2">
        <v>1</v>
      </c>
      <c r="H2991" s="1">
        <v>45915.377858796295</v>
      </c>
      <c r="I2991" s="2">
        <v>2</v>
      </c>
      <c r="J2991" s="1">
        <v>45915.377372685187</v>
      </c>
    </row>
    <row r="2992" spans="1:10" x14ac:dyDescent="0.2">
      <c r="A2992" s="4" t="s">
        <v>1</v>
      </c>
      <c r="B2992" s="3" t="str">
        <f>HYPERLINK("https://otsuka-europe-crm.veevavault.com/ui/#object/approved_document__v/V5OZ025E82TFUPI", "Spain - HCP Survey Email - June 2025")</f>
        <v>Spain - HCP Survey Email - June 2025</v>
      </c>
      <c r="C2992" s="3" t="str">
        <f>HYPERLINK("https://otsuka-europe-crm.veevavault.com/ui/#object/sent_email__v/VBLZ025E82GMZXZ", "SE-000270105")</f>
        <v>SE-000270105</v>
      </c>
      <c r="D2992" s="1" t="s">
        <v>0</v>
      </c>
      <c r="E2992" s="2">
        <v>0</v>
      </c>
      <c r="F2992" s="2">
        <v>0</v>
      </c>
      <c r="G2992" s="2">
        <v>0</v>
      </c>
      <c r="H2992" s="1" t="s">
        <v>0</v>
      </c>
      <c r="I2992" s="2">
        <v>0</v>
      </c>
      <c r="J2992" s="1">
        <v>45915.37841435185</v>
      </c>
    </row>
    <row r="2993" spans="1:10" x14ac:dyDescent="0.2">
      <c r="A2993" s="4" t="s">
        <v>1</v>
      </c>
      <c r="B2993" s="3" t="str">
        <f>HYPERLINK("https://otsuka-europe-crm.veevavault.com/ui/#object/approved_document__v/V5OZ025E82TFUPI", "Spain - HCP Survey Email - June 2025")</f>
        <v>Spain - HCP Survey Email - June 2025</v>
      </c>
      <c r="C2993" s="3" t="str">
        <f>HYPERLINK("https://otsuka-europe-crm.veevavault.com/ui/#object/sent_email__v/VBLZ025E82GMZY0", "SE-000270106")</f>
        <v>SE-000270106</v>
      </c>
      <c r="D2993" s="1" t="s">
        <v>0</v>
      </c>
      <c r="E2993" s="2">
        <v>0</v>
      </c>
      <c r="F2993" s="2">
        <v>0</v>
      </c>
      <c r="G2993" s="2">
        <v>0</v>
      </c>
      <c r="H2993" s="1" t="s">
        <v>0</v>
      </c>
      <c r="I2993" s="2">
        <v>0</v>
      </c>
      <c r="J2993" s="1">
        <v>45915.378796296296</v>
      </c>
    </row>
    <row r="2994" spans="1:10" x14ac:dyDescent="0.2">
      <c r="A2994" s="4" t="s">
        <v>1</v>
      </c>
      <c r="B2994" s="3" t="str">
        <f>HYPERLINK("https://otsuka-europe-crm.veevavault.com/ui/#object/approved_document__v/V5OZ025E82TFUPI", "Spain - HCP Survey Email - June 2025")</f>
        <v>Spain - HCP Survey Email - June 2025</v>
      </c>
      <c r="C2994" s="3" t="str">
        <f>HYPERLINK("https://otsuka-europe-crm.veevavault.com/ui/#object/sent_email__v/VBLZ025E82GMZY1", "SE-000270107")</f>
        <v>SE-000270107</v>
      </c>
      <c r="D2994" s="1">
        <v>45944.545057870368</v>
      </c>
      <c r="E2994" s="2">
        <v>1</v>
      </c>
      <c r="F2994" s="2">
        <v>3</v>
      </c>
      <c r="G2994" s="2">
        <v>0</v>
      </c>
      <c r="H2994" s="1" t="s">
        <v>0</v>
      </c>
      <c r="I2994" s="2">
        <v>0</v>
      </c>
      <c r="J2994" s="1">
        <v>45915.378831018519</v>
      </c>
    </row>
    <row r="2995" spans="1:10" x14ac:dyDescent="0.2">
      <c r="A2995" s="4" t="s">
        <v>1</v>
      </c>
      <c r="B2995" s="3" t="str">
        <f>HYPERLINK("https://otsuka-europe-crm.veevavault.com/ui/#object/approved_document__v/V5OZ025E82TFUPI", "Spain - HCP Survey Email - June 2025")</f>
        <v>Spain - HCP Survey Email - June 2025</v>
      </c>
      <c r="C2995" s="3" t="str">
        <f>HYPERLINK("https://otsuka-europe-crm.veevavault.com/ui/#object/sent_email__v/VBLZ025E82GMZY2", "SE-000270108")</f>
        <v>SE-000270108</v>
      </c>
      <c r="D2995" s="1" t="s">
        <v>0</v>
      </c>
      <c r="E2995" s="2">
        <v>0</v>
      </c>
      <c r="F2995" s="2">
        <v>0</v>
      </c>
      <c r="G2995" s="2">
        <v>0</v>
      </c>
      <c r="H2995" s="1" t="s">
        <v>0</v>
      </c>
      <c r="I2995" s="2">
        <v>0</v>
      </c>
      <c r="J2995" s="1">
        <v>45915.379224537035</v>
      </c>
    </row>
    <row r="2996" spans="1:10" x14ac:dyDescent="0.2">
      <c r="A2996" s="4" t="s">
        <v>1</v>
      </c>
      <c r="B2996" s="3" t="str">
        <f>HYPERLINK("https://otsuka-europe-crm.veevavault.com/ui/#object/approved_document__v/V5OZ025E82TFUPI", "Spain - HCP Survey Email - June 2025")</f>
        <v>Spain - HCP Survey Email - June 2025</v>
      </c>
      <c r="C2996" s="3" t="str">
        <f>HYPERLINK("https://otsuka-europe-crm.veevavault.com/ui/#object/sent_email__v/VBLZ025E82GMZY4", "SE-000270110")</f>
        <v>SE-000270110</v>
      </c>
      <c r="D2996" s="1" t="s">
        <v>0</v>
      </c>
      <c r="E2996" s="2">
        <v>0</v>
      </c>
      <c r="F2996" s="2">
        <v>0</v>
      </c>
      <c r="G2996" s="2">
        <v>0</v>
      </c>
      <c r="H2996" s="1" t="s">
        <v>0</v>
      </c>
      <c r="I2996" s="2">
        <v>0</v>
      </c>
      <c r="J2996" s="1">
        <v>45915.378310185188</v>
      </c>
    </row>
    <row r="2997" spans="1:10" x14ac:dyDescent="0.2">
      <c r="A2997" s="4" t="s">
        <v>1</v>
      </c>
      <c r="B2997" s="3" t="str">
        <f>HYPERLINK("https://otsuka-europe-crm.veevavault.com/ui/#object/approved_document__v/V5OZ025E82TFUPI", "Spain - HCP Survey Email - June 2025")</f>
        <v>Spain - HCP Survey Email - June 2025</v>
      </c>
      <c r="C2997" s="3" t="str">
        <f>HYPERLINK("https://otsuka-europe-crm.veevavault.com/ui/#object/sent_email__v/VBLZ025E82GMZY5", "SE-000270111")</f>
        <v>SE-000270111</v>
      </c>
      <c r="D2997" s="1" t="s">
        <v>0</v>
      </c>
      <c r="E2997" s="2">
        <v>0</v>
      </c>
      <c r="F2997" s="2">
        <v>0</v>
      </c>
      <c r="G2997" s="2">
        <v>0</v>
      </c>
      <c r="H2997" s="1" t="s">
        <v>0</v>
      </c>
      <c r="I2997" s="2">
        <v>0</v>
      </c>
      <c r="J2997" s="1">
        <v>45915.378148148149</v>
      </c>
    </row>
    <row r="2998" spans="1:10" x14ac:dyDescent="0.2">
      <c r="A2998" s="4" t="s">
        <v>1</v>
      </c>
      <c r="B2998" s="3" t="str">
        <f>HYPERLINK("https://otsuka-europe-crm.veevavault.com/ui/#object/approved_document__v/V5OZ025E82TFUPI", "Spain - HCP Survey Email - June 2025")</f>
        <v>Spain - HCP Survey Email - June 2025</v>
      </c>
      <c r="C2998" s="3" t="str">
        <f>HYPERLINK("https://otsuka-europe-crm.veevavault.com/ui/#object/sent_email__v/VBLZ025E82GMZY6", "SE-000270112")</f>
        <v>SE-000270112</v>
      </c>
      <c r="D2998" s="1">
        <v>45915.402766203704</v>
      </c>
      <c r="E2998" s="2">
        <v>1</v>
      </c>
      <c r="F2998" s="2">
        <v>1</v>
      </c>
      <c r="G2998" s="2">
        <v>0</v>
      </c>
      <c r="H2998" s="1" t="s">
        <v>0</v>
      </c>
      <c r="I2998" s="2">
        <v>0</v>
      </c>
      <c r="J2998" s="1">
        <v>45915.378703703704</v>
      </c>
    </row>
    <row r="2999" spans="1:10" x14ac:dyDescent="0.2">
      <c r="A2999" s="4" t="s">
        <v>1</v>
      </c>
      <c r="B2999" s="3" t="str">
        <f>HYPERLINK("https://otsuka-europe-crm.veevavault.com/ui/#object/approved_document__v/V5OZ025E82TFUPI", "Spain - HCP Survey Email - June 2025")</f>
        <v>Spain - HCP Survey Email - June 2025</v>
      </c>
      <c r="C2999" s="3" t="str">
        <f>HYPERLINK("https://otsuka-europe-crm.veevavault.com/ui/#object/sent_email__v/VBLZ025E82GMZY7", "SE-000270113")</f>
        <v>SE-000270113</v>
      </c>
      <c r="D2999" s="1">
        <v>45915.389247685183</v>
      </c>
      <c r="E2999" s="2">
        <v>1</v>
      </c>
      <c r="F2999" s="2">
        <v>1</v>
      </c>
      <c r="G2999" s="2">
        <v>0</v>
      </c>
      <c r="H2999" s="1" t="s">
        <v>0</v>
      </c>
      <c r="I2999" s="2">
        <v>0</v>
      </c>
      <c r="J2999" s="1">
        <v>45915.379467592589</v>
      </c>
    </row>
    <row r="3000" spans="1:10" x14ac:dyDescent="0.2">
      <c r="A3000" s="4" t="s">
        <v>1</v>
      </c>
      <c r="B3000" s="3" t="str">
        <f>HYPERLINK("https://otsuka-europe-crm.veevavault.com/ui/#object/approved_document__v/V5OZ025E82TFUPI", "Spain - HCP Survey Email - June 2025")</f>
        <v>Spain - HCP Survey Email - June 2025</v>
      </c>
      <c r="C3000" s="3" t="str">
        <f>HYPERLINK("https://otsuka-europe-crm.veevavault.com/ui/#object/sent_email__v/VBLZ025E82GMZY8", "SE-000270114")</f>
        <v>SE-000270114</v>
      </c>
      <c r="D3000" s="1">
        <v>45915.400057870371</v>
      </c>
      <c r="E3000" s="2">
        <v>1</v>
      </c>
      <c r="F3000" s="2">
        <v>2</v>
      </c>
      <c r="G3000" s="2">
        <v>0</v>
      </c>
      <c r="H3000" s="1" t="s">
        <v>0</v>
      </c>
      <c r="I3000" s="2">
        <v>0</v>
      </c>
      <c r="J3000" s="1">
        <v>45915.379212962966</v>
      </c>
    </row>
    <row r="3001" spans="1:10" x14ac:dyDescent="0.2">
      <c r="A3001" s="4" t="s">
        <v>1</v>
      </c>
      <c r="B3001" s="3" t="str">
        <f>HYPERLINK("https://otsuka-europe-crm.veevavault.com/ui/#object/approved_document__v/V5OZ025E82TFUPI", "Spain - HCP Survey Email - June 2025")</f>
        <v>Spain - HCP Survey Email - June 2025</v>
      </c>
      <c r="C3001" s="3" t="str">
        <f>HYPERLINK("https://otsuka-europe-crm.veevavault.com/ui/#object/sent_email__v/VBLZ025E82GMZY9", "SE-000270115")</f>
        <v>SE-000270115</v>
      </c>
      <c r="D3001" s="1" t="s">
        <v>0</v>
      </c>
      <c r="E3001" s="2">
        <v>0</v>
      </c>
      <c r="F3001" s="2">
        <v>0</v>
      </c>
      <c r="G3001" s="2">
        <v>0</v>
      </c>
      <c r="H3001" s="1" t="s">
        <v>0</v>
      </c>
      <c r="I3001" s="2">
        <v>0</v>
      </c>
      <c r="J3001" s="1">
        <v>45915.377500000002</v>
      </c>
    </row>
    <row r="3002" spans="1:10" x14ac:dyDescent="0.2">
      <c r="A3002" s="4" t="s">
        <v>1</v>
      </c>
      <c r="B3002" s="3" t="str">
        <f>HYPERLINK("https://otsuka-europe-crm.veevavault.com/ui/#object/approved_document__v/V5OZ025E82TFUPI", "Spain - HCP Survey Email - June 2025")</f>
        <v>Spain - HCP Survey Email - June 2025</v>
      </c>
      <c r="C3002" s="3" t="str">
        <f>HYPERLINK("https://otsuka-europe-crm.veevavault.com/ui/#object/sent_email__v/VBLZ025E82GMZYA", "SE-000270116")</f>
        <v>SE-000270116</v>
      </c>
      <c r="D3002" s="1" t="s">
        <v>0</v>
      </c>
      <c r="E3002" s="2">
        <v>0</v>
      </c>
      <c r="F3002" s="2">
        <v>0</v>
      </c>
      <c r="G3002" s="2">
        <v>0</v>
      </c>
      <c r="H3002" s="1" t="s">
        <v>0</v>
      </c>
      <c r="I3002" s="2">
        <v>0</v>
      </c>
      <c r="J3002" s="1">
        <v>45915.37841435185</v>
      </c>
    </row>
    <row r="3003" spans="1:10" x14ac:dyDescent="0.2">
      <c r="A3003" s="4" t="s">
        <v>1</v>
      </c>
      <c r="B3003" s="3" t="str">
        <f>HYPERLINK("https://otsuka-europe-crm.veevavault.com/ui/#object/approved_document__v/V5OZ025E82TFUPI", "Spain - HCP Survey Email - June 2025")</f>
        <v>Spain - HCP Survey Email - June 2025</v>
      </c>
      <c r="C3003" s="3" t="str">
        <f>HYPERLINK("https://otsuka-europe-crm.veevavault.com/ui/#object/sent_email__v/VBLZ025E82GMZYB", "SE-000270117")</f>
        <v>SE-000270117</v>
      </c>
      <c r="D3003" s="1" t="s">
        <v>0</v>
      </c>
      <c r="E3003" s="2">
        <v>0</v>
      </c>
      <c r="F3003" s="2">
        <v>0</v>
      </c>
      <c r="G3003" s="2">
        <v>0</v>
      </c>
      <c r="H3003" s="1" t="s">
        <v>0</v>
      </c>
      <c r="I3003" s="2">
        <v>0</v>
      </c>
      <c r="J3003" s="1">
        <v>45915.37877314815</v>
      </c>
    </row>
    <row r="3004" spans="1:10" x14ac:dyDescent="0.2">
      <c r="A3004" s="4" t="s">
        <v>1</v>
      </c>
      <c r="B3004" s="3" t="str">
        <f>HYPERLINK("https://otsuka-europe-crm.veevavault.com/ui/#object/approved_document__v/V5OZ025E82TFUPI", "Spain - HCP Survey Email - June 2025")</f>
        <v>Spain - HCP Survey Email - June 2025</v>
      </c>
      <c r="C3004" s="3" t="str">
        <f>HYPERLINK("https://otsuka-europe-crm.veevavault.com/ui/#object/sent_email__v/VBLZ025E82GMZYC", "SE-000270118")</f>
        <v>SE-000270118</v>
      </c>
      <c r="D3004" s="1">
        <v>45915.433553240742</v>
      </c>
      <c r="E3004" s="2">
        <v>1</v>
      </c>
      <c r="F3004" s="2">
        <v>1</v>
      </c>
      <c r="G3004" s="2">
        <v>0</v>
      </c>
      <c r="H3004" s="1" t="s">
        <v>0</v>
      </c>
      <c r="I3004" s="2">
        <v>0</v>
      </c>
      <c r="J3004" s="1">
        <v>45915.378668981481</v>
      </c>
    </row>
    <row r="3005" spans="1:10" x14ac:dyDescent="0.2">
      <c r="A3005" s="4" t="s">
        <v>1</v>
      </c>
      <c r="B3005" s="3" t="str">
        <f>HYPERLINK("https://otsuka-europe-crm.veevavault.com/ui/#object/approved_document__v/V5OZ025E82TFUPI", "Spain - HCP Survey Email - June 2025")</f>
        <v>Spain - HCP Survey Email - June 2025</v>
      </c>
      <c r="C3005" s="3" t="str">
        <f>HYPERLINK("https://otsuka-europe-crm.veevavault.com/ui/#object/sent_email__v/VBLZ025E82GMZYD", "SE-000270119")</f>
        <v>SE-000270119</v>
      </c>
      <c r="D3005" s="1">
        <v>45915.523194444446</v>
      </c>
      <c r="E3005" s="2">
        <v>1</v>
      </c>
      <c r="F3005" s="2">
        <v>1</v>
      </c>
      <c r="G3005" s="2">
        <v>0</v>
      </c>
      <c r="H3005" s="1" t="s">
        <v>0</v>
      </c>
      <c r="I3005" s="2">
        <v>0</v>
      </c>
      <c r="J3005" s="1">
        <v>45915.379120370373</v>
      </c>
    </row>
    <row r="3006" spans="1:10" x14ac:dyDescent="0.2">
      <c r="A3006" s="4" t="s">
        <v>1</v>
      </c>
      <c r="B3006" s="3" t="str">
        <f>HYPERLINK("https://otsuka-europe-crm.veevavault.com/ui/#object/approved_document__v/V5OZ025E82TFUPI", "Spain - HCP Survey Email - June 2025")</f>
        <v>Spain - HCP Survey Email - June 2025</v>
      </c>
      <c r="C3006" s="3" t="str">
        <f>HYPERLINK("https://otsuka-europe-crm.veevavault.com/ui/#object/sent_email__v/VBLZ025E82GMZYE", "SE-000270120")</f>
        <v>SE-000270120</v>
      </c>
      <c r="D3006" s="1" t="s">
        <v>0</v>
      </c>
      <c r="E3006" s="2">
        <v>0</v>
      </c>
      <c r="F3006" s="2">
        <v>0</v>
      </c>
      <c r="G3006" s="2">
        <v>0</v>
      </c>
      <c r="H3006" s="1" t="s">
        <v>0</v>
      </c>
      <c r="I3006" s="2">
        <v>0</v>
      </c>
      <c r="J3006" s="1">
        <v>45915.377847222226</v>
      </c>
    </row>
    <row r="3007" spans="1:10" x14ac:dyDescent="0.2">
      <c r="A3007" s="4" t="s">
        <v>1</v>
      </c>
      <c r="B3007" s="3" t="str">
        <f>HYPERLINK("https://otsuka-europe-crm.veevavault.com/ui/#object/approved_document__v/V5OZ025E82TFUPI", "Spain - HCP Survey Email - June 2025")</f>
        <v>Spain - HCP Survey Email - June 2025</v>
      </c>
      <c r="C3007" s="3" t="str">
        <f>HYPERLINK("https://otsuka-europe-crm.veevavault.com/ui/#object/sent_email__v/VBLZ025E82GMZYF", "SE-000270121")</f>
        <v>SE-000270121</v>
      </c>
      <c r="D3007" s="1" t="s">
        <v>0</v>
      </c>
      <c r="E3007" s="2">
        <v>0</v>
      </c>
      <c r="F3007" s="2">
        <v>0</v>
      </c>
      <c r="G3007" s="2">
        <v>0</v>
      </c>
      <c r="H3007" s="1" t="s">
        <v>0</v>
      </c>
      <c r="I3007" s="2">
        <v>0</v>
      </c>
      <c r="J3007" s="1">
        <v>45915.378379629627</v>
      </c>
    </row>
    <row r="3008" spans="1:10" x14ac:dyDescent="0.2">
      <c r="A3008" s="4" t="s">
        <v>1</v>
      </c>
      <c r="B3008" s="3" t="str">
        <f>HYPERLINK("https://otsuka-europe-crm.veevavault.com/ui/#object/approved_document__v/V5OZ025E82TFUPI", "Spain - HCP Survey Email - June 2025")</f>
        <v>Spain - HCP Survey Email - June 2025</v>
      </c>
      <c r="C3008" s="3" t="str">
        <f>HYPERLINK("https://otsuka-europe-crm.veevavault.com/ui/#object/sent_email__v/VBLZ025E82GMZYG", "SE-000270122")</f>
        <v>SE-000270122</v>
      </c>
      <c r="D3008" s="1" t="s">
        <v>0</v>
      </c>
      <c r="E3008" s="2">
        <v>0</v>
      </c>
      <c r="F3008" s="2">
        <v>0</v>
      </c>
      <c r="G3008" s="2">
        <v>0</v>
      </c>
      <c r="H3008" s="1" t="s">
        <v>0</v>
      </c>
      <c r="I3008" s="2">
        <v>0</v>
      </c>
      <c r="J3008" s="1">
        <v>45915.37809027778</v>
      </c>
    </row>
    <row r="3009" spans="1:10" x14ac:dyDescent="0.2">
      <c r="A3009" s="4" t="s">
        <v>1</v>
      </c>
      <c r="B3009" s="3" t="str">
        <f>HYPERLINK("https://otsuka-europe-crm.veevavault.com/ui/#object/approved_document__v/V5OZ025E82TFUPI", "Spain - HCP Survey Email - June 2025")</f>
        <v>Spain - HCP Survey Email - June 2025</v>
      </c>
      <c r="C3009" s="3" t="str">
        <f>HYPERLINK("https://otsuka-europe-crm.veevavault.com/ui/#object/sent_email__v/VBLZ025E82GMZYH", "SE-000270123")</f>
        <v>SE-000270123</v>
      </c>
      <c r="D3009" s="1" t="s">
        <v>0</v>
      </c>
      <c r="E3009" s="2">
        <v>0</v>
      </c>
      <c r="F3009" s="2">
        <v>0</v>
      </c>
      <c r="G3009" s="2">
        <v>0</v>
      </c>
      <c r="H3009" s="1" t="s">
        <v>0</v>
      </c>
      <c r="I3009" s="2">
        <v>0</v>
      </c>
      <c r="J3009" s="1">
        <v>45915.378935185188</v>
      </c>
    </row>
    <row r="3010" spans="1:10" x14ac:dyDescent="0.2">
      <c r="A3010" s="4" t="s">
        <v>1</v>
      </c>
      <c r="B3010" s="3" t="str">
        <f>HYPERLINK("https://otsuka-europe-crm.veevavault.com/ui/#object/approved_document__v/V5OZ025E82TFUPI", "Spain - HCP Survey Email - June 2025")</f>
        <v>Spain - HCP Survey Email - June 2025</v>
      </c>
      <c r="C3010" s="3" t="str">
        <f>HYPERLINK("https://otsuka-europe-crm.veevavault.com/ui/#object/sent_email__v/VBLZ025E82GMZYI", "SE-000270124")</f>
        <v>SE-000270124</v>
      </c>
      <c r="D3010" s="1">
        <v>45915.590104166666</v>
      </c>
      <c r="E3010" s="2">
        <v>1</v>
      </c>
      <c r="F3010" s="2">
        <v>1</v>
      </c>
      <c r="G3010" s="2">
        <v>0</v>
      </c>
      <c r="H3010" s="1" t="s">
        <v>0</v>
      </c>
      <c r="I3010" s="2">
        <v>0</v>
      </c>
      <c r="J3010" s="1">
        <v>45915.379618055558</v>
      </c>
    </row>
    <row r="3011" spans="1:10" x14ac:dyDescent="0.2">
      <c r="A3011" s="4" t="s">
        <v>1</v>
      </c>
      <c r="B3011" s="3" t="str">
        <f>HYPERLINK("https://otsuka-europe-crm.veevavault.com/ui/#object/approved_document__v/V5OZ025E82TFUPI", "Spain - HCP Survey Email - June 2025")</f>
        <v>Spain - HCP Survey Email - June 2025</v>
      </c>
      <c r="C3011" s="3" t="str">
        <f>HYPERLINK("https://otsuka-europe-crm.veevavault.com/ui/#object/sent_email__v/VBLZ025E82GMZYJ", "SE-000270125")</f>
        <v>SE-000270125</v>
      </c>
      <c r="D3011" s="1" t="s">
        <v>0</v>
      </c>
      <c r="E3011" s="2">
        <v>0</v>
      </c>
      <c r="F3011" s="2">
        <v>0</v>
      </c>
      <c r="G3011" s="2">
        <v>0</v>
      </c>
      <c r="H3011" s="1" t="s">
        <v>0</v>
      </c>
      <c r="I3011" s="2">
        <v>0</v>
      </c>
      <c r="J3011" s="1">
        <v>45915.379317129627</v>
      </c>
    </row>
    <row r="3012" spans="1:10" x14ac:dyDescent="0.2">
      <c r="A3012" s="4" t="s">
        <v>1</v>
      </c>
      <c r="B3012" s="3" t="str">
        <f>HYPERLINK("https://otsuka-europe-crm.veevavault.com/ui/#object/approved_document__v/V5OZ025E82TFUPI", "Spain - HCP Survey Email - June 2025")</f>
        <v>Spain - HCP Survey Email - June 2025</v>
      </c>
      <c r="C3012" s="3" t="str">
        <f>HYPERLINK("https://otsuka-europe-crm.veevavault.com/ui/#object/sent_email__v/VBLZ025E82GMZYK", "SE-000270126")</f>
        <v>SE-000270126</v>
      </c>
      <c r="D3012" s="1" t="s">
        <v>0</v>
      </c>
      <c r="E3012" s="2">
        <v>0</v>
      </c>
      <c r="F3012" s="2">
        <v>0</v>
      </c>
      <c r="G3012" s="2">
        <v>0</v>
      </c>
      <c r="H3012" s="1" t="s">
        <v>0</v>
      </c>
      <c r="I3012" s="2">
        <v>0</v>
      </c>
      <c r="J3012" s="1">
        <v>45915.377453703702</v>
      </c>
    </row>
    <row r="3013" spans="1:10" x14ac:dyDescent="0.2">
      <c r="A3013" s="4" t="s">
        <v>1</v>
      </c>
      <c r="B3013" s="3" t="str">
        <f>HYPERLINK("https://otsuka-europe-crm.veevavault.com/ui/#object/approved_document__v/V5OZ025E82TFUPI", "Spain - HCP Survey Email - June 2025")</f>
        <v>Spain - HCP Survey Email - June 2025</v>
      </c>
      <c r="C3013" s="3" t="str">
        <f>HYPERLINK("https://otsuka-europe-crm.veevavault.com/ui/#object/sent_email__v/VBLZ025E82GMZYL", "SE-000270127")</f>
        <v>SE-000270127</v>
      </c>
      <c r="D3013" s="1">
        <v>45915.415405092594</v>
      </c>
      <c r="E3013" s="2">
        <v>1</v>
      </c>
      <c r="F3013" s="2">
        <v>1</v>
      </c>
      <c r="G3013" s="2">
        <v>0</v>
      </c>
      <c r="H3013" s="1" t="s">
        <v>0</v>
      </c>
      <c r="I3013" s="2">
        <v>0</v>
      </c>
      <c r="J3013" s="1">
        <v>45915.378425925926</v>
      </c>
    </row>
    <row r="3014" spans="1:10" x14ac:dyDescent="0.2">
      <c r="A3014" s="4" t="s">
        <v>1</v>
      </c>
      <c r="B3014" s="3" t="str">
        <f>HYPERLINK("https://otsuka-europe-crm.veevavault.com/ui/#object/approved_document__v/V5OZ025E82TFUPI", "Spain - HCP Survey Email - June 2025")</f>
        <v>Spain - HCP Survey Email - June 2025</v>
      </c>
      <c r="C3014" s="3" t="str">
        <f>HYPERLINK("https://otsuka-europe-crm.veevavault.com/ui/#object/sent_email__v/VBLZ025E82GMZYM", "SE-000270128")</f>
        <v>SE-000270128</v>
      </c>
      <c r="D3014" s="1" t="s">
        <v>0</v>
      </c>
      <c r="E3014" s="2">
        <v>0</v>
      </c>
      <c r="F3014" s="2">
        <v>0</v>
      </c>
      <c r="G3014" s="2">
        <v>0</v>
      </c>
      <c r="H3014" s="1" t="s">
        <v>0</v>
      </c>
      <c r="I3014" s="2">
        <v>0</v>
      </c>
      <c r="J3014" s="1">
        <v>45915.378900462965</v>
      </c>
    </row>
    <row r="3015" spans="1:10" x14ac:dyDescent="0.2">
      <c r="A3015" s="4" t="s">
        <v>1</v>
      </c>
      <c r="B3015" s="3" t="str">
        <f>HYPERLINK("https://otsuka-europe-crm.veevavault.com/ui/#object/approved_document__v/V5OZ025E82TFUPI", "Spain - HCP Survey Email - June 2025")</f>
        <v>Spain - HCP Survey Email - June 2025</v>
      </c>
      <c r="C3015" s="3" t="str">
        <f>HYPERLINK("https://otsuka-europe-crm.veevavault.com/ui/#object/sent_email__v/VBLZ025E82GMZYN", "SE-000270129")</f>
        <v>SE-000270129</v>
      </c>
      <c r="D3015" s="1" t="s">
        <v>0</v>
      </c>
      <c r="E3015" s="2">
        <v>0</v>
      </c>
      <c r="F3015" s="2">
        <v>0</v>
      </c>
      <c r="G3015" s="2">
        <v>0</v>
      </c>
      <c r="H3015" s="1" t="s">
        <v>0</v>
      </c>
      <c r="I3015" s="2">
        <v>0</v>
      </c>
      <c r="J3015" s="1">
        <v>45915.37872685185</v>
      </c>
    </row>
    <row r="3016" spans="1:10" x14ac:dyDescent="0.2">
      <c r="A3016" s="4" t="s">
        <v>1</v>
      </c>
      <c r="B3016" s="3" t="str">
        <f>HYPERLINK("https://otsuka-europe-crm.veevavault.com/ui/#object/approved_document__v/V5OZ025E82TFUPI", "Spain - HCP Survey Email - June 2025")</f>
        <v>Spain - HCP Survey Email - June 2025</v>
      </c>
      <c r="C3016" s="3" t="str">
        <f>HYPERLINK("https://otsuka-europe-crm.veevavault.com/ui/#object/sent_email__v/VBLZ025E82GMZYO", "SE-000270130")</f>
        <v>SE-000270130</v>
      </c>
      <c r="D3016" s="1" t="s">
        <v>0</v>
      </c>
      <c r="E3016" s="2">
        <v>0</v>
      </c>
      <c r="F3016" s="2">
        <v>0</v>
      </c>
      <c r="G3016" s="2">
        <v>0</v>
      </c>
      <c r="H3016" s="1" t="s">
        <v>0</v>
      </c>
      <c r="I3016" s="2">
        <v>0</v>
      </c>
      <c r="J3016" s="1">
        <v>45915.379131944443</v>
      </c>
    </row>
    <row r="3017" spans="1:10" x14ac:dyDescent="0.2">
      <c r="A3017" s="4" t="s">
        <v>1</v>
      </c>
      <c r="B3017" s="3" t="str">
        <f>HYPERLINK("https://otsuka-europe-crm.veevavault.com/ui/#object/approved_document__v/V5OZ025E82TFUPI", "Spain - HCP Survey Email - June 2025")</f>
        <v>Spain - HCP Survey Email - June 2025</v>
      </c>
      <c r="C3017" s="3" t="str">
        <f>HYPERLINK("https://otsuka-europe-crm.veevavault.com/ui/#object/sent_email__v/VBLZ025E82GMZYP", "SE-000270131")</f>
        <v>SE-000270131</v>
      </c>
      <c r="D3017" s="1" t="s">
        <v>0</v>
      </c>
      <c r="E3017" s="2">
        <v>0</v>
      </c>
      <c r="F3017" s="2">
        <v>0</v>
      </c>
      <c r="G3017" s="2">
        <v>0</v>
      </c>
      <c r="H3017" s="1" t="s">
        <v>0</v>
      </c>
      <c r="I3017" s="2">
        <v>0</v>
      </c>
      <c r="J3017" s="1">
        <v>45915.377870370372</v>
      </c>
    </row>
    <row r="3018" spans="1:10" x14ac:dyDescent="0.2">
      <c r="A3018" s="4" t="s">
        <v>1</v>
      </c>
      <c r="B3018" s="3" t="str">
        <f>HYPERLINK("https://otsuka-europe-crm.veevavault.com/ui/#object/approved_document__v/V5OZ025E82TFUPI", "Spain - HCP Survey Email - June 2025")</f>
        <v>Spain - HCP Survey Email - June 2025</v>
      </c>
      <c r="C3018" s="3" t="str">
        <f>HYPERLINK("https://otsuka-europe-crm.veevavault.com/ui/#object/sent_email__v/VBLZ025E82GMZYQ", "SE-000270132")</f>
        <v>SE-000270132</v>
      </c>
      <c r="D3018" s="1" t="s">
        <v>0</v>
      </c>
      <c r="E3018" s="2">
        <v>0</v>
      </c>
      <c r="F3018" s="2">
        <v>0</v>
      </c>
      <c r="G3018" s="2">
        <v>0</v>
      </c>
      <c r="H3018" s="1" t="s">
        <v>0</v>
      </c>
      <c r="I3018" s="2">
        <v>0</v>
      </c>
      <c r="J3018" s="1">
        <v>45915.378298611111</v>
      </c>
    </row>
    <row r="3019" spans="1:10" x14ac:dyDescent="0.2">
      <c r="A3019" s="4" t="s">
        <v>1</v>
      </c>
      <c r="B3019" s="3" t="str">
        <f>HYPERLINK("https://otsuka-europe-crm.veevavault.com/ui/#object/approved_document__v/V5OZ025E82TFUPI", "Spain - HCP Survey Email - June 2025")</f>
        <v>Spain - HCP Survey Email - June 2025</v>
      </c>
      <c r="C3019" s="3" t="str">
        <f>HYPERLINK("https://otsuka-europe-crm.veevavault.com/ui/#object/sent_email__v/VBLZ025E82GMZYR", "SE-000270133")</f>
        <v>SE-000270133</v>
      </c>
      <c r="D3019" s="1">
        <v>45920.642685185187</v>
      </c>
      <c r="E3019" s="2">
        <v>1</v>
      </c>
      <c r="F3019" s="2">
        <v>2</v>
      </c>
      <c r="G3019" s="2">
        <v>1</v>
      </c>
      <c r="H3019" s="1">
        <v>45920.642939814818</v>
      </c>
      <c r="I3019" s="2">
        <v>1</v>
      </c>
      <c r="J3019" s="1">
        <v>45915.378136574072</v>
      </c>
    </row>
    <row r="3020" spans="1:10" x14ac:dyDescent="0.2">
      <c r="A3020" s="4" t="s">
        <v>1</v>
      </c>
      <c r="B3020" s="3" t="str">
        <f>HYPERLINK("https://otsuka-europe-crm.veevavault.com/ui/#object/approved_document__v/V5OZ025E82TFUPI", "Spain - HCP Survey Email - June 2025")</f>
        <v>Spain - HCP Survey Email - June 2025</v>
      </c>
      <c r="C3020" s="3" t="str">
        <f>HYPERLINK("https://otsuka-europe-crm.veevavault.com/ui/#object/sent_email__v/VBLZ025E82GMZYS", "SE-000270134")</f>
        <v>SE-000270134</v>
      </c>
      <c r="D3020" s="1">
        <v>45915.687835648147</v>
      </c>
      <c r="E3020" s="2">
        <v>1</v>
      </c>
      <c r="F3020" s="2">
        <v>1</v>
      </c>
      <c r="G3020" s="2">
        <v>0</v>
      </c>
      <c r="H3020" s="1" t="s">
        <v>0</v>
      </c>
      <c r="I3020" s="2">
        <v>0</v>
      </c>
      <c r="J3020" s="1">
        <v>45915.378541666665</v>
      </c>
    </row>
    <row r="3021" spans="1:10" x14ac:dyDescent="0.2">
      <c r="A3021" s="4" t="s">
        <v>1</v>
      </c>
      <c r="B3021" s="3" t="str">
        <f>HYPERLINK("https://otsuka-europe-crm.veevavault.com/ui/#object/approved_document__v/V5OZ025E82TFUPI", "Spain - HCP Survey Email - June 2025")</f>
        <v>Spain - HCP Survey Email - June 2025</v>
      </c>
      <c r="C3021" s="3" t="str">
        <f>HYPERLINK("https://otsuka-europe-crm.veevavault.com/ui/#object/sent_email__v/VBLZ025E82GMZYT", "SE-000270135")</f>
        <v>SE-000270135</v>
      </c>
      <c r="D3021" s="1" t="s">
        <v>0</v>
      </c>
      <c r="E3021" s="2">
        <v>0</v>
      </c>
      <c r="F3021" s="2">
        <v>0</v>
      </c>
      <c r="G3021" s="2">
        <v>0</v>
      </c>
      <c r="H3021" s="1" t="s">
        <v>0</v>
      </c>
      <c r="I3021" s="2">
        <v>0</v>
      </c>
      <c r="J3021" s="1">
        <v>45915.379525462966</v>
      </c>
    </row>
    <row r="3022" spans="1:10" x14ac:dyDescent="0.2">
      <c r="A3022" s="4" t="s">
        <v>1</v>
      </c>
      <c r="B3022" s="3" t="str">
        <f>HYPERLINK("https://otsuka-europe-crm.veevavault.com/ui/#object/approved_document__v/V5OZ025E82TFUPI", "Spain - HCP Survey Email - June 2025")</f>
        <v>Spain - HCP Survey Email - June 2025</v>
      </c>
      <c r="C3022" s="3" t="str">
        <f>HYPERLINK("https://otsuka-europe-crm.veevavault.com/ui/#object/sent_email__v/VBLZ025E82GMZYU", "SE-000270136")</f>
        <v>SE-000270136</v>
      </c>
      <c r="D3022" s="1" t="s">
        <v>0</v>
      </c>
      <c r="E3022" s="2">
        <v>0</v>
      </c>
      <c r="F3022" s="2">
        <v>0</v>
      </c>
      <c r="G3022" s="2">
        <v>0</v>
      </c>
      <c r="H3022" s="1" t="s">
        <v>0</v>
      </c>
      <c r="I3022" s="2">
        <v>0</v>
      </c>
      <c r="J3022" s="1">
        <v>45915.379305555558</v>
      </c>
    </row>
    <row r="3023" spans="1:10" x14ac:dyDescent="0.2">
      <c r="A3023" s="4" t="s">
        <v>1</v>
      </c>
      <c r="B3023" s="3" t="str">
        <f>HYPERLINK("https://otsuka-europe-crm.veevavault.com/ui/#object/approved_document__v/V5OZ025E82TFUPI", "Spain - HCP Survey Email - June 2025")</f>
        <v>Spain - HCP Survey Email - June 2025</v>
      </c>
      <c r="C3023" s="3" t="str">
        <f>HYPERLINK("https://otsuka-europe-crm.veevavault.com/ui/#object/sent_email__v/VBLZ025E82GMZYV", "SE-000270137")</f>
        <v>SE-000270137</v>
      </c>
      <c r="D3023" s="1" t="s">
        <v>0</v>
      </c>
      <c r="E3023" s="2">
        <v>0</v>
      </c>
      <c r="F3023" s="2">
        <v>0</v>
      </c>
      <c r="G3023" s="2">
        <v>0</v>
      </c>
      <c r="H3023" s="1" t="s">
        <v>0</v>
      </c>
      <c r="I3023" s="2">
        <v>0</v>
      </c>
      <c r="J3023" s="1">
        <v>45915.377418981479</v>
      </c>
    </row>
    <row r="3024" spans="1:10" x14ac:dyDescent="0.2">
      <c r="A3024" s="4" t="s">
        <v>1</v>
      </c>
      <c r="B3024" s="3" t="str">
        <f>HYPERLINK("https://otsuka-europe-crm.veevavault.com/ui/#object/approved_document__v/V5OZ025E82TFUPI", "Spain - HCP Survey Email - June 2025")</f>
        <v>Spain - HCP Survey Email - June 2025</v>
      </c>
      <c r="C3024" s="3" t="str">
        <f>HYPERLINK("https://otsuka-europe-crm.veevavault.com/ui/#object/sent_email__v/VBLZ025E82GMZYW", "SE-000270138")</f>
        <v>SE-000270138</v>
      </c>
      <c r="D3024" s="1">
        <v>45976.614050925928</v>
      </c>
      <c r="E3024" s="2">
        <v>1</v>
      </c>
      <c r="F3024" s="2">
        <v>2</v>
      </c>
      <c r="G3024" s="2">
        <v>0</v>
      </c>
      <c r="H3024" s="1" t="s">
        <v>0</v>
      </c>
      <c r="I3024" s="2">
        <v>0</v>
      </c>
      <c r="J3024" s="1">
        <v>45915.37840277778</v>
      </c>
    </row>
    <row r="3025" spans="1:10" x14ac:dyDescent="0.2">
      <c r="A3025" s="4" t="s">
        <v>1</v>
      </c>
      <c r="B3025" s="3" t="str">
        <f>HYPERLINK("https://otsuka-europe-crm.veevavault.com/ui/#object/approved_document__v/V5OZ025E82TFUPI", "Spain - HCP Survey Email - June 2025")</f>
        <v>Spain - HCP Survey Email - June 2025</v>
      </c>
      <c r="C3025" s="3" t="str">
        <f>HYPERLINK("https://otsuka-europe-crm.veevavault.com/ui/#object/sent_email__v/VBLZ025E82GMZYX", "SE-000270139")</f>
        <v>SE-000270139</v>
      </c>
      <c r="D3025" s="1">
        <v>45915.896793981483</v>
      </c>
      <c r="E3025" s="2">
        <v>1</v>
      </c>
      <c r="F3025" s="2">
        <v>2</v>
      </c>
      <c r="G3025" s="2">
        <v>0</v>
      </c>
      <c r="H3025" s="1" t="s">
        <v>0</v>
      </c>
      <c r="I3025" s="2">
        <v>0</v>
      </c>
      <c r="J3025" s="1">
        <v>45915.378842592596</v>
      </c>
    </row>
    <row r="3026" spans="1:10" x14ac:dyDescent="0.2">
      <c r="A3026" s="4" t="s">
        <v>1</v>
      </c>
      <c r="B3026" s="3" t="str">
        <f>HYPERLINK("https://otsuka-europe-crm.veevavault.com/ui/#object/approved_document__v/V5OZ025E82TFUPI", "Spain - HCP Survey Email - June 2025")</f>
        <v>Spain - HCP Survey Email - June 2025</v>
      </c>
      <c r="C3026" s="3" t="str">
        <f>HYPERLINK("https://otsuka-europe-crm.veevavault.com/ui/#object/sent_email__v/VBLZ025E82GMZYY", "SE-000270140")</f>
        <v>SE-000270140</v>
      </c>
      <c r="D3026" s="1" t="s">
        <v>0</v>
      </c>
      <c r="E3026" s="2">
        <v>0</v>
      </c>
      <c r="F3026" s="2">
        <v>0</v>
      </c>
      <c r="G3026" s="2">
        <v>0</v>
      </c>
      <c r="H3026" s="1" t="s">
        <v>0</v>
      </c>
      <c r="I3026" s="2">
        <v>0</v>
      </c>
      <c r="J3026" s="1">
        <v>45915.379224537035</v>
      </c>
    </row>
    <row r="3027" spans="1:10" x14ac:dyDescent="0.2">
      <c r="A3027" s="4" t="s">
        <v>1</v>
      </c>
      <c r="B3027" s="3" t="str">
        <f>HYPERLINK("https://otsuka-europe-crm.veevavault.com/ui/#object/approved_document__v/V5OZ025E82TFUPI", "Spain - HCP Survey Email - June 2025")</f>
        <v>Spain - HCP Survey Email - June 2025</v>
      </c>
      <c r="C3027" s="3" t="str">
        <f>HYPERLINK("https://otsuka-europe-crm.veevavault.com/ui/#object/sent_email__v/VBLZ025E82GMZYZ", "SE-000270141")</f>
        <v>SE-000270141</v>
      </c>
      <c r="D3027" s="1">
        <v>45915.80673611111</v>
      </c>
      <c r="E3027" s="2">
        <v>1</v>
      </c>
      <c r="F3027" s="2">
        <v>1</v>
      </c>
      <c r="G3027" s="2">
        <v>0</v>
      </c>
      <c r="H3027" s="1" t="s">
        <v>0</v>
      </c>
      <c r="I3027" s="2">
        <v>0</v>
      </c>
      <c r="J3027" s="1">
        <v>45915.377488425926</v>
      </c>
    </row>
    <row r="3028" spans="1:10" x14ac:dyDescent="0.2">
      <c r="A3028" s="4" t="s">
        <v>1</v>
      </c>
      <c r="B3028" s="3" t="str">
        <f>HYPERLINK("https://otsuka-europe-crm.veevavault.com/ui/#object/approved_document__v/V5OZ025E82TFUPI", "Spain - HCP Survey Email - June 2025")</f>
        <v>Spain - HCP Survey Email - June 2025</v>
      </c>
      <c r="C3028" s="3" t="str">
        <f>HYPERLINK("https://otsuka-europe-crm.veevavault.com/ui/#object/sent_email__v/VBLZ025E82GMZZ0", "SE-000270142")</f>
        <v>SE-000270142</v>
      </c>
      <c r="D3028" s="1" t="s">
        <v>0</v>
      </c>
      <c r="E3028" s="2">
        <v>0</v>
      </c>
      <c r="F3028" s="2">
        <v>0</v>
      </c>
      <c r="G3028" s="2">
        <v>0</v>
      </c>
      <c r="H3028" s="1" t="s">
        <v>0</v>
      </c>
      <c r="I3028" s="2">
        <v>0</v>
      </c>
      <c r="J3028" s="1">
        <v>45915.378379629627</v>
      </c>
    </row>
    <row r="3029" spans="1:10" x14ac:dyDescent="0.2">
      <c r="A3029" s="4" t="s">
        <v>1</v>
      </c>
      <c r="B3029" s="3" t="str">
        <f>HYPERLINK("https://otsuka-europe-crm.veevavault.com/ui/#object/approved_document__v/V5OZ025E82TFUPI", "Spain - HCP Survey Email - June 2025")</f>
        <v>Spain - HCP Survey Email - June 2025</v>
      </c>
      <c r="C3029" s="3" t="str">
        <f>HYPERLINK("https://otsuka-europe-crm.veevavault.com/ui/#object/sent_email__v/VBLZ025E82GMZZ1", "SE-000270143")</f>
        <v>SE-000270143</v>
      </c>
      <c r="D3029" s="1">
        <v>45915.599907407406</v>
      </c>
      <c r="E3029" s="2">
        <v>1</v>
      </c>
      <c r="F3029" s="2">
        <v>4</v>
      </c>
      <c r="G3029" s="2">
        <v>0</v>
      </c>
      <c r="H3029" s="1" t="s">
        <v>0</v>
      </c>
      <c r="I3029" s="2">
        <v>0</v>
      </c>
      <c r="J3029" s="1">
        <v>45915.378784722219</v>
      </c>
    </row>
    <row r="3030" spans="1:10" x14ac:dyDescent="0.2">
      <c r="A3030" s="4" t="s">
        <v>1</v>
      </c>
      <c r="B3030" s="3" t="str">
        <f>HYPERLINK("https://otsuka-europe-crm.veevavault.com/ui/#object/approved_document__v/V5OZ025E82TFUPI", "Spain - HCP Survey Email - June 2025")</f>
        <v>Spain - HCP Survey Email - June 2025</v>
      </c>
      <c r="C3030" s="3" t="str">
        <f>HYPERLINK("https://otsuka-europe-crm.veevavault.com/ui/#object/sent_email__v/VBLZ025E82GMZZ2", "SE-000270144")</f>
        <v>SE-000270144</v>
      </c>
      <c r="D3030" s="1" t="s">
        <v>0</v>
      </c>
      <c r="E3030" s="2">
        <v>0</v>
      </c>
      <c r="F3030" s="2">
        <v>0</v>
      </c>
      <c r="G3030" s="2">
        <v>0</v>
      </c>
      <c r="H3030" s="1" t="s">
        <v>0</v>
      </c>
      <c r="I3030" s="2">
        <v>0</v>
      </c>
      <c r="J3030" s="1">
        <v>45915.378750000003</v>
      </c>
    </row>
    <row r="3031" spans="1:10" x14ac:dyDescent="0.2">
      <c r="A3031" s="4" t="s">
        <v>1</v>
      </c>
      <c r="B3031" s="3" t="str">
        <f>HYPERLINK("https://otsuka-europe-crm.veevavault.com/ui/#object/approved_document__v/V5OZ025E82TFUPI", "Spain - HCP Survey Email - June 2025")</f>
        <v>Spain - HCP Survey Email - June 2025</v>
      </c>
      <c r="C3031" s="3" t="str">
        <f>HYPERLINK("https://otsuka-europe-crm.veevavault.com/ui/#object/sent_email__v/VBLZ025E82GMZZ3", "SE-000270145")</f>
        <v>SE-000270145</v>
      </c>
      <c r="D3031" s="1" t="s">
        <v>0</v>
      </c>
      <c r="E3031" s="2">
        <v>0</v>
      </c>
      <c r="F3031" s="2">
        <v>0</v>
      </c>
      <c r="G3031" s="2">
        <v>0</v>
      </c>
      <c r="H3031" s="1" t="s">
        <v>0</v>
      </c>
      <c r="I3031" s="2">
        <v>0</v>
      </c>
      <c r="J3031" s="1">
        <v>45915.37908564815</v>
      </c>
    </row>
    <row r="3032" spans="1:10" x14ac:dyDescent="0.2">
      <c r="A3032" s="4" t="s">
        <v>1</v>
      </c>
      <c r="B3032" s="3" t="str">
        <f>HYPERLINK("https://otsuka-europe-crm.veevavault.com/ui/#object/approved_document__v/V5OZ025E82TFUPI", "Spain - HCP Survey Email - June 2025")</f>
        <v>Spain - HCP Survey Email - June 2025</v>
      </c>
      <c r="C3032" s="3" t="str">
        <f>HYPERLINK("https://otsuka-europe-crm.veevavault.com/ui/#object/sent_email__v/VBLZ025E82GMZZ4", "SE-000270146")</f>
        <v>SE-000270146</v>
      </c>
      <c r="D3032" s="1" t="s">
        <v>0</v>
      </c>
      <c r="E3032" s="2">
        <v>0</v>
      </c>
      <c r="F3032" s="2">
        <v>0</v>
      </c>
      <c r="G3032" s="2">
        <v>0</v>
      </c>
      <c r="H3032" s="1" t="s">
        <v>0</v>
      </c>
      <c r="I3032" s="2">
        <v>0</v>
      </c>
      <c r="J3032" s="1">
        <v>45915.377835648149</v>
      </c>
    </row>
    <row r="3033" spans="1:10" x14ac:dyDescent="0.2">
      <c r="A3033" s="4" t="s">
        <v>1</v>
      </c>
      <c r="B3033" s="3" t="str">
        <f>HYPERLINK("https://otsuka-europe-crm.veevavault.com/ui/#object/approved_document__v/V5OZ025E82TFUPI", "Spain - HCP Survey Email - June 2025")</f>
        <v>Spain - HCP Survey Email - June 2025</v>
      </c>
      <c r="C3033" s="3" t="str">
        <f>HYPERLINK("https://otsuka-europe-crm.veevavault.com/ui/#object/sent_email__v/VBLZ025E82GMZZ5", "SE-000270147")</f>
        <v>SE-000270147</v>
      </c>
      <c r="D3033" s="1">
        <v>45916.434849537036</v>
      </c>
      <c r="E3033" s="2">
        <v>1</v>
      </c>
      <c r="F3033" s="2">
        <v>1</v>
      </c>
      <c r="G3033" s="2">
        <v>0</v>
      </c>
      <c r="H3033" s="1" t="s">
        <v>0</v>
      </c>
      <c r="I3033" s="2">
        <v>0</v>
      </c>
      <c r="J3033" s="1">
        <v>45915.378275462965</v>
      </c>
    </row>
    <row r="3034" spans="1:10" x14ac:dyDescent="0.2">
      <c r="A3034" s="4" t="s">
        <v>1</v>
      </c>
      <c r="B3034" s="3" t="str">
        <f>HYPERLINK("https://otsuka-europe-crm.veevavault.com/ui/#object/approved_document__v/V5OZ025E82TFUPI", "Spain - HCP Survey Email - June 2025")</f>
        <v>Spain - HCP Survey Email - June 2025</v>
      </c>
      <c r="C3034" s="3" t="str">
        <f>HYPERLINK("https://otsuka-europe-crm.veevavault.com/ui/#object/sent_email__v/VBLZ025E82GMZZ6", "SE-000270148")</f>
        <v>SE-000270148</v>
      </c>
      <c r="D3034" s="1">
        <v>45918.653854166667</v>
      </c>
      <c r="E3034" s="2">
        <v>1</v>
      </c>
      <c r="F3034" s="2">
        <v>1</v>
      </c>
      <c r="G3034" s="2">
        <v>0</v>
      </c>
      <c r="H3034" s="1" t="s">
        <v>0</v>
      </c>
      <c r="I3034" s="2">
        <v>0</v>
      </c>
      <c r="J3034" s="1">
        <v>45915.378148148149</v>
      </c>
    </row>
    <row r="3035" spans="1:10" x14ac:dyDescent="0.2">
      <c r="A3035" s="4" t="s">
        <v>1</v>
      </c>
      <c r="B3035" s="3" t="str">
        <f>HYPERLINK("https://otsuka-europe-crm.veevavault.com/ui/#object/approved_document__v/V5OZ025E82TFUPI", "Spain - HCP Survey Email - June 2025")</f>
        <v>Spain - HCP Survey Email - June 2025</v>
      </c>
      <c r="C3035" s="3" t="str">
        <f>HYPERLINK("https://otsuka-europe-crm.veevavault.com/ui/#object/sent_email__v/VBLZ025E82GMZZ7", "SE-000270149")</f>
        <v>SE-000270149</v>
      </c>
      <c r="D3035" s="1">
        <v>45928.375925925924</v>
      </c>
      <c r="E3035" s="2">
        <v>1</v>
      </c>
      <c r="F3035" s="2">
        <v>1</v>
      </c>
      <c r="G3035" s="2">
        <v>0</v>
      </c>
      <c r="H3035" s="1" t="s">
        <v>0</v>
      </c>
      <c r="I3035" s="2">
        <v>0</v>
      </c>
      <c r="J3035" s="1">
        <v>45915.378668981481</v>
      </c>
    </row>
    <row r="3036" spans="1:10" x14ac:dyDescent="0.2">
      <c r="A3036" s="4" t="s">
        <v>1</v>
      </c>
      <c r="B3036" s="3" t="str">
        <f>HYPERLINK("https://otsuka-europe-crm.veevavault.com/ui/#object/approved_document__v/V5OZ025E82TFUPI", "Spain - HCP Survey Email - June 2025")</f>
        <v>Spain - HCP Survey Email - June 2025</v>
      </c>
      <c r="C3036" s="3" t="str">
        <f>HYPERLINK("https://otsuka-europe-crm.veevavault.com/ui/#object/sent_email__v/VBLZ025E82GMZZ8", "SE-000270150")</f>
        <v>SE-000270150</v>
      </c>
      <c r="D3036" s="1">
        <v>45915.385474537034</v>
      </c>
      <c r="E3036" s="2">
        <v>1</v>
      </c>
      <c r="F3036" s="2">
        <v>1</v>
      </c>
      <c r="G3036" s="2">
        <v>0</v>
      </c>
      <c r="H3036" s="1" t="s">
        <v>0</v>
      </c>
      <c r="I3036" s="2">
        <v>0</v>
      </c>
      <c r="J3036" s="1">
        <v>45915.379629629628</v>
      </c>
    </row>
    <row r="3037" spans="1:10" x14ac:dyDescent="0.2">
      <c r="A3037" s="4" t="s">
        <v>1</v>
      </c>
      <c r="B3037" s="3" t="str">
        <f>HYPERLINK("https://otsuka-europe-crm.veevavault.com/ui/#object/approved_document__v/V5OZ025E82TFUPI", "Spain - HCP Survey Email - June 2025")</f>
        <v>Spain - HCP Survey Email - June 2025</v>
      </c>
      <c r="C3037" s="3" t="str">
        <f>HYPERLINK("https://otsuka-europe-crm.veevavault.com/ui/#object/sent_email__v/VBLZ025E82GMZZ9", "SE-000270151")</f>
        <v>SE-000270151</v>
      </c>
      <c r="D3037" s="1">
        <v>45924.59447916667</v>
      </c>
      <c r="E3037" s="2">
        <v>1</v>
      </c>
      <c r="F3037" s="2">
        <v>1</v>
      </c>
      <c r="G3037" s="2">
        <v>0</v>
      </c>
      <c r="H3037" s="1" t="s">
        <v>0</v>
      </c>
      <c r="I3037" s="2">
        <v>0</v>
      </c>
      <c r="J3037" s="1">
        <v>45915.379374999997</v>
      </c>
    </row>
    <row r="3038" spans="1:10" x14ac:dyDescent="0.2">
      <c r="A3038" s="4" t="s">
        <v>1</v>
      </c>
      <c r="B3038" s="3" t="str">
        <f>HYPERLINK("https://otsuka-europe-crm.veevavault.com/ui/#object/approved_document__v/V5OZ025E82TFUPI", "Spain - HCP Survey Email - June 2025")</f>
        <v>Spain - HCP Survey Email - June 2025</v>
      </c>
      <c r="C3038" s="3" t="str">
        <f>HYPERLINK("https://otsuka-europe-crm.veevavault.com/ui/#object/sent_email__v/VBLZ025E82GMZZA", "SE-000270152")</f>
        <v>SE-000270152</v>
      </c>
      <c r="D3038" s="1">
        <v>45916.847673611112</v>
      </c>
      <c r="E3038" s="2">
        <v>1</v>
      </c>
      <c r="F3038" s="2">
        <v>2</v>
      </c>
      <c r="G3038" s="2">
        <v>0</v>
      </c>
      <c r="H3038" s="1" t="s">
        <v>0</v>
      </c>
      <c r="I3038" s="2">
        <v>0</v>
      </c>
      <c r="J3038" s="1">
        <v>45915.377500000002</v>
      </c>
    </row>
    <row r="3039" spans="1:10" x14ac:dyDescent="0.2">
      <c r="A3039" s="4" t="s">
        <v>1</v>
      </c>
      <c r="B3039" s="3" t="str">
        <f>HYPERLINK("https://otsuka-europe-crm.veevavault.com/ui/#object/approved_document__v/V5OZ025E82TFUPI", "Spain - HCP Survey Email - June 2025")</f>
        <v>Spain - HCP Survey Email - June 2025</v>
      </c>
      <c r="C3039" s="3" t="str">
        <f>HYPERLINK("https://otsuka-europe-crm.veevavault.com/ui/#object/sent_email__v/VBLZ025E82GMZZB", "SE-000270153")</f>
        <v>SE-000270153</v>
      </c>
      <c r="D3039" s="1">
        <v>45959.872060185182</v>
      </c>
      <c r="E3039" s="2">
        <v>1</v>
      </c>
      <c r="F3039" s="2">
        <v>1</v>
      </c>
      <c r="G3039" s="2">
        <v>0</v>
      </c>
      <c r="H3039" s="1" t="s">
        <v>0</v>
      </c>
      <c r="I3039" s="2">
        <v>0</v>
      </c>
      <c r="J3039" s="1">
        <v>45915.378530092596</v>
      </c>
    </row>
    <row r="3040" spans="1:10" x14ac:dyDescent="0.2">
      <c r="A3040" s="4" t="s">
        <v>1</v>
      </c>
      <c r="B3040" s="3" t="str">
        <f>HYPERLINK("https://otsuka-europe-crm.veevavault.com/ui/#object/approved_document__v/V5OZ025E82TFUPI", "Spain - HCP Survey Email - June 2025")</f>
        <v>Spain - HCP Survey Email - June 2025</v>
      </c>
      <c r="C3040" s="3" t="str">
        <f>HYPERLINK("https://otsuka-europe-crm.veevavault.com/ui/#object/sent_email__v/VBLZ025E82GMZZC", "SE-000270154")</f>
        <v>SE-000270154</v>
      </c>
      <c r="D3040" s="1">
        <v>45945.66128472222</v>
      </c>
      <c r="E3040" s="2">
        <v>1</v>
      </c>
      <c r="F3040" s="2">
        <v>3</v>
      </c>
      <c r="G3040" s="2">
        <v>0</v>
      </c>
      <c r="H3040" s="1" t="s">
        <v>0</v>
      </c>
      <c r="I3040" s="2">
        <v>0</v>
      </c>
      <c r="J3040" s="1">
        <v>45915.378877314812</v>
      </c>
    </row>
    <row r="3041" spans="1:10" x14ac:dyDescent="0.2">
      <c r="A3041" s="4" t="s">
        <v>1</v>
      </c>
      <c r="B3041" s="3" t="str">
        <f>HYPERLINK("https://otsuka-europe-crm.veevavault.com/ui/#object/approved_document__v/V5OZ025E82TFUPI", "Spain - HCP Survey Email - June 2025")</f>
        <v>Spain - HCP Survey Email - June 2025</v>
      </c>
      <c r="C3041" s="3" t="str">
        <f>HYPERLINK("https://otsuka-europe-crm.veevavault.com/ui/#object/sent_email__v/VBLZ025E82GMZZD", "SE-000270155")</f>
        <v>SE-000270155</v>
      </c>
      <c r="D3041" s="1">
        <v>45915.848402777781</v>
      </c>
      <c r="E3041" s="2">
        <v>1</v>
      </c>
      <c r="F3041" s="2">
        <v>1</v>
      </c>
      <c r="G3041" s="2">
        <v>0</v>
      </c>
      <c r="H3041" s="1" t="s">
        <v>0</v>
      </c>
      <c r="I3041" s="2">
        <v>0</v>
      </c>
      <c r="J3041" s="1">
        <v>45915.378738425927</v>
      </c>
    </row>
    <row r="3042" spans="1:10" x14ac:dyDescent="0.2">
      <c r="A3042" s="4" t="s">
        <v>1</v>
      </c>
      <c r="B3042" s="3" t="str">
        <f>HYPERLINK("https://otsuka-europe-crm.veevavault.com/ui/#object/approved_document__v/V5OZ025E82TFUPI", "Spain - HCP Survey Email - June 2025")</f>
        <v>Spain - HCP Survey Email - June 2025</v>
      </c>
      <c r="C3042" s="3" t="str">
        <f>HYPERLINK("https://otsuka-europe-crm.veevavault.com/ui/#object/sent_email__v/VBLZ025E82GMZZE", "SE-000270156")</f>
        <v>SE-000270156</v>
      </c>
      <c r="D3042" s="1" t="s">
        <v>0</v>
      </c>
      <c r="E3042" s="2">
        <v>0</v>
      </c>
      <c r="F3042" s="2">
        <v>0</v>
      </c>
      <c r="G3042" s="2">
        <v>0</v>
      </c>
      <c r="H3042" s="1" t="s">
        <v>0</v>
      </c>
      <c r="I3042" s="2">
        <v>0</v>
      </c>
      <c r="J3042" s="1">
        <v>45915.379155092596</v>
      </c>
    </row>
    <row r="3043" spans="1:10" x14ac:dyDescent="0.2">
      <c r="A3043" s="4" t="s">
        <v>1</v>
      </c>
      <c r="B3043" s="3" t="str">
        <f>HYPERLINK("https://otsuka-europe-crm.veevavault.com/ui/#object/approved_document__v/V5OZ025E82TFUPI", "Spain - HCP Survey Email - June 2025")</f>
        <v>Spain - HCP Survey Email - June 2025</v>
      </c>
      <c r="C3043" s="3" t="str">
        <f>HYPERLINK("https://otsuka-europe-crm.veevavault.com/ui/#object/sent_email__v/VBLZ025E82GMZZF", "SE-000270157")</f>
        <v>SE-000270157</v>
      </c>
      <c r="D3043" s="1">
        <v>45915.624768518515</v>
      </c>
      <c r="E3043" s="2">
        <v>1</v>
      </c>
      <c r="F3043" s="2">
        <v>3</v>
      </c>
      <c r="G3043" s="2">
        <v>1</v>
      </c>
      <c r="H3043" s="1">
        <v>45915.398634259262</v>
      </c>
      <c r="I3043" s="2">
        <v>1</v>
      </c>
      <c r="J3043" s="1">
        <v>45915.377893518518</v>
      </c>
    </row>
    <row r="3044" spans="1:10" x14ac:dyDescent="0.2">
      <c r="A3044" s="4" t="s">
        <v>1</v>
      </c>
      <c r="B3044" s="3" t="str">
        <f>HYPERLINK("https://otsuka-europe-crm.veevavault.com/ui/#object/approved_document__v/V5OZ025E82TFUPI", "Spain - HCP Survey Email - June 2025")</f>
        <v>Spain - HCP Survey Email - June 2025</v>
      </c>
      <c r="C3044" s="3" t="str">
        <f>HYPERLINK("https://otsuka-europe-crm.veevavault.com/ui/#object/sent_email__v/VBLZ025E82GMZZG", "SE-000270158")</f>
        <v>SE-000270158</v>
      </c>
      <c r="D3044" s="1" t="s">
        <v>0</v>
      </c>
      <c r="E3044" s="2">
        <v>0</v>
      </c>
      <c r="F3044" s="2">
        <v>0</v>
      </c>
      <c r="G3044" s="2">
        <v>0</v>
      </c>
      <c r="H3044" s="1" t="s">
        <v>0</v>
      </c>
      <c r="I3044" s="2">
        <v>0</v>
      </c>
      <c r="J3044" s="1">
        <v>45915.378310185188</v>
      </c>
    </row>
    <row r="3045" spans="1:10" x14ac:dyDescent="0.2">
      <c r="A3045" s="4" t="s">
        <v>1</v>
      </c>
      <c r="B3045" s="3" t="str">
        <f>HYPERLINK("https://otsuka-europe-crm.veevavault.com/ui/#object/approved_document__v/V5OZ025E82TFUPI", "Spain - HCP Survey Email - June 2025")</f>
        <v>Spain - HCP Survey Email - June 2025</v>
      </c>
      <c r="C3045" s="3" t="str">
        <f>HYPERLINK("https://otsuka-europe-crm.veevavault.com/ui/#object/sent_email__v/VBLZ025E82GMZZH", "SE-000270159")</f>
        <v>SE-000270159</v>
      </c>
      <c r="D3045" s="1" t="s">
        <v>0</v>
      </c>
      <c r="E3045" s="2">
        <v>0</v>
      </c>
      <c r="F3045" s="2">
        <v>0</v>
      </c>
      <c r="G3045" s="2">
        <v>0</v>
      </c>
      <c r="H3045" s="1" t="s">
        <v>0</v>
      </c>
      <c r="I3045" s="2">
        <v>0</v>
      </c>
      <c r="J3045" s="1">
        <v>45915.378206018519</v>
      </c>
    </row>
    <row r="3046" spans="1:10" x14ac:dyDescent="0.2">
      <c r="A3046" s="4" t="s">
        <v>1</v>
      </c>
      <c r="B3046" s="3" t="str">
        <f>HYPERLINK("https://otsuka-europe-crm.veevavault.com/ui/#object/approved_document__v/V5OZ025E82TFUPI", "Spain - HCP Survey Email - June 2025")</f>
        <v>Spain - HCP Survey Email - June 2025</v>
      </c>
      <c r="C3046" s="3" t="str">
        <f>HYPERLINK("https://otsuka-europe-crm.veevavault.com/ui/#object/sent_email__v/VBLZ025E82GMZZI", "SE-000270160")</f>
        <v>SE-000270160</v>
      </c>
      <c r="D3046" s="1" t="s">
        <v>0</v>
      </c>
      <c r="E3046" s="2">
        <v>0</v>
      </c>
      <c r="F3046" s="2">
        <v>0</v>
      </c>
      <c r="G3046" s="2">
        <v>0</v>
      </c>
      <c r="H3046" s="1" t="s">
        <v>0</v>
      </c>
      <c r="I3046" s="2">
        <v>0</v>
      </c>
      <c r="J3046" s="1">
        <v>45915.378958333335</v>
      </c>
    </row>
    <row r="3047" spans="1:10" x14ac:dyDescent="0.2">
      <c r="A3047" s="4" t="s">
        <v>1</v>
      </c>
      <c r="B3047" s="3" t="str">
        <f>HYPERLINK("https://otsuka-europe-crm.veevavault.com/ui/#object/approved_document__v/V5OZ025E82TFUPI", "Spain - HCP Survey Email - June 2025")</f>
        <v>Spain - HCP Survey Email - June 2025</v>
      </c>
      <c r="C3047" s="3" t="str">
        <f>HYPERLINK("https://otsuka-europe-crm.veevavault.com/ui/#object/sent_email__v/VBLZ025E82GMZZJ", "SE-000270161")</f>
        <v>SE-000270161</v>
      </c>
      <c r="D3047" s="1">
        <v>45915.459629629629</v>
      </c>
      <c r="E3047" s="2">
        <v>1</v>
      </c>
      <c r="F3047" s="2">
        <v>1</v>
      </c>
      <c r="G3047" s="2">
        <v>0</v>
      </c>
      <c r="H3047" s="1" t="s">
        <v>0</v>
      </c>
      <c r="I3047" s="2">
        <v>0</v>
      </c>
      <c r="J3047" s="1">
        <v>45915.379618055558</v>
      </c>
    </row>
    <row r="3048" spans="1:10" x14ac:dyDescent="0.2">
      <c r="A3048" s="4" t="s">
        <v>1</v>
      </c>
      <c r="B3048" s="3" t="str">
        <f>HYPERLINK("https://otsuka-europe-crm.veevavault.com/ui/#object/approved_document__v/V5OZ025E82TFUPI", "Spain - HCP Survey Email - June 2025")</f>
        <v>Spain - HCP Survey Email - June 2025</v>
      </c>
      <c r="C3048" s="3" t="str">
        <f>HYPERLINK("https://otsuka-europe-crm.veevavault.com/ui/#object/sent_email__v/VBLZ025E82GMZZK", "SE-000270162")</f>
        <v>SE-000270162</v>
      </c>
      <c r="D3048" s="1">
        <v>45915.984548611108</v>
      </c>
      <c r="E3048" s="2">
        <v>1</v>
      </c>
      <c r="F3048" s="2">
        <v>1</v>
      </c>
      <c r="G3048" s="2">
        <v>0</v>
      </c>
      <c r="H3048" s="1" t="s">
        <v>0</v>
      </c>
      <c r="I3048" s="2">
        <v>0</v>
      </c>
      <c r="J3048" s="1">
        <v>45915.379282407404</v>
      </c>
    </row>
    <row r="3049" spans="1:10" x14ac:dyDescent="0.2">
      <c r="A3049" s="4" t="s">
        <v>1</v>
      </c>
      <c r="B3049" s="3" t="str">
        <f>HYPERLINK("https://otsuka-europe-crm.veevavault.com/ui/#object/approved_document__v/V5OZ025E82TFUPI", "Spain - HCP Survey Email - June 2025")</f>
        <v>Spain - HCP Survey Email - June 2025</v>
      </c>
      <c r="C3049" s="3" t="str">
        <f>HYPERLINK("https://otsuka-europe-crm.veevavault.com/ui/#object/sent_email__v/VBLZ025E82GMZZL", "SE-000270163")</f>
        <v>SE-000270163</v>
      </c>
      <c r="D3049" s="1" t="s">
        <v>0</v>
      </c>
      <c r="E3049" s="2">
        <v>0</v>
      </c>
      <c r="F3049" s="2">
        <v>0</v>
      </c>
      <c r="G3049" s="2">
        <v>0</v>
      </c>
      <c r="H3049" s="1" t="s">
        <v>0</v>
      </c>
      <c r="I3049" s="2">
        <v>0</v>
      </c>
      <c r="J3049" s="1">
        <v>45915.377453703702</v>
      </c>
    </row>
    <row r="3050" spans="1:10" x14ac:dyDescent="0.2">
      <c r="A3050" s="4" t="s">
        <v>1</v>
      </c>
      <c r="B3050" s="3" t="str">
        <f>HYPERLINK("https://otsuka-europe-crm.veevavault.com/ui/#object/approved_document__v/V5OZ025E82TFUPI", "Spain - HCP Survey Email - June 2025")</f>
        <v>Spain - HCP Survey Email - June 2025</v>
      </c>
      <c r="C3050" s="3" t="str">
        <f>HYPERLINK("https://otsuka-europe-crm.veevavault.com/ui/#object/sent_email__v/VBLZ025E82GMZZM", "SE-000270164")</f>
        <v>SE-000270164</v>
      </c>
      <c r="D3050" s="1" t="s">
        <v>0</v>
      </c>
      <c r="E3050" s="2">
        <v>0</v>
      </c>
      <c r="F3050" s="2">
        <v>0</v>
      </c>
      <c r="G3050" s="2">
        <v>0</v>
      </c>
      <c r="H3050" s="1" t="s">
        <v>0</v>
      </c>
      <c r="I3050" s="2">
        <v>0</v>
      </c>
      <c r="J3050" s="1">
        <v>45915.378391203703</v>
      </c>
    </row>
    <row r="3051" spans="1:10" x14ac:dyDescent="0.2">
      <c r="A3051" s="4" t="s">
        <v>1</v>
      </c>
      <c r="B3051" s="3" t="str">
        <f>HYPERLINK("https://otsuka-europe-crm.veevavault.com/ui/#object/approved_document__v/V5OZ025E82TFUPI", "Spain - HCP Survey Email - June 2025")</f>
        <v>Spain - HCP Survey Email - June 2025</v>
      </c>
      <c r="C3051" s="3" t="str">
        <f>HYPERLINK("https://otsuka-europe-crm.veevavault.com/ui/#object/sent_email__v/VBLZ025E82GMZZN", "SE-000270165")</f>
        <v>SE-000270165</v>
      </c>
      <c r="D3051" s="1" t="s">
        <v>0</v>
      </c>
      <c r="E3051" s="2">
        <v>0</v>
      </c>
      <c r="F3051" s="2">
        <v>0</v>
      </c>
      <c r="G3051" s="2">
        <v>0</v>
      </c>
      <c r="H3051" s="1" t="s">
        <v>0</v>
      </c>
      <c r="I3051" s="2">
        <v>0</v>
      </c>
      <c r="J3051" s="1">
        <v>45915.378923611112</v>
      </c>
    </row>
    <row r="3052" spans="1:10" x14ac:dyDescent="0.2">
      <c r="A3052" s="4" t="s">
        <v>1</v>
      </c>
      <c r="B3052" s="3" t="str">
        <f>HYPERLINK("https://otsuka-europe-crm.veevavault.com/ui/#object/approved_document__v/V5OZ025E82TFUPI", "Spain - HCP Survey Email - June 2025")</f>
        <v>Spain - HCP Survey Email - June 2025</v>
      </c>
      <c r="C3052" s="3" t="str">
        <f>HYPERLINK("https://otsuka-europe-crm.veevavault.com/ui/#object/sent_email__v/VBLZ025E82GMZZO", "SE-000270166")</f>
        <v>SE-000270166</v>
      </c>
      <c r="D3052" s="1">
        <v>45915.49013888889</v>
      </c>
      <c r="E3052" s="2">
        <v>1</v>
      </c>
      <c r="F3052" s="2">
        <v>1</v>
      </c>
      <c r="G3052" s="2">
        <v>0</v>
      </c>
      <c r="H3052" s="1" t="s">
        <v>0</v>
      </c>
      <c r="I3052" s="2">
        <v>0</v>
      </c>
      <c r="J3052" s="1">
        <v>45915.379618055558</v>
      </c>
    </row>
    <row r="3053" spans="1:10" x14ac:dyDescent="0.2">
      <c r="A3053" s="4" t="s">
        <v>1</v>
      </c>
      <c r="B3053" s="3" t="str">
        <f>HYPERLINK("https://otsuka-europe-crm.veevavault.com/ui/#object/approved_document__v/V5OZ025E82TFUPI", "Spain - HCP Survey Email - June 2025")</f>
        <v>Spain - HCP Survey Email - June 2025</v>
      </c>
      <c r="C3053" s="3" t="str">
        <f>HYPERLINK("https://otsuka-europe-crm.veevavault.com/ui/#object/sent_email__v/VBLZ025E82GMZZP", "SE-000270167")</f>
        <v>SE-000270167</v>
      </c>
      <c r="D3053" s="1">
        <v>45915.388252314813</v>
      </c>
      <c r="E3053" s="2">
        <v>1</v>
      </c>
      <c r="F3053" s="2">
        <v>1</v>
      </c>
      <c r="G3053" s="2">
        <v>0</v>
      </c>
      <c r="H3053" s="1" t="s">
        <v>0</v>
      </c>
      <c r="I3053" s="2">
        <v>0</v>
      </c>
      <c r="J3053" s="1">
        <v>45915.379270833335</v>
      </c>
    </row>
    <row r="3054" spans="1:10" x14ac:dyDescent="0.2">
      <c r="A3054" s="4" t="s">
        <v>1</v>
      </c>
      <c r="B3054" s="3" t="str">
        <f>HYPERLINK("https://otsuka-europe-crm.veevavault.com/ui/#object/approved_document__v/V5OZ025E82TFUPI", "Spain - HCP Survey Email - June 2025")</f>
        <v>Spain - HCP Survey Email - June 2025</v>
      </c>
      <c r="C3054" s="3" t="str">
        <f>HYPERLINK("https://otsuka-europe-crm.veevavault.com/ui/#object/sent_email__v/VBLZ025E82GMZZQ", "SE-000270168")</f>
        <v>SE-000270168</v>
      </c>
      <c r="D3054" s="1">
        <v>45918.666516203702</v>
      </c>
      <c r="E3054" s="2">
        <v>1</v>
      </c>
      <c r="F3054" s="2">
        <v>3</v>
      </c>
      <c r="G3054" s="2">
        <v>0</v>
      </c>
      <c r="H3054" s="1" t="s">
        <v>0</v>
      </c>
      <c r="I3054" s="2">
        <v>0</v>
      </c>
      <c r="J3054" s="1">
        <v>45915.377465277779</v>
      </c>
    </row>
    <row r="3055" spans="1:10" x14ac:dyDescent="0.2">
      <c r="A3055" s="4" t="s">
        <v>1</v>
      </c>
      <c r="B3055" s="3" t="str">
        <f>HYPERLINK("https://otsuka-europe-crm.veevavault.com/ui/#object/approved_document__v/V5OZ025E82TFUPI", "Spain - HCP Survey Email - June 2025")</f>
        <v>Spain - HCP Survey Email - June 2025</v>
      </c>
      <c r="C3055" s="3" t="str">
        <f>HYPERLINK("https://otsuka-europe-crm.veevavault.com/ui/#object/sent_email__v/VBLZ025E82GMZZR", "SE-000270169")</f>
        <v>SE-000270169</v>
      </c>
      <c r="D3055" s="1">
        <v>45916.769062500003</v>
      </c>
      <c r="E3055" s="2">
        <v>1</v>
      </c>
      <c r="F3055" s="2">
        <v>3</v>
      </c>
      <c r="G3055" s="2">
        <v>0</v>
      </c>
      <c r="H3055" s="1" t="s">
        <v>0</v>
      </c>
      <c r="I3055" s="2">
        <v>0</v>
      </c>
      <c r="J3055" s="1">
        <v>45915.378368055557</v>
      </c>
    </row>
    <row r="3056" spans="1:10" x14ac:dyDescent="0.2">
      <c r="A3056" s="4" t="s">
        <v>1</v>
      </c>
      <c r="B3056" s="3" t="str">
        <f>HYPERLINK("https://otsuka-europe-crm.veevavault.com/ui/#object/approved_document__v/V5OZ025E82TFUPI", "Spain - HCP Survey Email - June 2025")</f>
        <v>Spain - HCP Survey Email - June 2025</v>
      </c>
      <c r="C3056" s="3" t="str">
        <f>HYPERLINK("https://otsuka-europe-crm.veevavault.com/ui/#object/sent_email__v/VBLZ025E82GMZZS", "SE-000270170")</f>
        <v>SE-000270170</v>
      </c>
      <c r="D3056" s="1" t="s">
        <v>0</v>
      </c>
      <c r="E3056" s="2">
        <v>0</v>
      </c>
      <c r="F3056" s="2">
        <v>0</v>
      </c>
      <c r="G3056" s="2">
        <v>0</v>
      </c>
      <c r="H3056" s="1" t="s">
        <v>0</v>
      </c>
      <c r="I3056" s="2">
        <v>0</v>
      </c>
      <c r="J3056" s="1">
        <v>45915.378865740742</v>
      </c>
    </row>
    <row r="3057" spans="1:10" x14ac:dyDescent="0.2">
      <c r="A3057" s="4" t="s">
        <v>1</v>
      </c>
      <c r="B3057" s="3" t="str">
        <f>HYPERLINK("https://otsuka-europe-crm.veevavault.com/ui/#object/approved_document__v/V5OZ025E82TFUPI", "Spain - HCP Survey Email - June 2025")</f>
        <v>Spain - HCP Survey Email - June 2025</v>
      </c>
      <c r="C3057" s="3" t="str">
        <f>HYPERLINK("https://otsuka-europe-crm.veevavault.com/ui/#object/sent_email__v/VBLZ025E82GMZZT", "SE-000270171")</f>
        <v>SE-000270171</v>
      </c>
      <c r="D3057" s="1" t="s">
        <v>0</v>
      </c>
      <c r="E3057" s="2">
        <v>0</v>
      </c>
      <c r="F3057" s="2">
        <v>0</v>
      </c>
      <c r="G3057" s="2">
        <v>0</v>
      </c>
      <c r="H3057" s="1" t="s">
        <v>0</v>
      </c>
      <c r="I3057" s="2">
        <v>0</v>
      </c>
      <c r="J3057" s="1">
        <v>45915.378761574073</v>
      </c>
    </row>
    <row r="3058" spans="1:10" x14ac:dyDescent="0.2">
      <c r="A3058" s="4" t="s">
        <v>1</v>
      </c>
      <c r="B3058" s="3" t="str">
        <f>HYPERLINK("https://otsuka-europe-crm.veevavault.com/ui/#object/approved_document__v/V5OZ025E82TFUPI", "Spain - HCP Survey Email - June 2025")</f>
        <v>Spain - HCP Survey Email - June 2025</v>
      </c>
      <c r="C3058" s="3" t="str">
        <f>HYPERLINK("https://otsuka-europe-crm.veevavault.com/ui/#object/sent_email__v/VBLZ025E82GMZZU", "SE-000270172")</f>
        <v>SE-000270172</v>
      </c>
      <c r="D3058" s="1" t="s">
        <v>0</v>
      </c>
      <c r="E3058" s="2">
        <v>0</v>
      </c>
      <c r="F3058" s="2">
        <v>0</v>
      </c>
      <c r="G3058" s="2">
        <v>0</v>
      </c>
      <c r="H3058" s="1" t="s">
        <v>0</v>
      </c>
      <c r="I3058" s="2">
        <v>0</v>
      </c>
      <c r="J3058" s="1">
        <v>45915.379108796296</v>
      </c>
    </row>
    <row r="3059" spans="1:10" x14ac:dyDescent="0.2">
      <c r="A3059" s="4" t="s">
        <v>1</v>
      </c>
      <c r="B3059" s="3" t="str">
        <f>HYPERLINK("https://otsuka-europe-crm.veevavault.com/ui/#object/approved_document__v/V5OZ025E82TFUPI", "Spain - HCP Survey Email - June 2025")</f>
        <v>Spain - HCP Survey Email - June 2025</v>
      </c>
      <c r="C3059" s="3" t="str">
        <f>HYPERLINK("https://otsuka-europe-crm.veevavault.com/ui/#object/sent_email__v/VBLZ025E82GMZZV", "SE-000270173")</f>
        <v>SE-000270173</v>
      </c>
      <c r="D3059" s="1" t="s">
        <v>0</v>
      </c>
      <c r="E3059" s="2">
        <v>0</v>
      </c>
      <c r="F3059" s="2">
        <v>0</v>
      </c>
      <c r="G3059" s="2">
        <v>0</v>
      </c>
      <c r="H3059" s="1" t="s">
        <v>0</v>
      </c>
      <c r="I3059" s="2">
        <v>0</v>
      </c>
      <c r="J3059" s="1">
        <v>45915.377881944441</v>
      </c>
    </row>
    <row r="3060" spans="1:10" x14ac:dyDescent="0.2">
      <c r="A3060" s="4" t="s">
        <v>1</v>
      </c>
      <c r="B3060" s="3" t="str">
        <f>HYPERLINK("https://otsuka-europe-crm.veevavault.com/ui/#object/approved_document__v/V5OZ025E82TFUPI", "Spain - HCP Survey Email - June 2025")</f>
        <v>Spain - HCP Survey Email - June 2025</v>
      </c>
      <c r="C3060" s="3" t="str">
        <f>HYPERLINK("https://otsuka-europe-crm.veevavault.com/ui/#object/sent_email__v/VBLZ025E82GMZZW", "SE-000270174")</f>
        <v>SE-000270174</v>
      </c>
      <c r="D3060" s="1" t="s">
        <v>0</v>
      </c>
      <c r="E3060" s="2">
        <v>0</v>
      </c>
      <c r="F3060" s="2">
        <v>0</v>
      </c>
      <c r="G3060" s="2">
        <v>0</v>
      </c>
      <c r="H3060" s="1" t="s">
        <v>0</v>
      </c>
      <c r="I3060" s="2">
        <v>0</v>
      </c>
      <c r="J3060" s="1">
        <v>45915.378344907411</v>
      </c>
    </row>
    <row r="3061" spans="1:10" x14ac:dyDescent="0.2">
      <c r="A3061" s="4" t="s">
        <v>1</v>
      </c>
      <c r="B3061" s="3" t="str">
        <f>HYPERLINK("https://otsuka-europe-crm.veevavault.com/ui/#object/approved_document__v/V5OZ025E82TFUPI", "Spain - HCP Survey Email - June 2025")</f>
        <v>Spain - HCP Survey Email - June 2025</v>
      </c>
      <c r="C3061" s="3" t="str">
        <f>HYPERLINK("https://otsuka-europe-crm.veevavault.com/ui/#object/sent_email__v/VBLZ025E82GMZZX", "SE-000270175")</f>
        <v>SE-000270175</v>
      </c>
      <c r="D3061" s="1" t="s">
        <v>0</v>
      </c>
      <c r="E3061" s="2">
        <v>0</v>
      </c>
      <c r="F3061" s="2">
        <v>0</v>
      </c>
      <c r="G3061" s="2">
        <v>0</v>
      </c>
      <c r="H3061" s="1" t="s">
        <v>0</v>
      </c>
      <c r="I3061" s="2">
        <v>0</v>
      </c>
      <c r="J3061" s="1">
        <v>45915.378194444442</v>
      </c>
    </row>
    <row r="3062" spans="1:10" x14ac:dyDescent="0.2">
      <c r="A3062" s="4" t="s">
        <v>1</v>
      </c>
      <c r="B3062" s="3" t="str">
        <f>HYPERLINK("https://otsuka-europe-crm.veevavault.com/ui/#object/approved_document__v/V5OZ025E82TFUPI", "Spain - HCP Survey Email - June 2025")</f>
        <v>Spain - HCP Survey Email - June 2025</v>
      </c>
      <c r="C3062" s="3" t="str">
        <f>HYPERLINK("https://otsuka-europe-crm.veevavault.com/ui/#object/sent_email__v/VBLZ025E82GMZZY", "SE-000270176")</f>
        <v>SE-000270176</v>
      </c>
      <c r="D3062" s="1" t="s">
        <v>0</v>
      </c>
      <c r="E3062" s="2">
        <v>0</v>
      </c>
      <c r="F3062" s="2">
        <v>0</v>
      </c>
      <c r="G3062" s="2">
        <v>0</v>
      </c>
      <c r="H3062" s="1" t="s">
        <v>0</v>
      </c>
      <c r="I3062" s="2">
        <v>0</v>
      </c>
      <c r="J3062" s="1">
        <v>45915.378865740742</v>
      </c>
    </row>
    <row r="3063" spans="1:10" x14ac:dyDescent="0.2">
      <c r="A3063" s="4" t="s">
        <v>1</v>
      </c>
      <c r="B3063" s="3" t="str">
        <f>HYPERLINK("https://otsuka-europe-crm.veevavault.com/ui/#object/approved_document__v/V5OZ025E82TFUPI", "Spain - HCP Survey Email - June 2025")</f>
        <v>Spain - HCP Survey Email - June 2025</v>
      </c>
      <c r="C3063" s="3" t="str">
        <f>HYPERLINK("https://otsuka-europe-crm.veevavault.com/ui/#object/sent_email__v/VBLZ025E82GMZZZ", "SE-000270177")</f>
        <v>SE-000270177</v>
      </c>
      <c r="D3063" s="1">
        <v>45951.669560185182</v>
      </c>
      <c r="E3063" s="2">
        <v>1</v>
      </c>
      <c r="F3063" s="2">
        <v>2</v>
      </c>
      <c r="G3063" s="2">
        <v>0</v>
      </c>
      <c r="H3063" s="1" t="s">
        <v>0</v>
      </c>
      <c r="I3063" s="2">
        <v>0</v>
      </c>
      <c r="J3063" s="1">
        <v>45915.379594907405</v>
      </c>
    </row>
    <row r="3064" spans="1:10" x14ac:dyDescent="0.2">
      <c r="A3064" s="4" t="s">
        <v>1</v>
      </c>
      <c r="B3064" s="3" t="str">
        <f>HYPERLINK("https://otsuka-europe-crm.veevavault.com/ui/#object/approved_document__v/V5OZ025E82TFUPI", "Spain - HCP Survey Email - June 2025")</f>
        <v>Spain - HCP Survey Email - June 2025</v>
      </c>
      <c r="C3064" s="3" t="str">
        <f>HYPERLINK("https://otsuka-europe-crm.veevavault.com/ui/#object/sent_email__v/VBLZ025E82GN000", "SE-000270178")</f>
        <v>SE-000270178</v>
      </c>
      <c r="D3064" s="1">
        <v>45944.907916666663</v>
      </c>
      <c r="E3064" s="2">
        <v>1</v>
      </c>
      <c r="F3064" s="2">
        <v>2</v>
      </c>
      <c r="G3064" s="2">
        <v>0</v>
      </c>
      <c r="H3064" s="1" t="s">
        <v>0</v>
      </c>
      <c r="I3064" s="2">
        <v>0</v>
      </c>
      <c r="J3064" s="1">
        <v>45915.379247685189</v>
      </c>
    </row>
    <row r="3065" spans="1:10" x14ac:dyDescent="0.2">
      <c r="A3065" s="4" t="s">
        <v>1</v>
      </c>
      <c r="B3065" s="3" t="str">
        <f>HYPERLINK("https://otsuka-europe-crm.veevavault.com/ui/#object/approved_document__v/V5OZ025E82TFUPI", "Spain - HCP Survey Email - June 2025")</f>
        <v>Spain - HCP Survey Email - June 2025</v>
      </c>
      <c r="C3065" s="3" t="str">
        <f>HYPERLINK("https://otsuka-europe-crm.veevavault.com/ui/#object/sent_email__v/VBLZ025E82GN001", "SE-000270179")</f>
        <v>SE-000270179</v>
      </c>
      <c r="D3065" s="1" t="s">
        <v>0</v>
      </c>
      <c r="E3065" s="2">
        <v>0</v>
      </c>
      <c r="F3065" s="2">
        <v>0</v>
      </c>
      <c r="G3065" s="2">
        <v>0</v>
      </c>
      <c r="H3065" s="1" t="s">
        <v>0</v>
      </c>
      <c r="I3065" s="2">
        <v>0</v>
      </c>
      <c r="J3065" s="1">
        <v>45915.377488425926</v>
      </c>
    </row>
    <row r="3066" spans="1:10" x14ac:dyDescent="0.2">
      <c r="A3066" s="4" t="s">
        <v>1</v>
      </c>
      <c r="B3066" s="3" t="str">
        <f>HYPERLINK("https://otsuka-europe-crm.veevavault.com/ui/#object/approved_document__v/V5OZ025E82TFUPI", "Spain - HCP Survey Email - June 2025")</f>
        <v>Spain - HCP Survey Email - June 2025</v>
      </c>
      <c r="C3066" s="3" t="str">
        <f>HYPERLINK("https://otsuka-europe-crm.veevavault.com/ui/#object/sent_email__v/VBLZ025E82GN002", "SE-000270180")</f>
        <v>SE-000270180</v>
      </c>
      <c r="D3066" s="1">
        <v>46029.752766203703</v>
      </c>
      <c r="E3066" s="2">
        <v>1</v>
      </c>
      <c r="F3066" s="2">
        <v>5</v>
      </c>
      <c r="G3066" s="2">
        <v>0</v>
      </c>
      <c r="H3066" s="1" t="s">
        <v>0</v>
      </c>
      <c r="I3066" s="2">
        <v>0</v>
      </c>
      <c r="J3066" s="1">
        <v>45915.378449074073</v>
      </c>
    </row>
    <row r="3067" spans="1:10" x14ac:dyDescent="0.2">
      <c r="A3067" s="4" t="s">
        <v>1</v>
      </c>
      <c r="B3067" s="3" t="str">
        <f>HYPERLINK("https://otsuka-europe-crm.veevavault.com/ui/#object/approved_document__v/V5OZ025E82TFUPI", "Spain - HCP Survey Email - June 2025")</f>
        <v>Spain - HCP Survey Email - June 2025</v>
      </c>
      <c r="C3067" s="3" t="str">
        <f>HYPERLINK("https://otsuka-europe-crm.veevavault.com/ui/#object/sent_email__v/VBLZ025E82GN003", "SE-000270181")</f>
        <v>SE-000270181</v>
      </c>
      <c r="D3067" s="1" t="s">
        <v>0</v>
      </c>
      <c r="E3067" s="2">
        <v>0</v>
      </c>
      <c r="F3067" s="2">
        <v>0</v>
      </c>
      <c r="G3067" s="2">
        <v>0</v>
      </c>
      <c r="H3067" s="1" t="s">
        <v>0</v>
      </c>
      <c r="I3067" s="2">
        <v>0</v>
      </c>
      <c r="J3067" s="1">
        <v>45915.379004629627</v>
      </c>
    </row>
    <row r="3068" spans="1:10" x14ac:dyDescent="0.2">
      <c r="A3068" s="4" t="s">
        <v>1</v>
      </c>
      <c r="B3068" s="3" t="str">
        <f>HYPERLINK("https://otsuka-europe-crm.veevavault.com/ui/#object/approved_document__v/V5OZ025E82TFUPI", "Spain - HCP Survey Email - June 2025")</f>
        <v>Spain - HCP Survey Email - June 2025</v>
      </c>
      <c r="C3068" s="3" t="str">
        <f>HYPERLINK("https://otsuka-europe-crm.veevavault.com/ui/#object/sent_email__v/VBLZ025E82GN004", "SE-000270182")</f>
        <v>SE-000270182</v>
      </c>
      <c r="D3068" s="1">
        <v>45920.438668981478</v>
      </c>
      <c r="E3068" s="2">
        <v>1</v>
      </c>
      <c r="F3068" s="2">
        <v>3</v>
      </c>
      <c r="G3068" s="2">
        <v>0</v>
      </c>
      <c r="H3068" s="1" t="s">
        <v>0</v>
      </c>
      <c r="I3068" s="2">
        <v>0</v>
      </c>
      <c r="J3068" s="1">
        <v>45915.378761574073</v>
      </c>
    </row>
    <row r="3069" spans="1:10" x14ac:dyDescent="0.2">
      <c r="A3069" s="4" t="s">
        <v>1</v>
      </c>
      <c r="B3069" s="3" t="str">
        <f>HYPERLINK("https://otsuka-europe-crm.veevavault.com/ui/#object/approved_document__v/V5OZ025E82TFUPI", "Spain - HCP Survey Email - June 2025")</f>
        <v>Spain - HCP Survey Email - June 2025</v>
      </c>
      <c r="C3069" s="3" t="str">
        <f>HYPERLINK("https://otsuka-europe-crm.veevavault.com/ui/#object/sent_email__v/VBLZ025E82GN005", "SE-000270183")</f>
        <v>SE-000270183</v>
      </c>
      <c r="D3069" s="1">
        <v>45915.379178240742</v>
      </c>
      <c r="E3069" s="2">
        <v>1</v>
      </c>
      <c r="F3069" s="2">
        <v>1</v>
      </c>
      <c r="G3069" s="2">
        <v>1</v>
      </c>
      <c r="H3069" s="1">
        <v>45915.385648148149</v>
      </c>
      <c r="I3069" s="2">
        <v>2</v>
      </c>
      <c r="J3069" s="1">
        <v>45915.379108796296</v>
      </c>
    </row>
    <row r="3070" spans="1:10" x14ac:dyDescent="0.2">
      <c r="A3070" s="4" t="s">
        <v>1</v>
      </c>
      <c r="B3070" s="3" t="str">
        <f>HYPERLINK("https://otsuka-europe-crm.veevavault.com/ui/#object/approved_document__v/V5OZ025E82TFUPI", "Spain - HCP Survey Email - June 2025")</f>
        <v>Spain - HCP Survey Email - June 2025</v>
      </c>
      <c r="C3070" s="3" t="str">
        <f>HYPERLINK("https://otsuka-europe-crm.veevavault.com/ui/#object/sent_email__v/VBLZ025E82GN006", "SE-000270184")</f>
        <v>SE-000270184</v>
      </c>
      <c r="D3070" s="1">
        <v>45915.941828703704</v>
      </c>
      <c r="E3070" s="2">
        <v>1</v>
      </c>
      <c r="F3070" s="2">
        <v>1</v>
      </c>
      <c r="G3070" s="2">
        <v>0</v>
      </c>
      <c r="H3070" s="1" t="s">
        <v>0</v>
      </c>
      <c r="I3070" s="2">
        <v>0</v>
      </c>
      <c r="J3070" s="1">
        <v>45915.377928240741</v>
      </c>
    </row>
    <row r="3071" spans="1:10" x14ac:dyDescent="0.2">
      <c r="A3071" s="4" t="s">
        <v>1</v>
      </c>
      <c r="B3071" s="3" t="str">
        <f>HYPERLINK("https://otsuka-europe-crm.veevavault.com/ui/#object/approved_document__v/V5OZ025E82TFUPI", "Spain - HCP Survey Email - June 2025")</f>
        <v>Spain - HCP Survey Email - June 2025</v>
      </c>
      <c r="C3071" s="3" t="str">
        <f>HYPERLINK("https://otsuka-europe-crm.veevavault.com/ui/#object/sent_email__v/VBLZ025E82GN007", "SE-000270185")</f>
        <v>SE-000270185</v>
      </c>
      <c r="D3071" s="1" t="s">
        <v>0</v>
      </c>
      <c r="E3071" s="2">
        <v>0</v>
      </c>
      <c r="F3071" s="2">
        <v>0</v>
      </c>
      <c r="G3071" s="2">
        <v>0</v>
      </c>
      <c r="H3071" s="1" t="s">
        <v>0</v>
      </c>
      <c r="I3071" s="2">
        <v>0</v>
      </c>
      <c r="J3071" s="1">
        <v>45915.378344907411</v>
      </c>
    </row>
    <row r="3072" spans="1:10" x14ac:dyDescent="0.2">
      <c r="A3072" s="4" t="s">
        <v>1</v>
      </c>
      <c r="B3072" s="3" t="str">
        <f>HYPERLINK("https://otsuka-europe-crm.veevavault.com/ui/#object/approved_document__v/V5OZ025E82TFUPI", "Spain - HCP Survey Email - June 2025")</f>
        <v>Spain - HCP Survey Email - June 2025</v>
      </c>
      <c r="C3072" s="3" t="str">
        <f>HYPERLINK("https://otsuka-europe-crm.veevavault.com/ui/#object/sent_email__v/VBLZ025E82GN008", "SE-000270186")</f>
        <v>SE-000270186</v>
      </c>
      <c r="D3072" s="1" t="s">
        <v>0</v>
      </c>
      <c r="E3072" s="2">
        <v>0</v>
      </c>
      <c r="F3072" s="2">
        <v>0</v>
      </c>
      <c r="G3072" s="2">
        <v>0</v>
      </c>
      <c r="H3072" s="1" t="s">
        <v>0</v>
      </c>
      <c r="I3072" s="2">
        <v>0</v>
      </c>
      <c r="J3072" s="1">
        <v>45915.378206018519</v>
      </c>
    </row>
    <row r="3073" spans="1:10" x14ac:dyDescent="0.2">
      <c r="A3073" s="4" t="s">
        <v>1</v>
      </c>
      <c r="B3073" s="3" t="str">
        <f>HYPERLINK("https://otsuka-europe-crm.veevavault.com/ui/#object/approved_document__v/V5OZ025E82TFUPI", "Spain - HCP Survey Email - June 2025")</f>
        <v>Spain - HCP Survey Email - June 2025</v>
      </c>
      <c r="C3073" s="3" t="str">
        <f>HYPERLINK("https://otsuka-europe-crm.veevavault.com/ui/#object/sent_email__v/VBLZ025E82GN009", "SE-000270187")</f>
        <v>SE-000270187</v>
      </c>
      <c r="D3073" s="1">
        <v>45915.397986111115</v>
      </c>
      <c r="E3073" s="2">
        <v>1</v>
      </c>
      <c r="F3073" s="2">
        <v>1</v>
      </c>
      <c r="G3073" s="2">
        <v>1</v>
      </c>
      <c r="H3073" s="1">
        <v>45915.398344907408</v>
      </c>
      <c r="I3073" s="2">
        <v>1</v>
      </c>
      <c r="J3073" s="1">
        <v>45915.378912037035</v>
      </c>
    </row>
    <row r="3074" spans="1:10" x14ac:dyDescent="0.2">
      <c r="A3074" s="4" t="s">
        <v>1</v>
      </c>
      <c r="B3074" s="3" t="str">
        <f>HYPERLINK("https://otsuka-europe-crm.veevavault.com/ui/#object/approved_document__v/V5OZ025E82TFUPI", "Spain - HCP Survey Email - June 2025")</f>
        <v>Spain - HCP Survey Email - June 2025</v>
      </c>
      <c r="C3074" s="3" t="str">
        <f>HYPERLINK("https://otsuka-europe-crm.veevavault.com/ui/#object/sent_email__v/VBLZ025E82GN00A", "SE-000270188")</f>
        <v>SE-000270188</v>
      </c>
      <c r="D3074" s="1" t="s">
        <v>0</v>
      </c>
      <c r="E3074" s="2">
        <v>0</v>
      </c>
      <c r="F3074" s="2">
        <v>0</v>
      </c>
      <c r="G3074" s="2">
        <v>0</v>
      </c>
      <c r="H3074" s="1" t="s">
        <v>0</v>
      </c>
      <c r="I3074" s="2">
        <v>0</v>
      </c>
      <c r="J3074" s="1">
        <v>45915.379606481481</v>
      </c>
    </row>
    <row r="3075" spans="1:10" x14ac:dyDescent="0.2">
      <c r="A3075" s="4" t="s">
        <v>1</v>
      </c>
      <c r="B3075" s="3" t="str">
        <f>HYPERLINK("https://otsuka-europe-crm.veevavault.com/ui/#object/approved_document__v/V5OZ025E82TFUPI", "Spain - HCP Survey Email - June 2025")</f>
        <v>Spain - HCP Survey Email - June 2025</v>
      </c>
      <c r="C3075" s="3" t="str">
        <f>HYPERLINK("https://otsuka-europe-crm.veevavault.com/ui/#object/sent_email__v/VBLZ025E82GN00B", "SE-000270189")</f>
        <v>SE-000270189</v>
      </c>
      <c r="D3075" s="1" t="s">
        <v>0</v>
      </c>
      <c r="E3075" s="2">
        <v>0</v>
      </c>
      <c r="F3075" s="2">
        <v>0</v>
      </c>
      <c r="G3075" s="2">
        <v>0</v>
      </c>
      <c r="H3075" s="1" t="s">
        <v>0</v>
      </c>
      <c r="I3075" s="2">
        <v>0</v>
      </c>
      <c r="J3075" s="1">
        <v>45915.379340277781</v>
      </c>
    </row>
    <row r="3076" spans="1:10" x14ac:dyDescent="0.2">
      <c r="A3076" s="4" t="s">
        <v>1</v>
      </c>
      <c r="B3076" s="3" t="str">
        <f>HYPERLINK("https://otsuka-europe-crm.veevavault.com/ui/#object/approved_document__v/V5OZ025E82TFUPI", "Spain - HCP Survey Email - June 2025")</f>
        <v>Spain - HCP Survey Email - June 2025</v>
      </c>
      <c r="C3076" s="3" t="str">
        <f>HYPERLINK("https://otsuka-europe-crm.veevavault.com/ui/#object/sent_email__v/VBLZ025E82GN00C", "SE-000270190")</f>
        <v>SE-000270190</v>
      </c>
      <c r="D3076" s="1">
        <v>45915.377650462964</v>
      </c>
      <c r="E3076" s="2">
        <v>1</v>
      </c>
      <c r="F3076" s="2">
        <v>1</v>
      </c>
      <c r="G3076" s="2">
        <v>1</v>
      </c>
      <c r="H3076" s="1">
        <v>45915.377650462964</v>
      </c>
      <c r="I3076" s="2">
        <v>2</v>
      </c>
      <c r="J3076" s="1">
        <v>45915.377465277779</v>
      </c>
    </row>
    <row r="3077" spans="1:10" x14ac:dyDescent="0.2">
      <c r="A3077" s="4" t="s">
        <v>1</v>
      </c>
      <c r="B3077" s="3" t="str">
        <f>HYPERLINK("https://otsuka-europe-crm.veevavault.com/ui/#object/approved_document__v/V5OZ025E82TFUPI", "Spain - HCP Survey Email - June 2025")</f>
        <v>Spain - HCP Survey Email - June 2025</v>
      </c>
      <c r="C3077" s="3" t="str">
        <f>HYPERLINK("https://otsuka-europe-crm.veevavault.com/ui/#object/sent_email__v/VBLZ025E82GN00D", "SE-000270191")</f>
        <v>SE-000270191</v>
      </c>
      <c r="D3077" s="1">
        <v>45915.885833333334</v>
      </c>
      <c r="E3077" s="2">
        <v>1</v>
      </c>
      <c r="F3077" s="2">
        <v>1</v>
      </c>
      <c r="G3077" s="2">
        <v>0</v>
      </c>
      <c r="H3077" s="1" t="s">
        <v>0</v>
      </c>
      <c r="I3077" s="2">
        <v>0</v>
      </c>
      <c r="J3077" s="1">
        <v>45915.378483796296</v>
      </c>
    </row>
    <row r="3078" spans="1:10" x14ac:dyDescent="0.2">
      <c r="A3078" s="4" t="s">
        <v>1</v>
      </c>
      <c r="B3078" s="3" t="str">
        <f>HYPERLINK("https://otsuka-europe-crm.veevavault.com/ui/#object/approved_document__v/V5OZ025E82TFUPI", "Spain - HCP Survey Email - June 2025")</f>
        <v>Spain - HCP Survey Email - June 2025</v>
      </c>
      <c r="C3078" s="3" t="str">
        <f>HYPERLINK("https://otsuka-europe-crm.veevavault.com/ui/#object/sent_email__v/VBLZ025E82GN00E", "SE-000270192")</f>
        <v>SE-000270192</v>
      </c>
      <c r="D3078" s="1">
        <v>45915.93855324074</v>
      </c>
      <c r="E3078" s="2">
        <v>1</v>
      </c>
      <c r="F3078" s="2">
        <v>1</v>
      </c>
      <c r="G3078" s="2">
        <v>0</v>
      </c>
      <c r="H3078" s="1" t="s">
        <v>0</v>
      </c>
      <c r="I3078" s="2">
        <v>0</v>
      </c>
      <c r="J3078" s="1">
        <v>45915.37877314815</v>
      </c>
    </row>
    <row r="3079" spans="1:10" x14ac:dyDescent="0.2">
      <c r="A3079" s="4" t="s">
        <v>1</v>
      </c>
      <c r="B3079" s="3" t="str">
        <f>HYPERLINK("https://otsuka-europe-crm.veevavault.com/ui/#object/approved_document__v/V5OZ025E82TFUPI", "Spain - HCP Survey Email - June 2025")</f>
        <v>Spain - HCP Survey Email - June 2025</v>
      </c>
      <c r="C3079" s="3" t="str">
        <f>HYPERLINK("https://otsuka-europe-crm.veevavault.com/ui/#object/sent_email__v/VBLZ025E82GN00F", "SE-000270193")</f>
        <v>SE-000270193</v>
      </c>
      <c r="D3079" s="1">
        <v>45915.561192129629</v>
      </c>
      <c r="E3079" s="2">
        <v>1</v>
      </c>
      <c r="F3079" s="2">
        <v>3</v>
      </c>
      <c r="G3079" s="2">
        <v>0</v>
      </c>
      <c r="H3079" s="1" t="s">
        <v>0</v>
      </c>
      <c r="I3079" s="2">
        <v>0</v>
      </c>
      <c r="J3079" s="1">
        <v>45915.378796296296</v>
      </c>
    </row>
    <row r="3080" spans="1:10" x14ac:dyDescent="0.2">
      <c r="A3080" s="4" t="s">
        <v>1</v>
      </c>
      <c r="B3080" s="3" t="str">
        <f>HYPERLINK("https://otsuka-europe-crm.veevavault.com/ui/#object/approved_document__v/V5OZ025E82TFUPI", "Spain - HCP Survey Email - June 2025")</f>
        <v>Spain - HCP Survey Email - June 2025</v>
      </c>
      <c r="C3080" s="3" t="str">
        <f>HYPERLINK("https://otsuka-europe-crm.veevavault.com/ui/#object/sent_email__v/VBLZ025E82GN00G", "SE-000270194")</f>
        <v>SE-000270194</v>
      </c>
      <c r="D3080" s="1" t="s">
        <v>0</v>
      </c>
      <c r="E3080" s="2">
        <v>0</v>
      </c>
      <c r="F3080" s="2">
        <v>0</v>
      </c>
      <c r="G3080" s="2">
        <v>0</v>
      </c>
      <c r="H3080" s="1" t="s">
        <v>0</v>
      </c>
      <c r="I3080" s="2">
        <v>0</v>
      </c>
      <c r="J3080" s="1">
        <v>45915.379143518519</v>
      </c>
    </row>
    <row r="3081" spans="1:10" x14ac:dyDescent="0.2">
      <c r="A3081" s="4" t="s">
        <v>1</v>
      </c>
      <c r="B3081" s="3" t="str">
        <f>HYPERLINK("https://otsuka-europe-crm.veevavault.com/ui/#object/approved_document__v/V5OZ025E82TFUPI", "Spain - HCP Survey Email - June 2025")</f>
        <v>Spain - HCP Survey Email - June 2025</v>
      </c>
      <c r="C3081" s="3" t="str">
        <f>HYPERLINK("https://otsuka-europe-crm.veevavault.com/ui/#object/sent_email__v/VBLZ025E82GN00H", "SE-000270195")</f>
        <v>SE-000270195</v>
      </c>
      <c r="D3081" s="1">
        <v>45915.379976851851</v>
      </c>
      <c r="E3081" s="2">
        <v>1</v>
      </c>
      <c r="F3081" s="2">
        <v>1</v>
      </c>
      <c r="G3081" s="2">
        <v>0</v>
      </c>
      <c r="H3081" s="1" t="s">
        <v>0</v>
      </c>
      <c r="I3081" s="2">
        <v>0</v>
      </c>
      <c r="J3081" s="1">
        <v>45915.377858796295</v>
      </c>
    </row>
    <row r="3082" spans="1:10" x14ac:dyDescent="0.2">
      <c r="A3082" s="4" t="s">
        <v>1</v>
      </c>
      <c r="B3082" s="3" t="str">
        <f>HYPERLINK("https://otsuka-europe-crm.veevavault.com/ui/#object/approved_document__v/V5OZ025E82TFUPI", "Spain - HCP Survey Email - June 2025")</f>
        <v>Spain - HCP Survey Email - June 2025</v>
      </c>
      <c r="C3082" s="3" t="str">
        <f>HYPERLINK("https://otsuka-europe-crm.veevavault.com/ui/#object/sent_email__v/VBLZ025E82GN00I", "SE-000270196")</f>
        <v>SE-000270196</v>
      </c>
      <c r="D3082" s="1" t="s">
        <v>0</v>
      </c>
      <c r="E3082" s="2">
        <v>0</v>
      </c>
      <c r="F3082" s="2">
        <v>0</v>
      </c>
      <c r="G3082" s="2">
        <v>0</v>
      </c>
      <c r="H3082" s="1" t="s">
        <v>0</v>
      </c>
      <c r="I3082" s="2">
        <v>0</v>
      </c>
      <c r="J3082" s="1">
        <v>45915.378368055557</v>
      </c>
    </row>
    <row r="3083" spans="1:10" x14ac:dyDescent="0.2">
      <c r="A3083" s="4" t="s">
        <v>1</v>
      </c>
      <c r="B3083" s="3" t="str">
        <f>HYPERLINK("https://otsuka-europe-crm.veevavault.com/ui/#object/approved_document__v/V5OZ025E82TFUPI", "Spain - HCP Survey Email - June 2025")</f>
        <v>Spain - HCP Survey Email - June 2025</v>
      </c>
      <c r="C3083" s="3" t="str">
        <f>HYPERLINK("https://otsuka-europe-crm.veevavault.com/ui/#object/sent_email__v/VBLZ025E82GN00J", "SE-000270197")</f>
        <v>SE-000270197</v>
      </c>
      <c r="D3083" s="1">
        <v>45915.63622685185</v>
      </c>
      <c r="E3083" s="2">
        <v>1</v>
      </c>
      <c r="F3083" s="2">
        <v>2</v>
      </c>
      <c r="G3083" s="2">
        <v>0</v>
      </c>
      <c r="H3083" s="1" t="s">
        <v>0</v>
      </c>
      <c r="I3083" s="2">
        <v>0</v>
      </c>
      <c r="J3083" s="1">
        <v>45915.378078703703</v>
      </c>
    </row>
    <row r="3084" spans="1:10" x14ac:dyDescent="0.2">
      <c r="A3084" s="4" t="s">
        <v>1</v>
      </c>
      <c r="B3084" s="3" t="str">
        <f>HYPERLINK("https://otsuka-europe-crm.veevavault.com/ui/#object/approved_document__v/V5OZ025E82TFUPI", "Spain - HCP Survey Email - June 2025")</f>
        <v>Spain - HCP Survey Email - June 2025</v>
      </c>
      <c r="C3084" s="3" t="str">
        <f>HYPERLINK("https://otsuka-europe-crm.veevavault.com/ui/#object/sent_email__v/VBLZ025E82GN00K", "SE-000270198")</f>
        <v>SE-000270198</v>
      </c>
      <c r="D3084" s="1">
        <v>45916.633634259262</v>
      </c>
      <c r="E3084" s="2">
        <v>1</v>
      </c>
      <c r="F3084" s="2">
        <v>2</v>
      </c>
      <c r="G3084" s="2">
        <v>0</v>
      </c>
      <c r="H3084" s="1" t="s">
        <v>0</v>
      </c>
      <c r="I3084" s="2">
        <v>0</v>
      </c>
      <c r="J3084" s="1">
        <v>45915.378877314812</v>
      </c>
    </row>
    <row r="3085" spans="1:10" x14ac:dyDescent="0.2">
      <c r="A3085" s="4" t="s">
        <v>1</v>
      </c>
      <c r="B3085" s="3" t="str">
        <f>HYPERLINK("https://otsuka-europe-crm.veevavault.com/ui/#object/approved_document__v/V5OZ025E82TFUPI", "Spain - HCP Survey Email - June 2025")</f>
        <v>Spain - HCP Survey Email - June 2025</v>
      </c>
      <c r="C3085" s="3" t="str">
        <f>HYPERLINK("https://otsuka-europe-crm.veevavault.com/ui/#object/sent_email__v/VBLZ025E82GN00L", "SE-000270199")</f>
        <v>SE-000270199</v>
      </c>
      <c r="D3085" s="1" t="s">
        <v>0</v>
      </c>
      <c r="E3085" s="2">
        <v>0</v>
      </c>
      <c r="F3085" s="2">
        <v>0</v>
      </c>
      <c r="G3085" s="2">
        <v>0</v>
      </c>
      <c r="H3085" s="1" t="s">
        <v>0</v>
      </c>
      <c r="I3085" s="2">
        <v>0</v>
      </c>
      <c r="J3085" s="1">
        <v>45915.379571759258</v>
      </c>
    </row>
    <row r="3086" spans="1:10" x14ac:dyDescent="0.2">
      <c r="A3086" s="4" t="s">
        <v>1</v>
      </c>
      <c r="B3086" s="3" t="str">
        <f>HYPERLINK("https://otsuka-europe-crm.veevavault.com/ui/#object/approved_document__v/V5OZ025E82TFUPI", "Spain - HCP Survey Email - June 2025")</f>
        <v>Spain - HCP Survey Email - June 2025</v>
      </c>
      <c r="C3086" s="3" t="str">
        <f>HYPERLINK("https://otsuka-europe-crm.veevavault.com/ui/#object/sent_email__v/VBLZ025E82GN00M", "SE-000270200")</f>
        <v>SE-000270200</v>
      </c>
      <c r="D3086" s="1">
        <v>45918.582233796296</v>
      </c>
      <c r="E3086" s="2">
        <v>1</v>
      </c>
      <c r="F3086" s="2">
        <v>1</v>
      </c>
      <c r="G3086" s="2">
        <v>0</v>
      </c>
      <c r="H3086" s="1" t="s">
        <v>0</v>
      </c>
      <c r="I3086" s="2">
        <v>0</v>
      </c>
      <c r="J3086" s="1">
        <v>45915.379247685189</v>
      </c>
    </row>
    <row r="3087" spans="1:10" x14ac:dyDescent="0.2">
      <c r="A3087" s="4" t="s">
        <v>1</v>
      </c>
      <c r="B3087" s="3" t="str">
        <f>HYPERLINK("https://otsuka-europe-crm.veevavault.com/ui/#object/approved_document__v/V5OZ025E82TFUPI", "Spain - HCP Survey Email - June 2025")</f>
        <v>Spain - HCP Survey Email - June 2025</v>
      </c>
      <c r="C3087" s="3" t="str">
        <f>HYPERLINK("https://otsuka-europe-crm.veevavault.com/ui/#object/sent_email__v/VBLZ025E82GN00N", "SE-000270201")</f>
        <v>SE-000270201</v>
      </c>
      <c r="D3087" s="1">
        <v>45935.580451388887</v>
      </c>
      <c r="E3087" s="2">
        <v>1</v>
      </c>
      <c r="F3087" s="2">
        <v>2</v>
      </c>
      <c r="G3087" s="2">
        <v>0</v>
      </c>
      <c r="H3087" s="1" t="s">
        <v>0</v>
      </c>
      <c r="I3087" s="2">
        <v>0</v>
      </c>
      <c r="J3087" s="1">
        <v>45915.377465277779</v>
      </c>
    </row>
    <row r="3088" spans="1:10" x14ac:dyDescent="0.2">
      <c r="A3088" s="4" t="s">
        <v>1</v>
      </c>
      <c r="B3088" s="3" t="str">
        <f>HYPERLINK("https://otsuka-europe-crm.veevavault.com/ui/#object/approved_document__v/V5OZ025E82TFUPI", "Spain - HCP Survey Email - June 2025")</f>
        <v>Spain - HCP Survey Email - June 2025</v>
      </c>
      <c r="C3088" s="3" t="str">
        <f>HYPERLINK("https://otsuka-europe-crm.veevavault.com/ui/#object/sent_email__v/VBLZ025E82GN00O", "SE-000270202")</f>
        <v>SE-000270202</v>
      </c>
      <c r="D3088" s="1" t="s">
        <v>0</v>
      </c>
      <c r="E3088" s="2">
        <v>0</v>
      </c>
      <c r="F3088" s="2">
        <v>0</v>
      </c>
      <c r="G3088" s="2">
        <v>0</v>
      </c>
      <c r="H3088" s="1" t="s">
        <v>0</v>
      </c>
      <c r="I3088" s="2">
        <v>0</v>
      </c>
      <c r="J3088" s="1">
        <v>45915.378981481481</v>
      </c>
    </row>
    <row r="3089" spans="1:10" x14ac:dyDescent="0.2">
      <c r="A3089" s="4" t="s">
        <v>1</v>
      </c>
      <c r="B3089" s="3" t="str">
        <f>HYPERLINK("https://otsuka-europe-crm.veevavault.com/ui/#object/approved_document__v/V5OZ025E82TFUPI", "Spain - HCP Survey Email - June 2025")</f>
        <v>Spain - HCP Survey Email - June 2025</v>
      </c>
      <c r="C3089" s="3" t="str">
        <f>HYPERLINK("https://otsuka-europe-crm.veevavault.com/ui/#object/sent_email__v/VBLZ025E82GN00P", "SE-000270203")</f>
        <v>SE-000270203</v>
      </c>
      <c r="D3089" s="1">
        <v>45952.388171296298</v>
      </c>
      <c r="E3089" s="2">
        <v>1</v>
      </c>
      <c r="F3089" s="2">
        <v>2</v>
      </c>
      <c r="G3089" s="2">
        <v>0</v>
      </c>
      <c r="H3089" s="1" t="s">
        <v>0</v>
      </c>
      <c r="I3089" s="2">
        <v>0</v>
      </c>
      <c r="J3089" s="1">
        <v>45915.379513888889</v>
      </c>
    </row>
    <row r="3090" spans="1:10" x14ac:dyDescent="0.2">
      <c r="A3090" s="4" t="s">
        <v>1</v>
      </c>
      <c r="B3090" s="3" t="str">
        <f>HYPERLINK("https://otsuka-europe-crm.veevavault.com/ui/#object/approved_document__v/V5OZ025E82TFUPI", "Spain - HCP Survey Email - June 2025")</f>
        <v>Spain - HCP Survey Email - June 2025</v>
      </c>
      <c r="C3090" s="3" t="str">
        <f>HYPERLINK("https://otsuka-europe-crm.veevavault.com/ui/#object/sent_email__v/VBLZ025E82GN00Q", "SE-000270204")</f>
        <v>SE-000270204</v>
      </c>
      <c r="D3090" s="1">
        <v>45915.910949074074</v>
      </c>
      <c r="E3090" s="2">
        <v>1</v>
      </c>
      <c r="F3090" s="2">
        <v>1</v>
      </c>
      <c r="G3090" s="2">
        <v>0</v>
      </c>
      <c r="H3090" s="1" t="s">
        <v>0</v>
      </c>
      <c r="I3090" s="2">
        <v>0</v>
      </c>
      <c r="J3090" s="1">
        <v>45915.379328703704</v>
      </c>
    </row>
    <row r="3091" spans="1:10" x14ac:dyDescent="0.2">
      <c r="A3091" s="4" t="s">
        <v>1</v>
      </c>
      <c r="B3091" s="3" t="str">
        <f>HYPERLINK("https://otsuka-europe-crm.veevavault.com/ui/#object/approved_document__v/V5OZ025E82TFUPI", "Spain - HCP Survey Email - June 2025")</f>
        <v>Spain - HCP Survey Email - June 2025</v>
      </c>
      <c r="C3091" s="3" t="str">
        <f>HYPERLINK("https://otsuka-europe-crm.veevavault.com/ui/#object/sent_email__v/VBLZ025E82GN00R", "SE-000270205")</f>
        <v>SE-000270205</v>
      </c>
      <c r="D3091" s="1">
        <v>45915.660509259258</v>
      </c>
      <c r="E3091" s="2">
        <v>1</v>
      </c>
      <c r="F3091" s="2">
        <v>1</v>
      </c>
      <c r="G3091" s="2">
        <v>1</v>
      </c>
      <c r="H3091" s="1">
        <v>45915.661192129628</v>
      </c>
      <c r="I3091" s="2">
        <v>3</v>
      </c>
      <c r="J3091" s="1">
        <v>45915.377500000002</v>
      </c>
    </row>
    <row r="3092" spans="1:10" x14ac:dyDescent="0.2">
      <c r="A3092" s="4" t="s">
        <v>1</v>
      </c>
      <c r="B3092" s="3" t="str">
        <f>HYPERLINK("https://otsuka-europe-crm.veevavault.com/ui/#object/approved_document__v/V5OZ025E82TFUPI", "Spain - HCP Survey Email - June 2025")</f>
        <v>Spain - HCP Survey Email - June 2025</v>
      </c>
      <c r="C3092" s="3" t="str">
        <f>HYPERLINK("https://otsuka-europe-crm.veevavault.com/ui/#object/sent_email__v/VBLZ025E82GN00S", "SE-000270206")</f>
        <v>SE-000270206</v>
      </c>
      <c r="D3092" s="1" t="s">
        <v>0</v>
      </c>
      <c r="E3092" s="2">
        <v>0</v>
      </c>
      <c r="F3092" s="2">
        <v>0</v>
      </c>
      <c r="G3092" s="2">
        <v>0</v>
      </c>
      <c r="H3092" s="1" t="s">
        <v>0</v>
      </c>
      <c r="I3092" s="2">
        <v>0</v>
      </c>
      <c r="J3092" s="1">
        <v>45915.37840277778</v>
      </c>
    </row>
    <row r="3093" spans="1:10" x14ac:dyDescent="0.2">
      <c r="A3093" s="4" t="s">
        <v>1</v>
      </c>
      <c r="B3093" s="3" t="str">
        <f>HYPERLINK("https://otsuka-europe-crm.veevavault.com/ui/#object/approved_document__v/V5OZ025E82TFUPI", "Spain - HCP Survey Email - June 2025")</f>
        <v>Spain - HCP Survey Email - June 2025</v>
      </c>
      <c r="C3093" s="3" t="str">
        <f>HYPERLINK("https://otsuka-europe-crm.veevavault.com/ui/#object/sent_email__v/VBLZ025E82GN00T", "SE-000270207")</f>
        <v>SE-000270207</v>
      </c>
      <c r="D3093" s="1">
        <v>45915.397627314815</v>
      </c>
      <c r="E3093" s="2">
        <v>1</v>
      </c>
      <c r="F3093" s="2">
        <v>2</v>
      </c>
      <c r="G3093" s="2">
        <v>0</v>
      </c>
      <c r="H3093" s="1" t="s">
        <v>0</v>
      </c>
      <c r="I3093" s="2">
        <v>0</v>
      </c>
      <c r="J3093" s="1">
        <v>45915.378993055558</v>
      </c>
    </row>
    <row r="3094" spans="1:10" x14ac:dyDescent="0.2">
      <c r="A3094" s="4" t="s">
        <v>1</v>
      </c>
      <c r="B3094" s="3" t="str">
        <f>HYPERLINK("https://otsuka-europe-crm.veevavault.com/ui/#object/approved_document__v/V5OZ025E82TFUPI", "Spain - HCP Survey Email - June 2025")</f>
        <v>Spain - HCP Survey Email - June 2025</v>
      </c>
      <c r="C3094" s="3" t="str">
        <f>HYPERLINK("https://otsuka-europe-crm.veevavault.com/ui/#object/sent_email__v/VBLZ025E82GN00U", "SE-000270208")</f>
        <v>SE-000270208</v>
      </c>
      <c r="D3094" s="1" t="s">
        <v>0</v>
      </c>
      <c r="E3094" s="2">
        <v>0</v>
      </c>
      <c r="F3094" s="2">
        <v>0</v>
      </c>
      <c r="G3094" s="2">
        <v>0</v>
      </c>
      <c r="H3094" s="1" t="s">
        <v>0</v>
      </c>
      <c r="I3094" s="2">
        <v>0</v>
      </c>
      <c r="J3094" s="1">
        <v>45915.378738425927</v>
      </c>
    </row>
    <row r="3095" spans="1:10" x14ac:dyDescent="0.2">
      <c r="A3095" s="4" t="s">
        <v>1</v>
      </c>
      <c r="B3095" s="3" t="str">
        <f>HYPERLINK("https://otsuka-europe-crm.veevavault.com/ui/#object/approved_document__v/V5OZ025E82TFUPI", "Spain - HCP Survey Email - June 2025")</f>
        <v>Spain - HCP Survey Email - June 2025</v>
      </c>
      <c r="C3095" s="3" t="str">
        <f>HYPERLINK("https://otsuka-europe-crm.veevavault.com/ui/#object/sent_email__v/VBLZ025E82GN00V", "SE-000270209")</f>
        <v>SE-000270209</v>
      </c>
      <c r="D3095" s="1" t="s">
        <v>0</v>
      </c>
      <c r="E3095" s="2">
        <v>0</v>
      </c>
      <c r="F3095" s="2">
        <v>0</v>
      </c>
      <c r="G3095" s="2">
        <v>0</v>
      </c>
      <c r="H3095" s="1" t="s">
        <v>0</v>
      </c>
      <c r="I3095" s="2">
        <v>0</v>
      </c>
      <c r="J3095" s="1">
        <v>45915.379259259258</v>
      </c>
    </row>
    <row r="3096" spans="1:10" x14ac:dyDescent="0.2">
      <c r="A3096" s="4" t="s">
        <v>1</v>
      </c>
      <c r="B3096" s="3" t="str">
        <f>HYPERLINK("https://otsuka-europe-crm.veevavault.com/ui/#object/approved_document__v/V5OZ025E82TFUPI", "Spain - HCP Survey Email - June 2025")</f>
        <v>Spain - HCP Survey Email - June 2025</v>
      </c>
      <c r="C3096" s="3" t="str">
        <f>HYPERLINK("https://otsuka-europe-crm.veevavault.com/ui/#object/sent_email__v/VBLZ025E82GN00W", "SE-000270210")</f>
        <v>SE-000270210</v>
      </c>
      <c r="D3096" s="1" t="s">
        <v>0</v>
      </c>
      <c r="E3096" s="2">
        <v>0</v>
      </c>
      <c r="F3096" s="2">
        <v>0</v>
      </c>
      <c r="G3096" s="2">
        <v>0</v>
      </c>
      <c r="H3096" s="1" t="s">
        <v>0</v>
      </c>
      <c r="I3096" s="2">
        <v>0</v>
      </c>
      <c r="J3096" s="1">
        <v>45915.377974537034</v>
      </c>
    </row>
    <row r="3097" spans="1:10" x14ac:dyDescent="0.2">
      <c r="A3097" s="4" t="s">
        <v>1</v>
      </c>
      <c r="B3097" s="3" t="str">
        <f>HYPERLINK("https://otsuka-europe-crm.veevavault.com/ui/#object/approved_document__v/V5OZ025E82TFUPI", "Spain - HCP Survey Email - June 2025")</f>
        <v>Spain - HCP Survey Email - June 2025</v>
      </c>
      <c r="C3097" s="3" t="str">
        <f>HYPERLINK("https://otsuka-europe-crm.veevavault.com/ui/#object/sent_email__v/VBLZ025E82GN00X", "SE-000270211")</f>
        <v>SE-000270211</v>
      </c>
      <c r="D3097" s="1">
        <v>45915.449386574073</v>
      </c>
      <c r="E3097" s="2">
        <v>1</v>
      </c>
      <c r="F3097" s="2">
        <v>2</v>
      </c>
      <c r="G3097" s="2">
        <v>0</v>
      </c>
      <c r="H3097" s="1" t="s">
        <v>0</v>
      </c>
      <c r="I3097" s="2">
        <v>0</v>
      </c>
      <c r="J3097" s="1">
        <v>45915.378263888888</v>
      </c>
    </row>
    <row r="3098" spans="1:10" x14ac:dyDescent="0.2">
      <c r="A3098" s="4" t="s">
        <v>1</v>
      </c>
      <c r="B3098" s="3" t="str">
        <f>HYPERLINK("https://otsuka-europe-crm.veevavault.com/ui/#object/approved_document__v/V5OZ025E82TFUPI", "Spain - HCP Survey Email - June 2025")</f>
        <v>Spain - HCP Survey Email - June 2025</v>
      </c>
      <c r="C3098" s="3" t="str">
        <f>HYPERLINK("https://otsuka-europe-crm.veevavault.com/ui/#object/sent_email__v/VBLZ025E82GN00Y", "SE-000270212")</f>
        <v>SE-000270212</v>
      </c>
      <c r="D3098" s="1">
        <v>45915.656840277778</v>
      </c>
      <c r="E3098" s="2">
        <v>1</v>
      </c>
      <c r="F3098" s="2">
        <v>2</v>
      </c>
      <c r="G3098" s="2">
        <v>0</v>
      </c>
      <c r="H3098" s="1" t="s">
        <v>0</v>
      </c>
      <c r="I3098" s="2">
        <v>0</v>
      </c>
      <c r="J3098" s="1">
        <v>45915.378159722219</v>
      </c>
    </row>
    <row r="3099" spans="1:10" x14ac:dyDescent="0.2">
      <c r="A3099" s="4" t="s">
        <v>1</v>
      </c>
      <c r="B3099" s="3" t="str">
        <f>HYPERLINK("https://otsuka-europe-crm.veevavault.com/ui/#object/approved_document__v/V5OZ025E82TFUPI", "Spain - HCP Survey Email - June 2025")</f>
        <v>Spain - HCP Survey Email - June 2025</v>
      </c>
      <c r="C3099" s="3" t="str">
        <f>HYPERLINK("https://otsuka-europe-crm.veevavault.com/ui/#object/sent_email__v/VBLZ025E82GN00Z", "SE-000270213")</f>
        <v>SE-000270213</v>
      </c>
      <c r="D3099" s="1" t="s">
        <v>0</v>
      </c>
      <c r="E3099" s="2">
        <v>0</v>
      </c>
      <c r="F3099" s="2">
        <v>0</v>
      </c>
      <c r="G3099" s="2">
        <v>0</v>
      </c>
      <c r="H3099" s="1" t="s">
        <v>0</v>
      </c>
      <c r="I3099" s="2">
        <v>0</v>
      </c>
      <c r="J3099" s="1">
        <v>45915.379027777781</v>
      </c>
    </row>
    <row r="3100" spans="1:10" x14ac:dyDescent="0.2">
      <c r="A3100" s="4" t="s">
        <v>1</v>
      </c>
      <c r="B3100" s="3" t="str">
        <f>HYPERLINK("https://otsuka-europe-crm.veevavault.com/ui/#object/approved_document__v/V5OZ025E82TFUPI", "Spain - HCP Survey Email - June 2025")</f>
        <v>Spain - HCP Survey Email - June 2025</v>
      </c>
      <c r="C3100" s="3" t="str">
        <f>HYPERLINK("https://otsuka-europe-crm.veevavault.com/ui/#object/sent_email__v/VBLZ025E82GN010", "SE-000270214")</f>
        <v>SE-000270214</v>
      </c>
      <c r="D3100" s="1">
        <v>45915.691168981481</v>
      </c>
      <c r="E3100" s="2">
        <v>1</v>
      </c>
      <c r="F3100" s="2">
        <v>1</v>
      </c>
      <c r="G3100" s="2">
        <v>0</v>
      </c>
      <c r="H3100" s="1" t="s">
        <v>0</v>
      </c>
      <c r="I3100" s="2">
        <v>0</v>
      </c>
      <c r="J3100" s="1">
        <v>45915.379421296297</v>
      </c>
    </row>
    <row r="3101" spans="1:10" x14ac:dyDescent="0.2">
      <c r="A3101" s="4" t="s">
        <v>1</v>
      </c>
      <c r="B3101" s="3" t="str">
        <f>HYPERLINK("https://otsuka-europe-crm.veevavault.com/ui/#object/approved_document__v/V5OZ025E82TFUPI", "Spain - HCP Survey Email - June 2025")</f>
        <v>Spain - HCP Survey Email - June 2025</v>
      </c>
      <c r="C3101" s="3" t="str">
        <f>HYPERLINK("https://otsuka-europe-crm.veevavault.com/ui/#object/sent_email__v/VBLZ025E82GN011", "SE-000270215")</f>
        <v>SE-000270215</v>
      </c>
      <c r="D3101" s="1">
        <v>45915.953622685185</v>
      </c>
      <c r="E3101" s="2">
        <v>1</v>
      </c>
      <c r="F3101" s="2">
        <v>1</v>
      </c>
      <c r="G3101" s="2">
        <v>0</v>
      </c>
      <c r="H3101" s="1" t="s">
        <v>0</v>
      </c>
      <c r="I3101" s="2">
        <v>0</v>
      </c>
      <c r="J3101" s="1">
        <v>45915.379363425927</v>
      </c>
    </row>
    <row r="3102" spans="1:10" x14ac:dyDescent="0.2">
      <c r="A3102" s="4" t="s">
        <v>1</v>
      </c>
      <c r="B3102" s="3" t="str">
        <f>HYPERLINK("https://otsuka-europe-crm.veevavault.com/ui/#object/approved_document__v/V5OZ025E82TFUPI", "Spain - HCP Survey Email - June 2025")</f>
        <v>Spain - HCP Survey Email - June 2025</v>
      </c>
      <c r="C3102" s="3" t="str">
        <f>HYPERLINK("https://otsuka-europe-crm.veevavault.com/ui/#object/sent_email__v/VBLZ025E82GN012", "SE-000270216")</f>
        <v>SE-000270216</v>
      </c>
      <c r="D3102" s="1" t="s">
        <v>0</v>
      </c>
      <c r="E3102" s="2">
        <v>0</v>
      </c>
      <c r="F3102" s="2">
        <v>0</v>
      </c>
      <c r="G3102" s="2">
        <v>0</v>
      </c>
      <c r="H3102" s="1" t="s">
        <v>0</v>
      </c>
      <c r="I3102" s="2">
        <v>0</v>
      </c>
      <c r="J3102" s="1">
        <v>45915.377465277779</v>
      </c>
    </row>
    <row r="3103" spans="1:10" x14ac:dyDescent="0.2">
      <c r="A3103" s="4" t="s">
        <v>1</v>
      </c>
      <c r="B3103" s="3" t="str">
        <f>HYPERLINK("https://otsuka-europe-crm.veevavault.com/ui/#object/approved_document__v/V5OZ025E82TFUPI", "Spain - HCP Survey Email - June 2025")</f>
        <v>Spain - HCP Survey Email - June 2025</v>
      </c>
      <c r="C3103" s="3" t="str">
        <f>HYPERLINK("https://otsuka-europe-crm.veevavault.com/ui/#object/sent_email__v/VBLZ025E82GN013", "SE-000270217")</f>
        <v>SE-000270217</v>
      </c>
      <c r="D3103" s="1">
        <v>45916.020277777781</v>
      </c>
      <c r="E3103" s="2">
        <v>1</v>
      </c>
      <c r="F3103" s="2">
        <v>1</v>
      </c>
      <c r="G3103" s="2">
        <v>0</v>
      </c>
      <c r="H3103" s="1" t="s">
        <v>0</v>
      </c>
      <c r="I3103" s="2">
        <v>0</v>
      </c>
      <c r="J3103" s="1">
        <v>45915.378379629627</v>
      </c>
    </row>
    <row r="3104" spans="1:10" x14ac:dyDescent="0.2">
      <c r="A3104" s="4" t="s">
        <v>1</v>
      </c>
      <c r="B3104" s="3" t="str">
        <f>HYPERLINK("https://otsuka-europe-crm.veevavault.com/ui/#object/approved_document__v/V5OZ025E82TFUPI", "Spain - HCP Survey Email - June 2025")</f>
        <v>Spain - HCP Survey Email - June 2025</v>
      </c>
      <c r="C3104" s="3" t="str">
        <f>HYPERLINK("https://otsuka-europe-crm.veevavault.com/ui/#object/sent_email__v/VBLZ025E82GN014", "SE-000270218")</f>
        <v>SE-000270218</v>
      </c>
      <c r="D3104" s="1">
        <v>45915.832743055558</v>
      </c>
      <c r="E3104" s="2">
        <v>1</v>
      </c>
      <c r="F3104" s="2">
        <v>1</v>
      </c>
      <c r="G3104" s="2">
        <v>1</v>
      </c>
      <c r="H3104" s="1">
        <v>45915.832858796297</v>
      </c>
      <c r="I3104" s="2">
        <v>1</v>
      </c>
      <c r="J3104" s="1">
        <v>45915.378969907404</v>
      </c>
    </row>
    <row r="3105" spans="1:10" x14ac:dyDescent="0.2">
      <c r="A3105" s="4" t="s">
        <v>1</v>
      </c>
      <c r="B3105" s="3" t="str">
        <f>HYPERLINK("https://otsuka-europe-crm.veevavault.com/ui/#object/approved_document__v/V5OZ025E82TFUPI", "Spain - HCP Survey Email - June 2025")</f>
        <v>Spain - HCP Survey Email - June 2025</v>
      </c>
      <c r="C3105" s="3" t="str">
        <f>HYPERLINK("https://otsuka-europe-crm.veevavault.com/ui/#object/sent_email__v/VBLZ025E82GN015", "SE-000270219")</f>
        <v>SE-000270219</v>
      </c>
      <c r="D3105" s="1">
        <v>45915.421759259261</v>
      </c>
      <c r="E3105" s="2">
        <v>1</v>
      </c>
      <c r="F3105" s="2">
        <v>2</v>
      </c>
      <c r="G3105" s="2">
        <v>0</v>
      </c>
      <c r="H3105" s="1" t="s">
        <v>0</v>
      </c>
      <c r="I3105" s="2">
        <v>0</v>
      </c>
      <c r="J3105" s="1">
        <v>45915.378761574073</v>
      </c>
    </row>
    <row r="3106" spans="1:10" x14ac:dyDescent="0.2">
      <c r="A3106" s="4" t="s">
        <v>1</v>
      </c>
      <c r="B3106" s="3" t="str">
        <f>HYPERLINK("https://otsuka-europe-crm.veevavault.com/ui/#object/approved_document__v/V5OZ025E82TFUPI", "Spain - HCP Survey Email - June 2025")</f>
        <v>Spain - HCP Survey Email - June 2025</v>
      </c>
      <c r="C3106" s="3" t="str">
        <f>HYPERLINK("https://otsuka-europe-crm.veevavault.com/ui/#object/sent_email__v/VBLZ025E82GN016", "SE-000270220")</f>
        <v>SE-000270220</v>
      </c>
      <c r="D3106" s="1">
        <v>45915.379618055558</v>
      </c>
      <c r="E3106" s="2">
        <v>1</v>
      </c>
      <c r="F3106" s="2">
        <v>1</v>
      </c>
      <c r="G3106" s="2">
        <v>0</v>
      </c>
      <c r="H3106" s="1" t="s">
        <v>0</v>
      </c>
      <c r="I3106" s="2">
        <v>0</v>
      </c>
      <c r="J3106" s="1">
        <v>45915.379224537035</v>
      </c>
    </row>
    <row r="3107" spans="1:10" x14ac:dyDescent="0.2">
      <c r="A3107" s="4" t="s">
        <v>1</v>
      </c>
      <c r="B3107" s="3" t="str">
        <f>HYPERLINK("https://otsuka-europe-crm.veevavault.com/ui/#object/approved_document__v/V5OZ025E82TFUPI", "Spain - HCP Survey Email - June 2025")</f>
        <v>Spain - HCP Survey Email - June 2025</v>
      </c>
      <c r="C3107" s="3" t="str">
        <f>HYPERLINK("https://otsuka-europe-crm.veevavault.com/ui/#object/sent_email__v/VBLZ025E82GN017", "SE-000270221")</f>
        <v>SE-000270221</v>
      </c>
      <c r="D3107" s="1" t="s">
        <v>0</v>
      </c>
      <c r="E3107" s="2">
        <v>0</v>
      </c>
      <c r="F3107" s="2">
        <v>0</v>
      </c>
      <c r="G3107" s="2">
        <v>0</v>
      </c>
      <c r="H3107" s="1" t="s">
        <v>0</v>
      </c>
      <c r="I3107" s="2">
        <v>0</v>
      </c>
      <c r="J3107" s="1">
        <v>45915.377870370372</v>
      </c>
    </row>
    <row r="3108" spans="1:10" x14ac:dyDescent="0.2">
      <c r="A3108" s="4" t="s">
        <v>1</v>
      </c>
      <c r="B3108" s="3" t="str">
        <f>HYPERLINK("https://otsuka-europe-crm.veevavault.com/ui/#object/approved_document__v/V5OZ025E82TFUPI", "Spain - HCP Survey Email - June 2025")</f>
        <v>Spain - HCP Survey Email - June 2025</v>
      </c>
      <c r="C3108" s="3" t="str">
        <f>HYPERLINK("https://otsuka-europe-crm.veevavault.com/ui/#object/sent_email__v/VBLZ025E82GN018", "SE-000270222")</f>
        <v>SE-000270222</v>
      </c>
      <c r="D3108" s="1">
        <v>45916.461805555555</v>
      </c>
      <c r="E3108" s="2">
        <v>1</v>
      </c>
      <c r="F3108" s="2">
        <v>1</v>
      </c>
      <c r="G3108" s="2">
        <v>1</v>
      </c>
      <c r="H3108" s="1">
        <v>45916.461805555555</v>
      </c>
      <c r="I3108" s="2">
        <v>1</v>
      </c>
      <c r="J3108" s="1">
        <v>45915.378252314818</v>
      </c>
    </row>
    <row r="3109" spans="1:10" x14ac:dyDescent="0.2">
      <c r="A3109" s="4" t="s">
        <v>1</v>
      </c>
      <c r="B3109" s="3" t="str">
        <f>HYPERLINK("https://otsuka-europe-crm.veevavault.com/ui/#object/approved_document__v/V5OZ025E82TFUPI", "Spain - HCP Survey Email - June 2025")</f>
        <v>Spain - HCP Survey Email - June 2025</v>
      </c>
      <c r="C3109" s="3" t="str">
        <f>HYPERLINK("https://otsuka-europe-crm.veevavault.com/ui/#object/sent_email__v/VBLZ025E82GN019", "SE-000270223")</f>
        <v>SE-000270223</v>
      </c>
      <c r="D3109" s="1" t="s">
        <v>0</v>
      </c>
      <c r="E3109" s="2">
        <v>0</v>
      </c>
      <c r="F3109" s="2">
        <v>0</v>
      </c>
      <c r="G3109" s="2">
        <v>0</v>
      </c>
      <c r="H3109" s="1" t="s">
        <v>0</v>
      </c>
      <c r="I3109" s="2">
        <v>0</v>
      </c>
      <c r="J3109" s="1">
        <v>45915.378148148149</v>
      </c>
    </row>
    <row r="3110" spans="1:10" x14ac:dyDescent="0.2">
      <c r="A3110" s="4" t="s">
        <v>1</v>
      </c>
      <c r="B3110" s="3" t="str">
        <f>HYPERLINK("https://otsuka-europe-crm.veevavault.com/ui/#object/approved_document__v/V5OZ025E82TFUPI", "Spain - HCP Survey Email - June 2025")</f>
        <v>Spain - HCP Survey Email - June 2025</v>
      </c>
      <c r="C3110" s="3" t="str">
        <f>HYPERLINK("https://otsuka-europe-crm.veevavault.com/ui/#object/sent_email__v/VBLZ025E82GN01A", "SE-000270224")</f>
        <v>SE-000270224</v>
      </c>
      <c r="D3110" s="1">
        <v>45915.859409722223</v>
      </c>
      <c r="E3110" s="2">
        <v>1</v>
      </c>
      <c r="F3110" s="2">
        <v>2</v>
      </c>
      <c r="G3110" s="2">
        <v>0</v>
      </c>
      <c r="H3110" s="1" t="s">
        <v>0</v>
      </c>
      <c r="I3110" s="2">
        <v>0</v>
      </c>
      <c r="J3110" s="1">
        <v>45915.378993055558</v>
      </c>
    </row>
    <row r="3111" spans="1:10" x14ac:dyDescent="0.2">
      <c r="A3111" s="4" t="s">
        <v>1</v>
      </c>
      <c r="B3111" s="3" t="str">
        <f>HYPERLINK("https://otsuka-europe-crm.veevavault.com/ui/#object/approved_document__v/V5OZ025E82TFUPI", "Spain - HCP Survey Email - June 2025")</f>
        <v>Spain - HCP Survey Email - June 2025</v>
      </c>
      <c r="C3111" s="3" t="str">
        <f>HYPERLINK("https://otsuka-europe-crm.veevavault.com/ui/#object/sent_email__v/VBLZ025E82GN01B", "SE-000270225")</f>
        <v>SE-000270225</v>
      </c>
      <c r="D3111" s="1">
        <v>45915.384212962963</v>
      </c>
      <c r="E3111" s="2">
        <v>1</v>
      </c>
      <c r="F3111" s="2">
        <v>2</v>
      </c>
      <c r="G3111" s="2">
        <v>1</v>
      </c>
      <c r="H3111" s="1">
        <v>45915.384409722225</v>
      </c>
      <c r="I3111" s="2">
        <v>1</v>
      </c>
      <c r="J3111" s="1">
        <v>45915.379467592589</v>
      </c>
    </row>
    <row r="3112" spans="1:10" x14ac:dyDescent="0.2">
      <c r="A3112" s="4" t="s">
        <v>1</v>
      </c>
      <c r="B3112" s="3" t="str">
        <f>HYPERLINK("https://otsuka-europe-crm.veevavault.com/ui/#object/approved_document__v/V5OZ025E82TFUPI", "Spain - HCP Survey Email - June 2025")</f>
        <v>Spain - HCP Survey Email - June 2025</v>
      </c>
      <c r="C3112" s="3" t="str">
        <f>HYPERLINK("https://otsuka-europe-crm.veevavault.com/ui/#object/sent_email__v/VBLZ025E82GN01C", "SE-000270226")</f>
        <v>SE-000270226</v>
      </c>
      <c r="D3112" s="1" t="s">
        <v>0</v>
      </c>
      <c r="E3112" s="2">
        <v>0</v>
      </c>
      <c r="F3112" s="2">
        <v>0</v>
      </c>
      <c r="G3112" s="2">
        <v>0</v>
      </c>
      <c r="H3112" s="1" t="s">
        <v>0</v>
      </c>
      <c r="I3112" s="2">
        <v>0</v>
      </c>
      <c r="J3112" s="1">
        <v>45915.37940972222</v>
      </c>
    </row>
    <row r="3113" spans="1:10" x14ac:dyDescent="0.2">
      <c r="A3113" s="4" t="s">
        <v>1</v>
      </c>
      <c r="B3113" s="3" t="str">
        <f>HYPERLINK("https://otsuka-europe-crm.veevavault.com/ui/#object/approved_document__v/V5OZ025E82TFUPI", "Spain - HCP Survey Email - June 2025")</f>
        <v>Spain - HCP Survey Email - June 2025</v>
      </c>
      <c r="C3113" s="3" t="str">
        <f>HYPERLINK("https://otsuka-europe-crm.veevavault.com/ui/#object/sent_email__v/VBLZ025E82GN01D", "SE-000270227")</f>
        <v>SE-000270227</v>
      </c>
      <c r="D3113" s="1" t="s">
        <v>0</v>
      </c>
      <c r="E3113" s="2">
        <v>0</v>
      </c>
      <c r="F3113" s="2">
        <v>0</v>
      </c>
      <c r="G3113" s="2">
        <v>0</v>
      </c>
      <c r="H3113" s="1" t="s">
        <v>0</v>
      </c>
      <c r="I3113" s="2">
        <v>0</v>
      </c>
      <c r="J3113" s="1">
        <v>45915.377453703702</v>
      </c>
    </row>
    <row r="3114" spans="1:10" x14ac:dyDescent="0.2">
      <c r="A3114" s="4" t="s">
        <v>1</v>
      </c>
      <c r="B3114" s="3" t="str">
        <f>HYPERLINK("https://otsuka-europe-crm.veevavault.com/ui/#object/approved_document__v/V5OZ025E82TFUPI", "Spain - HCP Survey Email - June 2025")</f>
        <v>Spain - HCP Survey Email - June 2025</v>
      </c>
      <c r="C3114" s="3" t="str">
        <f>HYPERLINK("https://otsuka-europe-crm.veevavault.com/ui/#object/sent_email__v/VBLZ025E82GN01E", "SE-000270228")</f>
        <v>SE-000270228</v>
      </c>
      <c r="D3114" s="1" t="s">
        <v>0</v>
      </c>
      <c r="E3114" s="2">
        <v>0</v>
      </c>
      <c r="F3114" s="2">
        <v>0</v>
      </c>
      <c r="G3114" s="2">
        <v>0</v>
      </c>
      <c r="H3114" s="1" t="s">
        <v>0</v>
      </c>
      <c r="I3114" s="2">
        <v>0</v>
      </c>
      <c r="J3114" s="1">
        <v>45915.378229166665</v>
      </c>
    </row>
    <row r="3115" spans="1:10" x14ac:dyDescent="0.2">
      <c r="A3115" s="4" t="s">
        <v>1</v>
      </c>
      <c r="B3115" s="3" t="str">
        <f>HYPERLINK("https://otsuka-europe-crm.veevavault.com/ui/#object/approved_document__v/V5OZ025E82TFUPI", "Spain - HCP Survey Email - June 2025")</f>
        <v>Spain - HCP Survey Email - June 2025</v>
      </c>
      <c r="C3115" s="3" t="str">
        <f>HYPERLINK("https://otsuka-europe-crm.veevavault.com/ui/#object/sent_email__v/VBLZ025E82GN01F", "SE-000270229")</f>
        <v>SE-000270229</v>
      </c>
      <c r="D3115" s="1" t="s">
        <v>0</v>
      </c>
      <c r="E3115" s="2">
        <v>0</v>
      </c>
      <c r="F3115" s="2">
        <v>0</v>
      </c>
      <c r="G3115" s="2">
        <v>0</v>
      </c>
      <c r="H3115" s="1" t="s">
        <v>0</v>
      </c>
      <c r="I3115" s="2">
        <v>0</v>
      </c>
      <c r="J3115" s="1">
        <v>45915.379027777781</v>
      </c>
    </row>
    <row r="3116" spans="1:10" x14ac:dyDescent="0.2">
      <c r="A3116" s="4" t="s">
        <v>1</v>
      </c>
      <c r="B3116" s="3" t="str">
        <f>HYPERLINK("https://otsuka-europe-crm.veevavault.com/ui/#object/approved_document__v/V5OZ025E82TFUPI", "Spain - HCP Survey Email - June 2025")</f>
        <v>Spain - HCP Survey Email - June 2025</v>
      </c>
      <c r="C3116" s="3" t="str">
        <f>HYPERLINK("https://otsuka-europe-crm.veevavault.com/ui/#object/sent_email__v/VBLZ025E82GN01G", "SE-000270230")</f>
        <v>SE-000270230</v>
      </c>
      <c r="D3116" s="1" t="s">
        <v>0</v>
      </c>
      <c r="E3116" s="2">
        <v>0</v>
      </c>
      <c r="F3116" s="2">
        <v>0</v>
      </c>
      <c r="G3116" s="2">
        <v>0</v>
      </c>
      <c r="H3116" s="1" t="s">
        <v>0</v>
      </c>
      <c r="I3116" s="2">
        <v>0</v>
      </c>
      <c r="J3116" s="1">
        <v>45915.379421296297</v>
      </c>
    </row>
    <row r="3117" spans="1:10" x14ac:dyDescent="0.2">
      <c r="A3117" s="4" t="s">
        <v>1</v>
      </c>
      <c r="B3117" s="3" t="str">
        <f>HYPERLINK("https://otsuka-europe-crm.veevavault.com/ui/#object/approved_document__v/V5OZ025E82TFUPI", "Spain - HCP Survey Email - June 2025")</f>
        <v>Spain - HCP Survey Email - June 2025</v>
      </c>
      <c r="C3117" s="3" t="str">
        <f>HYPERLINK("https://otsuka-europe-crm.veevavault.com/ui/#object/sent_email__v/VBLZ025E82GN01H", "SE-000270231")</f>
        <v>SE-000270231</v>
      </c>
      <c r="D3117" s="1" t="s">
        <v>0</v>
      </c>
      <c r="E3117" s="2">
        <v>0</v>
      </c>
      <c r="F3117" s="2">
        <v>0</v>
      </c>
      <c r="G3117" s="2">
        <v>0</v>
      </c>
      <c r="H3117" s="1" t="s">
        <v>0</v>
      </c>
      <c r="I3117" s="2">
        <v>0</v>
      </c>
      <c r="J3117" s="1">
        <v>45915.37939814815</v>
      </c>
    </row>
    <row r="3118" spans="1:10" x14ac:dyDescent="0.2">
      <c r="A3118" s="4" t="s">
        <v>1</v>
      </c>
      <c r="B3118" s="3" t="str">
        <f>HYPERLINK("https://otsuka-europe-crm.veevavault.com/ui/#object/approved_document__v/V5OZ025E82TFUPI", "Spain - HCP Survey Email - June 2025")</f>
        <v>Spain - HCP Survey Email - June 2025</v>
      </c>
      <c r="C3118" s="3" t="str">
        <f>HYPERLINK("https://otsuka-europe-crm.veevavault.com/ui/#object/sent_email__v/VBLZ025E82GN01I", "SE-000270232")</f>
        <v>SE-000270232</v>
      </c>
      <c r="D3118" s="1" t="s">
        <v>0</v>
      </c>
      <c r="E3118" s="2">
        <v>0</v>
      </c>
      <c r="F3118" s="2">
        <v>0</v>
      </c>
      <c r="G3118" s="2">
        <v>0</v>
      </c>
      <c r="H3118" s="1" t="s">
        <v>0</v>
      </c>
      <c r="I3118" s="2">
        <v>0</v>
      </c>
      <c r="J3118" s="1">
        <v>45915.377453703702</v>
      </c>
    </row>
    <row r="3119" spans="1:10" x14ac:dyDescent="0.2">
      <c r="A3119" s="4" t="s">
        <v>1</v>
      </c>
      <c r="B3119" s="3" t="str">
        <f>HYPERLINK("https://otsuka-europe-crm.veevavault.com/ui/#object/approved_document__v/V5OZ025E82TFUPI", "Spain - HCP Survey Email - June 2025")</f>
        <v>Spain - HCP Survey Email - June 2025</v>
      </c>
      <c r="C3119" s="3" t="str">
        <f>HYPERLINK("https://otsuka-europe-crm.veevavault.com/ui/#object/sent_email__v/VBLZ025E82GN01J", "SE-000270233")</f>
        <v>SE-000270233</v>
      </c>
      <c r="D3119" s="1">
        <v>45915.585995370369</v>
      </c>
      <c r="E3119" s="2">
        <v>1</v>
      </c>
      <c r="F3119" s="2">
        <v>1</v>
      </c>
      <c r="G3119" s="2">
        <v>0</v>
      </c>
      <c r="H3119" s="1" t="s">
        <v>0</v>
      </c>
      <c r="I3119" s="2">
        <v>0</v>
      </c>
      <c r="J3119" s="1">
        <v>45915.37840277778</v>
      </c>
    </row>
    <row r="3120" spans="1:10" x14ac:dyDescent="0.2">
      <c r="A3120" s="4" t="s">
        <v>1</v>
      </c>
      <c r="B3120" s="3" t="str">
        <f>HYPERLINK("https://otsuka-europe-crm.veevavault.com/ui/#object/approved_document__v/V5OZ025E82TFUPI", "Spain - HCP Survey Email - June 2025")</f>
        <v>Spain - HCP Survey Email - June 2025</v>
      </c>
      <c r="C3120" s="3" t="str">
        <f>HYPERLINK("https://otsuka-europe-crm.veevavault.com/ui/#object/sent_email__v/VBLZ025E82GN01K", "SE-000270234")</f>
        <v>SE-000270234</v>
      </c>
      <c r="D3120" s="1">
        <v>45915.411458333336</v>
      </c>
      <c r="E3120" s="2">
        <v>1</v>
      </c>
      <c r="F3120" s="2">
        <v>1</v>
      </c>
      <c r="G3120" s="2">
        <v>1</v>
      </c>
      <c r="H3120" s="1">
        <v>45915.411874999998</v>
      </c>
      <c r="I3120" s="2">
        <v>1</v>
      </c>
      <c r="J3120" s="1">
        <v>45915.378969907404</v>
      </c>
    </row>
    <row r="3121" spans="1:10" x14ac:dyDescent="0.2">
      <c r="A3121" s="4" t="s">
        <v>1</v>
      </c>
      <c r="B3121" s="3" t="str">
        <f>HYPERLINK("https://otsuka-europe-crm.veevavault.com/ui/#object/approved_document__v/V5OZ025E82TFUPI", "Spain - HCP Survey Email - June 2025")</f>
        <v>Spain - HCP Survey Email - June 2025</v>
      </c>
      <c r="C3121" s="3" t="str">
        <f>HYPERLINK("https://otsuka-europe-crm.veevavault.com/ui/#object/sent_email__v/VBLZ025E82GN01L", "SE-000270235")</f>
        <v>SE-000270235</v>
      </c>
      <c r="D3121" s="1" t="s">
        <v>0</v>
      </c>
      <c r="E3121" s="2">
        <v>0</v>
      </c>
      <c r="F3121" s="2">
        <v>0</v>
      </c>
      <c r="G3121" s="2">
        <v>0</v>
      </c>
      <c r="H3121" s="1" t="s">
        <v>0</v>
      </c>
      <c r="I3121" s="2">
        <v>0</v>
      </c>
      <c r="J3121" s="1">
        <v>45915.37877314815</v>
      </c>
    </row>
    <row r="3122" spans="1:10" x14ac:dyDescent="0.2">
      <c r="A3122" s="4" t="s">
        <v>1</v>
      </c>
      <c r="B3122" s="3" t="str">
        <f>HYPERLINK("https://otsuka-europe-crm.veevavault.com/ui/#object/approved_document__v/V5OZ025E82TFUPI", "Spain - HCP Survey Email - June 2025")</f>
        <v>Spain - HCP Survey Email - June 2025</v>
      </c>
      <c r="C3122" s="3" t="str">
        <f>HYPERLINK("https://otsuka-europe-crm.veevavault.com/ui/#object/sent_email__v/VBLZ025E82GN01M", "SE-000270236")</f>
        <v>SE-000270236</v>
      </c>
      <c r="D3122" s="1" t="s">
        <v>0</v>
      </c>
      <c r="E3122" s="2">
        <v>0</v>
      </c>
      <c r="F3122" s="2">
        <v>0</v>
      </c>
      <c r="G3122" s="2">
        <v>0</v>
      </c>
      <c r="H3122" s="1" t="s">
        <v>0</v>
      </c>
      <c r="I3122" s="2">
        <v>0</v>
      </c>
      <c r="J3122" s="1">
        <v>45915.379120370373</v>
      </c>
    </row>
    <row r="3123" spans="1:10" x14ac:dyDescent="0.2">
      <c r="A3123" s="4" t="s">
        <v>1</v>
      </c>
      <c r="B3123" s="3" t="str">
        <f>HYPERLINK("https://otsuka-europe-crm.veevavault.com/ui/#object/approved_document__v/V5OZ025E82TFUPI", "Spain - HCP Survey Email - June 2025")</f>
        <v>Spain - HCP Survey Email - June 2025</v>
      </c>
      <c r="C3123" s="3" t="str">
        <f>HYPERLINK("https://otsuka-europe-crm.veevavault.com/ui/#object/sent_email__v/VBLZ025E82GN01N", "SE-000270237")</f>
        <v>SE-000270237</v>
      </c>
      <c r="D3123" s="1">
        <v>45916.494131944448</v>
      </c>
      <c r="E3123" s="2">
        <v>1</v>
      </c>
      <c r="F3123" s="2">
        <v>1</v>
      </c>
      <c r="G3123" s="2">
        <v>0</v>
      </c>
      <c r="H3123" s="1" t="s">
        <v>0</v>
      </c>
      <c r="I3123" s="2">
        <v>0</v>
      </c>
      <c r="J3123" s="1">
        <v>45915.377939814818</v>
      </c>
    </row>
    <row r="3124" spans="1:10" x14ac:dyDescent="0.2">
      <c r="A3124" s="4" t="s">
        <v>1</v>
      </c>
      <c r="B3124" s="3" t="str">
        <f>HYPERLINK("https://otsuka-europe-crm.veevavault.com/ui/#object/approved_document__v/V5OZ025E82TFUPI", "Spain - HCP Survey Email - June 2025")</f>
        <v>Spain - HCP Survey Email - June 2025</v>
      </c>
      <c r="C3124" s="3" t="str">
        <f>HYPERLINK("https://otsuka-europe-crm.veevavault.com/ui/#object/sent_email__v/VBLZ025E82GN01O", "SE-000270238")</f>
        <v>SE-000270238</v>
      </c>
      <c r="D3124" s="1" t="s">
        <v>0</v>
      </c>
      <c r="E3124" s="2">
        <v>0</v>
      </c>
      <c r="F3124" s="2">
        <v>0</v>
      </c>
      <c r="G3124" s="2">
        <v>0</v>
      </c>
      <c r="H3124" s="1" t="s">
        <v>0</v>
      </c>
      <c r="I3124" s="2">
        <v>0</v>
      </c>
      <c r="J3124" s="1">
        <v>45915.378206018519</v>
      </c>
    </row>
    <row r="3125" spans="1:10" x14ac:dyDescent="0.2">
      <c r="A3125" s="4" t="s">
        <v>1</v>
      </c>
      <c r="B3125" s="3" t="str">
        <f>HYPERLINK("https://otsuka-europe-crm.veevavault.com/ui/#object/approved_document__v/V5OZ025E82TFUPI", "Spain - HCP Survey Email - June 2025")</f>
        <v>Spain - HCP Survey Email - June 2025</v>
      </c>
      <c r="C3125" s="3" t="str">
        <f>HYPERLINK("https://otsuka-europe-crm.veevavault.com/ui/#object/sent_email__v/VBLZ025E82GN01P", "SE-000270239")</f>
        <v>SE-000270239</v>
      </c>
      <c r="D3125" s="1">
        <v>45915.45894675926</v>
      </c>
      <c r="E3125" s="2">
        <v>1</v>
      </c>
      <c r="F3125" s="2">
        <v>1</v>
      </c>
      <c r="G3125" s="2">
        <v>1</v>
      </c>
      <c r="H3125" s="1">
        <v>45915.459976851853</v>
      </c>
      <c r="I3125" s="2">
        <v>1</v>
      </c>
      <c r="J3125" s="1">
        <v>45915.378009259257</v>
      </c>
    </row>
    <row r="3126" spans="1:10" x14ac:dyDescent="0.2">
      <c r="A3126" s="4" t="s">
        <v>1</v>
      </c>
      <c r="B3126" s="3" t="str">
        <f>HYPERLINK("https://otsuka-europe-crm.veevavault.com/ui/#object/approved_document__v/V5OZ025E82TFUPI", "Spain - HCP Survey Email - June 2025")</f>
        <v>Spain - HCP Survey Email - June 2025</v>
      </c>
      <c r="C3126" s="3" t="str">
        <f>HYPERLINK("https://otsuka-europe-crm.veevavault.com/ui/#object/sent_email__v/VBLZ025E82GN01Q", "SE-000270240")</f>
        <v>SE-000270240</v>
      </c>
      <c r="D3126" s="1" t="s">
        <v>0</v>
      </c>
      <c r="E3126" s="2">
        <v>0</v>
      </c>
      <c r="F3126" s="2">
        <v>0</v>
      </c>
      <c r="G3126" s="2">
        <v>0</v>
      </c>
      <c r="H3126" s="1" t="s">
        <v>0</v>
      </c>
      <c r="I3126" s="2">
        <v>0</v>
      </c>
      <c r="J3126" s="1">
        <v>45915.378946759258</v>
      </c>
    </row>
    <row r="3127" spans="1:10" x14ac:dyDescent="0.2">
      <c r="A3127" s="4" t="s">
        <v>1</v>
      </c>
      <c r="B3127" s="3" t="str">
        <f>HYPERLINK("https://otsuka-europe-crm.veevavault.com/ui/#object/approved_document__v/V5OZ025E82TFUPI", "Spain - HCP Survey Email - June 2025")</f>
        <v>Spain - HCP Survey Email - June 2025</v>
      </c>
      <c r="C3127" s="3" t="str">
        <f>HYPERLINK("https://otsuka-europe-crm.veevavault.com/ui/#object/sent_email__v/VBLZ025E82GN01R", "SE-000270241")</f>
        <v>SE-000270241</v>
      </c>
      <c r="D3127" s="1">
        <v>45921.877442129633</v>
      </c>
      <c r="E3127" s="2">
        <v>1</v>
      </c>
      <c r="F3127" s="2">
        <v>3</v>
      </c>
      <c r="G3127" s="2">
        <v>0</v>
      </c>
      <c r="H3127" s="1" t="s">
        <v>0</v>
      </c>
      <c r="I3127" s="2">
        <v>0</v>
      </c>
      <c r="J3127" s="1">
        <v>45915.379606481481</v>
      </c>
    </row>
    <row r="3128" spans="1:10" x14ac:dyDescent="0.2">
      <c r="A3128" s="4" t="s">
        <v>1</v>
      </c>
      <c r="B3128" s="3" t="str">
        <f>HYPERLINK("https://otsuka-europe-crm.veevavault.com/ui/#object/approved_document__v/V5OZ025E82TFUPI", "Spain - HCP Survey Email - June 2025")</f>
        <v>Spain - HCP Survey Email - June 2025</v>
      </c>
      <c r="C3128" s="3" t="str">
        <f>HYPERLINK("https://otsuka-europe-crm.veevavault.com/ui/#object/sent_email__v/VBLZ025E82GN01S", "SE-000270242")</f>
        <v>SE-000270242</v>
      </c>
      <c r="D3128" s="1">
        <v>45915.379467592589</v>
      </c>
      <c r="E3128" s="2">
        <v>1</v>
      </c>
      <c r="F3128" s="2">
        <v>1</v>
      </c>
      <c r="G3128" s="2">
        <v>0</v>
      </c>
      <c r="H3128" s="1" t="s">
        <v>0</v>
      </c>
      <c r="I3128" s="2">
        <v>0</v>
      </c>
      <c r="J3128" s="1">
        <v>45915.37940972222</v>
      </c>
    </row>
    <row r="3129" spans="1:10" x14ac:dyDescent="0.2">
      <c r="A3129" s="4" t="s">
        <v>1</v>
      </c>
      <c r="B3129" s="3" t="str">
        <f>HYPERLINK("https://otsuka-europe-crm.veevavault.com/ui/#object/approved_document__v/V5OZ025E82TFUPI", "Spain - HCP Survey Email - June 2025")</f>
        <v>Spain - HCP Survey Email - June 2025</v>
      </c>
      <c r="C3129" s="3" t="str">
        <f>HYPERLINK("https://otsuka-europe-crm.veevavault.com/ui/#object/sent_email__v/VBLZ025E82GN01T", "SE-000270243")</f>
        <v>SE-000270243</v>
      </c>
      <c r="D3129" s="1">
        <v>46052.793506944443</v>
      </c>
      <c r="E3129" s="2">
        <v>1</v>
      </c>
      <c r="F3129" s="2">
        <v>2</v>
      </c>
      <c r="G3129" s="2">
        <v>0</v>
      </c>
      <c r="H3129" s="1" t="s">
        <v>0</v>
      </c>
      <c r="I3129" s="2">
        <v>0</v>
      </c>
      <c r="J3129" s="1">
        <v>45915.377430555556</v>
      </c>
    </row>
    <row r="3130" spans="1:10" x14ac:dyDescent="0.2">
      <c r="A3130" s="4" t="s">
        <v>1</v>
      </c>
      <c r="B3130" s="3" t="str">
        <f>HYPERLINK("https://otsuka-europe-crm.veevavault.com/ui/#object/approved_document__v/V5OZ025E82TFUPI", "Spain - HCP Survey Email - June 2025")</f>
        <v>Spain - HCP Survey Email - June 2025</v>
      </c>
      <c r="C3130" s="3" t="str">
        <f>HYPERLINK("https://otsuka-europe-crm.veevavault.com/ui/#object/sent_email__v/VBLZ025E82GN01U", "SE-000270244")</f>
        <v>SE-000270244</v>
      </c>
      <c r="D3130" s="1" t="s">
        <v>0</v>
      </c>
      <c r="E3130" s="2">
        <v>0</v>
      </c>
      <c r="F3130" s="2">
        <v>0</v>
      </c>
      <c r="G3130" s="2">
        <v>0</v>
      </c>
      <c r="H3130" s="1" t="s">
        <v>0</v>
      </c>
      <c r="I3130" s="2">
        <v>0</v>
      </c>
      <c r="J3130" s="1">
        <v>45915.378425925926</v>
      </c>
    </row>
    <row r="3131" spans="1:10" x14ac:dyDescent="0.2">
      <c r="A3131" s="4" t="s">
        <v>1</v>
      </c>
      <c r="B3131" s="3" t="str">
        <f>HYPERLINK("https://otsuka-europe-crm.veevavault.com/ui/#object/approved_document__v/V5OZ025E82TFUPI", "Spain - HCP Survey Email - June 2025")</f>
        <v>Spain - HCP Survey Email - June 2025</v>
      </c>
      <c r="C3131" s="3" t="str">
        <f>HYPERLINK("https://otsuka-europe-crm.veevavault.com/ui/#object/sent_email__v/VBLZ025E82GN01V", "SE-000270245")</f>
        <v>SE-000270245</v>
      </c>
      <c r="D3131" s="1" t="s">
        <v>0</v>
      </c>
      <c r="E3131" s="2">
        <v>0</v>
      </c>
      <c r="F3131" s="2">
        <v>0</v>
      </c>
      <c r="G3131" s="2">
        <v>0</v>
      </c>
      <c r="H3131" s="1" t="s">
        <v>0</v>
      </c>
      <c r="I3131" s="2">
        <v>0</v>
      </c>
      <c r="J3131" s="1">
        <v>45915.378935185188</v>
      </c>
    </row>
    <row r="3132" spans="1:10" x14ac:dyDescent="0.2">
      <c r="A3132" s="4" t="s">
        <v>1</v>
      </c>
      <c r="B3132" s="3" t="str">
        <f>HYPERLINK("https://otsuka-europe-crm.veevavault.com/ui/#object/approved_document__v/V5OZ025E82TFUPI", "Spain - HCP Survey Email - June 2025")</f>
        <v>Spain - HCP Survey Email - June 2025</v>
      </c>
      <c r="C3132" s="3" t="str">
        <f>HYPERLINK("https://otsuka-europe-crm.veevavault.com/ui/#object/sent_email__v/VBLZ025E82GN01W", "SE-000270246")</f>
        <v>SE-000270246</v>
      </c>
      <c r="D3132" s="1">
        <v>46013.790833333333</v>
      </c>
      <c r="E3132" s="2">
        <v>1</v>
      </c>
      <c r="F3132" s="2">
        <v>3</v>
      </c>
      <c r="G3132" s="2">
        <v>1</v>
      </c>
      <c r="H3132" s="1">
        <v>45915.5546412037</v>
      </c>
      <c r="I3132" s="2">
        <v>1</v>
      </c>
      <c r="J3132" s="1">
        <v>45915.378912037035</v>
      </c>
    </row>
    <row r="3133" spans="1:10" x14ac:dyDescent="0.2">
      <c r="A3133" s="4" t="s">
        <v>1</v>
      </c>
      <c r="B3133" s="3" t="str">
        <f>HYPERLINK("https://otsuka-europe-crm.veevavault.com/ui/#object/approved_document__v/V5OZ025E82TFUPI", "Spain - HCP Survey Email - June 2025")</f>
        <v>Spain - HCP Survey Email - June 2025</v>
      </c>
      <c r="C3133" s="3" t="str">
        <f>HYPERLINK("https://otsuka-europe-crm.veevavault.com/ui/#object/sent_email__v/VBLZ025E82GN01X", "SE-000270247")</f>
        <v>SE-000270247</v>
      </c>
      <c r="D3133" s="1" t="s">
        <v>0</v>
      </c>
      <c r="E3133" s="2">
        <v>0</v>
      </c>
      <c r="F3133" s="2">
        <v>0</v>
      </c>
      <c r="G3133" s="2">
        <v>0</v>
      </c>
      <c r="H3133" s="1" t="s">
        <v>0</v>
      </c>
      <c r="I3133" s="2">
        <v>0</v>
      </c>
      <c r="J3133" s="1">
        <v>45915.379224537035</v>
      </c>
    </row>
    <row r="3134" spans="1:10" x14ac:dyDescent="0.2">
      <c r="A3134" s="4" t="s">
        <v>1</v>
      </c>
      <c r="B3134" s="3" t="str">
        <f>HYPERLINK("https://otsuka-europe-crm.veevavault.com/ui/#object/approved_document__v/V5OZ025E82TFUPI", "Spain - HCP Survey Email - June 2025")</f>
        <v>Spain - HCP Survey Email - June 2025</v>
      </c>
      <c r="C3134" s="3" t="str">
        <f>HYPERLINK("https://otsuka-europe-crm.veevavault.com/ui/#object/sent_email__v/VBLZ025E82GN01Y", "SE-000270248")</f>
        <v>SE-000270248</v>
      </c>
      <c r="D3134" s="1">
        <v>45948.428310185183</v>
      </c>
      <c r="E3134" s="2">
        <v>1</v>
      </c>
      <c r="F3134" s="2">
        <v>2</v>
      </c>
      <c r="G3134" s="2">
        <v>0</v>
      </c>
      <c r="H3134" s="1" t="s">
        <v>0</v>
      </c>
      <c r="I3134" s="2">
        <v>0</v>
      </c>
      <c r="J3134" s="1">
        <v>45915.377986111111</v>
      </c>
    </row>
    <row r="3135" spans="1:10" x14ac:dyDescent="0.2">
      <c r="A3135" s="4" t="s">
        <v>1</v>
      </c>
      <c r="B3135" s="3" t="str">
        <f>HYPERLINK("https://otsuka-europe-crm.veevavault.com/ui/#object/approved_document__v/V5OZ025E82TFUPI", "Spain - HCP Survey Email - June 2025")</f>
        <v>Spain - HCP Survey Email - June 2025</v>
      </c>
      <c r="C3135" s="3" t="str">
        <f>HYPERLINK("https://otsuka-europe-crm.veevavault.com/ui/#object/sent_email__v/VBLZ025E82GN01Z", "SE-000270249")</f>
        <v>SE-000270249</v>
      </c>
      <c r="D3135" s="1" t="s">
        <v>0</v>
      </c>
      <c r="E3135" s="2">
        <v>0</v>
      </c>
      <c r="F3135" s="2">
        <v>0</v>
      </c>
      <c r="G3135" s="2">
        <v>0</v>
      </c>
      <c r="H3135" s="1" t="s">
        <v>0</v>
      </c>
      <c r="I3135" s="2">
        <v>0</v>
      </c>
      <c r="J3135" s="1">
        <v>45915.378275462965</v>
      </c>
    </row>
    <row r="3136" spans="1:10" x14ac:dyDescent="0.2">
      <c r="A3136" s="4" t="s">
        <v>1</v>
      </c>
      <c r="B3136" s="3" t="str">
        <f>HYPERLINK("https://otsuka-europe-crm.veevavault.com/ui/#object/approved_document__v/V5OZ025E82TFUPI", "Spain - HCP Survey Email - June 2025")</f>
        <v>Spain - HCP Survey Email - June 2025</v>
      </c>
      <c r="C3136" s="3" t="str">
        <f>HYPERLINK("https://otsuka-europe-crm.veevavault.com/ui/#object/sent_email__v/VBLZ025E82GN020", "SE-000270250")</f>
        <v>SE-000270250</v>
      </c>
      <c r="D3136" s="1" t="s">
        <v>0</v>
      </c>
      <c r="E3136" s="2">
        <v>0</v>
      </c>
      <c r="F3136" s="2">
        <v>0</v>
      </c>
      <c r="G3136" s="2">
        <v>0</v>
      </c>
      <c r="H3136" s="1" t="s">
        <v>0</v>
      </c>
      <c r="I3136" s="2">
        <v>0</v>
      </c>
      <c r="J3136" s="1">
        <v>45915.377881944441</v>
      </c>
    </row>
    <row r="3137" spans="1:10" x14ac:dyDescent="0.2">
      <c r="A3137" s="4" t="s">
        <v>1</v>
      </c>
      <c r="B3137" s="3" t="str">
        <f>HYPERLINK("https://otsuka-europe-crm.veevavault.com/ui/#object/approved_document__v/V5OZ025E82TFUPI", "Spain - HCP Survey Email - June 2025")</f>
        <v>Spain - HCP Survey Email - June 2025</v>
      </c>
      <c r="C3137" s="3" t="str">
        <f>HYPERLINK("https://otsuka-europe-crm.veevavault.com/ui/#object/sent_email__v/VBLZ025E82GN021", "SE-000270251")</f>
        <v>SE-000270251</v>
      </c>
      <c r="D3137" s="1" t="s">
        <v>0</v>
      </c>
      <c r="E3137" s="2">
        <v>0</v>
      </c>
      <c r="F3137" s="2">
        <v>0</v>
      </c>
      <c r="G3137" s="2">
        <v>0</v>
      </c>
      <c r="H3137" s="1" t="s">
        <v>0</v>
      </c>
      <c r="I3137" s="2">
        <v>0</v>
      </c>
      <c r="J3137" s="1">
        <v>45915.379050925927</v>
      </c>
    </row>
    <row r="3138" spans="1:10" x14ac:dyDescent="0.2">
      <c r="A3138" s="4" t="s">
        <v>1</v>
      </c>
      <c r="B3138" s="3" t="str">
        <f>HYPERLINK("https://otsuka-europe-crm.veevavault.com/ui/#object/approved_document__v/V5OZ025E82TFUPI", "Spain - HCP Survey Email - June 2025")</f>
        <v>Spain - HCP Survey Email - June 2025</v>
      </c>
      <c r="C3138" s="3" t="str">
        <f>HYPERLINK("https://otsuka-europe-crm.veevavault.com/ui/#object/sent_email__v/VBLZ025E82GN022", "SE-000270252")</f>
        <v>SE-000270252</v>
      </c>
      <c r="D3138" s="1" t="s">
        <v>0</v>
      </c>
      <c r="E3138" s="2">
        <v>0</v>
      </c>
      <c r="F3138" s="2">
        <v>0</v>
      </c>
      <c r="G3138" s="2">
        <v>0</v>
      </c>
      <c r="H3138" s="1" t="s">
        <v>0</v>
      </c>
      <c r="I3138" s="2">
        <v>0</v>
      </c>
      <c r="J3138" s="1">
        <v>45915.379502314812</v>
      </c>
    </row>
    <row r="3139" spans="1:10" x14ac:dyDescent="0.2">
      <c r="A3139" s="4" t="s">
        <v>1</v>
      </c>
      <c r="B3139" s="3" t="str">
        <f>HYPERLINK("https://otsuka-europe-crm.veevavault.com/ui/#object/approved_document__v/V5OZ025E82TFUPI", "Spain - HCP Survey Email - June 2025")</f>
        <v>Spain - HCP Survey Email - June 2025</v>
      </c>
      <c r="C3139" s="3" t="str">
        <f>HYPERLINK("https://otsuka-europe-crm.veevavault.com/ui/#object/sent_email__v/VBLZ025E82GN023", "SE-000270253")</f>
        <v>SE-000270253</v>
      </c>
      <c r="D3139" s="1" t="s">
        <v>0</v>
      </c>
      <c r="E3139" s="2">
        <v>0</v>
      </c>
      <c r="F3139" s="2">
        <v>0</v>
      </c>
      <c r="G3139" s="2">
        <v>0</v>
      </c>
      <c r="H3139" s="1" t="s">
        <v>0</v>
      </c>
      <c r="I3139" s="2">
        <v>0</v>
      </c>
      <c r="J3139" s="1">
        <v>45915.37939814815</v>
      </c>
    </row>
    <row r="3140" spans="1:10" x14ac:dyDescent="0.2">
      <c r="A3140" s="4" t="s">
        <v>1</v>
      </c>
      <c r="B3140" s="3" t="str">
        <f>HYPERLINK("https://otsuka-europe-crm.veevavault.com/ui/#object/approved_document__v/V5OZ025E82TFUPI", "Spain - HCP Survey Email - June 2025")</f>
        <v>Spain - HCP Survey Email - June 2025</v>
      </c>
      <c r="C3140" s="3" t="str">
        <f>HYPERLINK("https://otsuka-europe-crm.veevavault.com/ui/#object/sent_email__v/VBLZ025E82GN024", "SE-000270254")</f>
        <v>SE-000270254</v>
      </c>
      <c r="D3140" s="1">
        <v>45918.461828703701</v>
      </c>
      <c r="E3140" s="2">
        <v>1</v>
      </c>
      <c r="F3140" s="2">
        <v>1</v>
      </c>
      <c r="G3140" s="2">
        <v>0</v>
      </c>
      <c r="H3140" s="1" t="s">
        <v>0</v>
      </c>
      <c r="I3140" s="2">
        <v>0</v>
      </c>
      <c r="J3140" s="1">
        <v>45915.377488425926</v>
      </c>
    </row>
    <row r="3141" spans="1:10" x14ac:dyDescent="0.2">
      <c r="A3141" s="4" t="s">
        <v>1</v>
      </c>
      <c r="B3141" s="3" t="str">
        <f>HYPERLINK("https://otsuka-europe-crm.veevavault.com/ui/#object/approved_document__v/V5OZ025E82TFUPI", "Spain - HCP Survey Email - June 2025")</f>
        <v>Spain - HCP Survey Email - June 2025</v>
      </c>
      <c r="C3141" s="3" t="str">
        <f>HYPERLINK("https://otsuka-europe-crm.veevavault.com/ui/#object/sent_email__v/VBLZ025E82GN025", "SE-000270255")</f>
        <v>SE-000270255</v>
      </c>
      <c r="D3141" s="1" t="s">
        <v>0</v>
      </c>
      <c r="E3141" s="2">
        <v>0</v>
      </c>
      <c r="F3141" s="2">
        <v>0</v>
      </c>
      <c r="G3141" s="2">
        <v>0</v>
      </c>
      <c r="H3141" s="1" t="s">
        <v>0</v>
      </c>
      <c r="I3141" s="2">
        <v>0</v>
      </c>
      <c r="J3141" s="1">
        <v>45915.378449074073</v>
      </c>
    </row>
    <row r="3142" spans="1:10" x14ac:dyDescent="0.2">
      <c r="A3142" s="4" t="s">
        <v>1</v>
      </c>
      <c r="B3142" s="3" t="str">
        <f>HYPERLINK("https://otsuka-europe-crm.veevavault.com/ui/#object/approved_document__v/V5OZ025E82TFUPI", "Spain - HCP Survey Email - June 2025")</f>
        <v>Spain - HCP Survey Email - June 2025</v>
      </c>
      <c r="C3142" s="3" t="str">
        <f>HYPERLINK("https://otsuka-europe-crm.veevavault.com/ui/#object/sent_email__v/VBLZ025E82GN026", "SE-000270256")</f>
        <v>SE-000270256</v>
      </c>
      <c r="D3142" s="1">
        <v>45915.379062499997</v>
      </c>
      <c r="E3142" s="2">
        <v>1</v>
      </c>
      <c r="F3142" s="2">
        <v>1</v>
      </c>
      <c r="G3142" s="2">
        <v>1</v>
      </c>
      <c r="H3142" s="1">
        <v>45915.37939814815</v>
      </c>
      <c r="I3142" s="2">
        <v>2</v>
      </c>
      <c r="J3142" s="1">
        <v>45915.378969907404</v>
      </c>
    </row>
    <row r="3143" spans="1:10" x14ac:dyDescent="0.2">
      <c r="A3143" s="4" t="s">
        <v>1</v>
      </c>
      <c r="B3143" s="3" t="str">
        <f>HYPERLINK("https://otsuka-europe-crm.veevavault.com/ui/#object/approved_document__v/V5OZ025E82TFUPI", "Spain - HCP Survey Email - June 2025")</f>
        <v>Spain - HCP Survey Email - June 2025</v>
      </c>
      <c r="C3143" s="3" t="str">
        <f>HYPERLINK("https://otsuka-europe-crm.veevavault.com/ui/#object/sent_email__v/VBLZ025E82GN027", "SE-000270257")</f>
        <v>SE-000270257</v>
      </c>
      <c r="D3143" s="1" t="s">
        <v>0</v>
      </c>
      <c r="E3143" s="2">
        <v>0</v>
      </c>
      <c r="F3143" s="2">
        <v>0</v>
      </c>
      <c r="G3143" s="2">
        <v>0</v>
      </c>
      <c r="H3143" s="1" t="s">
        <v>0</v>
      </c>
      <c r="I3143" s="2">
        <v>0</v>
      </c>
      <c r="J3143" s="1">
        <v>45915.378784722219</v>
      </c>
    </row>
    <row r="3144" spans="1:10" x14ac:dyDescent="0.2">
      <c r="A3144" s="4" t="s">
        <v>1</v>
      </c>
      <c r="B3144" s="3" t="str">
        <f>HYPERLINK("https://otsuka-europe-crm.veevavault.com/ui/#object/approved_document__v/V5OZ025E82TFUPI", "Spain - HCP Survey Email - June 2025")</f>
        <v>Spain - HCP Survey Email - June 2025</v>
      </c>
      <c r="C3144" s="3" t="str">
        <f>HYPERLINK("https://otsuka-europe-crm.veevavault.com/ui/#object/sent_email__v/VBLZ025E82GN028", "SE-000270258")</f>
        <v>SE-000270258</v>
      </c>
      <c r="D3144" s="1">
        <v>45915.394525462965</v>
      </c>
      <c r="E3144" s="2">
        <v>1</v>
      </c>
      <c r="F3144" s="2">
        <v>2</v>
      </c>
      <c r="G3144" s="2">
        <v>1</v>
      </c>
      <c r="H3144" s="1">
        <v>45915.379872685182</v>
      </c>
      <c r="I3144" s="2">
        <v>2</v>
      </c>
      <c r="J3144" s="1">
        <v>45915.379166666666</v>
      </c>
    </row>
    <row r="3145" spans="1:10" x14ac:dyDescent="0.2">
      <c r="A3145" s="4" t="s">
        <v>1</v>
      </c>
      <c r="B3145" s="3" t="str">
        <f>HYPERLINK("https://otsuka-europe-crm.veevavault.com/ui/#object/approved_document__v/V5OZ025E82TFUPI", "Spain - HCP Survey Email - June 2025")</f>
        <v>Spain - HCP Survey Email - June 2025</v>
      </c>
      <c r="C3145" s="3" t="str">
        <f>HYPERLINK("https://otsuka-europe-crm.veevavault.com/ui/#object/sent_email__v/VBLZ025E82GN029", "SE-000270259")</f>
        <v>SE-000270259</v>
      </c>
      <c r="D3145" s="1" t="s">
        <v>0</v>
      </c>
      <c r="E3145" s="2">
        <v>0</v>
      </c>
      <c r="F3145" s="2">
        <v>0</v>
      </c>
      <c r="G3145" s="2">
        <v>0</v>
      </c>
      <c r="H3145" s="1" t="s">
        <v>0</v>
      </c>
      <c r="I3145" s="2">
        <v>0</v>
      </c>
      <c r="J3145" s="1">
        <v>45915.377939814818</v>
      </c>
    </row>
    <row r="3146" spans="1:10" x14ac:dyDescent="0.2">
      <c r="A3146" s="4" t="s">
        <v>1</v>
      </c>
      <c r="B3146" s="3" t="str">
        <f>HYPERLINK("https://otsuka-europe-crm.veevavault.com/ui/#object/approved_document__v/V5OZ025E82TFUPI", "Spain - HCP Survey Email - June 2025")</f>
        <v>Spain - HCP Survey Email - June 2025</v>
      </c>
      <c r="C3146" s="3" t="str">
        <f>HYPERLINK("https://otsuka-europe-crm.veevavault.com/ui/#object/sent_email__v/VBLZ025E82GN02A", "SE-000270260")</f>
        <v>SE-000270260</v>
      </c>
      <c r="D3146" s="1">
        <v>45915.672199074077</v>
      </c>
      <c r="E3146" s="2">
        <v>1</v>
      </c>
      <c r="F3146" s="2">
        <v>1</v>
      </c>
      <c r="G3146" s="2">
        <v>0</v>
      </c>
      <c r="H3146" s="1" t="s">
        <v>0</v>
      </c>
      <c r="I3146" s="2">
        <v>0</v>
      </c>
      <c r="J3146" s="1">
        <v>45915.378298611111</v>
      </c>
    </row>
    <row r="3147" spans="1:10" x14ac:dyDescent="0.2">
      <c r="A3147" s="4" t="s">
        <v>1</v>
      </c>
      <c r="B3147" s="3" t="str">
        <f>HYPERLINK("https://otsuka-europe-crm.veevavault.com/ui/#object/approved_document__v/V5OZ025E82TFUPI", "Spain - HCP Survey Email - June 2025")</f>
        <v>Spain - HCP Survey Email - June 2025</v>
      </c>
      <c r="C3147" s="3" t="str">
        <f>HYPERLINK("https://otsuka-europe-crm.veevavault.com/ui/#object/sent_email__v/VBLZ025E82GN02B", "SE-000270261")</f>
        <v>SE-000270261</v>
      </c>
      <c r="D3147" s="1">
        <v>45970.032418981478</v>
      </c>
      <c r="E3147" s="2">
        <v>1</v>
      </c>
      <c r="F3147" s="2">
        <v>2</v>
      </c>
      <c r="G3147" s="2">
        <v>0</v>
      </c>
      <c r="H3147" s="1" t="s">
        <v>0</v>
      </c>
      <c r="I3147" s="2">
        <v>0</v>
      </c>
      <c r="J3147" s="1">
        <v>45915.378148148149</v>
      </c>
    </row>
    <row r="3148" spans="1:10" x14ac:dyDescent="0.2">
      <c r="A3148" s="4" t="s">
        <v>1</v>
      </c>
      <c r="B3148" s="3" t="str">
        <f>HYPERLINK("https://otsuka-europe-crm.veevavault.com/ui/#object/approved_document__v/V5OZ025E82TFUPI", "Spain - HCP Survey Email - June 2025")</f>
        <v>Spain - HCP Survey Email - June 2025</v>
      </c>
      <c r="C3148" s="3" t="str">
        <f>HYPERLINK("https://otsuka-europe-crm.veevavault.com/ui/#object/sent_email__v/VBLZ025E82GN02D", "SE-000270263")</f>
        <v>SE-000270263</v>
      </c>
      <c r="D3148" s="1">
        <v>45929.008252314816</v>
      </c>
      <c r="E3148" s="2">
        <v>1</v>
      </c>
      <c r="F3148" s="2">
        <v>1</v>
      </c>
      <c r="G3148" s="2">
        <v>0</v>
      </c>
      <c r="H3148" s="1" t="s">
        <v>0</v>
      </c>
      <c r="I3148" s="2">
        <v>0</v>
      </c>
      <c r="J3148" s="1">
        <v>45915.379606481481</v>
      </c>
    </row>
    <row r="3149" spans="1:10" x14ac:dyDescent="0.2">
      <c r="A3149" s="4" t="s">
        <v>1</v>
      </c>
      <c r="B3149" s="3" t="str">
        <f>HYPERLINK("https://otsuka-europe-crm.veevavault.com/ui/#object/approved_document__v/V5OZ025E82TFUPI", "Spain - HCP Survey Email - June 2025")</f>
        <v>Spain - HCP Survey Email - June 2025</v>
      </c>
      <c r="C3149" s="3" t="str">
        <f>HYPERLINK("https://otsuka-europe-crm.veevavault.com/ui/#object/sent_email__v/VBLZ025E82GN02E", "SE-000270264")</f>
        <v>SE-000270264</v>
      </c>
      <c r="D3149" s="1">
        <v>45915.378564814811</v>
      </c>
      <c r="E3149" s="2">
        <v>1</v>
      </c>
      <c r="F3149" s="2">
        <v>1</v>
      </c>
      <c r="G3149" s="2">
        <v>0</v>
      </c>
      <c r="H3149" s="1" t="s">
        <v>0</v>
      </c>
      <c r="I3149" s="2">
        <v>0</v>
      </c>
      <c r="J3149" s="1">
        <v>45915.378287037034</v>
      </c>
    </row>
    <row r="3150" spans="1:10" x14ac:dyDescent="0.2">
      <c r="A3150" s="4" t="s">
        <v>1</v>
      </c>
      <c r="B3150" s="3" t="str">
        <f>HYPERLINK("https://otsuka-europe-crm.veevavault.com/ui/#object/approved_document__v/V5OZ025E82TFUPI", "Spain - HCP Survey Email - June 2025")</f>
        <v>Spain - HCP Survey Email - June 2025</v>
      </c>
      <c r="C3150" s="3" t="str">
        <f>HYPERLINK("https://otsuka-europe-crm.veevavault.com/ui/#object/sent_email__v/VBLZ025E82GN02F", "SE-000270265")</f>
        <v>SE-000270265</v>
      </c>
      <c r="D3150" s="1">
        <v>45917.355046296296</v>
      </c>
      <c r="E3150" s="2">
        <v>1</v>
      </c>
      <c r="F3150" s="2">
        <v>3</v>
      </c>
      <c r="G3150" s="2">
        <v>0</v>
      </c>
      <c r="H3150" s="1" t="s">
        <v>0</v>
      </c>
      <c r="I3150" s="2">
        <v>0</v>
      </c>
      <c r="J3150" s="1">
        <v>45915.377974537034</v>
      </c>
    </row>
    <row r="3151" spans="1:10" x14ac:dyDescent="0.2">
      <c r="A3151" s="4" t="s">
        <v>1</v>
      </c>
      <c r="B3151" s="3" t="str">
        <f>HYPERLINK("https://otsuka-europe-crm.veevavault.com/ui/#object/approved_document__v/V5OZ025E82TFUPI", "Spain - HCP Survey Email - June 2025")</f>
        <v>Spain - HCP Survey Email - June 2025</v>
      </c>
      <c r="C3151" s="3" t="str">
        <f>HYPERLINK("https://otsuka-europe-crm.veevavault.com/ui/#object/sent_email__v/VBLZ025E82GN02G", "SE-000270266")</f>
        <v>SE-000270266</v>
      </c>
      <c r="D3151" s="1" t="s">
        <v>0</v>
      </c>
      <c r="E3151" s="2">
        <v>0</v>
      </c>
      <c r="F3151" s="2">
        <v>0</v>
      </c>
      <c r="G3151" s="2">
        <v>0</v>
      </c>
      <c r="H3151" s="1" t="s">
        <v>0</v>
      </c>
      <c r="I3151" s="2">
        <v>0</v>
      </c>
      <c r="J3151" s="1">
        <v>45915.378981481481</v>
      </c>
    </row>
    <row r="3152" spans="1:10" x14ac:dyDescent="0.2">
      <c r="A3152" s="4" t="s">
        <v>1</v>
      </c>
      <c r="B3152" s="3" t="str">
        <f>HYPERLINK("https://otsuka-europe-crm.veevavault.com/ui/#object/approved_document__v/V5OZ025E82TFUPI", "Spain - HCP Survey Email - June 2025")</f>
        <v>Spain - HCP Survey Email - June 2025</v>
      </c>
      <c r="C3152" s="3" t="str">
        <f>HYPERLINK("https://otsuka-europe-crm.veevavault.com/ui/#object/sent_email__v/VBLZ025E82GN02H", "SE-000270267")</f>
        <v>SE-000270267</v>
      </c>
      <c r="D3152" s="1">
        <v>45915.379548611112</v>
      </c>
      <c r="E3152" s="2">
        <v>1</v>
      </c>
      <c r="F3152" s="2">
        <v>1</v>
      </c>
      <c r="G3152" s="2">
        <v>1</v>
      </c>
      <c r="H3152" s="1">
        <v>45915.379826388889</v>
      </c>
      <c r="I3152" s="2">
        <v>2</v>
      </c>
      <c r="J3152" s="1">
        <v>45915.379502314812</v>
      </c>
    </row>
    <row r="3153" spans="1:10" x14ac:dyDescent="0.2">
      <c r="A3153" s="4" t="s">
        <v>1</v>
      </c>
      <c r="B3153" s="3" t="str">
        <f>HYPERLINK("https://otsuka-europe-crm.veevavault.com/ui/#object/approved_document__v/V5OZ025E82TFUPI", "Spain - HCP Survey Email - June 2025")</f>
        <v>Spain - HCP Survey Email - June 2025</v>
      </c>
      <c r="C3153" s="3" t="str">
        <f>HYPERLINK("https://otsuka-europe-crm.veevavault.com/ui/#object/sent_email__v/VBLZ025E82GN02I", "SE-000270268")</f>
        <v>SE-000270268</v>
      </c>
      <c r="D3153" s="1">
        <v>45915.38009259259</v>
      </c>
      <c r="E3153" s="2">
        <v>1</v>
      </c>
      <c r="F3153" s="2">
        <v>1</v>
      </c>
      <c r="G3153" s="2">
        <v>1</v>
      </c>
      <c r="H3153" s="1">
        <v>45915.381238425929</v>
      </c>
      <c r="I3153" s="2">
        <v>2</v>
      </c>
      <c r="J3153" s="1">
        <v>45915.379363425927</v>
      </c>
    </row>
    <row r="3154" spans="1:10" x14ac:dyDescent="0.2">
      <c r="A3154" s="4" t="s">
        <v>1</v>
      </c>
      <c r="B3154" s="3" t="str">
        <f>HYPERLINK("https://otsuka-europe-crm.veevavault.com/ui/#object/approved_document__v/V5OZ025E82TFUPI", "Spain - HCP Survey Email - June 2025")</f>
        <v>Spain - HCP Survey Email - June 2025</v>
      </c>
      <c r="C3154" s="3" t="str">
        <f>HYPERLINK("https://otsuka-europe-crm.veevavault.com/ui/#object/sent_email__v/VBLZ025E82GN02J", "SE-000270269")</f>
        <v>SE-000270269</v>
      </c>
      <c r="D3154" s="1">
        <v>45915.624282407407</v>
      </c>
      <c r="E3154" s="2">
        <v>1</v>
      </c>
      <c r="F3154" s="2">
        <v>1</v>
      </c>
      <c r="G3154" s="2">
        <v>0</v>
      </c>
      <c r="H3154" s="1" t="s">
        <v>0</v>
      </c>
      <c r="I3154" s="2">
        <v>0</v>
      </c>
      <c r="J3154" s="1">
        <v>45915.377453703702</v>
      </c>
    </row>
    <row r="3155" spans="1:10" x14ac:dyDescent="0.2">
      <c r="A3155" s="4" t="s">
        <v>1</v>
      </c>
      <c r="B3155" s="3" t="str">
        <f>HYPERLINK("https://otsuka-europe-crm.veevavault.com/ui/#object/approved_document__v/V5OZ025E82TFUPI", "Spain - HCP Survey Email - June 2025")</f>
        <v>Spain - HCP Survey Email - June 2025</v>
      </c>
      <c r="C3155" s="3" t="str">
        <f>HYPERLINK("https://otsuka-europe-crm.veevavault.com/ui/#object/sent_email__v/VBLZ025E82GN02K", "SE-000270270")</f>
        <v>SE-000270270</v>
      </c>
      <c r="D3155" s="1" t="s">
        <v>0</v>
      </c>
      <c r="E3155" s="2">
        <v>0</v>
      </c>
      <c r="F3155" s="2">
        <v>0</v>
      </c>
      <c r="G3155" s="2">
        <v>0</v>
      </c>
      <c r="H3155" s="1" t="s">
        <v>0</v>
      </c>
      <c r="I3155" s="2">
        <v>0</v>
      </c>
      <c r="J3155" s="1">
        <v>45915.378321759257</v>
      </c>
    </row>
    <row r="3156" spans="1:10" x14ac:dyDescent="0.2">
      <c r="A3156" s="4" t="s">
        <v>1</v>
      </c>
      <c r="B3156" s="3" t="str">
        <f>HYPERLINK("https://otsuka-europe-crm.veevavault.com/ui/#object/approved_document__v/V5OZ025E82TFUPI", "Spain - HCP Survey Email - June 2025")</f>
        <v>Spain - HCP Survey Email - June 2025</v>
      </c>
      <c r="C3156" s="3" t="str">
        <f>HYPERLINK("https://otsuka-europe-crm.veevavault.com/ui/#object/sent_email__v/VBLZ025E82GN02L", "SE-000270271")</f>
        <v>SE-000270271</v>
      </c>
      <c r="D3156" s="1" t="s">
        <v>0</v>
      </c>
      <c r="E3156" s="2">
        <v>0</v>
      </c>
      <c r="F3156" s="2">
        <v>0</v>
      </c>
      <c r="G3156" s="2">
        <v>0</v>
      </c>
      <c r="H3156" s="1" t="s">
        <v>0</v>
      </c>
      <c r="I3156" s="2">
        <v>0</v>
      </c>
      <c r="J3156" s="1">
        <v>45915.378900462965</v>
      </c>
    </row>
    <row r="3157" spans="1:10" x14ac:dyDescent="0.2">
      <c r="A3157" s="4" t="s">
        <v>1</v>
      </c>
      <c r="B3157" s="3" t="str">
        <f>HYPERLINK("https://otsuka-europe-crm.veevavault.com/ui/#object/approved_document__v/V5OZ025E82TFUPI", "Spain - HCP Survey Email - June 2025")</f>
        <v>Spain - HCP Survey Email - June 2025</v>
      </c>
      <c r="C3157" s="3" t="str">
        <f>HYPERLINK("https://otsuka-europe-crm.veevavault.com/ui/#object/sent_email__v/VBLZ025E82GN02M", "SE-000270272")</f>
        <v>SE-000270272</v>
      </c>
      <c r="D3157" s="1">
        <v>45915.84584490741</v>
      </c>
      <c r="E3157" s="2">
        <v>1</v>
      </c>
      <c r="F3157" s="2">
        <v>2</v>
      </c>
      <c r="G3157" s="2">
        <v>0</v>
      </c>
      <c r="H3157" s="1" t="s">
        <v>0</v>
      </c>
      <c r="I3157" s="2">
        <v>0</v>
      </c>
      <c r="J3157" s="1">
        <v>45915.378784722219</v>
      </c>
    </row>
    <row r="3158" spans="1:10" x14ac:dyDescent="0.2">
      <c r="A3158" s="4" t="s">
        <v>1</v>
      </c>
      <c r="B3158" s="3" t="str">
        <f>HYPERLINK("https://otsuka-europe-crm.veevavault.com/ui/#object/approved_document__v/V5OZ025E82TFUPI", "Spain - HCP Survey Email - June 2025")</f>
        <v>Spain - HCP Survey Email - June 2025</v>
      </c>
      <c r="C3158" s="3" t="str">
        <f>HYPERLINK("https://otsuka-europe-crm.veevavault.com/ui/#object/sent_email__v/VBLZ025E82GN02N", "SE-000270273")</f>
        <v>SE-000270273</v>
      </c>
      <c r="D3158" s="1" t="s">
        <v>0</v>
      </c>
      <c r="E3158" s="2">
        <v>0</v>
      </c>
      <c r="F3158" s="2">
        <v>0</v>
      </c>
      <c r="G3158" s="2">
        <v>0</v>
      </c>
      <c r="H3158" s="1" t="s">
        <v>0</v>
      </c>
      <c r="I3158" s="2">
        <v>0</v>
      </c>
      <c r="J3158" s="1">
        <v>45915.379178240742</v>
      </c>
    </row>
    <row r="3159" spans="1:10" x14ac:dyDescent="0.2">
      <c r="A3159" s="4" t="s">
        <v>1</v>
      </c>
      <c r="B3159" s="3" t="str">
        <f>HYPERLINK("https://otsuka-europe-crm.veevavault.com/ui/#object/approved_document__v/V5OZ025E82TFUPI", "Spain - HCP Survey Email - June 2025")</f>
        <v>Spain - HCP Survey Email - June 2025</v>
      </c>
      <c r="C3159" s="3" t="str">
        <f>HYPERLINK("https://otsuka-europe-crm.veevavault.com/ui/#object/sent_email__v/VBLZ025E82GN02O", "SE-000270274")</f>
        <v>SE-000270274</v>
      </c>
      <c r="D3159" s="1">
        <v>45915.557835648149</v>
      </c>
      <c r="E3159" s="2">
        <v>1</v>
      </c>
      <c r="F3159" s="2">
        <v>2</v>
      </c>
      <c r="G3159" s="2">
        <v>0</v>
      </c>
      <c r="H3159" s="1" t="s">
        <v>0</v>
      </c>
      <c r="I3159" s="2">
        <v>0</v>
      </c>
      <c r="J3159" s="1">
        <v>45915.377916666665</v>
      </c>
    </row>
    <row r="3160" spans="1:10" x14ac:dyDescent="0.2">
      <c r="A3160" s="4" t="s">
        <v>1</v>
      </c>
      <c r="B3160" s="3" t="str">
        <f>HYPERLINK("https://otsuka-europe-crm.veevavault.com/ui/#object/approved_document__v/V5OZ025E82TFUPI", "Spain - HCP Survey Email - June 2025")</f>
        <v>Spain - HCP Survey Email - June 2025</v>
      </c>
      <c r="C3160" s="3" t="str">
        <f>HYPERLINK("https://otsuka-europe-crm.veevavault.com/ui/#object/sent_email__v/VBLZ025E82GN02P", "SE-000270275")</f>
        <v>SE-000270275</v>
      </c>
      <c r="D3160" s="1">
        <v>45921.947337962964</v>
      </c>
      <c r="E3160" s="2">
        <v>1</v>
      </c>
      <c r="F3160" s="2">
        <v>2</v>
      </c>
      <c r="G3160" s="2">
        <v>1</v>
      </c>
      <c r="H3160" s="1">
        <v>45921.947569444441</v>
      </c>
      <c r="I3160" s="2">
        <v>2</v>
      </c>
      <c r="J3160" s="1">
        <v>45915.378298611111</v>
      </c>
    </row>
    <row r="3161" spans="1:10" x14ac:dyDescent="0.2">
      <c r="A3161" s="4" t="s">
        <v>1</v>
      </c>
      <c r="B3161" s="3" t="str">
        <f>HYPERLINK("https://otsuka-europe-crm.veevavault.com/ui/#object/approved_document__v/V5OZ025E82TFUPI", "Spain - HCP Survey Email - June 2025")</f>
        <v>Spain - HCP Survey Email - June 2025</v>
      </c>
      <c r="C3161" s="3" t="str">
        <f>HYPERLINK("https://otsuka-europe-crm.veevavault.com/ui/#object/sent_email__v/VBLZ025E82GN02Q", "SE-000270276")</f>
        <v>SE-000270276</v>
      </c>
      <c r="D3161" s="1">
        <v>45915.984849537039</v>
      </c>
      <c r="E3161" s="2">
        <v>1</v>
      </c>
      <c r="F3161" s="2">
        <v>1</v>
      </c>
      <c r="G3161" s="2">
        <v>0</v>
      </c>
      <c r="H3161" s="1" t="s">
        <v>0</v>
      </c>
      <c r="I3161" s="2">
        <v>0</v>
      </c>
      <c r="J3161" s="1">
        <v>45915.377997685187</v>
      </c>
    </row>
    <row r="3162" spans="1:10" x14ac:dyDescent="0.2">
      <c r="A3162" s="4" t="s">
        <v>1</v>
      </c>
      <c r="B3162" s="3" t="str">
        <f>HYPERLINK("https://otsuka-europe-crm.veevavault.com/ui/#object/approved_document__v/V5OZ025E82TFUPI", "Spain - HCP Survey Email - June 2025")</f>
        <v>Spain - HCP Survey Email - June 2025</v>
      </c>
      <c r="C3162" s="3" t="str">
        <f>HYPERLINK("https://otsuka-europe-crm.veevavault.com/ui/#object/sent_email__v/VBLZ025E82GN02R", "SE-000270277")</f>
        <v>SE-000270277</v>
      </c>
      <c r="D3162" s="1">
        <v>45915.432557870372</v>
      </c>
      <c r="E3162" s="2">
        <v>1</v>
      </c>
      <c r="F3162" s="2">
        <v>1</v>
      </c>
      <c r="G3162" s="2">
        <v>0</v>
      </c>
      <c r="H3162" s="1" t="s">
        <v>0</v>
      </c>
      <c r="I3162" s="2">
        <v>0</v>
      </c>
      <c r="J3162" s="1">
        <v>45915.379016203704</v>
      </c>
    </row>
    <row r="3163" spans="1:10" x14ac:dyDescent="0.2">
      <c r="A3163" s="4" t="s">
        <v>1</v>
      </c>
      <c r="B3163" s="3" t="str">
        <f>HYPERLINK("https://otsuka-europe-crm.veevavault.com/ui/#object/approved_document__v/V5OZ025E82TFUPI", "Spain - HCP Survey Email - June 2025")</f>
        <v>Spain - HCP Survey Email - June 2025</v>
      </c>
      <c r="C3163" s="3" t="str">
        <f>HYPERLINK("https://otsuka-europe-crm.veevavault.com/ui/#object/sent_email__v/VBLZ025E82GN02S", "SE-000270278")</f>
        <v>SE-000270278</v>
      </c>
      <c r="D3163" s="1">
        <v>45923.606122685182</v>
      </c>
      <c r="E3163" s="2">
        <v>1</v>
      </c>
      <c r="F3163" s="2">
        <v>2</v>
      </c>
      <c r="G3163" s="2">
        <v>0</v>
      </c>
      <c r="H3163" s="1" t="s">
        <v>0</v>
      </c>
      <c r="I3163" s="2">
        <v>0</v>
      </c>
      <c r="J3163" s="1">
        <v>45915.379513888889</v>
      </c>
    </row>
    <row r="3164" spans="1:10" x14ac:dyDescent="0.2">
      <c r="A3164" s="4" t="s">
        <v>1</v>
      </c>
      <c r="B3164" s="3" t="str">
        <f>HYPERLINK("https://otsuka-europe-crm.veevavault.com/ui/#object/approved_document__v/V5OZ025E82TFUPI", "Spain - HCP Survey Email - June 2025")</f>
        <v>Spain - HCP Survey Email - June 2025</v>
      </c>
      <c r="C3164" s="3" t="str">
        <f>HYPERLINK("https://otsuka-europe-crm.veevavault.com/ui/#object/sent_email__v/VBLZ025E82GN02T", "SE-000270279")</f>
        <v>SE-000270279</v>
      </c>
      <c r="D3164" s="1">
        <v>45916.471412037034</v>
      </c>
      <c r="E3164" s="2">
        <v>1</v>
      </c>
      <c r="F3164" s="2">
        <v>1</v>
      </c>
      <c r="G3164" s="2">
        <v>0</v>
      </c>
      <c r="H3164" s="1" t="s">
        <v>0</v>
      </c>
      <c r="I3164" s="2">
        <v>0</v>
      </c>
      <c r="J3164" s="1">
        <v>45915.379374999997</v>
      </c>
    </row>
    <row r="3165" spans="1:10" x14ac:dyDescent="0.2">
      <c r="A3165" s="4" t="s">
        <v>1</v>
      </c>
      <c r="B3165" s="3" t="str">
        <f>HYPERLINK("https://otsuka-europe-crm.veevavault.com/ui/#object/approved_document__v/V5OZ025E82TFUPI", "Spain - HCP Survey Email - June 2025")</f>
        <v>Spain - HCP Survey Email - June 2025</v>
      </c>
      <c r="C3165" s="3" t="str">
        <f>HYPERLINK("https://otsuka-europe-crm.veevavault.com/ui/#object/sent_email__v/VBLZ025E82GN02U", "SE-000270280")</f>
        <v>SE-000270280</v>
      </c>
      <c r="D3165" s="1" t="s">
        <v>0</v>
      </c>
      <c r="E3165" s="2">
        <v>0</v>
      </c>
      <c r="F3165" s="2">
        <v>0</v>
      </c>
      <c r="G3165" s="2">
        <v>0</v>
      </c>
      <c r="H3165" s="1" t="s">
        <v>0</v>
      </c>
      <c r="I3165" s="2">
        <v>0</v>
      </c>
      <c r="J3165" s="1">
        <v>45915.377430555556</v>
      </c>
    </row>
    <row r="3166" spans="1:10" x14ac:dyDescent="0.2">
      <c r="A3166" s="4" t="s">
        <v>1</v>
      </c>
      <c r="B3166" s="3" t="str">
        <f>HYPERLINK("https://otsuka-europe-crm.veevavault.com/ui/#object/approved_document__v/V5OZ025E82TFUPI", "Spain - HCP Survey Email - June 2025")</f>
        <v>Spain - HCP Survey Email - June 2025</v>
      </c>
      <c r="C3166" s="3" t="str">
        <f>HYPERLINK("https://otsuka-europe-crm.veevavault.com/ui/#object/sent_email__v/VBLZ025E82GN02V", "SE-000270281")</f>
        <v>SE-000270281</v>
      </c>
      <c r="D3166" s="1">
        <v>45921.695335648146</v>
      </c>
      <c r="E3166" s="2">
        <v>1</v>
      </c>
      <c r="F3166" s="2">
        <v>3</v>
      </c>
      <c r="G3166" s="2">
        <v>1</v>
      </c>
      <c r="H3166" s="1">
        <v>45921.681562500002</v>
      </c>
      <c r="I3166" s="2">
        <v>1</v>
      </c>
      <c r="J3166" s="1">
        <v>45915.378425925926</v>
      </c>
    </row>
    <row r="3167" spans="1:10" x14ac:dyDescent="0.2">
      <c r="A3167" s="4" t="s">
        <v>1</v>
      </c>
      <c r="B3167" s="3" t="str">
        <f>HYPERLINK("https://otsuka-europe-crm.veevavault.com/ui/#object/approved_document__v/V5OZ025E82TFUPI", "Spain - HCP Survey Email - June 2025")</f>
        <v>Spain - HCP Survey Email - June 2025</v>
      </c>
      <c r="C3167" s="3" t="str">
        <f>HYPERLINK("https://otsuka-europe-crm.veevavault.com/ui/#object/sent_email__v/VBLZ025E82GN02W", "SE-000270282")</f>
        <v>SE-000270282</v>
      </c>
      <c r="D3167" s="1">
        <v>45974.885509259257</v>
      </c>
      <c r="E3167" s="2">
        <v>1</v>
      </c>
      <c r="F3167" s="2">
        <v>4</v>
      </c>
      <c r="G3167" s="2">
        <v>0</v>
      </c>
      <c r="H3167" s="1" t="s">
        <v>0</v>
      </c>
      <c r="I3167" s="2">
        <v>0</v>
      </c>
      <c r="J3167" s="1">
        <v>45915.378912037035</v>
      </c>
    </row>
    <row r="3168" spans="1:10" x14ac:dyDescent="0.2">
      <c r="A3168" s="4" t="s">
        <v>1</v>
      </c>
      <c r="B3168" s="3" t="str">
        <f>HYPERLINK("https://otsuka-europe-crm.veevavault.com/ui/#object/approved_document__v/V5OZ025E82TFUPI", "Spain - HCP Survey Email - June 2025")</f>
        <v>Spain - HCP Survey Email - June 2025</v>
      </c>
      <c r="C3168" s="3" t="str">
        <f>HYPERLINK("https://otsuka-europe-crm.veevavault.com/ui/#object/sent_email__v/VBLZ025E82GN02X", "SE-000270283")</f>
        <v>SE-000270283</v>
      </c>
      <c r="D3168" s="1">
        <v>45915.41474537037</v>
      </c>
      <c r="E3168" s="2">
        <v>1</v>
      </c>
      <c r="F3168" s="2">
        <v>1</v>
      </c>
      <c r="G3168" s="2">
        <v>0</v>
      </c>
      <c r="H3168" s="1" t="s">
        <v>0</v>
      </c>
      <c r="I3168" s="2">
        <v>0</v>
      </c>
      <c r="J3168" s="1">
        <v>45915.378680555557</v>
      </c>
    </row>
    <row r="3169" spans="1:10" x14ac:dyDescent="0.2">
      <c r="A3169" s="4" t="s">
        <v>1</v>
      </c>
      <c r="B3169" s="3" t="str">
        <f>HYPERLINK("https://otsuka-europe-crm.veevavault.com/ui/#object/approved_document__v/V5OZ025E82TFUPI", "Spain - HCP Survey Email - June 2025")</f>
        <v>Spain - HCP Survey Email - June 2025</v>
      </c>
      <c r="C3169" s="3" t="str">
        <f>HYPERLINK("https://otsuka-europe-crm.veevavault.com/ui/#object/sent_email__v/VBLZ025E82GN02Y", "SE-000270284")</f>
        <v>SE-000270284</v>
      </c>
      <c r="D3169" s="1">
        <v>45915.705324074072</v>
      </c>
      <c r="E3169" s="2">
        <v>1</v>
      </c>
      <c r="F3169" s="2">
        <v>3</v>
      </c>
      <c r="G3169" s="2">
        <v>1</v>
      </c>
      <c r="H3169" s="1">
        <v>45915.685324074075</v>
      </c>
      <c r="I3169" s="2">
        <v>1</v>
      </c>
      <c r="J3169" s="1">
        <v>45915.379305555558</v>
      </c>
    </row>
    <row r="3170" spans="1:10" x14ac:dyDescent="0.2">
      <c r="A3170" s="4" t="s">
        <v>1</v>
      </c>
      <c r="B3170" s="3" t="str">
        <f>HYPERLINK("https://otsuka-europe-crm.veevavault.com/ui/#object/approved_document__v/V5OZ025E82TFUPI", "Spain - HCP Survey Email - June 2025")</f>
        <v>Spain - HCP Survey Email - June 2025</v>
      </c>
      <c r="C3170" s="3" t="str">
        <f>HYPERLINK("https://otsuka-europe-crm.veevavault.com/ui/#object/sent_email__v/VBLZ025E82GN02Z", "SE-000270285")</f>
        <v>SE-000270285</v>
      </c>
      <c r="D3170" s="1">
        <v>45915.378009259257</v>
      </c>
      <c r="E3170" s="2">
        <v>1</v>
      </c>
      <c r="F3170" s="2">
        <v>1</v>
      </c>
      <c r="G3170" s="2">
        <v>1</v>
      </c>
      <c r="H3170" s="1">
        <v>45915.378275462965</v>
      </c>
      <c r="I3170" s="2">
        <v>2</v>
      </c>
      <c r="J3170" s="1">
        <v>45915.377916666665</v>
      </c>
    </row>
    <row r="3171" spans="1:10" x14ac:dyDescent="0.2">
      <c r="A3171" s="4" t="s">
        <v>1</v>
      </c>
      <c r="B3171" s="3" t="str">
        <f>HYPERLINK("https://otsuka-europe-crm.veevavault.com/ui/#object/approved_document__v/V5OZ025E82TFUPI", "Spain - HCP Survey Email - June 2025")</f>
        <v>Spain - HCP Survey Email - June 2025</v>
      </c>
      <c r="C3171" s="3" t="str">
        <f>HYPERLINK("https://otsuka-europe-crm.veevavault.com/ui/#object/sent_email__v/VBLZ025E82GN030", "SE-000270286")</f>
        <v>SE-000270286</v>
      </c>
      <c r="D3171" s="1" t="s">
        <v>0</v>
      </c>
      <c r="E3171" s="2">
        <v>0</v>
      </c>
      <c r="F3171" s="2">
        <v>0</v>
      </c>
      <c r="G3171" s="2">
        <v>0</v>
      </c>
      <c r="H3171" s="1" t="s">
        <v>0</v>
      </c>
      <c r="I3171" s="2">
        <v>0</v>
      </c>
      <c r="J3171" s="1">
        <v>45915.378287037034</v>
      </c>
    </row>
    <row r="3172" spans="1:10" x14ac:dyDescent="0.2">
      <c r="A3172" s="4" t="s">
        <v>1</v>
      </c>
      <c r="B3172" s="3" t="str">
        <f>HYPERLINK("https://otsuka-europe-crm.veevavault.com/ui/#object/approved_document__v/V5OZ025E82TFUPI", "Spain - HCP Survey Email - June 2025")</f>
        <v>Spain - HCP Survey Email - June 2025</v>
      </c>
      <c r="C3172" s="3" t="str">
        <f>HYPERLINK("https://otsuka-europe-crm.veevavault.com/ui/#object/sent_email__v/VBLZ025E82GN031", "SE-000270287")</f>
        <v>SE-000270287</v>
      </c>
      <c r="D3172" s="1" t="s">
        <v>0</v>
      </c>
      <c r="E3172" s="2">
        <v>0</v>
      </c>
      <c r="F3172" s="2">
        <v>0</v>
      </c>
      <c r="G3172" s="2">
        <v>0</v>
      </c>
      <c r="H3172" s="1" t="s">
        <v>0</v>
      </c>
      <c r="I3172" s="2">
        <v>0</v>
      </c>
      <c r="J3172" s="1">
        <v>45915.377974537034</v>
      </c>
    </row>
    <row r="3173" spans="1:10" x14ac:dyDescent="0.2">
      <c r="A3173" s="4" t="s">
        <v>1</v>
      </c>
      <c r="B3173" s="3" t="str">
        <f>HYPERLINK("https://otsuka-europe-crm.veevavault.com/ui/#object/approved_document__v/V5OZ025E82TFUPI", "Spain - HCP Survey Email - June 2025")</f>
        <v>Spain - HCP Survey Email - June 2025</v>
      </c>
      <c r="C3173" s="3" t="str">
        <f>HYPERLINK("https://otsuka-europe-crm.veevavault.com/ui/#object/sent_email__v/VBLZ025E82GN032", "SE-000270288")</f>
        <v>SE-000270288</v>
      </c>
      <c r="D3173" s="1" t="s">
        <v>0</v>
      </c>
      <c r="E3173" s="2">
        <v>0</v>
      </c>
      <c r="F3173" s="2">
        <v>0</v>
      </c>
      <c r="G3173" s="2">
        <v>0</v>
      </c>
      <c r="H3173" s="1" t="s">
        <v>0</v>
      </c>
      <c r="I3173" s="2">
        <v>0</v>
      </c>
      <c r="J3173" s="1">
        <v>45915.378993055558</v>
      </c>
    </row>
    <row r="3174" spans="1:10" x14ac:dyDescent="0.2">
      <c r="A3174" s="4" t="s">
        <v>1</v>
      </c>
      <c r="B3174" s="3" t="str">
        <f>HYPERLINK("https://otsuka-europe-crm.veevavault.com/ui/#object/approved_document__v/V5OZ025E82TFUPI", "Spain - HCP Survey Email - June 2025")</f>
        <v>Spain - HCP Survey Email - June 2025</v>
      </c>
      <c r="C3174" s="3" t="str">
        <f>HYPERLINK("https://otsuka-europe-crm.veevavault.com/ui/#object/sent_email__v/VBLZ025E82GN033", "SE-000270289")</f>
        <v>SE-000270289</v>
      </c>
      <c r="D3174" s="1" t="s">
        <v>0</v>
      </c>
      <c r="E3174" s="2">
        <v>0</v>
      </c>
      <c r="F3174" s="2">
        <v>0</v>
      </c>
      <c r="G3174" s="2">
        <v>0</v>
      </c>
      <c r="H3174" s="1" t="s">
        <v>0</v>
      </c>
      <c r="I3174" s="2">
        <v>0</v>
      </c>
      <c r="J3174" s="1">
        <v>45915.379560185182</v>
      </c>
    </row>
    <row r="3175" spans="1:10" x14ac:dyDescent="0.2">
      <c r="A3175" s="4" t="s">
        <v>1</v>
      </c>
      <c r="B3175" s="3" t="str">
        <f>HYPERLINK("https://otsuka-europe-crm.veevavault.com/ui/#object/approved_document__v/V5OZ025E82TFUPI", "Spain - HCP Survey Email - June 2025")</f>
        <v>Spain - HCP Survey Email - June 2025</v>
      </c>
      <c r="C3175" s="3" t="str">
        <f>HYPERLINK("https://otsuka-europe-crm.veevavault.com/ui/#object/sent_email__v/VBLZ025E82GN034", "SE-000270290")</f>
        <v>SE-000270290</v>
      </c>
      <c r="D3175" s="1">
        <v>45930.70853009259</v>
      </c>
      <c r="E3175" s="2">
        <v>1</v>
      </c>
      <c r="F3175" s="2">
        <v>1</v>
      </c>
      <c r="G3175" s="2">
        <v>0</v>
      </c>
      <c r="H3175" s="1" t="s">
        <v>0</v>
      </c>
      <c r="I3175" s="2">
        <v>0</v>
      </c>
      <c r="J3175" s="1">
        <v>45915.377974537034</v>
      </c>
    </row>
    <row r="3176" spans="1:10" x14ac:dyDescent="0.2">
      <c r="A3176" s="4" t="s">
        <v>1</v>
      </c>
      <c r="B3176" s="3" t="str">
        <f>HYPERLINK("https://otsuka-europe-crm.veevavault.com/ui/#object/approved_document__v/V5OZ025E82TFUPI", "Spain - HCP Survey Email - June 2025")</f>
        <v>Spain - HCP Survey Email - June 2025</v>
      </c>
      <c r="C3176" s="3" t="str">
        <f>HYPERLINK("https://otsuka-europe-crm.veevavault.com/ui/#object/sent_email__v/VBLZ025E82GN035", "SE-000270291")</f>
        <v>SE-000270291</v>
      </c>
      <c r="D3176" s="1">
        <v>45951.46230324074</v>
      </c>
      <c r="E3176" s="2">
        <v>1</v>
      </c>
      <c r="F3176" s="2">
        <v>2</v>
      </c>
      <c r="G3176" s="2">
        <v>0</v>
      </c>
      <c r="H3176" s="1" t="s">
        <v>0</v>
      </c>
      <c r="I3176" s="2">
        <v>0</v>
      </c>
      <c r="J3176" s="1">
        <v>45915.378298611111</v>
      </c>
    </row>
    <row r="3177" spans="1:10" x14ac:dyDescent="0.2">
      <c r="A3177" s="4" t="s">
        <v>1</v>
      </c>
      <c r="B3177" s="3" t="str">
        <f>HYPERLINK("https://otsuka-europe-crm.veevavault.com/ui/#object/approved_document__v/V5OZ025E82TFUPI", "Spain - HCP Survey Email - June 2025")</f>
        <v>Spain - HCP Survey Email - June 2025</v>
      </c>
      <c r="C3177" s="3" t="str">
        <f>HYPERLINK("https://otsuka-europe-crm.veevavault.com/ui/#object/sent_email__v/VBLZ025E82GN036", "SE-000270292")</f>
        <v>SE-000270292</v>
      </c>
      <c r="D3177" s="1" t="s">
        <v>0</v>
      </c>
      <c r="E3177" s="2">
        <v>0</v>
      </c>
      <c r="F3177" s="2">
        <v>0</v>
      </c>
      <c r="G3177" s="2">
        <v>0</v>
      </c>
      <c r="H3177" s="1" t="s">
        <v>0</v>
      </c>
      <c r="I3177" s="2">
        <v>0</v>
      </c>
      <c r="J3177" s="1">
        <v>45915.377928240741</v>
      </c>
    </row>
    <row r="3178" spans="1:10" x14ac:dyDescent="0.2">
      <c r="A3178" s="4" t="s">
        <v>1</v>
      </c>
      <c r="B3178" s="3" t="str">
        <f>HYPERLINK("https://otsuka-europe-crm.veevavault.com/ui/#object/approved_document__v/V5OZ025E82TFUPI", "Spain - HCP Survey Email - June 2025")</f>
        <v>Spain - HCP Survey Email - June 2025</v>
      </c>
      <c r="C3178" s="3" t="str">
        <f>HYPERLINK("https://otsuka-europe-crm.veevavault.com/ui/#object/sent_email__v/VBLZ025E82GN037", "SE-000270293")</f>
        <v>SE-000270293</v>
      </c>
      <c r="D3178" s="1" t="s">
        <v>0</v>
      </c>
      <c r="E3178" s="2">
        <v>0</v>
      </c>
      <c r="F3178" s="2">
        <v>0</v>
      </c>
      <c r="G3178" s="2">
        <v>0</v>
      </c>
      <c r="H3178" s="1" t="s">
        <v>0</v>
      </c>
      <c r="I3178" s="2">
        <v>0</v>
      </c>
      <c r="J3178" s="1">
        <v>45915.378923611112</v>
      </c>
    </row>
    <row r="3179" spans="1:10" x14ac:dyDescent="0.2">
      <c r="A3179" s="4" t="s">
        <v>1</v>
      </c>
      <c r="B3179" s="3" t="str">
        <f>HYPERLINK("https://otsuka-europe-crm.veevavault.com/ui/#object/approved_document__v/V5OZ025E82TFUPI", "Spain - HCP Survey Email - June 2025")</f>
        <v>Spain - HCP Survey Email - June 2025</v>
      </c>
      <c r="C3179" s="3" t="str">
        <f>HYPERLINK("https://otsuka-europe-crm.veevavault.com/ui/#object/sent_email__v/VBLZ025E82GN038", "SE-000270294")</f>
        <v>SE-000270294</v>
      </c>
      <c r="D3179" s="1">
        <v>45915.403761574074</v>
      </c>
      <c r="E3179" s="2">
        <v>1</v>
      </c>
      <c r="F3179" s="2">
        <v>1</v>
      </c>
      <c r="G3179" s="2">
        <v>0</v>
      </c>
      <c r="H3179" s="1" t="s">
        <v>0</v>
      </c>
      <c r="I3179" s="2">
        <v>0</v>
      </c>
      <c r="J3179" s="1">
        <v>45915.379652777781</v>
      </c>
    </row>
    <row r="3180" spans="1:10" x14ac:dyDescent="0.2">
      <c r="A3180" s="4" t="s">
        <v>1</v>
      </c>
      <c r="B3180" s="3" t="str">
        <f>HYPERLINK("https://otsuka-europe-crm.veevavault.com/ui/#object/approved_document__v/V5OZ025E82TFUPI", "Spain - HCP Survey Email - June 2025")</f>
        <v>Spain - HCP Survey Email - June 2025</v>
      </c>
      <c r="C3180" s="3" t="str">
        <f>HYPERLINK("https://otsuka-europe-crm.veevavault.com/ui/#object/sent_email__v/VBLZ025E82GN039", "SE-000270295")</f>
        <v>SE-000270295</v>
      </c>
      <c r="D3180" s="1" t="s">
        <v>0</v>
      </c>
      <c r="E3180" s="2">
        <v>0</v>
      </c>
      <c r="F3180" s="2">
        <v>0</v>
      </c>
      <c r="G3180" s="2">
        <v>0</v>
      </c>
      <c r="H3180" s="1" t="s">
        <v>0</v>
      </c>
      <c r="I3180" s="2">
        <v>0</v>
      </c>
      <c r="J3180" s="1">
        <v>45915.379374999997</v>
      </c>
    </row>
    <row r="3181" spans="1:10" x14ac:dyDescent="0.2">
      <c r="A3181" s="4" t="s">
        <v>1</v>
      </c>
      <c r="B3181" s="3" t="str">
        <f>HYPERLINK("https://otsuka-europe-crm.veevavault.com/ui/#object/approved_document__v/V5OZ025E82TFUPI", "Spain - HCP Survey Email - June 2025")</f>
        <v>Spain - HCP Survey Email - June 2025</v>
      </c>
      <c r="C3181" s="3" t="str">
        <f>HYPERLINK("https://otsuka-europe-crm.veevavault.com/ui/#object/sent_email__v/VBLZ025E82GN03A", "SE-000270296")</f>
        <v>SE-000270296</v>
      </c>
      <c r="D3181" s="1">
        <v>45915.386631944442</v>
      </c>
      <c r="E3181" s="2">
        <v>1</v>
      </c>
      <c r="F3181" s="2">
        <v>1</v>
      </c>
      <c r="G3181" s="2">
        <v>0</v>
      </c>
      <c r="H3181" s="1" t="s">
        <v>0</v>
      </c>
      <c r="I3181" s="2">
        <v>0</v>
      </c>
      <c r="J3181" s="1">
        <v>45915.37740740741</v>
      </c>
    </row>
    <row r="3182" spans="1:10" x14ac:dyDescent="0.2">
      <c r="A3182" s="4" t="s">
        <v>1</v>
      </c>
      <c r="B3182" s="3" t="str">
        <f>HYPERLINK("https://otsuka-europe-crm.veevavault.com/ui/#object/approved_document__v/V5OZ025E82TFUPI", "Spain - HCP Survey Email - June 2025")</f>
        <v>Spain - HCP Survey Email - June 2025</v>
      </c>
      <c r="C3182" s="3" t="str">
        <f>HYPERLINK("https://otsuka-europe-crm.veevavault.com/ui/#object/sent_email__v/VBLZ025E82GN03B", "SE-000270297")</f>
        <v>SE-000270297</v>
      </c>
      <c r="D3182" s="1">
        <v>45928.441574074073</v>
      </c>
      <c r="E3182" s="2">
        <v>1</v>
      </c>
      <c r="F3182" s="2">
        <v>1</v>
      </c>
      <c r="G3182" s="2">
        <v>0</v>
      </c>
      <c r="H3182" s="1" t="s">
        <v>0</v>
      </c>
      <c r="I3182" s="2">
        <v>0</v>
      </c>
      <c r="J3182" s="1">
        <v>45915.378506944442</v>
      </c>
    </row>
    <row r="3183" spans="1:10" x14ac:dyDescent="0.2">
      <c r="A3183" s="4" t="s">
        <v>1</v>
      </c>
      <c r="B3183" s="3" t="str">
        <f>HYPERLINK("https://otsuka-europe-crm.veevavault.com/ui/#object/approved_document__v/V5OZ025E82TFUPI", "Spain - HCP Survey Email - June 2025")</f>
        <v>Spain - HCP Survey Email - June 2025</v>
      </c>
      <c r="C3183" s="3" t="str">
        <f>HYPERLINK("https://otsuka-europe-crm.veevavault.com/ui/#object/sent_email__v/VBLZ025E82GN03C", "SE-000270298")</f>
        <v>SE-000270298</v>
      </c>
      <c r="D3183" s="1">
        <v>45916.060312499998</v>
      </c>
      <c r="E3183" s="2">
        <v>1</v>
      </c>
      <c r="F3183" s="2">
        <v>1</v>
      </c>
      <c r="G3183" s="2">
        <v>0</v>
      </c>
      <c r="H3183" s="1" t="s">
        <v>0</v>
      </c>
      <c r="I3183" s="2">
        <v>0</v>
      </c>
      <c r="J3183" s="1">
        <v>45915.378946759258</v>
      </c>
    </row>
    <row r="3184" spans="1:10" x14ac:dyDescent="0.2">
      <c r="A3184" s="4" t="s">
        <v>1</v>
      </c>
      <c r="B3184" s="3" t="str">
        <f>HYPERLINK("https://otsuka-europe-crm.veevavault.com/ui/#object/approved_document__v/V5OZ025E82TFUPI", "Spain - HCP Survey Email - June 2025")</f>
        <v>Spain - HCP Survey Email - June 2025</v>
      </c>
      <c r="C3184" s="3" t="str">
        <f>HYPERLINK("https://otsuka-europe-crm.veevavault.com/ui/#object/sent_email__v/VBLZ025E82GN03D", "SE-000270299")</f>
        <v>SE-000270299</v>
      </c>
      <c r="D3184" s="1">
        <v>45915.737268518518</v>
      </c>
      <c r="E3184" s="2">
        <v>1</v>
      </c>
      <c r="F3184" s="2">
        <v>1</v>
      </c>
      <c r="G3184" s="2">
        <v>0</v>
      </c>
      <c r="H3184" s="1" t="s">
        <v>0</v>
      </c>
      <c r="I3184" s="2">
        <v>0</v>
      </c>
      <c r="J3184" s="1">
        <v>45915.378680555557</v>
      </c>
    </row>
    <row r="3185" spans="1:10" x14ac:dyDescent="0.2">
      <c r="A3185" s="4" t="s">
        <v>1</v>
      </c>
      <c r="B3185" s="3" t="str">
        <f>HYPERLINK("https://otsuka-europe-crm.veevavault.com/ui/#object/approved_document__v/V5OZ025E82TFUPI", "Spain - HCP Survey Email - June 2025")</f>
        <v>Spain - HCP Survey Email - June 2025</v>
      </c>
      <c r="C3185" s="3" t="str">
        <f>HYPERLINK("https://otsuka-europe-crm.veevavault.com/ui/#object/sent_email__v/VBLZ025E82GN03E", "SE-000270300")</f>
        <v>SE-000270300</v>
      </c>
      <c r="D3185" s="1">
        <v>45917.261932870373</v>
      </c>
      <c r="E3185" s="2">
        <v>1</v>
      </c>
      <c r="F3185" s="2">
        <v>1</v>
      </c>
      <c r="G3185" s="2">
        <v>0</v>
      </c>
      <c r="H3185" s="1" t="s">
        <v>0</v>
      </c>
      <c r="I3185" s="2">
        <v>0</v>
      </c>
      <c r="J3185" s="1">
        <v>45915.379201388889</v>
      </c>
    </row>
    <row r="3186" spans="1:10" x14ac:dyDescent="0.2">
      <c r="A3186" s="4" t="s">
        <v>1</v>
      </c>
      <c r="B3186" s="3" t="str">
        <f>HYPERLINK("https://otsuka-europe-crm.veevavault.com/ui/#object/approved_document__v/V5OZ025E82TFUPI", "Spain - HCP Survey Email - June 2025")</f>
        <v>Spain - HCP Survey Email - June 2025</v>
      </c>
      <c r="C3186" s="3" t="str">
        <f>HYPERLINK("https://otsuka-europe-crm.veevavault.com/ui/#object/sent_email__v/VBLZ025E82GN03F", "SE-000270301")</f>
        <v>SE-000270301</v>
      </c>
      <c r="D3186" s="1" t="s">
        <v>0</v>
      </c>
      <c r="E3186" s="2">
        <v>0</v>
      </c>
      <c r="F3186" s="2">
        <v>0</v>
      </c>
      <c r="G3186" s="2">
        <v>0</v>
      </c>
      <c r="H3186" s="1" t="s">
        <v>0</v>
      </c>
      <c r="I3186" s="2">
        <v>0</v>
      </c>
      <c r="J3186" s="1">
        <v>45915.377905092595</v>
      </c>
    </row>
    <row r="3187" spans="1:10" x14ac:dyDescent="0.2">
      <c r="A3187" s="4" t="s">
        <v>1</v>
      </c>
      <c r="B3187" s="3" t="str">
        <f>HYPERLINK("https://otsuka-europe-crm.veevavault.com/ui/#object/approved_document__v/V5OZ025E82TFUPI", "Spain - HCP Survey Email - June 2025")</f>
        <v>Spain - HCP Survey Email - June 2025</v>
      </c>
      <c r="C3187" s="3" t="str">
        <f>HYPERLINK("https://otsuka-europe-crm.veevavault.com/ui/#object/sent_email__v/VBLZ025E82GN03G", "SE-000270302")</f>
        <v>SE-000270302</v>
      </c>
      <c r="D3187" s="1" t="s">
        <v>0</v>
      </c>
      <c r="E3187" s="2">
        <v>0</v>
      </c>
      <c r="F3187" s="2">
        <v>0</v>
      </c>
      <c r="G3187" s="2">
        <v>0</v>
      </c>
      <c r="H3187" s="1" t="s">
        <v>0</v>
      </c>
      <c r="I3187" s="2">
        <v>0</v>
      </c>
      <c r="J3187" s="1">
        <v>45915.378310185188</v>
      </c>
    </row>
    <row r="3188" spans="1:10" x14ac:dyDescent="0.2">
      <c r="A3188" s="4" t="s">
        <v>1</v>
      </c>
      <c r="B3188" s="3" t="str">
        <f>HYPERLINK("https://otsuka-europe-crm.veevavault.com/ui/#object/approved_document__v/V5OZ025E82TFUPI", "Spain - HCP Survey Email - June 2025")</f>
        <v>Spain - HCP Survey Email - June 2025</v>
      </c>
      <c r="C3188" s="3" t="str">
        <f>HYPERLINK("https://otsuka-europe-crm.veevavault.com/ui/#object/sent_email__v/VBLZ025E82GN03H", "SE-000270303")</f>
        <v>SE-000270303</v>
      </c>
      <c r="D3188" s="1" t="s">
        <v>0</v>
      </c>
      <c r="E3188" s="2">
        <v>0</v>
      </c>
      <c r="F3188" s="2">
        <v>0</v>
      </c>
      <c r="G3188" s="2">
        <v>0</v>
      </c>
      <c r="H3188" s="1" t="s">
        <v>0</v>
      </c>
      <c r="I3188" s="2">
        <v>0</v>
      </c>
      <c r="J3188" s="1">
        <v>45915.377939814818</v>
      </c>
    </row>
    <row r="3189" spans="1:10" x14ac:dyDescent="0.2">
      <c r="A3189" s="4" t="s">
        <v>1</v>
      </c>
      <c r="B3189" s="3" t="str">
        <f>HYPERLINK("https://otsuka-europe-crm.veevavault.com/ui/#object/approved_document__v/V5OZ025E82TFUPI", "Spain - HCP Survey Email - June 2025")</f>
        <v>Spain - HCP Survey Email - June 2025</v>
      </c>
      <c r="C3189" s="3" t="str">
        <f>HYPERLINK("https://otsuka-europe-crm.veevavault.com/ui/#object/sent_email__v/VBLZ025E82GN03I", "SE-000270304")</f>
        <v>SE-000270304</v>
      </c>
      <c r="D3189" s="1" t="s">
        <v>0</v>
      </c>
      <c r="E3189" s="2">
        <v>0</v>
      </c>
      <c r="F3189" s="2">
        <v>0</v>
      </c>
      <c r="G3189" s="2">
        <v>0</v>
      </c>
      <c r="H3189" s="1" t="s">
        <v>0</v>
      </c>
      <c r="I3189" s="2">
        <v>0</v>
      </c>
      <c r="J3189" s="1">
        <v>45915.379004629627</v>
      </c>
    </row>
    <row r="3190" spans="1:10" x14ac:dyDescent="0.2">
      <c r="A3190" s="4" t="s">
        <v>1</v>
      </c>
      <c r="B3190" s="3" t="str">
        <f>HYPERLINK("https://otsuka-europe-crm.veevavault.com/ui/#object/approved_document__v/V5OZ025E82TFUPI", "Spain - HCP Survey Email - June 2025")</f>
        <v>Spain - HCP Survey Email - June 2025</v>
      </c>
      <c r="C3190" s="3" t="str">
        <f>HYPERLINK("https://otsuka-europe-crm.veevavault.com/ui/#object/sent_email__v/VBLZ025E82GN03J", "SE-000270305")</f>
        <v>SE-000270305</v>
      </c>
      <c r="D3190" s="1" t="s">
        <v>0</v>
      </c>
      <c r="E3190" s="2">
        <v>0</v>
      </c>
      <c r="F3190" s="2">
        <v>0</v>
      </c>
      <c r="G3190" s="2">
        <v>0</v>
      </c>
      <c r="H3190" s="1" t="s">
        <v>0</v>
      </c>
      <c r="I3190" s="2">
        <v>0</v>
      </c>
      <c r="J3190" s="1">
        <v>45915.379652777781</v>
      </c>
    </row>
    <row r="3191" spans="1:10" x14ac:dyDescent="0.2">
      <c r="A3191" s="4" t="s">
        <v>1</v>
      </c>
      <c r="B3191" s="3" t="str">
        <f>HYPERLINK("https://otsuka-europe-crm.veevavault.com/ui/#object/approved_document__v/V5OZ025E82TFUPI", "Spain - HCP Survey Email - June 2025")</f>
        <v>Spain - HCP Survey Email - June 2025</v>
      </c>
      <c r="C3191" s="3" t="str">
        <f>HYPERLINK("https://otsuka-europe-crm.veevavault.com/ui/#object/sent_email__v/VBLZ025E82GN03K", "SE-000270306")</f>
        <v>SE-000270306</v>
      </c>
      <c r="D3191" s="1" t="s">
        <v>0</v>
      </c>
      <c r="E3191" s="2">
        <v>0</v>
      </c>
      <c r="F3191" s="2">
        <v>0</v>
      </c>
      <c r="G3191" s="2">
        <v>0</v>
      </c>
      <c r="H3191" s="1" t="s">
        <v>0</v>
      </c>
      <c r="I3191" s="2">
        <v>0</v>
      </c>
      <c r="J3191" s="1">
        <v>45915.379432870373</v>
      </c>
    </row>
    <row r="3192" spans="1:10" x14ac:dyDescent="0.2">
      <c r="A3192" s="4" t="s">
        <v>1</v>
      </c>
      <c r="B3192" s="3" t="str">
        <f>HYPERLINK("https://otsuka-europe-crm.veevavault.com/ui/#object/approved_document__v/V5OZ025E82TFUPI", "Spain - HCP Survey Email - June 2025")</f>
        <v>Spain - HCP Survey Email - June 2025</v>
      </c>
      <c r="C3192" s="3" t="str">
        <f>HYPERLINK("https://otsuka-europe-crm.veevavault.com/ui/#object/sent_email__v/VBLZ025E82GN03L", "SE-000270307")</f>
        <v>SE-000270307</v>
      </c>
      <c r="D3192" s="1" t="s">
        <v>0</v>
      </c>
      <c r="E3192" s="2">
        <v>0</v>
      </c>
      <c r="F3192" s="2">
        <v>0</v>
      </c>
      <c r="G3192" s="2">
        <v>0</v>
      </c>
      <c r="H3192" s="1" t="s">
        <v>0</v>
      </c>
      <c r="I3192" s="2">
        <v>0</v>
      </c>
      <c r="J3192" s="1">
        <v>45915.377500000002</v>
      </c>
    </row>
    <row r="3193" spans="1:10" x14ac:dyDescent="0.2">
      <c r="A3193" s="4" t="s">
        <v>1</v>
      </c>
      <c r="B3193" s="3" t="str">
        <f>HYPERLINK("https://otsuka-europe-crm.veevavault.com/ui/#object/approved_document__v/V5OZ025E82TFUPI", "Spain - HCP Survey Email - June 2025")</f>
        <v>Spain - HCP Survey Email - June 2025</v>
      </c>
      <c r="C3193" s="3" t="str">
        <f>HYPERLINK("https://otsuka-europe-crm.veevavault.com/ui/#object/sent_email__v/VBLZ025E82GN03M", "SE-000270308")</f>
        <v>SE-000270308</v>
      </c>
      <c r="D3193" s="1">
        <v>45915.587824074071</v>
      </c>
      <c r="E3193" s="2">
        <v>1</v>
      </c>
      <c r="F3193" s="2">
        <v>1</v>
      </c>
      <c r="G3193" s="2">
        <v>0</v>
      </c>
      <c r="H3193" s="1" t="s">
        <v>0</v>
      </c>
      <c r="I3193" s="2">
        <v>0</v>
      </c>
      <c r="J3193" s="1">
        <v>45915.378437500003</v>
      </c>
    </row>
    <row r="3194" spans="1:10" x14ac:dyDescent="0.2">
      <c r="A3194" s="4" t="s">
        <v>1</v>
      </c>
      <c r="B3194" s="3" t="str">
        <f>HYPERLINK("https://otsuka-europe-crm.veevavault.com/ui/#object/approved_document__v/V5OZ025E82TFUPI", "Spain - HCP Survey Email - June 2025")</f>
        <v>Spain - HCP Survey Email - June 2025</v>
      </c>
      <c r="C3194" s="3" t="str">
        <f>HYPERLINK("https://otsuka-europe-crm.veevavault.com/ui/#object/sent_email__v/VBLZ025E82GN03N", "SE-000270309")</f>
        <v>SE-000270309</v>
      </c>
      <c r="D3194" s="1">
        <v>45915.386319444442</v>
      </c>
      <c r="E3194" s="2">
        <v>1</v>
      </c>
      <c r="F3194" s="2">
        <v>1</v>
      </c>
      <c r="G3194" s="2">
        <v>0</v>
      </c>
      <c r="H3194" s="1" t="s">
        <v>0</v>
      </c>
      <c r="I3194" s="2">
        <v>0</v>
      </c>
      <c r="J3194" s="1">
        <v>45915.378784722219</v>
      </c>
    </row>
    <row r="3195" spans="1:10" x14ac:dyDescent="0.2">
      <c r="A3195" s="4" t="s">
        <v>1</v>
      </c>
      <c r="B3195" s="3" t="str">
        <f>HYPERLINK("https://otsuka-europe-crm.veevavault.com/ui/#object/approved_document__v/V5OZ025E82TFUPI", "Spain - HCP Survey Email - June 2025")</f>
        <v>Spain - HCP Survey Email - June 2025</v>
      </c>
      <c r="C3195" s="3" t="str">
        <f>HYPERLINK("https://otsuka-europe-crm.veevavault.com/ui/#object/sent_email__v/VBLZ025E82GN03O", "SE-000270310")</f>
        <v>SE-000270310</v>
      </c>
      <c r="D3195" s="1" t="s">
        <v>0</v>
      </c>
      <c r="E3195" s="2">
        <v>0</v>
      </c>
      <c r="F3195" s="2">
        <v>0</v>
      </c>
      <c r="G3195" s="2">
        <v>0</v>
      </c>
      <c r="H3195" s="1" t="s">
        <v>0</v>
      </c>
      <c r="I3195" s="2">
        <v>0</v>
      </c>
      <c r="J3195" s="1">
        <v>45915.378784722219</v>
      </c>
    </row>
    <row r="3196" spans="1:10" x14ac:dyDescent="0.2">
      <c r="A3196" s="4" t="s">
        <v>1</v>
      </c>
      <c r="B3196" s="3" t="str">
        <f>HYPERLINK("https://otsuka-europe-crm.veevavault.com/ui/#object/approved_document__v/V5OZ025E82TFUPI", "Spain - HCP Survey Email - June 2025")</f>
        <v>Spain - HCP Survey Email - June 2025</v>
      </c>
      <c r="C3196" s="3" t="str">
        <f>HYPERLINK("https://otsuka-europe-crm.veevavault.com/ui/#object/sent_email__v/VBLZ025E82GN03P", "SE-000270311")</f>
        <v>SE-000270311</v>
      </c>
      <c r="D3196" s="1">
        <v>45917.629293981481</v>
      </c>
      <c r="E3196" s="2">
        <v>1</v>
      </c>
      <c r="F3196" s="2">
        <v>1</v>
      </c>
      <c r="G3196" s="2">
        <v>0</v>
      </c>
      <c r="H3196" s="1" t="s">
        <v>0</v>
      </c>
      <c r="I3196" s="2">
        <v>0</v>
      </c>
      <c r="J3196" s="1">
        <v>45915.379259259258</v>
      </c>
    </row>
    <row r="3197" spans="1:10" x14ac:dyDescent="0.2">
      <c r="A3197" s="4" t="s">
        <v>1</v>
      </c>
      <c r="B3197" s="3" t="str">
        <f>HYPERLINK("https://otsuka-europe-crm.veevavault.com/ui/#object/approved_document__v/V5OZ025E82TFUPI", "Spain - HCP Survey Email - June 2025")</f>
        <v>Spain - HCP Survey Email - June 2025</v>
      </c>
      <c r="C3197" s="3" t="str">
        <f>HYPERLINK("https://otsuka-europe-crm.veevavault.com/ui/#object/sent_email__v/VBLZ025E82GN03Q", "SE-000270312")</f>
        <v>SE-000270312</v>
      </c>
      <c r="D3197" s="1">
        <v>45918.870138888888</v>
      </c>
      <c r="E3197" s="2">
        <v>1</v>
      </c>
      <c r="F3197" s="2">
        <v>1</v>
      </c>
      <c r="G3197" s="2">
        <v>0</v>
      </c>
      <c r="H3197" s="1" t="s">
        <v>0</v>
      </c>
      <c r="I3197" s="2">
        <v>0</v>
      </c>
      <c r="J3197" s="1">
        <v>45915.377916666665</v>
      </c>
    </row>
    <row r="3198" spans="1:10" x14ac:dyDescent="0.2">
      <c r="A3198" s="4" t="s">
        <v>1</v>
      </c>
      <c r="B3198" s="3" t="str">
        <f>HYPERLINK("https://otsuka-europe-crm.veevavault.com/ui/#object/approved_document__v/V5OZ025E82TFUPI", "Spain - HCP Survey Email - June 2025")</f>
        <v>Spain - HCP Survey Email - June 2025</v>
      </c>
      <c r="C3198" s="3" t="str">
        <f>HYPERLINK("https://otsuka-europe-crm.veevavault.com/ui/#object/sent_email__v/VBLZ025E82GN03R", "SE-000270313")</f>
        <v>SE-000270313</v>
      </c>
      <c r="D3198" s="1" t="s">
        <v>0</v>
      </c>
      <c r="E3198" s="2">
        <v>0</v>
      </c>
      <c r="F3198" s="2">
        <v>0</v>
      </c>
      <c r="G3198" s="2">
        <v>0</v>
      </c>
      <c r="H3198" s="1" t="s">
        <v>0</v>
      </c>
      <c r="I3198" s="2">
        <v>0</v>
      </c>
      <c r="J3198" s="1">
        <v>45915.377523148149</v>
      </c>
    </row>
    <row r="3199" spans="1:10" x14ac:dyDescent="0.2">
      <c r="A3199" s="4" t="s">
        <v>1</v>
      </c>
      <c r="B3199" s="3" t="str">
        <f>HYPERLINK("https://otsuka-europe-crm.veevavault.com/ui/#object/approved_document__v/V5OZ025E82TFUPI", "Spain - HCP Survey Email - June 2025")</f>
        <v>Spain - HCP Survey Email - June 2025</v>
      </c>
      <c r="C3199" s="3" t="str">
        <f>HYPERLINK("https://otsuka-europe-crm.veevavault.com/ui/#object/sent_email__v/VBLZ025E82GN03S", "SE-000270314")</f>
        <v>SE-000270314</v>
      </c>
      <c r="D3199" s="1" t="s">
        <v>0</v>
      </c>
      <c r="E3199" s="2">
        <v>0</v>
      </c>
      <c r="F3199" s="2">
        <v>0</v>
      </c>
      <c r="G3199" s="2">
        <v>0</v>
      </c>
      <c r="H3199" s="1" t="s">
        <v>0</v>
      </c>
      <c r="I3199" s="2">
        <v>0</v>
      </c>
      <c r="J3199" s="1">
        <v>45915.377986111111</v>
      </c>
    </row>
    <row r="3200" spans="1:10" x14ac:dyDescent="0.2">
      <c r="A3200" s="4" t="s">
        <v>1</v>
      </c>
      <c r="B3200" s="3" t="str">
        <f>HYPERLINK("https://otsuka-europe-crm.veevavault.com/ui/#object/approved_document__v/V5OZ025E82TFUPI", "Spain - HCP Survey Email - June 2025")</f>
        <v>Spain - HCP Survey Email - June 2025</v>
      </c>
      <c r="C3200" s="3" t="str">
        <f>HYPERLINK("https://otsuka-europe-crm.veevavault.com/ui/#object/sent_email__v/VBLZ025E82GN03T", "SE-000270315")</f>
        <v>SE-000270315</v>
      </c>
      <c r="D3200" s="1" t="s">
        <v>0</v>
      </c>
      <c r="E3200" s="2">
        <v>0</v>
      </c>
      <c r="F3200" s="2">
        <v>0</v>
      </c>
      <c r="G3200" s="2">
        <v>0</v>
      </c>
      <c r="H3200" s="1" t="s">
        <v>0</v>
      </c>
      <c r="I3200" s="2">
        <v>0</v>
      </c>
      <c r="J3200" s="1">
        <v>45915.378912037035</v>
      </c>
    </row>
    <row r="3201" spans="1:10" x14ac:dyDescent="0.2">
      <c r="A3201" s="4" t="s">
        <v>1</v>
      </c>
      <c r="B3201" s="3" t="str">
        <f>HYPERLINK("https://otsuka-europe-crm.veevavault.com/ui/#object/approved_document__v/V5OZ025E82TFUPI", "Spain - HCP Survey Email - June 2025")</f>
        <v>Spain - HCP Survey Email - June 2025</v>
      </c>
      <c r="C3201" s="3" t="str">
        <f>HYPERLINK("https://otsuka-europe-crm.veevavault.com/ui/#object/sent_email__v/VBLZ025E82GN03U", "SE-000270316")</f>
        <v>SE-000270316</v>
      </c>
      <c r="D3201" s="1" t="s">
        <v>0</v>
      </c>
      <c r="E3201" s="2">
        <v>0</v>
      </c>
      <c r="F3201" s="2">
        <v>0</v>
      </c>
      <c r="G3201" s="2">
        <v>0</v>
      </c>
      <c r="H3201" s="1" t="s">
        <v>0</v>
      </c>
      <c r="I3201" s="2">
        <v>0</v>
      </c>
      <c r="J3201" s="1">
        <v>45915.379618055558</v>
      </c>
    </row>
    <row r="3202" spans="1:10" x14ac:dyDescent="0.2">
      <c r="A3202" s="4" t="s">
        <v>1</v>
      </c>
      <c r="B3202" s="3" t="str">
        <f>HYPERLINK("https://otsuka-europe-crm.veevavault.com/ui/#object/approved_document__v/V5OZ025E82TFUPI", "Spain - HCP Survey Email - June 2025")</f>
        <v>Spain - HCP Survey Email - June 2025</v>
      </c>
      <c r="C3202" s="3" t="str">
        <f>HYPERLINK("https://otsuka-europe-crm.veevavault.com/ui/#object/sent_email__v/VBLZ025E82GN03V", "SE-000270317")</f>
        <v>SE-000270317</v>
      </c>
      <c r="D3202" s="1">
        <v>45915.788310185184</v>
      </c>
      <c r="E3202" s="2">
        <v>1</v>
      </c>
      <c r="F3202" s="2">
        <v>1</v>
      </c>
      <c r="G3202" s="2">
        <v>0</v>
      </c>
      <c r="H3202" s="1" t="s">
        <v>0</v>
      </c>
      <c r="I3202" s="2">
        <v>0</v>
      </c>
      <c r="J3202" s="1">
        <v>45915.379351851851</v>
      </c>
    </row>
    <row r="3203" spans="1:10" x14ac:dyDescent="0.2">
      <c r="A3203" s="4" t="s">
        <v>1</v>
      </c>
      <c r="B3203" s="3" t="str">
        <f>HYPERLINK("https://otsuka-europe-crm.veevavault.com/ui/#object/approved_document__v/V5OZ025E82TFUPI", "Spain - HCP Survey Email - June 2025")</f>
        <v>Spain - HCP Survey Email - June 2025</v>
      </c>
      <c r="C3203" s="3" t="str">
        <f>HYPERLINK("https://otsuka-europe-crm.veevavault.com/ui/#object/sent_email__v/VBLZ025E82GN03W", "SE-000270318")</f>
        <v>SE-000270318</v>
      </c>
      <c r="D3203" s="1" t="s">
        <v>0</v>
      </c>
      <c r="E3203" s="2">
        <v>0</v>
      </c>
      <c r="F3203" s="2">
        <v>0</v>
      </c>
      <c r="G3203" s="2">
        <v>0</v>
      </c>
      <c r="H3203" s="1" t="s">
        <v>0</v>
      </c>
      <c r="I3203" s="2">
        <v>0</v>
      </c>
      <c r="J3203" s="1">
        <v>45915.377442129633</v>
      </c>
    </row>
    <row r="3204" spans="1:10" x14ac:dyDescent="0.2">
      <c r="A3204" s="4" t="s">
        <v>1</v>
      </c>
      <c r="B3204" s="3" t="str">
        <f>HYPERLINK("https://otsuka-europe-crm.veevavault.com/ui/#object/approved_document__v/V5OZ025E82TFUPI", "Spain - HCP Survey Email - June 2025")</f>
        <v>Spain - HCP Survey Email - June 2025</v>
      </c>
      <c r="C3204" s="3" t="str">
        <f>HYPERLINK("https://otsuka-europe-crm.veevavault.com/ui/#object/sent_email__v/VBLZ025E82GN03X", "SE-000270319")</f>
        <v>SE-000270319</v>
      </c>
      <c r="D3204" s="1">
        <v>45915.869629629633</v>
      </c>
      <c r="E3204" s="2">
        <v>1</v>
      </c>
      <c r="F3204" s="2">
        <v>3</v>
      </c>
      <c r="G3204" s="2">
        <v>0</v>
      </c>
      <c r="H3204" s="1" t="s">
        <v>0</v>
      </c>
      <c r="I3204" s="2">
        <v>0</v>
      </c>
      <c r="J3204" s="1">
        <v>45915.378344907411</v>
      </c>
    </row>
    <row r="3205" spans="1:10" x14ac:dyDescent="0.2">
      <c r="A3205" s="4" t="s">
        <v>1</v>
      </c>
      <c r="B3205" s="3" t="str">
        <f>HYPERLINK("https://otsuka-europe-crm.veevavault.com/ui/#object/approved_document__v/V5OZ025E82TFUPI", "Spain - HCP Survey Email - June 2025")</f>
        <v>Spain - HCP Survey Email - June 2025</v>
      </c>
      <c r="C3205" s="3" t="str">
        <f>HYPERLINK("https://otsuka-europe-crm.veevavault.com/ui/#object/sent_email__v/VBLZ025E82GN03Y", "SE-000270320")</f>
        <v>SE-000270320</v>
      </c>
      <c r="D3205" s="1" t="s">
        <v>0</v>
      </c>
      <c r="E3205" s="2">
        <v>0</v>
      </c>
      <c r="F3205" s="2">
        <v>0</v>
      </c>
      <c r="G3205" s="2">
        <v>0</v>
      </c>
      <c r="H3205" s="1" t="s">
        <v>0</v>
      </c>
      <c r="I3205" s="2">
        <v>0</v>
      </c>
      <c r="J3205" s="1">
        <v>45915.378842592596</v>
      </c>
    </row>
    <row r="3206" spans="1:10" x14ac:dyDescent="0.2">
      <c r="A3206" s="4" t="s">
        <v>1</v>
      </c>
      <c r="B3206" s="3" t="str">
        <f>HYPERLINK("https://otsuka-europe-crm.veevavault.com/ui/#object/approved_document__v/V5OZ025E82TFUPI", "Spain - HCP Survey Email - June 2025")</f>
        <v>Spain - HCP Survey Email - June 2025</v>
      </c>
      <c r="C3206" s="3" t="str">
        <f>HYPERLINK("https://otsuka-europe-crm.veevavault.com/ui/#object/sent_email__v/VBLZ025E82GN03Z", "SE-000270321")</f>
        <v>SE-000270321</v>
      </c>
      <c r="D3206" s="1" t="s">
        <v>0</v>
      </c>
      <c r="E3206" s="2">
        <v>0</v>
      </c>
      <c r="F3206" s="2">
        <v>0</v>
      </c>
      <c r="G3206" s="2">
        <v>0</v>
      </c>
      <c r="H3206" s="1" t="s">
        <v>0</v>
      </c>
      <c r="I3206" s="2">
        <v>0</v>
      </c>
      <c r="J3206" s="1">
        <v>45915.378819444442</v>
      </c>
    </row>
    <row r="3207" spans="1:10" x14ac:dyDescent="0.2">
      <c r="A3207" s="4" t="s">
        <v>1</v>
      </c>
      <c r="B3207" s="3" t="str">
        <f>HYPERLINK("https://otsuka-europe-crm.veevavault.com/ui/#object/approved_document__v/V5OZ025E82TFUPI", "Spain - HCP Survey Email - June 2025")</f>
        <v>Spain - HCP Survey Email - June 2025</v>
      </c>
      <c r="C3207" s="3" t="str">
        <f>HYPERLINK("https://otsuka-europe-crm.veevavault.com/ui/#object/sent_email__v/VBLZ025E82GN040", "SE-000270322")</f>
        <v>SE-000270322</v>
      </c>
      <c r="D3207" s="1">
        <v>45915.805312500001</v>
      </c>
      <c r="E3207" s="2">
        <v>1</v>
      </c>
      <c r="F3207" s="2">
        <v>1</v>
      </c>
      <c r="G3207" s="2">
        <v>0</v>
      </c>
      <c r="H3207" s="1" t="s">
        <v>0</v>
      </c>
      <c r="I3207" s="2">
        <v>0</v>
      </c>
      <c r="J3207" s="1">
        <v>45915.379282407404</v>
      </c>
    </row>
    <row r="3208" spans="1:10" x14ac:dyDescent="0.2">
      <c r="A3208" s="4" t="s">
        <v>1</v>
      </c>
      <c r="B3208" s="3" t="str">
        <f>HYPERLINK("https://otsuka-europe-crm.veevavault.com/ui/#object/approved_document__v/V5OZ025E82TFUPI", "Spain - HCP Survey Email - June 2025")</f>
        <v>Spain - HCP Survey Email - June 2025</v>
      </c>
      <c r="C3208" s="3" t="str">
        <f>HYPERLINK("https://otsuka-europe-crm.veevavault.com/ui/#object/sent_email__v/VBLZ025E82GN041", "SE-000270323")</f>
        <v>SE-000270323</v>
      </c>
      <c r="D3208" s="1">
        <v>45948.047743055555</v>
      </c>
      <c r="E3208" s="2">
        <v>1</v>
      </c>
      <c r="F3208" s="2">
        <v>1</v>
      </c>
      <c r="G3208" s="2">
        <v>0</v>
      </c>
      <c r="H3208" s="1" t="s">
        <v>0</v>
      </c>
      <c r="I3208" s="2">
        <v>0</v>
      </c>
      <c r="J3208" s="1">
        <v>45915.377962962964</v>
      </c>
    </row>
    <row r="3209" spans="1:10" x14ac:dyDescent="0.2">
      <c r="A3209" s="4" t="s">
        <v>1</v>
      </c>
      <c r="B3209" s="3" t="str">
        <f>HYPERLINK("https://otsuka-europe-crm.veevavault.com/ui/#object/approved_document__v/V5OZ025E82TFUPI", "Spain - HCP Survey Email - June 2025")</f>
        <v>Spain - HCP Survey Email - June 2025</v>
      </c>
      <c r="C3209" s="3" t="str">
        <f>HYPERLINK("https://otsuka-europe-crm.veevavault.com/ui/#object/sent_email__v/VBLZ025E82GN042", "SE-000270324")</f>
        <v>SE-000270324</v>
      </c>
      <c r="D3209" s="1" t="s">
        <v>0</v>
      </c>
      <c r="E3209" s="2">
        <v>0</v>
      </c>
      <c r="F3209" s="2">
        <v>0</v>
      </c>
      <c r="G3209" s="2">
        <v>0</v>
      </c>
      <c r="H3209" s="1" t="s">
        <v>0</v>
      </c>
      <c r="I3209" s="2">
        <v>0</v>
      </c>
      <c r="J3209" s="1">
        <v>45915.378287037034</v>
      </c>
    </row>
    <row r="3210" spans="1:10" x14ac:dyDescent="0.2">
      <c r="A3210" s="4" t="s">
        <v>1</v>
      </c>
      <c r="B3210" s="3" t="str">
        <f>HYPERLINK("https://otsuka-europe-crm.veevavault.com/ui/#object/approved_document__v/V5OZ025E82TFUPI", "Spain - HCP Survey Email - June 2025")</f>
        <v>Spain - HCP Survey Email - June 2025</v>
      </c>
      <c r="C3210" s="3" t="str">
        <f>HYPERLINK("https://otsuka-europe-crm.veevavault.com/ui/#object/sent_email__v/VBLZ025E82GN043", "SE-000270325")</f>
        <v>SE-000270325</v>
      </c>
      <c r="D3210" s="1">
        <v>45928.719282407408</v>
      </c>
      <c r="E3210" s="2">
        <v>1</v>
      </c>
      <c r="F3210" s="2">
        <v>3</v>
      </c>
      <c r="G3210" s="2">
        <v>0</v>
      </c>
      <c r="H3210" s="1" t="s">
        <v>0</v>
      </c>
      <c r="I3210" s="2">
        <v>0</v>
      </c>
      <c r="J3210" s="1">
        <v>45915.377928240741</v>
      </c>
    </row>
    <row r="3211" spans="1:10" x14ac:dyDescent="0.2">
      <c r="A3211" s="4" t="s">
        <v>1</v>
      </c>
      <c r="B3211" s="3" t="str">
        <f>HYPERLINK("https://otsuka-europe-crm.veevavault.com/ui/#object/approved_document__v/V5OZ025E82TFUPI", "Spain - HCP Survey Email - June 2025")</f>
        <v>Spain - HCP Survey Email - June 2025</v>
      </c>
      <c r="C3211" s="3" t="str">
        <f>HYPERLINK("https://otsuka-europe-crm.veevavault.com/ui/#object/sent_email__v/VBLZ025E82GN044", "SE-000270326")</f>
        <v>SE-000270326</v>
      </c>
      <c r="D3211" s="1">
        <v>45915.463368055556</v>
      </c>
      <c r="E3211" s="2">
        <v>1</v>
      </c>
      <c r="F3211" s="2">
        <v>1</v>
      </c>
      <c r="G3211" s="2">
        <v>0</v>
      </c>
      <c r="H3211" s="1" t="s">
        <v>0</v>
      </c>
      <c r="I3211" s="2">
        <v>0</v>
      </c>
      <c r="J3211" s="1">
        <v>45915.379189814812</v>
      </c>
    </row>
    <row r="3212" spans="1:10" x14ac:dyDescent="0.2">
      <c r="A3212" s="4" t="s">
        <v>1</v>
      </c>
      <c r="B3212" s="3" t="str">
        <f>HYPERLINK("https://otsuka-europe-crm.veevavault.com/ui/#object/approved_document__v/V5OZ025E82TFUPI", "Spain - HCP Survey Email - June 2025")</f>
        <v>Spain - HCP Survey Email - June 2025</v>
      </c>
      <c r="C3212" s="3" t="str">
        <f>HYPERLINK("https://otsuka-europe-crm.veevavault.com/ui/#object/sent_email__v/VBLZ025E82GN045", "SE-000270327")</f>
        <v>SE-000270327</v>
      </c>
      <c r="D3212" s="1">
        <v>45915.395671296297</v>
      </c>
      <c r="E3212" s="2">
        <v>1</v>
      </c>
      <c r="F3212" s="2">
        <v>3</v>
      </c>
      <c r="G3212" s="2">
        <v>1</v>
      </c>
      <c r="H3212" s="1">
        <v>45915.395925925928</v>
      </c>
      <c r="I3212" s="2">
        <v>1</v>
      </c>
      <c r="J3212" s="1">
        <v>45915.377858796295</v>
      </c>
    </row>
    <row r="3213" spans="1:10" x14ac:dyDescent="0.2">
      <c r="A3213" s="4" t="s">
        <v>1</v>
      </c>
      <c r="B3213" s="3" t="str">
        <f>HYPERLINK("https://otsuka-europe-crm.veevavault.com/ui/#object/approved_document__v/V5OZ025E82TFUPI", "Spain - HCP Survey Email - June 2025")</f>
        <v>Spain - HCP Survey Email - June 2025</v>
      </c>
      <c r="C3213" s="3" t="str">
        <f>HYPERLINK("https://otsuka-europe-crm.veevavault.com/ui/#object/sent_email__v/VBLZ025E82GN046", "SE-000270328")</f>
        <v>SE-000270328</v>
      </c>
      <c r="D3213" s="1">
        <v>45915.93478009259</v>
      </c>
      <c r="E3213" s="2">
        <v>1</v>
      </c>
      <c r="F3213" s="2">
        <v>2</v>
      </c>
      <c r="G3213" s="2">
        <v>0</v>
      </c>
      <c r="H3213" s="1" t="s">
        <v>0</v>
      </c>
      <c r="I3213" s="2">
        <v>0</v>
      </c>
      <c r="J3213" s="1">
        <v>45915.378344907411</v>
      </c>
    </row>
    <row r="3214" spans="1:10" x14ac:dyDescent="0.2">
      <c r="A3214" s="4" t="s">
        <v>1</v>
      </c>
      <c r="B3214" s="3" t="str">
        <f>HYPERLINK("https://otsuka-europe-crm.veevavault.com/ui/#object/approved_document__v/V5OZ025E82TFUPI", "Spain - HCP Survey Email - June 2025")</f>
        <v>Spain - HCP Survey Email - June 2025</v>
      </c>
      <c r="C3214" s="3" t="str">
        <f>HYPERLINK("https://otsuka-europe-crm.veevavault.com/ui/#object/sent_email__v/VBLZ025E82GN047", "SE-000270329")</f>
        <v>SE-000270329</v>
      </c>
      <c r="D3214" s="1">
        <v>45915.547627314816</v>
      </c>
      <c r="E3214" s="2">
        <v>1</v>
      </c>
      <c r="F3214" s="2">
        <v>2</v>
      </c>
      <c r="G3214" s="2">
        <v>0</v>
      </c>
      <c r="H3214" s="1" t="s">
        <v>0</v>
      </c>
      <c r="I3214" s="2">
        <v>0</v>
      </c>
      <c r="J3214" s="1">
        <v>45915.377974537034</v>
      </c>
    </row>
    <row r="3215" spans="1:10" x14ac:dyDescent="0.2">
      <c r="A3215" s="4" t="s">
        <v>1</v>
      </c>
      <c r="B3215" s="3" t="str">
        <f>HYPERLINK("https://otsuka-europe-crm.veevavault.com/ui/#object/approved_document__v/V5OZ025E82TFUPI", "Spain - HCP Survey Email - June 2025")</f>
        <v>Spain - HCP Survey Email - June 2025</v>
      </c>
      <c r="C3215" s="3" t="str">
        <f>HYPERLINK("https://otsuka-europe-crm.veevavault.com/ui/#object/sent_email__v/VBLZ025E82GN048", "SE-000270330")</f>
        <v>SE-000270330</v>
      </c>
      <c r="D3215" s="1">
        <v>45921.799490740741</v>
      </c>
      <c r="E3215" s="2">
        <v>1</v>
      </c>
      <c r="F3215" s="2">
        <v>2</v>
      </c>
      <c r="G3215" s="2">
        <v>0</v>
      </c>
      <c r="H3215" s="1" t="s">
        <v>0</v>
      </c>
      <c r="I3215" s="2">
        <v>0</v>
      </c>
      <c r="J3215" s="1">
        <v>45915.378993055558</v>
      </c>
    </row>
    <row r="3216" spans="1:10" x14ac:dyDescent="0.2">
      <c r="A3216" s="4" t="s">
        <v>1</v>
      </c>
      <c r="B3216" s="3" t="str">
        <f>HYPERLINK("https://otsuka-europe-crm.veevavault.com/ui/#object/approved_document__v/V5OZ025E82TFUPI", "Spain - HCP Survey Email - June 2025")</f>
        <v>Spain - HCP Survey Email - June 2025</v>
      </c>
      <c r="C3216" s="3" t="str">
        <f>HYPERLINK("https://otsuka-europe-crm.veevavault.com/ui/#object/sent_email__v/VBLZ025E82GN049", "SE-000270331")</f>
        <v>SE-000270331</v>
      </c>
      <c r="D3216" s="1" t="s">
        <v>0</v>
      </c>
      <c r="E3216" s="2">
        <v>0</v>
      </c>
      <c r="F3216" s="2">
        <v>0</v>
      </c>
      <c r="G3216" s="2">
        <v>0</v>
      </c>
      <c r="H3216" s="1" t="s">
        <v>0</v>
      </c>
      <c r="I3216" s="2">
        <v>0</v>
      </c>
      <c r="J3216" s="1">
        <v>45915.379780092589</v>
      </c>
    </row>
    <row r="3217" spans="1:10" x14ac:dyDescent="0.2">
      <c r="A3217" s="4" t="s">
        <v>1</v>
      </c>
      <c r="B3217" s="3" t="str">
        <f>HYPERLINK("https://otsuka-europe-crm.veevavault.com/ui/#object/approved_document__v/V5OZ025E82TFUPI", "Spain - HCP Survey Email - June 2025")</f>
        <v>Spain - HCP Survey Email - June 2025</v>
      </c>
      <c r="C3217" s="3" t="str">
        <f>HYPERLINK("https://otsuka-europe-crm.veevavault.com/ui/#object/sent_email__v/VBLZ025E82GN04A", "SE-000270332")</f>
        <v>SE-000270332</v>
      </c>
      <c r="D3217" s="1">
        <v>45916.252870370372</v>
      </c>
      <c r="E3217" s="2">
        <v>1</v>
      </c>
      <c r="F3217" s="2">
        <v>3</v>
      </c>
      <c r="G3217" s="2">
        <v>0</v>
      </c>
      <c r="H3217" s="1" t="s">
        <v>0</v>
      </c>
      <c r="I3217" s="2">
        <v>0</v>
      </c>
      <c r="J3217" s="1">
        <v>45915.379374999997</v>
      </c>
    </row>
    <row r="3218" spans="1:10" x14ac:dyDescent="0.2">
      <c r="A3218" s="4" t="s">
        <v>1</v>
      </c>
      <c r="B3218" s="3" t="str">
        <f>HYPERLINK("https://otsuka-europe-crm.veevavault.com/ui/#object/approved_document__v/V5OZ025E82TFUPI", "Spain - HCP Survey Email - June 2025")</f>
        <v>Spain - HCP Survey Email - June 2025</v>
      </c>
      <c r="C3218" s="3" t="str">
        <f>HYPERLINK("https://otsuka-europe-crm.veevavault.com/ui/#object/sent_email__v/VBLZ025E82GN04B", "SE-000270333")</f>
        <v>SE-000270333</v>
      </c>
      <c r="D3218" s="1">
        <v>45920.483541666668</v>
      </c>
      <c r="E3218" s="2">
        <v>1</v>
      </c>
      <c r="F3218" s="2">
        <v>2</v>
      </c>
      <c r="G3218" s="2">
        <v>0</v>
      </c>
      <c r="H3218" s="1" t="s">
        <v>0</v>
      </c>
      <c r="I3218" s="2">
        <v>0</v>
      </c>
      <c r="J3218" s="1">
        <v>45915.377442129633</v>
      </c>
    </row>
    <row r="3219" spans="1:10" x14ac:dyDescent="0.2">
      <c r="A3219" s="4" t="s">
        <v>1</v>
      </c>
      <c r="B3219" s="3" t="str">
        <f>HYPERLINK("https://otsuka-europe-crm.veevavault.com/ui/#object/approved_document__v/V5OZ025E82TFUPI", "Spain - HCP Survey Email - June 2025")</f>
        <v>Spain - HCP Survey Email - June 2025</v>
      </c>
      <c r="C3219" s="3" t="str">
        <f>HYPERLINK("https://otsuka-europe-crm.veevavault.com/ui/#object/sent_email__v/VBLZ025E82GN04C", "SE-000270334")</f>
        <v>SE-000270334</v>
      </c>
      <c r="D3219" s="1" t="s">
        <v>0</v>
      </c>
      <c r="E3219" s="2">
        <v>0</v>
      </c>
      <c r="F3219" s="2">
        <v>0</v>
      </c>
      <c r="G3219" s="2">
        <v>0</v>
      </c>
      <c r="H3219" s="1" t="s">
        <v>0</v>
      </c>
      <c r="I3219" s="2">
        <v>0</v>
      </c>
      <c r="J3219" s="1">
        <v>45915.37841435185</v>
      </c>
    </row>
    <row r="3220" spans="1:10" x14ac:dyDescent="0.2">
      <c r="A3220" s="4" t="s">
        <v>1</v>
      </c>
      <c r="B3220" s="3" t="str">
        <f>HYPERLINK("https://otsuka-europe-crm.veevavault.com/ui/#object/approved_document__v/V5OZ025E82TFUPI", "Spain - HCP Survey Email - June 2025")</f>
        <v>Spain - HCP Survey Email - June 2025</v>
      </c>
      <c r="C3220" s="3" t="str">
        <f>HYPERLINK("https://otsuka-europe-crm.veevavault.com/ui/#object/sent_email__v/VBLZ025E82GN04D", "SE-000270335")</f>
        <v>SE-000270335</v>
      </c>
      <c r="D3220" s="1">
        <v>45919.384328703702</v>
      </c>
      <c r="E3220" s="2">
        <v>1</v>
      </c>
      <c r="F3220" s="2">
        <v>2</v>
      </c>
      <c r="G3220" s="2">
        <v>0</v>
      </c>
      <c r="H3220" s="1" t="s">
        <v>0</v>
      </c>
      <c r="I3220" s="2">
        <v>0</v>
      </c>
      <c r="J3220" s="1">
        <v>45915.378819444442</v>
      </c>
    </row>
    <row r="3221" spans="1:10" x14ac:dyDescent="0.2">
      <c r="A3221" s="4" t="s">
        <v>1</v>
      </c>
      <c r="B3221" s="3" t="str">
        <f>HYPERLINK("https://otsuka-europe-crm.veevavault.com/ui/#object/approved_document__v/V5OZ025E82TFUPI", "Spain - HCP Survey Email - June 2025")</f>
        <v>Spain - HCP Survey Email - June 2025</v>
      </c>
      <c r="C3221" s="3" t="str">
        <f>HYPERLINK("https://otsuka-europe-crm.veevavault.com/ui/#object/sent_email__v/VBLZ025E82GN04E", "SE-000270336")</f>
        <v>SE-000270336</v>
      </c>
      <c r="D3221" s="1">
        <v>45916.01834490741</v>
      </c>
      <c r="E3221" s="2">
        <v>1</v>
      </c>
      <c r="F3221" s="2">
        <v>2</v>
      </c>
      <c r="G3221" s="2">
        <v>0</v>
      </c>
      <c r="H3221" s="1" t="s">
        <v>0</v>
      </c>
      <c r="I3221" s="2">
        <v>0</v>
      </c>
      <c r="J3221" s="1">
        <v>45915.378784722219</v>
      </c>
    </row>
    <row r="3222" spans="1:10" x14ac:dyDescent="0.2">
      <c r="A3222" s="4" t="s">
        <v>1</v>
      </c>
      <c r="B3222" s="3" t="str">
        <f>HYPERLINK("https://otsuka-europe-crm.veevavault.com/ui/#object/approved_document__v/V5OZ025E82TFUPI", "Spain - HCP Survey Email - June 2025")</f>
        <v>Spain - HCP Survey Email - June 2025</v>
      </c>
      <c r="C3222" s="3" t="str">
        <f>HYPERLINK("https://otsuka-europe-crm.veevavault.com/ui/#object/sent_email__v/VBLZ025E82GN04F", "SE-000270337")</f>
        <v>SE-000270337</v>
      </c>
      <c r="D3222" s="1">
        <v>45915.788113425922</v>
      </c>
      <c r="E3222" s="2">
        <v>1</v>
      </c>
      <c r="F3222" s="2">
        <v>1</v>
      </c>
      <c r="G3222" s="2">
        <v>0</v>
      </c>
      <c r="H3222" s="1" t="s">
        <v>0</v>
      </c>
      <c r="I3222" s="2">
        <v>0</v>
      </c>
      <c r="J3222" s="1">
        <v>45915.379293981481</v>
      </c>
    </row>
    <row r="3223" spans="1:10" x14ac:dyDescent="0.2">
      <c r="A3223" s="4" t="s">
        <v>1</v>
      </c>
      <c r="B3223" s="3" t="str">
        <f>HYPERLINK("https://otsuka-europe-crm.veevavault.com/ui/#object/approved_document__v/V5OZ025E82TFUPI", "Spain - HCP Survey Email - June 2025")</f>
        <v>Spain - HCP Survey Email - June 2025</v>
      </c>
      <c r="C3223" s="3" t="str">
        <f>HYPERLINK("https://otsuka-europe-crm.veevavault.com/ui/#object/sent_email__v/VBLZ025E82GN04G", "SE-000270338")</f>
        <v>SE-000270338</v>
      </c>
      <c r="D3223" s="1" t="s">
        <v>0</v>
      </c>
      <c r="E3223" s="2">
        <v>0</v>
      </c>
      <c r="F3223" s="2">
        <v>0</v>
      </c>
      <c r="G3223" s="2">
        <v>0</v>
      </c>
      <c r="H3223" s="1" t="s">
        <v>0</v>
      </c>
      <c r="I3223" s="2">
        <v>0</v>
      </c>
      <c r="J3223" s="1">
        <v>45915.377858796295</v>
      </c>
    </row>
    <row r="3224" spans="1:10" x14ac:dyDescent="0.2">
      <c r="A3224" s="4" t="s">
        <v>1</v>
      </c>
      <c r="B3224" s="3" t="str">
        <f>HYPERLINK("https://otsuka-europe-crm.veevavault.com/ui/#object/approved_document__v/V5OZ025E82TFUPI", "Spain - HCP Survey Email - June 2025")</f>
        <v>Spain - HCP Survey Email - June 2025</v>
      </c>
      <c r="C3224" s="3" t="str">
        <f>HYPERLINK("https://otsuka-europe-crm.veevavault.com/ui/#object/sent_email__v/VBLZ025E82GN04H", "SE-000270339")</f>
        <v>SE-000270339</v>
      </c>
      <c r="D3224" s="1" t="s">
        <v>0</v>
      </c>
      <c r="E3224" s="2">
        <v>0</v>
      </c>
      <c r="F3224" s="2">
        <v>0</v>
      </c>
      <c r="G3224" s="2">
        <v>0</v>
      </c>
      <c r="H3224" s="1" t="s">
        <v>0</v>
      </c>
      <c r="I3224" s="2">
        <v>0</v>
      </c>
      <c r="J3224" s="1">
        <v>45915.378379629627</v>
      </c>
    </row>
    <row r="3225" spans="1:10" x14ac:dyDescent="0.2">
      <c r="A3225" s="4" t="s">
        <v>1</v>
      </c>
      <c r="B3225" s="3" t="str">
        <f>HYPERLINK("https://otsuka-europe-crm.veevavault.com/ui/#object/approved_document__v/V5OZ025E82TFUPI", "Spain - HCP Survey Email - June 2025")</f>
        <v>Spain - HCP Survey Email - June 2025</v>
      </c>
      <c r="C3225" s="3" t="str">
        <f>HYPERLINK("https://otsuka-europe-crm.veevavault.com/ui/#object/sent_email__v/VBLZ025E82GN04I", "SE-000270340")</f>
        <v>SE-000270340</v>
      </c>
      <c r="D3225" s="1">
        <v>45923.456724537034</v>
      </c>
      <c r="E3225" s="2">
        <v>1</v>
      </c>
      <c r="F3225" s="2">
        <v>1</v>
      </c>
      <c r="G3225" s="2">
        <v>1</v>
      </c>
      <c r="H3225" s="1">
        <v>45923.456724537034</v>
      </c>
      <c r="I3225" s="2">
        <v>1</v>
      </c>
      <c r="J3225" s="1">
        <v>45915.377928240741</v>
      </c>
    </row>
    <row r="3226" spans="1:10" x14ac:dyDescent="0.2">
      <c r="A3226" s="4" t="s">
        <v>1</v>
      </c>
      <c r="B3226" s="3" t="str">
        <f>HYPERLINK("https://otsuka-europe-crm.veevavault.com/ui/#object/approved_document__v/V5OZ025E82TFUPI", "Spain - HCP Survey Email - June 2025")</f>
        <v>Spain - HCP Survey Email - June 2025</v>
      </c>
      <c r="C3226" s="3" t="str">
        <f>HYPERLINK("https://otsuka-europe-crm.veevavault.com/ui/#object/sent_email__v/VBLZ025E82GN04J", "SE-000270341")</f>
        <v>SE-000270341</v>
      </c>
      <c r="D3226" s="1" t="s">
        <v>0</v>
      </c>
      <c r="E3226" s="2">
        <v>0</v>
      </c>
      <c r="F3226" s="2">
        <v>0</v>
      </c>
      <c r="G3226" s="2">
        <v>0</v>
      </c>
      <c r="H3226" s="1" t="s">
        <v>0</v>
      </c>
      <c r="I3226" s="2">
        <v>0</v>
      </c>
      <c r="J3226" s="1">
        <v>45915.378877314812</v>
      </c>
    </row>
    <row r="3227" spans="1:10" x14ac:dyDescent="0.2">
      <c r="A3227" s="4" t="s">
        <v>1</v>
      </c>
      <c r="B3227" s="3" t="str">
        <f>HYPERLINK("https://otsuka-europe-crm.veevavault.com/ui/#object/approved_document__v/V5OZ025E82TFUPI", "Spain - HCP Survey Email - June 2025")</f>
        <v>Spain - HCP Survey Email - June 2025</v>
      </c>
      <c r="C3227" s="3" t="str">
        <f>HYPERLINK("https://otsuka-europe-crm.veevavault.com/ui/#object/sent_email__v/VBLZ025E82GN04K", "SE-000270342")</f>
        <v>SE-000270342</v>
      </c>
      <c r="D3227" s="1" t="s">
        <v>0</v>
      </c>
      <c r="E3227" s="2">
        <v>0</v>
      </c>
      <c r="F3227" s="2">
        <v>0</v>
      </c>
      <c r="G3227" s="2">
        <v>0</v>
      </c>
      <c r="H3227" s="1" t="s">
        <v>0</v>
      </c>
      <c r="I3227" s="2">
        <v>0</v>
      </c>
      <c r="J3227" s="1">
        <v>45915.379548611112</v>
      </c>
    </row>
    <row r="3228" spans="1:10" x14ac:dyDescent="0.2">
      <c r="A3228" s="4" t="s">
        <v>1</v>
      </c>
      <c r="B3228" s="3" t="str">
        <f>HYPERLINK("https://otsuka-europe-crm.veevavault.com/ui/#object/approved_document__v/V5OZ025E82TFUPI", "Spain - HCP Survey Email - June 2025")</f>
        <v>Spain - HCP Survey Email - June 2025</v>
      </c>
      <c r="C3228" s="3" t="str">
        <f>HYPERLINK("https://otsuka-europe-crm.veevavault.com/ui/#object/sent_email__v/VBLZ025E82GN04L", "SE-000270343")</f>
        <v>SE-000270343</v>
      </c>
      <c r="D3228" s="1">
        <v>45915.379479166666</v>
      </c>
      <c r="E3228" s="2">
        <v>1</v>
      </c>
      <c r="F3228" s="2">
        <v>1</v>
      </c>
      <c r="G3228" s="2">
        <v>0</v>
      </c>
      <c r="H3228" s="1" t="s">
        <v>0</v>
      </c>
      <c r="I3228" s="2">
        <v>0</v>
      </c>
      <c r="J3228" s="1">
        <v>45915.379421296297</v>
      </c>
    </row>
    <row r="3229" spans="1:10" x14ac:dyDescent="0.2">
      <c r="A3229" s="4" t="s">
        <v>1</v>
      </c>
      <c r="B3229" s="3" t="str">
        <f>HYPERLINK("https://otsuka-europe-crm.veevavault.com/ui/#object/approved_document__v/V5OZ025E82TFUPI", "Spain - HCP Survey Email - June 2025")</f>
        <v>Spain - HCP Survey Email - June 2025</v>
      </c>
      <c r="C3229" s="3" t="str">
        <f>HYPERLINK("https://otsuka-europe-crm.veevavault.com/ui/#object/sent_email__v/VBLZ025E82GN04M", "SE-000270344")</f>
        <v>SE-000270344</v>
      </c>
      <c r="D3229" s="1">
        <v>45915.436840277776</v>
      </c>
      <c r="E3229" s="2">
        <v>1</v>
      </c>
      <c r="F3229" s="2">
        <v>2</v>
      </c>
      <c r="G3229" s="2">
        <v>0</v>
      </c>
      <c r="H3229" s="1" t="s">
        <v>0</v>
      </c>
      <c r="I3229" s="2">
        <v>0</v>
      </c>
      <c r="J3229" s="1">
        <v>45915.377430555556</v>
      </c>
    </row>
    <row r="3230" spans="1:10" x14ac:dyDescent="0.2">
      <c r="A3230" s="4" t="s">
        <v>1</v>
      </c>
      <c r="B3230" s="3" t="str">
        <f>HYPERLINK("https://otsuka-europe-crm.veevavault.com/ui/#object/approved_document__v/V5OZ025E82TFUPI", "Spain - HCP Survey Email - June 2025")</f>
        <v>Spain - HCP Survey Email - June 2025</v>
      </c>
      <c r="C3230" s="3" t="str">
        <f>HYPERLINK("https://otsuka-europe-crm.veevavault.com/ui/#object/sent_email__v/VBLZ025E82GN04N", "SE-000270345")</f>
        <v>SE-000270345</v>
      </c>
      <c r="D3230" s="1" t="s">
        <v>0</v>
      </c>
      <c r="E3230" s="2">
        <v>0</v>
      </c>
      <c r="F3230" s="2">
        <v>0</v>
      </c>
      <c r="G3230" s="2">
        <v>0</v>
      </c>
      <c r="H3230" s="1" t="s">
        <v>0</v>
      </c>
      <c r="I3230" s="2">
        <v>0</v>
      </c>
      <c r="J3230" s="1">
        <v>45915.378425925926</v>
      </c>
    </row>
    <row r="3231" spans="1:10" x14ac:dyDescent="0.2">
      <c r="A3231" s="4" t="s">
        <v>1</v>
      </c>
      <c r="B3231" s="3" t="str">
        <f>HYPERLINK("https://otsuka-europe-crm.veevavault.com/ui/#object/approved_document__v/V5OZ025E82TFUPI", "Spain - HCP Survey Email - June 2025")</f>
        <v>Spain - HCP Survey Email - June 2025</v>
      </c>
      <c r="C3231" s="3" t="str">
        <f>HYPERLINK("https://otsuka-europe-crm.veevavault.com/ui/#object/sent_email__v/VBLZ025E82GN04O", "SE-000270346")</f>
        <v>SE-000270346</v>
      </c>
      <c r="D3231" s="1">
        <v>45915.419756944444</v>
      </c>
      <c r="E3231" s="2">
        <v>1</v>
      </c>
      <c r="F3231" s="2">
        <v>1</v>
      </c>
      <c r="G3231" s="2">
        <v>0</v>
      </c>
      <c r="H3231" s="1" t="s">
        <v>0</v>
      </c>
      <c r="I3231" s="2">
        <v>0</v>
      </c>
      <c r="J3231" s="1">
        <v>45915.378923611112</v>
      </c>
    </row>
    <row r="3232" spans="1:10" x14ac:dyDescent="0.2">
      <c r="A3232" s="4" t="s">
        <v>1</v>
      </c>
      <c r="B3232" s="3" t="str">
        <f>HYPERLINK("https://otsuka-europe-crm.veevavault.com/ui/#object/approved_document__v/V5OZ025E82TFUPI", "Spain - HCP Survey Email - June 2025")</f>
        <v>Spain - HCP Survey Email - June 2025</v>
      </c>
      <c r="C3232" s="3" t="str">
        <f>HYPERLINK("https://otsuka-europe-crm.veevavault.com/ui/#object/sent_email__v/VBLZ025E82GN04P", "SE-000270347")</f>
        <v>SE-000270347</v>
      </c>
      <c r="D3232" s="1" t="s">
        <v>0</v>
      </c>
      <c r="E3232" s="2">
        <v>0</v>
      </c>
      <c r="F3232" s="2">
        <v>0</v>
      </c>
      <c r="G3232" s="2">
        <v>0</v>
      </c>
      <c r="H3232" s="1" t="s">
        <v>0</v>
      </c>
      <c r="I3232" s="2">
        <v>0</v>
      </c>
      <c r="J3232" s="1">
        <v>45915.378784722219</v>
      </c>
    </row>
    <row r="3233" spans="1:10" x14ac:dyDescent="0.2">
      <c r="A3233" s="4" t="s">
        <v>1</v>
      </c>
      <c r="B3233" s="3" t="str">
        <f>HYPERLINK("https://otsuka-europe-crm.veevavault.com/ui/#object/approved_document__v/V5OZ025E82TFUPI", "Spain - HCP Survey Email - June 2025")</f>
        <v>Spain - HCP Survey Email - June 2025</v>
      </c>
      <c r="C3233" s="3" t="str">
        <f>HYPERLINK("https://otsuka-europe-crm.veevavault.com/ui/#object/sent_email__v/VBLZ025E82GN04Q", "SE-000270348")</f>
        <v>SE-000270348</v>
      </c>
      <c r="D3233" s="1" t="s">
        <v>0</v>
      </c>
      <c r="E3233" s="2">
        <v>0</v>
      </c>
      <c r="F3233" s="2">
        <v>0</v>
      </c>
      <c r="G3233" s="2">
        <v>0</v>
      </c>
      <c r="H3233" s="1" t="s">
        <v>0</v>
      </c>
      <c r="I3233" s="2">
        <v>0</v>
      </c>
      <c r="J3233" s="1">
        <v>45915.379236111112</v>
      </c>
    </row>
    <row r="3234" spans="1:10" x14ac:dyDescent="0.2">
      <c r="A3234" s="4" t="s">
        <v>1</v>
      </c>
      <c r="B3234" s="3" t="str">
        <f>HYPERLINK("https://otsuka-europe-crm.veevavault.com/ui/#object/approved_document__v/V5OZ025E82TFUPI", "Spain - HCP Survey Email - June 2025")</f>
        <v>Spain - HCP Survey Email - June 2025</v>
      </c>
      <c r="C3234" s="3" t="str">
        <f>HYPERLINK("https://otsuka-europe-crm.veevavault.com/ui/#object/sent_email__v/VBLZ025E82GN04R", "SE-000270349")</f>
        <v>SE-000270349</v>
      </c>
      <c r="D3234" s="1" t="s">
        <v>0</v>
      </c>
      <c r="E3234" s="2">
        <v>0</v>
      </c>
      <c r="F3234" s="2">
        <v>0</v>
      </c>
      <c r="G3234" s="2">
        <v>0</v>
      </c>
      <c r="H3234" s="1" t="s">
        <v>0</v>
      </c>
      <c r="I3234" s="2">
        <v>0</v>
      </c>
      <c r="J3234" s="1">
        <v>45915.377881944441</v>
      </c>
    </row>
    <row r="3235" spans="1:10" x14ac:dyDescent="0.2">
      <c r="A3235" s="4" t="s">
        <v>1</v>
      </c>
      <c r="B3235" s="3" t="str">
        <f>HYPERLINK("https://otsuka-europe-crm.veevavault.com/ui/#object/approved_document__v/V5OZ025E82TFUPI", "Spain - HCP Survey Email - June 2025")</f>
        <v>Spain - HCP Survey Email - June 2025</v>
      </c>
      <c r="C3235" s="3" t="str">
        <f>HYPERLINK("https://otsuka-europe-crm.veevavault.com/ui/#object/sent_email__v/VBLZ025E82GN04S", "SE-000270350")</f>
        <v>SE-000270350</v>
      </c>
      <c r="D3235" s="1" t="s">
        <v>0</v>
      </c>
      <c r="E3235" s="2">
        <v>0</v>
      </c>
      <c r="F3235" s="2">
        <v>0</v>
      </c>
      <c r="G3235" s="2">
        <v>0</v>
      </c>
      <c r="H3235" s="1" t="s">
        <v>0</v>
      </c>
      <c r="I3235" s="2">
        <v>0</v>
      </c>
      <c r="J3235" s="1">
        <v>45915.377604166664</v>
      </c>
    </row>
    <row r="3236" spans="1:10" x14ac:dyDescent="0.2">
      <c r="A3236" s="4" t="s">
        <v>1</v>
      </c>
      <c r="B3236" s="3" t="str">
        <f>HYPERLINK("https://otsuka-europe-crm.veevavault.com/ui/#object/approved_document__v/V5OZ025E82TFUPI", "Spain - HCP Survey Email - June 2025")</f>
        <v>Spain - HCP Survey Email - June 2025</v>
      </c>
      <c r="C3236" s="3" t="str">
        <f>HYPERLINK("https://otsuka-europe-crm.veevavault.com/ui/#object/sent_email__v/VBLZ025E82GN04T", "SE-000270351")</f>
        <v>SE-000270351</v>
      </c>
      <c r="D3236" s="1">
        <v>45918.589594907404</v>
      </c>
      <c r="E3236" s="2">
        <v>1</v>
      </c>
      <c r="F3236" s="2">
        <v>3</v>
      </c>
      <c r="G3236" s="2">
        <v>0</v>
      </c>
      <c r="H3236" s="1" t="s">
        <v>0</v>
      </c>
      <c r="I3236" s="2">
        <v>0</v>
      </c>
      <c r="J3236" s="1">
        <v>45915.378009259257</v>
      </c>
    </row>
    <row r="3237" spans="1:10" x14ac:dyDescent="0.2">
      <c r="A3237" s="4" t="s">
        <v>1</v>
      </c>
      <c r="B3237" s="3" t="str">
        <f>HYPERLINK("https://otsuka-europe-crm.veevavault.com/ui/#object/approved_document__v/V5OZ025E82TFUPI", "Spain - HCP Survey Email - June 2025")</f>
        <v>Spain - HCP Survey Email - June 2025</v>
      </c>
      <c r="C3237" s="3" t="str">
        <f>HYPERLINK("https://otsuka-europe-crm.veevavault.com/ui/#object/sent_email__v/VBLZ025E82GN04U", "SE-000270352")</f>
        <v>SE-000270352</v>
      </c>
      <c r="D3237" s="1">
        <v>45915.830648148149</v>
      </c>
      <c r="E3237" s="2">
        <v>1</v>
      </c>
      <c r="F3237" s="2">
        <v>1</v>
      </c>
      <c r="G3237" s="2">
        <v>0</v>
      </c>
      <c r="H3237" s="1" t="s">
        <v>0</v>
      </c>
      <c r="I3237" s="2">
        <v>0</v>
      </c>
      <c r="J3237" s="1">
        <v>45915.378807870373</v>
      </c>
    </row>
    <row r="3238" spans="1:10" x14ac:dyDescent="0.2">
      <c r="A3238" s="4" t="s">
        <v>1</v>
      </c>
      <c r="B3238" s="3" t="str">
        <f>HYPERLINK("https://otsuka-europe-crm.veevavault.com/ui/#object/approved_document__v/V5OZ025E82TFUPI", "Spain - HCP Survey Email - June 2025")</f>
        <v>Spain - HCP Survey Email - June 2025</v>
      </c>
      <c r="C3238" s="3" t="str">
        <f>HYPERLINK("https://otsuka-europe-crm.veevavault.com/ui/#object/sent_email__v/VBLZ025E82GN04V", "SE-000270353")</f>
        <v>SE-000270353</v>
      </c>
      <c r="D3238" s="1">
        <v>45915.961944444447</v>
      </c>
      <c r="E3238" s="2">
        <v>1</v>
      </c>
      <c r="F3238" s="2">
        <v>1</v>
      </c>
      <c r="G3238" s="2">
        <v>0</v>
      </c>
      <c r="H3238" s="1" t="s">
        <v>0</v>
      </c>
      <c r="I3238" s="2">
        <v>0</v>
      </c>
      <c r="J3238" s="1">
        <v>45915.379236111112</v>
      </c>
    </row>
    <row r="3239" spans="1:10" x14ac:dyDescent="0.2">
      <c r="A3239" s="4" t="s">
        <v>1</v>
      </c>
      <c r="B3239" s="3" t="str">
        <f>HYPERLINK("https://otsuka-europe-crm.veevavault.com/ui/#object/approved_document__v/V5OZ025E82TFUPI", "Spain - HCP Survey Email - June 2025")</f>
        <v>Spain - HCP Survey Email - June 2025</v>
      </c>
      <c r="C3239" s="3" t="str">
        <f>HYPERLINK("https://otsuka-europe-crm.veevavault.com/ui/#object/sent_email__v/VBLZ025E82GN04W", "SE-000270354")</f>
        <v>SE-000270354</v>
      </c>
      <c r="D3239" s="1" t="s">
        <v>0</v>
      </c>
      <c r="E3239" s="2">
        <v>0</v>
      </c>
      <c r="F3239" s="2">
        <v>0</v>
      </c>
      <c r="G3239" s="2">
        <v>0</v>
      </c>
      <c r="H3239" s="1" t="s">
        <v>0</v>
      </c>
      <c r="I3239" s="2">
        <v>0</v>
      </c>
      <c r="J3239" s="1">
        <v>45915.377951388888</v>
      </c>
    </row>
    <row r="3240" spans="1:10" x14ac:dyDescent="0.2">
      <c r="A3240" s="4" t="s">
        <v>1</v>
      </c>
      <c r="B3240" s="3" t="str">
        <f>HYPERLINK("https://otsuka-europe-crm.veevavault.com/ui/#object/approved_document__v/V5OZ025E82TFUPI", "Spain - HCP Survey Email - June 2025")</f>
        <v>Spain - HCP Survey Email - June 2025</v>
      </c>
      <c r="C3240" s="3" t="str">
        <f>HYPERLINK("https://otsuka-europe-crm.veevavault.com/ui/#object/sent_email__v/VBLZ025E82GN04X", "SE-000270355")</f>
        <v>SE-000270355</v>
      </c>
      <c r="D3240" s="1">
        <v>45915.682488425926</v>
      </c>
      <c r="E3240" s="2">
        <v>1</v>
      </c>
      <c r="F3240" s="2">
        <v>2</v>
      </c>
      <c r="G3240" s="2">
        <v>0</v>
      </c>
      <c r="H3240" s="1" t="s">
        <v>0</v>
      </c>
      <c r="I3240" s="2">
        <v>0</v>
      </c>
      <c r="J3240" s="1">
        <v>45915.377569444441</v>
      </c>
    </row>
    <row r="3241" spans="1:10" x14ac:dyDescent="0.2">
      <c r="A3241" s="4" t="s">
        <v>1</v>
      </c>
      <c r="B3241" s="3" t="str">
        <f>HYPERLINK("https://otsuka-europe-crm.veevavault.com/ui/#object/approved_document__v/V5OZ025E82TFUPI", "Spain - HCP Survey Email - June 2025")</f>
        <v>Spain - HCP Survey Email - June 2025</v>
      </c>
      <c r="C3241" s="3" t="str">
        <f>HYPERLINK("https://otsuka-europe-crm.veevavault.com/ui/#object/sent_email__v/VBLZ025E82GN04Y", "SE-000270356")</f>
        <v>SE-000270356</v>
      </c>
      <c r="D3241" s="1" t="s">
        <v>0</v>
      </c>
      <c r="E3241" s="2">
        <v>0</v>
      </c>
      <c r="F3241" s="2">
        <v>0</v>
      </c>
      <c r="G3241" s="2">
        <v>0</v>
      </c>
      <c r="H3241" s="1" t="s">
        <v>0</v>
      </c>
      <c r="I3241" s="2">
        <v>0</v>
      </c>
      <c r="J3241" s="1">
        <v>45915.378020833334</v>
      </c>
    </row>
    <row r="3242" spans="1:10" x14ac:dyDescent="0.2">
      <c r="A3242" s="4" t="s">
        <v>1</v>
      </c>
      <c r="B3242" s="3" t="str">
        <f>HYPERLINK("https://otsuka-europe-crm.veevavault.com/ui/#object/approved_document__v/V5OZ025E82TFUPI", "Spain - HCP Survey Email - June 2025")</f>
        <v>Spain - HCP Survey Email - June 2025</v>
      </c>
      <c r="C3242" s="3" t="str">
        <f>HYPERLINK("https://otsuka-europe-crm.veevavault.com/ui/#object/sent_email__v/VBLZ025E82GN04Z", "SE-000270357")</f>
        <v>SE-000270357</v>
      </c>
      <c r="D3242" s="1" t="s">
        <v>0</v>
      </c>
      <c r="E3242" s="2">
        <v>0</v>
      </c>
      <c r="F3242" s="2">
        <v>0</v>
      </c>
      <c r="G3242" s="2">
        <v>0</v>
      </c>
      <c r="H3242" s="1" t="s">
        <v>0</v>
      </c>
      <c r="I3242" s="2">
        <v>0</v>
      </c>
      <c r="J3242" s="1">
        <v>45915.378912037035</v>
      </c>
    </row>
    <row r="3243" spans="1:10" x14ac:dyDescent="0.2">
      <c r="A3243" s="4" t="s">
        <v>1</v>
      </c>
      <c r="B3243" s="3" t="str">
        <f>HYPERLINK("https://otsuka-europe-crm.veevavault.com/ui/#object/approved_document__v/V5OZ025E82TFUPI", "Spain - HCP Survey Email - June 2025")</f>
        <v>Spain - HCP Survey Email - June 2025</v>
      </c>
      <c r="C3243" s="3" t="str">
        <f>HYPERLINK("https://otsuka-europe-crm.veevavault.com/ui/#object/sent_email__v/VBLZ025E82GN050", "SE-000270358")</f>
        <v>SE-000270358</v>
      </c>
      <c r="D3243" s="1">
        <v>45915.766435185185</v>
      </c>
      <c r="E3243" s="2">
        <v>1</v>
      </c>
      <c r="F3243" s="2">
        <v>2</v>
      </c>
      <c r="G3243" s="2">
        <v>0</v>
      </c>
      <c r="H3243" s="1" t="s">
        <v>0</v>
      </c>
      <c r="I3243" s="2">
        <v>0</v>
      </c>
      <c r="J3243" s="1">
        <v>45915.379664351851</v>
      </c>
    </row>
    <row r="3244" spans="1:10" x14ac:dyDescent="0.2">
      <c r="A3244" s="4" t="s">
        <v>1</v>
      </c>
      <c r="B3244" s="3" t="str">
        <f>HYPERLINK("https://otsuka-europe-crm.veevavault.com/ui/#object/approved_document__v/V5OZ025E82TFUPI", "Spain - HCP Survey Email - June 2025")</f>
        <v>Spain - HCP Survey Email - June 2025</v>
      </c>
      <c r="C3244" s="3" t="str">
        <f>HYPERLINK("https://otsuka-europe-crm.veevavault.com/ui/#object/sent_email__v/VBLZ025E82GN051", "SE-000270359")</f>
        <v>SE-000270359</v>
      </c>
      <c r="D3244" s="1">
        <v>45922.686701388891</v>
      </c>
      <c r="E3244" s="2">
        <v>1</v>
      </c>
      <c r="F3244" s="2">
        <v>3</v>
      </c>
      <c r="G3244" s="2">
        <v>0</v>
      </c>
      <c r="H3244" s="1" t="s">
        <v>0</v>
      </c>
      <c r="I3244" s="2">
        <v>0</v>
      </c>
      <c r="J3244" s="1">
        <v>45915.379340277781</v>
      </c>
    </row>
    <row r="3245" spans="1:10" x14ac:dyDescent="0.2">
      <c r="A3245" s="4" t="s">
        <v>1</v>
      </c>
      <c r="B3245" s="3" t="str">
        <f>HYPERLINK("https://otsuka-europe-crm.veevavault.com/ui/#object/approved_document__v/V5OZ025E82TFUPI", "Spain - HCP Survey Email - June 2025")</f>
        <v>Spain - HCP Survey Email - June 2025</v>
      </c>
      <c r="C3245" s="3" t="str">
        <f>HYPERLINK("https://otsuka-europe-crm.veevavault.com/ui/#object/sent_email__v/VBLZ025E82GN052", "SE-000270360")</f>
        <v>SE-000270360</v>
      </c>
      <c r="D3245" s="1" t="s">
        <v>0</v>
      </c>
      <c r="E3245" s="2">
        <v>0</v>
      </c>
      <c r="F3245" s="2">
        <v>0</v>
      </c>
      <c r="G3245" s="2">
        <v>0</v>
      </c>
      <c r="H3245" s="1" t="s">
        <v>0</v>
      </c>
      <c r="I3245" s="2">
        <v>0</v>
      </c>
      <c r="J3245" s="1">
        <v>45915.377453703702</v>
      </c>
    </row>
    <row r="3246" spans="1:10" x14ac:dyDescent="0.2">
      <c r="A3246" s="4" t="s">
        <v>1</v>
      </c>
      <c r="B3246" s="3" t="str">
        <f>HYPERLINK("https://otsuka-europe-crm.veevavault.com/ui/#object/approved_document__v/V5OZ025E82TFUPI", "Spain - HCP Survey Email - June 2025")</f>
        <v>Spain - HCP Survey Email - June 2025</v>
      </c>
      <c r="C3246" s="3" t="str">
        <f>HYPERLINK("https://otsuka-europe-crm.veevavault.com/ui/#object/sent_email__v/VBLZ025E82GN053", "SE-000270361")</f>
        <v>SE-000270361</v>
      </c>
      <c r="D3246" s="1" t="s">
        <v>0</v>
      </c>
      <c r="E3246" s="2">
        <v>0</v>
      </c>
      <c r="F3246" s="2">
        <v>0</v>
      </c>
      <c r="G3246" s="2">
        <v>0</v>
      </c>
      <c r="H3246" s="1" t="s">
        <v>0</v>
      </c>
      <c r="I3246" s="2">
        <v>0</v>
      </c>
      <c r="J3246" s="1">
        <v>45915.37840277778</v>
      </c>
    </row>
    <row r="3247" spans="1:10" x14ac:dyDescent="0.2">
      <c r="A3247" s="4" t="s">
        <v>1</v>
      </c>
      <c r="B3247" s="3" t="str">
        <f>HYPERLINK("https://otsuka-europe-crm.veevavault.com/ui/#object/approved_document__v/V5OZ025E82TFUPI", "Spain - HCP Survey Email - June 2025")</f>
        <v>Spain - HCP Survey Email - June 2025</v>
      </c>
      <c r="C3247" s="3" t="str">
        <f>HYPERLINK("https://otsuka-europe-crm.veevavault.com/ui/#object/sent_email__v/VBLZ025E82GN054", "SE-000270362")</f>
        <v>SE-000270362</v>
      </c>
      <c r="D3247" s="1" t="s">
        <v>0</v>
      </c>
      <c r="E3247" s="2">
        <v>0</v>
      </c>
      <c r="F3247" s="2">
        <v>0</v>
      </c>
      <c r="G3247" s="2">
        <v>0</v>
      </c>
      <c r="H3247" s="1" t="s">
        <v>0</v>
      </c>
      <c r="I3247" s="2">
        <v>0</v>
      </c>
      <c r="J3247" s="1">
        <v>45915.378877314812</v>
      </c>
    </row>
    <row r="3248" spans="1:10" x14ac:dyDescent="0.2">
      <c r="A3248" s="4" t="s">
        <v>1</v>
      </c>
      <c r="B3248" s="3" t="str">
        <f>HYPERLINK("https://otsuka-europe-crm.veevavault.com/ui/#object/approved_document__v/V5OZ025E82TFUPI", "Spain - HCP Survey Email - June 2025")</f>
        <v>Spain - HCP Survey Email - June 2025</v>
      </c>
      <c r="C3248" s="3" t="str">
        <f>HYPERLINK("https://otsuka-europe-crm.veevavault.com/ui/#object/sent_email__v/VBLZ025E82GN055", "SE-000270363")</f>
        <v>SE-000270363</v>
      </c>
      <c r="D3248" s="1">
        <v>46035.509363425925</v>
      </c>
      <c r="E3248" s="2">
        <v>1</v>
      </c>
      <c r="F3248" s="2">
        <v>3</v>
      </c>
      <c r="G3248" s="2">
        <v>0</v>
      </c>
      <c r="H3248" s="1" t="s">
        <v>0</v>
      </c>
      <c r="I3248" s="2">
        <v>0</v>
      </c>
      <c r="J3248" s="1">
        <v>45915.378807870373</v>
      </c>
    </row>
    <row r="3249" spans="1:10" x14ac:dyDescent="0.2">
      <c r="A3249" s="4" t="s">
        <v>1</v>
      </c>
      <c r="B3249" s="3" t="str">
        <f>HYPERLINK("https://otsuka-europe-crm.veevavault.com/ui/#object/approved_document__v/V5OZ025E82TFUPI", "Spain - HCP Survey Email - June 2025")</f>
        <v>Spain - HCP Survey Email - June 2025</v>
      </c>
      <c r="C3249" s="3" t="str">
        <f>HYPERLINK("https://otsuka-europe-crm.veevavault.com/ui/#object/sent_email__v/VBLZ025E82GN056", "SE-000270364")</f>
        <v>SE-000270364</v>
      </c>
      <c r="D3249" s="1">
        <v>45915.379363425927</v>
      </c>
      <c r="E3249" s="2">
        <v>1</v>
      </c>
      <c r="F3249" s="2">
        <v>1</v>
      </c>
      <c r="G3249" s="2">
        <v>1</v>
      </c>
      <c r="H3249" s="1">
        <v>45915.379849537036</v>
      </c>
      <c r="I3249" s="2">
        <v>2</v>
      </c>
      <c r="J3249" s="1">
        <v>45915.379236111112</v>
      </c>
    </row>
    <row r="3250" spans="1:10" x14ac:dyDescent="0.2">
      <c r="A3250" s="4" t="s">
        <v>1</v>
      </c>
      <c r="B3250" s="3" t="str">
        <f>HYPERLINK("https://otsuka-europe-crm.veevavault.com/ui/#object/approved_document__v/V5OZ025E82TFUPI", "Spain - HCP Survey Email - June 2025")</f>
        <v>Spain - HCP Survey Email - June 2025</v>
      </c>
      <c r="C3250" s="3" t="str">
        <f>HYPERLINK("https://otsuka-europe-crm.veevavault.com/ui/#object/sent_email__v/VBLZ025E82GN057", "SE-000270365")</f>
        <v>SE-000270365</v>
      </c>
      <c r="D3250" s="1">
        <v>45929.022337962961</v>
      </c>
      <c r="E3250" s="2">
        <v>1</v>
      </c>
      <c r="F3250" s="2">
        <v>3</v>
      </c>
      <c r="G3250" s="2">
        <v>0</v>
      </c>
      <c r="H3250" s="1" t="s">
        <v>0</v>
      </c>
      <c r="I3250" s="2">
        <v>0</v>
      </c>
      <c r="J3250" s="1">
        <v>45915.377881944441</v>
      </c>
    </row>
    <row r="3251" spans="1:10" x14ac:dyDescent="0.2">
      <c r="A3251" s="4" t="s">
        <v>1</v>
      </c>
      <c r="B3251" s="3" t="str">
        <f>HYPERLINK("https://otsuka-europe-crm.veevavault.com/ui/#object/approved_document__v/V5OZ025E82TFUPI", "Spain - HCP Survey Email - June 2025")</f>
        <v>Spain - HCP Survey Email - June 2025</v>
      </c>
      <c r="C3251" s="3" t="str">
        <f>HYPERLINK("https://otsuka-europe-crm.veevavault.com/ui/#object/sent_email__v/VBLZ025E82GN058", "SE-000270366")</f>
        <v>SE-000270366</v>
      </c>
      <c r="D3251" s="1">
        <v>45917.789710648147</v>
      </c>
      <c r="E3251" s="2">
        <v>1</v>
      </c>
      <c r="F3251" s="2">
        <v>1</v>
      </c>
      <c r="G3251" s="2">
        <v>0</v>
      </c>
      <c r="H3251" s="1" t="s">
        <v>0</v>
      </c>
      <c r="I3251" s="2">
        <v>0</v>
      </c>
      <c r="J3251" s="1">
        <v>45915.377592592595</v>
      </c>
    </row>
    <row r="3252" spans="1:10" x14ac:dyDescent="0.2">
      <c r="A3252" s="4" t="s">
        <v>1</v>
      </c>
      <c r="B3252" s="3" t="str">
        <f>HYPERLINK("https://otsuka-europe-crm.veevavault.com/ui/#object/approved_document__v/V5OZ025E82TFUPI", "Spain - HCP Survey Email - June 2025")</f>
        <v>Spain - HCP Survey Email - June 2025</v>
      </c>
      <c r="C3252" s="3" t="str">
        <f>HYPERLINK("https://otsuka-europe-crm.veevavault.com/ui/#object/sent_email__v/VBLZ025E82GN059", "SE-000270367")</f>
        <v>SE-000270367</v>
      </c>
      <c r="D3252" s="1" t="s">
        <v>0</v>
      </c>
      <c r="E3252" s="2">
        <v>0</v>
      </c>
      <c r="F3252" s="2">
        <v>0</v>
      </c>
      <c r="G3252" s="2">
        <v>0</v>
      </c>
      <c r="H3252" s="1" t="s">
        <v>0</v>
      </c>
      <c r="I3252" s="2">
        <v>0</v>
      </c>
      <c r="J3252" s="1">
        <v>45915.377893518518</v>
      </c>
    </row>
    <row r="3253" spans="1:10" x14ac:dyDescent="0.2">
      <c r="A3253" s="4" t="s">
        <v>1</v>
      </c>
      <c r="B3253" s="3" t="str">
        <f>HYPERLINK("https://otsuka-europe-crm.veevavault.com/ui/#object/approved_document__v/V5OZ025E82TFUPI", "Spain - HCP Survey Email - June 2025")</f>
        <v>Spain - HCP Survey Email - June 2025</v>
      </c>
      <c r="C3253" s="3" t="str">
        <f>HYPERLINK("https://otsuka-europe-crm.veevavault.com/ui/#object/sent_email__v/VBLZ025E82GN05A", "SE-000270368")</f>
        <v>SE-000270368</v>
      </c>
      <c r="D3253" s="1" t="s">
        <v>0</v>
      </c>
      <c r="E3253" s="2">
        <v>0</v>
      </c>
      <c r="F3253" s="2">
        <v>0</v>
      </c>
      <c r="G3253" s="2">
        <v>0</v>
      </c>
      <c r="H3253" s="1" t="s">
        <v>0</v>
      </c>
      <c r="I3253" s="2">
        <v>0</v>
      </c>
      <c r="J3253" s="1">
        <v>45915.378912037035</v>
      </c>
    </row>
    <row r="3254" spans="1:10" x14ac:dyDescent="0.2">
      <c r="A3254" s="4" t="s">
        <v>1</v>
      </c>
      <c r="B3254" s="3" t="str">
        <f>HYPERLINK("https://otsuka-europe-crm.veevavault.com/ui/#object/approved_document__v/V5OZ025E82TFUPI", "Spain - HCP Survey Email - June 2025")</f>
        <v>Spain - HCP Survey Email - June 2025</v>
      </c>
      <c r="C3254" s="3" t="str">
        <f>HYPERLINK("https://otsuka-europe-crm.veevavault.com/ui/#object/sent_email__v/VBLZ025E82GN05B", "SE-000270369")</f>
        <v>SE-000270369</v>
      </c>
      <c r="D3254" s="1">
        <v>45918.265949074077</v>
      </c>
      <c r="E3254" s="2">
        <v>1</v>
      </c>
      <c r="F3254" s="2">
        <v>1</v>
      </c>
      <c r="G3254" s="2">
        <v>0</v>
      </c>
      <c r="H3254" s="1" t="s">
        <v>0</v>
      </c>
      <c r="I3254" s="2">
        <v>0</v>
      </c>
      <c r="J3254" s="1">
        <v>45915.379745370374</v>
      </c>
    </row>
    <row r="3255" spans="1:10" x14ac:dyDescent="0.2">
      <c r="A3255" s="4" t="s">
        <v>1</v>
      </c>
      <c r="B3255" s="3" t="str">
        <f>HYPERLINK("https://otsuka-europe-crm.veevavault.com/ui/#object/approved_document__v/V5OZ025E82TFUPI", "Spain - HCP Survey Email - June 2025")</f>
        <v>Spain - HCP Survey Email - June 2025</v>
      </c>
      <c r="C3255" s="3" t="str">
        <f>HYPERLINK("https://otsuka-europe-crm.veevavault.com/ui/#object/sent_email__v/VBLZ025E82GN05C", "SE-000270370")</f>
        <v>SE-000270370</v>
      </c>
      <c r="D3255" s="1" t="s">
        <v>0</v>
      </c>
      <c r="E3255" s="2">
        <v>0</v>
      </c>
      <c r="F3255" s="2">
        <v>0</v>
      </c>
      <c r="G3255" s="2">
        <v>0</v>
      </c>
      <c r="H3255" s="1" t="s">
        <v>0</v>
      </c>
      <c r="I3255" s="2">
        <v>0</v>
      </c>
      <c r="J3255" s="1">
        <v>45915.379421296297</v>
      </c>
    </row>
    <row r="3256" spans="1:10" x14ac:dyDescent="0.2">
      <c r="A3256" s="4" t="s">
        <v>1</v>
      </c>
      <c r="B3256" s="3" t="str">
        <f>HYPERLINK("https://otsuka-europe-crm.veevavault.com/ui/#object/approved_document__v/V5OZ025E82TFUPI", "Spain - HCP Survey Email - June 2025")</f>
        <v>Spain - HCP Survey Email - June 2025</v>
      </c>
      <c r="C3256" s="3" t="str">
        <f>HYPERLINK("https://otsuka-europe-crm.veevavault.com/ui/#object/sent_email__v/VBLZ025E82GN05D", "SE-000270371")</f>
        <v>SE-000270371</v>
      </c>
      <c r="D3256" s="1">
        <v>45915.980902777781</v>
      </c>
      <c r="E3256" s="2">
        <v>1</v>
      </c>
      <c r="F3256" s="2">
        <v>2</v>
      </c>
      <c r="G3256" s="2">
        <v>0</v>
      </c>
      <c r="H3256" s="1" t="s">
        <v>0</v>
      </c>
      <c r="I3256" s="2">
        <v>0</v>
      </c>
      <c r="J3256" s="1">
        <v>45915.377488425926</v>
      </c>
    </row>
    <row r="3257" spans="1:10" x14ac:dyDescent="0.2">
      <c r="A3257" s="4" t="s">
        <v>1</v>
      </c>
      <c r="B3257" s="3" t="str">
        <f>HYPERLINK("https://otsuka-europe-crm.veevavault.com/ui/#object/approved_document__v/V5OZ025E82TFUPI", "Spain - HCP Survey Email - June 2025")</f>
        <v>Spain - HCP Survey Email - June 2025</v>
      </c>
      <c r="C3257" s="3" t="str">
        <f>HYPERLINK("https://otsuka-europe-crm.veevavault.com/ui/#object/sent_email__v/VBLZ025E82GN05E", "SE-000270372")</f>
        <v>SE-000270372</v>
      </c>
      <c r="D3257" s="1">
        <v>45917.966157407405</v>
      </c>
      <c r="E3257" s="2">
        <v>1</v>
      </c>
      <c r="F3257" s="2">
        <v>2</v>
      </c>
      <c r="G3257" s="2">
        <v>0</v>
      </c>
      <c r="H3257" s="1" t="s">
        <v>0</v>
      </c>
      <c r="I3257" s="2">
        <v>0</v>
      </c>
      <c r="J3257" s="1">
        <v>45915.378460648149</v>
      </c>
    </row>
    <row r="3258" spans="1:10" x14ac:dyDescent="0.2">
      <c r="A3258" s="4" t="s">
        <v>1</v>
      </c>
      <c r="B3258" s="3" t="str">
        <f>HYPERLINK("https://otsuka-europe-crm.veevavault.com/ui/#object/approved_document__v/V5OZ025E82TFUPI", "Spain - HCP Survey Email - June 2025")</f>
        <v>Spain - HCP Survey Email - June 2025</v>
      </c>
      <c r="C3258" s="3" t="str">
        <f>HYPERLINK("https://otsuka-europe-crm.veevavault.com/ui/#object/sent_email__v/VBLZ025E82GN05F", "SE-000270373")</f>
        <v>SE-000270373</v>
      </c>
      <c r="D3258" s="1" t="s">
        <v>0</v>
      </c>
      <c r="E3258" s="2">
        <v>0</v>
      </c>
      <c r="F3258" s="2">
        <v>0</v>
      </c>
      <c r="G3258" s="2">
        <v>0</v>
      </c>
      <c r="H3258" s="1" t="s">
        <v>0</v>
      </c>
      <c r="I3258" s="2">
        <v>0</v>
      </c>
      <c r="J3258" s="1">
        <v>45915.378854166665</v>
      </c>
    </row>
    <row r="3259" spans="1:10" x14ac:dyDescent="0.2">
      <c r="A3259" s="4" t="s">
        <v>1</v>
      </c>
      <c r="B3259" s="3" t="str">
        <f>HYPERLINK("https://otsuka-europe-crm.veevavault.com/ui/#object/approved_document__v/V5OZ025E82TFUPI", "Spain - HCP Survey Email - June 2025")</f>
        <v>Spain - HCP Survey Email - June 2025</v>
      </c>
      <c r="C3259" s="3" t="str">
        <f>HYPERLINK("https://otsuka-europe-crm.veevavault.com/ui/#object/sent_email__v/VBLZ025E82GN05G", "SE-000270374")</f>
        <v>SE-000270374</v>
      </c>
      <c r="D3259" s="1">
        <v>45933.935011574074</v>
      </c>
      <c r="E3259" s="2">
        <v>1</v>
      </c>
      <c r="F3259" s="2">
        <v>1</v>
      </c>
      <c r="G3259" s="2">
        <v>0</v>
      </c>
      <c r="H3259" s="1" t="s">
        <v>0</v>
      </c>
      <c r="I3259" s="2">
        <v>0</v>
      </c>
      <c r="J3259" s="1">
        <v>45915.37877314815</v>
      </c>
    </row>
    <row r="3260" spans="1:10" x14ac:dyDescent="0.2">
      <c r="A3260" s="4" t="s">
        <v>1</v>
      </c>
      <c r="B3260" s="3" t="str">
        <f>HYPERLINK("https://otsuka-europe-crm.veevavault.com/ui/#object/approved_document__v/V5OZ025E82TFUPI", "Spain - HCP Survey Email - June 2025")</f>
        <v>Spain - HCP Survey Email - June 2025</v>
      </c>
      <c r="C3260" s="3" t="str">
        <f>HYPERLINK("https://otsuka-europe-crm.veevavault.com/ui/#object/sent_email__v/VBLZ025E82GN05H", "SE-000270375")</f>
        <v>SE-000270375</v>
      </c>
      <c r="D3260" s="1">
        <v>45915.491157407407</v>
      </c>
      <c r="E3260" s="2">
        <v>1</v>
      </c>
      <c r="F3260" s="2">
        <v>1</v>
      </c>
      <c r="G3260" s="2">
        <v>0</v>
      </c>
      <c r="H3260" s="1" t="s">
        <v>0</v>
      </c>
      <c r="I3260" s="2">
        <v>0</v>
      </c>
      <c r="J3260" s="1">
        <v>45915.379189814812</v>
      </c>
    </row>
    <row r="3261" spans="1:10" x14ac:dyDescent="0.2">
      <c r="A3261" s="4" t="s">
        <v>1</v>
      </c>
      <c r="B3261" s="3" t="str">
        <f>HYPERLINK("https://otsuka-europe-crm.veevavault.com/ui/#object/approved_document__v/V5OZ025E82TFUPI", "Spain - HCP Survey Email - June 2025")</f>
        <v>Spain - HCP Survey Email - June 2025</v>
      </c>
      <c r="C3261" s="3" t="str">
        <f>HYPERLINK("https://otsuka-europe-crm.veevavault.com/ui/#object/sent_email__v/VBLZ025E82GN05I", "SE-000270376")</f>
        <v>SE-000270376</v>
      </c>
      <c r="D3261" s="1" t="s">
        <v>0</v>
      </c>
      <c r="E3261" s="2">
        <v>0</v>
      </c>
      <c r="F3261" s="2">
        <v>0</v>
      </c>
      <c r="G3261" s="2">
        <v>0</v>
      </c>
      <c r="H3261" s="1" t="s">
        <v>0</v>
      </c>
      <c r="I3261" s="2">
        <v>0</v>
      </c>
      <c r="J3261" s="1">
        <v>45915.377858796295</v>
      </c>
    </row>
    <row r="3262" spans="1:10" x14ac:dyDescent="0.2">
      <c r="A3262" s="4" t="s">
        <v>1</v>
      </c>
      <c r="B3262" s="3" t="str">
        <f>HYPERLINK("https://otsuka-europe-crm.veevavault.com/ui/#object/approved_document__v/V5OZ025E82TFUPI", "Spain - HCP Survey Email - June 2025")</f>
        <v>Spain - HCP Survey Email - June 2025</v>
      </c>
      <c r="C3262" s="3" t="str">
        <f>HYPERLINK("https://otsuka-europe-crm.veevavault.com/ui/#object/sent_email__v/VBLZ025E82GN05J", "SE-000270377")</f>
        <v>SE-000270377</v>
      </c>
      <c r="D3262" s="1" t="s">
        <v>0</v>
      </c>
      <c r="E3262" s="2">
        <v>0</v>
      </c>
      <c r="F3262" s="2">
        <v>0</v>
      </c>
      <c r="G3262" s="2">
        <v>0</v>
      </c>
      <c r="H3262" s="1" t="s">
        <v>0</v>
      </c>
      <c r="I3262" s="2">
        <v>0</v>
      </c>
      <c r="J3262" s="1">
        <v>45915.377523148149</v>
      </c>
    </row>
    <row r="3263" spans="1:10" x14ac:dyDescent="0.2">
      <c r="A3263" s="4" t="s">
        <v>1</v>
      </c>
      <c r="B3263" s="3" t="str">
        <f>HYPERLINK("https://otsuka-europe-crm.veevavault.com/ui/#object/approved_document__v/V5OZ025E82TFUPI", "Spain - HCP Survey Email - June 2025")</f>
        <v>Spain - HCP Survey Email - June 2025</v>
      </c>
      <c r="C3263" s="3" t="str">
        <f>HYPERLINK("https://otsuka-europe-crm.veevavault.com/ui/#object/sent_email__v/VBLZ025E82GN05K", "SE-000270378")</f>
        <v>SE-000270378</v>
      </c>
      <c r="D3263" s="1" t="s">
        <v>0</v>
      </c>
      <c r="E3263" s="2">
        <v>0</v>
      </c>
      <c r="F3263" s="2">
        <v>0</v>
      </c>
      <c r="G3263" s="2">
        <v>0</v>
      </c>
      <c r="H3263" s="1" t="s">
        <v>0</v>
      </c>
      <c r="I3263" s="2">
        <v>0</v>
      </c>
      <c r="J3263" s="1">
        <v>45915.379965277774</v>
      </c>
    </row>
    <row r="3264" spans="1:10" x14ac:dyDescent="0.2">
      <c r="A3264" s="4" t="s">
        <v>1</v>
      </c>
      <c r="B3264" s="3" t="str">
        <f>HYPERLINK("https://otsuka-europe-crm.veevavault.com/ui/#object/approved_document__v/V5OZ025E82TFUPI", "Spain - HCP Survey Email - June 2025")</f>
        <v>Spain - HCP Survey Email - June 2025</v>
      </c>
      <c r="C3264" s="3" t="str">
        <f>HYPERLINK("https://otsuka-europe-crm.veevavault.com/ui/#object/sent_email__v/VBLZ025E82GN05L", "SE-000270379")</f>
        <v>SE-000270379</v>
      </c>
      <c r="D3264" s="1">
        <v>45915.555509259262</v>
      </c>
      <c r="E3264" s="2">
        <v>1</v>
      </c>
      <c r="F3264" s="2">
        <v>1</v>
      </c>
      <c r="G3264" s="2">
        <v>0</v>
      </c>
      <c r="H3264" s="1" t="s">
        <v>0</v>
      </c>
      <c r="I3264" s="2">
        <v>0</v>
      </c>
      <c r="J3264" s="1">
        <v>45915.377627314818</v>
      </c>
    </row>
    <row r="3265" spans="1:10" x14ac:dyDescent="0.2">
      <c r="A3265" s="4" t="s">
        <v>1</v>
      </c>
      <c r="B3265" s="3" t="str">
        <f>HYPERLINK("https://otsuka-europe-crm.veevavault.com/ui/#object/approved_document__v/V5OZ025E82TFUPI", "Spain - HCP Survey Email - June 2025")</f>
        <v>Spain - HCP Survey Email - June 2025</v>
      </c>
      <c r="C3265" s="3" t="str">
        <f>HYPERLINK("https://otsuka-europe-crm.veevavault.com/ui/#object/sent_email__v/VBLZ025E82GN05M", "SE-000270380")</f>
        <v>SE-000270380</v>
      </c>
      <c r="D3265" s="1">
        <v>45915.379513888889</v>
      </c>
      <c r="E3265" s="2">
        <v>1</v>
      </c>
      <c r="F3265" s="2">
        <v>2</v>
      </c>
      <c r="G3265" s="2">
        <v>0</v>
      </c>
      <c r="H3265" s="1" t="s">
        <v>0</v>
      </c>
      <c r="I3265" s="2">
        <v>0</v>
      </c>
      <c r="J3265" s="1">
        <v>45915.377523148149</v>
      </c>
    </row>
    <row r="3266" spans="1:10" x14ac:dyDescent="0.2">
      <c r="A3266" s="4" t="s">
        <v>1</v>
      </c>
      <c r="B3266" s="3" t="str">
        <f>HYPERLINK("https://otsuka-europe-crm.veevavault.com/ui/#object/approved_document__v/V5OZ025E82TFUPI", "Spain - HCP Survey Email - June 2025")</f>
        <v>Spain - HCP Survey Email - June 2025</v>
      </c>
      <c r="C3266" s="3" t="str">
        <f>HYPERLINK("https://otsuka-europe-crm.veevavault.com/ui/#object/sent_email__v/VBLZ025E82GN05N", "SE-000270381")</f>
        <v>SE-000270381</v>
      </c>
      <c r="D3266" s="1">
        <v>45915.447997685187</v>
      </c>
      <c r="E3266" s="2">
        <v>1</v>
      </c>
      <c r="F3266" s="2">
        <v>1</v>
      </c>
      <c r="G3266" s="2">
        <v>0</v>
      </c>
      <c r="H3266" s="1" t="s">
        <v>0</v>
      </c>
      <c r="I3266" s="2">
        <v>0</v>
      </c>
      <c r="J3266" s="1">
        <v>45915.377916666665</v>
      </c>
    </row>
    <row r="3267" spans="1:10" x14ac:dyDescent="0.2">
      <c r="A3267" s="4" t="s">
        <v>1</v>
      </c>
      <c r="B3267" s="3" t="str">
        <f>HYPERLINK("https://otsuka-europe-crm.veevavault.com/ui/#object/approved_document__v/V5OZ025E82TFUPI", "Spain - HCP Survey Email - June 2025")</f>
        <v>Spain - HCP Survey Email - June 2025</v>
      </c>
      <c r="C3267" s="3" t="str">
        <f>HYPERLINK("https://otsuka-europe-crm.veevavault.com/ui/#object/sent_email__v/VBLZ025E82GN05O", "SE-000270382")</f>
        <v>SE-000270382</v>
      </c>
      <c r="D3267" s="1">
        <v>45923.507962962962</v>
      </c>
      <c r="E3267" s="2">
        <v>1</v>
      </c>
      <c r="F3267" s="2">
        <v>2</v>
      </c>
      <c r="G3267" s="2">
        <v>1</v>
      </c>
      <c r="H3267" s="1">
        <v>45923.508206018516</v>
      </c>
      <c r="I3267" s="2">
        <v>1</v>
      </c>
      <c r="J3267" s="1">
        <v>45915.378912037035</v>
      </c>
    </row>
    <row r="3268" spans="1:10" x14ac:dyDescent="0.2">
      <c r="A3268" s="4" t="s">
        <v>1</v>
      </c>
      <c r="B3268" s="3" t="str">
        <f>HYPERLINK("https://otsuka-europe-crm.veevavault.com/ui/#object/approved_document__v/V5OZ025E82TFUPI", "Spain - HCP Survey Email - June 2025")</f>
        <v>Spain - HCP Survey Email - June 2025</v>
      </c>
      <c r="C3268" s="3" t="str">
        <f>HYPERLINK("https://otsuka-europe-crm.veevavault.com/ui/#object/sent_email__v/VBLZ025E82GN05P", "SE-000270383")</f>
        <v>SE-000270383</v>
      </c>
      <c r="D3268" s="1">
        <v>45929.444432870368</v>
      </c>
      <c r="E3268" s="2">
        <v>1</v>
      </c>
      <c r="F3268" s="2">
        <v>1</v>
      </c>
      <c r="G3268" s="2">
        <v>0</v>
      </c>
      <c r="H3268" s="1" t="s">
        <v>0</v>
      </c>
      <c r="I3268" s="2">
        <v>0</v>
      </c>
      <c r="J3268" s="1">
        <v>45915.379814814813</v>
      </c>
    </row>
    <row r="3269" spans="1:10" x14ac:dyDescent="0.2">
      <c r="A3269" s="4" t="s">
        <v>1</v>
      </c>
      <c r="B3269" s="3" t="str">
        <f>HYPERLINK("https://otsuka-europe-crm.veevavault.com/ui/#object/approved_document__v/V5OZ025E82TFUPI", "Spain - HCP Survey Email - June 2025")</f>
        <v>Spain - HCP Survey Email - June 2025</v>
      </c>
      <c r="C3269" s="3" t="str">
        <f>HYPERLINK("https://otsuka-europe-crm.veevavault.com/ui/#object/sent_email__v/VBLZ025E82GN05Q", "SE-000270384")</f>
        <v>SE-000270384</v>
      </c>
      <c r="D3269" s="1" t="s">
        <v>0</v>
      </c>
      <c r="E3269" s="2">
        <v>0</v>
      </c>
      <c r="F3269" s="2">
        <v>0</v>
      </c>
      <c r="G3269" s="2">
        <v>0</v>
      </c>
      <c r="H3269" s="1" t="s">
        <v>0</v>
      </c>
      <c r="I3269" s="2">
        <v>0</v>
      </c>
      <c r="J3269" s="1">
        <v>45915.379444444443</v>
      </c>
    </row>
    <row r="3270" spans="1:10" x14ac:dyDescent="0.2">
      <c r="A3270" s="4" t="s">
        <v>1</v>
      </c>
      <c r="B3270" s="3" t="str">
        <f>HYPERLINK("https://otsuka-europe-crm.veevavault.com/ui/#object/approved_document__v/V5OZ025E82TFUPI", "Spain - HCP Survey Email - June 2025")</f>
        <v>Spain - HCP Survey Email - June 2025</v>
      </c>
      <c r="C3270" s="3" t="str">
        <f>HYPERLINK("https://otsuka-europe-crm.veevavault.com/ui/#object/sent_email__v/VBLZ025E82GN05R", "SE-000270385")</f>
        <v>SE-000270385</v>
      </c>
      <c r="D3270" s="1">
        <v>45920.365752314814</v>
      </c>
      <c r="E3270" s="2">
        <v>1</v>
      </c>
      <c r="F3270" s="2">
        <v>1</v>
      </c>
      <c r="G3270" s="2">
        <v>0</v>
      </c>
      <c r="H3270" s="1" t="s">
        <v>0</v>
      </c>
      <c r="I3270" s="2">
        <v>0</v>
      </c>
      <c r="J3270" s="1">
        <v>45915.377465277779</v>
      </c>
    </row>
    <row r="3271" spans="1:10" x14ac:dyDescent="0.2">
      <c r="A3271" s="4" t="s">
        <v>1</v>
      </c>
      <c r="B3271" s="3" t="str">
        <f>HYPERLINK("https://otsuka-europe-crm.veevavault.com/ui/#object/approved_document__v/V5OZ025E82TFUPI", "Spain - HCP Survey Email - June 2025")</f>
        <v>Spain - HCP Survey Email - June 2025</v>
      </c>
      <c r="C3271" s="3" t="str">
        <f>HYPERLINK("https://otsuka-europe-crm.veevavault.com/ui/#object/sent_email__v/VBLZ025E82GN05S", "SE-000270386")</f>
        <v>SE-000270386</v>
      </c>
      <c r="D3271" s="1" t="s">
        <v>0</v>
      </c>
      <c r="E3271" s="2">
        <v>0</v>
      </c>
      <c r="F3271" s="2">
        <v>0</v>
      </c>
      <c r="G3271" s="2">
        <v>0</v>
      </c>
      <c r="H3271" s="1" t="s">
        <v>0</v>
      </c>
      <c r="I3271" s="2">
        <v>0</v>
      </c>
      <c r="J3271" s="1">
        <v>45915.378472222219</v>
      </c>
    </row>
    <row r="3272" spans="1:10" x14ac:dyDescent="0.2">
      <c r="A3272" s="4" t="s">
        <v>1</v>
      </c>
      <c r="B3272" s="3" t="str">
        <f>HYPERLINK("https://otsuka-europe-crm.veevavault.com/ui/#object/approved_document__v/V5OZ025E82TFUPI", "Spain - HCP Survey Email - June 2025")</f>
        <v>Spain - HCP Survey Email - June 2025</v>
      </c>
      <c r="C3272" s="3" t="str">
        <f>HYPERLINK("https://otsuka-europe-crm.veevavault.com/ui/#object/sent_email__v/VBLZ025E82GN05T", "SE-000270387")</f>
        <v>SE-000270387</v>
      </c>
      <c r="D3272" s="1" t="s">
        <v>0</v>
      </c>
      <c r="E3272" s="2">
        <v>0</v>
      </c>
      <c r="F3272" s="2">
        <v>0</v>
      </c>
      <c r="G3272" s="2">
        <v>0</v>
      </c>
      <c r="H3272" s="1" t="s">
        <v>0</v>
      </c>
      <c r="I3272" s="2">
        <v>0</v>
      </c>
      <c r="J3272" s="1">
        <v>45915.378113425926</v>
      </c>
    </row>
    <row r="3273" spans="1:10" x14ac:dyDescent="0.2">
      <c r="A3273" s="4" t="s">
        <v>1</v>
      </c>
      <c r="B3273" s="3" t="str">
        <f>HYPERLINK("https://otsuka-europe-crm.veevavault.com/ui/#object/approved_document__v/V5OZ025E82TFUPI", "Spain - HCP Survey Email - June 2025")</f>
        <v>Spain - HCP Survey Email - June 2025</v>
      </c>
      <c r="C3273" s="3" t="str">
        <f>HYPERLINK("https://otsuka-europe-crm.veevavault.com/ui/#object/sent_email__v/VBLZ025E82GN05U", "SE-000270388")</f>
        <v>SE-000270388</v>
      </c>
      <c r="D3273" s="1" t="s">
        <v>0</v>
      </c>
      <c r="E3273" s="2">
        <v>0</v>
      </c>
      <c r="F3273" s="2">
        <v>0</v>
      </c>
      <c r="G3273" s="2">
        <v>0</v>
      </c>
      <c r="H3273" s="1" t="s">
        <v>0</v>
      </c>
      <c r="I3273" s="2">
        <v>0</v>
      </c>
      <c r="J3273" s="1">
        <v>45915.379467592589</v>
      </c>
    </row>
    <row r="3274" spans="1:10" x14ac:dyDescent="0.2">
      <c r="A3274" s="4" t="s">
        <v>1</v>
      </c>
      <c r="B3274" s="3" t="str">
        <f>HYPERLINK("https://otsuka-europe-crm.veevavault.com/ui/#object/approved_document__v/V5OZ025E82TFUPI", "Spain - HCP Survey Email - June 2025")</f>
        <v>Spain - HCP Survey Email - June 2025</v>
      </c>
      <c r="C3274" s="3" t="str">
        <f>HYPERLINK("https://otsuka-europe-crm.veevavault.com/ui/#object/sent_email__v/VBLZ025E82GN05V", "SE-000270389")</f>
        <v>SE-000270389</v>
      </c>
      <c r="D3274" s="1" t="s">
        <v>0</v>
      </c>
      <c r="E3274" s="2">
        <v>0</v>
      </c>
      <c r="F3274" s="2">
        <v>0</v>
      </c>
      <c r="G3274" s="2">
        <v>0</v>
      </c>
      <c r="H3274" s="1" t="s">
        <v>0</v>
      </c>
      <c r="I3274" s="2">
        <v>0</v>
      </c>
      <c r="J3274" s="1">
        <v>45915.377453703702</v>
      </c>
    </row>
    <row r="3275" spans="1:10" x14ac:dyDescent="0.2">
      <c r="A3275" s="4" t="s">
        <v>1</v>
      </c>
      <c r="B3275" s="3" t="str">
        <f>HYPERLINK("https://otsuka-europe-crm.veevavault.com/ui/#object/approved_document__v/V5OZ025E82TFUPI", "Spain - HCP Survey Email - June 2025")</f>
        <v>Spain - HCP Survey Email - June 2025</v>
      </c>
      <c r="C3275" s="3" t="str">
        <f>HYPERLINK("https://otsuka-europe-crm.veevavault.com/ui/#object/sent_email__v/VBLZ025E82GN05W", "SE-000270390")</f>
        <v>SE-000270390</v>
      </c>
      <c r="D3275" s="1">
        <v>45915.425613425927</v>
      </c>
      <c r="E3275" s="2">
        <v>1</v>
      </c>
      <c r="F3275" s="2">
        <v>1</v>
      </c>
      <c r="G3275" s="2">
        <v>0</v>
      </c>
      <c r="H3275" s="1" t="s">
        <v>0</v>
      </c>
      <c r="I3275" s="2">
        <v>0</v>
      </c>
      <c r="J3275" s="1">
        <v>45915.378564814811</v>
      </c>
    </row>
    <row r="3276" spans="1:10" x14ac:dyDescent="0.2">
      <c r="A3276" s="4" t="s">
        <v>1</v>
      </c>
      <c r="B3276" s="3" t="str">
        <f>HYPERLINK("https://otsuka-europe-crm.veevavault.com/ui/#object/approved_document__v/V5OZ025E82TFUPI", "Spain - HCP Survey Email - June 2025")</f>
        <v>Spain - HCP Survey Email - June 2025</v>
      </c>
      <c r="C3276" s="3" t="str">
        <f>HYPERLINK("https://otsuka-europe-crm.veevavault.com/ui/#object/sent_email__v/VBLZ025E82GN05X", "SE-000270391")</f>
        <v>SE-000270391</v>
      </c>
      <c r="D3276" s="1">
        <v>45915.584965277776</v>
      </c>
      <c r="E3276" s="2">
        <v>1</v>
      </c>
      <c r="F3276" s="2">
        <v>1</v>
      </c>
      <c r="G3276" s="2">
        <v>0</v>
      </c>
      <c r="H3276" s="1" t="s">
        <v>0</v>
      </c>
      <c r="I3276" s="2">
        <v>0</v>
      </c>
      <c r="J3276" s="1">
        <v>45915.378171296295</v>
      </c>
    </row>
    <row r="3277" spans="1:10" x14ac:dyDescent="0.2">
      <c r="A3277" s="4" t="s">
        <v>1</v>
      </c>
      <c r="B3277" s="3" t="str">
        <f>HYPERLINK("https://otsuka-europe-crm.veevavault.com/ui/#object/approved_document__v/V5OZ025E82TFUPI", "Spain - HCP Survey Email - June 2025")</f>
        <v>Spain - HCP Survey Email - June 2025</v>
      </c>
      <c r="C3277" s="3" t="str">
        <f>HYPERLINK("https://otsuka-europe-crm.veevavault.com/ui/#object/sent_email__v/VBLZ025E82GN05Y", "SE-000270392")</f>
        <v>SE-000270392</v>
      </c>
      <c r="D3277" s="1" t="s">
        <v>0</v>
      </c>
      <c r="E3277" s="2">
        <v>0</v>
      </c>
      <c r="F3277" s="2">
        <v>0</v>
      </c>
      <c r="G3277" s="2">
        <v>0</v>
      </c>
      <c r="H3277" s="1" t="s">
        <v>0</v>
      </c>
      <c r="I3277" s="2">
        <v>0</v>
      </c>
      <c r="J3277" s="1">
        <v>45915.378587962965</v>
      </c>
    </row>
    <row r="3278" spans="1:10" x14ac:dyDescent="0.2">
      <c r="A3278" s="4" t="s">
        <v>1</v>
      </c>
      <c r="B3278" s="3" t="str">
        <f>HYPERLINK("https://otsuka-europe-crm.veevavault.com/ui/#object/approved_document__v/V5OZ025E82TFUPI", "Spain - HCP Survey Email - June 2025")</f>
        <v>Spain - HCP Survey Email - June 2025</v>
      </c>
      <c r="C3278" s="3" t="str">
        <f>HYPERLINK("https://otsuka-europe-crm.veevavault.com/ui/#object/sent_email__v/VBLZ025E82GN05Z", "SE-000270393")</f>
        <v>SE-000270393</v>
      </c>
      <c r="D3278" s="1" t="s">
        <v>0</v>
      </c>
      <c r="E3278" s="2">
        <v>0</v>
      </c>
      <c r="F3278" s="2">
        <v>0</v>
      </c>
      <c r="G3278" s="2">
        <v>0</v>
      </c>
      <c r="H3278" s="1" t="s">
        <v>0</v>
      </c>
      <c r="I3278" s="2">
        <v>0</v>
      </c>
      <c r="J3278" s="1">
        <v>45915.379965277774</v>
      </c>
    </row>
    <row r="3279" spans="1:10" x14ac:dyDescent="0.2">
      <c r="A3279" s="4" t="s">
        <v>1</v>
      </c>
      <c r="B3279" s="3" t="str">
        <f>HYPERLINK("https://otsuka-europe-crm.veevavault.com/ui/#object/approved_document__v/V5OZ025E82TFUPI", "Spain - HCP Survey Email - June 2025")</f>
        <v>Spain - HCP Survey Email - June 2025</v>
      </c>
      <c r="C3279" s="3" t="str">
        <f>HYPERLINK("https://otsuka-europe-crm.veevavault.com/ui/#object/sent_email__v/VBLZ025E82GN060", "SE-000270394")</f>
        <v>SE-000270394</v>
      </c>
      <c r="D3279" s="1">
        <v>45915.461273148147</v>
      </c>
      <c r="E3279" s="2">
        <v>1</v>
      </c>
      <c r="F3279" s="2">
        <v>2</v>
      </c>
      <c r="G3279" s="2">
        <v>1</v>
      </c>
      <c r="H3279" s="1">
        <v>45915.461446759262</v>
      </c>
      <c r="I3279" s="2">
        <v>2</v>
      </c>
      <c r="J3279" s="1">
        <v>45915.377696759257</v>
      </c>
    </row>
    <row r="3280" spans="1:10" x14ac:dyDescent="0.2">
      <c r="A3280" s="4" t="s">
        <v>1</v>
      </c>
      <c r="B3280" s="3" t="str">
        <f>HYPERLINK("https://otsuka-europe-crm.veevavault.com/ui/#object/approved_document__v/V5OZ025E82TFUPI", "Spain - HCP Survey Email - June 2025")</f>
        <v>Spain - HCP Survey Email - June 2025</v>
      </c>
      <c r="C3280" s="3" t="str">
        <f>HYPERLINK("https://otsuka-europe-crm.veevavault.com/ui/#object/sent_email__v/VBLZ025E82GN061", "SE-000270395")</f>
        <v>SE-000270395</v>
      </c>
      <c r="D3280" s="1">
        <v>45916.549629629626</v>
      </c>
      <c r="E3280" s="2">
        <v>1</v>
      </c>
      <c r="F3280" s="2">
        <v>1</v>
      </c>
      <c r="G3280" s="2">
        <v>0</v>
      </c>
      <c r="H3280" s="1" t="s">
        <v>0</v>
      </c>
      <c r="I3280" s="2">
        <v>0</v>
      </c>
      <c r="J3280" s="1">
        <v>45915.377569444441</v>
      </c>
    </row>
    <row r="3281" spans="1:10" x14ac:dyDescent="0.2">
      <c r="A3281" s="4" t="s">
        <v>1</v>
      </c>
      <c r="B3281" s="3" t="str">
        <f>HYPERLINK("https://otsuka-europe-crm.veevavault.com/ui/#object/approved_document__v/V5OZ025E82TFUPI", "Spain - HCP Survey Email - June 2025")</f>
        <v>Spain - HCP Survey Email - June 2025</v>
      </c>
      <c r="C3281" s="3" t="str">
        <f>HYPERLINK("https://otsuka-europe-crm.veevavault.com/ui/#object/sent_email__v/VBLZ025E82GN062", "SE-000270396")</f>
        <v>SE-000270396</v>
      </c>
      <c r="D3281" s="1" t="s">
        <v>0</v>
      </c>
      <c r="E3281" s="2">
        <v>0</v>
      </c>
      <c r="F3281" s="2">
        <v>0</v>
      </c>
      <c r="G3281" s="2">
        <v>0</v>
      </c>
      <c r="H3281" s="1" t="s">
        <v>0</v>
      </c>
      <c r="I3281" s="2">
        <v>0</v>
      </c>
      <c r="J3281" s="1">
        <v>45915.378020833334</v>
      </c>
    </row>
    <row r="3282" spans="1:10" x14ac:dyDescent="0.2">
      <c r="A3282" s="4" t="s">
        <v>1</v>
      </c>
      <c r="B3282" s="3" t="str">
        <f>HYPERLINK("https://otsuka-europe-crm.veevavault.com/ui/#object/approved_document__v/V5OZ025E82TFUPI", "Spain - HCP Survey Email - June 2025")</f>
        <v>Spain - HCP Survey Email - June 2025</v>
      </c>
      <c r="C3282" s="3" t="str">
        <f>HYPERLINK("https://otsuka-europe-crm.veevavault.com/ui/#object/sent_email__v/VBLZ025E82GN063", "SE-000270397")</f>
        <v>SE-000270397</v>
      </c>
      <c r="D3282" s="1" t="s">
        <v>0</v>
      </c>
      <c r="E3282" s="2">
        <v>0</v>
      </c>
      <c r="F3282" s="2">
        <v>0</v>
      </c>
      <c r="G3282" s="2">
        <v>0</v>
      </c>
      <c r="H3282" s="1" t="s">
        <v>0</v>
      </c>
      <c r="I3282" s="2">
        <v>0</v>
      </c>
      <c r="J3282" s="1">
        <v>45915.379074074073</v>
      </c>
    </row>
    <row r="3283" spans="1:10" x14ac:dyDescent="0.2">
      <c r="A3283" s="4" t="s">
        <v>1</v>
      </c>
      <c r="B3283" s="3" t="str">
        <f>HYPERLINK("https://otsuka-europe-crm.veevavault.com/ui/#object/approved_document__v/V5OZ025E82TFUPI", "Spain - HCP Survey Email - June 2025")</f>
        <v>Spain - HCP Survey Email - June 2025</v>
      </c>
      <c r="C3283" s="3" t="str">
        <f>HYPERLINK("https://otsuka-europe-crm.veevavault.com/ui/#object/sent_email__v/VBLZ025E82GN064", "SE-000270398")</f>
        <v>SE-000270398</v>
      </c>
      <c r="D3283" s="1">
        <v>45915.974108796298</v>
      </c>
      <c r="E3283" s="2">
        <v>1</v>
      </c>
      <c r="F3283" s="2">
        <v>3</v>
      </c>
      <c r="G3283" s="2">
        <v>0</v>
      </c>
      <c r="H3283" s="1" t="s">
        <v>0</v>
      </c>
      <c r="I3283" s="2">
        <v>0</v>
      </c>
      <c r="J3283" s="1">
        <v>45915.379710648151</v>
      </c>
    </row>
    <row r="3284" spans="1:10" x14ac:dyDescent="0.2">
      <c r="A3284" s="4" t="s">
        <v>1</v>
      </c>
      <c r="B3284" s="3" t="str">
        <f>HYPERLINK("https://otsuka-europe-crm.veevavault.com/ui/#object/approved_document__v/V5OZ025E82TFUPI", "Spain - HCP Survey Email - June 2025")</f>
        <v>Spain - HCP Survey Email - June 2025</v>
      </c>
      <c r="C3284" s="3" t="str">
        <f>HYPERLINK("https://otsuka-europe-crm.veevavault.com/ui/#object/sent_email__v/VBLZ025E82GN065", "SE-000270399")</f>
        <v>SE-000270399</v>
      </c>
      <c r="D3284" s="1">
        <v>46010.578796296293</v>
      </c>
      <c r="E3284" s="2">
        <v>1</v>
      </c>
      <c r="F3284" s="2">
        <v>2</v>
      </c>
      <c r="G3284" s="2">
        <v>0</v>
      </c>
      <c r="H3284" s="1" t="s">
        <v>0</v>
      </c>
      <c r="I3284" s="2">
        <v>0</v>
      </c>
      <c r="J3284" s="1">
        <v>45915.37939814815</v>
      </c>
    </row>
    <row r="3285" spans="1:10" x14ac:dyDescent="0.2">
      <c r="A3285" s="4" t="s">
        <v>1</v>
      </c>
      <c r="B3285" s="3" t="str">
        <f>HYPERLINK("https://otsuka-europe-crm.veevavault.com/ui/#object/approved_document__v/V5OZ025E82TFUPI", "Spain - HCP Survey Email - June 2025")</f>
        <v>Spain - HCP Survey Email - June 2025</v>
      </c>
      <c r="C3285" s="3" t="str">
        <f>HYPERLINK("https://otsuka-europe-crm.veevavault.com/ui/#object/sent_email__v/VBLZ025E82GN066", "SE-000270400")</f>
        <v>SE-000270400</v>
      </c>
      <c r="D3285" s="1">
        <v>45917.761203703703</v>
      </c>
      <c r="E3285" s="2">
        <v>1</v>
      </c>
      <c r="F3285" s="2">
        <v>5</v>
      </c>
      <c r="G3285" s="2">
        <v>0</v>
      </c>
      <c r="H3285" s="1" t="s">
        <v>0</v>
      </c>
      <c r="I3285" s="2">
        <v>0</v>
      </c>
      <c r="J3285" s="1">
        <v>45915.377476851849</v>
      </c>
    </row>
    <row r="3286" spans="1:10" x14ac:dyDescent="0.2">
      <c r="A3286" s="4" t="s">
        <v>1</v>
      </c>
      <c r="B3286" s="3" t="str">
        <f>HYPERLINK("https://otsuka-europe-crm.veevavault.com/ui/#object/approved_document__v/V5OZ025E82TFUPI", "Spain - HCP Survey Email - June 2025")</f>
        <v>Spain - HCP Survey Email - June 2025</v>
      </c>
      <c r="C3286" s="3" t="str">
        <f>HYPERLINK("https://otsuka-europe-crm.veevavault.com/ui/#object/sent_email__v/VBLZ025E82GN067", "SE-000270401")</f>
        <v>SE-000270401</v>
      </c>
      <c r="D3286" s="1" t="s">
        <v>0</v>
      </c>
      <c r="E3286" s="2">
        <v>0</v>
      </c>
      <c r="F3286" s="2">
        <v>0</v>
      </c>
      <c r="G3286" s="2">
        <v>0</v>
      </c>
      <c r="H3286" s="1" t="s">
        <v>0</v>
      </c>
      <c r="I3286" s="2">
        <v>0</v>
      </c>
      <c r="J3286" s="1">
        <v>45915.378449074073</v>
      </c>
    </row>
    <row r="3287" spans="1:10" x14ac:dyDescent="0.2">
      <c r="A3287" s="4" t="s">
        <v>1</v>
      </c>
      <c r="B3287" s="3" t="str">
        <f>HYPERLINK("https://otsuka-europe-crm.veevavault.com/ui/#object/approved_document__v/V5OZ025E82TFUPI", "Spain - HCP Survey Email - June 2025")</f>
        <v>Spain - HCP Survey Email - June 2025</v>
      </c>
      <c r="C3287" s="3" t="str">
        <f>HYPERLINK("https://otsuka-europe-crm.veevavault.com/ui/#object/sent_email__v/VBLZ025E82GN068", "SE-000270402")</f>
        <v>SE-000270402</v>
      </c>
      <c r="D3287" s="1">
        <v>45959.689953703702</v>
      </c>
      <c r="E3287" s="2">
        <v>1</v>
      </c>
      <c r="F3287" s="2">
        <v>3</v>
      </c>
      <c r="G3287" s="2">
        <v>0</v>
      </c>
      <c r="H3287" s="1" t="s">
        <v>0</v>
      </c>
      <c r="I3287" s="2">
        <v>0</v>
      </c>
      <c r="J3287" s="1">
        <v>45915.378136574072</v>
      </c>
    </row>
    <row r="3288" spans="1:10" x14ac:dyDescent="0.2">
      <c r="A3288" s="4" t="s">
        <v>1</v>
      </c>
      <c r="B3288" s="3" t="str">
        <f>HYPERLINK("https://otsuka-europe-crm.veevavault.com/ui/#object/approved_document__v/V5OZ025E82TFUPI", "Spain - HCP Survey Email - June 2025")</f>
        <v>Spain - HCP Survey Email - June 2025</v>
      </c>
      <c r="C3288" s="3" t="str">
        <f>HYPERLINK("https://otsuka-europe-crm.veevavault.com/ui/#object/sent_email__v/VBLZ025E82GN069", "SE-000270403")</f>
        <v>SE-000270403</v>
      </c>
      <c r="D3288" s="1">
        <v>45916.01666666667</v>
      </c>
      <c r="E3288" s="2">
        <v>1</v>
      </c>
      <c r="F3288" s="2">
        <v>3</v>
      </c>
      <c r="G3288" s="2">
        <v>0</v>
      </c>
      <c r="H3288" s="1" t="s">
        <v>0</v>
      </c>
      <c r="I3288" s="2">
        <v>0</v>
      </c>
      <c r="J3288" s="1">
        <v>45915.378518518519</v>
      </c>
    </row>
    <row r="3289" spans="1:10" x14ac:dyDescent="0.2">
      <c r="A3289" s="4" t="s">
        <v>1</v>
      </c>
      <c r="B3289" s="3" t="str">
        <f>HYPERLINK("https://otsuka-europe-crm.veevavault.com/ui/#object/approved_document__v/V5OZ025E82TFUPI", "Spain - HCP Survey Email - June 2025")</f>
        <v>Spain - HCP Survey Email - June 2025</v>
      </c>
      <c r="C3289" s="3" t="str">
        <f>HYPERLINK("https://otsuka-europe-crm.veevavault.com/ui/#object/sent_email__v/VBLZ025E82GN06A", "SE-000270404")</f>
        <v>SE-000270404</v>
      </c>
      <c r="D3289" s="1">
        <v>45915.698379629626</v>
      </c>
      <c r="E3289" s="2">
        <v>1</v>
      </c>
      <c r="F3289" s="2">
        <v>1</v>
      </c>
      <c r="G3289" s="2">
        <v>0</v>
      </c>
      <c r="H3289" s="1" t="s">
        <v>0</v>
      </c>
      <c r="I3289" s="2">
        <v>0</v>
      </c>
      <c r="J3289" s="1">
        <v>45915.379803240743</v>
      </c>
    </row>
    <row r="3290" spans="1:10" x14ac:dyDescent="0.2">
      <c r="A3290" s="4" t="s">
        <v>1</v>
      </c>
      <c r="B3290" s="3" t="str">
        <f>HYPERLINK("https://otsuka-europe-crm.veevavault.com/ui/#object/approved_document__v/V5OZ025E82TFUPI", "Spain - HCP Survey Email - June 2025")</f>
        <v>Spain - HCP Survey Email - June 2025</v>
      </c>
      <c r="C3290" s="3" t="str">
        <f>HYPERLINK("https://otsuka-europe-crm.veevavault.com/ui/#object/sent_email__v/VBLZ025E82GN06B", "SE-000270405")</f>
        <v>SE-000270405</v>
      </c>
      <c r="D3290" s="1" t="s">
        <v>0</v>
      </c>
      <c r="E3290" s="2">
        <v>0</v>
      </c>
      <c r="F3290" s="2">
        <v>0</v>
      </c>
      <c r="G3290" s="2">
        <v>0</v>
      </c>
      <c r="H3290" s="1" t="s">
        <v>0</v>
      </c>
      <c r="I3290" s="2">
        <v>0</v>
      </c>
      <c r="J3290" s="1">
        <v>45915.377696759257</v>
      </c>
    </row>
    <row r="3291" spans="1:10" x14ac:dyDescent="0.2">
      <c r="A3291" s="4" t="s">
        <v>1</v>
      </c>
      <c r="B3291" s="3" t="str">
        <f>HYPERLINK("https://otsuka-europe-crm.veevavault.com/ui/#object/approved_document__v/V5OZ025E82TFUPI", "Spain - HCP Survey Email - June 2025")</f>
        <v>Spain - HCP Survey Email - June 2025</v>
      </c>
      <c r="C3291" s="3" t="str">
        <f>HYPERLINK("https://otsuka-europe-crm.veevavault.com/ui/#object/sent_email__v/VBLZ025E82GN06C", "SE-000270406")</f>
        <v>SE-000270406</v>
      </c>
      <c r="D3291" s="1">
        <v>45915.536481481482</v>
      </c>
      <c r="E3291" s="2">
        <v>1</v>
      </c>
      <c r="F3291" s="2">
        <v>1</v>
      </c>
      <c r="G3291" s="2">
        <v>0</v>
      </c>
      <c r="H3291" s="1" t="s">
        <v>0</v>
      </c>
      <c r="I3291" s="2">
        <v>0</v>
      </c>
      <c r="J3291" s="1">
        <v>45915.377581018518</v>
      </c>
    </row>
    <row r="3292" spans="1:10" x14ac:dyDescent="0.2">
      <c r="A3292" s="4" t="s">
        <v>1</v>
      </c>
      <c r="B3292" s="3" t="str">
        <f>HYPERLINK("https://otsuka-europe-crm.veevavault.com/ui/#object/approved_document__v/V5OZ025E82TFUPI", "Spain - HCP Survey Email - June 2025")</f>
        <v>Spain - HCP Survey Email - June 2025</v>
      </c>
      <c r="C3292" s="3" t="str">
        <f>HYPERLINK("https://otsuka-europe-crm.veevavault.com/ui/#object/sent_email__v/VBLZ025E82GN06D", "SE-000270407")</f>
        <v>SE-000270407</v>
      </c>
      <c r="D3292" s="1">
        <v>45915.397314814814</v>
      </c>
      <c r="E3292" s="2">
        <v>1</v>
      </c>
      <c r="F3292" s="2">
        <v>1</v>
      </c>
      <c r="G3292" s="2">
        <v>1</v>
      </c>
      <c r="H3292" s="1">
        <v>45915.397592592592</v>
      </c>
      <c r="I3292" s="2">
        <v>2</v>
      </c>
      <c r="J3292" s="1">
        <v>45915.377997685187</v>
      </c>
    </row>
    <row r="3293" spans="1:10" x14ac:dyDescent="0.2">
      <c r="A3293" s="4" t="s">
        <v>1</v>
      </c>
      <c r="B3293" s="3" t="str">
        <f>HYPERLINK("https://otsuka-europe-crm.veevavault.com/ui/#object/approved_document__v/V5OZ025E82TFUPI", "Spain - HCP Survey Email - June 2025")</f>
        <v>Spain - HCP Survey Email - June 2025</v>
      </c>
      <c r="C3293" s="3" t="str">
        <f>HYPERLINK("https://otsuka-europe-crm.veevavault.com/ui/#object/sent_email__v/VBLZ025E82GN06E", "SE-000270408")</f>
        <v>SE-000270408</v>
      </c>
      <c r="D3293" s="1">
        <v>45915.398587962962</v>
      </c>
      <c r="E3293" s="2">
        <v>1</v>
      </c>
      <c r="F3293" s="2">
        <v>1</v>
      </c>
      <c r="G3293" s="2">
        <v>0</v>
      </c>
      <c r="H3293" s="1" t="s">
        <v>0</v>
      </c>
      <c r="I3293" s="2">
        <v>0</v>
      </c>
      <c r="J3293" s="1">
        <v>45915.379108796296</v>
      </c>
    </row>
    <row r="3294" spans="1:10" x14ac:dyDescent="0.2">
      <c r="A3294" s="4" t="s">
        <v>1</v>
      </c>
      <c r="B3294" s="3" t="str">
        <f>HYPERLINK("https://otsuka-europe-crm.veevavault.com/ui/#object/approved_document__v/V5OZ025E82TFUPI", "Spain - HCP Survey Email - June 2025")</f>
        <v>Spain - HCP Survey Email - June 2025</v>
      </c>
      <c r="C3294" s="3" t="str">
        <f>HYPERLINK("https://otsuka-europe-crm.veevavault.com/ui/#object/sent_email__v/VBLZ025E82GN06F", "SE-000270409")</f>
        <v>SE-000270409</v>
      </c>
      <c r="D3294" s="1" t="s">
        <v>0</v>
      </c>
      <c r="E3294" s="2">
        <v>0</v>
      </c>
      <c r="F3294" s="2">
        <v>0</v>
      </c>
      <c r="G3294" s="2">
        <v>0</v>
      </c>
      <c r="H3294" s="1" t="s">
        <v>0</v>
      </c>
      <c r="I3294" s="2">
        <v>0</v>
      </c>
      <c r="J3294" s="1">
        <v>45915.37976851852</v>
      </c>
    </row>
    <row r="3295" spans="1:10" x14ac:dyDescent="0.2">
      <c r="A3295" s="4" t="s">
        <v>1</v>
      </c>
      <c r="B3295" s="3" t="str">
        <f>HYPERLINK("https://otsuka-europe-crm.veevavault.com/ui/#object/approved_document__v/V5OZ025E82TFUPI", "Spain - HCP Survey Email - June 2025")</f>
        <v>Spain - HCP Survey Email - June 2025</v>
      </c>
      <c r="C3295" s="3" t="str">
        <f>HYPERLINK("https://otsuka-europe-crm.veevavault.com/ui/#object/sent_email__v/VBLZ025E82GN06G", "SE-000270410")</f>
        <v>SE-000270410</v>
      </c>
      <c r="D3295" s="1">
        <v>45915.426759259259</v>
      </c>
      <c r="E3295" s="2">
        <v>1</v>
      </c>
      <c r="F3295" s="2">
        <v>1</v>
      </c>
      <c r="G3295" s="2">
        <v>0</v>
      </c>
      <c r="H3295" s="1" t="s">
        <v>0</v>
      </c>
      <c r="I3295" s="2">
        <v>0</v>
      </c>
      <c r="J3295" s="1">
        <v>45915.37945601852</v>
      </c>
    </row>
    <row r="3296" spans="1:10" x14ac:dyDescent="0.2">
      <c r="A3296" s="4" t="s">
        <v>1</v>
      </c>
      <c r="B3296" s="3" t="str">
        <f>HYPERLINK("https://otsuka-europe-crm.veevavault.com/ui/#object/approved_document__v/V5OZ025E82TFUPI", "Spain - HCP Survey Email - June 2025")</f>
        <v>Spain - HCP Survey Email - June 2025</v>
      </c>
      <c r="C3296" s="3" t="str">
        <f>HYPERLINK("https://otsuka-europe-crm.veevavault.com/ui/#object/sent_email__v/VBLZ025E82GN06H", "SE-000270411")</f>
        <v>SE-000270411</v>
      </c>
      <c r="D3296" s="1" t="s">
        <v>0</v>
      </c>
      <c r="E3296" s="2">
        <v>0</v>
      </c>
      <c r="F3296" s="2">
        <v>0</v>
      </c>
      <c r="G3296" s="2">
        <v>0</v>
      </c>
      <c r="H3296" s="1" t="s">
        <v>0</v>
      </c>
      <c r="I3296" s="2">
        <v>0</v>
      </c>
      <c r="J3296" s="1">
        <v>45915.377476851849</v>
      </c>
    </row>
    <row r="3297" spans="1:10" x14ac:dyDescent="0.2">
      <c r="A3297" s="4" t="s">
        <v>1</v>
      </c>
      <c r="B3297" s="3" t="str">
        <f>HYPERLINK("https://otsuka-europe-crm.veevavault.com/ui/#object/approved_document__v/V5OZ025E82TFUPI", "Spain - HCP Survey Email - June 2025")</f>
        <v>Spain - HCP Survey Email - June 2025</v>
      </c>
      <c r="C3297" s="3" t="str">
        <f>HYPERLINK("https://otsuka-europe-crm.veevavault.com/ui/#object/sent_email__v/VBLZ025E82GN06I", "SE-000270412")</f>
        <v>SE-000270412</v>
      </c>
      <c r="D3297" s="1">
        <v>45915.544178240743</v>
      </c>
      <c r="E3297" s="2">
        <v>1</v>
      </c>
      <c r="F3297" s="2">
        <v>2</v>
      </c>
      <c r="G3297" s="2">
        <v>0</v>
      </c>
      <c r="H3297" s="1" t="s">
        <v>0</v>
      </c>
      <c r="I3297" s="2">
        <v>0</v>
      </c>
      <c r="J3297" s="1">
        <v>45915.378483796296</v>
      </c>
    </row>
    <row r="3298" spans="1:10" x14ac:dyDescent="0.2">
      <c r="A3298" s="4" t="s">
        <v>1</v>
      </c>
      <c r="B3298" s="3" t="str">
        <f>HYPERLINK("https://otsuka-europe-crm.veevavault.com/ui/#object/approved_document__v/V5OZ025E82TFUPI", "Spain - HCP Survey Email - June 2025")</f>
        <v>Spain - HCP Survey Email - June 2025</v>
      </c>
      <c r="C3298" s="3" t="str">
        <f>HYPERLINK("https://otsuka-europe-crm.veevavault.com/ui/#object/sent_email__v/VBLZ025E82GN06J", "SE-000270413")</f>
        <v>SE-000270413</v>
      </c>
      <c r="D3298" s="1" t="s">
        <v>0</v>
      </c>
      <c r="E3298" s="2">
        <v>0</v>
      </c>
      <c r="F3298" s="2">
        <v>0</v>
      </c>
      <c r="G3298" s="2">
        <v>0</v>
      </c>
      <c r="H3298" s="1" t="s">
        <v>0</v>
      </c>
      <c r="I3298" s="2">
        <v>0</v>
      </c>
      <c r="J3298" s="1">
        <v>45915.378055555557</v>
      </c>
    </row>
    <row r="3299" spans="1:10" x14ac:dyDescent="0.2">
      <c r="A3299" s="4" t="s">
        <v>1</v>
      </c>
      <c r="B3299" s="3" t="str">
        <f>HYPERLINK("https://otsuka-europe-crm.veevavault.com/ui/#object/approved_document__v/V5OZ025E82TFUPI", "Spain - HCP Survey Email - June 2025")</f>
        <v>Spain - HCP Survey Email - June 2025</v>
      </c>
      <c r="C3299" s="3" t="str">
        <f>HYPERLINK("https://otsuka-europe-crm.veevavault.com/ui/#object/sent_email__v/VBLZ025E82GN06K", "SE-000270414")</f>
        <v>SE-000270414</v>
      </c>
      <c r="D3299" s="1" t="s">
        <v>0</v>
      </c>
      <c r="E3299" s="2">
        <v>0</v>
      </c>
      <c r="F3299" s="2">
        <v>0</v>
      </c>
      <c r="G3299" s="2">
        <v>0</v>
      </c>
      <c r="H3299" s="1" t="s">
        <v>0</v>
      </c>
      <c r="I3299" s="2">
        <v>0</v>
      </c>
      <c r="J3299" s="1">
        <v>45915.379687499997</v>
      </c>
    </row>
    <row r="3300" spans="1:10" x14ac:dyDescent="0.2">
      <c r="A3300" s="4" t="s">
        <v>1</v>
      </c>
      <c r="B3300" s="3" t="str">
        <f>HYPERLINK("https://otsuka-europe-crm.veevavault.com/ui/#object/approved_document__v/V5OZ025E82TFUPI", "Spain - HCP Survey Email - June 2025")</f>
        <v>Spain - HCP Survey Email - June 2025</v>
      </c>
      <c r="C3300" s="3" t="str">
        <f>HYPERLINK("https://otsuka-europe-crm.veevavault.com/ui/#object/sent_email__v/VBLZ025E82GN06M", "SE-000270416")</f>
        <v>SE-000270416</v>
      </c>
      <c r="D3300" s="1" t="s">
        <v>0</v>
      </c>
      <c r="E3300" s="2">
        <v>0</v>
      </c>
      <c r="F3300" s="2">
        <v>0</v>
      </c>
      <c r="G3300" s="2">
        <v>0</v>
      </c>
      <c r="H3300" s="1" t="s">
        <v>0</v>
      </c>
      <c r="I3300" s="2">
        <v>0</v>
      </c>
      <c r="J3300" s="1">
        <v>45915.377500000002</v>
      </c>
    </row>
    <row r="3301" spans="1:10" x14ac:dyDescent="0.2">
      <c r="A3301" s="4" t="s">
        <v>1</v>
      </c>
      <c r="B3301" s="3" t="str">
        <f>HYPERLINK("https://otsuka-europe-crm.veevavault.com/ui/#object/approved_document__v/V5OZ025E82TFUPI", "Spain - HCP Survey Email - June 2025")</f>
        <v>Spain - HCP Survey Email - June 2025</v>
      </c>
      <c r="C3301" s="3" t="str">
        <f>HYPERLINK("https://otsuka-europe-crm.veevavault.com/ui/#object/sent_email__v/VBLZ025E82GN06N", "SE-000270417")</f>
        <v>SE-000270417</v>
      </c>
      <c r="D3301" s="1">
        <v>45915.516458333332</v>
      </c>
      <c r="E3301" s="2">
        <v>1</v>
      </c>
      <c r="F3301" s="2">
        <v>1</v>
      </c>
      <c r="G3301" s="2">
        <v>0</v>
      </c>
      <c r="H3301" s="1" t="s">
        <v>0</v>
      </c>
      <c r="I3301" s="2">
        <v>0</v>
      </c>
      <c r="J3301" s="1">
        <v>45915.378159722219</v>
      </c>
    </row>
    <row r="3302" spans="1:10" x14ac:dyDescent="0.2">
      <c r="A3302" s="4" t="s">
        <v>1</v>
      </c>
      <c r="B3302" s="3" t="str">
        <f>HYPERLINK("https://otsuka-europe-crm.veevavault.com/ui/#object/approved_document__v/V5OZ025E82TFUPI", "Spain - HCP Survey Email - June 2025")</f>
        <v>Spain - HCP Survey Email - June 2025</v>
      </c>
      <c r="C3302" s="3" t="str">
        <f>HYPERLINK("https://otsuka-europe-crm.veevavault.com/ui/#object/sent_email__v/VBLZ025E82GN06O", "SE-000270418")</f>
        <v>SE-000270418</v>
      </c>
      <c r="D3302" s="1" t="s">
        <v>0</v>
      </c>
      <c r="E3302" s="2">
        <v>0</v>
      </c>
      <c r="F3302" s="2">
        <v>0</v>
      </c>
      <c r="G3302" s="2">
        <v>0</v>
      </c>
      <c r="H3302" s="1" t="s">
        <v>0</v>
      </c>
      <c r="I3302" s="2">
        <v>0</v>
      </c>
      <c r="J3302" s="1">
        <v>45915.378078703703</v>
      </c>
    </row>
    <row r="3303" spans="1:10" x14ac:dyDescent="0.2">
      <c r="A3303" s="4" t="s">
        <v>1</v>
      </c>
      <c r="B3303" s="3" t="str">
        <f>HYPERLINK("https://otsuka-europe-crm.veevavault.com/ui/#object/approved_document__v/V5OZ025E82TFUPI", "Spain - HCP Survey Email - June 2025")</f>
        <v>Spain - HCP Survey Email - June 2025</v>
      </c>
      <c r="C3303" s="3" t="str">
        <f>HYPERLINK("https://otsuka-europe-crm.veevavault.com/ui/#object/sent_email__v/VBLZ025E82GN06P", "SE-000270419")</f>
        <v>SE-000270419</v>
      </c>
      <c r="D3303" s="1" t="s">
        <v>0</v>
      </c>
      <c r="E3303" s="2">
        <v>0</v>
      </c>
      <c r="F3303" s="2">
        <v>0</v>
      </c>
      <c r="G3303" s="2">
        <v>0</v>
      </c>
      <c r="H3303" s="1" t="s">
        <v>0</v>
      </c>
      <c r="I3303" s="2">
        <v>0</v>
      </c>
      <c r="J3303" s="1">
        <v>45915.378587962965</v>
      </c>
    </row>
    <row r="3304" spans="1:10" x14ac:dyDescent="0.2">
      <c r="A3304" s="4" t="s">
        <v>1</v>
      </c>
      <c r="B3304" s="3" t="str">
        <f>HYPERLINK("https://otsuka-europe-crm.veevavault.com/ui/#object/approved_document__v/V5OZ025E82TFUPI", "Spain - HCP Survey Email - June 2025")</f>
        <v>Spain - HCP Survey Email - June 2025</v>
      </c>
      <c r="C3304" s="3" t="str">
        <f>HYPERLINK("https://otsuka-europe-crm.veevavault.com/ui/#object/sent_email__v/VBLZ025E82GN06Q", "SE-000270420")</f>
        <v>SE-000270420</v>
      </c>
      <c r="D3304" s="1" t="s">
        <v>0</v>
      </c>
      <c r="E3304" s="2">
        <v>0</v>
      </c>
      <c r="F3304" s="2">
        <v>0</v>
      </c>
      <c r="G3304" s="2">
        <v>0</v>
      </c>
      <c r="H3304" s="1" t="s">
        <v>0</v>
      </c>
      <c r="I3304" s="2">
        <v>0</v>
      </c>
      <c r="J3304" s="1">
        <v>45915.379699074074</v>
      </c>
    </row>
    <row r="3305" spans="1:10" x14ac:dyDescent="0.2">
      <c r="A3305" s="4" t="s">
        <v>1</v>
      </c>
      <c r="B3305" s="3" t="str">
        <f>HYPERLINK("https://otsuka-europe-crm.veevavault.com/ui/#object/approved_document__v/V5OZ025E82TFUPI", "Spain - HCP Survey Email - June 2025")</f>
        <v>Spain - HCP Survey Email - June 2025</v>
      </c>
      <c r="C3305" s="3" t="str">
        <f>HYPERLINK("https://otsuka-europe-crm.veevavault.com/ui/#object/sent_email__v/VBLZ025E82GN06R", "SE-000270421")</f>
        <v>SE-000270421</v>
      </c>
      <c r="D3305" s="1" t="s">
        <v>0</v>
      </c>
      <c r="E3305" s="2">
        <v>0</v>
      </c>
      <c r="F3305" s="2">
        <v>0</v>
      </c>
      <c r="G3305" s="2">
        <v>0</v>
      </c>
      <c r="H3305" s="1" t="s">
        <v>0</v>
      </c>
      <c r="I3305" s="2">
        <v>0</v>
      </c>
      <c r="J3305" s="1">
        <v>45915.377708333333</v>
      </c>
    </row>
    <row r="3306" spans="1:10" x14ac:dyDescent="0.2">
      <c r="A3306" s="4" t="s">
        <v>1</v>
      </c>
      <c r="B3306" s="3" t="str">
        <f>HYPERLINK("https://otsuka-europe-crm.veevavault.com/ui/#object/approved_document__v/V5OZ025E82TFUPI", "Spain - HCP Survey Email - June 2025")</f>
        <v>Spain - HCP Survey Email - June 2025</v>
      </c>
      <c r="C3306" s="3" t="str">
        <f>HYPERLINK("https://otsuka-europe-crm.veevavault.com/ui/#object/sent_email__v/VBLZ025E82GN06S", "SE-000270422")</f>
        <v>SE-000270422</v>
      </c>
      <c r="D3306" s="1">
        <v>45915.643310185187</v>
      </c>
      <c r="E3306" s="2">
        <v>1</v>
      </c>
      <c r="F3306" s="2">
        <v>8</v>
      </c>
      <c r="G3306" s="2">
        <v>1</v>
      </c>
      <c r="H3306" s="1">
        <v>45915.438750000001</v>
      </c>
      <c r="I3306" s="2">
        <v>1</v>
      </c>
      <c r="J3306" s="1">
        <v>45915.377581018518</v>
      </c>
    </row>
    <row r="3307" spans="1:10" x14ac:dyDescent="0.2">
      <c r="A3307" s="4" t="s">
        <v>1</v>
      </c>
      <c r="B3307" s="3" t="str">
        <f>HYPERLINK("https://otsuka-europe-crm.veevavault.com/ui/#object/approved_document__v/V5OZ025E82TFUPI", "Spain - HCP Survey Email - June 2025")</f>
        <v>Spain - HCP Survey Email - June 2025</v>
      </c>
      <c r="C3307" s="3" t="str">
        <f>HYPERLINK("https://otsuka-europe-crm.veevavault.com/ui/#object/sent_email__v/VBLZ025E82GN06T", "SE-000270423")</f>
        <v>SE-000270423</v>
      </c>
      <c r="D3307" s="1">
        <v>45915.426354166666</v>
      </c>
      <c r="E3307" s="2">
        <v>1</v>
      </c>
      <c r="F3307" s="2">
        <v>1</v>
      </c>
      <c r="G3307" s="2">
        <v>1</v>
      </c>
      <c r="H3307" s="1">
        <v>45915.426678240743</v>
      </c>
      <c r="I3307" s="2">
        <v>2</v>
      </c>
      <c r="J3307" s="1">
        <v>45915.37804398148</v>
      </c>
    </row>
    <row r="3308" spans="1:10" x14ac:dyDescent="0.2">
      <c r="A3308" s="4" t="s">
        <v>1</v>
      </c>
      <c r="B3308" s="3" t="str">
        <f>HYPERLINK("https://otsuka-europe-crm.veevavault.com/ui/#object/approved_document__v/V5OZ025E82TFUPI", "Spain - HCP Survey Email - June 2025")</f>
        <v>Spain - HCP Survey Email - June 2025</v>
      </c>
      <c r="C3308" s="3" t="str">
        <f>HYPERLINK("https://otsuka-europe-crm.veevavault.com/ui/#object/sent_email__v/VBLZ025E82GN06U", "SE-000270424")</f>
        <v>SE-000270424</v>
      </c>
      <c r="D3308" s="1" t="s">
        <v>0</v>
      </c>
      <c r="E3308" s="2">
        <v>0</v>
      </c>
      <c r="F3308" s="2">
        <v>0</v>
      </c>
      <c r="G3308" s="2">
        <v>0</v>
      </c>
      <c r="H3308" s="1" t="s">
        <v>0</v>
      </c>
      <c r="I3308" s="2">
        <v>0</v>
      </c>
      <c r="J3308" s="1">
        <v>45915.379074074073</v>
      </c>
    </row>
    <row r="3309" spans="1:10" x14ac:dyDescent="0.2">
      <c r="A3309" s="4" t="s">
        <v>1</v>
      </c>
      <c r="B3309" s="3" t="str">
        <f>HYPERLINK("https://otsuka-europe-crm.veevavault.com/ui/#object/approved_document__v/V5OZ025E82TFUPI", "Spain - HCP Survey Email - June 2025")</f>
        <v>Spain - HCP Survey Email - June 2025</v>
      </c>
      <c r="C3309" s="3" t="str">
        <f>HYPERLINK("https://otsuka-europe-crm.veevavault.com/ui/#object/sent_email__v/VBLZ025E82GN06V", "SE-000270425")</f>
        <v>SE-000270425</v>
      </c>
      <c r="D3309" s="1" t="s">
        <v>0</v>
      </c>
      <c r="E3309" s="2">
        <v>0</v>
      </c>
      <c r="F3309" s="2">
        <v>0</v>
      </c>
      <c r="G3309" s="2">
        <v>0</v>
      </c>
      <c r="H3309" s="1" t="s">
        <v>0</v>
      </c>
      <c r="I3309" s="2">
        <v>0</v>
      </c>
      <c r="J3309" s="1">
        <v>45915.379699074074</v>
      </c>
    </row>
    <row r="3310" spans="1:10" x14ac:dyDescent="0.2">
      <c r="A3310" s="4" t="s">
        <v>1</v>
      </c>
      <c r="B3310" s="3" t="str">
        <f>HYPERLINK("https://otsuka-europe-crm.veevavault.com/ui/#object/approved_document__v/V5OZ025E82TFUPI", "Spain - HCP Survey Email - June 2025")</f>
        <v>Spain - HCP Survey Email - June 2025</v>
      </c>
      <c r="C3310" s="3" t="str">
        <f>HYPERLINK("https://otsuka-europe-crm.veevavault.com/ui/#object/sent_email__v/VBLZ025E82GN06W", "SE-000270426")</f>
        <v>SE-000270426</v>
      </c>
      <c r="D3310" s="1">
        <v>45915.613449074073</v>
      </c>
      <c r="E3310" s="2">
        <v>1</v>
      </c>
      <c r="F3310" s="2">
        <v>1</v>
      </c>
      <c r="G3310" s="2">
        <v>1</v>
      </c>
      <c r="H3310" s="1">
        <v>45915.613726851851</v>
      </c>
      <c r="I3310" s="2">
        <v>1</v>
      </c>
      <c r="J3310" s="1">
        <v>45915.37939814815</v>
      </c>
    </row>
    <row r="3311" spans="1:10" x14ac:dyDescent="0.2">
      <c r="A3311" s="4" t="s">
        <v>1</v>
      </c>
      <c r="B3311" s="3" t="str">
        <f>HYPERLINK("https://otsuka-europe-crm.veevavault.com/ui/#object/approved_document__v/V5OZ025E82TFUPI", "Spain - HCP Survey Email - June 2025")</f>
        <v>Spain - HCP Survey Email - June 2025</v>
      </c>
      <c r="C3311" s="3" t="str">
        <f>HYPERLINK("https://otsuka-europe-crm.veevavault.com/ui/#object/sent_email__v/VBLZ025E82GN06X", "SE-000270427")</f>
        <v>SE-000270427</v>
      </c>
      <c r="D3311" s="1" t="s">
        <v>0</v>
      </c>
      <c r="E3311" s="2">
        <v>0</v>
      </c>
      <c r="F3311" s="2">
        <v>0</v>
      </c>
      <c r="G3311" s="2">
        <v>0</v>
      </c>
      <c r="H3311" s="1" t="s">
        <v>0</v>
      </c>
      <c r="I3311" s="2">
        <v>0</v>
      </c>
      <c r="J3311" s="1">
        <v>45915.377511574072</v>
      </c>
    </row>
    <row r="3312" spans="1:10" x14ac:dyDescent="0.2">
      <c r="A3312" s="4" t="s">
        <v>1</v>
      </c>
      <c r="B3312" s="3" t="str">
        <f>HYPERLINK("https://otsuka-europe-crm.veevavault.com/ui/#object/approved_document__v/V5OZ025E82TFUPI", "Spain - HCP Survey Email - June 2025")</f>
        <v>Spain - HCP Survey Email - June 2025</v>
      </c>
      <c r="C3312" s="3" t="str">
        <f>HYPERLINK("https://otsuka-europe-crm.veevavault.com/ui/#object/sent_email__v/VBLZ025E82GN06Y", "SE-000270428")</f>
        <v>SE-000270428</v>
      </c>
      <c r="D3312" s="1">
        <v>45915.73228009259</v>
      </c>
      <c r="E3312" s="2">
        <v>1</v>
      </c>
      <c r="F3312" s="2">
        <v>1</v>
      </c>
      <c r="G3312" s="2">
        <v>0</v>
      </c>
      <c r="H3312" s="1" t="s">
        <v>0</v>
      </c>
      <c r="I3312" s="2">
        <v>0</v>
      </c>
      <c r="J3312" s="1">
        <v>45915.378159722219</v>
      </c>
    </row>
    <row r="3313" spans="1:10" x14ac:dyDescent="0.2">
      <c r="A3313" s="4" t="s">
        <v>1</v>
      </c>
      <c r="B3313" s="3" t="str">
        <f>HYPERLINK("https://otsuka-europe-crm.veevavault.com/ui/#object/approved_document__v/V5OZ025E82TFUPI", "Spain - HCP Survey Email - June 2025")</f>
        <v>Spain - HCP Survey Email - June 2025</v>
      </c>
      <c r="C3313" s="3" t="str">
        <f>HYPERLINK("https://otsuka-europe-crm.veevavault.com/ui/#object/sent_email__v/VBLZ025E82GN06Z", "SE-000270429")</f>
        <v>SE-000270429</v>
      </c>
      <c r="D3313" s="1" t="s">
        <v>0</v>
      </c>
      <c r="E3313" s="2">
        <v>0</v>
      </c>
      <c r="F3313" s="2">
        <v>0</v>
      </c>
      <c r="G3313" s="2">
        <v>0</v>
      </c>
      <c r="H3313" s="1" t="s">
        <v>0</v>
      </c>
      <c r="I3313" s="2">
        <v>0</v>
      </c>
      <c r="J3313" s="1">
        <v>45915.378078703703</v>
      </c>
    </row>
    <row r="3314" spans="1:10" x14ac:dyDescent="0.2">
      <c r="A3314" s="4" t="s">
        <v>1</v>
      </c>
      <c r="B3314" s="3" t="str">
        <f>HYPERLINK("https://otsuka-europe-crm.veevavault.com/ui/#object/approved_document__v/V5OZ025E82TFUPI", "Spain - HCP Survey Email - June 2025")</f>
        <v>Spain - HCP Survey Email - June 2025</v>
      </c>
      <c r="C3314" s="3" t="str">
        <f>HYPERLINK("https://otsuka-europe-crm.veevavault.com/ui/#object/sent_email__v/VBLZ025E82GN070", "SE-000270430")</f>
        <v>SE-000270430</v>
      </c>
      <c r="D3314" s="1">
        <v>45925.944444444445</v>
      </c>
      <c r="E3314" s="2">
        <v>1</v>
      </c>
      <c r="F3314" s="2">
        <v>3</v>
      </c>
      <c r="G3314" s="2">
        <v>0</v>
      </c>
      <c r="H3314" s="1" t="s">
        <v>0</v>
      </c>
      <c r="I3314" s="2">
        <v>0</v>
      </c>
      <c r="J3314" s="1">
        <v>45915.378483796296</v>
      </c>
    </row>
    <row r="3315" spans="1:10" x14ac:dyDescent="0.2">
      <c r="A3315" s="4" t="s">
        <v>1</v>
      </c>
      <c r="B3315" s="3" t="str">
        <f>HYPERLINK("https://otsuka-europe-crm.veevavault.com/ui/#object/approved_document__v/V5OZ025E82TFUPI", "Spain - HCP Survey Email - June 2025")</f>
        <v>Spain - HCP Survey Email - June 2025</v>
      </c>
      <c r="C3315" s="3" t="str">
        <f>HYPERLINK("https://otsuka-europe-crm.veevavault.com/ui/#object/sent_email__v/VBLZ025E82GN071", "SE-000270431")</f>
        <v>SE-000270431</v>
      </c>
      <c r="D3315" s="1" t="s">
        <v>0</v>
      </c>
      <c r="E3315" s="2">
        <v>0</v>
      </c>
      <c r="F3315" s="2">
        <v>0</v>
      </c>
      <c r="G3315" s="2">
        <v>0</v>
      </c>
      <c r="H3315" s="1" t="s">
        <v>0</v>
      </c>
      <c r="I3315" s="2">
        <v>0</v>
      </c>
      <c r="J3315" s="1">
        <v>45915.37976851852</v>
      </c>
    </row>
    <row r="3316" spans="1:10" x14ac:dyDescent="0.2">
      <c r="A3316" s="4" t="s">
        <v>1</v>
      </c>
      <c r="B3316" s="3" t="str">
        <f>HYPERLINK("https://otsuka-europe-crm.veevavault.com/ui/#object/approved_document__v/V5OZ025E82TFUPI", "Spain - HCP Survey Email - June 2025")</f>
        <v>Spain - HCP Survey Email - June 2025</v>
      </c>
      <c r="C3316" s="3" t="str">
        <f>HYPERLINK("https://otsuka-europe-crm.veevavault.com/ui/#object/sent_email__v/VBLZ025E82GN072", "SE-000270432")</f>
        <v>SE-000270432</v>
      </c>
      <c r="D3316" s="1">
        <v>45915.377986111111</v>
      </c>
      <c r="E3316" s="2">
        <v>1</v>
      </c>
      <c r="F3316" s="2">
        <v>1</v>
      </c>
      <c r="G3316" s="2">
        <v>1</v>
      </c>
      <c r="H3316" s="1">
        <v>45915.378229166665</v>
      </c>
      <c r="I3316" s="2">
        <v>2</v>
      </c>
      <c r="J3316" s="1">
        <v>45915.377696759257</v>
      </c>
    </row>
    <row r="3317" spans="1:10" x14ac:dyDescent="0.2">
      <c r="A3317" s="4" t="s">
        <v>1</v>
      </c>
      <c r="B3317" s="3" t="str">
        <f>HYPERLINK("https://otsuka-europe-crm.veevavault.com/ui/#object/approved_document__v/V5OZ025E82TFUPI", "Spain - HCP Survey Email - June 2025")</f>
        <v>Spain - HCP Survey Email - June 2025</v>
      </c>
      <c r="C3317" s="3" t="str">
        <f>HYPERLINK("https://otsuka-europe-crm.veevavault.com/ui/#object/sent_email__v/VBLZ025E82GN073", "SE-000270433")</f>
        <v>SE-000270433</v>
      </c>
      <c r="D3317" s="1">
        <v>45915.896747685183</v>
      </c>
      <c r="E3317" s="2">
        <v>1</v>
      </c>
      <c r="F3317" s="2">
        <v>1</v>
      </c>
      <c r="G3317" s="2">
        <v>0</v>
      </c>
      <c r="H3317" s="1" t="s">
        <v>0</v>
      </c>
      <c r="I3317" s="2">
        <v>0</v>
      </c>
      <c r="J3317" s="1">
        <v>45915.377581018518</v>
      </c>
    </row>
    <row r="3318" spans="1:10" x14ac:dyDescent="0.2">
      <c r="A3318" s="4" t="s">
        <v>1</v>
      </c>
      <c r="B3318" s="3" t="str">
        <f>HYPERLINK("https://otsuka-europe-crm.veevavault.com/ui/#object/approved_document__v/V5OZ025E82TFUPI", "Spain - HCP Survey Email - June 2025")</f>
        <v>Spain - HCP Survey Email - June 2025</v>
      </c>
      <c r="C3318" s="3" t="str">
        <f>HYPERLINK("https://otsuka-europe-crm.veevavault.com/ui/#object/sent_email__v/VBLZ025E82GN074", "SE-000270434")</f>
        <v>SE-000270434</v>
      </c>
      <c r="D3318" s="1" t="s">
        <v>0</v>
      </c>
      <c r="E3318" s="2">
        <v>0</v>
      </c>
      <c r="F3318" s="2">
        <v>0</v>
      </c>
      <c r="G3318" s="2">
        <v>0</v>
      </c>
      <c r="H3318" s="1" t="s">
        <v>0</v>
      </c>
      <c r="I3318" s="2">
        <v>0</v>
      </c>
      <c r="J3318" s="1">
        <v>45915.37804398148</v>
      </c>
    </row>
    <row r="3319" spans="1:10" x14ac:dyDescent="0.2">
      <c r="A3319" s="4" t="s">
        <v>1</v>
      </c>
      <c r="B3319" s="3" t="str">
        <f>HYPERLINK("https://otsuka-europe-crm.veevavault.com/ui/#object/approved_document__v/V5OZ025E82TFUPI", "Spain - HCP Survey Email - June 2025")</f>
        <v>Spain - HCP Survey Email - June 2025</v>
      </c>
      <c r="C3319" s="3" t="str">
        <f>HYPERLINK("https://otsuka-europe-crm.veevavault.com/ui/#object/sent_email__v/VBLZ025E82GN075", "SE-000270435")</f>
        <v>SE-000270435</v>
      </c>
      <c r="D3319" s="1">
        <v>45915.818807870368</v>
      </c>
      <c r="E3319" s="2">
        <v>1</v>
      </c>
      <c r="F3319" s="2">
        <v>1</v>
      </c>
      <c r="G3319" s="2">
        <v>0</v>
      </c>
      <c r="H3319" s="1" t="s">
        <v>0</v>
      </c>
      <c r="I3319" s="2">
        <v>0</v>
      </c>
      <c r="J3319" s="1">
        <v>45915.379050925927</v>
      </c>
    </row>
    <row r="3320" spans="1:10" x14ac:dyDescent="0.2">
      <c r="A3320" s="4" t="s">
        <v>1</v>
      </c>
      <c r="B3320" s="3" t="str">
        <f>HYPERLINK("https://otsuka-europe-crm.veevavault.com/ui/#object/approved_document__v/V5OZ025E82TFUPI", "Spain - HCP Survey Email - June 2025")</f>
        <v>Spain - HCP Survey Email - June 2025</v>
      </c>
      <c r="C3320" s="3" t="str">
        <f>HYPERLINK("https://otsuka-europe-crm.veevavault.com/ui/#object/sent_email__v/VBLZ025E82GN076", "SE-000270436")</f>
        <v>SE-000270436</v>
      </c>
      <c r="D3320" s="1">
        <v>45915.392118055555</v>
      </c>
      <c r="E3320" s="2">
        <v>1</v>
      </c>
      <c r="F3320" s="2">
        <v>1</v>
      </c>
      <c r="G3320" s="2">
        <v>0</v>
      </c>
      <c r="H3320" s="1" t="s">
        <v>0</v>
      </c>
      <c r="I3320" s="2">
        <v>0</v>
      </c>
      <c r="J3320" s="1">
        <v>45915.379606481481</v>
      </c>
    </row>
    <row r="3321" spans="1:10" x14ac:dyDescent="0.2">
      <c r="A3321" s="4" t="s">
        <v>1</v>
      </c>
      <c r="B3321" s="3" t="str">
        <f>HYPERLINK("https://otsuka-europe-crm.veevavault.com/ui/#object/approved_document__v/V5OZ025E82TFUPI", "Spain - HCP Survey Email - June 2025")</f>
        <v>Spain - HCP Survey Email - June 2025</v>
      </c>
      <c r="C3321" s="3" t="str">
        <f>HYPERLINK("https://otsuka-europe-crm.veevavault.com/ui/#object/sent_email__v/VBLZ025E82GN077", "SE-000270437")</f>
        <v>SE-000270437</v>
      </c>
      <c r="D3321" s="1">
        <v>45915.43513888889</v>
      </c>
      <c r="E3321" s="2">
        <v>1</v>
      </c>
      <c r="F3321" s="2">
        <v>2</v>
      </c>
      <c r="G3321" s="2">
        <v>0</v>
      </c>
      <c r="H3321" s="1" t="s">
        <v>0</v>
      </c>
      <c r="I3321" s="2">
        <v>0</v>
      </c>
      <c r="J3321" s="1">
        <v>45915.379432870373</v>
      </c>
    </row>
    <row r="3322" spans="1:10" x14ac:dyDescent="0.2">
      <c r="A3322" s="4" t="s">
        <v>1</v>
      </c>
      <c r="B3322" s="3" t="str">
        <f>HYPERLINK("https://otsuka-europe-crm.veevavault.com/ui/#object/approved_document__v/V5OZ025E82TFUPI", "Spain - HCP Survey Email - June 2025")</f>
        <v>Spain - HCP Survey Email - June 2025</v>
      </c>
      <c r="C3322" s="3" t="str">
        <f>HYPERLINK("https://otsuka-europe-crm.veevavault.com/ui/#object/sent_email__v/VBLZ025E82GN079", "SE-000270439")</f>
        <v>SE-000270439</v>
      </c>
      <c r="D3322" s="1" t="s">
        <v>0</v>
      </c>
      <c r="E3322" s="2">
        <v>0</v>
      </c>
      <c r="F3322" s="2">
        <v>0</v>
      </c>
      <c r="G3322" s="2">
        <v>0</v>
      </c>
      <c r="H3322" s="1" t="s">
        <v>0</v>
      </c>
      <c r="I3322" s="2">
        <v>0</v>
      </c>
      <c r="J3322" s="1">
        <v>45915.378217592595</v>
      </c>
    </row>
    <row r="3323" spans="1:10" x14ac:dyDescent="0.2">
      <c r="A3323" s="4" t="s">
        <v>1</v>
      </c>
      <c r="B3323" s="3" t="str">
        <f>HYPERLINK("https://otsuka-europe-crm.veevavault.com/ui/#object/approved_document__v/V5OZ025E82TFUPI", "Spain - HCP Survey Email - June 2025")</f>
        <v>Spain - HCP Survey Email - June 2025</v>
      </c>
      <c r="C3323" s="3" t="str">
        <f>HYPERLINK("https://otsuka-europe-crm.veevavault.com/ui/#object/sent_email__v/VBLZ025E82GN07A", "SE-000270440")</f>
        <v>SE-000270440</v>
      </c>
      <c r="D3323" s="1" t="s">
        <v>0</v>
      </c>
      <c r="E3323" s="2">
        <v>0</v>
      </c>
      <c r="F3323" s="2">
        <v>0</v>
      </c>
      <c r="G3323" s="2">
        <v>0</v>
      </c>
      <c r="H3323" s="1" t="s">
        <v>0</v>
      </c>
      <c r="I3323" s="2">
        <v>0</v>
      </c>
      <c r="J3323" s="1">
        <v>45915.378101851849</v>
      </c>
    </row>
    <row r="3324" spans="1:10" x14ac:dyDescent="0.2">
      <c r="A3324" s="4" t="s">
        <v>1</v>
      </c>
      <c r="B3324" s="3" t="str">
        <f>HYPERLINK("https://otsuka-europe-crm.veevavault.com/ui/#object/approved_document__v/V5OZ025E82TFUPI", "Spain - HCP Survey Email - June 2025")</f>
        <v>Spain - HCP Survey Email - June 2025</v>
      </c>
      <c r="C3324" s="3" t="str">
        <f>HYPERLINK("https://otsuka-europe-crm.veevavault.com/ui/#object/sent_email__v/VBLZ025E82GN07B", "SE-000270441")</f>
        <v>SE-000270441</v>
      </c>
      <c r="D3324" s="1">
        <v>45916.443784722222</v>
      </c>
      <c r="E3324" s="2">
        <v>1</v>
      </c>
      <c r="F3324" s="2">
        <v>1</v>
      </c>
      <c r="G3324" s="2">
        <v>0</v>
      </c>
      <c r="H3324" s="1" t="s">
        <v>0</v>
      </c>
      <c r="I3324" s="2">
        <v>0</v>
      </c>
      <c r="J3324" s="1">
        <v>45915.378530092596</v>
      </c>
    </row>
    <row r="3325" spans="1:10" x14ac:dyDescent="0.2">
      <c r="A3325" s="4" t="s">
        <v>1</v>
      </c>
      <c r="B3325" s="3" t="str">
        <f>HYPERLINK("https://otsuka-europe-crm.veevavault.com/ui/#object/approved_document__v/V5OZ025E82TFUPI", "Spain - HCP Survey Email - June 2025")</f>
        <v>Spain - HCP Survey Email - June 2025</v>
      </c>
      <c r="C3325" s="3" t="str">
        <f>HYPERLINK("https://otsuka-europe-crm.veevavault.com/ui/#object/sent_email__v/VBLZ025E82GN07C", "SE-000270442")</f>
        <v>SE-000270442</v>
      </c>
      <c r="D3325" s="1" t="s">
        <v>0</v>
      </c>
      <c r="E3325" s="2">
        <v>0</v>
      </c>
      <c r="F3325" s="2">
        <v>0</v>
      </c>
      <c r="G3325" s="2">
        <v>0</v>
      </c>
      <c r="H3325" s="1" t="s">
        <v>0</v>
      </c>
      <c r="I3325" s="2">
        <v>0</v>
      </c>
      <c r="J3325" s="1">
        <v>45915.37976851852</v>
      </c>
    </row>
    <row r="3326" spans="1:10" x14ac:dyDescent="0.2">
      <c r="A3326" s="4" t="s">
        <v>1</v>
      </c>
      <c r="B3326" s="3" t="str">
        <f>HYPERLINK("https://otsuka-europe-crm.veevavault.com/ui/#object/approved_document__v/V5OZ025E82TFUPI", "Spain - HCP Survey Email - June 2025")</f>
        <v>Spain - HCP Survey Email - June 2025</v>
      </c>
      <c r="C3326" s="3" t="str">
        <f>HYPERLINK("https://otsuka-europe-crm.veevavault.com/ui/#object/sent_email__v/VBLZ025E82GN07D", "SE-000270443")</f>
        <v>SE-000270443</v>
      </c>
      <c r="D3326" s="1" t="s">
        <v>0</v>
      </c>
      <c r="E3326" s="2">
        <v>0</v>
      </c>
      <c r="F3326" s="2">
        <v>0</v>
      </c>
      <c r="G3326" s="2">
        <v>0</v>
      </c>
      <c r="H3326" s="1" t="s">
        <v>0</v>
      </c>
      <c r="I3326" s="2">
        <v>0</v>
      </c>
      <c r="J3326" s="1">
        <v>45915.377708333333</v>
      </c>
    </row>
    <row r="3327" spans="1:10" x14ac:dyDescent="0.2">
      <c r="A3327" s="4" t="s">
        <v>1</v>
      </c>
      <c r="B3327" s="3" t="str">
        <f>HYPERLINK("https://otsuka-europe-crm.veevavault.com/ui/#object/approved_document__v/V5OZ025E82TFUPI", "Spain - HCP Survey Email - June 2025")</f>
        <v>Spain - HCP Survey Email - June 2025</v>
      </c>
      <c r="C3327" s="3" t="str">
        <f>HYPERLINK("https://otsuka-europe-crm.veevavault.com/ui/#object/sent_email__v/VBLZ025E82GN07E", "SE-000270444")</f>
        <v>SE-000270444</v>
      </c>
      <c r="D3327" s="1">
        <v>45938.983495370368</v>
      </c>
      <c r="E3327" s="2">
        <v>1</v>
      </c>
      <c r="F3327" s="2">
        <v>5</v>
      </c>
      <c r="G3327" s="2">
        <v>0</v>
      </c>
      <c r="H3327" s="1" t="s">
        <v>0</v>
      </c>
      <c r="I3327" s="2">
        <v>0</v>
      </c>
      <c r="J3327" s="1">
        <v>45915.377592592595</v>
      </c>
    </row>
    <row r="3328" spans="1:10" x14ac:dyDescent="0.2">
      <c r="A3328" s="4" t="s">
        <v>1</v>
      </c>
      <c r="B3328" s="3" t="str">
        <f>HYPERLINK("https://otsuka-europe-crm.veevavault.com/ui/#object/approved_document__v/V5OZ025E82TFUPI", "Spain - HCP Survey Email - June 2025")</f>
        <v>Spain - HCP Survey Email - June 2025</v>
      </c>
      <c r="C3328" s="3" t="str">
        <f>HYPERLINK("https://otsuka-europe-crm.veevavault.com/ui/#object/sent_email__v/VBLZ025E82GN07F", "SE-000270445")</f>
        <v>SE-000270445</v>
      </c>
      <c r="D3328" s="1" t="s">
        <v>0</v>
      </c>
      <c r="E3328" s="2">
        <v>0</v>
      </c>
      <c r="F3328" s="2">
        <v>0</v>
      </c>
      <c r="G3328" s="2">
        <v>0</v>
      </c>
      <c r="H3328" s="1" t="s">
        <v>0</v>
      </c>
      <c r="I3328" s="2">
        <v>0</v>
      </c>
      <c r="J3328" s="1">
        <v>45915.377986111111</v>
      </c>
    </row>
    <row r="3329" spans="1:10" x14ac:dyDescent="0.2">
      <c r="A3329" s="4" t="s">
        <v>1</v>
      </c>
      <c r="B3329" s="3" t="str">
        <f>HYPERLINK("https://otsuka-europe-crm.veevavault.com/ui/#object/approved_document__v/V5OZ025E82TFUPI", "Spain - HCP Survey Email - June 2025")</f>
        <v>Spain - HCP Survey Email - June 2025</v>
      </c>
      <c r="C3329" s="3" t="str">
        <f>HYPERLINK("https://otsuka-europe-crm.veevavault.com/ui/#object/sent_email__v/VBLZ025E82GN07G", "SE-000270446")</f>
        <v>SE-000270446</v>
      </c>
      <c r="D3329" s="1">
        <v>45925.311979166669</v>
      </c>
      <c r="E3329" s="2">
        <v>1</v>
      </c>
      <c r="F3329" s="2">
        <v>3</v>
      </c>
      <c r="G3329" s="2">
        <v>1</v>
      </c>
      <c r="H3329" s="1">
        <v>45915.564108796294</v>
      </c>
      <c r="I3329" s="2">
        <v>1</v>
      </c>
      <c r="J3329" s="1">
        <v>45915.37908564815</v>
      </c>
    </row>
    <row r="3330" spans="1:10" x14ac:dyDescent="0.2">
      <c r="A3330" s="4" t="s">
        <v>1</v>
      </c>
      <c r="B3330" s="3" t="str">
        <f>HYPERLINK("https://otsuka-europe-crm.veevavault.com/ui/#object/approved_document__v/V5OZ025E82TFUPI", "Spain - HCP Survey Email - June 2025")</f>
        <v>Spain - HCP Survey Email - June 2025</v>
      </c>
      <c r="C3330" s="3" t="str">
        <f>HYPERLINK("https://otsuka-europe-crm.veevavault.com/ui/#object/sent_email__v/VBLZ025E82GN07H", "SE-000270447")</f>
        <v>SE-000270447</v>
      </c>
      <c r="D3330" s="1">
        <v>45916.329525462963</v>
      </c>
      <c r="E3330" s="2">
        <v>1</v>
      </c>
      <c r="F3330" s="2">
        <v>1</v>
      </c>
      <c r="G3330" s="2">
        <v>1</v>
      </c>
      <c r="H3330" s="1">
        <v>45916.329525462963</v>
      </c>
      <c r="I3330" s="2">
        <v>1</v>
      </c>
      <c r="J3330" s="1">
        <v>45915.379791666666</v>
      </c>
    </row>
    <row r="3331" spans="1:10" x14ac:dyDescent="0.2">
      <c r="A3331" s="4" t="s">
        <v>1</v>
      </c>
      <c r="B3331" s="3" t="str">
        <f>HYPERLINK("https://otsuka-europe-crm.veevavault.com/ui/#object/approved_document__v/V5OZ025E82TFUPI", "Spain - HCP Survey Email - June 2025")</f>
        <v>Spain - HCP Survey Email - June 2025</v>
      </c>
      <c r="C3331" s="3" t="str">
        <f>HYPERLINK("https://otsuka-europe-crm.veevavault.com/ui/#object/sent_email__v/VBLZ025E82GN07I", "SE-000270448")</f>
        <v>SE-000270448</v>
      </c>
      <c r="D3331" s="1" t="s">
        <v>0</v>
      </c>
      <c r="E3331" s="2">
        <v>0</v>
      </c>
      <c r="F3331" s="2">
        <v>0</v>
      </c>
      <c r="G3331" s="2">
        <v>0</v>
      </c>
      <c r="H3331" s="1" t="s">
        <v>0</v>
      </c>
      <c r="I3331" s="2">
        <v>0</v>
      </c>
      <c r="J3331" s="1">
        <v>45915.379537037035</v>
      </c>
    </row>
    <row r="3332" spans="1:10" x14ac:dyDescent="0.2">
      <c r="A3332" s="4" t="s">
        <v>1</v>
      </c>
      <c r="B3332" s="3" t="str">
        <f>HYPERLINK("https://otsuka-europe-crm.veevavault.com/ui/#object/approved_document__v/V5OZ025E82TFUPI", "Spain - HCP Survey Email - June 2025")</f>
        <v>Spain - HCP Survey Email - June 2025</v>
      </c>
      <c r="C3332" s="3" t="str">
        <f>HYPERLINK("https://otsuka-europe-crm.veevavault.com/ui/#object/sent_email__v/VBLZ025E82GN07J", "SE-000270449")</f>
        <v>SE-000270449</v>
      </c>
      <c r="D3332" s="1">
        <v>45932.491782407407</v>
      </c>
      <c r="E3332" s="2">
        <v>1</v>
      </c>
      <c r="F3332" s="2">
        <v>4</v>
      </c>
      <c r="G3332" s="2">
        <v>1</v>
      </c>
      <c r="H3332" s="1">
        <v>45932.491932870369</v>
      </c>
      <c r="I3332" s="2">
        <v>1</v>
      </c>
      <c r="J3332" s="1">
        <v>45915.377500000002</v>
      </c>
    </row>
    <row r="3333" spans="1:10" x14ac:dyDescent="0.2">
      <c r="A3333" s="4" t="s">
        <v>1</v>
      </c>
      <c r="B3333" s="3" t="str">
        <f>HYPERLINK("https://otsuka-europe-crm.veevavault.com/ui/#object/approved_document__v/V5OZ025E82TFUPI", "Spain - HCP Survey Email - June 2025")</f>
        <v>Spain - HCP Survey Email - June 2025</v>
      </c>
      <c r="C3333" s="3" t="str">
        <f>HYPERLINK("https://otsuka-europe-crm.veevavault.com/ui/#object/sent_email__v/VBLZ025E82GN07K", "SE-000270450")</f>
        <v>SE-000270450</v>
      </c>
      <c r="D3333" s="1" t="s">
        <v>0</v>
      </c>
      <c r="E3333" s="2">
        <v>0</v>
      </c>
      <c r="F3333" s="2">
        <v>0</v>
      </c>
      <c r="G3333" s="2">
        <v>0</v>
      </c>
      <c r="H3333" s="1" t="s">
        <v>0</v>
      </c>
      <c r="I3333" s="2">
        <v>0</v>
      </c>
      <c r="J3333" s="1">
        <v>45915.37903935185</v>
      </c>
    </row>
    <row r="3334" spans="1:10" x14ac:dyDescent="0.2">
      <c r="A3334" s="4" t="s">
        <v>1</v>
      </c>
      <c r="B3334" s="3" t="str">
        <f>HYPERLINK("https://otsuka-europe-crm.veevavault.com/ui/#object/approved_document__v/V5OZ025E82TFUPI", "Spain - HCP Survey Email - June 2025")</f>
        <v>Spain - HCP Survey Email - June 2025</v>
      </c>
      <c r="C3334" s="3" t="str">
        <f>HYPERLINK("https://otsuka-europe-crm.veevavault.com/ui/#object/sent_email__v/VBLZ025E82GN07L", "SE-000270451")</f>
        <v>SE-000270451</v>
      </c>
      <c r="D3334" s="1" t="s">
        <v>0</v>
      </c>
      <c r="E3334" s="2">
        <v>0</v>
      </c>
      <c r="F3334" s="2">
        <v>0</v>
      </c>
      <c r="G3334" s="2">
        <v>0</v>
      </c>
      <c r="H3334" s="1" t="s">
        <v>0</v>
      </c>
      <c r="I3334" s="2">
        <v>0</v>
      </c>
      <c r="J3334" s="1">
        <v>45915.379803240743</v>
      </c>
    </row>
    <row r="3335" spans="1:10" x14ac:dyDescent="0.2">
      <c r="A3335" s="4" t="s">
        <v>1</v>
      </c>
      <c r="B3335" s="3" t="str">
        <f>HYPERLINK("https://otsuka-europe-crm.veevavault.com/ui/#object/approved_document__v/V5OZ025E82TFUPI", "Spain - HCP Survey Email - June 2025")</f>
        <v>Spain - HCP Survey Email - June 2025</v>
      </c>
      <c r="C3335" s="3" t="str">
        <f>HYPERLINK("https://otsuka-europe-crm.veevavault.com/ui/#object/sent_email__v/VBLZ025E82GN07M", "SE-000270452")</f>
        <v>SE-000270452</v>
      </c>
      <c r="D3335" s="1" t="s">
        <v>0</v>
      </c>
      <c r="E3335" s="2">
        <v>0</v>
      </c>
      <c r="F3335" s="2">
        <v>0</v>
      </c>
      <c r="G3335" s="2">
        <v>0</v>
      </c>
      <c r="H3335" s="1" t="s">
        <v>0</v>
      </c>
      <c r="I3335" s="2">
        <v>0</v>
      </c>
      <c r="J3335" s="1">
        <v>45915.379386574074</v>
      </c>
    </row>
    <row r="3336" spans="1:10" x14ac:dyDescent="0.2">
      <c r="A3336" s="4" t="s">
        <v>1</v>
      </c>
      <c r="B3336" s="3" t="str">
        <f>HYPERLINK("https://otsuka-europe-crm.veevavault.com/ui/#object/approved_document__v/V5OZ025E82TFUPI", "Spain - HCP Survey Email - June 2025")</f>
        <v>Spain - HCP Survey Email - June 2025</v>
      </c>
      <c r="C3336" s="3" t="str">
        <f>HYPERLINK("https://otsuka-europe-crm.veevavault.com/ui/#object/sent_email__v/VBLZ025E82GN07N", "SE-000270453")</f>
        <v>SE-000270453</v>
      </c>
      <c r="D3336" s="1" t="s">
        <v>0</v>
      </c>
      <c r="E3336" s="2">
        <v>0</v>
      </c>
      <c r="F3336" s="2">
        <v>0</v>
      </c>
      <c r="G3336" s="2">
        <v>0</v>
      </c>
      <c r="H3336" s="1" t="s">
        <v>0</v>
      </c>
      <c r="I3336" s="2">
        <v>0</v>
      </c>
      <c r="J3336" s="1">
        <v>45915.377534722225</v>
      </c>
    </row>
    <row r="3337" spans="1:10" x14ac:dyDescent="0.2">
      <c r="A3337" s="4" t="s">
        <v>1</v>
      </c>
      <c r="B3337" s="3" t="str">
        <f>HYPERLINK("https://otsuka-europe-crm.veevavault.com/ui/#object/approved_document__v/V5OZ025E82TFUPI", "Spain - HCP Survey Email - June 2025")</f>
        <v>Spain - HCP Survey Email - June 2025</v>
      </c>
      <c r="C3337" s="3" t="str">
        <f>HYPERLINK("https://otsuka-europe-crm.veevavault.com/ui/#object/sent_email__v/VBLZ025E82GN07O", "SE-000270454")</f>
        <v>SE-000270454</v>
      </c>
      <c r="D3337" s="1" t="s">
        <v>0</v>
      </c>
      <c r="E3337" s="2">
        <v>0</v>
      </c>
      <c r="F3337" s="2">
        <v>0</v>
      </c>
      <c r="G3337" s="2">
        <v>0</v>
      </c>
      <c r="H3337" s="1" t="s">
        <v>0</v>
      </c>
      <c r="I3337" s="2">
        <v>0</v>
      </c>
      <c r="J3337" s="1">
        <v>45915.378321759257</v>
      </c>
    </row>
    <row r="3338" spans="1:10" x14ac:dyDescent="0.2">
      <c r="A3338" s="4" t="s">
        <v>1</v>
      </c>
      <c r="B3338" s="3" t="str">
        <f>HYPERLINK("https://otsuka-europe-crm.veevavault.com/ui/#object/approved_document__v/V5OZ025E82TFUPI", "Spain - HCP Survey Email - June 2025")</f>
        <v>Spain - HCP Survey Email - June 2025</v>
      </c>
      <c r="C3338" s="3" t="str">
        <f>HYPERLINK("https://otsuka-europe-crm.veevavault.com/ui/#object/sent_email__v/VBLZ025E82GN07P", "SE-000270455")</f>
        <v>SE-000270455</v>
      </c>
      <c r="D3338" s="1">
        <v>45917.299976851849</v>
      </c>
      <c r="E3338" s="2">
        <v>1</v>
      </c>
      <c r="F3338" s="2">
        <v>1</v>
      </c>
      <c r="G3338" s="2">
        <v>0</v>
      </c>
      <c r="H3338" s="1" t="s">
        <v>0</v>
      </c>
      <c r="I3338" s="2">
        <v>0</v>
      </c>
      <c r="J3338" s="1">
        <v>45915.378136574072</v>
      </c>
    </row>
    <row r="3339" spans="1:10" x14ac:dyDescent="0.2">
      <c r="A3339" s="4" t="s">
        <v>1</v>
      </c>
      <c r="B3339" s="3" t="str">
        <f>HYPERLINK("https://otsuka-europe-crm.veevavault.com/ui/#object/approved_document__v/V5OZ025E82TFUPI", "Spain - HCP Survey Email - June 2025")</f>
        <v>Spain - HCP Survey Email - June 2025</v>
      </c>
      <c r="C3339" s="3" t="str">
        <f>HYPERLINK("https://otsuka-europe-crm.veevavault.com/ui/#object/sent_email__v/VBLZ025E82GN07Q", "SE-000270456")</f>
        <v>SE-000270456</v>
      </c>
      <c r="D3339" s="1" t="s">
        <v>0</v>
      </c>
      <c r="E3339" s="2">
        <v>0</v>
      </c>
      <c r="F3339" s="2">
        <v>0</v>
      </c>
      <c r="G3339" s="2">
        <v>0</v>
      </c>
      <c r="H3339" s="1" t="s">
        <v>0</v>
      </c>
      <c r="I3339" s="2">
        <v>0</v>
      </c>
      <c r="J3339" s="1">
        <v>45915.378576388888</v>
      </c>
    </row>
    <row r="3340" spans="1:10" x14ac:dyDescent="0.2">
      <c r="A3340" s="4" t="s">
        <v>1</v>
      </c>
      <c r="B3340" s="3" t="str">
        <f>HYPERLINK("https://otsuka-europe-crm.veevavault.com/ui/#object/approved_document__v/V5OZ025E82TFUPI", "Spain - HCP Survey Email - June 2025")</f>
        <v>Spain - HCP Survey Email - June 2025</v>
      </c>
      <c r="C3340" s="3" t="str">
        <f>HYPERLINK("https://otsuka-europe-crm.veevavault.com/ui/#object/sent_email__v/VBLZ025E82GN07R", "SE-000270457")</f>
        <v>SE-000270457</v>
      </c>
      <c r="D3340" s="1" t="s">
        <v>0</v>
      </c>
      <c r="E3340" s="2">
        <v>0</v>
      </c>
      <c r="F3340" s="2">
        <v>0</v>
      </c>
      <c r="G3340" s="2">
        <v>0</v>
      </c>
      <c r="H3340" s="1" t="s">
        <v>0</v>
      </c>
      <c r="I3340" s="2">
        <v>0</v>
      </c>
      <c r="J3340" s="1">
        <v>45915.379861111112</v>
      </c>
    </row>
    <row r="3341" spans="1:10" x14ac:dyDescent="0.2">
      <c r="A3341" s="4" t="s">
        <v>1</v>
      </c>
      <c r="B3341" s="3" t="str">
        <f>HYPERLINK("https://otsuka-europe-crm.veevavault.com/ui/#object/approved_document__v/V5OZ025E82TFUPI", "Spain - HCP Survey Email - June 2025")</f>
        <v>Spain - HCP Survey Email - June 2025</v>
      </c>
      <c r="C3341" s="3" t="str">
        <f>HYPERLINK("https://otsuka-europe-crm.veevavault.com/ui/#object/sent_email__v/VBLZ025E82GN07S", "SE-000270458")</f>
        <v>SE-000270458</v>
      </c>
      <c r="D3341" s="1" t="s">
        <v>0</v>
      </c>
      <c r="E3341" s="2">
        <v>0</v>
      </c>
      <c r="F3341" s="2">
        <v>0</v>
      </c>
      <c r="G3341" s="2">
        <v>0</v>
      </c>
      <c r="H3341" s="1" t="s">
        <v>0</v>
      </c>
      <c r="I3341" s="2">
        <v>0</v>
      </c>
      <c r="J3341" s="1">
        <v>45915.377685185187</v>
      </c>
    </row>
    <row r="3342" spans="1:10" x14ac:dyDescent="0.2">
      <c r="A3342" s="4" t="s">
        <v>1</v>
      </c>
      <c r="B3342" s="3" t="str">
        <f>HYPERLINK("https://otsuka-europe-crm.veevavault.com/ui/#object/approved_document__v/V5OZ025E82TFUPI", "Spain - HCP Survey Email - June 2025")</f>
        <v>Spain - HCP Survey Email - June 2025</v>
      </c>
      <c r="C3342" s="3" t="str">
        <f>HYPERLINK("https://otsuka-europe-crm.veevavault.com/ui/#object/sent_email__v/VBLZ025E82GN07T", "SE-000270459")</f>
        <v>SE-000270459</v>
      </c>
      <c r="D3342" s="1">
        <v>45916.806689814817</v>
      </c>
      <c r="E3342" s="2">
        <v>1</v>
      </c>
      <c r="F3342" s="2">
        <v>2</v>
      </c>
      <c r="G3342" s="2">
        <v>0</v>
      </c>
      <c r="H3342" s="1" t="s">
        <v>0</v>
      </c>
      <c r="I3342" s="2">
        <v>0</v>
      </c>
      <c r="J3342" s="1">
        <v>45915.377581018518</v>
      </c>
    </row>
    <row r="3343" spans="1:10" x14ac:dyDescent="0.2">
      <c r="A3343" s="4" t="s">
        <v>1</v>
      </c>
      <c r="B3343" s="3" t="str">
        <f>HYPERLINK("https://otsuka-europe-crm.veevavault.com/ui/#object/approved_document__v/V5OZ025E82TFUPI", "Spain - HCP Survey Email - June 2025")</f>
        <v>Spain - HCP Survey Email - June 2025</v>
      </c>
      <c r="C3343" s="3" t="str">
        <f>HYPERLINK("https://otsuka-europe-crm.veevavault.com/ui/#object/sent_email__v/VBLZ025E82GN07U", "SE-000270460")</f>
        <v>SE-000270460</v>
      </c>
      <c r="D3343" s="1" t="s">
        <v>0</v>
      </c>
      <c r="E3343" s="2">
        <v>0</v>
      </c>
      <c r="F3343" s="2">
        <v>0</v>
      </c>
      <c r="G3343" s="2">
        <v>0</v>
      </c>
      <c r="H3343" s="1" t="s">
        <v>0</v>
      </c>
      <c r="I3343" s="2">
        <v>0</v>
      </c>
      <c r="J3343" s="1">
        <v>45915.378055555557</v>
      </c>
    </row>
    <row r="3344" spans="1:10" x14ac:dyDescent="0.2">
      <c r="A3344" s="4" t="s">
        <v>1</v>
      </c>
      <c r="B3344" s="3" t="str">
        <f>HYPERLINK("https://otsuka-europe-crm.veevavault.com/ui/#object/approved_document__v/V5OZ025E82TFUPI", "Spain - HCP Survey Email - June 2025")</f>
        <v>Spain - HCP Survey Email - June 2025</v>
      </c>
      <c r="C3344" s="3" t="str">
        <f>HYPERLINK("https://otsuka-europe-crm.veevavault.com/ui/#object/sent_email__v/VBLZ025E82GN07V", "SE-000270461")</f>
        <v>SE-000270461</v>
      </c>
      <c r="D3344" s="1" t="s">
        <v>0</v>
      </c>
      <c r="E3344" s="2">
        <v>0</v>
      </c>
      <c r="F3344" s="2">
        <v>0</v>
      </c>
      <c r="G3344" s="2">
        <v>0</v>
      </c>
      <c r="H3344" s="1" t="s">
        <v>0</v>
      </c>
      <c r="I3344" s="2">
        <v>0</v>
      </c>
      <c r="J3344" s="1">
        <v>45915.37908564815</v>
      </c>
    </row>
    <row r="3345" spans="1:10" x14ac:dyDescent="0.2">
      <c r="A3345" s="4" t="s">
        <v>1</v>
      </c>
      <c r="B3345" s="3" t="str">
        <f>HYPERLINK("https://otsuka-europe-crm.veevavault.com/ui/#object/approved_document__v/V5OZ025E82TFUPI", "Spain - HCP Survey Email - June 2025")</f>
        <v>Spain - HCP Survey Email - June 2025</v>
      </c>
      <c r="C3345" s="3" t="str">
        <f>HYPERLINK("https://otsuka-europe-crm.veevavault.com/ui/#object/sent_email__v/VBLZ025E82GN07W", "SE-000270462")</f>
        <v>SE-000270462</v>
      </c>
      <c r="D3345" s="1">
        <v>45921.358530092592</v>
      </c>
      <c r="E3345" s="2">
        <v>1</v>
      </c>
      <c r="F3345" s="2">
        <v>3</v>
      </c>
      <c r="G3345" s="2">
        <v>0</v>
      </c>
      <c r="H3345" s="1" t="s">
        <v>0</v>
      </c>
      <c r="I3345" s="2">
        <v>0</v>
      </c>
      <c r="J3345" s="1">
        <v>45915.37972222222</v>
      </c>
    </row>
    <row r="3346" spans="1:10" x14ac:dyDescent="0.2">
      <c r="A3346" s="4" t="s">
        <v>1</v>
      </c>
      <c r="B3346" s="3" t="str">
        <f>HYPERLINK("https://otsuka-europe-crm.veevavault.com/ui/#object/approved_document__v/V5OZ025E82TFUPI", "Spain - HCP Survey Email - June 2025")</f>
        <v>Spain - HCP Survey Email - June 2025</v>
      </c>
      <c r="C3346" s="3" t="str">
        <f>HYPERLINK("https://otsuka-europe-crm.veevavault.com/ui/#object/sent_email__v/VBLZ025E82GN07X", "SE-000270463")</f>
        <v>SE-000270463</v>
      </c>
      <c r="D3346" s="1" t="s">
        <v>0</v>
      </c>
      <c r="E3346" s="2">
        <v>0</v>
      </c>
      <c r="F3346" s="2">
        <v>0</v>
      </c>
      <c r="G3346" s="2">
        <v>0</v>
      </c>
      <c r="H3346" s="1" t="s">
        <v>0</v>
      </c>
      <c r="I3346" s="2">
        <v>0</v>
      </c>
      <c r="J3346" s="1">
        <v>45915.379490740743</v>
      </c>
    </row>
    <row r="3347" spans="1:10" x14ac:dyDescent="0.2">
      <c r="A3347" s="4" t="s">
        <v>1</v>
      </c>
      <c r="B3347" s="3" t="str">
        <f>HYPERLINK("https://otsuka-europe-crm.veevavault.com/ui/#object/approved_document__v/V5OZ025E82TFUPI", "Spain - HCP Survey Email - June 2025")</f>
        <v>Spain - HCP Survey Email - June 2025</v>
      </c>
      <c r="C3347" s="3" t="str">
        <f>HYPERLINK("https://otsuka-europe-crm.veevavault.com/ui/#object/sent_email__v/VBLZ025E82GN07Y", "SE-000270464")</f>
        <v>SE-000270464</v>
      </c>
      <c r="D3347" s="1" t="s">
        <v>0</v>
      </c>
      <c r="E3347" s="2">
        <v>0</v>
      </c>
      <c r="F3347" s="2">
        <v>0</v>
      </c>
      <c r="G3347" s="2">
        <v>0</v>
      </c>
      <c r="H3347" s="1" t="s">
        <v>0</v>
      </c>
      <c r="I3347" s="2">
        <v>0</v>
      </c>
      <c r="J3347" s="1">
        <v>45915.377476851849</v>
      </c>
    </row>
    <row r="3348" spans="1:10" x14ac:dyDescent="0.2">
      <c r="A3348" s="4" t="s">
        <v>1</v>
      </c>
      <c r="B3348" s="3" t="str">
        <f>HYPERLINK("https://otsuka-europe-crm.veevavault.com/ui/#object/approved_document__v/V5OZ025E82TFUPI", "Spain - HCP Survey Email - June 2025")</f>
        <v>Spain - HCP Survey Email - June 2025</v>
      </c>
      <c r="C3348" s="3" t="str">
        <f>HYPERLINK("https://otsuka-europe-crm.veevavault.com/ui/#object/sent_email__v/VBLZ025E82GN07Z", "SE-000270465")</f>
        <v>SE-000270465</v>
      </c>
      <c r="D3348" s="1" t="s">
        <v>0</v>
      </c>
      <c r="E3348" s="2">
        <v>0</v>
      </c>
      <c r="F3348" s="2">
        <v>0</v>
      </c>
      <c r="G3348" s="2">
        <v>0</v>
      </c>
      <c r="H3348" s="1" t="s">
        <v>0</v>
      </c>
      <c r="I3348" s="2">
        <v>0</v>
      </c>
      <c r="J3348" s="1">
        <v>45915.378298611111</v>
      </c>
    </row>
    <row r="3349" spans="1:10" x14ac:dyDescent="0.2">
      <c r="A3349" s="4" t="s">
        <v>1</v>
      </c>
      <c r="B3349" s="3" t="str">
        <f>HYPERLINK("https://otsuka-europe-crm.veevavault.com/ui/#object/approved_document__v/V5OZ025E82TFUPI", "Spain - HCP Survey Email - June 2025")</f>
        <v>Spain - HCP Survey Email - June 2025</v>
      </c>
      <c r="C3349" s="3" t="str">
        <f>HYPERLINK("https://otsuka-europe-crm.veevavault.com/ui/#object/sent_email__v/VBLZ025E82GN080", "SE-000270466")</f>
        <v>SE-000270466</v>
      </c>
      <c r="D3349" s="1" t="s">
        <v>0</v>
      </c>
      <c r="E3349" s="2">
        <v>0</v>
      </c>
      <c r="F3349" s="2">
        <v>0</v>
      </c>
      <c r="G3349" s="2">
        <v>0</v>
      </c>
      <c r="H3349" s="1" t="s">
        <v>0</v>
      </c>
      <c r="I3349" s="2">
        <v>0</v>
      </c>
      <c r="J3349" s="1">
        <v>45915.37809027778</v>
      </c>
    </row>
    <row r="3350" spans="1:10" x14ac:dyDescent="0.2">
      <c r="A3350" s="4" t="s">
        <v>1</v>
      </c>
      <c r="B3350" s="3" t="str">
        <f>HYPERLINK("https://otsuka-europe-crm.veevavault.com/ui/#object/approved_document__v/V5OZ025E82TFUPI", "Spain - HCP Survey Email - June 2025")</f>
        <v>Spain - HCP Survey Email - June 2025</v>
      </c>
      <c r="C3350" s="3" t="str">
        <f>HYPERLINK("https://otsuka-europe-crm.veevavault.com/ui/#object/sent_email__v/VBLZ025E82GN081", "SE-000270467")</f>
        <v>SE-000270467</v>
      </c>
      <c r="D3350" s="1" t="s">
        <v>0</v>
      </c>
      <c r="E3350" s="2">
        <v>0</v>
      </c>
      <c r="F3350" s="2">
        <v>0</v>
      </c>
      <c r="G3350" s="2">
        <v>0</v>
      </c>
      <c r="H3350" s="1" t="s">
        <v>0</v>
      </c>
      <c r="I3350" s="2">
        <v>0</v>
      </c>
      <c r="J3350" s="1">
        <v>45915.378599537034</v>
      </c>
    </row>
    <row r="3351" spans="1:10" x14ac:dyDescent="0.2">
      <c r="A3351" s="4" t="s">
        <v>1</v>
      </c>
      <c r="B3351" s="3" t="str">
        <f>HYPERLINK("https://otsuka-europe-crm.veevavault.com/ui/#object/approved_document__v/V5OZ025E82TFUPI", "Spain - HCP Survey Email - June 2025")</f>
        <v>Spain - HCP Survey Email - June 2025</v>
      </c>
      <c r="C3351" s="3" t="str">
        <f>HYPERLINK("https://otsuka-europe-crm.veevavault.com/ui/#object/sent_email__v/VBLZ025E82GN082", "SE-000270468")</f>
        <v>SE-000270468</v>
      </c>
      <c r="D3351" s="1" t="s">
        <v>0</v>
      </c>
      <c r="E3351" s="2">
        <v>0</v>
      </c>
      <c r="F3351" s="2">
        <v>0</v>
      </c>
      <c r="G3351" s="2">
        <v>0</v>
      </c>
      <c r="H3351" s="1" t="s">
        <v>0</v>
      </c>
      <c r="I3351" s="2">
        <v>0</v>
      </c>
      <c r="J3351" s="1">
        <v>45915.379699074074</v>
      </c>
    </row>
    <row r="3352" spans="1:10" x14ac:dyDescent="0.2">
      <c r="A3352" s="4" t="s">
        <v>1</v>
      </c>
      <c r="B3352" s="3" t="str">
        <f>HYPERLINK("https://otsuka-europe-crm.veevavault.com/ui/#object/approved_document__v/V5OZ025E82TFUPI", "Spain - HCP Survey Email - June 2025")</f>
        <v>Spain - HCP Survey Email - June 2025</v>
      </c>
      <c r="C3352" s="3" t="str">
        <f>HYPERLINK("https://otsuka-europe-crm.veevavault.com/ui/#object/sent_email__v/VBLZ025E82GN083", "SE-000270469")</f>
        <v>SE-000270469</v>
      </c>
      <c r="D3352" s="1">
        <v>45915.38726851852</v>
      </c>
      <c r="E3352" s="2">
        <v>1</v>
      </c>
      <c r="F3352" s="2">
        <v>1</v>
      </c>
      <c r="G3352" s="2">
        <v>0</v>
      </c>
      <c r="H3352" s="1" t="s">
        <v>0</v>
      </c>
      <c r="I3352" s="2">
        <v>0</v>
      </c>
      <c r="J3352" s="1">
        <v>45915.377627314818</v>
      </c>
    </row>
    <row r="3353" spans="1:10" x14ac:dyDescent="0.2">
      <c r="A3353" s="4" t="s">
        <v>1</v>
      </c>
      <c r="B3353" s="3" t="str">
        <f>HYPERLINK("https://otsuka-europe-crm.veevavault.com/ui/#object/approved_document__v/V5OZ025E82TFUPI", "Spain - HCP Survey Email - June 2025")</f>
        <v>Spain - HCP Survey Email - June 2025</v>
      </c>
      <c r="C3353" s="3" t="str">
        <f>HYPERLINK("https://otsuka-europe-crm.veevavault.com/ui/#object/sent_email__v/VBLZ025E82GN084", "SE-000270470")</f>
        <v>SE-000270470</v>
      </c>
      <c r="D3353" s="1">
        <v>45920.410150462965</v>
      </c>
      <c r="E3353" s="2">
        <v>1</v>
      </c>
      <c r="F3353" s="2">
        <v>4</v>
      </c>
      <c r="G3353" s="2">
        <v>1</v>
      </c>
      <c r="H3353" s="1">
        <v>45915.483888888892</v>
      </c>
      <c r="I3353" s="2">
        <v>1</v>
      </c>
      <c r="J3353" s="1">
        <v>45915.377604166664</v>
      </c>
    </row>
    <row r="3354" spans="1:10" x14ac:dyDescent="0.2">
      <c r="A3354" s="4" t="s">
        <v>1</v>
      </c>
      <c r="B3354" s="3" t="str">
        <f>HYPERLINK("https://otsuka-europe-crm.veevavault.com/ui/#object/approved_document__v/V5OZ025E82TFUPI", "Spain - HCP Survey Email - June 2025")</f>
        <v>Spain - HCP Survey Email - June 2025</v>
      </c>
      <c r="C3354" s="3" t="str">
        <f>HYPERLINK("https://otsuka-europe-crm.veevavault.com/ui/#object/sent_email__v/VBLZ025E82GN085", "SE-000270471")</f>
        <v>SE-000270471</v>
      </c>
      <c r="D3354" s="1" t="s">
        <v>0</v>
      </c>
      <c r="E3354" s="2">
        <v>0</v>
      </c>
      <c r="F3354" s="2">
        <v>0</v>
      </c>
      <c r="G3354" s="2">
        <v>0</v>
      </c>
      <c r="H3354" s="1" t="s">
        <v>0</v>
      </c>
      <c r="I3354" s="2">
        <v>0</v>
      </c>
      <c r="J3354" s="1">
        <v>45915.377997685187</v>
      </c>
    </row>
    <row r="3355" spans="1:10" x14ac:dyDescent="0.2">
      <c r="A3355" s="4" t="s">
        <v>1</v>
      </c>
      <c r="B3355" s="3" t="str">
        <f>HYPERLINK("https://otsuka-europe-crm.veevavault.com/ui/#object/approved_document__v/V5OZ025E82TFUPI", "Spain - HCP Survey Email - June 2025")</f>
        <v>Spain - HCP Survey Email - June 2025</v>
      </c>
      <c r="C3355" s="3" t="str">
        <f>HYPERLINK("https://otsuka-europe-crm.veevavault.com/ui/#object/sent_email__v/VBLZ025E82GN086", "SE-000270472")</f>
        <v>SE-000270472</v>
      </c>
      <c r="D3355" s="1" t="s">
        <v>0</v>
      </c>
      <c r="E3355" s="2">
        <v>0</v>
      </c>
      <c r="F3355" s="2">
        <v>0</v>
      </c>
      <c r="G3355" s="2">
        <v>0</v>
      </c>
      <c r="H3355" s="1" t="s">
        <v>0</v>
      </c>
      <c r="I3355" s="2">
        <v>0</v>
      </c>
      <c r="J3355" s="1">
        <v>45915.378993055558</v>
      </c>
    </row>
    <row r="3356" spans="1:10" x14ac:dyDescent="0.2">
      <c r="A3356" s="4" t="s">
        <v>1</v>
      </c>
      <c r="B3356" s="3" t="str">
        <f>HYPERLINK("https://otsuka-europe-crm.veevavault.com/ui/#object/approved_document__v/V5OZ025E82TFUPI", "Spain - HCP Survey Email - June 2025")</f>
        <v>Spain - HCP Survey Email - June 2025</v>
      </c>
      <c r="C3356" s="3" t="str">
        <f>HYPERLINK("https://otsuka-europe-crm.veevavault.com/ui/#object/sent_email__v/VBLZ025E82GN087", "SE-000270473")</f>
        <v>SE-000270473</v>
      </c>
      <c r="D3356" s="1">
        <v>45915.820162037038</v>
      </c>
      <c r="E3356" s="2">
        <v>1</v>
      </c>
      <c r="F3356" s="2">
        <v>1</v>
      </c>
      <c r="G3356" s="2">
        <v>1</v>
      </c>
      <c r="H3356" s="1">
        <v>45915.820370370369</v>
      </c>
      <c r="I3356" s="2">
        <v>1</v>
      </c>
      <c r="J3356" s="1">
        <v>45915.379710648151</v>
      </c>
    </row>
    <row r="3357" spans="1:10" x14ac:dyDescent="0.2">
      <c r="A3357" s="4" t="s">
        <v>1</v>
      </c>
      <c r="B3357" s="3" t="str">
        <f>HYPERLINK("https://otsuka-europe-crm.veevavault.com/ui/#object/approved_document__v/V5OZ025E82TFUPI", "Spain - HCP Survey Email - June 2025")</f>
        <v>Spain - HCP Survey Email - June 2025</v>
      </c>
      <c r="C3357" s="3" t="str">
        <f>HYPERLINK("https://otsuka-europe-crm.veevavault.com/ui/#object/sent_email__v/VBLZ025E82GN088", "SE-000270474")</f>
        <v>SE-000270474</v>
      </c>
      <c r="D3357" s="1">
        <v>45916.888275462959</v>
      </c>
      <c r="E3357" s="2">
        <v>1</v>
      </c>
      <c r="F3357" s="2">
        <v>2</v>
      </c>
      <c r="G3357" s="2">
        <v>0</v>
      </c>
      <c r="H3357" s="1" t="s">
        <v>0</v>
      </c>
      <c r="I3357" s="2">
        <v>0</v>
      </c>
      <c r="J3357" s="1">
        <v>45915.379363425927</v>
      </c>
    </row>
    <row r="3358" spans="1:10" x14ac:dyDescent="0.2">
      <c r="A3358" s="4" t="s">
        <v>1</v>
      </c>
      <c r="B3358" s="3" t="str">
        <f>HYPERLINK("https://otsuka-europe-crm.veevavault.com/ui/#object/approved_document__v/V5OZ025E82TFUPI", "Spain - HCP Survey Email - June 2025")</f>
        <v>Spain - HCP Survey Email - June 2025</v>
      </c>
      <c r="C3358" s="3" t="str">
        <f>HYPERLINK("https://otsuka-europe-crm.veevavault.com/ui/#object/sent_email__v/VBLZ025E82GN089", "SE-000270475")</f>
        <v>SE-000270475</v>
      </c>
      <c r="D3358" s="1" t="s">
        <v>0</v>
      </c>
      <c r="E3358" s="2">
        <v>0</v>
      </c>
      <c r="F3358" s="2">
        <v>0</v>
      </c>
      <c r="G3358" s="2">
        <v>0</v>
      </c>
      <c r="H3358" s="1" t="s">
        <v>0</v>
      </c>
      <c r="I3358" s="2">
        <v>0</v>
      </c>
      <c r="J3358" s="1">
        <v>45915.377488425926</v>
      </c>
    </row>
    <row r="3359" spans="1:10" x14ac:dyDescent="0.2">
      <c r="A3359" s="4" t="s">
        <v>1</v>
      </c>
      <c r="B3359" s="3" t="str">
        <f>HYPERLINK("https://otsuka-europe-crm.veevavault.com/ui/#object/approved_document__v/V5OZ025E82TFUPI", "Spain - HCP Survey Email - June 2025")</f>
        <v>Spain - HCP Survey Email - June 2025</v>
      </c>
      <c r="C3359" s="3" t="str">
        <f>HYPERLINK("https://otsuka-europe-crm.veevavault.com/ui/#object/sent_email__v/VBLZ025E82GN08A", "SE-000270476")</f>
        <v>SE-000270476</v>
      </c>
      <c r="D3359" s="1">
        <v>45915.466874999998</v>
      </c>
      <c r="E3359" s="2">
        <v>1</v>
      </c>
      <c r="F3359" s="2">
        <v>1</v>
      </c>
      <c r="G3359" s="2">
        <v>1</v>
      </c>
      <c r="H3359" s="1">
        <v>45915.46702546296</v>
      </c>
      <c r="I3359" s="2">
        <v>1</v>
      </c>
      <c r="J3359" s="1">
        <v>45915.378067129626</v>
      </c>
    </row>
    <row r="3360" spans="1:10" x14ac:dyDescent="0.2">
      <c r="A3360" s="4" t="s">
        <v>1</v>
      </c>
      <c r="B3360" s="3" t="str">
        <f>HYPERLINK("https://otsuka-europe-crm.veevavault.com/ui/#object/approved_document__v/V5OZ025E82TFUPI", "Spain - HCP Survey Email - June 2025")</f>
        <v>Spain - HCP Survey Email - June 2025</v>
      </c>
      <c r="C3360" s="3" t="str">
        <f>HYPERLINK("https://otsuka-europe-crm.veevavault.com/ui/#object/sent_email__v/VBLZ025E82GN08B", "SE-000270477")</f>
        <v>SE-000270477</v>
      </c>
      <c r="D3360" s="1" t="s">
        <v>0</v>
      </c>
      <c r="E3360" s="2">
        <v>0</v>
      </c>
      <c r="F3360" s="2">
        <v>0</v>
      </c>
      <c r="G3360" s="2">
        <v>0</v>
      </c>
      <c r="H3360" s="1" t="s">
        <v>0</v>
      </c>
      <c r="I3360" s="2">
        <v>0</v>
      </c>
      <c r="J3360" s="1">
        <v>45915.379050925927</v>
      </c>
    </row>
    <row r="3361" spans="1:10" x14ac:dyDescent="0.2">
      <c r="A3361" s="4" t="s">
        <v>1</v>
      </c>
      <c r="B3361" s="3" t="str">
        <f>HYPERLINK("https://otsuka-europe-crm.veevavault.com/ui/#object/approved_document__v/V5OZ025E82TFUPI", "Spain - HCP Survey Email - June 2025")</f>
        <v>Spain - HCP Survey Email - June 2025</v>
      </c>
      <c r="C3361" s="3" t="str">
        <f>HYPERLINK("https://otsuka-europe-crm.veevavault.com/ui/#object/sent_email__v/VBLZ025E82GN08C", "SE-000270478")</f>
        <v>SE-000270478</v>
      </c>
      <c r="D3361" s="1">
        <v>45915.394074074073</v>
      </c>
      <c r="E3361" s="2">
        <v>1</v>
      </c>
      <c r="F3361" s="2">
        <v>1</v>
      </c>
      <c r="G3361" s="2">
        <v>1</v>
      </c>
      <c r="H3361" s="1">
        <v>45915.394375000003</v>
      </c>
      <c r="I3361" s="2">
        <v>2</v>
      </c>
      <c r="J3361" s="1">
        <v>45915.379837962966</v>
      </c>
    </row>
    <row r="3362" spans="1:10" x14ac:dyDescent="0.2">
      <c r="A3362" s="4" t="s">
        <v>1</v>
      </c>
      <c r="B3362" s="3" t="str">
        <f>HYPERLINK("https://otsuka-europe-crm.veevavault.com/ui/#object/approved_document__v/V5OZ025E82TFUPI", "Spain - HCP Survey Email - June 2025")</f>
        <v>Spain - HCP Survey Email - June 2025</v>
      </c>
      <c r="C3362" s="3" t="str">
        <f>HYPERLINK("https://otsuka-europe-crm.veevavault.com/ui/#object/sent_email__v/VBLZ025E82GN08D", "SE-000270479")</f>
        <v>SE-000270479</v>
      </c>
      <c r="D3362" s="1">
        <v>45916.782824074071</v>
      </c>
      <c r="E3362" s="2">
        <v>1</v>
      </c>
      <c r="F3362" s="2">
        <v>1</v>
      </c>
      <c r="G3362" s="2">
        <v>0</v>
      </c>
      <c r="H3362" s="1" t="s">
        <v>0</v>
      </c>
      <c r="I3362" s="2">
        <v>0</v>
      </c>
      <c r="J3362" s="1">
        <v>45915.37945601852</v>
      </c>
    </row>
    <row r="3363" spans="1:10" x14ac:dyDescent="0.2">
      <c r="A3363" s="4" t="s">
        <v>1</v>
      </c>
      <c r="B3363" s="3" t="str">
        <f>HYPERLINK("https://otsuka-europe-crm.veevavault.com/ui/#object/approved_document__v/V5OZ025E82TFUPI", "Spain - HCP Survey Email - June 2025")</f>
        <v>Spain - HCP Survey Email - June 2025</v>
      </c>
      <c r="C3363" s="3" t="str">
        <f>HYPERLINK("https://otsuka-europe-crm.veevavault.com/ui/#object/sent_email__v/VBLZ025E82GN08E", "SE-000270480")</f>
        <v>SE-000270480</v>
      </c>
      <c r="D3363" s="1">
        <v>45915.394768518519</v>
      </c>
      <c r="E3363" s="2">
        <v>1</v>
      </c>
      <c r="F3363" s="2">
        <v>1</v>
      </c>
      <c r="G3363" s="2">
        <v>0</v>
      </c>
      <c r="H3363" s="1" t="s">
        <v>0</v>
      </c>
      <c r="I3363" s="2">
        <v>0</v>
      </c>
      <c r="J3363" s="1">
        <v>45915.377789351849</v>
      </c>
    </row>
    <row r="3364" spans="1:10" x14ac:dyDescent="0.2">
      <c r="A3364" s="4" t="s">
        <v>1</v>
      </c>
      <c r="B3364" s="3" t="str">
        <f>HYPERLINK("https://otsuka-europe-crm.veevavault.com/ui/#object/approved_document__v/V5OZ025E82TFUPI", "Spain - HCP Survey Email - June 2025")</f>
        <v>Spain - HCP Survey Email - June 2025</v>
      </c>
      <c r="C3364" s="3" t="str">
        <f>HYPERLINK("https://otsuka-europe-crm.veevavault.com/ui/#object/sent_email__v/VBLZ025E82GN08F", "SE-000270481")</f>
        <v>SE-000270481</v>
      </c>
      <c r="D3364" s="1" t="s">
        <v>0</v>
      </c>
      <c r="E3364" s="2">
        <v>0</v>
      </c>
      <c r="F3364" s="2">
        <v>0</v>
      </c>
      <c r="G3364" s="2">
        <v>0</v>
      </c>
      <c r="H3364" s="1" t="s">
        <v>0</v>
      </c>
      <c r="I3364" s="2">
        <v>0</v>
      </c>
      <c r="J3364" s="1">
        <v>45915.378229166665</v>
      </c>
    </row>
    <row r="3365" spans="1:10" x14ac:dyDescent="0.2">
      <c r="A3365" s="4" t="s">
        <v>1</v>
      </c>
      <c r="B3365" s="3" t="str">
        <f>HYPERLINK("https://otsuka-europe-crm.veevavault.com/ui/#object/approved_document__v/V5OZ025E82TFUPI", "Spain - HCP Survey Email - June 2025")</f>
        <v>Spain - HCP Survey Email - June 2025</v>
      </c>
      <c r="C3365" s="3" t="str">
        <f>HYPERLINK("https://otsuka-europe-crm.veevavault.com/ui/#object/sent_email__v/VBLZ025E82GN08G", "SE-000270482")</f>
        <v>SE-000270482</v>
      </c>
      <c r="D3365" s="1">
        <v>45915.501192129632</v>
      </c>
      <c r="E3365" s="2">
        <v>1</v>
      </c>
      <c r="F3365" s="2">
        <v>1</v>
      </c>
      <c r="G3365" s="2">
        <v>0</v>
      </c>
      <c r="H3365" s="1" t="s">
        <v>0</v>
      </c>
      <c r="I3365" s="2">
        <v>0</v>
      </c>
      <c r="J3365" s="1">
        <v>45915.37809027778</v>
      </c>
    </row>
    <row r="3366" spans="1:10" x14ac:dyDescent="0.2">
      <c r="A3366" s="4" t="s">
        <v>1</v>
      </c>
      <c r="B3366" s="3" t="str">
        <f>HYPERLINK("https://otsuka-europe-crm.veevavault.com/ui/#object/approved_document__v/V5OZ025E82TFUPI", "Spain - HCP Survey Email - June 2025")</f>
        <v>Spain - HCP Survey Email - June 2025</v>
      </c>
      <c r="C3366" s="3" t="str">
        <f>HYPERLINK("https://otsuka-europe-crm.veevavault.com/ui/#object/sent_email__v/VBLZ025E82GN08H", "SE-000270483")</f>
        <v>SE-000270483</v>
      </c>
      <c r="D3366" s="1" t="s">
        <v>0</v>
      </c>
      <c r="E3366" s="2">
        <v>0</v>
      </c>
      <c r="F3366" s="2">
        <v>0</v>
      </c>
      <c r="G3366" s="2">
        <v>0</v>
      </c>
      <c r="H3366" s="1" t="s">
        <v>0</v>
      </c>
      <c r="I3366" s="2">
        <v>0</v>
      </c>
      <c r="J3366" s="1">
        <v>45915.378530092596</v>
      </c>
    </row>
    <row r="3367" spans="1:10" x14ac:dyDescent="0.2">
      <c r="A3367" s="4" t="s">
        <v>1</v>
      </c>
      <c r="B3367" s="3" t="str">
        <f>HYPERLINK("https://otsuka-europe-crm.veevavault.com/ui/#object/approved_document__v/V5OZ025E82TFUPI", "Spain - HCP Survey Email - June 2025")</f>
        <v>Spain - HCP Survey Email - June 2025</v>
      </c>
      <c r="C3367" s="3" t="str">
        <f>HYPERLINK("https://otsuka-europe-crm.veevavault.com/ui/#object/sent_email__v/VBLZ025E82GN08I", "SE-000270484")</f>
        <v>SE-000270484</v>
      </c>
      <c r="D3367" s="1">
        <v>45915.530370370368</v>
      </c>
      <c r="E3367" s="2">
        <v>1</v>
      </c>
      <c r="F3367" s="2">
        <v>1</v>
      </c>
      <c r="G3367" s="2">
        <v>0</v>
      </c>
      <c r="H3367" s="1" t="s">
        <v>0</v>
      </c>
      <c r="I3367" s="2">
        <v>0</v>
      </c>
      <c r="J3367" s="1">
        <v>45915.379826388889</v>
      </c>
    </row>
    <row r="3368" spans="1:10" x14ac:dyDescent="0.2">
      <c r="A3368" s="4" t="s">
        <v>1</v>
      </c>
      <c r="B3368" s="3" t="str">
        <f>HYPERLINK("https://otsuka-europe-crm.veevavault.com/ui/#object/approved_document__v/V5OZ025E82TFUPI", "Spain - HCP Survey Email - June 2025")</f>
        <v>Spain - HCP Survey Email - June 2025</v>
      </c>
      <c r="C3368" s="3" t="str">
        <f>HYPERLINK("https://otsuka-europe-crm.veevavault.com/ui/#object/sent_email__v/VBLZ025E82GN08J", "SE-000270485")</f>
        <v>SE-000270485</v>
      </c>
      <c r="D3368" s="1" t="s">
        <v>0</v>
      </c>
      <c r="E3368" s="2">
        <v>0</v>
      </c>
      <c r="F3368" s="2">
        <v>0</v>
      </c>
      <c r="G3368" s="2">
        <v>0</v>
      </c>
      <c r="H3368" s="1" t="s">
        <v>0</v>
      </c>
      <c r="I3368" s="2">
        <v>0</v>
      </c>
      <c r="J3368" s="1">
        <v>45915.377638888887</v>
      </c>
    </row>
    <row r="3369" spans="1:10" x14ac:dyDescent="0.2">
      <c r="A3369" s="4" t="s">
        <v>1</v>
      </c>
      <c r="B3369" s="3" t="str">
        <f>HYPERLINK("https://otsuka-europe-crm.veevavault.com/ui/#object/approved_document__v/V5OZ025E82TFUPI", "Spain - HCP Survey Email - June 2025")</f>
        <v>Spain - HCP Survey Email - June 2025</v>
      </c>
      <c r="C3369" s="3" t="str">
        <f>HYPERLINK("https://otsuka-europe-crm.veevavault.com/ui/#object/sent_email__v/VBLZ025E82GN08K", "SE-000270486")</f>
        <v>SE-000270486</v>
      </c>
      <c r="D3369" s="1">
        <v>45915.644305555557</v>
      </c>
      <c r="E3369" s="2">
        <v>1</v>
      </c>
      <c r="F3369" s="2">
        <v>2</v>
      </c>
      <c r="G3369" s="2">
        <v>0</v>
      </c>
      <c r="H3369" s="1" t="s">
        <v>0</v>
      </c>
      <c r="I3369" s="2">
        <v>0</v>
      </c>
      <c r="J3369" s="1">
        <v>45915.377627314818</v>
      </c>
    </row>
    <row r="3370" spans="1:10" x14ac:dyDescent="0.2">
      <c r="A3370" s="4" t="s">
        <v>1</v>
      </c>
      <c r="B3370" s="3" t="str">
        <f>HYPERLINK("https://otsuka-europe-crm.veevavault.com/ui/#object/approved_document__v/V5OZ025E82TFUPI", "Spain - HCP Survey Email - June 2025")</f>
        <v>Spain - HCP Survey Email - June 2025</v>
      </c>
      <c r="C3370" s="3" t="str">
        <f>HYPERLINK("https://otsuka-europe-crm.veevavault.com/ui/#object/sent_email__v/VBLZ025E82GN08L", "SE-000270487")</f>
        <v>SE-000270487</v>
      </c>
      <c r="D3370" s="1">
        <v>45915.868946759256</v>
      </c>
      <c r="E3370" s="2">
        <v>1</v>
      </c>
      <c r="F3370" s="2">
        <v>1</v>
      </c>
      <c r="G3370" s="2">
        <v>1</v>
      </c>
      <c r="H3370" s="1">
        <v>45915.870162037034</v>
      </c>
      <c r="I3370" s="2">
        <v>1</v>
      </c>
      <c r="J3370" s="1">
        <v>45915.37804398148</v>
      </c>
    </row>
    <row r="3371" spans="1:10" x14ac:dyDescent="0.2">
      <c r="A3371" s="4" t="s">
        <v>1</v>
      </c>
      <c r="B3371" s="3" t="str">
        <f>HYPERLINK("https://otsuka-europe-crm.veevavault.com/ui/#object/approved_document__v/V5OZ025E82TFUPI", "Spain - HCP Survey Email - June 2025")</f>
        <v>Spain - HCP Survey Email - June 2025</v>
      </c>
      <c r="C3371" s="3" t="str">
        <f>HYPERLINK("https://otsuka-europe-crm.veevavault.com/ui/#object/sent_email__v/VBLZ025E82GN08M", "SE-000270488")</f>
        <v>SE-000270488</v>
      </c>
      <c r="D3371" s="1" t="s">
        <v>0</v>
      </c>
      <c r="E3371" s="2">
        <v>0</v>
      </c>
      <c r="F3371" s="2">
        <v>0</v>
      </c>
      <c r="G3371" s="2">
        <v>0</v>
      </c>
      <c r="H3371" s="1" t="s">
        <v>0</v>
      </c>
      <c r="I3371" s="2">
        <v>0</v>
      </c>
      <c r="J3371" s="1">
        <v>45915.379074074073</v>
      </c>
    </row>
    <row r="3372" spans="1:10" x14ac:dyDescent="0.2">
      <c r="A3372" s="4" t="s">
        <v>1</v>
      </c>
      <c r="B3372" s="3" t="str">
        <f>HYPERLINK("https://otsuka-europe-crm.veevavault.com/ui/#object/approved_document__v/V5OZ025E82TFUPI", "Spain - HCP Survey Email - June 2025")</f>
        <v>Spain - HCP Survey Email - June 2025</v>
      </c>
      <c r="C3372" s="3" t="str">
        <f>HYPERLINK("https://otsuka-europe-crm.veevavault.com/ui/#object/sent_email__v/VBLZ025E82GN08N", "SE-000270489")</f>
        <v>SE-000270489</v>
      </c>
      <c r="D3372" s="1" t="s">
        <v>0</v>
      </c>
      <c r="E3372" s="2">
        <v>0</v>
      </c>
      <c r="F3372" s="2">
        <v>0</v>
      </c>
      <c r="G3372" s="2">
        <v>0</v>
      </c>
      <c r="H3372" s="1" t="s">
        <v>0</v>
      </c>
      <c r="I3372" s="2">
        <v>0</v>
      </c>
      <c r="J3372" s="1">
        <v>45915.379641203705</v>
      </c>
    </row>
    <row r="3373" spans="1:10" x14ac:dyDescent="0.2">
      <c r="A3373" s="4" t="s">
        <v>1</v>
      </c>
      <c r="B3373" s="3" t="str">
        <f>HYPERLINK("https://otsuka-europe-crm.veevavault.com/ui/#object/approved_document__v/V5OZ025E82TFUPI", "Spain - HCP Survey Email - June 2025")</f>
        <v>Spain - HCP Survey Email - June 2025</v>
      </c>
      <c r="C3373" s="3" t="str">
        <f>HYPERLINK("https://otsuka-europe-crm.veevavault.com/ui/#object/sent_email__v/VBLZ025E82GN08O", "SE-000270490")</f>
        <v>SE-000270490</v>
      </c>
      <c r="D3373" s="1" t="s">
        <v>0</v>
      </c>
      <c r="E3373" s="2">
        <v>0</v>
      </c>
      <c r="F3373" s="2">
        <v>0</v>
      </c>
      <c r="G3373" s="2">
        <v>0</v>
      </c>
      <c r="H3373" s="1" t="s">
        <v>0</v>
      </c>
      <c r="I3373" s="2">
        <v>0</v>
      </c>
      <c r="J3373" s="1">
        <v>45915.379340277781</v>
      </c>
    </row>
    <row r="3374" spans="1:10" x14ac:dyDescent="0.2">
      <c r="A3374" s="4" t="s">
        <v>1</v>
      </c>
      <c r="B3374" s="3" t="str">
        <f>HYPERLINK("https://otsuka-europe-crm.veevavault.com/ui/#object/approved_document__v/V5OZ025E82TFUPI", "Spain - HCP Survey Email - June 2025")</f>
        <v>Spain - HCP Survey Email - June 2025</v>
      </c>
      <c r="C3374" s="3" t="str">
        <f>HYPERLINK("https://otsuka-europe-crm.veevavault.com/ui/#object/sent_email__v/VBLZ025E82GN08P", "SE-000270491")</f>
        <v>SE-000270491</v>
      </c>
      <c r="D3374" s="1">
        <v>45915.413703703707</v>
      </c>
      <c r="E3374" s="2">
        <v>1</v>
      </c>
      <c r="F3374" s="2">
        <v>1</v>
      </c>
      <c r="G3374" s="2">
        <v>0</v>
      </c>
      <c r="H3374" s="1" t="s">
        <v>0</v>
      </c>
      <c r="I3374" s="2">
        <v>0</v>
      </c>
      <c r="J3374" s="1">
        <v>45915.377986111111</v>
      </c>
    </row>
    <row r="3375" spans="1:10" x14ac:dyDescent="0.2">
      <c r="A3375" s="4" t="s">
        <v>1</v>
      </c>
      <c r="B3375" s="3" t="str">
        <f>HYPERLINK("https://otsuka-europe-crm.veevavault.com/ui/#object/approved_document__v/V5OZ025E82TFUPI", "Spain - HCP Survey Email - June 2025")</f>
        <v>Spain - HCP Survey Email - June 2025</v>
      </c>
      <c r="C3375" s="3" t="str">
        <f>HYPERLINK("https://otsuka-europe-crm.veevavault.com/ui/#object/sent_email__v/VBLZ025E82GN08Q", "SE-000270492")</f>
        <v>SE-000270492</v>
      </c>
      <c r="D3375" s="1">
        <v>45915.476168981484</v>
      </c>
      <c r="E3375" s="2">
        <v>1</v>
      </c>
      <c r="F3375" s="2">
        <v>1</v>
      </c>
      <c r="G3375" s="2">
        <v>0</v>
      </c>
      <c r="H3375" s="1" t="s">
        <v>0</v>
      </c>
      <c r="I3375" s="2">
        <v>0</v>
      </c>
      <c r="J3375" s="1">
        <v>45915.378194444442</v>
      </c>
    </row>
    <row r="3376" spans="1:10" x14ac:dyDescent="0.2">
      <c r="A3376" s="4" t="s">
        <v>1</v>
      </c>
      <c r="B3376" s="3" t="str">
        <f>HYPERLINK("https://otsuka-europe-crm.veevavault.com/ui/#object/approved_document__v/V5OZ025E82TFUPI", "Spain - HCP Survey Email - June 2025")</f>
        <v>Spain - HCP Survey Email - June 2025</v>
      </c>
      <c r="C3376" s="3" t="str">
        <f>HYPERLINK("https://otsuka-europe-crm.veevavault.com/ui/#object/sent_email__v/VBLZ025E82GN08R", "SE-000270493")</f>
        <v>SE-000270493</v>
      </c>
      <c r="D3376" s="1">
        <v>45915.379131944443</v>
      </c>
      <c r="E3376" s="2">
        <v>1</v>
      </c>
      <c r="F3376" s="2">
        <v>1</v>
      </c>
      <c r="G3376" s="2">
        <v>0</v>
      </c>
      <c r="H3376" s="1" t="s">
        <v>0</v>
      </c>
      <c r="I3376" s="2">
        <v>0</v>
      </c>
      <c r="J3376" s="1">
        <v>45915.378078703703</v>
      </c>
    </row>
    <row r="3377" spans="1:10" x14ac:dyDescent="0.2">
      <c r="A3377" s="4" t="s">
        <v>1</v>
      </c>
      <c r="B3377" s="3" t="str">
        <f>HYPERLINK("https://otsuka-europe-crm.veevavault.com/ui/#object/approved_document__v/V5OZ025E82TFUPI", "Spain - HCP Survey Email - June 2025")</f>
        <v>Spain - HCP Survey Email - June 2025</v>
      </c>
      <c r="C3377" s="3" t="str">
        <f>HYPERLINK("https://otsuka-europe-crm.veevavault.com/ui/#object/sent_email__v/VBLZ025E82GN08S", "SE-000270494")</f>
        <v>SE-000270494</v>
      </c>
      <c r="D3377" s="1">
        <v>45915.606817129628</v>
      </c>
      <c r="E3377" s="2">
        <v>1</v>
      </c>
      <c r="F3377" s="2">
        <v>1</v>
      </c>
      <c r="G3377" s="2">
        <v>0</v>
      </c>
      <c r="H3377" s="1" t="s">
        <v>0</v>
      </c>
      <c r="I3377" s="2">
        <v>0</v>
      </c>
      <c r="J3377" s="1">
        <v>45915.378576388888</v>
      </c>
    </row>
    <row r="3378" spans="1:10" x14ac:dyDescent="0.2">
      <c r="A3378" s="4" t="s">
        <v>1</v>
      </c>
      <c r="B3378" s="3" t="str">
        <f>HYPERLINK("https://otsuka-europe-crm.veevavault.com/ui/#object/approved_document__v/V5OZ025E82TFUPI", "Spain - HCP Survey Email - June 2025")</f>
        <v>Spain - HCP Survey Email - June 2025</v>
      </c>
      <c r="C3378" s="3" t="str">
        <f>HYPERLINK("https://otsuka-europe-crm.veevavault.com/ui/#object/sent_email__v/VBLZ025E82GN08T", "SE-000270495")</f>
        <v>SE-000270495</v>
      </c>
      <c r="D3378" s="1">
        <v>45915.393726851849</v>
      </c>
      <c r="E3378" s="2">
        <v>1</v>
      </c>
      <c r="F3378" s="2">
        <v>1</v>
      </c>
      <c r="G3378" s="2">
        <v>0</v>
      </c>
      <c r="H3378" s="1" t="s">
        <v>0</v>
      </c>
      <c r="I3378" s="2">
        <v>0</v>
      </c>
      <c r="J3378" s="1">
        <v>45915.379687499997</v>
      </c>
    </row>
    <row r="3379" spans="1:10" x14ac:dyDescent="0.2">
      <c r="A3379" s="4" t="s">
        <v>1</v>
      </c>
      <c r="B3379" s="3" t="str">
        <f>HYPERLINK("https://otsuka-europe-crm.veevavault.com/ui/#object/approved_document__v/V5OZ025E82TFUPI", "Spain - HCP Survey Email - June 2025")</f>
        <v>Spain - HCP Survey Email - June 2025</v>
      </c>
      <c r="C3379" s="3" t="str">
        <f>HYPERLINK("https://otsuka-europe-crm.veevavault.com/ui/#object/sent_email__v/VBLZ025E82GN08U", "SE-000270496")</f>
        <v>SE-000270496</v>
      </c>
      <c r="D3379" s="1">
        <v>45915.499351851853</v>
      </c>
      <c r="E3379" s="2">
        <v>1</v>
      </c>
      <c r="F3379" s="2">
        <v>3</v>
      </c>
      <c r="G3379" s="2">
        <v>0</v>
      </c>
      <c r="H3379" s="1" t="s">
        <v>0</v>
      </c>
      <c r="I3379" s="2">
        <v>0</v>
      </c>
      <c r="J3379" s="1">
        <v>45915.377696759257</v>
      </c>
    </row>
    <row r="3380" spans="1:10" x14ac:dyDescent="0.2">
      <c r="A3380" s="4" t="s">
        <v>1</v>
      </c>
      <c r="B3380" s="3" t="str">
        <f>HYPERLINK("https://otsuka-europe-crm.veevavault.com/ui/#object/approved_document__v/V5OZ025E82TFUPI", "Spain - HCP Survey Email - June 2025")</f>
        <v>Spain - HCP Survey Email - June 2025</v>
      </c>
      <c r="C3380" s="3" t="str">
        <f>HYPERLINK("https://otsuka-europe-crm.veevavault.com/ui/#object/sent_email__v/VBLZ025E82GN08W", "SE-000270498")</f>
        <v>SE-000270498</v>
      </c>
      <c r="D3380" s="1">
        <v>45944.936689814815</v>
      </c>
      <c r="E3380" s="2">
        <v>1</v>
      </c>
      <c r="F3380" s="2">
        <v>2</v>
      </c>
      <c r="G3380" s="2">
        <v>0</v>
      </c>
      <c r="H3380" s="1" t="s">
        <v>0</v>
      </c>
      <c r="I3380" s="2">
        <v>0</v>
      </c>
      <c r="J3380" s="1">
        <v>45915.377986111111</v>
      </c>
    </row>
    <row r="3381" spans="1:10" x14ac:dyDescent="0.2">
      <c r="A3381" s="4" t="s">
        <v>1</v>
      </c>
      <c r="B3381" s="3" t="str">
        <f>HYPERLINK("https://otsuka-europe-crm.veevavault.com/ui/#object/approved_document__v/V5OZ025E82TFUPI", "Spain - HCP Survey Email - June 2025")</f>
        <v>Spain - HCP Survey Email - June 2025</v>
      </c>
      <c r="C3381" s="3" t="str">
        <f>HYPERLINK("https://otsuka-europe-crm.veevavault.com/ui/#object/sent_email__v/VBLZ025E82GN08X", "SE-000270499")</f>
        <v>SE-000270499</v>
      </c>
      <c r="D3381" s="1" t="s">
        <v>0</v>
      </c>
      <c r="E3381" s="2">
        <v>0</v>
      </c>
      <c r="F3381" s="2">
        <v>0</v>
      </c>
      <c r="G3381" s="2">
        <v>0</v>
      </c>
      <c r="H3381" s="1" t="s">
        <v>0</v>
      </c>
      <c r="I3381" s="2">
        <v>0</v>
      </c>
      <c r="J3381" s="1">
        <v>45915.378969907404</v>
      </c>
    </row>
    <row r="3382" spans="1:10" x14ac:dyDescent="0.2">
      <c r="A3382" s="4" t="s">
        <v>1</v>
      </c>
      <c r="B3382" s="3" t="str">
        <f>HYPERLINK("https://otsuka-europe-crm.veevavault.com/ui/#object/approved_document__v/V5OZ025E82TFUPI", "Spain - HCP Survey Email - June 2025")</f>
        <v>Spain - HCP Survey Email - June 2025</v>
      </c>
      <c r="C3382" s="3" t="str">
        <f>HYPERLINK("https://otsuka-europe-crm.veevavault.com/ui/#object/sent_email__v/VBLZ025E82GN08Y", "SE-000270500")</f>
        <v>SE-000270500</v>
      </c>
      <c r="D3382" s="1" t="s">
        <v>0</v>
      </c>
      <c r="E3382" s="2">
        <v>0</v>
      </c>
      <c r="F3382" s="2">
        <v>0</v>
      </c>
      <c r="G3382" s="2">
        <v>0</v>
      </c>
      <c r="H3382" s="1" t="s">
        <v>0</v>
      </c>
      <c r="I3382" s="2">
        <v>0</v>
      </c>
      <c r="J3382" s="1">
        <v>45915.379629629628</v>
      </c>
    </row>
    <row r="3383" spans="1:10" x14ac:dyDescent="0.2">
      <c r="A3383" s="4" t="s">
        <v>1</v>
      </c>
      <c r="B3383" s="3" t="str">
        <f>HYPERLINK("https://otsuka-europe-crm.veevavault.com/ui/#object/approved_document__v/V5OZ025E82TFUPI", "Spain - HCP Survey Email - June 2025")</f>
        <v>Spain - HCP Survey Email - June 2025</v>
      </c>
      <c r="C3383" s="3" t="str">
        <f>HYPERLINK("https://otsuka-europe-crm.veevavault.com/ui/#object/sent_email__v/VBLZ025E82GN08Z", "SE-000270501")</f>
        <v>SE-000270501</v>
      </c>
      <c r="D3383" s="1" t="s">
        <v>0</v>
      </c>
      <c r="E3383" s="2">
        <v>0</v>
      </c>
      <c r="F3383" s="2">
        <v>0</v>
      </c>
      <c r="G3383" s="2">
        <v>0</v>
      </c>
      <c r="H3383" s="1" t="s">
        <v>0</v>
      </c>
      <c r="I3383" s="2">
        <v>0</v>
      </c>
      <c r="J3383" s="1">
        <v>45915.37945601852</v>
      </c>
    </row>
    <row r="3384" spans="1:10" x14ac:dyDescent="0.2">
      <c r="A3384" s="4" t="s">
        <v>1</v>
      </c>
      <c r="B3384" s="3" t="str">
        <f>HYPERLINK("https://otsuka-europe-crm.veevavault.com/ui/#object/approved_document__v/V5OZ025E82TFUPI", "Spain - HCP Survey Email - June 2025")</f>
        <v>Spain - HCP Survey Email - June 2025</v>
      </c>
      <c r="C3384" s="3" t="str">
        <f>HYPERLINK("https://otsuka-europe-crm.veevavault.com/ui/#object/sent_email__v/VBLZ025E82GN090", "SE-000270502")</f>
        <v>SE-000270502</v>
      </c>
      <c r="D3384" s="1" t="s">
        <v>0</v>
      </c>
      <c r="E3384" s="2">
        <v>0</v>
      </c>
      <c r="F3384" s="2">
        <v>0</v>
      </c>
      <c r="G3384" s="2">
        <v>0</v>
      </c>
      <c r="H3384" s="1" t="s">
        <v>0</v>
      </c>
      <c r="I3384" s="2">
        <v>0</v>
      </c>
      <c r="J3384" s="1">
        <v>45915.377488425926</v>
      </c>
    </row>
    <row r="3385" spans="1:10" x14ac:dyDescent="0.2">
      <c r="A3385" s="4" t="s">
        <v>1</v>
      </c>
      <c r="B3385" s="3" t="str">
        <f>HYPERLINK("https://otsuka-europe-crm.veevavault.com/ui/#object/approved_document__v/V5OZ025E82TFUPI", "Spain - HCP Survey Email - June 2025")</f>
        <v>Spain - HCP Survey Email - June 2025</v>
      </c>
      <c r="C3385" s="3" t="str">
        <f>HYPERLINK("https://otsuka-europe-crm.veevavault.com/ui/#object/sent_email__v/VBLZ025E82GN091", "SE-000270503")</f>
        <v>SE-000270503</v>
      </c>
      <c r="D3385" s="1">
        <v>45915.677141203705</v>
      </c>
      <c r="E3385" s="2">
        <v>1</v>
      </c>
      <c r="F3385" s="2">
        <v>2</v>
      </c>
      <c r="G3385" s="2">
        <v>0</v>
      </c>
      <c r="H3385" s="1" t="s">
        <v>0</v>
      </c>
      <c r="I3385" s="2">
        <v>0</v>
      </c>
      <c r="J3385" s="1">
        <v>45915.378182870372</v>
      </c>
    </row>
    <row r="3386" spans="1:10" x14ac:dyDescent="0.2">
      <c r="A3386" s="4" t="s">
        <v>1</v>
      </c>
      <c r="B3386" s="3" t="str">
        <f>HYPERLINK("https://otsuka-europe-crm.veevavault.com/ui/#object/approved_document__v/V5OZ025E82TFUPI", "Spain - HCP Survey Email - June 2025")</f>
        <v>Spain - HCP Survey Email - June 2025</v>
      </c>
      <c r="C3386" s="3" t="str">
        <f>HYPERLINK("https://otsuka-europe-crm.veevavault.com/ui/#object/sent_email__v/VBLZ025E82GN092", "SE-000270504")</f>
        <v>SE-000270504</v>
      </c>
      <c r="D3386" s="1" t="s">
        <v>0</v>
      </c>
      <c r="E3386" s="2">
        <v>0</v>
      </c>
      <c r="F3386" s="2">
        <v>0</v>
      </c>
      <c r="G3386" s="2">
        <v>0</v>
      </c>
      <c r="H3386" s="1" t="s">
        <v>0</v>
      </c>
      <c r="I3386" s="2">
        <v>0</v>
      </c>
      <c r="J3386" s="1">
        <v>45915.378067129626</v>
      </c>
    </row>
    <row r="3387" spans="1:10" x14ac:dyDescent="0.2">
      <c r="A3387" s="4" t="s">
        <v>1</v>
      </c>
      <c r="B3387" s="3" t="str">
        <f>HYPERLINK("https://otsuka-europe-crm.veevavault.com/ui/#object/approved_document__v/V5OZ025E82TFUPI", "Spain - HCP Survey Email - June 2025")</f>
        <v>Spain - HCP Survey Email - June 2025</v>
      </c>
      <c r="C3387" s="3" t="str">
        <f>HYPERLINK("https://otsuka-europe-crm.veevavault.com/ui/#object/sent_email__v/VBLZ025E82GN093", "SE-000270505")</f>
        <v>SE-000270505</v>
      </c>
      <c r="D3387" s="1">
        <v>45928.971493055556</v>
      </c>
      <c r="E3387" s="2">
        <v>1</v>
      </c>
      <c r="F3387" s="2">
        <v>2</v>
      </c>
      <c r="G3387" s="2">
        <v>0</v>
      </c>
      <c r="H3387" s="1" t="s">
        <v>0</v>
      </c>
      <c r="I3387" s="2">
        <v>0</v>
      </c>
      <c r="J3387" s="1">
        <v>45915.378564814811</v>
      </c>
    </row>
    <row r="3388" spans="1:10" x14ac:dyDescent="0.2">
      <c r="A3388" s="4" t="s">
        <v>1</v>
      </c>
      <c r="B3388" s="3" t="str">
        <f>HYPERLINK("https://otsuka-europe-crm.veevavault.com/ui/#object/approved_document__v/V5OZ025E82TFUPI", "Spain - HCP Survey Email - June 2025")</f>
        <v>Spain - HCP Survey Email - June 2025</v>
      </c>
      <c r="C3388" s="3" t="str">
        <f>HYPERLINK("https://otsuka-europe-crm.veevavault.com/ui/#object/sent_email__v/VBLZ025E82GN094", "SE-000270506")</f>
        <v>SE-000270506</v>
      </c>
      <c r="D3388" s="1" t="s">
        <v>0</v>
      </c>
      <c r="E3388" s="2">
        <v>0</v>
      </c>
      <c r="F3388" s="2">
        <v>0</v>
      </c>
      <c r="G3388" s="2">
        <v>0</v>
      </c>
      <c r="H3388" s="1" t="s">
        <v>0</v>
      </c>
      <c r="I3388" s="2">
        <v>0</v>
      </c>
      <c r="J3388" s="1">
        <v>45915.379791666666</v>
      </c>
    </row>
    <row r="3389" spans="1:10" x14ac:dyDescent="0.2">
      <c r="A3389" s="4" t="s">
        <v>1</v>
      </c>
      <c r="B3389" s="3" t="str">
        <f>HYPERLINK("https://otsuka-europe-crm.veevavault.com/ui/#object/approved_document__v/V5OZ025E82TFUPI", "Spain - HCP Survey Email - June 2025")</f>
        <v>Spain - HCP Survey Email - June 2025</v>
      </c>
      <c r="C3389" s="3" t="str">
        <f>HYPERLINK("https://otsuka-europe-crm.veevavault.com/ui/#object/sent_email__v/VBLZ025E82GN095", "SE-000270507")</f>
        <v>SE-000270507</v>
      </c>
      <c r="D3389" s="1">
        <v>45915.440972222219</v>
      </c>
      <c r="E3389" s="2">
        <v>1</v>
      </c>
      <c r="F3389" s="2">
        <v>1</v>
      </c>
      <c r="G3389" s="2">
        <v>1</v>
      </c>
      <c r="H3389" s="1">
        <v>45915.440972222219</v>
      </c>
      <c r="I3389" s="2">
        <v>1</v>
      </c>
      <c r="J3389" s="1">
        <v>45915.377708333333</v>
      </c>
    </row>
    <row r="3390" spans="1:10" x14ac:dyDescent="0.2">
      <c r="A3390" s="4" t="s">
        <v>1</v>
      </c>
      <c r="B3390" s="3" t="str">
        <f>HYPERLINK("https://otsuka-europe-crm.veevavault.com/ui/#object/approved_document__v/V5OZ025E82TFUPI", "Spain - HCP Survey Email - June 2025")</f>
        <v>Spain - HCP Survey Email - June 2025</v>
      </c>
      <c r="C3390" s="3" t="str">
        <f>HYPERLINK("https://otsuka-europe-crm.veevavault.com/ui/#object/sent_email__v/VBLZ025E82GN096", "SE-000270508")</f>
        <v>SE-000270508</v>
      </c>
      <c r="D3390" s="1" t="s">
        <v>0</v>
      </c>
      <c r="E3390" s="2">
        <v>0</v>
      </c>
      <c r="F3390" s="2">
        <v>0</v>
      </c>
      <c r="G3390" s="2">
        <v>0</v>
      </c>
      <c r="H3390" s="1" t="s">
        <v>0</v>
      </c>
      <c r="I3390" s="2">
        <v>0</v>
      </c>
      <c r="J3390" s="1">
        <v>45915.377592592595</v>
      </c>
    </row>
    <row r="3391" spans="1:10" x14ac:dyDescent="0.2">
      <c r="A3391" s="4" t="s">
        <v>1</v>
      </c>
      <c r="B3391" s="3" t="str">
        <f>HYPERLINK("https://otsuka-europe-crm.veevavault.com/ui/#object/approved_document__v/V5OZ025E82TFUPI", "Spain - HCP Survey Email - June 2025")</f>
        <v>Spain - HCP Survey Email - June 2025</v>
      </c>
      <c r="C3391" s="3" t="str">
        <f>HYPERLINK("https://otsuka-europe-crm.veevavault.com/ui/#object/sent_email__v/VBLZ025E82GN097", "SE-000270509")</f>
        <v>SE-000270509</v>
      </c>
      <c r="D3391" s="1" t="s">
        <v>0</v>
      </c>
      <c r="E3391" s="2">
        <v>0</v>
      </c>
      <c r="F3391" s="2">
        <v>0</v>
      </c>
      <c r="G3391" s="2">
        <v>0</v>
      </c>
      <c r="H3391" s="1" t="s">
        <v>0</v>
      </c>
      <c r="I3391" s="2">
        <v>0</v>
      </c>
      <c r="J3391" s="1">
        <v>45915.377997685187</v>
      </c>
    </row>
    <row r="3392" spans="1:10" x14ac:dyDescent="0.2">
      <c r="A3392" s="4" t="s">
        <v>1</v>
      </c>
      <c r="B3392" s="3" t="str">
        <f>HYPERLINK("https://otsuka-europe-crm.veevavault.com/ui/#object/approved_document__v/V5OZ025E82TFUPI", "Spain - HCP Survey Email - June 2025")</f>
        <v>Spain - HCP Survey Email - June 2025</v>
      </c>
      <c r="C3392" s="3" t="str">
        <f>HYPERLINK("https://otsuka-europe-crm.veevavault.com/ui/#object/sent_email__v/VBLZ025E82GN098", "SE-000270510")</f>
        <v>SE-000270510</v>
      </c>
      <c r="D3392" s="1">
        <v>45942.897314814814</v>
      </c>
      <c r="E3392" s="2">
        <v>1</v>
      </c>
      <c r="F3392" s="2">
        <v>2</v>
      </c>
      <c r="G3392" s="2">
        <v>0</v>
      </c>
      <c r="H3392" s="1" t="s">
        <v>0</v>
      </c>
      <c r="I3392" s="2">
        <v>0</v>
      </c>
      <c r="J3392" s="1">
        <v>45915.37909722222</v>
      </c>
    </row>
    <row r="3393" spans="1:10" x14ac:dyDescent="0.2">
      <c r="A3393" s="4" t="s">
        <v>1</v>
      </c>
      <c r="B3393" s="3" t="str">
        <f>HYPERLINK("https://otsuka-europe-crm.veevavault.com/ui/#object/approved_document__v/V5OZ025E82TFUPI", "Spain - HCP Survey Email - June 2025")</f>
        <v>Spain - HCP Survey Email - June 2025</v>
      </c>
      <c r="C3393" s="3" t="str">
        <f>HYPERLINK("https://otsuka-europe-crm.veevavault.com/ui/#object/sent_email__v/VBLZ025E82GN099", "SE-000270511")</f>
        <v>SE-000270511</v>
      </c>
      <c r="D3393" s="1" t="s">
        <v>0</v>
      </c>
      <c r="E3393" s="2">
        <v>0</v>
      </c>
      <c r="F3393" s="2">
        <v>0</v>
      </c>
      <c r="G3393" s="2">
        <v>0</v>
      </c>
      <c r="H3393" s="1" t="s">
        <v>0</v>
      </c>
      <c r="I3393" s="2">
        <v>0</v>
      </c>
      <c r="J3393" s="1">
        <v>45915.37972222222</v>
      </c>
    </row>
    <row r="3394" spans="1:10" x14ac:dyDescent="0.2">
      <c r="A3394" s="4" t="s">
        <v>1</v>
      </c>
      <c r="B3394" s="3" t="str">
        <f>HYPERLINK("https://otsuka-europe-crm.veevavault.com/ui/#object/approved_document__v/V5OZ025E82TFUPI", "Spain - HCP Survey Email - June 2025")</f>
        <v>Spain - HCP Survey Email - June 2025</v>
      </c>
      <c r="C3394" s="3" t="str">
        <f>HYPERLINK("https://otsuka-europe-crm.veevavault.com/ui/#object/sent_email__v/VBLZ025E82GN09A", "SE-000270512")</f>
        <v>SE-000270512</v>
      </c>
      <c r="D3394" s="1">
        <v>45976.320393518516</v>
      </c>
      <c r="E3394" s="2">
        <v>1</v>
      </c>
      <c r="F3394" s="2">
        <v>5</v>
      </c>
      <c r="G3394" s="2">
        <v>0</v>
      </c>
      <c r="H3394" s="1" t="s">
        <v>0</v>
      </c>
      <c r="I3394" s="2">
        <v>0</v>
      </c>
      <c r="J3394" s="1">
        <v>45915.377604166664</v>
      </c>
    </row>
    <row r="3395" spans="1:10" x14ac:dyDescent="0.2">
      <c r="A3395" s="4" t="s">
        <v>1</v>
      </c>
      <c r="B3395" s="3" t="str">
        <f>HYPERLINK("https://otsuka-europe-crm.veevavault.com/ui/#object/approved_document__v/V5OZ025E82TFUPI", "Spain - HCP Survey Email - June 2025")</f>
        <v>Spain - HCP Survey Email - June 2025</v>
      </c>
      <c r="C3395" s="3" t="str">
        <f>HYPERLINK("https://otsuka-europe-crm.veevavault.com/ui/#object/sent_email__v/VBLZ025E82GN09B", "SE-000270513")</f>
        <v>SE-000270513</v>
      </c>
      <c r="D3395" s="1">
        <v>45919.745995370373</v>
      </c>
      <c r="E3395" s="2">
        <v>1</v>
      </c>
      <c r="F3395" s="2">
        <v>1</v>
      </c>
      <c r="G3395" s="2">
        <v>0</v>
      </c>
      <c r="H3395" s="1" t="s">
        <v>0</v>
      </c>
      <c r="I3395" s="2">
        <v>0</v>
      </c>
      <c r="J3395" s="1">
        <v>45915.378067129626</v>
      </c>
    </row>
    <row r="3396" spans="1:10" x14ac:dyDescent="0.2">
      <c r="A3396" s="4" t="s">
        <v>1</v>
      </c>
      <c r="B3396" s="3" t="str">
        <f>HYPERLINK("https://otsuka-europe-crm.veevavault.com/ui/#object/approved_document__v/V5OZ025E82TFUPI", "Spain - HCP Survey Email - June 2025")</f>
        <v>Spain - HCP Survey Email - June 2025</v>
      </c>
      <c r="C3396" s="3" t="str">
        <f>HYPERLINK("https://otsuka-europe-crm.veevavault.com/ui/#object/sent_email__v/VBLZ025E82GN09C", "SE-000270514")</f>
        <v>SE-000270514</v>
      </c>
      <c r="D3396" s="1">
        <v>45915.585810185185</v>
      </c>
      <c r="E3396" s="2">
        <v>1</v>
      </c>
      <c r="F3396" s="2">
        <v>2</v>
      </c>
      <c r="G3396" s="2">
        <v>1</v>
      </c>
      <c r="H3396" s="1">
        <v>45915.585925925923</v>
      </c>
      <c r="I3396" s="2">
        <v>1</v>
      </c>
      <c r="J3396" s="1">
        <v>45915.378981481481</v>
      </c>
    </row>
    <row r="3397" spans="1:10" x14ac:dyDescent="0.2">
      <c r="A3397" s="4" t="s">
        <v>1</v>
      </c>
      <c r="B3397" s="3" t="str">
        <f>HYPERLINK("https://otsuka-europe-crm.veevavault.com/ui/#object/approved_document__v/V5OZ025E82TFUPI", "Spain - HCP Survey Email - June 2025")</f>
        <v>Spain - HCP Survey Email - June 2025</v>
      </c>
      <c r="C3397" s="3" t="str">
        <f>HYPERLINK("https://otsuka-europe-crm.veevavault.com/ui/#object/sent_email__v/VBLZ025E82GN09D", "SE-000270515")</f>
        <v>SE-000270515</v>
      </c>
      <c r="D3397" s="1">
        <v>45915.920416666668</v>
      </c>
      <c r="E3397" s="2">
        <v>1</v>
      </c>
      <c r="F3397" s="2">
        <v>1</v>
      </c>
      <c r="G3397" s="2">
        <v>0</v>
      </c>
      <c r="H3397" s="1" t="s">
        <v>0</v>
      </c>
      <c r="I3397" s="2">
        <v>0</v>
      </c>
      <c r="J3397" s="1">
        <v>45915.379710648151</v>
      </c>
    </row>
    <row r="3398" spans="1:10" x14ac:dyDescent="0.2">
      <c r="A3398" s="4" t="s">
        <v>1</v>
      </c>
      <c r="B3398" s="3" t="str">
        <f>HYPERLINK("https://otsuka-europe-crm.veevavault.com/ui/#object/approved_document__v/V5OZ025E82TFUPI", "Spain - HCP Survey Email - June 2025")</f>
        <v>Spain - HCP Survey Email - June 2025</v>
      </c>
      <c r="C3398" s="3" t="str">
        <f>HYPERLINK("https://otsuka-europe-crm.veevavault.com/ui/#object/sent_email__v/VBLZ025E82GN09E", "SE-000270516")</f>
        <v>SE-000270516</v>
      </c>
      <c r="D3398" s="1" t="s">
        <v>0</v>
      </c>
      <c r="E3398" s="2">
        <v>0</v>
      </c>
      <c r="F3398" s="2">
        <v>0</v>
      </c>
      <c r="G3398" s="2">
        <v>0</v>
      </c>
      <c r="H3398" s="1" t="s">
        <v>0</v>
      </c>
      <c r="I3398" s="2">
        <v>0</v>
      </c>
      <c r="J3398" s="1">
        <v>45915.379363425927</v>
      </c>
    </row>
    <row r="3399" spans="1:10" x14ac:dyDescent="0.2">
      <c r="A3399" s="4" t="s">
        <v>1</v>
      </c>
      <c r="B3399" s="3" t="str">
        <f>HYPERLINK("https://otsuka-europe-crm.veevavault.com/ui/#object/approved_document__v/V5OZ025E82TFUPI", "Spain - HCP Survey Email - June 2025")</f>
        <v>Spain - HCP Survey Email - June 2025</v>
      </c>
      <c r="C3399" s="3" t="str">
        <f>HYPERLINK("https://otsuka-europe-crm.veevavault.com/ui/#object/sent_email__v/VBLZ025E82GN09F", "SE-000270517")</f>
        <v>SE-000270517</v>
      </c>
      <c r="D3399" s="1" t="s">
        <v>0</v>
      </c>
      <c r="E3399" s="2">
        <v>0</v>
      </c>
      <c r="F3399" s="2">
        <v>0</v>
      </c>
      <c r="G3399" s="2">
        <v>0</v>
      </c>
      <c r="H3399" s="1" t="s">
        <v>0</v>
      </c>
      <c r="I3399" s="2">
        <v>0</v>
      </c>
      <c r="J3399" s="1">
        <v>45915.377500000002</v>
      </c>
    </row>
    <row r="3400" spans="1:10" x14ac:dyDescent="0.2">
      <c r="A3400" s="4" t="s">
        <v>1</v>
      </c>
      <c r="B3400" s="3" t="str">
        <f>HYPERLINK("https://otsuka-europe-crm.veevavault.com/ui/#object/approved_document__v/V5OZ025E82TFUPI", "Spain - HCP Survey Email - June 2025")</f>
        <v>Spain - HCP Survey Email - June 2025</v>
      </c>
      <c r="C3400" s="3" t="str">
        <f>HYPERLINK("https://otsuka-europe-crm.veevavault.com/ui/#object/sent_email__v/VBLZ025E82GN09G", "SE-000270518")</f>
        <v>SE-000270518</v>
      </c>
      <c r="D3400" s="1" t="s">
        <v>0</v>
      </c>
      <c r="E3400" s="2">
        <v>0</v>
      </c>
      <c r="F3400" s="2">
        <v>0</v>
      </c>
      <c r="G3400" s="2">
        <v>0</v>
      </c>
      <c r="H3400" s="1" t="s">
        <v>0</v>
      </c>
      <c r="I3400" s="2">
        <v>0</v>
      </c>
      <c r="J3400" s="1">
        <v>45915.378206018519</v>
      </c>
    </row>
    <row r="3401" spans="1:10" x14ac:dyDescent="0.2">
      <c r="A3401" s="4" t="s">
        <v>1</v>
      </c>
      <c r="B3401" s="3" t="str">
        <f>HYPERLINK("https://otsuka-europe-crm.veevavault.com/ui/#object/approved_document__v/V5OZ025E82TFUPI", "Spain - HCP Survey Email - June 2025")</f>
        <v>Spain - HCP Survey Email - June 2025</v>
      </c>
      <c r="C3401" s="3" t="str">
        <f>HYPERLINK("https://otsuka-europe-crm.veevavault.com/ui/#object/sent_email__v/VBLZ025E82GN09H", "SE-000270519")</f>
        <v>SE-000270519</v>
      </c>
      <c r="D3401" s="1" t="s">
        <v>0</v>
      </c>
      <c r="E3401" s="2">
        <v>0</v>
      </c>
      <c r="F3401" s="2">
        <v>0</v>
      </c>
      <c r="G3401" s="2">
        <v>0</v>
      </c>
      <c r="H3401" s="1" t="s">
        <v>0</v>
      </c>
      <c r="I3401" s="2">
        <v>0</v>
      </c>
      <c r="J3401" s="1">
        <v>45915.378067129626</v>
      </c>
    </row>
    <row r="3402" spans="1:10" x14ac:dyDescent="0.2">
      <c r="A3402" s="4" t="s">
        <v>1</v>
      </c>
      <c r="B3402" s="3" t="str">
        <f>HYPERLINK("https://otsuka-europe-crm.veevavault.com/ui/#object/approved_document__v/V5OZ025E82TFUPI", "Spain - HCP Survey Email - June 2025")</f>
        <v>Spain - HCP Survey Email - June 2025</v>
      </c>
      <c r="C3402" s="3" t="str">
        <f>HYPERLINK("https://otsuka-europe-crm.veevavault.com/ui/#object/sent_email__v/VBLZ025E82GN09I", "SE-000270520")</f>
        <v>SE-000270520</v>
      </c>
      <c r="D3402" s="1" t="s">
        <v>0</v>
      </c>
      <c r="E3402" s="2">
        <v>0</v>
      </c>
      <c r="F3402" s="2">
        <v>0</v>
      </c>
      <c r="G3402" s="2">
        <v>0</v>
      </c>
      <c r="H3402" s="1" t="s">
        <v>0</v>
      </c>
      <c r="I3402" s="2">
        <v>0</v>
      </c>
      <c r="J3402" s="1">
        <v>45915.378506944442</v>
      </c>
    </row>
    <row r="3403" spans="1:10" x14ac:dyDescent="0.2">
      <c r="A3403" s="4" t="s">
        <v>1</v>
      </c>
      <c r="B3403" s="3" t="str">
        <f>HYPERLINK("https://otsuka-europe-crm.veevavault.com/ui/#object/approved_document__v/V5OZ025E82TFUPI", "Spain - HCP Survey Email - June 2025")</f>
        <v>Spain - HCP Survey Email - June 2025</v>
      </c>
      <c r="C3403" s="3" t="str">
        <f>HYPERLINK("https://otsuka-europe-crm.veevavault.com/ui/#object/sent_email__v/VBLZ025E82GN09J", "SE-000270521")</f>
        <v>SE-000270521</v>
      </c>
      <c r="D3403" s="1" t="s">
        <v>0</v>
      </c>
      <c r="E3403" s="2">
        <v>0</v>
      </c>
      <c r="F3403" s="2">
        <v>0</v>
      </c>
      <c r="G3403" s="2">
        <v>0</v>
      </c>
      <c r="H3403" s="1" t="s">
        <v>0</v>
      </c>
      <c r="I3403" s="2">
        <v>0</v>
      </c>
      <c r="J3403" s="1">
        <v>45915.379803240743</v>
      </c>
    </row>
    <row r="3404" spans="1:10" x14ac:dyDescent="0.2">
      <c r="A3404" s="4" t="s">
        <v>1</v>
      </c>
      <c r="B3404" s="3" t="str">
        <f>HYPERLINK("https://otsuka-europe-crm.veevavault.com/ui/#object/approved_document__v/V5OZ025E82TFUPI", "Spain - HCP Survey Email - June 2025")</f>
        <v>Spain - HCP Survey Email - June 2025</v>
      </c>
      <c r="C3404" s="3" t="str">
        <f>HYPERLINK("https://otsuka-europe-crm.veevavault.com/ui/#object/sent_email__v/VBLZ025E82GN09K", "SE-000270522")</f>
        <v>SE-000270522</v>
      </c>
      <c r="D3404" s="1" t="s">
        <v>0</v>
      </c>
      <c r="E3404" s="2">
        <v>0</v>
      </c>
      <c r="F3404" s="2">
        <v>0</v>
      </c>
      <c r="G3404" s="2">
        <v>0</v>
      </c>
      <c r="H3404" s="1" t="s">
        <v>0</v>
      </c>
      <c r="I3404" s="2">
        <v>0</v>
      </c>
      <c r="J3404" s="1">
        <v>45915.377662037034</v>
      </c>
    </row>
    <row r="3405" spans="1:10" x14ac:dyDescent="0.2">
      <c r="A3405" s="4" t="s">
        <v>1</v>
      </c>
      <c r="B3405" s="3" t="str">
        <f>HYPERLINK("https://otsuka-europe-crm.veevavault.com/ui/#object/approved_document__v/V5OZ025E82TFUPI", "Spain - HCP Survey Email - June 2025")</f>
        <v>Spain - HCP Survey Email - June 2025</v>
      </c>
      <c r="C3405" s="3" t="str">
        <f>HYPERLINK("https://otsuka-europe-crm.veevavault.com/ui/#object/sent_email__v/VBLZ025E82GN09L", "SE-000270523")</f>
        <v>SE-000270523</v>
      </c>
      <c r="D3405" s="1" t="s">
        <v>0</v>
      </c>
      <c r="E3405" s="2">
        <v>0</v>
      </c>
      <c r="F3405" s="2">
        <v>0</v>
      </c>
      <c r="G3405" s="2">
        <v>0</v>
      </c>
      <c r="H3405" s="1" t="s">
        <v>0</v>
      </c>
      <c r="I3405" s="2">
        <v>0</v>
      </c>
      <c r="J3405" s="1">
        <v>45915.377604166664</v>
      </c>
    </row>
    <row r="3406" spans="1:10" x14ac:dyDescent="0.2">
      <c r="A3406" s="4" t="s">
        <v>1</v>
      </c>
      <c r="B3406" s="3" t="str">
        <f>HYPERLINK("https://otsuka-europe-crm.veevavault.com/ui/#object/approved_document__v/V5OZ025E82TFUPI", "Spain - HCP Survey Email - June 2025")</f>
        <v>Spain - HCP Survey Email - June 2025</v>
      </c>
      <c r="C3406" s="3" t="str">
        <f>HYPERLINK("https://otsuka-europe-crm.veevavault.com/ui/#object/sent_email__v/VBLZ025E82GN09M", "SE-000270524")</f>
        <v>SE-000270524</v>
      </c>
      <c r="D3406" s="1" t="s">
        <v>0</v>
      </c>
      <c r="E3406" s="2">
        <v>0</v>
      </c>
      <c r="F3406" s="2">
        <v>0</v>
      </c>
      <c r="G3406" s="2">
        <v>0</v>
      </c>
      <c r="H3406" s="1" t="s">
        <v>0</v>
      </c>
      <c r="I3406" s="2">
        <v>0</v>
      </c>
      <c r="J3406" s="1">
        <v>45915.37804398148</v>
      </c>
    </row>
    <row r="3407" spans="1:10" x14ac:dyDescent="0.2">
      <c r="A3407" s="4" t="s">
        <v>1</v>
      </c>
      <c r="B3407" s="3" t="str">
        <f>HYPERLINK("https://otsuka-europe-crm.veevavault.com/ui/#object/approved_document__v/V5OZ025E82TFUPI", "Spain - HCP Survey Email - June 2025")</f>
        <v>Spain - HCP Survey Email - June 2025</v>
      </c>
      <c r="C3407" s="3" t="str">
        <f>HYPERLINK("https://otsuka-europe-crm.veevavault.com/ui/#object/sent_email__v/VBLZ025E82GN09N", "SE-000270525")</f>
        <v>SE-000270525</v>
      </c>
      <c r="D3407" s="1" t="s">
        <v>0</v>
      </c>
      <c r="E3407" s="2">
        <v>0</v>
      </c>
      <c r="F3407" s="2">
        <v>0</v>
      </c>
      <c r="G3407" s="2">
        <v>0</v>
      </c>
      <c r="H3407" s="1" t="s">
        <v>0</v>
      </c>
      <c r="I3407" s="2">
        <v>0</v>
      </c>
      <c r="J3407" s="1">
        <v>45915.379016203704</v>
      </c>
    </row>
    <row r="3408" spans="1:10" x14ac:dyDescent="0.2">
      <c r="A3408" s="4" t="s">
        <v>1</v>
      </c>
      <c r="B3408" s="3" t="str">
        <f>HYPERLINK("https://otsuka-europe-crm.veevavault.com/ui/#object/approved_document__v/V5OZ025E82TFUPI", "Spain - HCP Survey Email - June 2025")</f>
        <v>Spain - HCP Survey Email - June 2025</v>
      </c>
      <c r="C3408" s="3" t="str">
        <f>HYPERLINK("https://otsuka-europe-crm.veevavault.com/ui/#object/sent_email__v/VBLZ025E82GN09O", "SE-000270526")</f>
        <v>SE-000270526</v>
      </c>
      <c r="D3408" s="1">
        <v>45917.751377314817</v>
      </c>
      <c r="E3408" s="2">
        <v>1</v>
      </c>
      <c r="F3408" s="2">
        <v>1</v>
      </c>
      <c r="G3408" s="2">
        <v>0</v>
      </c>
      <c r="H3408" s="1" t="s">
        <v>0</v>
      </c>
      <c r="I3408" s="2">
        <v>0</v>
      </c>
      <c r="J3408" s="1">
        <v>45915.379687499997</v>
      </c>
    </row>
    <row r="3409" spans="1:10" x14ac:dyDescent="0.2">
      <c r="A3409" s="4" t="s">
        <v>1</v>
      </c>
      <c r="B3409" s="3" t="str">
        <f>HYPERLINK("https://otsuka-europe-crm.veevavault.com/ui/#object/approved_document__v/V5OZ025E82TFUPI", "Spain - HCP Survey Email - June 2025")</f>
        <v>Spain - HCP Survey Email - June 2025</v>
      </c>
      <c r="C3409" s="3" t="str">
        <f>HYPERLINK("https://otsuka-europe-crm.veevavault.com/ui/#object/sent_email__v/VBLZ025E82GN09P", "SE-000270527")</f>
        <v>SE-000270527</v>
      </c>
      <c r="D3409" s="1" t="s">
        <v>0</v>
      </c>
      <c r="E3409" s="2">
        <v>0</v>
      </c>
      <c r="F3409" s="2">
        <v>0</v>
      </c>
      <c r="G3409" s="2">
        <v>0</v>
      </c>
      <c r="H3409" s="1" t="s">
        <v>0</v>
      </c>
      <c r="I3409" s="2">
        <v>0</v>
      </c>
      <c r="J3409" s="1">
        <v>45915.379502314812</v>
      </c>
    </row>
    <row r="3410" spans="1:10" x14ac:dyDescent="0.2">
      <c r="A3410" s="4" t="s">
        <v>1</v>
      </c>
      <c r="B3410" s="3" t="str">
        <f>HYPERLINK("https://otsuka-europe-crm.veevavault.com/ui/#object/approved_document__v/V5OZ025E82TFUPI", "Spain - HCP Survey Email - June 2025")</f>
        <v>Spain - HCP Survey Email - June 2025</v>
      </c>
      <c r="C3410" s="3" t="str">
        <f>HYPERLINK("https://otsuka-europe-crm.veevavault.com/ui/#object/sent_email__v/VBLZ025E82GN09Q", "SE-000270528")</f>
        <v>SE-000270528</v>
      </c>
      <c r="D3410" s="1">
        <v>45922.361747685187</v>
      </c>
      <c r="E3410" s="2">
        <v>1</v>
      </c>
      <c r="F3410" s="2">
        <v>6</v>
      </c>
      <c r="G3410" s="2">
        <v>1</v>
      </c>
      <c r="H3410" s="1">
        <v>45915.391087962962</v>
      </c>
      <c r="I3410" s="2">
        <v>1</v>
      </c>
      <c r="J3410" s="1">
        <v>45915.377800925926</v>
      </c>
    </row>
    <row r="3411" spans="1:10" x14ac:dyDescent="0.2">
      <c r="A3411" s="4" t="s">
        <v>1</v>
      </c>
      <c r="B3411" s="3" t="str">
        <f>HYPERLINK("https://otsuka-europe-crm.veevavault.com/ui/#object/approved_document__v/V5OZ025E82TFUPI", "Spain - HCP Survey Email - June 2025")</f>
        <v>Spain - HCP Survey Email - June 2025</v>
      </c>
      <c r="C3411" s="3" t="str">
        <f>HYPERLINK("https://otsuka-europe-crm.veevavault.com/ui/#object/sent_email__v/VBLZ025E82GN09R", "SE-000270529")</f>
        <v>SE-000270529</v>
      </c>
      <c r="D3411" s="1">
        <v>45915.455335648148</v>
      </c>
      <c r="E3411" s="2">
        <v>1</v>
      </c>
      <c r="F3411" s="2">
        <v>1</v>
      </c>
      <c r="G3411" s="2">
        <v>0</v>
      </c>
      <c r="H3411" s="1" t="s">
        <v>0</v>
      </c>
      <c r="I3411" s="2">
        <v>0</v>
      </c>
      <c r="J3411" s="1">
        <v>45915.378275462965</v>
      </c>
    </row>
    <row r="3412" spans="1:10" x14ac:dyDescent="0.2">
      <c r="A3412" s="4" t="s">
        <v>1</v>
      </c>
      <c r="B3412" s="3" t="str">
        <f>HYPERLINK("https://otsuka-europe-crm.veevavault.com/ui/#object/approved_document__v/V5OZ025E82TFUPI", "Spain - HCP Survey Email - June 2025")</f>
        <v>Spain - HCP Survey Email - June 2025</v>
      </c>
      <c r="C3412" s="3" t="str">
        <f>HYPERLINK("https://otsuka-europe-crm.veevavault.com/ui/#object/sent_email__v/VBLZ025E82GN09S", "SE-000270530")</f>
        <v>SE-000270530</v>
      </c>
      <c r="D3412" s="1">
        <v>45964.782453703701</v>
      </c>
      <c r="E3412" s="2">
        <v>1</v>
      </c>
      <c r="F3412" s="2">
        <v>3</v>
      </c>
      <c r="G3412" s="2">
        <v>0</v>
      </c>
      <c r="H3412" s="1" t="s">
        <v>0</v>
      </c>
      <c r="I3412" s="2">
        <v>0</v>
      </c>
      <c r="J3412" s="1">
        <v>45915.37804398148</v>
      </c>
    </row>
    <row r="3413" spans="1:10" x14ac:dyDescent="0.2">
      <c r="A3413" s="4" t="s">
        <v>1</v>
      </c>
      <c r="B3413" s="3" t="str">
        <f>HYPERLINK("https://otsuka-europe-crm.veevavault.com/ui/#object/approved_document__v/V5OZ025E82TFUPI", "Spain - HCP Survey Email - June 2025")</f>
        <v>Spain - HCP Survey Email - June 2025</v>
      </c>
      <c r="C3413" s="3" t="str">
        <f>HYPERLINK("https://otsuka-europe-crm.veevavault.com/ui/#object/sent_email__v/VBLZ025E82GN09T", "SE-000270531")</f>
        <v>SE-000270531</v>
      </c>
      <c r="D3413" s="1" t="s">
        <v>0</v>
      </c>
      <c r="E3413" s="2">
        <v>0</v>
      </c>
      <c r="F3413" s="2">
        <v>0</v>
      </c>
      <c r="G3413" s="2">
        <v>0</v>
      </c>
      <c r="H3413" s="1" t="s">
        <v>0</v>
      </c>
      <c r="I3413" s="2">
        <v>0</v>
      </c>
      <c r="J3413" s="1">
        <v>45915.378495370373</v>
      </c>
    </row>
    <row r="3414" spans="1:10" x14ac:dyDescent="0.2">
      <c r="A3414" s="4" t="s">
        <v>1</v>
      </c>
      <c r="B3414" s="3" t="str">
        <f>HYPERLINK("https://otsuka-europe-crm.veevavault.com/ui/#object/approved_document__v/V5OZ025E82TFUPI", "Spain - HCP Survey Email - June 2025")</f>
        <v>Spain - HCP Survey Email - June 2025</v>
      </c>
      <c r="C3414" s="3" t="str">
        <f>HYPERLINK("https://otsuka-europe-crm.veevavault.com/ui/#object/sent_email__v/VBLZ025E82GN09U", "SE-000270532")</f>
        <v>SE-000270532</v>
      </c>
      <c r="D3414" s="1">
        <v>45915.837881944448</v>
      </c>
      <c r="E3414" s="2">
        <v>1</v>
      </c>
      <c r="F3414" s="2">
        <v>2</v>
      </c>
      <c r="G3414" s="2">
        <v>0</v>
      </c>
      <c r="H3414" s="1" t="s">
        <v>0</v>
      </c>
      <c r="I3414" s="2">
        <v>0</v>
      </c>
      <c r="J3414" s="1">
        <v>45915.379918981482</v>
      </c>
    </row>
    <row r="3415" spans="1:10" x14ac:dyDescent="0.2">
      <c r="A3415" s="4" t="s">
        <v>1</v>
      </c>
      <c r="B3415" s="3" t="str">
        <f>HYPERLINK("https://otsuka-europe-crm.veevavault.com/ui/#object/approved_document__v/V5OZ025E82TFUPI", "Spain - HCP Survey Email - June 2025")</f>
        <v>Spain - HCP Survey Email - June 2025</v>
      </c>
      <c r="C3415" s="3" t="str">
        <f>HYPERLINK("https://otsuka-europe-crm.veevavault.com/ui/#object/sent_email__v/VBLZ025E82GN09V", "SE-000270533")</f>
        <v>SE-000270533</v>
      </c>
      <c r="D3415" s="1" t="s">
        <v>0</v>
      </c>
      <c r="E3415" s="2">
        <v>0</v>
      </c>
      <c r="F3415" s="2">
        <v>0</v>
      </c>
      <c r="G3415" s="2">
        <v>0</v>
      </c>
      <c r="H3415" s="1" t="s">
        <v>0</v>
      </c>
      <c r="I3415" s="2">
        <v>0</v>
      </c>
      <c r="J3415" s="1">
        <v>45915.377650462964</v>
      </c>
    </row>
    <row r="3416" spans="1:10" x14ac:dyDescent="0.2">
      <c r="A3416" s="4" t="s">
        <v>1</v>
      </c>
      <c r="B3416" s="3" t="str">
        <f>HYPERLINK("https://otsuka-europe-crm.veevavault.com/ui/#object/approved_document__v/V5OZ025E82TFUPI", "Spain - HCP Survey Email - June 2025")</f>
        <v>Spain - HCP Survey Email - June 2025</v>
      </c>
      <c r="C3416" s="3" t="str">
        <f>HYPERLINK("https://otsuka-europe-crm.veevavault.com/ui/#object/sent_email__v/VBLZ025E82GN09W", "SE-000270534")</f>
        <v>SE-000270534</v>
      </c>
      <c r="D3416" s="1" t="s">
        <v>0</v>
      </c>
      <c r="E3416" s="2">
        <v>0</v>
      </c>
      <c r="F3416" s="2">
        <v>0</v>
      </c>
      <c r="G3416" s="2">
        <v>0</v>
      </c>
      <c r="H3416" s="1" t="s">
        <v>0</v>
      </c>
      <c r="I3416" s="2">
        <v>0</v>
      </c>
      <c r="J3416" s="1">
        <v>45915.377604166664</v>
      </c>
    </row>
    <row r="3417" spans="1:10" x14ac:dyDescent="0.2">
      <c r="A3417" s="4" t="s">
        <v>1</v>
      </c>
      <c r="B3417" s="3" t="str">
        <f>HYPERLINK("https://otsuka-europe-crm.veevavault.com/ui/#object/approved_document__v/V5OZ025E82TFUPI", "Spain - HCP Survey Email - June 2025")</f>
        <v>Spain - HCP Survey Email - June 2025</v>
      </c>
      <c r="C3417" s="3" t="str">
        <f>HYPERLINK("https://otsuka-europe-crm.veevavault.com/ui/#object/sent_email__v/VBLZ025E82GN09X", "SE-000270535")</f>
        <v>SE-000270535</v>
      </c>
      <c r="D3417" s="1" t="s">
        <v>0</v>
      </c>
      <c r="E3417" s="2">
        <v>0</v>
      </c>
      <c r="F3417" s="2">
        <v>0</v>
      </c>
      <c r="G3417" s="2">
        <v>0</v>
      </c>
      <c r="H3417" s="1" t="s">
        <v>0</v>
      </c>
      <c r="I3417" s="2">
        <v>0</v>
      </c>
      <c r="J3417" s="1">
        <v>45915.378009259257</v>
      </c>
    </row>
    <row r="3418" spans="1:10" x14ac:dyDescent="0.2">
      <c r="A3418" s="4" t="s">
        <v>1</v>
      </c>
      <c r="B3418" s="3" t="str">
        <f>HYPERLINK("https://otsuka-europe-crm.veevavault.com/ui/#object/approved_document__v/V5OZ025E82TFUPI", "Spain - HCP Survey Email - June 2025")</f>
        <v>Spain - HCP Survey Email - June 2025</v>
      </c>
      <c r="C3418" s="3" t="str">
        <f>HYPERLINK("https://otsuka-europe-crm.veevavault.com/ui/#object/sent_email__v/VBLZ025E82GN09Y", "SE-000270536")</f>
        <v>SE-000270536</v>
      </c>
      <c r="D3418" s="1" t="s">
        <v>0</v>
      </c>
      <c r="E3418" s="2">
        <v>0</v>
      </c>
      <c r="F3418" s="2">
        <v>0</v>
      </c>
      <c r="G3418" s="2">
        <v>0</v>
      </c>
      <c r="H3418" s="1" t="s">
        <v>0</v>
      </c>
      <c r="I3418" s="2">
        <v>0</v>
      </c>
      <c r="J3418" s="1">
        <v>45915.37903935185</v>
      </c>
    </row>
    <row r="3419" spans="1:10" x14ac:dyDescent="0.2">
      <c r="A3419" s="4" t="s">
        <v>1</v>
      </c>
      <c r="B3419" s="3" t="str">
        <f>HYPERLINK("https://otsuka-europe-crm.veevavault.com/ui/#object/approved_document__v/V5OZ025E82TFUPI", "Spain - HCP Survey Email - June 2025")</f>
        <v>Spain - HCP Survey Email - June 2025</v>
      </c>
      <c r="C3419" s="3" t="str">
        <f>HYPERLINK("https://otsuka-europe-crm.veevavault.com/ui/#object/sent_email__v/VBLZ025E82GN09Z", "SE-000270537")</f>
        <v>SE-000270537</v>
      </c>
      <c r="D3419" s="1" t="s">
        <v>0</v>
      </c>
      <c r="E3419" s="2">
        <v>0</v>
      </c>
      <c r="F3419" s="2">
        <v>0</v>
      </c>
      <c r="G3419" s="2">
        <v>0</v>
      </c>
      <c r="H3419" s="1" t="s">
        <v>0</v>
      </c>
      <c r="I3419" s="2">
        <v>0</v>
      </c>
      <c r="J3419" s="1">
        <v>45915.379675925928</v>
      </c>
    </row>
    <row r="3420" spans="1:10" x14ac:dyDescent="0.2">
      <c r="A3420" s="4" t="s">
        <v>1</v>
      </c>
      <c r="B3420" s="3" t="str">
        <f>HYPERLINK("https://otsuka-europe-crm.veevavault.com/ui/#object/approved_document__v/V5OZ025E82TFUPI", "Spain - HCP Survey Email - June 2025")</f>
        <v>Spain - HCP Survey Email - June 2025</v>
      </c>
      <c r="C3420" s="3" t="str">
        <f>HYPERLINK("https://otsuka-europe-crm.veevavault.com/ui/#object/sent_email__v/VBLZ025E82GN0A0", "SE-000270538")</f>
        <v>SE-000270538</v>
      </c>
      <c r="D3420" s="1" t="s">
        <v>0</v>
      </c>
      <c r="E3420" s="2">
        <v>0</v>
      </c>
      <c r="F3420" s="2">
        <v>0</v>
      </c>
      <c r="G3420" s="2">
        <v>0</v>
      </c>
      <c r="H3420" s="1" t="s">
        <v>0</v>
      </c>
      <c r="I3420" s="2">
        <v>0</v>
      </c>
      <c r="J3420" s="1">
        <v>45915.37771990741</v>
      </c>
    </row>
    <row r="3421" spans="1:10" x14ac:dyDescent="0.2">
      <c r="A3421" s="4" t="s">
        <v>1</v>
      </c>
      <c r="B3421" s="3" t="str">
        <f>HYPERLINK("https://otsuka-europe-crm.veevavault.com/ui/#object/approved_document__v/V5OZ025E82TFUPI", "Spain - HCP Survey Email - June 2025")</f>
        <v>Spain - HCP Survey Email - June 2025</v>
      </c>
      <c r="C3421" s="3" t="str">
        <f>HYPERLINK("https://otsuka-europe-crm.veevavault.com/ui/#object/sent_email__v/VBLZ025E82GN0A1", "SE-000270539")</f>
        <v>SE-000270539</v>
      </c>
      <c r="D3421" s="1" t="s">
        <v>0</v>
      </c>
      <c r="E3421" s="2">
        <v>0</v>
      </c>
      <c r="F3421" s="2">
        <v>0</v>
      </c>
      <c r="G3421" s="2">
        <v>0</v>
      </c>
      <c r="H3421" s="1" t="s">
        <v>0</v>
      </c>
      <c r="I3421" s="2">
        <v>0</v>
      </c>
      <c r="J3421" s="1">
        <v>45915.377627314818</v>
      </c>
    </row>
    <row r="3422" spans="1:10" x14ac:dyDescent="0.2">
      <c r="A3422" s="4" t="s">
        <v>1</v>
      </c>
      <c r="B3422" s="3" t="str">
        <f>HYPERLINK("https://otsuka-europe-crm.veevavault.com/ui/#object/approved_document__v/V5OZ025E82TFUPI", "Spain - HCP Survey Email - June 2025")</f>
        <v>Spain - HCP Survey Email - June 2025</v>
      </c>
      <c r="C3422" s="3" t="str">
        <f>HYPERLINK("https://otsuka-europe-crm.veevavault.com/ui/#object/sent_email__v/VBLZ025E82GN0A2", "SE-000270540")</f>
        <v>SE-000270540</v>
      </c>
      <c r="D3422" s="1" t="s">
        <v>0</v>
      </c>
      <c r="E3422" s="2">
        <v>0</v>
      </c>
      <c r="F3422" s="2">
        <v>0</v>
      </c>
      <c r="G3422" s="2">
        <v>0</v>
      </c>
      <c r="H3422" s="1" t="s">
        <v>0</v>
      </c>
      <c r="I3422" s="2">
        <v>0</v>
      </c>
      <c r="J3422" s="1">
        <v>45915.37809027778</v>
      </c>
    </row>
    <row r="3423" spans="1:10" x14ac:dyDescent="0.2">
      <c r="A3423" s="4" t="s">
        <v>1</v>
      </c>
      <c r="B3423" s="3" t="str">
        <f>HYPERLINK("https://otsuka-europe-crm.veevavault.com/ui/#object/approved_document__v/V5OZ025E82TFUPI", "Spain - HCP Survey Email - June 2025")</f>
        <v>Spain - HCP Survey Email - June 2025</v>
      </c>
      <c r="C3423" s="3" t="str">
        <f>HYPERLINK("https://otsuka-europe-crm.veevavault.com/ui/#object/sent_email__v/VBLZ025E82GN0A4", "SE-000270542")</f>
        <v>SE-000270542</v>
      </c>
      <c r="D3423" s="1" t="s">
        <v>0</v>
      </c>
      <c r="E3423" s="2">
        <v>0</v>
      </c>
      <c r="F3423" s="2">
        <v>0</v>
      </c>
      <c r="G3423" s="2">
        <v>0</v>
      </c>
      <c r="H3423" s="1" t="s">
        <v>0</v>
      </c>
      <c r="I3423" s="2">
        <v>0</v>
      </c>
      <c r="J3423" s="1">
        <v>45915.379641203705</v>
      </c>
    </row>
    <row r="3424" spans="1:10" x14ac:dyDescent="0.2">
      <c r="A3424" s="4" t="s">
        <v>1</v>
      </c>
      <c r="B3424" s="3" t="str">
        <f>HYPERLINK("https://otsuka-europe-crm.veevavault.com/ui/#object/approved_document__v/V5OZ025E82TFUPI", "Spain - HCP Survey Email - June 2025")</f>
        <v>Spain - HCP Survey Email - June 2025</v>
      </c>
      <c r="C3424" s="3" t="str">
        <f>HYPERLINK("https://otsuka-europe-crm.veevavault.com/ui/#object/sent_email__v/VBLZ025E82GN0A5", "SE-000270543")</f>
        <v>SE-000270543</v>
      </c>
      <c r="D3424" s="1">
        <v>45916.365451388891</v>
      </c>
      <c r="E3424" s="2">
        <v>1</v>
      </c>
      <c r="F3424" s="2">
        <v>1</v>
      </c>
      <c r="G3424" s="2">
        <v>1</v>
      </c>
      <c r="H3424" s="1">
        <v>45916.365451388891</v>
      </c>
      <c r="I3424" s="2">
        <v>1</v>
      </c>
      <c r="J3424" s="1">
        <v>45915.379432870373</v>
      </c>
    </row>
    <row r="3425" spans="1:10" x14ac:dyDescent="0.2">
      <c r="A3425" s="4" t="s">
        <v>1</v>
      </c>
      <c r="B3425" s="3" t="str">
        <f>HYPERLINK("https://otsuka-europe-crm.veevavault.com/ui/#object/approved_document__v/V5OZ025E82TFUPI", "Spain - HCP Survey Email - June 2025")</f>
        <v>Spain - HCP Survey Email - June 2025</v>
      </c>
      <c r="C3425" s="3" t="str">
        <f>HYPERLINK("https://otsuka-europe-crm.veevavault.com/ui/#object/sent_email__v/VBLZ025E82GN0A6", "SE-000270544")</f>
        <v>SE-000270544</v>
      </c>
      <c r="D3425" s="1" t="s">
        <v>0</v>
      </c>
      <c r="E3425" s="2">
        <v>0</v>
      </c>
      <c r="F3425" s="2">
        <v>0</v>
      </c>
      <c r="G3425" s="2">
        <v>0</v>
      </c>
      <c r="H3425" s="1" t="s">
        <v>0</v>
      </c>
      <c r="I3425" s="2">
        <v>0</v>
      </c>
      <c r="J3425" s="1">
        <v>45915.377800925926</v>
      </c>
    </row>
    <row r="3426" spans="1:10" x14ac:dyDescent="0.2">
      <c r="A3426" s="4" t="s">
        <v>1</v>
      </c>
      <c r="B3426" s="3" t="str">
        <f>HYPERLINK("https://otsuka-europe-crm.veevavault.com/ui/#object/approved_document__v/V5OZ025E82TFUPI", "Spain - HCP Survey Email - June 2025")</f>
        <v>Spain - HCP Survey Email - June 2025</v>
      </c>
      <c r="C3426" s="3" t="str">
        <f>HYPERLINK("https://otsuka-europe-crm.veevavault.com/ui/#object/sent_email__v/VBLZ025E82GN0A7", "SE-000270545")</f>
        <v>SE-000270545</v>
      </c>
      <c r="D3426" s="1">
        <v>45915.558796296296</v>
      </c>
      <c r="E3426" s="2">
        <v>1</v>
      </c>
      <c r="F3426" s="2">
        <v>1</v>
      </c>
      <c r="G3426" s="2">
        <v>1</v>
      </c>
      <c r="H3426" s="1">
        <v>45915.558796296296</v>
      </c>
      <c r="I3426" s="2">
        <v>1</v>
      </c>
      <c r="J3426" s="1">
        <v>45915.378287037034</v>
      </c>
    </row>
    <row r="3427" spans="1:10" x14ac:dyDescent="0.2">
      <c r="A3427" s="4" t="s">
        <v>1</v>
      </c>
      <c r="B3427" s="3" t="str">
        <f>HYPERLINK("https://otsuka-europe-crm.veevavault.com/ui/#object/approved_document__v/V5OZ025E82TFUPI", "Spain - HCP Survey Email - June 2025")</f>
        <v>Spain - HCP Survey Email - June 2025</v>
      </c>
      <c r="C3427" s="3" t="str">
        <f>HYPERLINK("https://otsuka-europe-crm.veevavault.com/ui/#object/sent_email__v/VBLZ025E82GN0A8", "SE-000270546")</f>
        <v>SE-000270546</v>
      </c>
      <c r="D3427" s="1" t="s">
        <v>0</v>
      </c>
      <c r="E3427" s="2">
        <v>0</v>
      </c>
      <c r="F3427" s="2">
        <v>0</v>
      </c>
      <c r="G3427" s="2">
        <v>0</v>
      </c>
      <c r="H3427" s="1" t="s">
        <v>0</v>
      </c>
      <c r="I3427" s="2">
        <v>0</v>
      </c>
      <c r="J3427" s="1">
        <v>45915.378055555557</v>
      </c>
    </row>
    <row r="3428" spans="1:10" x14ac:dyDescent="0.2">
      <c r="A3428" s="4" t="s">
        <v>1</v>
      </c>
      <c r="B3428" s="3" t="str">
        <f>HYPERLINK("https://otsuka-europe-crm.veevavault.com/ui/#object/approved_document__v/V5OZ025E82TFUPI", "Spain - HCP Survey Email - June 2025")</f>
        <v>Spain - HCP Survey Email - June 2025</v>
      </c>
      <c r="C3428" s="3" t="str">
        <f>HYPERLINK("https://otsuka-europe-crm.veevavault.com/ui/#object/sent_email__v/VBLZ025E82GN0A9", "SE-000270547")</f>
        <v>SE-000270547</v>
      </c>
      <c r="D3428" s="1" t="s">
        <v>0</v>
      </c>
      <c r="E3428" s="2">
        <v>0</v>
      </c>
      <c r="F3428" s="2">
        <v>0</v>
      </c>
      <c r="G3428" s="2">
        <v>0</v>
      </c>
      <c r="H3428" s="1" t="s">
        <v>0</v>
      </c>
      <c r="I3428" s="2">
        <v>0</v>
      </c>
      <c r="J3428" s="1">
        <v>45915.378449074073</v>
      </c>
    </row>
    <row r="3429" spans="1:10" x14ac:dyDescent="0.2">
      <c r="A3429" s="4" t="s">
        <v>1</v>
      </c>
      <c r="B3429" s="3" t="str">
        <f>HYPERLINK("https://otsuka-europe-crm.veevavault.com/ui/#object/approved_document__v/V5OZ025E82TFUPI", "Spain - HCP Survey Email - June 2025")</f>
        <v>Spain - HCP Survey Email - June 2025</v>
      </c>
      <c r="C3429" s="3" t="str">
        <f>HYPERLINK("https://otsuka-europe-crm.veevavault.com/ui/#object/sent_email__v/VBLZ025E82GN0AA", "SE-000270548")</f>
        <v>SE-000270548</v>
      </c>
      <c r="D3429" s="1" t="s">
        <v>0</v>
      </c>
      <c r="E3429" s="2">
        <v>0</v>
      </c>
      <c r="F3429" s="2">
        <v>0</v>
      </c>
      <c r="G3429" s="2">
        <v>0</v>
      </c>
      <c r="H3429" s="1" t="s">
        <v>0</v>
      </c>
      <c r="I3429" s="2">
        <v>0</v>
      </c>
      <c r="J3429" s="1">
        <v>45915.379756944443</v>
      </c>
    </row>
    <row r="3430" spans="1:10" x14ac:dyDescent="0.2">
      <c r="A3430" s="4" t="s">
        <v>1</v>
      </c>
      <c r="B3430" s="3" t="str">
        <f>HYPERLINK("https://otsuka-europe-crm.veevavault.com/ui/#object/approved_document__v/V5OZ025E82TFUPI", "Spain - HCP Survey Email - June 2025")</f>
        <v>Spain - HCP Survey Email - June 2025</v>
      </c>
      <c r="C3430" s="3" t="str">
        <f>HYPERLINK("https://otsuka-europe-crm.veevavault.com/ui/#object/sent_email__v/VBLZ025E82GN0AB", "SE-000270549")</f>
        <v>SE-000270549</v>
      </c>
      <c r="D3430" s="1">
        <v>45915.377766203703</v>
      </c>
      <c r="E3430" s="2">
        <v>1</v>
      </c>
      <c r="F3430" s="2">
        <v>1</v>
      </c>
      <c r="G3430" s="2">
        <v>1</v>
      </c>
      <c r="H3430" s="1">
        <v>45915.378217592595</v>
      </c>
      <c r="I3430" s="2">
        <v>2</v>
      </c>
      <c r="J3430" s="1">
        <v>45915.377696759257</v>
      </c>
    </row>
    <row r="3431" spans="1:10" x14ac:dyDescent="0.2">
      <c r="A3431" s="4" t="s">
        <v>1</v>
      </c>
      <c r="B3431" s="3" t="str">
        <f>HYPERLINK("https://otsuka-europe-crm.veevavault.com/ui/#object/approved_document__v/V5OZ025E82TFUPI", "Spain - HCP Survey Email - June 2025")</f>
        <v>Spain - HCP Survey Email - June 2025</v>
      </c>
      <c r="C3431" s="3" t="str">
        <f>HYPERLINK("https://otsuka-europe-crm.veevavault.com/ui/#object/sent_email__v/VBLZ025E82GN0AC", "SE-000270550")</f>
        <v>SE-000270550</v>
      </c>
      <c r="D3431" s="1" t="s">
        <v>0</v>
      </c>
      <c r="E3431" s="2">
        <v>0</v>
      </c>
      <c r="F3431" s="2">
        <v>0</v>
      </c>
      <c r="G3431" s="2">
        <v>0</v>
      </c>
      <c r="H3431" s="1" t="s">
        <v>0</v>
      </c>
      <c r="I3431" s="2">
        <v>0</v>
      </c>
      <c r="J3431" s="1">
        <v>45915.37767361111</v>
      </c>
    </row>
    <row r="3432" spans="1:10" x14ac:dyDescent="0.2">
      <c r="A3432" s="4" t="s">
        <v>1</v>
      </c>
      <c r="B3432" s="3" t="str">
        <f>HYPERLINK("https://otsuka-europe-crm.veevavault.com/ui/#object/approved_document__v/V5OZ025E82TFUPI", "Spain - HCP Survey Email - June 2025")</f>
        <v>Spain - HCP Survey Email - June 2025</v>
      </c>
      <c r="C3432" s="3" t="str">
        <f>HYPERLINK("https://otsuka-europe-crm.veevavault.com/ui/#object/sent_email__v/VBLZ025E82GN0AD", "SE-000270551")</f>
        <v>SE-000270551</v>
      </c>
      <c r="D3432" s="1">
        <v>45916.364293981482</v>
      </c>
      <c r="E3432" s="2">
        <v>1</v>
      </c>
      <c r="F3432" s="2">
        <v>1</v>
      </c>
      <c r="G3432" s="2">
        <v>1</v>
      </c>
      <c r="H3432" s="1">
        <v>45916.368946759256</v>
      </c>
      <c r="I3432" s="2">
        <v>2</v>
      </c>
      <c r="J3432" s="1">
        <v>45915.378055555557</v>
      </c>
    </row>
    <row r="3433" spans="1:10" x14ac:dyDescent="0.2">
      <c r="A3433" s="4" t="s">
        <v>1</v>
      </c>
      <c r="B3433" s="3" t="str">
        <f>HYPERLINK("https://otsuka-europe-crm.veevavault.com/ui/#object/approved_document__v/V5OZ025E82TFUPI", "Spain - HCP Survey Email - June 2025")</f>
        <v>Spain - HCP Survey Email - June 2025</v>
      </c>
      <c r="C3433" s="3" t="str">
        <f>HYPERLINK("https://otsuka-europe-crm.veevavault.com/ui/#object/sent_email__v/VBLZ025E82GN0AE", "SE-000270552")</f>
        <v>SE-000270552</v>
      </c>
      <c r="D3433" s="1">
        <v>45915.905162037037</v>
      </c>
      <c r="E3433" s="2">
        <v>1</v>
      </c>
      <c r="F3433" s="2">
        <v>1</v>
      </c>
      <c r="G3433" s="2">
        <v>0</v>
      </c>
      <c r="H3433" s="1" t="s">
        <v>0</v>
      </c>
      <c r="I3433" s="2">
        <v>0</v>
      </c>
      <c r="J3433" s="1">
        <v>45915.378993055558</v>
      </c>
    </row>
    <row r="3434" spans="1:10" x14ac:dyDescent="0.2">
      <c r="A3434" s="4" t="s">
        <v>1</v>
      </c>
      <c r="B3434" s="3" t="str">
        <f>HYPERLINK("https://otsuka-europe-crm.veevavault.com/ui/#object/approved_document__v/V5OZ025E82TFUPI", "Spain - HCP Survey Email - June 2025")</f>
        <v>Spain - HCP Survey Email - June 2025</v>
      </c>
      <c r="C3434" s="3" t="str">
        <f>HYPERLINK("https://otsuka-europe-crm.veevavault.com/ui/#object/sent_email__v/VBLZ025E82GN0AF", "SE-000270553")</f>
        <v>SE-000270553</v>
      </c>
      <c r="D3434" s="1" t="s">
        <v>0</v>
      </c>
      <c r="E3434" s="2">
        <v>0</v>
      </c>
      <c r="F3434" s="2">
        <v>0</v>
      </c>
      <c r="G3434" s="2">
        <v>0</v>
      </c>
      <c r="H3434" s="1" t="s">
        <v>0</v>
      </c>
      <c r="I3434" s="2">
        <v>0</v>
      </c>
      <c r="J3434" s="1">
        <v>45915.379652777781</v>
      </c>
    </row>
    <row r="3435" spans="1:10" x14ac:dyDescent="0.2">
      <c r="A3435" s="4" t="s">
        <v>1</v>
      </c>
      <c r="B3435" s="3" t="str">
        <f>HYPERLINK("https://otsuka-europe-crm.veevavault.com/ui/#object/approved_document__v/V5OZ025E82TFUPI", "Spain - HCP Survey Email - June 2025")</f>
        <v>Spain - HCP Survey Email - June 2025</v>
      </c>
      <c r="C3435" s="3" t="str">
        <f>HYPERLINK("https://otsuka-europe-crm.veevavault.com/ui/#object/sent_email__v/VBLZ025E82GN0AG", "SE-000270554")</f>
        <v>SE-000270554</v>
      </c>
      <c r="D3435" s="1" t="s">
        <v>0</v>
      </c>
      <c r="E3435" s="2">
        <v>0</v>
      </c>
      <c r="F3435" s="2">
        <v>0</v>
      </c>
      <c r="G3435" s="2">
        <v>0</v>
      </c>
      <c r="H3435" s="1" t="s">
        <v>0</v>
      </c>
      <c r="I3435" s="2">
        <v>0</v>
      </c>
      <c r="J3435" s="1">
        <v>45915.37940972222</v>
      </c>
    </row>
    <row r="3436" spans="1:10" x14ac:dyDescent="0.2">
      <c r="A3436" s="4" t="s">
        <v>1</v>
      </c>
      <c r="B3436" s="3" t="str">
        <f>HYPERLINK("https://otsuka-europe-crm.veevavault.com/ui/#object/approved_document__v/V5OZ025E82TFUPI", "Spain - HCP Survey Email - June 2025")</f>
        <v>Spain - HCP Survey Email - June 2025</v>
      </c>
      <c r="C3436" s="3" t="str">
        <f>HYPERLINK("https://otsuka-europe-crm.veevavault.com/ui/#object/sent_email__v/VBLZ025E82GN0AH", "SE-000270555")</f>
        <v>SE-000270555</v>
      </c>
      <c r="D3436" s="1" t="s">
        <v>0</v>
      </c>
      <c r="E3436" s="2">
        <v>0</v>
      </c>
      <c r="F3436" s="2">
        <v>0</v>
      </c>
      <c r="G3436" s="2">
        <v>0</v>
      </c>
      <c r="H3436" s="1" t="s">
        <v>0</v>
      </c>
      <c r="I3436" s="2">
        <v>0</v>
      </c>
      <c r="J3436" s="1">
        <v>45915.377800925926</v>
      </c>
    </row>
    <row r="3437" spans="1:10" x14ac:dyDescent="0.2">
      <c r="A3437" s="4" t="s">
        <v>1</v>
      </c>
      <c r="B3437" s="3" t="str">
        <f>HYPERLINK("https://otsuka-europe-crm.veevavault.com/ui/#object/approved_document__v/V5OZ025E82TFUPI", "Spain - HCP Survey Email - June 2025")</f>
        <v>Spain - HCP Survey Email - June 2025</v>
      </c>
      <c r="C3437" s="3" t="str">
        <f>HYPERLINK("https://otsuka-europe-crm.veevavault.com/ui/#object/sent_email__v/VBLZ025E82GN0AI", "SE-000270556")</f>
        <v>SE-000270556</v>
      </c>
      <c r="D3437" s="1">
        <v>45917.402824074074</v>
      </c>
      <c r="E3437" s="2">
        <v>1</v>
      </c>
      <c r="F3437" s="2">
        <v>2</v>
      </c>
      <c r="G3437" s="2">
        <v>0</v>
      </c>
      <c r="H3437" s="1" t="s">
        <v>0</v>
      </c>
      <c r="I3437" s="2">
        <v>0</v>
      </c>
      <c r="J3437" s="1">
        <v>45915.378206018519</v>
      </c>
    </row>
    <row r="3438" spans="1:10" x14ac:dyDescent="0.2">
      <c r="A3438" s="4" t="s">
        <v>1</v>
      </c>
      <c r="B3438" s="3" t="str">
        <f>HYPERLINK("https://otsuka-europe-crm.veevavault.com/ui/#object/approved_document__v/V5OZ025E82TFUPI", "Spain - HCP Survey Email - June 2025")</f>
        <v>Spain - HCP Survey Email - June 2025</v>
      </c>
      <c r="C3438" s="3" t="str">
        <f>HYPERLINK("https://otsuka-europe-crm.veevavault.com/ui/#object/sent_email__v/VBLZ025E82GN0AJ", "SE-000270557")</f>
        <v>SE-000270557</v>
      </c>
      <c r="D3438" s="1" t="s">
        <v>0</v>
      </c>
      <c r="E3438" s="2">
        <v>0</v>
      </c>
      <c r="F3438" s="2">
        <v>0</v>
      </c>
      <c r="G3438" s="2">
        <v>0</v>
      </c>
      <c r="H3438" s="1" t="s">
        <v>0</v>
      </c>
      <c r="I3438" s="2">
        <v>0</v>
      </c>
      <c r="J3438" s="1">
        <v>45915.37804398148</v>
      </c>
    </row>
    <row r="3439" spans="1:10" x14ac:dyDescent="0.2">
      <c r="A3439" s="4" t="s">
        <v>1</v>
      </c>
      <c r="B3439" s="3" t="str">
        <f>HYPERLINK("https://otsuka-europe-crm.veevavault.com/ui/#object/approved_document__v/V5OZ025E82TFUPI", "Spain - HCP Survey Email - June 2025")</f>
        <v>Spain - HCP Survey Email - June 2025</v>
      </c>
      <c r="C3439" s="3" t="str">
        <f>HYPERLINK("https://otsuka-europe-crm.veevavault.com/ui/#object/sent_email__v/VBLZ025E82GN0AK", "SE-000270558")</f>
        <v>SE-000270558</v>
      </c>
      <c r="D3439" s="1" t="s">
        <v>0</v>
      </c>
      <c r="E3439" s="2">
        <v>0</v>
      </c>
      <c r="F3439" s="2">
        <v>0</v>
      </c>
      <c r="G3439" s="2">
        <v>0</v>
      </c>
      <c r="H3439" s="1" t="s">
        <v>0</v>
      </c>
      <c r="I3439" s="2">
        <v>0</v>
      </c>
      <c r="J3439" s="1">
        <v>45915.378564814811</v>
      </c>
    </row>
    <row r="3440" spans="1:10" x14ac:dyDescent="0.2">
      <c r="A3440" s="4" t="s">
        <v>1</v>
      </c>
      <c r="B3440" s="3" t="str">
        <f>HYPERLINK("https://otsuka-europe-crm.veevavault.com/ui/#object/approved_document__v/V5OZ025E82TFUPI", "Spain - HCP Survey Email - June 2025")</f>
        <v>Spain - HCP Survey Email - June 2025</v>
      </c>
      <c r="C3440" s="3" t="str">
        <f>HYPERLINK("https://otsuka-europe-crm.veevavault.com/ui/#object/sent_email__v/VBLZ025E82GN0AL", "SE-000270559")</f>
        <v>SE-000270559</v>
      </c>
      <c r="D3440" s="1" t="s">
        <v>0</v>
      </c>
      <c r="E3440" s="2">
        <v>0</v>
      </c>
      <c r="F3440" s="2">
        <v>0</v>
      </c>
      <c r="G3440" s="2">
        <v>0</v>
      </c>
      <c r="H3440" s="1" t="s">
        <v>0</v>
      </c>
      <c r="I3440" s="2">
        <v>0</v>
      </c>
      <c r="J3440" s="1">
        <v>45915.379826388889</v>
      </c>
    </row>
    <row r="3441" spans="1:10" x14ac:dyDescent="0.2">
      <c r="A3441" s="4" t="s">
        <v>1</v>
      </c>
      <c r="B3441" s="3" t="str">
        <f>HYPERLINK("https://otsuka-europe-crm.veevavault.com/ui/#object/approved_document__v/V5OZ025E82TFUPI", "Spain - HCP Survey Email - June 2025")</f>
        <v>Spain - HCP Survey Email - June 2025</v>
      </c>
      <c r="C3441" s="3" t="str">
        <f>HYPERLINK("https://otsuka-europe-crm.veevavault.com/ui/#object/sent_email__v/VBLZ025E82GN0AM", "SE-000270560")</f>
        <v>SE-000270560</v>
      </c>
      <c r="D3441" s="1">
        <v>45915.393194444441</v>
      </c>
      <c r="E3441" s="2">
        <v>1</v>
      </c>
      <c r="F3441" s="2">
        <v>1</v>
      </c>
      <c r="G3441" s="2">
        <v>0</v>
      </c>
      <c r="H3441" s="1" t="s">
        <v>0</v>
      </c>
      <c r="I3441" s="2">
        <v>0</v>
      </c>
      <c r="J3441" s="1">
        <v>45915.377743055556</v>
      </c>
    </row>
    <row r="3442" spans="1:10" x14ac:dyDescent="0.2">
      <c r="A3442" s="4" t="s">
        <v>1</v>
      </c>
      <c r="B3442" s="3" t="str">
        <f>HYPERLINK("https://otsuka-europe-crm.veevavault.com/ui/#object/approved_document__v/V5OZ025E82TFUPI", "Spain - HCP Survey Email - June 2025")</f>
        <v>Spain - HCP Survey Email - June 2025</v>
      </c>
      <c r="C3442" s="3" t="str">
        <f>HYPERLINK("https://otsuka-europe-crm.veevavault.com/ui/#object/sent_email__v/VBLZ025E82GN0AN", "SE-000270561")</f>
        <v>SE-000270561</v>
      </c>
      <c r="D3442" s="1" t="s">
        <v>0</v>
      </c>
      <c r="E3442" s="2">
        <v>0</v>
      </c>
      <c r="F3442" s="2">
        <v>0</v>
      </c>
      <c r="G3442" s="2">
        <v>0</v>
      </c>
      <c r="H3442" s="1" t="s">
        <v>0</v>
      </c>
      <c r="I3442" s="2">
        <v>0</v>
      </c>
      <c r="J3442" s="1">
        <v>45915.37767361111</v>
      </c>
    </row>
    <row r="3443" spans="1:10" x14ac:dyDescent="0.2">
      <c r="A3443" s="4" t="s">
        <v>1</v>
      </c>
      <c r="B3443" s="3" t="str">
        <f>HYPERLINK("https://otsuka-europe-crm.veevavault.com/ui/#object/approved_document__v/V5OZ025E82TFUPI", "Spain - HCP Survey Email - June 2025")</f>
        <v>Spain - HCP Survey Email - June 2025</v>
      </c>
      <c r="C3443" s="3" t="str">
        <f>HYPERLINK("https://otsuka-europe-crm.veevavault.com/ui/#object/sent_email__v/VBLZ025E82GN0AO", "SE-000270562")</f>
        <v>SE-000270562</v>
      </c>
      <c r="D3443" s="1" t="s">
        <v>0</v>
      </c>
      <c r="E3443" s="2">
        <v>0</v>
      </c>
      <c r="F3443" s="2">
        <v>0</v>
      </c>
      <c r="G3443" s="2">
        <v>0</v>
      </c>
      <c r="H3443" s="1" t="s">
        <v>0</v>
      </c>
      <c r="I3443" s="2">
        <v>0</v>
      </c>
      <c r="J3443" s="1">
        <v>45915.377974537034</v>
      </c>
    </row>
    <row r="3444" spans="1:10" x14ac:dyDescent="0.2">
      <c r="A3444" s="4" t="s">
        <v>1</v>
      </c>
      <c r="B3444" s="3" t="str">
        <f>HYPERLINK("https://otsuka-europe-crm.veevavault.com/ui/#object/approved_document__v/V5OZ025E82TFUPI", "Spain - HCP Survey Email - June 2025")</f>
        <v>Spain - HCP Survey Email - June 2025</v>
      </c>
      <c r="C3444" s="3" t="str">
        <f>HYPERLINK("https://otsuka-europe-crm.veevavault.com/ui/#object/sent_email__v/VBLZ025E82GN0AP", "SE-000270563")</f>
        <v>SE-000270563</v>
      </c>
      <c r="D3444" s="1">
        <v>45916.37976851852</v>
      </c>
      <c r="E3444" s="2">
        <v>1</v>
      </c>
      <c r="F3444" s="2">
        <v>2</v>
      </c>
      <c r="G3444" s="2">
        <v>0</v>
      </c>
      <c r="H3444" s="1" t="s">
        <v>0</v>
      </c>
      <c r="I3444" s="2">
        <v>0</v>
      </c>
      <c r="J3444" s="1">
        <v>45915.37903935185</v>
      </c>
    </row>
    <row r="3445" spans="1:10" x14ac:dyDescent="0.2">
      <c r="A3445" s="4" t="s">
        <v>1</v>
      </c>
      <c r="B3445" s="3" t="str">
        <f>HYPERLINK("https://otsuka-europe-crm.veevavault.com/ui/#object/approved_document__v/V5OZ025E82TFUPI", "Spain - HCP Survey Email - June 2025")</f>
        <v>Spain - HCP Survey Email - June 2025</v>
      </c>
      <c r="C3445" s="3" t="str">
        <f>HYPERLINK("https://otsuka-europe-crm.veevavault.com/ui/#object/sent_email__v/VBLZ025E82GN0AQ", "SE-000270564")</f>
        <v>SE-000270564</v>
      </c>
      <c r="D3445" s="1" t="s">
        <v>0</v>
      </c>
      <c r="E3445" s="2">
        <v>0</v>
      </c>
      <c r="F3445" s="2">
        <v>0</v>
      </c>
      <c r="G3445" s="2">
        <v>0</v>
      </c>
      <c r="H3445" s="1" t="s">
        <v>0</v>
      </c>
      <c r="I3445" s="2">
        <v>0</v>
      </c>
      <c r="J3445" s="1">
        <v>45915.379664351851</v>
      </c>
    </row>
    <row r="3446" spans="1:10" x14ac:dyDescent="0.2">
      <c r="A3446" s="4" t="s">
        <v>1</v>
      </c>
      <c r="B3446" s="3" t="str">
        <f>HYPERLINK("https://otsuka-europe-crm.veevavault.com/ui/#object/approved_document__v/V5OZ025E82TFUPI", "Spain - HCP Survey Email - June 2025")</f>
        <v>Spain - HCP Survey Email - June 2025</v>
      </c>
      <c r="C3446" s="3" t="str">
        <f>HYPERLINK("https://otsuka-europe-crm.veevavault.com/ui/#object/sent_email__v/VBLZ025E82GN0AR", "SE-000270565")</f>
        <v>SE-000270565</v>
      </c>
      <c r="D3446" s="1">
        <v>45933.008969907409</v>
      </c>
      <c r="E3446" s="2">
        <v>1</v>
      </c>
      <c r="F3446" s="2">
        <v>2</v>
      </c>
      <c r="G3446" s="2">
        <v>0</v>
      </c>
      <c r="H3446" s="1" t="s">
        <v>0</v>
      </c>
      <c r="I3446" s="2">
        <v>0</v>
      </c>
      <c r="J3446" s="1">
        <v>45915.379479166666</v>
      </c>
    </row>
    <row r="3447" spans="1:10" x14ac:dyDescent="0.2">
      <c r="A3447" s="4" t="s">
        <v>1</v>
      </c>
      <c r="B3447" s="3" t="str">
        <f>HYPERLINK("https://otsuka-europe-crm.veevavault.com/ui/#object/approved_document__v/V5OZ025E82TFUPI", "Spain - HCP Survey Email - June 2025")</f>
        <v>Spain - HCP Survey Email - June 2025</v>
      </c>
      <c r="C3447" s="3" t="str">
        <f>HYPERLINK("https://otsuka-europe-crm.veevavault.com/ui/#object/sent_email__v/VBLZ025E82GN0AS", "SE-000270566")</f>
        <v>SE-000270566</v>
      </c>
      <c r="D3447" s="1" t="s">
        <v>0</v>
      </c>
      <c r="E3447" s="2">
        <v>0</v>
      </c>
      <c r="F3447" s="2">
        <v>0</v>
      </c>
      <c r="G3447" s="2">
        <v>0</v>
      </c>
      <c r="H3447" s="1" t="s">
        <v>0</v>
      </c>
      <c r="I3447" s="2">
        <v>0</v>
      </c>
      <c r="J3447" s="1">
        <v>45915.377893518518</v>
      </c>
    </row>
    <row r="3448" spans="1:10" x14ac:dyDescent="0.2">
      <c r="A3448" s="4" t="s">
        <v>1</v>
      </c>
      <c r="B3448" s="3" t="str">
        <f>HYPERLINK("https://otsuka-europe-crm.veevavault.com/ui/#object/approved_document__v/V5OZ025E82TFUPI", "Spain - HCP Survey Email - June 2025")</f>
        <v>Spain - HCP Survey Email - June 2025</v>
      </c>
      <c r="C3448" s="3" t="str">
        <f>HYPERLINK("https://otsuka-europe-crm.veevavault.com/ui/#object/sent_email__v/VBLZ025E82GN0AT", "SE-000270567")</f>
        <v>SE-000270567</v>
      </c>
      <c r="D3448" s="1" t="s">
        <v>0</v>
      </c>
      <c r="E3448" s="2">
        <v>0</v>
      </c>
      <c r="F3448" s="2">
        <v>0</v>
      </c>
      <c r="G3448" s="2">
        <v>0</v>
      </c>
      <c r="H3448" s="1" t="s">
        <v>0</v>
      </c>
      <c r="I3448" s="2">
        <v>0</v>
      </c>
      <c r="J3448" s="1">
        <v>45915.378194444442</v>
      </c>
    </row>
    <row r="3449" spans="1:10" x14ac:dyDescent="0.2">
      <c r="A3449" s="4" t="s">
        <v>1</v>
      </c>
      <c r="B3449" s="3" t="str">
        <f>HYPERLINK("https://otsuka-europe-crm.veevavault.com/ui/#object/approved_document__v/V5OZ025E82TFUPI", "Spain - HCP Survey Email - June 2025")</f>
        <v>Spain - HCP Survey Email - June 2025</v>
      </c>
      <c r="C3449" s="3" t="str">
        <f>HYPERLINK("https://otsuka-europe-crm.veevavault.com/ui/#object/sent_email__v/VBLZ025E82GN0AU", "SE-000270568")</f>
        <v>SE-000270568</v>
      </c>
      <c r="D3449" s="1" t="s">
        <v>0</v>
      </c>
      <c r="E3449" s="2">
        <v>0</v>
      </c>
      <c r="F3449" s="2">
        <v>0</v>
      </c>
      <c r="G3449" s="2">
        <v>0</v>
      </c>
      <c r="H3449" s="1" t="s">
        <v>0</v>
      </c>
      <c r="I3449" s="2">
        <v>0</v>
      </c>
      <c r="J3449" s="1">
        <v>45915.378055555557</v>
      </c>
    </row>
    <row r="3450" spans="1:10" x14ac:dyDescent="0.2">
      <c r="A3450" s="4" t="s">
        <v>1</v>
      </c>
      <c r="B3450" s="3" t="str">
        <f>HYPERLINK("https://otsuka-europe-crm.veevavault.com/ui/#object/approved_document__v/V5OZ025E82TFUPI", "Spain - HCP Survey Email - June 2025")</f>
        <v>Spain - HCP Survey Email - June 2025</v>
      </c>
      <c r="C3450" s="3" t="str">
        <f>HYPERLINK("https://otsuka-europe-crm.veevavault.com/ui/#object/sent_email__v/VBLZ025E82GN0AV", "SE-000270569")</f>
        <v>SE-000270569</v>
      </c>
      <c r="D3450" s="1">
        <v>45915.384247685186</v>
      </c>
      <c r="E3450" s="2">
        <v>1</v>
      </c>
      <c r="F3450" s="2">
        <v>1</v>
      </c>
      <c r="G3450" s="2">
        <v>1</v>
      </c>
      <c r="H3450" s="1">
        <v>45915.384247685186</v>
      </c>
      <c r="I3450" s="2">
        <v>1</v>
      </c>
      <c r="J3450" s="1">
        <v>45915.378506944442</v>
      </c>
    </row>
    <row r="3451" spans="1:10" x14ac:dyDescent="0.2">
      <c r="A3451" s="4" t="s">
        <v>1</v>
      </c>
      <c r="B3451" s="3" t="str">
        <f>HYPERLINK("https://otsuka-europe-crm.veevavault.com/ui/#object/approved_document__v/V5OZ025E82TFUPI", "Spain - HCP Survey Email - June 2025")</f>
        <v>Spain - HCP Survey Email - June 2025</v>
      </c>
      <c r="C3451" s="3" t="str">
        <f>HYPERLINK("https://otsuka-europe-crm.veevavault.com/ui/#object/sent_email__v/VBLZ025E82GN0AW", "SE-000270570")</f>
        <v>SE-000270570</v>
      </c>
      <c r="D3451" s="1">
        <v>45915.422881944447</v>
      </c>
      <c r="E3451" s="2">
        <v>1</v>
      </c>
      <c r="F3451" s="2">
        <v>1</v>
      </c>
      <c r="G3451" s="2">
        <v>0</v>
      </c>
      <c r="H3451" s="1" t="s">
        <v>0</v>
      </c>
      <c r="I3451" s="2">
        <v>0</v>
      </c>
      <c r="J3451" s="1">
        <v>45915.379745370374</v>
      </c>
    </row>
    <row r="3452" spans="1:10" x14ac:dyDescent="0.2">
      <c r="A3452" s="4" t="s">
        <v>1</v>
      </c>
      <c r="B3452" s="3" t="str">
        <f>HYPERLINK("https://otsuka-europe-crm.veevavault.com/ui/#object/approved_document__v/V5OZ025E82TFUPI", "Spain - HCP Survey Email - June 2025")</f>
        <v>Spain - HCP Survey Email - June 2025</v>
      </c>
      <c r="C3452" s="3" t="str">
        <f>HYPERLINK("https://otsuka-europe-crm.veevavault.com/ui/#object/sent_email__v/VBLZ025E82GN0AX", "SE-000270571")</f>
        <v>SE-000270571</v>
      </c>
      <c r="D3452" s="1">
        <v>45918.631076388891</v>
      </c>
      <c r="E3452" s="2">
        <v>1</v>
      </c>
      <c r="F3452" s="2">
        <v>2</v>
      </c>
      <c r="G3452" s="2">
        <v>0</v>
      </c>
      <c r="H3452" s="1" t="s">
        <v>0</v>
      </c>
      <c r="I3452" s="2">
        <v>0</v>
      </c>
      <c r="J3452" s="1">
        <v>45915.377662037034</v>
      </c>
    </row>
    <row r="3453" spans="1:10" x14ac:dyDescent="0.2">
      <c r="A3453" s="4" t="s">
        <v>1</v>
      </c>
      <c r="B3453" s="3" t="str">
        <f>HYPERLINK("https://otsuka-europe-crm.veevavault.com/ui/#object/approved_document__v/V5OZ025E82TFUPI", "Spain - HCP Survey Email - June 2025")</f>
        <v>Spain - HCP Survey Email - June 2025</v>
      </c>
      <c r="C3453" s="3" t="str">
        <f>HYPERLINK("https://otsuka-europe-crm.veevavault.com/ui/#object/sent_email__v/VBLZ025E82GN0AY", "SE-000270572")</f>
        <v>SE-000270572</v>
      </c>
      <c r="D3453" s="1" t="s">
        <v>0</v>
      </c>
      <c r="E3453" s="2">
        <v>0</v>
      </c>
      <c r="F3453" s="2">
        <v>0</v>
      </c>
      <c r="G3453" s="2">
        <v>0</v>
      </c>
      <c r="H3453" s="1" t="s">
        <v>0</v>
      </c>
      <c r="I3453" s="2">
        <v>0</v>
      </c>
      <c r="J3453" s="1">
        <v>45915.377604166664</v>
      </c>
    </row>
    <row r="3454" spans="1:10" x14ac:dyDescent="0.2">
      <c r="A3454" s="4" t="s">
        <v>1</v>
      </c>
      <c r="B3454" s="3" t="str">
        <f>HYPERLINK("https://otsuka-europe-crm.veevavault.com/ui/#object/approved_document__v/V5OZ025E82TFUPI", "Spain - HCP Survey Email - June 2025")</f>
        <v>Spain - HCP Survey Email - June 2025</v>
      </c>
      <c r="C3454" s="3" t="str">
        <f>HYPERLINK("https://otsuka-europe-crm.veevavault.com/ui/#object/sent_email__v/VBLZ025E82GN0AZ", "SE-000270573")</f>
        <v>SE-000270573</v>
      </c>
      <c r="D3454" s="1">
        <v>45917.011666666665</v>
      </c>
      <c r="E3454" s="2">
        <v>1</v>
      </c>
      <c r="F3454" s="2">
        <v>1</v>
      </c>
      <c r="G3454" s="2">
        <v>0</v>
      </c>
      <c r="H3454" s="1" t="s">
        <v>0</v>
      </c>
      <c r="I3454" s="2">
        <v>0</v>
      </c>
      <c r="J3454" s="1">
        <v>45915.37804398148</v>
      </c>
    </row>
    <row r="3455" spans="1:10" x14ac:dyDescent="0.2">
      <c r="A3455" s="4" t="s">
        <v>1</v>
      </c>
      <c r="B3455" s="3" t="str">
        <f>HYPERLINK("https://otsuka-europe-crm.veevavault.com/ui/#object/approved_document__v/V5OZ025E82TFUPI", "Spain - HCP Survey Email - June 2025")</f>
        <v>Spain - HCP Survey Email - June 2025</v>
      </c>
      <c r="C3455" s="3" t="str">
        <f>HYPERLINK("https://otsuka-europe-crm.veevavault.com/ui/#object/sent_email__v/VBLZ025E82GN0B0", "SE-000270574")</f>
        <v>SE-000270574</v>
      </c>
      <c r="D3455" s="1">
        <v>45915.38653935185</v>
      </c>
      <c r="E3455" s="2">
        <v>1</v>
      </c>
      <c r="F3455" s="2">
        <v>2</v>
      </c>
      <c r="G3455" s="2">
        <v>0</v>
      </c>
      <c r="H3455" s="1" t="s">
        <v>0</v>
      </c>
      <c r="I3455" s="2">
        <v>0</v>
      </c>
      <c r="J3455" s="1">
        <v>45915.379976851851</v>
      </c>
    </row>
    <row r="3456" spans="1:10" x14ac:dyDescent="0.2">
      <c r="A3456" s="4" t="s">
        <v>1</v>
      </c>
      <c r="B3456" s="3" t="str">
        <f>HYPERLINK("https://otsuka-europe-crm.veevavault.com/ui/#object/approved_document__v/V5OZ025E82TFUPI", "Spain - HCP Survey Email - June 2025")</f>
        <v>Spain - HCP Survey Email - June 2025</v>
      </c>
      <c r="C3456" s="3" t="str">
        <f>HYPERLINK("https://otsuka-europe-crm.veevavault.com/ui/#object/sent_email__v/VBLZ025E82GN0B1", "SE-000270575")</f>
        <v>SE-000270575</v>
      </c>
      <c r="D3456" s="1">
        <v>45915.408946759257</v>
      </c>
      <c r="E3456" s="2">
        <v>1</v>
      </c>
      <c r="F3456" s="2">
        <v>2</v>
      </c>
      <c r="G3456" s="2">
        <v>0</v>
      </c>
      <c r="H3456" s="1" t="s">
        <v>0</v>
      </c>
      <c r="I3456" s="2">
        <v>0</v>
      </c>
      <c r="J3456" s="1">
        <v>45915.377685185187</v>
      </c>
    </row>
    <row r="3457" spans="1:10" x14ac:dyDescent="0.2">
      <c r="A3457" s="4" t="s">
        <v>1</v>
      </c>
      <c r="B3457" s="3" t="str">
        <f>HYPERLINK("https://otsuka-europe-crm.veevavault.com/ui/#object/approved_document__v/V5OZ025E82TFUPI", "Spain - HCP Survey Email - June 2025")</f>
        <v>Spain - HCP Survey Email - June 2025</v>
      </c>
      <c r="C3457" s="3" t="str">
        <f>HYPERLINK("https://otsuka-europe-crm.veevavault.com/ui/#object/sent_email__v/VBLZ025E82GN0B2", "SE-000270576")</f>
        <v>SE-000270576</v>
      </c>
      <c r="D3457" s="1">
        <v>45915.380266203705</v>
      </c>
      <c r="E3457" s="2">
        <v>1</v>
      </c>
      <c r="F3457" s="2">
        <v>2</v>
      </c>
      <c r="G3457" s="2">
        <v>0</v>
      </c>
      <c r="H3457" s="1" t="s">
        <v>0</v>
      </c>
      <c r="I3457" s="2">
        <v>0</v>
      </c>
      <c r="J3457" s="1">
        <v>45915.377604166664</v>
      </c>
    </row>
    <row r="3458" spans="1:10" x14ac:dyDescent="0.2">
      <c r="A3458" s="4" t="s">
        <v>1</v>
      </c>
      <c r="B3458" s="3" t="str">
        <f>HYPERLINK("https://otsuka-europe-crm.veevavault.com/ui/#object/approved_document__v/V5OZ025E82TFUPI", "Spain - HCP Survey Email - June 2025")</f>
        <v>Spain - HCP Survey Email - June 2025</v>
      </c>
      <c r="C3458" s="3" t="str">
        <f>HYPERLINK("https://otsuka-europe-crm.veevavault.com/ui/#object/sent_email__v/VBLZ025E82GN0B3", "SE-000270577")</f>
        <v>SE-000270577</v>
      </c>
      <c r="D3458" s="1" t="s">
        <v>0</v>
      </c>
      <c r="E3458" s="2">
        <v>0</v>
      </c>
      <c r="F3458" s="2">
        <v>0</v>
      </c>
      <c r="G3458" s="2">
        <v>0</v>
      </c>
      <c r="H3458" s="1" t="s">
        <v>0</v>
      </c>
      <c r="I3458" s="2">
        <v>0</v>
      </c>
      <c r="J3458" s="1">
        <v>45912.693414351852</v>
      </c>
    </row>
    <row r="3459" spans="1:10" x14ac:dyDescent="0.2">
      <c r="A3459" s="4" t="s">
        <v>1</v>
      </c>
      <c r="B3459" s="3" t="str">
        <f>HYPERLINK("https://otsuka-europe-crm.veevavault.com/ui/#object/approved_document__v/V5OZ025E82TFUPI", "Spain - HCP Survey Email - June 2025")</f>
        <v>Spain - HCP Survey Email - June 2025</v>
      </c>
      <c r="C3459" s="3" t="str">
        <f>HYPERLINK("https://otsuka-europe-crm.veevavault.com/ui/#object/sent_email__v/VBLZ025E82GN0B4", "SE-000270578")</f>
        <v>SE-000270578</v>
      </c>
      <c r="D3459" s="1" t="s">
        <v>0</v>
      </c>
      <c r="E3459" s="2">
        <v>0</v>
      </c>
      <c r="F3459" s="2">
        <v>0</v>
      </c>
      <c r="G3459" s="2">
        <v>0</v>
      </c>
      <c r="H3459" s="1" t="s">
        <v>0</v>
      </c>
      <c r="I3459" s="2">
        <v>0</v>
      </c>
      <c r="J3459" s="1">
        <v>45915.37909722222</v>
      </c>
    </row>
    <row r="3460" spans="1:10" x14ac:dyDescent="0.2">
      <c r="A3460" s="4" t="s">
        <v>1</v>
      </c>
      <c r="B3460" s="3" t="str">
        <f>HYPERLINK("https://otsuka-europe-crm.veevavault.com/ui/#object/approved_document__v/V5OZ025E82TFUPI", "Spain - HCP Survey Email - June 2025")</f>
        <v>Spain - HCP Survey Email - June 2025</v>
      </c>
      <c r="C3460" s="3" t="str">
        <f>HYPERLINK("https://otsuka-europe-crm.veevavault.com/ui/#object/sent_email__v/VBLZ025E82GN0B5", "SE-000270579")</f>
        <v>SE-000270579</v>
      </c>
      <c r="D3460" s="1">
        <v>45915.62358796296</v>
      </c>
      <c r="E3460" s="2">
        <v>1</v>
      </c>
      <c r="F3460" s="2">
        <v>1</v>
      </c>
      <c r="G3460" s="2">
        <v>0</v>
      </c>
      <c r="H3460" s="1" t="s">
        <v>0</v>
      </c>
      <c r="I3460" s="2">
        <v>0</v>
      </c>
      <c r="J3460" s="1">
        <v>45915.379641203705</v>
      </c>
    </row>
    <row r="3461" spans="1:10" x14ac:dyDescent="0.2">
      <c r="A3461" s="4" t="s">
        <v>1</v>
      </c>
      <c r="B3461" s="3" t="str">
        <f>HYPERLINK("https://otsuka-europe-crm.veevavault.com/ui/#object/approved_document__v/V5OZ025E82TFUPI", "Spain - HCP Survey Email - June 2025")</f>
        <v>Spain - HCP Survey Email - June 2025</v>
      </c>
      <c r="C3461" s="3" t="str">
        <f>HYPERLINK("https://otsuka-europe-crm.veevavault.com/ui/#object/sent_email__v/VBLZ025E82GN0B6", "SE-000270580")</f>
        <v>SE-000270580</v>
      </c>
      <c r="D3461" s="1" t="s">
        <v>0</v>
      </c>
      <c r="E3461" s="2">
        <v>0</v>
      </c>
      <c r="F3461" s="2">
        <v>0</v>
      </c>
      <c r="G3461" s="2">
        <v>0</v>
      </c>
      <c r="H3461" s="1" t="s">
        <v>0</v>
      </c>
      <c r="I3461" s="2">
        <v>0</v>
      </c>
      <c r="J3461" s="1">
        <v>45915.379606481481</v>
      </c>
    </row>
    <row r="3462" spans="1:10" x14ac:dyDescent="0.2">
      <c r="A3462" s="4" t="s">
        <v>1</v>
      </c>
      <c r="B3462" s="3" t="str">
        <f>HYPERLINK("https://otsuka-europe-crm.veevavault.com/ui/#object/approved_document__v/V5OZ025E82TFUPI", "Spain - HCP Survey Email - June 2025")</f>
        <v>Spain - HCP Survey Email - June 2025</v>
      </c>
      <c r="C3462" s="3" t="str">
        <f>HYPERLINK("https://otsuka-europe-crm.veevavault.com/ui/#object/sent_email__v/VBLZ025E82GN0B7", "SE-000270581")</f>
        <v>SE-000270581</v>
      </c>
      <c r="D3462" s="1">
        <v>45915.568923611114</v>
      </c>
      <c r="E3462" s="2">
        <v>1</v>
      </c>
      <c r="F3462" s="2">
        <v>1</v>
      </c>
      <c r="G3462" s="2">
        <v>0</v>
      </c>
      <c r="H3462" s="1" t="s">
        <v>0</v>
      </c>
      <c r="I3462" s="2">
        <v>0</v>
      </c>
      <c r="J3462" s="1">
        <v>45915.377835648149</v>
      </c>
    </row>
    <row r="3463" spans="1:10" x14ac:dyDescent="0.2">
      <c r="A3463" s="4" t="s">
        <v>1</v>
      </c>
      <c r="B3463" s="3" t="str">
        <f>HYPERLINK("https://otsuka-europe-crm.veevavault.com/ui/#object/approved_document__v/V5OZ025E82TFUPI", "Spain - HCP Survey Email - June 2025")</f>
        <v>Spain - HCP Survey Email - June 2025</v>
      </c>
      <c r="C3463" s="3" t="str">
        <f>HYPERLINK("https://otsuka-europe-crm.veevavault.com/ui/#object/sent_email__v/VBLZ025E82GN0B8", "SE-000270582")</f>
        <v>SE-000270582</v>
      </c>
      <c r="D3463" s="1" t="s">
        <v>0</v>
      </c>
      <c r="E3463" s="2">
        <v>0</v>
      </c>
      <c r="F3463" s="2">
        <v>0</v>
      </c>
      <c r="G3463" s="2">
        <v>0</v>
      </c>
      <c r="H3463" s="1" t="s">
        <v>0</v>
      </c>
      <c r="I3463" s="2">
        <v>0</v>
      </c>
      <c r="J3463" s="1">
        <v>45915.378321759257</v>
      </c>
    </row>
    <row r="3464" spans="1:10" x14ac:dyDescent="0.2">
      <c r="A3464" s="4" t="s">
        <v>1</v>
      </c>
      <c r="B3464" s="3" t="str">
        <f>HYPERLINK("https://otsuka-europe-crm.veevavault.com/ui/#object/approved_document__v/V5OZ025E82TFUPI", "Spain - HCP Survey Email - June 2025")</f>
        <v>Spain - HCP Survey Email - June 2025</v>
      </c>
      <c r="C3464" s="3" t="str">
        <f>HYPERLINK("https://otsuka-europe-crm.veevavault.com/ui/#object/sent_email__v/VBLZ025E82GN0B9", "SE-000270583")</f>
        <v>SE-000270583</v>
      </c>
      <c r="D3464" s="1" t="s">
        <v>0</v>
      </c>
      <c r="E3464" s="2">
        <v>0</v>
      </c>
      <c r="F3464" s="2">
        <v>0</v>
      </c>
      <c r="G3464" s="2">
        <v>0</v>
      </c>
      <c r="H3464" s="1" t="s">
        <v>0</v>
      </c>
      <c r="I3464" s="2">
        <v>0</v>
      </c>
      <c r="J3464" s="1">
        <v>45915.378113425926</v>
      </c>
    </row>
    <row r="3465" spans="1:10" x14ac:dyDescent="0.2">
      <c r="A3465" s="4" t="s">
        <v>1</v>
      </c>
      <c r="B3465" s="3" t="str">
        <f>HYPERLINK("https://otsuka-europe-crm.veevavault.com/ui/#object/approved_document__v/V5OZ025E82TFUPI", "Spain - HCP Survey Email - June 2025")</f>
        <v>Spain - HCP Survey Email - June 2025</v>
      </c>
      <c r="C3465" s="3" t="str">
        <f>HYPERLINK("https://otsuka-europe-crm.veevavault.com/ui/#object/sent_email__v/VBLZ025E82GN0BA", "SE-000270584")</f>
        <v>SE-000270584</v>
      </c>
      <c r="D3465" s="1" t="s">
        <v>0</v>
      </c>
      <c r="E3465" s="2">
        <v>0</v>
      </c>
      <c r="F3465" s="2">
        <v>0</v>
      </c>
      <c r="G3465" s="2">
        <v>0</v>
      </c>
      <c r="H3465" s="1" t="s">
        <v>0</v>
      </c>
      <c r="I3465" s="2">
        <v>0</v>
      </c>
      <c r="J3465" s="1">
        <v>45915.378518518519</v>
      </c>
    </row>
    <row r="3466" spans="1:10" x14ac:dyDescent="0.2">
      <c r="A3466" s="4" t="s">
        <v>1</v>
      </c>
      <c r="B3466" s="3" t="str">
        <f>HYPERLINK("https://otsuka-europe-crm.veevavault.com/ui/#object/approved_document__v/V5OZ025E82TFUPI", "Spain - HCP Survey Email - June 2025")</f>
        <v>Spain - HCP Survey Email - June 2025</v>
      </c>
      <c r="C3466" s="3" t="str">
        <f>HYPERLINK("https://otsuka-europe-crm.veevavault.com/ui/#object/sent_email__v/VBLZ025E82GN0BB", "SE-000270585")</f>
        <v>SE-000270585</v>
      </c>
      <c r="D3466" s="1" t="s">
        <v>0</v>
      </c>
      <c r="E3466" s="2">
        <v>0</v>
      </c>
      <c r="F3466" s="2">
        <v>0</v>
      </c>
      <c r="G3466" s="2">
        <v>0</v>
      </c>
      <c r="H3466" s="1" t="s">
        <v>0</v>
      </c>
      <c r="I3466" s="2">
        <v>0</v>
      </c>
      <c r="J3466" s="1">
        <v>45915.37976851852</v>
      </c>
    </row>
    <row r="3467" spans="1:10" x14ac:dyDescent="0.2">
      <c r="A3467" s="4" t="s">
        <v>1</v>
      </c>
      <c r="B3467" s="3" t="str">
        <f>HYPERLINK("https://otsuka-europe-crm.veevavault.com/ui/#object/approved_document__v/V5OZ025E82TFUPI", "Spain - HCP Survey Email - June 2025")</f>
        <v>Spain - HCP Survey Email - June 2025</v>
      </c>
      <c r="C3467" s="3" t="str">
        <f>HYPERLINK("https://otsuka-europe-crm.veevavault.com/ui/#object/sent_email__v/VBLZ025E82GN0BC", "SE-000270586")</f>
        <v>SE-000270586</v>
      </c>
      <c r="D3467" s="1" t="s">
        <v>0</v>
      </c>
      <c r="E3467" s="2">
        <v>0</v>
      </c>
      <c r="F3467" s="2">
        <v>0</v>
      </c>
      <c r="G3467" s="2">
        <v>0</v>
      </c>
      <c r="H3467" s="1" t="s">
        <v>0</v>
      </c>
      <c r="I3467" s="2">
        <v>0</v>
      </c>
      <c r="J3467" s="1">
        <v>45915.377766203703</v>
      </c>
    </row>
    <row r="3468" spans="1:10" x14ac:dyDescent="0.2">
      <c r="A3468" s="4" t="s">
        <v>1</v>
      </c>
      <c r="B3468" s="3" t="str">
        <f>HYPERLINK("https://otsuka-europe-crm.veevavault.com/ui/#object/approved_document__v/V5OZ025E82TFUPI", "Spain - HCP Survey Email - June 2025")</f>
        <v>Spain - HCP Survey Email - June 2025</v>
      </c>
      <c r="C3468" s="3" t="str">
        <f>HYPERLINK("https://otsuka-europe-crm.veevavault.com/ui/#object/sent_email__v/VBLZ025E82GN0BD", "SE-000270587")</f>
        <v>SE-000270587</v>
      </c>
      <c r="D3468" s="1" t="s">
        <v>0</v>
      </c>
      <c r="E3468" s="2">
        <v>0</v>
      </c>
      <c r="F3468" s="2">
        <v>0</v>
      </c>
      <c r="G3468" s="2">
        <v>0</v>
      </c>
      <c r="H3468" s="1" t="s">
        <v>0</v>
      </c>
      <c r="I3468" s="2">
        <v>0</v>
      </c>
      <c r="J3468" s="1">
        <v>45915.377627314818</v>
      </c>
    </row>
    <row r="3469" spans="1:10" x14ac:dyDescent="0.2">
      <c r="A3469" s="4" t="s">
        <v>1</v>
      </c>
      <c r="B3469" s="3" t="str">
        <f>HYPERLINK("https://otsuka-europe-crm.veevavault.com/ui/#object/approved_document__v/V5OZ025E82TFUPI", "Spain - HCP Survey Email - June 2025")</f>
        <v>Spain - HCP Survey Email - June 2025</v>
      </c>
      <c r="C3469" s="3" t="str">
        <f>HYPERLINK("https://otsuka-europe-crm.veevavault.com/ui/#object/sent_email__v/VBLZ025E82GN0BE", "SE-000270588")</f>
        <v>SE-000270588</v>
      </c>
      <c r="D3469" s="1">
        <v>45915.59101851852</v>
      </c>
      <c r="E3469" s="2">
        <v>1</v>
      </c>
      <c r="F3469" s="2">
        <v>1</v>
      </c>
      <c r="G3469" s="2">
        <v>1</v>
      </c>
      <c r="H3469" s="1">
        <v>45915.852453703701</v>
      </c>
      <c r="I3469" s="2">
        <v>2</v>
      </c>
      <c r="J3469" s="1">
        <v>45915.37804398148</v>
      </c>
    </row>
    <row r="3470" spans="1:10" x14ac:dyDescent="0.2">
      <c r="A3470" s="4" t="s">
        <v>1</v>
      </c>
      <c r="B3470" s="3" t="str">
        <f>HYPERLINK("https://otsuka-europe-crm.veevavault.com/ui/#object/approved_document__v/V5OZ025E82TFUPI", "Spain - HCP Survey Email - June 2025")</f>
        <v>Spain - HCP Survey Email - June 2025</v>
      </c>
      <c r="C3470" s="3" t="str">
        <f>HYPERLINK("https://otsuka-europe-crm.veevavault.com/ui/#object/sent_email__v/VBLZ025E82GN0BF", "SE-000270589")</f>
        <v>SE-000270589</v>
      </c>
      <c r="D3470" s="1">
        <v>45921.954884259256</v>
      </c>
      <c r="E3470" s="2">
        <v>1</v>
      </c>
      <c r="F3470" s="2">
        <v>2</v>
      </c>
      <c r="G3470" s="2">
        <v>0</v>
      </c>
      <c r="H3470" s="1" t="s">
        <v>0</v>
      </c>
      <c r="I3470" s="2">
        <v>0</v>
      </c>
      <c r="J3470" s="1">
        <v>45915.378993055558</v>
      </c>
    </row>
    <row r="3471" spans="1:10" x14ac:dyDescent="0.2">
      <c r="A3471" s="4" t="s">
        <v>1</v>
      </c>
      <c r="B3471" s="3" t="str">
        <f>HYPERLINK("https://otsuka-europe-crm.veevavault.com/ui/#object/approved_document__v/V5OZ025E82TFUPI", "Spain - HCP Survey Email - June 2025")</f>
        <v>Spain - HCP Survey Email - June 2025</v>
      </c>
      <c r="C3471" s="3" t="str">
        <f>HYPERLINK("https://otsuka-europe-crm.veevavault.com/ui/#object/sent_email__v/VBLZ025E82GN0BG", "SE-000270590")</f>
        <v>SE-000270590</v>
      </c>
      <c r="D3471" s="1">
        <v>45915.673043981478</v>
      </c>
      <c r="E3471" s="2">
        <v>1</v>
      </c>
      <c r="F3471" s="2">
        <v>1</v>
      </c>
      <c r="G3471" s="2">
        <v>0</v>
      </c>
      <c r="H3471" s="1" t="s">
        <v>0</v>
      </c>
      <c r="I3471" s="2">
        <v>0</v>
      </c>
      <c r="J3471" s="1">
        <v>45915.379629629628</v>
      </c>
    </row>
    <row r="3472" spans="1:10" x14ac:dyDescent="0.2">
      <c r="A3472" s="4" t="s">
        <v>1</v>
      </c>
      <c r="B3472" s="3" t="str">
        <f>HYPERLINK("https://otsuka-europe-crm.veevavault.com/ui/#object/approved_document__v/V5OZ025E82TFUPI", "Spain - HCP Survey Email - June 2025")</f>
        <v>Spain - HCP Survey Email - June 2025</v>
      </c>
      <c r="C3472" s="3" t="str">
        <f>HYPERLINK("https://otsuka-europe-crm.veevavault.com/ui/#object/sent_email__v/VBLZ025E82GN0BH", "SE-000270591")</f>
        <v>SE-000270591</v>
      </c>
      <c r="D3472" s="1" t="s">
        <v>0</v>
      </c>
      <c r="E3472" s="2">
        <v>0</v>
      </c>
      <c r="F3472" s="2">
        <v>0</v>
      </c>
      <c r="G3472" s="2">
        <v>0</v>
      </c>
      <c r="H3472" s="1" t="s">
        <v>0</v>
      </c>
      <c r="I3472" s="2">
        <v>0</v>
      </c>
      <c r="J3472" s="1">
        <v>45915.37940972222</v>
      </c>
    </row>
    <row r="3473" spans="1:10" x14ac:dyDescent="0.2">
      <c r="A3473" s="4" t="s">
        <v>1</v>
      </c>
      <c r="B3473" s="3" t="str">
        <f>HYPERLINK("https://otsuka-europe-crm.veevavault.com/ui/#object/approved_document__v/V5OZ025E82TFUPI", "Spain - HCP Survey Email - June 2025")</f>
        <v>Spain - HCP Survey Email - June 2025</v>
      </c>
      <c r="C3473" s="3" t="str">
        <f>HYPERLINK("https://otsuka-europe-crm.veevavault.com/ui/#object/sent_email__v/VBLZ025E82GN0BI", "SE-000270592")</f>
        <v>SE-000270592</v>
      </c>
      <c r="D3473" s="1" t="s">
        <v>0</v>
      </c>
      <c r="E3473" s="2">
        <v>0</v>
      </c>
      <c r="F3473" s="2">
        <v>0</v>
      </c>
      <c r="G3473" s="2">
        <v>0</v>
      </c>
      <c r="H3473" s="1" t="s">
        <v>0</v>
      </c>
      <c r="I3473" s="2">
        <v>0</v>
      </c>
      <c r="J3473" s="1">
        <v>45915.37777777778</v>
      </c>
    </row>
    <row r="3474" spans="1:10" x14ac:dyDescent="0.2">
      <c r="A3474" s="4" t="s">
        <v>1</v>
      </c>
      <c r="B3474" s="3" t="str">
        <f>HYPERLINK("https://otsuka-europe-crm.veevavault.com/ui/#object/approved_document__v/V5OZ025E82TFUPI", "Spain - HCP Survey Email - June 2025")</f>
        <v>Spain - HCP Survey Email - June 2025</v>
      </c>
      <c r="C3474" s="3" t="str">
        <f>HYPERLINK("https://otsuka-europe-crm.veevavault.com/ui/#object/sent_email__v/VBLZ025E82GN0BJ", "SE-000270593")</f>
        <v>SE-000270593</v>
      </c>
      <c r="D3474" s="1" t="s">
        <v>0</v>
      </c>
      <c r="E3474" s="2">
        <v>0</v>
      </c>
      <c r="F3474" s="2">
        <v>0</v>
      </c>
      <c r="G3474" s="2">
        <v>0</v>
      </c>
      <c r="H3474" s="1" t="s">
        <v>0</v>
      </c>
      <c r="I3474" s="2">
        <v>0</v>
      </c>
      <c r="J3474" s="1">
        <v>45915.378229166665</v>
      </c>
    </row>
    <row r="3475" spans="1:10" x14ac:dyDescent="0.2">
      <c r="A3475" s="4" t="s">
        <v>1</v>
      </c>
      <c r="B3475" s="3" t="str">
        <f>HYPERLINK("https://otsuka-europe-crm.veevavault.com/ui/#object/approved_document__v/V5OZ025E82TFUPI", "Spain - HCP Survey Email - June 2025")</f>
        <v>Spain - HCP Survey Email - June 2025</v>
      </c>
      <c r="C3475" s="3" t="str">
        <f>HYPERLINK("https://otsuka-europe-crm.veevavault.com/ui/#object/sent_email__v/VBLZ025E82GN0BK", "SE-000270594")</f>
        <v>SE-000270594</v>
      </c>
      <c r="D3475" s="1" t="s">
        <v>0</v>
      </c>
      <c r="E3475" s="2">
        <v>0</v>
      </c>
      <c r="F3475" s="2">
        <v>0</v>
      </c>
      <c r="G3475" s="2">
        <v>0</v>
      </c>
      <c r="H3475" s="1" t="s">
        <v>0</v>
      </c>
      <c r="I3475" s="2">
        <v>0</v>
      </c>
      <c r="J3475" s="1">
        <v>45915.378078703703</v>
      </c>
    </row>
    <row r="3476" spans="1:10" x14ac:dyDescent="0.2">
      <c r="A3476" s="4" t="s">
        <v>1</v>
      </c>
      <c r="B3476" s="3" t="str">
        <f>HYPERLINK("https://otsuka-europe-crm.veevavault.com/ui/#object/approved_document__v/V5OZ025E82TFUPI", "Spain - HCP Survey Email - June 2025")</f>
        <v>Spain - HCP Survey Email - June 2025</v>
      </c>
      <c r="C3476" s="3" t="str">
        <f>HYPERLINK("https://otsuka-europe-crm.veevavault.com/ui/#object/sent_email__v/VBLZ025E82GN0BL", "SE-000270595")</f>
        <v>SE-000270595</v>
      </c>
      <c r="D3476" s="1">
        <v>45919.653356481482</v>
      </c>
      <c r="E3476" s="2">
        <v>1</v>
      </c>
      <c r="F3476" s="2">
        <v>2</v>
      </c>
      <c r="G3476" s="2">
        <v>0</v>
      </c>
      <c r="H3476" s="1" t="s">
        <v>0</v>
      </c>
      <c r="I3476" s="2">
        <v>0</v>
      </c>
      <c r="J3476" s="1">
        <v>45915.378518518519</v>
      </c>
    </row>
    <row r="3477" spans="1:10" x14ac:dyDescent="0.2">
      <c r="A3477" s="4" t="s">
        <v>1</v>
      </c>
      <c r="B3477" s="3" t="str">
        <f>HYPERLINK("https://otsuka-europe-crm.veevavault.com/ui/#object/approved_document__v/V5OZ025E82TFUPI", "Spain - HCP Survey Email - June 2025")</f>
        <v>Spain - HCP Survey Email - June 2025</v>
      </c>
      <c r="C3477" s="3" t="str">
        <f>HYPERLINK("https://otsuka-europe-crm.veevavault.com/ui/#object/sent_email__v/VBLZ025E82GN0BM", "SE-000270596")</f>
        <v>SE-000270596</v>
      </c>
      <c r="D3477" s="1" t="s">
        <v>0</v>
      </c>
      <c r="E3477" s="2">
        <v>0</v>
      </c>
      <c r="F3477" s="2">
        <v>0</v>
      </c>
      <c r="G3477" s="2">
        <v>0</v>
      </c>
      <c r="H3477" s="1" t="s">
        <v>0</v>
      </c>
      <c r="I3477" s="2">
        <v>0</v>
      </c>
      <c r="J3477" s="1">
        <v>45915.379791666666</v>
      </c>
    </row>
    <row r="3478" spans="1:10" x14ac:dyDescent="0.2">
      <c r="A3478" s="4" t="s">
        <v>1</v>
      </c>
      <c r="B3478" s="3" t="str">
        <f>HYPERLINK("https://otsuka-europe-crm.veevavault.com/ui/#object/approved_document__v/V5OZ025E82TFUPI", "Spain - HCP Survey Email - June 2025")</f>
        <v>Spain - HCP Survey Email - June 2025</v>
      </c>
      <c r="C3478" s="3" t="str">
        <f>HYPERLINK("https://otsuka-europe-crm.veevavault.com/ui/#object/sent_email__v/VBLZ025E82GN0BN", "SE-000270597")</f>
        <v>SE-000270597</v>
      </c>
      <c r="D3478" s="1">
        <v>45925.245439814818</v>
      </c>
      <c r="E3478" s="2">
        <v>1</v>
      </c>
      <c r="F3478" s="2">
        <v>2</v>
      </c>
      <c r="G3478" s="2">
        <v>0</v>
      </c>
      <c r="H3478" s="1" t="s">
        <v>0</v>
      </c>
      <c r="I3478" s="2">
        <v>0</v>
      </c>
      <c r="J3478" s="1">
        <v>45915.377766203703</v>
      </c>
    </row>
    <row r="3479" spans="1:10" x14ac:dyDescent="0.2">
      <c r="A3479" s="4" t="s">
        <v>1</v>
      </c>
      <c r="B3479" s="3" t="str">
        <f>HYPERLINK("https://otsuka-europe-crm.veevavault.com/ui/#object/approved_document__v/V5OZ025E82TFUPI", "Spain - HCP Survey Email - June 2025")</f>
        <v>Spain - HCP Survey Email - June 2025</v>
      </c>
      <c r="C3479" s="3" t="str">
        <f>HYPERLINK("https://otsuka-europe-crm.veevavault.com/ui/#object/sent_email__v/VBLZ025E82GN0BO", "SE-000270598")</f>
        <v>SE-000270598</v>
      </c>
      <c r="D3479" s="1" t="s">
        <v>0</v>
      </c>
      <c r="E3479" s="2">
        <v>0</v>
      </c>
      <c r="F3479" s="2">
        <v>0</v>
      </c>
      <c r="G3479" s="2">
        <v>0</v>
      </c>
      <c r="H3479" s="1" t="s">
        <v>0</v>
      </c>
      <c r="I3479" s="2">
        <v>0</v>
      </c>
      <c r="J3479" s="1">
        <v>45915.377615740741</v>
      </c>
    </row>
    <row r="3480" spans="1:10" x14ac:dyDescent="0.2">
      <c r="A3480" s="4" t="s">
        <v>1</v>
      </c>
      <c r="B3480" s="3" t="str">
        <f>HYPERLINK("https://otsuka-europe-crm.veevavault.com/ui/#object/approved_document__v/V5OZ025E82TFUPI", "Spain - HCP Survey Email - June 2025")</f>
        <v>Spain - HCP Survey Email - June 2025</v>
      </c>
      <c r="C3480" s="3" t="str">
        <f>HYPERLINK("https://otsuka-europe-crm.veevavault.com/ui/#object/sent_email__v/VBLZ025E82GN0BP", "SE-000270599")</f>
        <v>SE-000270599</v>
      </c>
      <c r="D3480" s="1" t="s">
        <v>0</v>
      </c>
      <c r="E3480" s="2">
        <v>0</v>
      </c>
      <c r="F3480" s="2">
        <v>0</v>
      </c>
      <c r="G3480" s="2">
        <v>0</v>
      </c>
      <c r="H3480" s="1" t="s">
        <v>0</v>
      </c>
      <c r="I3480" s="2">
        <v>0</v>
      </c>
      <c r="J3480" s="1">
        <v>45915.37804398148</v>
      </c>
    </row>
    <row r="3481" spans="1:10" x14ac:dyDescent="0.2">
      <c r="A3481" s="4" t="s">
        <v>1</v>
      </c>
      <c r="B3481" s="3" t="str">
        <f>HYPERLINK("https://otsuka-europe-crm.veevavault.com/ui/#object/approved_document__v/V5OZ025E82TFUPI", "Spain - HCP Survey Email - June 2025")</f>
        <v>Spain - HCP Survey Email - June 2025</v>
      </c>
      <c r="C3481" s="3" t="str">
        <f>HYPERLINK("https://otsuka-europe-crm.veevavault.com/ui/#object/sent_email__v/VBLZ025E82GN0BQ", "SE-000270600")</f>
        <v>SE-000270600</v>
      </c>
      <c r="D3481" s="1">
        <v>45915.683344907404</v>
      </c>
      <c r="E3481" s="2">
        <v>1</v>
      </c>
      <c r="F3481" s="2">
        <v>3</v>
      </c>
      <c r="G3481" s="2">
        <v>0</v>
      </c>
      <c r="H3481" s="1" t="s">
        <v>0</v>
      </c>
      <c r="I3481" s="2">
        <v>0</v>
      </c>
      <c r="J3481" s="1">
        <v>45915.378483796296</v>
      </c>
    </row>
    <row r="3482" spans="1:10" x14ac:dyDescent="0.2">
      <c r="A3482" s="4" t="s">
        <v>1</v>
      </c>
      <c r="B3482" s="3" t="str">
        <f>HYPERLINK("https://otsuka-europe-crm.veevavault.com/ui/#object/approved_document__v/V5OZ025E82TFUPI", "Spain - HCP Survey Email - June 2025")</f>
        <v>Spain - HCP Survey Email - June 2025</v>
      </c>
      <c r="C3482" s="3" t="str">
        <f>HYPERLINK("https://otsuka-europe-crm.veevavault.com/ui/#object/sent_email__v/VBLZ025E82GN0BR", "SE-000270601")</f>
        <v>SE-000270601</v>
      </c>
      <c r="D3482" s="1">
        <v>45918.920532407406</v>
      </c>
      <c r="E3482" s="2">
        <v>1</v>
      </c>
      <c r="F3482" s="2">
        <v>2</v>
      </c>
      <c r="G3482" s="2">
        <v>0</v>
      </c>
      <c r="H3482" s="1" t="s">
        <v>0</v>
      </c>
      <c r="I3482" s="2">
        <v>0</v>
      </c>
      <c r="J3482" s="1">
        <v>45915.379814814813</v>
      </c>
    </row>
    <row r="3483" spans="1:10" x14ac:dyDescent="0.2">
      <c r="A3483" s="4" t="s">
        <v>1</v>
      </c>
      <c r="B3483" s="3" t="str">
        <f>HYPERLINK("https://otsuka-europe-crm.veevavault.com/ui/#object/approved_document__v/V5OZ025E82TFUPI", "Spain - HCP Survey Email - June 2025")</f>
        <v>Spain - HCP Survey Email - June 2025</v>
      </c>
      <c r="C3483" s="3" t="str">
        <f>HYPERLINK("https://otsuka-europe-crm.veevavault.com/ui/#object/sent_email__v/VBLZ025E82GN0BS", "SE-000270602")</f>
        <v>SE-000270602</v>
      </c>
      <c r="D3483" s="1">
        <v>45915.488067129627</v>
      </c>
      <c r="E3483" s="2">
        <v>1</v>
      </c>
      <c r="F3483" s="2">
        <v>2</v>
      </c>
      <c r="G3483" s="2">
        <v>0</v>
      </c>
      <c r="H3483" s="1" t="s">
        <v>0</v>
      </c>
      <c r="I3483" s="2">
        <v>0</v>
      </c>
      <c r="J3483" s="1">
        <v>45915.377812500003</v>
      </c>
    </row>
    <row r="3484" spans="1:10" x14ac:dyDescent="0.2">
      <c r="A3484" s="4" t="s">
        <v>1</v>
      </c>
      <c r="B3484" s="3" t="str">
        <f>HYPERLINK("https://otsuka-europe-crm.veevavault.com/ui/#object/approved_document__v/V5OZ025E82TFUPI", "Spain - HCP Survey Email - June 2025")</f>
        <v>Spain - HCP Survey Email - June 2025</v>
      </c>
      <c r="C3484" s="3" t="str">
        <f>HYPERLINK("https://otsuka-europe-crm.veevavault.com/ui/#object/sent_email__v/VBLZ025E82GN0BT", "SE-000270603")</f>
        <v>SE-000270603</v>
      </c>
      <c r="D3484" s="1">
        <v>45915.410115740742</v>
      </c>
      <c r="E3484" s="2">
        <v>1</v>
      </c>
      <c r="F3484" s="2">
        <v>1</v>
      </c>
      <c r="G3484" s="2">
        <v>0</v>
      </c>
      <c r="H3484" s="1" t="s">
        <v>0</v>
      </c>
      <c r="I3484" s="2">
        <v>0</v>
      </c>
      <c r="J3484" s="1">
        <v>45915.377627314818</v>
      </c>
    </row>
    <row r="3485" spans="1:10" x14ac:dyDescent="0.2">
      <c r="A3485" s="4" t="s">
        <v>1</v>
      </c>
      <c r="B3485" s="3" t="str">
        <f>HYPERLINK("https://otsuka-europe-crm.veevavault.com/ui/#object/approved_document__v/V5OZ025E82TFUPI", "Spain - HCP Survey Email - June 2025")</f>
        <v>Spain - HCP Survey Email - June 2025</v>
      </c>
      <c r="C3485" s="3" t="str">
        <f>HYPERLINK("https://otsuka-europe-crm.veevavault.com/ui/#object/sent_email__v/VBLZ025E82GN0BU", "SE-000270604")</f>
        <v>SE-000270604</v>
      </c>
      <c r="D3485" s="1">
        <v>45923.712060185186</v>
      </c>
      <c r="E3485" s="2">
        <v>1</v>
      </c>
      <c r="F3485" s="2">
        <v>2</v>
      </c>
      <c r="G3485" s="2">
        <v>0</v>
      </c>
      <c r="H3485" s="1" t="s">
        <v>0</v>
      </c>
      <c r="I3485" s="2">
        <v>0</v>
      </c>
      <c r="J3485" s="1">
        <v>45915.378009259257</v>
      </c>
    </row>
    <row r="3486" spans="1:10" x14ac:dyDescent="0.2">
      <c r="A3486" s="4" t="s">
        <v>1</v>
      </c>
      <c r="B3486" s="3" t="str">
        <f>HYPERLINK("https://otsuka-europe-crm.veevavault.com/ui/#object/approved_document__v/V5OZ025E82TFUPI", "Spain - HCP Survey Email - June 2025")</f>
        <v>Spain - HCP Survey Email - June 2025</v>
      </c>
      <c r="C3486" s="3" t="str">
        <f>HYPERLINK("https://otsuka-europe-crm.veevavault.com/ui/#object/sent_email__v/VBLZ025E82GN0BV", "SE-000270605")</f>
        <v>SE-000270605</v>
      </c>
      <c r="D3486" s="1">
        <v>45915.41646990741</v>
      </c>
      <c r="E3486" s="2">
        <v>1</v>
      </c>
      <c r="F3486" s="2">
        <v>2</v>
      </c>
      <c r="G3486" s="2">
        <v>1</v>
      </c>
      <c r="H3486" s="1">
        <v>45915.417141203703</v>
      </c>
      <c r="I3486" s="2">
        <v>2</v>
      </c>
      <c r="J3486" s="1">
        <v>45915.379050925927</v>
      </c>
    </row>
    <row r="3487" spans="1:10" x14ac:dyDescent="0.2">
      <c r="A3487" s="4" t="s">
        <v>1</v>
      </c>
      <c r="B3487" s="3" t="str">
        <f>HYPERLINK("https://otsuka-europe-crm.veevavault.com/ui/#object/approved_document__v/V5OZ025E82TFUPI", "Spain - HCP Survey Email - June 2025")</f>
        <v>Spain - HCP Survey Email - June 2025</v>
      </c>
      <c r="C3487" s="3" t="str">
        <f>HYPERLINK("https://otsuka-europe-crm.veevavault.com/ui/#object/sent_email__v/VBLZ025E82GN0BW", "SE-000270606")</f>
        <v>SE-000270606</v>
      </c>
      <c r="D3487" s="1">
        <v>45915.383877314816</v>
      </c>
      <c r="E3487" s="2">
        <v>1</v>
      </c>
      <c r="F3487" s="2">
        <v>1</v>
      </c>
      <c r="G3487" s="2">
        <v>0</v>
      </c>
      <c r="H3487" s="1" t="s">
        <v>0</v>
      </c>
      <c r="I3487" s="2">
        <v>0</v>
      </c>
      <c r="J3487" s="1">
        <v>45915.379710648151</v>
      </c>
    </row>
    <row r="3488" spans="1:10" x14ac:dyDescent="0.2">
      <c r="A3488" s="4" t="s">
        <v>1</v>
      </c>
      <c r="B3488" s="3" t="str">
        <f>HYPERLINK("https://otsuka-europe-crm.veevavault.com/ui/#object/approved_document__v/V5OZ025E82TFUPI", "Spain - HCP Survey Email - June 2025")</f>
        <v>Spain - HCP Survey Email - June 2025</v>
      </c>
      <c r="C3488" s="3" t="str">
        <f>HYPERLINK("https://otsuka-europe-crm.veevavault.com/ui/#object/sent_email__v/VBLZ025E82GN0BX", "SE-000270607")</f>
        <v>SE-000270607</v>
      </c>
      <c r="D3488" s="1" t="s">
        <v>0</v>
      </c>
      <c r="E3488" s="2">
        <v>0</v>
      </c>
      <c r="F3488" s="2">
        <v>0</v>
      </c>
      <c r="G3488" s="2">
        <v>0</v>
      </c>
      <c r="H3488" s="1" t="s">
        <v>0</v>
      </c>
      <c r="I3488" s="2">
        <v>0</v>
      </c>
      <c r="J3488" s="1">
        <v>45915.379027777781</v>
      </c>
    </row>
    <row r="3489" spans="1:10" x14ac:dyDescent="0.2">
      <c r="A3489" s="4" t="s">
        <v>1</v>
      </c>
      <c r="B3489" s="3" t="str">
        <f>HYPERLINK("https://otsuka-europe-crm.veevavault.com/ui/#object/approved_document__v/V5OZ025E82TFUPI", "Spain - HCP Survey Email - June 2025")</f>
        <v>Spain - HCP Survey Email - June 2025</v>
      </c>
      <c r="C3489" s="3" t="str">
        <f>HYPERLINK("https://otsuka-europe-crm.veevavault.com/ui/#object/sent_email__v/VBLZ025E82GN0BY", "SE-000270608")</f>
        <v>SE-000270608</v>
      </c>
      <c r="D3489" s="1" t="s">
        <v>0</v>
      </c>
      <c r="E3489" s="2">
        <v>0</v>
      </c>
      <c r="F3489" s="2">
        <v>0</v>
      </c>
      <c r="G3489" s="2">
        <v>0</v>
      </c>
      <c r="H3489" s="1" t="s">
        <v>0</v>
      </c>
      <c r="I3489" s="2">
        <v>0</v>
      </c>
      <c r="J3489" s="1">
        <v>45915.377916666665</v>
      </c>
    </row>
    <row r="3490" spans="1:10" x14ac:dyDescent="0.2">
      <c r="A3490" s="4" t="s">
        <v>1</v>
      </c>
      <c r="B3490" s="3" t="str">
        <f>HYPERLINK("https://otsuka-europe-crm.veevavault.com/ui/#object/approved_document__v/V5OZ025E82TFUPI", "Spain - HCP Survey Email - June 2025")</f>
        <v>Spain - HCP Survey Email - June 2025</v>
      </c>
      <c r="C3490" s="3" t="str">
        <f>HYPERLINK("https://otsuka-europe-crm.veevavault.com/ui/#object/sent_email__v/VBLZ025E82GN0BZ", "SE-000270609")</f>
        <v>SE-000270609</v>
      </c>
      <c r="D3490" s="1">
        <v>45941.305324074077</v>
      </c>
      <c r="E3490" s="2">
        <v>1</v>
      </c>
      <c r="F3490" s="2">
        <v>3</v>
      </c>
      <c r="G3490" s="2">
        <v>0</v>
      </c>
      <c r="H3490" s="1" t="s">
        <v>0</v>
      </c>
      <c r="I3490" s="2">
        <v>0</v>
      </c>
      <c r="J3490" s="1">
        <v>45915.378275462965</v>
      </c>
    </row>
    <row r="3491" spans="1:10" x14ac:dyDescent="0.2">
      <c r="A3491" s="4" t="s">
        <v>1</v>
      </c>
      <c r="B3491" s="3" t="str">
        <f>HYPERLINK("https://otsuka-europe-crm.veevavault.com/ui/#object/approved_document__v/V5OZ025E82TFUPI", "Spain - HCP Survey Email - June 2025")</f>
        <v>Spain - HCP Survey Email - June 2025</v>
      </c>
      <c r="C3491" s="3" t="str">
        <f>HYPERLINK("https://otsuka-europe-crm.veevavault.com/ui/#object/sent_email__v/VBLZ025E82GN0C0", "SE-000270610")</f>
        <v>SE-000270610</v>
      </c>
      <c r="D3491" s="1" t="s">
        <v>0</v>
      </c>
      <c r="E3491" s="2">
        <v>0</v>
      </c>
      <c r="F3491" s="2">
        <v>0</v>
      </c>
      <c r="G3491" s="2">
        <v>0</v>
      </c>
      <c r="H3491" s="1" t="s">
        <v>0</v>
      </c>
      <c r="I3491" s="2">
        <v>0</v>
      </c>
      <c r="J3491" s="1">
        <v>45915.378078703703</v>
      </c>
    </row>
    <row r="3492" spans="1:10" x14ac:dyDescent="0.2">
      <c r="A3492" s="4" t="s">
        <v>1</v>
      </c>
      <c r="B3492" s="3" t="str">
        <f>HYPERLINK("https://otsuka-europe-crm.veevavault.com/ui/#object/approved_document__v/V5OZ025E82TFUPI", "Spain - HCP Survey Email - June 2025")</f>
        <v>Spain - HCP Survey Email - June 2025</v>
      </c>
      <c r="C3492" s="3" t="str">
        <f>HYPERLINK("https://otsuka-europe-crm.veevavault.com/ui/#object/sent_email__v/VBLZ025E82GN0C1", "SE-000270611")</f>
        <v>SE-000270611</v>
      </c>
      <c r="D3492" s="1">
        <v>45915.749664351853</v>
      </c>
      <c r="E3492" s="2">
        <v>1</v>
      </c>
      <c r="F3492" s="2">
        <v>1</v>
      </c>
      <c r="G3492" s="2">
        <v>0</v>
      </c>
      <c r="H3492" s="1" t="s">
        <v>0</v>
      </c>
      <c r="I3492" s="2">
        <v>0</v>
      </c>
      <c r="J3492" s="1">
        <v>45915.378599537034</v>
      </c>
    </row>
    <row r="3493" spans="1:10" x14ac:dyDescent="0.2">
      <c r="A3493" s="4" t="s">
        <v>1</v>
      </c>
      <c r="B3493" s="3" t="str">
        <f>HYPERLINK("https://otsuka-europe-crm.veevavault.com/ui/#object/approved_document__v/V5OZ025E82TFUPI", "Spain - HCP Survey Email - June 2025")</f>
        <v>Spain - HCP Survey Email - June 2025</v>
      </c>
      <c r="C3493" s="3" t="str">
        <f>HYPERLINK("https://otsuka-europe-crm.veevavault.com/ui/#object/sent_email__v/VBLZ025E82GN0C2", "SE-000270612")</f>
        <v>SE-000270612</v>
      </c>
      <c r="D3493" s="1">
        <v>45921.799004629633</v>
      </c>
      <c r="E3493" s="2">
        <v>1</v>
      </c>
      <c r="F3493" s="2">
        <v>2</v>
      </c>
      <c r="G3493" s="2">
        <v>1</v>
      </c>
      <c r="H3493" s="1">
        <v>45920.509444444448</v>
      </c>
      <c r="I3493" s="2">
        <v>2</v>
      </c>
      <c r="J3493" s="1">
        <v>45915.379976851851</v>
      </c>
    </row>
    <row r="3494" spans="1:10" x14ac:dyDescent="0.2">
      <c r="A3494" s="4" t="s">
        <v>1</v>
      </c>
      <c r="B3494" s="3" t="str">
        <f>HYPERLINK("https://otsuka-europe-crm.veevavault.com/ui/#object/approved_document__v/V5OZ025E82TFUPI", "Spain - HCP Survey Email - June 2025")</f>
        <v>Spain - HCP Survey Email - June 2025</v>
      </c>
      <c r="C3494" s="3" t="str">
        <f>HYPERLINK("https://otsuka-europe-crm.veevavault.com/ui/#object/sent_email__v/VBLZ025E82GN0C4", "SE-000270614")</f>
        <v>SE-000270614</v>
      </c>
      <c r="D3494" s="1">
        <v>45915.978379629632</v>
      </c>
      <c r="E3494" s="2">
        <v>1</v>
      </c>
      <c r="F3494" s="2">
        <v>1</v>
      </c>
      <c r="G3494" s="2">
        <v>1</v>
      </c>
      <c r="H3494" s="1">
        <v>45917.923263888886</v>
      </c>
      <c r="I3494" s="2">
        <v>2</v>
      </c>
      <c r="J3494" s="1">
        <v>45915.377604166664</v>
      </c>
    </row>
    <row r="3495" spans="1:10" x14ac:dyDescent="0.2">
      <c r="A3495" s="4" t="s">
        <v>1</v>
      </c>
      <c r="B3495" s="3" t="str">
        <f>HYPERLINK("https://otsuka-europe-crm.veevavault.com/ui/#object/approved_document__v/V5OZ025E82TFUPI", "Spain - HCP Survey Email - June 2025")</f>
        <v>Spain - HCP Survey Email - June 2025</v>
      </c>
      <c r="C3495" s="3" t="str">
        <f>HYPERLINK("https://otsuka-europe-crm.veevavault.com/ui/#object/sent_email__v/VBLZ025E82GN0C5", "SE-000270615")</f>
        <v>SE-000270615</v>
      </c>
      <c r="D3495" s="1">
        <v>45915.389849537038</v>
      </c>
      <c r="E3495" s="2">
        <v>1</v>
      </c>
      <c r="F3495" s="2">
        <v>3</v>
      </c>
      <c r="G3495" s="2">
        <v>0</v>
      </c>
      <c r="H3495" s="1" t="s">
        <v>0</v>
      </c>
      <c r="I3495" s="2">
        <v>0</v>
      </c>
      <c r="J3495" s="1">
        <v>45915.377939814818</v>
      </c>
    </row>
    <row r="3496" spans="1:10" x14ac:dyDescent="0.2">
      <c r="A3496" s="4" t="s">
        <v>1</v>
      </c>
      <c r="B3496" s="3" t="str">
        <f>HYPERLINK("https://otsuka-europe-crm.veevavault.com/ui/#object/approved_document__v/V5OZ025E82TFUPI", "Spain - HCP Survey Email - June 2025")</f>
        <v>Spain - HCP Survey Email - June 2025</v>
      </c>
      <c r="C3496" s="3" t="str">
        <f>HYPERLINK("https://otsuka-europe-crm.veevavault.com/ui/#object/sent_email__v/VBLZ025E82GN0C6", "SE-000270616")</f>
        <v>SE-000270616</v>
      </c>
      <c r="D3496" s="1">
        <v>45915.391273148147</v>
      </c>
      <c r="E3496" s="2">
        <v>1</v>
      </c>
      <c r="F3496" s="2">
        <v>1</v>
      </c>
      <c r="G3496" s="2">
        <v>0</v>
      </c>
      <c r="H3496" s="1" t="s">
        <v>0</v>
      </c>
      <c r="I3496" s="2">
        <v>0</v>
      </c>
      <c r="J3496" s="1">
        <v>45915.378946759258</v>
      </c>
    </row>
    <row r="3497" spans="1:10" x14ac:dyDescent="0.2">
      <c r="A3497" s="4" t="s">
        <v>1</v>
      </c>
      <c r="B3497" s="3" t="str">
        <f>HYPERLINK("https://otsuka-europe-crm.veevavault.com/ui/#object/approved_document__v/V5OZ025E82TFUPI", "Spain - HCP Survey Email - June 2025")</f>
        <v>Spain - HCP Survey Email - June 2025</v>
      </c>
      <c r="C3497" s="3" t="str">
        <f>HYPERLINK("https://otsuka-europe-crm.veevavault.com/ui/#object/sent_email__v/VBLZ025E82GN0C7", "SE-000270617")</f>
        <v>SE-000270617</v>
      </c>
      <c r="D3497" s="1" t="s">
        <v>0</v>
      </c>
      <c r="E3497" s="2">
        <v>0</v>
      </c>
      <c r="F3497" s="2">
        <v>0</v>
      </c>
      <c r="G3497" s="2">
        <v>0</v>
      </c>
      <c r="H3497" s="1" t="s">
        <v>0</v>
      </c>
      <c r="I3497" s="2">
        <v>0</v>
      </c>
      <c r="J3497" s="1">
        <v>45915.379652777781</v>
      </c>
    </row>
    <row r="3498" spans="1:10" x14ac:dyDescent="0.2">
      <c r="A3498" s="4" t="s">
        <v>1</v>
      </c>
      <c r="B3498" s="3" t="str">
        <f>HYPERLINK("https://otsuka-europe-crm.veevavault.com/ui/#object/approved_document__v/V5OZ025E82TFUPI", "Spain - HCP Survey Email - June 2025")</f>
        <v>Spain - HCP Survey Email - June 2025</v>
      </c>
      <c r="C3498" s="3" t="str">
        <f>HYPERLINK("https://otsuka-europe-crm.veevavault.com/ui/#object/sent_email__v/VBLZ025E82GN0C8", "SE-000270618")</f>
        <v>SE-000270618</v>
      </c>
      <c r="D3498" s="1">
        <v>45915.379224537035</v>
      </c>
      <c r="E3498" s="2">
        <v>1</v>
      </c>
      <c r="F3498" s="2">
        <v>1</v>
      </c>
      <c r="G3498" s="2">
        <v>1</v>
      </c>
      <c r="H3498" s="1">
        <v>45915.379513888889</v>
      </c>
      <c r="I3498" s="2">
        <v>2</v>
      </c>
      <c r="J3498" s="1">
        <v>45915.379120370373</v>
      </c>
    </row>
    <row r="3499" spans="1:10" x14ac:dyDescent="0.2">
      <c r="A3499" s="4" t="s">
        <v>1</v>
      </c>
      <c r="B3499" s="3" t="str">
        <f>HYPERLINK("https://otsuka-europe-crm.veevavault.com/ui/#object/approved_document__v/V5OZ025E82TFUPI", "Spain - HCP Survey Email - June 2025")</f>
        <v>Spain - HCP Survey Email - June 2025</v>
      </c>
      <c r="C3499" s="3" t="str">
        <f>HYPERLINK("https://otsuka-europe-crm.veevavault.com/ui/#object/sent_email__v/VBLZ025E82GN0C9", "SE-000270619")</f>
        <v>SE-000270619</v>
      </c>
      <c r="D3499" s="1" t="s">
        <v>0</v>
      </c>
      <c r="E3499" s="2">
        <v>0</v>
      </c>
      <c r="F3499" s="2">
        <v>0</v>
      </c>
      <c r="G3499" s="2">
        <v>0</v>
      </c>
      <c r="H3499" s="1" t="s">
        <v>0</v>
      </c>
      <c r="I3499" s="2">
        <v>0</v>
      </c>
      <c r="J3499" s="1">
        <v>45915.377847222226</v>
      </c>
    </row>
    <row r="3500" spans="1:10" x14ac:dyDescent="0.2">
      <c r="A3500" s="4" t="s">
        <v>1</v>
      </c>
      <c r="B3500" s="3" t="str">
        <f>HYPERLINK("https://otsuka-europe-crm.veevavault.com/ui/#object/approved_document__v/V5OZ025E82TFUPI", "Spain - HCP Survey Email - June 2025")</f>
        <v>Spain - HCP Survey Email - June 2025</v>
      </c>
      <c r="C3500" s="3" t="str">
        <f>HYPERLINK("https://otsuka-europe-crm.veevavault.com/ui/#object/sent_email__v/VBLZ025E82GN0CA", "SE-000270620")</f>
        <v>SE-000270620</v>
      </c>
      <c r="D3500" s="1" t="s">
        <v>0</v>
      </c>
      <c r="E3500" s="2">
        <v>0</v>
      </c>
      <c r="F3500" s="2">
        <v>0</v>
      </c>
      <c r="G3500" s="2">
        <v>0</v>
      </c>
      <c r="H3500" s="1" t="s">
        <v>0</v>
      </c>
      <c r="I3500" s="2">
        <v>0</v>
      </c>
      <c r="J3500" s="1">
        <v>45915.378217592595</v>
      </c>
    </row>
    <row r="3501" spans="1:10" x14ac:dyDescent="0.2">
      <c r="A3501" s="4" t="s">
        <v>1</v>
      </c>
      <c r="B3501" s="3" t="str">
        <f>HYPERLINK("https://otsuka-europe-crm.veevavault.com/ui/#object/approved_document__v/V5OZ025E82TFUPI", "Spain - HCP Survey Email - June 2025")</f>
        <v>Spain - HCP Survey Email - June 2025</v>
      </c>
      <c r="C3501" s="3" t="str">
        <f>HYPERLINK("https://otsuka-europe-crm.veevavault.com/ui/#object/sent_email__v/VBLZ025E82GN0CB", "SE-000270621")</f>
        <v>SE-000270621</v>
      </c>
      <c r="D3501" s="1" t="s">
        <v>0</v>
      </c>
      <c r="E3501" s="2">
        <v>0</v>
      </c>
      <c r="F3501" s="2">
        <v>0</v>
      </c>
      <c r="G3501" s="2">
        <v>0</v>
      </c>
      <c r="H3501" s="1" t="s">
        <v>0</v>
      </c>
      <c r="I3501" s="2">
        <v>0</v>
      </c>
      <c r="J3501" s="1">
        <v>45915.378125000003</v>
      </c>
    </row>
    <row r="3502" spans="1:10" x14ac:dyDescent="0.2">
      <c r="A3502" s="4" t="s">
        <v>1</v>
      </c>
      <c r="B3502" s="3" t="str">
        <f>HYPERLINK("https://otsuka-europe-crm.veevavault.com/ui/#object/approved_document__v/V5OZ025E82TFUPI", "Spain - HCP Survey Email - June 2025")</f>
        <v>Spain - HCP Survey Email - June 2025</v>
      </c>
      <c r="C3502" s="3" t="str">
        <f>HYPERLINK("https://otsuka-europe-crm.veevavault.com/ui/#object/sent_email__v/VBLZ025E82GN0CC", "SE-000270622")</f>
        <v>SE-000270622</v>
      </c>
      <c r="D3502" s="1" t="s">
        <v>0</v>
      </c>
      <c r="E3502" s="2">
        <v>0</v>
      </c>
      <c r="F3502" s="2">
        <v>0</v>
      </c>
      <c r="G3502" s="2">
        <v>0</v>
      </c>
      <c r="H3502" s="1" t="s">
        <v>0</v>
      </c>
      <c r="I3502" s="2">
        <v>0</v>
      </c>
      <c r="J3502" s="1">
        <v>45915.378541666665</v>
      </c>
    </row>
    <row r="3503" spans="1:10" x14ac:dyDescent="0.2">
      <c r="A3503" s="4" t="s">
        <v>1</v>
      </c>
      <c r="B3503" s="3" t="str">
        <f>HYPERLINK("https://otsuka-europe-crm.veevavault.com/ui/#object/approved_document__v/V5OZ025E82TFUPI", "Spain - HCP Survey Email - June 2025")</f>
        <v>Spain - HCP Survey Email - June 2025</v>
      </c>
      <c r="C3503" s="3" t="str">
        <f>HYPERLINK("https://otsuka-europe-crm.veevavault.com/ui/#object/sent_email__v/VBLZ025E82GN0CD", "SE-000270623")</f>
        <v>SE-000270623</v>
      </c>
      <c r="D3503" s="1">
        <v>45915.996527777781</v>
      </c>
      <c r="E3503" s="2">
        <v>1</v>
      </c>
      <c r="F3503" s="2">
        <v>3</v>
      </c>
      <c r="G3503" s="2">
        <v>1</v>
      </c>
      <c r="H3503" s="1">
        <v>45915.60664351852</v>
      </c>
      <c r="I3503" s="2">
        <v>1</v>
      </c>
      <c r="J3503" s="1">
        <v>45915.379930555559</v>
      </c>
    </row>
    <row r="3504" spans="1:10" x14ac:dyDescent="0.2">
      <c r="A3504" s="4" t="s">
        <v>1</v>
      </c>
      <c r="B3504" s="3" t="str">
        <f>HYPERLINK("https://otsuka-europe-crm.veevavault.com/ui/#object/approved_document__v/V5OZ025E82TFUPI", "Spain - HCP Survey Email - June 2025")</f>
        <v>Spain - HCP Survey Email - June 2025</v>
      </c>
      <c r="C3504" s="3" t="str">
        <f>HYPERLINK("https://otsuka-europe-crm.veevavault.com/ui/#object/sent_email__v/VBLZ025E82GN0CE", "SE-000270624")</f>
        <v>SE-000270624</v>
      </c>
      <c r="D3504" s="1" t="s">
        <v>0</v>
      </c>
      <c r="E3504" s="2">
        <v>0</v>
      </c>
      <c r="F3504" s="2">
        <v>0</v>
      </c>
      <c r="G3504" s="2">
        <v>0</v>
      </c>
      <c r="H3504" s="1" t="s">
        <v>0</v>
      </c>
      <c r="I3504" s="2">
        <v>0</v>
      </c>
      <c r="J3504" s="1">
        <v>45915.377789351849</v>
      </c>
    </row>
    <row r="3505" spans="1:10" x14ac:dyDescent="0.2">
      <c r="A3505" s="4" t="s">
        <v>1</v>
      </c>
      <c r="B3505" s="3" t="str">
        <f>HYPERLINK("https://otsuka-europe-crm.veevavault.com/ui/#object/approved_document__v/V5OZ025E82TFUPI", "Spain - HCP Survey Email - June 2025")</f>
        <v>Spain - HCP Survey Email - June 2025</v>
      </c>
      <c r="C3505" s="3" t="str">
        <f>HYPERLINK("https://otsuka-europe-crm.veevavault.com/ui/#object/sent_email__v/VBLZ025E82GN0CF", "SE-000270625")</f>
        <v>SE-000270625</v>
      </c>
      <c r="D3505" s="1" t="s">
        <v>0</v>
      </c>
      <c r="E3505" s="2">
        <v>0</v>
      </c>
      <c r="F3505" s="2">
        <v>0</v>
      </c>
      <c r="G3505" s="2">
        <v>0</v>
      </c>
      <c r="H3505" s="1" t="s">
        <v>0</v>
      </c>
      <c r="I3505" s="2">
        <v>0</v>
      </c>
      <c r="J3505" s="1">
        <v>45915.377638888887</v>
      </c>
    </row>
    <row r="3506" spans="1:10" x14ac:dyDescent="0.2">
      <c r="A3506" s="4" t="s">
        <v>1</v>
      </c>
      <c r="B3506" s="3" t="str">
        <f>HYPERLINK("https://otsuka-europe-crm.veevavault.com/ui/#object/approved_document__v/V5OZ025E82TFUPI", "Spain - HCP Survey Email - June 2025")</f>
        <v>Spain - HCP Survey Email - June 2025</v>
      </c>
      <c r="C3506" s="3" t="str">
        <f>HYPERLINK("https://otsuka-europe-crm.veevavault.com/ui/#object/sent_email__v/VBLZ025E82GN0CG", "SE-000270626")</f>
        <v>SE-000270626</v>
      </c>
      <c r="D3506" s="1">
        <v>45915.440196759257</v>
      </c>
      <c r="E3506" s="2">
        <v>1</v>
      </c>
      <c r="F3506" s="2">
        <v>2</v>
      </c>
      <c r="G3506" s="2">
        <v>1</v>
      </c>
      <c r="H3506" s="1">
        <v>45915.484166666669</v>
      </c>
      <c r="I3506" s="2">
        <v>1</v>
      </c>
      <c r="J3506" s="1">
        <v>45915.378020833334</v>
      </c>
    </row>
    <row r="3507" spans="1:10" x14ac:dyDescent="0.2">
      <c r="A3507" s="4" t="s">
        <v>1</v>
      </c>
      <c r="B3507" s="3" t="str">
        <f>HYPERLINK("https://otsuka-europe-crm.veevavault.com/ui/#object/approved_document__v/V5OZ025E82TFUPI", "Spain - HCP Survey Email - June 2025")</f>
        <v>Spain - HCP Survey Email - June 2025</v>
      </c>
      <c r="C3507" s="3" t="str">
        <f>HYPERLINK("https://otsuka-europe-crm.veevavault.com/ui/#object/sent_email__v/VBLZ025E82GN0CH", "SE-000270627")</f>
        <v>SE-000270627</v>
      </c>
      <c r="D3507" s="1" t="s">
        <v>0</v>
      </c>
      <c r="E3507" s="2">
        <v>0</v>
      </c>
      <c r="F3507" s="2">
        <v>0</v>
      </c>
      <c r="G3507" s="2">
        <v>0</v>
      </c>
      <c r="H3507" s="1" t="s">
        <v>0</v>
      </c>
      <c r="I3507" s="2">
        <v>0</v>
      </c>
      <c r="J3507" s="1">
        <v>45915.379050925927</v>
      </c>
    </row>
    <row r="3508" spans="1:10" x14ac:dyDescent="0.2">
      <c r="A3508" s="4" t="s">
        <v>1</v>
      </c>
      <c r="B3508" s="3" t="str">
        <f>HYPERLINK("https://otsuka-europe-crm.veevavault.com/ui/#object/approved_document__v/V5OZ025E82TFUPI", "Spain - HCP Survey Email - June 2025")</f>
        <v>Spain - HCP Survey Email - June 2025</v>
      </c>
      <c r="C3508" s="3" t="str">
        <f>HYPERLINK("https://otsuka-europe-crm.veevavault.com/ui/#object/sent_email__v/VBLZ025E82GN0CI", "SE-000270628")</f>
        <v>SE-000270628</v>
      </c>
      <c r="D3508" s="1" t="s">
        <v>0</v>
      </c>
      <c r="E3508" s="2">
        <v>0</v>
      </c>
      <c r="F3508" s="2">
        <v>0</v>
      </c>
      <c r="G3508" s="2">
        <v>0</v>
      </c>
      <c r="H3508" s="1" t="s">
        <v>0</v>
      </c>
      <c r="I3508" s="2">
        <v>0</v>
      </c>
      <c r="J3508" s="1">
        <v>45915.379733796297</v>
      </c>
    </row>
    <row r="3509" spans="1:10" x14ac:dyDescent="0.2">
      <c r="A3509" s="4" t="s">
        <v>1</v>
      </c>
      <c r="B3509" s="3" t="str">
        <f>HYPERLINK("https://otsuka-europe-crm.veevavault.com/ui/#object/approved_document__v/V5OZ025E82TFUPI", "Spain - HCP Survey Email - June 2025")</f>
        <v>Spain - HCP Survey Email - June 2025</v>
      </c>
      <c r="C3509" s="3" t="str">
        <f>HYPERLINK("https://otsuka-europe-crm.veevavault.com/ui/#object/sent_email__v/VBLZ025E82GN0CJ", "SE-000270629")</f>
        <v>SE-000270629</v>
      </c>
      <c r="D3509" s="1">
        <v>45915.571250000001</v>
      </c>
      <c r="E3509" s="2">
        <v>1</v>
      </c>
      <c r="F3509" s="2">
        <v>1</v>
      </c>
      <c r="G3509" s="2">
        <v>0</v>
      </c>
      <c r="H3509" s="1" t="s">
        <v>0</v>
      </c>
      <c r="I3509" s="2">
        <v>0</v>
      </c>
      <c r="J3509" s="1">
        <v>45915.379305555558</v>
      </c>
    </row>
    <row r="3510" spans="1:10" x14ac:dyDescent="0.2">
      <c r="A3510" s="4" t="s">
        <v>1</v>
      </c>
      <c r="B3510" s="3" t="str">
        <f>HYPERLINK("https://otsuka-europe-crm.veevavault.com/ui/#object/approved_document__v/V5OZ025E82TFUPI", "Spain - HCP Survey Email - June 2025")</f>
        <v>Spain - HCP Survey Email - June 2025</v>
      </c>
      <c r="C3510" s="3" t="str">
        <f>HYPERLINK("https://otsuka-europe-crm.veevavault.com/ui/#object/sent_email__v/VBLZ025E82GN0CK", "SE-000270630")</f>
        <v>SE-000270630</v>
      </c>
      <c r="D3510" s="1">
        <v>45915.645046296297</v>
      </c>
      <c r="E3510" s="2">
        <v>1</v>
      </c>
      <c r="F3510" s="2">
        <v>1</v>
      </c>
      <c r="G3510" s="2">
        <v>0</v>
      </c>
      <c r="H3510" s="1" t="s">
        <v>0</v>
      </c>
      <c r="I3510" s="2">
        <v>0</v>
      </c>
      <c r="J3510" s="1">
        <v>45915.377800925926</v>
      </c>
    </row>
    <row r="3511" spans="1:10" x14ac:dyDescent="0.2">
      <c r="A3511" s="4" t="s">
        <v>1</v>
      </c>
      <c r="B3511" s="3" t="str">
        <f>HYPERLINK("https://otsuka-europe-crm.veevavault.com/ui/#object/approved_document__v/V5OZ025E82TFUPI", "Spain - HCP Survey Email - June 2025")</f>
        <v>Spain - HCP Survey Email - June 2025</v>
      </c>
      <c r="C3511" s="3" t="str">
        <f>HYPERLINK("https://otsuka-europe-crm.veevavault.com/ui/#object/sent_email__v/VBLZ025E82GN0CL", "SE-000270631")</f>
        <v>SE-000270631</v>
      </c>
      <c r="D3511" s="1">
        <v>45923.847777777781</v>
      </c>
      <c r="E3511" s="2">
        <v>1</v>
      </c>
      <c r="F3511" s="2">
        <v>4</v>
      </c>
      <c r="G3511" s="2">
        <v>0</v>
      </c>
      <c r="H3511" s="1" t="s">
        <v>0</v>
      </c>
      <c r="I3511" s="2">
        <v>0</v>
      </c>
      <c r="J3511" s="1">
        <v>45915.378240740742</v>
      </c>
    </row>
    <row r="3512" spans="1:10" x14ac:dyDescent="0.2">
      <c r="A3512" s="4" t="s">
        <v>1</v>
      </c>
      <c r="B3512" s="3" t="str">
        <f>HYPERLINK("https://otsuka-europe-crm.veevavault.com/ui/#object/approved_document__v/V5OZ025E82TFUPI", "Spain - HCP Survey Email - June 2025")</f>
        <v>Spain - HCP Survey Email - June 2025</v>
      </c>
      <c r="C3512" s="3" t="str">
        <f>HYPERLINK("https://otsuka-europe-crm.veevavault.com/ui/#object/sent_email__v/VBLZ025E82GN0CM", "SE-000270632")</f>
        <v>SE-000270632</v>
      </c>
      <c r="D3512" s="1" t="s">
        <v>0</v>
      </c>
      <c r="E3512" s="2">
        <v>0</v>
      </c>
      <c r="F3512" s="2">
        <v>0</v>
      </c>
      <c r="G3512" s="2">
        <v>0</v>
      </c>
      <c r="H3512" s="1" t="s">
        <v>0</v>
      </c>
      <c r="I3512" s="2">
        <v>0</v>
      </c>
      <c r="J3512" s="1">
        <v>45915.378125000003</v>
      </c>
    </row>
    <row r="3513" spans="1:10" x14ac:dyDescent="0.2">
      <c r="A3513" s="4" t="s">
        <v>1</v>
      </c>
      <c r="B3513" s="3" t="str">
        <f>HYPERLINK("https://otsuka-europe-crm.veevavault.com/ui/#object/approved_document__v/V5OZ025E82TFUPI", "Spain - HCP Survey Email - June 2025")</f>
        <v>Spain - HCP Survey Email - June 2025</v>
      </c>
      <c r="C3513" s="3" t="str">
        <f>HYPERLINK("https://otsuka-europe-crm.veevavault.com/ui/#object/sent_email__v/VBLZ025E82GN0CN", "SE-000270633")</f>
        <v>SE-000270633</v>
      </c>
      <c r="D3513" s="1">
        <v>45928.78597222222</v>
      </c>
      <c r="E3513" s="2">
        <v>1</v>
      </c>
      <c r="F3513" s="2">
        <v>1</v>
      </c>
      <c r="G3513" s="2">
        <v>1</v>
      </c>
      <c r="H3513" s="1">
        <v>45928.786307870374</v>
      </c>
      <c r="I3513" s="2">
        <v>1</v>
      </c>
      <c r="J3513" s="1">
        <v>45915.378599537034</v>
      </c>
    </row>
    <row r="3514" spans="1:10" x14ac:dyDescent="0.2">
      <c r="A3514" s="4" t="s">
        <v>1</v>
      </c>
      <c r="B3514" s="3" t="str">
        <f>HYPERLINK("https://otsuka-europe-crm.veevavault.com/ui/#object/approved_document__v/V5OZ025E82TFUPI", "Spain - HCP Survey Email - June 2025")</f>
        <v>Spain - HCP Survey Email - June 2025</v>
      </c>
      <c r="C3514" s="3" t="str">
        <f>HYPERLINK("https://otsuka-europe-crm.veevavault.com/ui/#object/sent_email__v/VBLZ025E82GN0CO", "SE-000270634")</f>
        <v>SE-000270634</v>
      </c>
      <c r="D3514" s="1">
        <v>45915.584537037037</v>
      </c>
      <c r="E3514" s="2">
        <v>1</v>
      </c>
      <c r="F3514" s="2">
        <v>1</v>
      </c>
      <c r="G3514" s="2">
        <v>0</v>
      </c>
      <c r="H3514" s="1" t="s">
        <v>0</v>
      </c>
      <c r="I3514" s="2">
        <v>0</v>
      </c>
      <c r="J3514" s="1">
        <v>45915.379826388889</v>
      </c>
    </row>
    <row r="3515" spans="1:10" x14ac:dyDescent="0.2">
      <c r="A3515" s="4" t="s">
        <v>1</v>
      </c>
      <c r="B3515" s="3" t="str">
        <f>HYPERLINK("https://otsuka-europe-crm.veevavault.com/ui/#object/approved_document__v/V5OZ025E82TFUPI", "Spain - HCP Survey Email - June 2025")</f>
        <v>Spain - HCP Survey Email - June 2025</v>
      </c>
      <c r="C3515" s="3" t="str">
        <f>HYPERLINK("https://otsuka-europe-crm.veevavault.com/ui/#object/sent_email__v/VBLZ025E82GN0CP", "SE-000270635")</f>
        <v>SE-000270635</v>
      </c>
      <c r="D3515" s="1" t="s">
        <v>0</v>
      </c>
      <c r="E3515" s="2">
        <v>0</v>
      </c>
      <c r="F3515" s="2">
        <v>0</v>
      </c>
      <c r="G3515" s="2">
        <v>0</v>
      </c>
      <c r="H3515" s="1" t="s">
        <v>0</v>
      </c>
      <c r="I3515" s="2">
        <v>0</v>
      </c>
      <c r="J3515" s="1">
        <v>45915.377812500003</v>
      </c>
    </row>
    <row r="3516" spans="1:10" x14ac:dyDescent="0.2">
      <c r="A3516" s="4" t="s">
        <v>1</v>
      </c>
      <c r="B3516" s="3" t="str">
        <f>HYPERLINK("https://otsuka-europe-crm.veevavault.com/ui/#object/approved_document__v/V5OZ025E82TFUPI", "Spain - HCP Survey Email - June 2025")</f>
        <v>Spain - HCP Survey Email - June 2025</v>
      </c>
      <c r="C3516" s="3" t="str">
        <f>HYPERLINK("https://otsuka-europe-crm.veevavault.com/ui/#object/sent_email__v/VBLZ025E82GN0CQ", "SE-000270636")</f>
        <v>SE-000270636</v>
      </c>
      <c r="D3516" s="1">
        <v>45918.608784722222</v>
      </c>
      <c r="E3516" s="2">
        <v>1</v>
      </c>
      <c r="F3516" s="2">
        <v>1</v>
      </c>
      <c r="G3516" s="2">
        <v>1</v>
      </c>
      <c r="H3516" s="1">
        <v>45918.61246527778</v>
      </c>
      <c r="I3516" s="2">
        <v>2</v>
      </c>
      <c r="J3516" s="1">
        <v>45915.378055555557</v>
      </c>
    </row>
    <row r="3517" spans="1:10" x14ac:dyDescent="0.2">
      <c r="A3517" s="4" t="s">
        <v>1</v>
      </c>
      <c r="B3517" s="3" t="str">
        <f>HYPERLINK("https://otsuka-europe-crm.veevavault.com/ui/#object/approved_document__v/V5OZ025E82TFUPI", "Spain - HCP Survey Email - June 2025")</f>
        <v>Spain - HCP Survey Email - June 2025</v>
      </c>
      <c r="C3517" s="3" t="str">
        <f>HYPERLINK("https://otsuka-europe-crm.veevavault.com/ui/#object/sent_email__v/VBLZ025E82GN0CR", "SE-000270637")</f>
        <v>SE-000270637</v>
      </c>
      <c r="D3517" s="1" t="s">
        <v>0</v>
      </c>
      <c r="E3517" s="2">
        <v>0</v>
      </c>
      <c r="F3517" s="2">
        <v>0</v>
      </c>
      <c r="G3517" s="2">
        <v>0</v>
      </c>
      <c r="H3517" s="1" t="s">
        <v>0</v>
      </c>
      <c r="I3517" s="2">
        <v>0</v>
      </c>
      <c r="J3517" s="1">
        <v>45915.378472222219</v>
      </c>
    </row>
    <row r="3518" spans="1:10" x14ac:dyDescent="0.2">
      <c r="A3518" s="4" t="s">
        <v>1</v>
      </c>
      <c r="B3518" s="3" t="str">
        <f>HYPERLINK("https://otsuka-europe-crm.veevavault.com/ui/#object/approved_document__v/V5OZ025E82TFUPI", "Spain - HCP Survey Email - June 2025")</f>
        <v>Spain - HCP Survey Email - June 2025</v>
      </c>
      <c r="C3518" s="3" t="str">
        <f>HYPERLINK("https://otsuka-europe-crm.veevavault.com/ui/#object/sent_email__v/VBLZ025E82GN0CS", "SE-000270638")</f>
        <v>SE-000270638</v>
      </c>
      <c r="D3518" s="1" t="s">
        <v>0</v>
      </c>
      <c r="E3518" s="2">
        <v>0</v>
      </c>
      <c r="F3518" s="2">
        <v>0</v>
      </c>
      <c r="G3518" s="2">
        <v>0</v>
      </c>
      <c r="H3518" s="1" t="s">
        <v>0</v>
      </c>
      <c r="I3518" s="2">
        <v>0</v>
      </c>
      <c r="J3518" s="1">
        <v>45915.379861111112</v>
      </c>
    </row>
    <row r="3519" spans="1:10" x14ac:dyDescent="0.2">
      <c r="A3519" s="4" t="s">
        <v>1</v>
      </c>
      <c r="B3519" s="3" t="str">
        <f>HYPERLINK("https://otsuka-europe-crm.veevavault.com/ui/#object/approved_document__v/V5OZ025E82TFUPI", "Spain - HCP Survey Email - June 2025")</f>
        <v>Spain - HCP Survey Email - June 2025</v>
      </c>
      <c r="C3519" s="3" t="str">
        <f>HYPERLINK("https://otsuka-europe-crm.veevavault.com/ui/#object/sent_email__v/VBLZ025E82GN0CT", "SE-000270639")</f>
        <v>SE-000270639</v>
      </c>
      <c r="D3519" s="1">
        <v>45915.466793981483</v>
      </c>
      <c r="E3519" s="2">
        <v>1</v>
      </c>
      <c r="F3519" s="2">
        <v>1</v>
      </c>
      <c r="G3519" s="2">
        <v>0</v>
      </c>
      <c r="H3519" s="1" t="s">
        <v>0</v>
      </c>
      <c r="I3519" s="2">
        <v>0</v>
      </c>
      <c r="J3519" s="1">
        <v>45915.377789351849</v>
      </c>
    </row>
    <row r="3520" spans="1:10" x14ac:dyDescent="0.2">
      <c r="A3520" s="4" t="s">
        <v>1</v>
      </c>
      <c r="B3520" s="3" t="str">
        <f>HYPERLINK("https://otsuka-europe-crm.veevavault.com/ui/#object/approved_document__v/V5OZ025E82TFUPI", "Spain - HCP Survey Email - June 2025")</f>
        <v>Spain - HCP Survey Email - June 2025</v>
      </c>
      <c r="C3520" s="3" t="str">
        <f>HYPERLINK("https://otsuka-europe-crm.veevavault.com/ui/#object/sent_email__v/VBLZ025E82GN0CU", "SE-000270640")</f>
        <v>SE-000270640</v>
      </c>
      <c r="D3520" s="1" t="s">
        <v>0</v>
      </c>
      <c r="E3520" s="2">
        <v>0</v>
      </c>
      <c r="F3520" s="2">
        <v>0</v>
      </c>
      <c r="G3520" s="2">
        <v>0</v>
      </c>
      <c r="H3520" s="1" t="s">
        <v>0</v>
      </c>
      <c r="I3520" s="2">
        <v>0</v>
      </c>
      <c r="J3520" s="1">
        <v>45915.377650462964</v>
      </c>
    </row>
    <row r="3521" spans="1:10" x14ac:dyDescent="0.2">
      <c r="A3521" s="4" t="s">
        <v>1</v>
      </c>
      <c r="B3521" s="3" t="str">
        <f>HYPERLINK("https://otsuka-europe-crm.veevavault.com/ui/#object/approved_document__v/V5OZ025E82TFUPI", "Spain - HCP Survey Email - June 2025")</f>
        <v>Spain - HCP Survey Email - June 2025</v>
      </c>
      <c r="C3521" s="3" t="str">
        <f>HYPERLINK("https://otsuka-europe-crm.veevavault.com/ui/#object/sent_email__v/VBLZ025E82GN0CV", "SE-000270641")</f>
        <v>SE-000270641</v>
      </c>
      <c r="D3521" s="1" t="s">
        <v>0</v>
      </c>
      <c r="E3521" s="2">
        <v>0</v>
      </c>
      <c r="F3521" s="2">
        <v>0</v>
      </c>
      <c r="G3521" s="2">
        <v>0</v>
      </c>
      <c r="H3521" s="1" t="s">
        <v>0</v>
      </c>
      <c r="I3521" s="2">
        <v>0</v>
      </c>
      <c r="J3521" s="1">
        <v>45915.378032407411</v>
      </c>
    </row>
    <row r="3522" spans="1:10" x14ac:dyDescent="0.2">
      <c r="A3522" s="4" t="s">
        <v>1</v>
      </c>
      <c r="B3522" s="3" t="str">
        <f>HYPERLINK("https://otsuka-europe-crm.veevavault.com/ui/#object/approved_document__v/V5OZ025E82TFUPI", "Spain - HCP Survey Email - June 2025")</f>
        <v>Spain - HCP Survey Email - June 2025</v>
      </c>
      <c r="C3522" s="3" t="str">
        <f>HYPERLINK("https://otsuka-europe-crm.veevavault.com/ui/#object/sent_email__v/VBLZ025E82GN0CW", "SE-000270642")</f>
        <v>SE-000270642</v>
      </c>
      <c r="D3522" s="1">
        <v>45915.418981481482</v>
      </c>
      <c r="E3522" s="2">
        <v>1</v>
      </c>
      <c r="F3522" s="2">
        <v>1</v>
      </c>
      <c r="G3522" s="2">
        <v>0</v>
      </c>
      <c r="H3522" s="1" t="s">
        <v>0</v>
      </c>
      <c r="I3522" s="2">
        <v>0</v>
      </c>
      <c r="J3522" s="1">
        <v>45915.379050925927</v>
      </c>
    </row>
    <row r="3523" spans="1:10" x14ac:dyDescent="0.2">
      <c r="A3523" s="4" t="s">
        <v>1</v>
      </c>
      <c r="B3523" s="3" t="str">
        <f>HYPERLINK("https://otsuka-europe-crm.veevavault.com/ui/#object/approved_document__v/V5OZ025E82TFUPI", "Spain - HCP Survey Email - June 2025")</f>
        <v>Spain - HCP Survey Email - June 2025</v>
      </c>
      <c r="C3523" s="3" t="str">
        <f>HYPERLINK("https://otsuka-europe-crm.veevavault.com/ui/#object/sent_email__v/VBLZ025E82GN0CX", "SE-000270643")</f>
        <v>SE-000270643</v>
      </c>
      <c r="D3523" s="1">
        <v>45916.036805555559</v>
      </c>
      <c r="E3523" s="2">
        <v>1</v>
      </c>
      <c r="F3523" s="2">
        <v>1</v>
      </c>
      <c r="G3523" s="2">
        <v>0</v>
      </c>
      <c r="H3523" s="1" t="s">
        <v>0</v>
      </c>
      <c r="I3523" s="2">
        <v>0</v>
      </c>
      <c r="J3523" s="1">
        <v>45915.379733796297</v>
      </c>
    </row>
    <row r="3524" spans="1:10" x14ac:dyDescent="0.2">
      <c r="A3524" s="4" t="s">
        <v>1</v>
      </c>
      <c r="B3524" s="3" t="str">
        <f>HYPERLINK("https://otsuka-europe-crm.veevavault.com/ui/#object/approved_document__v/V5OZ025E82TFUPI", "Spain - HCP Survey Email - June 2025")</f>
        <v>Spain - HCP Survey Email - June 2025</v>
      </c>
      <c r="C3524" s="3" t="str">
        <f>HYPERLINK("https://otsuka-europe-crm.veevavault.com/ui/#object/sent_email__v/VBLZ025E82GN0CY", "SE-000270644")</f>
        <v>SE-000270644</v>
      </c>
      <c r="D3524" s="1">
        <v>45916.352650462963</v>
      </c>
      <c r="E3524" s="2">
        <v>1</v>
      </c>
      <c r="F3524" s="2">
        <v>1</v>
      </c>
      <c r="G3524" s="2">
        <v>0</v>
      </c>
      <c r="H3524" s="1" t="s">
        <v>0</v>
      </c>
      <c r="I3524" s="2">
        <v>0</v>
      </c>
      <c r="J3524" s="1">
        <v>45915.379108796296</v>
      </c>
    </row>
    <row r="3525" spans="1:10" x14ac:dyDescent="0.2">
      <c r="A3525" s="4" t="s">
        <v>1</v>
      </c>
      <c r="B3525" s="3" t="str">
        <f>HYPERLINK("https://otsuka-europe-crm.veevavault.com/ui/#object/approved_document__v/V5OZ025E82TFUPI", "Spain - HCP Survey Email - June 2025")</f>
        <v>Spain - HCP Survey Email - June 2025</v>
      </c>
      <c r="C3525" s="3" t="str">
        <f>HYPERLINK("https://otsuka-europe-crm.veevavault.com/ui/#object/sent_email__v/VBLZ025E82GN0CZ", "SE-000270645")</f>
        <v>SE-000270645</v>
      </c>
      <c r="D3525" s="1">
        <v>45915.377824074072</v>
      </c>
      <c r="E3525" s="2">
        <v>1</v>
      </c>
      <c r="F3525" s="2">
        <v>1</v>
      </c>
      <c r="G3525" s="2">
        <v>0</v>
      </c>
      <c r="H3525" s="1" t="s">
        <v>0</v>
      </c>
      <c r="I3525" s="2">
        <v>0</v>
      </c>
      <c r="J3525" s="1">
        <v>45915.377766203703</v>
      </c>
    </row>
    <row r="3526" spans="1:10" x14ac:dyDescent="0.2">
      <c r="A3526" s="4" t="s">
        <v>1</v>
      </c>
      <c r="B3526" s="3" t="str">
        <f>HYPERLINK("https://otsuka-europe-crm.veevavault.com/ui/#object/approved_document__v/V5OZ025E82TFUPI", "Spain - HCP Survey Email - June 2025")</f>
        <v>Spain - HCP Survey Email - June 2025</v>
      </c>
      <c r="C3526" s="3" t="str">
        <f>HYPERLINK("https://otsuka-europe-crm.veevavault.com/ui/#object/sent_email__v/VBLZ025E82GN0D0", "SE-000270646")</f>
        <v>SE-000270646</v>
      </c>
      <c r="D3526" s="1">
        <v>45918.881828703707</v>
      </c>
      <c r="E3526" s="2">
        <v>1</v>
      </c>
      <c r="F3526" s="2">
        <v>1</v>
      </c>
      <c r="G3526" s="2">
        <v>0</v>
      </c>
      <c r="H3526" s="1" t="s">
        <v>0</v>
      </c>
      <c r="I3526" s="2">
        <v>0</v>
      </c>
      <c r="J3526" s="1">
        <v>45915.378159722219</v>
      </c>
    </row>
    <row r="3527" spans="1:10" x14ac:dyDescent="0.2">
      <c r="A3527" s="4" t="s">
        <v>1</v>
      </c>
      <c r="B3527" s="3" t="str">
        <f>HYPERLINK("https://otsuka-europe-crm.veevavault.com/ui/#object/approved_document__v/V5OZ025E82TFUPI", "Spain - HCP Survey Email - June 2025")</f>
        <v>Spain - HCP Survey Email - June 2025</v>
      </c>
      <c r="C3527" s="3" t="str">
        <f>HYPERLINK("https://otsuka-europe-crm.veevavault.com/ui/#object/sent_email__v/VBLZ025E82GN0D1", "SE-000270647")</f>
        <v>SE-000270647</v>
      </c>
      <c r="D3527" s="1" t="s">
        <v>0</v>
      </c>
      <c r="E3527" s="2">
        <v>0</v>
      </c>
      <c r="F3527" s="2">
        <v>0</v>
      </c>
      <c r="G3527" s="2">
        <v>0</v>
      </c>
      <c r="H3527" s="1" t="s">
        <v>0</v>
      </c>
      <c r="I3527" s="2">
        <v>0</v>
      </c>
      <c r="J3527" s="1">
        <v>45915.378078703703</v>
      </c>
    </row>
    <row r="3528" spans="1:10" x14ac:dyDescent="0.2">
      <c r="A3528" s="4" t="s">
        <v>1</v>
      </c>
      <c r="B3528" s="3" t="str">
        <f>HYPERLINK("https://otsuka-europe-crm.veevavault.com/ui/#object/approved_document__v/V5OZ025E82TFUPI", "Spain - HCP Survey Email - June 2025")</f>
        <v>Spain - HCP Survey Email - June 2025</v>
      </c>
      <c r="C3528" s="3" t="str">
        <f>HYPERLINK("https://otsuka-europe-crm.veevavault.com/ui/#object/sent_email__v/VBLZ025E82GN0D2", "SE-000270648")</f>
        <v>SE-000270648</v>
      </c>
      <c r="D3528" s="1">
        <v>45915.414699074077</v>
      </c>
      <c r="E3528" s="2">
        <v>1</v>
      </c>
      <c r="F3528" s="2">
        <v>1</v>
      </c>
      <c r="G3528" s="2">
        <v>0</v>
      </c>
      <c r="H3528" s="1" t="s">
        <v>0</v>
      </c>
      <c r="I3528" s="2">
        <v>0</v>
      </c>
      <c r="J3528" s="1">
        <v>45915.378645833334</v>
      </c>
    </row>
    <row r="3529" spans="1:10" x14ac:dyDescent="0.2">
      <c r="A3529" s="4" t="s">
        <v>1</v>
      </c>
      <c r="B3529" s="3" t="str">
        <f>HYPERLINK("https://otsuka-europe-crm.veevavault.com/ui/#object/approved_document__v/V5OZ025E82TFUPI", "Spain - HCP Survey Email - June 2025")</f>
        <v>Spain - HCP Survey Email - June 2025</v>
      </c>
      <c r="C3529" s="3" t="str">
        <f>HYPERLINK("https://otsuka-europe-crm.veevavault.com/ui/#object/sent_email__v/VBLZ025E82GN0D3", "SE-000270649")</f>
        <v>SE-000270649</v>
      </c>
      <c r="D3529" s="1">
        <v>45915.492708333331</v>
      </c>
      <c r="E3529" s="2">
        <v>1</v>
      </c>
      <c r="F3529" s="2">
        <v>2</v>
      </c>
      <c r="G3529" s="2">
        <v>0</v>
      </c>
      <c r="H3529" s="1" t="s">
        <v>0</v>
      </c>
      <c r="I3529" s="2">
        <v>0</v>
      </c>
      <c r="J3529" s="1">
        <v>45915.37976851852</v>
      </c>
    </row>
    <row r="3530" spans="1:10" x14ac:dyDescent="0.2">
      <c r="A3530" s="4" t="s">
        <v>1</v>
      </c>
      <c r="B3530" s="3" t="str">
        <f>HYPERLINK("https://otsuka-europe-crm.veevavault.com/ui/#object/approved_document__v/V5OZ025E82TFUPI", "Spain - HCP Survey Email - June 2025")</f>
        <v>Spain - HCP Survey Email - June 2025</v>
      </c>
      <c r="C3530" s="3" t="str">
        <f>HYPERLINK("https://otsuka-europe-crm.veevavault.com/ui/#object/sent_email__v/VBLZ025E82GN0D4", "SE-000270650")</f>
        <v>SE-000270650</v>
      </c>
      <c r="D3530" s="1" t="s">
        <v>0</v>
      </c>
      <c r="E3530" s="2">
        <v>0</v>
      </c>
      <c r="F3530" s="2">
        <v>0</v>
      </c>
      <c r="G3530" s="2">
        <v>0</v>
      </c>
      <c r="H3530" s="1" t="s">
        <v>0</v>
      </c>
      <c r="I3530" s="2">
        <v>0</v>
      </c>
      <c r="J3530" s="1">
        <v>45915.377824074072</v>
      </c>
    </row>
    <row r="3531" spans="1:10" x14ac:dyDescent="0.2">
      <c r="A3531" s="4" t="s">
        <v>1</v>
      </c>
      <c r="B3531" s="3" t="str">
        <f>HYPERLINK("https://otsuka-europe-crm.veevavault.com/ui/#object/approved_document__v/V5OZ025E82TFUPI", "Spain - HCP Survey Email - June 2025")</f>
        <v>Spain - HCP Survey Email - June 2025</v>
      </c>
      <c r="C3531" s="3" t="str">
        <f>HYPERLINK("https://otsuka-europe-crm.veevavault.com/ui/#object/sent_email__v/VBLZ025E82GN0D5", "SE-000270651")</f>
        <v>SE-000270651</v>
      </c>
      <c r="D3531" s="1" t="s">
        <v>0</v>
      </c>
      <c r="E3531" s="2">
        <v>0</v>
      </c>
      <c r="F3531" s="2">
        <v>0</v>
      </c>
      <c r="G3531" s="2">
        <v>0</v>
      </c>
      <c r="H3531" s="1" t="s">
        <v>0</v>
      </c>
      <c r="I3531" s="2">
        <v>0</v>
      </c>
      <c r="J3531" s="1">
        <v>45915.37767361111</v>
      </c>
    </row>
    <row r="3532" spans="1:10" x14ac:dyDescent="0.2">
      <c r="A3532" s="4" t="s">
        <v>1</v>
      </c>
      <c r="B3532" s="3" t="str">
        <f>HYPERLINK("https://otsuka-europe-crm.veevavault.com/ui/#object/approved_document__v/V5OZ025E82TFUPI", "Spain - HCP Survey Email - June 2025")</f>
        <v>Spain - HCP Survey Email - June 2025</v>
      </c>
      <c r="C3532" s="3" t="str">
        <f>HYPERLINK("https://otsuka-europe-crm.veevavault.com/ui/#object/sent_email__v/VBLZ025E82GN0D6", "SE-000270652")</f>
        <v>SE-000270652</v>
      </c>
      <c r="D3532" s="1" t="s">
        <v>0</v>
      </c>
      <c r="E3532" s="2">
        <v>0</v>
      </c>
      <c r="F3532" s="2">
        <v>0</v>
      </c>
      <c r="G3532" s="2">
        <v>0</v>
      </c>
      <c r="H3532" s="1" t="s">
        <v>0</v>
      </c>
      <c r="I3532" s="2">
        <v>0</v>
      </c>
      <c r="J3532" s="1">
        <v>45915.377986111111</v>
      </c>
    </row>
    <row r="3533" spans="1:10" x14ac:dyDescent="0.2">
      <c r="A3533" s="4" t="s">
        <v>1</v>
      </c>
      <c r="B3533" s="3" t="str">
        <f>HYPERLINK("https://otsuka-europe-crm.veevavault.com/ui/#object/approved_document__v/V5OZ025E82TFUPI", "Spain - HCP Survey Email - June 2025")</f>
        <v>Spain - HCP Survey Email - June 2025</v>
      </c>
      <c r="C3533" s="3" t="str">
        <f>HYPERLINK("https://otsuka-europe-crm.veevavault.com/ui/#object/sent_email__v/VBLZ025E82GN0D7", "SE-000270653")</f>
        <v>SE-000270653</v>
      </c>
      <c r="D3533" s="1">
        <v>45965.902025462965</v>
      </c>
      <c r="E3533" s="2">
        <v>1</v>
      </c>
      <c r="F3533" s="2">
        <v>1</v>
      </c>
      <c r="G3533" s="2">
        <v>0</v>
      </c>
      <c r="H3533" s="1" t="s">
        <v>0</v>
      </c>
      <c r="I3533" s="2">
        <v>0</v>
      </c>
      <c r="J3533" s="1">
        <v>45915.37908564815</v>
      </c>
    </row>
    <row r="3534" spans="1:10" x14ac:dyDescent="0.2">
      <c r="A3534" s="4" t="s">
        <v>1</v>
      </c>
      <c r="B3534" s="3" t="str">
        <f>HYPERLINK("https://otsuka-europe-crm.veevavault.com/ui/#object/approved_document__v/V5OZ025E82TFUPI", "Spain - HCP Survey Email - June 2025")</f>
        <v>Spain - HCP Survey Email - June 2025</v>
      </c>
      <c r="C3534" s="3" t="str">
        <f>HYPERLINK("https://otsuka-europe-crm.veevavault.com/ui/#object/sent_email__v/VBLZ025E82GN0D8", "SE-000270654")</f>
        <v>SE-000270654</v>
      </c>
      <c r="D3534" s="1">
        <v>45915.579641203702</v>
      </c>
      <c r="E3534" s="2">
        <v>1</v>
      </c>
      <c r="F3534" s="2">
        <v>4</v>
      </c>
      <c r="G3534" s="2">
        <v>1</v>
      </c>
      <c r="H3534" s="1">
        <v>45915.579826388886</v>
      </c>
      <c r="I3534" s="2">
        <v>1</v>
      </c>
      <c r="J3534" s="1">
        <v>45915.379664351851</v>
      </c>
    </row>
    <row r="3535" spans="1:10" x14ac:dyDescent="0.2">
      <c r="A3535" s="4" t="s">
        <v>1</v>
      </c>
      <c r="B3535" s="3" t="str">
        <f>HYPERLINK("https://otsuka-europe-crm.veevavault.com/ui/#object/approved_document__v/V5OZ025E82TFUPI", "Spain - HCP Survey Email - June 2025")</f>
        <v>Spain - HCP Survey Email - June 2025</v>
      </c>
      <c r="C3535" s="3" t="str">
        <f>HYPERLINK("https://otsuka-europe-crm.veevavault.com/ui/#object/sent_email__v/VBLZ025E82GN0D9", "SE-000270655")</f>
        <v>SE-000270655</v>
      </c>
      <c r="D3535" s="1">
        <v>45915.432256944441</v>
      </c>
      <c r="E3535" s="2">
        <v>1</v>
      </c>
      <c r="F3535" s="2">
        <v>1</v>
      </c>
      <c r="G3535" s="2">
        <v>0</v>
      </c>
      <c r="H3535" s="1" t="s">
        <v>0</v>
      </c>
      <c r="I3535" s="2">
        <v>0</v>
      </c>
      <c r="J3535" s="1">
        <v>45915.379143518519</v>
      </c>
    </row>
    <row r="3536" spans="1:10" x14ac:dyDescent="0.2">
      <c r="A3536" s="4" t="s">
        <v>1</v>
      </c>
      <c r="B3536" s="3" t="str">
        <f>HYPERLINK("https://otsuka-europe-crm.veevavault.com/ui/#object/approved_document__v/V5OZ025E82TFUPI", "Spain - HCP Survey Email - June 2025")</f>
        <v>Spain - HCP Survey Email - June 2025</v>
      </c>
      <c r="C3536" s="3" t="str">
        <f>HYPERLINK("https://otsuka-europe-crm.veevavault.com/ui/#object/sent_email__v/VBLZ025E82GN0DA", "SE-000270656")</f>
        <v>SE-000270656</v>
      </c>
      <c r="D3536" s="1" t="s">
        <v>0</v>
      </c>
      <c r="E3536" s="2">
        <v>0</v>
      </c>
      <c r="F3536" s="2">
        <v>0</v>
      </c>
      <c r="G3536" s="2">
        <v>0</v>
      </c>
      <c r="H3536" s="1" t="s">
        <v>0</v>
      </c>
      <c r="I3536" s="2">
        <v>0</v>
      </c>
      <c r="J3536" s="1">
        <v>45915.377905092595</v>
      </c>
    </row>
    <row r="3537" spans="1:10" x14ac:dyDescent="0.2">
      <c r="A3537" s="4" t="s">
        <v>1</v>
      </c>
      <c r="B3537" s="3" t="str">
        <f>HYPERLINK("https://otsuka-europe-crm.veevavault.com/ui/#object/approved_document__v/V5OZ025E82TFUPI", "Spain - HCP Survey Email - June 2025")</f>
        <v>Spain - HCP Survey Email - June 2025</v>
      </c>
      <c r="C3537" s="3" t="str">
        <f>HYPERLINK("https://otsuka-europe-crm.veevavault.com/ui/#object/sent_email__v/VBLZ025E82GN0DB", "SE-000270657")</f>
        <v>SE-000270657</v>
      </c>
      <c r="D3537" s="1" t="s">
        <v>0</v>
      </c>
      <c r="E3537" s="2">
        <v>0</v>
      </c>
      <c r="F3537" s="2">
        <v>0</v>
      </c>
      <c r="G3537" s="2">
        <v>0</v>
      </c>
      <c r="H3537" s="1" t="s">
        <v>0</v>
      </c>
      <c r="I3537" s="2">
        <v>0</v>
      </c>
      <c r="J3537" s="1">
        <v>45915.378321759257</v>
      </c>
    </row>
    <row r="3538" spans="1:10" x14ac:dyDescent="0.2">
      <c r="A3538" s="4" t="s">
        <v>1</v>
      </c>
      <c r="B3538" s="3" t="str">
        <f>HYPERLINK("https://otsuka-europe-crm.veevavault.com/ui/#object/approved_document__v/V5OZ025E82TFUPI", "Spain - HCP Survey Email - June 2025")</f>
        <v>Spain - HCP Survey Email - June 2025</v>
      </c>
      <c r="C3538" s="3" t="str">
        <f>HYPERLINK("https://otsuka-europe-crm.veevavault.com/ui/#object/sent_email__v/VBLZ025E82GN0DC", "SE-000270658")</f>
        <v>SE-000270658</v>
      </c>
      <c r="D3538" s="1">
        <v>45923.845983796295</v>
      </c>
      <c r="E3538" s="2">
        <v>1</v>
      </c>
      <c r="F3538" s="2">
        <v>1</v>
      </c>
      <c r="G3538" s="2">
        <v>0</v>
      </c>
      <c r="H3538" s="1" t="s">
        <v>0</v>
      </c>
      <c r="I3538" s="2">
        <v>0</v>
      </c>
      <c r="J3538" s="1">
        <v>45915.378078703703</v>
      </c>
    </row>
    <row r="3539" spans="1:10" x14ac:dyDescent="0.2">
      <c r="A3539" s="4" t="s">
        <v>1</v>
      </c>
      <c r="B3539" s="3" t="str">
        <f>HYPERLINK("https://otsuka-europe-crm.veevavault.com/ui/#object/approved_document__v/V5OZ025E82TFUPI", "Spain - HCP Survey Email - June 2025")</f>
        <v>Spain - HCP Survey Email - June 2025</v>
      </c>
      <c r="C3539" s="3" t="str">
        <f>HYPERLINK("https://otsuka-europe-crm.veevavault.com/ui/#object/sent_email__v/VBLZ025E82GN0DD", "SE-000270659")</f>
        <v>SE-000270659</v>
      </c>
      <c r="D3539" s="1" t="s">
        <v>0</v>
      </c>
      <c r="E3539" s="2">
        <v>0</v>
      </c>
      <c r="F3539" s="2">
        <v>0</v>
      </c>
      <c r="G3539" s="2">
        <v>0</v>
      </c>
      <c r="H3539" s="1" t="s">
        <v>0</v>
      </c>
      <c r="I3539" s="2">
        <v>0</v>
      </c>
      <c r="J3539" s="1">
        <v>45915.378541666665</v>
      </c>
    </row>
    <row r="3540" spans="1:10" x14ac:dyDescent="0.2">
      <c r="A3540" s="4" t="s">
        <v>1</v>
      </c>
      <c r="B3540" s="3" t="str">
        <f>HYPERLINK("https://otsuka-europe-crm.veevavault.com/ui/#object/approved_document__v/V5OZ025E82TFUPI", "Spain - HCP Survey Email - June 2025")</f>
        <v>Spain - HCP Survey Email - June 2025</v>
      </c>
      <c r="C3540" s="3" t="str">
        <f>HYPERLINK("https://otsuka-europe-crm.veevavault.com/ui/#object/sent_email__v/VBLZ025E82GN0DE", "SE-000270660")</f>
        <v>SE-000270660</v>
      </c>
      <c r="D3540" s="1">
        <v>45962.984537037039</v>
      </c>
      <c r="E3540" s="2">
        <v>1</v>
      </c>
      <c r="F3540" s="2">
        <v>1</v>
      </c>
      <c r="G3540" s="2">
        <v>0</v>
      </c>
      <c r="H3540" s="1" t="s">
        <v>0</v>
      </c>
      <c r="I3540" s="2">
        <v>0</v>
      </c>
      <c r="J3540" s="1">
        <v>45915.379791666666</v>
      </c>
    </row>
    <row r="3541" spans="1:10" x14ac:dyDescent="0.2">
      <c r="A3541" s="4" t="s">
        <v>1</v>
      </c>
      <c r="B3541" s="3" t="str">
        <f>HYPERLINK("https://otsuka-europe-crm.veevavault.com/ui/#object/approved_document__v/V5OZ025E82TFUPI", "Spain - HCP Survey Email - June 2025")</f>
        <v>Spain - HCP Survey Email - June 2025</v>
      </c>
      <c r="C3541" s="3" t="str">
        <f>HYPERLINK("https://otsuka-europe-crm.veevavault.com/ui/#object/sent_email__v/VBLZ025E82GN0DF", "SE-000270661")</f>
        <v>SE-000270661</v>
      </c>
      <c r="D3541" s="1" t="s">
        <v>0</v>
      </c>
      <c r="E3541" s="2">
        <v>0</v>
      </c>
      <c r="F3541" s="2">
        <v>0</v>
      </c>
      <c r="G3541" s="2">
        <v>0</v>
      </c>
      <c r="H3541" s="1" t="s">
        <v>0</v>
      </c>
      <c r="I3541" s="2">
        <v>0</v>
      </c>
      <c r="J3541" s="1">
        <v>45915.377696759257</v>
      </c>
    </row>
    <row r="3542" spans="1:10" x14ac:dyDescent="0.2">
      <c r="A3542" s="4" t="s">
        <v>1</v>
      </c>
      <c r="B3542" s="3" t="str">
        <f>HYPERLINK("https://otsuka-europe-crm.veevavault.com/ui/#object/approved_document__v/V5OZ025E82TFUPI", "Spain - HCP Survey Email - June 2025")</f>
        <v>Spain - HCP Survey Email - June 2025</v>
      </c>
      <c r="C3542" s="3" t="str">
        <f>HYPERLINK("https://otsuka-europe-crm.veevavault.com/ui/#object/sent_email__v/VBLZ025E82GN0DG", "SE-000270662")</f>
        <v>SE-000270662</v>
      </c>
      <c r="D3542" s="1">
        <v>45915.380219907405</v>
      </c>
      <c r="E3542" s="2">
        <v>1</v>
      </c>
      <c r="F3542" s="2">
        <v>1</v>
      </c>
      <c r="G3542" s="2">
        <v>0</v>
      </c>
      <c r="H3542" s="1" t="s">
        <v>0</v>
      </c>
      <c r="I3542" s="2">
        <v>0</v>
      </c>
      <c r="J3542" s="1">
        <v>45915.378275462965</v>
      </c>
    </row>
    <row r="3543" spans="1:10" x14ac:dyDescent="0.2">
      <c r="A3543" s="4" t="s">
        <v>1</v>
      </c>
      <c r="B3543" s="3" t="str">
        <f>HYPERLINK("https://otsuka-europe-crm.veevavault.com/ui/#object/approved_document__v/V5OZ025E82TFUPI", "Spain - HCP Survey Email - June 2025")</f>
        <v>Spain - HCP Survey Email - June 2025</v>
      </c>
      <c r="C3543" s="3" t="str">
        <f>HYPERLINK("https://otsuka-europe-crm.veevavault.com/ui/#object/sent_email__v/VBLZ025E82GN0DH", "SE-000270663")</f>
        <v>SE-000270663</v>
      </c>
      <c r="D3543" s="1" t="s">
        <v>0</v>
      </c>
      <c r="E3543" s="2">
        <v>0</v>
      </c>
      <c r="F3543" s="2">
        <v>0</v>
      </c>
      <c r="G3543" s="2">
        <v>0</v>
      </c>
      <c r="H3543" s="1" t="s">
        <v>0</v>
      </c>
      <c r="I3543" s="2">
        <v>0</v>
      </c>
      <c r="J3543" s="1">
        <v>45915.377997685187</v>
      </c>
    </row>
    <row r="3544" spans="1:10" x14ac:dyDescent="0.2">
      <c r="A3544" s="4" t="s">
        <v>1</v>
      </c>
      <c r="B3544" s="3" t="str">
        <f>HYPERLINK("https://otsuka-europe-crm.veevavault.com/ui/#object/approved_document__v/V5OZ025E82TFUPI", "Spain - HCP Survey Email - June 2025")</f>
        <v>Spain - HCP Survey Email - June 2025</v>
      </c>
      <c r="C3544" s="3" t="str">
        <f>HYPERLINK("https://otsuka-europe-crm.veevavault.com/ui/#object/sent_email__v/VBLZ025E82GN0DI", "SE-000270664")</f>
        <v>SE-000270664</v>
      </c>
      <c r="D3544" s="1" t="s">
        <v>0</v>
      </c>
      <c r="E3544" s="2">
        <v>0</v>
      </c>
      <c r="F3544" s="2">
        <v>0</v>
      </c>
      <c r="G3544" s="2">
        <v>0</v>
      </c>
      <c r="H3544" s="1" t="s">
        <v>0</v>
      </c>
      <c r="I3544" s="2">
        <v>0</v>
      </c>
      <c r="J3544" s="1">
        <v>45915.378553240742</v>
      </c>
    </row>
    <row r="3545" spans="1:10" x14ac:dyDescent="0.2">
      <c r="A3545" s="4" t="s">
        <v>1</v>
      </c>
      <c r="B3545" s="3" t="str">
        <f>HYPERLINK("https://otsuka-europe-crm.veevavault.com/ui/#object/approved_document__v/V5OZ025E82TFUPI", "Spain - HCP Survey Email - June 2025")</f>
        <v>Spain - HCP Survey Email - June 2025</v>
      </c>
      <c r="C3545" s="3" t="str">
        <f>HYPERLINK("https://otsuka-europe-crm.veevavault.com/ui/#object/sent_email__v/VBLZ025E82GN0DJ", "SE-000270665")</f>
        <v>SE-000270665</v>
      </c>
      <c r="D3545" s="1" t="s">
        <v>0</v>
      </c>
      <c r="E3545" s="2">
        <v>0</v>
      </c>
      <c r="F3545" s="2">
        <v>0</v>
      </c>
      <c r="G3545" s="2">
        <v>0</v>
      </c>
      <c r="H3545" s="1" t="s">
        <v>0</v>
      </c>
      <c r="I3545" s="2">
        <v>0</v>
      </c>
      <c r="J3545" s="1">
        <v>45915.379988425928</v>
      </c>
    </row>
    <row r="3546" spans="1:10" x14ac:dyDescent="0.2">
      <c r="A3546" s="4" t="s">
        <v>1</v>
      </c>
      <c r="B3546" s="3" t="str">
        <f>HYPERLINK("https://otsuka-europe-crm.veevavault.com/ui/#object/approved_document__v/V5OZ025E82TFUPI", "Spain - HCP Survey Email - June 2025")</f>
        <v>Spain - HCP Survey Email - June 2025</v>
      </c>
      <c r="C3546" s="3" t="str">
        <f>HYPERLINK("https://otsuka-europe-crm.veevavault.com/ui/#object/sent_email__v/VBLZ025E82GN0DK", "SE-000270666")</f>
        <v>SE-000270666</v>
      </c>
      <c r="D3546" s="1">
        <v>45915.378750000003</v>
      </c>
      <c r="E3546" s="2">
        <v>1</v>
      </c>
      <c r="F3546" s="2">
        <v>2</v>
      </c>
      <c r="G3546" s="2">
        <v>1</v>
      </c>
      <c r="H3546" s="1">
        <v>45915.387314814812</v>
      </c>
      <c r="I3546" s="2">
        <v>1</v>
      </c>
      <c r="J3546" s="1">
        <v>45915.377766203703</v>
      </c>
    </row>
    <row r="3547" spans="1:10" x14ac:dyDescent="0.2">
      <c r="A3547" s="4" t="s">
        <v>1</v>
      </c>
      <c r="B3547" s="3" t="str">
        <f>HYPERLINK("https://otsuka-europe-crm.veevavault.com/ui/#object/approved_document__v/V5OZ025E82TFUPI", "Spain - HCP Survey Email - June 2025")</f>
        <v>Spain - HCP Survey Email - June 2025</v>
      </c>
      <c r="C3547" s="3" t="str">
        <f>HYPERLINK("https://otsuka-europe-crm.veevavault.com/ui/#object/sent_email__v/VBLZ025E82GN0DL", "SE-000270667")</f>
        <v>SE-000270667</v>
      </c>
      <c r="D3547" s="1" t="s">
        <v>0</v>
      </c>
      <c r="E3547" s="2">
        <v>0</v>
      </c>
      <c r="F3547" s="2">
        <v>0</v>
      </c>
      <c r="G3547" s="2">
        <v>0</v>
      </c>
      <c r="H3547" s="1" t="s">
        <v>0</v>
      </c>
      <c r="I3547" s="2">
        <v>0</v>
      </c>
      <c r="J3547" s="1">
        <v>45915.377696759257</v>
      </c>
    </row>
    <row r="3548" spans="1:10" x14ac:dyDescent="0.2">
      <c r="A3548" s="4" t="s">
        <v>1</v>
      </c>
      <c r="B3548" s="3" t="str">
        <f>HYPERLINK("https://otsuka-europe-crm.veevavault.com/ui/#object/approved_document__v/V5OZ025E82TFUPI", "Spain - HCP Survey Email - June 2025")</f>
        <v>Spain - HCP Survey Email - June 2025</v>
      </c>
      <c r="C3548" s="3" t="str">
        <f>HYPERLINK("https://otsuka-europe-crm.veevavault.com/ui/#object/sent_email__v/VBLZ025E82GN0DM", "SE-000270668")</f>
        <v>SE-000270668</v>
      </c>
      <c r="D3548" s="1" t="s">
        <v>0</v>
      </c>
      <c r="E3548" s="2">
        <v>0</v>
      </c>
      <c r="F3548" s="2">
        <v>0</v>
      </c>
      <c r="G3548" s="2">
        <v>0</v>
      </c>
      <c r="H3548" s="1" t="s">
        <v>0</v>
      </c>
      <c r="I3548" s="2">
        <v>0</v>
      </c>
      <c r="J3548" s="1">
        <v>45915.377962962964</v>
      </c>
    </row>
    <row r="3549" spans="1:10" x14ac:dyDescent="0.2">
      <c r="A3549" s="4" t="s">
        <v>1</v>
      </c>
      <c r="B3549" s="3" t="str">
        <f>HYPERLINK("https://otsuka-europe-crm.veevavault.com/ui/#object/approved_document__v/V5OZ025E82TFUPI", "Spain - HCP Survey Email - June 2025")</f>
        <v>Spain - HCP Survey Email - June 2025</v>
      </c>
      <c r="C3549" s="3" t="str">
        <f>HYPERLINK("https://otsuka-europe-crm.veevavault.com/ui/#object/sent_email__v/VBLZ025E82GN0DN", "SE-000270669")</f>
        <v>SE-000270669</v>
      </c>
      <c r="D3549" s="1">
        <v>45915.75582175926</v>
      </c>
      <c r="E3549" s="2">
        <v>1</v>
      </c>
      <c r="F3549" s="2">
        <v>2</v>
      </c>
      <c r="G3549" s="2">
        <v>0</v>
      </c>
      <c r="H3549" s="1" t="s">
        <v>0</v>
      </c>
      <c r="I3549" s="2">
        <v>0</v>
      </c>
      <c r="J3549" s="1">
        <v>45915.37903935185</v>
      </c>
    </row>
    <row r="3550" spans="1:10" x14ac:dyDescent="0.2">
      <c r="A3550" s="4" t="s">
        <v>1</v>
      </c>
      <c r="B3550" s="3" t="str">
        <f>HYPERLINK("https://otsuka-europe-crm.veevavault.com/ui/#object/approved_document__v/V5OZ025E82TFUPI", "Spain - HCP Survey Email - June 2025")</f>
        <v>Spain - HCP Survey Email - June 2025</v>
      </c>
      <c r="C3550" s="3" t="str">
        <f>HYPERLINK("https://otsuka-europe-crm.veevavault.com/ui/#object/sent_email__v/VBLZ025E82GN0DO", "SE-000270670")</f>
        <v>SE-000270670</v>
      </c>
      <c r="D3550" s="1">
        <v>45915.398460648146</v>
      </c>
      <c r="E3550" s="2">
        <v>1</v>
      </c>
      <c r="F3550" s="2">
        <v>1</v>
      </c>
      <c r="G3550" s="2">
        <v>1</v>
      </c>
      <c r="H3550" s="1">
        <v>45915.40011574074</v>
      </c>
      <c r="I3550" s="2">
        <v>4</v>
      </c>
      <c r="J3550" s="1">
        <v>45915.378819444442</v>
      </c>
    </row>
    <row r="3551" spans="1:10" x14ac:dyDescent="0.2">
      <c r="A3551" s="4" t="s">
        <v>1</v>
      </c>
      <c r="B3551" s="3" t="str">
        <f>HYPERLINK("https://otsuka-europe-crm.veevavault.com/ui/#object/approved_document__v/V5OZ025E82TFUPI", "Spain - HCP Survey Email - June 2025")</f>
        <v>Spain - HCP Survey Email - June 2025</v>
      </c>
      <c r="C3551" s="3" t="str">
        <f>HYPERLINK("https://otsuka-europe-crm.veevavault.com/ui/#object/sent_email__v/VBLZ025E82GN0DP", "SE-000270671")</f>
        <v>SE-000270671</v>
      </c>
      <c r="D3551" s="1">
        <v>45915.416597222225</v>
      </c>
      <c r="E3551" s="2">
        <v>1</v>
      </c>
      <c r="F3551" s="2">
        <v>1</v>
      </c>
      <c r="G3551" s="2">
        <v>0</v>
      </c>
      <c r="H3551" s="1" t="s">
        <v>0</v>
      </c>
      <c r="I3551" s="2">
        <v>0</v>
      </c>
      <c r="J3551" s="1">
        <v>45915.37908564815</v>
      </c>
    </row>
    <row r="3552" spans="1:10" x14ac:dyDescent="0.2">
      <c r="A3552" s="4" t="s">
        <v>1</v>
      </c>
      <c r="B3552" s="3" t="str">
        <f>HYPERLINK("https://otsuka-europe-crm.veevavault.com/ui/#object/approved_document__v/V5OZ025E82TFUPI", "Spain - HCP Survey Email - June 2025")</f>
        <v>Spain - HCP Survey Email - June 2025</v>
      </c>
      <c r="C3552" s="3" t="str">
        <f>HYPERLINK("https://otsuka-europe-crm.veevavault.com/ui/#object/sent_email__v/VBLZ025E82GN0DQ", "SE-000270672")</f>
        <v>SE-000270672</v>
      </c>
      <c r="D3552" s="1" t="s">
        <v>0</v>
      </c>
      <c r="E3552" s="2">
        <v>0</v>
      </c>
      <c r="F3552" s="2">
        <v>0</v>
      </c>
      <c r="G3552" s="2">
        <v>0</v>
      </c>
      <c r="H3552" s="1" t="s">
        <v>0</v>
      </c>
      <c r="I3552" s="2">
        <v>0</v>
      </c>
      <c r="J3552" s="1">
        <v>45915.377812500003</v>
      </c>
    </row>
    <row r="3553" spans="1:10" x14ac:dyDescent="0.2">
      <c r="A3553" s="4" t="s">
        <v>1</v>
      </c>
      <c r="B3553" s="3" t="str">
        <f>HYPERLINK("https://otsuka-europe-crm.veevavault.com/ui/#object/approved_document__v/V5OZ025E82TFUPI", "Spain - HCP Survey Email - June 2025")</f>
        <v>Spain - HCP Survey Email - June 2025</v>
      </c>
      <c r="C3553" s="3" t="str">
        <f>HYPERLINK("https://otsuka-europe-crm.veevavault.com/ui/#object/sent_email__v/VBLZ025E82GN0DR", "SE-000270673")</f>
        <v>SE-000270673</v>
      </c>
      <c r="D3553" s="1" t="s">
        <v>0</v>
      </c>
      <c r="E3553" s="2">
        <v>0</v>
      </c>
      <c r="F3553" s="2">
        <v>0</v>
      </c>
      <c r="G3553" s="2">
        <v>0</v>
      </c>
      <c r="H3553" s="1" t="s">
        <v>0</v>
      </c>
      <c r="I3553" s="2">
        <v>0</v>
      </c>
      <c r="J3553" s="1">
        <v>45915.378182870372</v>
      </c>
    </row>
    <row r="3554" spans="1:10" x14ac:dyDescent="0.2">
      <c r="A3554" s="4" t="s">
        <v>1</v>
      </c>
      <c r="B3554" s="3" t="str">
        <f>HYPERLINK("https://otsuka-europe-crm.veevavault.com/ui/#object/approved_document__v/V5OZ025E82TFUPI", "Spain - HCP Survey Email - June 2025")</f>
        <v>Spain - HCP Survey Email - June 2025</v>
      </c>
      <c r="C3554" s="3" t="str">
        <f>HYPERLINK("https://otsuka-europe-crm.veevavault.com/ui/#object/sent_email__v/VBLZ025E82GN0DS", "SE-000270674")</f>
        <v>SE-000270674</v>
      </c>
      <c r="D3554" s="1">
        <v>45915.399155092593</v>
      </c>
      <c r="E3554" s="2">
        <v>1</v>
      </c>
      <c r="F3554" s="2">
        <v>2</v>
      </c>
      <c r="G3554" s="2">
        <v>0</v>
      </c>
      <c r="H3554" s="1" t="s">
        <v>0</v>
      </c>
      <c r="I3554" s="2">
        <v>0</v>
      </c>
      <c r="J3554" s="1">
        <v>45915.378055555557</v>
      </c>
    </row>
    <row r="3555" spans="1:10" x14ac:dyDescent="0.2">
      <c r="A3555" s="4" t="s">
        <v>1</v>
      </c>
      <c r="B3555" s="3" t="str">
        <f>HYPERLINK("https://otsuka-europe-crm.veevavault.com/ui/#object/approved_document__v/V5OZ025E82TFUPI", "Spain - HCP Survey Email - June 2025")</f>
        <v>Spain - HCP Survey Email - June 2025</v>
      </c>
      <c r="C3555" s="3" t="str">
        <f>HYPERLINK("https://otsuka-europe-crm.veevavault.com/ui/#object/sent_email__v/VBLZ025E82GN0DT", "SE-000270675")</f>
        <v>SE-000270675</v>
      </c>
      <c r="D3555" s="1">
        <v>45915.401747685188</v>
      </c>
      <c r="E3555" s="2">
        <v>1</v>
      </c>
      <c r="F3555" s="2">
        <v>1</v>
      </c>
      <c r="G3555" s="2">
        <v>0</v>
      </c>
      <c r="H3555" s="1" t="s">
        <v>0</v>
      </c>
      <c r="I3555" s="2">
        <v>0</v>
      </c>
      <c r="J3555" s="1">
        <v>45915.378576388888</v>
      </c>
    </row>
    <row r="3556" spans="1:10" x14ac:dyDescent="0.2">
      <c r="A3556" s="4" t="s">
        <v>1</v>
      </c>
      <c r="B3556" s="3" t="str">
        <f>HYPERLINK("https://otsuka-europe-crm.veevavault.com/ui/#object/approved_document__v/V5OZ025E82TFUPI", "Spain - HCP Survey Email - June 2025")</f>
        <v>Spain - HCP Survey Email - June 2025</v>
      </c>
      <c r="C3556" s="3" t="str">
        <f>HYPERLINK("https://otsuka-europe-crm.veevavault.com/ui/#object/sent_email__v/VBLZ025E82GN0DU", "SE-000270676")</f>
        <v>SE-000270676</v>
      </c>
      <c r="D3556" s="1">
        <v>45915.444293981483</v>
      </c>
      <c r="E3556" s="2">
        <v>1</v>
      </c>
      <c r="F3556" s="2">
        <v>1</v>
      </c>
      <c r="G3556" s="2">
        <v>0</v>
      </c>
      <c r="H3556" s="1" t="s">
        <v>0</v>
      </c>
      <c r="I3556" s="2">
        <v>0</v>
      </c>
      <c r="J3556" s="1">
        <v>45915.379953703705</v>
      </c>
    </row>
    <row r="3557" spans="1:10" x14ac:dyDescent="0.2">
      <c r="A3557" s="4" t="s">
        <v>1</v>
      </c>
      <c r="B3557" s="3" t="str">
        <f>HYPERLINK("https://otsuka-europe-crm.veevavault.com/ui/#object/approved_document__v/V5OZ025E82TFUPI", "Spain - HCP Survey Email - June 2025")</f>
        <v>Spain - HCP Survey Email - June 2025</v>
      </c>
      <c r="C3557" s="3" t="str">
        <f>HYPERLINK("https://otsuka-europe-crm.veevavault.com/ui/#object/sent_email__v/VBLZ025E82GN0DV", "SE-000270677")</f>
        <v>SE-000270677</v>
      </c>
      <c r="D3557" s="1" t="s">
        <v>0</v>
      </c>
      <c r="E3557" s="2">
        <v>0</v>
      </c>
      <c r="F3557" s="2">
        <v>0</v>
      </c>
      <c r="G3557" s="2">
        <v>0</v>
      </c>
      <c r="H3557" s="1" t="s">
        <v>0</v>
      </c>
      <c r="I3557" s="2">
        <v>0</v>
      </c>
      <c r="J3557" s="1">
        <v>45915.37777777778</v>
      </c>
    </row>
    <row r="3558" spans="1:10" x14ac:dyDescent="0.2">
      <c r="A3558" s="4" t="s">
        <v>1</v>
      </c>
      <c r="B3558" s="3" t="str">
        <f>HYPERLINK("https://otsuka-europe-crm.veevavault.com/ui/#object/approved_document__v/V5OZ025E82TFUPI", "Spain - HCP Survey Email - June 2025")</f>
        <v>Spain - HCP Survey Email - June 2025</v>
      </c>
      <c r="C3558" s="3" t="str">
        <f>HYPERLINK("https://otsuka-europe-crm.veevavault.com/ui/#object/sent_email__v/VBLZ025E82GN0DW", "SE-000270678")</f>
        <v>SE-000270678</v>
      </c>
      <c r="D3558" s="1">
        <v>45915.754004629627</v>
      </c>
      <c r="E3558" s="2">
        <v>1</v>
      </c>
      <c r="F3558" s="2">
        <v>1</v>
      </c>
      <c r="G3558" s="2">
        <v>0</v>
      </c>
      <c r="H3558" s="1" t="s">
        <v>0</v>
      </c>
      <c r="I3558" s="2">
        <v>0</v>
      </c>
      <c r="J3558" s="1">
        <v>45915.377696759257</v>
      </c>
    </row>
    <row r="3559" spans="1:10" x14ac:dyDescent="0.2">
      <c r="A3559" s="4" t="s">
        <v>1</v>
      </c>
      <c r="B3559" s="3" t="str">
        <f>HYPERLINK("https://otsuka-europe-crm.veevavault.com/ui/#object/approved_document__v/V5OZ025E82TFUPI", "Spain - HCP Survey Email - June 2025")</f>
        <v>Spain - HCP Survey Email - June 2025</v>
      </c>
      <c r="C3559" s="3" t="str">
        <f>HYPERLINK("https://otsuka-europe-crm.veevavault.com/ui/#object/sent_email__v/VBLZ025E82GN0DX", "SE-000270679")</f>
        <v>SE-000270679</v>
      </c>
      <c r="D3559" s="1">
        <v>45922.956018518518</v>
      </c>
      <c r="E3559" s="2">
        <v>1</v>
      </c>
      <c r="F3559" s="2">
        <v>3</v>
      </c>
      <c r="G3559" s="2">
        <v>0</v>
      </c>
      <c r="H3559" s="1" t="s">
        <v>0</v>
      </c>
      <c r="I3559" s="2">
        <v>0</v>
      </c>
      <c r="J3559" s="1">
        <v>45915.377939814818</v>
      </c>
    </row>
    <row r="3560" spans="1:10" x14ac:dyDescent="0.2">
      <c r="A3560" s="4" t="s">
        <v>1</v>
      </c>
      <c r="B3560" s="3" t="str">
        <f>HYPERLINK("https://otsuka-europe-crm.veevavault.com/ui/#object/approved_document__v/V5OZ025E82TFUPI", "Spain - HCP Survey Email - June 2025")</f>
        <v>Spain - HCP Survey Email - June 2025</v>
      </c>
      <c r="C3560" s="3" t="str">
        <f>HYPERLINK("https://otsuka-europe-crm.veevavault.com/ui/#object/sent_email__v/VBLZ025E82GN0DY", "SE-000270680")</f>
        <v>SE-000270680</v>
      </c>
      <c r="D3560" s="1">
        <v>45915.885775462964</v>
      </c>
      <c r="E3560" s="2">
        <v>1</v>
      </c>
      <c r="F3560" s="2">
        <v>4</v>
      </c>
      <c r="G3560" s="2">
        <v>0</v>
      </c>
      <c r="H3560" s="1" t="s">
        <v>0</v>
      </c>
      <c r="I3560" s="2">
        <v>0</v>
      </c>
      <c r="J3560" s="1">
        <v>45915.379074074073</v>
      </c>
    </row>
    <row r="3561" spans="1:10" x14ac:dyDescent="0.2">
      <c r="A3561" s="4" t="s">
        <v>1</v>
      </c>
      <c r="B3561" s="3" t="str">
        <f>HYPERLINK("https://otsuka-europe-crm.veevavault.com/ui/#object/approved_document__v/V5OZ025E82TFUPI", "Spain - HCP Survey Email - June 2025")</f>
        <v>Spain - HCP Survey Email - June 2025</v>
      </c>
      <c r="C3561" s="3" t="str">
        <f>HYPERLINK("https://otsuka-europe-crm.veevavault.com/ui/#object/sent_email__v/VBLZ025E82GN0DZ", "SE-000270681")</f>
        <v>SE-000270681</v>
      </c>
      <c r="D3561" s="1" t="s">
        <v>0</v>
      </c>
      <c r="E3561" s="2">
        <v>0</v>
      </c>
      <c r="F3561" s="2">
        <v>0</v>
      </c>
      <c r="G3561" s="2">
        <v>0</v>
      </c>
      <c r="H3561" s="1" t="s">
        <v>0</v>
      </c>
      <c r="I3561" s="2">
        <v>0</v>
      </c>
      <c r="J3561" s="1">
        <v>45915.378680555557</v>
      </c>
    </row>
    <row r="3562" spans="1:10" x14ac:dyDescent="0.2">
      <c r="A3562" s="4" t="s">
        <v>1</v>
      </c>
      <c r="B3562" s="3" t="str">
        <f>HYPERLINK("https://otsuka-europe-crm.veevavault.com/ui/#object/approved_document__v/V5OZ025E82TFUPI", "Spain - HCP Survey Email - June 2025")</f>
        <v>Spain - HCP Survey Email - June 2025</v>
      </c>
      <c r="C3562" s="3" t="str">
        <f>HYPERLINK("https://otsuka-europe-crm.veevavault.com/ui/#object/sent_email__v/VBLZ025E82GN0E0", "SE-000270682")</f>
        <v>SE-000270682</v>
      </c>
      <c r="D3562" s="1" t="s">
        <v>0</v>
      </c>
      <c r="E3562" s="2">
        <v>0</v>
      </c>
      <c r="F3562" s="2">
        <v>0</v>
      </c>
      <c r="G3562" s="2">
        <v>0</v>
      </c>
      <c r="H3562" s="1" t="s">
        <v>0</v>
      </c>
      <c r="I3562" s="2">
        <v>0</v>
      </c>
      <c r="J3562" s="1">
        <v>45915.379004629627</v>
      </c>
    </row>
    <row r="3563" spans="1:10" x14ac:dyDescent="0.2">
      <c r="A3563" s="4" t="s">
        <v>1</v>
      </c>
      <c r="B3563" s="3" t="str">
        <f>HYPERLINK("https://otsuka-europe-crm.veevavault.com/ui/#object/approved_document__v/V5OZ025E82TFUPI", "Spain - HCP Survey Email - June 2025")</f>
        <v>Spain - HCP Survey Email - June 2025</v>
      </c>
      <c r="C3563" s="3" t="str">
        <f>HYPERLINK("https://otsuka-europe-crm.veevavault.com/ui/#object/sent_email__v/VBLZ025E82GN0E1", "SE-000270683")</f>
        <v>SE-000270683</v>
      </c>
      <c r="D3563" s="1" t="s">
        <v>0</v>
      </c>
      <c r="E3563" s="2">
        <v>0</v>
      </c>
      <c r="F3563" s="2">
        <v>0</v>
      </c>
      <c r="G3563" s="2">
        <v>0</v>
      </c>
      <c r="H3563" s="1" t="s">
        <v>0</v>
      </c>
      <c r="I3563" s="2">
        <v>0</v>
      </c>
      <c r="J3563" s="1">
        <v>45915.377824074072</v>
      </c>
    </row>
    <row r="3564" spans="1:10" x14ac:dyDescent="0.2">
      <c r="A3564" s="4" t="s">
        <v>1</v>
      </c>
      <c r="B3564" s="3" t="str">
        <f>HYPERLINK("https://otsuka-europe-crm.veevavault.com/ui/#object/approved_document__v/V5OZ025E82TFUPI", "Spain - HCP Survey Email - June 2025")</f>
        <v>Spain - HCP Survey Email - June 2025</v>
      </c>
      <c r="C3564" s="3" t="str">
        <f>HYPERLINK("https://otsuka-europe-crm.veevavault.com/ui/#object/sent_email__v/VBLZ025E82GN0E2", "SE-000270684")</f>
        <v>SE-000270684</v>
      </c>
      <c r="D3564" s="1">
        <v>45915.378865740742</v>
      </c>
      <c r="E3564" s="2">
        <v>1</v>
      </c>
      <c r="F3564" s="2">
        <v>1</v>
      </c>
      <c r="G3564" s="2">
        <v>0</v>
      </c>
      <c r="H3564" s="1" t="s">
        <v>0</v>
      </c>
      <c r="I3564" s="2">
        <v>0</v>
      </c>
      <c r="J3564" s="1">
        <v>45915.378182870372</v>
      </c>
    </row>
    <row r="3565" spans="1:10" x14ac:dyDescent="0.2">
      <c r="A3565" s="4" t="s">
        <v>1</v>
      </c>
      <c r="B3565" s="3" t="str">
        <f>HYPERLINK("https://otsuka-europe-crm.veevavault.com/ui/#object/approved_document__v/V5OZ025E82TFUPI", "Spain - HCP Survey Email - June 2025")</f>
        <v>Spain - HCP Survey Email - June 2025</v>
      </c>
      <c r="C3565" s="3" t="str">
        <f>HYPERLINK("https://otsuka-europe-crm.veevavault.com/ui/#object/sent_email__v/VBLZ025E82GN0E3", "SE-000270685")</f>
        <v>SE-000270685</v>
      </c>
      <c r="D3565" s="1">
        <v>45915.421967592592</v>
      </c>
      <c r="E3565" s="2">
        <v>1</v>
      </c>
      <c r="F3565" s="2">
        <v>1</v>
      </c>
      <c r="G3565" s="2">
        <v>1</v>
      </c>
      <c r="H3565" s="1">
        <v>45915.421967592592</v>
      </c>
      <c r="I3565" s="2">
        <v>1</v>
      </c>
      <c r="J3565" s="1">
        <v>45915.378148148149</v>
      </c>
    </row>
    <row r="3566" spans="1:10" x14ac:dyDescent="0.2">
      <c r="A3566" s="4" t="s">
        <v>1</v>
      </c>
      <c r="B3566" s="3" t="str">
        <f>HYPERLINK("https://otsuka-europe-crm.veevavault.com/ui/#object/approved_document__v/V5OZ025E82TFUPI", "Spain - HCP Survey Email - June 2025")</f>
        <v>Spain - HCP Survey Email - June 2025</v>
      </c>
      <c r="C3566" s="3" t="str">
        <f>HYPERLINK("https://otsuka-europe-crm.veevavault.com/ui/#object/sent_email__v/VBLZ025E82GN0E4", "SE-000270686")</f>
        <v>SE-000270686</v>
      </c>
      <c r="D3566" s="1">
        <v>45915.379247685189</v>
      </c>
      <c r="E3566" s="2">
        <v>1</v>
      </c>
      <c r="F3566" s="2">
        <v>1</v>
      </c>
      <c r="G3566" s="2">
        <v>0</v>
      </c>
      <c r="H3566" s="1" t="s">
        <v>0</v>
      </c>
      <c r="I3566" s="2">
        <v>0</v>
      </c>
      <c r="J3566" s="1">
        <v>45915.378472222219</v>
      </c>
    </row>
    <row r="3567" spans="1:10" x14ac:dyDescent="0.2">
      <c r="A3567" s="4" t="s">
        <v>1</v>
      </c>
      <c r="B3567" s="3" t="str">
        <f>HYPERLINK("https://otsuka-europe-crm.veevavault.com/ui/#object/approved_document__v/V5OZ025E82TFUPI", "Spain - HCP Survey Email - June 2025")</f>
        <v>Spain - HCP Survey Email - June 2025</v>
      </c>
      <c r="C3567" s="3" t="str">
        <f>HYPERLINK("https://otsuka-europe-crm.veevavault.com/ui/#object/sent_email__v/VBLZ025E82GN0E5", "SE-000270687")</f>
        <v>SE-000270687</v>
      </c>
      <c r="D3567" s="1">
        <v>45915.473877314813</v>
      </c>
      <c r="E3567" s="2">
        <v>1</v>
      </c>
      <c r="F3567" s="2">
        <v>1</v>
      </c>
      <c r="G3567" s="2">
        <v>1</v>
      </c>
      <c r="H3567" s="1">
        <v>45915.474178240744</v>
      </c>
      <c r="I3567" s="2">
        <v>3</v>
      </c>
      <c r="J3567" s="1">
        <v>45915.380011574074</v>
      </c>
    </row>
    <row r="3568" spans="1:10" x14ac:dyDescent="0.2">
      <c r="A3568" s="4" t="s">
        <v>1</v>
      </c>
      <c r="B3568" s="3" t="str">
        <f>HYPERLINK("https://otsuka-europe-crm.veevavault.com/ui/#object/approved_document__v/V5OZ025E82TFUPI", "Spain - HCP Survey Email - June 2025")</f>
        <v>Spain - HCP Survey Email - June 2025</v>
      </c>
      <c r="C3568" s="3" t="str">
        <f>HYPERLINK("https://otsuka-europe-crm.veevavault.com/ui/#object/sent_email__v/VBLZ025E82GN0E6", "SE-000270688")</f>
        <v>SE-000270688</v>
      </c>
      <c r="D3568" s="1" t="s">
        <v>0</v>
      </c>
      <c r="E3568" s="2">
        <v>0</v>
      </c>
      <c r="F3568" s="2">
        <v>0</v>
      </c>
      <c r="G3568" s="2">
        <v>0</v>
      </c>
      <c r="H3568" s="1" t="s">
        <v>0</v>
      </c>
      <c r="I3568" s="2">
        <v>0</v>
      </c>
      <c r="J3568" s="1">
        <v>45915.37771990741</v>
      </c>
    </row>
    <row r="3569" spans="1:10" x14ac:dyDescent="0.2">
      <c r="A3569" s="4" t="s">
        <v>1</v>
      </c>
      <c r="B3569" s="3" t="str">
        <f>HYPERLINK("https://otsuka-europe-crm.veevavault.com/ui/#object/approved_document__v/V5OZ025E82TFUPI", "Spain - HCP Survey Email - June 2025")</f>
        <v>Spain - HCP Survey Email - June 2025</v>
      </c>
      <c r="C3569" s="3" t="str">
        <f>HYPERLINK("https://otsuka-europe-crm.veevavault.com/ui/#object/sent_email__v/VBLZ025E82GN0E7", "SE-000270689")</f>
        <v>SE-000270689</v>
      </c>
      <c r="D3569" s="1">
        <v>45915.453125</v>
      </c>
      <c r="E3569" s="2">
        <v>1</v>
      </c>
      <c r="F3569" s="2">
        <v>1</v>
      </c>
      <c r="G3569" s="2">
        <v>0</v>
      </c>
      <c r="H3569" s="1" t="s">
        <v>0</v>
      </c>
      <c r="I3569" s="2">
        <v>0</v>
      </c>
      <c r="J3569" s="1">
        <v>45915.377615740741</v>
      </c>
    </row>
    <row r="3570" spans="1:10" x14ac:dyDescent="0.2">
      <c r="A3570" s="4" t="s">
        <v>1</v>
      </c>
      <c r="B3570" s="3" t="str">
        <f>HYPERLINK("https://otsuka-europe-crm.veevavault.com/ui/#object/approved_document__v/V5OZ025E82TFUPI", "Spain - HCP Survey Email - June 2025")</f>
        <v>Spain - HCP Survey Email - June 2025</v>
      </c>
      <c r="C3570" s="3" t="str">
        <f>HYPERLINK("https://otsuka-europe-crm.veevavault.com/ui/#object/sent_email__v/VBLZ025E82GN0E8", "SE-000270690")</f>
        <v>SE-000270690</v>
      </c>
      <c r="D3570" s="1" t="s">
        <v>0</v>
      </c>
      <c r="E3570" s="2">
        <v>0</v>
      </c>
      <c r="F3570" s="2">
        <v>0</v>
      </c>
      <c r="G3570" s="2">
        <v>0</v>
      </c>
      <c r="H3570" s="1" t="s">
        <v>0</v>
      </c>
      <c r="I3570" s="2">
        <v>0</v>
      </c>
      <c r="J3570" s="1">
        <v>45915.377939814818</v>
      </c>
    </row>
    <row r="3571" spans="1:10" x14ac:dyDescent="0.2">
      <c r="A3571" s="4" t="s">
        <v>1</v>
      </c>
      <c r="B3571" s="3" t="str">
        <f>HYPERLINK("https://otsuka-europe-crm.veevavault.com/ui/#object/approved_document__v/V5OZ025E82TFUPI", "Spain - HCP Survey Email - June 2025")</f>
        <v>Spain - HCP Survey Email - June 2025</v>
      </c>
      <c r="C3571" s="3" t="str">
        <f>HYPERLINK("https://otsuka-europe-crm.veevavault.com/ui/#object/sent_email__v/VBLZ025E82GN0E9", "SE-000270691")</f>
        <v>SE-000270691</v>
      </c>
      <c r="D3571" s="1" t="s">
        <v>0</v>
      </c>
      <c r="E3571" s="2">
        <v>0</v>
      </c>
      <c r="F3571" s="2">
        <v>0</v>
      </c>
      <c r="G3571" s="2">
        <v>0</v>
      </c>
      <c r="H3571" s="1" t="s">
        <v>0</v>
      </c>
      <c r="I3571" s="2">
        <v>0</v>
      </c>
      <c r="J3571" s="1">
        <v>45915.378923611112</v>
      </c>
    </row>
    <row r="3572" spans="1:10" x14ac:dyDescent="0.2">
      <c r="A3572" s="4" t="s">
        <v>1</v>
      </c>
      <c r="B3572" s="3" t="str">
        <f>HYPERLINK("https://otsuka-europe-crm.veevavault.com/ui/#object/approved_document__v/V5OZ025E82TFUPI", "Spain - HCP Survey Email - June 2025")</f>
        <v>Spain - HCP Survey Email - June 2025</v>
      </c>
      <c r="C3572" s="3" t="str">
        <f>HYPERLINK("https://otsuka-europe-crm.veevavault.com/ui/#object/sent_email__v/VBLZ025E82GN0EA", "SE-000270692")</f>
        <v>SE-000270692</v>
      </c>
      <c r="D3572" s="1" t="s">
        <v>0</v>
      </c>
      <c r="E3572" s="2">
        <v>0</v>
      </c>
      <c r="F3572" s="2">
        <v>0</v>
      </c>
      <c r="G3572" s="2">
        <v>0</v>
      </c>
      <c r="H3572" s="1" t="s">
        <v>0</v>
      </c>
      <c r="I3572" s="2">
        <v>0</v>
      </c>
      <c r="J3572" s="1">
        <v>45915.379756944443</v>
      </c>
    </row>
    <row r="3573" spans="1:10" x14ac:dyDescent="0.2">
      <c r="A3573" s="4" t="s">
        <v>1</v>
      </c>
      <c r="B3573" s="3" t="str">
        <f>HYPERLINK("https://otsuka-europe-crm.veevavault.com/ui/#object/approved_document__v/V5OZ025E82TFUPI", "Spain - HCP Survey Email - June 2025")</f>
        <v>Spain - HCP Survey Email - June 2025</v>
      </c>
      <c r="C3573" s="3" t="str">
        <f>HYPERLINK("https://otsuka-europe-crm.veevavault.com/ui/#object/sent_email__v/VBLZ025E82GN0EB", "SE-000270693")</f>
        <v>SE-000270693</v>
      </c>
      <c r="D3573" s="1">
        <v>45915.392881944441</v>
      </c>
      <c r="E3573" s="2">
        <v>1</v>
      </c>
      <c r="F3573" s="2">
        <v>2</v>
      </c>
      <c r="G3573" s="2">
        <v>0</v>
      </c>
      <c r="H3573" s="1" t="s">
        <v>0</v>
      </c>
      <c r="I3573" s="2">
        <v>0</v>
      </c>
      <c r="J3573" s="1">
        <v>45915.379108796296</v>
      </c>
    </row>
    <row r="3574" spans="1:10" x14ac:dyDescent="0.2">
      <c r="A3574" s="4" t="s">
        <v>1</v>
      </c>
      <c r="B3574" s="3" t="str">
        <f>HYPERLINK("https://otsuka-europe-crm.veevavault.com/ui/#object/approved_document__v/V5OZ025E82TFUPI", "Spain - HCP Survey Email - June 2025")</f>
        <v>Spain - HCP Survey Email - June 2025</v>
      </c>
      <c r="C3574" s="3" t="str">
        <f>HYPERLINK("https://otsuka-europe-crm.veevavault.com/ui/#object/sent_email__v/VBLZ025E82GN0EC", "SE-000270694")</f>
        <v>SE-000270694</v>
      </c>
      <c r="D3574" s="1" t="s">
        <v>0</v>
      </c>
      <c r="E3574" s="2">
        <v>0</v>
      </c>
      <c r="F3574" s="2">
        <v>0</v>
      </c>
      <c r="G3574" s="2">
        <v>0</v>
      </c>
      <c r="H3574" s="1" t="s">
        <v>0</v>
      </c>
      <c r="I3574" s="2">
        <v>0</v>
      </c>
      <c r="J3574" s="1">
        <v>45915.377847222226</v>
      </c>
    </row>
    <row r="3575" spans="1:10" x14ac:dyDescent="0.2">
      <c r="A3575" s="4" t="s">
        <v>1</v>
      </c>
      <c r="B3575" s="3" t="str">
        <f>HYPERLINK("https://otsuka-europe-crm.veevavault.com/ui/#object/approved_document__v/V5OZ025E82TFUPI", "Spain - HCP Survey Email - June 2025")</f>
        <v>Spain - HCP Survey Email - June 2025</v>
      </c>
      <c r="C3575" s="3" t="str">
        <f>HYPERLINK("https://otsuka-europe-crm.veevavault.com/ui/#object/sent_email__v/VBLZ025E82GN0ED", "SE-000270695")</f>
        <v>SE-000270695</v>
      </c>
      <c r="D3575" s="1" t="s">
        <v>0</v>
      </c>
      <c r="E3575" s="2">
        <v>0</v>
      </c>
      <c r="F3575" s="2">
        <v>0</v>
      </c>
      <c r="G3575" s="2">
        <v>0</v>
      </c>
      <c r="H3575" s="1" t="s">
        <v>0</v>
      </c>
      <c r="I3575" s="2">
        <v>0</v>
      </c>
      <c r="J3575" s="1">
        <v>45915.378194444442</v>
      </c>
    </row>
    <row r="3576" spans="1:10" x14ac:dyDescent="0.2">
      <c r="A3576" s="4" t="s">
        <v>1</v>
      </c>
      <c r="B3576" s="3" t="str">
        <f>HYPERLINK("https://otsuka-europe-crm.veevavault.com/ui/#object/approved_document__v/V5OZ025E82TFUPI", "Spain - HCP Survey Email - June 2025")</f>
        <v>Spain - HCP Survey Email - June 2025</v>
      </c>
      <c r="C3576" s="3" t="str">
        <f>HYPERLINK("https://otsuka-europe-crm.veevavault.com/ui/#object/sent_email__v/VBLZ025E82GN0EE", "SE-000270696")</f>
        <v>SE-000270696</v>
      </c>
      <c r="D3576" s="1" t="s">
        <v>0</v>
      </c>
      <c r="E3576" s="2">
        <v>0</v>
      </c>
      <c r="F3576" s="2">
        <v>0</v>
      </c>
      <c r="G3576" s="2">
        <v>0</v>
      </c>
      <c r="H3576" s="1" t="s">
        <v>0</v>
      </c>
      <c r="I3576" s="2">
        <v>0</v>
      </c>
      <c r="J3576" s="1">
        <v>45915.378125000003</v>
      </c>
    </row>
    <row r="3577" spans="1:10" x14ac:dyDescent="0.2">
      <c r="A3577" s="4" t="s">
        <v>1</v>
      </c>
      <c r="B3577" s="3" t="str">
        <f>HYPERLINK("https://otsuka-europe-crm.veevavault.com/ui/#object/approved_document__v/V5OZ025E82TFUPI", "Spain - HCP Survey Email - June 2025")</f>
        <v>Spain - HCP Survey Email - June 2025</v>
      </c>
      <c r="C3577" s="3" t="str">
        <f>HYPERLINK("https://otsuka-europe-crm.veevavault.com/ui/#object/sent_email__v/VBLZ025E82GN0EF", "SE-000270697")</f>
        <v>SE-000270697</v>
      </c>
      <c r="D3577" s="1" t="s">
        <v>0</v>
      </c>
      <c r="E3577" s="2">
        <v>0</v>
      </c>
      <c r="F3577" s="2">
        <v>0</v>
      </c>
      <c r="G3577" s="2">
        <v>0</v>
      </c>
      <c r="H3577" s="1" t="s">
        <v>0</v>
      </c>
      <c r="I3577" s="2">
        <v>0</v>
      </c>
      <c r="J3577" s="1">
        <v>45915.378495370373</v>
      </c>
    </row>
    <row r="3578" spans="1:10" x14ac:dyDescent="0.2">
      <c r="A3578" s="4" t="s">
        <v>1</v>
      </c>
      <c r="B3578" s="3" t="str">
        <f>HYPERLINK("https://otsuka-europe-crm.veevavault.com/ui/#object/approved_document__v/V5OZ025E82TFUPI", "Spain - HCP Survey Email - June 2025")</f>
        <v>Spain - HCP Survey Email - June 2025</v>
      </c>
      <c r="C3578" s="3" t="str">
        <f>HYPERLINK("https://otsuka-europe-crm.veevavault.com/ui/#object/sent_email__v/VBLZ025E82GN0EG", "SE-000270698")</f>
        <v>SE-000270698</v>
      </c>
      <c r="D3578" s="1" t="s">
        <v>0</v>
      </c>
      <c r="E3578" s="2">
        <v>0</v>
      </c>
      <c r="F3578" s="2">
        <v>0</v>
      </c>
      <c r="G3578" s="2">
        <v>0</v>
      </c>
      <c r="H3578" s="1" t="s">
        <v>0</v>
      </c>
      <c r="I3578" s="2">
        <v>0</v>
      </c>
      <c r="J3578" s="1">
        <v>45915.377905092595</v>
      </c>
    </row>
    <row r="3579" spans="1:10" x14ac:dyDescent="0.2">
      <c r="A3579" s="4" t="s">
        <v>1</v>
      </c>
      <c r="B3579" s="3" t="str">
        <f>HYPERLINK("https://otsuka-europe-crm.veevavault.com/ui/#object/approved_document__v/V5OZ025E82TFUPI", "Spain - HCP Survey Email - June 2025")</f>
        <v>Spain - HCP Survey Email - June 2025</v>
      </c>
      <c r="C3579" s="3" t="str">
        <f>HYPERLINK("https://otsuka-europe-crm.veevavault.com/ui/#object/sent_email__v/VBLZ025E82GN0EH", "SE-000270699")</f>
        <v>SE-000270699</v>
      </c>
      <c r="D3579" s="1" t="s">
        <v>0</v>
      </c>
      <c r="E3579" s="2">
        <v>0</v>
      </c>
      <c r="F3579" s="2">
        <v>0</v>
      </c>
      <c r="G3579" s="2">
        <v>0</v>
      </c>
      <c r="H3579" s="1" t="s">
        <v>0</v>
      </c>
      <c r="I3579" s="2">
        <v>0</v>
      </c>
      <c r="J3579" s="1">
        <v>45915.378194444442</v>
      </c>
    </row>
    <row r="3580" spans="1:10" x14ac:dyDescent="0.2">
      <c r="A3580" s="4" t="s">
        <v>1</v>
      </c>
      <c r="B3580" s="3" t="str">
        <f>HYPERLINK("https://otsuka-europe-crm.veevavault.com/ui/#object/approved_document__v/V5OZ025E82TFUPI", "Spain - HCP Survey Email - June 2025")</f>
        <v>Spain - HCP Survey Email - June 2025</v>
      </c>
      <c r="C3580" s="3" t="str">
        <f>HYPERLINK("https://otsuka-europe-crm.veevavault.com/ui/#object/sent_email__v/VBLZ025E82GN0EI", "SE-000270700")</f>
        <v>SE-000270700</v>
      </c>
      <c r="D3580" s="1" t="s">
        <v>0</v>
      </c>
      <c r="E3580" s="2">
        <v>0</v>
      </c>
      <c r="F3580" s="2">
        <v>0</v>
      </c>
      <c r="G3580" s="2">
        <v>0</v>
      </c>
      <c r="H3580" s="1" t="s">
        <v>0</v>
      </c>
      <c r="I3580" s="2">
        <v>0</v>
      </c>
      <c r="J3580" s="1">
        <v>45915.378113425926</v>
      </c>
    </row>
    <row r="3581" spans="1:10" x14ac:dyDescent="0.2">
      <c r="A3581" s="4" t="s">
        <v>1</v>
      </c>
      <c r="B3581" s="3" t="str">
        <f>HYPERLINK("https://otsuka-europe-crm.veevavault.com/ui/#object/approved_document__v/V5OZ025E82TFUPI", "Spain - HCP Survey Email - June 2025")</f>
        <v>Spain - HCP Survey Email - June 2025</v>
      </c>
      <c r="C3581" s="3" t="str">
        <f>HYPERLINK("https://otsuka-europe-crm.veevavault.com/ui/#object/sent_email__v/VBLZ025E82GN0EJ", "SE-000270701")</f>
        <v>SE-000270701</v>
      </c>
      <c r="D3581" s="1" t="s">
        <v>0</v>
      </c>
      <c r="E3581" s="2">
        <v>0</v>
      </c>
      <c r="F3581" s="2">
        <v>0</v>
      </c>
      <c r="G3581" s="2">
        <v>0</v>
      </c>
      <c r="H3581" s="1" t="s">
        <v>0</v>
      </c>
      <c r="I3581" s="2">
        <v>0</v>
      </c>
      <c r="J3581" s="1">
        <v>45915.378622685188</v>
      </c>
    </row>
    <row r="3582" spans="1:10" x14ac:dyDescent="0.2">
      <c r="A3582" s="4" t="s">
        <v>1</v>
      </c>
      <c r="B3582" s="3" t="str">
        <f>HYPERLINK("https://otsuka-europe-crm.veevavault.com/ui/#object/approved_document__v/V5OZ025E82TFUPI", "Spain - HCP Survey Email - June 2025")</f>
        <v>Spain - HCP Survey Email - June 2025</v>
      </c>
      <c r="C3582" s="3" t="str">
        <f>HYPERLINK("https://otsuka-europe-crm.veevavault.com/ui/#object/sent_email__v/VBLZ025E82GN0EK", "SE-000270702")</f>
        <v>SE-000270702</v>
      </c>
      <c r="D3582" s="1">
        <v>45915.54760416667</v>
      </c>
      <c r="E3582" s="2">
        <v>1</v>
      </c>
      <c r="F3582" s="2">
        <v>1</v>
      </c>
      <c r="G3582" s="2">
        <v>0</v>
      </c>
      <c r="H3582" s="1" t="s">
        <v>0</v>
      </c>
      <c r="I3582" s="2">
        <v>0</v>
      </c>
      <c r="J3582" s="1">
        <v>45915.38</v>
      </c>
    </row>
    <row r="3583" spans="1:10" x14ac:dyDescent="0.2">
      <c r="A3583" s="4" t="s">
        <v>1</v>
      </c>
      <c r="B3583" s="3" t="str">
        <f>HYPERLINK("https://otsuka-europe-crm.veevavault.com/ui/#object/approved_document__v/V5OZ025E82TFUPI", "Spain - HCP Survey Email - June 2025")</f>
        <v>Spain - HCP Survey Email - June 2025</v>
      </c>
      <c r="C3583" s="3" t="str">
        <f>HYPERLINK("https://otsuka-europe-crm.veevavault.com/ui/#object/sent_email__v/VBLZ025E82GN0EL", "SE-000270703")</f>
        <v>SE-000270703</v>
      </c>
      <c r="D3583" s="1">
        <v>45915.380289351851</v>
      </c>
      <c r="E3583" s="2">
        <v>1</v>
      </c>
      <c r="F3583" s="2">
        <v>1</v>
      </c>
      <c r="G3583" s="2">
        <v>0</v>
      </c>
      <c r="H3583" s="1" t="s">
        <v>0</v>
      </c>
      <c r="I3583" s="2">
        <v>0</v>
      </c>
      <c r="J3583" s="1">
        <v>45915.37777777778</v>
      </c>
    </row>
    <row r="3584" spans="1:10" x14ac:dyDescent="0.2">
      <c r="A3584" s="4" t="s">
        <v>1</v>
      </c>
      <c r="B3584" s="3" t="str">
        <f>HYPERLINK("https://otsuka-europe-crm.veevavault.com/ui/#object/approved_document__v/V5OZ025E82TFUPI", "Spain - HCP Survey Email - June 2025")</f>
        <v>Spain - HCP Survey Email - June 2025</v>
      </c>
      <c r="C3584" s="3" t="str">
        <f>HYPERLINK("https://otsuka-europe-crm.veevavault.com/ui/#object/sent_email__v/VBLZ025E82GN0EM", "SE-000270704")</f>
        <v>SE-000270704</v>
      </c>
      <c r="D3584" s="1">
        <v>45915.704571759263</v>
      </c>
      <c r="E3584" s="2">
        <v>1</v>
      </c>
      <c r="F3584" s="2">
        <v>1</v>
      </c>
      <c r="G3584" s="2">
        <v>0</v>
      </c>
      <c r="H3584" s="1" t="s">
        <v>0</v>
      </c>
      <c r="I3584" s="2">
        <v>0</v>
      </c>
      <c r="J3584" s="1">
        <v>45915.377638888887</v>
      </c>
    </row>
    <row r="3585" spans="1:10" x14ac:dyDescent="0.2">
      <c r="A3585" s="4" t="s">
        <v>1</v>
      </c>
      <c r="B3585" s="3" t="str">
        <f>HYPERLINK("https://otsuka-europe-crm.veevavault.com/ui/#object/approved_document__v/V5OZ025E82TFUPI", "Spain - HCP Survey Email - June 2025")</f>
        <v>Spain - HCP Survey Email - June 2025</v>
      </c>
      <c r="C3585" s="3" t="str">
        <f>HYPERLINK("https://otsuka-europe-crm.veevavault.com/ui/#object/sent_email__v/VBLZ025E82GN0EN", "SE-000270705")</f>
        <v>SE-000270705</v>
      </c>
      <c r="D3585" s="1" t="s">
        <v>0</v>
      </c>
      <c r="E3585" s="2">
        <v>0</v>
      </c>
      <c r="F3585" s="2">
        <v>0</v>
      </c>
      <c r="G3585" s="2">
        <v>0</v>
      </c>
      <c r="H3585" s="1" t="s">
        <v>0</v>
      </c>
      <c r="I3585" s="2">
        <v>0</v>
      </c>
      <c r="J3585" s="1">
        <v>45915.377962962964</v>
      </c>
    </row>
    <row r="3586" spans="1:10" x14ac:dyDescent="0.2">
      <c r="A3586" s="4" t="s">
        <v>1</v>
      </c>
      <c r="B3586" s="3" t="str">
        <f>HYPERLINK("https://otsuka-europe-crm.veevavault.com/ui/#object/approved_document__v/V5OZ025E82TFUPI", "Spain - HCP Survey Email - June 2025")</f>
        <v>Spain - HCP Survey Email - June 2025</v>
      </c>
      <c r="C3586" s="3" t="str">
        <f>HYPERLINK("https://otsuka-europe-crm.veevavault.com/ui/#object/sent_email__v/VBLZ025E82GN0EO", "SE-000270706")</f>
        <v>SE-000270706</v>
      </c>
      <c r="D3586" s="1">
        <v>45915.434305555558</v>
      </c>
      <c r="E3586" s="2">
        <v>1</v>
      </c>
      <c r="F3586" s="2">
        <v>1</v>
      </c>
      <c r="G3586" s="2">
        <v>0</v>
      </c>
      <c r="H3586" s="1" t="s">
        <v>0</v>
      </c>
      <c r="I3586" s="2">
        <v>0</v>
      </c>
      <c r="J3586" s="1">
        <v>45915.379050925927</v>
      </c>
    </row>
    <row r="3587" spans="1:10" x14ac:dyDescent="0.2">
      <c r="A3587" s="4" t="s">
        <v>1</v>
      </c>
      <c r="B3587" s="3" t="str">
        <f>HYPERLINK("https://otsuka-europe-crm.veevavault.com/ui/#object/approved_document__v/V5OZ025E82TFUPI", "Spain - HCP Survey Email - June 2025")</f>
        <v>Spain - HCP Survey Email - June 2025</v>
      </c>
      <c r="C3587" s="3" t="str">
        <f>HYPERLINK("https://otsuka-europe-crm.veevavault.com/ui/#object/sent_email__v/VBLZ025E82GN0EP", "SE-000270707")</f>
        <v>SE-000270707</v>
      </c>
      <c r="D3587" s="1">
        <v>45930.952094907407</v>
      </c>
      <c r="E3587" s="2">
        <v>1</v>
      </c>
      <c r="F3587" s="2">
        <v>3</v>
      </c>
      <c r="G3587" s="2">
        <v>0</v>
      </c>
      <c r="H3587" s="1" t="s">
        <v>0</v>
      </c>
      <c r="I3587" s="2">
        <v>0</v>
      </c>
      <c r="J3587" s="1">
        <v>45915.379687499997</v>
      </c>
    </row>
    <row r="3588" spans="1:10" x14ac:dyDescent="0.2">
      <c r="A3588" s="4" t="s">
        <v>1</v>
      </c>
      <c r="B3588" s="3" t="str">
        <f>HYPERLINK("https://otsuka-europe-crm.veevavault.com/ui/#object/approved_document__v/V5OZ025E82TFUPI", "Spain - HCP Survey Email - June 2025")</f>
        <v>Spain - HCP Survey Email - June 2025</v>
      </c>
      <c r="C3588" s="3" t="str">
        <f>HYPERLINK("https://otsuka-europe-crm.veevavault.com/ui/#object/sent_email__v/VBLZ025E82GN0EQ", "SE-000270708")</f>
        <v>SE-000270708</v>
      </c>
      <c r="D3588" s="1" t="s">
        <v>0</v>
      </c>
      <c r="E3588" s="2">
        <v>0</v>
      </c>
      <c r="F3588" s="2">
        <v>0</v>
      </c>
      <c r="G3588" s="2">
        <v>0</v>
      </c>
      <c r="H3588" s="1" t="s">
        <v>0</v>
      </c>
      <c r="I3588" s="2">
        <v>0</v>
      </c>
      <c r="J3588" s="1">
        <v>45915.379120370373</v>
      </c>
    </row>
    <row r="3589" spans="1:10" x14ac:dyDescent="0.2">
      <c r="A3589" s="4" t="s">
        <v>1</v>
      </c>
      <c r="B3589" s="3" t="str">
        <f>HYPERLINK("https://otsuka-europe-crm.veevavault.com/ui/#object/approved_document__v/V5OZ025E82TFUPI", "Spain - HCP Survey Email - June 2025")</f>
        <v>Spain - HCP Survey Email - June 2025</v>
      </c>
      <c r="C3589" s="3" t="str">
        <f>HYPERLINK("https://otsuka-europe-crm.veevavault.com/ui/#object/sent_email__v/VBLZ025E82GN0ER", "SE-000270709")</f>
        <v>SE-000270709</v>
      </c>
      <c r="D3589" s="1">
        <v>45915.811249999999</v>
      </c>
      <c r="E3589" s="2">
        <v>1</v>
      </c>
      <c r="F3589" s="2">
        <v>1</v>
      </c>
      <c r="G3589" s="2">
        <v>1</v>
      </c>
      <c r="H3589" s="1">
        <v>45915.814050925925</v>
      </c>
      <c r="I3589" s="2">
        <v>1</v>
      </c>
      <c r="J3589" s="1">
        <v>45915.377916666665</v>
      </c>
    </row>
    <row r="3590" spans="1:10" x14ac:dyDescent="0.2">
      <c r="A3590" s="4" t="s">
        <v>1</v>
      </c>
      <c r="B3590" s="3" t="str">
        <f>HYPERLINK("https://otsuka-europe-crm.veevavault.com/ui/#object/approved_document__v/V5OZ025E82TFUPI", "Spain - HCP Survey Email - June 2025")</f>
        <v>Spain - HCP Survey Email - June 2025</v>
      </c>
      <c r="C3590" s="3" t="str">
        <f>HYPERLINK("https://otsuka-europe-crm.veevavault.com/ui/#object/sent_email__v/VBLZ025E82GN0ES", "SE-000270710")</f>
        <v>SE-000270710</v>
      </c>
      <c r="D3590" s="1" t="s">
        <v>0</v>
      </c>
      <c r="E3590" s="2">
        <v>0</v>
      </c>
      <c r="F3590" s="2">
        <v>0</v>
      </c>
      <c r="G3590" s="2">
        <v>0</v>
      </c>
      <c r="H3590" s="1" t="s">
        <v>0</v>
      </c>
      <c r="I3590" s="2">
        <v>0</v>
      </c>
      <c r="J3590" s="1">
        <v>45915.378194444442</v>
      </c>
    </row>
    <row r="3591" spans="1:10" x14ac:dyDescent="0.2">
      <c r="A3591" s="4" t="s">
        <v>1</v>
      </c>
      <c r="B3591" s="3" t="str">
        <f>HYPERLINK("https://otsuka-europe-crm.veevavault.com/ui/#object/approved_document__v/V5OZ025E82TFUPI", "Spain - HCP Survey Email - June 2025")</f>
        <v>Spain - HCP Survey Email - June 2025</v>
      </c>
      <c r="C3591" s="3" t="str">
        <f>HYPERLINK("https://otsuka-europe-crm.veevavault.com/ui/#object/sent_email__v/VBLZ025E82GN0ET", "SE-000270711")</f>
        <v>SE-000270711</v>
      </c>
      <c r="D3591" s="1" t="s">
        <v>0</v>
      </c>
      <c r="E3591" s="2">
        <v>0</v>
      </c>
      <c r="F3591" s="2">
        <v>0</v>
      </c>
      <c r="G3591" s="2">
        <v>0</v>
      </c>
      <c r="H3591" s="1" t="s">
        <v>0</v>
      </c>
      <c r="I3591" s="2">
        <v>0</v>
      </c>
      <c r="J3591" s="1">
        <v>45915.377986111111</v>
      </c>
    </row>
    <row r="3592" spans="1:10" x14ac:dyDescent="0.2">
      <c r="A3592" s="4" t="s">
        <v>1</v>
      </c>
      <c r="B3592" s="3" t="str">
        <f>HYPERLINK("https://otsuka-europe-crm.veevavault.com/ui/#object/approved_document__v/V5OZ025E82TFUPI", "Spain - HCP Survey Email - June 2025")</f>
        <v>Spain - HCP Survey Email - June 2025</v>
      </c>
      <c r="C3592" s="3" t="str">
        <f>HYPERLINK("https://otsuka-europe-crm.veevavault.com/ui/#object/sent_email__v/VBLZ025E82GN0EU", "SE-000270712")</f>
        <v>SE-000270712</v>
      </c>
      <c r="D3592" s="1">
        <v>45915.972569444442</v>
      </c>
      <c r="E3592" s="2">
        <v>1</v>
      </c>
      <c r="F3592" s="2">
        <v>1</v>
      </c>
      <c r="G3592" s="2">
        <v>0</v>
      </c>
      <c r="H3592" s="1" t="s">
        <v>0</v>
      </c>
      <c r="I3592" s="2">
        <v>0</v>
      </c>
      <c r="J3592" s="1">
        <v>45915.378518518519</v>
      </c>
    </row>
    <row r="3593" spans="1:10" x14ac:dyDescent="0.2">
      <c r="A3593" s="4" t="s">
        <v>1</v>
      </c>
      <c r="B3593" s="3" t="str">
        <f>HYPERLINK("https://otsuka-europe-crm.veevavault.com/ui/#object/approved_document__v/V5OZ025E82TFUPI", "Spain - HCP Survey Email - June 2025")</f>
        <v>Spain - HCP Survey Email - June 2025</v>
      </c>
      <c r="C3593" s="3" t="str">
        <f>HYPERLINK("https://otsuka-europe-crm.veevavault.com/ui/#object/sent_email__v/VBLZ025E82GN0EV", "SE-000270713")</f>
        <v>SE-000270713</v>
      </c>
      <c r="D3593" s="1" t="s">
        <v>0</v>
      </c>
      <c r="E3593" s="2">
        <v>0</v>
      </c>
      <c r="F3593" s="2">
        <v>0</v>
      </c>
      <c r="G3593" s="2">
        <v>0</v>
      </c>
      <c r="H3593" s="1" t="s">
        <v>0</v>
      </c>
      <c r="I3593" s="2">
        <v>0</v>
      </c>
      <c r="J3593" s="1">
        <v>45915.379907407405</v>
      </c>
    </row>
    <row r="3594" spans="1:10" x14ac:dyDescent="0.2">
      <c r="A3594" s="4" t="s">
        <v>1</v>
      </c>
      <c r="B3594" s="3" t="str">
        <f>HYPERLINK("https://otsuka-europe-crm.veevavault.com/ui/#object/approved_document__v/V5OZ025E82TFUPI", "Spain - HCP Survey Email - June 2025")</f>
        <v>Spain - HCP Survey Email - June 2025</v>
      </c>
      <c r="C3594" s="3" t="str">
        <f>HYPERLINK("https://otsuka-europe-crm.veevavault.com/ui/#object/sent_email__v/VBLZ025E82GN0EW", "SE-000270714")</f>
        <v>SE-000270714</v>
      </c>
      <c r="D3594" s="1">
        <v>45915.378194444442</v>
      </c>
      <c r="E3594" s="2">
        <v>1</v>
      </c>
      <c r="F3594" s="2">
        <v>1</v>
      </c>
      <c r="G3594" s="2">
        <v>1</v>
      </c>
      <c r="H3594" s="1">
        <v>45915.378206018519</v>
      </c>
      <c r="I3594" s="2">
        <v>2</v>
      </c>
      <c r="J3594" s="1">
        <v>45915.37777777778</v>
      </c>
    </row>
    <row r="3595" spans="1:10" x14ac:dyDescent="0.2">
      <c r="A3595" s="4" t="s">
        <v>1</v>
      </c>
      <c r="B3595" s="3" t="str">
        <f>HYPERLINK("https://otsuka-europe-crm.veevavault.com/ui/#object/approved_document__v/V5OZ025E82TFUPI", "Spain - HCP Survey Email - June 2025")</f>
        <v>Spain - HCP Survey Email - June 2025</v>
      </c>
      <c r="C3595" s="3" t="str">
        <f>HYPERLINK("https://otsuka-europe-crm.veevavault.com/ui/#object/sent_email__v/VBLZ025E82GN0EX", "SE-000270715")</f>
        <v>SE-000270715</v>
      </c>
      <c r="D3595" s="1">
        <v>45961.354305555556</v>
      </c>
      <c r="E3595" s="2">
        <v>1</v>
      </c>
      <c r="F3595" s="2">
        <v>3</v>
      </c>
      <c r="G3595" s="2">
        <v>1</v>
      </c>
      <c r="H3595" s="1">
        <v>45961.35396990741</v>
      </c>
      <c r="I3595" s="2">
        <v>3</v>
      </c>
      <c r="J3595" s="1">
        <v>45915.377685185187</v>
      </c>
    </row>
    <row r="3596" spans="1:10" x14ac:dyDescent="0.2">
      <c r="A3596" s="4" t="s">
        <v>1</v>
      </c>
      <c r="B3596" s="3" t="str">
        <f>HYPERLINK("https://otsuka-europe-crm.veevavault.com/ui/#object/approved_document__v/V5OZ025E82TFUPI", "Spain - HCP Survey Email - June 2025")</f>
        <v>Spain - HCP Survey Email - June 2025</v>
      </c>
      <c r="C3596" s="3" t="str">
        <f>HYPERLINK("https://otsuka-europe-crm.veevavault.com/ui/#object/sent_email__v/VBLZ025E82GN0EY", "SE-000270716")</f>
        <v>SE-000270716</v>
      </c>
      <c r="D3596" s="1">
        <v>45916.904456018521</v>
      </c>
      <c r="E3596" s="2">
        <v>1</v>
      </c>
      <c r="F3596" s="2">
        <v>1</v>
      </c>
      <c r="G3596" s="2">
        <v>0</v>
      </c>
      <c r="H3596" s="1" t="s">
        <v>0</v>
      </c>
      <c r="I3596" s="2">
        <v>0</v>
      </c>
      <c r="J3596" s="1">
        <v>45915.377986111111</v>
      </c>
    </row>
    <row r="3597" spans="1:10" x14ac:dyDescent="0.2">
      <c r="A3597" s="4" t="s">
        <v>1</v>
      </c>
      <c r="B3597" s="3" t="str">
        <f>HYPERLINK("https://otsuka-europe-crm.veevavault.com/ui/#object/approved_document__v/V5OZ025E82TFUPI", "Spain - HCP Survey Email - June 2025")</f>
        <v>Spain - HCP Survey Email - June 2025</v>
      </c>
      <c r="C3597" s="3" t="str">
        <f>HYPERLINK("https://otsuka-europe-crm.veevavault.com/ui/#object/sent_email__v/VBLZ025E82GN0EZ", "SE-000270717")</f>
        <v>SE-000270717</v>
      </c>
      <c r="D3597" s="1" t="s">
        <v>0</v>
      </c>
      <c r="E3597" s="2">
        <v>0</v>
      </c>
      <c r="F3597" s="2">
        <v>0</v>
      </c>
      <c r="G3597" s="2">
        <v>0</v>
      </c>
      <c r="H3597" s="1" t="s">
        <v>0</v>
      </c>
      <c r="I3597" s="2">
        <v>0</v>
      </c>
      <c r="J3597" s="1">
        <v>45915.378993055558</v>
      </c>
    </row>
    <row r="3598" spans="1:10" x14ac:dyDescent="0.2">
      <c r="A3598" s="4" t="s">
        <v>1</v>
      </c>
      <c r="B3598" s="3" t="str">
        <f>HYPERLINK("https://otsuka-europe-crm.veevavault.com/ui/#object/approved_document__v/V5OZ025E82TFUPI", "Spain - HCP Survey Email - June 2025")</f>
        <v>Spain - HCP Survey Email - June 2025</v>
      </c>
      <c r="C3598" s="3" t="str">
        <f>HYPERLINK("https://otsuka-europe-crm.veevavault.com/ui/#object/sent_email__v/VBLZ025E82GN0F0", "SE-000270718")</f>
        <v>SE-000270718</v>
      </c>
      <c r="D3598" s="1" t="s">
        <v>0</v>
      </c>
      <c r="E3598" s="2">
        <v>0</v>
      </c>
      <c r="F3598" s="2">
        <v>0</v>
      </c>
      <c r="G3598" s="2">
        <v>0</v>
      </c>
      <c r="H3598" s="1" t="s">
        <v>0</v>
      </c>
      <c r="I3598" s="2">
        <v>0</v>
      </c>
      <c r="J3598" s="1">
        <v>45915.378738425927</v>
      </c>
    </row>
    <row r="3599" spans="1:10" x14ac:dyDescent="0.2">
      <c r="A3599" s="4" t="s">
        <v>1</v>
      </c>
      <c r="B3599" s="3" t="str">
        <f>HYPERLINK("https://otsuka-europe-crm.veevavault.com/ui/#object/approved_document__v/V5OZ025E82TFUPI", "Spain - HCP Survey Email - June 2025")</f>
        <v>Spain - HCP Survey Email - June 2025</v>
      </c>
      <c r="C3599" s="3" t="str">
        <f>HYPERLINK("https://otsuka-europe-crm.veevavault.com/ui/#object/sent_email__v/VBLZ025E82GN0F1", "SE-000270719")</f>
        <v>SE-000270719</v>
      </c>
      <c r="D3599" s="1" t="s">
        <v>0</v>
      </c>
      <c r="E3599" s="2">
        <v>0</v>
      </c>
      <c r="F3599" s="2">
        <v>0</v>
      </c>
      <c r="G3599" s="2">
        <v>0</v>
      </c>
      <c r="H3599" s="1" t="s">
        <v>0</v>
      </c>
      <c r="I3599" s="2">
        <v>0</v>
      </c>
      <c r="J3599" s="1">
        <v>45915.378969907404</v>
      </c>
    </row>
    <row r="3600" spans="1:10" x14ac:dyDescent="0.2">
      <c r="A3600" s="4" t="s">
        <v>1</v>
      </c>
      <c r="B3600" s="3" t="str">
        <f>HYPERLINK("https://otsuka-europe-crm.veevavault.com/ui/#object/approved_document__v/V5OZ025E82TFUPI", "Spain - HCP Survey Email - June 2025")</f>
        <v>Spain - HCP Survey Email - June 2025</v>
      </c>
      <c r="C3600" s="3" t="str">
        <f>HYPERLINK("https://otsuka-europe-crm.veevavault.com/ui/#object/sent_email__v/VBLZ025E82GN0F2", "SE-000270720")</f>
        <v>SE-000270720</v>
      </c>
      <c r="D3600" s="1" t="s">
        <v>0</v>
      </c>
      <c r="E3600" s="2">
        <v>0</v>
      </c>
      <c r="F3600" s="2">
        <v>0</v>
      </c>
      <c r="G3600" s="2">
        <v>0</v>
      </c>
      <c r="H3600" s="1" t="s">
        <v>0</v>
      </c>
      <c r="I3600" s="2">
        <v>0</v>
      </c>
      <c r="J3600" s="1">
        <v>45915.377858796295</v>
      </c>
    </row>
    <row r="3601" spans="1:10" x14ac:dyDescent="0.2">
      <c r="A3601" s="4" t="s">
        <v>1</v>
      </c>
      <c r="B3601" s="3" t="str">
        <f>HYPERLINK("https://otsuka-europe-crm.veevavault.com/ui/#object/approved_document__v/V5OZ025E82TFUPI", "Spain - HCP Survey Email - June 2025")</f>
        <v>Spain - HCP Survey Email - June 2025</v>
      </c>
      <c r="C3601" s="3" t="str">
        <f>HYPERLINK("https://otsuka-europe-crm.veevavault.com/ui/#object/sent_email__v/VBLZ025E82GN0F3", "SE-000270721")</f>
        <v>SE-000270721</v>
      </c>
      <c r="D3601" s="1">
        <v>45915.461516203701</v>
      </c>
      <c r="E3601" s="2">
        <v>1</v>
      </c>
      <c r="F3601" s="2">
        <v>1</v>
      </c>
      <c r="G3601" s="2">
        <v>0</v>
      </c>
      <c r="H3601" s="1" t="s">
        <v>0</v>
      </c>
      <c r="I3601" s="2">
        <v>0</v>
      </c>
      <c r="J3601" s="1">
        <v>45915.378240740742</v>
      </c>
    </row>
    <row r="3602" spans="1:10" x14ac:dyDescent="0.2">
      <c r="A3602" s="4" t="s">
        <v>1</v>
      </c>
      <c r="B3602" s="3" t="str">
        <f>HYPERLINK("https://otsuka-europe-crm.veevavault.com/ui/#object/approved_document__v/V5OZ025E82TFUPI", "Spain - HCP Survey Email - June 2025")</f>
        <v>Spain - HCP Survey Email - June 2025</v>
      </c>
      <c r="C3602" s="3" t="str">
        <f>HYPERLINK("https://otsuka-europe-crm.veevavault.com/ui/#object/sent_email__v/VBLZ025E82GN0F4", "SE-000270722")</f>
        <v>SE-000270722</v>
      </c>
      <c r="D3602" s="1">
        <v>45915.391099537039</v>
      </c>
      <c r="E3602" s="2">
        <v>1</v>
      </c>
      <c r="F3602" s="2">
        <v>1</v>
      </c>
      <c r="G3602" s="2">
        <v>0</v>
      </c>
      <c r="H3602" s="1" t="s">
        <v>0</v>
      </c>
      <c r="I3602" s="2">
        <v>0</v>
      </c>
      <c r="J3602" s="1">
        <v>45915.37809027778</v>
      </c>
    </row>
    <row r="3603" spans="1:10" x14ac:dyDescent="0.2">
      <c r="A3603" s="4" t="s">
        <v>1</v>
      </c>
      <c r="B3603" s="3" t="str">
        <f>HYPERLINK("https://otsuka-europe-crm.veevavault.com/ui/#object/approved_document__v/V5OZ025E82TFUPI", "Spain - HCP Survey Email - June 2025")</f>
        <v>Spain - HCP Survey Email - June 2025</v>
      </c>
      <c r="C3603" s="3" t="str">
        <f>HYPERLINK("https://otsuka-europe-crm.veevavault.com/ui/#object/sent_email__v/VBLZ025E82GN0F5", "SE-000270723")</f>
        <v>SE-000270723</v>
      </c>
      <c r="D3603" s="1" t="s">
        <v>0</v>
      </c>
      <c r="E3603" s="2">
        <v>0</v>
      </c>
      <c r="F3603" s="2">
        <v>0</v>
      </c>
      <c r="G3603" s="2">
        <v>0</v>
      </c>
      <c r="H3603" s="1" t="s">
        <v>0</v>
      </c>
      <c r="I3603" s="2">
        <v>0</v>
      </c>
      <c r="J3603" s="1">
        <v>45915.378460648149</v>
      </c>
    </row>
    <row r="3604" spans="1:10" x14ac:dyDescent="0.2">
      <c r="A3604" s="4" t="s">
        <v>1</v>
      </c>
      <c r="B3604" s="3" t="str">
        <f>HYPERLINK("https://otsuka-europe-crm.veevavault.com/ui/#object/approved_document__v/V5OZ025E82TFUPI", "Spain - HCP Survey Email - June 2025")</f>
        <v>Spain - HCP Survey Email - June 2025</v>
      </c>
      <c r="C3604" s="3" t="str">
        <f>HYPERLINK("https://otsuka-europe-crm.veevavault.com/ui/#object/sent_email__v/VBLZ025E82GN0F6", "SE-000270724")</f>
        <v>SE-000270724</v>
      </c>
      <c r="D3604" s="1">
        <v>45915.486446759256</v>
      </c>
      <c r="E3604" s="2">
        <v>1</v>
      </c>
      <c r="F3604" s="2">
        <v>1</v>
      </c>
      <c r="G3604" s="2">
        <v>0</v>
      </c>
      <c r="H3604" s="1" t="s">
        <v>0</v>
      </c>
      <c r="I3604" s="2">
        <v>0</v>
      </c>
      <c r="J3604" s="1">
        <v>45915.379270833335</v>
      </c>
    </row>
    <row r="3605" spans="1:10" x14ac:dyDescent="0.2">
      <c r="A3605" s="4" t="s">
        <v>1</v>
      </c>
      <c r="B3605" s="3" t="str">
        <f>HYPERLINK("https://otsuka-europe-crm.veevavault.com/ui/#object/approved_document__v/V5OZ025E82TFUPI", "Spain - HCP Survey Email - June 2025")</f>
        <v>Spain - HCP Survey Email - June 2025</v>
      </c>
      <c r="C3605" s="3" t="str">
        <f>HYPERLINK("https://otsuka-europe-crm.veevavault.com/ui/#object/sent_email__v/VBLZ025E82GN0F7", "SE-000270725")</f>
        <v>SE-000270725</v>
      </c>
      <c r="D3605" s="1" t="s">
        <v>0</v>
      </c>
      <c r="E3605" s="2">
        <v>0</v>
      </c>
      <c r="F3605" s="2">
        <v>0</v>
      </c>
      <c r="G3605" s="2">
        <v>0</v>
      </c>
      <c r="H3605" s="1" t="s">
        <v>0</v>
      </c>
      <c r="I3605" s="2">
        <v>0</v>
      </c>
      <c r="J3605" s="1">
        <v>45915.377824074072</v>
      </c>
    </row>
    <row r="3606" spans="1:10" x14ac:dyDescent="0.2">
      <c r="A3606" s="4" t="s">
        <v>1</v>
      </c>
      <c r="B3606" s="3" t="str">
        <f>HYPERLINK("https://otsuka-europe-crm.veevavault.com/ui/#object/approved_document__v/V5OZ025E82TFUPI", "Spain - HCP Survey Email - June 2025")</f>
        <v>Spain - HCP Survey Email - June 2025</v>
      </c>
      <c r="C3606" s="3" t="str">
        <f>HYPERLINK("https://otsuka-europe-crm.veevavault.com/ui/#object/sent_email__v/VBLZ025E82GN0F8", "SE-000270726")</f>
        <v>SE-000270726</v>
      </c>
      <c r="D3606" s="1" t="s">
        <v>0</v>
      </c>
      <c r="E3606" s="2">
        <v>0</v>
      </c>
      <c r="F3606" s="2">
        <v>0</v>
      </c>
      <c r="G3606" s="2">
        <v>0</v>
      </c>
      <c r="H3606" s="1" t="s">
        <v>0</v>
      </c>
      <c r="I3606" s="2">
        <v>0</v>
      </c>
      <c r="J3606" s="1">
        <v>45915.378171296295</v>
      </c>
    </row>
    <row r="3607" spans="1:10" x14ac:dyDescent="0.2">
      <c r="A3607" s="4" t="s">
        <v>1</v>
      </c>
      <c r="B3607" s="3" t="str">
        <f>HYPERLINK("https://otsuka-europe-crm.veevavault.com/ui/#object/approved_document__v/V5OZ025E82TFUPI", "Spain - HCP Survey Email - June 2025")</f>
        <v>Spain - HCP Survey Email - June 2025</v>
      </c>
      <c r="C3607" s="3" t="str">
        <f>HYPERLINK("https://otsuka-europe-crm.veevavault.com/ui/#object/sent_email__v/VBLZ025E82GN0F9", "SE-000270727")</f>
        <v>SE-000270727</v>
      </c>
      <c r="D3607" s="1">
        <v>45927.763518518521</v>
      </c>
      <c r="E3607" s="2">
        <v>1</v>
      </c>
      <c r="F3607" s="2">
        <v>11</v>
      </c>
      <c r="G3607" s="2">
        <v>0</v>
      </c>
      <c r="H3607" s="1" t="s">
        <v>0</v>
      </c>
      <c r="I3607" s="2">
        <v>0</v>
      </c>
      <c r="J3607" s="1">
        <v>45915.378136574072</v>
      </c>
    </row>
    <row r="3608" spans="1:10" x14ac:dyDescent="0.2">
      <c r="A3608" s="4" t="s">
        <v>1</v>
      </c>
      <c r="B3608" s="3" t="str">
        <f>HYPERLINK("https://otsuka-europe-crm.veevavault.com/ui/#object/approved_document__v/V5OZ025E82TFUPI", "Spain - HCP Survey Email - June 2025")</f>
        <v>Spain - HCP Survey Email - June 2025</v>
      </c>
      <c r="C3608" s="3" t="str">
        <f>HYPERLINK("https://otsuka-europe-crm.veevavault.com/ui/#object/sent_email__v/VBLZ025E82GN0FA", "SE-000270728")</f>
        <v>SE-000270728</v>
      </c>
      <c r="D3608" s="1" t="s">
        <v>0</v>
      </c>
      <c r="E3608" s="2">
        <v>0</v>
      </c>
      <c r="F3608" s="2">
        <v>0</v>
      </c>
      <c r="G3608" s="2">
        <v>0</v>
      </c>
      <c r="H3608" s="1" t="s">
        <v>0</v>
      </c>
      <c r="I3608" s="2">
        <v>0</v>
      </c>
      <c r="J3608" s="1">
        <v>45915.378611111111</v>
      </c>
    </row>
    <row r="3609" spans="1:10" x14ac:dyDescent="0.2">
      <c r="A3609" s="4" t="s">
        <v>1</v>
      </c>
      <c r="B3609" s="3" t="str">
        <f>HYPERLINK("https://otsuka-europe-crm.veevavault.com/ui/#object/approved_document__v/V5OZ025E82TFUPI", "Spain - HCP Survey Email - June 2025")</f>
        <v>Spain - HCP Survey Email - June 2025</v>
      </c>
      <c r="C3609" s="3" t="str">
        <f>HYPERLINK("https://otsuka-europe-crm.veevavault.com/ui/#object/sent_email__v/VBLZ025E82GN0FB", "SE-000270729")</f>
        <v>SE-000270729</v>
      </c>
      <c r="D3609" s="1">
        <v>45916.965405092589</v>
      </c>
      <c r="E3609" s="2">
        <v>1</v>
      </c>
      <c r="F3609" s="2">
        <v>6</v>
      </c>
      <c r="G3609" s="2">
        <v>1</v>
      </c>
      <c r="H3609" s="1">
        <v>45916.059641203705</v>
      </c>
      <c r="I3609" s="2">
        <v>1</v>
      </c>
      <c r="J3609" s="1">
        <v>45915.380104166667</v>
      </c>
    </row>
    <row r="3610" spans="1:10" x14ac:dyDescent="0.2">
      <c r="A3610" s="4" t="s">
        <v>1</v>
      </c>
      <c r="B3610" s="3" t="str">
        <f>HYPERLINK("https://otsuka-europe-crm.veevavault.com/ui/#object/approved_document__v/V5OZ025E82TFUPI", "Spain - HCP Survey Email - June 2025")</f>
        <v>Spain - HCP Survey Email - June 2025</v>
      </c>
      <c r="C3610" s="3" t="str">
        <f>HYPERLINK("https://otsuka-europe-crm.veevavault.com/ui/#object/sent_email__v/VBLZ025E82GN0FC", "SE-000270730")</f>
        <v>SE-000270730</v>
      </c>
      <c r="D3610" s="1" t="s">
        <v>0</v>
      </c>
      <c r="E3610" s="2">
        <v>0</v>
      </c>
      <c r="F3610" s="2">
        <v>0</v>
      </c>
      <c r="G3610" s="2">
        <v>0</v>
      </c>
      <c r="H3610" s="1" t="s">
        <v>0</v>
      </c>
      <c r="I3610" s="2">
        <v>0</v>
      </c>
      <c r="J3610" s="1">
        <v>45915.377824074072</v>
      </c>
    </row>
    <row r="3611" spans="1:10" x14ac:dyDescent="0.2">
      <c r="A3611" s="4" t="s">
        <v>1</v>
      </c>
      <c r="B3611" s="3" t="str">
        <f>HYPERLINK("https://otsuka-europe-crm.veevavault.com/ui/#object/approved_document__v/V5OZ025E82TFUPI", "Spain - HCP Survey Email - June 2025")</f>
        <v>Spain - HCP Survey Email - June 2025</v>
      </c>
      <c r="C3611" s="3" t="str">
        <f>HYPERLINK("https://otsuka-europe-crm.veevavault.com/ui/#object/sent_email__v/VBLZ025E82GN0FD", "SE-000270731")</f>
        <v>SE-000270731</v>
      </c>
      <c r="D3611" s="1">
        <v>45929.383379629631</v>
      </c>
      <c r="E3611" s="2">
        <v>1</v>
      </c>
      <c r="F3611" s="2">
        <v>1</v>
      </c>
      <c r="G3611" s="2">
        <v>1</v>
      </c>
      <c r="H3611" s="1">
        <v>45929.383391203701</v>
      </c>
      <c r="I3611" s="2">
        <v>2</v>
      </c>
      <c r="J3611" s="1">
        <v>45915.377592592595</v>
      </c>
    </row>
    <row r="3612" spans="1:10" x14ac:dyDescent="0.2">
      <c r="A3612" s="4" t="s">
        <v>1</v>
      </c>
      <c r="B3612" s="3" t="str">
        <f>HYPERLINK("https://otsuka-europe-crm.veevavault.com/ui/#object/approved_document__v/V5OZ025E82TFUPI", "Spain - HCP Survey Email - June 2025")</f>
        <v>Spain - HCP Survey Email - June 2025</v>
      </c>
      <c r="C3612" s="3" t="str">
        <f>HYPERLINK("https://otsuka-europe-crm.veevavault.com/ui/#object/sent_email__v/VBLZ025E82GN0FE", "SE-000270732")</f>
        <v>SE-000270732</v>
      </c>
      <c r="D3612" s="1">
        <v>45916.439872685187</v>
      </c>
      <c r="E3612" s="2">
        <v>1</v>
      </c>
      <c r="F3612" s="2">
        <v>6</v>
      </c>
      <c r="G3612" s="2">
        <v>0</v>
      </c>
      <c r="H3612" s="1" t="s">
        <v>0</v>
      </c>
      <c r="I3612" s="2">
        <v>0</v>
      </c>
      <c r="J3612" s="1">
        <v>45915.377997685187</v>
      </c>
    </row>
    <row r="3613" spans="1:10" x14ac:dyDescent="0.2">
      <c r="A3613" s="4" t="s">
        <v>1</v>
      </c>
      <c r="B3613" s="3" t="str">
        <f>HYPERLINK("https://otsuka-europe-crm.veevavault.com/ui/#object/approved_document__v/V5OZ025E82TFUPI", "Spain - HCP Survey Email - June 2025")</f>
        <v>Spain - HCP Survey Email - June 2025</v>
      </c>
      <c r="C3613" s="3" t="str">
        <f>HYPERLINK("https://otsuka-europe-crm.veevavault.com/ui/#object/sent_email__v/VBLZ025E82GN0FF", "SE-000270733")</f>
        <v>SE-000270733</v>
      </c>
      <c r="D3613" s="1">
        <v>45915.390810185185</v>
      </c>
      <c r="E3613" s="2">
        <v>1</v>
      </c>
      <c r="F3613" s="2">
        <v>1</v>
      </c>
      <c r="G3613" s="2">
        <v>0</v>
      </c>
      <c r="H3613" s="1" t="s">
        <v>0</v>
      </c>
      <c r="I3613" s="2">
        <v>0</v>
      </c>
      <c r="J3613" s="1">
        <v>45915.378946759258</v>
      </c>
    </row>
    <row r="3614" spans="1:10" x14ac:dyDescent="0.2">
      <c r="A3614" s="4" t="s">
        <v>1</v>
      </c>
      <c r="B3614" s="3" t="str">
        <f>HYPERLINK("https://otsuka-europe-crm.veevavault.com/ui/#object/approved_document__v/V5OZ025E82TFUPI", "Spain - HCP Survey Email - June 2025")</f>
        <v>Spain - HCP Survey Email - June 2025</v>
      </c>
      <c r="C3614" s="3" t="str">
        <f>HYPERLINK("https://otsuka-europe-crm.veevavault.com/ui/#object/sent_email__v/VBLZ025E82GN0FG", "SE-000270734")</f>
        <v>SE-000270734</v>
      </c>
      <c r="D3614" s="1" t="s">
        <v>0</v>
      </c>
      <c r="E3614" s="2">
        <v>0</v>
      </c>
      <c r="F3614" s="2">
        <v>0</v>
      </c>
      <c r="G3614" s="2">
        <v>0</v>
      </c>
      <c r="H3614" s="1" t="s">
        <v>0</v>
      </c>
      <c r="I3614" s="2">
        <v>0</v>
      </c>
      <c r="J3614" s="1">
        <v>45915.378750000003</v>
      </c>
    </row>
    <row r="3615" spans="1:10" x14ac:dyDescent="0.2">
      <c r="A3615" s="4" t="s">
        <v>1</v>
      </c>
      <c r="B3615" s="3" t="str">
        <f>HYPERLINK("https://otsuka-europe-crm.veevavault.com/ui/#object/approved_document__v/V5OZ025E82TFUPI", "Spain - HCP Survey Email - June 2025")</f>
        <v>Spain - HCP Survey Email - June 2025</v>
      </c>
      <c r="C3615" s="3" t="str">
        <f>HYPERLINK("https://otsuka-europe-crm.veevavault.com/ui/#object/sent_email__v/VBLZ025E82GN0FH", "SE-000270735")</f>
        <v>SE-000270735</v>
      </c>
      <c r="D3615" s="1" t="s">
        <v>0</v>
      </c>
      <c r="E3615" s="2">
        <v>0</v>
      </c>
      <c r="F3615" s="2">
        <v>0</v>
      </c>
      <c r="G3615" s="2">
        <v>0</v>
      </c>
      <c r="H3615" s="1" t="s">
        <v>0</v>
      </c>
      <c r="I3615" s="2">
        <v>0</v>
      </c>
      <c r="J3615" s="1">
        <v>45915.379178240742</v>
      </c>
    </row>
    <row r="3616" spans="1:10" x14ac:dyDescent="0.2">
      <c r="A3616" s="4" t="s">
        <v>1</v>
      </c>
      <c r="B3616" s="3" t="str">
        <f>HYPERLINK("https://otsuka-europe-crm.veevavault.com/ui/#object/approved_document__v/V5OZ025E82TFUPI", "Spain - HCP Survey Email - June 2025")</f>
        <v>Spain - HCP Survey Email - June 2025</v>
      </c>
      <c r="C3616" s="3" t="str">
        <f>HYPERLINK("https://otsuka-europe-crm.veevavault.com/ui/#object/sent_email__v/VBLZ025E82GN0FI", "SE-000270736")</f>
        <v>SE-000270736</v>
      </c>
      <c r="D3616" s="1">
        <v>45916.027418981481</v>
      </c>
      <c r="E3616" s="2">
        <v>1</v>
      </c>
      <c r="F3616" s="2">
        <v>1</v>
      </c>
      <c r="G3616" s="2">
        <v>0</v>
      </c>
      <c r="H3616" s="1" t="s">
        <v>0</v>
      </c>
      <c r="I3616" s="2">
        <v>0</v>
      </c>
      <c r="J3616" s="1">
        <v>45915.37777777778</v>
      </c>
    </row>
    <row r="3617" spans="1:10" x14ac:dyDescent="0.2">
      <c r="A3617" s="4" t="s">
        <v>1</v>
      </c>
      <c r="B3617" s="3" t="str">
        <f>HYPERLINK("https://otsuka-europe-crm.veevavault.com/ui/#object/approved_document__v/V5OZ025E82TFUPI", "Spain - HCP Survey Email - June 2025")</f>
        <v>Spain - HCP Survey Email - June 2025</v>
      </c>
      <c r="C3617" s="3" t="str">
        <f>HYPERLINK("https://otsuka-europe-crm.veevavault.com/ui/#object/sent_email__v/VBLZ025E82GN0FJ", "SE-000270737")</f>
        <v>SE-000270737</v>
      </c>
      <c r="D3617" s="1">
        <v>45915.67832175926</v>
      </c>
      <c r="E3617" s="2">
        <v>1</v>
      </c>
      <c r="F3617" s="2">
        <v>1</v>
      </c>
      <c r="G3617" s="2">
        <v>0</v>
      </c>
      <c r="H3617" s="1" t="s">
        <v>0</v>
      </c>
      <c r="I3617" s="2">
        <v>0</v>
      </c>
      <c r="J3617" s="1">
        <v>45915.378240740742</v>
      </c>
    </row>
    <row r="3618" spans="1:10" x14ac:dyDescent="0.2">
      <c r="A3618" s="4" t="s">
        <v>1</v>
      </c>
      <c r="B3618" s="3" t="str">
        <f>HYPERLINK("https://otsuka-europe-crm.veevavault.com/ui/#object/approved_document__v/V5OZ025E82TFUPI", "Spain - HCP Survey Email - June 2025")</f>
        <v>Spain - HCP Survey Email - June 2025</v>
      </c>
      <c r="C3618" s="3" t="str">
        <f>HYPERLINK("https://otsuka-europe-crm.veevavault.com/ui/#object/sent_email__v/VBLZ025E82GN0FK", "SE-000270738")</f>
        <v>SE-000270738</v>
      </c>
      <c r="D3618" s="1">
        <v>45915.42292824074</v>
      </c>
      <c r="E3618" s="2">
        <v>1</v>
      </c>
      <c r="F3618" s="2">
        <v>2</v>
      </c>
      <c r="G3618" s="2">
        <v>0</v>
      </c>
      <c r="H3618" s="1" t="s">
        <v>0</v>
      </c>
      <c r="I3618" s="2">
        <v>0</v>
      </c>
      <c r="J3618" s="1">
        <v>45915.378009259257</v>
      </c>
    </row>
    <row r="3619" spans="1:10" x14ac:dyDescent="0.2">
      <c r="A3619" s="4" t="s">
        <v>1</v>
      </c>
      <c r="B3619" s="3" t="str">
        <f>HYPERLINK("https://otsuka-europe-crm.veevavault.com/ui/#object/approved_document__v/V5OZ025E82TFUPI", "Spain - HCP Survey Email - June 2025")</f>
        <v>Spain - HCP Survey Email - June 2025</v>
      </c>
      <c r="C3619" s="3" t="str">
        <f>HYPERLINK("https://otsuka-europe-crm.veevavault.com/ui/#object/sent_email__v/VBLZ025E82GN0FL", "SE-000270739")</f>
        <v>SE-000270739</v>
      </c>
      <c r="D3619" s="1" t="s">
        <v>0</v>
      </c>
      <c r="E3619" s="2">
        <v>0</v>
      </c>
      <c r="F3619" s="2">
        <v>0</v>
      </c>
      <c r="G3619" s="2">
        <v>0</v>
      </c>
      <c r="H3619" s="1" t="s">
        <v>0</v>
      </c>
      <c r="I3619" s="2">
        <v>0</v>
      </c>
      <c r="J3619" s="1">
        <v>45915.378553240742</v>
      </c>
    </row>
    <row r="3620" spans="1:10" x14ac:dyDescent="0.2">
      <c r="A3620" s="4" t="s">
        <v>1</v>
      </c>
      <c r="B3620" s="3" t="str">
        <f>HYPERLINK("https://otsuka-europe-crm.veevavault.com/ui/#object/approved_document__v/V5OZ025E82TFUPI", "Spain - HCP Survey Email - June 2025")</f>
        <v>Spain - HCP Survey Email - June 2025</v>
      </c>
      <c r="C3620" s="3" t="str">
        <f>HYPERLINK("https://otsuka-europe-crm.veevavault.com/ui/#object/sent_email__v/VBLZ025E82GN0FM", "SE-000270740")</f>
        <v>SE-000270740</v>
      </c>
      <c r="D3620" s="1">
        <v>45915.38009259259</v>
      </c>
      <c r="E3620" s="2">
        <v>1</v>
      </c>
      <c r="F3620" s="2">
        <v>1</v>
      </c>
      <c r="G3620" s="2">
        <v>0</v>
      </c>
      <c r="H3620" s="1" t="s">
        <v>0</v>
      </c>
      <c r="I3620" s="2">
        <v>0</v>
      </c>
      <c r="J3620" s="1">
        <v>45915.38</v>
      </c>
    </row>
    <row r="3621" spans="1:10" x14ac:dyDescent="0.2">
      <c r="A3621" s="4" t="s">
        <v>1</v>
      </c>
      <c r="B3621" s="3" t="str">
        <f>HYPERLINK("https://otsuka-europe-crm.veevavault.com/ui/#object/approved_document__v/V5OZ025E82TFUPI", "Spain - HCP Survey Email - June 2025")</f>
        <v>Spain - HCP Survey Email - June 2025</v>
      </c>
      <c r="C3621" s="3" t="str">
        <f>HYPERLINK("https://otsuka-europe-crm.veevavault.com/ui/#object/sent_email__v/VBLZ025E82GN0FN", "SE-000270741")</f>
        <v>SE-000270741</v>
      </c>
      <c r="D3621" s="1">
        <v>45917.260937500003</v>
      </c>
      <c r="E3621" s="2">
        <v>1</v>
      </c>
      <c r="F3621" s="2">
        <v>1</v>
      </c>
      <c r="G3621" s="2">
        <v>0</v>
      </c>
      <c r="H3621" s="1" t="s">
        <v>0</v>
      </c>
      <c r="I3621" s="2">
        <v>0</v>
      </c>
      <c r="J3621" s="1">
        <v>45915.377754629626</v>
      </c>
    </row>
    <row r="3622" spans="1:10" x14ac:dyDescent="0.2">
      <c r="A3622" s="4" t="s">
        <v>1</v>
      </c>
      <c r="B3622" s="3" t="str">
        <f>HYPERLINK("https://otsuka-europe-crm.veevavault.com/ui/#object/approved_document__v/V5OZ025E82TFUPI", "Spain - HCP Survey Email - June 2025")</f>
        <v>Spain - HCP Survey Email - June 2025</v>
      </c>
      <c r="C3622" s="3" t="str">
        <f>HYPERLINK("https://otsuka-europe-crm.veevavault.com/ui/#object/sent_email__v/VBLZ025E82GN0FO", "SE-000270742")</f>
        <v>SE-000270742</v>
      </c>
      <c r="D3622" s="1" t="s">
        <v>0</v>
      </c>
      <c r="E3622" s="2">
        <v>0</v>
      </c>
      <c r="F3622" s="2">
        <v>0</v>
      </c>
      <c r="G3622" s="2">
        <v>0</v>
      </c>
      <c r="H3622" s="1" t="s">
        <v>0</v>
      </c>
      <c r="I3622" s="2">
        <v>0</v>
      </c>
      <c r="J3622" s="1">
        <v>45915.377569444441</v>
      </c>
    </row>
    <row r="3623" spans="1:10" x14ac:dyDescent="0.2">
      <c r="A3623" s="4" t="s">
        <v>1</v>
      </c>
      <c r="B3623" s="3" t="str">
        <f>HYPERLINK("https://otsuka-europe-crm.veevavault.com/ui/#object/approved_document__v/V5OZ025E82TFUPI", "Spain - HCP Survey Email - June 2025")</f>
        <v>Spain - HCP Survey Email - June 2025</v>
      </c>
      <c r="C3623" s="3" t="str">
        <f>HYPERLINK("https://otsuka-europe-crm.veevavault.com/ui/#object/sent_email__v/VBLZ025E82GN0FP", "SE-000270743")</f>
        <v>SE-000270743</v>
      </c>
      <c r="D3623" s="1" t="s">
        <v>0</v>
      </c>
      <c r="E3623" s="2">
        <v>0</v>
      </c>
      <c r="F3623" s="2">
        <v>0</v>
      </c>
      <c r="G3623" s="2">
        <v>0</v>
      </c>
      <c r="H3623" s="1" t="s">
        <v>0</v>
      </c>
      <c r="I3623" s="2">
        <v>0</v>
      </c>
      <c r="J3623" s="1">
        <v>45915.377974537034</v>
      </c>
    </row>
    <row r="3624" spans="1:10" x14ac:dyDescent="0.2">
      <c r="A3624" s="4" t="s">
        <v>1</v>
      </c>
      <c r="B3624" s="3" t="str">
        <f>HYPERLINK("https://otsuka-europe-crm.veevavault.com/ui/#object/approved_document__v/V5OZ025E82TFUPI", "Spain - HCP Survey Email - June 2025")</f>
        <v>Spain - HCP Survey Email - June 2025</v>
      </c>
      <c r="C3624" s="3" t="str">
        <f>HYPERLINK("https://otsuka-europe-crm.veevavault.com/ui/#object/sent_email__v/VBLZ025E82GN0FQ", "SE-000270744")</f>
        <v>SE-000270744</v>
      </c>
      <c r="D3624" s="1" t="s">
        <v>0</v>
      </c>
      <c r="E3624" s="2">
        <v>0</v>
      </c>
      <c r="F3624" s="2">
        <v>0</v>
      </c>
      <c r="G3624" s="2">
        <v>0</v>
      </c>
      <c r="H3624" s="1" t="s">
        <v>0</v>
      </c>
      <c r="I3624" s="2">
        <v>0</v>
      </c>
      <c r="J3624" s="1">
        <v>45915.378958333335</v>
      </c>
    </row>
    <row r="3625" spans="1:10" x14ac:dyDescent="0.2">
      <c r="A3625" s="4" t="s">
        <v>1</v>
      </c>
      <c r="B3625" s="3" t="str">
        <f>HYPERLINK("https://otsuka-europe-crm.veevavault.com/ui/#object/approved_document__v/V5OZ025E82TFUPI", "Spain - HCP Survey Email - June 2025")</f>
        <v>Spain - HCP Survey Email - June 2025</v>
      </c>
      <c r="C3625" s="3" t="str">
        <f>HYPERLINK("https://otsuka-europe-crm.veevavault.com/ui/#object/sent_email__v/VBLZ025E82GN0FR", "SE-000270745")</f>
        <v>SE-000270745</v>
      </c>
      <c r="D3625" s="1" t="s">
        <v>0</v>
      </c>
      <c r="E3625" s="2">
        <v>0</v>
      </c>
      <c r="F3625" s="2">
        <v>0</v>
      </c>
      <c r="G3625" s="2">
        <v>0</v>
      </c>
      <c r="H3625" s="1" t="s">
        <v>0</v>
      </c>
      <c r="I3625" s="2">
        <v>0</v>
      </c>
      <c r="J3625" s="1">
        <v>45915.37872685185</v>
      </c>
    </row>
    <row r="3626" spans="1:10" x14ac:dyDescent="0.2">
      <c r="A3626" s="4" t="s">
        <v>1</v>
      </c>
      <c r="B3626" s="3" t="str">
        <f>HYPERLINK("https://otsuka-europe-crm.veevavault.com/ui/#object/approved_document__v/V5OZ025E82TFUPI", "Spain - HCP Survey Email - June 2025")</f>
        <v>Spain - HCP Survey Email - June 2025</v>
      </c>
      <c r="C3626" s="3" t="str">
        <f>HYPERLINK("https://otsuka-europe-crm.veevavault.com/ui/#object/sent_email__v/VBLZ025E82GN0FS", "SE-000270746")</f>
        <v>SE-000270746</v>
      </c>
      <c r="D3626" s="1" t="s">
        <v>0</v>
      </c>
      <c r="E3626" s="2">
        <v>0</v>
      </c>
      <c r="F3626" s="2">
        <v>0</v>
      </c>
      <c r="G3626" s="2">
        <v>0</v>
      </c>
      <c r="H3626" s="1" t="s">
        <v>0</v>
      </c>
      <c r="I3626" s="2">
        <v>0</v>
      </c>
      <c r="J3626" s="1">
        <v>45915.379212962966</v>
      </c>
    </row>
    <row r="3627" spans="1:10" x14ac:dyDescent="0.2">
      <c r="A3627" s="4" t="s">
        <v>1</v>
      </c>
      <c r="B3627" s="3" t="str">
        <f>HYPERLINK("https://otsuka-europe-crm.veevavault.com/ui/#object/approved_document__v/V5OZ025E82TFUPI", "Spain - HCP Survey Email - June 2025")</f>
        <v>Spain - HCP Survey Email - June 2025</v>
      </c>
      <c r="C3627" s="3" t="str">
        <f>HYPERLINK("https://otsuka-europe-crm.veevavault.com/ui/#object/sent_email__v/VBLZ025E82GN0FT", "SE-000270747")</f>
        <v>SE-000270747</v>
      </c>
      <c r="D3627" s="1" t="s">
        <v>0</v>
      </c>
      <c r="E3627" s="2">
        <v>0</v>
      </c>
      <c r="F3627" s="2">
        <v>0</v>
      </c>
      <c r="G3627" s="2">
        <v>0</v>
      </c>
      <c r="H3627" s="1" t="s">
        <v>0</v>
      </c>
      <c r="I3627" s="2">
        <v>0</v>
      </c>
      <c r="J3627" s="1">
        <v>45915.377835648149</v>
      </c>
    </row>
    <row r="3628" spans="1:10" x14ac:dyDescent="0.2">
      <c r="A3628" s="4" t="s">
        <v>1</v>
      </c>
      <c r="B3628" s="3" t="str">
        <f>HYPERLINK("https://otsuka-europe-crm.veevavault.com/ui/#object/approved_document__v/V5OZ025E82TFUPI", "Spain - HCP Survey Email - June 2025")</f>
        <v>Spain - HCP Survey Email - June 2025</v>
      </c>
      <c r="C3628" s="3" t="str">
        <f>HYPERLINK("https://otsuka-europe-crm.veevavault.com/ui/#object/sent_email__v/VBLZ025E82GN0FU", "SE-000270748")</f>
        <v>SE-000270748</v>
      </c>
      <c r="D3628" s="1">
        <v>45915.379513888889</v>
      </c>
      <c r="E3628" s="2">
        <v>1</v>
      </c>
      <c r="F3628" s="2">
        <v>1</v>
      </c>
      <c r="G3628" s="2">
        <v>1</v>
      </c>
      <c r="H3628" s="1">
        <v>45915.380127314813</v>
      </c>
      <c r="I3628" s="2">
        <v>2</v>
      </c>
      <c r="J3628" s="1">
        <v>45915.378182870372</v>
      </c>
    </row>
    <row r="3629" spans="1:10" x14ac:dyDescent="0.2">
      <c r="A3629" s="4" t="s">
        <v>1</v>
      </c>
      <c r="B3629" s="3" t="str">
        <f>HYPERLINK("https://otsuka-europe-crm.veevavault.com/ui/#object/approved_document__v/V5OZ025E82TFUPI", "Spain - HCP Survey Email - June 2025")</f>
        <v>Spain - HCP Survey Email - June 2025</v>
      </c>
      <c r="C3629" s="3" t="str">
        <f>HYPERLINK("https://otsuka-europe-crm.veevavault.com/ui/#object/sent_email__v/VBLZ025E82GN0FV", "SE-000270749")</f>
        <v>SE-000270749</v>
      </c>
      <c r="D3629" s="1" t="s">
        <v>0</v>
      </c>
      <c r="E3629" s="2">
        <v>0</v>
      </c>
      <c r="F3629" s="2">
        <v>0</v>
      </c>
      <c r="G3629" s="2">
        <v>0</v>
      </c>
      <c r="H3629" s="1" t="s">
        <v>0</v>
      </c>
      <c r="I3629" s="2">
        <v>0</v>
      </c>
      <c r="J3629" s="1">
        <v>45915.37804398148</v>
      </c>
    </row>
    <row r="3630" spans="1:10" x14ac:dyDescent="0.2">
      <c r="A3630" s="4" t="s">
        <v>1</v>
      </c>
      <c r="B3630" s="3" t="str">
        <f>HYPERLINK("https://otsuka-europe-crm.veevavault.com/ui/#object/approved_document__v/V5OZ025E82TFUPI", "Spain - HCP Survey Email - June 2025")</f>
        <v>Spain - HCP Survey Email - June 2025</v>
      </c>
      <c r="C3630" s="3" t="str">
        <f>HYPERLINK("https://otsuka-europe-crm.veevavault.com/ui/#object/sent_email__v/VBLZ025E82GN0FW", "SE-000270750")</f>
        <v>SE-000270750</v>
      </c>
      <c r="D3630" s="1" t="s">
        <v>0</v>
      </c>
      <c r="E3630" s="2">
        <v>0</v>
      </c>
      <c r="F3630" s="2">
        <v>0</v>
      </c>
      <c r="G3630" s="2">
        <v>0</v>
      </c>
      <c r="H3630" s="1" t="s">
        <v>0</v>
      </c>
      <c r="I3630" s="2">
        <v>0</v>
      </c>
      <c r="J3630" s="1">
        <v>45915.378564814811</v>
      </c>
    </row>
    <row r="3631" spans="1:10" x14ac:dyDescent="0.2">
      <c r="A3631" s="4" t="s">
        <v>1</v>
      </c>
      <c r="B3631" s="3" t="str">
        <f>HYPERLINK("https://otsuka-europe-crm.veevavault.com/ui/#object/approved_document__v/V5OZ025E82TFUPI", "Spain - HCP Survey Email - June 2025")</f>
        <v>Spain - HCP Survey Email - June 2025</v>
      </c>
      <c r="C3631" s="3" t="str">
        <f>HYPERLINK("https://otsuka-europe-crm.veevavault.com/ui/#object/sent_email__v/VBLZ025E82GN0FX", "SE-000270751")</f>
        <v>SE-000270751</v>
      </c>
      <c r="D3631" s="1">
        <v>45917.532349537039</v>
      </c>
      <c r="E3631" s="2">
        <v>1</v>
      </c>
      <c r="F3631" s="2">
        <v>2</v>
      </c>
      <c r="G3631" s="2">
        <v>1</v>
      </c>
      <c r="H3631" s="1">
        <v>45917.371377314812</v>
      </c>
      <c r="I3631" s="2">
        <v>1</v>
      </c>
      <c r="J3631" s="1">
        <v>45915.379803240743</v>
      </c>
    </row>
    <row r="3632" spans="1:10" x14ac:dyDescent="0.2">
      <c r="A3632" s="4" t="s">
        <v>1</v>
      </c>
      <c r="B3632" s="3" t="str">
        <f>HYPERLINK("https://otsuka-europe-crm.veevavault.com/ui/#object/approved_document__v/V5OZ025E82TFUPI", "Spain - HCP Survey Email - June 2025")</f>
        <v>Spain - HCP Survey Email - June 2025</v>
      </c>
      <c r="C3632" s="3" t="str">
        <f>HYPERLINK("https://otsuka-europe-crm.veevavault.com/ui/#object/sent_email__v/VBLZ025E82GN0FY", "SE-000270752")</f>
        <v>SE-000270752</v>
      </c>
      <c r="D3632" s="1">
        <v>45915.42</v>
      </c>
      <c r="E3632" s="2">
        <v>1</v>
      </c>
      <c r="F3632" s="2">
        <v>1</v>
      </c>
      <c r="G3632" s="2">
        <v>0</v>
      </c>
      <c r="H3632" s="1" t="s">
        <v>0</v>
      </c>
      <c r="I3632" s="2">
        <v>0</v>
      </c>
      <c r="J3632" s="1">
        <v>45915.377766203703</v>
      </c>
    </row>
    <row r="3633" spans="1:10" x14ac:dyDescent="0.2">
      <c r="A3633" s="4" t="s">
        <v>1</v>
      </c>
      <c r="B3633" s="3" t="str">
        <f>HYPERLINK("https://otsuka-europe-crm.veevavault.com/ui/#object/approved_document__v/V5OZ025E82TFUPI", "Spain - HCP Survey Email - June 2025")</f>
        <v>Spain - HCP Survey Email - June 2025</v>
      </c>
      <c r="C3633" s="3" t="str">
        <f>HYPERLINK("https://otsuka-europe-crm.veevavault.com/ui/#object/sent_email__v/VBLZ025E82GN0FZ", "SE-000270753")</f>
        <v>SE-000270753</v>
      </c>
      <c r="D3633" s="1">
        <v>45915.958877314813</v>
      </c>
      <c r="E3633" s="2">
        <v>1</v>
      </c>
      <c r="F3633" s="2">
        <v>1</v>
      </c>
      <c r="G3633" s="2">
        <v>0</v>
      </c>
      <c r="H3633" s="1" t="s">
        <v>0</v>
      </c>
      <c r="I3633" s="2">
        <v>0</v>
      </c>
      <c r="J3633" s="1">
        <v>45915.377662037034</v>
      </c>
    </row>
    <row r="3634" spans="1:10" x14ac:dyDescent="0.2">
      <c r="A3634" s="4" t="s">
        <v>1</v>
      </c>
      <c r="B3634" s="3" t="str">
        <f>HYPERLINK("https://otsuka-europe-crm.veevavault.com/ui/#object/approved_document__v/V5OZ025E82TFUPI", "Spain - HCP Survey Email - June 2025")</f>
        <v>Spain - HCP Survey Email - June 2025</v>
      </c>
      <c r="C3634" s="3" t="str">
        <f>HYPERLINK("https://otsuka-europe-crm.veevavault.com/ui/#object/sent_email__v/VBLZ025E82GN0G0", "SE-000270754")</f>
        <v>SE-000270754</v>
      </c>
      <c r="D3634" s="1" t="s">
        <v>0</v>
      </c>
      <c r="E3634" s="2">
        <v>0</v>
      </c>
      <c r="F3634" s="2">
        <v>0</v>
      </c>
      <c r="G3634" s="2">
        <v>0</v>
      </c>
      <c r="H3634" s="1" t="s">
        <v>0</v>
      </c>
      <c r="I3634" s="2">
        <v>0</v>
      </c>
      <c r="J3634" s="1">
        <v>45915.377962962964</v>
      </c>
    </row>
    <row r="3635" spans="1:10" x14ac:dyDescent="0.2">
      <c r="A3635" s="4" t="s">
        <v>1</v>
      </c>
      <c r="B3635" s="3" t="str">
        <f>HYPERLINK("https://otsuka-europe-crm.veevavault.com/ui/#object/approved_document__v/V5OZ025E82TFUPI", "Spain - HCP Survey Email - June 2025")</f>
        <v>Spain - HCP Survey Email - June 2025</v>
      </c>
      <c r="C3635" s="3" t="str">
        <f>HYPERLINK("https://otsuka-europe-crm.veevavault.com/ui/#object/sent_email__v/VBLZ025E82GN0G1", "SE-000270755")</f>
        <v>SE-000270755</v>
      </c>
      <c r="D3635" s="1" t="s">
        <v>0</v>
      </c>
      <c r="E3635" s="2">
        <v>0</v>
      </c>
      <c r="F3635" s="2">
        <v>0</v>
      </c>
      <c r="G3635" s="2">
        <v>0</v>
      </c>
      <c r="H3635" s="1" t="s">
        <v>0</v>
      </c>
      <c r="I3635" s="2">
        <v>0</v>
      </c>
      <c r="J3635" s="1">
        <v>45915.37903935185</v>
      </c>
    </row>
    <row r="3636" spans="1:10" x14ac:dyDescent="0.2">
      <c r="A3636" s="4" t="s">
        <v>1</v>
      </c>
      <c r="B3636" s="3" t="str">
        <f>HYPERLINK("https://otsuka-europe-crm.veevavault.com/ui/#object/approved_document__v/V5OZ025E82TFUPI", "Spain - HCP Survey Email - June 2025")</f>
        <v>Spain - HCP Survey Email - June 2025</v>
      </c>
      <c r="C3636" s="3" t="str">
        <f>HYPERLINK("https://otsuka-europe-crm.veevavault.com/ui/#object/sent_email__v/VBLZ025E82GN0G2", "SE-000270756")</f>
        <v>SE-000270756</v>
      </c>
      <c r="D3636" s="1">
        <v>45915.37909722222</v>
      </c>
      <c r="E3636" s="2">
        <v>1</v>
      </c>
      <c r="F3636" s="2">
        <v>1</v>
      </c>
      <c r="G3636" s="2">
        <v>1</v>
      </c>
      <c r="H3636" s="1">
        <v>45915.379189814812</v>
      </c>
      <c r="I3636" s="2">
        <v>1</v>
      </c>
      <c r="J3636" s="1">
        <v>45915.378657407404</v>
      </c>
    </row>
    <row r="3637" spans="1:10" x14ac:dyDescent="0.2">
      <c r="A3637" s="4" t="s">
        <v>1</v>
      </c>
      <c r="B3637" s="3" t="str">
        <f>HYPERLINK("https://otsuka-europe-crm.veevavault.com/ui/#object/approved_document__v/V5OZ025E82TFUPI", "Spain - HCP Survey Email - June 2025")</f>
        <v>Spain - HCP Survey Email - June 2025</v>
      </c>
      <c r="C3637" s="3" t="str">
        <f>HYPERLINK("https://otsuka-europe-crm.veevavault.com/ui/#object/sent_email__v/VBLZ025E82GN0G3", "SE-000270757")</f>
        <v>SE-000270757</v>
      </c>
      <c r="D3637" s="1" t="s">
        <v>0</v>
      </c>
      <c r="E3637" s="2">
        <v>0</v>
      </c>
      <c r="F3637" s="2">
        <v>0</v>
      </c>
      <c r="G3637" s="2">
        <v>0</v>
      </c>
      <c r="H3637" s="1" t="s">
        <v>0</v>
      </c>
      <c r="I3637" s="2">
        <v>0</v>
      </c>
      <c r="J3637" s="1">
        <v>45915.379016203704</v>
      </c>
    </row>
    <row r="3638" spans="1:10" x14ac:dyDescent="0.2">
      <c r="A3638" s="4" t="s">
        <v>1</v>
      </c>
      <c r="B3638" s="3" t="str">
        <f>HYPERLINK("https://otsuka-europe-crm.veevavault.com/ui/#object/approved_document__v/V5OZ025E82TFUPI", "Spain - HCP Survey Email - June 2025")</f>
        <v>Spain - HCP Survey Email - June 2025</v>
      </c>
      <c r="C3638" s="3" t="str">
        <f>HYPERLINK("https://otsuka-europe-crm.veevavault.com/ui/#object/sent_email__v/VBLZ025E82GN0G4", "SE-000270758")</f>
        <v>SE-000270758</v>
      </c>
      <c r="D3638" s="1" t="s">
        <v>0</v>
      </c>
      <c r="E3638" s="2">
        <v>0</v>
      </c>
      <c r="F3638" s="2">
        <v>0</v>
      </c>
      <c r="G3638" s="2">
        <v>0</v>
      </c>
      <c r="H3638" s="1" t="s">
        <v>0</v>
      </c>
      <c r="I3638" s="2">
        <v>0</v>
      </c>
      <c r="J3638" s="1">
        <v>45915.377824074072</v>
      </c>
    </row>
    <row r="3639" spans="1:10" x14ac:dyDescent="0.2">
      <c r="A3639" s="4" t="s">
        <v>1</v>
      </c>
      <c r="B3639" s="3" t="str">
        <f>HYPERLINK("https://otsuka-europe-crm.veevavault.com/ui/#object/approved_document__v/V5OZ025E82TFUPI", "Spain - HCP Survey Email - June 2025")</f>
        <v>Spain - HCP Survey Email - June 2025</v>
      </c>
      <c r="C3639" s="3" t="str">
        <f>HYPERLINK("https://otsuka-europe-crm.veevavault.com/ui/#object/sent_email__v/VBLZ025E82GN0G6", "SE-000270760")</f>
        <v>SE-000270760</v>
      </c>
      <c r="D3639" s="1" t="s">
        <v>0</v>
      </c>
      <c r="E3639" s="2">
        <v>0</v>
      </c>
      <c r="F3639" s="2">
        <v>0</v>
      </c>
      <c r="G3639" s="2">
        <v>0</v>
      </c>
      <c r="H3639" s="1" t="s">
        <v>0</v>
      </c>
      <c r="I3639" s="2">
        <v>0</v>
      </c>
      <c r="J3639" s="1">
        <v>45915.378761574073</v>
      </c>
    </row>
    <row r="3640" spans="1:10" x14ac:dyDescent="0.2">
      <c r="A3640" s="4" t="s">
        <v>1</v>
      </c>
      <c r="B3640" s="3" t="str">
        <f>HYPERLINK("https://otsuka-europe-crm.veevavault.com/ui/#object/approved_document__v/V5OZ025E82TFUPI", "Spain - HCP Survey Email - June 2025")</f>
        <v>Spain - HCP Survey Email - June 2025</v>
      </c>
      <c r="C3640" s="3" t="str">
        <f>HYPERLINK("https://otsuka-europe-crm.veevavault.com/ui/#object/sent_email__v/VBLZ025E82GN0G7", "SE-000270761")</f>
        <v>SE-000270761</v>
      </c>
      <c r="D3640" s="1" t="s">
        <v>0</v>
      </c>
      <c r="E3640" s="2">
        <v>0</v>
      </c>
      <c r="F3640" s="2">
        <v>0</v>
      </c>
      <c r="G3640" s="2">
        <v>0</v>
      </c>
      <c r="H3640" s="1" t="s">
        <v>0</v>
      </c>
      <c r="I3640" s="2">
        <v>0</v>
      </c>
      <c r="J3640" s="1">
        <v>45915.37908564815</v>
      </c>
    </row>
    <row r="3641" spans="1:10" x14ac:dyDescent="0.2">
      <c r="A3641" s="4" t="s">
        <v>1</v>
      </c>
      <c r="B3641" s="3" t="str">
        <f>HYPERLINK("https://otsuka-europe-crm.veevavault.com/ui/#object/approved_document__v/V5OZ025E82TFUPI", "Spain - HCP Survey Email - June 2025")</f>
        <v>Spain - HCP Survey Email - June 2025</v>
      </c>
      <c r="C3641" s="3" t="str">
        <f>HYPERLINK("https://otsuka-europe-crm.veevavault.com/ui/#object/sent_email__v/VBLZ025E82GN0G8", "SE-000270762")</f>
        <v>SE-000270762</v>
      </c>
      <c r="D3641" s="1">
        <v>45915.396111111113</v>
      </c>
      <c r="E3641" s="2">
        <v>1</v>
      </c>
      <c r="F3641" s="2">
        <v>1</v>
      </c>
      <c r="G3641" s="2">
        <v>0</v>
      </c>
      <c r="H3641" s="1" t="s">
        <v>0</v>
      </c>
      <c r="I3641" s="2">
        <v>0</v>
      </c>
      <c r="J3641" s="1">
        <v>45915.377835648149</v>
      </c>
    </row>
    <row r="3642" spans="1:10" x14ac:dyDescent="0.2">
      <c r="A3642" s="4" t="s">
        <v>1</v>
      </c>
      <c r="B3642" s="3" t="str">
        <f>HYPERLINK("https://otsuka-europe-crm.veevavault.com/ui/#object/approved_document__v/V5OZ025E82TFUPI", "Spain - HCP Survey Email - June 2025")</f>
        <v>Spain - HCP Survey Email - June 2025</v>
      </c>
      <c r="C3642" s="3" t="str">
        <f>HYPERLINK("https://otsuka-europe-crm.veevavault.com/ui/#object/sent_email__v/VBLZ025E82GN0G9", "SE-000270763")</f>
        <v>SE-000270763</v>
      </c>
      <c r="D3642" s="1" t="s">
        <v>0</v>
      </c>
      <c r="E3642" s="2">
        <v>0</v>
      </c>
      <c r="F3642" s="2">
        <v>0</v>
      </c>
      <c r="G3642" s="2">
        <v>0</v>
      </c>
      <c r="H3642" s="1" t="s">
        <v>0</v>
      </c>
      <c r="I3642" s="2">
        <v>0</v>
      </c>
      <c r="J3642" s="1">
        <v>45915.378217592595</v>
      </c>
    </row>
    <row r="3643" spans="1:10" x14ac:dyDescent="0.2">
      <c r="A3643" s="4" t="s">
        <v>1</v>
      </c>
      <c r="B3643" s="3" t="str">
        <f>HYPERLINK("https://otsuka-europe-crm.veevavault.com/ui/#object/approved_document__v/V5OZ025E82TFUPI", "Spain - HCP Survey Email - June 2025")</f>
        <v>Spain - HCP Survey Email - June 2025</v>
      </c>
      <c r="C3643" s="3" t="str">
        <f>HYPERLINK("https://otsuka-europe-crm.veevavault.com/ui/#object/sent_email__v/VBLZ025E82GN0GA", "SE-000270764")</f>
        <v>SE-000270764</v>
      </c>
      <c r="D3643" s="1">
        <v>45915.673530092594</v>
      </c>
      <c r="E3643" s="2">
        <v>1</v>
      </c>
      <c r="F3643" s="2">
        <v>1</v>
      </c>
      <c r="G3643" s="2">
        <v>1</v>
      </c>
      <c r="H3643" s="1">
        <v>45915.673946759256</v>
      </c>
      <c r="I3643" s="2">
        <v>2</v>
      </c>
      <c r="J3643" s="1">
        <v>45915.378240740742</v>
      </c>
    </row>
    <row r="3644" spans="1:10" x14ac:dyDescent="0.2">
      <c r="A3644" s="4" t="s">
        <v>1</v>
      </c>
      <c r="B3644" s="3" t="str">
        <f>HYPERLINK("https://otsuka-europe-crm.veevavault.com/ui/#object/approved_document__v/V5OZ025E82TFUPI", "Spain - HCP Survey Email - June 2025")</f>
        <v>Spain - HCP Survey Email - June 2025</v>
      </c>
      <c r="C3644" s="3" t="str">
        <f>HYPERLINK("https://otsuka-europe-crm.veevavault.com/ui/#object/sent_email__v/VBLZ025E82GN0GB", "SE-000270765")</f>
        <v>SE-000270765</v>
      </c>
      <c r="D3644" s="1" t="s">
        <v>0</v>
      </c>
      <c r="E3644" s="2">
        <v>0</v>
      </c>
      <c r="F3644" s="2">
        <v>0</v>
      </c>
      <c r="G3644" s="2">
        <v>0</v>
      </c>
      <c r="H3644" s="1" t="s">
        <v>0</v>
      </c>
      <c r="I3644" s="2">
        <v>0</v>
      </c>
      <c r="J3644" s="1">
        <v>45915.378541666665</v>
      </c>
    </row>
    <row r="3645" spans="1:10" x14ac:dyDescent="0.2">
      <c r="A3645" s="4" t="s">
        <v>1</v>
      </c>
      <c r="B3645" s="3" t="str">
        <f>HYPERLINK("https://otsuka-europe-crm.veevavault.com/ui/#object/approved_document__v/V5OZ025E82TFUPI", "Spain - HCP Survey Email - June 2025")</f>
        <v>Spain - HCP Survey Email - June 2025</v>
      </c>
      <c r="C3645" s="3" t="str">
        <f>HYPERLINK("https://otsuka-europe-crm.veevavault.com/ui/#object/sent_email__v/VBLZ025E82GN0GC", "SE-000270766")</f>
        <v>SE-000270766</v>
      </c>
      <c r="D3645" s="1">
        <v>45936.854479166665</v>
      </c>
      <c r="E3645" s="2">
        <v>1</v>
      </c>
      <c r="F3645" s="2">
        <v>2</v>
      </c>
      <c r="G3645" s="2">
        <v>0</v>
      </c>
      <c r="H3645" s="1" t="s">
        <v>0</v>
      </c>
      <c r="I3645" s="2">
        <v>0</v>
      </c>
      <c r="J3645" s="1">
        <v>45915.379965277774</v>
      </c>
    </row>
    <row r="3646" spans="1:10" x14ac:dyDescent="0.2">
      <c r="A3646" s="4" t="s">
        <v>1</v>
      </c>
      <c r="B3646" s="3" t="str">
        <f>HYPERLINK("https://otsuka-europe-crm.veevavault.com/ui/#object/approved_document__v/V5OZ025E82TFUPI", "Spain - HCP Survey Email - June 2025")</f>
        <v>Spain - HCP Survey Email - June 2025</v>
      </c>
      <c r="C3646" s="3" t="str">
        <f>HYPERLINK("https://otsuka-europe-crm.veevavault.com/ui/#object/sent_email__v/VBLZ025E82GN0GD", "SE-000270767")</f>
        <v>SE-000270767</v>
      </c>
      <c r="D3646" s="1">
        <v>45917.612743055557</v>
      </c>
      <c r="E3646" s="2">
        <v>1</v>
      </c>
      <c r="F3646" s="2">
        <v>3</v>
      </c>
      <c r="G3646" s="2">
        <v>1</v>
      </c>
      <c r="H3646" s="1">
        <v>45915.382280092592</v>
      </c>
      <c r="I3646" s="2">
        <v>1</v>
      </c>
      <c r="J3646" s="1">
        <v>45915.377754629626</v>
      </c>
    </row>
    <row r="3647" spans="1:10" x14ac:dyDescent="0.2">
      <c r="A3647" s="4" t="s">
        <v>1</v>
      </c>
      <c r="B3647" s="3" t="str">
        <f>HYPERLINK("https://otsuka-europe-crm.veevavault.com/ui/#object/approved_document__v/V5OZ025E82TFUPI", "Spain - HCP Survey Email - June 2025")</f>
        <v>Spain - HCP Survey Email - June 2025</v>
      </c>
      <c r="C3647" s="3" t="str">
        <f>HYPERLINK("https://otsuka-europe-crm.veevavault.com/ui/#object/sent_email__v/VBLZ025E82GN0GE", "SE-000270768")</f>
        <v>SE-000270768</v>
      </c>
      <c r="D3647" s="1">
        <v>45915.449074074073</v>
      </c>
      <c r="E3647" s="2">
        <v>1</v>
      </c>
      <c r="F3647" s="2">
        <v>1</v>
      </c>
      <c r="G3647" s="2">
        <v>0</v>
      </c>
      <c r="H3647" s="1" t="s">
        <v>0</v>
      </c>
      <c r="I3647" s="2">
        <v>0</v>
      </c>
      <c r="J3647" s="1">
        <v>45915.377581018518</v>
      </c>
    </row>
    <row r="3648" spans="1:10" x14ac:dyDescent="0.2">
      <c r="A3648" s="4" t="s">
        <v>1</v>
      </c>
      <c r="B3648" s="3" t="str">
        <f>HYPERLINK("https://otsuka-europe-crm.veevavault.com/ui/#object/approved_document__v/V5OZ025E82TFUPI", "Spain - HCP Survey Email - June 2025")</f>
        <v>Spain - HCP Survey Email - June 2025</v>
      </c>
      <c r="C3648" s="3" t="str">
        <f>HYPERLINK("https://otsuka-europe-crm.veevavault.com/ui/#object/sent_email__v/VBLZ025E82GN0GF", "SE-000270769")</f>
        <v>SE-000270769</v>
      </c>
      <c r="D3648" s="1" t="s">
        <v>0</v>
      </c>
      <c r="E3648" s="2">
        <v>0</v>
      </c>
      <c r="F3648" s="2">
        <v>0</v>
      </c>
      <c r="G3648" s="2">
        <v>0</v>
      </c>
      <c r="H3648" s="1" t="s">
        <v>0</v>
      </c>
      <c r="I3648" s="2">
        <v>0</v>
      </c>
      <c r="J3648" s="1">
        <v>45915.377951388888</v>
      </c>
    </row>
    <row r="3649" spans="1:10" x14ac:dyDescent="0.2">
      <c r="A3649" s="4" t="s">
        <v>1</v>
      </c>
      <c r="B3649" s="3" t="str">
        <f>HYPERLINK("https://otsuka-europe-crm.veevavault.com/ui/#object/approved_document__v/V5OZ025E82TFUPI", "Spain - HCP Survey Email - June 2025")</f>
        <v>Spain - HCP Survey Email - June 2025</v>
      </c>
      <c r="C3649" s="3" t="str">
        <f>HYPERLINK("https://otsuka-europe-crm.veevavault.com/ui/#object/sent_email__v/VBLZ025E82GN0GG", "SE-000270770")</f>
        <v>SE-000270770</v>
      </c>
      <c r="D3649" s="1" t="s">
        <v>0</v>
      </c>
      <c r="E3649" s="2">
        <v>0</v>
      </c>
      <c r="F3649" s="2">
        <v>0</v>
      </c>
      <c r="G3649" s="2">
        <v>0</v>
      </c>
      <c r="H3649" s="1" t="s">
        <v>0</v>
      </c>
      <c r="I3649" s="2">
        <v>0</v>
      </c>
      <c r="J3649" s="1">
        <v>45915.37903935185</v>
      </c>
    </row>
    <row r="3650" spans="1:10" x14ac:dyDescent="0.2">
      <c r="A3650" s="4" t="s">
        <v>1</v>
      </c>
      <c r="B3650" s="3" t="str">
        <f>HYPERLINK("https://otsuka-europe-crm.veevavault.com/ui/#object/approved_document__v/V5OZ025E82TFUPI", "Spain - HCP Survey Email - June 2025")</f>
        <v>Spain - HCP Survey Email - June 2025</v>
      </c>
      <c r="C3650" s="3" t="str">
        <f>HYPERLINK("https://otsuka-europe-crm.veevavault.com/ui/#object/sent_email__v/VBLZ025E82GN0GH", "SE-000270771")</f>
        <v>SE-000270771</v>
      </c>
      <c r="D3650" s="1" t="s">
        <v>0</v>
      </c>
      <c r="E3650" s="2">
        <v>0</v>
      </c>
      <c r="F3650" s="2">
        <v>0</v>
      </c>
      <c r="G3650" s="2">
        <v>0</v>
      </c>
      <c r="H3650" s="1" t="s">
        <v>0</v>
      </c>
      <c r="I3650" s="2">
        <v>0</v>
      </c>
      <c r="J3650" s="1">
        <v>45915.378680555557</v>
      </c>
    </row>
    <row r="3651" spans="1:10" x14ac:dyDescent="0.2">
      <c r="A3651" s="4" t="s">
        <v>1</v>
      </c>
      <c r="B3651" s="3" t="str">
        <f>HYPERLINK("https://otsuka-europe-crm.veevavault.com/ui/#object/approved_document__v/V5OZ025E82TFUPI", "Spain - HCP Survey Email - June 2025")</f>
        <v>Spain - HCP Survey Email - June 2025</v>
      </c>
      <c r="C3651" s="3" t="str">
        <f>HYPERLINK("https://otsuka-europe-crm.veevavault.com/ui/#object/sent_email__v/VBLZ025E82GN0GI", "SE-000270772")</f>
        <v>SE-000270772</v>
      </c>
      <c r="D3651" s="1">
        <v>45916.317083333335</v>
      </c>
      <c r="E3651" s="2">
        <v>1</v>
      </c>
      <c r="F3651" s="2">
        <v>1</v>
      </c>
      <c r="G3651" s="2">
        <v>0</v>
      </c>
      <c r="H3651" s="1" t="s">
        <v>0</v>
      </c>
      <c r="I3651" s="2">
        <v>0</v>
      </c>
      <c r="J3651" s="1">
        <v>45915.379201388889</v>
      </c>
    </row>
    <row r="3652" spans="1:10" x14ac:dyDescent="0.2">
      <c r="A3652" s="4" t="s">
        <v>1</v>
      </c>
      <c r="B3652" s="3" t="str">
        <f>HYPERLINK("https://otsuka-europe-crm.veevavault.com/ui/#object/approved_document__v/V5OZ025E82TFUPI", "Spain - HCP Survey Email - June 2025")</f>
        <v>Spain - HCP Survey Email - June 2025</v>
      </c>
      <c r="C3652" s="3" t="str">
        <f>HYPERLINK("https://otsuka-europe-crm.veevavault.com/ui/#object/sent_email__v/VBLZ025E82GN0GJ", "SE-000270773")</f>
        <v>SE-000270773</v>
      </c>
      <c r="D3652" s="1" t="s">
        <v>0</v>
      </c>
      <c r="E3652" s="2">
        <v>0</v>
      </c>
      <c r="F3652" s="2">
        <v>0</v>
      </c>
      <c r="G3652" s="2">
        <v>0</v>
      </c>
      <c r="H3652" s="1" t="s">
        <v>0</v>
      </c>
      <c r="I3652" s="2">
        <v>0</v>
      </c>
      <c r="J3652" s="1">
        <v>45915.377835648149</v>
      </c>
    </row>
    <row r="3653" spans="1:10" x14ac:dyDescent="0.2">
      <c r="A3653" s="4" t="s">
        <v>1</v>
      </c>
      <c r="B3653" s="3" t="str">
        <f>HYPERLINK("https://otsuka-europe-crm.veevavault.com/ui/#object/approved_document__v/V5OZ025E82TFUPI", "Spain - HCP Survey Email - June 2025")</f>
        <v>Spain - HCP Survey Email - June 2025</v>
      </c>
      <c r="C3653" s="3" t="str">
        <f>HYPERLINK("https://otsuka-europe-crm.veevavault.com/ui/#object/sent_email__v/VBLZ025E82GN0GK", "SE-000270774")</f>
        <v>SE-000270774</v>
      </c>
      <c r="D3653" s="1">
        <v>45916.516886574071</v>
      </c>
      <c r="E3653" s="2">
        <v>1</v>
      </c>
      <c r="F3653" s="2">
        <v>1</v>
      </c>
      <c r="G3653" s="2">
        <v>1</v>
      </c>
      <c r="H3653" s="1">
        <v>45916.516886574071</v>
      </c>
      <c r="I3653" s="2">
        <v>1</v>
      </c>
      <c r="J3653" s="1">
        <v>45915.378194444442</v>
      </c>
    </row>
    <row r="3654" spans="1:10" x14ac:dyDescent="0.2">
      <c r="A3654" s="4" t="s">
        <v>1</v>
      </c>
      <c r="B3654" s="3" t="str">
        <f>HYPERLINK("https://otsuka-europe-crm.veevavault.com/ui/#object/approved_document__v/V5OZ025E82TFUPI", "Spain - HCP Survey Email - June 2025")</f>
        <v>Spain - HCP Survey Email - June 2025</v>
      </c>
      <c r="C3654" s="3" t="str">
        <f>HYPERLINK("https://otsuka-europe-crm.veevavault.com/ui/#object/sent_email__v/VBLZ025E82GN0GL", "SE-000270775")</f>
        <v>SE-000270775</v>
      </c>
      <c r="D3654" s="1" t="s">
        <v>0</v>
      </c>
      <c r="E3654" s="2">
        <v>0</v>
      </c>
      <c r="F3654" s="2">
        <v>0</v>
      </c>
      <c r="G3654" s="2">
        <v>0</v>
      </c>
      <c r="H3654" s="1" t="s">
        <v>0</v>
      </c>
      <c r="I3654" s="2">
        <v>0</v>
      </c>
      <c r="J3654" s="1">
        <v>45915.378113425926</v>
      </c>
    </row>
    <row r="3655" spans="1:10" x14ac:dyDescent="0.2">
      <c r="A3655" s="4" t="s">
        <v>1</v>
      </c>
      <c r="B3655" s="3" t="str">
        <f>HYPERLINK("https://otsuka-europe-crm.veevavault.com/ui/#object/approved_document__v/V5OZ025E82TFUPI", "Spain - HCP Survey Email - June 2025")</f>
        <v>Spain - HCP Survey Email - June 2025</v>
      </c>
      <c r="C3655" s="3" t="str">
        <f>HYPERLINK("https://otsuka-europe-crm.veevavault.com/ui/#object/sent_email__v/VBLZ025E82GN0GM", "SE-000270776")</f>
        <v>SE-000270776</v>
      </c>
      <c r="D3655" s="1">
        <v>45915.581932870373</v>
      </c>
      <c r="E3655" s="2">
        <v>1</v>
      </c>
      <c r="F3655" s="2">
        <v>2</v>
      </c>
      <c r="G3655" s="2">
        <v>0</v>
      </c>
      <c r="H3655" s="1" t="s">
        <v>0</v>
      </c>
      <c r="I3655" s="2">
        <v>0</v>
      </c>
      <c r="J3655" s="1">
        <v>45915.378634259258</v>
      </c>
    </row>
    <row r="3656" spans="1:10" x14ac:dyDescent="0.2">
      <c r="A3656" s="4" t="s">
        <v>1</v>
      </c>
      <c r="B3656" s="3" t="str">
        <f>HYPERLINK("https://otsuka-europe-crm.veevavault.com/ui/#object/approved_document__v/V5OZ025E82TFUPI", "Spain - HCP Survey Email - June 2025")</f>
        <v>Spain - HCP Survey Email - June 2025</v>
      </c>
      <c r="C3656" s="3" t="str">
        <f>HYPERLINK("https://otsuka-europe-crm.veevavault.com/ui/#object/sent_email__v/VBLZ025E82GN0GN", "SE-000270777")</f>
        <v>SE-000270777</v>
      </c>
      <c r="D3656" s="1" t="s">
        <v>0</v>
      </c>
      <c r="E3656" s="2">
        <v>0</v>
      </c>
      <c r="F3656" s="2">
        <v>0</v>
      </c>
      <c r="G3656" s="2">
        <v>0</v>
      </c>
      <c r="H3656" s="1" t="s">
        <v>0</v>
      </c>
      <c r="I3656" s="2">
        <v>0</v>
      </c>
      <c r="J3656" s="1">
        <v>45915.380057870374</v>
      </c>
    </row>
    <row r="3657" spans="1:10" x14ac:dyDescent="0.2">
      <c r="A3657" s="4" t="s">
        <v>1</v>
      </c>
      <c r="B3657" s="3" t="str">
        <f>HYPERLINK("https://otsuka-europe-crm.veevavault.com/ui/#object/approved_document__v/V5OZ025E82TFUPI", "Spain - HCP Survey Email - June 2025")</f>
        <v>Spain - HCP Survey Email - June 2025</v>
      </c>
      <c r="C3657" s="3" t="str">
        <f>HYPERLINK("https://otsuka-europe-crm.veevavault.com/ui/#object/sent_email__v/VBLZ025E82GN0GO", "SE-000270778")</f>
        <v>SE-000270778</v>
      </c>
      <c r="D3657" s="1">
        <v>45915.39403935185</v>
      </c>
      <c r="E3657" s="2">
        <v>1</v>
      </c>
      <c r="F3657" s="2">
        <v>1</v>
      </c>
      <c r="G3657" s="2">
        <v>0</v>
      </c>
      <c r="H3657" s="1" t="s">
        <v>0</v>
      </c>
      <c r="I3657" s="2">
        <v>0</v>
      </c>
      <c r="J3657" s="1">
        <v>45915.377835648149</v>
      </c>
    </row>
    <row r="3658" spans="1:10" x14ac:dyDescent="0.2">
      <c r="A3658" s="4" t="s">
        <v>1</v>
      </c>
      <c r="B3658" s="3" t="str">
        <f>HYPERLINK("https://otsuka-europe-crm.veevavault.com/ui/#object/approved_document__v/V5OZ025E82TFUPI", "Spain - HCP Survey Email - June 2025")</f>
        <v>Spain - HCP Survey Email - June 2025</v>
      </c>
      <c r="C3658" s="3" t="str">
        <f>HYPERLINK("https://otsuka-europe-crm.veevavault.com/ui/#object/sent_email__v/VBLZ025E82GN0GP", "SE-000270779")</f>
        <v>SE-000270779</v>
      </c>
      <c r="D3658" s="1" t="s">
        <v>0</v>
      </c>
      <c r="E3658" s="2">
        <v>0</v>
      </c>
      <c r="F3658" s="2">
        <v>0</v>
      </c>
      <c r="G3658" s="2">
        <v>0</v>
      </c>
      <c r="H3658" s="1" t="s">
        <v>0</v>
      </c>
      <c r="I3658" s="2">
        <v>0</v>
      </c>
      <c r="J3658" s="1">
        <v>45915.377627314818</v>
      </c>
    </row>
    <row r="3659" spans="1:10" x14ac:dyDescent="0.2">
      <c r="A3659" s="4" t="s">
        <v>1</v>
      </c>
      <c r="B3659" s="3" t="str">
        <f>HYPERLINK("https://otsuka-europe-crm.veevavault.com/ui/#object/approved_document__v/V5OZ025E82TFUPI", "Spain - HCP Survey Email - June 2025")</f>
        <v>Spain - HCP Survey Email - June 2025</v>
      </c>
      <c r="C3659" s="3" t="str">
        <f>HYPERLINK("https://otsuka-europe-crm.veevavault.com/ui/#object/sent_email__v/VBLZ025E82GN0GQ", "SE-000270780")</f>
        <v>SE-000270780</v>
      </c>
      <c r="D3659" s="1">
        <v>45915.688043981485</v>
      </c>
      <c r="E3659" s="2">
        <v>1</v>
      </c>
      <c r="F3659" s="2">
        <v>1</v>
      </c>
      <c r="G3659" s="2">
        <v>0</v>
      </c>
      <c r="H3659" s="1" t="s">
        <v>0</v>
      </c>
      <c r="I3659" s="2">
        <v>0</v>
      </c>
      <c r="J3659" s="1">
        <v>45915.377997685187</v>
      </c>
    </row>
    <row r="3660" spans="1:10" x14ac:dyDescent="0.2">
      <c r="A3660" s="4" t="s">
        <v>1</v>
      </c>
      <c r="B3660" s="3" t="str">
        <f>HYPERLINK("https://otsuka-europe-crm.veevavault.com/ui/#object/approved_document__v/V5OZ025E82TFUPI", "Spain - HCP Survey Email - June 2025")</f>
        <v>Spain - HCP Survey Email - June 2025</v>
      </c>
      <c r="C3660" s="3" t="str">
        <f>HYPERLINK("https://otsuka-europe-crm.veevavault.com/ui/#object/sent_email__v/VBLZ025E82GN0GR", "SE-000270781")</f>
        <v>SE-000270781</v>
      </c>
      <c r="D3660" s="1">
        <v>45915.38108796296</v>
      </c>
      <c r="E3660" s="2">
        <v>1</v>
      </c>
      <c r="F3660" s="2">
        <v>1</v>
      </c>
      <c r="G3660" s="2">
        <v>0</v>
      </c>
      <c r="H3660" s="1" t="s">
        <v>0</v>
      </c>
      <c r="I3660" s="2">
        <v>0</v>
      </c>
      <c r="J3660" s="1">
        <v>45915.379016203704</v>
      </c>
    </row>
    <row r="3661" spans="1:10" x14ac:dyDescent="0.2">
      <c r="A3661" s="4" t="s">
        <v>1</v>
      </c>
      <c r="B3661" s="3" t="str">
        <f>HYPERLINK("https://otsuka-europe-crm.veevavault.com/ui/#object/approved_document__v/V5OZ025E82TFUPI", "Spain - HCP Survey Email - June 2025")</f>
        <v>Spain - HCP Survey Email - June 2025</v>
      </c>
      <c r="C3661" s="3" t="str">
        <f>HYPERLINK("https://otsuka-europe-crm.veevavault.com/ui/#object/sent_email__v/VBLZ025E82GN0GS", "SE-000270782")</f>
        <v>SE-000270782</v>
      </c>
      <c r="D3661" s="1" t="s">
        <v>0</v>
      </c>
      <c r="E3661" s="2">
        <v>0</v>
      </c>
      <c r="F3661" s="2">
        <v>0</v>
      </c>
      <c r="G3661" s="2">
        <v>0</v>
      </c>
      <c r="H3661" s="1" t="s">
        <v>0</v>
      </c>
      <c r="I3661" s="2">
        <v>0</v>
      </c>
      <c r="J3661" s="1">
        <v>45915.378668981481</v>
      </c>
    </row>
    <row r="3662" spans="1:10" x14ac:dyDescent="0.2">
      <c r="A3662" s="4" t="s">
        <v>1</v>
      </c>
      <c r="B3662" s="3" t="str">
        <f>HYPERLINK("https://otsuka-europe-crm.veevavault.com/ui/#object/approved_document__v/V5OZ025E82TFUPI", "Spain - HCP Survey Email - June 2025")</f>
        <v>Spain - HCP Survey Email - June 2025</v>
      </c>
      <c r="C3662" s="3" t="str">
        <f>HYPERLINK("https://otsuka-europe-crm.veevavault.com/ui/#object/sent_email__v/VBLZ025E82GN0GT", "SE-000270783")</f>
        <v>SE-000270783</v>
      </c>
      <c r="D3662" s="1">
        <v>45916.44903935185</v>
      </c>
      <c r="E3662" s="2">
        <v>1</v>
      </c>
      <c r="F3662" s="2">
        <v>2</v>
      </c>
      <c r="G3662" s="2">
        <v>0</v>
      </c>
      <c r="H3662" s="1" t="s">
        <v>0</v>
      </c>
      <c r="I3662" s="2">
        <v>0</v>
      </c>
      <c r="J3662" s="1">
        <v>45915.37909722222</v>
      </c>
    </row>
    <row r="3663" spans="1:10" x14ac:dyDescent="0.2">
      <c r="A3663" s="4" t="s">
        <v>1</v>
      </c>
      <c r="B3663" s="3" t="str">
        <f>HYPERLINK("https://otsuka-europe-crm.veevavault.com/ui/#object/approved_document__v/V5OZ025E82TFUPI", "Spain - HCP Survey Email - June 2025")</f>
        <v>Spain - HCP Survey Email - June 2025</v>
      </c>
      <c r="C3663" s="3" t="str">
        <f>HYPERLINK("https://otsuka-europe-crm.veevavault.com/ui/#object/sent_email__v/VBLZ025E82GN0GU", "SE-000270784")</f>
        <v>SE-000270784</v>
      </c>
      <c r="D3663" s="1">
        <v>45915.724710648145</v>
      </c>
      <c r="E3663" s="2">
        <v>1</v>
      </c>
      <c r="F3663" s="2">
        <v>1</v>
      </c>
      <c r="G3663" s="2">
        <v>0</v>
      </c>
      <c r="H3663" s="1" t="s">
        <v>0</v>
      </c>
      <c r="I3663" s="2">
        <v>0</v>
      </c>
      <c r="J3663" s="1">
        <v>45915.377870370372</v>
      </c>
    </row>
    <row r="3664" spans="1:10" x14ac:dyDescent="0.2">
      <c r="A3664" s="4" t="s">
        <v>1</v>
      </c>
      <c r="B3664" s="3" t="str">
        <f>HYPERLINK("https://otsuka-europe-crm.veevavault.com/ui/#object/approved_document__v/V5OZ025E82TFUPI", "Spain - HCP Survey Email - June 2025")</f>
        <v>Spain - HCP Survey Email - June 2025</v>
      </c>
      <c r="C3664" s="3" t="str">
        <f>HYPERLINK("https://otsuka-europe-crm.veevavault.com/ui/#object/sent_email__v/VBLZ025E82GN0GV", "SE-000270785")</f>
        <v>SE-000270785</v>
      </c>
      <c r="D3664" s="1">
        <v>45965.631504629629</v>
      </c>
      <c r="E3664" s="2">
        <v>1</v>
      </c>
      <c r="F3664" s="2">
        <v>4</v>
      </c>
      <c r="G3664" s="2">
        <v>0</v>
      </c>
      <c r="H3664" s="1" t="s">
        <v>0</v>
      </c>
      <c r="I3664" s="2">
        <v>0</v>
      </c>
      <c r="J3664" s="1">
        <v>45915.378217592595</v>
      </c>
    </row>
    <row r="3665" spans="1:10" x14ac:dyDescent="0.2">
      <c r="A3665" s="4" t="s">
        <v>1</v>
      </c>
      <c r="B3665" s="3" t="str">
        <f>HYPERLINK("https://otsuka-europe-crm.veevavault.com/ui/#object/approved_document__v/V5OZ025E82TFUPI", "Spain - HCP Survey Email - June 2025")</f>
        <v>Spain - HCP Survey Email - June 2025</v>
      </c>
      <c r="C3665" s="3" t="str">
        <f>HYPERLINK("https://otsuka-europe-crm.veevavault.com/ui/#object/sent_email__v/VBLZ025E82GN0GW", "SE-000270786")</f>
        <v>SE-000270786</v>
      </c>
      <c r="D3665" s="1">
        <v>45927.018090277779</v>
      </c>
      <c r="E3665" s="2">
        <v>1</v>
      </c>
      <c r="F3665" s="2">
        <v>2</v>
      </c>
      <c r="G3665" s="2">
        <v>1</v>
      </c>
      <c r="H3665" s="1">
        <v>45915.467719907407</v>
      </c>
      <c r="I3665" s="2">
        <v>2</v>
      </c>
      <c r="J3665" s="1">
        <v>45915.378819444442</v>
      </c>
    </row>
    <row r="3666" spans="1:10" x14ac:dyDescent="0.2">
      <c r="A3666" s="4" t="s">
        <v>1</v>
      </c>
      <c r="B3666" s="3" t="str">
        <f>HYPERLINK("https://otsuka-europe-crm.veevavault.com/ui/#object/approved_document__v/V5OZ025E82TFUPI", "Spain - HCP Survey Email - June 2025")</f>
        <v>Spain - HCP Survey Email - June 2025</v>
      </c>
      <c r="C3666" s="3" t="str">
        <f>HYPERLINK("https://otsuka-europe-crm.veevavault.com/ui/#object/sent_email__v/VBLZ025E82GN0GX", "SE-000270787")</f>
        <v>SE-000270787</v>
      </c>
      <c r="D3666" s="1">
        <v>45915.539606481485</v>
      </c>
      <c r="E3666" s="2">
        <v>1</v>
      </c>
      <c r="F3666" s="2">
        <v>1</v>
      </c>
      <c r="G3666" s="2">
        <v>1</v>
      </c>
      <c r="H3666" s="1">
        <v>45915.54142361111</v>
      </c>
      <c r="I3666" s="2">
        <v>1</v>
      </c>
      <c r="J3666" s="1">
        <v>45915.378784722219</v>
      </c>
    </row>
    <row r="3667" spans="1:10" x14ac:dyDescent="0.2">
      <c r="A3667" s="4" t="s">
        <v>1</v>
      </c>
      <c r="B3667" s="3" t="str">
        <f>HYPERLINK("https://otsuka-europe-crm.veevavault.com/ui/#object/approved_document__v/V5OZ025E82TFUPI", "Spain - HCP Survey Email - June 2025")</f>
        <v>Spain - HCP Survey Email - June 2025</v>
      </c>
      <c r="C3667" s="3" t="str">
        <f>HYPERLINK("https://otsuka-europe-crm.veevavault.com/ui/#object/sent_email__v/VBLZ025E82GN0GY", "SE-000270788")</f>
        <v>SE-000270788</v>
      </c>
      <c r="D3667" s="1" t="s">
        <v>0</v>
      </c>
      <c r="E3667" s="2">
        <v>0</v>
      </c>
      <c r="F3667" s="2">
        <v>0</v>
      </c>
      <c r="G3667" s="2">
        <v>0</v>
      </c>
      <c r="H3667" s="1" t="s">
        <v>0</v>
      </c>
      <c r="I3667" s="2">
        <v>0</v>
      </c>
      <c r="J3667" s="1">
        <v>45915.379027777781</v>
      </c>
    </row>
    <row r="3668" spans="1:10" x14ac:dyDescent="0.2">
      <c r="A3668" s="4" t="s">
        <v>1</v>
      </c>
      <c r="B3668" s="3" t="str">
        <f>HYPERLINK("https://otsuka-europe-crm.veevavault.com/ui/#object/approved_document__v/V5OZ025E82TFUPI", "Spain - HCP Survey Email - June 2025")</f>
        <v>Spain - HCP Survey Email - June 2025</v>
      </c>
      <c r="C3668" s="3" t="str">
        <f>HYPERLINK("https://otsuka-europe-crm.veevavault.com/ui/#object/sent_email__v/VBLZ025E82GN0GZ", "SE-000270789")</f>
        <v>SE-000270789</v>
      </c>
      <c r="D3668" s="1">
        <v>45915.377974537034</v>
      </c>
      <c r="E3668" s="2">
        <v>1</v>
      </c>
      <c r="F3668" s="2">
        <v>1</v>
      </c>
      <c r="G3668" s="2">
        <v>0</v>
      </c>
      <c r="H3668" s="1" t="s">
        <v>0</v>
      </c>
      <c r="I3668" s="2">
        <v>0</v>
      </c>
      <c r="J3668" s="1">
        <v>45915.377847222226</v>
      </c>
    </row>
    <row r="3669" spans="1:10" x14ac:dyDescent="0.2">
      <c r="A3669" s="4" t="s">
        <v>1</v>
      </c>
      <c r="B3669" s="3" t="str">
        <f>HYPERLINK("https://otsuka-europe-crm.veevavault.com/ui/#object/approved_document__v/V5OZ025E82TFUPI", "Spain - HCP Survey Email - June 2025")</f>
        <v>Spain - HCP Survey Email - June 2025</v>
      </c>
      <c r="C3669" s="3" t="str">
        <f>HYPERLINK("https://otsuka-europe-crm.veevavault.com/ui/#object/sent_email__v/VBLZ025E82GN0H0", "SE-000270790")</f>
        <v>SE-000270790</v>
      </c>
      <c r="D3669" s="1">
        <v>45915.480949074074</v>
      </c>
      <c r="E3669" s="2">
        <v>1</v>
      </c>
      <c r="F3669" s="2">
        <v>1</v>
      </c>
      <c r="G3669" s="2">
        <v>0</v>
      </c>
      <c r="H3669" s="1" t="s">
        <v>0</v>
      </c>
      <c r="I3669" s="2">
        <v>0</v>
      </c>
      <c r="J3669" s="1">
        <v>45915.378275462965</v>
      </c>
    </row>
    <row r="3670" spans="1:10" x14ac:dyDescent="0.2">
      <c r="A3670" s="4" t="s">
        <v>1</v>
      </c>
      <c r="B3670" s="3" t="str">
        <f>HYPERLINK("https://otsuka-europe-crm.veevavault.com/ui/#object/approved_document__v/V5OZ025E82TFUPI", "Spain - HCP Survey Email - June 2025")</f>
        <v>Spain - HCP Survey Email - June 2025</v>
      </c>
      <c r="C3670" s="3" t="str">
        <f>HYPERLINK("https://otsuka-europe-crm.veevavault.com/ui/#object/sent_email__v/VBLZ025E82GN0H1", "SE-000270791")</f>
        <v>SE-000270791</v>
      </c>
      <c r="D3670" s="1" t="s">
        <v>0</v>
      </c>
      <c r="E3670" s="2">
        <v>0</v>
      </c>
      <c r="F3670" s="2">
        <v>0</v>
      </c>
      <c r="G3670" s="2">
        <v>0</v>
      </c>
      <c r="H3670" s="1" t="s">
        <v>0</v>
      </c>
      <c r="I3670" s="2">
        <v>0</v>
      </c>
      <c r="J3670" s="1">
        <v>45915.378009259257</v>
      </c>
    </row>
    <row r="3671" spans="1:10" x14ac:dyDescent="0.2">
      <c r="A3671" s="4" t="s">
        <v>1</v>
      </c>
      <c r="B3671" s="3" t="str">
        <f>HYPERLINK("https://otsuka-europe-crm.veevavault.com/ui/#object/approved_document__v/V5OZ025E82TFUPI", "Spain - HCP Survey Email - June 2025")</f>
        <v>Spain - HCP Survey Email - June 2025</v>
      </c>
      <c r="C3671" s="3" t="str">
        <f>HYPERLINK("https://otsuka-europe-crm.veevavault.com/ui/#object/sent_email__v/VBLZ025E82GN0H2", "SE-000270792")</f>
        <v>SE-000270792</v>
      </c>
      <c r="D3671" s="1" t="s">
        <v>0</v>
      </c>
      <c r="E3671" s="2">
        <v>0</v>
      </c>
      <c r="F3671" s="2">
        <v>0</v>
      </c>
      <c r="G3671" s="2">
        <v>0</v>
      </c>
      <c r="H3671" s="1" t="s">
        <v>0</v>
      </c>
      <c r="I3671" s="2">
        <v>0</v>
      </c>
      <c r="J3671" s="1">
        <v>45915.378668981481</v>
      </c>
    </row>
    <row r="3672" spans="1:10" x14ac:dyDescent="0.2">
      <c r="A3672" s="4" t="s">
        <v>1</v>
      </c>
      <c r="B3672" s="3" t="str">
        <f>HYPERLINK("https://otsuka-europe-crm.veevavault.com/ui/#object/approved_document__v/V5OZ025E82TFUPI", "Spain - HCP Survey Email - June 2025")</f>
        <v>Spain - HCP Survey Email - June 2025</v>
      </c>
      <c r="C3672" s="3" t="str">
        <f>HYPERLINK("https://otsuka-europe-crm.veevavault.com/ui/#object/sent_email__v/VBLZ025E82GN0H3", "SE-000270793")</f>
        <v>SE-000270793</v>
      </c>
      <c r="D3672" s="1">
        <v>45915.380127314813</v>
      </c>
      <c r="E3672" s="2">
        <v>1</v>
      </c>
      <c r="F3672" s="2">
        <v>1</v>
      </c>
      <c r="G3672" s="2">
        <v>0</v>
      </c>
      <c r="H3672" s="1" t="s">
        <v>0</v>
      </c>
      <c r="I3672" s="2">
        <v>0</v>
      </c>
      <c r="J3672" s="1">
        <v>45915.379907407405</v>
      </c>
    </row>
    <row r="3673" spans="1:10" x14ac:dyDescent="0.2">
      <c r="A3673" s="4" t="s">
        <v>1</v>
      </c>
      <c r="B3673" s="3" t="str">
        <f>HYPERLINK("https://otsuka-europe-crm.veevavault.com/ui/#object/approved_document__v/V5OZ025E82TFUPI", "Spain - HCP Survey Email - June 2025")</f>
        <v>Spain - HCP Survey Email - June 2025</v>
      </c>
      <c r="C3673" s="3" t="str">
        <f>HYPERLINK("https://otsuka-europe-crm.veevavault.com/ui/#object/sent_email__v/VBLZ025E82GN0H4", "SE-000270794")</f>
        <v>SE-000270794</v>
      </c>
      <c r="D3673" s="1">
        <v>45916.246724537035</v>
      </c>
      <c r="E3673" s="2">
        <v>1</v>
      </c>
      <c r="F3673" s="2">
        <v>2</v>
      </c>
      <c r="G3673" s="2">
        <v>0</v>
      </c>
      <c r="H3673" s="1" t="s">
        <v>0</v>
      </c>
      <c r="I3673" s="2">
        <v>0</v>
      </c>
      <c r="J3673" s="1">
        <v>45915.37777777778</v>
      </c>
    </row>
    <row r="3674" spans="1:10" x14ac:dyDescent="0.2">
      <c r="A3674" s="4" t="s">
        <v>1</v>
      </c>
      <c r="B3674" s="3" t="str">
        <f>HYPERLINK("https://otsuka-europe-crm.veevavault.com/ui/#object/approved_document__v/V5OZ025E82TFUPI", "Spain - HCP Survey Email - June 2025")</f>
        <v>Spain - HCP Survey Email - June 2025</v>
      </c>
      <c r="C3674" s="3" t="str">
        <f>HYPERLINK("https://otsuka-europe-crm.veevavault.com/ui/#object/sent_email__v/VBLZ025E82GN0H5", "SE-000270795")</f>
        <v>SE-000270795</v>
      </c>
      <c r="D3674" s="1">
        <v>45915.934282407405</v>
      </c>
      <c r="E3674" s="2">
        <v>1</v>
      </c>
      <c r="F3674" s="2">
        <v>2</v>
      </c>
      <c r="G3674" s="2">
        <v>0</v>
      </c>
      <c r="H3674" s="1" t="s">
        <v>0</v>
      </c>
      <c r="I3674" s="2">
        <v>0</v>
      </c>
      <c r="J3674" s="1">
        <v>45915.377662037034</v>
      </c>
    </row>
    <row r="3675" spans="1:10" x14ac:dyDescent="0.2">
      <c r="A3675" s="4" t="s">
        <v>1</v>
      </c>
      <c r="B3675" s="3" t="str">
        <f>HYPERLINK("https://otsuka-europe-crm.veevavault.com/ui/#object/approved_document__v/V5OZ025E82TFUPI", "Spain - HCP Survey Email - June 2025")</f>
        <v>Spain - HCP Survey Email - June 2025</v>
      </c>
      <c r="C3675" s="3" t="str">
        <f>HYPERLINK("https://otsuka-europe-crm.veevavault.com/ui/#object/sent_email__v/VBLZ025E82GN0H6", "SE-000270796")</f>
        <v>SE-000270796</v>
      </c>
      <c r="D3675" s="1">
        <v>45915.507824074077</v>
      </c>
      <c r="E3675" s="2">
        <v>1</v>
      </c>
      <c r="F3675" s="2">
        <v>1</v>
      </c>
      <c r="G3675" s="2">
        <v>0</v>
      </c>
      <c r="H3675" s="1" t="s">
        <v>0</v>
      </c>
      <c r="I3675" s="2">
        <v>0</v>
      </c>
      <c r="J3675" s="1">
        <v>45915.377974537034</v>
      </c>
    </row>
    <row r="3676" spans="1:10" x14ac:dyDescent="0.2">
      <c r="A3676" s="4" t="s">
        <v>1</v>
      </c>
      <c r="B3676" s="3" t="str">
        <f>HYPERLINK("https://otsuka-europe-crm.veevavault.com/ui/#object/approved_document__v/V5OZ025E82TFUPI", "Spain - HCP Survey Email - June 2025")</f>
        <v>Spain - HCP Survey Email - June 2025</v>
      </c>
      <c r="C3676" s="3" t="str">
        <f>HYPERLINK("https://otsuka-europe-crm.veevavault.com/ui/#object/sent_email__v/VBLZ025E82GN0H7", "SE-000270797")</f>
        <v>SE-000270797</v>
      </c>
      <c r="D3676" s="1">
        <v>45915.499027777776</v>
      </c>
      <c r="E3676" s="2">
        <v>1</v>
      </c>
      <c r="F3676" s="2">
        <v>1</v>
      </c>
      <c r="G3676" s="2">
        <v>0</v>
      </c>
      <c r="H3676" s="1" t="s">
        <v>0</v>
      </c>
      <c r="I3676" s="2">
        <v>0</v>
      </c>
      <c r="J3676" s="1">
        <v>45915.378831018519</v>
      </c>
    </row>
    <row r="3677" spans="1:10" x14ac:dyDescent="0.2">
      <c r="A3677" s="4" t="s">
        <v>1</v>
      </c>
      <c r="B3677" s="3" t="str">
        <f>HYPERLINK("https://otsuka-europe-crm.veevavault.com/ui/#object/approved_document__v/V5OZ025E82TFUPI", "Spain - HCP Survey Email - June 2025")</f>
        <v>Spain - HCP Survey Email - June 2025</v>
      </c>
      <c r="C3677" s="3" t="str">
        <f>HYPERLINK("https://otsuka-europe-crm.veevavault.com/ui/#object/sent_email__v/VBLZ025E82GN0H8", "SE-000270798")</f>
        <v>SE-000270798</v>
      </c>
      <c r="D3677" s="1" t="s">
        <v>0</v>
      </c>
      <c r="E3677" s="2">
        <v>0</v>
      </c>
      <c r="F3677" s="2">
        <v>0</v>
      </c>
      <c r="G3677" s="2">
        <v>0</v>
      </c>
      <c r="H3677" s="1" t="s">
        <v>0</v>
      </c>
      <c r="I3677" s="2">
        <v>0</v>
      </c>
      <c r="J3677" s="1">
        <v>45915.378657407404</v>
      </c>
    </row>
    <row r="3678" spans="1:10" x14ac:dyDescent="0.2">
      <c r="A3678" s="4" t="s">
        <v>1</v>
      </c>
      <c r="B3678" s="3" t="str">
        <f>HYPERLINK("https://otsuka-europe-crm.veevavault.com/ui/#object/approved_document__v/V5OZ025E82TFUPI", "Spain - HCP Survey Email - June 2025")</f>
        <v>Spain - HCP Survey Email - June 2025</v>
      </c>
      <c r="C3678" s="3" t="str">
        <f>HYPERLINK("https://otsuka-europe-crm.veevavault.com/ui/#object/sent_email__v/VBLZ025E82GN0H9", "SE-000270799")</f>
        <v>SE-000270799</v>
      </c>
      <c r="D3678" s="1">
        <v>45915.379502314812</v>
      </c>
      <c r="E3678" s="2">
        <v>1</v>
      </c>
      <c r="F3678" s="2">
        <v>1</v>
      </c>
      <c r="G3678" s="2">
        <v>0</v>
      </c>
      <c r="H3678" s="1" t="s">
        <v>0</v>
      </c>
      <c r="I3678" s="2">
        <v>0</v>
      </c>
      <c r="J3678" s="1">
        <v>45915.379108796296</v>
      </c>
    </row>
    <row r="3679" spans="1:10" x14ac:dyDescent="0.2">
      <c r="A3679" s="4" t="s">
        <v>1</v>
      </c>
      <c r="B3679" s="3" t="str">
        <f>HYPERLINK("https://otsuka-europe-crm.veevavault.com/ui/#object/approved_document__v/V5OZ025E82TFUPI", "Spain - HCP Survey Email - June 2025")</f>
        <v>Spain - HCP Survey Email - June 2025</v>
      </c>
      <c r="C3679" s="3" t="str">
        <f>HYPERLINK("https://otsuka-europe-crm.veevavault.com/ui/#object/sent_email__v/VBLZ025E82GN0HB", "SE-000270801")</f>
        <v>SE-000270801</v>
      </c>
      <c r="D3679" s="1">
        <v>45915.416504629633</v>
      </c>
      <c r="E3679" s="2">
        <v>1</v>
      </c>
      <c r="F3679" s="2">
        <v>1</v>
      </c>
      <c r="G3679" s="2">
        <v>1</v>
      </c>
      <c r="H3679" s="1">
        <v>45915.416608796295</v>
      </c>
      <c r="I3679" s="2">
        <v>2</v>
      </c>
      <c r="J3679" s="1">
        <v>45915.378171296295</v>
      </c>
    </row>
    <row r="3680" spans="1:10" x14ac:dyDescent="0.2">
      <c r="A3680" s="4" t="s">
        <v>1</v>
      </c>
      <c r="B3680" s="3" t="str">
        <f>HYPERLINK("https://otsuka-europe-crm.veevavault.com/ui/#object/approved_document__v/V5OZ025E82TFUPI", "Spain - HCP Survey Email - June 2025")</f>
        <v>Spain - HCP Survey Email - June 2025</v>
      </c>
      <c r="C3680" s="3" t="str">
        <f>HYPERLINK("https://otsuka-europe-crm.veevavault.com/ui/#object/sent_email__v/VBLZ025E82GN0HC", "SE-000270802")</f>
        <v>SE-000270802</v>
      </c>
      <c r="D3680" s="1" t="s">
        <v>0</v>
      </c>
      <c r="E3680" s="2">
        <v>0</v>
      </c>
      <c r="F3680" s="2">
        <v>0</v>
      </c>
      <c r="G3680" s="2">
        <v>0</v>
      </c>
      <c r="H3680" s="1" t="s">
        <v>0</v>
      </c>
      <c r="I3680" s="2">
        <v>0</v>
      </c>
      <c r="J3680" s="1">
        <v>45915.378171296295</v>
      </c>
    </row>
    <row r="3681" spans="1:10" x14ac:dyDescent="0.2">
      <c r="A3681" s="4" t="s">
        <v>1</v>
      </c>
      <c r="B3681" s="3" t="str">
        <f>HYPERLINK("https://otsuka-europe-crm.veevavault.com/ui/#object/approved_document__v/V5OZ025E82TFUPI", "Spain - HCP Survey Email - June 2025")</f>
        <v>Spain - HCP Survey Email - June 2025</v>
      </c>
      <c r="C3681" s="3" t="str">
        <f>HYPERLINK("https://otsuka-europe-crm.veevavault.com/ui/#object/sent_email__v/VBLZ025E82GN0HD", "SE-000270803")</f>
        <v>SE-000270803</v>
      </c>
      <c r="D3681" s="1" t="s">
        <v>0</v>
      </c>
      <c r="E3681" s="2">
        <v>0</v>
      </c>
      <c r="F3681" s="2">
        <v>0</v>
      </c>
      <c r="G3681" s="2">
        <v>0</v>
      </c>
      <c r="H3681" s="1" t="s">
        <v>0</v>
      </c>
      <c r="I3681" s="2">
        <v>0</v>
      </c>
      <c r="J3681" s="1">
        <v>45915.378680555557</v>
      </c>
    </row>
    <row r="3682" spans="1:10" x14ac:dyDescent="0.2">
      <c r="A3682" s="4" t="s">
        <v>1</v>
      </c>
      <c r="B3682" s="3" t="str">
        <f>HYPERLINK("https://otsuka-europe-crm.veevavault.com/ui/#object/approved_document__v/V5OZ025E82TFUPI", "Spain - HCP Survey Email - June 2025")</f>
        <v>Spain - HCP Survey Email - June 2025</v>
      </c>
      <c r="C3682" s="3" t="str">
        <f>HYPERLINK("https://otsuka-europe-crm.veevavault.com/ui/#object/sent_email__v/VBLZ025E82GN0HE", "SE-000270804")</f>
        <v>SE-000270804</v>
      </c>
      <c r="D3682" s="1" t="s">
        <v>0</v>
      </c>
      <c r="E3682" s="2">
        <v>0</v>
      </c>
      <c r="F3682" s="2">
        <v>0</v>
      </c>
      <c r="G3682" s="2">
        <v>0</v>
      </c>
      <c r="H3682" s="1" t="s">
        <v>0</v>
      </c>
      <c r="I3682" s="2">
        <v>0</v>
      </c>
      <c r="J3682" s="1">
        <v>45915.379907407405</v>
      </c>
    </row>
    <row r="3683" spans="1:10" x14ac:dyDescent="0.2">
      <c r="A3683" s="4" t="s">
        <v>1</v>
      </c>
      <c r="B3683" s="3" t="str">
        <f>HYPERLINK("https://otsuka-europe-crm.veevavault.com/ui/#object/approved_document__v/V5OZ025E82TFUPI", "Spain - HCP Survey Email - June 2025")</f>
        <v>Spain - HCP Survey Email - June 2025</v>
      </c>
      <c r="C3683" s="3" t="str">
        <f>HYPERLINK("https://otsuka-europe-crm.veevavault.com/ui/#object/sent_email__v/VBLZ025E82GN0HF", "SE-000270805")</f>
        <v>SE-000270805</v>
      </c>
      <c r="D3683" s="1" t="s">
        <v>0</v>
      </c>
      <c r="E3683" s="2">
        <v>0</v>
      </c>
      <c r="F3683" s="2">
        <v>0</v>
      </c>
      <c r="G3683" s="2">
        <v>0</v>
      </c>
      <c r="H3683" s="1" t="s">
        <v>0</v>
      </c>
      <c r="I3683" s="2">
        <v>0</v>
      </c>
      <c r="J3683" s="1">
        <v>45915.37771990741</v>
      </c>
    </row>
    <row r="3684" spans="1:10" x14ac:dyDescent="0.2">
      <c r="A3684" s="4" t="s">
        <v>1</v>
      </c>
      <c r="B3684" s="3" t="str">
        <f>HYPERLINK("https://otsuka-europe-crm.veevavault.com/ui/#object/approved_document__v/V5OZ025E82TFUPI", "Spain - HCP Survey Email - June 2025")</f>
        <v>Spain - HCP Survey Email - June 2025</v>
      </c>
      <c r="C3684" s="3" t="str">
        <f>HYPERLINK("https://otsuka-europe-crm.veevavault.com/ui/#object/sent_email__v/VBLZ025E82GN0HG", "SE-000270806")</f>
        <v>SE-000270806</v>
      </c>
      <c r="D3684" s="1" t="s">
        <v>0</v>
      </c>
      <c r="E3684" s="2">
        <v>0</v>
      </c>
      <c r="F3684" s="2">
        <v>0</v>
      </c>
      <c r="G3684" s="2">
        <v>0</v>
      </c>
      <c r="H3684" s="1" t="s">
        <v>0</v>
      </c>
      <c r="I3684" s="2">
        <v>0</v>
      </c>
      <c r="J3684" s="1">
        <v>45915.377592592595</v>
      </c>
    </row>
    <row r="3685" spans="1:10" x14ac:dyDescent="0.2">
      <c r="A3685" s="4" t="s">
        <v>1</v>
      </c>
      <c r="B3685" s="3" t="str">
        <f>HYPERLINK("https://otsuka-europe-crm.veevavault.com/ui/#object/approved_document__v/V5OZ025E82TFUPI", "Spain - HCP Survey Email - June 2025")</f>
        <v>Spain - HCP Survey Email - June 2025</v>
      </c>
      <c r="C3685" s="3" t="str">
        <f>HYPERLINK("https://otsuka-europe-crm.veevavault.com/ui/#object/sent_email__v/VBLZ025E82GN0HH", "SE-000270807")</f>
        <v>SE-000270807</v>
      </c>
      <c r="D3685" s="1">
        <v>45915.964675925927</v>
      </c>
      <c r="E3685" s="2">
        <v>1</v>
      </c>
      <c r="F3685" s="2">
        <v>1</v>
      </c>
      <c r="G3685" s="2">
        <v>0</v>
      </c>
      <c r="H3685" s="1" t="s">
        <v>0</v>
      </c>
      <c r="I3685" s="2">
        <v>0</v>
      </c>
      <c r="J3685" s="1">
        <v>45915.378009259257</v>
      </c>
    </row>
    <row r="3686" spans="1:10" x14ac:dyDescent="0.2">
      <c r="A3686" s="4" t="s">
        <v>1</v>
      </c>
      <c r="B3686" s="3" t="str">
        <f>HYPERLINK("https://otsuka-europe-crm.veevavault.com/ui/#object/approved_document__v/V5OZ025E82TFUPI", "Spain - HCP Survey Email - June 2025")</f>
        <v>Spain - HCP Survey Email - June 2025</v>
      </c>
      <c r="C3686" s="3" t="str">
        <f>HYPERLINK("https://otsuka-europe-crm.veevavault.com/ui/#object/sent_email__v/VBLZ025E82GN0HI", "SE-000270808")</f>
        <v>SE-000270808</v>
      </c>
      <c r="D3686" s="1">
        <v>45915.378993055558</v>
      </c>
      <c r="E3686" s="2">
        <v>1</v>
      </c>
      <c r="F3686" s="2">
        <v>1</v>
      </c>
      <c r="G3686" s="2">
        <v>0</v>
      </c>
      <c r="H3686" s="1" t="s">
        <v>0</v>
      </c>
      <c r="I3686" s="2">
        <v>0</v>
      </c>
      <c r="J3686" s="1">
        <v>45915.378912037035</v>
      </c>
    </row>
    <row r="3687" spans="1:10" x14ac:dyDescent="0.2">
      <c r="A3687" s="4" t="s">
        <v>1</v>
      </c>
      <c r="B3687" s="3" t="str">
        <f>HYPERLINK("https://otsuka-europe-crm.veevavault.com/ui/#object/approved_document__v/V5OZ025E82TFUPI", "Spain - HCP Survey Email - June 2025")</f>
        <v>Spain - HCP Survey Email - June 2025</v>
      </c>
      <c r="C3687" s="3" t="str">
        <f>HYPERLINK("https://otsuka-europe-crm.veevavault.com/ui/#object/sent_email__v/VBLZ025E82GN0HJ", "SE-000270809")</f>
        <v>SE-000270809</v>
      </c>
      <c r="D3687" s="1">
        <v>45930.514745370368</v>
      </c>
      <c r="E3687" s="2">
        <v>1</v>
      </c>
      <c r="F3687" s="2">
        <v>2</v>
      </c>
      <c r="G3687" s="2">
        <v>0</v>
      </c>
      <c r="H3687" s="1" t="s">
        <v>0</v>
      </c>
      <c r="I3687" s="2">
        <v>0</v>
      </c>
      <c r="J3687" s="1">
        <v>45915.378692129627</v>
      </c>
    </row>
    <row r="3688" spans="1:10" x14ac:dyDescent="0.2">
      <c r="A3688" s="4" t="s">
        <v>1</v>
      </c>
      <c r="B3688" s="3" t="str">
        <f>HYPERLINK("https://otsuka-europe-crm.veevavault.com/ui/#object/approved_document__v/V5OZ025E82TFUPI", "Spain - HCP Survey Email - June 2025")</f>
        <v>Spain - HCP Survey Email - June 2025</v>
      </c>
      <c r="C3688" s="3" t="str">
        <f>HYPERLINK("https://otsuka-europe-crm.veevavault.com/ui/#object/sent_email__v/VBLZ025E82GN0HK", "SE-000270810")</f>
        <v>SE-000270810</v>
      </c>
      <c r="D3688" s="1" t="s">
        <v>0</v>
      </c>
      <c r="E3688" s="2">
        <v>0</v>
      </c>
      <c r="F3688" s="2">
        <v>0</v>
      </c>
      <c r="G3688" s="2">
        <v>0</v>
      </c>
      <c r="H3688" s="1" t="s">
        <v>0</v>
      </c>
      <c r="I3688" s="2">
        <v>0</v>
      </c>
      <c r="J3688" s="1">
        <v>45915.379027777781</v>
      </c>
    </row>
    <row r="3689" spans="1:10" x14ac:dyDescent="0.2">
      <c r="A3689" s="4" t="s">
        <v>1</v>
      </c>
      <c r="B3689" s="3" t="str">
        <f>HYPERLINK("https://otsuka-europe-crm.veevavault.com/ui/#object/approved_document__v/V5OZ025E82TFUPI", "Spain - HCP Survey Email - June 2025")</f>
        <v>Spain - HCP Survey Email - June 2025</v>
      </c>
      <c r="C3689" s="3" t="str">
        <f>HYPERLINK("https://otsuka-europe-crm.veevavault.com/ui/#object/sent_email__v/VBLZ025E82GN0HL", "SE-000270811")</f>
        <v>SE-000270811</v>
      </c>
      <c r="D3689" s="1" t="s">
        <v>0</v>
      </c>
      <c r="E3689" s="2">
        <v>0</v>
      </c>
      <c r="F3689" s="2">
        <v>0</v>
      </c>
      <c r="G3689" s="2">
        <v>0</v>
      </c>
      <c r="H3689" s="1" t="s">
        <v>0</v>
      </c>
      <c r="I3689" s="2">
        <v>0</v>
      </c>
      <c r="J3689" s="1">
        <v>45915.377800925926</v>
      </c>
    </row>
    <row r="3690" spans="1:10" x14ac:dyDescent="0.2">
      <c r="A3690" s="4" t="s">
        <v>1</v>
      </c>
      <c r="B3690" s="3" t="str">
        <f>HYPERLINK("https://otsuka-europe-crm.veevavault.com/ui/#object/approved_document__v/V5OZ025E82TFUPI", "Spain - HCP Survey Email - June 2025")</f>
        <v>Spain - HCP Survey Email - June 2025</v>
      </c>
      <c r="C3690" s="3" t="str">
        <f>HYPERLINK("https://otsuka-europe-crm.veevavault.com/ui/#object/sent_email__v/VBLZ025E82GN0HM", "SE-000270812")</f>
        <v>SE-000270812</v>
      </c>
      <c r="D3690" s="1" t="s">
        <v>0</v>
      </c>
      <c r="E3690" s="2">
        <v>0</v>
      </c>
      <c r="F3690" s="2">
        <v>0</v>
      </c>
      <c r="G3690" s="2">
        <v>0</v>
      </c>
      <c r="H3690" s="1" t="s">
        <v>0</v>
      </c>
      <c r="I3690" s="2">
        <v>0</v>
      </c>
      <c r="J3690" s="1">
        <v>45915.378182870372</v>
      </c>
    </row>
    <row r="3691" spans="1:10" x14ac:dyDescent="0.2">
      <c r="A3691" s="4" t="s">
        <v>1</v>
      </c>
      <c r="B3691" s="3" t="str">
        <f>HYPERLINK("https://otsuka-europe-crm.veevavault.com/ui/#object/approved_document__v/V5OZ025E82TFUPI", "Spain - HCP Survey Email - June 2025")</f>
        <v>Spain - HCP Survey Email - June 2025</v>
      </c>
      <c r="C3691" s="3" t="str">
        <f>HYPERLINK("https://otsuka-europe-crm.veevavault.com/ui/#object/sent_email__v/VBLZ025E82GN0HN", "SE-000270813")</f>
        <v>SE-000270813</v>
      </c>
      <c r="D3691" s="1">
        <v>45915.615300925929</v>
      </c>
      <c r="E3691" s="2">
        <v>1</v>
      </c>
      <c r="F3691" s="2">
        <v>2</v>
      </c>
      <c r="G3691" s="2">
        <v>1</v>
      </c>
      <c r="H3691" s="1">
        <v>45915.616585648146</v>
      </c>
      <c r="I3691" s="2">
        <v>2</v>
      </c>
      <c r="J3691" s="1">
        <v>45915.378032407411</v>
      </c>
    </row>
    <row r="3692" spans="1:10" x14ac:dyDescent="0.2">
      <c r="A3692" s="4" t="s">
        <v>1</v>
      </c>
      <c r="B3692" s="3" t="str">
        <f>HYPERLINK("https://otsuka-europe-crm.veevavault.com/ui/#object/approved_document__v/V5OZ025E82TFUPI", "Spain - HCP Survey Email - June 2025")</f>
        <v>Spain - HCP Survey Email - June 2025</v>
      </c>
      <c r="C3692" s="3" t="str">
        <f>HYPERLINK("https://otsuka-europe-crm.veevavault.com/ui/#object/sent_email__v/VBLZ025E82GN0HO", "SE-000270814")</f>
        <v>SE-000270814</v>
      </c>
      <c r="D3692" s="1">
        <v>45915.478182870371</v>
      </c>
      <c r="E3692" s="2">
        <v>1</v>
      </c>
      <c r="F3692" s="2">
        <v>1</v>
      </c>
      <c r="G3692" s="2">
        <v>0</v>
      </c>
      <c r="H3692" s="1" t="s">
        <v>0</v>
      </c>
      <c r="I3692" s="2">
        <v>0</v>
      </c>
      <c r="J3692" s="1">
        <v>45915.378599537034</v>
      </c>
    </row>
    <row r="3693" spans="1:10" x14ac:dyDescent="0.2">
      <c r="A3693" s="4" t="s">
        <v>1</v>
      </c>
      <c r="B3693" s="3" t="str">
        <f>HYPERLINK("https://otsuka-europe-crm.veevavault.com/ui/#object/approved_document__v/V5OZ025E82TFUPI", "Spain - HCP Survey Email - June 2025")</f>
        <v>Spain - HCP Survey Email - June 2025</v>
      </c>
      <c r="C3693" s="3" t="str">
        <f>HYPERLINK("https://otsuka-europe-crm.veevavault.com/ui/#object/sent_email__v/VBLZ025E82GN0HP", "SE-000270815")</f>
        <v>SE-000270815</v>
      </c>
      <c r="D3693" s="1">
        <v>45916.701377314814</v>
      </c>
      <c r="E3693" s="2">
        <v>1</v>
      </c>
      <c r="F3693" s="2">
        <v>1</v>
      </c>
      <c r="G3693" s="2">
        <v>0</v>
      </c>
      <c r="H3693" s="1" t="s">
        <v>0</v>
      </c>
      <c r="I3693" s="2">
        <v>0</v>
      </c>
      <c r="J3693" s="1">
        <v>45915.38003472222</v>
      </c>
    </row>
    <row r="3694" spans="1:10" x14ac:dyDescent="0.2">
      <c r="A3694" s="4" t="s">
        <v>1</v>
      </c>
      <c r="B3694" s="3" t="str">
        <f>HYPERLINK("https://otsuka-europe-crm.veevavault.com/ui/#object/approved_document__v/V5OZ025E82TFUPI", "Spain - HCP Survey Email - June 2025")</f>
        <v>Spain - HCP Survey Email - June 2025</v>
      </c>
      <c r="C3694" s="3" t="str">
        <f>HYPERLINK("https://otsuka-europe-crm.veevavault.com/ui/#object/sent_email__v/VBLZ025E82GN0HQ", "SE-000270816")</f>
        <v>SE-000270816</v>
      </c>
      <c r="D3694" s="1">
        <v>45915.393483796295</v>
      </c>
      <c r="E3694" s="2">
        <v>1</v>
      </c>
      <c r="F3694" s="2">
        <v>1</v>
      </c>
      <c r="G3694" s="2">
        <v>1</v>
      </c>
      <c r="H3694" s="1">
        <v>45915.393622685187</v>
      </c>
      <c r="I3694" s="2">
        <v>2</v>
      </c>
      <c r="J3694" s="1">
        <v>45915.377754629626</v>
      </c>
    </row>
    <row r="3695" spans="1:10" x14ac:dyDescent="0.2">
      <c r="A3695" s="4" t="s">
        <v>1</v>
      </c>
      <c r="B3695" s="3" t="str">
        <f>HYPERLINK("https://otsuka-europe-crm.veevavault.com/ui/#object/approved_document__v/V5OZ025E82TFUPI", "Spain - HCP Survey Email - June 2025")</f>
        <v>Spain - HCP Survey Email - June 2025</v>
      </c>
      <c r="C3695" s="3" t="str">
        <f>HYPERLINK("https://otsuka-europe-crm.veevavault.com/ui/#object/sent_email__v/VBLZ025E82GN0HR", "SE-000270817")</f>
        <v>SE-000270817</v>
      </c>
      <c r="D3695" s="1">
        <v>45944.66134259259</v>
      </c>
      <c r="E3695" s="2">
        <v>1</v>
      </c>
      <c r="F3695" s="2">
        <v>3</v>
      </c>
      <c r="G3695" s="2">
        <v>0</v>
      </c>
      <c r="H3695" s="1" t="s">
        <v>0</v>
      </c>
      <c r="I3695" s="2">
        <v>0</v>
      </c>
      <c r="J3695" s="1">
        <v>45915.377615740741</v>
      </c>
    </row>
    <row r="3696" spans="1:10" x14ac:dyDescent="0.2">
      <c r="A3696" s="4" t="s">
        <v>1</v>
      </c>
      <c r="B3696" s="3" t="str">
        <f>HYPERLINK("https://otsuka-europe-crm.veevavault.com/ui/#object/approved_document__v/V5OZ025E82TFUPI", "Spain - HCP Survey Email - June 2025")</f>
        <v>Spain - HCP Survey Email - June 2025</v>
      </c>
      <c r="C3696" s="3" t="str">
        <f>HYPERLINK("https://otsuka-europe-crm.veevavault.com/ui/#object/sent_email__v/VBLZ025E82GN0HS", "SE-000270818")</f>
        <v>SE-000270818</v>
      </c>
      <c r="D3696" s="1">
        <v>45915.388321759259</v>
      </c>
      <c r="E3696" s="2">
        <v>1</v>
      </c>
      <c r="F3696" s="2">
        <v>4</v>
      </c>
      <c r="G3696" s="2">
        <v>0</v>
      </c>
      <c r="H3696" s="1" t="s">
        <v>0</v>
      </c>
      <c r="I3696" s="2">
        <v>0</v>
      </c>
      <c r="J3696" s="1">
        <v>45915.377997685187</v>
      </c>
    </row>
    <row r="3697" spans="1:10" x14ac:dyDescent="0.2">
      <c r="A3697" s="4" t="s">
        <v>1</v>
      </c>
      <c r="B3697" s="3" t="str">
        <f>HYPERLINK("https://otsuka-europe-crm.veevavault.com/ui/#object/approved_document__v/V5OZ025E82TFUPI", "Spain - HCP Survey Email - June 2025")</f>
        <v>Spain - HCP Survey Email - June 2025</v>
      </c>
      <c r="C3697" s="3" t="str">
        <f>HYPERLINK("https://otsuka-europe-crm.veevavault.com/ui/#object/sent_email__v/VBLZ025E82GN0HT", "SE-000270819")</f>
        <v>SE-000270819</v>
      </c>
      <c r="D3697" s="1" t="s">
        <v>0</v>
      </c>
      <c r="E3697" s="2">
        <v>0</v>
      </c>
      <c r="F3697" s="2">
        <v>0</v>
      </c>
      <c r="G3697" s="2">
        <v>0</v>
      </c>
      <c r="H3697" s="1" t="s">
        <v>0</v>
      </c>
      <c r="I3697" s="2">
        <v>0</v>
      </c>
      <c r="J3697" s="1">
        <v>45915.37903935185</v>
      </c>
    </row>
    <row r="3698" spans="1:10" x14ac:dyDescent="0.2">
      <c r="A3698" s="4" t="s">
        <v>1</v>
      </c>
      <c r="B3698" s="3" t="str">
        <f>HYPERLINK("https://otsuka-europe-crm.veevavault.com/ui/#object/approved_document__v/V5OZ025E82TFUPI", "Spain - HCP Survey Email - June 2025")</f>
        <v>Spain - HCP Survey Email - June 2025</v>
      </c>
      <c r="C3698" s="3" t="str">
        <f>HYPERLINK("https://otsuka-europe-crm.veevavault.com/ui/#object/sent_email__v/VBLZ025E82GN0HU", "SE-000270820")</f>
        <v>SE-000270820</v>
      </c>
      <c r="D3698" s="1" t="s">
        <v>0</v>
      </c>
      <c r="E3698" s="2">
        <v>0</v>
      </c>
      <c r="F3698" s="2">
        <v>0</v>
      </c>
      <c r="G3698" s="2">
        <v>0</v>
      </c>
      <c r="H3698" s="1" t="s">
        <v>0</v>
      </c>
      <c r="I3698" s="2">
        <v>0</v>
      </c>
      <c r="J3698" s="1">
        <v>45915.378645833334</v>
      </c>
    </row>
    <row r="3699" spans="1:10" x14ac:dyDescent="0.2">
      <c r="A3699" s="4" t="s">
        <v>1</v>
      </c>
      <c r="B3699" s="3" t="str">
        <f>HYPERLINK("https://otsuka-europe-crm.veevavault.com/ui/#object/approved_document__v/V5OZ025E82TFUPI", "Spain - HCP Survey Email - June 2025")</f>
        <v>Spain - HCP Survey Email - June 2025</v>
      </c>
      <c r="C3699" s="3" t="str">
        <f>HYPERLINK("https://otsuka-europe-crm.veevavault.com/ui/#object/sent_email__v/VBLZ025E82GN0HV", "SE-000270821")</f>
        <v>SE-000270821</v>
      </c>
      <c r="D3699" s="1">
        <v>45915.483472222222</v>
      </c>
      <c r="E3699" s="2">
        <v>1</v>
      </c>
      <c r="F3699" s="2">
        <v>2</v>
      </c>
      <c r="G3699" s="2">
        <v>0</v>
      </c>
      <c r="H3699" s="1" t="s">
        <v>0</v>
      </c>
      <c r="I3699" s="2">
        <v>0</v>
      </c>
      <c r="J3699" s="1">
        <v>45915.379074074073</v>
      </c>
    </row>
    <row r="3700" spans="1:10" x14ac:dyDescent="0.2">
      <c r="A3700" s="4" t="s">
        <v>1</v>
      </c>
      <c r="B3700" s="3" t="str">
        <f>HYPERLINK("https://otsuka-europe-crm.veevavault.com/ui/#object/approved_document__v/V5OZ025E82TFUPI", "Spain - HCP Survey Email - June 2025")</f>
        <v>Spain - HCP Survey Email - June 2025</v>
      </c>
      <c r="C3700" s="3" t="str">
        <f>HYPERLINK("https://otsuka-europe-crm.veevavault.com/ui/#object/sent_email__v/VBLZ025E82GN0HW", "SE-000270822")</f>
        <v>SE-000270822</v>
      </c>
      <c r="D3700" s="1">
        <v>46051.78025462963</v>
      </c>
      <c r="E3700" s="2">
        <v>1</v>
      </c>
      <c r="F3700" s="2">
        <v>2</v>
      </c>
      <c r="G3700" s="2">
        <v>0</v>
      </c>
      <c r="H3700" s="1" t="s">
        <v>0</v>
      </c>
      <c r="I3700" s="2">
        <v>0</v>
      </c>
      <c r="J3700" s="1">
        <v>45915.377974537034</v>
      </c>
    </row>
    <row r="3701" spans="1:10" x14ac:dyDescent="0.2">
      <c r="A3701" s="4" t="s">
        <v>1</v>
      </c>
      <c r="B3701" s="3" t="str">
        <f>HYPERLINK("https://otsuka-europe-crm.veevavault.com/ui/#object/approved_document__v/V5OZ025E82TFUPI", "Spain - HCP Survey Email - June 2025")</f>
        <v>Spain - HCP Survey Email - June 2025</v>
      </c>
      <c r="C3701" s="3" t="str">
        <f>HYPERLINK("https://otsuka-europe-crm.veevavault.com/ui/#object/sent_email__v/VBLZ025E82GN0HX", "SE-000270823")</f>
        <v>SE-000270823</v>
      </c>
      <c r="D3701" s="1">
        <v>45916.27039351852</v>
      </c>
      <c r="E3701" s="2">
        <v>1</v>
      </c>
      <c r="F3701" s="2">
        <v>2</v>
      </c>
      <c r="G3701" s="2">
        <v>0</v>
      </c>
      <c r="H3701" s="1" t="s">
        <v>0</v>
      </c>
      <c r="I3701" s="2">
        <v>0</v>
      </c>
      <c r="J3701" s="1">
        <v>45915.379050925927</v>
      </c>
    </row>
    <row r="3702" spans="1:10" x14ac:dyDescent="0.2">
      <c r="A3702" s="4" t="s">
        <v>1</v>
      </c>
      <c r="B3702" s="3" t="str">
        <f>HYPERLINK("https://otsuka-europe-crm.veevavault.com/ui/#object/approved_document__v/V5OZ025E82TFUPI", "Spain - HCP Survey Email - June 2025")</f>
        <v>Spain - HCP Survey Email - June 2025</v>
      </c>
      <c r="C3702" s="3" t="str">
        <f>HYPERLINK("https://otsuka-europe-crm.veevavault.com/ui/#object/sent_email__v/VBLZ025E82GN0HY", "SE-000270824")</f>
        <v>SE-000270824</v>
      </c>
      <c r="D3702" s="1">
        <v>45915.577337962961</v>
      </c>
      <c r="E3702" s="2">
        <v>1</v>
      </c>
      <c r="F3702" s="2">
        <v>2</v>
      </c>
      <c r="G3702" s="2">
        <v>1</v>
      </c>
      <c r="H3702" s="1">
        <v>45915.57744212963</v>
      </c>
      <c r="I3702" s="2">
        <v>1</v>
      </c>
      <c r="J3702" s="1">
        <v>45915.378680555557</v>
      </c>
    </row>
    <row r="3703" spans="1:10" x14ac:dyDescent="0.2">
      <c r="A3703" s="4" t="s">
        <v>1</v>
      </c>
      <c r="B3703" s="3" t="str">
        <f>HYPERLINK("https://otsuka-europe-crm.veevavault.com/ui/#object/approved_document__v/V5OZ025E82TFUPI", "Spain - HCP Survey Email - June 2025")</f>
        <v>Spain - HCP Survey Email - June 2025</v>
      </c>
      <c r="C3703" s="3" t="str">
        <f>HYPERLINK("https://otsuka-europe-crm.veevavault.com/ui/#object/sent_email__v/VBLZ025E82GN0HZ", "SE-000270825")</f>
        <v>SE-000270825</v>
      </c>
      <c r="D3703" s="1" t="s">
        <v>0</v>
      </c>
      <c r="E3703" s="2">
        <v>0</v>
      </c>
      <c r="F3703" s="2">
        <v>0</v>
      </c>
      <c r="G3703" s="2">
        <v>0</v>
      </c>
      <c r="H3703" s="1" t="s">
        <v>0</v>
      </c>
      <c r="I3703" s="2">
        <v>0</v>
      </c>
      <c r="J3703" s="1">
        <v>45915.379050925927</v>
      </c>
    </row>
    <row r="3704" spans="1:10" x14ac:dyDescent="0.2">
      <c r="A3704" s="4" t="s">
        <v>1</v>
      </c>
      <c r="B3704" s="3" t="str">
        <f>HYPERLINK("https://otsuka-europe-crm.veevavault.com/ui/#object/approved_document__v/V5OZ025E82TFUPI", "Spain - HCP Survey Email - June 2025")</f>
        <v>Spain - HCP Survey Email - June 2025</v>
      </c>
      <c r="C3704" s="3" t="str">
        <f>HYPERLINK("https://otsuka-europe-crm.veevavault.com/ui/#object/sent_email__v/VBLZ025E82GN0I0", "SE-000270826")</f>
        <v>SE-000270826</v>
      </c>
      <c r="D3704" s="1" t="s">
        <v>0</v>
      </c>
      <c r="E3704" s="2">
        <v>0</v>
      </c>
      <c r="F3704" s="2">
        <v>0</v>
      </c>
      <c r="G3704" s="2">
        <v>0</v>
      </c>
      <c r="H3704" s="1" t="s">
        <v>0</v>
      </c>
      <c r="I3704" s="2">
        <v>0</v>
      </c>
      <c r="J3704" s="1">
        <v>45915.377789351849</v>
      </c>
    </row>
    <row r="3705" spans="1:10" x14ac:dyDescent="0.2">
      <c r="A3705" s="4" t="s">
        <v>1</v>
      </c>
      <c r="B3705" s="3" t="str">
        <f>HYPERLINK("https://otsuka-europe-crm.veevavault.com/ui/#object/approved_document__v/V5OZ025E82TFUPI", "Spain - HCP Survey Email - June 2025")</f>
        <v>Spain - HCP Survey Email - June 2025</v>
      </c>
      <c r="C3705" s="3" t="str">
        <f>HYPERLINK("https://otsuka-europe-crm.veevavault.com/ui/#object/sent_email__v/VBLZ025E82GN0I1", "SE-000270827")</f>
        <v>SE-000270827</v>
      </c>
      <c r="D3705" s="1" t="s">
        <v>0</v>
      </c>
      <c r="E3705" s="2">
        <v>0</v>
      </c>
      <c r="F3705" s="2">
        <v>0</v>
      </c>
      <c r="G3705" s="2">
        <v>0</v>
      </c>
      <c r="H3705" s="1" t="s">
        <v>0</v>
      </c>
      <c r="I3705" s="2">
        <v>0</v>
      </c>
      <c r="J3705" s="1">
        <v>45915.378217592595</v>
      </c>
    </row>
    <row r="3706" spans="1:10" x14ac:dyDescent="0.2">
      <c r="A3706" s="4" t="s">
        <v>1</v>
      </c>
      <c r="B3706" s="3" t="str">
        <f>HYPERLINK("https://otsuka-europe-crm.veevavault.com/ui/#object/approved_document__v/V5OZ025E82TFUPI", "Spain - HCP Survey Email - June 2025")</f>
        <v>Spain - HCP Survey Email - June 2025</v>
      </c>
      <c r="C3706" s="3" t="str">
        <f>HYPERLINK("https://otsuka-europe-crm.veevavault.com/ui/#object/sent_email__v/VBLZ025E82GN0I2", "SE-000270828")</f>
        <v>SE-000270828</v>
      </c>
      <c r="D3706" s="1" t="s">
        <v>0</v>
      </c>
      <c r="E3706" s="2">
        <v>0</v>
      </c>
      <c r="F3706" s="2">
        <v>0</v>
      </c>
      <c r="G3706" s="2">
        <v>0</v>
      </c>
      <c r="H3706" s="1" t="s">
        <v>0</v>
      </c>
      <c r="I3706" s="2">
        <v>0</v>
      </c>
      <c r="J3706" s="1">
        <v>45915.378101851849</v>
      </c>
    </row>
    <row r="3707" spans="1:10" x14ac:dyDescent="0.2">
      <c r="A3707" s="4" t="s">
        <v>1</v>
      </c>
      <c r="B3707" s="3" t="str">
        <f>HYPERLINK("https://otsuka-europe-crm.veevavault.com/ui/#object/approved_document__v/V5OZ025E82TFUPI", "Spain - HCP Survey Email - June 2025")</f>
        <v>Spain - HCP Survey Email - June 2025</v>
      </c>
      <c r="C3707" s="3" t="str">
        <f>HYPERLINK("https://otsuka-europe-crm.veevavault.com/ui/#object/sent_email__v/VBLZ025E82GN0I3", "SE-000270829")</f>
        <v>SE-000270829</v>
      </c>
      <c r="D3707" s="1" t="s">
        <v>0</v>
      </c>
      <c r="E3707" s="2">
        <v>0</v>
      </c>
      <c r="F3707" s="2">
        <v>0</v>
      </c>
      <c r="G3707" s="2">
        <v>0</v>
      </c>
      <c r="H3707" s="1" t="s">
        <v>0</v>
      </c>
      <c r="I3707" s="2">
        <v>0</v>
      </c>
      <c r="J3707" s="1">
        <v>45915.378657407404</v>
      </c>
    </row>
    <row r="3708" spans="1:10" x14ac:dyDescent="0.2">
      <c r="A3708" s="4" t="s">
        <v>1</v>
      </c>
      <c r="B3708" s="3" t="str">
        <f>HYPERLINK("https://otsuka-europe-crm.veevavault.com/ui/#object/approved_document__v/V5OZ025E82TFUPI", "Spain - HCP Survey Email - June 2025")</f>
        <v>Spain - HCP Survey Email - June 2025</v>
      </c>
      <c r="C3708" s="3" t="str">
        <f>HYPERLINK("https://otsuka-europe-crm.veevavault.com/ui/#object/sent_email__v/VBLZ025E82GN0I4", "SE-000270830")</f>
        <v>SE-000270830</v>
      </c>
      <c r="D3708" s="1">
        <v>45915.421747685185</v>
      </c>
      <c r="E3708" s="2">
        <v>1</v>
      </c>
      <c r="F3708" s="2">
        <v>1</v>
      </c>
      <c r="G3708" s="2">
        <v>0</v>
      </c>
      <c r="H3708" s="1" t="s">
        <v>0</v>
      </c>
      <c r="I3708" s="2">
        <v>0</v>
      </c>
      <c r="J3708" s="1">
        <v>45915.379942129628</v>
      </c>
    </row>
    <row r="3709" spans="1:10" x14ac:dyDescent="0.2">
      <c r="A3709" s="4" t="s">
        <v>1</v>
      </c>
      <c r="B3709" s="3" t="str">
        <f>HYPERLINK("https://otsuka-europe-crm.veevavault.com/ui/#object/approved_document__v/V5OZ025E82TFUPI", "Spain - HCP Survey Email - June 2025")</f>
        <v>Spain - HCP Survey Email - June 2025</v>
      </c>
      <c r="C3709" s="3" t="str">
        <f>HYPERLINK("https://otsuka-europe-crm.veevavault.com/ui/#object/sent_email__v/VBLZ025E82GN0I5", "SE-000270831")</f>
        <v>SE-000270831</v>
      </c>
      <c r="D3709" s="1" t="s">
        <v>0</v>
      </c>
      <c r="E3709" s="2">
        <v>0</v>
      </c>
      <c r="F3709" s="2">
        <v>0</v>
      </c>
      <c r="G3709" s="2">
        <v>0</v>
      </c>
      <c r="H3709" s="1" t="s">
        <v>0</v>
      </c>
      <c r="I3709" s="2">
        <v>0</v>
      </c>
      <c r="J3709" s="1">
        <v>45915.377743055556</v>
      </c>
    </row>
    <row r="3710" spans="1:10" x14ac:dyDescent="0.2">
      <c r="A3710" s="4" t="s">
        <v>1</v>
      </c>
      <c r="B3710" s="3" t="str">
        <f>HYPERLINK("https://otsuka-europe-crm.veevavault.com/ui/#object/approved_document__v/V5OZ025E82TFUPI", "Spain - HCP Survey Email - June 2025")</f>
        <v>Spain - HCP Survey Email - June 2025</v>
      </c>
      <c r="C3710" s="3" t="str">
        <f>HYPERLINK("https://otsuka-europe-crm.veevavault.com/ui/#object/sent_email__v/VBLZ025E82GN0I6", "SE-000270832")</f>
        <v>SE-000270832</v>
      </c>
      <c r="D3710" s="1">
        <v>45915.895011574074</v>
      </c>
      <c r="E3710" s="2">
        <v>1</v>
      </c>
      <c r="F3710" s="2">
        <v>1</v>
      </c>
      <c r="G3710" s="2">
        <v>0</v>
      </c>
      <c r="H3710" s="1" t="s">
        <v>0</v>
      </c>
      <c r="I3710" s="2">
        <v>0</v>
      </c>
      <c r="J3710" s="1">
        <v>45915.377662037034</v>
      </c>
    </row>
    <row r="3711" spans="1:10" x14ac:dyDescent="0.2">
      <c r="A3711" s="4" t="s">
        <v>1</v>
      </c>
      <c r="B3711" s="3" t="str">
        <f>HYPERLINK("https://otsuka-europe-crm.veevavault.com/ui/#object/approved_document__v/V5OZ025E82TFUPI", "Spain - HCP Survey Email - June 2025")</f>
        <v>Spain - HCP Survey Email - June 2025</v>
      </c>
      <c r="C3711" s="3" t="str">
        <f>HYPERLINK("https://otsuka-europe-crm.veevavault.com/ui/#object/sent_email__v/VBLZ025E82GN0I7", "SE-000270833")</f>
        <v>SE-000270833</v>
      </c>
      <c r="D3711" s="1">
        <v>45916.439212962963</v>
      </c>
      <c r="E3711" s="2">
        <v>1</v>
      </c>
      <c r="F3711" s="2">
        <v>1</v>
      </c>
      <c r="G3711" s="2">
        <v>0</v>
      </c>
      <c r="H3711" s="1" t="s">
        <v>0</v>
      </c>
      <c r="I3711" s="2">
        <v>0</v>
      </c>
      <c r="J3711" s="1">
        <v>45915.377962962964</v>
      </c>
    </row>
    <row r="3712" spans="1:10" x14ac:dyDescent="0.2">
      <c r="A3712" s="4" t="s">
        <v>1</v>
      </c>
      <c r="B3712" s="3" t="str">
        <f>HYPERLINK("https://otsuka-europe-crm.veevavault.com/ui/#object/approved_document__v/V5OZ025E82TFUPI", "Spain - HCP Survey Email - June 2025")</f>
        <v>Spain - HCP Survey Email - June 2025</v>
      </c>
      <c r="C3712" s="3" t="str">
        <f>HYPERLINK("https://otsuka-europe-crm.veevavault.com/ui/#object/sent_email__v/VBLZ025E82GN0I8", "SE-000270834")</f>
        <v>SE-000270834</v>
      </c>
      <c r="D3712" s="1">
        <v>45915.388738425929</v>
      </c>
      <c r="E3712" s="2">
        <v>1</v>
      </c>
      <c r="F3712" s="2">
        <v>2</v>
      </c>
      <c r="G3712" s="2">
        <v>0</v>
      </c>
      <c r="H3712" s="1" t="s">
        <v>0</v>
      </c>
      <c r="I3712" s="2">
        <v>0</v>
      </c>
      <c r="J3712" s="1">
        <v>45915.378784722219</v>
      </c>
    </row>
    <row r="3713" spans="1:10" x14ac:dyDescent="0.2">
      <c r="A3713" s="4" t="s">
        <v>1</v>
      </c>
      <c r="B3713" s="3" t="str">
        <f>HYPERLINK("https://otsuka-europe-crm.veevavault.com/ui/#object/approved_document__v/V5OZ025E82TFUPI", "Spain - HCP Survey Email - June 2025")</f>
        <v>Spain - HCP Survey Email - June 2025</v>
      </c>
      <c r="C3713" s="3" t="str">
        <f>HYPERLINK("https://otsuka-europe-crm.veevavault.com/ui/#object/sent_email__v/VBLZ025E82GN0I9", "SE-000270835")</f>
        <v>SE-000270835</v>
      </c>
      <c r="D3713" s="1" t="s">
        <v>0</v>
      </c>
      <c r="E3713" s="2">
        <v>0</v>
      </c>
      <c r="F3713" s="2">
        <v>0</v>
      </c>
      <c r="G3713" s="2">
        <v>0</v>
      </c>
      <c r="H3713" s="1" t="s">
        <v>0</v>
      </c>
      <c r="I3713" s="2">
        <v>0</v>
      </c>
      <c r="J3713" s="1">
        <v>45915.378680555557</v>
      </c>
    </row>
    <row r="3714" spans="1:10" x14ac:dyDescent="0.2">
      <c r="A3714" s="4" t="s">
        <v>1</v>
      </c>
      <c r="B3714" s="3" t="str">
        <f>HYPERLINK("https://otsuka-europe-crm.veevavault.com/ui/#object/approved_document__v/V5OZ025E82TFUPI", "Spain - HCP Survey Email - June 2025")</f>
        <v>Spain - HCP Survey Email - June 2025</v>
      </c>
      <c r="C3714" s="3" t="str">
        <f>HYPERLINK("https://otsuka-europe-crm.veevavault.com/ui/#object/sent_email__v/VBLZ025E82GN0IA", "SE-000270836")</f>
        <v>SE-000270836</v>
      </c>
      <c r="D3714" s="1">
        <v>45915.995416666665</v>
      </c>
      <c r="E3714" s="2">
        <v>1</v>
      </c>
      <c r="F3714" s="2">
        <v>1</v>
      </c>
      <c r="G3714" s="2">
        <v>0</v>
      </c>
      <c r="H3714" s="1" t="s">
        <v>0</v>
      </c>
      <c r="I3714" s="2">
        <v>0</v>
      </c>
      <c r="J3714" s="1">
        <v>45915.379050925927</v>
      </c>
    </row>
    <row r="3715" spans="1:10" x14ac:dyDescent="0.2">
      <c r="A3715" s="4" t="s">
        <v>1</v>
      </c>
      <c r="B3715" s="3" t="str">
        <f>HYPERLINK("https://otsuka-europe-crm.veevavault.com/ui/#object/approved_document__v/V5OZ025E82TFUPI", "Spain - HCP Survey Email - June 2025")</f>
        <v>Spain - HCP Survey Email - June 2025</v>
      </c>
      <c r="C3715" s="3" t="str">
        <f>HYPERLINK("https://otsuka-europe-crm.veevavault.com/ui/#object/sent_email__v/VBLZ025E82GN0IB", "SE-000270837")</f>
        <v>SE-000270837</v>
      </c>
      <c r="D3715" s="1" t="s">
        <v>0</v>
      </c>
      <c r="E3715" s="2">
        <v>0</v>
      </c>
      <c r="F3715" s="2">
        <v>0</v>
      </c>
      <c r="G3715" s="2">
        <v>0</v>
      </c>
      <c r="H3715" s="1" t="s">
        <v>0</v>
      </c>
      <c r="I3715" s="2">
        <v>0</v>
      </c>
      <c r="J3715" s="1">
        <v>45915.377847222226</v>
      </c>
    </row>
    <row r="3716" spans="1:10" x14ac:dyDescent="0.2">
      <c r="A3716" s="4" t="s">
        <v>1</v>
      </c>
      <c r="B3716" s="3" t="str">
        <f>HYPERLINK("https://otsuka-europe-crm.veevavault.com/ui/#object/approved_document__v/V5OZ025E82TFUPI", "Spain - HCP Survey Email - June 2025")</f>
        <v>Spain - HCP Survey Email - June 2025</v>
      </c>
      <c r="C3716" s="3" t="str">
        <f>HYPERLINK("https://otsuka-europe-crm.veevavault.com/ui/#object/sent_email__v/VBLZ025E82GN0IC", "SE-000270838")</f>
        <v>SE-000270838</v>
      </c>
      <c r="D3716" s="1" t="s">
        <v>0</v>
      </c>
      <c r="E3716" s="2">
        <v>0</v>
      </c>
      <c r="F3716" s="2">
        <v>0</v>
      </c>
      <c r="G3716" s="2">
        <v>0</v>
      </c>
      <c r="H3716" s="1" t="s">
        <v>0</v>
      </c>
      <c r="I3716" s="2">
        <v>0</v>
      </c>
      <c r="J3716" s="1">
        <v>45915.378263888888</v>
      </c>
    </row>
    <row r="3717" spans="1:10" x14ac:dyDescent="0.2">
      <c r="A3717" s="4" t="s">
        <v>1</v>
      </c>
      <c r="B3717" s="3" t="str">
        <f>HYPERLINK("https://otsuka-europe-crm.veevavault.com/ui/#object/approved_document__v/V5OZ025E82TFUPI", "Spain - HCP Survey Email - June 2025")</f>
        <v>Spain - HCP Survey Email - June 2025</v>
      </c>
      <c r="C3717" s="3" t="str">
        <f>HYPERLINK("https://otsuka-europe-crm.veevavault.com/ui/#object/sent_email__v/VBLZ025E82GN0ID", "SE-000270839")</f>
        <v>SE-000270839</v>
      </c>
      <c r="D3717" s="1" t="s">
        <v>0</v>
      </c>
      <c r="E3717" s="2">
        <v>0</v>
      </c>
      <c r="F3717" s="2">
        <v>0</v>
      </c>
      <c r="G3717" s="2">
        <v>0</v>
      </c>
      <c r="H3717" s="1" t="s">
        <v>0</v>
      </c>
      <c r="I3717" s="2">
        <v>0</v>
      </c>
      <c r="J3717" s="1">
        <v>45915.37809027778</v>
      </c>
    </row>
    <row r="3718" spans="1:10" x14ac:dyDescent="0.2">
      <c r="A3718" s="4" t="s">
        <v>1</v>
      </c>
      <c r="B3718" s="3" t="str">
        <f>HYPERLINK("https://otsuka-europe-crm.veevavault.com/ui/#object/approved_document__v/V5OZ025E82TFUPI", "Spain - HCP Survey Email - June 2025")</f>
        <v>Spain - HCP Survey Email - June 2025</v>
      </c>
      <c r="C3718" s="3" t="str">
        <f>HYPERLINK("https://otsuka-europe-crm.veevavault.com/ui/#object/sent_email__v/VBLZ025E82GN0IE", "SE-000270840")</f>
        <v>SE-000270840</v>
      </c>
      <c r="D3718" s="1">
        <v>45915.626597222225</v>
      </c>
      <c r="E3718" s="2">
        <v>1</v>
      </c>
      <c r="F3718" s="2">
        <v>1</v>
      </c>
      <c r="G3718" s="2">
        <v>1</v>
      </c>
      <c r="H3718" s="1">
        <v>45915.633981481478</v>
      </c>
      <c r="I3718" s="2">
        <v>1</v>
      </c>
      <c r="J3718" s="1">
        <v>45915.378657407404</v>
      </c>
    </row>
    <row r="3719" spans="1:10" x14ac:dyDescent="0.2">
      <c r="A3719" s="4" t="s">
        <v>1</v>
      </c>
      <c r="B3719" s="3" t="str">
        <f>HYPERLINK("https://otsuka-europe-crm.veevavault.com/ui/#object/approved_document__v/V5OZ025E82TFUPI", "Spain - HCP Survey Email - June 2025")</f>
        <v>Spain - HCP Survey Email - June 2025</v>
      </c>
      <c r="C3719" s="3" t="str">
        <f>HYPERLINK("https://otsuka-europe-crm.veevavault.com/ui/#object/sent_email__v/VBLZ025E82GN0IF", "SE-000270841")</f>
        <v>SE-000270841</v>
      </c>
      <c r="D3719" s="1" t="s">
        <v>0</v>
      </c>
      <c r="E3719" s="2">
        <v>0</v>
      </c>
      <c r="F3719" s="2">
        <v>0</v>
      </c>
      <c r="G3719" s="2">
        <v>0</v>
      </c>
      <c r="H3719" s="1" t="s">
        <v>0</v>
      </c>
      <c r="I3719" s="2">
        <v>0</v>
      </c>
      <c r="J3719" s="1">
        <v>45915.379895833335</v>
      </c>
    </row>
    <row r="3720" spans="1:10" x14ac:dyDescent="0.2">
      <c r="A3720" s="4" t="s">
        <v>1</v>
      </c>
      <c r="B3720" s="3" t="str">
        <f>HYPERLINK("https://otsuka-europe-crm.veevavault.com/ui/#object/approved_document__v/V5OZ025E82TFUPI", "Spain - HCP Survey Email - June 2025")</f>
        <v>Spain - HCP Survey Email - June 2025</v>
      </c>
      <c r="C3720" s="3" t="str">
        <f>HYPERLINK("https://otsuka-europe-crm.veevavault.com/ui/#object/sent_email__v/VBLZ025E82GN0IG", "SE-000270842")</f>
        <v>SE-000270842</v>
      </c>
      <c r="D3720" s="1">
        <v>45916.034143518518</v>
      </c>
      <c r="E3720" s="2">
        <v>1</v>
      </c>
      <c r="F3720" s="2">
        <v>1</v>
      </c>
      <c r="G3720" s="2">
        <v>0</v>
      </c>
      <c r="H3720" s="1" t="s">
        <v>0</v>
      </c>
      <c r="I3720" s="2">
        <v>0</v>
      </c>
      <c r="J3720" s="1">
        <v>45915.377766203703</v>
      </c>
    </row>
    <row r="3721" spans="1:10" x14ac:dyDescent="0.2">
      <c r="A3721" s="4" t="s">
        <v>1</v>
      </c>
      <c r="B3721" s="3" t="str">
        <f>HYPERLINK("https://otsuka-europe-crm.veevavault.com/ui/#object/approved_document__v/V5OZ025E82TFUPI", "Spain - HCP Survey Email - June 2025")</f>
        <v>Spain - HCP Survey Email - June 2025</v>
      </c>
      <c r="C3721" s="3" t="str">
        <f>HYPERLINK("https://otsuka-europe-crm.veevavault.com/ui/#object/sent_email__v/VBLZ025E82GN0IH", "SE-000270843")</f>
        <v>SE-000270843</v>
      </c>
      <c r="D3721" s="1">
        <v>45915.377858796295</v>
      </c>
      <c r="E3721" s="2">
        <v>1</v>
      </c>
      <c r="F3721" s="2">
        <v>2</v>
      </c>
      <c r="G3721" s="2">
        <v>0</v>
      </c>
      <c r="H3721" s="1" t="s">
        <v>0</v>
      </c>
      <c r="I3721" s="2">
        <v>0</v>
      </c>
      <c r="J3721" s="1">
        <v>45915.377662037034</v>
      </c>
    </row>
    <row r="3722" spans="1:10" x14ac:dyDescent="0.2">
      <c r="A3722" s="4" t="s">
        <v>1</v>
      </c>
      <c r="B3722" s="3" t="str">
        <f>HYPERLINK("https://otsuka-europe-crm.veevavault.com/ui/#object/approved_document__v/V5OZ025E82TFUPI", "Spain - HCP Survey Email - June 2025")</f>
        <v>Spain - HCP Survey Email - June 2025</v>
      </c>
      <c r="C3722" s="3" t="str">
        <f>HYPERLINK("https://otsuka-europe-crm.veevavault.com/ui/#object/sent_email__v/VBLZ025E82GN0II", "SE-000270844")</f>
        <v>SE-000270844</v>
      </c>
      <c r="D3722" s="1" t="s">
        <v>0</v>
      </c>
      <c r="E3722" s="2">
        <v>0</v>
      </c>
      <c r="F3722" s="2">
        <v>0</v>
      </c>
      <c r="G3722" s="2">
        <v>0</v>
      </c>
      <c r="H3722" s="1" t="s">
        <v>0</v>
      </c>
      <c r="I3722" s="2">
        <v>0</v>
      </c>
      <c r="J3722" s="1">
        <v>45915.378020833334</v>
      </c>
    </row>
    <row r="3723" spans="1:10" x14ac:dyDescent="0.2">
      <c r="A3723" s="4" t="s">
        <v>1</v>
      </c>
      <c r="B3723" s="3" t="str">
        <f>HYPERLINK("https://otsuka-europe-crm.veevavault.com/ui/#object/approved_document__v/V5OZ025E82TFUPI", "Spain - HCP Survey Email - June 2025")</f>
        <v>Spain - HCP Survey Email - June 2025</v>
      </c>
      <c r="C3723" s="3" t="str">
        <f>HYPERLINK("https://otsuka-europe-crm.veevavault.com/ui/#object/sent_email__v/VBLZ025E82GN0IJ", "SE-000270845")</f>
        <v>SE-000270845</v>
      </c>
      <c r="D3723" s="1">
        <v>45916.017013888886</v>
      </c>
      <c r="E3723" s="2">
        <v>1</v>
      </c>
      <c r="F3723" s="2">
        <v>5</v>
      </c>
      <c r="G3723" s="2">
        <v>0</v>
      </c>
      <c r="H3723" s="1" t="s">
        <v>0</v>
      </c>
      <c r="I3723" s="2">
        <v>0</v>
      </c>
      <c r="J3723" s="1">
        <v>45915.378935185188</v>
      </c>
    </row>
    <row r="3724" spans="1:10" x14ac:dyDescent="0.2">
      <c r="A3724" s="4" t="s">
        <v>1</v>
      </c>
      <c r="B3724" s="3" t="str">
        <f>HYPERLINK("https://otsuka-europe-crm.veevavault.com/ui/#object/approved_document__v/V5OZ025E82TFUPI", "Spain - HCP Survey Email - June 2025")</f>
        <v>Spain - HCP Survey Email - June 2025</v>
      </c>
      <c r="C3724" s="3" t="str">
        <f>HYPERLINK("https://otsuka-europe-crm.veevavault.com/ui/#object/sent_email__v/VBLZ025E82GN0IK", "SE-000270846")</f>
        <v>SE-000270846</v>
      </c>
      <c r="D3724" s="1" t="s">
        <v>0</v>
      </c>
      <c r="E3724" s="2">
        <v>0</v>
      </c>
      <c r="F3724" s="2">
        <v>0</v>
      </c>
      <c r="G3724" s="2">
        <v>0</v>
      </c>
      <c r="H3724" s="1" t="s">
        <v>0</v>
      </c>
      <c r="I3724" s="2">
        <v>0</v>
      </c>
      <c r="J3724" s="1">
        <v>45915.378703703704</v>
      </c>
    </row>
    <row r="3725" spans="1:10" x14ac:dyDescent="0.2">
      <c r="A3725" s="4" t="s">
        <v>1</v>
      </c>
      <c r="B3725" s="3" t="str">
        <f>HYPERLINK("https://otsuka-europe-crm.veevavault.com/ui/#object/approved_document__v/V5OZ025E82TFUPI", "Spain - HCP Survey Email - June 2025")</f>
        <v>Spain - HCP Survey Email - June 2025</v>
      </c>
      <c r="C3725" s="3" t="str">
        <f>HYPERLINK("https://otsuka-europe-crm.veevavault.com/ui/#object/sent_email__v/VBLZ025E82GN0IL", "SE-000270847")</f>
        <v>SE-000270847</v>
      </c>
      <c r="D3725" s="1">
        <v>45915.404479166667</v>
      </c>
      <c r="E3725" s="2">
        <v>1</v>
      </c>
      <c r="F3725" s="2">
        <v>1</v>
      </c>
      <c r="G3725" s="2">
        <v>0</v>
      </c>
      <c r="H3725" s="1" t="s">
        <v>0</v>
      </c>
      <c r="I3725" s="2">
        <v>0</v>
      </c>
      <c r="J3725" s="1">
        <v>45915.379108796296</v>
      </c>
    </row>
    <row r="3726" spans="1:10" x14ac:dyDescent="0.2">
      <c r="A3726" s="4" t="s">
        <v>1</v>
      </c>
      <c r="B3726" s="3" t="str">
        <f>HYPERLINK("https://otsuka-europe-crm.veevavault.com/ui/#object/approved_document__v/V5OZ025E82TFUPI", "Spain - HCP Survey Email - June 2025")</f>
        <v>Spain - HCP Survey Email - June 2025</v>
      </c>
      <c r="C3726" s="3" t="str">
        <f>HYPERLINK("https://otsuka-europe-crm.veevavault.com/ui/#object/sent_email__v/VBLZ025E82GN0IM", "SE-000270848")</f>
        <v>SE-000270848</v>
      </c>
      <c r="D3726" s="1">
        <v>45916.785486111112</v>
      </c>
      <c r="E3726" s="2">
        <v>1</v>
      </c>
      <c r="F3726" s="2">
        <v>3</v>
      </c>
      <c r="G3726" s="2">
        <v>1</v>
      </c>
      <c r="H3726" s="1">
        <v>45916.785520833335</v>
      </c>
      <c r="I3726" s="2">
        <v>1</v>
      </c>
      <c r="J3726" s="1">
        <v>45915.377627314818</v>
      </c>
    </row>
    <row r="3727" spans="1:10" x14ac:dyDescent="0.2">
      <c r="A3727" s="4" t="s">
        <v>1</v>
      </c>
      <c r="B3727" s="3" t="str">
        <f>HYPERLINK("https://otsuka-europe-crm.veevavault.com/ui/#object/approved_document__v/V5OZ025E82TFUPI", "Spain - HCP Survey Email - June 2025")</f>
        <v>Spain - HCP Survey Email - June 2025</v>
      </c>
      <c r="C3727" s="3" t="str">
        <f>HYPERLINK("https://otsuka-europe-crm.veevavault.com/ui/#object/sent_email__v/VBLZ025E82GN0IN", "SE-000270849")</f>
        <v>SE-000270849</v>
      </c>
      <c r="D3727" s="1">
        <v>45918.585069444445</v>
      </c>
      <c r="E3727" s="2">
        <v>1</v>
      </c>
      <c r="F3727" s="2">
        <v>2</v>
      </c>
      <c r="G3727" s="2">
        <v>0</v>
      </c>
      <c r="H3727" s="1" t="s">
        <v>0</v>
      </c>
      <c r="I3727" s="2">
        <v>0</v>
      </c>
      <c r="J3727" s="1">
        <v>45915.377997685187</v>
      </c>
    </row>
    <row r="3728" spans="1:10" x14ac:dyDescent="0.2">
      <c r="A3728" s="4" t="s">
        <v>1</v>
      </c>
      <c r="B3728" s="3" t="str">
        <f>HYPERLINK("https://otsuka-europe-crm.veevavault.com/ui/#object/approved_document__v/V5OZ025E82TFUPI", "Spain - HCP Survey Email - June 2025")</f>
        <v>Spain - HCP Survey Email - June 2025</v>
      </c>
      <c r="C3728" s="3" t="str">
        <f>HYPERLINK("https://otsuka-europe-crm.veevavault.com/ui/#object/sent_email__v/VBLZ025E82GN0IO", "SE-000270850")</f>
        <v>SE-000270850</v>
      </c>
      <c r="D3728" s="1" t="s">
        <v>0</v>
      </c>
      <c r="E3728" s="2">
        <v>0</v>
      </c>
      <c r="F3728" s="2">
        <v>0</v>
      </c>
      <c r="G3728" s="2">
        <v>0</v>
      </c>
      <c r="H3728" s="1" t="s">
        <v>0</v>
      </c>
      <c r="I3728" s="2">
        <v>0</v>
      </c>
      <c r="J3728" s="1">
        <v>45915.378819444442</v>
      </c>
    </row>
    <row r="3729" spans="1:10" x14ac:dyDescent="0.2">
      <c r="A3729" s="4" t="s">
        <v>1</v>
      </c>
      <c r="B3729" s="3" t="str">
        <f>HYPERLINK("https://otsuka-europe-crm.veevavault.com/ui/#object/approved_document__v/V5OZ025E82TFUPI", "Spain - HCP Survey Email - June 2025")</f>
        <v>Spain - HCP Survey Email - June 2025</v>
      </c>
      <c r="C3729" s="3" t="str">
        <f>HYPERLINK("https://otsuka-europe-crm.veevavault.com/ui/#object/sent_email__v/VBLZ025E82GN0IP", "SE-000270851")</f>
        <v>SE-000270851</v>
      </c>
      <c r="D3729" s="1">
        <v>45916.205347222225</v>
      </c>
      <c r="E3729" s="2">
        <v>1</v>
      </c>
      <c r="F3729" s="2">
        <v>2</v>
      </c>
      <c r="G3729" s="2">
        <v>0</v>
      </c>
      <c r="H3729" s="1" t="s">
        <v>0</v>
      </c>
      <c r="I3729" s="2">
        <v>0</v>
      </c>
      <c r="J3729" s="1">
        <v>45915.378703703704</v>
      </c>
    </row>
    <row r="3730" spans="1:10" x14ac:dyDescent="0.2">
      <c r="A3730" s="4" t="s">
        <v>1</v>
      </c>
      <c r="B3730" s="3" t="str">
        <f>HYPERLINK("https://otsuka-europe-crm.veevavault.com/ui/#object/approved_document__v/V5OZ025E82TFUPI", "Spain - HCP Survey Email - June 2025")</f>
        <v>Spain - HCP Survey Email - June 2025</v>
      </c>
      <c r="C3730" s="3" t="str">
        <f>HYPERLINK("https://otsuka-europe-crm.veevavault.com/ui/#object/sent_email__v/VBLZ025E82GN0IQ", "SE-000270852")</f>
        <v>SE-000270852</v>
      </c>
      <c r="D3730" s="1">
        <v>45916.289814814816</v>
      </c>
      <c r="E3730" s="2">
        <v>1</v>
      </c>
      <c r="F3730" s="2">
        <v>1</v>
      </c>
      <c r="G3730" s="2">
        <v>0</v>
      </c>
      <c r="H3730" s="1" t="s">
        <v>0</v>
      </c>
      <c r="I3730" s="2">
        <v>0</v>
      </c>
      <c r="J3730" s="1">
        <v>45915.37903935185</v>
      </c>
    </row>
    <row r="3731" spans="1:10" x14ac:dyDescent="0.2">
      <c r="A3731" s="4" t="s">
        <v>1</v>
      </c>
      <c r="B3731" s="3" t="str">
        <f>HYPERLINK("https://otsuka-europe-crm.veevavault.com/ui/#object/approved_document__v/V5OZ025E82TFUPI", "Spain - HCP Survey Email - June 2025")</f>
        <v>Spain - HCP Survey Email - June 2025</v>
      </c>
      <c r="C3731" s="3" t="str">
        <f>HYPERLINK("https://otsuka-europe-crm.veevavault.com/ui/#object/sent_email__v/VBLZ025E82GN0IR", "SE-000270853")</f>
        <v>SE-000270853</v>
      </c>
      <c r="D3731" s="1">
        <v>45915.388379629629</v>
      </c>
      <c r="E3731" s="2">
        <v>1</v>
      </c>
      <c r="F3731" s="2">
        <v>1</v>
      </c>
      <c r="G3731" s="2">
        <v>0</v>
      </c>
      <c r="H3731" s="1" t="s">
        <v>0</v>
      </c>
      <c r="I3731" s="2">
        <v>0</v>
      </c>
      <c r="J3731" s="1">
        <v>45915.377766203703</v>
      </c>
    </row>
    <row r="3732" spans="1:10" x14ac:dyDescent="0.2">
      <c r="A3732" s="4" t="s">
        <v>1</v>
      </c>
      <c r="B3732" s="3" t="str">
        <f>HYPERLINK("https://otsuka-europe-crm.veevavault.com/ui/#object/approved_document__v/V5OZ025E82TFUPI", "Spain - HCP Survey Email - June 2025")</f>
        <v>Spain - HCP Survey Email - June 2025</v>
      </c>
      <c r="C3732" s="3" t="str">
        <f>HYPERLINK("https://otsuka-europe-crm.veevavault.com/ui/#object/sent_email__v/VBLZ025E82GN0IS", "SE-000270854")</f>
        <v>SE-000270854</v>
      </c>
      <c r="D3732" s="1">
        <v>45917.697627314818</v>
      </c>
      <c r="E3732" s="2">
        <v>1</v>
      </c>
      <c r="F3732" s="2">
        <v>3</v>
      </c>
      <c r="G3732" s="2">
        <v>0</v>
      </c>
      <c r="H3732" s="1" t="s">
        <v>0</v>
      </c>
      <c r="I3732" s="2">
        <v>0</v>
      </c>
      <c r="J3732" s="1">
        <v>45915.378171296295</v>
      </c>
    </row>
    <row r="3733" spans="1:10" x14ac:dyDescent="0.2">
      <c r="A3733" s="4" t="s">
        <v>1</v>
      </c>
      <c r="B3733" s="3" t="str">
        <f>HYPERLINK("https://otsuka-europe-crm.veevavault.com/ui/#object/approved_document__v/V5OZ025E82TFUPI", "Spain - HCP Survey Email - June 2025")</f>
        <v>Spain - HCP Survey Email - June 2025</v>
      </c>
      <c r="C3733" s="3" t="str">
        <f>HYPERLINK("https://otsuka-europe-crm.veevavault.com/ui/#object/sent_email__v/VBLZ025E82GN0IT", "SE-000270855")</f>
        <v>SE-000270855</v>
      </c>
      <c r="D3733" s="1">
        <v>45915.527569444443</v>
      </c>
      <c r="E3733" s="2">
        <v>1</v>
      </c>
      <c r="F3733" s="2">
        <v>1</v>
      </c>
      <c r="G3733" s="2">
        <v>0</v>
      </c>
      <c r="H3733" s="1" t="s">
        <v>0</v>
      </c>
      <c r="I3733" s="2">
        <v>0</v>
      </c>
      <c r="J3733" s="1">
        <v>45915.378171296295</v>
      </c>
    </row>
    <row r="3734" spans="1:10" x14ac:dyDescent="0.2">
      <c r="A3734" s="4" t="s">
        <v>1</v>
      </c>
      <c r="B3734" s="3" t="str">
        <f>HYPERLINK("https://otsuka-europe-crm.veevavault.com/ui/#object/approved_document__v/V5OZ025E82TFUPI", "Spain - HCP Survey Email - June 2025")</f>
        <v>Spain - HCP Survey Email - June 2025</v>
      </c>
      <c r="C3734" s="3" t="str">
        <f>HYPERLINK("https://otsuka-europe-crm.veevavault.com/ui/#object/sent_email__v/VBLZ025E82GN0IU", "SE-000270856")</f>
        <v>SE-000270856</v>
      </c>
      <c r="D3734" s="1" t="s">
        <v>0</v>
      </c>
      <c r="E3734" s="2">
        <v>0</v>
      </c>
      <c r="F3734" s="2">
        <v>0</v>
      </c>
      <c r="G3734" s="2">
        <v>0</v>
      </c>
      <c r="H3734" s="1" t="s">
        <v>0</v>
      </c>
      <c r="I3734" s="2">
        <v>0</v>
      </c>
      <c r="J3734" s="1">
        <v>45915.378657407404</v>
      </c>
    </row>
    <row r="3735" spans="1:10" x14ac:dyDescent="0.2">
      <c r="A3735" s="4" t="s">
        <v>1</v>
      </c>
      <c r="B3735" s="3" t="str">
        <f>HYPERLINK("https://otsuka-europe-crm.veevavault.com/ui/#object/approved_document__v/V5OZ025E82TFUPI", "Spain - HCP Survey Email - June 2025")</f>
        <v>Spain - HCP Survey Email - June 2025</v>
      </c>
      <c r="C3735" s="3" t="str">
        <f>HYPERLINK("https://otsuka-europe-crm.veevavault.com/ui/#object/sent_email__v/VBLZ025E82GN0IV", "SE-000270857")</f>
        <v>SE-000270857</v>
      </c>
      <c r="D3735" s="1">
        <v>45927.525740740741</v>
      </c>
      <c r="E3735" s="2">
        <v>1</v>
      </c>
      <c r="F3735" s="2">
        <v>1</v>
      </c>
      <c r="G3735" s="2">
        <v>0</v>
      </c>
      <c r="H3735" s="1" t="s">
        <v>0</v>
      </c>
      <c r="I3735" s="2">
        <v>0</v>
      </c>
      <c r="J3735" s="1">
        <v>45915.38</v>
      </c>
    </row>
    <row r="3736" spans="1:10" x14ac:dyDescent="0.2">
      <c r="A3736" s="4" t="s">
        <v>1</v>
      </c>
      <c r="B3736" s="3" t="str">
        <f>HYPERLINK("https://otsuka-europe-crm.veevavault.com/ui/#object/approved_document__v/V5OZ025E82TFUPI", "Spain - HCP Survey Email - June 2025")</f>
        <v>Spain - HCP Survey Email - June 2025</v>
      </c>
      <c r="C3736" s="3" t="str">
        <f>HYPERLINK("https://otsuka-europe-crm.veevavault.com/ui/#object/sent_email__v/VBLZ025E82GN0IW", "SE-000270858")</f>
        <v>SE-000270858</v>
      </c>
      <c r="D3736" s="1" t="s">
        <v>0</v>
      </c>
      <c r="E3736" s="2">
        <v>0</v>
      </c>
      <c r="F3736" s="2">
        <v>0</v>
      </c>
      <c r="G3736" s="2">
        <v>0</v>
      </c>
      <c r="H3736" s="1" t="s">
        <v>0</v>
      </c>
      <c r="I3736" s="2">
        <v>0</v>
      </c>
      <c r="J3736" s="1">
        <v>45915.37771990741</v>
      </c>
    </row>
    <row r="3737" spans="1:10" x14ac:dyDescent="0.2">
      <c r="A3737" s="4" t="s">
        <v>1</v>
      </c>
      <c r="B3737" s="3" t="str">
        <f>HYPERLINK("https://otsuka-europe-crm.veevavault.com/ui/#object/approved_document__v/V5OZ025E82TFUPI", "Spain - HCP Survey Email - June 2025")</f>
        <v>Spain - HCP Survey Email - June 2025</v>
      </c>
      <c r="C3737" s="3" t="str">
        <f>HYPERLINK("https://otsuka-europe-crm.veevavault.com/ui/#object/sent_email__v/VBLZ025E82GN0IX", "SE-000270859")</f>
        <v>SE-000270859</v>
      </c>
      <c r="D3737" s="1">
        <v>45915.377766203703</v>
      </c>
      <c r="E3737" s="2">
        <v>1</v>
      </c>
      <c r="F3737" s="2">
        <v>1</v>
      </c>
      <c r="G3737" s="2">
        <v>0</v>
      </c>
      <c r="H3737" s="1" t="s">
        <v>0</v>
      </c>
      <c r="I3737" s="2">
        <v>0</v>
      </c>
      <c r="J3737" s="1">
        <v>45915.377569444441</v>
      </c>
    </row>
    <row r="3738" spans="1:10" x14ac:dyDescent="0.2">
      <c r="A3738" s="4" t="s">
        <v>1</v>
      </c>
      <c r="B3738" s="3" t="str">
        <f>HYPERLINK("https://otsuka-europe-crm.veevavault.com/ui/#object/approved_document__v/V5OZ025E82TFUPI", "Spain - HCP Survey Email - June 2025")</f>
        <v>Spain - HCP Survey Email - June 2025</v>
      </c>
      <c r="C3738" s="3" t="str">
        <f>HYPERLINK("https://otsuka-europe-crm.veevavault.com/ui/#object/sent_email__v/VBLZ025E82GN0IY", "SE-000270860")</f>
        <v>SE-000270860</v>
      </c>
      <c r="D3738" s="1" t="s">
        <v>0</v>
      </c>
      <c r="E3738" s="2">
        <v>0</v>
      </c>
      <c r="F3738" s="2">
        <v>0</v>
      </c>
      <c r="G3738" s="2">
        <v>0</v>
      </c>
      <c r="H3738" s="1" t="s">
        <v>0</v>
      </c>
      <c r="I3738" s="2">
        <v>0</v>
      </c>
      <c r="J3738" s="1">
        <v>45915.378391203703</v>
      </c>
    </row>
    <row r="3739" spans="1:10" x14ac:dyDescent="0.2">
      <c r="A3739" s="4" t="s">
        <v>1</v>
      </c>
      <c r="B3739" s="3" t="str">
        <f>HYPERLINK("https://otsuka-europe-crm.veevavault.com/ui/#object/approved_document__v/V5OZ025E82TFUPI", "Spain - HCP Survey Email - June 2025")</f>
        <v>Spain - HCP Survey Email - June 2025</v>
      </c>
      <c r="C3739" s="3" t="str">
        <f>HYPERLINK("https://otsuka-europe-crm.veevavault.com/ui/#object/sent_email__v/VBLZ025E82GN0IZ", "SE-000270861")</f>
        <v>SE-000270861</v>
      </c>
      <c r="D3739" s="1" t="s">
        <v>0</v>
      </c>
      <c r="E3739" s="2">
        <v>0</v>
      </c>
      <c r="F3739" s="2">
        <v>0</v>
      </c>
      <c r="G3739" s="2">
        <v>0</v>
      </c>
      <c r="H3739" s="1" t="s">
        <v>0</v>
      </c>
      <c r="I3739" s="2">
        <v>0</v>
      </c>
      <c r="J3739" s="1">
        <v>45915.378923611112</v>
      </c>
    </row>
    <row r="3740" spans="1:10" x14ac:dyDescent="0.2">
      <c r="A3740" s="4" t="s">
        <v>1</v>
      </c>
      <c r="B3740" s="3" t="str">
        <f>HYPERLINK("https://otsuka-europe-crm.veevavault.com/ui/#object/approved_document__v/V5OZ025E82TFUPI", "Spain - HCP Survey Email - June 2025")</f>
        <v>Spain - HCP Survey Email - June 2025</v>
      </c>
      <c r="C3740" s="3" t="str">
        <f>HYPERLINK("https://otsuka-europe-crm.veevavault.com/ui/#object/sent_email__v/VBLZ025E82GN0J0", "SE-000270862")</f>
        <v>SE-000270862</v>
      </c>
      <c r="D3740" s="1">
        <v>45916.261597222219</v>
      </c>
      <c r="E3740" s="2">
        <v>1</v>
      </c>
      <c r="F3740" s="2">
        <v>1</v>
      </c>
      <c r="G3740" s="2">
        <v>1</v>
      </c>
      <c r="H3740" s="1">
        <v>45916.261597222219</v>
      </c>
      <c r="I3740" s="2">
        <v>1</v>
      </c>
      <c r="J3740" s="1">
        <v>45915.378668981481</v>
      </c>
    </row>
    <row r="3741" spans="1:10" x14ac:dyDescent="0.2">
      <c r="A3741" s="4" t="s">
        <v>1</v>
      </c>
      <c r="B3741" s="3" t="str">
        <f>HYPERLINK("https://otsuka-europe-crm.veevavault.com/ui/#object/approved_document__v/V5OZ025E82TFUPI", "Spain - HCP Survey Email - June 2025")</f>
        <v>Spain - HCP Survey Email - June 2025</v>
      </c>
      <c r="C3741" s="3" t="str">
        <f>HYPERLINK("https://otsuka-europe-crm.veevavault.com/ui/#object/sent_email__v/VBLZ025E82GN0J1", "SE-000270863")</f>
        <v>SE-000270863</v>
      </c>
      <c r="D3741" s="1" t="s">
        <v>0</v>
      </c>
      <c r="E3741" s="2">
        <v>0</v>
      </c>
      <c r="F3741" s="2">
        <v>0</v>
      </c>
      <c r="G3741" s="2">
        <v>0</v>
      </c>
      <c r="H3741" s="1" t="s">
        <v>0</v>
      </c>
      <c r="I3741" s="2">
        <v>0</v>
      </c>
      <c r="J3741" s="1">
        <v>45915.37909722222</v>
      </c>
    </row>
    <row r="3742" spans="1:10" x14ac:dyDescent="0.2">
      <c r="A3742" s="4" t="s">
        <v>1</v>
      </c>
      <c r="B3742" s="3" t="str">
        <f>HYPERLINK("https://otsuka-europe-crm.veevavault.com/ui/#object/approved_document__v/V5OZ025E82TFUPI", "Spain - HCP Survey Email - June 2025")</f>
        <v>Spain - HCP Survey Email - June 2025</v>
      </c>
      <c r="C3742" s="3" t="str">
        <f>HYPERLINK("https://otsuka-europe-crm.veevavault.com/ui/#object/sent_email__v/VBLZ025E82GN0J2", "SE-000270864")</f>
        <v>SE-000270864</v>
      </c>
      <c r="D3742" s="1" t="s">
        <v>0</v>
      </c>
      <c r="E3742" s="2">
        <v>0</v>
      </c>
      <c r="F3742" s="2">
        <v>0</v>
      </c>
      <c r="G3742" s="2">
        <v>0</v>
      </c>
      <c r="H3742" s="1" t="s">
        <v>0</v>
      </c>
      <c r="I3742" s="2">
        <v>0</v>
      </c>
      <c r="J3742" s="1">
        <v>45915.37773148148</v>
      </c>
    </row>
    <row r="3743" spans="1:10" x14ac:dyDescent="0.2">
      <c r="A3743" s="4" t="s">
        <v>1</v>
      </c>
      <c r="B3743" s="3" t="str">
        <f>HYPERLINK("https://otsuka-europe-crm.veevavault.com/ui/#object/approved_document__v/V5OZ025E82TFUPI", "Spain - HCP Survey Email - June 2025")</f>
        <v>Spain - HCP Survey Email - June 2025</v>
      </c>
      <c r="C3743" s="3" t="str">
        <f>HYPERLINK("https://otsuka-europe-crm.veevavault.com/ui/#object/sent_email__v/VBLZ025E82GN0J3", "SE-000270865")</f>
        <v>SE-000270865</v>
      </c>
      <c r="D3743" s="1" t="s">
        <v>0</v>
      </c>
      <c r="E3743" s="2">
        <v>0</v>
      </c>
      <c r="F3743" s="2">
        <v>0</v>
      </c>
      <c r="G3743" s="2">
        <v>0</v>
      </c>
      <c r="H3743" s="1" t="s">
        <v>0</v>
      </c>
      <c r="I3743" s="2">
        <v>0</v>
      </c>
      <c r="J3743" s="1">
        <v>45915.378136574072</v>
      </c>
    </row>
    <row r="3744" spans="1:10" x14ac:dyDescent="0.2">
      <c r="A3744" s="4" t="s">
        <v>1</v>
      </c>
      <c r="B3744" s="3" t="str">
        <f>HYPERLINK("https://otsuka-europe-crm.veevavault.com/ui/#object/approved_document__v/V5OZ025E82TFUPI", "Spain - HCP Survey Email - June 2025")</f>
        <v>Spain - HCP Survey Email - June 2025</v>
      </c>
      <c r="C3744" s="3" t="str">
        <f>HYPERLINK("https://otsuka-europe-crm.veevavault.com/ui/#object/sent_email__v/VBLZ025E82GN0J4", "SE-000270866")</f>
        <v>SE-000270866</v>
      </c>
      <c r="D3744" s="1" t="s">
        <v>0</v>
      </c>
      <c r="E3744" s="2">
        <v>0</v>
      </c>
      <c r="F3744" s="2">
        <v>0</v>
      </c>
      <c r="G3744" s="2">
        <v>0</v>
      </c>
      <c r="H3744" s="1" t="s">
        <v>0</v>
      </c>
      <c r="I3744" s="2">
        <v>0</v>
      </c>
      <c r="J3744" s="1">
        <v>45915.378240740742</v>
      </c>
    </row>
    <row r="3745" spans="1:10" x14ac:dyDescent="0.2">
      <c r="A3745" s="4" t="s">
        <v>1</v>
      </c>
      <c r="B3745" s="3" t="str">
        <f>HYPERLINK("https://otsuka-europe-crm.veevavault.com/ui/#object/approved_document__v/V5OZ025E82TFUPI", "Spain - HCP Survey Email - June 2025")</f>
        <v>Spain - HCP Survey Email - June 2025</v>
      </c>
      <c r="C3745" s="3" t="str">
        <f>HYPERLINK("https://otsuka-europe-crm.veevavault.com/ui/#object/sent_email__v/VBLZ025E82GN0J5", "SE-000270867")</f>
        <v>SE-000270867</v>
      </c>
      <c r="D3745" s="1" t="s">
        <v>0</v>
      </c>
      <c r="E3745" s="2">
        <v>0</v>
      </c>
      <c r="F3745" s="2">
        <v>0</v>
      </c>
      <c r="G3745" s="2">
        <v>0</v>
      </c>
      <c r="H3745" s="1" t="s">
        <v>0</v>
      </c>
      <c r="I3745" s="2">
        <v>0</v>
      </c>
      <c r="J3745" s="1">
        <v>45915.378599537034</v>
      </c>
    </row>
    <row r="3746" spans="1:10" x14ac:dyDescent="0.2">
      <c r="A3746" s="4" t="s">
        <v>1</v>
      </c>
      <c r="B3746" s="3" t="str">
        <f>HYPERLINK("https://otsuka-europe-crm.veevavault.com/ui/#object/approved_document__v/V5OZ025E82TFUPI", "Spain - HCP Survey Email - June 2025")</f>
        <v>Spain - HCP Survey Email - June 2025</v>
      </c>
      <c r="C3746" s="3" t="str">
        <f>HYPERLINK("https://otsuka-europe-crm.veevavault.com/ui/#object/sent_email__v/VBLZ025E82GN0J6", "SE-000270868")</f>
        <v>SE-000270868</v>
      </c>
      <c r="D3746" s="1" t="s">
        <v>0</v>
      </c>
      <c r="E3746" s="2">
        <v>0</v>
      </c>
      <c r="F3746" s="2">
        <v>0</v>
      </c>
      <c r="G3746" s="2">
        <v>0</v>
      </c>
      <c r="H3746" s="1" t="s">
        <v>0</v>
      </c>
      <c r="I3746" s="2">
        <v>0</v>
      </c>
      <c r="J3746" s="1">
        <v>45915.379965277774</v>
      </c>
    </row>
    <row r="3747" spans="1:10" x14ac:dyDescent="0.2">
      <c r="A3747" s="4" t="s">
        <v>1</v>
      </c>
      <c r="B3747" s="3" t="str">
        <f>HYPERLINK("https://otsuka-europe-crm.veevavault.com/ui/#object/approved_document__v/V5OZ025E82TFUPI", "Spain - HCP Survey Email - June 2025")</f>
        <v>Spain - HCP Survey Email - June 2025</v>
      </c>
      <c r="C3747" s="3" t="str">
        <f>HYPERLINK("https://otsuka-europe-crm.veevavault.com/ui/#object/sent_email__v/VBLZ025E82GN0J7", "SE-000270869")</f>
        <v>SE-000270869</v>
      </c>
      <c r="D3747" s="1" t="s">
        <v>0</v>
      </c>
      <c r="E3747" s="2">
        <v>0</v>
      </c>
      <c r="F3747" s="2">
        <v>0</v>
      </c>
      <c r="G3747" s="2">
        <v>0</v>
      </c>
      <c r="H3747" s="1" t="s">
        <v>0</v>
      </c>
      <c r="I3747" s="2">
        <v>0</v>
      </c>
      <c r="J3747" s="1">
        <v>45915.37773148148</v>
      </c>
    </row>
    <row r="3748" spans="1:10" x14ac:dyDescent="0.2">
      <c r="A3748" s="4" t="s">
        <v>1</v>
      </c>
      <c r="B3748" s="3" t="str">
        <f>HYPERLINK("https://otsuka-europe-crm.veevavault.com/ui/#object/approved_document__v/V5OZ025E82TFUPI", "Spain - HCP Survey Email - June 2025")</f>
        <v>Spain - HCP Survey Email - June 2025</v>
      </c>
      <c r="C3748" s="3" t="str">
        <f>HYPERLINK("https://otsuka-europe-crm.veevavault.com/ui/#object/sent_email__v/VBLZ025E82GN0J8", "SE-000270870")</f>
        <v>SE-000270870</v>
      </c>
      <c r="D3748" s="1" t="s">
        <v>0</v>
      </c>
      <c r="E3748" s="2">
        <v>0</v>
      </c>
      <c r="F3748" s="2">
        <v>0</v>
      </c>
      <c r="G3748" s="2">
        <v>0</v>
      </c>
      <c r="H3748" s="1" t="s">
        <v>0</v>
      </c>
      <c r="I3748" s="2">
        <v>0</v>
      </c>
      <c r="J3748" s="1">
        <v>45915.377557870372</v>
      </c>
    </row>
    <row r="3749" spans="1:10" x14ac:dyDescent="0.2">
      <c r="A3749" s="4" t="s">
        <v>1</v>
      </c>
      <c r="B3749" s="3" t="str">
        <f>HYPERLINK("https://otsuka-europe-crm.veevavault.com/ui/#object/approved_document__v/V5OZ025E82TFUPI", "Spain - HCP Survey Email - June 2025")</f>
        <v>Spain - HCP Survey Email - June 2025</v>
      </c>
      <c r="C3749" s="3" t="str">
        <f>HYPERLINK("https://otsuka-europe-crm.veevavault.com/ui/#object/sent_email__v/VBLZ025E82GN0J9", "SE-000270871")</f>
        <v>SE-000270871</v>
      </c>
      <c r="D3749" s="1">
        <v>45922.689305555556</v>
      </c>
      <c r="E3749" s="2">
        <v>1</v>
      </c>
      <c r="F3749" s="2">
        <v>5</v>
      </c>
      <c r="G3749" s="2">
        <v>1</v>
      </c>
      <c r="H3749" s="1">
        <v>45915.378530092596</v>
      </c>
      <c r="I3749" s="2">
        <v>3</v>
      </c>
      <c r="J3749" s="1">
        <v>45915.378379629627</v>
      </c>
    </row>
    <row r="3750" spans="1:10" x14ac:dyDescent="0.2">
      <c r="A3750" s="4" t="s">
        <v>1</v>
      </c>
      <c r="B3750" s="3" t="str">
        <f>HYPERLINK("https://otsuka-europe-crm.veevavault.com/ui/#object/approved_document__v/V5OZ025E82TFUPI", "Spain - HCP Survey Email - June 2025")</f>
        <v>Spain - HCP Survey Email - June 2025</v>
      </c>
      <c r="C3750" s="3" t="str">
        <f>HYPERLINK("https://otsuka-europe-crm.veevavault.com/ui/#object/sent_email__v/VBLZ025E82GN0JA", "SE-000270872")</f>
        <v>SE-000270872</v>
      </c>
      <c r="D3750" s="1" t="s">
        <v>0</v>
      </c>
      <c r="E3750" s="2">
        <v>0</v>
      </c>
      <c r="F3750" s="2">
        <v>0</v>
      </c>
      <c r="G3750" s="2">
        <v>0</v>
      </c>
      <c r="H3750" s="1" t="s">
        <v>0</v>
      </c>
      <c r="I3750" s="2">
        <v>0</v>
      </c>
      <c r="J3750" s="1">
        <v>45915.378877314812</v>
      </c>
    </row>
    <row r="3751" spans="1:10" x14ac:dyDescent="0.2">
      <c r="A3751" s="4" t="s">
        <v>1</v>
      </c>
      <c r="B3751" s="3" t="str">
        <f>HYPERLINK("https://otsuka-europe-crm.veevavault.com/ui/#object/approved_document__v/V5OZ025E82TFUPI", "Spain - HCP Survey Email - June 2025")</f>
        <v>Spain - HCP Survey Email - June 2025</v>
      </c>
      <c r="C3751" s="3" t="str">
        <f>HYPERLINK("https://otsuka-europe-crm.veevavault.com/ui/#object/sent_email__v/VBLZ025E82GN0JB", "SE-000270873")</f>
        <v>SE-000270873</v>
      </c>
      <c r="D3751" s="1" t="s">
        <v>0</v>
      </c>
      <c r="E3751" s="2">
        <v>0</v>
      </c>
      <c r="F3751" s="2">
        <v>0</v>
      </c>
      <c r="G3751" s="2">
        <v>0</v>
      </c>
      <c r="H3751" s="1" t="s">
        <v>0</v>
      </c>
      <c r="I3751" s="2">
        <v>0</v>
      </c>
      <c r="J3751" s="1">
        <v>45915.37872685185</v>
      </c>
    </row>
    <row r="3752" spans="1:10" x14ac:dyDescent="0.2">
      <c r="A3752" s="4" t="s">
        <v>1</v>
      </c>
      <c r="B3752" s="3" t="str">
        <f>HYPERLINK("https://otsuka-europe-crm.veevavault.com/ui/#object/approved_document__v/V5OZ025E82TFUPI", "Spain - HCP Survey Email - June 2025")</f>
        <v>Spain - HCP Survey Email - June 2025</v>
      </c>
      <c r="C3752" s="3" t="str">
        <f>HYPERLINK("https://otsuka-europe-crm.veevavault.com/ui/#object/sent_email__v/VBLZ025E82GN0JC", "SE-000270874")</f>
        <v>SE-000270874</v>
      </c>
      <c r="D3752" s="1">
        <v>45920.559432870374</v>
      </c>
      <c r="E3752" s="2">
        <v>1</v>
      </c>
      <c r="F3752" s="2">
        <v>2</v>
      </c>
      <c r="G3752" s="2">
        <v>0</v>
      </c>
      <c r="H3752" s="1" t="s">
        <v>0</v>
      </c>
      <c r="I3752" s="2">
        <v>0</v>
      </c>
      <c r="J3752" s="1">
        <v>45915.379062499997</v>
      </c>
    </row>
    <row r="3753" spans="1:10" x14ac:dyDescent="0.2">
      <c r="A3753" s="4" t="s">
        <v>1</v>
      </c>
      <c r="B3753" s="3" t="str">
        <f>HYPERLINK("https://otsuka-europe-crm.veevavault.com/ui/#object/approved_document__v/V5OZ025E82TFUPI", "Spain - HCP Survey Email - June 2025")</f>
        <v>Spain - HCP Survey Email - June 2025</v>
      </c>
      <c r="C3753" s="3" t="str">
        <f>HYPERLINK("https://otsuka-europe-crm.veevavault.com/ui/#object/sent_email__v/VBLZ025E82GN0JD", "SE-000270875")</f>
        <v>SE-000270875</v>
      </c>
      <c r="D3753" s="1" t="s">
        <v>0</v>
      </c>
      <c r="E3753" s="2">
        <v>0</v>
      </c>
      <c r="F3753" s="2">
        <v>0</v>
      </c>
      <c r="G3753" s="2">
        <v>0</v>
      </c>
      <c r="H3753" s="1" t="s">
        <v>0</v>
      </c>
      <c r="I3753" s="2">
        <v>0</v>
      </c>
      <c r="J3753" s="1">
        <v>45915.377789351849</v>
      </c>
    </row>
    <row r="3754" spans="1:10" x14ac:dyDescent="0.2">
      <c r="A3754" s="4" t="s">
        <v>1</v>
      </c>
      <c r="B3754" s="3" t="str">
        <f>HYPERLINK("https://otsuka-europe-crm.veevavault.com/ui/#object/approved_document__v/V5OZ025E82TFUPI", "Spain - HCP Survey Email - June 2025")</f>
        <v>Spain - HCP Survey Email - June 2025</v>
      </c>
      <c r="C3754" s="3" t="str">
        <f>HYPERLINK("https://otsuka-europe-crm.veevavault.com/ui/#object/sent_email__v/VBLZ025E82GN0JE", "SE-000270876")</f>
        <v>SE-000270876</v>
      </c>
      <c r="D3754" s="1" t="s">
        <v>0</v>
      </c>
      <c r="E3754" s="2">
        <v>0</v>
      </c>
      <c r="F3754" s="2">
        <v>0</v>
      </c>
      <c r="G3754" s="2">
        <v>0</v>
      </c>
      <c r="H3754" s="1" t="s">
        <v>0</v>
      </c>
      <c r="I3754" s="2">
        <v>0</v>
      </c>
      <c r="J3754" s="1">
        <v>45915.378182870372</v>
      </c>
    </row>
    <row r="3755" spans="1:10" x14ac:dyDescent="0.2">
      <c r="A3755" s="4" t="s">
        <v>1</v>
      </c>
      <c r="B3755" s="3" t="str">
        <f>HYPERLINK("https://otsuka-europe-crm.veevavault.com/ui/#object/approved_document__v/V5OZ025E82TFUPI", "Spain - HCP Survey Email - June 2025")</f>
        <v>Spain - HCP Survey Email - June 2025</v>
      </c>
      <c r="C3755" s="3" t="str">
        <f>HYPERLINK("https://otsuka-europe-crm.veevavault.com/ui/#object/sent_email__v/VBLZ025E82GN0JF", "SE-000270877")</f>
        <v>SE-000270877</v>
      </c>
      <c r="D3755" s="1">
        <v>45915.398854166669</v>
      </c>
      <c r="E3755" s="2">
        <v>1</v>
      </c>
      <c r="F3755" s="2">
        <v>1</v>
      </c>
      <c r="G3755" s="2">
        <v>0</v>
      </c>
      <c r="H3755" s="1" t="s">
        <v>0</v>
      </c>
      <c r="I3755" s="2">
        <v>0</v>
      </c>
      <c r="J3755" s="1">
        <v>45915.378217592595</v>
      </c>
    </row>
    <row r="3756" spans="1:10" x14ac:dyDescent="0.2">
      <c r="A3756" s="4" t="s">
        <v>1</v>
      </c>
      <c r="B3756" s="3" t="str">
        <f>HYPERLINK("https://otsuka-europe-crm.veevavault.com/ui/#object/approved_document__v/V5OZ025E82TFUPI", "Spain - HCP Survey Email - June 2025")</f>
        <v>Spain - HCP Survey Email - June 2025</v>
      </c>
      <c r="C3756" s="3" t="str">
        <f>HYPERLINK("https://otsuka-europe-crm.veevavault.com/ui/#object/sent_email__v/VBLZ025E82GN0JG", "SE-000270878")</f>
        <v>SE-000270878</v>
      </c>
      <c r="D3756" s="1" t="s">
        <v>0</v>
      </c>
      <c r="E3756" s="2">
        <v>0</v>
      </c>
      <c r="F3756" s="2">
        <v>0</v>
      </c>
      <c r="G3756" s="2">
        <v>0</v>
      </c>
      <c r="H3756" s="1" t="s">
        <v>0</v>
      </c>
      <c r="I3756" s="2">
        <v>0</v>
      </c>
      <c r="J3756" s="1">
        <v>45915.378668981481</v>
      </c>
    </row>
    <row r="3757" spans="1:10" x14ac:dyDescent="0.2">
      <c r="A3757" s="4" t="s">
        <v>1</v>
      </c>
      <c r="B3757" s="3" t="str">
        <f>HYPERLINK("https://otsuka-europe-crm.veevavault.com/ui/#object/approved_document__v/V5OZ025E82TFUPI", "Spain - HCP Survey Email - June 2025")</f>
        <v>Spain - HCP Survey Email - June 2025</v>
      </c>
      <c r="C3757" s="3" t="str">
        <f>HYPERLINK("https://otsuka-europe-crm.veevavault.com/ui/#object/sent_email__v/VBLZ025E82GN0JH", "SE-000270879")</f>
        <v>SE-000270879</v>
      </c>
      <c r="D3757" s="1" t="s">
        <v>0</v>
      </c>
      <c r="E3757" s="2">
        <v>0</v>
      </c>
      <c r="F3757" s="2">
        <v>0</v>
      </c>
      <c r="G3757" s="2">
        <v>0</v>
      </c>
      <c r="H3757" s="1" t="s">
        <v>0</v>
      </c>
      <c r="I3757" s="2">
        <v>0</v>
      </c>
      <c r="J3757" s="1">
        <v>45915.379895833335</v>
      </c>
    </row>
    <row r="3758" spans="1:10" x14ac:dyDescent="0.2">
      <c r="A3758" s="4" t="s">
        <v>1</v>
      </c>
      <c r="B3758" s="3" t="str">
        <f>HYPERLINK("https://otsuka-europe-crm.veevavault.com/ui/#object/approved_document__v/V5OZ025E82TFUPI", "Spain - HCP Survey Email - June 2025")</f>
        <v>Spain - HCP Survey Email - June 2025</v>
      </c>
      <c r="C3758" s="3" t="str">
        <f>HYPERLINK("https://otsuka-europe-crm.veevavault.com/ui/#object/sent_email__v/VBLZ025E82GN0JI", "SE-000270880")</f>
        <v>SE-000270880</v>
      </c>
      <c r="D3758" s="1" t="s">
        <v>0</v>
      </c>
      <c r="E3758" s="2">
        <v>0</v>
      </c>
      <c r="F3758" s="2">
        <v>0</v>
      </c>
      <c r="G3758" s="2">
        <v>0</v>
      </c>
      <c r="H3758" s="1" t="s">
        <v>0</v>
      </c>
      <c r="I3758" s="2">
        <v>0</v>
      </c>
      <c r="J3758" s="1">
        <v>45915.37777777778</v>
      </c>
    </row>
    <row r="3759" spans="1:10" x14ac:dyDescent="0.2">
      <c r="A3759" s="4" t="s">
        <v>1</v>
      </c>
      <c r="B3759" s="3" t="str">
        <f>HYPERLINK("https://otsuka-europe-crm.veevavault.com/ui/#object/approved_document__v/V5OZ025E82TFUPI", "Spain - HCP Survey Email - June 2025")</f>
        <v>Spain - HCP Survey Email - June 2025</v>
      </c>
      <c r="C3759" s="3" t="str">
        <f>HYPERLINK("https://otsuka-europe-crm.veevavault.com/ui/#object/sent_email__v/VBLZ025E82GN0JJ", "SE-000270881")</f>
        <v>SE-000270881</v>
      </c>
      <c r="D3759" s="1" t="s">
        <v>0</v>
      </c>
      <c r="E3759" s="2">
        <v>0</v>
      </c>
      <c r="F3759" s="2">
        <v>0</v>
      </c>
      <c r="G3759" s="2">
        <v>0</v>
      </c>
      <c r="H3759" s="1" t="s">
        <v>0</v>
      </c>
      <c r="I3759" s="2">
        <v>0</v>
      </c>
      <c r="J3759" s="1">
        <v>45915.377592592595</v>
      </c>
    </row>
    <row r="3760" spans="1:10" x14ac:dyDescent="0.2">
      <c r="A3760" s="4" t="s">
        <v>1</v>
      </c>
      <c r="B3760" s="3" t="str">
        <f>HYPERLINK("https://otsuka-europe-crm.veevavault.com/ui/#object/approved_document__v/V5OZ025E82TFUPI", "Spain - HCP Survey Email - June 2025")</f>
        <v>Spain - HCP Survey Email - June 2025</v>
      </c>
      <c r="C3760" s="3" t="str">
        <f>HYPERLINK("https://otsuka-europe-crm.veevavault.com/ui/#object/sent_email__v/VBLZ025E82GN0JK", "SE-000270882")</f>
        <v>SE-000270882</v>
      </c>
      <c r="D3760" s="1" t="s">
        <v>0</v>
      </c>
      <c r="E3760" s="2">
        <v>0</v>
      </c>
      <c r="F3760" s="2">
        <v>0</v>
      </c>
      <c r="G3760" s="2">
        <v>0</v>
      </c>
      <c r="H3760" s="1" t="s">
        <v>0</v>
      </c>
      <c r="I3760" s="2">
        <v>0</v>
      </c>
      <c r="J3760" s="1">
        <v>45915.378055555557</v>
      </c>
    </row>
    <row r="3761" spans="1:10" x14ac:dyDescent="0.2">
      <c r="A3761" s="4" t="s">
        <v>1</v>
      </c>
      <c r="B3761" s="3" t="str">
        <f>HYPERLINK("https://otsuka-europe-crm.veevavault.com/ui/#object/approved_document__v/V5OZ025E82TFUPI", "Spain - HCP Survey Email - June 2025")</f>
        <v>Spain - HCP Survey Email - June 2025</v>
      </c>
      <c r="C3761" s="3" t="str">
        <f>HYPERLINK("https://otsuka-europe-crm.veevavault.com/ui/#object/sent_email__v/VBLZ025E82GN0JL", "SE-000270883")</f>
        <v>SE-000270883</v>
      </c>
      <c r="D3761" s="1">
        <v>45916.920046296298</v>
      </c>
      <c r="E3761" s="2">
        <v>1</v>
      </c>
      <c r="F3761" s="2">
        <v>1</v>
      </c>
      <c r="G3761" s="2">
        <v>0</v>
      </c>
      <c r="H3761" s="1" t="s">
        <v>0</v>
      </c>
      <c r="I3761" s="2">
        <v>0</v>
      </c>
      <c r="J3761" s="1">
        <v>45915.379016203704</v>
      </c>
    </row>
    <row r="3762" spans="1:10" x14ac:dyDescent="0.2">
      <c r="A3762" s="4" t="s">
        <v>1</v>
      </c>
      <c r="B3762" s="3" t="str">
        <f>HYPERLINK("https://otsuka-europe-crm.veevavault.com/ui/#object/approved_document__v/V5OZ025E82TFUPI", "Spain - HCP Survey Email - June 2025")</f>
        <v>Spain - HCP Survey Email - June 2025</v>
      </c>
      <c r="C3762" s="3" t="str">
        <f>HYPERLINK("https://otsuka-europe-crm.veevavault.com/ui/#object/sent_email__v/VBLZ025E82GN0JM", "SE-000270884")</f>
        <v>SE-000270884</v>
      </c>
      <c r="D3762" s="1">
        <v>45916.293206018519</v>
      </c>
      <c r="E3762" s="2">
        <v>1</v>
      </c>
      <c r="F3762" s="2">
        <v>3</v>
      </c>
      <c r="G3762" s="2">
        <v>0</v>
      </c>
      <c r="H3762" s="1" t="s">
        <v>0</v>
      </c>
      <c r="I3762" s="2">
        <v>0</v>
      </c>
      <c r="J3762" s="1">
        <v>45915.377696759257</v>
      </c>
    </row>
    <row r="3763" spans="1:10" x14ac:dyDescent="0.2">
      <c r="A3763" s="4" t="s">
        <v>1</v>
      </c>
      <c r="B3763" s="3" t="str">
        <f>HYPERLINK("https://otsuka-europe-crm.veevavault.com/ui/#object/approved_document__v/V5OZ025E82TFUPI", "Spain - HCP Survey Email - June 2025")</f>
        <v>Spain - HCP Survey Email - June 2025</v>
      </c>
      <c r="C3763" s="3" t="str">
        <f>HYPERLINK("https://otsuka-europe-crm.veevavault.com/ui/#object/sent_email__v/VBLZ025E82GN0JN", "SE-000270885")</f>
        <v>SE-000270885</v>
      </c>
      <c r="D3763" s="1" t="s">
        <v>0</v>
      </c>
      <c r="E3763" s="2">
        <v>0</v>
      </c>
      <c r="F3763" s="2">
        <v>0</v>
      </c>
      <c r="G3763" s="2">
        <v>0</v>
      </c>
      <c r="H3763" s="1" t="s">
        <v>0</v>
      </c>
      <c r="I3763" s="2">
        <v>0</v>
      </c>
      <c r="J3763" s="1">
        <v>45915.377604166664</v>
      </c>
    </row>
    <row r="3764" spans="1:10" x14ac:dyDescent="0.2">
      <c r="A3764" s="4" t="s">
        <v>1</v>
      </c>
      <c r="B3764" s="3" t="str">
        <f>HYPERLINK("https://otsuka-europe-crm.veevavault.com/ui/#object/approved_document__v/V5OZ025E82TFUPI", "Spain - HCP Survey Email - June 2025")</f>
        <v>Spain - HCP Survey Email - June 2025</v>
      </c>
      <c r="C3764" s="3" t="str">
        <f>HYPERLINK("https://otsuka-europe-crm.veevavault.com/ui/#object/sent_email__v/VBLZ025E82GN0JO", "SE-000270886")</f>
        <v>SE-000270886</v>
      </c>
      <c r="D3764" s="1" t="s">
        <v>0</v>
      </c>
      <c r="E3764" s="2">
        <v>0</v>
      </c>
      <c r="F3764" s="2">
        <v>0</v>
      </c>
      <c r="G3764" s="2">
        <v>0</v>
      </c>
      <c r="H3764" s="1" t="s">
        <v>0</v>
      </c>
      <c r="I3764" s="2">
        <v>0</v>
      </c>
      <c r="J3764" s="1">
        <v>45915.377997685187</v>
      </c>
    </row>
    <row r="3765" spans="1:10" x14ac:dyDescent="0.2">
      <c r="A3765" s="4" t="s">
        <v>1</v>
      </c>
      <c r="B3765" s="3" t="str">
        <f>HYPERLINK("https://otsuka-europe-crm.veevavault.com/ui/#object/approved_document__v/V5OZ025E82TFUPI", "Spain - HCP Survey Email - June 2025")</f>
        <v>Spain - HCP Survey Email - June 2025</v>
      </c>
      <c r="C3765" s="3" t="str">
        <f>HYPERLINK("https://otsuka-europe-crm.veevavault.com/ui/#object/sent_email__v/VBLZ025E82GN0JP", "SE-000270887")</f>
        <v>SE-000270887</v>
      </c>
      <c r="D3765" s="1" t="s">
        <v>0</v>
      </c>
      <c r="E3765" s="2">
        <v>0</v>
      </c>
      <c r="F3765" s="2">
        <v>0</v>
      </c>
      <c r="G3765" s="2">
        <v>0</v>
      </c>
      <c r="H3765" s="1" t="s">
        <v>0</v>
      </c>
      <c r="I3765" s="2">
        <v>0</v>
      </c>
      <c r="J3765" s="1">
        <v>45915.378888888888</v>
      </c>
    </row>
    <row r="3766" spans="1:10" x14ac:dyDescent="0.2">
      <c r="A3766" s="4" t="s">
        <v>1</v>
      </c>
      <c r="B3766" s="3" t="str">
        <f>HYPERLINK("https://otsuka-europe-crm.veevavault.com/ui/#object/approved_document__v/V5OZ025E82TFUPI", "Spain - HCP Survey Email - June 2025")</f>
        <v>Spain - HCP Survey Email - June 2025</v>
      </c>
      <c r="C3766" s="3" t="str">
        <f>HYPERLINK("https://otsuka-europe-crm.veevavault.com/ui/#object/sent_email__v/VBLZ025E82GN0JQ", "SE-000270888")</f>
        <v>SE-000270888</v>
      </c>
      <c r="D3766" s="1" t="s">
        <v>0</v>
      </c>
      <c r="E3766" s="2">
        <v>0</v>
      </c>
      <c r="F3766" s="2">
        <v>0</v>
      </c>
      <c r="G3766" s="2">
        <v>0</v>
      </c>
      <c r="H3766" s="1" t="s">
        <v>0</v>
      </c>
      <c r="I3766" s="2">
        <v>0</v>
      </c>
      <c r="J3766" s="1">
        <v>45915.37872685185</v>
      </c>
    </row>
    <row r="3767" spans="1:10" x14ac:dyDescent="0.2">
      <c r="A3767" s="4" t="s">
        <v>1</v>
      </c>
      <c r="B3767" s="3" t="str">
        <f>HYPERLINK("https://otsuka-europe-crm.veevavault.com/ui/#object/approved_document__v/V5OZ025E82TFUPI", "Spain - HCP Survey Email - June 2025")</f>
        <v>Spain - HCP Survey Email - June 2025</v>
      </c>
      <c r="C3767" s="3" t="str">
        <f>HYPERLINK("https://otsuka-europe-crm.veevavault.com/ui/#object/sent_email__v/VBLZ025E82GN0JR", "SE-000270889")</f>
        <v>SE-000270889</v>
      </c>
      <c r="D3767" s="1">
        <v>45915.914467592593</v>
      </c>
      <c r="E3767" s="2">
        <v>1</v>
      </c>
      <c r="F3767" s="2">
        <v>1</v>
      </c>
      <c r="G3767" s="2">
        <v>0</v>
      </c>
      <c r="H3767" s="1" t="s">
        <v>0</v>
      </c>
      <c r="I3767" s="2">
        <v>0</v>
      </c>
      <c r="J3767" s="1">
        <v>45915.379155092596</v>
      </c>
    </row>
    <row r="3768" spans="1:10" x14ac:dyDescent="0.2">
      <c r="A3768" s="4" t="s">
        <v>1</v>
      </c>
      <c r="B3768" s="3" t="str">
        <f>HYPERLINK("https://otsuka-europe-crm.veevavault.com/ui/#object/approved_document__v/V5OZ025E82TFUPI", "Spain - HCP Survey Email - June 2025")</f>
        <v>Spain - HCP Survey Email - June 2025</v>
      </c>
      <c r="C3768" s="3" t="str">
        <f>HYPERLINK("https://otsuka-europe-crm.veevavault.com/ui/#object/sent_email__v/VBLZ025E82GN0JS", "SE-000270890")</f>
        <v>SE-000270890</v>
      </c>
      <c r="D3768" s="1">
        <v>45915.493576388886</v>
      </c>
      <c r="E3768" s="2">
        <v>1</v>
      </c>
      <c r="F3768" s="2">
        <v>1</v>
      </c>
      <c r="G3768" s="2">
        <v>0</v>
      </c>
      <c r="H3768" s="1" t="s">
        <v>0</v>
      </c>
      <c r="I3768" s="2">
        <v>0</v>
      </c>
      <c r="J3768" s="1">
        <v>45915.377847222226</v>
      </c>
    </row>
    <row r="3769" spans="1:10" x14ac:dyDescent="0.2">
      <c r="A3769" s="4" t="s">
        <v>1</v>
      </c>
      <c r="B3769" s="3" t="str">
        <f>HYPERLINK("https://otsuka-europe-crm.veevavault.com/ui/#object/approved_document__v/V5OZ025E82TFUPI", "Spain - HCP Survey Email - June 2025")</f>
        <v>Spain - HCP Survey Email - June 2025</v>
      </c>
      <c r="C3769" s="3" t="str">
        <f>HYPERLINK("https://otsuka-europe-crm.veevavault.com/ui/#object/sent_email__v/VBLZ025E82GN0JT", "SE-000270891")</f>
        <v>SE-000270891</v>
      </c>
      <c r="D3769" s="1" t="s">
        <v>0</v>
      </c>
      <c r="E3769" s="2">
        <v>0</v>
      </c>
      <c r="F3769" s="2">
        <v>0</v>
      </c>
      <c r="G3769" s="2">
        <v>0</v>
      </c>
      <c r="H3769" s="1" t="s">
        <v>0</v>
      </c>
      <c r="I3769" s="2">
        <v>0</v>
      </c>
      <c r="J3769" s="1">
        <v>45915.378182870372</v>
      </c>
    </row>
    <row r="3770" spans="1:10" x14ac:dyDescent="0.2">
      <c r="A3770" s="4" t="s">
        <v>1</v>
      </c>
      <c r="B3770" s="3" t="str">
        <f>HYPERLINK("https://otsuka-europe-crm.veevavault.com/ui/#object/approved_document__v/V5OZ025E82TFUPI", "Spain - HCP Survey Email - June 2025")</f>
        <v>Spain - HCP Survey Email - June 2025</v>
      </c>
      <c r="C3770" s="3" t="str">
        <f>HYPERLINK("https://otsuka-europe-crm.veevavault.com/ui/#object/sent_email__v/VBLZ025E82GN0JU", "SE-000270892")</f>
        <v>SE-000270892</v>
      </c>
      <c r="D3770" s="1" t="s">
        <v>0</v>
      </c>
      <c r="E3770" s="2">
        <v>0</v>
      </c>
      <c r="F3770" s="2">
        <v>0</v>
      </c>
      <c r="G3770" s="2">
        <v>0</v>
      </c>
      <c r="H3770" s="1" t="s">
        <v>0</v>
      </c>
      <c r="I3770" s="2">
        <v>0</v>
      </c>
      <c r="J3770" s="1">
        <v>45915.378159722219</v>
      </c>
    </row>
    <row r="3771" spans="1:10" x14ac:dyDescent="0.2">
      <c r="A3771" s="4" t="s">
        <v>1</v>
      </c>
      <c r="B3771" s="3" t="str">
        <f>HYPERLINK("https://otsuka-europe-crm.veevavault.com/ui/#object/approved_document__v/V5OZ025E82TFUPI", "Spain - HCP Survey Email - June 2025")</f>
        <v>Spain - HCP Survey Email - June 2025</v>
      </c>
      <c r="C3771" s="3" t="str">
        <f>HYPERLINK("https://otsuka-europe-crm.veevavault.com/ui/#object/sent_email__v/VBLZ025E82GN0JV", "SE-000270893")</f>
        <v>SE-000270893</v>
      </c>
      <c r="D3771" s="1" t="s">
        <v>0</v>
      </c>
      <c r="E3771" s="2">
        <v>0</v>
      </c>
      <c r="F3771" s="2">
        <v>0</v>
      </c>
      <c r="G3771" s="2">
        <v>0</v>
      </c>
      <c r="H3771" s="1" t="s">
        <v>0</v>
      </c>
      <c r="I3771" s="2">
        <v>0</v>
      </c>
      <c r="J3771" s="1">
        <v>45915.378564814811</v>
      </c>
    </row>
    <row r="3772" spans="1:10" x14ac:dyDescent="0.2">
      <c r="A3772" s="4" t="s">
        <v>1</v>
      </c>
      <c r="B3772" s="3" t="str">
        <f>HYPERLINK("https://otsuka-europe-crm.veevavault.com/ui/#object/approved_document__v/V5OZ025E82TFUPI", "Spain - HCP Survey Email - June 2025")</f>
        <v>Spain - HCP Survey Email - June 2025</v>
      </c>
      <c r="C3772" s="3" t="str">
        <f>HYPERLINK("https://otsuka-europe-crm.veevavault.com/ui/#object/sent_email__v/VBLZ025E82GN0JW", "SE-000270894")</f>
        <v>SE-000270894</v>
      </c>
      <c r="D3772" s="1" t="s">
        <v>0</v>
      </c>
      <c r="E3772" s="2">
        <v>0</v>
      </c>
      <c r="F3772" s="2">
        <v>0</v>
      </c>
      <c r="G3772" s="2">
        <v>0</v>
      </c>
      <c r="H3772" s="1" t="s">
        <v>0</v>
      </c>
      <c r="I3772" s="2">
        <v>0</v>
      </c>
      <c r="J3772" s="1">
        <v>45912.693518518521</v>
      </c>
    </row>
    <row r="3773" spans="1:10" x14ac:dyDescent="0.2">
      <c r="A3773" s="4" t="s">
        <v>1</v>
      </c>
      <c r="B3773" s="3" t="str">
        <f>HYPERLINK("https://otsuka-europe-crm.veevavault.com/ui/#object/approved_document__v/V5OZ025E82TFUPI", "Spain - HCP Survey Email - June 2025")</f>
        <v>Spain - HCP Survey Email - June 2025</v>
      </c>
      <c r="C3773" s="3" t="str">
        <f>HYPERLINK("https://otsuka-europe-crm.veevavault.com/ui/#object/sent_email__v/VBLZ025E82GN0JX", "SE-000270895")</f>
        <v>SE-000270895</v>
      </c>
      <c r="D3773" s="1">
        <v>45915.891087962962</v>
      </c>
      <c r="E3773" s="2">
        <v>1</v>
      </c>
      <c r="F3773" s="2">
        <v>1</v>
      </c>
      <c r="G3773" s="2">
        <v>0</v>
      </c>
      <c r="H3773" s="1" t="s">
        <v>0</v>
      </c>
      <c r="I3773" s="2">
        <v>0</v>
      </c>
      <c r="J3773" s="1">
        <v>45915.37771990741</v>
      </c>
    </row>
    <row r="3774" spans="1:10" x14ac:dyDescent="0.2">
      <c r="A3774" s="4" t="s">
        <v>1</v>
      </c>
      <c r="B3774" s="3" t="str">
        <f>HYPERLINK("https://otsuka-europe-crm.veevavault.com/ui/#object/approved_document__v/V5OZ025E82TFUPI", "Spain - HCP Survey Email - June 2025")</f>
        <v>Spain - HCP Survey Email - June 2025</v>
      </c>
      <c r="C3774" s="3" t="str">
        <f>HYPERLINK("https://otsuka-europe-crm.veevavault.com/ui/#object/sent_email__v/VBLZ025E82GN0JZ", "SE-000270897")</f>
        <v>SE-000270897</v>
      </c>
      <c r="D3774" s="1" t="s">
        <v>0</v>
      </c>
      <c r="E3774" s="2">
        <v>0</v>
      </c>
      <c r="F3774" s="2">
        <v>0</v>
      </c>
      <c r="G3774" s="2">
        <v>0</v>
      </c>
      <c r="H3774" s="1" t="s">
        <v>0</v>
      </c>
      <c r="I3774" s="2">
        <v>0</v>
      </c>
      <c r="J3774" s="1">
        <v>45915.378067129626</v>
      </c>
    </row>
    <row r="3775" spans="1:10" x14ac:dyDescent="0.2">
      <c r="A3775" s="4" t="s">
        <v>1</v>
      </c>
      <c r="B3775" s="3" t="str">
        <f>HYPERLINK("https://otsuka-europe-crm.veevavault.com/ui/#object/approved_document__v/V5OZ025E82TFUPI", "Spain - HCP Survey Email - June 2025")</f>
        <v>Spain - HCP Survey Email - June 2025</v>
      </c>
      <c r="C3775" s="3" t="str">
        <f>HYPERLINK("https://otsuka-europe-crm.veevavault.com/ui/#object/sent_email__v/VBLZ025E82GN0K0", "SE-000270898")</f>
        <v>SE-000270898</v>
      </c>
      <c r="D3775" s="1">
        <v>45915.84165509259</v>
      </c>
      <c r="E3775" s="2">
        <v>1</v>
      </c>
      <c r="F3775" s="2">
        <v>1</v>
      </c>
      <c r="G3775" s="2">
        <v>0</v>
      </c>
      <c r="H3775" s="1" t="s">
        <v>0</v>
      </c>
      <c r="I3775" s="2">
        <v>0</v>
      </c>
      <c r="J3775" s="1">
        <v>45915.378854166665</v>
      </c>
    </row>
    <row r="3776" spans="1:10" x14ac:dyDescent="0.2">
      <c r="A3776" s="4" t="s">
        <v>1</v>
      </c>
      <c r="B3776" s="3" t="str">
        <f>HYPERLINK("https://otsuka-europe-crm.veevavault.com/ui/#object/approved_document__v/V5OZ025E82TFUPI", "Spain - HCP Survey Email - June 2025")</f>
        <v>Spain - HCP Survey Email - June 2025</v>
      </c>
      <c r="C3776" s="3" t="str">
        <f>HYPERLINK("https://otsuka-europe-crm.veevavault.com/ui/#object/sent_email__v/VBLZ025E82GN0K1", "SE-000270899")</f>
        <v>SE-000270899</v>
      </c>
      <c r="D3776" s="1" t="s">
        <v>0</v>
      </c>
      <c r="E3776" s="2">
        <v>0</v>
      </c>
      <c r="F3776" s="2">
        <v>0</v>
      </c>
      <c r="G3776" s="2">
        <v>0</v>
      </c>
      <c r="H3776" s="1" t="s">
        <v>0</v>
      </c>
      <c r="I3776" s="2">
        <v>0</v>
      </c>
      <c r="J3776" s="1">
        <v>45915.378692129627</v>
      </c>
    </row>
    <row r="3777" spans="1:10" x14ac:dyDescent="0.2">
      <c r="A3777" s="4" t="s">
        <v>1</v>
      </c>
      <c r="B3777" s="3" t="str">
        <f>HYPERLINK("https://otsuka-europe-crm.veevavault.com/ui/#object/approved_document__v/V5OZ025E82TFUPI", "Spain - HCP Survey Email - June 2025")</f>
        <v>Spain - HCP Survey Email - June 2025</v>
      </c>
      <c r="C3777" s="3" t="str">
        <f>HYPERLINK("https://otsuka-europe-crm.veevavault.com/ui/#object/sent_email__v/VBLZ025E82GN0K2", "SE-000270900")</f>
        <v>SE-000270900</v>
      </c>
      <c r="D3777" s="1" t="s">
        <v>0</v>
      </c>
      <c r="E3777" s="2">
        <v>0</v>
      </c>
      <c r="F3777" s="2">
        <v>0</v>
      </c>
      <c r="G3777" s="2">
        <v>0</v>
      </c>
      <c r="H3777" s="1" t="s">
        <v>0</v>
      </c>
      <c r="I3777" s="2">
        <v>0</v>
      </c>
      <c r="J3777" s="1">
        <v>45915.379062499997</v>
      </c>
    </row>
    <row r="3778" spans="1:10" x14ac:dyDescent="0.2">
      <c r="A3778" s="4" t="s">
        <v>1</v>
      </c>
      <c r="B3778" s="3" t="str">
        <f>HYPERLINK("https://otsuka-europe-crm.veevavault.com/ui/#object/approved_document__v/V5OZ025E82TFUPI", "Spain - HCP Survey Email - June 2025")</f>
        <v>Spain - HCP Survey Email - June 2025</v>
      </c>
      <c r="C3778" s="3" t="str">
        <f>HYPERLINK("https://otsuka-europe-crm.veevavault.com/ui/#object/sent_email__v/VBLZ025E82GN0K3", "SE-000270901")</f>
        <v>SE-000270901</v>
      </c>
      <c r="D3778" s="1" t="s">
        <v>0</v>
      </c>
      <c r="E3778" s="2">
        <v>0</v>
      </c>
      <c r="F3778" s="2">
        <v>0</v>
      </c>
      <c r="G3778" s="2">
        <v>0</v>
      </c>
      <c r="H3778" s="1" t="s">
        <v>0</v>
      </c>
      <c r="I3778" s="2">
        <v>0</v>
      </c>
      <c r="J3778" s="1">
        <v>45915.377789351849</v>
      </c>
    </row>
    <row r="3779" spans="1:10" x14ac:dyDescent="0.2">
      <c r="A3779" s="4" t="s">
        <v>1</v>
      </c>
      <c r="B3779" s="3" t="str">
        <f>HYPERLINK("https://otsuka-europe-crm.veevavault.com/ui/#object/approved_document__v/V5OZ025E82TFUPI", "Spain - HCP Survey Email - June 2025")</f>
        <v>Spain - HCP Survey Email - June 2025</v>
      </c>
      <c r="C3779" s="3" t="str">
        <f>HYPERLINK("https://otsuka-europe-crm.veevavault.com/ui/#object/sent_email__v/VBLZ025E82GN0K4", "SE-000270902")</f>
        <v>SE-000270902</v>
      </c>
      <c r="D3779" s="1" t="s">
        <v>0</v>
      </c>
      <c r="E3779" s="2">
        <v>0</v>
      </c>
      <c r="F3779" s="2">
        <v>0</v>
      </c>
      <c r="G3779" s="2">
        <v>0</v>
      </c>
      <c r="H3779" s="1" t="s">
        <v>0</v>
      </c>
      <c r="I3779" s="2">
        <v>0</v>
      </c>
      <c r="J3779" s="1">
        <v>45915.378206018519</v>
      </c>
    </row>
    <row r="3780" spans="1:10" x14ac:dyDescent="0.2">
      <c r="A3780" s="4" t="s">
        <v>1</v>
      </c>
      <c r="B3780" s="3" t="str">
        <f>HYPERLINK("https://otsuka-europe-crm.veevavault.com/ui/#object/approved_document__v/V5OZ025E82TFUPI", "Spain - HCP Survey Email - June 2025")</f>
        <v>Spain - HCP Survey Email - June 2025</v>
      </c>
      <c r="C3780" s="3" t="str">
        <f>HYPERLINK("https://otsuka-europe-crm.veevavault.com/ui/#object/sent_email__v/VBLZ025E82GN0K5", "SE-000270903")</f>
        <v>SE-000270903</v>
      </c>
      <c r="D3780" s="1" t="s">
        <v>0</v>
      </c>
      <c r="E3780" s="2">
        <v>0</v>
      </c>
      <c r="F3780" s="2">
        <v>0</v>
      </c>
      <c r="G3780" s="2">
        <v>0</v>
      </c>
      <c r="H3780" s="1" t="s">
        <v>0</v>
      </c>
      <c r="I3780" s="2">
        <v>0</v>
      </c>
      <c r="J3780" s="1">
        <v>45915.378136574072</v>
      </c>
    </row>
    <row r="3781" spans="1:10" x14ac:dyDescent="0.2">
      <c r="A3781" s="4" t="s">
        <v>1</v>
      </c>
      <c r="B3781" s="3" t="str">
        <f>HYPERLINK("https://otsuka-europe-crm.veevavault.com/ui/#object/approved_document__v/V5OZ025E82TFUPI", "Spain - HCP Survey Email - June 2025")</f>
        <v>Spain - HCP Survey Email - June 2025</v>
      </c>
      <c r="C3781" s="3" t="str">
        <f>HYPERLINK("https://otsuka-europe-crm.veevavault.com/ui/#object/sent_email__v/VBLZ025E82GN0K6", "SE-000270904")</f>
        <v>SE-000270904</v>
      </c>
      <c r="D3781" s="1">
        <v>45915.386620370373</v>
      </c>
      <c r="E3781" s="2">
        <v>1</v>
      </c>
      <c r="F3781" s="2">
        <v>1</v>
      </c>
      <c r="G3781" s="2">
        <v>0</v>
      </c>
      <c r="H3781" s="1" t="s">
        <v>0</v>
      </c>
      <c r="I3781" s="2">
        <v>0</v>
      </c>
      <c r="J3781" s="1">
        <v>45915.378576388888</v>
      </c>
    </row>
    <row r="3782" spans="1:10" x14ac:dyDescent="0.2">
      <c r="A3782" s="4" t="s">
        <v>1</v>
      </c>
      <c r="B3782" s="3" t="str">
        <f>HYPERLINK("https://otsuka-europe-crm.veevavault.com/ui/#object/approved_document__v/V5OZ025E82TFUPI", "Spain - HCP Survey Email - June 2025")</f>
        <v>Spain - HCP Survey Email - June 2025</v>
      </c>
      <c r="C3782" s="3" t="str">
        <f>HYPERLINK("https://otsuka-europe-crm.veevavault.com/ui/#object/sent_email__v/VBLZ025E82GN0K7", "SE-000270905")</f>
        <v>SE-000270905</v>
      </c>
      <c r="D3782" s="1">
        <v>45915.801493055558</v>
      </c>
      <c r="E3782" s="2">
        <v>1</v>
      </c>
      <c r="F3782" s="2">
        <v>3</v>
      </c>
      <c r="G3782" s="2">
        <v>0</v>
      </c>
      <c r="H3782" s="1" t="s">
        <v>0</v>
      </c>
      <c r="I3782" s="2">
        <v>0</v>
      </c>
      <c r="J3782" s="1">
        <v>45915.38003472222</v>
      </c>
    </row>
    <row r="3783" spans="1:10" x14ac:dyDescent="0.2">
      <c r="A3783" s="4" t="s">
        <v>1</v>
      </c>
      <c r="B3783" s="3" t="str">
        <f>HYPERLINK("https://otsuka-europe-crm.veevavault.com/ui/#object/approved_document__v/V5OZ025E82TFUPI", "Spain - HCP Survey Email - June 2025")</f>
        <v>Spain - HCP Survey Email - June 2025</v>
      </c>
      <c r="C3783" s="3" t="str">
        <f>HYPERLINK("https://otsuka-europe-crm.veevavault.com/ui/#object/sent_email__v/VBLZ025E82GN0K8", "SE-000270906")</f>
        <v>SE-000270906</v>
      </c>
      <c r="D3783" s="1">
        <v>45915.387696759259</v>
      </c>
      <c r="E3783" s="2">
        <v>1</v>
      </c>
      <c r="F3783" s="2">
        <v>1</v>
      </c>
      <c r="G3783" s="2">
        <v>0</v>
      </c>
      <c r="H3783" s="1" t="s">
        <v>0</v>
      </c>
      <c r="I3783" s="2">
        <v>0</v>
      </c>
      <c r="J3783" s="1">
        <v>45915.377708333333</v>
      </c>
    </row>
    <row r="3784" spans="1:10" x14ac:dyDescent="0.2">
      <c r="A3784" s="4" t="s">
        <v>1</v>
      </c>
      <c r="B3784" s="3" t="str">
        <f>HYPERLINK("https://otsuka-europe-crm.veevavault.com/ui/#object/approved_document__v/V5OZ025E82TFUPI", "Spain - HCP Survey Email - June 2025")</f>
        <v>Spain - HCP Survey Email - June 2025</v>
      </c>
      <c r="C3784" s="3" t="str">
        <f>HYPERLINK("https://otsuka-europe-crm.veevavault.com/ui/#object/sent_email__v/VBLZ025E82GN0K9", "SE-000270907")</f>
        <v>SE-000270907</v>
      </c>
      <c r="D3784" s="1">
        <v>45915.395289351851</v>
      </c>
      <c r="E3784" s="2">
        <v>1</v>
      </c>
      <c r="F3784" s="2">
        <v>1</v>
      </c>
      <c r="G3784" s="2">
        <v>0</v>
      </c>
      <c r="H3784" s="1" t="s">
        <v>0</v>
      </c>
      <c r="I3784" s="2">
        <v>0</v>
      </c>
      <c r="J3784" s="1">
        <v>45915.377569444441</v>
      </c>
    </row>
    <row r="3785" spans="1:10" x14ac:dyDescent="0.2">
      <c r="A3785" s="4" t="s">
        <v>1</v>
      </c>
      <c r="B3785" s="3" t="str">
        <f>HYPERLINK("https://otsuka-europe-crm.veevavault.com/ui/#object/approved_document__v/V5OZ025E82TFUPI", "Spain - HCP Survey Email - June 2025")</f>
        <v>Spain - HCP Survey Email - June 2025</v>
      </c>
      <c r="C3785" s="3" t="str">
        <f>HYPERLINK("https://otsuka-europe-crm.veevavault.com/ui/#object/sent_email__v/VBLZ025E82GN0KA", "SE-000270908")</f>
        <v>SE-000270908</v>
      </c>
      <c r="D3785" s="1" t="s">
        <v>0</v>
      </c>
      <c r="E3785" s="2">
        <v>0</v>
      </c>
      <c r="F3785" s="2">
        <v>0</v>
      </c>
      <c r="G3785" s="2">
        <v>0</v>
      </c>
      <c r="H3785" s="1" t="s">
        <v>0</v>
      </c>
      <c r="I3785" s="2">
        <v>0</v>
      </c>
      <c r="J3785" s="1">
        <v>45915.378425925926</v>
      </c>
    </row>
    <row r="3786" spans="1:10" x14ac:dyDescent="0.2">
      <c r="A3786" s="4" t="s">
        <v>1</v>
      </c>
      <c r="B3786" s="3" t="str">
        <f>HYPERLINK("https://otsuka-europe-crm.veevavault.com/ui/#object/approved_document__v/V5OZ025E82TFUPI", "Spain - HCP Survey Email - June 2025")</f>
        <v>Spain - HCP Survey Email - June 2025</v>
      </c>
      <c r="C3786" s="3" t="str">
        <f>HYPERLINK("https://otsuka-europe-crm.veevavault.com/ui/#object/sent_email__v/VBLZ025E82GN0KB", "SE-000270909")</f>
        <v>SE-000270909</v>
      </c>
      <c r="D3786" s="1" t="s">
        <v>0</v>
      </c>
      <c r="E3786" s="2">
        <v>0</v>
      </c>
      <c r="F3786" s="2">
        <v>0</v>
      </c>
      <c r="G3786" s="2">
        <v>0</v>
      </c>
      <c r="H3786" s="1" t="s">
        <v>0</v>
      </c>
      <c r="I3786" s="2">
        <v>0</v>
      </c>
      <c r="J3786" s="1">
        <v>45915.378923611112</v>
      </c>
    </row>
    <row r="3787" spans="1:10" x14ac:dyDescent="0.2">
      <c r="A3787" s="4" t="s">
        <v>1</v>
      </c>
      <c r="B3787" s="3" t="str">
        <f>HYPERLINK("https://otsuka-europe-crm.veevavault.com/ui/#object/approved_document__v/V5OZ025E82TFUPI", "Spain - HCP Survey Email - June 2025")</f>
        <v>Spain - HCP Survey Email - June 2025</v>
      </c>
      <c r="C3787" s="3" t="str">
        <f>HYPERLINK("https://otsuka-europe-crm.veevavault.com/ui/#object/sent_email__v/VBLZ025E82GN0KC", "SE-000270910")</f>
        <v>SE-000270910</v>
      </c>
      <c r="D3787" s="1">
        <v>45933.444768518515</v>
      </c>
      <c r="E3787" s="2">
        <v>1</v>
      </c>
      <c r="F3787" s="2">
        <v>1</v>
      </c>
      <c r="G3787" s="2">
        <v>1</v>
      </c>
      <c r="H3787" s="1">
        <v>45933.444768518515</v>
      </c>
      <c r="I3787" s="2">
        <v>1</v>
      </c>
      <c r="J3787" s="1">
        <v>45915.380023148151</v>
      </c>
    </row>
    <row r="3788" spans="1:10" x14ac:dyDescent="0.2">
      <c r="A3788" s="4" t="s">
        <v>1</v>
      </c>
      <c r="B3788" s="3" t="str">
        <f>HYPERLINK("https://otsuka-europe-crm.veevavault.com/ui/#object/approved_document__v/V5OZ025E82TFUPI", "Spain - HCP Survey Email - June 2025")</f>
        <v>Spain - HCP Survey Email - June 2025</v>
      </c>
      <c r="C3788" s="3" t="str">
        <f>HYPERLINK("https://otsuka-europe-crm.veevavault.com/ui/#object/sent_email__v/VBLZ025E82GN0KD", "SE-000270911")</f>
        <v>SE-000270911</v>
      </c>
      <c r="D3788" s="1">
        <v>45917.480046296296</v>
      </c>
      <c r="E3788" s="2">
        <v>1</v>
      </c>
      <c r="F3788" s="2">
        <v>1</v>
      </c>
      <c r="G3788" s="2">
        <v>0</v>
      </c>
      <c r="H3788" s="1" t="s">
        <v>0</v>
      </c>
      <c r="I3788" s="2">
        <v>0</v>
      </c>
      <c r="J3788" s="1">
        <v>45915.37777777778</v>
      </c>
    </row>
    <row r="3789" spans="1:10" x14ac:dyDescent="0.2">
      <c r="A3789" s="4" t="s">
        <v>1</v>
      </c>
      <c r="B3789" s="3" t="str">
        <f>HYPERLINK("https://otsuka-europe-crm.veevavault.com/ui/#object/approved_document__v/V5OZ025E82TFUPI", "Spain - HCP Survey Email - June 2025")</f>
        <v>Spain - HCP Survey Email - June 2025</v>
      </c>
      <c r="C3789" s="3" t="str">
        <f>HYPERLINK("https://otsuka-europe-crm.veevavault.com/ui/#object/sent_email__v/VBLZ025E82GN0KE", "SE-000270912")</f>
        <v>SE-000270912</v>
      </c>
      <c r="D3789" s="1" t="s">
        <v>0</v>
      </c>
      <c r="E3789" s="2">
        <v>0</v>
      </c>
      <c r="F3789" s="2">
        <v>0</v>
      </c>
      <c r="G3789" s="2">
        <v>0</v>
      </c>
      <c r="H3789" s="1" t="s">
        <v>0</v>
      </c>
      <c r="I3789" s="2">
        <v>0</v>
      </c>
      <c r="J3789" s="1">
        <v>45915.377592592595</v>
      </c>
    </row>
    <row r="3790" spans="1:10" x14ac:dyDescent="0.2">
      <c r="A3790" s="4" t="s">
        <v>1</v>
      </c>
      <c r="B3790" s="3" t="str">
        <f>HYPERLINK("https://otsuka-europe-crm.veevavault.com/ui/#object/approved_document__v/V5OZ025E82TFUPI", "Spain - HCP Survey Email - June 2025")</f>
        <v>Spain - HCP Survey Email - June 2025</v>
      </c>
      <c r="C3790" s="3" t="str">
        <f>HYPERLINK("https://otsuka-europe-crm.veevavault.com/ui/#object/sent_email__v/VBLZ025E82GN0KF", "SE-000270913")</f>
        <v>SE-000270913</v>
      </c>
      <c r="D3790" s="1" t="s">
        <v>0</v>
      </c>
      <c r="E3790" s="2">
        <v>0</v>
      </c>
      <c r="F3790" s="2">
        <v>0</v>
      </c>
      <c r="G3790" s="2">
        <v>0</v>
      </c>
      <c r="H3790" s="1" t="s">
        <v>0</v>
      </c>
      <c r="I3790" s="2">
        <v>0</v>
      </c>
      <c r="J3790" s="1">
        <v>45915.37840277778</v>
      </c>
    </row>
    <row r="3791" spans="1:10" x14ac:dyDescent="0.2">
      <c r="A3791" s="4" t="s">
        <v>1</v>
      </c>
      <c r="B3791" s="3" t="str">
        <f>HYPERLINK("https://otsuka-europe-crm.veevavault.com/ui/#object/approved_document__v/V5OZ025E82TFUPI", "Spain - HCP Survey Email - June 2025")</f>
        <v>Spain - HCP Survey Email - June 2025</v>
      </c>
      <c r="C3791" s="3" t="str">
        <f>HYPERLINK("https://otsuka-europe-crm.veevavault.com/ui/#object/sent_email__v/VBLZ025E82GN0KG", "SE-000270914")</f>
        <v>SE-000270914</v>
      </c>
      <c r="D3791" s="1" t="s">
        <v>0</v>
      </c>
      <c r="E3791" s="2">
        <v>0</v>
      </c>
      <c r="F3791" s="2">
        <v>0</v>
      </c>
      <c r="G3791" s="2">
        <v>0</v>
      </c>
      <c r="H3791" s="1" t="s">
        <v>0</v>
      </c>
      <c r="I3791" s="2">
        <v>0</v>
      </c>
      <c r="J3791" s="1">
        <v>45915.378807870373</v>
      </c>
    </row>
    <row r="3792" spans="1:10" x14ac:dyDescent="0.2">
      <c r="A3792" s="4" t="s">
        <v>1</v>
      </c>
      <c r="B3792" s="3" t="str">
        <f>HYPERLINK("https://otsuka-europe-crm.veevavault.com/ui/#object/approved_document__v/V5OZ025E82TFUPI", "Spain - HCP Survey Email - June 2025")</f>
        <v>Spain - HCP Survey Email - June 2025</v>
      </c>
      <c r="C3792" s="3" t="str">
        <f>HYPERLINK("https://otsuka-europe-crm.veevavault.com/ui/#object/sent_email__v/VBLZ025E82GN0KH", "SE-000270915")</f>
        <v>SE-000270915</v>
      </c>
      <c r="D3792" s="1" t="s">
        <v>0</v>
      </c>
      <c r="E3792" s="2">
        <v>0</v>
      </c>
      <c r="F3792" s="2">
        <v>0</v>
      </c>
      <c r="G3792" s="2">
        <v>0</v>
      </c>
      <c r="H3792" s="1" t="s">
        <v>0</v>
      </c>
      <c r="I3792" s="2">
        <v>0</v>
      </c>
      <c r="J3792" s="1">
        <v>45915.378680555557</v>
      </c>
    </row>
    <row r="3793" spans="1:10" x14ac:dyDescent="0.2">
      <c r="A3793" s="4" t="s">
        <v>1</v>
      </c>
      <c r="B3793" s="3" t="str">
        <f>HYPERLINK("https://otsuka-europe-crm.veevavault.com/ui/#object/approved_document__v/V5OZ025E82TFUPI", "Spain - HCP Survey Email - June 2025")</f>
        <v>Spain - HCP Survey Email - June 2025</v>
      </c>
      <c r="C3793" s="3" t="str">
        <f>HYPERLINK("https://otsuka-europe-crm.veevavault.com/ui/#object/sent_email__v/VBLZ025E82GN0KI", "SE-000270916")</f>
        <v>SE-000270916</v>
      </c>
      <c r="D3793" s="1">
        <v>45930.940648148149</v>
      </c>
      <c r="E3793" s="2">
        <v>1</v>
      </c>
      <c r="F3793" s="2">
        <v>1</v>
      </c>
      <c r="G3793" s="2">
        <v>0</v>
      </c>
      <c r="H3793" s="1" t="s">
        <v>0</v>
      </c>
      <c r="I3793" s="2">
        <v>0</v>
      </c>
      <c r="J3793" s="1">
        <v>45915.379155092596</v>
      </c>
    </row>
    <row r="3794" spans="1:10" x14ac:dyDescent="0.2">
      <c r="A3794" s="4" t="s">
        <v>1</v>
      </c>
      <c r="B3794" s="3" t="str">
        <f>HYPERLINK("https://otsuka-europe-crm.veevavault.com/ui/#object/approved_document__v/V5OZ025E82TFUPI", "Spain - HCP Survey Email - June 2025")</f>
        <v>Spain - HCP Survey Email - June 2025</v>
      </c>
      <c r="C3794" s="3" t="str">
        <f>HYPERLINK("https://otsuka-europe-crm.veevavault.com/ui/#object/sent_email__v/VBLZ025E82GN0KJ", "SE-000270917")</f>
        <v>SE-000270917</v>
      </c>
      <c r="D3794" s="1">
        <v>45915.657592592594</v>
      </c>
      <c r="E3794" s="2">
        <v>1</v>
      </c>
      <c r="F3794" s="2">
        <v>1</v>
      </c>
      <c r="G3794" s="2">
        <v>0</v>
      </c>
      <c r="H3794" s="1" t="s">
        <v>0</v>
      </c>
      <c r="I3794" s="2">
        <v>0</v>
      </c>
      <c r="J3794" s="1">
        <v>45915.37777777778</v>
      </c>
    </row>
    <row r="3795" spans="1:10" x14ac:dyDescent="0.2">
      <c r="A3795" s="4" t="s">
        <v>1</v>
      </c>
      <c r="B3795" s="3" t="str">
        <f>HYPERLINK("https://otsuka-europe-crm.veevavault.com/ui/#object/approved_document__v/V5OZ025E82TFUPI", "Spain - HCP Survey Email - June 2025")</f>
        <v>Spain - HCP Survey Email - June 2025</v>
      </c>
      <c r="C3795" s="3" t="str">
        <f>HYPERLINK("https://otsuka-europe-crm.veevavault.com/ui/#object/sent_email__v/VBLZ025E82GN0KK", "SE-000270918")</f>
        <v>SE-000270918</v>
      </c>
      <c r="D3795" s="1" t="s">
        <v>0</v>
      </c>
      <c r="E3795" s="2">
        <v>0</v>
      </c>
      <c r="F3795" s="2">
        <v>0</v>
      </c>
      <c r="G3795" s="2">
        <v>0</v>
      </c>
      <c r="H3795" s="1" t="s">
        <v>0</v>
      </c>
      <c r="I3795" s="2">
        <v>0</v>
      </c>
      <c r="J3795" s="1">
        <v>45915.378217592595</v>
      </c>
    </row>
    <row r="3796" spans="1:10" x14ac:dyDescent="0.2">
      <c r="A3796" s="4" t="s">
        <v>1</v>
      </c>
      <c r="B3796" s="3" t="str">
        <f>HYPERLINK("https://otsuka-europe-crm.veevavault.com/ui/#object/approved_document__v/V5OZ025E82TFUPI", "Spain - HCP Survey Email - June 2025")</f>
        <v>Spain - HCP Survey Email - June 2025</v>
      </c>
      <c r="C3796" s="3" t="str">
        <f>HYPERLINK("https://otsuka-europe-crm.veevavault.com/ui/#object/sent_email__v/VBLZ025E82GN0KL", "SE-000270919")</f>
        <v>SE-000270919</v>
      </c>
      <c r="D3796" s="1">
        <v>45915.399305555555</v>
      </c>
      <c r="E3796" s="2">
        <v>1</v>
      </c>
      <c r="F3796" s="2">
        <v>1</v>
      </c>
      <c r="G3796" s="2">
        <v>1</v>
      </c>
      <c r="H3796" s="1">
        <v>45915.625393518516</v>
      </c>
      <c r="I3796" s="2">
        <v>1</v>
      </c>
      <c r="J3796" s="1">
        <v>45915.378171296295</v>
      </c>
    </row>
    <row r="3797" spans="1:10" x14ac:dyDescent="0.2">
      <c r="A3797" s="4" t="s">
        <v>1</v>
      </c>
      <c r="B3797" s="3" t="str">
        <f>HYPERLINK("https://otsuka-europe-crm.veevavault.com/ui/#object/approved_document__v/V5OZ025E82TFUPI", "Spain - HCP Survey Email - June 2025")</f>
        <v>Spain - HCP Survey Email - June 2025</v>
      </c>
      <c r="C3797" s="3" t="str">
        <f>HYPERLINK("https://otsuka-europe-crm.veevavault.com/ui/#object/sent_email__v/VBLZ025E82GN0KM", "SE-000270920")</f>
        <v>SE-000270920</v>
      </c>
      <c r="D3797" s="1" t="s">
        <v>0</v>
      </c>
      <c r="E3797" s="2">
        <v>0</v>
      </c>
      <c r="F3797" s="2">
        <v>0</v>
      </c>
      <c r="G3797" s="2">
        <v>0</v>
      </c>
      <c r="H3797" s="1" t="s">
        <v>0</v>
      </c>
      <c r="I3797" s="2">
        <v>0</v>
      </c>
      <c r="J3797" s="1">
        <v>45915.378668981481</v>
      </c>
    </row>
    <row r="3798" spans="1:10" x14ac:dyDescent="0.2">
      <c r="A3798" s="4" t="s">
        <v>1</v>
      </c>
      <c r="B3798" s="3" t="str">
        <f>HYPERLINK("https://otsuka-europe-crm.veevavault.com/ui/#object/approved_document__v/V5OZ025E82TFUPI", "Spain - HCP Survey Email - June 2025")</f>
        <v>Spain - HCP Survey Email - June 2025</v>
      </c>
      <c r="C3798" s="3" t="str">
        <f>HYPERLINK("https://otsuka-europe-crm.veevavault.com/ui/#object/sent_email__v/VBLZ025E82GN0KN", "SE-000270921")</f>
        <v>SE-000270921</v>
      </c>
      <c r="D3798" s="1">
        <v>45915.384479166663</v>
      </c>
      <c r="E3798" s="2">
        <v>1</v>
      </c>
      <c r="F3798" s="2">
        <v>1</v>
      </c>
      <c r="G3798" s="2">
        <v>0</v>
      </c>
      <c r="H3798" s="1" t="s">
        <v>0</v>
      </c>
      <c r="I3798" s="2">
        <v>0</v>
      </c>
      <c r="J3798" s="1">
        <v>45915.379872685182</v>
      </c>
    </row>
    <row r="3799" spans="1:10" x14ac:dyDescent="0.2">
      <c r="A3799" s="4" t="s">
        <v>1</v>
      </c>
      <c r="B3799" s="3" t="str">
        <f>HYPERLINK("https://otsuka-europe-crm.veevavault.com/ui/#object/approved_document__v/V5OZ025E82TFUPI", "Spain - HCP Survey Email - June 2025")</f>
        <v>Spain - HCP Survey Email - June 2025</v>
      </c>
      <c r="C3799" s="3" t="str">
        <f>HYPERLINK("https://otsuka-europe-crm.veevavault.com/ui/#object/sent_email__v/VBLZ025E82GN0KO", "SE-000270922")</f>
        <v>SE-000270922</v>
      </c>
      <c r="D3799" s="1" t="s">
        <v>0</v>
      </c>
      <c r="E3799" s="2">
        <v>0</v>
      </c>
      <c r="F3799" s="2">
        <v>0</v>
      </c>
      <c r="G3799" s="2">
        <v>0</v>
      </c>
      <c r="H3799" s="1" t="s">
        <v>0</v>
      </c>
      <c r="I3799" s="2">
        <v>0</v>
      </c>
      <c r="J3799" s="1">
        <v>45915.377685185187</v>
      </c>
    </row>
    <row r="3800" spans="1:10" x14ac:dyDescent="0.2">
      <c r="A3800" s="4" t="s">
        <v>1</v>
      </c>
      <c r="B3800" s="3" t="str">
        <f>HYPERLINK("https://otsuka-europe-crm.veevavault.com/ui/#object/approved_document__v/V5OZ025E82TFUPI", "Spain - HCP Survey Email - June 2025")</f>
        <v>Spain - HCP Survey Email - June 2025</v>
      </c>
      <c r="C3800" s="3" t="str">
        <f>HYPERLINK("https://otsuka-europe-crm.veevavault.com/ui/#object/sent_email__v/VBLZ025E82GN0KP", "SE-000270923")</f>
        <v>SE-000270923</v>
      </c>
      <c r="D3800" s="1" t="s">
        <v>0</v>
      </c>
      <c r="E3800" s="2">
        <v>0</v>
      </c>
      <c r="F3800" s="2">
        <v>0</v>
      </c>
      <c r="G3800" s="2">
        <v>0</v>
      </c>
      <c r="H3800" s="1" t="s">
        <v>0</v>
      </c>
      <c r="I3800" s="2">
        <v>0</v>
      </c>
      <c r="J3800" s="1">
        <v>45915.377615740741</v>
      </c>
    </row>
    <row r="3801" spans="1:10" x14ac:dyDescent="0.2">
      <c r="A3801" s="4" t="s">
        <v>1</v>
      </c>
      <c r="B3801" s="3" t="str">
        <f>HYPERLINK("https://otsuka-europe-crm.veevavault.com/ui/#object/approved_document__v/V5OZ025E82TFUPI", "Spain - HCP Survey Email - June 2025")</f>
        <v>Spain - HCP Survey Email - June 2025</v>
      </c>
      <c r="C3801" s="3" t="str">
        <f>HYPERLINK("https://otsuka-europe-crm.veevavault.com/ui/#object/sent_email__v/VBLZ025E82GN0KQ", "SE-000270924")</f>
        <v>SE-000270924</v>
      </c>
      <c r="D3801" s="1" t="s">
        <v>0</v>
      </c>
      <c r="E3801" s="2">
        <v>0</v>
      </c>
      <c r="F3801" s="2">
        <v>0</v>
      </c>
      <c r="G3801" s="2">
        <v>0</v>
      </c>
      <c r="H3801" s="1" t="s">
        <v>0</v>
      </c>
      <c r="I3801" s="2">
        <v>0</v>
      </c>
      <c r="J3801" s="1">
        <v>45915.37840277778</v>
      </c>
    </row>
    <row r="3802" spans="1:10" x14ac:dyDescent="0.2">
      <c r="A3802" s="4" t="s">
        <v>1</v>
      </c>
      <c r="B3802" s="3" t="str">
        <f>HYPERLINK("https://otsuka-europe-crm.veevavault.com/ui/#object/approved_document__v/V5OZ025E82TFUPI", "Spain - HCP Survey Email - June 2025")</f>
        <v>Spain - HCP Survey Email - June 2025</v>
      </c>
      <c r="C3802" s="3" t="str">
        <f>HYPERLINK("https://otsuka-europe-crm.veevavault.com/ui/#object/sent_email__v/VBLZ025E82GN0KR", "SE-000270925")</f>
        <v>SE-000270925</v>
      </c>
      <c r="D3802" s="1" t="s">
        <v>0</v>
      </c>
      <c r="E3802" s="2">
        <v>0</v>
      </c>
      <c r="F3802" s="2">
        <v>0</v>
      </c>
      <c r="G3802" s="2">
        <v>0</v>
      </c>
      <c r="H3802" s="1" t="s">
        <v>0</v>
      </c>
      <c r="I3802" s="2">
        <v>0</v>
      </c>
      <c r="J3802" s="1">
        <v>45915.378842592596</v>
      </c>
    </row>
    <row r="3803" spans="1:10" x14ac:dyDescent="0.2">
      <c r="A3803" s="4" t="s">
        <v>1</v>
      </c>
      <c r="B3803" s="3" t="str">
        <f>HYPERLINK("https://otsuka-europe-crm.veevavault.com/ui/#object/approved_document__v/V5OZ025E82TFUPI", "Spain - HCP Survey Email - June 2025")</f>
        <v>Spain - HCP Survey Email - June 2025</v>
      </c>
      <c r="C3803" s="3" t="str">
        <f>HYPERLINK("https://otsuka-europe-crm.veevavault.com/ui/#object/sent_email__v/VBLZ025E82GN0KS", "SE-000270926")</f>
        <v>SE-000270926</v>
      </c>
      <c r="D3803" s="1" t="s">
        <v>0</v>
      </c>
      <c r="E3803" s="2">
        <v>0</v>
      </c>
      <c r="F3803" s="2">
        <v>0</v>
      </c>
      <c r="G3803" s="2">
        <v>0</v>
      </c>
      <c r="H3803" s="1" t="s">
        <v>0</v>
      </c>
      <c r="I3803" s="2">
        <v>0</v>
      </c>
      <c r="J3803" s="1">
        <v>45915.378703703704</v>
      </c>
    </row>
    <row r="3804" spans="1:10" x14ac:dyDescent="0.2">
      <c r="A3804" s="4" t="s">
        <v>1</v>
      </c>
      <c r="B3804" s="3" t="str">
        <f>HYPERLINK("https://otsuka-europe-crm.veevavault.com/ui/#object/approved_document__v/V5OZ025E82TFUPI", "Spain - HCP Survey Email - June 2025")</f>
        <v>Spain - HCP Survey Email - June 2025</v>
      </c>
      <c r="C3804" s="3" t="str">
        <f>HYPERLINK("https://otsuka-europe-crm.veevavault.com/ui/#object/sent_email__v/VBLZ025E82GN0KT", "SE-000270927")</f>
        <v>SE-000270927</v>
      </c>
      <c r="D3804" s="1">
        <v>45924.517164351855</v>
      </c>
      <c r="E3804" s="2">
        <v>1</v>
      </c>
      <c r="F3804" s="2">
        <v>1</v>
      </c>
      <c r="G3804" s="2">
        <v>1</v>
      </c>
      <c r="H3804" s="1">
        <v>45924.517164351855</v>
      </c>
      <c r="I3804" s="2">
        <v>1</v>
      </c>
      <c r="J3804" s="1">
        <v>45915.379062499997</v>
      </c>
    </row>
    <row r="3805" spans="1:10" x14ac:dyDescent="0.2">
      <c r="A3805" s="4" t="s">
        <v>1</v>
      </c>
      <c r="B3805" s="3" t="str">
        <f>HYPERLINK("https://otsuka-europe-crm.veevavault.com/ui/#object/approved_document__v/V5OZ025E82TFUPI", "Spain - HCP Survey Email - June 2025")</f>
        <v>Spain - HCP Survey Email - June 2025</v>
      </c>
      <c r="C3805" s="3" t="str">
        <f>HYPERLINK("https://otsuka-europe-crm.veevavault.com/ui/#object/sent_email__v/VBLZ025E82GN0KU", "SE-000270928")</f>
        <v>SE-000270928</v>
      </c>
      <c r="D3805" s="1">
        <v>45915.379421296297</v>
      </c>
      <c r="E3805" s="2">
        <v>1</v>
      </c>
      <c r="F3805" s="2">
        <v>1</v>
      </c>
      <c r="G3805" s="2">
        <v>0</v>
      </c>
      <c r="H3805" s="1" t="s">
        <v>0</v>
      </c>
      <c r="I3805" s="2">
        <v>0</v>
      </c>
      <c r="J3805" s="1">
        <v>45915.377835648149</v>
      </c>
    </row>
    <row r="3806" spans="1:10" x14ac:dyDescent="0.2">
      <c r="A3806" s="4" t="s">
        <v>1</v>
      </c>
      <c r="B3806" s="3" t="str">
        <f>HYPERLINK("https://otsuka-europe-crm.veevavault.com/ui/#object/approved_document__v/V5OZ025E82TFUPI", "Spain - HCP Survey Email - June 2025")</f>
        <v>Spain - HCP Survey Email - June 2025</v>
      </c>
      <c r="C3806" s="3" t="str">
        <f>HYPERLINK("https://otsuka-europe-crm.veevavault.com/ui/#object/sent_email__v/VBLZ025E82GN0KV", "SE-000270929")</f>
        <v>SE-000270929</v>
      </c>
      <c r="D3806" s="1">
        <v>45915.766817129632</v>
      </c>
      <c r="E3806" s="2">
        <v>1</v>
      </c>
      <c r="F3806" s="2">
        <v>1</v>
      </c>
      <c r="G3806" s="2">
        <v>0</v>
      </c>
      <c r="H3806" s="1" t="s">
        <v>0</v>
      </c>
      <c r="I3806" s="2">
        <v>0</v>
      </c>
      <c r="J3806" s="1">
        <v>45915.378275462965</v>
      </c>
    </row>
    <row r="3807" spans="1:10" x14ac:dyDescent="0.2">
      <c r="A3807" s="4" t="s">
        <v>1</v>
      </c>
      <c r="B3807" s="3" t="str">
        <f>HYPERLINK("https://otsuka-europe-crm.veevavault.com/ui/#object/approved_document__v/V5OZ025E82TFUPI", "Spain - HCP Survey Email - June 2025")</f>
        <v>Spain - HCP Survey Email - June 2025</v>
      </c>
      <c r="C3807" s="3" t="str">
        <f>HYPERLINK("https://otsuka-europe-crm.veevavault.com/ui/#object/sent_email__v/VBLZ025E82GN0KW", "SE-000270930")</f>
        <v>SE-000270930</v>
      </c>
      <c r="D3807" s="1">
        <v>45918.44290509259</v>
      </c>
      <c r="E3807" s="2">
        <v>1</v>
      </c>
      <c r="F3807" s="2">
        <v>2</v>
      </c>
      <c r="G3807" s="2">
        <v>0</v>
      </c>
      <c r="H3807" s="1" t="s">
        <v>0</v>
      </c>
      <c r="I3807" s="2">
        <v>0</v>
      </c>
      <c r="J3807" s="1">
        <v>45915.378240740742</v>
      </c>
    </row>
    <row r="3808" spans="1:10" x14ac:dyDescent="0.2">
      <c r="A3808" s="4" t="s">
        <v>1</v>
      </c>
      <c r="B3808" s="3" t="str">
        <f>HYPERLINK("https://otsuka-europe-crm.veevavault.com/ui/#object/approved_document__v/V5OZ025E82TFUPI", "Spain - HCP Survey Email - June 2025")</f>
        <v>Spain - HCP Survey Email - June 2025</v>
      </c>
      <c r="C3808" s="3" t="str">
        <f>HYPERLINK("https://otsuka-europe-crm.veevavault.com/ui/#object/sent_email__v/VBLZ025E82GN0KX", "SE-000270931")</f>
        <v>SE-000270931</v>
      </c>
      <c r="D3808" s="1" t="s">
        <v>0</v>
      </c>
      <c r="E3808" s="2">
        <v>0</v>
      </c>
      <c r="F3808" s="2">
        <v>0</v>
      </c>
      <c r="G3808" s="2">
        <v>0</v>
      </c>
      <c r="H3808" s="1" t="s">
        <v>0</v>
      </c>
      <c r="I3808" s="2">
        <v>0</v>
      </c>
      <c r="J3808" s="1">
        <v>45915.378576388888</v>
      </c>
    </row>
    <row r="3809" spans="1:10" x14ac:dyDescent="0.2">
      <c r="A3809" s="4" t="s">
        <v>1</v>
      </c>
      <c r="B3809" s="3" t="str">
        <f>HYPERLINK("https://otsuka-europe-crm.veevavault.com/ui/#object/approved_document__v/V5OZ025E82TFUPI", "Spain - HCP Survey Email - June 2025")</f>
        <v>Spain - HCP Survey Email - June 2025</v>
      </c>
      <c r="C3809" s="3" t="str">
        <f>HYPERLINK("https://otsuka-europe-crm.veevavault.com/ui/#object/sent_email__v/VBLZ025E82GN0KY", "SE-000270932")</f>
        <v>SE-000270932</v>
      </c>
      <c r="D3809" s="1">
        <v>45915.392488425925</v>
      </c>
      <c r="E3809" s="2">
        <v>1</v>
      </c>
      <c r="F3809" s="2">
        <v>3</v>
      </c>
      <c r="G3809" s="2">
        <v>0</v>
      </c>
      <c r="H3809" s="1" t="s">
        <v>0</v>
      </c>
      <c r="I3809" s="2">
        <v>0</v>
      </c>
      <c r="J3809" s="1">
        <v>45915.379884259259</v>
      </c>
    </row>
    <row r="3810" spans="1:10" x14ac:dyDescent="0.2">
      <c r="A3810" s="4" t="s">
        <v>1</v>
      </c>
      <c r="B3810" s="3" t="str">
        <f>HYPERLINK("https://otsuka-europe-crm.veevavault.com/ui/#object/approved_document__v/V5OZ025E82TFUPI", "Spain - HCP Survey Email - June 2025")</f>
        <v>Spain - HCP Survey Email - June 2025</v>
      </c>
      <c r="C3810" s="3" t="str">
        <f>HYPERLINK("https://otsuka-europe-crm.veevavault.com/ui/#object/sent_email__v/VBLZ025E82GN0KZ", "SE-000270933")</f>
        <v>SE-000270933</v>
      </c>
      <c r="D3810" s="1">
        <v>45916.369513888887</v>
      </c>
      <c r="E3810" s="2">
        <v>1</v>
      </c>
      <c r="F3810" s="2">
        <v>2</v>
      </c>
      <c r="G3810" s="2">
        <v>0</v>
      </c>
      <c r="H3810" s="1" t="s">
        <v>0</v>
      </c>
      <c r="I3810" s="2">
        <v>0</v>
      </c>
      <c r="J3810" s="1">
        <v>45915.37767361111</v>
      </c>
    </row>
    <row r="3811" spans="1:10" x14ac:dyDescent="0.2">
      <c r="A3811" s="4" t="s">
        <v>1</v>
      </c>
      <c r="B3811" s="3" t="str">
        <f>HYPERLINK("https://otsuka-europe-crm.veevavault.com/ui/#object/approved_document__v/V5OZ025E82TFUPI", "Spain - HCP Survey Email - June 2025")</f>
        <v>Spain - HCP Survey Email - June 2025</v>
      </c>
      <c r="C3811" s="3" t="str">
        <f>HYPERLINK("https://otsuka-europe-crm.veevavault.com/ui/#object/sent_email__v/VBLZ025E82GN0L0", "SE-000270934")</f>
        <v>SE-000270934</v>
      </c>
      <c r="D3811" s="1" t="s">
        <v>0</v>
      </c>
      <c r="E3811" s="2">
        <v>0</v>
      </c>
      <c r="F3811" s="2">
        <v>0</v>
      </c>
      <c r="G3811" s="2">
        <v>0</v>
      </c>
      <c r="H3811" s="1" t="s">
        <v>0</v>
      </c>
      <c r="I3811" s="2">
        <v>0</v>
      </c>
      <c r="J3811" s="1">
        <v>45915.377581018518</v>
      </c>
    </row>
    <row r="3812" spans="1:10" x14ac:dyDescent="0.2">
      <c r="A3812" s="4" t="s">
        <v>1</v>
      </c>
      <c r="B3812" s="3" t="str">
        <f>HYPERLINK("https://otsuka-europe-crm.veevavault.com/ui/#object/approved_document__v/V5OZ025E82TFUPI", "Spain - HCP Survey Email - June 2025")</f>
        <v>Spain - HCP Survey Email - June 2025</v>
      </c>
      <c r="C3812" s="3" t="str">
        <f>HYPERLINK("https://otsuka-europe-crm.veevavault.com/ui/#object/sent_email__v/VBLZ025E82GN0L2", "SE-000270936")</f>
        <v>SE-000270936</v>
      </c>
      <c r="D3812" s="1" t="s">
        <v>0</v>
      </c>
      <c r="E3812" s="2">
        <v>0</v>
      </c>
      <c r="F3812" s="2">
        <v>0</v>
      </c>
      <c r="G3812" s="2">
        <v>0</v>
      </c>
      <c r="H3812" s="1" t="s">
        <v>0</v>
      </c>
      <c r="I3812" s="2">
        <v>0</v>
      </c>
      <c r="J3812" s="1">
        <v>45915.378958333335</v>
      </c>
    </row>
    <row r="3813" spans="1:10" x14ac:dyDescent="0.2">
      <c r="A3813" s="4" t="s">
        <v>1</v>
      </c>
      <c r="B3813" s="3" t="str">
        <f>HYPERLINK("https://otsuka-europe-crm.veevavault.com/ui/#object/approved_document__v/V5OZ025E82TFUPI", "Spain - HCP Survey Email - June 2025")</f>
        <v>Spain - HCP Survey Email - June 2025</v>
      </c>
      <c r="C3813" s="3" t="str">
        <f>HYPERLINK("https://otsuka-europe-crm.veevavault.com/ui/#object/sent_email__v/VBLZ025E82GN0L3", "SE-000270937")</f>
        <v>SE-000270937</v>
      </c>
      <c r="D3813" s="1">
        <v>45915.39434027778</v>
      </c>
      <c r="E3813" s="2">
        <v>1</v>
      </c>
      <c r="F3813" s="2">
        <v>3</v>
      </c>
      <c r="G3813" s="2">
        <v>0</v>
      </c>
      <c r="H3813" s="1" t="s">
        <v>0</v>
      </c>
      <c r="I3813" s="2">
        <v>0</v>
      </c>
      <c r="J3813" s="1">
        <v>45915.378622685188</v>
      </c>
    </row>
    <row r="3814" spans="1:10" x14ac:dyDescent="0.2">
      <c r="A3814" s="4" t="s">
        <v>1</v>
      </c>
      <c r="B3814" s="3" t="str">
        <f>HYPERLINK("https://otsuka-europe-crm.veevavault.com/ui/#object/approved_document__v/V5OZ025E82TFUPI", "Spain - HCP Survey Email - June 2025")</f>
        <v>Spain - HCP Survey Email - June 2025</v>
      </c>
      <c r="C3814" s="3" t="str">
        <f>HYPERLINK("https://otsuka-europe-crm.veevavault.com/ui/#object/sent_email__v/VBLZ025E82GN0L4", "SE-000270938")</f>
        <v>SE-000270938</v>
      </c>
      <c r="D3814" s="1">
        <v>45915.382199074076</v>
      </c>
      <c r="E3814" s="2">
        <v>1</v>
      </c>
      <c r="F3814" s="2">
        <v>1</v>
      </c>
      <c r="G3814" s="2">
        <v>0</v>
      </c>
      <c r="H3814" s="1" t="s">
        <v>0</v>
      </c>
      <c r="I3814" s="2">
        <v>0</v>
      </c>
      <c r="J3814" s="1">
        <v>45915.379074074073</v>
      </c>
    </row>
    <row r="3815" spans="1:10" x14ac:dyDescent="0.2">
      <c r="A3815" s="4" t="s">
        <v>1</v>
      </c>
      <c r="B3815" s="3" t="str">
        <f>HYPERLINK("https://otsuka-europe-crm.veevavault.com/ui/#object/approved_document__v/V5OZ025E82TFUPI", "Spain - HCP Survey Email - June 2025")</f>
        <v>Spain - HCP Survey Email - June 2025</v>
      </c>
      <c r="C3815" s="3" t="str">
        <f>HYPERLINK("https://otsuka-europe-crm.veevavault.com/ui/#object/sent_email__v/VBLZ025E82GN0L5", "SE-000270939")</f>
        <v>SE-000270939</v>
      </c>
      <c r="D3815" s="1" t="s">
        <v>0</v>
      </c>
      <c r="E3815" s="2">
        <v>0</v>
      </c>
      <c r="F3815" s="2">
        <v>0</v>
      </c>
      <c r="G3815" s="2">
        <v>0</v>
      </c>
      <c r="H3815" s="1" t="s">
        <v>0</v>
      </c>
      <c r="I3815" s="2">
        <v>0</v>
      </c>
      <c r="J3815" s="1">
        <v>45915.377754629626</v>
      </c>
    </row>
    <row r="3816" spans="1:10" x14ac:dyDescent="0.2">
      <c r="A3816" s="4" t="s">
        <v>1</v>
      </c>
      <c r="B3816" s="3" t="str">
        <f>HYPERLINK("https://otsuka-europe-crm.veevavault.com/ui/#object/approved_document__v/V5OZ025E82TFUPI", "Spain - HCP Survey Email - June 2025")</f>
        <v>Spain - HCP Survey Email - June 2025</v>
      </c>
      <c r="C3816" s="3" t="str">
        <f>HYPERLINK("https://otsuka-europe-crm.veevavault.com/ui/#object/sent_email__v/VBLZ025E82GN0L6", "SE-000270940")</f>
        <v>SE-000270940</v>
      </c>
      <c r="D3816" s="1" t="s">
        <v>0</v>
      </c>
      <c r="E3816" s="2">
        <v>0</v>
      </c>
      <c r="F3816" s="2">
        <v>0</v>
      </c>
      <c r="G3816" s="2">
        <v>0</v>
      </c>
      <c r="H3816" s="1" t="s">
        <v>0</v>
      </c>
      <c r="I3816" s="2">
        <v>0</v>
      </c>
      <c r="J3816" s="1">
        <v>45915.378194444442</v>
      </c>
    </row>
    <row r="3817" spans="1:10" x14ac:dyDescent="0.2">
      <c r="A3817" s="4" t="s">
        <v>1</v>
      </c>
      <c r="B3817" s="3" t="str">
        <f>HYPERLINK("https://otsuka-europe-crm.veevavault.com/ui/#object/approved_document__v/V5OZ025E82TFUPI", "Spain - HCP Survey Email - June 2025")</f>
        <v>Spain - HCP Survey Email - June 2025</v>
      </c>
      <c r="C3817" s="3" t="str">
        <f>HYPERLINK("https://otsuka-europe-crm.veevavault.com/ui/#object/sent_email__v/VBLZ025E82GN0L7", "SE-000270941")</f>
        <v>SE-000270941</v>
      </c>
      <c r="D3817" s="1" t="s">
        <v>0</v>
      </c>
      <c r="E3817" s="2">
        <v>0</v>
      </c>
      <c r="F3817" s="2">
        <v>0</v>
      </c>
      <c r="G3817" s="2">
        <v>0</v>
      </c>
      <c r="H3817" s="1" t="s">
        <v>0</v>
      </c>
      <c r="I3817" s="2">
        <v>0</v>
      </c>
      <c r="J3817" s="1">
        <v>45915.378217592595</v>
      </c>
    </row>
    <row r="3818" spans="1:10" x14ac:dyDescent="0.2">
      <c r="A3818" s="4" t="s">
        <v>1</v>
      </c>
      <c r="B3818" s="3" t="str">
        <f>HYPERLINK("https://otsuka-europe-crm.veevavault.com/ui/#object/approved_document__v/V5OZ025E82TFUPI", "Spain - HCP Survey Email - June 2025")</f>
        <v>Spain - HCP Survey Email - June 2025</v>
      </c>
      <c r="C3818" s="3" t="str">
        <f>HYPERLINK("https://otsuka-europe-crm.veevavault.com/ui/#object/sent_email__v/VBLZ025E82GN0L8", "SE-000270942")</f>
        <v>SE-000270942</v>
      </c>
      <c r="D3818" s="1" t="s">
        <v>0</v>
      </c>
      <c r="E3818" s="2">
        <v>0</v>
      </c>
      <c r="F3818" s="2">
        <v>0</v>
      </c>
      <c r="G3818" s="2">
        <v>0</v>
      </c>
      <c r="H3818" s="1" t="s">
        <v>0</v>
      </c>
      <c r="I3818" s="2">
        <v>0</v>
      </c>
      <c r="J3818" s="1">
        <v>45915.378634259258</v>
      </c>
    </row>
    <row r="3819" spans="1:10" x14ac:dyDescent="0.2">
      <c r="A3819" s="4" t="s">
        <v>1</v>
      </c>
      <c r="B3819" s="3" t="str">
        <f>HYPERLINK("https://otsuka-europe-crm.veevavault.com/ui/#object/approved_document__v/V5OZ025E82TFUPI", "Spain - HCP Survey Email - June 2025")</f>
        <v>Spain - HCP Survey Email - June 2025</v>
      </c>
      <c r="C3819" s="3" t="str">
        <f>HYPERLINK("https://otsuka-europe-crm.veevavault.com/ui/#object/sent_email__v/VBLZ025E82GN0L9", "SE-000270943")</f>
        <v>SE-000270943</v>
      </c>
      <c r="D3819" s="1">
        <v>45915.692349537036</v>
      </c>
      <c r="E3819" s="2">
        <v>1</v>
      </c>
      <c r="F3819" s="2">
        <v>1</v>
      </c>
      <c r="G3819" s="2">
        <v>0</v>
      </c>
      <c r="H3819" s="1" t="s">
        <v>0</v>
      </c>
      <c r="I3819" s="2">
        <v>0</v>
      </c>
      <c r="J3819" s="1">
        <v>45915.380115740743</v>
      </c>
    </row>
    <row r="3820" spans="1:10" x14ac:dyDescent="0.2">
      <c r="A3820" s="4" t="s">
        <v>1</v>
      </c>
      <c r="B3820" s="3" t="str">
        <f>HYPERLINK("https://otsuka-europe-crm.veevavault.com/ui/#object/approved_document__v/V5OZ025E82TFUPI", "Spain - HCP Survey Email - June 2025")</f>
        <v>Spain - HCP Survey Email - June 2025</v>
      </c>
      <c r="C3820" s="3" t="str">
        <f>HYPERLINK("https://otsuka-europe-crm.veevavault.com/ui/#object/sent_email__v/VBLZ025E82GN0LA", "SE-000270944")</f>
        <v>SE-000270944</v>
      </c>
      <c r="D3820" s="1" t="s">
        <v>0</v>
      </c>
      <c r="E3820" s="2">
        <v>0</v>
      </c>
      <c r="F3820" s="2">
        <v>0</v>
      </c>
      <c r="G3820" s="2">
        <v>0</v>
      </c>
      <c r="H3820" s="1" t="s">
        <v>0</v>
      </c>
      <c r="I3820" s="2">
        <v>0</v>
      </c>
      <c r="J3820" s="1">
        <v>45915.377743055556</v>
      </c>
    </row>
    <row r="3821" spans="1:10" x14ac:dyDescent="0.2">
      <c r="A3821" s="4" t="s">
        <v>1</v>
      </c>
      <c r="B3821" s="3" t="str">
        <f>HYPERLINK("https://otsuka-europe-crm.veevavault.com/ui/#object/approved_document__v/V5OZ025E82TFUPI", "Spain - HCP Survey Email - June 2025")</f>
        <v>Spain - HCP Survey Email - June 2025</v>
      </c>
      <c r="C3821" s="3" t="str">
        <f>HYPERLINK("https://otsuka-europe-crm.veevavault.com/ui/#object/sent_email__v/VBLZ025E82GN0LB", "SE-000270945")</f>
        <v>SE-000270945</v>
      </c>
      <c r="D3821" s="1" t="s">
        <v>0</v>
      </c>
      <c r="E3821" s="2">
        <v>0</v>
      </c>
      <c r="F3821" s="2">
        <v>0</v>
      </c>
      <c r="G3821" s="2">
        <v>0</v>
      </c>
      <c r="H3821" s="1" t="s">
        <v>0</v>
      </c>
      <c r="I3821" s="2">
        <v>0</v>
      </c>
      <c r="J3821" s="1">
        <v>45915.377627314818</v>
      </c>
    </row>
    <row r="3822" spans="1:10" x14ac:dyDescent="0.2">
      <c r="A3822" s="4" t="s">
        <v>1</v>
      </c>
      <c r="B3822" s="3" t="str">
        <f>HYPERLINK("https://otsuka-europe-crm.veevavault.com/ui/#object/approved_document__v/V5OZ025E82TFUPI", "Spain - HCP Survey Email - June 2025")</f>
        <v>Spain - HCP Survey Email - June 2025</v>
      </c>
      <c r="C3822" s="3" t="str">
        <f>HYPERLINK("https://otsuka-europe-crm.veevavault.com/ui/#object/sent_email__v/VBLZ025E82GN0LC", "SE-000270946")</f>
        <v>SE-000270946</v>
      </c>
      <c r="D3822" s="1">
        <v>45915.608402777776</v>
      </c>
      <c r="E3822" s="2">
        <v>1</v>
      </c>
      <c r="F3822" s="2">
        <v>1</v>
      </c>
      <c r="G3822" s="2">
        <v>0</v>
      </c>
      <c r="H3822" s="1" t="s">
        <v>0</v>
      </c>
      <c r="I3822" s="2">
        <v>0</v>
      </c>
      <c r="J3822" s="1">
        <v>45915.378576388888</v>
      </c>
    </row>
    <row r="3823" spans="1:10" x14ac:dyDescent="0.2">
      <c r="A3823" s="4" t="s">
        <v>1</v>
      </c>
      <c r="B3823" s="3" t="str">
        <f>HYPERLINK("https://otsuka-europe-crm.veevavault.com/ui/#object/approved_document__v/V5OZ025E82TFUPI", "Spain - HCP Survey Email - June 2025")</f>
        <v>Spain - HCP Survey Email - June 2025</v>
      </c>
      <c r="C3823" s="3" t="str">
        <f>HYPERLINK("https://otsuka-europe-crm.veevavault.com/ui/#object/sent_email__v/VBLZ025E82GN0LD", "SE-000270947")</f>
        <v>SE-000270947</v>
      </c>
      <c r="D3823" s="1">
        <v>45919.386793981481</v>
      </c>
      <c r="E3823" s="2">
        <v>1</v>
      </c>
      <c r="F3823" s="2">
        <v>1</v>
      </c>
      <c r="G3823" s="2">
        <v>0</v>
      </c>
      <c r="H3823" s="1" t="s">
        <v>0</v>
      </c>
      <c r="I3823" s="2">
        <v>0</v>
      </c>
      <c r="J3823" s="1">
        <v>45915.380208333336</v>
      </c>
    </row>
    <row r="3824" spans="1:10" x14ac:dyDescent="0.2">
      <c r="A3824" s="4" t="s">
        <v>1</v>
      </c>
      <c r="B3824" s="3" t="str">
        <f>HYPERLINK("https://otsuka-europe-crm.veevavault.com/ui/#object/approved_document__v/V5OZ025E82TFUPI", "Spain - HCP Survey Email - June 2025")</f>
        <v>Spain - HCP Survey Email - June 2025</v>
      </c>
      <c r="C3824" s="3" t="str">
        <f>HYPERLINK("https://otsuka-europe-crm.veevavault.com/ui/#object/sent_email__v/VBLZ025E82GN0LE", "SE-000270948")</f>
        <v>SE-000270948</v>
      </c>
      <c r="D3824" s="1">
        <v>45915.854930555557</v>
      </c>
      <c r="E3824" s="2">
        <v>1</v>
      </c>
      <c r="F3824" s="2">
        <v>1</v>
      </c>
      <c r="G3824" s="2">
        <v>0</v>
      </c>
      <c r="H3824" s="1" t="s">
        <v>0</v>
      </c>
      <c r="I3824" s="2">
        <v>0</v>
      </c>
      <c r="J3824" s="1">
        <v>45915.377754629626</v>
      </c>
    </row>
    <row r="3825" spans="1:10" x14ac:dyDescent="0.2">
      <c r="A3825" s="4" t="s">
        <v>1</v>
      </c>
      <c r="B3825" s="3" t="str">
        <f>HYPERLINK("https://otsuka-europe-crm.veevavault.com/ui/#object/approved_document__v/V5OZ025E82TFUPI", "Spain - HCP Survey Email - June 2025")</f>
        <v>Spain - HCP Survey Email - June 2025</v>
      </c>
      <c r="C3825" s="3" t="str">
        <f>HYPERLINK("https://otsuka-europe-crm.veevavault.com/ui/#object/sent_email__v/VBLZ025E82GN0LF", "SE-000270949")</f>
        <v>SE-000270949</v>
      </c>
      <c r="D3825" s="1" t="s">
        <v>0</v>
      </c>
      <c r="E3825" s="2">
        <v>0</v>
      </c>
      <c r="F3825" s="2">
        <v>0</v>
      </c>
      <c r="G3825" s="2">
        <v>0</v>
      </c>
      <c r="H3825" s="1" t="s">
        <v>0</v>
      </c>
      <c r="I3825" s="2">
        <v>0</v>
      </c>
      <c r="J3825" s="1">
        <v>45915.377569444441</v>
      </c>
    </row>
    <row r="3826" spans="1:10" x14ac:dyDescent="0.2">
      <c r="A3826" s="4" t="s">
        <v>1</v>
      </c>
      <c r="B3826" s="3" t="str">
        <f>HYPERLINK("https://otsuka-europe-crm.veevavault.com/ui/#object/approved_document__v/V5OZ025E82TFUPI", "Spain - HCP Survey Email - June 2025")</f>
        <v>Spain - HCP Survey Email - June 2025</v>
      </c>
      <c r="C3826" s="3" t="str">
        <f>HYPERLINK("https://otsuka-europe-crm.veevavault.com/ui/#object/sent_email__v/VBLZ025E82GN0LG", "SE-000270950")</f>
        <v>SE-000270950</v>
      </c>
      <c r="D3826" s="1">
        <v>45915.378472222219</v>
      </c>
      <c r="E3826" s="2">
        <v>1</v>
      </c>
      <c r="F3826" s="2">
        <v>1</v>
      </c>
      <c r="G3826" s="2">
        <v>1</v>
      </c>
      <c r="H3826" s="1">
        <v>45915.378634259258</v>
      </c>
      <c r="I3826" s="2">
        <v>2</v>
      </c>
      <c r="J3826" s="1">
        <v>45915.37841435185</v>
      </c>
    </row>
    <row r="3827" spans="1:10" x14ac:dyDescent="0.2">
      <c r="A3827" s="4" t="s">
        <v>1</v>
      </c>
      <c r="B3827" s="3" t="str">
        <f>HYPERLINK("https://otsuka-europe-crm.veevavault.com/ui/#object/approved_document__v/V5OZ025E82TFUPI", "Spain - HCP Survey Email - June 2025")</f>
        <v>Spain - HCP Survey Email - June 2025</v>
      </c>
      <c r="C3827" s="3" t="str">
        <f>HYPERLINK("https://otsuka-europe-crm.veevavault.com/ui/#object/sent_email__v/VBLZ025E82GN0LH", "SE-000270951")</f>
        <v>SE-000270951</v>
      </c>
      <c r="D3827" s="1">
        <v>45916.946574074071</v>
      </c>
      <c r="E3827" s="2">
        <v>1</v>
      </c>
      <c r="F3827" s="2">
        <v>1</v>
      </c>
      <c r="G3827" s="2">
        <v>0</v>
      </c>
      <c r="H3827" s="1" t="s">
        <v>0</v>
      </c>
      <c r="I3827" s="2">
        <v>0</v>
      </c>
      <c r="J3827" s="1">
        <v>45915.378981481481</v>
      </c>
    </row>
    <row r="3828" spans="1:10" x14ac:dyDescent="0.2">
      <c r="A3828" s="4" t="s">
        <v>1</v>
      </c>
      <c r="B3828" s="3" t="str">
        <f>HYPERLINK("https://otsuka-europe-crm.veevavault.com/ui/#object/approved_document__v/V5OZ025E82TFUPI", "Spain - HCP Survey Email - June 2025")</f>
        <v>Spain - HCP Survey Email - June 2025</v>
      </c>
      <c r="C3828" s="3" t="str">
        <f>HYPERLINK("https://otsuka-europe-crm.veevavault.com/ui/#object/sent_email__v/VBLZ025E82GN0LI", "SE-000270952")</f>
        <v>SE-000270952</v>
      </c>
      <c r="D3828" s="1" t="s">
        <v>0</v>
      </c>
      <c r="E3828" s="2">
        <v>0</v>
      </c>
      <c r="F3828" s="2">
        <v>0</v>
      </c>
      <c r="G3828" s="2">
        <v>0</v>
      </c>
      <c r="H3828" s="1" t="s">
        <v>0</v>
      </c>
      <c r="I3828" s="2">
        <v>0</v>
      </c>
      <c r="J3828" s="1">
        <v>45915.378645833334</v>
      </c>
    </row>
    <row r="3829" spans="1:10" x14ac:dyDescent="0.2">
      <c r="A3829" s="4" t="s">
        <v>1</v>
      </c>
      <c r="B3829" s="3" t="str">
        <f>HYPERLINK("https://otsuka-europe-crm.veevavault.com/ui/#object/approved_document__v/V5OZ025E82TFUPI", "Spain - HCP Survey Email - June 2025")</f>
        <v>Spain - HCP Survey Email - June 2025</v>
      </c>
      <c r="C3829" s="3" t="str">
        <f>HYPERLINK("https://otsuka-europe-crm.veevavault.com/ui/#object/sent_email__v/VBLZ025E82GN0LJ", "SE-000270953")</f>
        <v>SE-000270953</v>
      </c>
      <c r="D3829" s="1" t="s">
        <v>0</v>
      </c>
      <c r="E3829" s="2">
        <v>0</v>
      </c>
      <c r="F3829" s="2">
        <v>0</v>
      </c>
      <c r="G3829" s="2">
        <v>0</v>
      </c>
      <c r="H3829" s="1" t="s">
        <v>0</v>
      </c>
      <c r="I3829" s="2">
        <v>0</v>
      </c>
      <c r="J3829" s="1">
        <v>45915.379062499997</v>
      </c>
    </row>
    <row r="3830" spans="1:10" x14ac:dyDescent="0.2">
      <c r="A3830" s="4" t="s">
        <v>1</v>
      </c>
      <c r="B3830" s="3" t="str">
        <f>HYPERLINK("https://otsuka-europe-crm.veevavault.com/ui/#object/approved_document__v/V5OZ025E82TFUPI", "Spain - HCP Survey Email - June 2025")</f>
        <v>Spain - HCP Survey Email - June 2025</v>
      </c>
      <c r="C3830" s="3" t="str">
        <f>HYPERLINK("https://otsuka-europe-crm.veevavault.com/ui/#object/sent_email__v/VBLZ025E82GN0LK", "SE-000270954")</f>
        <v>SE-000270954</v>
      </c>
      <c r="D3830" s="1" t="s">
        <v>0</v>
      </c>
      <c r="E3830" s="2">
        <v>0</v>
      </c>
      <c r="F3830" s="2">
        <v>0</v>
      </c>
      <c r="G3830" s="2">
        <v>0</v>
      </c>
      <c r="H3830" s="1" t="s">
        <v>0</v>
      </c>
      <c r="I3830" s="2">
        <v>0</v>
      </c>
      <c r="J3830" s="1">
        <v>45915.377743055556</v>
      </c>
    </row>
    <row r="3831" spans="1:10" x14ac:dyDescent="0.2">
      <c r="A3831" s="4" t="s">
        <v>1</v>
      </c>
      <c r="B3831" s="3" t="str">
        <f>HYPERLINK("https://otsuka-europe-crm.veevavault.com/ui/#object/approved_document__v/V5OZ025E82TFUPI", "Spain - HCP Survey Email - June 2025")</f>
        <v>Spain - HCP Survey Email - June 2025</v>
      </c>
      <c r="C3831" s="3" t="str">
        <f>HYPERLINK("https://otsuka-europe-crm.veevavault.com/ui/#object/sent_email__v/VBLZ025E82GN0LL", "SE-000270955")</f>
        <v>SE-000270955</v>
      </c>
      <c r="D3831" s="1" t="s">
        <v>0</v>
      </c>
      <c r="E3831" s="2">
        <v>0</v>
      </c>
      <c r="F3831" s="2">
        <v>0</v>
      </c>
      <c r="G3831" s="2">
        <v>0</v>
      </c>
      <c r="H3831" s="1" t="s">
        <v>0</v>
      </c>
      <c r="I3831" s="2">
        <v>0</v>
      </c>
      <c r="J3831" s="1">
        <v>45915.378194444442</v>
      </c>
    </row>
    <row r="3832" spans="1:10" x14ac:dyDescent="0.2">
      <c r="A3832" s="4" t="s">
        <v>1</v>
      </c>
      <c r="B3832" s="3" t="str">
        <f>HYPERLINK("https://otsuka-europe-crm.veevavault.com/ui/#object/approved_document__v/V5OZ025E82TFUPI", "Spain - HCP Survey Email - June 2025")</f>
        <v>Spain - HCP Survey Email - June 2025</v>
      </c>
      <c r="C3832" s="3" t="str">
        <f>HYPERLINK("https://otsuka-europe-crm.veevavault.com/ui/#object/sent_email__v/VBLZ025E82GN0LM", "SE-000270956")</f>
        <v>SE-000270956</v>
      </c>
      <c r="D3832" s="1" t="s">
        <v>0</v>
      </c>
      <c r="E3832" s="2">
        <v>0</v>
      </c>
      <c r="F3832" s="2">
        <v>0</v>
      </c>
      <c r="G3832" s="2">
        <v>0</v>
      </c>
      <c r="H3832" s="1" t="s">
        <v>0</v>
      </c>
      <c r="I3832" s="2">
        <v>0</v>
      </c>
      <c r="J3832" s="1">
        <v>45915.378171296295</v>
      </c>
    </row>
    <row r="3833" spans="1:10" x14ac:dyDescent="0.2">
      <c r="A3833" s="4" t="s">
        <v>1</v>
      </c>
      <c r="B3833" s="3" t="str">
        <f>HYPERLINK("https://otsuka-europe-crm.veevavault.com/ui/#object/approved_document__v/V5OZ025E82TFUPI", "Spain - HCP Survey Email - June 2025")</f>
        <v>Spain - HCP Survey Email - June 2025</v>
      </c>
      <c r="C3833" s="3" t="str">
        <f>HYPERLINK("https://otsuka-europe-crm.veevavault.com/ui/#object/sent_email__v/VBLZ025E82GN0LN", "SE-000270957")</f>
        <v>SE-000270957</v>
      </c>
      <c r="D3833" s="1" t="s">
        <v>0</v>
      </c>
      <c r="E3833" s="2">
        <v>0</v>
      </c>
      <c r="F3833" s="2">
        <v>0</v>
      </c>
      <c r="G3833" s="2">
        <v>0</v>
      </c>
      <c r="H3833" s="1" t="s">
        <v>0</v>
      </c>
      <c r="I3833" s="2">
        <v>0</v>
      </c>
      <c r="J3833" s="1">
        <v>45915.378576388888</v>
      </c>
    </row>
    <row r="3834" spans="1:10" x14ac:dyDescent="0.2">
      <c r="A3834" s="4" t="s">
        <v>1</v>
      </c>
      <c r="B3834" s="3" t="str">
        <f>HYPERLINK("https://otsuka-europe-crm.veevavault.com/ui/#object/approved_document__v/V5OZ025E82TFUPI", "Spain - HCP Survey Email - June 2025")</f>
        <v>Spain - HCP Survey Email - June 2025</v>
      </c>
      <c r="C3834" s="3" t="str">
        <f>HYPERLINK("https://otsuka-europe-crm.veevavault.com/ui/#object/sent_email__v/VBLZ025E82GN0LO", "SE-000270958")</f>
        <v>SE-000270958</v>
      </c>
      <c r="D3834" s="1">
        <v>45915.380659722221</v>
      </c>
      <c r="E3834" s="2">
        <v>1</v>
      </c>
      <c r="F3834" s="2">
        <v>1</v>
      </c>
      <c r="G3834" s="2">
        <v>0</v>
      </c>
      <c r="H3834" s="1" t="s">
        <v>0</v>
      </c>
      <c r="I3834" s="2">
        <v>0</v>
      </c>
      <c r="J3834" s="1">
        <v>45915.379942129628</v>
      </c>
    </row>
    <row r="3835" spans="1:10" x14ac:dyDescent="0.2">
      <c r="A3835" s="4" t="s">
        <v>1</v>
      </c>
      <c r="B3835" s="3" t="str">
        <f>HYPERLINK("https://otsuka-europe-crm.veevavault.com/ui/#object/approved_document__v/V5OZ025E82TFUPI", "Spain - HCP Survey Email - June 2025")</f>
        <v>Spain - HCP Survey Email - June 2025</v>
      </c>
      <c r="C3835" s="3" t="str">
        <f>HYPERLINK("https://otsuka-europe-crm.veevavault.com/ui/#object/sent_email__v/VBLZ025E82GN0LP", "SE-000270959")</f>
        <v>SE-000270959</v>
      </c>
      <c r="D3835" s="1">
        <v>45915.45385416667</v>
      </c>
      <c r="E3835" s="2">
        <v>1</v>
      </c>
      <c r="F3835" s="2">
        <v>1</v>
      </c>
      <c r="G3835" s="2">
        <v>1</v>
      </c>
      <c r="H3835" s="1">
        <v>45915.453946759262</v>
      </c>
      <c r="I3835" s="2">
        <v>1</v>
      </c>
      <c r="J3835" s="1">
        <v>45915.37771990741</v>
      </c>
    </row>
    <row r="3836" spans="1:10" x14ac:dyDescent="0.2">
      <c r="A3836" s="4" t="s">
        <v>1</v>
      </c>
      <c r="B3836" s="3" t="str">
        <f>HYPERLINK("https://otsuka-europe-crm.veevavault.com/ui/#object/approved_document__v/V5OZ025E82TFUPI", "Spain - HCP Survey Email - June 2025")</f>
        <v>Spain - HCP Survey Email - June 2025</v>
      </c>
      <c r="C3836" s="3" t="str">
        <f>HYPERLINK("https://otsuka-europe-crm.veevavault.com/ui/#object/sent_email__v/VBLZ025E82GN0LQ", "SE-000270960")</f>
        <v>SE-000270960</v>
      </c>
      <c r="D3836" s="1" t="s">
        <v>0</v>
      </c>
      <c r="E3836" s="2">
        <v>0</v>
      </c>
      <c r="F3836" s="2">
        <v>0</v>
      </c>
      <c r="G3836" s="2">
        <v>0</v>
      </c>
      <c r="H3836" s="1" t="s">
        <v>0</v>
      </c>
      <c r="I3836" s="2">
        <v>0</v>
      </c>
      <c r="J3836" s="1">
        <v>45915.377557870372</v>
      </c>
    </row>
    <row r="3837" spans="1:10" x14ac:dyDescent="0.2">
      <c r="A3837" s="4" t="s">
        <v>1</v>
      </c>
      <c r="B3837" s="3" t="str">
        <f>HYPERLINK("https://otsuka-europe-crm.veevavault.com/ui/#object/approved_document__v/V5OZ025E82TFUPI", "Spain - HCP Survey Email - June 2025")</f>
        <v>Spain - HCP Survey Email - June 2025</v>
      </c>
      <c r="C3837" s="3" t="str">
        <f>HYPERLINK("https://otsuka-europe-crm.veevavault.com/ui/#object/sent_email__v/VBLZ025E82GN0LR", "SE-000270961")</f>
        <v>SE-000270961</v>
      </c>
      <c r="D3837" s="1" t="s">
        <v>0</v>
      </c>
      <c r="E3837" s="2">
        <v>0</v>
      </c>
      <c r="F3837" s="2">
        <v>0</v>
      </c>
      <c r="G3837" s="2">
        <v>0</v>
      </c>
      <c r="H3837" s="1" t="s">
        <v>0</v>
      </c>
      <c r="I3837" s="2">
        <v>0</v>
      </c>
      <c r="J3837" s="1">
        <v>45915.378344907411</v>
      </c>
    </row>
    <row r="3838" spans="1:10" x14ac:dyDescent="0.2">
      <c r="A3838" s="4" t="s">
        <v>1</v>
      </c>
      <c r="B3838" s="3" t="str">
        <f>HYPERLINK("https://otsuka-europe-crm.veevavault.com/ui/#object/approved_document__v/V5OZ025E82TFUPI", "Spain - HCP Survey Email - June 2025")</f>
        <v>Spain - HCP Survey Email - June 2025</v>
      </c>
      <c r="C3838" s="3" t="str">
        <f>HYPERLINK("https://otsuka-europe-crm.veevavault.com/ui/#object/sent_email__v/VBLZ025E82GN0LS", "SE-000270962")</f>
        <v>SE-000270962</v>
      </c>
      <c r="D3838" s="1">
        <v>45915.391851851855</v>
      </c>
      <c r="E3838" s="2">
        <v>1</v>
      </c>
      <c r="F3838" s="2">
        <v>3</v>
      </c>
      <c r="G3838" s="2">
        <v>1</v>
      </c>
      <c r="H3838" s="1">
        <v>45915.379467592589</v>
      </c>
      <c r="I3838" s="2">
        <v>2</v>
      </c>
      <c r="J3838" s="1">
        <v>45915.378877314812</v>
      </c>
    </row>
    <row r="3839" spans="1:10" x14ac:dyDescent="0.2">
      <c r="A3839" s="4" t="s">
        <v>1</v>
      </c>
      <c r="B3839" s="3" t="str">
        <f>HYPERLINK("https://otsuka-europe-crm.veevavault.com/ui/#object/approved_document__v/V5OZ025E82TFUPI", "Spain - HCP Survey Email - June 2025")</f>
        <v>Spain - HCP Survey Email - June 2025</v>
      </c>
      <c r="C3839" s="3" t="str">
        <f>HYPERLINK("https://otsuka-europe-crm.veevavault.com/ui/#object/sent_email__v/VBLZ025E82GN0LT", "SE-000270963")</f>
        <v>SE-000270963</v>
      </c>
      <c r="D3839" s="1" t="s">
        <v>0</v>
      </c>
      <c r="E3839" s="2">
        <v>0</v>
      </c>
      <c r="F3839" s="2">
        <v>0</v>
      </c>
      <c r="G3839" s="2">
        <v>0</v>
      </c>
      <c r="H3839" s="1" t="s">
        <v>0</v>
      </c>
      <c r="I3839" s="2">
        <v>0</v>
      </c>
      <c r="J3839" s="1">
        <v>45915.378668981481</v>
      </c>
    </row>
    <row r="3840" spans="1:10" x14ac:dyDescent="0.2">
      <c r="A3840" s="4" t="s">
        <v>1</v>
      </c>
      <c r="B3840" s="3" t="str">
        <f>HYPERLINK("https://otsuka-europe-crm.veevavault.com/ui/#object/approved_document__v/V5OZ025E82TFUPI", "Spain - HCP Survey Email - June 2025")</f>
        <v>Spain - HCP Survey Email - June 2025</v>
      </c>
      <c r="C3840" s="3" t="str">
        <f>HYPERLINK("https://otsuka-europe-crm.veevavault.com/ui/#object/sent_email__v/VBLZ025E82GN0LU", "SE-000270964")</f>
        <v>SE-000270964</v>
      </c>
      <c r="D3840" s="1">
        <v>45915.395069444443</v>
      </c>
      <c r="E3840" s="2">
        <v>1</v>
      </c>
      <c r="F3840" s="2">
        <v>1</v>
      </c>
      <c r="G3840" s="2">
        <v>0</v>
      </c>
      <c r="H3840" s="1" t="s">
        <v>0</v>
      </c>
      <c r="I3840" s="2">
        <v>0</v>
      </c>
      <c r="J3840" s="1">
        <v>45915.37909722222</v>
      </c>
    </row>
    <row r="3841" spans="1:10" x14ac:dyDescent="0.2">
      <c r="A3841" s="4" t="s">
        <v>1</v>
      </c>
      <c r="B3841" s="3" t="str">
        <f>HYPERLINK("https://otsuka-europe-crm.veevavault.com/ui/#object/approved_document__v/V5OZ025E82TFUPI", "Spain - HCP Survey Email - June 2025")</f>
        <v>Spain - HCP Survey Email - June 2025</v>
      </c>
      <c r="C3841" s="3" t="str">
        <f>HYPERLINK("https://otsuka-europe-crm.veevavault.com/ui/#object/sent_email__v/VBLZ025E82GN0LV", "SE-000270965")</f>
        <v>SE-000270965</v>
      </c>
      <c r="D3841" s="1" t="s">
        <v>0</v>
      </c>
      <c r="E3841" s="2">
        <v>0</v>
      </c>
      <c r="F3841" s="2">
        <v>0</v>
      </c>
      <c r="G3841" s="2">
        <v>0</v>
      </c>
      <c r="H3841" s="1" t="s">
        <v>0</v>
      </c>
      <c r="I3841" s="2">
        <v>0</v>
      </c>
      <c r="J3841" s="1">
        <v>45915.377766203703</v>
      </c>
    </row>
    <row r="3842" spans="1:10" x14ac:dyDescent="0.2">
      <c r="A3842" s="4" t="s">
        <v>1</v>
      </c>
      <c r="B3842" s="3" t="str">
        <f>HYPERLINK("https://otsuka-europe-crm.veevavault.com/ui/#object/approved_document__v/V5OZ025E82TFUPI", "Spain - HCP Survey Email - June 2025")</f>
        <v>Spain - HCP Survey Email - June 2025</v>
      </c>
      <c r="C3842" s="3" t="str">
        <f>HYPERLINK("https://otsuka-europe-crm.veevavault.com/ui/#object/sent_email__v/VBLZ025E82GN0LW", "SE-000270966")</f>
        <v>SE-000270966</v>
      </c>
      <c r="D3842" s="1" t="s">
        <v>0</v>
      </c>
      <c r="E3842" s="2">
        <v>0</v>
      </c>
      <c r="F3842" s="2">
        <v>0</v>
      </c>
      <c r="G3842" s="2">
        <v>0</v>
      </c>
      <c r="H3842" s="1" t="s">
        <v>0</v>
      </c>
      <c r="I3842" s="2">
        <v>0</v>
      </c>
      <c r="J3842" s="1">
        <v>45915.378298611111</v>
      </c>
    </row>
    <row r="3843" spans="1:10" x14ac:dyDescent="0.2">
      <c r="A3843" s="4" t="s">
        <v>1</v>
      </c>
      <c r="B3843" s="3" t="str">
        <f>HYPERLINK("https://otsuka-europe-crm.veevavault.com/ui/#object/approved_document__v/V5OZ025E82TFUPI", "Spain - HCP Survey Email - June 2025")</f>
        <v>Spain - HCP Survey Email - June 2025</v>
      </c>
      <c r="C3843" s="3" t="str">
        <f>HYPERLINK("https://otsuka-europe-crm.veevavault.com/ui/#object/sent_email__v/VBLZ025E82GN0LX", "SE-000270967")</f>
        <v>SE-000270967</v>
      </c>
      <c r="D3843" s="1" t="s">
        <v>0</v>
      </c>
      <c r="E3843" s="2">
        <v>0</v>
      </c>
      <c r="F3843" s="2">
        <v>0</v>
      </c>
      <c r="G3843" s="2">
        <v>0</v>
      </c>
      <c r="H3843" s="1" t="s">
        <v>0</v>
      </c>
      <c r="I3843" s="2">
        <v>0</v>
      </c>
      <c r="J3843" s="1">
        <v>45915.378171296295</v>
      </c>
    </row>
    <row r="3844" spans="1:10" x14ac:dyDescent="0.2">
      <c r="A3844" s="4" t="s">
        <v>1</v>
      </c>
      <c r="B3844" s="3" t="str">
        <f>HYPERLINK("https://otsuka-europe-crm.veevavault.com/ui/#object/approved_document__v/V5OZ025E82TFUPI", "Spain - HCP Survey Email - June 2025")</f>
        <v>Spain - HCP Survey Email - June 2025</v>
      </c>
      <c r="C3844" s="3" t="str">
        <f>HYPERLINK("https://otsuka-europe-crm.veevavault.com/ui/#object/sent_email__v/VBLZ025E82GN0LY", "SE-000270968")</f>
        <v>SE-000270968</v>
      </c>
      <c r="D3844" s="1" t="s">
        <v>0</v>
      </c>
      <c r="E3844" s="2">
        <v>0</v>
      </c>
      <c r="F3844" s="2">
        <v>0</v>
      </c>
      <c r="G3844" s="2">
        <v>0</v>
      </c>
      <c r="H3844" s="1" t="s">
        <v>0</v>
      </c>
      <c r="I3844" s="2">
        <v>0</v>
      </c>
      <c r="J3844" s="1">
        <v>45915.378553240742</v>
      </c>
    </row>
    <row r="3845" spans="1:10" x14ac:dyDescent="0.2">
      <c r="A3845" s="4" t="s">
        <v>1</v>
      </c>
      <c r="B3845" s="3" t="str">
        <f>HYPERLINK("https://otsuka-europe-crm.veevavault.com/ui/#object/approved_document__v/V5OZ025E82TFUPI", "Spain - HCP Survey Email - June 2025")</f>
        <v>Spain - HCP Survey Email - June 2025</v>
      </c>
      <c r="C3845" s="3" t="str">
        <f>HYPERLINK("https://otsuka-europe-crm.veevavault.com/ui/#object/sent_email__v/VBLZ025E82GN0LZ", "SE-000270969")</f>
        <v>SE-000270969</v>
      </c>
      <c r="D3845" s="1" t="s">
        <v>0</v>
      </c>
      <c r="E3845" s="2">
        <v>0</v>
      </c>
      <c r="F3845" s="2">
        <v>0</v>
      </c>
      <c r="G3845" s="2">
        <v>0</v>
      </c>
      <c r="H3845" s="1" t="s">
        <v>0</v>
      </c>
      <c r="I3845" s="2">
        <v>0</v>
      </c>
      <c r="J3845" s="1">
        <v>45915.379930555559</v>
      </c>
    </row>
    <row r="3846" spans="1:10" x14ac:dyDescent="0.2">
      <c r="A3846" s="4" t="s">
        <v>1</v>
      </c>
      <c r="B3846" s="3" t="str">
        <f>HYPERLINK("https://otsuka-europe-crm.veevavault.com/ui/#object/approved_document__v/V5OZ025E82TFUPI", "Spain - HCP Survey Email - June 2025")</f>
        <v>Spain - HCP Survey Email - June 2025</v>
      </c>
      <c r="C3846" s="3" t="str">
        <f>HYPERLINK("https://otsuka-europe-crm.veevavault.com/ui/#object/sent_email__v/VBLZ025E82GN0M0", "SE-000270970")</f>
        <v>SE-000270970</v>
      </c>
      <c r="D3846" s="1">
        <v>45915.387384259258</v>
      </c>
      <c r="E3846" s="2">
        <v>1</v>
      </c>
      <c r="F3846" s="2">
        <v>1</v>
      </c>
      <c r="G3846" s="2">
        <v>0</v>
      </c>
      <c r="H3846" s="1" t="s">
        <v>0</v>
      </c>
      <c r="I3846" s="2">
        <v>0</v>
      </c>
      <c r="J3846" s="1">
        <v>45915.37773148148</v>
      </c>
    </row>
    <row r="3847" spans="1:10" x14ac:dyDescent="0.2">
      <c r="A3847" s="4" t="s">
        <v>1</v>
      </c>
      <c r="B3847" s="3" t="str">
        <f>HYPERLINK("https://otsuka-europe-crm.veevavault.com/ui/#object/approved_document__v/V5OZ025E82TFUPI", "Spain - HCP Survey Email - June 2025")</f>
        <v>Spain - HCP Survey Email - June 2025</v>
      </c>
      <c r="C3847" s="3" t="str">
        <f>HYPERLINK("https://otsuka-europe-crm.veevavault.com/ui/#object/sent_email__v/VBLZ025E82GN0M2", "SE-000270972")</f>
        <v>SE-000270972</v>
      </c>
      <c r="D3847" s="1">
        <v>45915.917523148149</v>
      </c>
      <c r="E3847" s="2">
        <v>1</v>
      </c>
      <c r="F3847" s="2">
        <v>1</v>
      </c>
      <c r="G3847" s="2">
        <v>0</v>
      </c>
      <c r="H3847" s="1" t="s">
        <v>0</v>
      </c>
      <c r="I3847" s="2">
        <v>0</v>
      </c>
      <c r="J3847" s="1">
        <v>45915.378148148149</v>
      </c>
    </row>
    <row r="3848" spans="1:10" x14ac:dyDescent="0.2">
      <c r="A3848" s="4" t="s">
        <v>1</v>
      </c>
      <c r="B3848" s="3" t="str">
        <f>HYPERLINK("https://otsuka-europe-crm.veevavault.com/ui/#object/approved_document__v/V5OZ025E82TFUPI", "Spain - HCP Survey Email - June 2025")</f>
        <v>Spain - HCP Survey Email - June 2025</v>
      </c>
      <c r="C3848" s="3" t="str">
        <f>HYPERLINK("https://otsuka-europe-crm.veevavault.com/ui/#object/sent_email__v/VBLZ025E82GN0M3", "SE-000270973")</f>
        <v>SE-000270973</v>
      </c>
      <c r="D3848" s="1" t="s">
        <v>0</v>
      </c>
      <c r="E3848" s="2">
        <v>0</v>
      </c>
      <c r="F3848" s="2">
        <v>0</v>
      </c>
      <c r="G3848" s="2">
        <v>0</v>
      </c>
      <c r="H3848" s="1" t="s">
        <v>0</v>
      </c>
      <c r="I3848" s="2">
        <v>0</v>
      </c>
      <c r="J3848" s="1">
        <v>45915.378530092596</v>
      </c>
    </row>
    <row r="3849" spans="1:10" x14ac:dyDescent="0.2">
      <c r="A3849" s="4" t="s">
        <v>1</v>
      </c>
      <c r="B3849" s="3" t="str">
        <f>HYPERLINK("https://otsuka-europe-crm.veevavault.com/ui/#object/approved_document__v/V5OZ025E82TFUPI", "Spain - HCP Survey Email - June 2025")</f>
        <v>Spain - HCP Survey Email - June 2025</v>
      </c>
      <c r="C3849" s="3" t="str">
        <f>HYPERLINK("https://otsuka-europe-crm.veevavault.com/ui/#object/sent_email__v/VBLZ025E82GN0M4", "SE-000270974")</f>
        <v>SE-000270974</v>
      </c>
      <c r="D3849" s="1">
        <v>45921.024340277778</v>
      </c>
      <c r="E3849" s="2">
        <v>1</v>
      </c>
      <c r="F3849" s="2">
        <v>2</v>
      </c>
      <c r="G3849" s="2">
        <v>0</v>
      </c>
      <c r="H3849" s="1" t="s">
        <v>0</v>
      </c>
      <c r="I3849" s="2">
        <v>0</v>
      </c>
      <c r="J3849" s="1">
        <v>45915.379826388889</v>
      </c>
    </row>
    <row r="3850" spans="1:10" x14ac:dyDescent="0.2">
      <c r="A3850" s="4" t="s">
        <v>1</v>
      </c>
      <c r="B3850" s="3" t="str">
        <f>HYPERLINK("https://otsuka-europe-crm.veevavault.com/ui/#object/approved_document__v/V5OZ025E82TFUPI", "Spain - HCP Survey Email - June 2025")</f>
        <v>Spain - HCP Survey Email - June 2025</v>
      </c>
      <c r="C3850" s="3" t="str">
        <f>HYPERLINK("https://otsuka-europe-crm.veevavault.com/ui/#object/sent_email__v/VBLZ025E82GN0M5", "SE-000270975")</f>
        <v>SE-000270975</v>
      </c>
      <c r="D3850" s="1">
        <v>45932.031550925924</v>
      </c>
      <c r="E3850" s="2">
        <v>1</v>
      </c>
      <c r="F3850" s="2">
        <v>4</v>
      </c>
      <c r="G3850" s="2">
        <v>0</v>
      </c>
      <c r="H3850" s="1" t="s">
        <v>0</v>
      </c>
      <c r="I3850" s="2">
        <v>0</v>
      </c>
      <c r="J3850" s="1">
        <v>45915.37773148148</v>
      </c>
    </row>
    <row r="3851" spans="1:10" x14ac:dyDescent="0.2">
      <c r="A3851" s="4" t="s">
        <v>1</v>
      </c>
      <c r="B3851" s="3" t="str">
        <f>HYPERLINK("https://otsuka-europe-crm.veevavault.com/ui/#object/approved_document__v/V5OZ025E82TFUPI", "Spain - HCP Survey Email - June 2025")</f>
        <v>Spain - HCP Survey Email - June 2025</v>
      </c>
      <c r="C3851" s="3" t="str">
        <f>HYPERLINK("https://otsuka-europe-crm.veevavault.com/ui/#object/sent_email__v/VBLZ025E82GN0M6", "SE-000270976")</f>
        <v>SE-000270976</v>
      </c>
      <c r="D3851" s="1" t="s">
        <v>0</v>
      </c>
      <c r="E3851" s="2">
        <v>0</v>
      </c>
      <c r="F3851" s="2">
        <v>0</v>
      </c>
      <c r="G3851" s="2">
        <v>0</v>
      </c>
      <c r="H3851" s="1" t="s">
        <v>0</v>
      </c>
      <c r="I3851" s="2">
        <v>0</v>
      </c>
      <c r="J3851" s="1">
        <v>45915.377465277779</v>
      </c>
    </row>
    <row r="3852" spans="1:10" x14ac:dyDescent="0.2">
      <c r="A3852" s="4" t="s">
        <v>1</v>
      </c>
      <c r="B3852" s="3" t="str">
        <f>HYPERLINK("https://otsuka-europe-crm.veevavault.com/ui/#object/approved_document__v/V5OZ025E82TFUPI", "Spain - HCP Survey Email - June 2025")</f>
        <v>Spain - HCP Survey Email - June 2025</v>
      </c>
      <c r="C3852" s="3" t="str">
        <f>HYPERLINK("https://otsuka-europe-crm.veevavault.com/ui/#object/sent_email__v/VBLZ025E82GN0M7", "SE-000270977")</f>
        <v>SE-000270977</v>
      </c>
      <c r="D3852" s="1" t="s">
        <v>0</v>
      </c>
      <c r="E3852" s="2">
        <v>0</v>
      </c>
      <c r="F3852" s="2">
        <v>0</v>
      </c>
      <c r="G3852" s="2">
        <v>0</v>
      </c>
      <c r="H3852" s="1" t="s">
        <v>0</v>
      </c>
      <c r="I3852" s="2">
        <v>0</v>
      </c>
      <c r="J3852" s="1">
        <v>45915.378437500003</v>
      </c>
    </row>
    <row r="3853" spans="1:10" x14ac:dyDescent="0.2">
      <c r="A3853" s="4" t="s">
        <v>1</v>
      </c>
      <c r="B3853" s="3" t="str">
        <f>HYPERLINK("https://otsuka-europe-crm.veevavault.com/ui/#object/approved_document__v/V5OZ025E82TFUPI", "Spain - HCP Survey Email - June 2025")</f>
        <v>Spain - HCP Survey Email - June 2025</v>
      </c>
      <c r="C3853" s="3" t="str">
        <f>HYPERLINK("https://otsuka-europe-crm.veevavault.com/ui/#object/sent_email__v/VBLZ025E82GN0M8", "SE-000270978")</f>
        <v>SE-000270978</v>
      </c>
      <c r="D3853" s="1">
        <v>45925.759872685187</v>
      </c>
      <c r="E3853" s="2">
        <v>1</v>
      </c>
      <c r="F3853" s="2">
        <v>2</v>
      </c>
      <c r="G3853" s="2">
        <v>0</v>
      </c>
      <c r="H3853" s="1" t="s">
        <v>0</v>
      </c>
      <c r="I3853" s="2">
        <v>0</v>
      </c>
      <c r="J3853" s="1">
        <v>45915.378888888888</v>
      </c>
    </row>
    <row r="3854" spans="1:10" x14ac:dyDescent="0.2">
      <c r="A3854" s="4" t="s">
        <v>1</v>
      </c>
      <c r="B3854" s="3" t="str">
        <f>HYPERLINK("https://otsuka-europe-crm.veevavault.com/ui/#object/approved_document__v/V5OZ025E82TFUPI", "Spain - HCP Survey Email - June 2025")</f>
        <v>Spain - HCP Survey Email - June 2025</v>
      </c>
      <c r="C3854" s="3" t="str">
        <f>HYPERLINK("https://otsuka-europe-crm.veevavault.com/ui/#object/sent_email__v/VBLZ025E82GN0M9", "SE-000270979")</f>
        <v>SE-000270979</v>
      </c>
      <c r="D3854" s="1" t="s">
        <v>0</v>
      </c>
      <c r="E3854" s="2">
        <v>0</v>
      </c>
      <c r="F3854" s="2">
        <v>0</v>
      </c>
      <c r="G3854" s="2">
        <v>0</v>
      </c>
      <c r="H3854" s="1" t="s">
        <v>0</v>
      </c>
      <c r="I3854" s="2">
        <v>0</v>
      </c>
      <c r="J3854" s="1">
        <v>45915.378680555557</v>
      </c>
    </row>
    <row r="3855" spans="1:10" x14ac:dyDescent="0.2">
      <c r="A3855" s="4" t="s">
        <v>1</v>
      </c>
      <c r="B3855" s="3" t="str">
        <f>HYPERLINK("https://otsuka-europe-crm.veevavault.com/ui/#object/approved_document__v/V5OZ025E82TFUPI", "Spain - HCP Survey Email - June 2025")</f>
        <v>Spain - HCP Survey Email - June 2025</v>
      </c>
      <c r="C3855" s="3" t="str">
        <f>HYPERLINK("https://otsuka-europe-crm.veevavault.com/ui/#object/sent_email__v/VBLZ025E82GN0MA", "SE-000270980")</f>
        <v>SE-000270980</v>
      </c>
      <c r="D3855" s="1">
        <v>45919.321875000001</v>
      </c>
      <c r="E3855" s="2">
        <v>1</v>
      </c>
      <c r="F3855" s="2">
        <v>1</v>
      </c>
      <c r="G3855" s="2">
        <v>0</v>
      </c>
      <c r="H3855" s="1" t="s">
        <v>0</v>
      </c>
      <c r="I3855" s="2">
        <v>0</v>
      </c>
      <c r="J3855" s="1">
        <v>45915.379074074073</v>
      </c>
    </row>
    <row r="3856" spans="1:10" x14ac:dyDescent="0.2">
      <c r="A3856" s="4" t="s">
        <v>1</v>
      </c>
      <c r="B3856" s="3" t="str">
        <f>HYPERLINK("https://otsuka-europe-crm.veevavault.com/ui/#object/approved_document__v/V5OZ025E82TFUPI", "Spain - HCP Survey Email - June 2025")</f>
        <v>Spain - HCP Survey Email - June 2025</v>
      </c>
      <c r="C3856" s="3" t="str">
        <f>HYPERLINK("https://otsuka-europe-crm.veevavault.com/ui/#object/sent_email__v/VBLZ025E82GN0MB", "SE-000270981")</f>
        <v>SE-000270981</v>
      </c>
      <c r="D3856" s="1">
        <v>45915.478148148148</v>
      </c>
      <c r="E3856" s="2">
        <v>1</v>
      </c>
      <c r="F3856" s="2">
        <v>3</v>
      </c>
      <c r="G3856" s="2">
        <v>0</v>
      </c>
      <c r="H3856" s="1" t="s">
        <v>0</v>
      </c>
      <c r="I3856" s="2">
        <v>0</v>
      </c>
      <c r="J3856" s="1">
        <v>45915.37777777778</v>
      </c>
    </row>
    <row r="3857" spans="1:10" x14ac:dyDescent="0.2">
      <c r="A3857" s="4" t="s">
        <v>1</v>
      </c>
      <c r="B3857" s="3" t="str">
        <f>HYPERLINK("https://otsuka-europe-crm.veevavault.com/ui/#object/approved_document__v/V5OZ025E82TFUPI", "Spain - HCP Survey Email - June 2025")</f>
        <v>Spain - HCP Survey Email - June 2025</v>
      </c>
      <c r="C3857" s="3" t="str">
        <f>HYPERLINK("https://otsuka-europe-crm.veevavault.com/ui/#object/sent_email__v/VBLZ025E82GN0MC", "SE-000270982")</f>
        <v>SE-000270982</v>
      </c>
      <c r="D3857" s="1" t="s">
        <v>0</v>
      </c>
      <c r="E3857" s="2">
        <v>0</v>
      </c>
      <c r="F3857" s="2">
        <v>0</v>
      </c>
      <c r="G3857" s="2">
        <v>0</v>
      </c>
      <c r="H3857" s="1" t="s">
        <v>0</v>
      </c>
      <c r="I3857" s="2">
        <v>0</v>
      </c>
      <c r="J3857" s="1">
        <v>45915.378321759257</v>
      </c>
    </row>
    <row r="3858" spans="1:10" x14ac:dyDescent="0.2">
      <c r="A3858" s="4" t="s">
        <v>1</v>
      </c>
      <c r="B3858" s="3" t="str">
        <f>HYPERLINK("https://otsuka-europe-crm.veevavault.com/ui/#object/approved_document__v/V5OZ025E82TFUPI", "Spain - HCP Survey Email - June 2025")</f>
        <v>Spain - HCP Survey Email - June 2025</v>
      </c>
      <c r="C3858" s="3" t="str">
        <f>HYPERLINK("https://otsuka-europe-crm.veevavault.com/ui/#object/sent_email__v/VBLZ025E82GN0MD", "SE-000270983")</f>
        <v>SE-000270983</v>
      </c>
      <c r="D3858" s="1" t="s">
        <v>0</v>
      </c>
      <c r="E3858" s="2">
        <v>0</v>
      </c>
      <c r="F3858" s="2">
        <v>0</v>
      </c>
      <c r="G3858" s="2">
        <v>0</v>
      </c>
      <c r="H3858" s="1" t="s">
        <v>0</v>
      </c>
      <c r="I3858" s="2">
        <v>0</v>
      </c>
      <c r="J3858" s="1">
        <v>45915.378125000003</v>
      </c>
    </row>
    <row r="3859" spans="1:10" x14ac:dyDescent="0.2">
      <c r="A3859" s="4" t="s">
        <v>1</v>
      </c>
      <c r="B3859" s="3" t="str">
        <f>HYPERLINK("https://otsuka-europe-crm.veevavault.com/ui/#object/approved_document__v/V5OZ025E82TFUPI", "Spain - HCP Survey Email - June 2025")</f>
        <v>Spain - HCP Survey Email - June 2025</v>
      </c>
      <c r="C3859" s="3" t="str">
        <f>HYPERLINK("https://otsuka-europe-crm.veevavault.com/ui/#object/sent_email__v/VBLZ025E82GN0ME", "SE-000270984")</f>
        <v>SE-000270984</v>
      </c>
      <c r="D3859" s="1" t="s">
        <v>0</v>
      </c>
      <c r="E3859" s="2">
        <v>0</v>
      </c>
      <c r="F3859" s="2">
        <v>0</v>
      </c>
      <c r="G3859" s="2">
        <v>0</v>
      </c>
      <c r="H3859" s="1" t="s">
        <v>0</v>
      </c>
      <c r="I3859" s="2">
        <v>0</v>
      </c>
      <c r="J3859" s="1">
        <v>45915.378657407404</v>
      </c>
    </row>
    <row r="3860" spans="1:10" x14ac:dyDescent="0.2">
      <c r="A3860" s="4" t="s">
        <v>1</v>
      </c>
      <c r="B3860" s="3" t="str">
        <f>HYPERLINK("https://otsuka-europe-crm.veevavault.com/ui/#object/approved_document__v/V5OZ025E82TFUPI", "Spain - HCP Survey Email - June 2025")</f>
        <v>Spain - HCP Survey Email - June 2025</v>
      </c>
      <c r="C3860" s="3" t="str">
        <f>HYPERLINK("https://otsuka-europe-crm.veevavault.com/ui/#object/sent_email__v/VBLZ025E82GN0MF", "SE-000270985")</f>
        <v>SE-000270985</v>
      </c>
      <c r="D3860" s="1" t="s">
        <v>0</v>
      </c>
      <c r="E3860" s="2">
        <v>0</v>
      </c>
      <c r="F3860" s="2">
        <v>0</v>
      </c>
      <c r="G3860" s="2">
        <v>0</v>
      </c>
      <c r="H3860" s="1" t="s">
        <v>0</v>
      </c>
      <c r="I3860" s="2">
        <v>0</v>
      </c>
      <c r="J3860" s="1">
        <v>45915.379976851851</v>
      </c>
    </row>
    <row r="3861" spans="1:10" x14ac:dyDescent="0.2">
      <c r="A3861" s="4" t="s">
        <v>1</v>
      </c>
      <c r="B3861" s="3" t="str">
        <f>HYPERLINK("https://otsuka-europe-crm.veevavault.com/ui/#object/approved_document__v/V5OZ025E82TFUPI", "Spain - HCP Survey Email - June 2025")</f>
        <v>Spain - HCP Survey Email - June 2025</v>
      </c>
      <c r="C3861" s="3" t="str">
        <f>HYPERLINK("https://otsuka-europe-crm.veevavault.com/ui/#object/sent_email__v/VBLZ025E82GN0MG", "SE-000270986")</f>
        <v>SE-000270986</v>
      </c>
      <c r="D3861" s="1">
        <v>45915.710439814815</v>
      </c>
      <c r="E3861" s="2">
        <v>1</v>
      </c>
      <c r="F3861" s="2">
        <v>2</v>
      </c>
      <c r="G3861" s="2">
        <v>0</v>
      </c>
      <c r="H3861" s="1" t="s">
        <v>0</v>
      </c>
      <c r="I3861" s="2">
        <v>0</v>
      </c>
      <c r="J3861" s="1">
        <v>45915.377685185187</v>
      </c>
    </row>
    <row r="3862" spans="1:10" x14ac:dyDescent="0.2">
      <c r="A3862" s="4" t="s">
        <v>1</v>
      </c>
      <c r="B3862" s="3" t="str">
        <f>HYPERLINK("https://otsuka-europe-crm.veevavault.com/ui/#object/approved_document__v/V5OZ025E82TFUPI", "Spain - HCP Survey Email - June 2025")</f>
        <v>Spain - HCP Survey Email - June 2025</v>
      </c>
      <c r="C3862" s="3" t="str">
        <f>HYPERLINK("https://otsuka-europe-crm.veevavault.com/ui/#object/sent_email__v/VBLZ025E82GN0MH", "SE-000270987")</f>
        <v>SE-000270987</v>
      </c>
      <c r="D3862" s="1" t="s">
        <v>0</v>
      </c>
      <c r="E3862" s="2">
        <v>0</v>
      </c>
      <c r="F3862" s="2">
        <v>0</v>
      </c>
      <c r="G3862" s="2">
        <v>0</v>
      </c>
      <c r="H3862" s="1" t="s">
        <v>0</v>
      </c>
      <c r="I3862" s="2">
        <v>0</v>
      </c>
      <c r="J3862" s="1">
        <v>45915.377453703702</v>
      </c>
    </row>
    <row r="3863" spans="1:10" x14ac:dyDescent="0.2">
      <c r="A3863" s="4" t="s">
        <v>1</v>
      </c>
      <c r="B3863" s="3" t="str">
        <f>HYPERLINK("https://otsuka-europe-crm.veevavault.com/ui/#object/approved_document__v/V5OZ025E82TFUPI", "Spain - HCP Survey Email - June 2025")</f>
        <v>Spain - HCP Survey Email - June 2025</v>
      </c>
      <c r="C3863" s="3" t="str">
        <f>HYPERLINK("https://otsuka-europe-crm.veevavault.com/ui/#object/sent_email__v/VBLZ025E82GN0MI", "SE-000270988")</f>
        <v>SE-000270988</v>
      </c>
      <c r="D3863" s="1">
        <v>45916.107627314814</v>
      </c>
      <c r="E3863" s="2">
        <v>1</v>
      </c>
      <c r="F3863" s="2">
        <v>1</v>
      </c>
      <c r="G3863" s="2">
        <v>0</v>
      </c>
      <c r="H3863" s="1" t="s">
        <v>0</v>
      </c>
      <c r="I3863" s="2">
        <v>0</v>
      </c>
      <c r="J3863" s="1">
        <v>45915.378391203703</v>
      </c>
    </row>
    <row r="3864" spans="1:10" x14ac:dyDescent="0.2">
      <c r="A3864" s="4" t="s">
        <v>1</v>
      </c>
      <c r="B3864" s="3" t="str">
        <f>HYPERLINK("https://otsuka-europe-crm.veevavault.com/ui/#object/approved_document__v/V5OZ025E82TFUPI", "Spain - HCP Survey Email - June 2025")</f>
        <v>Spain - HCP Survey Email - June 2025</v>
      </c>
      <c r="C3864" s="3" t="str">
        <f>HYPERLINK("https://otsuka-europe-crm.veevavault.com/ui/#object/sent_email__v/VBLZ025E82GN0MJ", "SE-000270989")</f>
        <v>SE-000270989</v>
      </c>
      <c r="D3864" s="1" t="s">
        <v>0</v>
      </c>
      <c r="E3864" s="2">
        <v>0</v>
      </c>
      <c r="F3864" s="2">
        <v>0</v>
      </c>
      <c r="G3864" s="2">
        <v>0</v>
      </c>
      <c r="H3864" s="1" t="s">
        <v>0</v>
      </c>
      <c r="I3864" s="2">
        <v>0</v>
      </c>
      <c r="J3864" s="1">
        <v>45915.378877314812</v>
      </c>
    </row>
    <row r="3865" spans="1:10" x14ac:dyDescent="0.2">
      <c r="A3865" s="4" t="s">
        <v>1</v>
      </c>
      <c r="B3865" s="3" t="str">
        <f>HYPERLINK("https://otsuka-europe-crm.veevavault.com/ui/#object/approved_document__v/V5OZ025E82TFUPI", "Spain - HCP Survey Email - June 2025")</f>
        <v>Spain - HCP Survey Email - June 2025</v>
      </c>
      <c r="C3865" s="3" t="str">
        <f>HYPERLINK("https://otsuka-europe-crm.veevavault.com/ui/#object/sent_email__v/VBLZ025E82GN0MK", "SE-000270990")</f>
        <v>SE-000270990</v>
      </c>
      <c r="D3865" s="1">
        <v>45915.382465277777</v>
      </c>
      <c r="E3865" s="2">
        <v>1</v>
      </c>
      <c r="F3865" s="2">
        <v>1</v>
      </c>
      <c r="G3865" s="2">
        <v>0</v>
      </c>
      <c r="H3865" s="1" t="s">
        <v>0</v>
      </c>
      <c r="I3865" s="2">
        <v>0</v>
      </c>
      <c r="J3865" s="1">
        <v>45915.378692129627</v>
      </c>
    </row>
    <row r="3866" spans="1:10" x14ac:dyDescent="0.2">
      <c r="A3866" s="4" t="s">
        <v>1</v>
      </c>
      <c r="B3866" s="3" t="str">
        <f>HYPERLINK("https://otsuka-europe-crm.veevavault.com/ui/#object/approved_document__v/V5OZ025E82TFUPI", "Spain - HCP Survey Email - June 2025")</f>
        <v>Spain - HCP Survey Email - June 2025</v>
      </c>
      <c r="C3866" s="3" t="str">
        <f>HYPERLINK("https://otsuka-europe-crm.veevavault.com/ui/#object/sent_email__v/VBLZ025E82GN0ML", "SE-000270991")</f>
        <v>SE-000270991</v>
      </c>
      <c r="D3866" s="1" t="s">
        <v>0</v>
      </c>
      <c r="E3866" s="2">
        <v>0</v>
      </c>
      <c r="F3866" s="2">
        <v>0</v>
      </c>
      <c r="G3866" s="2">
        <v>0</v>
      </c>
      <c r="H3866" s="1" t="s">
        <v>0</v>
      </c>
      <c r="I3866" s="2">
        <v>0</v>
      </c>
      <c r="J3866" s="1">
        <v>45915.37909722222</v>
      </c>
    </row>
    <row r="3867" spans="1:10" x14ac:dyDescent="0.2">
      <c r="A3867" s="4" t="s">
        <v>1</v>
      </c>
      <c r="B3867" s="3" t="str">
        <f>HYPERLINK("https://otsuka-europe-crm.veevavault.com/ui/#object/approved_document__v/V5OZ025E82TFUPI", "Spain - HCP Survey Email - June 2025")</f>
        <v>Spain - HCP Survey Email - June 2025</v>
      </c>
      <c r="C3867" s="3" t="str">
        <f>HYPERLINK("https://otsuka-europe-crm.veevavault.com/ui/#object/sent_email__v/VBLZ025E82GN0MM", "SE-000270992")</f>
        <v>SE-000270992</v>
      </c>
      <c r="D3867" s="1" t="s">
        <v>0</v>
      </c>
      <c r="E3867" s="2">
        <v>0</v>
      </c>
      <c r="F3867" s="2">
        <v>0</v>
      </c>
      <c r="G3867" s="2">
        <v>0</v>
      </c>
      <c r="H3867" s="1" t="s">
        <v>0</v>
      </c>
      <c r="I3867" s="2">
        <v>0</v>
      </c>
      <c r="J3867" s="1">
        <v>45915.377928240741</v>
      </c>
    </row>
    <row r="3868" spans="1:10" x14ac:dyDescent="0.2">
      <c r="A3868" s="4" t="s">
        <v>1</v>
      </c>
      <c r="B3868" s="3" t="str">
        <f>HYPERLINK("https://otsuka-europe-crm.veevavault.com/ui/#object/approved_document__v/V5OZ025E82TFUPI", "Spain - HCP Survey Email - June 2025")</f>
        <v>Spain - HCP Survey Email - June 2025</v>
      </c>
      <c r="C3868" s="3" t="str">
        <f>HYPERLINK("https://otsuka-europe-crm.veevavault.com/ui/#object/sent_email__v/VBLZ025E82GN0MN", "SE-000270993")</f>
        <v>SE-000270993</v>
      </c>
      <c r="D3868" s="1" t="s">
        <v>0</v>
      </c>
      <c r="E3868" s="2">
        <v>0</v>
      </c>
      <c r="F3868" s="2">
        <v>0</v>
      </c>
      <c r="G3868" s="2">
        <v>0</v>
      </c>
      <c r="H3868" s="1" t="s">
        <v>0</v>
      </c>
      <c r="I3868" s="2">
        <v>0</v>
      </c>
      <c r="J3868" s="1">
        <v>45915.378310185188</v>
      </c>
    </row>
    <row r="3869" spans="1:10" x14ac:dyDescent="0.2">
      <c r="A3869" s="4" t="s">
        <v>1</v>
      </c>
      <c r="B3869" s="3" t="str">
        <f>HYPERLINK("https://otsuka-europe-crm.veevavault.com/ui/#object/approved_document__v/V5OZ025E82TFUPI", "Spain - HCP Survey Email - June 2025")</f>
        <v>Spain - HCP Survey Email - June 2025</v>
      </c>
      <c r="C3869" s="3" t="str">
        <f>HYPERLINK("https://otsuka-europe-crm.veevavault.com/ui/#object/sent_email__v/VBLZ025E82GN0MO", "SE-000270994")</f>
        <v>SE-000270994</v>
      </c>
      <c r="D3869" s="1" t="s">
        <v>0</v>
      </c>
      <c r="E3869" s="2">
        <v>0</v>
      </c>
      <c r="F3869" s="2">
        <v>0</v>
      </c>
      <c r="G3869" s="2">
        <v>0</v>
      </c>
      <c r="H3869" s="1" t="s">
        <v>0</v>
      </c>
      <c r="I3869" s="2">
        <v>0</v>
      </c>
      <c r="J3869" s="1">
        <v>45915.378171296295</v>
      </c>
    </row>
    <row r="3870" spans="1:10" x14ac:dyDescent="0.2">
      <c r="A3870" s="4" t="s">
        <v>1</v>
      </c>
      <c r="B3870" s="3" t="str">
        <f>HYPERLINK("https://otsuka-europe-crm.veevavault.com/ui/#object/approved_document__v/V5OZ025E82TFUPI", "Spain - HCP Survey Email - June 2025")</f>
        <v>Spain - HCP Survey Email - June 2025</v>
      </c>
      <c r="C3870" s="3" t="str">
        <f>HYPERLINK("https://otsuka-europe-crm.veevavault.com/ui/#object/sent_email__v/VBLZ025E82GN0MQ", "SE-000270996")</f>
        <v>SE-000270996</v>
      </c>
      <c r="D3870" s="1" t="s">
        <v>0</v>
      </c>
      <c r="E3870" s="2">
        <v>0</v>
      </c>
      <c r="F3870" s="2">
        <v>0</v>
      </c>
      <c r="G3870" s="2">
        <v>0</v>
      </c>
      <c r="H3870" s="1" t="s">
        <v>0</v>
      </c>
      <c r="I3870" s="2">
        <v>0</v>
      </c>
      <c r="J3870" s="1">
        <v>45915.380011574074</v>
      </c>
    </row>
    <row r="3871" spans="1:10" x14ac:dyDescent="0.2">
      <c r="A3871" s="4" t="s">
        <v>1</v>
      </c>
      <c r="B3871" s="3" t="str">
        <f>HYPERLINK("https://otsuka-europe-crm.veevavault.com/ui/#object/approved_document__v/V5OZ025E82TFUPI", "Spain - HCP Survey Email - June 2025")</f>
        <v>Spain - HCP Survey Email - June 2025</v>
      </c>
      <c r="C3871" s="3" t="str">
        <f>HYPERLINK("https://otsuka-europe-crm.veevavault.com/ui/#object/sent_email__v/VBLZ025E82GN0MR", "SE-000270997")</f>
        <v>SE-000270997</v>
      </c>
      <c r="D3871" s="1">
        <v>45915.402731481481</v>
      </c>
      <c r="E3871" s="2">
        <v>1</v>
      </c>
      <c r="F3871" s="2">
        <v>1</v>
      </c>
      <c r="G3871" s="2">
        <v>0</v>
      </c>
      <c r="H3871" s="1" t="s">
        <v>0</v>
      </c>
      <c r="I3871" s="2">
        <v>0</v>
      </c>
      <c r="J3871" s="1">
        <v>45915.377696759257</v>
      </c>
    </row>
    <row r="3872" spans="1:10" x14ac:dyDescent="0.2">
      <c r="A3872" s="4" t="s">
        <v>1</v>
      </c>
      <c r="B3872" s="3" t="str">
        <f>HYPERLINK("https://otsuka-europe-crm.veevavault.com/ui/#object/approved_document__v/V5OZ025E82TFUPI", "Spain - HCP Survey Email - June 2025")</f>
        <v>Spain - HCP Survey Email - June 2025</v>
      </c>
      <c r="C3872" s="3" t="str">
        <f>HYPERLINK("https://otsuka-europe-crm.veevavault.com/ui/#object/sent_email__v/VBLZ025E82GN0MS", "SE-000270998")</f>
        <v>SE-000270998</v>
      </c>
      <c r="D3872" s="1" t="s">
        <v>0</v>
      </c>
      <c r="E3872" s="2">
        <v>0</v>
      </c>
      <c r="F3872" s="2">
        <v>0</v>
      </c>
      <c r="G3872" s="2">
        <v>0</v>
      </c>
      <c r="H3872" s="1" t="s">
        <v>0</v>
      </c>
      <c r="I3872" s="2">
        <v>0</v>
      </c>
      <c r="J3872" s="1">
        <v>45915.377604166664</v>
      </c>
    </row>
    <row r="3873" spans="1:10" x14ac:dyDescent="0.2">
      <c r="A3873" s="4" t="s">
        <v>1</v>
      </c>
      <c r="B3873" s="3" t="str">
        <f>HYPERLINK("https://otsuka-europe-crm.veevavault.com/ui/#object/approved_document__v/V5OZ025E82TFUPI", "Spain - HCP Survey Email - June 2025")</f>
        <v>Spain - HCP Survey Email - June 2025</v>
      </c>
      <c r="C3873" s="3" t="str">
        <f>HYPERLINK("https://otsuka-europe-crm.veevavault.com/ui/#object/sent_email__v/VBLZ025E82GN0MT", "SE-000270999")</f>
        <v>SE-000270999</v>
      </c>
      <c r="D3873" s="1">
        <v>45915.655219907407</v>
      </c>
      <c r="E3873" s="2">
        <v>1</v>
      </c>
      <c r="F3873" s="2">
        <v>2</v>
      </c>
      <c r="G3873" s="2">
        <v>0</v>
      </c>
      <c r="H3873" s="1" t="s">
        <v>0</v>
      </c>
      <c r="I3873" s="2">
        <v>0</v>
      </c>
      <c r="J3873" s="1">
        <v>45915.378379629627</v>
      </c>
    </row>
    <row r="3874" spans="1:10" x14ac:dyDescent="0.2">
      <c r="A3874" s="4" t="s">
        <v>1</v>
      </c>
      <c r="B3874" s="3" t="str">
        <f>HYPERLINK("https://otsuka-europe-crm.veevavault.com/ui/#object/approved_document__v/V5OZ025E82TFUPI", "Spain - HCP Survey Email - June 2025")</f>
        <v>Spain - HCP Survey Email - June 2025</v>
      </c>
      <c r="C3874" s="3" t="str">
        <f>HYPERLINK("https://otsuka-europe-crm.veevavault.com/ui/#object/sent_email__v/VBLZ025E82GN0MU", "SE-000271000")</f>
        <v>SE-000271000</v>
      </c>
      <c r="D3874" s="1">
        <v>45916.947569444441</v>
      </c>
      <c r="E3874" s="2">
        <v>1</v>
      </c>
      <c r="F3874" s="2">
        <v>1</v>
      </c>
      <c r="G3874" s="2">
        <v>0</v>
      </c>
      <c r="H3874" s="1" t="s">
        <v>0</v>
      </c>
      <c r="I3874" s="2">
        <v>0</v>
      </c>
      <c r="J3874" s="1">
        <v>45915.378750000003</v>
      </c>
    </row>
    <row r="3875" spans="1:10" x14ac:dyDescent="0.2">
      <c r="A3875" s="4" t="s">
        <v>1</v>
      </c>
      <c r="B3875" s="3" t="str">
        <f>HYPERLINK("https://otsuka-europe-crm.veevavault.com/ui/#object/approved_document__v/V5OZ025E82TFUPI", "Spain - HCP Survey Email - June 2025")</f>
        <v>Spain - HCP Survey Email - June 2025</v>
      </c>
      <c r="C3875" s="3" t="str">
        <f>HYPERLINK("https://otsuka-europe-crm.veevavault.com/ui/#object/sent_email__v/VBLZ025E82GN0MV", "SE-000271001")</f>
        <v>SE-000271001</v>
      </c>
      <c r="D3875" s="1">
        <v>45915.87872685185</v>
      </c>
      <c r="E3875" s="2">
        <v>1</v>
      </c>
      <c r="F3875" s="2">
        <v>3</v>
      </c>
      <c r="G3875" s="2">
        <v>0</v>
      </c>
      <c r="H3875" s="1" t="s">
        <v>0</v>
      </c>
      <c r="I3875" s="2">
        <v>0</v>
      </c>
      <c r="J3875" s="1">
        <v>45915.378657407404</v>
      </c>
    </row>
    <row r="3876" spans="1:10" x14ac:dyDescent="0.2">
      <c r="A3876" s="4" t="s">
        <v>1</v>
      </c>
      <c r="B3876" s="3" t="str">
        <f>HYPERLINK("https://otsuka-europe-crm.veevavault.com/ui/#object/approved_document__v/V5OZ025E82TFUPI", "Spain - HCP Survey Email - June 2025")</f>
        <v>Spain - HCP Survey Email - June 2025</v>
      </c>
      <c r="C3876" s="3" t="str">
        <f>HYPERLINK("https://otsuka-europe-crm.veevavault.com/ui/#object/sent_email__v/VBLZ025E82GN0MW", "SE-000271002")</f>
        <v>SE-000271002</v>
      </c>
      <c r="D3876" s="1" t="s">
        <v>0</v>
      </c>
      <c r="E3876" s="2">
        <v>0</v>
      </c>
      <c r="F3876" s="2">
        <v>0</v>
      </c>
      <c r="G3876" s="2">
        <v>0</v>
      </c>
      <c r="H3876" s="1" t="s">
        <v>0</v>
      </c>
      <c r="I3876" s="2">
        <v>0</v>
      </c>
      <c r="J3876" s="1">
        <v>45915.37908564815</v>
      </c>
    </row>
    <row r="3877" spans="1:10" x14ac:dyDescent="0.2">
      <c r="A3877" s="4" t="s">
        <v>1</v>
      </c>
      <c r="B3877" s="3" t="str">
        <f>HYPERLINK("https://otsuka-europe-crm.veevavault.com/ui/#object/approved_document__v/V5OZ025E82TFUPI", "Spain - HCP Survey Email - June 2025")</f>
        <v>Spain - HCP Survey Email - June 2025</v>
      </c>
      <c r="C3877" s="3" t="str">
        <f>HYPERLINK("https://otsuka-europe-crm.veevavault.com/ui/#object/sent_email__v/VBLZ025E82GN0MX", "SE-000271003")</f>
        <v>SE-000271003</v>
      </c>
      <c r="D3877" s="1">
        <v>45915.951689814814</v>
      </c>
      <c r="E3877" s="2">
        <v>1</v>
      </c>
      <c r="F3877" s="2">
        <v>1</v>
      </c>
      <c r="G3877" s="2">
        <v>0</v>
      </c>
      <c r="H3877" s="1" t="s">
        <v>0</v>
      </c>
      <c r="I3877" s="2">
        <v>0</v>
      </c>
      <c r="J3877" s="1">
        <v>45915.377824074072</v>
      </c>
    </row>
    <row r="3878" spans="1:10" x14ac:dyDescent="0.2">
      <c r="A3878" s="4" t="s">
        <v>1</v>
      </c>
      <c r="B3878" s="3" t="str">
        <f>HYPERLINK("https://otsuka-europe-crm.veevavault.com/ui/#object/approved_document__v/V5OZ025E82TFUPI", "Spain - HCP Survey Email - June 2025")</f>
        <v>Spain - HCP Survey Email - June 2025</v>
      </c>
      <c r="C3878" s="3" t="str">
        <f>HYPERLINK("https://otsuka-europe-crm.veevavault.com/ui/#object/sent_email__v/VBLZ025E82GN0MY", "SE-000271004")</f>
        <v>SE-000271004</v>
      </c>
      <c r="D3878" s="1" t="s">
        <v>0</v>
      </c>
      <c r="E3878" s="2">
        <v>0</v>
      </c>
      <c r="F3878" s="2">
        <v>0</v>
      </c>
      <c r="G3878" s="2">
        <v>0</v>
      </c>
      <c r="H3878" s="1" t="s">
        <v>0</v>
      </c>
      <c r="I3878" s="2">
        <v>0</v>
      </c>
      <c r="J3878" s="1">
        <v>45915.378321759257</v>
      </c>
    </row>
    <row r="3879" spans="1:10" x14ac:dyDescent="0.2">
      <c r="A3879" s="4" t="s">
        <v>1</v>
      </c>
      <c r="B3879" s="3" t="str">
        <f>HYPERLINK("https://otsuka-europe-crm.veevavault.com/ui/#object/approved_document__v/V5OZ025E82TFUPI", "Spain - HCP Survey Email - June 2025")</f>
        <v>Spain - HCP Survey Email - June 2025</v>
      </c>
      <c r="C3879" s="3" t="str">
        <f>HYPERLINK("https://otsuka-europe-crm.veevavault.com/ui/#object/sent_email__v/VBLZ025E82GN0MZ", "SE-000271005")</f>
        <v>SE-000271005</v>
      </c>
      <c r="D3879" s="1">
        <v>45915.378391203703</v>
      </c>
      <c r="E3879" s="2">
        <v>1</v>
      </c>
      <c r="F3879" s="2">
        <v>1</v>
      </c>
      <c r="G3879" s="2">
        <v>0</v>
      </c>
      <c r="H3879" s="1" t="s">
        <v>0</v>
      </c>
      <c r="I3879" s="2">
        <v>0</v>
      </c>
      <c r="J3879" s="1">
        <v>45915.378206018519</v>
      </c>
    </row>
    <row r="3880" spans="1:10" x14ac:dyDescent="0.2">
      <c r="A3880" s="4" t="s">
        <v>1</v>
      </c>
      <c r="B3880" s="3" t="str">
        <f>HYPERLINK("https://otsuka-europe-crm.veevavault.com/ui/#object/approved_document__v/V5OZ025E82TFUPI", "Spain - HCP Survey Email - June 2025")</f>
        <v>Spain - HCP Survey Email - June 2025</v>
      </c>
      <c r="C3880" s="3" t="str">
        <f>HYPERLINK("https://otsuka-europe-crm.veevavault.com/ui/#object/sent_email__v/VBLZ025E82GN0N0", "SE-000271006")</f>
        <v>SE-000271006</v>
      </c>
      <c r="D3880" s="1">
        <v>45915.389108796298</v>
      </c>
      <c r="E3880" s="2">
        <v>1</v>
      </c>
      <c r="F3880" s="2">
        <v>1</v>
      </c>
      <c r="G3880" s="2">
        <v>0</v>
      </c>
      <c r="H3880" s="1" t="s">
        <v>0</v>
      </c>
      <c r="I3880" s="2">
        <v>0</v>
      </c>
      <c r="J3880" s="1">
        <v>45915.378622685188</v>
      </c>
    </row>
    <row r="3881" spans="1:10" x14ac:dyDescent="0.2">
      <c r="A3881" s="4" t="s">
        <v>1</v>
      </c>
      <c r="B3881" s="3" t="str">
        <f>HYPERLINK("https://otsuka-europe-crm.veevavault.com/ui/#object/approved_document__v/V5OZ025E82TFUPI", "Spain - HCP Survey Email - June 2025")</f>
        <v>Spain - HCP Survey Email - June 2025</v>
      </c>
      <c r="C3881" s="3" t="str">
        <f>HYPERLINK("https://otsuka-europe-crm.veevavault.com/ui/#object/sent_email__v/VBLZ025E82GN0N1", "SE-000271007")</f>
        <v>SE-000271007</v>
      </c>
      <c r="D3881" s="1" t="s">
        <v>0</v>
      </c>
      <c r="E3881" s="2">
        <v>0</v>
      </c>
      <c r="F3881" s="2">
        <v>0</v>
      </c>
      <c r="G3881" s="2">
        <v>0</v>
      </c>
      <c r="H3881" s="1" t="s">
        <v>0</v>
      </c>
      <c r="I3881" s="2">
        <v>0</v>
      </c>
      <c r="J3881" s="1">
        <v>45915.379837962966</v>
      </c>
    </row>
    <row r="3882" spans="1:10" x14ac:dyDescent="0.2">
      <c r="A3882" s="4" t="s">
        <v>1</v>
      </c>
      <c r="B3882" s="3" t="str">
        <f>HYPERLINK("https://otsuka-europe-crm.veevavault.com/ui/#object/approved_document__v/V5OZ025E82TFUPI", "Spain - HCP Survey Email - June 2025")</f>
        <v>Spain - HCP Survey Email - June 2025</v>
      </c>
      <c r="C3882" s="3" t="str">
        <f>HYPERLINK("https://otsuka-europe-crm.veevavault.com/ui/#object/sent_email__v/VBLZ025E82GN0N2", "SE-000271008")</f>
        <v>SE-000271008</v>
      </c>
      <c r="D3882" s="1">
        <v>45944.386655092596</v>
      </c>
      <c r="E3882" s="2">
        <v>1</v>
      </c>
      <c r="F3882" s="2">
        <v>2</v>
      </c>
      <c r="G3882" s="2">
        <v>0</v>
      </c>
      <c r="H3882" s="1" t="s">
        <v>0</v>
      </c>
      <c r="I3882" s="2">
        <v>0</v>
      </c>
      <c r="J3882" s="1">
        <v>45915.378252314818</v>
      </c>
    </row>
    <row r="3883" spans="1:10" x14ac:dyDescent="0.2">
      <c r="A3883" s="4" t="s">
        <v>1</v>
      </c>
      <c r="B3883" s="3" t="str">
        <f>HYPERLINK("https://otsuka-europe-crm.veevavault.com/ui/#object/approved_document__v/V5OZ025E82TFUPI", "Spain - HCP Survey Email - June 2025")</f>
        <v>Spain - HCP Survey Email - June 2025</v>
      </c>
      <c r="C3883" s="3" t="str">
        <f>HYPERLINK("https://otsuka-europe-crm.veevavault.com/ui/#object/sent_email__v/VBLZ025E82GN0N3", "SE-000271009")</f>
        <v>SE-000271009</v>
      </c>
      <c r="D3883" s="1" t="s">
        <v>0</v>
      </c>
      <c r="E3883" s="2">
        <v>0</v>
      </c>
      <c r="F3883" s="2">
        <v>0</v>
      </c>
      <c r="G3883" s="2">
        <v>0</v>
      </c>
      <c r="H3883" s="1" t="s">
        <v>0</v>
      </c>
      <c r="I3883" s="2">
        <v>0</v>
      </c>
      <c r="J3883" s="1">
        <v>45915.378206018519</v>
      </c>
    </row>
    <row r="3884" spans="1:10" x14ac:dyDescent="0.2">
      <c r="A3884" s="4" t="s">
        <v>1</v>
      </c>
      <c r="B3884" s="3" t="str">
        <f>HYPERLINK("https://otsuka-europe-crm.veevavault.com/ui/#object/approved_document__v/V5OZ025E82TFUPI", "Spain - HCP Survey Email - June 2025")</f>
        <v>Spain - HCP Survey Email - June 2025</v>
      </c>
      <c r="C3884" s="3" t="str">
        <f>HYPERLINK("https://otsuka-europe-crm.veevavault.com/ui/#object/sent_email__v/VBLZ025E82GN0N4", "SE-000271010")</f>
        <v>SE-000271010</v>
      </c>
      <c r="D3884" s="1" t="s">
        <v>0</v>
      </c>
      <c r="E3884" s="2">
        <v>0</v>
      </c>
      <c r="F3884" s="2">
        <v>0</v>
      </c>
      <c r="G3884" s="2">
        <v>0</v>
      </c>
      <c r="H3884" s="1" t="s">
        <v>0</v>
      </c>
      <c r="I3884" s="2">
        <v>0</v>
      </c>
      <c r="J3884" s="1">
        <v>45915.378622685188</v>
      </c>
    </row>
    <row r="3885" spans="1:10" x14ac:dyDescent="0.2">
      <c r="A3885" s="4" t="s">
        <v>1</v>
      </c>
      <c r="B3885" s="3" t="str">
        <f>HYPERLINK("https://otsuka-europe-crm.veevavault.com/ui/#object/approved_document__v/V5OZ025E82TFUPI", "Spain - HCP Survey Email - June 2025")</f>
        <v>Spain - HCP Survey Email - June 2025</v>
      </c>
      <c r="C3885" s="3" t="str">
        <f>HYPERLINK("https://otsuka-europe-crm.veevavault.com/ui/#object/sent_email__v/VBLZ025E82GN0N5", "SE-000271011")</f>
        <v>SE-000271011</v>
      </c>
      <c r="D3885" s="1" t="s">
        <v>0</v>
      </c>
      <c r="E3885" s="2">
        <v>0</v>
      </c>
      <c r="F3885" s="2">
        <v>0</v>
      </c>
      <c r="G3885" s="2">
        <v>0</v>
      </c>
      <c r="H3885" s="1" t="s">
        <v>0</v>
      </c>
      <c r="I3885" s="2">
        <v>0</v>
      </c>
      <c r="J3885" s="1">
        <v>45915.379930555559</v>
      </c>
    </row>
    <row r="3886" spans="1:10" x14ac:dyDescent="0.2">
      <c r="A3886" s="4" t="s">
        <v>1</v>
      </c>
      <c r="B3886" s="3" t="str">
        <f>HYPERLINK("https://otsuka-europe-crm.veevavault.com/ui/#object/approved_document__v/V5OZ025E82TFUPI", "Spain - HCP Survey Email - June 2025")</f>
        <v>Spain - HCP Survey Email - June 2025</v>
      </c>
      <c r="C3886" s="3" t="str">
        <f>HYPERLINK("https://otsuka-europe-crm.veevavault.com/ui/#object/sent_email__v/VBLZ025E82GN0N6", "SE-000271012")</f>
        <v>SE-000271012</v>
      </c>
      <c r="D3886" s="1">
        <v>45923.702928240738</v>
      </c>
      <c r="E3886" s="2">
        <v>1</v>
      </c>
      <c r="F3886" s="2">
        <v>5</v>
      </c>
      <c r="G3886" s="2">
        <v>0</v>
      </c>
      <c r="H3886" s="1" t="s">
        <v>0</v>
      </c>
      <c r="I3886" s="2">
        <v>0</v>
      </c>
      <c r="J3886" s="1">
        <v>45915.377685185187</v>
      </c>
    </row>
    <row r="3887" spans="1:10" x14ac:dyDescent="0.2">
      <c r="A3887" s="4" t="s">
        <v>1</v>
      </c>
      <c r="B3887" s="3" t="str">
        <f>HYPERLINK("https://otsuka-europe-crm.veevavault.com/ui/#object/approved_document__v/V5OZ025E82TFUPI", "Spain - HCP Survey Email - June 2025")</f>
        <v>Spain - HCP Survey Email - June 2025</v>
      </c>
      <c r="C3887" s="3" t="str">
        <f>HYPERLINK("https://otsuka-europe-crm.veevavault.com/ui/#object/sent_email__v/VBLZ025E82GN0N7", "SE-000271013")</f>
        <v>SE-000271013</v>
      </c>
      <c r="D3887" s="1">
        <v>45961.480312500003</v>
      </c>
      <c r="E3887" s="2">
        <v>1</v>
      </c>
      <c r="F3887" s="2">
        <v>3</v>
      </c>
      <c r="G3887" s="2">
        <v>1</v>
      </c>
      <c r="H3887" s="1">
        <v>45915.524212962962</v>
      </c>
      <c r="I3887" s="2">
        <v>1</v>
      </c>
      <c r="J3887" s="1">
        <v>45915.377569444441</v>
      </c>
    </row>
    <row r="3888" spans="1:10" x14ac:dyDescent="0.2">
      <c r="A3888" s="4" t="s">
        <v>1</v>
      </c>
      <c r="B3888" s="3" t="str">
        <f>HYPERLINK("https://otsuka-europe-crm.veevavault.com/ui/#object/approved_document__v/V5OZ025E82TFUPI", "Spain - HCP Survey Email - June 2025")</f>
        <v>Spain - HCP Survey Email - June 2025</v>
      </c>
      <c r="C3888" s="3" t="str">
        <f>HYPERLINK("https://otsuka-europe-crm.veevavault.com/ui/#object/sent_email__v/VBLZ025E82GN0N8", "SE-000271014")</f>
        <v>SE-000271014</v>
      </c>
      <c r="D3888" s="1" t="s">
        <v>0</v>
      </c>
      <c r="E3888" s="2">
        <v>0</v>
      </c>
      <c r="F3888" s="2">
        <v>0</v>
      </c>
      <c r="G3888" s="2">
        <v>0</v>
      </c>
      <c r="H3888" s="1" t="s">
        <v>0</v>
      </c>
      <c r="I3888" s="2">
        <v>0</v>
      </c>
      <c r="J3888" s="1">
        <v>45915.378437500003</v>
      </c>
    </row>
    <row r="3889" spans="1:10" x14ac:dyDescent="0.2">
      <c r="A3889" s="4" t="s">
        <v>1</v>
      </c>
      <c r="B3889" s="3" t="str">
        <f>HYPERLINK("https://otsuka-europe-crm.veevavault.com/ui/#object/approved_document__v/V5OZ025E82TFUPI", "Spain - HCP Survey Email - June 2025")</f>
        <v>Spain - HCP Survey Email - June 2025</v>
      </c>
      <c r="C3889" s="3" t="str">
        <f>HYPERLINK("https://otsuka-europe-crm.veevavault.com/ui/#object/sent_email__v/VBLZ025E82GN0N9", "SE-000271015")</f>
        <v>SE-000271015</v>
      </c>
      <c r="D3889" s="1" t="s">
        <v>0</v>
      </c>
      <c r="E3889" s="2">
        <v>0</v>
      </c>
      <c r="F3889" s="2">
        <v>0</v>
      </c>
      <c r="G3889" s="2">
        <v>0</v>
      </c>
      <c r="H3889" s="1" t="s">
        <v>0</v>
      </c>
      <c r="I3889" s="2">
        <v>0</v>
      </c>
      <c r="J3889" s="1">
        <v>45915.378865740742</v>
      </c>
    </row>
    <row r="3890" spans="1:10" x14ac:dyDescent="0.2">
      <c r="A3890" s="4" t="s">
        <v>1</v>
      </c>
      <c r="B3890" s="3" t="str">
        <f>HYPERLINK("https://otsuka-europe-crm.veevavault.com/ui/#object/approved_document__v/V5OZ025E82TFUPI", "Spain - HCP Survey Email - June 2025")</f>
        <v>Spain - HCP Survey Email - June 2025</v>
      </c>
      <c r="C3890" s="3" t="str">
        <f>HYPERLINK("https://otsuka-europe-crm.veevavault.com/ui/#object/sent_email__v/VBLZ025E82GN0NA", "SE-000271016")</f>
        <v>SE-000271016</v>
      </c>
      <c r="D3890" s="1">
        <v>45915.647592592592</v>
      </c>
      <c r="E3890" s="2">
        <v>1</v>
      </c>
      <c r="F3890" s="2">
        <v>1</v>
      </c>
      <c r="G3890" s="2">
        <v>0</v>
      </c>
      <c r="H3890" s="1" t="s">
        <v>0</v>
      </c>
      <c r="I3890" s="2">
        <v>0</v>
      </c>
      <c r="J3890" s="1">
        <v>45915.378692129627</v>
      </c>
    </row>
    <row r="3891" spans="1:10" x14ac:dyDescent="0.2">
      <c r="A3891" s="4" t="s">
        <v>1</v>
      </c>
      <c r="B3891" s="3" t="str">
        <f>HYPERLINK("https://otsuka-europe-crm.veevavault.com/ui/#object/approved_document__v/V5OZ025E82TFUPI", "Spain - HCP Survey Email - June 2025")</f>
        <v>Spain - HCP Survey Email - June 2025</v>
      </c>
      <c r="C3891" s="3" t="str">
        <f>HYPERLINK("https://otsuka-europe-crm.veevavault.com/ui/#object/sent_email__v/VBLZ025E82GN0NB", "SE-000271017")</f>
        <v>SE-000271017</v>
      </c>
      <c r="D3891" s="1">
        <v>45915.387557870374</v>
      </c>
      <c r="E3891" s="2">
        <v>1</v>
      </c>
      <c r="F3891" s="2">
        <v>1</v>
      </c>
      <c r="G3891" s="2">
        <v>0</v>
      </c>
      <c r="H3891" s="1" t="s">
        <v>0</v>
      </c>
      <c r="I3891" s="2">
        <v>0</v>
      </c>
      <c r="J3891" s="1">
        <v>45915.379108796296</v>
      </c>
    </row>
    <row r="3892" spans="1:10" x14ac:dyDescent="0.2">
      <c r="A3892" s="4" t="s">
        <v>1</v>
      </c>
      <c r="B3892" s="3" t="str">
        <f>HYPERLINK("https://otsuka-europe-crm.veevavault.com/ui/#object/approved_document__v/V5OZ025E82TFUPI", "Spain - HCP Survey Email - June 2025")</f>
        <v>Spain - HCP Survey Email - June 2025</v>
      </c>
      <c r="C3892" s="3" t="str">
        <f>HYPERLINK("https://otsuka-europe-crm.veevavault.com/ui/#object/sent_email__v/VBLZ025E82GN0NC", "SE-000271018")</f>
        <v>SE-000271018</v>
      </c>
      <c r="D3892" s="1">
        <v>45915.377824074072</v>
      </c>
      <c r="E3892" s="2">
        <v>1</v>
      </c>
      <c r="F3892" s="2">
        <v>1</v>
      </c>
      <c r="G3892" s="2">
        <v>0</v>
      </c>
      <c r="H3892" s="1" t="s">
        <v>0</v>
      </c>
      <c r="I3892" s="2">
        <v>0</v>
      </c>
      <c r="J3892" s="1">
        <v>45915.377754629626</v>
      </c>
    </row>
    <row r="3893" spans="1:10" x14ac:dyDescent="0.2">
      <c r="A3893" s="4" t="s">
        <v>1</v>
      </c>
      <c r="B3893" s="3" t="str">
        <f>HYPERLINK("https://otsuka-europe-crm.veevavault.com/ui/#object/approved_document__v/V5OZ025E82TFUPI", "Spain - HCP Survey Email - June 2025")</f>
        <v>Spain - HCP Survey Email - June 2025</v>
      </c>
      <c r="C3893" s="3" t="str">
        <f>HYPERLINK("https://otsuka-europe-crm.veevavault.com/ui/#object/sent_email__v/VBLZ025E82GN0ND", "SE-000271019")</f>
        <v>SE-000271019</v>
      </c>
      <c r="D3893" s="1" t="s">
        <v>0</v>
      </c>
      <c r="E3893" s="2">
        <v>0</v>
      </c>
      <c r="F3893" s="2">
        <v>0</v>
      </c>
      <c r="G3893" s="2">
        <v>0</v>
      </c>
      <c r="H3893" s="1" t="s">
        <v>0</v>
      </c>
      <c r="I3893" s="2">
        <v>0</v>
      </c>
      <c r="J3893" s="1">
        <v>45915.378310185188</v>
      </c>
    </row>
    <row r="3894" spans="1:10" x14ac:dyDescent="0.2">
      <c r="A3894" s="4" t="s">
        <v>1</v>
      </c>
      <c r="B3894" s="3" t="str">
        <f>HYPERLINK("https://otsuka-europe-crm.veevavault.com/ui/#object/approved_document__v/V5OZ025E82TFUPI", "Spain - HCP Survey Email - June 2025")</f>
        <v>Spain - HCP Survey Email - June 2025</v>
      </c>
      <c r="C3894" s="3" t="str">
        <f>HYPERLINK("https://otsuka-europe-crm.veevavault.com/ui/#object/sent_email__v/VBLZ025E82GN0NE", "SE-000271020")</f>
        <v>SE-000271020</v>
      </c>
      <c r="D3894" s="1">
        <v>45916.335266203707</v>
      </c>
      <c r="E3894" s="2">
        <v>1</v>
      </c>
      <c r="F3894" s="2">
        <v>1</v>
      </c>
      <c r="G3894" s="2">
        <v>1</v>
      </c>
      <c r="H3894" s="1">
        <v>45916.335266203707</v>
      </c>
      <c r="I3894" s="2">
        <v>1</v>
      </c>
      <c r="J3894" s="1">
        <v>45915.378148148149</v>
      </c>
    </row>
    <row r="3895" spans="1:10" x14ac:dyDescent="0.2">
      <c r="A3895" s="4" t="s">
        <v>1</v>
      </c>
      <c r="B3895" s="3" t="str">
        <f>HYPERLINK("https://otsuka-europe-crm.veevavault.com/ui/#object/approved_document__v/V5OZ025E82TFUPI", "Spain - HCP Survey Email - June 2025")</f>
        <v>Spain - HCP Survey Email - June 2025</v>
      </c>
      <c r="C3895" s="3" t="str">
        <f>HYPERLINK("https://otsuka-europe-crm.veevavault.com/ui/#object/sent_email__v/VBLZ025E82GN0NF", "SE-000271021")</f>
        <v>SE-000271021</v>
      </c>
      <c r="D3895" s="1">
        <v>45915.78800925926</v>
      </c>
      <c r="E3895" s="2">
        <v>1</v>
      </c>
      <c r="F3895" s="2">
        <v>1</v>
      </c>
      <c r="G3895" s="2">
        <v>0</v>
      </c>
      <c r="H3895" s="1" t="s">
        <v>0</v>
      </c>
      <c r="I3895" s="2">
        <v>0</v>
      </c>
      <c r="J3895" s="1">
        <v>45915.378680555557</v>
      </c>
    </row>
    <row r="3896" spans="1:10" x14ac:dyDescent="0.2">
      <c r="A3896" s="4" t="s">
        <v>1</v>
      </c>
      <c r="B3896" s="3" t="str">
        <f>HYPERLINK("https://otsuka-europe-crm.veevavault.com/ui/#object/approved_document__v/V5OZ025E82TFUPI", "Spain - HCP Survey Email - June 2025")</f>
        <v>Spain - HCP Survey Email - June 2025</v>
      </c>
      <c r="C3896" s="3" t="str">
        <f>HYPERLINK("https://otsuka-europe-crm.veevavault.com/ui/#object/sent_email__v/VBLZ025E82GN0NG", "SE-000271022")</f>
        <v>SE-000271022</v>
      </c>
      <c r="D3896" s="1">
        <v>45915.941643518519</v>
      </c>
      <c r="E3896" s="2">
        <v>1</v>
      </c>
      <c r="F3896" s="2">
        <v>1</v>
      </c>
      <c r="G3896" s="2">
        <v>0</v>
      </c>
      <c r="H3896" s="1" t="s">
        <v>0</v>
      </c>
      <c r="I3896" s="2">
        <v>0</v>
      </c>
      <c r="J3896" s="1">
        <v>45915.379895833335</v>
      </c>
    </row>
    <row r="3897" spans="1:10" x14ac:dyDescent="0.2">
      <c r="A3897" s="4" t="s">
        <v>1</v>
      </c>
      <c r="B3897" s="3" t="str">
        <f>HYPERLINK("https://otsuka-europe-crm.veevavault.com/ui/#object/approved_document__v/V5OZ025E82TFUPI", "Spain - HCP Survey Email - June 2025")</f>
        <v>Spain - HCP Survey Email - June 2025</v>
      </c>
      <c r="C3897" s="3" t="str">
        <f>HYPERLINK("https://otsuka-europe-crm.veevavault.com/ui/#object/sent_email__v/VBLZ025E82GN0NH", "SE-000271023")</f>
        <v>SE-000271023</v>
      </c>
      <c r="D3897" s="1">
        <v>45915.968599537038</v>
      </c>
      <c r="E3897" s="2">
        <v>1</v>
      </c>
      <c r="F3897" s="2">
        <v>2</v>
      </c>
      <c r="G3897" s="2">
        <v>0</v>
      </c>
      <c r="H3897" s="1" t="s">
        <v>0</v>
      </c>
      <c r="I3897" s="2">
        <v>0</v>
      </c>
      <c r="J3897" s="1">
        <v>45915.377685185187</v>
      </c>
    </row>
    <row r="3898" spans="1:10" x14ac:dyDescent="0.2">
      <c r="A3898" s="4" t="s">
        <v>1</v>
      </c>
      <c r="B3898" s="3" t="str">
        <f>HYPERLINK("https://otsuka-europe-crm.veevavault.com/ui/#object/approved_document__v/V5OZ025E82TFUPI", "Spain - HCP Survey Email - June 2025")</f>
        <v>Spain - HCP Survey Email - June 2025</v>
      </c>
      <c r="C3898" s="3" t="str">
        <f>HYPERLINK("https://otsuka-europe-crm.veevavault.com/ui/#object/sent_email__v/VBLZ025E82GN0NI", "SE-000271024")</f>
        <v>SE-000271024</v>
      </c>
      <c r="D3898" s="1">
        <v>45915.447916666664</v>
      </c>
      <c r="E3898" s="2">
        <v>1</v>
      </c>
      <c r="F3898" s="2">
        <v>1</v>
      </c>
      <c r="G3898" s="2">
        <v>1</v>
      </c>
      <c r="H3898" s="1">
        <v>45915.448136574072</v>
      </c>
      <c r="I3898" s="2">
        <v>1</v>
      </c>
      <c r="J3898" s="1">
        <v>45915.377465277779</v>
      </c>
    </row>
    <row r="3899" spans="1:10" x14ac:dyDescent="0.2">
      <c r="A3899" s="4" t="s">
        <v>1</v>
      </c>
      <c r="B3899" s="3" t="str">
        <f>HYPERLINK("https://otsuka-europe-crm.veevavault.com/ui/#object/approved_document__v/V5OZ025E82TFUPI", "Spain - HCP Survey Email - June 2025")</f>
        <v>Spain - HCP Survey Email - June 2025</v>
      </c>
      <c r="C3899" s="3" t="str">
        <f>HYPERLINK("https://otsuka-europe-crm.veevavault.com/ui/#object/sent_email__v/VBLZ025E82GN0NJ", "SE-000271025")</f>
        <v>SE-000271025</v>
      </c>
      <c r="D3899" s="1" t="s">
        <v>0</v>
      </c>
      <c r="E3899" s="2">
        <v>0</v>
      </c>
      <c r="F3899" s="2">
        <v>0</v>
      </c>
      <c r="G3899" s="2">
        <v>0</v>
      </c>
      <c r="H3899" s="1" t="s">
        <v>0</v>
      </c>
      <c r="I3899" s="2">
        <v>0</v>
      </c>
      <c r="J3899" s="1">
        <v>45915.37841435185</v>
      </c>
    </row>
    <row r="3900" spans="1:10" x14ac:dyDescent="0.2">
      <c r="A3900" s="4" t="s">
        <v>1</v>
      </c>
      <c r="B3900" s="3" t="str">
        <f>HYPERLINK("https://otsuka-europe-crm.veevavault.com/ui/#object/approved_document__v/V5OZ025E82TFUPI", "Spain - HCP Survey Email - June 2025")</f>
        <v>Spain - HCP Survey Email - June 2025</v>
      </c>
      <c r="C3900" s="3" t="str">
        <f>HYPERLINK("https://otsuka-europe-crm.veevavault.com/ui/#object/sent_email__v/VBLZ025E82GN0NK", "SE-000271026")</f>
        <v>SE-000271026</v>
      </c>
      <c r="D3900" s="1">
        <v>45917.582314814812</v>
      </c>
      <c r="E3900" s="2">
        <v>1</v>
      </c>
      <c r="F3900" s="2">
        <v>2</v>
      </c>
      <c r="G3900" s="2">
        <v>0</v>
      </c>
      <c r="H3900" s="1" t="s">
        <v>0</v>
      </c>
      <c r="I3900" s="2">
        <v>0</v>
      </c>
      <c r="J3900" s="1">
        <v>45915.378912037035</v>
      </c>
    </row>
    <row r="3901" spans="1:10" x14ac:dyDescent="0.2">
      <c r="A3901" s="4" t="s">
        <v>1</v>
      </c>
      <c r="B3901" s="3" t="str">
        <f>HYPERLINK("https://otsuka-europe-crm.veevavault.com/ui/#object/approved_document__v/V5OZ025E82TFUPI", "Spain - HCP Survey Email - June 2025")</f>
        <v>Spain - HCP Survey Email - June 2025</v>
      </c>
      <c r="C3901" s="3" t="str">
        <f>HYPERLINK("https://otsuka-europe-crm.veevavault.com/ui/#object/sent_email__v/VBLZ025E82GN0NL", "SE-000271027")</f>
        <v>SE-000271027</v>
      </c>
      <c r="D3901" s="1">
        <v>45915.645740740743</v>
      </c>
      <c r="E3901" s="2">
        <v>1</v>
      </c>
      <c r="F3901" s="2">
        <v>1</v>
      </c>
      <c r="G3901" s="2">
        <v>0</v>
      </c>
      <c r="H3901" s="1" t="s">
        <v>0</v>
      </c>
      <c r="I3901" s="2">
        <v>0</v>
      </c>
      <c r="J3901" s="1">
        <v>45915.37871527778</v>
      </c>
    </row>
    <row r="3902" spans="1:10" x14ac:dyDescent="0.2">
      <c r="A3902" s="4" t="s">
        <v>1</v>
      </c>
      <c r="B3902" s="3" t="str">
        <f>HYPERLINK("https://otsuka-europe-crm.veevavault.com/ui/#object/approved_document__v/V5OZ025E82TFUPI", "Spain - HCP Survey Email - June 2025")</f>
        <v>Spain - HCP Survey Email - June 2025</v>
      </c>
      <c r="C3902" s="3" t="str">
        <f>HYPERLINK("https://otsuka-europe-crm.veevavault.com/ui/#object/sent_email__v/VBLZ025E82GN0NM", "SE-000271028")</f>
        <v>SE-000271028</v>
      </c>
      <c r="D3902" s="1">
        <v>45915.545127314814</v>
      </c>
      <c r="E3902" s="2">
        <v>1</v>
      </c>
      <c r="F3902" s="2">
        <v>1</v>
      </c>
      <c r="G3902" s="2">
        <v>0</v>
      </c>
      <c r="H3902" s="1" t="s">
        <v>0</v>
      </c>
      <c r="I3902" s="2">
        <v>0</v>
      </c>
      <c r="J3902" s="1">
        <v>45915.379062499997</v>
      </c>
    </row>
    <row r="3903" spans="1:10" x14ac:dyDescent="0.2">
      <c r="A3903" s="4" t="s">
        <v>1</v>
      </c>
      <c r="B3903" s="3" t="str">
        <f>HYPERLINK("https://otsuka-europe-crm.veevavault.com/ui/#object/approved_document__v/V5OZ025E82TFUPI", "Spain - HCP Survey Email - June 2025")</f>
        <v>Spain - HCP Survey Email - June 2025</v>
      </c>
      <c r="C3903" s="3" t="str">
        <f>HYPERLINK("https://otsuka-europe-crm.veevavault.com/ui/#object/sent_email__v/VBLZ025E82GN0NN", "SE-000271029")</f>
        <v>SE-000271029</v>
      </c>
      <c r="D3903" s="1" t="s">
        <v>0</v>
      </c>
      <c r="E3903" s="2">
        <v>0</v>
      </c>
      <c r="F3903" s="2">
        <v>0</v>
      </c>
      <c r="G3903" s="2">
        <v>0</v>
      </c>
      <c r="H3903" s="1" t="s">
        <v>0</v>
      </c>
      <c r="I3903" s="2">
        <v>0</v>
      </c>
      <c r="J3903" s="1">
        <v>45915.377800925926</v>
      </c>
    </row>
    <row r="3904" spans="1:10" x14ac:dyDescent="0.2">
      <c r="A3904" s="4" t="s">
        <v>1</v>
      </c>
      <c r="B3904" s="3" t="str">
        <f>HYPERLINK("https://otsuka-europe-crm.veevavault.com/ui/#object/approved_document__v/V5OZ025E82TFUPI", "Spain - HCP Survey Email - June 2025")</f>
        <v>Spain - HCP Survey Email - June 2025</v>
      </c>
      <c r="C3904" s="3" t="str">
        <f>HYPERLINK("https://otsuka-europe-crm.veevavault.com/ui/#object/sent_email__v/VBLZ025E82GN0NO", "SE-000271030")</f>
        <v>SE-000271030</v>
      </c>
      <c r="D3904" s="1" t="s">
        <v>0</v>
      </c>
      <c r="E3904" s="2">
        <v>0</v>
      </c>
      <c r="F3904" s="2">
        <v>0</v>
      </c>
      <c r="G3904" s="2">
        <v>0</v>
      </c>
      <c r="H3904" s="1" t="s">
        <v>0</v>
      </c>
      <c r="I3904" s="2">
        <v>0</v>
      </c>
      <c r="J3904" s="1">
        <v>45915.378310185188</v>
      </c>
    </row>
    <row r="3905" spans="1:10" x14ac:dyDescent="0.2">
      <c r="A3905" s="4" t="s">
        <v>1</v>
      </c>
      <c r="B3905" s="3" t="str">
        <f>HYPERLINK("https://otsuka-europe-crm.veevavault.com/ui/#object/approved_document__v/V5OZ025E82TFUPI", "Spain - HCP Survey Email - June 2025")</f>
        <v>Spain - HCP Survey Email - June 2025</v>
      </c>
      <c r="C3905" s="3" t="str">
        <f>HYPERLINK("https://otsuka-europe-crm.veevavault.com/ui/#object/sent_email__v/VBLZ025E82GN0NP", "SE-000271031")</f>
        <v>SE-000271031</v>
      </c>
      <c r="D3905" s="1" t="s">
        <v>0</v>
      </c>
      <c r="E3905" s="2">
        <v>0</v>
      </c>
      <c r="F3905" s="2">
        <v>0</v>
      </c>
      <c r="G3905" s="2">
        <v>0</v>
      </c>
      <c r="H3905" s="1" t="s">
        <v>0</v>
      </c>
      <c r="I3905" s="2">
        <v>0</v>
      </c>
      <c r="J3905" s="1">
        <v>45915.378194444442</v>
      </c>
    </row>
    <row r="3906" spans="1:10" x14ac:dyDescent="0.2">
      <c r="A3906" s="4" t="s">
        <v>1</v>
      </c>
      <c r="B3906" s="3" t="str">
        <f>HYPERLINK("https://otsuka-europe-crm.veevavault.com/ui/#object/approved_document__v/V5OZ025E82TFUPI", "Spain - HCP Survey Email - June 2025")</f>
        <v>Spain - HCP Survey Email - June 2025</v>
      </c>
      <c r="C3906" s="3" t="str">
        <f>HYPERLINK("https://otsuka-europe-crm.veevavault.com/ui/#object/sent_email__v/VBLZ025E82GN0NQ", "SE-000271032")</f>
        <v>SE-000271032</v>
      </c>
      <c r="D3906" s="1" t="s">
        <v>0</v>
      </c>
      <c r="E3906" s="2">
        <v>0</v>
      </c>
      <c r="F3906" s="2">
        <v>0</v>
      </c>
      <c r="G3906" s="2">
        <v>0</v>
      </c>
      <c r="H3906" s="1" t="s">
        <v>0</v>
      </c>
      <c r="I3906" s="2">
        <v>0</v>
      </c>
      <c r="J3906" s="1">
        <v>45915.378553240742</v>
      </c>
    </row>
    <row r="3907" spans="1:10" x14ac:dyDescent="0.2">
      <c r="A3907" s="4" t="s">
        <v>1</v>
      </c>
      <c r="B3907" s="3" t="str">
        <f>HYPERLINK("https://otsuka-europe-crm.veevavault.com/ui/#object/approved_document__v/V5OZ025E82TFUPI", "Spain - HCP Survey Email - June 2025")</f>
        <v>Spain - HCP Survey Email - June 2025</v>
      </c>
      <c r="C3907" s="3" t="str">
        <f>HYPERLINK("https://otsuka-europe-crm.veevavault.com/ui/#object/sent_email__v/VBLZ025E82GN0NR", "SE-000271033")</f>
        <v>SE-000271033</v>
      </c>
      <c r="D3907" s="1">
        <v>45951.988819444443</v>
      </c>
      <c r="E3907" s="2">
        <v>1</v>
      </c>
      <c r="F3907" s="2">
        <v>2</v>
      </c>
      <c r="G3907" s="2">
        <v>0</v>
      </c>
      <c r="H3907" s="1" t="s">
        <v>0</v>
      </c>
      <c r="I3907" s="2">
        <v>0</v>
      </c>
      <c r="J3907" s="1">
        <v>45915.379907407405</v>
      </c>
    </row>
    <row r="3908" spans="1:10" x14ac:dyDescent="0.2">
      <c r="A3908" s="4" t="s">
        <v>1</v>
      </c>
      <c r="B3908" s="3" t="str">
        <f>HYPERLINK("https://otsuka-europe-crm.veevavault.com/ui/#object/approved_document__v/V5OZ025E82TFUPI", "Spain - HCP Survey Email - June 2025")</f>
        <v>Spain - HCP Survey Email - June 2025</v>
      </c>
      <c r="C3908" s="3" t="str">
        <f>HYPERLINK("https://otsuka-europe-crm.veevavault.com/ui/#object/sent_email__v/VBLZ025E82GN0NS", "SE-000271034")</f>
        <v>SE-000271034</v>
      </c>
      <c r="D3908" s="1">
        <v>45915.381990740738</v>
      </c>
      <c r="E3908" s="2">
        <v>1</v>
      </c>
      <c r="F3908" s="2">
        <v>1</v>
      </c>
      <c r="G3908" s="2">
        <v>0</v>
      </c>
      <c r="H3908" s="1" t="s">
        <v>0</v>
      </c>
      <c r="I3908" s="2">
        <v>0</v>
      </c>
      <c r="J3908" s="1">
        <v>45915.377962962964</v>
      </c>
    </row>
    <row r="3909" spans="1:10" x14ac:dyDescent="0.2">
      <c r="A3909" s="4" t="s">
        <v>1</v>
      </c>
      <c r="B3909" s="3" t="str">
        <f>HYPERLINK("https://otsuka-europe-crm.veevavault.com/ui/#object/approved_document__v/V5OZ025E82TFUPI", "Spain - HCP Survey Email - June 2025")</f>
        <v>Spain - HCP Survey Email - June 2025</v>
      </c>
      <c r="C3909" s="3" t="str">
        <f>HYPERLINK("https://otsuka-europe-crm.veevavault.com/ui/#object/sent_email__v/VBLZ025E82GN0NT", "SE-000271035")</f>
        <v>SE-000271035</v>
      </c>
      <c r="D3909" s="1" t="s">
        <v>0</v>
      </c>
      <c r="E3909" s="2">
        <v>0</v>
      </c>
      <c r="F3909" s="2">
        <v>0</v>
      </c>
      <c r="G3909" s="2">
        <v>0</v>
      </c>
      <c r="H3909" s="1" t="s">
        <v>0</v>
      </c>
      <c r="I3909" s="2">
        <v>0</v>
      </c>
      <c r="J3909" s="1">
        <v>45915.37841435185</v>
      </c>
    </row>
    <row r="3910" spans="1:10" x14ac:dyDescent="0.2">
      <c r="A3910" s="4" t="s">
        <v>1</v>
      </c>
      <c r="B3910" s="3" t="str">
        <f>HYPERLINK("https://otsuka-europe-crm.veevavault.com/ui/#object/approved_document__v/V5OZ025E82TFUPI", "Spain - HCP Survey Email - June 2025")</f>
        <v>Spain - HCP Survey Email - June 2025</v>
      </c>
      <c r="C3910" s="3" t="str">
        <f>HYPERLINK("https://otsuka-europe-crm.veevavault.com/ui/#object/sent_email__v/VBLZ025E82GN0NU", "SE-000271036")</f>
        <v>SE-000271036</v>
      </c>
      <c r="D3910" s="1">
        <v>45915.482314814813</v>
      </c>
      <c r="E3910" s="2">
        <v>1</v>
      </c>
      <c r="F3910" s="2">
        <v>1</v>
      </c>
      <c r="G3910" s="2">
        <v>0</v>
      </c>
      <c r="H3910" s="1" t="s">
        <v>0</v>
      </c>
      <c r="I3910" s="2">
        <v>0</v>
      </c>
      <c r="J3910" s="1">
        <v>45915.378194444442</v>
      </c>
    </row>
    <row r="3911" spans="1:10" x14ac:dyDescent="0.2">
      <c r="A3911" s="4" t="s">
        <v>1</v>
      </c>
      <c r="B3911" s="3" t="str">
        <f>HYPERLINK("https://otsuka-europe-crm.veevavault.com/ui/#object/approved_document__v/V5OZ025E82TFUPI", "Spain - HCP Survey Email - June 2025")</f>
        <v>Spain - HCP Survey Email - June 2025</v>
      </c>
      <c r="C3911" s="3" t="str">
        <f>HYPERLINK("https://otsuka-europe-crm.veevavault.com/ui/#object/sent_email__v/VBLZ025E82GN0NV", "SE-000271037")</f>
        <v>SE-000271037</v>
      </c>
      <c r="D3911" s="1" t="s">
        <v>0</v>
      </c>
      <c r="E3911" s="2">
        <v>0</v>
      </c>
      <c r="F3911" s="2">
        <v>0</v>
      </c>
      <c r="G3911" s="2">
        <v>0</v>
      </c>
      <c r="H3911" s="1" t="s">
        <v>0</v>
      </c>
      <c r="I3911" s="2">
        <v>0</v>
      </c>
      <c r="J3911" s="1">
        <v>45915.378541666665</v>
      </c>
    </row>
    <row r="3912" spans="1:10" x14ac:dyDescent="0.2">
      <c r="A3912" s="4" t="s">
        <v>1</v>
      </c>
      <c r="B3912" s="3" t="str">
        <f>HYPERLINK("https://otsuka-europe-crm.veevavault.com/ui/#object/approved_document__v/V5OZ025E82TFUPI", "Spain - HCP Survey Email - June 2025")</f>
        <v>Spain - HCP Survey Email - June 2025</v>
      </c>
      <c r="C3912" s="3" t="str">
        <f>HYPERLINK("https://otsuka-europe-crm.veevavault.com/ui/#object/sent_email__v/VBLZ025E82GN0NW", "SE-000271038")</f>
        <v>SE-000271038</v>
      </c>
      <c r="D3912" s="1" t="s">
        <v>0</v>
      </c>
      <c r="E3912" s="2">
        <v>0</v>
      </c>
      <c r="F3912" s="2">
        <v>0</v>
      </c>
      <c r="G3912" s="2">
        <v>0</v>
      </c>
      <c r="H3912" s="1" t="s">
        <v>0</v>
      </c>
      <c r="I3912" s="2">
        <v>0</v>
      </c>
      <c r="J3912" s="1">
        <v>45915.379976851851</v>
      </c>
    </row>
    <row r="3913" spans="1:10" x14ac:dyDescent="0.2">
      <c r="A3913" s="4" t="s">
        <v>1</v>
      </c>
      <c r="B3913" s="3" t="str">
        <f>HYPERLINK("https://otsuka-europe-crm.veevavault.com/ui/#object/approved_document__v/V5OZ025E82TFUPI", "Spain - HCP Survey Email - June 2025")</f>
        <v>Spain - HCP Survey Email - June 2025</v>
      </c>
      <c r="C3913" s="3" t="str">
        <f>HYPERLINK("https://otsuka-europe-crm.veevavault.com/ui/#object/sent_email__v/VBLZ025E82GN0NX", "SE-000271039")</f>
        <v>SE-000271039</v>
      </c>
      <c r="D3913" s="1" t="s">
        <v>0</v>
      </c>
      <c r="E3913" s="2">
        <v>0</v>
      </c>
      <c r="F3913" s="2">
        <v>0</v>
      </c>
      <c r="G3913" s="2">
        <v>0</v>
      </c>
      <c r="H3913" s="1" t="s">
        <v>0</v>
      </c>
      <c r="I3913" s="2">
        <v>0</v>
      </c>
      <c r="J3913" s="1">
        <v>45915.37773148148</v>
      </c>
    </row>
    <row r="3914" spans="1:10" x14ac:dyDescent="0.2">
      <c r="A3914" s="4" t="s">
        <v>1</v>
      </c>
      <c r="B3914" s="3" t="str">
        <f>HYPERLINK("https://otsuka-europe-crm.veevavault.com/ui/#object/approved_document__v/V5OZ025E82TFUPI", "Spain - HCP Survey Email - June 2025")</f>
        <v>Spain - HCP Survey Email - June 2025</v>
      </c>
      <c r="C3914" s="3" t="str">
        <f>HYPERLINK("https://otsuka-europe-crm.veevavault.com/ui/#object/sent_email__v/VBLZ025E82GN0NY", "SE-000271040")</f>
        <v>SE-000271040</v>
      </c>
      <c r="D3914" s="1">
        <v>45915.384444444448</v>
      </c>
      <c r="E3914" s="2">
        <v>1</v>
      </c>
      <c r="F3914" s="2">
        <v>1</v>
      </c>
      <c r="G3914" s="2">
        <v>1</v>
      </c>
      <c r="H3914" s="1">
        <v>45915.384953703702</v>
      </c>
      <c r="I3914" s="2">
        <v>1</v>
      </c>
      <c r="J3914" s="1">
        <v>45915.377453703702</v>
      </c>
    </row>
    <row r="3915" spans="1:10" x14ac:dyDescent="0.2">
      <c r="A3915" s="4" t="s">
        <v>1</v>
      </c>
      <c r="B3915" s="3" t="str">
        <f>HYPERLINK("https://otsuka-europe-crm.veevavault.com/ui/#object/approved_document__v/V5OZ025E82TFUPI", "Spain - HCP Survey Email - June 2025")</f>
        <v>Spain - HCP Survey Email - June 2025</v>
      </c>
      <c r="C3915" s="3" t="str">
        <f>HYPERLINK("https://otsuka-europe-crm.veevavault.com/ui/#object/sent_email__v/VBLZ025E82GN0NZ", "SE-000271041")</f>
        <v>SE-000271041</v>
      </c>
      <c r="D3915" s="1">
        <v>45915.65216435185</v>
      </c>
      <c r="E3915" s="2">
        <v>1</v>
      </c>
      <c r="F3915" s="2">
        <v>2</v>
      </c>
      <c r="G3915" s="2">
        <v>0</v>
      </c>
      <c r="H3915" s="1" t="s">
        <v>0</v>
      </c>
      <c r="I3915" s="2">
        <v>0</v>
      </c>
      <c r="J3915" s="1">
        <v>45915.378495370373</v>
      </c>
    </row>
    <row r="3916" spans="1:10" x14ac:dyDescent="0.2">
      <c r="A3916" s="4" t="s">
        <v>1</v>
      </c>
      <c r="B3916" s="3" t="str">
        <f>HYPERLINK("https://otsuka-europe-crm.veevavault.com/ui/#object/approved_document__v/V5OZ025E82TFUPI", "Spain - HCP Survey Email - June 2025")</f>
        <v>Spain - HCP Survey Email - June 2025</v>
      </c>
      <c r="C3916" s="3" t="str">
        <f>HYPERLINK("https://otsuka-europe-crm.veevavault.com/ui/#object/sent_email__v/VBLZ025E82GN0O0", "SE-000271042")</f>
        <v>SE-000271042</v>
      </c>
      <c r="D3916" s="1">
        <v>45915.693310185183</v>
      </c>
      <c r="E3916" s="2">
        <v>1</v>
      </c>
      <c r="F3916" s="2">
        <v>1</v>
      </c>
      <c r="G3916" s="2">
        <v>0</v>
      </c>
      <c r="H3916" s="1" t="s">
        <v>0</v>
      </c>
      <c r="I3916" s="2">
        <v>0</v>
      </c>
      <c r="J3916" s="1">
        <v>45915.378888888888</v>
      </c>
    </row>
    <row r="3917" spans="1:10" x14ac:dyDescent="0.2">
      <c r="A3917" s="4" t="s">
        <v>1</v>
      </c>
      <c r="B3917" s="3" t="str">
        <f>HYPERLINK("https://otsuka-europe-crm.veevavault.com/ui/#object/approved_document__v/V5OZ025E82TFUPI", "Spain - HCP Survey Email - June 2025")</f>
        <v>Spain - HCP Survey Email - June 2025</v>
      </c>
      <c r="C3917" s="3" t="str">
        <f>HYPERLINK("https://otsuka-europe-crm.veevavault.com/ui/#object/sent_email__v/VBLZ025E82GN0O1", "SE-000271043")</f>
        <v>SE-000271043</v>
      </c>
      <c r="D3917" s="1" t="s">
        <v>0</v>
      </c>
      <c r="E3917" s="2">
        <v>0</v>
      </c>
      <c r="F3917" s="2">
        <v>0</v>
      </c>
      <c r="G3917" s="2">
        <v>0</v>
      </c>
      <c r="H3917" s="1" t="s">
        <v>0</v>
      </c>
      <c r="I3917" s="2">
        <v>0</v>
      </c>
      <c r="J3917" s="1">
        <v>45915.378761574073</v>
      </c>
    </row>
    <row r="3918" spans="1:10" x14ac:dyDescent="0.2">
      <c r="A3918" s="4" t="s">
        <v>1</v>
      </c>
      <c r="B3918" s="3" t="str">
        <f>HYPERLINK("https://otsuka-europe-crm.veevavault.com/ui/#object/approved_document__v/V5OZ025E82TFUPI", "Spain - HCP Survey Email - June 2025")</f>
        <v>Spain - HCP Survey Email - June 2025</v>
      </c>
      <c r="C3918" s="3" t="str">
        <f>HYPERLINK("https://otsuka-europe-crm.veevavault.com/ui/#object/sent_email__v/VBLZ025E82GN0O2", "SE-000271044")</f>
        <v>SE-000271044</v>
      </c>
      <c r="D3918" s="1">
        <v>45915.588773148149</v>
      </c>
      <c r="E3918" s="2">
        <v>1</v>
      </c>
      <c r="F3918" s="2">
        <v>1</v>
      </c>
      <c r="G3918" s="2">
        <v>1</v>
      </c>
      <c r="H3918" s="1">
        <v>45915.588773148149</v>
      </c>
      <c r="I3918" s="2">
        <v>1</v>
      </c>
      <c r="J3918" s="1">
        <v>45915.379155092596</v>
      </c>
    </row>
    <row r="3919" spans="1:10" x14ac:dyDescent="0.2">
      <c r="A3919" s="4" t="s">
        <v>1</v>
      </c>
      <c r="B3919" s="3" t="str">
        <f>HYPERLINK("https://otsuka-europe-crm.veevavault.com/ui/#object/approved_document__v/V5OZ025E82TFUPI", "Spain - HCP Survey Email - June 2025")</f>
        <v>Spain - HCP Survey Email - June 2025</v>
      </c>
      <c r="C3919" s="3" t="str">
        <f>HYPERLINK("https://otsuka-europe-crm.veevavault.com/ui/#object/sent_email__v/VBLZ025E82GN0O3", "SE-000271045")</f>
        <v>SE-000271045</v>
      </c>
      <c r="D3919" s="1">
        <v>45925.613599537035</v>
      </c>
      <c r="E3919" s="2">
        <v>1</v>
      </c>
      <c r="F3919" s="2">
        <v>6</v>
      </c>
      <c r="G3919" s="2">
        <v>0</v>
      </c>
      <c r="H3919" s="1" t="s">
        <v>0</v>
      </c>
      <c r="I3919" s="2">
        <v>0</v>
      </c>
      <c r="J3919" s="1">
        <v>45915.377858796295</v>
      </c>
    </row>
    <row r="3920" spans="1:10" x14ac:dyDescent="0.2">
      <c r="A3920" s="4" t="s">
        <v>1</v>
      </c>
      <c r="B3920" s="3" t="str">
        <f>HYPERLINK("https://otsuka-europe-crm.veevavault.com/ui/#object/approved_document__v/V5OZ025E82TFUPI", "Spain - HCP Survey Email - June 2025")</f>
        <v>Spain - HCP Survey Email - June 2025</v>
      </c>
      <c r="C3920" s="3" t="str">
        <f>HYPERLINK("https://otsuka-europe-crm.veevavault.com/ui/#object/sent_email__v/VBLZ025E82GN0O4", "SE-000271046")</f>
        <v>SE-000271046</v>
      </c>
      <c r="D3920" s="1" t="s">
        <v>0</v>
      </c>
      <c r="E3920" s="2">
        <v>0</v>
      </c>
      <c r="F3920" s="2">
        <v>0</v>
      </c>
      <c r="G3920" s="2">
        <v>0</v>
      </c>
      <c r="H3920" s="1" t="s">
        <v>0</v>
      </c>
      <c r="I3920" s="2">
        <v>0</v>
      </c>
      <c r="J3920" s="1">
        <v>45915.378252314818</v>
      </c>
    </row>
    <row r="3921" spans="1:10" x14ac:dyDescent="0.2">
      <c r="A3921" s="4" t="s">
        <v>1</v>
      </c>
      <c r="B3921" s="3" t="str">
        <f>HYPERLINK("https://otsuka-europe-crm.veevavault.com/ui/#object/approved_document__v/V5OZ025E82TFUPI", "Spain - HCP Survey Email - June 2025")</f>
        <v>Spain - HCP Survey Email - June 2025</v>
      </c>
      <c r="C3921" s="3" t="str">
        <f>HYPERLINK("https://otsuka-europe-crm.veevavault.com/ui/#object/sent_email__v/VBLZ025E82GN0O5", "SE-000271047")</f>
        <v>SE-000271047</v>
      </c>
      <c r="D3921" s="1">
        <v>45919.965173611112</v>
      </c>
      <c r="E3921" s="2">
        <v>1</v>
      </c>
      <c r="F3921" s="2">
        <v>2</v>
      </c>
      <c r="G3921" s="2">
        <v>0</v>
      </c>
      <c r="H3921" s="1" t="s">
        <v>0</v>
      </c>
      <c r="I3921" s="2">
        <v>0</v>
      </c>
      <c r="J3921" s="1">
        <v>45915.37809027778</v>
      </c>
    </row>
    <row r="3922" spans="1:10" x14ac:dyDescent="0.2">
      <c r="A3922" s="4" t="s">
        <v>1</v>
      </c>
      <c r="B3922" s="3" t="str">
        <f>HYPERLINK("https://otsuka-europe-crm.veevavault.com/ui/#object/approved_document__v/V5OZ025E82TFUPI", "Spain - HCP Survey Email - June 2025")</f>
        <v>Spain - HCP Survey Email - June 2025</v>
      </c>
      <c r="C3922" s="3" t="str">
        <f>HYPERLINK("https://otsuka-europe-crm.veevavault.com/ui/#object/sent_email__v/VBLZ025E82GN0O7", "SE-000271049")</f>
        <v>SE-000271049</v>
      </c>
      <c r="D3922" s="1" t="s">
        <v>0</v>
      </c>
      <c r="E3922" s="2">
        <v>0</v>
      </c>
      <c r="F3922" s="2">
        <v>0</v>
      </c>
      <c r="G3922" s="2">
        <v>0</v>
      </c>
      <c r="H3922" s="1" t="s">
        <v>0</v>
      </c>
      <c r="I3922" s="2">
        <v>0</v>
      </c>
      <c r="J3922" s="1">
        <v>45915.379930555559</v>
      </c>
    </row>
    <row r="3923" spans="1:10" x14ac:dyDescent="0.2">
      <c r="A3923" s="4" t="s">
        <v>1</v>
      </c>
      <c r="B3923" s="3" t="str">
        <f>HYPERLINK("https://otsuka-europe-crm.veevavault.com/ui/#object/approved_document__v/V5OZ025E82TFUPI", "Spain - HCP Survey Email - June 2025")</f>
        <v>Spain - HCP Survey Email - June 2025</v>
      </c>
      <c r="C3923" s="3" t="str">
        <f>HYPERLINK("https://otsuka-europe-crm.veevavault.com/ui/#object/sent_email__v/VBLZ025E82GN0O8", "SE-000271050")</f>
        <v>SE-000271050</v>
      </c>
      <c r="D3923" s="1">
        <v>45915.479189814818</v>
      </c>
      <c r="E3923" s="2">
        <v>1</v>
      </c>
      <c r="F3923" s="2">
        <v>1</v>
      </c>
      <c r="G3923" s="2">
        <v>1</v>
      </c>
      <c r="H3923" s="1">
        <v>45915.479189814818</v>
      </c>
      <c r="I3923" s="2">
        <v>1</v>
      </c>
      <c r="J3923" s="1">
        <v>45915.379317129627</v>
      </c>
    </row>
    <row r="3924" spans="1:10" x14ac:dyDescent="0.2">
      <c r="A3924" s="4" t="s">
        <v>1</v>
      </c>
      <c r="B3924" s="3" t="str">
        <f>HYPERLINK("https://otsuka-europe-crm.veevavault.com/ui/#object/approved_document__v/V5OZ025E82TFUPI", "Spain - HCP Survey Email - June 2025")</f>
        <v>Spain - HCP Survey Email - June 2025</v>
      </c>
      <c r="C3924" s="3" t="str">
        <f>HYPERLINK("https://otsuka-europe-crm.veevavault.com/ui/#object/sent_email__v/VBLZ025E82GN0O9", "SE-000271051")</f>
        <v>SE-000271051</v>
      </c>
      <c r="D3924" s="1" t="s">
        <v>0</v>
      </c>
      <c r="E3924" s="2">
        <v>0</v>
      </c>
      <c r="F3924" s="2">
        <v>0</v>
      </c>
      <c r="G3924" s="2">
        <v>0</v>
      </c>
      <c r="H3924" s="1" t="s">
        <v>0</v>
      </c>
      <c r="I3924" s="2">
        <v>0</v>
      </c>
      <c r="J3924" s="1">
        <v>45915.377442129633</v>
      </c>
    </row>
    <row r="3925" spans="1:10" x14ac:dyDescent="0.2">
      <c r="A3925" s="4" t="s">
        <v>1</v>
      </c>
      <c r="B3925" s="3" t="str">
        <f>HYPERLINK("https://otsuka-europe-crm.veevavault.com/ui/#object/approved_document__v/V5OZ025E82TFUPI", "Spain - HCP Survey Email - June 2025")</f>
        <v>Spain - HCP Survey Email - June 2025</v>
      </c>
      <c r="C3925" s="3" t="str">
        <f>HYPERLINK("https://otsuka-europe-crm.veevavault.com/ui/#object/sent_email__v/VBLZ025E82GN0OA", "SE-000271052")</f>
        <v>SE-000271052</v>
      </c>
      <c r="D3925" s="1">
        <v>45928.860115740739</v>
      </c>
      <c r="E3925" s="2">
        <v>1</v>
      </c>
      <c r="F3925" s="2">
        <v>2</v>
      </c>
      <c r="G3925" s="2">
        <v>1</v>
      </c>
      <c r="H3925" s="1">
        <v>45928.860173611109</v>
      </c>
      <c r="I3925" s="2">
        <v>1</v>
      </c>
      <c r="J3925" s="1">
        <v>45915.378449074073</v>
      </c>
    </row>
    <row r="3926" spans="1:10" x14ac:dyDescent="0.2">
      <c r="A3926" s="4" t="s">
        <v>1</v>
      </c>
      <c r="B3926" s="3" t="str">
        <f>HYPERLINK("https://otsuka-europe-crm.veevavault.com/ui/#object/approved_document__v/V5OZ025E82TFUPI", "Spain - HCP Survey Email - June 2025")</f>
        <v>Spain - HCP Survey Email - June 2025</v>
      </c>
      <c r="C3926" s="3" t="str">
        <f>HYPERLINK("https://otsuka-europe-crm.veevavault.com/ui/#object/sent_email__v/VBLZ025E82GN0OB", "SE-000271053")</f>
        <v>SE-000271053</v>
      </c>
      <c r="D3926" s="1" t="s">
        <v>0</v>
      </c>
      <c r="E3926" s="2">
        <v>0</v>
      </c>
      <c r="F3926" s="2">
        <v>0</v>
      </c>
      <c r="G3926" s="2">
        <v>0</v>
      </c>
      <c r="H3926" s="1" t="s">
        <v>0</v>
      </c>
      <c r="I3926" s="2">
        <v>0</v>
      </c>
      <c r="J3926" s="1">
        <v>45915.378877314812</v>
      </c>
    </row>
    <row r="3927" spans="1:10" x14ac:dyDescent="0.2">
      <c r="A3927" s="4" t="s">
        <v>1</v>
      </c>
      <c r="B3927" s="3" t="str">
        <f>HYPERLINK("https://otsuka-europe-crm.veevavault.com/ui/#object/approved_document__v/V5OZ025E82TFUPI", "Spain - HCP Survey Email - June 2025")</f>
        <v>Spain - HCP Survey Email - June 2025</v>
      </c>
      <c r="C3927" s="3" t="str">
        <f>HYPERLINK("https://otsuka-europe-crm.veevavault.com/ui/#object/sent_email__v/VBLZ025E82GN0OC", "SE-000271054")</f>
        <v>SE-000271054</v>
      </c>
      <c r="D3927" s="1" t="s">
        <v>0</v>
      </c>
      <c r="E3927" s="2">
        <v>0</v>
      </c>
      <c r="F3927" s="2">
        <v>0</v>
      </c>
      <c r="G3927" s="2">
        <v>0</v>
      </c>
      <c r="H3927" s="1" t="s">
        <v>0</v>
      </c>
      <c r="I3927" s="2">
        <v>0</v>
      </c>
      <c r="J3927" s="1">
        <v>45915.378657407404</v>
      </c>
    </row>
    <row r="3928" spans="1:10" x14ac:dyDescent="0.2">
      <c r="A3928" s="4" t="s">
        <v>1</v>
      </c>
      <c r="B3928" s="3" t="str">
        <f>HYPERLINK("https://otsuka-europe-crm.veevavault.com/ui/#object/approved_document__v/V5OZ025E82TFUPI", "Spain - HCP Survey Email - June 2025")</f>
        <v>Spain - HCP Survey Email - June 2025</v>
      </c>
      <c r="C3928" s="3" t="str">
        <f>HYPERLINK("https://otsuka-europe-crm.veevavault.com/ui/#object/sent_email__v/VBLZ025E82GN0OD", "SE-000271055")</f>
        <v>SE-000271055</v>
      </c>
      <c r="D3928" s="1" t="s">
        <v>0</v>
      </c>
      <c r="E3928" s="2">
        <v>0</v>
      </c>
      <c r="F3928" s="2">
        <v>0</v>
      </c>
      <c r="G3928" s="2">
        <v>0</v>
      </c>
      <c r="H3928" s="1" t="s">
        <v>0</v>
      </c>
      <c r="I3928" s="2">
        <v>0</v>
      </c>
      <c r="J3928" s="1">
        <v>45915.379120370373</v>
      </c>
    </row>
    <row r="3929" spans="1:10" x14ac:dyDescent="0.2">
      <c r="A3929" s="4" t="s">
        <v>1</v>
      </c>
      <c r="B3929" s="3" t="str">
        <f>HYPERLINK("https://otsuka-europe-crm.veevavault.com/ui/#object/approved_document__v/V5OZ025E82TFUPI", "Spain - HCP Survey Email - June 2025")</f>
        <v>Spain - HCP Survey Email - June 2025</v>
      </c>
      <c r="C3929" s="3" t="str">
        <f>HYPERLINK("https://otsuka-europe-crm.veevavault.com/ui/#object/sent_email__v/VBLZ025E82GN0OE", "SE-000271056")</f>
        <v>SE-000271056</v>
      </c>
      <c r="D3929" s="1" t="s">
        <v>0</v>
      </c>
      <c r="E3929" s="2">
        <v>0</v>
      </c>
      <c r="F3929" s="2">
        <v>0</v>
      </c>
      <c r="G3929" s="2">
        <v>0</v>
      </c>
      <c r="H3929" s="1" t="s">
        <v>0</v>
      </c>
      <c r="I3929" s="2">
        <v>0</v>
      </c>
      <c r="J3929" s="1">
        <v>45915.377881944441</v>
      </c>
    </row>
    <row r="3930" spans="1:10" x14ac:dyDescent="0.2">
      <c r="A3930" s="4" t="s">
        <v>1</v>
      </c>
      <c r="B3930" s="3" t="str">
        <f>HYPERLINK("https://otsuka-europe-crm.veevavault.com/ui/#object/approved_document__v/V5OZ025E82TFUPI", "Spain - HCP Survey Email - June 2025")</f>
        <v>Spain - HCP Survey Email - June 2025</v>
      </c>
      <c r="C3930" s="3" t="str">
        <f>HYPERLINK("https://otsuka-europe-crm.veevavault.com/ui/#object/sent_email__v/VBLZ025E82GN0OF", "SE-000271057")</f>
        <v>SE-000271057</v>
      </c>
      <c r="D3930" s="1" t="s">
        <v>0</v>
      </c>
      <c r="E3930" s="2">
        <v>0</v>
      </c>
      <c r="F3930" s="2">
        <v>0</v>
      </c>
      <c r="G3930" s="2">
        <v>0</v>
      </c>
      <c r="H3930" s="1" t="s">
        <v>0</v>
      </c>
      <c r="I3930" s="2">
        <v>0</v>
      </c>
      <c r="J3930" s="1">
        <v>45915.378287037034</v>
      </c>
    </row>
    <row r="3931" spans="1:10" x14ac:dyDescent="0.2">
      <c r="A3931" s="4" t="s">
        <v>1</v>
      </c>
      <c r="B3931" s="3" t="str">
        <f>HYPERLINK("https://otsuka-europe-crm.veevavault.com/ui/#object/approved_document__v/V5OZ025E82TFUPI", "Spain - HCP Survey Email - June 2025")</f>
        <v>Spain - HCP Survey Email - June 2025</v>
      </c>
      <c r="C3931" s="3" t="str">
        <f>HYPERLINK("https://otsuka-europe-crm.veevavault.com/ui/#object/sent_email__v/VBLZ025E82GN0OG", "SE-000271058")</f>
        <v>SE-000271058</v>
      </c>
      <c r="D3931" s="1">
        <v>45915.380300925928</v>
      </c>
      <c r="E3931" s="2">
        <v>1</v>
      </c>
      <c r="F3931" s="2">
        <v>1</v>
      </c>
      <c r="G3931" s="2">
        <v>0</v>
      </c>
      <c r="H3931" s="1" t="s">
        <v>0</v>
      </c>
      <c r="I3931" s="2">
        <v>0</v>
      </c>
      <c r="J3931" s="1">
        <v>45915.378136574072</v>
      </c>
    </row>
    <row r="3932" spans="1:10" x14ac:dyDescent="0.2">
      <c r="A3932" s="4" t="s">
        <v>1</v>
      </c>
      <c r="B3932" s="3" t="str">
        <f>HYPERLINK("https://otsuka-europe-crm.veevavault.com/ui/#object/approved_document__v/V5OZ025E82TFUPI", "Spain - HCP Survey Email - June 2025")</f>
        <v>Spain - HCP Survey Email - June 2025</v>
      </c>
      <c r="C3932" s="3" t="str">
        <f>HYPERLINK("https://otsuka-europe-crm.veevavault.com/ui/#object/sent_email__v/VBLZ025E82GN0OH", "SE-000271059")</f>
        <v>SE-000271059</v>
      </c>
      <c r="D3932" s="1">
        <v>45915.964502314811</v>
      </c>
      <c r="E3932" s="2">
        <v>1</v>
      </c>
      <c r="F3932" s="2">
        <v>1</v>
      </c>
      <c r="G3932" s="2">
        <v>0</v>
      </c>
      <c r="H3932" s="1" t="s">
        <v>0</v>
      </c>
      <c r="I3932" s="2">
        <v>0</v>
      </c>
      <c r="J3932" s="1">
        <v>45915.378530092596</v>
      </c>
    </row>
    <row r="3933" spans="1:10" x14ac:dyDescent="0.2">
      <c r="A3933" s="4" t="s">
        <v>1</v>
      </c>
      <c r="B3933" s="3" t="str">
        <f>HYPERLINK("https://otsuka-europe-crm.veevavault.com/ui/#object/approved_document__v/V5OZ025E82TFUPI", "Spain - HCP Survey Email - June 2025")</f>
        <v>Spain - HCP Survey Email - June 2025</v>
      </c>
      <c r="C3933" s="3" t="str">
        <f>HYPERLINK("https://otsuka-europe-crm.veevavault.com/ui/#object/sent_email__v/VBLZ025E82GN0OI", "SE-000271060")</f>
        <v>SE-000271060</v>
      </c>
      <c r="D3933" s="1" t="s">
        <v>0</v>
      </c>
      <c r="E3933" s="2">
        <v>0</v>
      </c>
      <c r="F3933" s="2">
        <v>0</v>
      </c>
      <c r="G3933" s="2">
        <v>0</v>
      </c>
      <c r="H3933" s="1" t="s">
        <v>0</v>
      </c>
      <c r="I3933" s="2">
        <v>0</v>
      </c>
      <c r="J3933" s="1">
        <v>45915.379942129628</v>
      </c>
    </row>
    <row r="3934" spans="1:10" x14ac:dyDescent="0.2">
      <c r="A3934" s="4" t="s">
        <v>1</v>
      </c>
      <c r="B3934" s="3" t="str">
        <f>HYPERLINK("https://otsuka-europe-crm.veevavault.com/ui/#object/approved_document__v/V5OZ025E82TFUPI", "Spain - HCP Survey Email - June 2025")</f>
        <v>Spain - HCP Survey Email - June 2025</v>
      </c>
      <c r="C3934" s="3" t="str">
        <f>HYPERLINK("https://otsuka-europe-crm.veevavault.com/ui/#object/sent_email__v/VBLZ025E82GN0OJ", "SE-000271061")</f>
        <v>SE-000271061</v>
      </c>
      <c r="D3934" s="1" t="s">
        <v>0</v>
      </c>
      <c r="E3934" s="2">
        <v>0</v>
      </c>
      <c r="F3934" s="2">
        <v>0</v>
      </c>
      <c r="G3934" s="2">
        <v>0</v>
      </c>
      <c r="H3934" s="1" t="s">
        <v>0</v>
      </c>
      <c r="I3934" s="2">
        <v>0</v>
      </c>
      <c r="J3934" s="1">
        <v>45915.377685185187</v>
      </c>
    </row>
    <row r="3935" spans="1:10" x14ac:dyDescent="0.2">
      <c r="A3935" s="4" t="s">
        <v>1</v>
      </c>
      <c r="B3935" s="3" t="str">
        <f>HYPERLINK("https://otsuka-europe-crm.veevavault.com/ui/#object/approved_document__v/V5OZ025E82TFUPI", "Spain - HCP Survey Email - June 2025")</f>
        <v>Spain - HCP Survey Email - June 2025</v>
      </c>
      <c r="C3935" s="3" t="str">
        <f>HYPERLINK("https://otsuka-europe-crm.veevavault.com/ui/#object/sent_email__v/VBLZ025E82GN0OK", "SE-000271062")</f>
        <v>SE-000271062</v>
      </c>
      <c r="D3935" s="1" t="s">
        <v>0</v>
      </c>
      <c r="E3935" s="2">
        <v>0</v>
      </c>
      <c r="F3935" s="2">
        <v>0</v>
      </c>
      <c r="G3935" s="2">
        <v>0</v>
      </c>
      <c r="H3935" s="1" t="s">
        <v>0</v>
      </c>
      <c r="I3935" s="2">
        <v>0</v>
      </c>
      <c r="J3935" s="1">
        <v>45915.377511574072</v>
      </c>
    </row>
    <row r="3936" spans="1:10" x14ac:dyDescent="0.2">
      <c r="A3936" s="4" t="s">
        <v>1</v>
      </c>
      <c r="B3936" s="3" t="str">
        <f>HYPERLINK("https://otsuka-europe-crm.veevavault.com/ui/#object/approved_document__v/V5OZ025E82TFUPI", "Spain - HCP Survey Email - June 2025")</f>
        <v>Spain - HCP Survey Email - June 2025</v>
      </c>
      <c r="C3936" s="3" t="str">
        <f>HYPERLINK("https://otsuka-europe-crm.veevavault.com/ui/#object/sent_email__v/VBLZ025E82GN0OL", "SE-000271063")</f>
        <v>SE-000271063</v>
      </c>
      <c r="D3936" s="1">
        <v>45915.881064814814</v>
      </c>
      <c r="E3936" s="2">
        <v>1</v>
      </c>
      <c r="F3936" s="2">
        <v>1</v>
      </c>
      <c r="G3936" s="2">
        <v>0</v>
      </c>
      <c r="H3936" s="1" t="s">
        <v>0</v>
      </c>
      <c r="I3936" s="2">
        <v>0</v>
      </c>
      <c r="J3936" s="1">
        <v>45915.37840277778</v>
      </c>
    </row>
    <row r="3937" spans="1:10" x14ac:dyDescent="0.2">
      <c r="A3937" s="4" t="s">
        <v>1</v>
      </c>
      <c r="B3937" s="3" t="str">
        <f>HYPERLINK("https://otsuka-europe-crm.veevavault.com/ui/#object/approved_document__v/V5OZ025E82TFUPI", "Spain - HCP Survey Email - June 2025")</f>
        <v>Spain - HCP Survey Email - June 2025</v>
      </c>
      <c r="C3937" s="3" t="str">
        <f>HYPERLINK("https://otsuka-europe-crm.veevavault.com/ui/#object/sent_email__v/VBLZ025E82GN0OM", "SE-000271064")</f>
        <v>SE-000271064</v>
      </c>
      <c r="D3937" s="1">
        <v>45915.691574074073</v>
      </c>
      <c r="E3937" s="2">
        <v>1</v>
      </c>
      <c r="F3937" s="2">
        <v>1</v>
      </c>
      <c r="G3937" s="2">
        <v>0</v>
      </c>
      <c r="H3937" s="1" t="s">
        <v>0</v>
      </c>
      <c r="I3937" s="2">
        <v>0</v>
      </c>
      <c r="J3937" s="1">
        <v>45915.378854166665</v>
      </c>
    </row>
    <row r="3938" spans="1:10" x14ac:dyDescent="0.2">
      <c r="A3938" s="4" t="s">
        <v>1</v>
      </c>
      <c r="B3938" s="3" t="str">
        <f>HYPERLINK("https://otsuka-europe-crm.veevavault.com/ui/#object/approved_document__v/V5OZ025E82TFUPI", "Spain - HCP Survey Email - June 2025")</f>
        <v>Spain - HCP Survey Email - June 2025</v>
      </c>
      <c r="C3938" s="3" t="str">
        <f>HYPERLINK("https://otsuka-europe-crm.veevavault.com/ui/#object/sent_email__v/VBLZ025E82GN0ON", "SE-000271065")</f>
        <v>SE-000271065</v>
      </c>
      <c r="D3938" s="1">
        <v>45915.401817129627</v>
      </c>
      <c r="E3938" s="2">
        <v>1</v>
      </c>
      <c r="F3938" s="2">
        <v>1</v>
      </c>
      <c r="G3938" s="2">
        <v>1</v>
      </c>
      <c r="H3938" s="1">
        <v>45915.401817129627</v>
      </c>
      <c r="I3938" s="2">
        <v>1</v>
      </c>
      <c r="J3938" s="1">
        <v>45915.378680555557</v>
      </c>
    </row>
    <row r="3939" spans="1:10" x14ac:dyDescent="0.2">
      <c r="A3939" s="4" t="s">
        <v>1</v>
      </c>
      <c r="B3939" s="3" t="str">
        <f>HYPERLINK("https://otsuka-europe-crm.veevavault.com/ui/#object/approved_document__v/V5OZ025E82TFUPI", "Spain - HCP Survey Email - June 2025")</f>
        <v>Spain - HCP Survey Email - June 2025</v>
      </c>
      <c r="C3939" s="3" t="str">
        <f>HYPERLINK("https://otsuka-europe-crm.veevavault.com/ui/#object/sent_email__v/VBLZ025E82GN0OO", "SE-000271066")</f>
        <v>SE-000271066</v>
      </c>
      <c r="D3939" s="1" t="s">
        <v>0</v>
      </c>
      <c r="E3939" s="2">
        <v>0</v>
      </c>
      <c r="F3939" s="2">
        <v>0</v>
      </c>
      <c r="G3939" s="2">
        <v>0</v>
      </c>
      <c r="H3939" s="1" t="s">
        <v>0</v>
      </c>
      <c r="I3939" s="2">
        <v>0</v>
      </c>
      <c r="J3939" s="1">
        <v>45915.379120370373</v>
      </c>
    </row>
    <row r="3940" spans="1:10" x14ac:dyDescent="0.2">
      <c r="A3940" s="4" t="s">
        <v>1</v>
      </c>
      <c r="B3940" s="3" t="str">
        <f>HYPERLINK("https://otsuka-europe-crm.veevavault.com/ui/#object/approved_document__v/V5OZ025E82TFUPI", "Spain - HCP Survey Email - June 2025")</f>
        <v>Spain - HCP Survey Email - June 2025</v>
      </c>
      <c r="C3940" s="3" t="str">
        <f>HYPERLINK("https://otsuka-europe-crm.veevavault.com/ui/#object/sent_email__v/VBLZ025E82GN0OP", "SE-000271067")</f>
        <v>SE-000271067</v>
      </c>
      <c r="D3940" s="1">
        <v>45936.013969907406</v>
      </c>
      <c r="E3940" s="2">
        <v>1</v>
      </c>
      <c r="F3940" s="2">
        <v>2</v>
      </c>
      <c r="G3940" s="2">
        <v>0</v>
      </c>
      <c r="H3940" s="1" t="s">
        <v>0</v>
      </c>
      <c r="I3940" s="2">
        <v>0</v>
      </c>
      <c r="J3940" s="1">
        <v>45915.377939814818</v>
      </c>
    </row>
    <row r="3941" spans="1:10" x14ac:dyDescent="0.2">
      <c r="A3941" s="4" t="s">
        <v>1</v>
      </c>
      <c r="B3941" s="3" t="str">
        <f>HYPERLINK("https://otsuka-europe-crm.veevavault.com/ui/#object/approved_document__v/V5OZ025E82TFUPI", "Spain - HCP Survey Email - June 2025")</f>
        <v>Spain - HCP Survey Email - June 2025</v>
      </c>
      <c r="C3941" s="3" t="str">
        <f>HYPERLINK("https://otsuka-europe-crm.veevavault.com/ui/#object/sent_email__v/VBLZ025E82GN0OQ", "SE-000271068")</f>
        <v>SE-000271068</v>
      </c>
      <c r="D3941" s="1">
        <v>45916.383750000001</v>
      </c>
      <c r="E3941" s="2">
        <v>1</v>
      </c>
      <c r="F3941" s="2">
        <v>1</v>
      </c>
      <c r="G3941" s="2">
        <v>0</v>
      </c>
      <c r="H3941" s="1" t="s">
        <v>0</v>
      </c>
      <c r="I3941" s="2">
        <v>0</v>
      </c>
      <c r="J3941" s="1">
        <v>45915.378333333334</v>
      </c>
    </row>
    <row r="3942" spans="1:10" x14ac:dyDescent="0.2">
      <c r="A3942" s="4" t="s">
        <v>1</v>
      </c>
      <c r="B3942" s="3" t="str">
        <f>HYPERLINK("https://otsuka-europe-crm.veevavault.com/ui/#object/approved_document__v/V5OZ025E82TFUPI", "Spain - HCP Survey Email - June 2025")</f>
        <v>Spain - HCP Survey Email - June 2025</v>
      </c>
      <c r="C3942" s="3" t="str">
        <f>HYPERLINK("https://otsuka-europe-crm.veevavault.com/ui/#object/sent_email__v/VBLZ025E82GN0OR", "SE-000271069")</f>
        <v>SE-000271069</v>
      </c>
      <c r="D3942" s="1">
        <v>45915.708414351851</v>
      </c>
      <c r="E3942" s="2">
        <v>1</v>
      </c>
      <c r="F3942" s="2">
        <v>1</v>
      </c>
      <c r="G3942" s="2">
        <v>0</v>
      </c>
      <c r="H3942" s="1" t="s">
        <v>0</v>
      </c>
      <c r="I3942" s="2">
        <v>0</v>
      </c>
      <c r="J3942" s="1">
        <v>45915.378171296295</v>
      </c>
    </row>
    <row r="3943" spans="1:10" x14ac:dyDescent="0.2">
      <c r="A3943" s="4" t="s">
        <v>1</v>
      </c>
      <c r="B3943" s="3" t="str">
        <f>HYPERLINK("https://otsuka-europe-crm.veevavault.com/ui/#object/approved_document__v/V5OZ025E82TFUPI", "Spain - HCP Survey Email - June 2025")</f>
        <v>Spain - HCP Survey Email - June 2025</v>
      </c>
      <c r="C3943" s="3" t="str">
        <f>HYPERLINK("https://otsuka-europe-crm.veevavault.com/ui/#object/sent_email__v/VBLZ025E82GN0OS", "SE-000271070")</f>
        <v>SE-000271070</v>
      </c>
      <c r="D3943" s="1">
        <v>45916.042546296296</v>
      </c>
      <c r="E3943" s="2">
        <v>1</v>
      </c>
      <c r="F3943" s="2">
        <v>1</v>
      </c>
      <c r="G3943" s="2">
        <v>0</v>
      </c>
      <c r="H3943" s="1" t="s">
        <v>0</v>
      </c>
      <c r="I3943" s="2">
        <v>0</v>
      </c>
      <c r="J3943" s="1">
        <v>45915.379027777781</v>
      </c>
    </row>
    <row r="3944" spans="1:10" x14ac:dyDescent="0.2">
      <c r="A3944" s="4" t="s">
        <v>1</v>
      </c>
      <c r="B3944" s="3" t="str">
        <f>HYPERLINK("https://otsuka-europe-crm.veevavault.com/ui/#object/approved_document__v/V5OZ025E82TFUPI", "Spain - HCP Survey Email - June 2025")</f>
        <v>Spain - HCP Survey Email - June 2025</v>
      </c>
      <c r="C3944" s="3" t="str">
        <f>HYPERLINK("https://otsuka-europe-crm.veevavault.com/ui/#object/sent_email__v/VBLZ025E82GN0OT", "SE-000271071")</f>
        <v>SE-000271071</v>
      </c>
      <c r="D3944" s="1" t="s">
        <v>0</v>
      </c>
      <c r="E3944" s="2">
        <v>0</v>
      </c>
      <c r="F3944" s="2">
        <v>0</v>
      </c>
      <c r="G3944" s="2">
        <v>0</v>
      </c>
      <c r="H3944" s="1" t="s">
        <v>0</v>
      </c>
      <c r="I3944" s="2">
        <v>0</v>
      </c>
      <c r="J3944" s="1">
        <v>45915.377754629626</v>
      </c>
    </row>
    <row r="3945" spans="1:10" x14ac:dyDescent="0.2">
      <c r="A3945" s="4" t="s">
        <v>1</v>
      </c>
      <c r="B3945" s="3" t="str">
        <f>HYPERLINK("https://otsuka-europe-crm.veevavault.com/ui/#object/approved_document__v/V5OZ025E82TFUPI", "Spain - HCP Survey Email - June 2025")</f>
        <v>Spain - HCP Survey Email - June 2025</v>
      </c>
      <c r="C3945" s="3" t="str">
        <f>HYPERLINK("https://otsuka-europe-crm.veevavault.com/ui/#object/sent_email__v/VBLZ025E82GN0OU", "SE-000271072")</f>
        <v>SE-000271072</v>
      </c>
      <c r="D3945" s="1" t="s">
        <v>0</v>
      </c>
      <c r="E3945" s="2">
        <v>0</v>
      </c>
      <c r="F3945" s="2">
        <v>0</v>
      </c>
      <c r="G3945" s="2">
        <v>0</v>
      </c>
      <c r="H3945" s="1" t="s">
        <v>0</v>
      </c>
      <c r="I3945" s="2">
        <v>0</v>
      </c>
      <c r="J3945" s="1">
        <v>45915.378379629627</v>
      </c>
    </row>
    <row r="3946" spans="1:10" x14ac:dyDescent="0.2">
      <c r="A3946" s="4" t="s">
        <v>1</v>
      </c>
      <c r="B3946" s="3" t="str">
        <f>HYPERLINK("https://otsuka-europe-crm.veevavault.com/ui/#object/approved_document__v/V5OZ025E82TFUPI", "Spain - HCP Survey Email - June 2025")</f>
        <v>Spain - HCP Survey Email - June 2025</v>
      </c>
      <c r="C3946" s="3" t="str">
        <f>HYPERLINK("https://otsuka-europe-crm.veevavault.com/ui/#object/sent_email__v/VBLZ025E82GN0OV", "SE-000271073")</f>
        <v>SE-000271073</v>
      </c>
      <c r="D3946" s="1" t="s">
        <v>0</v>
      </c>
      <c r="E3946" s="2">
        <v>0</v>
      </c>
      <c r="F3946" s="2">
        <v>0</v>
      </c>
      <c r="G3946" s="2">
        <v>0</v>
      </c>
      <c r="H3946" s="1" t="s">
        <v>0</v>
      </c>
      <c r="I3946" s="2">
        <v>0</v>
      </c>
      <c r="J3946" s="1">
        <v>45915.378101851849</v>
      </c>
    </row>
    <row r="3947" spans="1:10" x14ac:dyDescent="0.2">
      <c r="A3947" s="4" t="s">
        <v>1</v>
      </c>
      <c r="B3947" s="3" t="str">
        <f>HYPERLINK("https://otsuka-europe-crm.veevavault.com/ui/#object/approved_document__v/V5OZ025E82TFUPI", "Spain - HCP Survey Email - June 2025")</f>
        <v>Spain - HCP Survey Email - June 2025</v>
      </c>
      <c r="C3947" s="3" t="str">
        <f>HYPERLINK("https://otsuka-europe-crm.veevavault.com/ui/#object/sent_email__v/VBLZ025E82GN0OW", "SE-000271074")</f>
        <v>SE-000271074</v>
      </c>
      <c r="D3947" s="1">
        <v>45915.621805555558</v>
      </c>
      <c r="E3947" s="2">
        <v>1</v>
      </c>
      <c r="F3947" s="2">
        <v>1</v>
      </c>
      <c r="G3947" s="2">
        <v>0</v>
      </c>
      <c r="H3947" s="1" t="s">
        <v>0</v>
      </c>
      <c r="I3947" s="2">
        <v>0</v>
      </c>
      <c r="J3947" s="1">
        <v>45915.378564814811</v>
      </c>
    </row>
    <row r="3948" spans="1:10" x14ac:dyDescent="0.2">
      <c r="A3948" s="4" t="s">
        <v>1</v>
      </c>
      <c r="B3948" s="3" t="str">
        <f>HYPERLINK("https://otsuka-europe-crm.veevavault.com/ui/#object/approved_document__v/V5OZ025E82TFUPI", "Spain - HCP Survey Email - June 2025")</f>
        <v>Spain - HCP Survey Email - June 2025</v>
      </c>
      <c r="C3948" s="3" t="str">
        <f>HYPERLINK("https://otsuka-europe-crm.veevavault.com/ui/#object/sent_email__v/VBLZ025E82GN0OX", "SE-000271075")</f>
        <v>SE-000271075</v>
      </c>
      <c r="D3948" s="1" t="s">
        <v>0</v>
      </c>
      <c r="E3948" s="2">
        <v>0</v>
      </c>
      <c r="F3948" s="2">
        <v>0</v>
      </c>
      <c r="G3948" s="2">
        <v>0</v>
      </c>
      <c r="H3948" s="1" t="s">
        <v>0</v>
      </c>
      <c r="I3948" s="2">
        <v>0</v>
      </c>
      <c r="J3948" s="1">
        <v>45915.379872685182</v>
      </c>
    </row>
    <row r="3949" spans="1:10" x14ac:dyDescent="0.2">
      <c r="A3949" s="4" t="s">
        <v>1</v>
      </c>
      <c r="B3949" s="3" t="str">
        <f>HYPERLINK("https://otsuka-europe-crm.veevavault.com/ui/#object/approved_document__v/V5OZ025E82TFUPI", "Spain - HCP Survey Email - June 2025")</f>
        <v>Spain - HCP Survey Email - June 2025</v>
      </c>
      <c r="C3949" s="3" t="str">
        <f>HYPERLINK("https://otsuka-europe-crm.veevavault.com/ui/#object/sent_email__v/VBLZ025E82GN0OY", "SE-000271076")</f>
        <v>SE-000271076</v>
      </c>
      <c r="D3949" s="1" t="s">
        <v>0</v>
      </c>
      <c r="E3949" s="2">
        <v>0</v>
      </c>
      <c r="F3949" s="2">
        <v>0</v>
      </c>
      <c r="G3949" s="2">
        <v>0</v>
      </c>
      <c r="H3949" s="1" t="s">
        <v>0</v>
      </c>
      <c r="I3949" s="2">
        <v>0</v>
      </c>
      <c r="J3949" s="1">
        <v>45915.377754629626</v>
      </c>
    </row>
    <row r="3950" spans="1:10" x14ac:dyDescent="0.2">
      <c r="A3950" s="4" t="s">
        <v>1</v>
      </c>
      <c r="B3950" s="3" t="str">
        <f>HYPERLINK("https://otsuka-europe-crm.veevavault.com/ui/#object/approved_document__v/V5OZ025E82TFUPI", "Spain - HCP Survey Email - June 2025")</f>
        <v>Spain - HCP Survey Email - June 2025</v>
      </c>
      <c r="C3950" s="3" t="str">
        <f>HYPERLINK("https://otsuka-europe-crm.veevavault.com/ui/#object/sent_email__v/VBLZ025E82GN0OZ", "SE-000271077")</f>
        <v>SE-000271077</v>
      </c>
      <c r="D3950" s="1" t="s">
        <v>0</v>
      </c>
      <c r="E3950" s="2">
        <v>0</v>
      </c>
      <c r="F3950" s="2">
        <v>0</v>
      </c>
      <c r="G3950" s="2">
        <v>0</v>
      </c>
      <c r="H3950" s="1" t="s">
        <v>0</v>
      </c>
      <c r="I3950" s="2">
        <v>0</v>
      </c>
      <c r="J3950" s="1">
        <v>45915.377500000002</v>
      </c>
    </row>
    <row r="3951" spans="1:10" x14ac:dyDescent="0.2">
      <c r="A3951" s="4" t="s">
        <v>1</v>
      </c>
      <c r="B3951" s="3" t="str">
        <f>HYPERLINK("https://otsuka-europe-crm.veevavault.com/ui/#object/approved_document__v/V5OZ025E82TFUPI", "Spain - HCP Survey Email - June 2025")</f>
        <v>Spain - HCP Survey Email - June 2025</v>
      </c>
      <c r="C3951" s="3" t="str">
        <f>HYPERLINK("https://otsuka-europe-crm.veevavault.com/ui/#object/sent_email__v/VBLZ025E82GN0P0", "SE-000271078")</f>
        <v>SE-000271078</v>
      </c>
      <c r="D3951" s="1">
        <v>45917.615277777775</v>
      </c>
      <c r="E3951" s="2">
        <v>1</v>
      </c>
      <c r="F3951" s="2">
        <v>1</v>
      </c>
      <c r="G3951" s="2">
        <v>0</v>
      </c>
      <c r="H3951" s="1" t="s">
        <v>0</v>
      </c>
      <c r="I3951" s="2">
        <v>0</v>
      </c>
      <c r="J3951" s="1">
        <v>45915.37840277778</v>
      </c>
    </row>
    <row r="3952" spans="1:10" x14ac:dyDescent="0.2">
      <c r="A3952" s="4" t="s">
        <v>1</v>
      </c>
      <c r="B3952" s="3" t="str">
        <f>HYPERLINK("https://otsuka-europe-crm.veevavault.com/ui/#object/approved_document__v/V5OZ025E82TFUPI", "Spain - HCP Survey Email - June 2025")</f>
        <v>Spain - HCP Survey Email - June 2025</v>
      </c>
      <c r="C3952" s="3" t="str">
        <f>HYPERLINK("https://otsuka-europe-crm.veevavault.com/ui/#object/sent_email__v/VBLZ025E82GN0P1", "SE-000271079")</f>
        <v>SE-000271079</v>
      </c>
      <c r="D3952" s="1" t="s">
        <v>0</v>
      </c>
      <c r="E3952" s="2">
        <v>0</v>
      </c>
      <c r="F3952" s="2">
        <v>0</v>
      </c>
      <c r="G3952" s="2">
        <v>0</v>
      </c>
      <c r="H3952" s="1" t="s">
        <v>0</v>
      </c>
      <c r="I3952" s="2">
        <v>0</v>
      </c>
      <c r="J3952" s="1">
        <v>45915.378854166665</v>
      </c>
    </row>
    <row r="3953" spans="1:10" x14ac:dyDescent="0.2">
      <c r="A3953" s="4" t="s">
        <v>1</v>
      </c>
      <c r="B3953" s="3" t="str">
        <f>HYPERLINK("https://otsuka-europe-crm.veevavault.com/ui/#object/approved_document__v/V5OZ025E82TFUPI", "Spain - HCP Survey Email - June 2025")</f>
        <v>Spain - HCP Survey Email - June 2025</v>
      </c>
      <c r="C3953" s="3" t="str">
        <f>HYPERLINK("https://otsuka-europe-crm.veevavault.com/ui/#object/sent_email__v/VBLZ025E82GN0P2", "SE-000271080")</f>
        <v>SE-000271080</v>
      </c>
      <c r="D3953" s="1" t="s">
        <v>0</v>
      </c>
      <c r="E3953" s="2">
        <v>0</v>
      </c>
      <c r="F3953" s="2">
        <v>0</v>
      </c>
      <c r="G3953" s="2">
        <v>0</v>
      </c>
      <c r="H3953" s="1" t="s">
        <v>0</v>
      </c>
      <c r="I3953" s="2">
        <v>0</v>
      </c>
      <c r="J3953" s="1">
        <v>45915.37872685185</v>
      </c>
    </row>
    <row r="3954" spans="1:10" x14ac:dyDescent="0.2">
      <c r="A3954" s="4" t="s">
        <v>1</v>
      </c>
      <c r="B3954" s="3" t="str">
        <f>HYPERLINK("https://otsuka-europe-crm.veevavault.com/ui/#object/approved_document__v/V5OZ025E82TFUPI", "Spain - HCP Survey Email - June 2025")</f>
        <v>Spain - HCP Survey Email - June 2025</v>
      </c>
      <c r="C3954" s="3" t="str">
        <f>HYPERLINK("https://otsuka-europe-crm.veevavault.com/ui/#object/sent_email__v/VBLZ025E82GN0P3", "SE-000271081")</f>
        <v>SE-000271081</v>
      </c>
      <c r="D3954" s="1">
        <v>45926.744270833333</v>
      </c>
      <c r="E3954" s="2">
        <v>1</v>
      </c>
      <c r="F3954" s="2">
        <v>1</v>
      </c>
      <c r="G3954" s="2">
        <v>0</v>
      </c>
      <c r="H3954" s="1" t="s">
        <v>0</v>
      </c>
      <c r="I3954" s="2">
        <v>0</v>
      </c>
      <c r="J3954" s="1">
        <v>45915.379004629627</v>
      </c>
    </row>
    <row r="3955" spans="1:10" x14ac:dyDescent="0.2">
      <c r="A3955" s="4" t="s">
        <v>1</v>
      </c>
      <c r="B3955" s="3" t="str">
        <f>HYPERLINK("https://otsuka-europe-crm.veevavault.com/ui/#object/approved_document__v/V5OZ025E82TFUPI", "Spain - HCP Survey Email - June 2025")</f>
        <v>Spain - HCP Survey Email - June 2025</v>
      </c>
      <c r="C3955" s="3" t="str">
        <f>HYPERLINK("https://otsuka-europe-crm.veevavault.com/ui/#object/sent_email__v/VBLZ025E82GN0P4", "SE-000271082")</f>
        <v>SE-000271082</v>
      </c>
      <c r="D3955" s="1">
        <v>45931.413530092592</v>
      </c>
      <c r="E3955" s="2">
        <v>1</v>
      </c>
      <c r="F3955" s="2">
        <v>1</v>
      </c>
      <c r="G3955" s="2">
        <v>0</v>
      </c>
      <c r="H3955" s="1" t="s">
        <v>0</v>
      </c>
      <c r="I3955" s="2">
        <v>0</v>
      </c>
      <c r="J3955" s="1">
        <v>45915.377905092595</v>
      </c>
    </row>
    <row r="3956" spans="1:10" x14ac:dyDescent="0.2">
      <c r="A3956" s="4" t="s">
        <v>1</v>
      </c>
      <c r="B3956" s="3" t="str">
        <f>HYPERLINK("https://otsuka-europe-crm.veevavault.com/ui/#object/approved_document__v/V5OZ025E82TFUPI", "Spain - HCP Survey Email - June 2025")</f>
        <v>Spain - HCP Survey Email - June 2025</v>
      </c>
      <c r="C3956" s="3" t="str">
        <f>HYPERLINK("https://otsuka-europe-crm.veevavault.com/ui/#object/sent_email__v/VBLZ025E82GN0P5", "SE-000271083")</f>
        <v>SE-000271083</v>
      </c>
      <c r="D3956" s="1">
        <v>45915.598969907405</v>
      </c>
      <c r="E3956" s="2">
        <v>1</v>
      </c>
      <c r="F3956" s="2">
        <v>1</v>
      </c>
      <c r="G3956" s="2">
        <v>0</v>
      </c>
      <c r="H3956" s="1" t="s">
        <v>0</v>
      </c>
      <c r="I3956" s="2">
        <v>0</v>
      </c>
      <c r="J3956" s="1">
        <v>45915.378287037034</v>
      </c>
    </row>
    <row r="3957" spans="1:10" x14ac:dyDescent="0.2">
      <c r="A3957" s="4" t="s">
        <v>1</v>
      </c>
      <c r="B3957" s="3" t="str">
        <f>HYPERLINK("https://otsuka-europe-crm.veevavault.com/ui/#object/approved_document__v/V5OZ025E82TFUPI", "Spain - HCP Survey Email - June 2025")</f>
        <v>Spain - HCP Survey Email - June 2025</v>
      </c>
      <c r="C3957" s="3" t="str">
        <f>HYPERLINK("https://otsuka-europe-crm.veevavault.com/ui/#object/sent_email__v/VBLZ025E82GN0P6", "SE-000271084")</f>
        <v>SE-000271084</v>
      </c>
      <c r="D3957" s="1" t="s">
        <v>0</v>
      </c>
      <c r="E3957" s="2">
        <v>0</v>
      </c>
      <c r="F3957" s="2">
        <v>0</v>
      </c>
      <c r="G3957" s="2">
        <v>0</v>
      </c>
      <c r="H3957" s="1" t="s">
        <v>0</v>
      </c>
      <c r="I3957" s="2">
        <v>0</v>
      </c>
      <c r="J3957" s="1">
        <v>45915.378136574072</v>
      </c>
    </row>
    <row r="3958" spans="1:10" x14ac:dyDescent="0.2">
      <c r="A3958" s="4" t="s">
        <v>1</v>
      </c>
      <c r="B3958" s="3" t="str">
        <f>HYPERLINK("https://otsuka-europe-crm.veevavault.com/ui/#object/approved_document__v/V5OZ025E82TFUPI", "Spain - HCP Survey Email - June 2025")</f>
        <v>Spain - HCP Survey Email - June 2025</v>
      </c>
      <c r="C3958" s="3" t="str">
        <f>HYPERLINK("https://otsuka-europe-crm.veevavault.com/ui/#object/sent_email__v/VBLZ025E82GN0P7", "SE-000271085")</f>
        <v>SE-000271085</v>
      </c>
      <c r="D3958" s="1">
        <v>45915.562337962961</v>
      </c>
      <c r="E3958" s="2">
        <v>1</v>
      </c>
      <c r="F3958" s="2">
        <v>2</v>
      </c>
      <c r="G3958" s="2">
        <v>0</v>
      </c>
      <c r="H3958" s="1" t="s">
        <v>0</v>
      </c>
      <c r="I3958" s="2">
        <v>0</v>
      </c>
      <c r="J3958" s="1">
        <v>45915.378576388888</v>
      </c>
    </row>
    <row r="3959" spans="1:10" x14ac:dyDescent="0.2">
      <c r="A3959" s="4" t="s">
        <v>1</v>
      </c>
      <c r="B3959" s="3" t="str">
        <f>HYPERLINK("https://otsuka-europe-crm.veevavault.com/ui/#object/approved_document__v/V5OZ025E82TFUPI", "Spain - HCP Survey Email - June 2025")</f>
        <v>Spain - HCP Survey Email - June 2025</v>
      </c>
      <c r="C3959" s="3" t="str">
        <f>HYPERLINK("https://otsuka-europe-crm.veevavault.com/ui/#object/sent_email__v/VBLZ025E82GN0P8", "SE-000271086")</f>
        <v>SE-000271086</v>
      </c>
      <c r="D3959" s="1" t="s">
        <v>0</v>
      </c>
      <c r="E3959" s="2">
        <v>0</v>
      </c>
      <c r="F3959" s="2">
        <v>0</v>
      </c>
      <c r="G3959" s="2">
        <v>0</v>
      </c>
      <c r="H3959" s="1" t="s">
        <v>0</v>
      </c>
      <c r="I3959" s="2">
        <v>0</v>
      </c>
      <c r="J3959" s="1">
        <v>45915.380023148151</v>
      </c>
    </row>
    <row r="3960" spans="1:10" x14ac:dyDescent="0.2">
      <c r="A3960" s="4" t="s">
        <v>1</v>
      </c>
      <c r="B3960" s="3" t="str">
        <f>HYPERLINK("https://otsuka-europe-crm.veevavault.com/ui/#object/approved_document__v/V5OZ025E82TFUPI", "Spain - HCP Survey Email - June 2025")</f>
        <v>Spain - HCP Survey Email - June 2025</v>
      </c>
      <c r="C3960" s="3" t="str">
        <f>HYPERLINK("https://otsuka-europe-crm.veevavault.com/ui/#object/sent_email__v/VBLZ025E82GN0P9", "SE-000271087")</f>
        <v>SE-000271087</v>
      </c>
      <c r="D3960" s="1">
        <v>45915.547048611108</v>
      </c>
      <c r="E3960" s="2">
        <v>1</v>
      </c>
      <c r="F3960" s="2">
        <v>1</v>
      </c>
      <c r="G3960" s="2">
        <v>1</v>
      </c>
      <c r="H3960" s="1">
        <v>45915.547314814816</v>
      </c>
      <c r="I3960" s="2">
        <v>2</v>
      </c>
      <c r="J3960" s="1">
        <v>45915.37771990741</v>
      </c>
    </row>
    <row r="3961" spans="1:10" x14ac:dyDescent="0.2">
      <c r="A3961" s="4" t="s">
        <v>1</v>
      </c>
      <c r="B3961" s="3" t="str">
        <f>HYPERLINK("https://otsuka-europe-crm.veevavault.com/ui/#object/approved_document__v/V5OZ025E82TFUPI", "Spain - HCP Survey Email - June 2025")</f>
        <v>Spain - HCP Survey Email - June 2025</v>
      </c>
      <c r="C3961" s="3" t="str">
        <f>HYPERLINK("https://otsuka-europe-crm.veevavault.com/ui/#object/sent_email__v/VBLZ025E82GN0PA", "SE-000271088")</f>
        <v>SE-000271088</v>
      </c>
      <c r="D3961" s="1" t="s">
        <v>0</v>
      </c>
      <c r="E3961" s="2">
        <v>0</v>
      </c>
      <c r="F3961" s="2">
        <v>0</v>
      </c>
      <c r="G3961" s="2">
        <v>0</v>
      </c>
      <c r="H3961" s="1" t="s">
        <v>0</v>
      </c>
      <c r="I3961" s="2">
        <v>0</v>
      </c>
      <c r="J3961" s="1">
        <v>45915.377453703702</v>
      </c>
    </row>
    <row r="3962" spans="1:10" x14ac:dyDescent="0.2">
      <c r="A3962" s="4" t="s">
        <v>1</v>
      </c>
      <c r="B3962" s="3" t="str">
        <f>HYPERLINK("https://otsuka-europe-crm.veevavault.com/ui/#object/approved_document__v/V5OZ025E82TFUPI", "Spain - HCP Survey Email - June 2025")</f>
        <v>Spain - HCP Survey Email - June 2025</v>
      </c>
      <c r="C3962" s="3" t="str">
        <f>HYPERLINK("https://otsuka-europe-crm.veevavault.com/ui/#object/sent_email__v/VBLZ025E82GN0PB", "SE-000271089")</f>
        <v>SE-000271089</v>
      </c>
      <c r="D3962" s="1">
        <v>45915.378668981481</v>
      </c>
      <c r="E3962" s="2">
        <v>1</v>
      </c>
      <c r="F3962" s="2">
        <v>1</v>
      </c>
      <c r="G3962" s="2">
        <v>0</v>
      </c>
      <c r="H3962" s="1" t="s">
        <v>0</v>
      </c>
      <c r="I3962" s="2">
        <v>0</v>
      </c>
      <c r="J3962" s="1">
        <v>45915.378425925926</v>
      </c>
    </row>
    <row r="3963" spans="1:10" x14ac:dyDescent="0.2">
      <c r="A3963" s="4" t="s">
        <v>1</v>
      </c>
      <c r="B3963" s="3" t="str">
        <f>HYPERLINK("https://otsuka-europe-crm.veevavault.com/ui/#object/approved_document__v/V5OZ025E82TFUPI", "Spain - HCP Survey Email - June 2025")</f>
        <v>Spain - HCP Survey Email - June 2025</v>
      </c>
      <c r="C3963" s="3" t="str">
        <f>HYPERLINK("https://otsuka-europe-crm.veevavault.com/ui/#object/sent_email__v/VBLZ025E82GN0PC", "SE-000271090")</f>
        <v>SE-000271090</v>
      </c>
      <c r="D3963" s="1">
        <v>45915.518125000002</v>
      </c>
      <c r="E3963" s="2">
        <v>1</v>
      </c>
      <c r="F3963" s="2">
        <v>1</v>
      </c>
      <c r="G3963" s="2">
        <v>0</v>
      </c>
      <c r="H3963" s="1" t="s">
        <v>0</v>
      </c>
      <c r="I3963" s="2">
        <v>0</v>
      </c>
      <c r="J3963" s="1">
        <v>45915.378807870373</v>
      </c>
    </row>
    <row r="3964" spans="1:10" x14ac:dyDescent="0.2">
      <c r="A3964" s="4" t="s">
        <v>1</v>
      </c>
      <c r="B3964" s="3" t="str">
        <f>HYPERLINK("https://otsuka-europe-crm.veevavault.com/ui/#object/approved_document__v/V5OZ025E82TFUPI", "Spain - HCP Survey Email - June 2025")</f>
        <v>Spain - HCP Survey Email - June 2025</v>
      </c>
      <c r="C3964" s="3" t="str">
        <f>HYPERLINK("https://otsuka-europe-crm.veevavault.com/ui/#object/sent_email__v/VBLZ025E82GN0PD", "SE-000271091")</f>
        <v>SE-000271091</v>
      </c>
      <c r="D3964" s="1" t="s">
        <v>0</v>
      </c>
      <c r="E3964" s="2">
        <v>0</v>
      </c>
      <c r="F3964" s="2">
        <v>0</v>
      </c>
      <c r="G3964" s="2">
        <v>0</v>
      </c>
      <c r="H3964" s="1" t="s">
        <v>0</v>
      </c>
      <c r="I3964" s="2">
        <v>0</v>
      </c>
      <c r="J3964" s="1">
        <v>45915.378657407404</v>
      </c>
    </row>
    <row r="3965" spans="1:10" x14ac:dyDescent="0.2">
      <c r="A3965" s="4" t="s">
        <v>1</v>
      </c>
      <c r="B3965" s="3" t="str">
        <f>HYPERLINK("https://otsuka-europe-crm.veevavault.com/ui/#object/approved_document__v/V5OZ025E82TFUPI", "Spain - HCP Survey Email - June 2025")</f>
        <v>Spain - HCP Survey Email - June 2025</v>
      </c>
      <c r="C3965" s="3" t="str">
        <f>HYPERLINK("https://otsuka-europe-crm.veevavault.com/ui/#object/sent_email__v/VBLZ025E82GN0PE", "SE-000271092")</f>
        <v>SE-000271092</v>
      </c>
      <c r="D3965" s="1">
        <v>45915.517928240741</v>
      </c>
      <c r="E3965" s="2">
        <v>1</v>
      </c>
      <c r="F3965" s="2">
        <v>1</v>
      </c>
      <c r="G3965" s="2">
        <v>0</v>
      </c>
      <c r="H3965" s="1" t="s">
        <v>0</v>
      </c>
      <c r="I3965" s="2">
        <v>0</v>
      </c>
      <c r="J3965" s="1">
        <v>45915.378981481481</v>
      </c>
    </row>
    <row r="3966" spans="1:10" x14ac:dyDescent="0.2">
      <c r="A3966" s="4" t="s">
        <v>1</v>
      </c>
      <c r="B3966" s="3" t="str">
        <f>HYPERLINK("https://otsuka-europe-crm.veevavault.com/ui/#object/approved_document__v/V5OZ025E82TFUPI", "Spain - HCP Survey Email - June 2025")</f>
        <v>Spain - HCP Survey Email - June 2025</v>
      </c>
      <c r="C3966" s="3" t="str">
        <f>HYPERLINK("https://otsuka-europe-crm.veevavault.com/ui/#object/sent_email__v/VBLZ025E82GN0PF", "SE-000271093")</f>
        <v>SE-000271093</v>
      </c>
      <c r="D3966" s="1">
        <v>45915.382106481484</v>
      </c>
      <c r="E3966" s="2">
        <v>1</v>
      </c>
      <c r="F3966" s="2">
        <v>1</v>
      </c>
      <c r="G3966" s="2">
        <v>1</v>
      </c>
      <c r="H3966" s="1">
        <v>45915.382430555554</v>
      </c>
      <c r="I3966" s="2">
        <v>2</v>
      </c>
      <c r="J3966" s="1">
        <v>45915.377962962964</v>
      </c>
    </row>
    <row r="3967" spans="1:10" x14ac:dyDescent="0.2">
      <c r="A3967" s="4" t="s">
        <v>1</v>
      </c>
      <c r="B3967" s="3" t="str">
        <f>HYPERLINK("https://otsuka-europe-crm.veevavault.com/ui/#object/approved_document__v/V5OZ025E82TFUPI", "Spain - HCP Survey Email - June 2025")</f>
        <v>Spain - HCP Survey Email - June 2025</v>
      </c>
      <c r="C3967" s="3" t="str">
        <f>HYPERLINK("https://otsuka-europe-crm.veevavault.com/ui/#object/sent_email__v/VBLZ025E82GN0PG", "SE-000271094")</f>
        <v>SE-000271094</v>
      </c>
      <c r="D3967" s="1" t="s">
        <v>0</v>
      </c>
      <c r="E3967" s="2">
        <v>0</v>
      </c>
      <c r="F3967" s="2">
        <v>0</v>
      </c>
      <c r="G3967" s="2">
        <v>0</v>
      </c>
      <c r="H3967" s="1" t="s">
        <v>0</v>
      </c>
      <c r="I3967" s="2">
        <v>0</v>
      </c>
      <c r="J3967" s="1">
        <v>45915.37840277778</v>
      </c>
    </row>
    <row r="3968" spans="1:10" x14ac:dyDescent="0.2">
      <c r="A3968" s="4" t="s">
        <v>1</v>
      </c>
      <c r="B3968" s="3" t="str">
        <f>HYPERLINK("https://otsuka-europe-crm.veevavault.com/ui/#object/approved_document__v/V5OZ025E82TFUPI", "Spain - HCP Survey Email - June 2025")</f>
        <v>Spain - HCP Survey Email - June 2025</v>
      </c>
      <c r="C3968" s="3" t="str">
        <f>HYPERLINK("https://otsuka-europe-crm.veevavault.com/ui/#object/sent_email__v/VBLZ025E82GN0PH", "SE-000271095")</f>
        <v>SE-000271095</v>
      </c>
      <c r="D3968" s="1" t="s">
        <v>0</v>
      </c>
      <c r="E3968" s="2">
        <v>0</v>
      </c>
      <c r="F3968" s="2">
        <v>0</v>
      </c>
      <c r="G3968" s="2">
        <v>0</v>
      </c>
      <c r="H3968" s="1" t="s">
        <v>0</v>
      </c>
      <c r="I3968" s="2">
        <v>0</v>
      </c>
      <c r="J3968" s="1">
        <v>45915.378125000003</v>
      </c>
    </row>
    <row r="3969" spans="1:10" x14ac:dyDescent="0.2">
      <c r="A3969" s="4" t="s">
        <v>1</v>
      </c>
      <c r="B3969" s="3" t="str">
        <f>HYPERLINK("https://otsuka-europe-crm.veevavault.com/ui/#object/approved_document__v/V5OZ025E82TFUPI", "Spain - HCP Survey Email - June 2025")</f>
        <v>Spain - HCP Survey Email - June 2025</v>
      </c>
      <c r="C3969" s="3" t="str">
        <f>HYPERLINK("https://otsuka-europe-crm.veevavault.com/ui/#object/sent_email__v/VBLZ025E82GN0PI", "SE-000271096")</f>
        <v>SE-000271096</v>
      </c>
      <c r="D3969" s="1" t="s">
        <v>0</v>
      </c>
      <c r="E3969" s="2">
        <v>0</v>
      </c>
      <c r="F3969" s="2">
        <v>0</v>
      </c>
      <c r="G3969" s="2">
        <v>0</v>
      </c>
      <c r="H3969" s="1" t="s">
        <v>0</v>
      </c>
      <c r="I3969" s="2">
        <v>0</v>
      </c>
      <c r="J3969" s="1">
        <v>45915.378634259258</v>
      </c>
    </row>
    <row r="3970" spans="1:10" x14ac:dyDescent="0.2">
      <c r="A3970" s="4" t="s">
        <v>1</v>
      </c>
      <c r="B3970" s="3" t="str">
        <f>HYPERLINK("https://otsuka-europe-crm.veevavault.com/ui/#object/approved_document__v/V5OZ025E82TFUPI", "Spain - HCP Survey Email - June 2025")</f>
        <v>Spain - HCP Survey Email - June 2025</v>
      </c>
      <c r="C3970" s="3" t="str">
        <f>HYPERLINK("https://otsuka-europe-crm.veevavault.com/ui/#object/sent_email__v/VBLZ025E82GN0PJ", "SE-000271097")</f>
        <v>SE-000271097</v>
      </c>
      <c r="D3970" s="1" t="s">
        <v>0</v>
      </c>
      <c r="E3970" s="2">
        <v>0</v>
      </c>
      <c r="F3970" s="2">
        <v>0</v>
      </c>
      <c r="G3970" s="2">
        <v>0</v>
      </c>
      <c r="H3970" s="1" t="s">
        <v>0</v>
      </c>
      <c r="I3970" s="2">
        <v>0</v>
      </c>
      <c r="J3970" s="1">
        <v>45915.37903935185</v>
      </c>
    </row>
    <row r="3971" spans="1:10" x14ac:dyDescent="0.2">
      <c r="A3971" s="4" t="s">
        <v>1</v>
      </c>
      <c r="B3971" s="3" t="str">
        <f>HYPERLINK("https://otsuka-europe-crm.veevavault.com/ui/#object/approved_document__v/V5OZ025E82TFUPI", "Spain - HCP Survey Email - June 2025")</f>
        <v>Spain - HCP Survey Email - June 2025</v>
      </c>
      <c r="C3971" s="3" t="str">
        <f>HYPERLINK("https://otsuka-europe-crm.veevavault.com/ui/#object/sent_email__v/VBLZ025E82GN0PK", "SE-000271098")</f>
        <v>SE-000271098</v>
      </c>
      <c r="D3971" s="1">
        <v>45915.400416666664</v>
      </c>
      <c r="E3971" s="2">
        <v>1</v>
      </c>
      <c r="F3971" s="2">
        <v>2</v>
      </c>
      <c r="G3971" s="2">
        <v>0</v>
      </c>
      <c r="H3971" s="1" t="s">
        <v>0</v>
      </c>
      <c r="I3971" s="2">
        <v>0</v>
      </c>
      <c r="J3971" s="1">
        <v>45915.377858796295</v>
      </c>
    </row>
    <row r="3972" spans="1:10" x14ac:dyDescent="0.2">
      <c r="A3972" s="4" t="s">
        <v>1</v>
      </c>
      <c r="B3972" s="3" t="str">
        <f>HYPERLINK("https://otsuka-europe-crm.veevavault.com/ui/#object/approved_document__v/V5OZ025E82TFUPI", "Spain - HCP Survey Email - June 2025")</f>
        <v>Spain - HCP Survey Email - June 2025</v>
      </c>
      <c r="C3972" s="3" t="str">
        <f>HYPERLINK("https://otsuka-europe-crm.veevavault.com/ui/#object/sent_email__v/VBLZ025E82GN0PL", "SE-000271099")</f>
        <v>SE-000271099</v>
      </c>
      <c r="D3972" s="1">
        <v>45942.937881944446</v>
      </c>
      <c r="E3972" s="2">
        <v>1</v>
      </c>
      <c r="F3972" s="2">
        <v>21</v>
      </c>
      <c r="G3972" s="2">
        <v>0</v>
      </c>
      <c r="H3972" s="1" t="s">
        <v>0</v>
      </c>
      <c r="I3972" s="2">
        <v>0</v>
      </c>
      <c r="J3972" s="1">
        <v>45915.378368055557</v>
      </c>
    </row>
    <row r="3973" spans="1:10" x14ac:dyDescent="0.2">
      <c r="A3973" s="4" t="s">
        <v>1</v>
      </c>
      <c r="B3973" s="3" t="str">
        <f>HYPERLINK("https://otsuka-europe-crm.veevavault.com/ui/#object/approved_document__v/V5OZ025E82TFUPI", "Spain - HCP Survey Email - June 2025")</f>
        <v>Spain - HCP Survey Email - June 2025</v>
      </c>
      <c r="C3973" s="3" t="str">
        <f>HYPERLINK("https://otsuka-europe-crm.veevavault.com/ui/#object/sent_email__v/VBLZ025E82GN0PM", "SE-000271100")</f>
        <v>SE-000271100</v>
      </c>
      <c r="D3973" s="1" t="s">
        <v>0</v>
      </c>
      <c r="E3973" s="2">
        <v>0</v>
      </c>
      <c r="F3973" s="2">
        <v>0</v>
      </c>
      <c r="G3973" s="2">
        <v>0</v>
      </c>
      <c r="H3973" s="1" t="s">
        <v>0</v>
      </c>
      <c r="I3973" s="2">
        <v>0</v>
      </c>
      <c r="J3973" s="1">
        <v>45915.378101851849</v>
      </c>
    </row>
    <row r="3974" spans="1:10" x14ac:dyDescent="0.2">
      <c r="A3974" s="4" t="s">
        <v>1</v>
      </c>
      <c r="B3974" s="3" t="str">
        <f>HYPERLINK("https://otsuka-europe-crm.veevavault.com/ui/#object/approved_document__v/V5OZ025E82TFUPI", "Spain - HCP Survey Email - June 2025")</f>
        <v>Spain - HCP Survey Email - June 2025</v>
      </c>
      <c r="C3974" s="3" t="str">
        <f>HYPERLINK("https://otsuka-europe-crm.veevavault.com/ui/#object/sent_email__v/VBLZ025E82GN0PN", "SE-000271101")</f>
        <v>SE-000271101</v>
      </c>
      <c r="D3974" s="1" t="s">
        <v>0</v>
      </c>
      <c r="E3974" s="2">
        <v>0</v>
      </c>
      <c r="F3974" s="2">
        <v>0</v>
      </c>
      <c r="G3974" s="2">
        <v>0</v>
      </c>
      <c r="H3974" s="1" t="s">
        <v>0</v>
      </c>
      <c r="I3974" s="2">
        <v>0</v>
      </c>
      <c r="J3974" s="1">
        <v>45915.378680555557</v>
      </c>
    </row>
    <row r="3975" spans="1:10" x14ac:dyDescent="0.2">
      <c r="A3975" s="4" t="s">
        <v>1</v>
      </c>
      <c r="B3975" s="3" t="str">
        <f>HYPERLINK("https://otsuka-europe-crm.veevavault.com/ui/#object/approved_document__v/V5OZ025E82TFUPI", "Spain - HCP Survey Email - June 2025")</f>
        <v>Spain - HCP Survey Email - June 2025</v>
      </c>
      <c r="C3975" s="3" t="str">
        <f>HYPERLINK("https://otsuka-europe-crm.veevavault.com/ui/#object/sent_email__v/VBLZ025E82GN0PO", "SE-000271102")</f>
        <v>SE-000271102</v>
      </c>
      <c r="D3975" s="1">
        <v>45915.897199074076</v>
      </c>
      <c r="E3975" s="2">
        <v>1</v>
      </c>
      <c r="F3975" s="2">
        <v>1</v>
      </c>
      <c r="G3975" s="2">
        <v>0</v>
      </c>
      <c r="H3975" s="1" t="s">
        <v>0</v>
      </c>
      <c r="I3975" s="2">
        <v>0</v>
      </c>
      <c r="J3975" s="1">
        <v>45915.379780092589</v>
      </c>
    </row>
    <row r="3976" spans="1:10" x14ac:dyDescent="0.2">
      <c r="A3976" s="4" t="s">
        <v>1</v>
      </c>
      <c r="B3976" s="3" t="str">
        <f>HYPERLINK("https://otsuka-europe-crm.veevavault.com/ui/#object/approved_document__v/V5OZ025E82TFUPI", "Spain - HCP Survey Email - June 2025")</f>
        <v>Spain - HCP Survey Email - June 2025</v>
      </c>
      <c r="C3976" s="3" t="str">
        <f>HYPERLINK("https://otsuka-europe-crm.veevavault.com/ui/#object/sent_email__v/VBLZ025E82GN0PP", "SE-000271103")</f>
        <v>SE-000271103</v>
      </c>
      <c r="D3976" s="1" t="s">
        <v>0</v>
      </c>
      <c r="E3976" s="2">
        <v>0</v>
      </c>
      <c r="F3976" s="2">
        <v>0</v>
      </c>
      <c r="G3976" s="2">
        <v>0</v>
      </c>
      <c r="H3976" s="1" t="s">
        <v>0</v>
      </c>
      <c r="I3976" s="2">
        <v>0</v>
      </c>
      <c r="J3976" s="1">
        <v>45915.379479166666</v>
      </c>
    </row>
    <row r="3977" spans="1:10" x14ac:dyDescent="0.2">
      <c r="A3977" s="4" t="s">
        <v>1</v>
      </c>
      <c r="B3977" s="3" t="str">
        <f>HYPERLINK("https://otsuka-europe-crm.veevavault.com/ui/#object/approved_document__v/V5OZ025E82TFUPI", "Spain - HCP Survey Email - June 2025")</f>
        <v>Spain - HCP Survey Email - June 2025</v>
      </c>
      <c r="C3977" s="3" t="str">
        <f>HYPERLINK("https://otsuka-europe-crm.veevavault.com/ui/#object/sent_email__v/VBLZ025E82GN0PQ", "SE-000271104")</f>
        <v>SE-000271104</v>
      </c>
      <c r="D3977" s="1" t="s">
        <v>0</v>
      </c>
      <c r="E3977" s="2">
        <v>0</v>
      </c>
      <c r="F3977" s="2">
        <v>0</v>
      </c>
      <c r="G3977" s="2">
        <v>0</v>
      </c>
      <c r="H3977" s="1" t="s">
        <v>0</v>
      </c>
      <c r="I3977" s="2">
        <v>0</v>
      </c>
      <c r="J3977" s="1">
        <v>45915.377430555556</v>
      </c>
    </row>
    <row r="3978" spans="1:10" x14ac:dyDescent="0.2">
      <c r="A3978" s="4" t="s">
        <v>1</v>
      </c>
      <c r="B3978" s="3" t="str">
        <f>HYPERLINK("https://otsuka-europe-crm.veevavault.com/ui/#object/approved_document__v/V5OZ025E82TFUPI", "Spain - HCP Survey Email - June 2025")</f>
        <v>Spain - HCP Survey Email - June 2025</v>
      </c>
      <c r="C3978" s="3" t="str">
        <f>HYPERLINK("https://otsuka-europe-crm.veevavault.com/ui/#object/sent_email__v/VBLZ025E82GN0PR", "SE-000271105")</f>
        <v>SE-000271105</v>
      </c>
      <c r="D3978" s="1">
        <v>45999.830682870372</v>
      </c>
      <c r="E3978" s="2">
        <v>1</v>
      </c>
      <c r="F3978" s="2">
        <v>2</v>
      </c>
      <c r="G3978" s="2">
        <v>0</v>
      </c>
      <c r="H3978" s="1" t="s">
        <v>0</v>
      </c>
      <c r="I3978" s="2">
        <v>0</v>
      </c>
      <c r="J3978" s="1">
        <v>45915.378437500003</v>
      </c>
    </row>
    <row r="3979" spans="1:10" x14ac:dyDescent="0.2">
      <c r="A3979" s="4" t="s">
        <v>1</v>
      </c>
      <c r="B3979" s="3" t="str">
        <f>HYPERLINK("https://otsuka-europe-crm.veevavault.com/ui/#object/approved_document__v/V5OZ025E82TFUPI", "Spain - HCP Survey Email - June 2025")</f>
        <v>Spain - HCP Survey Email - June 2025</v>
      </c>
      <c r="C3979" s="3" t="str">
        <f>HYPERLINK("https://otsuka-europe-crm.veevavault.com/ui/#object/sent_email__v/VBLZ025E82GN0PS", "SE-000271106")</f>
        <v>SE-000271106</v>
      </c>
      <c r="D3979" s="1" t="s">
        <v>0</v>
      </c>
      <c r="E3979" s="2">
        <v>0</v>
      </c>
      <c r="F3979" s="2">
        <v>0</v>
      </c>
      <c r="G3979" s="2">
        <v>0</v>
      </c>
      <c r="H3979" s="1" t="s">
        <v>0</v>
      </c>
      <c r="I3979" s="2">
        <v>0</v>
      </c>
      <c r="J3979" s="1">
        <v>45915.37872685185</v>
      </c>
    </row>
    <row r="3980" spans="1:10" x14ac:dyDescent="0.2">
      <c r="A3980" s="4" t="s">
        <v>1</v>
      </c>
      <c r="B3980" s="3" t="str">
        <f>HYPERLINK("https://otsuka-europe-crm.veevavault.com/ui/#object/approved_document__v/V5OZ025E82TFUPI", "Spain - HCP Survey Email - June 2025")</f>
        <v>Spain - HCP Survey Email - June 2025</v>
      </c>
      <c r="C3980" s="3" t="str">
        <f>HYPERLINK("https://otsuka-europe-crm.veevavault.com/ui/#object/sent_email__v/VBLZ025E82GN0PT", "SE-000271107")</f>
        <v>SE-000271107</v>
      </c>
      <c r="D3980" s="1" t="s">
        <v>0</v>
      </c>
      <c r="E3980" s="2">
        <v>0</v>
      </c>
      <c r="F3980" s="2">
        <v>0</v>
      </c>
      <c r="G3980" s="2">
        <v>0</v>
      </c>
      <c r="H3980" s="1" t="s">
        <v>0</v>
      </c>
      <c r="I3980" s="2">
        <v>0</v>
      </c>
      <c r="J3980" s="1">
        <v>45912.693622685183</v>
      </c>
    </row>
    <row r="3981" spans="1:10" x14ac:dyDescent="0.2">
      <c r="A3981" s="4" t="s">
        <v>1</v>
      </c>
      <c r="B3981" s="3" t="str">
        <f>HYPERLINK("https://otsuka-europe-crm.veevavault.com/ui/#object/approved_document__v/V5OZ025E82TFUPI", "Spain - HCP Survey Email - June 2025")</f>
        <v>Spain - HCP Survey Email - June 2025</v>
      </c>
      <c r="C3981" s="3" t="str">
        <f>HYPERLINK("https://otsuka-europe-crm.veevavault.com/ui/#object/sent_email__v/VBLZ025E82GN0PU", "SE-000271108")</f>
        <v>SE-000271108</v>
      </c>
      <c r="D3981" s="1">
        <v>45917.502453703702</v>
      </c>
      <c r="E3981" s="2">
        <v>1</v>
      </c>
      <c r="F3981" s="2">
        <v>2</v>
      </c>
      <c r="G3981" s="2">
        <v>0</v>
      </c>
      <c r="H3981" s="1" t="s">
        <v>0</v>
      </c>
      <c r="I3981" s="2">
        <v>0</v>
      </c>
      <c r="J3981" s="1">
        <v>45915.379143518519</v>
      </c>
    </row>
    <row r="3982" spans="1:10" x14ac:dyDescent="0.2">
      <c r="A3982" s="4" t="s">
        <v>1</v>
      </c>
      <c r="B3982" s="3" t="str">
        <f>HYPERLINK("https://otsuka-europe-crm.veevavault.com/ui/#object/approved_document__v/V5OZ025E82TFUPI", "Spain - HCP Survey Email - June 2025")</f>
        <v>Spain - HCP Survey Email - June 2025</v>
      </c>
      <c r="C3982" s="3" t="str">
        <f>HYPERLINK("https://otsuka-europe-crm.veevavault.com/ui/#object/sent_email__v/VBLZ025E82GN0PV", "SE-000271109")</f>
        <v>SE-000271109</v>
      </c>
      <c r="D3982" s="1" t="s">
        <v>0</v>
      </c>
      <c r="E3982" s="2">
        <v>0</v>
      </c>
      <c r="F3982" s="2">
        <v>0</v>
      </c>
      <c r="G3982" s="2">
        <v>0</v>
      </c>
      <c r="H3982" s="1" t="s">
        <v>0</v>
      </c>
      <c r="I3982" s="2">
        <v>0</v>
      </c>
      <c r="J3982" s="1">
        <v>45915.377928240741</v>
      </c>
    </row>
    <row r="3983" spans="1:10" x14ac:dyDescent="0.2">
      <c r="A3983" s="4" t="s">
        <v>1</v>
      </c>
      <c r="B3983" s="3" t="str">
        <f>HYPERLINK("https://otsuka-europe-crm.veevavault.com/ui/#object/approved_document__v/V5OZ025E82TFUPI", "Spain - HCP Survey Email - June 2025")</f>
        <v>Spain - HCP Survey Email - June 2025</v>
      </c>
      <c r="C3983" s="3" t="str">
        <f>HYPERLINK("https://otsuka-europe-crm.veevavault.com/ui/#object/sent_email__v/VBLZ025E82GN0PW", "SE-000271110")</f>
        <v>SE-000271110</v>
      </c>
      <c r="D3983" s="1">
        <v>45915.619629629633</v>
      </c>
      <c r="E3983" s="2">
        <v>1</v>
      </c>
      <c r="F3983" s="2">
        <v>1</v>
      </c>
      <c r="G3983" s="2">
        <v>0</v>
      </c>
      <c r="H3983" s="1" t="s">
        <v>0</v>
      </c>
      <c r="I3983" s="2">
        <v>0</v>
      </c>
      <c r="J3983" s="1">
        <v>45915.378217592595</v>
      </c>
    </row>
    <row r="3984" spans="1:10" x14ac:dyDescent="0.2">
      <c r="A3984" s="4" t="s">
        <v>1</v>
      </c>
      <c r="B3984" s="3" t="str">
        <f>HYPERLINK("https://otsuka-europe-crm.veevavault.com/ui/#object/approved_document__v/V5OZ025E82TFUPI", "Spain - HCP Survey Email - June 2025")</f>
        <v>Spain - HCP Survey Email - June 2025</v>
      </c>
      <c r="C3984" s="3" t="str">
        <f>HYPERLINK("https://otsuka-europe-crm.veevavault.com/ui/#object/sent_email__v/VBLZ025E82GN0PX", "SE-000271111")</f>
        <v>SE-000271111</v>
      </c>
      <c r="D3984" s="1">
        <v>45938.830138888887</v>
      </c>
      <c r="E3984" s="2">
        <v>1</v>
      </c>
      <c r="F3984" s="2">
        <v>1</v>
      </c>
      <c r="G3984" s="2">
        <v>0</v>
      </c>
      <c r="H3984" s="1" t="s">
        <v>0</v>
      </c>
      <c r="I3984" s="2">
        <v>0</v>
      </c>
      <c r="J3984" s="1">
        <v>45915.378217592595</v>
      </c>
    </row>
    <row r="3985" spans="1:10" x14ac:dyDescent="0.2">
      <c r="A3985" s="4" t="s">
        <v>1</v>
      </c>
      <c r="B3985" s="3" t="str">
        <f>HYPERLINK("https://otsuka-europe-crm.veevavault.com/ui/#object/approved_document__v/V5OZ025E82TFUPI", "Spain - HCP Survey Email - June 2025")</f>
        <v>Spain - HCP Survey Email - June 2025</v>
      </c>
      <c r="C3985" s="3" t="str">
        <f>HYPERLINK("https://otsuka-europe-crm.veevavault.com/ui/#object/sent_email__v/VBLZ025E82GN0PZ", "SE-000271113")</f>
        <v>SE-000271113</v>
      </c>
      <c r="D3985" s="1" t="s">
        <v>0</v>
      </c>
      <c r="E3985" s="2">
        <v>0</v>
      </c>
      <c r="F3985" s="2">
        <v>0</v>
      </c>
      <c r="G3985" s="2">
        <v>0</v>
      </c>
      <c r="H3985" s="1" t="s">
        <v>0</v>
      </c>
      <c r="I3985" s="2">
        <v>0</v>
      </c>
      <c r="J3985" s="1">
        <v>45915.379791666666</v>
      </c>
    </row>
    <row r="3986" spans="1:10" x14ac:dyDescent="0.2">
      <c r="A3986" s="4" t="s">
        <v>1</v>
      </c>
      <c r="B3986" s="3" t="str">
        <f>HYPERLINK("https://otsuka-europe-crm.veevavault.com/ui/#object/approved_document__v/V5OZ025E82TFUPI", "Spain - HCP Survey Email - June 2025")</f>
        <v>Spain - HCP Survey Email - June 2025</v>
      </c>
      <c r="C3986" s="3" t="str">
        <f>HYPERLINK("https://otsuka-europe-crm.veevavault.com/ui/#object/sent_email__v/VBLZ025E82GN0Q0", "SE-000271114")</f>
        <v>SE-000271114</v>
      </c>
      <c r="D3986" s="1">
        <v>45916.486979166664</v>
      </c>
      <c r="E3986" s="2">
        <v>1</v>
      </c>
      <c r="F3986" s="2">
        <v>1</v>
      </c>
      <c r="G3986" s="2">
        <v>1</v>
      </c>
      <c r="H3986" s="1">
        <v>45916.487118055556</v>
      </c>
      <c r="I3986" s="2">
        <v>2</v>
      </c>
      <c r="J3986" s="1">
        <v>45915.37940972222</v>
      </c>
    </row>
    <row r="3987" spans="1:10" x14ac:dyDescent="0.2">
      <c r="A3987" s="4" t="s">
        <v>1</v>
      </c>
      <c r="B3987" s="3" t="str">
        <f>HYPERLINK("https://otsuka-europe-crm.veevavault.com/ui/#object/approved_document__v/V5OZ025E82TFUPI", "Spain - HCP Survey Email - June 2025")</f>
        <v>Spain - HCP Survey Email - June 2025</v>
      </c>
      <c r="C3987" s="3" t="str">
        <f>HYPERLINK("https://otsuka-europe-crm.veevavault.com/ui/#object/sent_email__v/VBLZ025E82GN0Q1", "SE-000271115")</f>
        <v>SE-000271115</v>
      </c>
      <c r="D3987" s="1" t="s">
        <v>0</v>
      </c>
      <c r="E3987" s="2">
        <v>0</v>
      </c>
      <c r="F3987" s="2">
        <v>0</v>
      </c>
      <c r="G3987" s="2">
        <v>0</v>
      </c>
      <c r="H3987" s="1" t="s">
        <v>0</v>
      </c>
      <c r="I3987" s="2">
        <v>0</v>
      </c>
      <c r="J3987" s="1">
        <v>45915.377442129633</v>
      </c>
    </row>
    <row r="3988" spans="1:10" x14ac:dyDescent="0.2">
      <c r="A3988" s="4" t="s">
        <v>1</v>
      </c>
      <c r="B3988" s="3" t="str">
        <f>HYPERLINK("https://otsuka-europe-crm.veevavault.com/ui/#object/approved_document__v/V5OZ025E82TFUPI", "Spain - HCP Survey Email - June 2025")</f>
        <v>Spain - HCP Survey Email - June 2025</v>
      </c>
      <c r="C3988" s="3" t="str">
        <f>HYPERLINK("https://otsuka-europe-crm.veevavault.com/ui/#object/sent_email__v/VBLZ025E82GN0Q2", "SE-000271116")</f>
        <v>SE-000271116</v>
      </c>
      <c r="D3988" s="1" t="s">
        <v>0</v>
      </c>
      <c r="E3988" s="2">
        <v>0</v>
      </c>
      <c r="F3988" s="2">
        <v>0</v>
      </c>
      <c r="G3988" s="2">
        <v>0</v>
      </c>
      <c r="H3988" s="1" t="s">
        <v>0</v>
      </c>
      <c r="I3988" s="2">
        <v>0</v>
      </c>
      <c r="J3988" s="1">
        <v>45915.378310185188</v>
      </c>
    </row>
    <row r="3989" spans="1:10" x14ac:dyDescent="0.2">
      <c r="A3989" s="4" t="s">
        <v>1</v>
      </c>
      <c r="B3989" s="3" t="str">
        <f>HYPERLINK("https://otsuka-europe-crm.veevavault.com/ui/#object/approved_document__v/V5OZ025E82TFUPI", "Spain - HCP Survey Email - June 2025")</f>
        <v>Spain - HCP Survey Email - June 2025</v>
      </c>
      <c r="C3989" s="3" t="str">
        <f>HYPERLINK("https://otsuka-europe-crm.veevavault.com/ui/#object/sent_email__v/VBLZ025E82GN0Q3", "SE-000271117")</f>
        <v>SE-000271117</v>
      </c>
      <c r="D3989" s="1">
        <v>45915.653703703705</v>
      </c>
      <c r="E3989" s="2">
        <v>1</v>
      </c>
      <c r="F3989" s="2">
        <v>1</v>
      </c>
      <c r="G3989" s="2">
        <v>1</v>
      </c>
      <c r="H3989" s="1">
        <v>45915.653831018521</v>
      </c>
      <c r="I3989" s="2">
        <v>2</v>
      </c>
      <c r="J3989" s="1">
        <v>45915.37872685185</v>
      </c>
    </row>
    <row r="3990" spans="1:10" x14ac:dyDescent="0.2">
      <c r="A3990" s="4" t="s">
        <v>1</v>
      </c>
      <c r="B3990" s="3" t="str">
        <f>HYPERLINK("https://otsuka-europe-crm.veevavault.com/ui/#object/approved_document__v/V5OZ025E82TFUPI", "Spain - HCP Survey Email - June 2025")</f>
        <v>Spain - HCP Survey Email - June 2025</v>
      </c>
      <c r="C3990" s="3" t="str">
        <f>HYPERLINK("https://otsuka-europe-crm.veevavault.com/ui/#object/sent_email__v/VBLZ025E82GN0Q4", "SE-000271118")</f>
        <v>SE-000271118</v>
      </c>
      <c r="D3990" s="1">
        <v>45916.340254629627</v>
      </c>
      <c r="E3990" s="2">
        <v>1</v>
      </c>
      <c r="F3990" s="2">
        <v>1</v>
      </c>
      <c r="G3990" s="2">
        <v>1</v>
      </c>
      <c r="H3990" s="1">
        <v>45916.340254629627</v>
      </c>
      <c r="I3990" s="2">
        <v>1</v>
      </c>
      <c r="J3990" s="1">
        <v>45915.378645833334</v>
      </c>
    </row>
    <row r="3991" spans="1:10" x14ac:dyDescent="0.2">
      <c r="A3991" s="4" t="s">
        <v>1</v>
      </c>
      <c r="B3991" s="3" t="str">
        <f>HYPERLINK("https://otsuka-europe-crm.veevavault.com/ui/#object/approved_document__v/V5OZ025E82TFUPI", "Spain - HCP Survey Email - June 2025")</f>
        <v>Spain - HCP Survey Email - June 2025</v>
      </c>
      <c r="C3991" s="3" t="str">
        <f>HYPERLINK("https://otsuka-europe-crm.veevavault.com/ui/#object/sent_email__v/VBLZ025E82GN0Q5", "SE-000271119")</f>
        <v>SE-000271119</v>
      </c>
      <c r="D3991" s="1">
        <v>45915.533888888887</v>
      </c>
      <c r="E3991" s="2">
        <v>1</v>
      </c>
      <c r="F3991" s="2">
        <v>1</v>
      </c>
      <c r="G3991" s="2">
        <v>0</v>
      </c>
      <c r="H3991" s="1" t="s">
        <v>0</v>
      </c>
      <c r="I3991" s="2">
        <v>0</v>
      </c>
      <c r="J3991" s="1">
        <v>45915.379212962966</v>
      </c>
    </row>
    <row r="3992" spans="1:10" x14ac:dyDescent="0.2">
      <c r="A3992" s="4" t="s">
        <v>1</v>
      </c>
      <c r="B3992" s="3" t="str">
        <f>HYPERLINK("https://otsuka-europe-crm.veevavault.com/ui/#object/approved_document__v/V5OZ025E82TFUPI", "Spain - HCP Survey Email - June 2025")</f>
        <v>Spain - HCP Survey Email - June 2025</v>
      </c>
      <c r="C3992" s="3" t="str">
        <f>HYPERLINK("https://otsuka-europe-crm.veevavault.com/ui/#object/sent_email__v/VBLZ025E82GN0Q6", "SE-000271120")</f>
        <v>SE-000271120</v>
      </c>
      <c r="D3992" s="1">
        <v>45915.391747685186</v>
      </c>
      <c r="E3992" s="2">
        <v>1</v>
      </c>
      <c r="F3992" s="2">
        <v>1</v>
      </c>
      <c r="G3992" s="2">
        <v>0</v>
      </c>
      <c r="H3992" s="1" t="s">
        <v>0</v>
      </c>
      <c r="I3992" s="2">
        <v>0</v>
      </c>
      <c r="J3992" s="1">
        <v>45915.377893518518</v>
      </c>
    </row>
    <row r="3993" spans="1:10" x14ac:dyDescent="0.2">
      <c r="A3993" s="4" t="s">
        <v>1</v>
      </c>
      <c r="B3993" s="3" t="str">
        <f>HYPERLINK("https://otsuka-europe-crm.veevavault.com/ui/#object/approved_document__v/V5OZ025E82TFUPI", "Spain - HCP Survey Email - June 2025")</f>
        <v>Spain - HCP Survey Email - June 2025</v>
      </c>
      <c r="C3993" s="3" t="str">
        <f>HYPERLINK("https://otsuka-europe-crm.veevavault.com/ui/#object/sent_email__v/VBLZ025E82GN0Q7", "SE-000271121")</f>
        <v>SE-000271121</v>
      </c>
      <c r="D3993" s="1" t="s">
        <v>0</v>
      </c>
      <c r="E3993" s="2">
        <v>0</v>
      </c>
      <c r="F3993" s="2">
        <v>0</v>
      </c>
      <c r="G3993" s="2">
        <v>0</v>
      </c>
      <c r="H3993" s="1" t="s">
        <v>0</v>
      </c>
      <c r="I3993" s="2">
        <v>0</v>
      </c>
      <c r="J3993" s="1">
        <v>45915.378217592595</v>
      </c>
    </row>
    <row r="3994" spans="1:10" x14ac:dyDescent="0.2">
      <c r="A3994" s="4" t="s">
        <v>1</v>
      </c>
      <c r="B3994" s="3" t="str">
        <f>HYPERLINK("https://otsuka-europe-crm.veevavault.com/ui/#object/approved_document__v/V5OZ025E82TFUPI", "Spain - HCP Survey Email - June 2025")</f>
        <v>Spain - HCP Survey Email - June 2025</v>
      </c>
      <c r="C3994" s="3" t="str">
        <f>HYPERLINK("https://otsuka-europe-crm.veevavault.com/ui/#object/sent_email__v/VBLZ025E82GN0Q8", "SE-000271122")</f>
        <v>SE-000271122</v>
      </c>
      <c r="D3994" s="1">
        <v>45915.851307870369</v>
      </c>
      <c r="E3994" s="2">
        <v>1</v>
      </c>
      <c r="F3994" s="2">
        <v>1</v>
      </c>
      <c r="G3994" s="2">
        <v>1</v>
      </c>
      <c r="H3994" s="1">
        <v>45915.851493055554</v>
      </c>
      <c r="I3994" s="2">
        <v>1</v>
      </c>
      <c r="J3994" s="1">
        <v>45915.378067129626</v>
      </c>
    </row>
    <row r="3995" spans="1:10" x14ac:dyDescent="0.2">
      <c r="A3995" s="4" t="s">
        <v>1</v>
      </c>
      <c r="B3995" s="3" t="str">
        <f>HYPERLINK("https://otsuka-europe-crm.veevavault.com/ui/#object/approved_document__v/V5OZ025E82TFUPI", "Spain - HCP Survey Email - June 2025")</f>
        <v>Spain - HCP Survey Email - June 2025</v>
      </c>
      <c r="C3995" s="3" t="str">
        <f>HYPERLINK("https://otsuka-europe-crm.veevavault.com/ui/#object/sent_email__v/VBLZ025E82GN0Q9", "SE-000271123")</f>
        <v>SE-000271123</v>
      </c>
      <c r="D3995" s="1" t="s">
        <v>0</v>
      </c>
      <c r="E3995" s="2">
        <v>0</v>
      </c>
      <c r="F3995" s="2">
        <v>0</v>
      </c>
      <c r="G3995" s="2">
        <v>0</v>
      </c>
      <c r="H3995" s="1" t="s">
        <v>0</v>
      </c>
      <c r="I3995" s="2">
        <v>0</v>
      </c>
      <c r="J3995" s="1">
        <v>45915.378564814811</v>
      </c>
    </row>
    <row r="3996" spans="1:10" x14ac:dyDescent="0.2">
      <c r="A3996" s="4" t="s">
        <v>1</v>
      </c>
      <c r="B3996" s="3" t="str">
        <f>HYPERLINK("https://otsuka-europe-crm.veevavault.com/ui/#object/approved_document__v/V5OZ025E82TFUPI", "Spain - HCP Survey Email - June 2025")</f>
        <v>Spain - HCP Survey Email - June 2025</v>
      </c>
      <c r="C3996" s="3" t="str">
        <f>HYPERLINK("https://otsuka-europe-crm.veevavault.com/ui/#object/sent_email__v/VBLZ025E82GN0QA", "SE-000271124")</f>
        <v>SE-000271124</v>
      </c>
      <c r="D3996" s="1" t="s">
        <v>0</v>
      </c>
      <c r="E3996" s="2">
        <v>0</v>
      </c>
      <c r="F3996" s="2">
        <v>0</v>
      </c>
      <c r="G3996" s="2">
        <v>0</v>
      </c>
      <c r="H3996" s="1" t="s">
        <v>0</v>
      </c>
      <c r="I3996" s="2">
        <v>0</v>
      </c>
      <c r="J3996" s="1">
        <v>45915.379942129628</v>
      </c>
    </row>
    <row r="3997" spans="1:10" x14ac:dyDescent="0.2">
      <c r="A3997" s="4" t="s">
        <v>1</v>
      </c>
      <c r="B3997" s="3" t="str">
        <f>HYPERLINK("https://otsuka-europe-crm.veevavault.com/ui/#object/approved_document__v/V5OZ025E82TFUPI", "Spain - HCP Survey Email - June 2025")</f>
        <v>Spain - HCP Survey Email - June 2025</v>
      </c>
      <c r="C3997" s="3" t="str">
        <f>HYPERLINK("https://otsuka-europe-crm.veevavault.com/ui/#object/sent_email__v/VBLZ025E82GN0QB", "SE-000271125")</f>
        <v>SE-000271125</v>
      </c>
      <c r="D3997" s="1" t="s">
        <v>0</v>
      </c>
      <c r="E3997" s="2">
        <v>0</v>
      </c>
      <c r="F3997" s="2">
        <v>0</v>
      </c>
      <c r="G3997" s="2">
        <v>0</v>
      </c>
      <c r="H3997" s="1" t="s">
        <v>0</v>
      </c>
      <c r="I3997" s="2">
        <v>0</v>
      </c>
      <c r="J3997" s="1">
        <v>45915.379351851851</v>
      </c>
    </row>
    <row r="3998" spans="1:10" x14ac:dyDescent="0.2">
      <c r="A3998" s="4" t="s">
        <v>1</v>
      </c>
      <c r="B3998" s="3" t="str">
        <f>HYPERLINK("https://otsuka-europe-crm.veevavault.com/ui/#object/approved_document__v/V5OZ025E82TFUPI", "Spain - HCP Survey Email - June 2025")</f>
        <v>Spain - HCP Survey Email - June 2025</v>
      </c>
      <c r="C3998" s="3" t="str">
        <f>HYPERLINK("https://otsuka-europe-crm.veevavault.com/ui/#object/sent_email__v/VBLZ025E82GN0QC", "SE-000271126")</f>
        <v>SE-000271126</v>
      </c>
      <c r="D3998" s="1" t="s">
        <v>0</v>
      </c>
      <c r="E3998" s="2">
        <v>0</v>
      </c>
      <c r="F3998" s="2">
        <v>0</v>
      </c>
      <c r="G3998" s="2">
        <v>0</v>
      </c>
      <c r="H3998" s="1" t="s">
        <v>0</v>
      </c>
      <c r="I3998" s="2">
        <v>0</v>
      </c>
      <c r="J3998" s="1">
        <v>45915.377465277779</v>
      </c>
    </row>
    <row r="3999" spans="1:10" x14ac:dyDescent="0.2">
      <c r="A3999" s="4" t="s">
        <v>1</v>
      </c>
      <c r="B3999" s="3" t="str">
        <f>HYPERLINK("https://otsuka-europe-crm.veevavault.com/ui/#object/approved_document__v/V5OZ025E82TFUPI", "Spain - HCP Survey Email - June 2025")</f>
        <v>Spain - HCP Survey Email - June 2025</v>
      </c>
      <c r="C3999" s="3" t="str">
        <f>HYPERLINK("https://otsuka-europe-crm.veevavault.com/ui/#object/sent_email__v/VBLZ025E82GN0QD", "SE-000271127")</f>
        <v>SE-000271127</v>
      </c>
      <c r="D3999" s="1">
        <v>45915.865763888891</v>
      </c>
      <c r="E3999" s="2">
        <v>1</v>
      </c>
      <c r="F3999" s="2">
        <v>1</v>
      </c>
      <c r="G3999" s="2">
        <v>0</v>
      </c>
      <c r="H3999" s="1" t="s">
        <v>0</v>
      </c>
      <c r="I3999" s="2">
        <v>0</v>
      </c>
      <c r="J3999" s="1">
        <v>45915.378391203703</v>
      </c>
    </row>
    <row r="4000" spans="1:10" x14ac:dyDescent="0.2">
      <c r="A4000" s="4" t="s">
        <v>1</v>
      </c>
      <c r="B4000" s="3" t="str">
        <f>HYPERLINK("https://otsuka-europe-crm.veevavault.com/ui/#object/approved_document__v/V5OZ025E82TFUPI", "Spain - HCP Survey Email - June 2025")</f>
        <v>Spain - HCP Survey Email - June 2025</v>
      </c>
      <c r="C4000" s="3" t="str">
        <f>HYPERLINK("https://otsuka-europe-crm.veevavault.com/ui/#object/sent_email__v/VBLZ025E82GN0QE", "SE-000271128")</f>
        <v>SE-000271128</v>
      </c>
      <c r="D4000" s="1" t="s">
        <v>0</v>
      </c>
      <c r="E4000" s="2">
        <v>0</v>
      </c>
      <c r="F4000" s="2">
        <v>0</v>
      </c>
      <c r="G4000" s="2">
        <v>0</v>
      </c>
      <c r="H4000" s="1" t="s">
        <v>0</v>
      </c>
      <c r="I4000" s="2">
        <v>0</v>
      </c>
      <c r="J4000" s="1">
        <v>45915.378831018519</v>
      </c>
    </row>
    <row r="4001" spans="1:10" x14ac:dyDescent="0.2">
      <c r="A4001" s="4" t="s">
        <v>1</v>
      </c>
      <c r="B4001" s="3" t="str">
        <f>HYPERLINK("https://otsuka-europe-crm.veevavault.com/ui/#object/approved_document__v/V5OZ025E82TFUPI", "Spain - HCP Survey Email - June 2025")</f>
        <v>Spain - HCP Survey Email - June 2025</v>
      </c>
      <c r="C4001" s="3" t="str">
        <f>HYPERLINK("https://otsuka-europe-crm.veevavault.com/ui/#object/sent_email__v/VBLZ025E82GN0QF", "SE-000271129")</f>
        <v>SE-000271129</v>
      </c>
      <c r="D4001" s="1" t="s">
        <v>0</v>
      </c>
      <c r="E4001" s="2">
        <v>0</v>
      </c>
      <c r="F4001" s="2">
        <v>0</v>
      </c>
      <c r="G4001" s="2">
        <v>0</v>
      </c>
      <c r="H4001" s="1" t="s">
        <v>0</v>
      </c>
      <c r="I4001" s="2">
        <v>0</v>
      </c>
      <c r="J4001" s="1">
        <v>45915.37871527778</v>
      </c>
    </row>
    <row r="4002" spans="1:10" x14ac:dyDescent="0.2">
      <c r="A4002" s="4" t="s">
        <v>1</v>
      </c>
      <c r="B4002" s="3" t="str">
        <f>HYPERLINK("https://otsuka-europe-crm.veevavault.com/ui/#object/approved_document__v/V5OZ025E82TFUPI", "Spain - HCP Survey Email - June 2025")</f>
        <v>Spain - HCP Survey Email - June 2025</v>
      </c>
      <c r="C4002" s="3" t="str">
        <f>HYPERLINK("https://otsuka-europe-crm.veevavault.com/ui/#object/sent_email__v/VBLZ025E82GN0QG", "SE-000271130")</f>
        <v>SE-000271130</v>
      </c>
      <c r="D4002" s="1" t="s">
        <v>0</v>
      </c>
      <c r="E4002" s="2">
        <v>0</v>
      </c>
      <c r="F4002" s="2">
        <v>0</v>
      </c>
      <c r="G4002" s="2">
        <v>0</v>
      </c>
      <c r="H4002" s="1" t="s">
        <v>0</v>
      </c>
      <c r="I4002" s="2">
        <v>0</v>
      </c>
      <c r="J4002" s="1">
        <v>45915.379050925927</v>
      </c>
    </row>
    <row r="4003" spans="1:10" x14ac:dyDescent="0.2">
      <c r="A4003" s="4" t="s">
        <v>1</v>
      </c>
      <c r="B4003" s="3" t="str">
        <f>HYPERLINK("https://otsuka-europe-crm.veevavault.com/ui/#object/approved_document__v/V5OZ025E82TFUPI", "Spain - HCP Survey Email - June 2025")</f>
        <v>Spain - HCP Survey Email - June 2025</v>
      </c>
      <c r="C4003" s="3" t="str">
        <f>HYPERLINK("https://otsuka-europe-crm.veevavault.com/ui/#object/sent_email__v/VBLZ025E82GN0QH", "SE-000271131")</f>
        <v>SE-000271131</v>
      </c>
      <c r="D4003" s="1" t="s">
        <v>0</v>
      </c>
      <c r="E4003" s="2">
        <v>0</v>
      </c>
      <c r="F4003" s="2">
        <v>0</v>
      </c>
      <c r="G4003" s="2">
        <v>0</v>
      </c>
      <c r="H4003" s="1" t="s">
        <v>0</v>
      </c>
      <c r="I4003" s="2">
        <v>0</v>
      </c>
      <c r="J4003" s="1">
        <v>45915.377893518518</v>
      </c>
    </row>
    <row r="4004" spans="1:10" x14ac:dyDescent="0.2">
      <c r="A4004" s="4" t="s">
        <v>1</v>
      </c>
      <c r="B4004" s="3" t="str">
        <f>HYPERLINK("https://otsuka-europe-crm.veevavault.com/ui/#object/approved_document__v/V5OZ025E82TFUPI", "Spain - HCP Survey Email - June 2025")</f>
        <v>Spain - HCP Survey Email - June 2025</v>
      </c>
      <c r="C4004" s="3" t="str">
        <f>HYPERLINK("https://otsuka-europe-crm.veevavault.com/ui/#object/sent_email__v/VBLZ025E82GN0QI", "SE-000271132")</f>
        <v>SE-000271132</v>
      </c>
      <c r="D4004" s="1" t="s">
        <v>0</v>
      </c>
      <c r="E4004" s="2">
        <v>0</v>
      </c>
      <c r="F4004" s="2">
        <v>0</v>
      </c>
      <c r="G4004" s="2">
        <v>0</v>
      </c>
      <c r="H4004" s="1" t="s">
        <v>0</v>
      </c>
      <c r="I4004" s="2">
        <v>0</v>
      </c>
      <c r="J4004" s="1">
        <v>45915.378796296296</v>
      </c>
    </row>
    <row r="4005" spans="1:10" x14ac:dyDescent="0.2">
      <c r="A4005" s="4" t="s">
        <v>1</v>
      </c>
      <c r="B4005" s="3" t="str">
        <f>HYPERLINK("https://otsuka-europe-crm.veevavault.com/ui/#object/approved_document__v/V5OZ025E82TFUPI", "Spain - HCP Survey Email - June 2025")</f>
        <v>Spain - HCP Survey Email - June 2025</v>
      </c>
      <c r="C4005" s="3" t="str">
        <f>HYPERLINK("https://otsuka-europe-crm.veevavault.com/ui/#object/sent_email__v/VBLZ025E82GN0QJ", "SE-000271133")</f>
        <v>SE-000271133</v>
      </c>
      <c r="D4005" s="1" t="s">
        <v>0</v>
      </c>
      <c r="E4005" s="2">
        <v>0</v>
      </c>
      <c r="F4005" s="2">
        <v>0</v>
      </c>
      <c r="G4005" s="2">
        <v>0</v>
      </c>
      <c r="H4005" s="1" t="s">
        <v>0</v>
      </c>
      <c r="I4005" s="2">
        <v>0</v>
      </c>
      <c r="J4005" s="1">
        <v>45915.37872685185</v>
      </c>
    </row>
    <row r="4006" spans="1:10" x14ac:dyDescent="0.2">
      <c r="A4006" s="4" t="s">
        <v>1</v>
      </c>
      <c r="B4006" s="3" t="str">
        <f>HYPERLINK("https://otsuka-europe-crm.veevavault.com/ui/#object/approved_document__v/V5OZ025E82TFUPI", "Spain - HCP Survey Email - June 2025")</f>
        <v>Spain - HCP Survey Email - June 2025</v>
      </c>
      <c r="C4006" s="3" t="str">
        <f>HYPERLINK("https://otsuka-europe-crm.veevavault.com/ui/#object/sent_email__v/VBLZ025E82GN0QK", "SE-000271134")</f>
        <v>SE-000271134</v>
      </c>
      <c r="D4006" s="1" t="s">
        <v>0</v>
      </c>
      <c r="E4006" s="2">
        <v>0</v>
      </c>
      <c r="F4006" s="2">
        <v>0</v>
      </c>
      <c r="G4006" s="2">
        <v>0</v>
      </c>
      <c r="H4006" s="1" t="s">
        <v>0</v>
      </c>
      <c r="I4006" s="2">
        <v>0</v>
      </c>
      <c r="J4006" s="1">
        <v>45915.379027777781</v>
      </c>
    </row>
    <row r="4007" spans="1:10" x14ac:dyDescent="0.2">
      <c r="A4007" s="4" t="s">
        <v>1</v>
      </c>
      <c r="B4007" s="3" t="str">
        <f>HYPERLINK("https://otsuka-europe-crm.veevavault.com/ui/#object/approved_document__v/V5OZ025E82TFUPI", "Spain - HCP Survey Email - June 2025")</f>
        <v>Spain - HCP Survey Email - June 2025</v>
      </c>
      <c r="C4007" s="3" t="str">
        <f>HYPERLINK("https://otsuka-europe-crm.veevavault.com/ui/#object/sent_email__v/VBLZ025E82GN0QL", "SE-000271135")</f>
        <v>SE-000271135</v>
      </c>
      <c r="D4007" s="1">
        <v>45915.483344907407</v>
      </c>
      <c r="E4007" s="2">
        <v>1</v>
      </c>
      <c r="F4007" s="2">
        <v>4</v>
      </c>
      <c r="G4007" s="2">
        <v>1</v>
      </c>
      <c r="H4007" s="1">
        <v>45915.455648148149</v>
      </c>
      <c r="I4007" s="2">
        <v>1</v>
      </c>
      <c r="J4007" s="1">
        <v>45915.377962962964</v>
      </c>
    </row>
    <row r="4008" spans="1:10" x14ac:dyDescent="0.2">
      <c r="A4008" s="4" t="s">
        <v>1</v>
      </c>
      <c r="B4008" s="3" t="str">
        <f>HYPERLINK("https://otsuka-europe-crm.veevavault.com/ui/#object/approved_document__v/V5OZ025E82TFUPI", "Spain - HCP Survey Email - June 2025")</f>
        <v>Spain - HCP Survey Email - June 2025</v>
      </c>
      <c r="C4008" s="3" t="str">
        <f>HYPERLINK("https://otsuka-europe-crm.veevavault.com/ui/#object/sent_email__v/VBLZ025E82GN0QM", "SE-000271136")</f>
        <v>SE-000271136</v>
      </c>
      <c r="D4008" s="1" t="s">
        <v>0</v>
      </c>
      <c r="E4008" s="2">
        <v>0</v>
      </c>
      <c r="F4008" s="2">
        <v>0</v>
      </c>
      <c r="G4008" s="2">
        <v>0</v>
      </c>
      <c r="H4008" s="1" t="s">
        <v>0</v>
      </c>
      <c r="I4008" s="2">
        <v>0</v>
      </c>
      <c r="J4008" s="1">
        <v>45915.37835648148</v>
      </c>
    </row>
    <row r="4009" spans="1:10" x14ac:dyDescent="0.2">
      <c r="A4009" s="4" t="s">
        <v>1</v>
      </c>
      <c r="B4009" s="3" t="str">
        <f>HYPERLINK("https://otsuka-europe-crm.veevavault.com/ui/#object/approved_document__v/V5OZ025E82TFUPI", "Spain - HCP Survey Email - June 2025")</f>
        <v>Spain - HCP Survey Email - June 2025</v>
      </c>
      <c r="C4009" s="3" t="str">
        <f>HYPERLINK("https://otsuka-europe-crm.veevavault.com/ui/#object/sent_email__v/VBLZ025E82GN0QN", "SE-000271137")</f>
        <v>SE-000271137</v>
      </c>
      <c r="D4009" s="1">
        <v>45916.415671296294</v>
      </c>
      <c r="E4009" s="2">
        <v>1</v>
      </c>
      <c r="F4009" s="2">
        <v>1</v>
      </c>
      <c r="G4009" s="2">
        <v>1</v>
      </c>
      <c r="H4009" s="1">
        <v>45916.415671296294</v>
      </c>
      <c r="I4009" s="2">
        <v>1</v>
      </c>
      <c r="J4009" s="1">
        <v>45915.378182870372</v>
      </c>
    </row>
    <row r="4010" spans="1:10" x14ac:dyDescent="0.2">
      <c r="A4010" s="4" t="s">
        <v>1</v>
      </c>
      <c r="B4010" s="3" t="str">
        <f>HYPERLINK("https://otsuka-europe-crm.veevavault.com/ui/#object/approved_document__v/V5OZ025E82TFUPI", "Spain - HCP Survey Email - June 2025")</f>
        <v>Spain - HCP Survey Email - June 2025</v>
      </c>
      <c r="C4010" s="3" t="str">
        <f>HYPERLINK("https://otsuka-europe-crm.veevavault.com/ui/#object/sent_email__v/VBLZ025E82GN0QO", "SE-000271138")</f>
        <v>SE-000271138</v>
      </c>
      <c r="D4010" s="1" t="s">
        <v>0</v>
      </c>
      <c r="E4010" s="2">
        <v>0</v>
      </c>
      <c r="F4010" s="2">
        <v>0</v>
      </c>
      <c r="G4010" s="2">
        <v>0</v>
      </c>
      <c r="H4010" s="1" t="s">
        <v>0</v>
      </c>
      <c r="I4010" s="2">
        <v>0</v>
      </c>
      <c r="J4010" s="1">
        <v>45915.378634259258</v>
      </c>
    </row>
    <row r="4011" spans="1:10" x14ac:dyDescent="0.2">
      <c r="A4011" s="4" t="s">
        <v>1</v>
      </c>
      <c r="B4011" s="3" t="str">
        <f>HYPERLINK("https://otsuka-europe-crm.veevavault.com/ui/#object/approved_document__v/V5OZ025E82TFUPI", "Spain - HCP Survey Email - June 2025")</f>
        <v>Spain - HCP Survey Email - June 2025</v>
      </c>
      <c r="C4011" s="3" t="str">
        <f>HYPERLINK("https://otsuka-europe-crm.veevavault.com/ui/#object/sent_email__v/VBLZ025E82GN0QP", "SE-000271139")</f>
        <v>SE-000271139</v>
      </c>
      <c r="D4011" s="1" t="s">
        <v>0</v>
      </c>
      <c r="E4011" s="2">
        <v>0</v>
      </c>
      <c r="F4011" s="2">
        <v>0</v>
      </c>
      <c r="G4011" s="2">
        <v>0</v>
      </c>
      <c r="H4011" s="1" t="s">
        <v>0</v>
      </c>
      <c r="I4011" s="2">
        <v>0</v>
      </c>
      <c r="J4011" s="1">
        <v>45915.379918981482</v>
      </c>
    </row>
    <row r="4012" spans="1:10" x14ac:dyDescent="0.2">
      <c r="A4012" s="4" t="s">
        <v>1</v>
      </c>
      <c r="B4012" s="3" t="str">
        <f>HYPERLINK("https://otsuka-europe-crm.veevavault.com/ui/#object/approved_document__v/V5OZ025E82TFUPI", "Spain - HCP Survey Email - June 2025")</f>
        <v>Spain - HCP Survey Email - June 2025</v>
      </c>
      <c r="C4012" s="3" t="str">
        <f>HYPERLINK("https://otsuka-europe-crm.veevavault.com/ui/#object/sent_email__v/VBLZ025E82GN0QQ", "SE-000271140")</f>
        <v>SE-000271140</v>
      </c>
      <c r="D4012" s="1">
        <v>45915.565729166665</v>
      </c>
      <c r="E4012" s="2">
        <v>1</v>
      </c>
      <c r="F4012" s="2">
        <v>1</v>
      </c>
      <c r="G4012" s="2">
        <v>0</v>
      </c>
      <c r="H4012" s="1" t="s">
        <v>0</v>
      </c>
      <c r="I4012" s="2">
        <v>0</v>
      </c>
      <c r="J4012" s="1">
        <v>45915.379467592589</v>
      </c>
    </row>
    <row r="4013" spans="1:10" x14ac:dyDescent="0.2">
      <c r="A4013" s="4" t="s">
        <v>1</v>
      </c>
      <c r="B4013" s="3" t="str">
        <f>HYPERLINK("https://otsuka-europe-crm.veevavault.com/ui/#object/approved_document__v/V5OZ025E82TFUPI", "Spain - HCP Survey Email - June 2025")</f>
        <v>Spain - HCP Survey Email - June 2025</v>
      </c>
      <c r="C4013" s="3" t="str">
        <f>HYPERLINK("https://otsuka-europe-crm.veevavault.com/ui/#object/sent_email__v/VBLZ025E82GN0QR", "SE-000271141")</f>
        <v>SE-000271141</v>
      </c>
      <c r="D4013" s="1">
        <v>45915.391516203701</v>
      </c>
      <c r="E4013" s="2">
        <v>1</v>
      </c>
      <c r="F4013" s="2">
        <v>1</v>
      </c>
      <c r="G4013" s="2">
        <v>0</v>
      </c>
      <c r="H4013" s="1" t="s">
        <v>0</v>
      </c>
      <c r="I4013" s="2">
        <v>0</v>
      </c>
      <c r="J4013" s="1">
        <v>45915.377465277779</v>
      </c>
    </row>
    <row r="4014" spans="1:10" x14ac:dyDescent="0.2">
      <c r="A4014" s="4" t="s">
        <v>1</v>
      </c>
      <c r="B4014" s="3" t="str">
        <f>HYPERLINK("https://otsuka-europe-crm.veevavault.com/ui/#object/approved_document__v/V5OZ025E82TFUPI", "Spain - HCP Survey Email - June 2025")</f>
        <v>Spain - HCP Survey Email - June 2025</v>
      </c>
      <c r="C4014" s="3" t="str">
        <f>HYPERLINK("https://otsuka-europe-crm.veevavault.com/ui/#object/sent_email__v/VBLZ025E82GN0QS", "SE-000271142")</f>
        <v>SE-000271142</v>
      </c>
      <c r="D4014" s="1" t="s">
        <v>0</v>
      </c>
      <c r="E4014" s="2">
        <v>0</v>
      </c>
      <c r="F4014" s="2">
        <v>0</v>
      </c>
      <c r="G4014" s="2">
        <v>0</v>
      </c>
      <c r="H4014" s="1" t="s">
        <v>0</v>
      </c>
      <c r="I4014" s="2">
        <v>0</v>
      </c>
      <c r="J4014" s="1">
        <v>45915.378449074073</v>
      </c>
    </row>
    <row r="4015" spans="1:10" x14ac:dyDescent="0.2">
      <c r="A4015" s="4" t="s">
        <v>1</v>
      </c>
      <c r="B4015" s="3" t="str">
        <f>HYPERLINK("https://otsuka-europe-crm.veevavault.com/ui/#object/approved_document__v/V5OZ025E82TFUPI", "Spain - HCP Survey Email - June 2025")</f>
        <v>Spain - HCP Survey Email - June 2025</v>
      </c>
      <c r="C4015" s="3" t="str">
        <f>HYPERLINK("https://otsuka-europe-crm.veevavault.com/ui/#object/sent_email__v/VBLZ025E82GN0QT", "SE-000271143")</f>
        <v>SE-000271143</v>
      </c>
      <c r="D4015" s="1" t="s">
        <v>0</v>
      </c>
      <c r="E4015" s="2">
        <v>0</v>
      </c>
      <c r="F4015" s="2">
        <v>0</v>
      </c>
      <c r="G4015" s="2">
        <v>0</v>
      </c>
      <c r="H4015" s="1" t="s">
        <v>0</v>
      </c>
      <c r="I4015" s="2">
        <v>0</v>
      </c>
      <c r="J4015" s="1">
        <v>45915.378784722219</v>
      </c>
    </row>
    <row r="4016" spans="1:10" x14ac:dyDescent="0.2">
      <c r="A4016" s="4" t="s">
        <v>1</v>
      </c>
      <c r="B4016" s="3" t="str">
        <f>HYPERLINK("https://otsuka-europe-crm.veevavault.com/ui/#object/approved_document__v/V5OZ025E82TFUPI", "Spain - HCP Survey Email - June 2025")</f>
        <v>Spain - HCP Survey Email - June 2025</v>
      </c>
      <c r="C4016" s="3" t="str">
        <f>HYPERLINK("https://otsuka-europe-crm.veevavault.com/ui/#object/sent_email__v/VBLZ025E82GN0QU", "SE-000271144")</f>
        <v>SE-000271144</v>
      </c>
      <c r="D4016" s="1" t="s">
        <v>0</v>
      </c>
      <c r="E4016" s="2">
        <v>0</v>
      </c>
      <c r="F4016" s="2">
        <v>0</v>
      </c>
      <c r="G4016" s="2">
        <v>0</v>
      </c>
      <c r="H4016" s="1" t="s">
        <v>0</v>
      </c>
      <c r="I4016" s="2">
        <v>0</v>
      </c>
      <c r="J4016" s="1">
        <v>45915.378703703704</v>
      </c>
    </row>
    <row r="4017" spans="1:10" x14ac:dyDescent="0.2">
      <c r="A4017" s="4" t="s">
        <v>1</v>
      </c>
      <c r="B4017" s="3" t="str">
        <f>HYPERLINK("https://otsuka-europe-crm.veevavault.com/ui/#object/approved_document__v/V5OZ025E82TFUPI", "Spain - HCP Survey Email - June 2025")</f>
        <v>Spain - HCP Survey Email - June 2025</v>
      </c>
      <c r="C4017" s="3" t="str">
        <f>HYPERLINK("https://otsuka-europe-crm.veevavault.com/ui/#object/sent_email__v/VBLZ025E82GN0QV", "SE-000271145")</f>
        <v>SE-000271145</v>
      </c>
      <c r="D4017" s="1">
        <v>45918.548807870371</v>
      </c>
      <c r="E4017" s="2">
        <v>1</v>
      </c>
      <c r="F4017" s="2">
        <v>2</v>
      </c>
      <c r="G4017" s="2">
        <v>0</v>
      </c>
      <c r="H4017" s="1" t="s">
        <v>0</v>
      </c>
      <c r="I4017" s="2">
        <v>0</v>
      </c>
      <c r="J4017" s="1">
        <v>45915.379120370373</v>
      </c>
    </row>
    <row r="4018" spans="1:10" x14ac:dyDescent="0.2">
      <c r="A4018" s="4" t="s">
        <v>1</v>
      </c>
      <c r="B4018" s="3" t="str">
        <f>HYPERLINK("https://otsuka-europe-crm.veevavault.com/ui/#object/approved_document__v/V5OZ025E82TFUPI", "Spain - HCP Survey Email - June 2025")</f>
        <v>Spain - HCP Survey Email - June 2025</v>
      </c>
      <c r="C4018" s="3" t="str">
        <f>HYPERLINK("https://otsuka-europe-crm.veevavault.com/ui/#object/sent_email__v/VBLZ025E82GN0QW", "SE-000271146")</f>
        <v>SE-000271146</v>
      </c>
      <c r="D4018" s="1" t="s">
        <v>0</v>
      </c>
      <c r="E4018" s="2">
        <v>0</v>
      </c>
      <c r="F4018" s="2">
        <v>0</v>
      </c>
      <c r="G4018" s="2">
        <v>0</v>
      </c>
      <c r="H4018" s="1" t="s">
        <v>0</v>
      </c>
      <c r="I4018" s="2">
        <v>0</v>
      </c>
      <c r="J4018" s="1">
        <v>45915.377893518518</v>
      </c>
    </row>
    <row r="4019" spans="1:10" x14ac:dyDescent="0.2">
      <c r="A4019" s="4" t="s">
        <v>1</v>
      </c>
      <c r="B4019" s="3" t="str">
        <f>HYPERLINK("https://otsuka-europe-crm.veevavault.com/ui/#object/approved_document__v/V5OZ025E82TFUPI", "Spain - HCP Survey Email - June 2025")</f>
        <v>Spain - HCP Survey Email - June 2025</v>
      </c>
      <c r="C4019" s="3" t="str">
        <f>HYPERLINK("https://otsuka-europe-crm.veevavault.com/ui/#object/sent_email__v/VBLZ025E82GN0QX", "SE-000271147")</f>
        <v>SE-000271147</v>
      </c>
      <c r="D4019" s="1" t="s">
        <v>0</v>
      </c>
      <c r="E4019" s="2">
        <v>0</v>
      </c>
      <c r="F4019" s="2">
        <v>0</v>
      </c>
      <c r="G4019" s="2">
        <v>0</v>
      </c>
      <c r="H4019" s="1" t="s">
        <v>0</v>
      </c>
      <c r="I4019" s="2">
        <v>0</v>
      </c>
      <c r="J4019" s="1">
        <v>45915.378321759257</v>
      </c>
    </row>
    <row r="4020" spans="1:10" x14ac:dyDescent="0.2">
      <c r="A4020" s="4" t="s">
        <v>1</v>
      </c>
      <c r="B4020" s="3" t="str">
        <f>HYPERLINK("https://otsuka-europe-crm.veevavault.com/ui/#object/approved_document__v/V5OZ025E82TFUPI", "Spain - HCP Survey Email - June 2025")</f>
        <v>Spain - HCP Survey Email - June 2025</v>
      </c>
      <c r="C4020" s="3" t="str">
        <f>HYPERLINK("https://otsuka-europe-crm.veevavault.com/ui/#object/sent_email__v/VBLZ025E82GN0QY", "SE-000271148")</f>
        <v>SE-000271148</v>
      </c>
      <c r="D4020" s="1" t="s">
        <v>0</v>
      </c>
      <c r="E4020" s="2">
        <v>0</v>
      </c>
      <c r="F4020" s="2">
        <v>0</v>
      </c>
      <c r="G4020" s="2">
        <v>0</v>
      </c>
      <c r="H4020" s="1" t="s">
        <v>0</v>
      </c>
      <c r="I4020" s="2">
        <v>0</v>
      </c>
      <c r="J4020" s="1">
        <v>45915.378148148149</v>
      </c>
    </row>
    <row r="4021" spans="1:10" x14ac:dyDescent="0.2">
      <c r="A4021" s="4" t="s">
        <v>1</v>
      </c>
      <c r="B4021" s="3" t="str">
        <f>HYPERLINK("https://otsuka-europe-crm.veevavault.com/ui/#object/approved_document__v/V5OZ025E82TFUPI", "Spain - HCP Survey Email - June 2025")</f>
        <v>Spain - HCP Survey Email - June 2025</v>
      </c>
      <c r="C4021" s="3" t="str">
        <f>HYPERLINK("https://otsuka-europe-crm.veevavault.com/ui/#object/sent_email__v/VBLZ025E82GN0QZ", "SE-000271149")</f>
        <v>SE-000271149</v>
      </c>
      <c r="D4021" s="1" t="s">
        <v>0</v>
      </c>
      <c r="E4021" s="2">
        <v>0</v>
      </c>
      <c r="F4021" s="2">
        <v>0</v>
      </c>
      <c r="G4021" s="2">
        <v>0</v>
      </c>
      <c r="H4021" s="1" t="s">
        <v>0</v>
      </c>
      <c r="I4021" s="2">
        <v>0</v>
      </c>
      <c r="J4021" s="1">
        <v>45915.378645833334</v>
      </c>
    </row>
    <row r="4022" spans="1:10" x14ac:dyDescent="0.2">
      <c r="A4022" s="4" t="s">
        <v>1</v>
      </c>
      <c r="B4022" s="3" t="str">
        <f>HYPERLINK("https://otsuka-europe-crm.veevavault.com/ui/#object/approved_document__v/V5OZ025E82TFUPI", "Spain - HCP Survey Email - June 2025")</f>
        <v>Spain - HCP Survey Email - June 2025</v>
      </c>
      <c r="C4022" s="3" t="str">
        <f>HYPERLINK("https://otsuka-europe-crm.veevavault.com/ui/#object/sent_email__v/VBLZ025E82GN0R0", "SE-000271150")</f>
        <v>SE-000271150</v>
      </c>
      <c r="D4022" s="1">
        <v>45916.989930555559</v>
      </c>
      <c r="E4022" s="2">
        <v>1</v>
      </c>
      <c r="F4022" s="2">
        <v>2</v>
      </c>
      <c r="G4022" s="2">
        <v>0</v>
      </c>
      <c r="H4022" s="1" t="s">
        <v>0</v>
      </c>
      <c r="I4022" s="2">
        <v>0</v>
      </c>
      <c r="J4022" s="1">
        <v>45915.379907407405</v>
      </c>
    </row>
    <row r="4023" spans="1:10" x14ac:dyDescent="0.2">
      <c r="A4023" s="4" t="s">
        <v>1</v>
      </c>
      <c r="B4023" s="3" t="str">
        <f>HYPERLINK("https://otsuka-europe-crm.veevavault.com/ui/#object/approved_document__v/V5OZ025E82TFUPI", "Spain - HCP Survey Email - June 2025")</f>
        <v>Spain - HCP Survey Email - June 2025</v>
      </c>
      <c r="C4023" s="3" t="str">
        <f>HYPERLINK("https://otsuka-europe-crm.veevavault.com/ui/#object/sent_email__v/VBLZ025E82GN0R1", "SE-000271151")</f>
        <v>SE-000271151</v>
      </c>
      <c r="D4023" s="1">
        <v>45915.394675925927</v>
      </c>
      <c r="E4023" s="2">
        <v>1</v>
      </c>
      <c r="F4023" s="2">
        <v>2</v>
      </c>
      <c r="G4023" s="2">
        <v>0</v>
      </c>
      <c r="H4023" s="1" t="s">
        <v>0</v>
      </c>
      <c r="I4023" s="2">
        <v>0</v>
      </c>
      <c r="J4023" s="1">
        <v>45915.37939814815</v>
      </c>
    </row>
    <row r="4024" spans="1:10" x14ac:dyDescent="0.2">
      <c r="A4024" s="4" t="s">
        <v>1</v>
      </c>
      <c r="B4024" s="3" t="str">
        <f>HYPERLINK("https://otsuka-europe-crm.veevavault.com/ui/#object/approved_document__v/V5OZ025E82TFUPI", "Spain - HCP Survey Email - June 2025")</f>
        <v>Spain - HCP Survey Email - June 2025</v>
      </c>
      <c r="C4024" s="3" t="str">
        <f>HYPERLINK("https://otsuka-europe-crm.veevavault.com/ui/#object/sent_email__v/VBLZ025E82GN0R2", "SE-000271152")</f>
        <v>SE-000271152</v>
      </c>
      <c r="D4024" s="1" t="s">
        <v>0</v>
      </c>
      <c r="E4024" s="2">
        <v>0</v>
      </c>
      <c r="F4024" s="2">
        <v>0</v>
      </c>
      <c r="G4024" s="2">
        <v>0</v>
      </c>
      <c r="H4024" s="1" t="s">
        <v>0</v>
      </c>
      <c r="I4024" s="2">
        <v>0</v>
      </c>
      <c r="J4024" s="1">
        <v>45915.377500000002</v>
      </c>
    </row>
    <row r="4025" spans="1:10" x14ac:dyDescent="0.2">
      <c r="A4025" s="4" t="s">
        <v>1</v>
      </c>
      <c r="B4025" s="3" t="str">
        <f>HYPERLINK("https://otsuka-europe-crm.veevavault.com/ui/#object/approved_document__v/V5OZ025E82TFUPI", "Spain - HCP Survey Email - June 2025")</f>
        <v>Spain - HCP Survey Email - June 2025</v>
      </c>
      <c r="C4025" s="3" t="str">
        <f>HYPERLINK("https://otsuka-europe-crm.veevavault.com/ui/#object/sent_email__v/VBLZ025E82GN0R3", "SE-000271153")</f>
        <v>SE-000271153</v>
      </c>
      <c r="D4025" s="1" t="s">
        <v>0</v>
      </c>
      <c r="E4025" s="2">
        <v>0</v>
      </c>
      <c r="F4025" s="2">
        <v>0</v>
      </c>
      <c r="G4025" s="2">
        <v>0</v>
      </c>
      <c r="H4025" s="1" t="s">
        <v>0</v>
      </c>
      <c r="I4025" s="2">
        <v>0</v>
      </c>
      <c r="J4025" s="1">
        <v>45915.378425925926</v>
      </c>
    </row>
    <row r="4026" spans="1:10" x14ac:dyDescent="0.2">
      <c r="A4026" s="4" t="s">
        <v>1</v>
      </c>
      <c r="B4026" s="3" t="str">
        <f>HYPERLINK("https://otsuka-europe-crm.veevavault.com/ui/#object/approved_document__v/V5OZ025E82TFUPI", "Spain - HCP Survey Email - June 2025")</f>
        <v>Spain - HCP Survey Email - June 2025</v>
      </c>
      <c r="C4026" s="3" t="str">
        <f>HYPERLINK("https://otsuka-europe-crm.veevavault.com/ui/#object/sent_email__v/VBLZ025E82GN0R4", "SE-000271154")</f>
        <v>SE-000271154</v>
      </c>
      <c r="D4026" s="1">
        <v>45916.466284722221</v>
      </c>
      <c r="E4026" s="2">
        <v>1</v>
      </c>
      <c r="F4026" s="2">
        <v>5</v>
      </c>
      <c r="G4026" s="2">
        <v>1</v>
      </c>
      <c r="H4026" s="1">
        <v>45915.47552083333</v>
      </c>
      <c r="I4026" s="2">
        <v>3</v>
      </c>
      <c r="J4026" s="1">
        <v>45915.378750000003</v>
      </c>
    </row>
    <row r="4027" spans="1:10" x14ac:dyDescent="0.2">
      <c r="A4027" s="4" t="s">
        <v>1</v>
      </c>
      <c r="B4027" s="3" t="str">
        <f>HYPERLINK("https://otsuka-europe-crm.veevavault.com/ui/#object/approved_document__v/V5OZ025E82TFUPI", "Spain - HCP Survey Email - June 2025")</f>
        <v>Spain - HCP Survey Email - June 2025</v>
      </c>
      <c r="C4027" s="3" t="str">
        <f>HYPERLINK("https://otsuka-europe-crm.veevavault.com/ui/#object/sent_email__v/VBLZ025E82GN0R5", "SE-000271155")</f>
        <v>SE-000271155</v>
      </c>
      <c r="D4027" s="1" t="s">
        <v>0</v>
      </c>
      <c r="E4027" s="2">
        <v>0</v>
      </c>
      <c r="F4027" s="2">
        <v>0</v>
      </c>
      <c r="G4027" s="2">
        <v>0</v>
      </c>
      <c r="H4027" s="1" t="s">
        <v>0</v>
      </c>
      <c r="I4027" s="2">
        <v>0</v>
      </c>
      <c r="J4027" s="1">
        <v>45915.378703703704</v>
      </c>
    </row>
    <row r="4028" spans="1:10" x14ac:dyDescent="0.2">
      <c r="A4028" s="4" t="s">
        <v>1</v>
      </c>
      <c r="B4028" s="3" t="str">
        <f>HYPERLINK("https://otsuka-europe-crm.veevavault.com/ui/#object/approved_document__v/V5OZ025E82TFUPI", "Spain - HCP Survey Email - June 2025")</f>
        <v>Spain - HCP Survey Email - June 2025</v>
      </c>
      <c r="C4028" s="3" t="str">
        <f>HYPERLINK("https://otsuka-europe-crm.veevavault.com/ui/#object/sent_email__v/VBLZ025E82GN0R6", "SE-000271156")</f>
        <v>SE-000271156</v>
      </c>
      <c r="D4028" s="1" t="s">
        <v>0</v>
      </c>
      <c r="E4028" s="2">
        <v>0</v>
      </c>
      <c r="F4028" s="2">
        <v>0</v>
      </c>
      <c r="G4028" s="2">
        <v>0</v>
      </c>
      <c r="H4028" s="1" t="s">
        <v>0</v>
      </c>
      <c r="I4028" s="2">
        <v>0</v>
      </c>
      <c r="J4028" s="1">
        <v>45915.379305555558</v>
      </c>
    </row>
    <row r="4029" spans="1:10" x14ac:dyDescent="0.2">
      <c r="A4029" s="4" t="s">
        <v>1</v>
      </c>
      <c r="B4029" s="3" t="str">
        <f>HYPERLINK("https://otsuka-europe-crm.veevavault.com/ui/#object/approved_document__v/V5OZ025E82TFUPI", "Spain - HCP Survey Email - June 2025")</f>
        <v>Spain - HCP Survey Email - June 2025</v>
      </c>
      <c r="C4029" s="3" t="str">
        <f>HYPERLINK("https://otsuka-europe-crm.veevavault.com/ui/#object/sent_email__v/VBLZ025E82GN0R7", "SE-000271157")</f>
        <v>SE-000271157</v>
      </c>
      <c r="D4029" s="1" t="s">
        <v>0</v>
      </c>
      <c r="E4029" s="2">
        <v>0</v>
      </c>
      <c r="F4029" s="2">
        <v>0</v>
      </c>
      <c r="G4029" s="2">
        <v>0</v>
      </c>
      <c r="H4029" s="1" t="s">
        <v>0</v>
      </c>
      <c r="I4029" s="2">
        <v>0</v>
      </c>
      <c r="J4029" s="1">
        <v>45915.377928240741</v>
      </c>
    </row>
    <row r="4030" spans="1:10" x14ac:dyDescent="0.2">
      <c r="A4030" s="4" t="s">
        <v>1</v>
      </c>
      <c r="B4030" s="3" t="str">
        <f>HYPERLINK("https://otsuka-europe-crm.veevavault.com/ui/#object/approved_document__v/V5OZ025E82TFUPI", "Spain - HCP Survey Email - June 2025")</f>
        <v>Spain - HCP Survey Email - June 2025</v>
      </c>
      <c r="C4030" s="3" t="str">
        <f>HYPERLINK("https://otsuka-europe-crm.veevavault.com/ui/#object/sent_email__v/VBLZ025E82GN0R8", "SE-000271158")</f>
        <v>SE-000271158</v>
      </c>
      <c r="D4030" s="1" t="s">
        <v>0</v>
      </c>
      <c r="E4030" s="2">
        <v>0</v>
      </c>
      <c r="F4030" s="2">
        <v>0</v>
      </c>
      <c r="G4030" s="2">
        <v>0</v>
      </c>
      <c r="H4030" s="1" t="s">
        <v>0</v>
      </c>
      <c r="I4030" s="2">
        <v>0</v>
      </c>
      <c r="J4030" s="1">
        <v>45915.378321759257</v>
      </c>
    </row>
    <row r="4031" spans="1:10" x14ac:dyDescent="0.2">
      <c r="A4031" s="4" t="s">
        <v>1</v>
      </c>
      <c r="B4031" s="3" t="str">
        <f>HYPERLINK("https://otsuka-europe-crm.veevavault.com/ui/#object/approved_document__v/V5OZ025E82TFUPI", "Spain - HCP Survey Email - June 2025")</f>
        <v>Spain - HCP Survey Email - June 2025</v>
      </c>
      <c r="C4031" s="3" t="str">
        <f>HYPERLINK("https://otsuka-europe-crm.veevavault.com/ui/#object/sent_email__v/VBLZ025E82GN0R9", "SE-000271159")</f>
        <v>SE-000271159</v>
      </c>
      <c r="D4031" s="1" t="s">
        <v>0</v>
      </c>
      <c r="E4031" s="2">
        <v>0</v>
      </c>
      <c r="F4031" s="2">
        <v>0</v>
      </c>
      <c r="G4031" s="2">
        <v>0</v>
      </c>
      <c r="H4031" s="1" t="s">
        <v>0</v>
      </c>
      <c r="I4031" s="2">
        <v>0</v>
      </c>
      <c r="J4031" s="1">
        <v>45915.378877314812</v>
      </c>
    </row>
    <row r="4032" spans="1:10" x14ac:dyDescent="0.2">
      <c r="A4032" s="4" t="s">
        <v>1</v>
      </c>
      <c r="B4032" s="3" t="str">
        <f>HYPERLINK("https://otsuka-europe-crm.veevavault.com/ui/#object/approved_document__v/V5OZ025E82TFUPI", "Spain - HCP Survey Email - June 2025")</f>
        <v>Spain - HCP Survey Email - June 2025</v>
      </c>
      <c r="C4032" s="3" t="str">
        <f>HYPERLINK("https://otsuka-europe-crm.veevavault.com/ui/#object/sent_email__v/VBLZ025E82GN0RA", "SE-000271160")</f>
        <v>SE-000271160</v>
      </c>
      <c r="D4032" s="1" t="s">
        <v>0</v>
      </c>
      <c r="E4032" s="2">
        <v>0</v>
      </c>
      <c r="F4032" s="2">
        <v>0</v>
      </c>
      <c r="G4032" s="2">
        <v>0</v>
      </c>
      <c r="H4032" s="1" t="s">
        <v>0</v>
      </c>
      <c r="I4032" s="2">
        <v>0</v>
      </c>
      <c r="J4032" s="1">
        <v>45915.37871527778</v>
      </c>
    </row>
    <row r="4033" spans="1:10" x14ac:dyDescent="0.2">
      <c r="A4033" s="4" t="s">
        <v>1</v>
      </c>
      <c r="B4033" s="3" t="str">
        <f>HYPERLINK("https://otsuka-europe-crm.veevavault.com/ui/#object/approved_document__v/V5OZ025E82TFUPI", "Spain - HCP Survey Email - June 2025")</f>
        <v>Spain - HCP Survey Email - June 2025</v>
      </c>
      <c r="C4033" s="3" t="str">
        <f>HYPERLINK("https://otsuka-europe-crm.veevavault.com/ui/#object/sent_email__v/VBLZ025E82GN0RB", "SE-000271161")</f>
        <v>SE-000271161</v>
      </c>
      <c r="D4033" s="1" t="s">
        <v>0</v>
      </c>
      <c r="E4033" s="2">
        <v>0</v>
      </c>
      <c r="F4033" s="2">
        <v>0</v>
      </c>
      <c r="G4033" s="2">
        <v>0</v>
      </c>
      <c r="H4033" s="1" t="s">
        <v>0</v>
      </c>
      <c r="I4033" s="2">
        <v>0</v>
      </c>
      <c r="J4033" s="1">
        <v>45915.379224537035</v>
      </c>
    </row>
    <row r="4034" spans="1:10" x14ac:dyDescent="0.2">
      <c r="A4034" s="4" t="s">
        <v>1</v>
      </c>
      <c r="B4034" s="3" t="str">
        <f>HYPERLINK("https://otsuka-europe-crm.veevavault.com/ui/#object/approved_document__v/V5OZ025E82TFUPI", "Spain - HCP Survey Email - June 2025")</f>
        <v>Spain - HCP Survey Email - June 2025</v>
      </c>
      <c r="C4034" s="3" t="str">
        <f>HYPERLINK("https://otsuka-europe-crm.veevavault.com/ui/#object/sent_email__v/VBLZ025E82GN0RC", "SE-000271162")</f>
        <v>SE-000271162</v>
      </c>
      <c r="D4034" s="1" t="s">
        <v>0</v>
      </c>
      <c r="E4034" s="2">
        <v>0</v>
      </c>
      <c r="F4034" s="2">
        <v>0</v>
      </c>
      <c r="G4034" s="2">
        <v>0</v>
      </c>
      <c r="H4034" s="1" t="s">
        <v>0</v>
      </c>
      <c r="I4034" s="2">
        <v>0</v>
      </c>
      <c r="J4034" s="1">
        <v>45915.377928240741</v>
      </c>
    </row>
    <row r="4035" spans="1:10" x14ac:dyDescent="0.2">
      <c r="A4035" s="4" t="s">
        <v>1</v>
      </c>
      <c r="B4035" s="3" t="str">
        <f>HYPERLINK("https://otsuka-europe-crm.veevavault.com/ui/#object/approved_document__v/V5OZ025E82TFUPI", "Spain - HCP Survey Email - June 2025")</f>
        <v>Spain - HCP Survey Email - June 2025</v>
      </c>
      <c r="C4035" s="3" t="str">
        <f>HYPERLINK("https://otsuka-europe-crm.veevavault.com/ui/#object/sent_email__v/VBLZ025E82GN0RD", "SE-000271163")</f>
        <v>SE-000271163</v>
      </c>
      <c r="D4035" s="1" t="s">
        <v>0</v>
      </c>
      <c r="E4035" s="2">
        <v>0</v>
      </c>
      <c r="F4035" s="2">
        <v>0</v>
      </c>
      <c r="G4035" s="2">
        <v>0</v>
      </c>
      <c r="H4035" s="1" t="s">
        <v>0</v>
      </c>
      <c r="I4035" s="2">
        <v>0</v>
      </c>
      <c r="J4035" s="1">
        <v>45915.378321759257</v>
      </c>
    </row>
    <row r="4036" spans="1:10" x14ac:dyDescent="0.2">
      <c r="A4036" s="4" t="s">
        <v>1</v>
      </c>
      <c r="B4036" s="3" t="str">
        <f>HYPERLINK("https://otsuka-europe-crm.veevavault.com/ui/#object/approved_document__v/V5OZ025E82TFUPI", "Spain - HCP Survey Email - June 2025")</f>
        <v>Spain - HCP Survey Email - June 2025</v>
      </c>
      <c r="C4036" s="3" t="str">
        <f>HYPERLINK("https://otsuka-europe-crm.veevavault.com/ui/#object/sent_email__v/VBLZ025E82GN0RE", "SE-000271164")</f>
        <v>SE-000271164</v>
      </c>
      <c r="D4036" s="1">
        <v>45915.854930555557</v>
      </c>
      <c r="E4036" s="2">
        <v>1</v>
      </c>
      <c r="F4036" s="2">
        <v>1</v>
      </c>
      <c r="G4036" s="2">
        <v>0</v>
      </c>
      <c r="H4036" s="1" t="s">
        <v>0</v>
      </c>
      <c r="I4036" s="2">
        <v>0</v>
      </c>
      <c r="J4036" s="1">
        <v>45915.378125000003</v>
      </c>
    </row>
    <row r="4037" spans="1:10" x14ac:dyDescent="0.2">
      <c r="A4037" s="4" t="s">
        <v>1</v>
      </c>
      <c r="B4037" s="3" t="str">
        <f>HYPERLINK("https://otsuka-europe-crm.veevavault.com/ui/#object/approved_document__v/V5OZ025E82TFUPI", "Spain - HCP Survey Email - June 2025")</f>
        <v>Spain - HCP Survey Email - June 2025</v>
      </c>
      <c r="C4037" s="3" t="str">
        <f>HYPERLINK("https://otsuka-europe-crm.veevavault.com/ui/#object/sent_email__v/VBLZ025E82GN0RF", "SE-000271165")</f>
        <v>SE-000271165</v>
      </c>
      <c r="D4037" s="1">
        <v>45915.378946759258</v>
      </c>
      <c r="E4037" s="2">
        <v>1</v>
      </c>
      <c r="F4037" s="2">
        <v>1</v>
      </c>
      <c r="G4037" s="2">
        <v>1</v>
      </c>
      <c r="H4037" s="1">
        <v>45915.379699074074</v>
      </c>
      <c r="I4037" s="2">
        <v>2</v>
      </c>
      <c r="J4037" s="1">
        <v>45915.378599537034</v>
      </c>
    </row>
    <row r="4038" spans="1:10" x14ac:dyDescent="0.2">
      <c r="A4038" s="4" t="s">
        <v>1</v>
      </c>
      <c r="B4038" s="3" t="str">
        <f>HYPERLINK("https://otsuka-europe-crm.veevavault.com/ui/#object/approved_document__v/V5OZ025E82TFUPI", "Spain - HCP Survey Email - June 2025")</f>
        <v>Spain - HCP Survey Email - June 2025</v>
      </c>
      <c r="C4038" s="3" t="str">
        <f>HYPERLINK("https://otsuka-europe-crm.veevavault.com/ui/#object/sent_email__v/VBLZ025E82GN0RI", "SE-000271168")</f>
        <v>SE-000271168</v>
      </c>
      <c r="D4038" s="1">
        <v>45934.431956018518</v>
      </c>
      <c r="E4038" s="2">
        <v>1</v>
      </c>
      <c r="F4038" s="2">
        <v>2</v>
      </c>
      <c r="G4038" s="2">
        <v>0</v>
      </c>
      <c r="H4038" s="1" t="s">
        <v>0</v>
      </c>
      <c r="I4038" s="2">
        <v>0</v>
      </c>
      <c r="J4038" s="1">
        <v>45915.377442129633</v>
      </c>
    </row>
    <row r="4039" spans="1:10" x14ac:dyDescent="0.2">
      <c r="A4039" s="4" t="s">
        <v>1</v>
      </c>
      <c r="B4039" s="3" t="str">
        <f>HYPERLINK("https://otsuka-europe-crm.veevavault.com/ui/#object/approved_document__v/V5OZ025E82TFUPI", "Spain - HCP Survey Email - June 2025")</f>
        <v>Spain - HCP Survey Email - June 2025</v>
      </c>
      <c r="C4039" s="3" t="str">
        <f>HYPERLINK("https://otsuka-europe-crm.veevavault.com/ui/#object/sent_email__v/VBLZ025E82GN0RJ", "SE-000271169")</f>
        <v>SE-000271169</v>
      </c>
      <c r="D4039" s="1">
        <v>45915.386874999997</v>
      </c>
      <c r="E4039" s="2">
        <v>1</v>
      </c>
      <c r="F4039" s="2">
        <v>2</v>
      </c>
      <c r="G4039" s="2">
        <v>0</v>
      </c>
      <c r="H4039" s="1" t="s">
        <v>0</v>
      </c>
      <c r="I4039" s="2">
        <v>0</v>
      </c>
      <c r="J4039" s="1">
        <v>45915.37840277778</v>
      </c>
    </row>
    <row r="4040" spans="1:10" x14ac:dyDescent="0.2">
      <c r="A4040" s="4" t="s">
        <v>1</v>
      </c>
      <c r="B4040" s="3" t="str">
        <f>HYPERLINK("https://otsuka-europe-crm.veevavault.com/ui/#object/approved_document__v/V5OZ025E82TFUPI", "Spain - HCP Survey Email - June 2025")</f>
        <v>Spain - HCP Survey Email - June 2025</v>
      </c>
      <c r="C4040" s="3" t="str">
        <f>HYPERLINK("https://otsuka-europe-crm.veevavault.com/ui/#object/sent_email__v/VBLZ025E82GN0RK", "SE-000271170")</f>
        <v>SE-000271170</v>
      </c>
      <c r="D4040" s="1" t="s">
        <v>0</v>
      </c>
      <c r="E4040" s="2">
        <v>0</v>
      </c>
      <c r="F4040" s="2">
        <v>0</v>
      </c>
      <c r="G4040" s="2">
        <v>0</v>
      </c>
      <c r="H4040" s="1" t="s">
        <v>0</v>
      </c>
      <c r="I4040" s="2">
        <v>0</v>
      </c>
      <c r="J4040" s="1">
        <v>45915.378819444442</v>
      </c>
    </row>
    <row r="4041" spans="1:10" x14ac:dyDescent="0.2">
      <c r="A4041" s="4" t="s">
        <v>1</v>
      </c>
      <c r="B4041" s="3" t="str">
        <f>HYPERLINK("https://otsuka-europe-crm.veevavault.com/ui/#object/approved_document__v/V5OZ025E82TFUPI", "Spain - HCP Survey Email - June 2025")</f>
        <v>Spain - HCP Survey Email - June 2025</v>
      </c>
      <c r="C4041" s="3" t="str">
        <f>HYPERLINK("https://otsuka-europe-crm.veevavault.com/ui/#object/sent_email__v/VBLZ025E82GN0RL", "SE-000271171")</f>
        <v>SE-000271171</v>
      </c>
      <c r="D4041" s="1">
        <v>45915.412129629629</v>
      </c>
      <c r="E4041" s="2">
        <v>1</v>
      </c>
      <c r="F4041" s="2">
        <v>1</v>
      </c>
      <c r="G4041" s="2">
        <v>0</v>
      </c>
      <c r="H4041" s="1" t="s">
        <v>0</v>
      </c>
      <c r="I4041" s="2">
        <v>0</v>
      </c>
      <c r="J4041" s="1">
        <v>45915.378692129627</v>
      </c>
    </row>
    <row r="4042" spans="1:10" x14ac:dyDescent="0.2">
      <c r="A4042" s="4" t="s">
        <v>1</v>
      </c>
      <c r="B4042" s="3" t="str">
        <f>HYPERLINK("https://otsuka-europe-crm.veevavault.com/ui/#object/approved_document__v/V5OZ025E82TFUPI", "Spain - HCP Survey Email - June 2025")</f>
        <v>Spain - HCP Survey Email - June 2025</v>
      </c>
      <c r="C4042" s="3" t="str">
        <f>HYPERLINK("https://otsuka-europe-crm.veevavault.com/ui/#object/sent_email__v/VBLZ025E82GN0RM", "SE-000271172")</f>
        <v>SE-000271172</v>
      </c>
      <c r="D4042" s="1" t="s">
        <v>0</v>
      </c>
      <c r="E4042" s="2">
        <v>0</v>
      </c>
      <c r="F4042" s="2">
        <v>0</v>
      </c>
      <c r="G4042" s="2">
        <v>0</v>
      </c>
      <c r="H4042" s="1" t="s">
        <v>0</v>
      </c>
      <c r="I4042" s="2">
        <v>0</v>
      </c>
      <c r="J4042" s="1">
        <v>45915.379131944443</v>
      </c>
    </row>
    <row r="4043" spans="1:10" x14ac:dyDescent="0.2">
      <c r="A4043" s="4" t="s">
        <v>1</v>
      </c>
      <c r="B4043" s="3" t="str">
        <f>HYPERLINK("https://otsuka-europe-crm.veevavault.com/ui/#object/approved_document__v/V5OZ025E82TFUPI", "Spain - HCP Survey Email - June 2025")</f>
        <v>Spain - HCP Survey Email - June 2025</v>
      </c>
      <c r="C4043" s="3" t="str">
        <f>HYPERLINK("https://otsuka-europe-crm.veevavault.com/ui/#object/sent_email__v/VBLZ025E82GN0RN", "SE-000271173")</f>
        <v>SE-000271173</v>
      </c>
      <c r="D4043" s="1">
        <v>45924.511296296296</v>
      </c>
      <c r="E4043" s="2">
        <v>1</v>
      </c>
      <c r="F4043" s="2">
        <v>2</v>
      </c>
      <c r="G4043" s="2">
        <v>0</v>
      </c>
      <c r="H4043" s="1" t="s">
        <v>0</v>
      </c>
      <c r="I4043" s="2">
        <v>0</v>
      </c>
      <c r="J4043" s="1">
        <v>45915.377870370372</v>
      </c>
    </row>
    <row r="4044" spans="1:10" x14ac:dyDescent="0.2">
      <c r="A4044" s="4" t="s">
        <v>1</v>
      </c>
      <c r="B4044" s="3" t="str">
        <f>HYPERLINK("https://otsuka-europe-crm.veevavault.com/ui/#object/approved_document__v/V5OZ025E82TFUPI", "Spain - HCP Survey Email - June 2025")</f>
        <v>Spain - HCP Survey Email - June 2025</v>
      </c>
      <c r="C4044" s="3" t="str">
        <f>HYPERLINK("https://otsuka-europe-crm.veevavault.com/ui/#object/sent_email__v/VBLZ025E82GN0RO", "SE-000271174")</f>
        <v>SE-000271174</v>
      </c>
      <c r="D4044" s="1" t="s">
        <v>0</v>
      </c>
      <c r="E4044" s="2">
        <v>0</v>
      </c>
      <c r="F4044" s="2">
        <v>0</v>
      </c>
      <c r="G4044" s="2">
        <v>0</v>
      </c>
      <c r="H4044" s="1" t="s">
        <v>0</v>
      </c>
      <c r="I4044" s="2">
        <v>0</v>
      </c>
      <c r="J4044" s="1">
        <v>45915.378275462965</v>
      </c>
    </row>
    <row r="4045" spans="1:10" x14ac:dyDescent="0.2">
      <c r="A4045" s="4" t="s">
        <v>1</v>
      </c>
      <c r="B4045" s="3" t="str">
        <f>HYPERLINK("https://otsuka-europe-crm.veevavault.com/ui/#object/approved_document__v/V5OZ025E82TFUPI", "Spain - HCP Survey Email - June 2025")</f>
        <v>Spain - HCP Survey Email - June 2025</v>
      </c>
      <c r="C4045" s="3" t="str">
        <f>HYPERLINK("https://otsuka-europe-crm.veevavault.com/ui/#object/sent_email__v/VBLZ025E82GN0RP", "SE-000271175")</f>
        <v>SE-000271175</v>
      </c>
      <c r="D4045" s="1">
        <v>45915.436469907407</v>
      </c>
      <c r="E4045" s="2">
        <v>1</v>
      </c>
      <c r="F4045" s="2">
        <v>2</v>
      </c>
      <c r="G4045" s="2">
        <v>0</v>
      </c>
      <c r="H4045" s="1" t="s">
        <v>0</v>
      </c>
      <c r="I4045" s="2">
        <v>0</v>
      </c>
      <c r="J4045" s="1">
        <v>45915.378101851849</v>
      </c>
    </row>
    <row r="4046" spans="1:10" x14ac:dyDescent="0.2">
      <c r="A4046" s="4" t="s">
        <v>1</v>
      </c>
      <c r="B4046" s="3" t="str">
        <f>HYPERLINK("https://otsuka-europe-crm.veevavault.com/ui/#object/approved_document__v/V5OZ025E82TFUPI", "Spain - HCP Survey Email - June 2025")</f>
        <v>Spain - HCP Survey Email - June 2025</v>
      </c>
      <c r="C4046" s="3" t="str">
        <f>HYPERLINK("https://otsuka-europe-crm.veevavault.com/ui/#object/sent_email__v/VBLZ025E82GN0RQ", "SE-000271176")</f>
        <v>SE-000271176</v>
      </c>
      <c r="D4046" s="1">
        <v>45915.37877314815</v>
      </c>
      <c r="E4046" s="2">
        <v>1</v>
      </c>
      <c r="F4046" s="2">
        <v>2</v>
      </c>
      <c r="G4046" s="2">
        <v>0</v>
      </c>
      <c r="H4046" s="1" t="s">
        <v>0</v>
      </c>
      <c r="I4046" s="2">
        <v>0</v>
      </c>
      <c r="J4046" s="1">
        <v>45915.378599537034</v>
      </c>
    </row>
    <row r="4047" spans="1:10" x14ac:dyDescent="0.2">
      <c r="A4047" s="4" t="s">
        <v>1</v>
      </c>
      <c r="B4047" s="3" t="str">
        <f>HYPERLINK("https://otsuka-europe-crm.veevavault.com/ui/#object/approved_document__v/V5OZ025E82TFUPI", "Spain - HCP Survey Email - June 2025")</f>
        <v>Spain - HCP Survey Email - June 2025</v>
      </c>
      <c r="C4047" s="3" t="str">
        <f>HYPERLINK("https://otsuka-europe-crm.veevavault.com/ui/#object/sent_email__v/VBLZ025E82GN0RR", "SE-000271177")</f>
        <v>SE-000271177</v>
      </c>
      <c r="D4047" s="1" t="s">
        <v>0</v>
      </c>
      <c r="E4047" s="2">
        <v>0</v>
      </c>
      <c r="F4047" s="2">
        <v>0</v>
      </c>
      <c r="G4047" s="2">
        <v>0</v>
      </c>
      <c r="H4047" s="1" t="s">
        <v>0</v>
      </c>
      <c r="I4047" s="2">
        <v>0</v>
      </c>
      <c r="J4047" s="1">
        <v>45915.379618055558</v>
      </c>
    </row>
    <row r="4048" spans="1:10" x14ac:dyDescent="0.2">
      <c r="A4048" s="4" t="s">
        <v>1</v>
      </c>
      <c r="B4048" s="3" t="str">
        <f>HYPERLINK("https://otsuka-europe-crm.veevavault.com/ui/#object/approved_document__v/V5OZ025E82TFUPI", "Spain - HCP Survey Email - June 2025")</f>
        <v>Spain - HCP Survey Email - June 2025</v>
      </c>
      <c r="C4048" s="3" t="str">
        <f>HYPERLINK("https://otsuka-europe-crm.veevavault.com/ui/#object/sent_email__v/VBLZ025E82GN0RS", "SE-000271178")</f>
        <v>SE-000271178</v>
      </c>
      <c r="D4048" s="1" t="s">
        <v>0</v>
      </c>
      <c r="E4048" s="2">
        <v>0</v>
      </c>
      <c r="F4048" s="2">
        <v>0</v>
      </c>
      <c r="G4048" s="2">
        <v>0</v>
      </c>
      <c r="H4048" s="1" t="s">
        <v>0</v>
      </c>
      <c r="I4048" s="2">
        <v>0</v>
      </c>
      <c r="J4048" s="1">
        <v>45915.379432870373</v>
      </c>
    </row>
    <row r="4049" spans="1:10" x14ac:dyDescent="0.2">
      <c r="A4049" s="4" t="s">
        <v>1</v>
      </c>
      <c r="B4049" s="3" t="str">
        <f>HYPERLINK("https://otsuka-europe-crm.veevavault.com/ui/#object/approved_document__v/V5OZ025E82TFUPI", "Spain - HCP Survey Email - June 2025")</f>
        <v>Spain - HCP Survey Email - June 2025</v>
      </c>
      <c r="C4049" s="3" t="str">
        <f>HYPERLINK("https://otsuka-europe-crm.veevavault.com/ui/#object/sent_email__v/VBLZ025E82GN0RT", "SE-000271179")</f>
        <v>SE-000271179</v>
      </c>
      <c r="D4049" s="1" t="s">
        <v>0</v>
      </c>
      <c r="E4049" s="2">
        <v>0</v>
      </c>
      <c r="F4049" s="2">
        <v>0</v>
      </c>
      <c r="G4049" s="2">
        <v>0</v>
      </c>
      <c r="H4049" s="1" t="s">
        <v>0</v>
      </c>
      <c r="I4049" s="2">
        <v>0</v>
      </c>
      <c r="J4049" s="1">
        <v>45915.37740740741</v>
      </c>
    </row>
    <row r="4050" spans="1:10" x14ac:dyDescent="0.2">
      <c r="A4050" s="4" t="s">
        <v>1</v>
      </c>
      <c r="B4050" s="3" t="str">
        <f>HYPERLINK("https://otsuka-europe-crm.veevavault.com/ui/#object/approved_document__v/V5OZ025E82TFUPI", "Spain - HCP Survey Email - June 2025")</f>
        <v>Spain - HCP Survey Email - June 2025</v>
      </c>
      <c r="C4050" s="3" t="str">
        <f>HYPERLINK("https://otsuka-europe-crm.veevavault.com/ui/#object/sent_email__v/VBLZ025E82GN0RU", "SE-000271180")</f>
        <v>SE-000271180</v>
      </c>
      <c r="D4050" s="1">
        <v>45915.444178240738</v>
      </c>
      <c r="E4050" s="2">
        <v>1</v>
      </c>
      <c r="F4050" s="2">
        <v>1</v>
      </c>
      <c r="G4050" s="2">
        <v>1</v>
      </c>
      <c r="H4050" s="1">
        <v>45915.444525462961</v>
      </c>
      <c r="I4050" s="2">
        <v>4</v>
      </c>
      <c r="J4050" s="1">
        <v>45915.378379629627</v>
      </c>
    </row>
    <row r="4051" spans="1:10" x14ac:dyDescent="0.2">
      <c r="A4051" s="4" t="s">
        <v>1</v>
      </c>
      <c r="B4051" s="3" t="str">
        <f>HYPERLINK("https://otsuka-europe-crm.veevavault.com/ui/#object/approved_document__v/V5OZ025E82TFUPI", "Spain - HCP Survey Email - June 2025")</f>
        <v>Spain - HCP Survey Email - June 2025</v>
      </c>
      <c r="C4051" s="3" t="str">
        <f>HYPERLINK("https://otsuka-europe-crm.veevavault.com/ui/#object/sent_email__v/VBLZ025E82GN0RV", "SE-000271181")</f>
        <v>SE-000271181</v>
      </c>
      <c r="D4051" s="1" t="s">
        <v>0</v>
      </c>
      <c r="E4051" s="2">
        <v>0</v>
      </c>
      <c r="F4051" s="2">
        <v>0</v>
      </c>
      <c r="G4051" s="2">
        <v>0</v>
      </c>
      <c r="H4051" s="1" t="s">
        <v>0</v>
      </c>
      <c r="I4051" s="2">
        <v>0</v>
      </c>
      <c r="J4051" s="1">
        <v>45915.378796296296</v>
      </c>
    </row>
    <row r="4052" spans="1:10" x14ac:dyDescent="0.2">
      <c r="A4052" s="4" t="s">
        <v>1</v>
      </c>
      <c r="B4052" s="3" t="str">
        <f>HYPERLINK("https://otsuka-europe-crm.veevavault.com/ui/#object/approved_document__v/V5OZ025E82TFUPI", "Spain - HCP Survey Email - June 2025")</f>
        <v>Spain - HCP Survey Email - June 2025</v>
      </c>
      <c r="C4052" s="3" t="str">
        <f>HYPERLINK("https://otsuka-europe-crm.veevavault.com/ui/#object/sent_email__v/VBLZ025E82GN0RW", "SE-000271182")</f>
        <v>SE-000271182</v>
      </c>
      <c r="D4052" s="1">
        <v>45916.646979166668</v>
      </c>
      <c r="E4052" s="2">
        <v>1</v>
      </c>
      <c r="F4052" s="2">
        <v>1</v>
      </c>
      <c r="G4052" s="2">
        <v>0</v>
      </c>
      <c r="H4052" s="1" t="s">
        <v>0</v>
      </c>
      <c r="I4052" s="2">
        <v>0</v>
      </c>
      <c r="J4052" s="1">
        <v>45915.378645833334</v>
      </c>
    </row>
    <row r="4053" spans="1:10" x14ac:dyDescent="0.2">
      <c r="A4053" s="4" t="s">
        <v>1</v>
      </c>
      <c r="B4053" s="3" t="str">
        <f>HYPERLINK("https://otsuka-europe-crm.veevavault.com/ui/#object/approved_document__v/V5OZ025E82TFUPI", "Spain - HCP Survey Email - June 2025")</f>
        <v>Spain - HCP Survey Email - June 2025</v>
      </c>
      <c r="C4053" s="3" t="str">
        <f>HYPERLINK("https://otsuka-europe-crm.veevavault.com/ui/#object/sent_email__v/VBLZ025E82GN0RX", "SE-000271183")</f>
        <v>SE-000271183</v>
      </c>
      <c r="D4053" s="1" t="s">
        <v>0</v>
      </c>
      <c r="E4053" s="2">
        <v>0</v>
      </c>
      <c r="F4053" s="2">
        <v>0</v>
      </c>
      <c r="G4053" s="2">
        <v>0</v>
      </c>
      <c r="H4053" s="1" t="s">
        <v>0</v>
      </c>
      <c r="I4053" s="2">
        <v>0</v>
      </c>
      <c r="J4053" s="1">
        <v>45915.379374999997</v>
      </c>
    </row>
    <row r="4054" spans="1:10" x14ac:dyDescent="0.2">
      <c r="A4054" s="4" t="s">
        <v>1</v>
      </c>
      <c r="B4054" s="3" t="str">
        <f>HYPERLINK("https://otsuka-europe-crm.veevavault.com/ui/#object/approved_document__v/V5OZ025E82TFUPI", "Spain - HCP Survey Email - June 2025")</f>
        <v>Spain - HCP Survey Email - June 2025</v>
      </c>
      <c r="C4054" s="3" t="str">
        <f>HYPERLINK("https://otsuka-europe-crm.veevavault.com/ui/#object/sent_email__v/VBLZ025E82GN0RY", "SE-000271184")</f>
        <v>SE-000271184</v>
      </c>
      <c r="D4054" s="1" t="s">
        <v>0</v>
      </c>
      <c r="E4054" s="2">
        <v>0</v>
      </c>
      <c r="F4054" s="2">
        <v>0</v>
      </c>
      <c r="G4054" s="2">
        <v>0</v>
      </c>
      <c r="H4054" s="1" t="s">
        <v>0</v>
      </c>
      <c r="I4054" s="2">
        <v>0</v>
      </c>
      <c r="J4054" s="1">
        <v>45915.377881944441</v>
      </c>
    </row>
    <row r="4055" spans="1:10" x14ac:dyDescent="0.2">
      <c r="A4055" s="4" t="s">
        <v>1</v>
      </c>
      <c r="B4055" s="3" t="str">
        <f>HYPERLINK("https://otsuka-europe-crm.veevavault.com/ui/#object/approved_document__v/V5OZ025E82TFUPI", "Spain - HCP Survey Email - June 2025")</f>
        <v>Spain - HCP Survey Email - June 2025</v>
      </c>
      <c r="C4055" s="3" t="str">
        <f>HYPERLINK("https://otsuka-europe-crm.veevavault.com/ui/#object/sent_email__v/VBLZ025E82GN0RZ", "SE-000271185")</f>
        <v>SE-000271185</v>
      </c>
      <c r="D4055" s="1">
        <v>45915.424039351848</v>
      </c>
      <c r="E4055" s="2">
        <v>1</v>
      </c>
      <c r="F4055" s="2">
        <v>1</v>
      </c>
      <c r="G4055" s="2">
        <v>0</v>
      </c>
      <c r="H4055" s="1" t="s">
        <v>0</v>
      </c>
      <c r="I4055" s="2">
        <v>0</v>
      </c>
      <c r="J4055" s="1">
        <v>45915.378263888888</v>
      </c>
    </row>
    <row r="4056" spans="1:10" x14ac:dyDescent="0.2">
      <c r="A4056" s="4" t="s">
        <v>1</v>
      </c>
      <c r="B4056" s="3" t="str">
        <f>HYPERLINK("https://otsuka-europe-crm.veevavault.com/ui/#object/approved_document__v/V5OZ025E82TFUPI", "Spain - HCP Survey Email - June 2025")</f>
        <v>Spain - HCP Survey Email - June 2025</v>
      </c>
      <c r="C4056" s="3" t="str">
        <f>HYPERLINK("https://otsuka-europe-crm.veevavault.com/ui/#object/sent_email__v/VBLZ025E82GN0S0", "SE-000271186")</f>
        <v>SE-000271186</v>
      </c>
      <c r="D4056" s="1" t="s">
        <v>0</v>
      </c>
      <c r="E4056" s="2">
        <v>0</v>
      </c>
      <c r="F4056" s="2">
        <v>0</v>
      </c>
      <c r="G4056" s="2">
        <v>0</v>
      </c>
      <c r="H4056" s="1" t="s">
        <v>0</v>
      </c>
      <c r="I4056" s="2">
        <v>0</v>
      </c>
      <c r="J4056" s="1">
        <v>45915.378229166665</v>
      </c>
    </row>
    <row r="4057" spans="1:10" x14ac:dyDescent="0.2">
      <c r="A4057" s="4" t="s">
        <v>1</v>
      </c>
      <c r="B4057" s="3" t="str">
        <f>HYPERLINK("https://otsuka-europe-crm.veevavault.com/ui/#object/approved_document__v/V5OZ025E82TFUPI", "Spain - HCP Survey Email - June 2025")</f>
        <v>Spain - HCP Survey Email - June 2025</v>
      </c>
      <c r="C4057" s="3" t="str">
        <f>HYPERLINK("https://otsuka-europe-crm.veevavault.com/ui/#object/sent_email__v/VBLZ025E82GN0S1", "SE-000271187")</f>
        <v>SE-000271187</v>
      </c>
      <c r="D4057" s="1" t="s">
        <v>0</v>
      </c>
      <c r="E4057" s="2">
        <v>0</v>
      </c>
      <c r="F4057" s="2">
        <v>0</v>
      </c>
      <c r="G4057" s="2">
        <v>0</v>
      </c>
      <c r="H4057" s="1" t="s">
        <v>0</v>
      </c>
      <c r="I4057" s="2">
        <v>0</v>
      </c>
      <c r="J4057" s="1">
        <v>45915.378668981481</v>
      </c>
    </row>
    <row r="4058" spans="1:10" x14ac:dyDescent="0.2">
      <c r="A4058" s="4" t="s">
        <v>1</v>
      </c>
      <c r="B4058" s="3" t="str">
        <f>HYPERLINK("https://otsuka-europe-crm.veevavault.com/ui/#object/approved_document__v/V5OZ025E82TFUPI", "Spain - HCP Survey Email - June 2025")</f>
        <v>Spain - HCP Survey Email - June 2025</v>
      </c>
      <c r="C4058" s="3" t="str">
        <f>HYPERLINK("https://otsuka-europe-crm.veevavault.com/ui/#object/sent_email__v/VBLZ025E82GN0S2", "SE-000271188")</f>
        <v>SE-000271188</v>
      </c>
      <c r="D4058" s="1" t="s">
        <v>0</v>
      </c>
      <c r="E4058" s="2">
        <v>0</v>
      </c>
      <c r="F4058" s="2">
        <v>0</v>
      </c>
      <c r="G4058" s="2">
        <v>0</v>
      </c>
      <c r="H4058" s="1" t="s">
        <v>0</v>
      </c>
      <c r="I4058" s="2">
        <v>0</v>
      </c>
      <c r="J4058" s="1">
        <v>45915.379849537036</v>
      </c>
    </row>
    <row r="4059" spans="1:10" x14ac:dyDescent="0.2">
      <c r="A4059" s="4" t="s">
        <v>1</v>
      </c>
      <c r="B4059" s="3" t="str">
        <f>HYPERLINK("https://otsuka-europe-crm.veevavault.com/ui/#object/approved_document__v/V5OZ025E82TFUPI", "Spain - HCP Survey Email - June 2025")</f>
        <v>Spain - HCP Survey Email - June 2025</v>
      </c>
      <c r="C4059" s="3" t="str">
        <f>HYPERLINK("https://otsuka-europe-crm.veevavault.com/ui/#object/sent_email__v/VBLZ025E82GN0S3", "SE-000271189")</f>
        <v>SE-000271189</v>
      </c>
      <c r="D4059" s="1" t="s">
        <v>0</v>
      </c>
      <c r="E4059" s="2">
        <v>0</v>
      </c>
      <c r="F4059" s="2">
        <v>0</v>
      </c>
      <c r="G4059" s="2">
        <v>0</v>
      </c>
      <c r="H4059" s="1" t="s">
        <v>0</v>
      </c>
      <c r="I4059" s="2">
        <v>0</v>
      </c>
      <c r="J4059" s="1">
        <v>45915.379351851851</v>
      </c>
    </row>
    <row r="4060" spans="1:10" x14ac:dyDescent="0.2">
      <c r="A4060" s="4" t="s">
        <v>1</v>
      </c>
      <c r="B4060" s="3" t="str">
        <f>HYPERLINK("https://otsuka-europe-crm.veevavault.com/ui/#object/approved_document__v/V5OZ025E82TFUPI", "Spain - HCP Survey Email - June 2025")</f>
        <v>Spain - HCP Survey Email - June 2025</v>
      </c>
      <c r="C4060" s="3" t="str">
        <f>HYPERLINK("https://otsuka-europe-crm.veevavault.com/ui/#object/sent_email__v/VBLZ025E82GN0S4", "SE-000271190")</f>
        <v>SE-000271190</v>
      </c>
      <c r="D4060" s="1" t="s">
        <v>0</v>
      </c>
      <c r="E4060" s="2">
        <v>0</v>
      </c>
      <c r="F4060" s="2">
        <v>0</v>
      </c>
      <c r="G4060" s="2">
        <v>0</v>
      </c>
      <c r="H4060" s="1" t="s">
        <v>0</v>
      </c>
      <c r="I4060" s="2">
        <v>0</v>
      </c>
      <c r="J4060" s="1">
        <v>45915.377465277779</v>
      </c>
    </row>
    <row r="4061" spans="1:10" x14ac:dyDescent="0.2">
      <c r="A4061" s="4" t="s">
        <v>1</v>
      </c>
      <c r="B4061" s="3" t="str">
        <f>HYPERLINK("https://otsuka-europe-crm.veevavault.com/ui/#object/approved_document__v/V5OZ025E82TFUPI", "Spain - HCP Survey Email - June 2025")</f>
        <v>Spain - HCP Survey Email - June 2025</v>
      </c>
      <c r="C4061" s="3" t="str">
        <f>HYPERLINK("https://otsuka-europe-crm.veevavault.com/ui/#object/sent_email__v/VBLZ025E82GN0S5", "SE-000271191")</f>
        <v>SE-000271191</v>
      </c>
      <c r="D4061" s="1" t="s">
        <v>0</v>
      </c>
      <c r="E4061" s="2">
        <v>0</v>
      </c>
      <c r="F4061" s="2">
        <v>0</v>
      </c>
      <c r="G4061" s="2">
        <v>0</v>
      </c>
      <c r="H4061" s="1" t="s">
        <v>0</v>
      </c>
      <c r="I4061" s="2">
        <v>0</v>
      </c>
      <c r="J4061" s="1">
        <v>45915.378333333334</v>
      </c>
    </row>
    <row r="4062" spans="1:10" x14ac:dyDescent="0.2">
      <c r="A4062" s="4" t="s">
        <v>1</v>
      </c>
      <c r="B4062" s="3" t="str">
        <f>HYPERLINK("https://otsuka-europe-crm.veevavault.com/ui/#object/approved_document__v/V5OZ025E82TFUPI", "Spain - HCP Survey Email - June 2025")</f>
        <v>Spain - HCP Survey Email - June 2025</v>
      </c>
      <c r="C4062" s="3" t="str">
        <f>HYPERLINK("https://otsuka-europe-crm.veevavault.com/ui/#object/sent_email__v/VBLZ025E82GN0S6", "SE-000271192")</f>
        <v>SE-000271192</v>
      </c>
      <c r="D4062" s="1">
        <v>45916.404803240737</v>
      </c>
      <c r="E4062" s="2">
        <v>1</v>
      </c>
      <c r="F4062" s="2">
        <v>2</v>
      </c>
      <c r="G4062" s="2">
        <v>0</v>
      </c>
      <c r="H4062" s="1" t="s">
        <v>0</v>
      </c>
      <c r="I4062" s="2">
        <v>0</v>
      </c>
      <c r="J4062" s="1">
        <v>45915.378877314812</v>
      </c>
    </row>
    <row r="4063" spans="1:10" x14ac:dyDescent="0.2">
      <c r="A4063" s="4" t="s">
        <v>1</v>
      </c>
      <c r="B4063" s="3" t="str">
        <f>HYPERLINK("https://otsuka-europe-crm.veevavault.com/ui/#object/approved_document__v/V5OZ025E82TFUPI", "Spain - HCP Survey Email - June 2025")</f>
        <v>Spain - HCP Survey Email - June 2025</v>
      </c>
      <c r="C4063" s="3" t="str">
        <f>HYPERLINK("https://otsuka-europe-crm.veevavault.com/ui/#object/sent_email__v/VBLZ025E82GN0S7", "SE-000271193")</f>
        <v>SE-000271193</v>
      </c>
      <c r="D4063" s="1" t="s">
        <v>0</v>
      </c>
      <c r="E4063" s="2">
        <v>0</v>
      </c>
      <c r="F4063" s="2">
        <v>0</v>
      </c>
      <c r="G4063" s="2">
        <v>0</v>
      </c>
      <c r="H4063" s="1" t="s">
        <v>0</v>
      </c>
      <c r="I4063" s="2">
        <v>0</v>
      </c>
      <c r="J4063" s="1">
        <v>45915.378587962965</v>
      </c>
    </row>
    <row r="4064" spans="1:10" x14ac:dyDescent="0.2">
      <c r="A4064" s="4" t="s">
        <v>1</v>
      </c>
      <c r="B4064" s="3" t="str">
        <f>HYPERLINK("https://otsuka-europe-crm.veevavault.com/ui/#object/approved_document__v/V5OZ025E82TFUPI", "Spain - HCP Survey Email - June 2025")</f>
        <v>Spain - HCP Survey Email - June 2025</v>
      </c>
      <c r="C4064" s="3" t="str">
        <f>HYPERLINK("https://otsuka-europe-crm.veevavault.com/ui/#object/sent_email__v/VBLZ025E82GN0S8", "SE-000271194")</f>
        <v>SE-000271194</v>
      </c>
      <c r="D4064" s="1" t="s">
        <v>0</v>
      </c>
      <c r="E4064" s="2">
        <v>0</v>
      </c>
      <c r="F4064" s="2">
        <v>0</v>
      </c>
      <c r="G4064" s="2">
        <v>0</v>
      </c>
      <c r="H4064" s="1" t="s">
        <v>0</v>
      </c>
      <c r="I4064" s="2">
        <v>0</v>
      </c>
      <c r="J4064" s="1">
        <v>45915.377430555556</v>
      </c>
    </row>
    <row r="4065" spans="1:10" x14ac:dyDescent="0.2">
      <c r="A4065" s="4" t="s">
        <v>1</v>
      </c>
      <c r="B4065" s="3" t="str">
        <f>HYPERLINK("https://otsuka-europe-crm.veevavault.com/ui/#object/approved_document__v/V5OZ025E82TFUPI", "Spain - HCP Survey Email - June 2025")</f>
        <v>Spain - HCP Survey Email - June 2025</v>
      </c>
      <c r="C4065" s="3" t="str">
        <f>HYPERLINK("https://otsuka-europe-crm.veevavault.com/ui/#object/sent_email__v/VBLZ025E82GN0S9", "SE-000271195")</f>
        <v>SE-000271195</v>
      </c>
      <c r="D4065" s="1" t="s">
        <v>0</v>
      </c>
      <c r="E4065" s="2">
        <v>0</v>
      </c>
      <c r="F4065" s="2">
        <v>0</v>
      </c>
      <c r="G4065" s="2">
        <v>0</v>
      </c>
      <c r="H4065" s="1" t="s">
        <v>0</v>
      </c>
      <c r="I4065" s="2">
        <v>0</v>
      </c>
      <c r="J4065" s="1">
        <v>45915.37841435185</v>
      </c>
    </row>
    <row r="4066" spans="1:10" x14ac:dyDescent="0.2">
      <c r="A4066" s="4" t="s">
        <v>1</v>
      </c>
      <c r="B4066" s="3" t="str">
        <f>HYPERLINK("https://otsuka-europe-crm.veevavault.com/ui/#object/approved_document__v/V5OZ025E82TFUPI", "Spain - HCP Survey Email - June 2025")</f>
        <v>Spain - HCP Survey Email - June 2025</v>
      </c>
      <c r="C4066" s="3" t="str">
        <f>HYPERLINK("https://otsuka-europe-crm.veevavault.com/ui/#object/sent_email__v/VBLZ025E82GN0SA", "SE-000271196")</f>
        <v>SE-000271196</v>
      </c>
      <c r="D4066" s="1" t="s">
        <v>0</v>
      </c>
      <c r="E4066" s="2">
        <v>0</v>
      </c>
      <c r="F4066" s="2">
        <v>0</v>
      </c>
      <c r="G4066" s="2">
        <v>0</v>
      </c>
      <c r="H4066" s="1" t="s">
        <v>0</v>
      </c>
      <c r="I4066" s="2">
        <v>0</v>
      </c>
      <c r="J4066" s="1">
        <v>45915.37872685185</v>
      </c>
    </row>
    <row r="4067" spans="1:10" x14ac:dyDescent="0.2">
      <c r="A4067" s="4" t="s">
        <v>1</v>
      </c>
      <c r="B4067" s="3" t="str">
        <f>HYPERLINK("https://otsuka-europe-crm.veevavault.com/ui/#object/approved_document__v/V5OZ025E82TFUPI", "Spain - HCP Survey Email - June 2025")</f>
        <v>Spain - HCP Survey Email - June 2025</v>
      </c>
      <c r="C4067" s="3" t="str">
        <f>HYPERLINK("https://otsuka-europe-crm.veevavault.com/ui/#object/sent_email__v/VBLZ025E82GN0SB", "SE-000271197")</f>
        <v>SE-000271197</v>
      </c>
      <c r="D4067" s="1">
        <v>45934.526736111111</v>
      </c>
      <c r="E4067" s="2">
        <v>1</v>
      </c>
      <c r="F4067" s="2">
        <v>2</v>
      </c>
      <c r="G4067" s="2">
        <v>0</v>
      </c>
      <c r="H4067" s="1" t="s">
        <v>0</v>
      </c>
      <c r="I4067" s="2">
        <v>0</v>
      </c>
      <c r="J4067" s="1">
        <v>45915.378703703704</v>
      </c>
    </row>
    <row r="4068" spans="1:10" x14ac:dyDescent="0.2">
      <c r="A4068" s="4" t="s">
        <v>1</v>
      </c>
      <c r="B4068" s="3" t="str">
        <f>HYPERLINK("https://otsuka-europe-crm.veevavault.com/ui/#object/approved_document__v/V5OZ025E82TFUPI", "Spain - HCP Survey Email - June 2025")</f>
        <v>Spain - HCP Survey Email - June 2025</v>
      </c>
      <c r="C4068" s="3" t="str">
        <f>HYPERLINK("https://otsuka-europe-crm.veevavault.com/ui/#object/sent_email__v/VBLZ025E82GN0SC", "SE-000271198")</f>
        <v>SE-000271198</v>
      </c>
      <c r="D4068" s="1">
        <v>45915.398854166669</v>
      </c>
      <c r="E4068" s="2">
        <v>1</v>
      </c>
      <c r="F4068" s="2">
        <v>1</v>
      </c>
      <c r="G4068" s="2">
        <v>0</v>
      </c>
      <c r="H4068" s="1" t="s">
        <v>0</v>
      </c>
      <c r="I4068" s="2">
        <v>0</v>
      </c>
      <c r="J4068" s="1">
        <v>45915.379212962966</v>
      </c>
    </row>
    <row r="4069" spans="1:10" x14ac:dyDescent="0.2">
      <c r="A4069" s="4" t="s">
        <v>1</v>
      </c>
      <c r="B4069" s="3" t="str">
        <f>HYPERLINK("https://otsuka-europe-crm.veevavault.com/ui/#object/approved_document__v/V5OZ025E82TFUPI", "Spain - HCP Survey Email - June 2025")</f>
        <v>Spain - HCP Survey Email - June 2025</v>
      </c>
      <c r="C4069" s="3" t="str">
        <f>HYPERLINK("https://otsuka-europe-crm.veevavault.com/ui/#object/sent_email__v/VBLZ025E82GN0SD", "SE-000271199")</f>
        <v>SE-000271199</v>
      </c>
      <c r="D4069" s="1" t="s">
        <v>0</v>
      </c>
      <c r="E4069" s="2">
        <v>0</v>
      </c>
      <c r="F4069" s="2">
        <v>0</v>
      </c>
      <c r="G4069" s="2">
        <v>0</v>
      </c>
      <c r="H4069" s="1" t="s">
        <v>0</v>
      </c>
      <c r="I4069" s="2">
        <v>0</v>
      </c>
      <c r="J4069" s="1">
        <v>45915.377858796295</v>
      </c>
    </row>
    <row r="4070" spans="1:10" x14ac:dyDescent="0.2">
      <c r="A4070" s="4" t="s">
        <v>1</v>
      </c>
      <c r="B4070" s="3" t="str">
        <f>HYPERLINK("https://otsuka-europe-crm.veevavault.com/ui/#object/approved_document__v/V5OZ025E82TFUPI", "Spain - HCP Survey Email - June 2025")</f>
        <v>Spain - HCP Survey Email - June 2025</v>
      </c>
      <c r="C4070" s="3" t="str">
        <f>HYPERLINK("https://otsuka-europe-crm.veevavault.com/ui/#object/sent_email__v/VBLZ025E82GN0SE", "SE-000271200")</f>
        <v>SE-000271200</v>
      </c>
      <c r="D4070" s="1" t="s">
        <v>0</v>
      </c>
      <c r="E4070" s="2">
        <v>0</v>
      </c>
      <c r="F4070" s="2">
        <v>0</v>
      </c>
      <c r="G4070" s="2">
        <v>0</v>
      </c>
      <c r="H4070" s="1" t="s">
        <v>0</v>
      </c>
      <c r="I4070" s="2">
        <v>0</v>
      </c>
      <c r="J4070" s="1">
        <v>45915.378217592595</v>
      </c>
    </row>
    <row r="4071" spans="1:10" x14ac:dyDescent="0.2">
      <c r="A4071" s="4" t="s">
        <v>1</v>
      </c>
      <c r="B4071" s="3" t="str">
        <f>HYPERLINK("https://otsuka-europe-crm.veevavault.com/ui/#object/approved_document__v/V5OZ025E82TFUPI", "Spain - HCP Survey Email - June 2025")</f>
        <v>Spain - HCP Survey Email - June 2025</v>
      </c>
      <c r="C4071" s="3" t="str">
        <f>HYPERLINK("https://otsuka-europe-crm.veevavault.com/ui/#object/sent_email__v/VBLZ025E82GN0SF", "SE-000271201")</f>
        <v>SE-000271201</v>
      </c>
      <c r="D4071" s="1">
        <v>45915.40729166667</v>
      </c>
      <c r="E4071" s="2">
        <v>1</v>
      </c>
      <c r="F4071" s="2">
        <v>2</v>
      </c>
      <c r="G4071" s="2">
        <v>0</v>
      </c>
      <c r="H4071" s="1" t="s">
        <v>0</v>
      </c>
      <c r="I4071" s="2">
        <v>0</v>
      </c>
      <c r="J4071" s="1">
        <v>45915.378125000003</v>
      </c>
    </row>
    <row r="4072" spans="1:10" x14ac:dyDescent="0.2">
      <c r="A4072" s="4" t="s">
        <v>1</v>
      </c>
      <c r="B4072" s="3" t="str">
        <f>HYPERLINK("https://otsuka-europe-crm.veevavault.com/ui/#object/approved_document__v/V5OZ025E82TFUPI", "Spain - HCP Survey Email - June 2025")</f>
        <v>Spain - HCP Survey Email - June 2025</v>
      </c>
      <c r="C4072" s="3" t="str">
        <f>HYPERLINK("https://otsuka-europe-crm.veevavault.com/ui/#object/sent_email__v/VBLZ025E82GN0SG", "SE-000271202")</f>
        <v>SE-000271202</v>
      </c>
      <c r="D4072" s="1" t="s">
        <v>0</v>
      </c>
      <c r="E4072" s="2">
        <v>0</v>
      </c>
      <c r="F4072" s="2">
        <v>0</v>
      </c>
      <c r="G4072" s="2">
        <v>0</v>
      </c>
      <c r="H4072" s="1" t="s">
        <v>0</v>
      </c>
      <c r="I4072" s="2">
        <v>0</v>
      </c>
      <c r="J4072" s="1">
        <v>45915.378587962965</v>
      </c>
    </row>
    <row r="4073" spans="1:10" x14ac:dyDescent="0.2">
      <c r="A4073" s="4" t="s">
        <v>1</v>
      </c>
      <c r="B4073" s="3" t="str">
        <f>HYPERLINK("https://otsuka-europe-crm.veevavault.com/ui/#object/approved_document__v/V5OZ025E82TFUPI", "Spain - HCP Survey Email - June 2025")</f>
        <v>Spain - HCP Survey Email - June 2025</v>
      </c>
      <c r="C4073" s="3" t="str">
        <f>HYPERLINK("https://otsuka-europe-crm.veevavault.com/ui/#object/sent_email__v/VBLZ025E82GN0SH", "SE-000271203")</f>
        <v>SE-000271203</v>
      </c>
      <c r="D4073" s="1" t="s">
        <v>0</v>
      </c>
      <c r="E4073" s="2">
        <v>0</v>
      </c>
      <c r="F4073" s="2">
        <v>0</v>
      </c>
      <c r="G4073" s="2">
        <v>0</v>
      </c>
      <c r="H4073" s="1" t="s">
        <v>0</v>
      </c>
      <c r="I4073" s="2">
        <v>0</v>
      </c>
      <c r="J4073" s="1">
        <v>45915.379930555559</v>
      </c>
    </row>
    <row r="4074" spans="1:10" x14ac:dyDescent="0.2">
      <c r="A4074" s="4" t="s">
        <v>1</v>
      </c>
      <c r="B4074" s="3" t="str">
        <f>HYPERLINK("https://otsuka-europe-crm.veevavault.com/ui/#object/approved_document__v/V5OZ025E82TFUPI", "Spain - HCP Survey Email - June 2025")</f>
        <v>Spain - HCP Survey Email - June 2025</v>
      </c>
      <c r="C4074" s="3" t="str">
        <f>HYPERLINK("https://otsuka-europe-crm.veevavault.com/ui/#object/sent_email__v/VBLZ025E82GN0SI", "SE-000271204")</f>
        <v>SE-000271204</v>
      </c>
      <c r="D4074" s="1" t="s">
        <v>0</v>
      </c>
      <c r="E4074" s="2">
        <v>0</v>
      </c>
      <c r="F4074" s="2">
        <v>0</v>
      </c>
      <c r="G4074" s="2">
        <v>0</v>
      </c>
      <c r="H4074" s="1" t="s">
        <v>0</v>
      </c>
      <c r="I4074" s="2">
        <v>0</v>
      </c>
      <c r="J4074" s="1">
        <v>45915.379386574074</v>
      </c>
    </row>
    <row r="4075" spans="1:10" x14ac:dyDescent="0.2">
      <c r="A4075" s="4" t="s">
        <v>1</v>
      </c>
      <c r="B4075" s="3" t="str">
        <f>HYPERLINK("https://otsuka-europe-crm.veevavault.com/ui/#object/approved_document__v/V5OZ025E82TFUPI", "Spain - HCP Survey Email - June 2025")</f>
        <v>Spain - HCP Survey Email - June 2025</v>
      </c>
      <c r="C4075" s="3" t="str">
        <f>HYPERLINK("https://otsuka-europe-crm.veevavault.com/ui/#object/sent_email__v/VBLZ025E82GN0SJ", "SE-000271205")</f>
        <v>SE-000271205</v>
      </c>
      <c r="D4075" s="1">
        <v>45915.480740740742</v>
      </c>
      <c r="E4075" s="2">
        <v>1</v>
      </c>
      <c r="F4075" s="2">
        <v>1</v>
      </c>
      <c r="G4075" s="2">
        <v>0</v>
      </c>
      <c r="H4075" s="1" t="s">
        <v>0</v>
      </c>
      <c r="I4075" s="2">
        <v>0</v>
      </c>
      <c r="J4075" s="1">
        <v>45915.377500000002</v>
      </c>
    </row>
    <row r="4076" spans="1:10" x14ac:dyDescent="0.2">
      <c r="A4076" s="4" t="s">
        <v>1</v>
      </c>
      <c r="B4076" s="3" t="str">
        <f>HYPERLINK("https://otsuka-europe-crm.veevavault.com/ui/#object/approved_document__v/V5OZ025E82TFUPI", "Spain - HCP Survey Email - June 2025")</f>
        <v>Spain - HCP Survey Email - June 2025</v>
      </c>
      <c r="C4076" s="3" t="str">
        <f>HYPERLINK("https://otsuka-europe-crm.veevavault.com/ui/#object/sent_email__v/VBLZ025E82GN0SK", "SE-000271206")</f>
        <v>SE-000271206</v>
      </c>
      <c r="D4076" s="1">
        <v>45915.673217592594</v>
      </c>
      <c r="E4076" s="2">
        <v>1</v>
      </c>
      <c r="F4076" s="2">
        <v>1</v>
      </c>
      <c r="G4076" s="2">
        <v>0</v>
      </c>
      <c r="H4076" s="1" t="s">
        <v>0</v>
      </c>
      <c r="I4076" s="2">
        <v>0</v>
      </c>
      <c r="J4076" s="1">
        <v>45915.378275462965</v>
      </c>
    </row>
    <row r="4077" spans="1:10" x14ac:dyDescent="0.2">
      <c r="A4077" s="4" t="s">
        <v>1</v>
      </c>
      <c r="B4077" s="3" t="str">
        <f>HYPERLINK("https://otsuka-europe-crm.veevavault.com/ui/#object/approved_document__v/V5OZ025E82TFUPI", "Spain - HCP Survey Email - June 2025")</f>
        <v>Spain - HCP Survey Email - June 2025</v>
      </c>
      <c r="C4077" s="3" t="str">
        <f>HYPERLINK("https://otsuka-europe-crm.veevavault.com/ui/#object/sent_email__v/VBLZ025E82GN0SL", "SE-000271207")</f>
        <v>SE-000271207</v>
      </c>
      <c r="D4077" s="1" t="s">
        <v>0</v>
      </c>
      <c r="E4077" s="2">
        <v>0</v>
      </c>
      <c r="F4077" s="2">
        <v>0</v>
      </c>
      <c r="G4077" s="2">
        <v>0</v>
      </c>
      <c r="H4077" s="1" t="s">
        <v>0</v>
      </c>
      <c r="I4077" s="2">
        <v>0</v>
      </c>
      <c r="J4077" s="1">
        <v>45915.378796296296</v>
      </c>
    </row>
    <row r="4078" spans="1:10" x14ac:dyDescent="0.2">
      <c r="A4078" s="4" t="s">
        <v>1</v>
      </c>
      <c r="B4078" s="3" t="str">
        <f>HYPERLINK("https://otsuka-europe-crm.veevavault.com/ui/#object/approved_document__v/V5OZ025E82TFUPI", "Spain - HCP Survey Email - June 2025")</f>
        <v>Spain - HCP Survey Email - June 2025</v>
      </c>
      <c r="C4078" s="3" t="str">
        <f>HYPERLINK("https://otsuka-europe-crm.veevavault.com/ui/#object/sent_email__v/VBLZ025E82GN0SM", "SE-000271208")</f>
        <v>SE-000271208</v>
      </c>
      <c r="D4078" s="1" t="s">
        <v>0</v>
      </c>
      <c r="E4078" s="2">
        <v>0</v>
      </c>
      <c r="F4078" s="2">
        <v>0</v>
      </c>
      <c r="G4078" s="2">
        <v>0</v>
      </c>
      <c r="H4078" s="1" t="s">
        <v>0</v>
      </c>
      <c r="I4078" s="2">
        <v>0</v>
      </c>
      <c r="J4078" s="1">
        <v>45915.37871527778</v>
      </c>
    </row>
    <row r="4079" spans="1:10" x14ac:dyDescent="0.2">
      <c r="A4079" s="4" t="s">
        <v>1</v>
      </c>
      <c r="B4079" s="3" t="str">
        <f>HYPERLINK("https://otsuka-europe-crm.veevavault.com/ui/#object/approved_document__v/V5OZ025E82TFUPI", "Spain - HCP Survey Email - June 2025")</f>
        <v>Spain - HCP Survey Email - June 2025</v>
      </c>
      <c r="C4079" s="3" t="str">
        <f>HYPERLINK("https://otsuka-europe-crm.veevavault.com/ui/#object/sent_email__v/VBLZ025E82GN0SN", "SE-000271209")</f>
        <v>SE-000271209</v>
      </c>
      <c r="D4079" s="1" t="s">
        <v>0</v>
      </c>
      <c r="E4079" s="2">
        <v>0</v>
      </c>
      <c r="F4079" s="2">
        <v>0</v>
      </c>
      <c r="G4079" s="2">
        <v>0</v>
      </c>
      <c r="H4079" s="1" t="s">
        <v>0</v>
      </c>
      <c r="I4079" s="2">
        <v>0</v>
      </c>
      <c r="J4079" s="1">
        <v>45915.379293981481</v>
      </c>
    </row>
    <row r="4080" spans="1:10" x14ac:dyDescent="0.2">
      <c r="A4080" s="4" t="s">
        <v>1</v>
      </c>
      <c r="B4080" s="3" t="str">
        <f>HYPERLINK("https://otsuka-europe-crm.veevavault.com/ui/#object/approved_document__v/V5OZ025E82TFUPI", "Spain - HCP Survey Email - June 2025")</f>
        <v>Spain - HCP Survey Email - June 2025</v>
      </c>
      <c r="C4080" s="3" t="str">
        <f>HYPERLINK("https://otsuka-europe-crm.veevavault.com/ui/#object/sent_email__v/VBLZ025E82GN0SO", "SE-000271210")</f>
        <v>SE-000271210</v>
      </c>
      <c r="D4080" s="1">
        <v>45915.689571759256</v>
      </c>
      <c r="E4080" s="2">
        <v>1</v>
      </c>
      <c r="F4080" s="2">
        <v>1</v>
      </c>
      <c r="G4080" s="2">
        <v>0</v>
      </c>
      <c r="H4080" s="1" t="s">
        <v>0</v>
      </c>
      <c r="I4080" s="2">
        <v>0</v>
      </c>
      <c r="J4080" s="1">
        <v>45915.377870370372</v>
      </c>
    </row>
    <row r="4081" spans="1:10" x14ac:dyDescent="0.2">
      <c r="A4081" s="4" t="s">
        <v>1</v>
      </c>
      <c r="B4081" s="3" t="str">
        <f>HYPERLINK("https://otsuka-europe-crm.veevavault.com/ui/#object/approved_document__v/V5OZ025E82TFUPI", "Spain - HCP Survey Email - June 2025")</f>
        <v>Spain - HCP Survey Email - June 2025</v>
      </c>
      <c r="C4081" s="3" t="str">
        <f>HYPERLINK("https://otsuka-europe-crm.veevavault.com/ui/#object/sent_email__v/VBLZ025E82GN0SP", "SE-000271211")</f>
        <v>SE-000271211</v>
      </c>
      <c r="D4081" s="1" t="s">
        <v>0</v>
      </c>
      <c r="E4081" s="2">
        <v>0</v>
      </c>
      <c r="F4081" s="2">
        <v>0</v>
      </c>
      <c r="G4081" s="2">
        <v>0</v>
      </c>
      <c r="H4081" s="1" t="s">
        <v>0</v>
      </c>
      <c r="I4081" s="2">
        <v>0</v>
      </c>
      <c r="J4081" s="1">
        <v>45915.37835648148</v>
      </c>
    </row>
    <row r="4082" spans="1:10" x14ac:dyDescent="0.2">
      <c r="A4082" s="4" t="s">
        <v>1</v>
      </c>
      <c r="B4082" s="3" t="str">
        <f>HYPERLINK("https://otsuka-europe-crm.veevavault.com/ui/#object/approved_document__v/V5OZ025E82TFUPI", "Spain - HCP Survey Email - June 2025")</f>
        <v>Spain - HCP Survey Email - June 2025</v>
      </c>
      <c r="C4082" s="3" t="str">
        <f>HYPERLINK("https://otsuka-europe-crm.veevavault.com/ui/#object/sent_email__v/VBLZ025E82GN0SQ", "SE-000271212")</f>
        <v>SE-000271212</v>
      </c>
      <c r="D4082" s="1" t="s">
        <v>0</v>
      </c>
      <c r="E4082" s="2">
        <v>0</v>
      </c>
      <c r="F4082" s="2">
        <v>0</v>
      </c>
      <c r="G4082" s="2">
        <v>0</v>
      </c>
      <c r="H4082" s="1" t="s">
        <v>0</v>
      </c>
      <c r="I4082" s="2">
        <v>0</v>
      </c>
      <c r="J4082" s="1">
        <v>45915.378101851849</v>
      </c>
    </row>
    <row r="4083" spans="1:10" x14ac:dyDescent="0.2">
      <c r="A4083" s="4" t="s">
        <v>1</v>
      </c>
      <c r="B4083" s="3" t="str">
        <f>HYPERLINK("https://otsuka-europe-crm.veevavault.com/ui/#object/approved_document__v/V5OZ025E82TFUPI", "Spain - HCP Survey Email - June 2025")</f>
        <v>Spain - HCP Survey Email - June 2025</v>
      </c>
      <c r="C4083" s="3" t="str">
        <f>HYPERLINK("https://otsuka-europe-crm.veevavault.com/ui/#object/sent_email__v/VBLZ025E82GN0SR", "SE-000271213")</f>
        <v>SE-000271213</v>
      </c>
      <c r="D4083" s="1" t="s">
        <v>0</v>
      </c>
      <c r="E4083" s="2">
        <v>0</v>
      </c>
      <c r="F4083" s="2">
        <v>0</v>
      </c>
      <c r="G4083" s="2">
        <v>0</v>
      </c>
      <c r="H4083" s="1" t="s">
        <v>0</v>
      </c>
      <c r="I4083" s="2">
        <v>0</v>
      </c>
      <c r="J4083" s="1">
        <v>45915.378587962965</v>
      </c>
    </row>
    <row r="4084" spans="1:10" x14ac:dyDescent="0.2">
      <c r="A4084" s="4" t="s">
        <v>1</v>
      </c>
      <c r="B4084" s="3" t="str">
        <f>HYPERLINK("https://otsuka-europe-crm.veevavault.com/ui/#object/approved_document__v/V5OZ025E82TFUPI", "Spain - HCP Survey Email - June 2025")</f>
        <v>Spain - HCP Survey Email - June 2025</v>
      </c>
      <c r="C4084" s="3" t="str">
        <f>HYPERLINK("https://otsuka-europe-crm.veevavault.com/ui/#object/sent_email__v/VBLZ025E82GN0SS", "SE-000271214")</f>
        <v>SE-000271214</v>
      </c>
      <c r="D4084" s="1">
        <v>45915.886562500003</v>
      </c>
      <c r="E4084" s="2">
        <v>1</v>
      </c>
      <c r="F4084" s="2">
        <v>1</v>
      </c>
      <c r="G4084" s="2">
        <v>0</v>
      </c>
      <c r="H4084" s="1" t="s">
        <v>0</v>
      </c>
      <c r="I4084" s="2">
        <v>0</v>
      </c>
      <c r="J4084" s="1">
        <v>45915.379629629628</v>
      </c>
    </row>
    <row r="4085" spans="1:10" x14ac:dyDescent="0.2">
      <c r="A4085" s="4" t="s">
        <v>1</v>
      </c>
      <c r="B4085" s="3" t="str">
        <f>HYPERLINK("https://otsuka-europe-crm.veevavault.com/ui/#object/approved_document__v/V5OZ025E82TFUPI", "Spain - HCP Survey Email - June 2025")</f>
        <v>Spain - HCP Survey Email - June 2025</v>
      </c>
      <c r="C4085" s="3" t="str">
        <f>HYPERLINK("https://otsuka-europe-crm.veevavault.com/ui/#object/sent_email__v/VBLZ025E82GN0ST", "SE-000271215")</f>
        <v>SE-000271215</v>
      </c>
      <c r="D4085" s="1" t="s">
        <v>0</v>
      </c>
      <c r="E4085" s="2">
        <v>0</v>
      </c>
      <c r="F4085" s="2">
        <v>0</v>
      </c>
      <c r="G4085" s="2">
        <v>0</v>
      </c>
      <c r="H4085" s="1" t="s">
        <v>0</v>
      </c>
      <c r="I4085" s="2">
        <v>0</v>
      </c>
      <c r="J4085" s="1">
        <v>45915.379374999997</v>
      </c>
    </row>
    <row r="4086" spans="1:10" x14ac:dyDescent="0.2">
      <c r="A4086" s="4" t="s">
        <v>1</v>
      </c>
      <c r="B4086" s="3" t="str">
        <f>HYPERLINK("https://otsuka-europe-crm.veevavault.com/ui/#object/approved_document__v/V5OZ025E82TFUPI", "Spain - HCP Survey Email - June 2025")</f>
        <v>Spain - HCP Survey Email - June 2025</v>
      </c>
      <c r="C4086" s="3" t="str">
        <f>HYPERLINK("https://otsuka-europe-crm.veevavault.com/ui/#object/sent_email__v/VBLZ025E82GN0SU", "SE-000271216")</f>
        <v>SE-000271216</v>
      </c>
      <c r="D4086" s="1">
        <v>45915.379814814813</v>
      </c>
      <c r="E4086" s="2">
        <v>1</v>
      </c>
      <c r="F4086" s="2">
        <v>1</v>
      </c>
      <c r="G4086" s="2">
        <v>0</v>
      </c>
      <c r="H4086" s="1" t="s">
        <v>0</v>
      </c>
      <c r="I4086" s="2">
        <v>0</v>
      </c>
      <c r="J4086" s="1">
        <v>45915.377430555556</v>
      </c>
    </row>
    <row r="4087" spans="1:10" x14ac:dyDescent="0.2">
      <c r="A4087" s="4" t="s">
        <v>1</v>
      </c>
      <c r="B4087" s="3" t="str">
        <f>HYPERLINK("https://otsuka-europe-crm.veevavault.com/ui/#object/approved_document__v/V5OZ025E82TFUPI", "Spain - HCP Survey Email - June 2025")</f>
        <v>Spain - HCP Survey Email - June 2025</v>
      </c>
      <c r="C4087" s="3" t="str">
        <f>HYPERLINK("https://otsuka-europe-crm.veevavault.com/ui/#object/sent_email__v/VBLZ025E82GN0SW", "SE-000271218")</f>
        <v>SE-000271218</v>
      </c>
      <c r="D4087" s="1">
        <v>45915.562638888892</v>
      </c>
      <c r="E4087" s="2">
        <v>1</v>
      </c>
      <c r="F4087" s="2">
        <v>2</v>
      </c>
      <c r="G4087" s="2">
        <v>0</v>
      </c>
      <c r="H4087" s="1" t="s">
        <v>0</v>
      </c>
      <c r="I4087" s="2">
        <v>0</v>
      </c>
      <c r="J4087" s="1">
        <v>45915.378784722219</v>
      </c>
    </row>
    <row r="4088" spans="1:10" x14ac:dyDescent="0.2">
      <c r="A4088" s="4" t="s">
        <v>1</v>
      </c>
      <c r="B4088" s="3" t="str">
        <f>HYPERLINK("https://otsuka-europe-crm.veevavault.com/ui/#object/approved_document__v/V5OZ025E82TFUPI", "Spain - HCP Survey Email - June 2025")</f>
        <v>Spain - HCP Survey Email - June 2025</v>
      </c>
      <c r="C4088" s="3" t="str">
        <f>HYPERLINK("https://otsuka-europe-crm.veevavault.com/ui/#object/sent_email__v/VBLZ025E82GN0SX", "SE-000271219")</f>
        <v>SE-000271219</v>
      </c>
      <c r="D4088" s="1" t="s">
        <v>0</v>
      </c>
      <c r="E4088" s="2">
        <v>0</v>
      </c>
      <c r="F4088" s="2">
        <v>0</v>
      </c>
      <c r="G4088" s="2">
        <v>0</v>
      </c>
      <c r="H4088" s="1" t="s">
        <v>0</v>
      </c>
      <c r="I4088" s="2">
        <v>0</v>
      </c>
      <c r="J4088" s="1">
        <v>45915.378657407404</v>
      </c>
    </row>
    <row r="4089" spans="1:10" x14ac:dyDescent="0.2">
      <c r="A4089" s="4" t="s">
        <v>1</v>
      </c>
      <c r="B4089" s="3" t="str">
        <f>HYPERLINK("https://otsuka-europe-crm.veevavault.com/ui/#object/approved_document__v/V5OZ025E82TFUPI", "Spain - HCP Survey Email - June 2025")</f>
        <v>Spain - HCP Survey Email - June 2025</v>
      </c>
      <c r="C4089" s="3" t="str">
        <f>HYPERLINK("https://otsuka-europe-crm.veevavault.com/ui/#object/sent_email__v/VBLZ025E82GN0SY", "SE-000271220")</f>
        <v>SE-000271220</v>
      </c>
      <c r="D4089" s="1" t="s">
        <v>0</v>
      </c>
      <c r="E4089" s="2">
        <v>0</v>
      </c>
      <c r="F4089" s="2">
        <v>0</v>
      </c>
      <c r="G4089" s="2">
        <v>0</v>
      </c>
      <c r="H4089" s="1" t="s">
        <v>0</v>
      </c>
      <c r="I4089" s="2">
        <v>0</v>
      </c>
      <c r="J4089" s="1">
        <v>45915.379374999997</v>
      </c>
    </row>
    <row r="4090" spans="1:10" x14ac:dyDescent="0.2">
      <c r="A4090" s="4" t="s">
        <v>1</v>
      </c>
      <c r="B4090" s="3" t="str">
        <f>HYPERLINK("https://otsuka-europe-crm.veevavault.com/ui/#object/approved_document__v/V5OZ025E82TFUPI", "Spain - HCP Survey Email - June 2025")</f>
        <v>Spain - HCP Survey Email - June 2025</v>
      </c>
      <c r="C4090" s="3" t="str">
        <f>HYPERLINK("https://otsuka-europe-crm.veevavault.com/ui/#object/sent_email__v/VBLZ025E82GN0SZ", "SE-000271221")</f>
        <v>SE-000271221</v>
      </c>
      <c r="D4090" s="1" t="s">
        <v>0</v>
      </c>
      <c r="E4090" s="2">
        <v>0</v>
      </c>
      <c r="F4090" s="2">
        <v>0</v>
      </c>
      <c r="G4090" s="2">
        <v>0</v>
      </c>
      <c r="H4090" s="1" t="s">
        <v>0</v>
      </c>
      <c r="I4090" s="2">
        <v>0</v>
      </c>
      <c r="J4090" s="1">
        <v>45915.377442129633</v>
      </c>
    </row>
    <row r="4091" spans="1:10" x14ac:dyDescent="0.2">
      <c r="A4091" s="4" t="s">
        <v>1</v>
      </c>
      <c r="B4091" s="3" t="str">
        <f>HYPERLINK("https://otsuka-europe-crm.veevavault.com/ui/#object/approved_document__v/V5OZ025E82TFUPI", "Spain - HCP Survey Email - June 2025")</f>
        <v>Spain - HCP Survey Email - June 2025</v>
      </c>
      <c r="C4091" s="3" t="str">
        <f>HYPERLINK("https://otsuka-europe-crm.veevavault.com/ui/#object/sent_email__v/VBLZ025E82GN0T0", "SE-000271222")</f>
        <v>SE-000271222</v>
      </c>
      <c r="D4091" s="1" t="s">
        <v>0</v>
      </c>
      <c r="E4091" s="2">
        <v>0</v>
      </c>
      <c r="F4091" s="2">
        <v>0</v>
      </c>
      <c r="G4091" s="2">
        <v>0</v>
      </c>
      <c r="H4091" s="1" t="s">
        <v>0</v>
      </c>
      <c r="I4091" s="2">
        <v>0</v>
      </c>
      <c r="J4091" s="1">
        <v>45915.378368055557</v>
      </c>
    </row>
    <row r="4092" spans="1:10" x14ac:dyDescent="0.2">
      <c r="A4092" s="4" t="s">
        <v>1</v>
      </c>
      <c r="B4092" s="3" t="str">
        <f>HYPERLINK("https://otsuka-europe-crm.veevavault.com/ui/#object/approved_document__v/V5OZ025E82TFUPI", "Spain - HCP Survey Email - June 2025")</f>
        <v>Spain - HCP Survey Email - June 2025</v>
      </c>
      <c r="C4092" s="3" t="str">
        <f>HYPERLINK("https://otsuka-europe-crm.veevavault.com/ui/#object/sent_email__v/VBLZ025E82GN0T1", "SE-000271223")</f>
        <v>SE-000271223</v>
      </c>
      <c r="D4092" s="1" t="s">
        <v>0</v>
      </c>
      <c r="E4092" s="2">
        <v>0</v>
      </c>
      <c r="F4092" s="2">
        <v>0</v>
      </c>
      <c r="G4092" s="2">
        <v>0</v>
      </c>
      <c r="H4092" s="1" t="s">
        <v>0</v>
      </c>
      <c r="I4092" s="2">
        <v>0</v>
      </c>
      <c r="J4092" s="1">
        <v>45915.378784722219</v>
      </c>
    </row>
    <row r="4093" spans="1:10" x14ac:dyDescent="0.2">
      <c r="A4093" s="4" t="s">
        <v>1</v>
      </c>
      <c r="B4093" s="3" t="str">
        <f>HYPERLINK("https://otsuka-europe-crm.veevavault.com/ui/#object/approved_document__v/V5OZ025E82TFUPI", "Spain - HCP Survey Email - June 2025")</f>
        <v>Spain - HCP Survey Email - June 2025</v>
      </c>
      <c r="C4093" s="3" t="str">
        <f>HYPERLINK("https://otsuka-europe-crm.veevavault.com/ui/#object/sent_email__v/VBLZ025E82GN0T2", "SE-000271224")</f>
        <v>SE-000271224</v>
      </c>
      <c r="D4093" s="1" t="s">
        <v>0</v>
      </c>
      <c r="E4093" s="2">
        <v>0</v>
      </c>
      <c r="F4093" s="2">
        <v>0</v>
      </c>
      <c r="G4093" s="2">
        <v>0</v>
      </c>
      <c r="H4093" s="1" t="s">
        <v>0</v>
      </c>
      <c r="I4093" s="2">
        <v>0</v>
      </c>
      <c r="J4093" s="1">
        <v>45915.378819444442</v>
      </c>
    </row>
    <row r="4094" spans="1:10" x14ac:dyDescent="0.2">
      <c r="A4094" s="4" t="s">
        <v>1</v>
      </c>
      <c r="B4094" s="3" t="str">
        <f>HYPERLINK("https://otsuka-europe-crm.veevavault.com/ui/#object/approved_document__v/V5OZ025E82TFUPI", "Spain - HCP Survey Email - June 2025")</f>
        <v>Spain - HCP Survey Email - June 2025</v>
      </c>
      <c r="C4094" s="3" t="str">
        <f>HYPERLINK("https://otsuka-europe-crm.veevavault.com/ui/#object/sent_email__v/VBLZ025E82GN0T3", "SE-000271225")</f>
        <v>SE-000271225</v>
      </c>
      <c r="D4094" s="1" t="s">
        <v>0</v>
      </c>
      <c r="E4094" s="2">
        <v>0</v>
      </c>
      <c r="F4094" s="2">
        <v>0</v>
      </c>
      <c r="G4094" s="2">
        <v>0</v>
      </c>
      <c r="H4094" s="1" t="s">
        <v>0</v>
      </c>
      <c r="I4094" s="2">
        <v>0</v>
      </c>
      <c r="J4094" s="1">
        <v>45915.379259259258</v>
      </c>
    </row>
    <row r="4095" spans="1:10" x14ac:dyDescent="0.2">
      <c r="A4095" s="4" t="s">
        <v>1</v>
      </c>
      <c r="B4095" s="3" t="str">
        <f>HYPERLINK("https://otsuka-europe-crm.veevavault.com/ui/#object/approved_document__v/V5OZ025E82TFUPI", "Spain - HCP Survey Email - June 2025")</f>
        <v>Spain - HCP Survey Email - June 2025</v>
      </c>
      <c r="C4095" s="3" t="str">
        <f>HYPERLINK("https://otsuka-europe-crm.veevavault.com/ui/#object/sent_email__v/VBLZ025E82GN0T4", "SE-000271226")</f>
        <v>SE-000271226</v>
      </c>
      <c r="D4095" s="1" t="s">
        <v>0</v>
      </c>
      <c r="E4095" s="2">
        <v>0</v>
      </c>
      <c r="F4095" s="2">
        <v>0</v>
      </c>
      <c r="G4095" s="2">
        <v>0</v>
      </c>
      <c r="H4095" s="1" t="s">
        <v>0</v>
      </c>
      <c r="I4095" s="2">
        <v>0</v>
      </c>
      <c r="J4095" s="1">
        <v>45915.377881944441</v>
      </c>
    </row>
    <row r="4096" spans="1:10" x14ac:dyDescent="0.2">
      <c r="A4096" s="4" t="s">
        <v>1</v>
      </c>
      <c r="B4096" s="3" t="str">
        <f>HYPERLINK("https://otsuka-europe-crm.veevavault.com/ui/#object/approved_document__v/V5OZ025E82TFUPI", "Spain - HCP Survey Email - June 2025")</f>
        <v>Spain - HCP Survey Email - June 2025</v>
      </c>
      <c r="C4096" s="3" t="str">
        <f>HYPERLINK("https://otsuka-europe-crm.veevavault.com/ui/#object/sent_email__v/VBLZ025E82GN0T5", "SE-000271227")</f>
        <v>SE-000271227</v>
      </c>
      <c r="D4096" s="1" t="s">
        <v>0</v>
      </c>
      <c r="E4096" s="2">
        <v>0</v>
      </c>
      <c r="F4096" s="2">
        <v>0</v>
      </c>
      <c r="G4096" s="2">
        <v>0</v>
      </c>
      <c r="H4096" s="1" t="s">
        <v>0</v>
      </c>
      <c r="I4096" s="2">
        <v>0</v>
      </c>
      <c r="J4096" s="1">
        <v>45915.378287037034</v>
      </c>
    </row>
    <row r="4097" spans="1:10" x14ac:dyDescent="0.2">
      <c r="A4097" s="4" t="s">
        <v>1</v>
      </c>
      <c r="B4097" s="3" t="str">
        <f>HYPERLINK("https://otsuka-europe-crm.veevavault.com/ui/#object/approved_document__v/V5OZ025E82TFUPI", "Spain - HCP Survey Email - June 2025")</f>
        <v>Spain - HCP Survey Email - June 2025</v>
      </c>
      <c r="C4097" s="3" t="str">
        <f>HYPERLINK("https://otsuka-europe-crm.veevavault.com/ui/#object/sent_email__v/VBLZ025E82GN0T6", "SE-000271228")</f>
        <v>SE-000271228</v>
      </c>
      <c r="D4097" s="1" t="s">
        <v>0</v>
      </c>
      <c r="E4097" s="2">
        <v>0</v>
      </c>
      <c r="F4097" s="2">
        <v>0</v>
      </c>
      <c r="G4097" s="2">
        <v>0</v>
      </c>
      <c r="H4097" s="1" t="s">
        <v>0</v>
      </c>
      <c r="I4097" s="2">
        <v>0</v>
      </c>
      <c r="J4097" s="1">
        <v>45915.378148148149</v>
      </c>
    </row>
    <row r="4098" spans="1:10" x14ac:dyDescent="0.2">
      <c r="A4098" s="4" t="s">
        <v>1</v>
      </c>
      <c r="B4098" s="3" t="str">
        <f>HYPERLINK("https://otsuka-europe-crm.veevavault.com/ui/#object/approved_document__v/V5OZ025E82TFUPI", "Spain - HCP Survey Email - June 2025")</f>
        <v>Spain - HCP Survey Email - June 2025</v>
      </c>
      <c r="C4098" s="3" t="str">
        <f>HYPERLINK("https://otsuka-europe-crm.veevavault.com/ui/#object/sent_email__v/VBLZ025E82GN0T7", "SE-000271229")</f>
        <v>SE-000271229</v>
      </c>
      <c r="D4098" s="1" t="s">
        <v>0</v>
      </c>
      <c r="E4098" s="2">
        <v>0</v>
      </c>
      <c r="F4098" s="2">
        <v>0</v>
      </c>
      <c r="G4098" s="2">
        <v>0</v>
      </c>
      <c r="H4098" s="1" t="s">
        <v>0</v>
      </c>
      <c r="I4098" s="2">
        <v>0</v>
      </c>
      <c r="J4098" s="1">
        <v>45915.378460648149</v>
      </c>
    </row>
    <row r="4099" spans="1:10" x14ac:dyDescent="0.2">
      <c r="A4099" s="4" t="s">
        <v>1</v>
      </c>
      <c r="B4099" s="3" t="str">
        <f>HYPERLINK("https://otsuka-europe-crm.veevavault.com/ui/#object/approved_document__v/V5OZ025E82TFUPI", "Spain - HCP Survey Email - June 2025")</f>
        <v>Spain - HCP Survey Email - June 2025</v>
      </c>
      <c r="C4099" s="3" t="str">
        <f>HYPERLINK("https://otsuka-europe-crm.veevavault.com/ui/#object/sent_email__v/VBLZ025E82GN0T8", "SE-000271230")</f>
        <v>SE-000271230</v>
      </c>
      <c r="D4099" s="1" t="s">
        <v>0</v>
      </c>
      <c r="E4099" s="2">
        <v>0</v>
      </c>
      <c r="F4099" s="2">
        <v>0</v>
      </c>
      <c r="G4099" s="2">
        <v>0</v>
      </c>
      <c r="H4099" s="1" t="s">
        <v>0</v>
      </c>
      <c r="I4099" s="2">
        <v>0</v>
      </c>
      <c r="J4099" s="1">
        <v>45915.379537037035</v>
      </c>
    </row>
    <row r="4100" spans="1:10" x14ac:dyDescent="0.2">
      <c r="A4100" s="4" t="s">
        <v>1</v>
      </c>
      <c r="B4100" s="3" t="str">
        <f>HYPERLINK("https://otsuka-europe-crm.veevavault.com/ui/#object/approved_document__v/V5OZ025E82TFUPI", "Spain - HCP Survey Email - June 2025")</f>
        <v>Spain - HCP Survey Email - June 2025</v>
      </c>
      <c r="C4100" s="3" t="str">
        <f>HYPERLINK("https://otsuka-europe-crm.veevavault.com/ui/#object/sent_email__v/VBLZ025E82GN0T9", "SE-000271231")</f>
        <v>SE-000271231</v>
      </c>
      <c r="D4100" s="1" t="s">
        <v>0</v>
      </c>
      <c r="E4100" s="2">
        <v>0</v>
      </c>
      <c r="F4100" s="2">
        <v>0</v>
      </c>
      <c r="G4100" s="2">
        <v>0</v>
      </c>
      <c r="H4100" s="1" t="s">
        <v>0</v>
      </c>
      <c r="I4100" s="2">
        <v>0</v>
      </c>
      <c r="J4100" s="1">
        <v>45915.379282407404</v>
      </c>
    </row>
    <row r="4101" spans="1:10" x14ac:dyDescent="0.2">
      <c r="A4101" s="4" t="s">
        <v>1</v>
      </c>
      <c r="B4101" s="3" t="str">
        <f>HYPERLINK("https://otsuka-europe-crm.veevavault.com/ui/#object/approved_document__v/V5OZ025E82TFUPI", "Spain - HCP Survey Email - June 2025")</f>
        <v>Spain - HCP Survey Email - June 2025</v>
      </c>
      <c r="C4101" s="3" t="str">
        <f>HYPERLINK("https://otsuka-europe-crm.veevavault.com/ui/#object/sent_email__v/VBLZ025E82GN0TA", "SE-000271232")</f>
        <v>SE-000271232</v>
      </c>
      <c r="D4101" s="1">
        <v>45915.822997685187</v>
      </c>
      <c r="E4101" s="2">
        <v>1</v>
      </c>
      <c r="F4101" s="2">
        <v>3</v>
      </c>
      <c r="G4101" s="2">
        <v>0</v>
      </c>
      <c r="H4101" s="1" t="s">
        <v>0</v>
      </c>
      <c r="I4101" s="2">
        <v>0</v>
      </c>
      <c r="J4101" s="1">
        <v>45915.377476851849</v>
      </c>
    </row>
    <row r="4102" spans="1:10" x14ac:dyDescent="0.2">
      <c r="A4102" s="4" t="s">
        <v>1</v>
      </c>
      <c r="B4102" s="3" t="str">
        <f>HYPERLINK("https://otsuka-europe-crm.veevavault.com/ui/#object/approved_document__v/V5OZ025E82TFUPI", "Spain - HCP Survey Email - June 2025")</f>
        <v>Spain - HCP Survey Email - June 2025</v>
      </c>
      <c r="C4102" s="3" t="str">
        <f>HYPERLINK("https://otsuka-europe-crm.veevavault.com/ui/#object/sent_email__v/VBLZ025E82GN0TB", "SE-000271233")</f>
        <v>SE-000271233</v>
      </c>
      <c r="D4102" s="1">
        <v>45996.569421296299</v>
      </c>
      <c r="E4102" s="2">
        <v>1</v>
      </c>
      <c r="F4102" s="2">
        <v>3</v>
      </c>
      <c r="G4102" s="2">
        <v>0</v>
      </c>
      <c r="H4102" s="1" t="s">
        <v>0</v>
      </c>
      <c r="I4102" s="2">
        <v>0</v>
      </c>
      <c r="J4102" s="1">
        <v>45915.378298611111</v>
      </c>
    </row>
    <row r="4103" spans="1:10" x14ac:dyDescent="0.2">
      <c r="A4103" s="4" t="s">
        <v>1</v>
      </c>
      <c r="B4103" s="3" t="str">
        <f>HYPERLINK("https://otsuka-europe-crm.veevavault.com/ui/#object/approved_document__v/V5OZ025E82TFUPI", "Spain - HCP Survey Email - June 2025")</f>
        <v>Spain - HCP Survey Email - June 2025</v>
      </c>
      <c r="C4103" s="3" t="str">
        <f>HYPERLINK("https://otsuka-europe-crm.veevavault.com/ui/#object/sent_email__v/VBLZ025E82GN0TC", "SE-000271234")</f>
        <v>SE-000271234</v>
      </c>
      <c r="D4103" s="1">
        <v>45915.430069444446</v>
      </c>
      <c r="E4103" s="2">
        <v>1</v>
      </c>
      <c r="F4103" s="2">
        <v>1</v>
      </c>
      <c r="G4103" s="2">
        <v>0</v>
      </c>
      <c r="H4103" s="1" t="s">
        <v>0</v>
      </c>
      <c r="I4103" s="2">
        <v>0</v>
      </c>
      <c r="J4103" s="1">
        <v>45915.378842592596</v>
      </c>
    </row>
    <row r="4104" spans="1:10" x14ac:dyDescent="0.2">
      <c r="A4104" s="4" t="s">
        <v>1</v>
      </c>
      <c r="B4104" s="3" t="str">
        <f>HYPERLINK("https://otsuka-europe-crm.veevavault.com/ui/#object/approved_document__v/V5OZ025E82TFUPI", "Spain - HCP Survey Email - June 2025")</f>
        <v>Spain - HCP Survey Email - June 2025</v>
      </c>
      <c r="C4104" s="3" t="str">
        <f>HYPERLINK("https://otsuka-europe-crm.veevavault.com/ui/#object/sent_email__v/VBLZ025E82GN0TD", "SE-000271235")</f>
        <v>SE-000271235</v>
      </c>
      <c r="D4104" s="1">
        <v>45915.601400462961</v>
      </c>
      <c r="E4104" s="2">
        <v>1</v>
      </c>
      <c r="F4104" s="2">
        <v>1</v>
      </c>
      <c r="G4104" s="2">
        <v>0</v>
      </c>
      <c r="H4104" s="1" t="s">
        <v>0</v>
      </c>
      <c r="I4104" s="2">
        <v>0</v>
      </c>
      <c r="J4104" s="1">
        <v>45915.378807870373</v>
      </c>
    </row>
    <row r="4105" spans="1:10" x14ac:dyDescent="0.2">
      <c r="A4105" s="4" t="s">
        <v>1</v>
      </c>
      <c r="B4105" s="3" t="str">
        <f>HYPERLINK("https://otsuka-europe-crm.veevavault.com/ui/#object/approved_document__v/V5OZ025E82TFUPI", "Spain - HCP Survey Email - June 2025")</f>
        <v>Spain - HCP Survey Email - June 2025</v>
      </c>
      <c r="C4105" s="3" t="str">
        <f>HYPERLINK("https://otsuka-europe-crm.veevavault.com/ui/#object/sent_email__v/VBLZ025E82GN0TE", "SE-000271236")</f>
        <v>SE-000271236</v>
      </c>
      <c r="D4105" s="1" t="s">
        <v>0</v>
      </c>
      <c r="E4105" s="2">
        <v>0</v>
      </c>
      <c r="F4105" s="2">
        <v>0</v>
      </c>
      <c r="G4105" s="2">
        <v>0</v>
      </c>
      <c r="H4105" s="1" t="s">
        <v>0</v>
      </c>
      <c r="I4105" s="2">
        <v>0</v>
      </c>
      <c r="J4105" s="1">
        <v>45912.693726851852</v>
      </c>
    </row>
    <row r="4106" spans="1:10" x14ac:dyDescent="0.2">
      <c r="A4106" s="4" t="s">
        <v>1</v>
      </c>
      <c r="B4106" s="3" t="str">
        <f>HYPERLINK("https://otsuka-europe-crm.veevavault.com/ui/#object/approved_document__v/V5OZ025E82TFUPI", "Spain - HCP Survey Email - June 2025")</f>
        <v>Spain - HCP Survey Email - June 2025</v>
      </c>
      <c r="C4106" s="3" t="str">
        <f>HYPERLINK("https://otsuka-europe-crm.veevavault.com/ui/#object/sent_email__v/VBLZ025E82GN0TG", "SE-000271238")</f>
        <v>SE-000271238</v>
      </c>
      <c r="D4106" s="1" t="s">
        <v>0</v>
      </c>
      <c r="E4106" s="2">
        <v>0</v>
      </c>
      <c r="F4106" s="2">
        <v>0</v>
      </c>
      <c r="G4106" s="2">
        <v>0</v>
      </c>
      <c r="H4106" s="1" t="s">
        <v>0</v>
      </c>
      <c r="I4106" s="2">
        <v>0</v>
      </c>
      <c r="J4106" s="1">
        <v>45915.378252314818</v>
      </c>
    </row>
    <row r="4107" spans="1:10" x14ac:dyDescent="0.2">
      <c r="A4107" s="4" t="s">
        <v>1</v>
      </c>
      <c r="B4107" s="3" t="str">
        <f>HYPERLINK("https://otsuka-europe-crm.veevavault.com/ui/#object/approved_document__v/V5OZ025E82TFUPI", "Spain - HCP Survey Email - June 2025")</f>
        <v>Spain - HCP Survey Email - June 2025</v>
      </c>
      <c r="C4107" s="3" t="str">
        <f>HYPERLINK("https://otsuka-europe-crm.veevavault.com/ui/#object/sent_email__v/VBLZ025E82GN0TH", "SE-000271239")</f>
        <v>SE-000271239</v>
      </c>
      <c r="D4107" s="1">
        <v>45915.410393518519</v>
      </c>
      <c r="E4107" s="2">
        <v>1</v>
      </c>
      <c r="F4107" s="2">
        <v>2</v>
      </c>
      <c r="G4107" s="2">
        <v>0</v>
      </c>
      <c r="H4107" s="1" t="s">
        <v>0</v>
      </c>
      <c r="I4107" s="2">
        <v>0</v>
      </c>
      <c r="J4107" s="1">
        <v>45915.378113425926</v>
      </c>
    </row>
    <row r="4108" spans="1:10" x14ac:dyDescent="0.2">
      <c r="A4108" s="4" t="s">
        <v>1</v>
      </c>
      <c r="B4108" s="3" t="str">
        <f>HYPERLINK("https://otsuka-europe-crm.veevavault.com/ui/#object/approved_document__v/V5OZ025E82TFUPI", "Spain - HCP Survey Email - June 2025")</f>
        <v>Spain - HCP Survey Email - June 2025</v>
      </c>
      <c r="C4108" s="3" t="str">
        <f>HYPERLINK("https://otsuka-europe-crm.veevavault.com/ui/#object/sent_email__v/VBLZ025E82GN0TI", "SE-000271240")</f>
        <v>SE-000271240</v>
      </c>
      <c r="D4108" s="1">
        <v>45916.247800925928</v>
      </c>
      <c r="E4108" s="2">
        <v>1</v>
      </c>
      <c r="F4108" s="2">
        <v>3</v>
      </c>
      <c r="G4108" s="2">
        <v>0</v>
      </c>
      <c r="H4108" s="1" t="s">
        <v>0</v>
      </c>
      <c r="I4108" s="2">
        <v>0</v>
      </c>
      <c r="J4108" s="1">
        <v>45915.37903935185</v>
      </c>
    </row>
    <row r="4109" spans="1:10" x14ac:dyDescent="0.2">
      <c r="A4109" s="4" t="s">
        <v>1</v>
      </c>
      <c r="B4109" s="3" t="str">
        <f>HYPERLINK("https://otsuka-europe-crm.veevavault.com/ui/#object/approved_document__v/V5OZ025E82TFUPI", "Spain - HCP Survey Email - June 2025")</f>
        <v>Spain - HCP Survey Email - June 2025</v>
      </c>
      <c r="C4109" s="3" t="str">
        <f>HYPERLINK("https://otsuka-europe-crm.veevavault.com/ui/#object/sent_email__v/VBLZ025E82GN0TJ", "SE-000271241")</f>
        <v>SE-000271241</v>
      </c>
      <c r="D4109" s="1" t="s">
        <v>0</v>
      </c>
      <c r="E4109" s="2">
        <v>0</v>
      </c>
      <c r="F4109" s="2">
        <v>0</v>
      </c>
      <c r="G4109" s="2">
        <v>0</v>
      </c>
      <c r="H4109" s="1" t="s">
        <v>0</v>
      </c>
      <c r="I4109" s="2">
        <v>0</v>
      </c>
      <c r="J4109" s="1">
        <v>45915.379756944443</v>
      </c>
    </row>
    <row r="4110" spans="1:10" x14ac:dyDescent="0.2">
      <c r="A4110" s="4" t="s">
        <v>1</v>
      </c>
      <c r="B4110" s="3" t="str">
        <f>HYPERLINK("https://otsuka-europe-crm.veevavault.com/ui/#object/approved_document__v/V5OZ025E82TFUPI", "Spain - HCP Survey Email - June 2025")</f>
        <v>Spain - HCP Survey Email - June 2025</v>
      </c>
      <c r="C4110" s="3" t="str">
        <f>HYPERLINK("https://otsuka-europe-crm.veevavault.com/ui/#object/sent_email__v/VBLZ025E82GN0TK", "SE-000271242")</f>
        <v>SE-000271242</v>
      </c>
      <c r="D4110" s="1">
        <v>45915.388252314813</v>
      </c>
      <c r="E4110" s="2">
        <v>1</v>
      </c>
      <c r="F4110" s="2">
        <v>1</v>
      </c>
      <c r="G4110" s="2">
        <v>0</v>
      </c>
      <c r="H4110" s="1" t="s">
        <v>0</v>
      </c>
      <c r="I4110" s="2">
        <v>0</v>
      </c>
      <c r="J4110" s="1">
        <v>45915.379293981481</v>
      </c>
    </row>
    <row r="4111" spans="1:10" x14ac:dyDescent="0.2">
      <c r="A4111" s="4" t="s">
        <v>1</v>
      </c>
      <c r="B4111" s="3" t="str">
        <f>HYPERLINK("https://otsuka-europe-crm.veevavault.com/ui/#object/approved_document__v/V5OZ025E82TFUPI", "Spain - HCP Survey Email - June 2025")</f>
        <v>Spain - HCP Survey Email - June 2025</v>
      </c>
      <c r="C4111" s="3" t="str">
        <f>HYPERLINK("https://otsuka-europe-crm.veevavault.com/ui/#object/sent_email__v/VBLZ025E82GN0TL", "SE-000271243")</f>
        <v>SE-000271243</v>
      </c>
      <c r="D4111" s="1" t="s">
        <v>0</v>
      </c>
      <c r="E4111" s="2">
        <v>0</v>
      </c>
      <c r="F4111" s="2">
        <v>0</v>
      </c>
      <c r="G4111" s="2">
        <v>0</v>
      </c>
      <c r="H4111" s="1" t="s">
        <v>0</v>
      </c>
      <c r="I4111" s="2">
        <v>0</v>
      </c>
      <c r="J4111" s="1">
        <v>45915.377476851849</v>
      </c>
    </row>
    <row r="4112" spans="1:10" x14ac:dyDescent="0.2">
      <c r="A4112" s="4" t="s">
        <v>1</v>
      </c>
      <c r="B4112" s="3" t="str">
        <f>HYPERLINK("https://otsuka-europe-crm.veevavault.com/ui/#object/approved_document__v/V5OZ025E82TFUPI", "Spain - HCP Survey Email - June 2025")</f>
        <v>Spain - HCP Survey Email - June 2025</v>
      </c>
      <c r="C4112" s="3" t="str">
        <f>HYPERLINK("https://otsuka-europe-crm.veevavault.com/ui/#object/sent_email__v/VBLZ025E82GN0TM", "SE-000271244")</f>
        <v>SE-000271244</v>
      </c>
      <c r="D4112" s="1">
        <v>45916.677141203705</v>
      </c>
      <c r="E4112" s="2">
        <v>1</v>
      </c>
      <c r="F4112" s="2">
        <v>1</v>
      </c>
      <c r="G4112" s="2">
        <v>0</v>
      </c>
      <c r="H4112" s="1" t="s">
        <v>0</v>
      </c>
      <c r="I4112" s="2">
        <v>0</v>
      </c>
      <c r="J4112" s="1">
        <v>45915.378344907411</v>
      </c>
    </row>
    <row r="4113" spans="1:10" x14ac:dyDescent="0.2">
      <c r="A4113" s="4" t="s">
        <v>1</v>
      </c>
      <c r="B4113" s="3" t="str">
        <f>HYPERLINK("https://otsuka-europe-crm.veevavault.com/ui/#object/approved_document__v/V5OZ025E82TFUPI", "Spain - HCP Survey Email - June 2025")</f>
        <v>Spain - HCP Survey Email - June 2025</v>
      </c>
      <c r="C4113" s="3" t="str">
        <f>HYPERLINK("https://otsuka-europe-crm.veevavault.com/ui/#object/sent_email__v/VBLZ025E82GN0TN", "SE-000271245")</f>
        <v>SE-000271245</v>
      </c>
      <c r="D4113" s="1" t="s">
        <v>0</v>
      </c>
      <c r="E4113" s="2">
        <v>0</v>
      </c>
      <c r="F4113" s="2">
        <v>0</v>
      </c>
      <c r="G4113" s="2">
        <v>0</v>
      </c>
      <c r="H4113" s="1" t="s">
        <v>0</v>
      </c>
      <c r="I4113" s="2">
        <v>0</v>
      </c>
      <c r="J4113" s="1">
        <v>45915.378819444442</v>
      </c>
    </row>
    <row r="4114" spans="1:10" x14ac:dyDescent="0.2">
      <c r="A4114" s="4" t="s">
        <v>1</v>
      </c>
      <c r="B4114" s="3" t="str">
        <f>HYPERLINK("https://otsuka-europe-crm.veevavault.com/ui/#object/approved_document__v/V5OZ025E82TFUPI", "Spain - HCP Survey Email - June 2025")</f>
        <v>Spain - HCP Survey Email - June 2025</v>
      </c>
      <c r="C4114" s="3" t="str">
        <f>HYPERLINK("https://otsuka-europe-crm.veevavault.com/ui/#object/sent_email__v/VBLZ025E82GN0TO", "SE-000271246")</f>
        <v>SE-000271246</v>
      </c>
      <c r="D4114" s="1">
        <v>45931.753125000003</v>
      </c>
      <c r="E4114" s="2">
        <v>1</v>
      </c>
      <c r="F4114" s="2">
        <v>1</v>
      </c>
      <c r="G4114" s="2">
        <v>0</v>
      </c>
      <c r="H4114" s="1" t="s">
        <v>0</v>
      </c>
      <c r="I4114" s="2">
        <v>0</v>
      </c>
      <c r="J4114" s="1">
        <v>45915.378657407404</v>
      </c>
    </row>
    <row r="4115" spans="1:10" x14ac:dyDescent="0.2">
      <c r="A4115" s="4" t="s">
        <v>1</v>
      </c>
      <c r="B4115" s="3" t="str">
        <f>HYPERLINK("https://otsuka-europe-crm.veevavault.com/ui/#object/approved_document__v/V5OZ025E82TFUPI", "Spain - HCP Survey Email - June 2025")</f>
        <v>Spain - HCP Survey Email - June 2025</v>
      </c>
      <c r="C4115" s="3" t="str">
        <f>HYPERLINK("https://otsuka-europe-crm.veevavault.com/ui/#object/sent_email__v/VBLZ025E82GN0TQ", "SE-000271248")</f>
        <v>SE-000271248</v>
      </c>
      <c r="D4115" s="1">
        <v>45919.91777777778</v>
      </c>
      <c r="E4115" s="2">
        <v>1</v>
      </c>
      <c r="F4115" s="2">
        <v>1</v>
      </c>
      <c r="G4115" s="2">
        <v>0</v>
      </c>
      <c r="H4115" s="1" t="s">
        <v>0</v>
      </c>
      <c r="I4115" s="2">
        <v>0</v>
      </c>
      <c r="J4115" s="1">
        <v>45915.377870370372</v>
      </c>
    </row>
    <row r="4116" spans="1:10" x14ac:dyDescent="0.2">
      <c r="A4116" s="4" t="s">
        <v>1</v>
      </c>
      <c r="B4116" s="3" t="str">
        <f>HYPERLINK("https://otsuka-europe-crm.veevavault.com/ui/#object/approved_document__v/V5OZ025E82TFUPI", "Spain - HCP Survey Email - June 2025")</f>
        <v>Spain - HCP Survey Email - June 2025</v>
      </c>
      <c r="C4116" s="3" t="str">
        <f>HYPERLINK("https://otsuka-europe-crm.veevavault.com/ui/#object/sent_email__v/VBLZ025E82GN0TR", "SE-000271249")</f>
        <v>SE-000271249</v>
      </c>
      <c r="D4116" s="1">
        <v>45915.610439814816</v>
      </c>
      <c r="E4116" s="2">
        <v>1</v>
      </c>
      <c r="F4116" s="2">
        <v>1</v>
      </c>
      <c r="G4116" s="2">
        <v>0</v>
      </c>
      <c r="H4116" s="1" t="s">
        <v>0</v>
      </c>
      <c r="I4116" s="2">
        <v>0</v>
      </c>
      <c r="J4116" s="1">
        <v>45915.378275462965</v>
      </c>
    </row>
    <row r="4117" spans="1:10" x14ac:dyDescent="0.2">
      <c r="A4117" s="4" t="s">
        <v>1</v>
      </c>
      <c r="B4117" s="3" t="str">
        <f>HYPERLINK("https://otsuka-europe-crm.veevavault.com/ui/#object/approved_document__v/V5OZ025E82TFUPI", "Spain - HCP Survey Email - June 2025")</f>
        <v>Spain - HCP Survey Email - June 2025</v>
      </c>
      <c r="C4117" s="3" t="str">
        <f>HYPERLINK("https://otsuka-europe-crm.veevavault.com/ui/#object/sent_email__v/VBLZ025E82GN0TS", "SE-000271250")</f>
        <v>SE-000271250</v>
      </c>
      <c r="D4117" s="1">
        <v>45915.615902777776</v>
      </c>
      <c r="E4117" s="2">
        <v>1</v>
      </c>
      <c r="F4117" s="2">
        <v>1</v>
      </c>
      <c r="G4117" s="2">
        <v>0</v>
      </c>
      <c r="H4117" s="1" t="s">
        <v>0</v>
      </c>
      <c r="I4117" s="2">
        <v>0</v>
      </c>
      <c r="J4117" s="1">
        <v>45915.37809027778</v>
      </c>
    </row>
    <row r="4118" spans="1:10" x14ac:dyDescent="0.2">
      <c r="A4118" s="4" t="s">
        <v>1</v>
      </c>
      <c r="B4118" s="3" t="str">
        <f>HYPERLINK("https://otsuka-europe-crm.veevavault.com/ui/#object/approved_document__v/V5OZ025E82TFUPI", "Spain - HCP Survey Email - June 2025")</f>
        <v>Spain - HCP Survey Email - June 2025</v>
      </c>
      <c r="C4118" s="3" t="str">
        <f>HYPERLINK("https://otsuka-europe-crm.veevavault.com/ui/#object/sent_email__v/VBLZ025E82GN0TT", "SE-000271251")</f>
        <v>SE-000271251</v>
      </c>
      <c r="D4118" s="1">
        <v>45932.679594907408</v>
      </c>
      <c r="E4118" s="2">
        <v>1</v>
      </c>
      <c r="F4118" s="2">
        <v>1</v>
      </c>
      <c r="G4118" s="2">
        <v>0</v>
      </c>
      <c r="H4118" s="1" t="s">
        <v>0</v>
      </c>
      <c r="I4118" s="2">
        <v>0</v>
      </c>
      <c r="J4118" s="1">
        <v>45915.378530092596</v>
      </c>
    </row>
    <row r="4119" spans="1:10" x14ac:dyDescent="0.2">
      <c r="A4119" s="4" t="s">
        <v>1</v>
      </c>
      <c r="B4119" s="3" t="str">
        <f>HYPERLINK("https://otsuka-europe-crm.veevavault.com/ui/#object/approved_document__v/V5OZ025E82TFUPI", "Spain - HCP Survey Email - June 2025")</f>
        <v>Spain - HCP Survey Email - June 2025</v>
      </c>
      <c r="C4119" s="3" t="str">
        <f>HYPERLINK("https://otsuka-europe-crm.veevavault.com/ui/#object/sent_email__v/VBLZ025E82GN0TU", "SE-000271252")</f>
        <v>SE-000271252</v>
      </c>
      <c r="D4119" s="1">
        <v>45915.404594907406</v>
      </c>
      <c r="E4119" s="2">
        <v>1</v>
      </c>
      <c r="F4119" s="2">
        <v>2</v>
      </c>
      <c r="G4119" s="2">
        <v>0</v>
      </c>
      <c r="H4119" s="1" t="s">
        <v>0</v>
      </c>
      <c r="I4119" s="2">
        <v>0</v>
      </c>
      <c r="J4119" s="1">
        <v>45915.379618055558</v>
      </c>
    </row>
    <row r="4120" spans="1:10" x14ac:dyDescent="0.2">
      <c r="A4120" s="4" t="s">
        <v>1</v>
      </c>
      <c r="B4120" s="3" t="str">
        <f>HYPERLINK("https://otsuka-europe-crm.veevavault.com/ui/#object/approved_document__v/V5OZ025E82TFUPI", "Spain - HCP Survey Email - June 2025")</f>
        <v>Spain - HCP Survey Email - June 2025</v>
      </c>
      <c r="C4120" s="3" t="str">
        <f>HYPERLINK("https://otsuka-europe-crm.veevavault.com/ui/#object/sent_email__v/VBLZ025E82GN0TV", "SE-000271253")</f>
        <v>SE-000271253</v>
      </c>
      <c r="D4120" s="1">
        <v>45915.38013888889</v>
      </c>
      <c r="E4120" s="2">
        <v>1</v>
      </c>
      <c r="F4120" s="2">
        <v>2</v>
      </c>
      <c r="G4120" s="2">
        <v>0</v>
      </c>
      <c r="H4120" s="1" t="s">
        <v>0</v>
      </c>
      <c r="I4120" s="2">
        <v>0</v>
      </c>
      <c r="J4120" s="1">
        <v>45915.379363425927</v>
      </c>
    </row>
    <row r="4121" spans="1:10" x14ac:dyDescent="0.2">
      <c r="A4121" s="4" t="s">
        <v>1</v>
      </c>
      <c r="B4121" s="3" t="str">
        <f>HYPERLINK("https://otsuka-europe-crm.veevavault.com/ui/#object/approved_document__v/V5OZ025E82TFUPI", "Spain - HCP Survey Email - June 2025")</f>
        <v>Spain - HCP Survey Email - June 2025</v>
      </c>
      <c r="C4121" s="3" t="str">
        <f>HYPERLINK("https://otsuka-europe-crm.veevavault.com/ui/#object/sent_email__v/VBLZ025E82GN0TW", "SE-000271254")</f>
        <v>SE-000271254</v>
      </c>
      <c r="D4121" s="1">
        <v>45915.475787037038</v>
      </c>
      <c r="E4121" s="2">
        <v>1</v>
      </c>
      <c r="F4121" s="2">
        <v>1</v>
      </c>
      <c r="G4121" s="2">
        <v>0</v>
      </c>
      <c r="H4121" s="1" t="s">
        <v>0</v>
      </c>
      <c r="I4121" s="2">
        <v>0</v>
      </c>
      <c r="J4121" s="1">
        <v>45915.37740740741</v>
      </c>
    </row>
    <row r="4122" spans="1:10" x14ac:dyDescent="0.2">
      <c r="A4122" s="4" t="s">
        <v>1</v>
      </c>
      <c r="B4122" s="3" t="str">
        <f>HYPERLINK("https://otsuka-europe-crm.veevavault.com/ui/#object/approved_document__v/V5OZ025E82TFUPI", "Spain - HCP Survey Email - June 2025")</f>
        <v>Spain - HCP Survey Email - June 2025</v>
      </c>
      <c r="C4122" s="3" t="str">
        <f>HYPERLINK("https://otsuka-europe-crm.veevavault.com/ui/#object/sent_email__v/VBLZ025E82GN0TX", "SE-000271255")</f>
        <v>SE-000271255</v>
      </c>
      <c r="D4122" s="1">
        <v>45915.38003472222</v>
      </c>
      <c r="E4122" s="2">
        <v>1</v>
      </c>
      <c r="F4122" s="2">
        <v>1</v>
      </c>
      <c r="G4122" s="2">
        <v>0</v>
      </c>
      <c r="H4122" s="1" t="s">
        <v>0</v>
      </c>
      <c r="I4122" s="2">
        <v>0</v>
      </c>
      <c r="J4122" s="1">
        <v>45915.378368055557</v>
      </c>
    </row>
    <row r="4123" spans="1:10" x14ac:dyDescent="0.2">
      <c r="A4123" s="4" t="s">
        <v>1</v>
      </c>
      <c r="B4123" s="3" t="str">
        <f>HYPERLINK("https://otsuka-europe-crm.veevavault.com/ui/#object/approved_document__v/V5OZ025E82TFUPI", "Spain - HCP Survey Email - June 2025")</f>
        <v>Spain - HCP Survey Email - June 2025</v>
      </c>
      <c r="C4123" s="3" t="str">
        <f>HYPERLINK("https://otsuka-europe-crm.veevavault.com/ui/#object/sent_email__v/VBLZ025E82GN0TY", "SE-000271256")</f>
        <v>SE-000271256</v>
      </c>
      <c r="D4123" s="1" t="s">
        <v>0</v>
      </c>
      <c r="E4123" s="2">
        <v>0</v>
      </c>
      <c r="F4123" s="2">
        <v>0</v>
      </c>
      <c r="G4123" s="2">
        <v>0</v>
      </c>
      <c r="H4123" s="1" t="s">
        <v>0</v>
      </c>
      <c r="I4123" s="2">
        <v>0</v>
      </c>
      <c r="J4123" s="1">
        <v>45915.379629629628</v>
      </c>
    </row>
    <row r="4124" spans="1:10" x14ac:dyDescent="0.2">
      <c r="A4124" s="4" t="s">
        <v>1</v>
      </c>
      <c r="B4124" s="3" t="str">
        <f>HYPERLINK("https://otsuka-europe-crm.veevavault.com/ui/#object/approved_document__v/V5OZ025E82TFUPI", "Spain - HCP Survey Email - June 2025")</f>
        <v>Spain - HCP Survey Email - June 2025</v>
      </c>
      <c r="C4124" s="3" t="str">
        <f>HYPERLINK("https://otsuka-europe-crm.veevavault.com/ui/#object/sent_email__v/VBLZ025E82GN0TZ", "SE-000271257")</f>
        <v>SE-000271257</v>
      </c>
      <c r="D4124" s="1" t="s">
        <v>0</v>
      </c>
      <c r="E4124" s="2">
        <v>0</v>
      </c>
      <c r="F4124" s="2">
        <v>0</v>
      </c>
      <c r="G4124" s="2">
        <v>0</v>
      </c>
      <c r="H4124" s="1" t="s">
        <v>0</v>
      </c>
      <c r="I4124" s="2">
        <v>0</v>
      </c>
      <c r="J4124" s="1">
        <v>45915.379467592589</v>
      </c>
    </row>
    <row r="4125" spans="1:10" x14ac:dyDescent="0.2">
      <c r="A4125" s="4" t="s">
        <v>1</v>
      </c>
      <c r="B4125" s="3" t="str">
        <f>HYPERLINK("https://otsuka-europe-crm.veevavault.com/ui/#object/approved_document__v/V5OZ025E82TFUPI", "Spain - HCP Survey Email - June 2025")</f>
        <v>Spain - HCP Survey Email - June 2025</v>
      </c>
      <c r="C4125" s="3" t="str">
        <f>HYPERLINK("https://otsuka-europe-crm.veevavault.com/ui/#object/sent_email__v/VBLZ025E82GN0U0", "SE-000271258")</f>
        <v>SE-000271258</v>
      </c>
      <c r="D4125" s="1">
        <v>46008.776423611111</v>
      </c>
      <c r="E4125" s="2">
        <v>1</v>
      </c>
      <c r="F4125" s="2">
        <v>7</v>
      </c>
      <c r="G4125" s="2">
        <v>0</v>
      </c>
      <c r="H4125" s="1" t="s">
        <v>0</v>
      </c>
      <c r="I4125" s="2">
        <v>0</v>
      </c>
      <c r="J4125" s="1">
        <v>45915.377465277779</v>
      </c>
    </row>
    <row r="4126" spans="1:10" x14ac:dyDescent="0.2">
      <c r="A4126" s="4" t="s">
        <v>1</v>
      </c>
      <c r="B4126" s="3" t="str">
        <f>HYPERLINK("https://otsuka-europe-crm.veevavault.com/ui/#object/approved_document__v/V5OZ025E82TFUPI", "Spain - HCP Survey Email - June 2025")</f>
        <v>Spain - HCP Survey Email - June 2025</v>
      </c>
      <c r="C4126" s="3" t="str">
        <f>HYPERLINK("https://otsuka-europe-crm.veevavault.com/ui/#object/sent_email__v/VBLZ025E82GN0U1", "SE-000271259")</f>
        <v>SE-000271259</v>
      </c>
      <c r="D4126" s="1" t="s">
        <v>0</v>
      </c>
      <c r="E4126" s="2">
        <v>0</v>
      </c>
      <c r="F4126" s="2">
        <v>0</v>
      </c>
      <c r="G4126" s="2">
        <v>0</v>
      </c>
      <c r="H4126" s="1" t="s">
        <v>0</v>
      </c>
      <c r="I4126" s="2">
        <v>0</v>
      </c>
      <c r="J4126" s="1">
        <v>45915.378298611111</v>
      </c>
    </row>
    <row r="4127" spans="1:10" x14ac:dyDescent="0.2">
      <c r="A4127" s="4" t="s">
        <v>1</v>
      </c>
      <c r="B4127" s="3" t="str">
        <f>HYPERLINK("https://otsuka-europe-crm.veevavault.com/ui/#object/approved_document__v/V5OZ025E82TFUPI", "Spain - HCP Survey Email - June 2025")</f>
        <v>Spain - HCP Survey Email - June 2025</v>
      </c>
      <c r="C4127" s="3" t="str">
        <f>HYPERLINK("https://otsuka-europe-crm.veevavault.com/ui/#object/sent_email__v/VBLZ025E82GN0U2", "SE-000271260")</f>
        <v>SE-000271260</v>
      </c>
      <c r="D4127" s="1" t="s">
        <v>0</v>
      </c>
      <c r="E4127" s="2">
        <v>0</v>
      </c>
      <c r="F4127" s="2">
        <v>0</v>
      </c>
      <c r="G4127" s="2">
        <v>0</v>
      </c>
      <c r="H4127" s="1" t="s">
        <v>0</v>
      </c>
      <c r="I4127" s="2">
        <v>0</v>
      </c>
      <c r="J4127" s="1">
        <v>45915.378796296296</v>
      </c>
    </row>
    <row r="4128" spans="1:10" x14ac:dyDescent="0.2">
      <c r="A4128" s="4" t="s">
        <v>1</v>
      </c>
      <c r="B4128" s="3" t="str">
        <f>HYPERLINK("https://otsuka-europe-crm.veevavault.com/ui/#object/approved_document__v/V5OZ025E82TFUPI", "Spain - HCP Survey Email - June 2025")</f>
        <v>Spain - HCP Survey Email - June 2025</v>
      </c>
      <c r="C4128" s="3" t="str">
        <f>HYPERLINK("https://otsuka-europe-crm.veevavault.com/ui/#object/sent_email__v/VBLZ025E82GN0U3", "SE-000271261")</f>
        <v>SE-000271261</v>
      </c>
      <c r="D4128" s="1" t="s">
        <v>0</v>
      </c>
      <c r="E4128" s="2">
        <v>0</v>
      </c>
      <c r="F4128" s="2">
        <v>0</v>
      </c>
      <c r="G4128" s="2">
        <v>0</v>
      </c>
      <c r="H4128" s="1" t="s">
        <v>0</v>
      </c>
      <c r="I4128" s="2">
        <v>0</v>
      </c>
      <c r="J4128" s="1">
        <v>45915.378645833334</v>
      </c>
    </row>
    <row r="4129" spans="1:10" x14ac:dyDescent="0.2">
      <c r="A4129" s="4" t="s">
        <v>1</v>
      </c>
      <c r="B4129" s="3" t="str">
        <f>HYPERLINK("https://otsuka-europe-crm.veevavault.com/ui/#object/approved_document__v/V5OZ025E82TFUPI", "Spain - HCP Survey Email - June 2025")</f>
        <v>Spain - HCP Survey Email - June 2025</v>
      </c>
      <c r="C4129" s="3" t="str">
        <f>HYPERLINK("https://otsuka-europe-crm.veevavault.com/ui/#object/sent_email__v/VBLZ025E82GN0U4", "SE-000271262")</f>
        <v>SE-000271262</v>
      </c>
      <c r="D4129" s="1" t="s">
        <v>0</v>
      </c>
      <c r="E4129" s="2">
        <v>0</v>
      </c>
      <c r="F4129" s="2">
        <v>0</v>
      </c>
      <c r="G4129" s="2">
        <v>0</v>
      </c>
      <c r="H4129" s="1" t="s">
        <v>0</v>
      </c>
      <c r="I4129" s="2">
        <v>0</v>
      </c>
      <c r="J4129" s="1">
        <v>45915.379317129627</v>
      </c>
    </row>
    <row r="4130" spans="1:10" x14ac:dyDescent="0.2">
      <c r="A4130" s="4" t="s">
        <v>1</v>
      </c>
      <c r="B4130" s="3" t="str">
        <f>HYPERLINK("https://otsuka-europe-crm.veevavault.com/ui/#object/approved_document__v/V5OZ025E82TFUPI", "Spain - HCP Survey Email - June 2025")</f>
        <v>Spain - HCP Survey Email - June 2025</v>
      </c>
      <c r="C4130" s="3" t="str">
        <f>HYPERLINK("https://otsuka-europe-crm.veevavault.com/ui/#object/sent_email__v/VBLZ025E82GN0U5", "SE-000271263")</f>
        <v>SE-000271263</v>
      </c>
      <c r="D4130" s="1">
        <v>45915.549027777779</v>
      </c>
      <c r="E4130" s="2">
        <v>1</v>
      </c>
      <c r="F4130" s="2">
        <v>2</v>
      </c>
      <c r="G4130" s="2">
        <v>0</v>
      </c>
      <c r="H4130" s="1" t="s">
        <v>0</v>
      </c>
      <c r="I4130" s="2">
        <v>0</v>
      </c>
      <c r="J4130" s="1">
        <v>45915.377881944441</v>
      </c>
    </row>
    <row r="4131" spans="1:10" x14ac:dyDescent="0.2">
      <c r="A4131" s="4" t="s">
        <v>1</v>
      </c>
      <c r="B4131" s="3" t="str">
        <f>HYPERLINK("https://otsuka-europe-crm.veevavault.com/ui/#object/approved_document__v/V5OZ025E82TFUPI", "Spain - HCP Survey Email - June 2025")</f>
        <v>Spain - HCP Survey Email - June 2025</v>
      </c>
      <c r="C4131" s="3" t="str">
        <f>HYPERLINK("https://otsuka-europe-crm.veevavault.com/ui/#object/sent_email__v/VBLZ025E82GN0U6", "SE-000271264")</f>
        <v>SE-000271264</v>
      </c>
      <c r="D4131" s="1">
        <v>45926.271180555559</v>
      </c>
      <c r="E4131" s="2">
        <v>1</v>
      </c>
      <c r="F4131" s="2">
        <v>6</v>
      </c>
      <c r="G4131" s="2">
        <v>0</v>
      </c>
      <c r="H4131" s="1" t="s">
        <v>0</v>
      </c>
      <c r="I4131" s="2">
        <v>0</v>
      </c>
      <c r="J4131" s="1">
        <v>45915.378217592595</v>
      </c>
    </row>
    <row r="4132" spans="1:10" x14ac:dyDescent="0.2">
      <c r="A4132" s="4" t="s">
        <v>1</v>
      </c>
      <c r="B4132" s="3" t="str">
        <f>HYPERLINK("https://otsuka-europe-crm.veevavault.com/ui/#object/approved_document__v/V5OZ025E82TFUPI", "Spain - HCP Survey Email - June 2025")</f>
        <v>Spain - HCP Survey Email - June 2025</v>
      </c>
      <c r="C4132" s="3" t="str">
        <f>HYPERLINK("https://otsuka-europe-crm.veevavault.com/ui/#object/sent_email__v/VBLZ025E82GN0U7", "SE-000271265")</f>
        <v>SE-000271265</v>
      </c>
      <c r="D4132" s="1">
        <v>45915.745266203703</v>
      </c>
      <c r="E4132" s="2">
        <v>1</v>
      </c>
      <c r="F4132" s="2">
        <v>1</v>
      </c>
      <c r="G4132" s="2">
        <v>0</v>
      </c>
      <c r="H4132" s="1" t="s">
        <v>0</v>
      </c>
      <c r="I4132" s="2">
        <v>0</v>
      </c>
      <c r="J4132" s="1">
        <v>45915.378055555557</v>
      </c>
    </row>
    <row r="4133" spans="1:10" x14ac:dyDescent="0.2">
      <c r="A4133" s="4" t="s">
        <v>1</v>
      </c>
      <c r="B4133" s="3" t="str">
        <f>HYPERLINK("https://otsuka-europe-crm.veevavault.com/ui/#object/approved_document__v/V5OZ025E82TFUPI", "Spain - HCP Survey Email - June 2025")</f>
        <v>Spain - HCP Survey Email - June 2025</v>
      </c>
      <c r="C4133" s="3" t="str">
        <f>HYPERLINK("https://otsuka-europe-crm.veevavault.com/ui/#object/sent_email__v/VBLZ025E82GN0U8", "SE-000271266")</f>
        <v>SE-000271266</v>
      </c>
      <c r="D4133" s="1" t="s">
        <v>0</v>
      </c>
      <c r="E4133" s="2">
        <v>0</v>
      </c>
      <c r="F4133" s="2">
        <v>0</v>
      </c>
      <c r="G4133" s="2">
        <v>0</v>
      </c>
      <c r="H4133" s="1" t="s">
        <v>0</v>
      </c>
      <c r="I4133" s="2">
        <v>0</v>
      </c>
      <c r="J4133" s="1">
        <v>45915.378576388888</v>
      </c>
    </row>
    <row r="4134" spans="1:10" x14ac:dyDescent="0.2">
      <c r="A4134" s="4" t="s">
        <v>1</v>
      </c>
      <c r="B4134" s="3" t="str">
        <f>HYPERLINK("https://otsuka-europe-crm.veevavault.com/ui/#object/approved_document__v/V5OZ025E82TFUPI", "Spain - HCP Survey Email - June 2025")</f>
        <v>Spain - HCP Survey Email - June 2025</v>
      </c>
      <c r="C4134" s="3" t="str">
        <f>HYPERLINK("https://otsuka-europe-crm.veevavault.com/ui/#object/sent_email__v/VBLZ025E82GN0U9", "SE-000271267")</f>
        <v>SE-000271267</v>
      </c>
      <c r="D4134" s="1" t="s">
        <v>0</v>
      </c>
      <c r="E4134" s="2">
        <v>0</v>
      </c>
      <c r="F4134" s="2">
        <v>0</v>
      </c>
      <c r="G4134" s="2">
        <v>0</v>
      </c>
      <c r="H4134" s="1" t="s">
        <v>0</v>
      </c>
      <c r="I4134" s="2">
        <v>0</v>
      </c>
      <c r="J4134" s="1">
        <v>45915.379652777781</v>
      </c>
    </row>
    <row r="4135" spans="1:10" x14ac:dyDescent="0.2">
      <c r="A4135" s="4" t="s">
        <v>1</v>
      </c>
      <c r="B4135" s="3" t="str">
        <f>HYPERLINK("https://otsuka-europe-crm.veevavault.com/ui/#object/approved_document__v/V5OZ025E82TFUPI", "Spain - HCP Survey Email - June 2025")</f>
        <v>Spain - HCP Survey Email - June 2025</v>
      </c>
      <c r="C4135" s="3" t="str">
        <f>HYPERLINK("https://otsuka-europe-crm.veevavault.com/ui/#object/sent_email__v/VBLZ025E82GN0UA", "SE-000271268")</f>
        <v>SE-000271268</v>
      </c>
      <c r="D4135" s="1">
        <v>45915.95521990741</v>
      </c>
      <c r="E4135" s="2">
        <v>1</v>
      </c>
      <c r="F4135" s="2">
        <v>1</v>
      </c>
      <c r="G4135" s="2">
        <v>0</v>
      </c>
      <c r="H4135" s="1" t="s">
        <v>0</v>
      </c>
      <c r="I4135" s="2">
        <v>0</v>
      </c>
      <c r="J4135" s="1">
        <v>45915.379328703704</v>
      </c>
    </row>
    <row r="4136" spans="1:10" x14ac:dyDescent="0.2">
      <c r="A4136" s="4" t="s">
        <v>1</v>
      </c>
      <c r="B4136" s="3" t="str">
        <f>HYPERLINK("https://otsuka-europe-crm.veevavault.com/ui/#object/approved_document__v/V5OZ025E82TFUPI", "Spain - HCP Survey Email - June 2025")</f>
        <v>Spain - HCP Survey Email - June 2025</v>
      </c>
      <c r="C4136" s="3" t="str">
        <f>HYPERLINK("https://otsuka-europe-crm.veevavault.com/ui/#object/sent_email__v/VBLZ025E82GN0UB", "SE-000271269")</f>
        <v>SE-000271269</v>
      </c>
      <c r="D4136" s="1">
        <v>45918.617037037038</v>
      </c>
      <c r="E4136" s="2">
        <v>1</v>
      </c>
      <c r="F4136" s="2">
        <v>1</v>
      </c>
      <c r="G4136" s="2">
        <v>0</v>
      </c>
      <c r="H4136" s="1" t="s">
        <v>0</v>
      </c>
      <c r="I4136" s="2">
        <v>0</v>
      </c>
      <c r="J4136" s="1">
        <v>45915.377442129633</v>
      </c>
    </row>
    <row r="4137" spans="1:10" x14ac:dyDescent="0.2">
      <c r="A4137" s="4" t="s">
        <v>1</v>
      </c>
      <c r="B4137" s="3" t="str">
        <f>HYPERLINK("https://otsuka-europe-crm.veevavault.com/ui/#object/approved_document__v/V5OZ025E82TFUPI", "Spain - HCP Survey Email - June 2025")</f>
        <v>Spain - HCP Survey Email - June 2025</v>
      </c>
      <c r="C4137" s="3" t="str">
        <f>HYPERLINK("https://otsuka-europe-crm.veevavault.com/ui/#object/sent_email__v/VBLZ025E82GN0UC", "SE-000271270")</f>
        <v>SE-000271270</v>
      </c>
      <c r="D4137" s="1">
        <v>45915.961469907408</v>
      </c>
      <c r="E4137" s="2">
        <v>1</v>
      </c>
      <c r="F4137" s="2">
        <v>1</v>
      </c>
      <c r="G4137" s="2">
        <v>0</v>
      </c>
      <c r="H4137" s="1" t="s">
        <v>0</v>
      </c>
      <c r="I4137" s="2">
        <v>0</v>
      </c>
      <c r="J4137" s="1">
        <v>45915.378344907411</v>
      </c>
    </row>
    <row r="4138" spans="1:10" x14ac:dyDescent="0.2">
      <c r="A4138" s="4" t="s">
        <v>1</v>
      </c>
      <c r="B4138" s="3" t="str">
        <f>HYPERLINK("https://otsuka-europe-crm.veevavault.com/ui/#object/approved_document__v/V5OZ025E82TFUPI", "Spain - HCP Survey Email - June 2025")</f>
        <v>Spain - HCP Survey Email - June 2025</v>
      </c>
      <c r="C4138" s="3" t="str">
        <f>HYPERLINK("https://otsuka-europe-crm.veevavault.com/ui/#object/sent_email__v/VBLZ025E82GN0UD", "SE-000271271")</f>
        <v>SE-000271271</v>
      </c>
      <c r="D4138" s="1">
        <v>45918.489039351851</v>
      </c>
      <c r="E4138" s="2">
        <v>1</v>
      </c>
      <c r="F4138" s="2">
        <v>2</v>
      </c>
      <c r="G4138" s="2">
        <v>0</v>
      </c>
      <c r="H4138" s="1" t="s">
        <v>0</v>
      </c>
      <c r="I4138" s="2">
        <v>0</v>
      </c>
      <c r="J4138" s="1">
        <v>45915.378831018519</v>
      </c>
    </row>
    <row r="4139" spans="1:10" x14ac:dyDescent="0.2">
      <c r="A4139" s="4" t="s">
        <v>1</v>
      </c>
      <c r="B4139" s="3" t="str">
        <f>HYPERLINK("https://otsuka-europe-crm.veevavault.com/ui/#object/approved_document__v/V5OZ025E82TFUPI", "Spain - HCP Survey Email - June 2025")</f>
        <v>Spain - HCP Survey Email - June 2025</v>
      </c>
      <c r="C4139" s="3" t="str">
        <f>HYPERLINK("https://otsuka-europe-crm.veevavault.com/ui/#object/sent_email__v/VBLZ025E82GN0UE", "SE-000271272")</f>
        <v>SE-000271272</v>
      </c>
      <c r="D4139" s="1" t="s">
        <v>0</v>
      </c>
      <c r="E4139" s="2">
        <v>0</v>
      </c>
      <c r="F4139" s="2">
        <v>0</v>
      </c>
      <c r="G4139" s="2">
        <v>0</v>
      </c>
      <c r="H4139" s="1" t="s">
        <v>0</v>
      </c>
      <c r="I4139" s="2">
        <v>0</v>
      </c>
      <c r="J4139" s="1">
        <v>45915.37877314815</v>
      </c>
    </row>
    <row r="4140" spans="1:10" x14ac:dyDescent="0.2">
      <c r="A4140" s="4" t="s">
        <v>1</v>
      </c>
      <c r="B4140" s="3" t="str">
        <f>HYPERLINK("https://otsuka-europe-crm.veevavault.com/ui/#object/approved_document__v/V5OZ025E82TFUPI", "Spain - HCP Survey Email - June 2025")</f>
        <v>Spain - HCP Survey Email - June 2025</v>
      </c>
      <c r="C4140" s="3" t="str">
        <f>HYPERLINK("https://otsuka-europe-crm.veevavault.com/ui/#object/sent_email__v/VBLZ025E82GN0UF", "SE-000271273")</f>
        <v>SE-000271273</v>
      </c>
      <c r="D4140" s="1">
        <v>45915.794374999998</v>
      </c>
      <c r="E4140" s="2">
        <v>1</v>
      </c>
      <c r="F4140" s="2">
        <v>1</v>
      </c>
      <c r="G4140" s="2">
        <v>0</v>
      </c>
      <c r="H4140" s="1" t="s">
        <v>0</v>
      </c>
      <c r="I4140" s="2">
        <v>0</v>
      </c>
      <c r="J4140" s="1">
        <v>45915.379224537035</v>
      </c>
    </row>
    <row r="4141" spans="1:10" x14ac:dyDescent="0.2">
      <c r="A4141" s="4" t="s">
        <v>1</v>
      </c>
      <c r="B4141" s="3" t="str">
        <f>HYPERLINK("https://otsuka-europe-crm.veevavault.com/ui/#object/approved_document__v/V5OZ025E82TFUPI", "Spain - HCP Survey Email - June 2025")</f>
        <v>Spain - HCP Survey Email - June 2025</v>
      </c>
      <c r="C4141" s="3" t="str">
        <f>HYPERLINK("https://otsuka-europe-crm.veevavault.com/ui/#object/sent_email__v/VBLZ025E82GN0UG", "SE-000271274")</f>
        <v>SE-000271274</v>
      </c>
      <c r="D4141" s="1" t="s">
        <v>0</v>
      </c>
      <c r="E4141" s="2">
        <v>0</v>
      </c>
      <c r="F4141" s="2">
        <v>0</v>
      </c>
      <c r="G4141" s="2">
        <v>0</v>
      </c>
      <c r="H4141" s="1" t="s">
        <v>0</v>
      </c>
      <c r="I4141" s="2">
        <v>0</v>
      </c>
      <c r="J4141" s="1">
        <v>45915.377870370372</v>
      </c>
    </row>
    <row r="4142" spans="1:10" x14ac:dyDescent="0.2">
      <c r="A4142" s="4" t="s">
        <v>1</v>
      </c>
      <c r="B4142" s="3" t="str">
        <f>HYPERLINK("https://otsuka-europe-crm.veevavault.com/ui/#object/approved_document__v/V5OZ025E82TFUPI", "Spain - HCP Survey Email - June 2025")</f>
        <v>Spain - HCP Survey Email - June 2025</v>
      </c>
      <c r="C4142" s="3" t="str">
        <f>HYPERLINK("https://otsuka-europe-crm.veevavault.com/ui/#object/sent_email__v/VBLZ025E82GN0UH", "SE-000271275")</f>
        <v>SE-000271275</v>
      </c>
      <c r="D4142" s="1">
        <v>45915.411377314813</v>
      </c>
      <c r="E4142" s="2">
        <v>1</v>
      </c>
      <c r="F4142" s="2">
        <v>1</v>
      </c>
      <c r="G4142" s="2">
        <v>0</v>
      </c>
      <c r="H4142" s="1" t="s">
        <v>0</v>
      </c>
      <c r="I4142" s="2">
        <v>0</v>
      </c>
      <c r="J4142" s="1">
        <v>45915.378275462965</v>
      </c>
    </row>
    <row r="4143" spans="1:10" x14ac:dyDescent="0.2">
      <c r="A4143" s="4" t="s">
        <v>1</v>
      </c>
      <c r="B4143" s="3" t="str">
        <f>HYPERLINK("https://otsuka-europe-crm.veevavault.com/ui/#object/approved_document__v/V5OZ025E82TFUPI", "Spain - HCP Survey Email - June 2025")</f>
        <v>Spain - HCP Survey Email - June 2025</v>
      </c>
      <c r="C4143" s="3" t="str">
        <f>HYPERLINK("https://otsuka-europe-crm.veevavault.com/ui/#object/sent_email__v/VBLZ025E82GN0UI", "SE-000271276")</f>
        <v>SE-000271276</v>
      </c>
      <c r="D4143" s="1">
        <v>45915.483263888891</v>
      </c>
      <c r="E4143" s="2">
        <v>1</v>
      </c>
      <c r="F4143" s="2">
        <v>1</v>
      </c>
      <c r="G4143" s="2">
        <v>0</v>
      </c>
      <c r="H4143" s="1" t="s">
        <v>0</v>
      </c>
      <c r="I4143" s="2">
        <v>0</v>
      </c>
      <c r="J4143" s="1">
        <v>45915.378136574072</v>
      </c>
    </row>
    <row r="4144" spans="1:10" x14ac:dyDescent="0.2">
      <c r="A4144" s="4" t="s">
        <v>1</v>
      </c>
      <c r="B4144" s="3" t="str">
        <f>HYPERLINK("https://otsuka-europe-crm.veevavault.com/ui/#object/approved_document__v/V5OZ025E82TFUPI", "Spain - HCP Survey Email - June 2025")</f>
        <v>Spain - HCP Survey Email - June 2025</v>
      </c>
      <c r="C4144" s="3" t="str">
        <f>HYPERLINK("https://otsuka-europe-crm.veevavault.com/ui/#object/sent_email__v/VBLZ025E82GN0UJ", "SE-000271277")</f>
        <v>SE-000271277</v>
      </c>
      <c r="D4144" s="1">
        <v>45915.926562499997</v>
      </c>
      <c r="E4144" s="2">
        <v>1</v>
      </c>
      <c r="F4144" s="2">
        <v>1</v>
      </c>
      <c r="G4144" s="2">
        <v>0</v>
      </c>
      <c r="H4144" s="1" t="s">
        <v>0</v>
      </c>
      <c r="I4144" s="2">
        <v>0</v>
      </c>
      <c r="J4144" s="1">
        <v>45915.378530092596</v>
      </c>
    </row>
    <row r="4145" spans="1:10" x14ac:dyDescent="0.2">
      <c r="A4145" s="4" t="s">
        <v>1</v>
      </c>
      <c r="B4145" s="3" t="str">
        <f>HYPERLINK("https://otsuka-europe-crm.veevavault.com/ui/#object/approved_document__v/V5OZ025E82TFUPI", "Spain - HCP Survey Email - June 2025")</f>
        <v>Spain - HCP Survey Email - June 2025</v>
      </c>
      <c r="C4145" s="3" t="str">
        <f>HYPERLINK("https://otsuka-europe-crm.veevavault.com/ui/#object/sent_email__v/VBLZ025E82GN0UK", "SE-000271278")</f>
        <v>SE-000271278</v>
      </c>
      <c r="D4145" s="1" t="s">
        <v>0</v>
      </c>
      <c r="E4145" s="2">
        <v>0</v>
      </c>
      <c r="F4145" s="2">
        <v>0</v>
      </c>
      <c r="G4145" s="2">
        <v>0</v>
      </c>
      <c r="H4145" s="1" t="s">
        <v>0</v>
      </c>
      <c r="I4145" s="2">
        <v>0</v>
      </c>
      <c r="J4145" s="1">
        <v>45915.379687499997</v>
      </c>
    </row>
    <row r="4146" spans="1:10" x14ac:dyDescent="0.2">
      <c r="A4146" s="4" t="s">
        <v>1</v>
      </c>
      <c r="B4146" s="3" t="str">
        <f>HYPERLINK("https://otsuka-europe-crm.veevavault.com/ui/#object/approved_document__v/V5OZ025E82TFUPI", "Spain - HCP Survey Email - June 2025")</f>
        <v>Spain - HCP Survey Email - June 2025</v>
      </c>
      <c r="C4146" s="3" t="str">
        <f>HYPERLINK("https://otsuka-europe-crm.veevavault.com/ui/#object/sent_email__v/VBLZ025E82GN0UL", "SE-000271279")</f>
        <v>SE-000271279</v>
      </c>
      <c r="D4146" s="1">
        <v>45915.560659722221</v>
      </c>
      <c r="E4146" s="2">
        <v>1</v>
      </c>
      <c r="F4146" s="2">
        <v>1</v>
      </c>
      <c r="G4146" s="2">
        <v>0</v>
      </c>
      <c r="H4146" s="1" t="s">
        <v>0</v>
      </c>
      <c r="I4146" s="2">
        <v>0</v>
      </c>
      <c r="J4146" s="1">
        <v>45915.379270833335</v>
      </c>
    </row>
    <row r="4147" spans="1:10" x14ac:dyDescent="0.2">
      <c r="A4147" s="4" t="s">
        <v>1</v>
      </c>
      <c r="B4147" s="3" t="str">
        <f>HYPERLINK("https://otsuka-europe-crm.veevavault.com/ui/#object/approved_document__v/V5OZ025E82TFUPI", "Spain - HCP Survey Email - June 2025")</f>
        <v>Spain - HCP Survey Email - June 2025</v>
      </c>
      <c r="C4147" s="3" t="str">
        <f>HYPERLINK("https://otsuka-europe-crm.veevavault.com/ui/#object/sent_email__v/VBLZ025E82GN0UM", "SE-000271280")</f>
        <v>SE-000271280</v>
      </c>
      <c r="D4147" s="1" t="s">
        <v>0</v>
      </c>
      <c r="E4147" s="2">
        <v>0</v>
      </c>
      <c r="F4147" s="2">
        <v>0</v>
      </c>
      <c r="G4147" s="2">
        <v>0</v>
      </c>
      <c r="H4147" s="1" t="s">
        <v>0</v>
      </c>
      <c r="I4147" s="2">
        <v>0</v>
      </c>
      <c r="J4147" s="1">
        <v>45915.377442129633</v>
      </c>
    </row>
    <row r="4148" spans="1:10" x14ac:dyDescent="0.2">
      <c r="A4148" s="4" t="s">
        <v>1</v>
      </c>
      <c r="B4148" s="3" t="str">
        <f>HYPERLINK("https://otsuka-europe-crm.veevavault.com/ui/#object/approved_document__v/V5OZ025E82TFUPI", "Spain - HCP Survey Email - June 2025")</f>
        <v>Spain - HCP Survey Email - June 2025</v>
      </c>
      <c r="C4148" s="3" t="str">
        <f>HYPERLINK("https://otsuka-europe-crm.veevavault.com/ui/#object/sent_email__v/VBLZ025E82GN0UN", "SE-000271281")</f>
        <v>SE-000271281</v>
      </c>
      <c r="D4148" s="1">
        <v>45915.512604166666</v>
      </c>
      <c r="E4148" s="2">
        <v>1</v>
      </c>
      <c r="F4148" s="2">
        <v>2</v>
      </c>
      <c r="G4148" s="2">
        <v>0</v>
      </c>
      <c r="H4148" s="1" t="s">
        <v>0</v>
      </c>
      <c r="I4148" s="2">
        <v>0</v>
      </c>
      <c r="J4148" s="1">
        <v>45915.378344907411</v>
      </c>
    </row>
    <row r="4149" spans="1:10" x14ac:dyDescent="0.2">
      <c r="A4149" s="4" t="s">
        <v>1</v>
      </c>
      <c r="B4149" s="3" t="str">
        <f>HYPERLINK("https://otsuka-europe-crm.veevavault.com/ui/#object/approved_document__v/V5OZ025E82TFUPI", "Spain - HCP Survey Email - June 2025")</f>
        <v>Spain - HCP Survey Email - June 2025</v>
      </c>
      <c r="C4149" s="3" t="str">
        <f>HYPERLINK("https://otsuka-europe-crm.veevavault.com/ui/#object/sent_email__v/VBLZ025E82GN0UO", "SE-000271282")</f>
        <v>SE-000271282</v>
      </c>
      <c r="D4149" s="1">
        <v>45915.672291666669</v>
      </c>
      <c r="E4149" s="2">
        <v>1</v>
      </c>
      <c r="F4149" s="2">
        <v>2</v>
      </c>
      <c r="G4149" s="2">
        <v>0</v>
      </c>
      <c r="H4149" s="1" t="s">
        <v>0</v>
      </c>
      <c r="I4149" s="2">
        <v>0</v>
      </c>
      <c r="J4149" s="1">
        <v>45915.379016203704</v>
      </c>
    </row>
    <row r="4150" spans="1:10" x14ac:dyDescent="0.2">
      <c r="A4150" s="4" t="s">
        <v>1</v>
      </c>
      <c r="B4150" s="3" t="str">
        <f>HYPERLINK("https://otsuka-europe-crm.veevavault.com/ui/#object/approved_document__v/V5OZ025E82TFUPI", "Spain - HCP Survey Email - June 2025")</f>
        <v>Spain - HCP Survey Email - June 2025</v>
      </c>
      <c r="C4150" s="3" t="str">
        <f>HYPERLINK("https://otsuka-europe-crm.veevavault.com/ui/#object/sent_email__v/VBLZ025E82GN0UP", "SE-000271283")</f>
        <v>SE-000271283</v>
      </c>
      <c r="D4150" s="1">
        <v>45928.857627314814</v>
      </c>
      <c r="E4150" s="2">
        <v>1</v>
      </c>
      <c r="F4150" s="2">
        <v>1</v>
      </c>
      <c r="G4150" s="2">
        <v>0</v>
      </c>
      <c r="H4150" s="1" t="s">
        <v>0</v>
      </c>
      <c r="I4150" s="2">
        <v>0</v>
      </c>
      <c r="J4150" s="1">
        <v>45915.379652777781</v>
      </c>
    </row>
    <row r="4151" spans="1:10" x14ac:dyDescent="0.2">
      <c r="A4151" s="4" t="s">
        <v>1</v>
      </c>
      <c r="B4151" s="3" t="str">
        <f>HYPERLINK("https://otsuka-europe-crm.veevavault.com/ui/#object/approved_document__v/V5OZ025E82TFUPI", "Spain - HCP Survey Email - June 2025")</f>
        <v>Spain - HCP Survey Email - June 2025</v>
      </c>
      <c r="C4151" s="3" t="str">
        <f>HYPERLINK("https://otsuka-europe-crm.veevavault.com/ui/#object/sent_email__v/VBLZ025E82GN0UQ", "SE-000271284")</f>
        <v>SE-000271284</v>
      </c>
      <c r="D4151" s="1">
        <v>45915.379976851851</v>
      </c>
      <c r="E4151" s="2">
        <v>1</v>
      </c>
      <c r="F4151" s="2">
        <v>1</v>
      </c>
      <c r="G4151" s="2">
        <v>1</v>
      </c>
      <c r="H4151" s="1">
        <v>45915.380277777775</v>
      </c>
      <c r="I4151" s="2">
        <v>2</v>
      </c>
      <c r="J4151" s="1">
        <v>45915.379374999997</v>
      </c>
    </row>
    <row r="4152" spans="1:10" x14ac:dyDescent="0.2">
      <c r="A4152" s="4" t="s">
        <v>1</v>
      </c>
      <c r="B4152" s="3" t="str">
        <f>HYPERLINK("https://otsuka-europe-crm.veevavault.com/ui/#object/approved_document__v/V5OZ025E82TFUPI", "Spain - HCP Survey Email - June 2025")</f>
        <v>Spain - HCP Survey Email - June 2025</v>
      </c>
      <c r="C4152" s="3" t="str">
        <f>HYPERLINK("https://otsuka-europe-crm.veevavault.com/ui/#object/sent_email__v/VBLZ025E82GN0UR", "SE-000271285")</f>
        <v>SE-000271285</v>
      </c>
      <c r="D4152" s="1" t="s">
        <v>0</v>
      </c>
      <c r="E4152" s="2">
        <v>0</v>
      </c>
      <c r="F4152" s="2">
        <v>0</v>
      </c>
      <c r="G4152" s="2">
        <v>0</v>
      </c>
      <c r="H4152" s="1" t="s">
        <v>0</v>
      </c>
      <c r="I4152" s="2">
        <v>0</v>
      </c>
      <c r="J4152" s="1">
        <v>45915.377442129633</v>
      </c>
    </row>
    <row r="4153" spans="1:10" x14ac:dyDescent="0.2">
      <c r="A4153" s="4" t="s">
        <v>1</v>
      </c>
      <c r="B4153" s="3" t="str">
        <f>HYPERLINK("https://otsuka-europe-crm.veevavault.com/ui/#object/approved_document__v/V5OZ025E82TFUPI", "Spain - HCP Survey Email - June 2025")</f>
        <v>Spain - HCP Survey Email - June 2025</v>
      </c>
      <c r="C4153" s="3" t="str">
        <f>HYPERLINK("https://otsuka-europe-crm.veevavault.com/ui/#object/sent_email__v/VBLZ025E82GN0US", "SE-000271286")</f>
        <v>SE-000271286</v>
      </c>
      <c r="D4153" s="1" t="s">
        <v>0</v>
      </c>
      <c r="E4153" s="2">
        <v>0</v>
      </c>
      <c r="F4153" s="2">
        <v>0</v>
      </c>
      <c r="G4153" s="2">
        <v>0</v>
      </c>
      <c r="H4153" s="1" t="s">
        <v>0</v>
      </c>
      <c r="I4153" s="2">
        <v>0</v>
      </c>
      <c r="J4153" s="1">
        <v>45915.378391203703</v>
      </c>
    </row>
    <row r="4154" spans="1:10" x14ac:dyDescent="0.2">
      <c r="A4154" s="4" t="s">
        <v>1</v>
      </c>
      <c r="B4154" s="3" t="str">
        <f>HYPERLINK("https://otsuka-europe-crm.veevavault.com/ui/#object/approved_document__v/V5OZ025E82TFUPI", "Spain - HCP Survey Email - June 2025")</f>
        <v>Spain - HCP Survey Email - June 2025</v>
      </c>
      <c r="C4154" s="3" t="str">
        <f>HYPERLINK("https://otsuka-europe-crm.veevavault.com/ui/#object/sent_email__v/VBLZ025E82GN0UT", "SE-000271287")</f>
        <v>SE-000271287</v>
      </c>
      <c r="D4154" s="1" t="s">
        <v>0</v>
      </c>
      <c r="E4154" s="2">
        <v>0</v>
      </c>
      <c r="F4154" s="2">
        <v>0</v>
      </c>
      <c r="G4154" s="2">
        <v>0</v>
      </c>
      <c r="H4154" s="1" t="s">
        <v>0</v>
      </c>
      <c r="I4154" s="2">
        <v>0</v>
      </c>
      <c r="J4154" s="1">
        <v>45915.378784722219</v>
      </c>
    </row>
    <row r="4155" spans="1:10" x14ac:dyDescent="0.2">
      <c r="A4155" s="4" t="s">
        <v>1</v>
      </c>
      <c r="B4155" s="3" t="str">
        <f>HYPERLINK("https://otsuka-europe-crm.veevavault.com/ui/#object/approved_document__v/V5OZ025E82TFUPI", "Spain - HCP Survey Email - June 2025")</f>
        <v>Spain - HCP Survey Email - June 2025</v>
      </c>
      <c r="C4155" s="3" t="str">
        <f>HYPERLINK("https://otsuka-europe-crm.veevavault.com/ui/#object/sent_email__v/VBLZ025E82GN0UU", "SE-000271288")</f>
        <v>SE-000271288</v>
      </c>
      <c r="D4155" s="1">
        <v>45915.378935185188</v>
      </c>
      <c r="E4155" s="2">
        <v>1</v>
      </c>
      <c r="F4155" s="2">
        <v>1</v>
      </c>
      <c r="G4155" s="2">
        <v>1</v>
      </c>
      <c r="H4155" s="1">
        <v>45915.379363425927</v>
      </c>
      <c r="I4155" s="2">
        <v>2</v>
      </c>
      <c r="J4155" s="1">
        <v>45915.378750000003</v>
      </c>
    </row>
    <row r="4156" spans="1:10" x14ac:dyDescent="0.2">
      <c r="A4156" s="4" t="s">
        <v>1</v>
      </c>
      <c r="B4156" s="3" t="str">
        <f>HYPERLINK("https://otsuka-europe-crm.veevavault.com/ui/#object/approved_document__v/V5OZ025E82TFUPI", "Spain - HCP Survey Email - June 2025")</f>
        <v>Spain - HCP Survey Email - June 2025</v>
      </c>
      <c r="C4156" s="3" t="str">
        <f>HYPERLINK("https://otsuka-europe-crm.veevavault.com/ui/#object/sent_email__v/VBLZ025E82GN0UV", "SE-000271289")</f>
        <v>SE-000271289</v>
      </c>
      <c r="D4156" s="1">
        <v>45916.611087962963</v>
      </c>
      <c r="E4156" s="2">
        <v>1</v>
      </c>
      <c r="F4156" s="2">
        <v>1</v>
      </c>
      <c r="G4156" s="2">
        <v>0</v>
      </c>
      <c r="H4156" s="1" t="s">
        <v>0</v>
      </c>
      <c r="I4156" s="2">
        <v>0</v>
      </c>
      <c r="J4156" s="1">
        <v>45915.379224537035</v>
      </c>
    </row>
    <row r="4157" spans="1:10" x14ac:dyDescent="0.2">
      <c r="A4157" s="4" t="s">
        <v>1</v>
      </c>
      <c r="B4157" s="3" t="str">
        <f>HYPERLINK("https://otsuka-europe-crm.veevavault.com/ui/#object/approved_document__v/V5OZ025E82TFUPI", "Spain - HCP Survey Email - June 2025")</f>
        <v>Spain - HCP Survey Email - June 2025</v>
      </c>
      <c r="C4157" s="3" t="str">
        <f>HYPERLINK("https://otsuka-europe-crm.veevavault.com/ui/#object/sent_email__v/VBLZ025E82GN0UW", "SE-000271290")</f>
        <v>SE-000271290</v>
      </c>
      <c r="D4157" s="1" t="s">
        <v>0</v>
      </c>
      <c r="E4157" s="2">
        <v>0</v>
      </c>
      <c r="F4157" s="2">
        <v>0</v>
      </c>
      <c r="G4157" s="2">
        <v>0</v>
      </c>
      <c r="H4157" s="1" t="s">
        <v>0</v>
      </c>
      <c r="I4157" s="2">
        <v>0</v>
      </c>
      <c r="J4157" s="1">
        <v>45915.378032407411</v>
      </c>
    </row>
    <row r="4158" spans="1:10" x14ac:dyDescent="0.2">
      <c r="A4158" s="4" t="s">
        <v>1</v>
      </c>
      <c r="B4158" s="3" t="str">
        <f>HYPERLINK("https://otsuka-europe-crm.veevavault.com/ui/#object/approved_document__v/V5OZ025E82TFUPI", "Spain - HCP Survey Email - June 2025")</f>
        <v>Spain - HCP Survey Email - June 2025</v>
      </c>
      <c r="C4158" s="3" t="str">
        <f>HYPERLINK("https://otsuka-europe-crm.veevavault.com/ui/#object/sent_email__v/VBLZ025E82GN0UX", "SE-000271291")</f>
        <v>SE-000271291</v>
      </c>
      <c r="D4158" s="1" t="s">
        <v>0</v>
      </c>
      <c r="E4158" s="2">
        <v>0</v>
      </c>
      <c r="F4158" s="2">
        <v>0</v>
      </c>
      <c r="G4158" s="2">
        <v>0</v>
      </c>
      <c r="H4158" s="1" t="s">
        <v>0</v>
      </c>
      <c r="I4158" s="2">
        <v>0</v>
      </c>
      <c r="J4158" s="1">
        <v>45915.378310185188</v>
      </c>
    </row>
    <row r="4159" spans="1:10" x14ac:dyDescent="0.2">
      <c r="A4159" s="4" t="s">
        <v>1</v>
      </c>
      <c r="B4159" s="3" t="str">
        <f>HYPERLINK("https://otsuka-europe-crm.veevavault.com/ui/#object/approved_document__v/V5OZ025E82TFUPI", "Spain - HCP Survey Email - June 2025")</f>
        <v>Spain - HCP Survey Email - June 2025</v>
      </c>
      <c r="C4159" s="3" t="str">
        <f>HYPERLINK("https://otsuka-europe-crm.veevavault.com/ui/#object/sent_email__v/VBLZ025E82GN0UY", "SE-000271292")</f>
        <v>SE-000271292</v>
      </c>
      <c r="D4159" s="1">
        <v>45915.633611111109</v>
      </c>
      <c r="E4159" s="2">
        <v>1</v>
      </c>
      <c r="F4159" s="2">
        <v>1</v>
      </c>
      <c r="G4159" s="2">
        <v>0</v>
      </c>
      <c r="H4159" s="1" t="s">
        <v>0</v>
      </c>
      <c r="I4159" s="2">
        <v>0</v>
      </c>
      <c r="J4159" s="1">
        <v>45915.378159722219</v>
      </c>
    </row>
    <row r="4160" spans="1:10" x14ac:dyDescent="0.2">
      <c r="A4160" s="4" t="s">
        <v>1</v>
      </c>
      <c r="B4160" s="3" t="str">
        <f>HYPERLINK("https://otsuka-europe-crm.veevavault.com/ui/#object/approved_document__v/V5OZ025E82TFUPI", "Spain - HCP Survey Email - June 2025")</f>
        <v>Spain - HCP Survey Email - June 2025</v>
      </c>
      <c r="C4160" s="3" t="str">
        <f>HYPERLINK("https://otsuka-europe-crm.veevavault.com/ui/#object/sent_email__v/VBLZ025E82GN0UZ", "SE-000271293")</f>
        <v>SE-000271293</v>
      </c>
      <c r="D4160" s="1">
        <v>45915.379050925927</v>
      </c>
      <c r="E4160" s="2">
        <v>1</v>
      </c>
      <c r="F4160" s="2">
        <v>1</v>
      </c>
      <c r="G4160" s="2">
        <v>1</v>
      </c>
      <c r="H4160" s="1">
        <v>45915.37939814815</v>
      </c>
      <c r="I4160" s="2">
        <v>2</v>
      </c>
      <c r="J4160" s="1">
        <v>45915.379004629627</v>
      </c>
    </row>
    <row r="4161" spans="1:10" x14ac:dyDescent="0.2">
      <c r="A4161" s="4" t="s">
        <v>1</v>
      </c>
      <c r="B4161" s="3" t="str">
        <f>HYPERLINK("https://otsuka-europe-crm.veevavault.com/ui/#object/approved_document__v/V5OZ025E82TFUPI", "Spain - HCP Survey Email - June 2025")</f>
        <v>Spain - HCP Survey Email - June 2025</v>
      </c>
      <c r="C4161" s="3" t="str">
        <f>HYPERLINK("https://otsuka-europe-crm.veevavault.com/ui/#object/sent_email__v/VBLZ025E82GN0V0", "SE-000271294")</f>
        <v>SE-000271294</v>
      </c>
      <c r="D4161" s="1">
        <v>45915.379756944443</v>
      </c>
      <c r="E4161" s="2">
        <v>1</v>
      </c>
      <c r="F4161" s="2">
        <v>1</v>
      </c>
      <c r="G4161" s="2">
        <v>1</v>
      </c>
      <c r="H4161" s="1">
        <v>45915.380173611113</v>
      </c>
      <c r="I4161" s="2">
        <v>2</v>
      </c>
      <c r="J4161" s="1">
        <v>45915.379571759258</v>
      </c>
    </row>
    <row r="4162" spans="1:10" x14ac:dyDescent="0.2">
      <c r="A4162" s="4" t="s">
        <v>1</v>
      </c>
      <c r="B4162" s="3" t="str">
        <f>HYPERLINK("https://otsuka-europe-crm.veevavault.com/ui/#object/approved_document__v/V5OZ025E82TFUPI", "Spain - HCP Survey Email - June 2025")</f>
        <v>Spain - HCP Survey Email - June 2025</v>
      </c>
      <c r="C4162" s="3" t="str">
        <f>HYPERLINK("https://otsuka-europe-crm.veevavault.com/ui/#object/sent_email__v/VBLZ025E82GN0V1", "SE-000271295")</f>
        <v>SE-000271295</v>
      </c>
      <c r="D4162" s="1" t="s">
        <v>0</v>
      </c>
      <c r="E4162" s="2">
        <v>0</v>
      </c>
      <c r="F4162" s="2">
        <v>0</v>
      </c>
      <c r="G4162" s="2">
        <v>0</v>
      </c>
      <c r="H4162" s="1" t="s">
        <v>0</v>
      </c>
      <c r="I4162" s="2">
        <v>0</v>
      </c>
      <c r="J4162" s="1">
        <v>45915.379259259258</v>
      </c>
    </row>
    <row r="4163" spans="1:10" x14ac:dyDescent="0.2">
      <c r="A4163" s="4" t="s">
        <v>1</v>
      </c>
      <c r="B4163" s="3" t="str">
        <f>HYPERLINK("https://otsuka-europe-crm.veevavault.com/ui/#object/approved_document__v/V5OZ025E82TFUPI", "Spain - HCP Survey Email - June 2025")</f>
        <v>Spain - HCP Survey Email - June 2025</v>
      </c>
      <c r="C4163" s="3" t="str">
        <f>HYPERLINK("https://otsuka-europe-crm.veevavault.com/ui/#object/sent_email__v/VBLZ025E82GN0V2", "SE-000271296")</f>
        <v>SE-000271296</v>
      </c>
      <c r="D4163" s="1">
        <v>45915.475624999999</v>
      </c>
      <c r="E4163" s="2">
        <v>1</v>
      </c>
      <c r="F4163" s="2">
        <v>1</v>
      </c>
      <c r="G4163" s="2">
        <v>0</v>
      </c>
      <c r="H4163" s="1" t="s">
        <v>0</v>
      </c>
      <c r="I4163" s="2">
        <v>0</v>
      </c>
      <c r="J4163" s="1">
        <v>45915.377395833333</v>
      </c>
    </row>
    <row r="4164" spans="1:10" x14ac:dyDescent="0.2">
      <c r="A4164" s="4" t="s">
        <v>1</v>
      </c>
      <c r="B4164" s="3" t="str">
        <f>HYPERLINK("https://otsuka-europe-crm.veevavault.com/ui/#object/approved_document__v/V5OZ025E82TFUPI", "Spain - HCP Survey Email - June 2025")</f>
        <v>Spain - HCP Survey Email - June 2025</v>
      </c>
      <c r="C4164" s="3" t="str">
        <f>HYPERLINK("https://otsuka-europe-crm.veevavault.com/ui/#object/sent_email__v/VBLZ025E82GN0V3", "SE-000271297")</f>
        <v>SE-000271297</v>
      </c>
      <c r="D4164" s="1">
        <v>45918.998449074075</v>
      </c>
      <c r="E4164" s="2">
        <v>1</v>
      </c>
      <c r="F4164" s="2">
        <v>1</v>
      </c>
      <c r="G4164" s="2">
        <v>0</v>
      </c>
      <c r="H4164" s="1" t="s">
        <v>0</v>
      </c>
      <c r="I4164" s="2">
        <v>0</v>
      </c>
      <c r="J4164" s="1">
        <v>45915.378275462965</v>
      </c>
    </row>
    <row r="4165" spans="1:10" x14ac:dyDescent="0.2">
      <c r="A4165" s="4" t="s">
        <v>1</v>
      </c>
      <c r="B4165" s="3" t="str">
        <f>HYPERLINK("https://otsuka-europe-crm.veevavault.com/ui/#object/approved_document__v/V5OZ025E82TFUPI", "Spain - HCP Survey Email - June 2025")</f>
        <v>Spain - HCP Survey Email - June 2025</v>
      </c>
      <c r="C4165" s="3" t="str">
        <f>HYPERLINK("https://otsuka-europe-crm.veevavault.com/ui/#object/sent_email__v/VBLZ025E82GN0V4", "SE-000271298")</f>
        <v>SE-000271298</v>
      </c>
      <c r="D4165" s="1">
        <v>45915.379016203704</v>
      </c>
      <c r="E4165" s="2">
        <v>1</v>
      </c>
      <c r="F4165" s="2">
        <v>1</v>
      </c>
      <c r="G4165" s="2">
        <v>1</v>
      </c>
      <c r="H4165" s="1">
        <v>45915.379317129627</v>
      </c>
      <c r="I4165" s="2">
        <v>2</v>
      </c>
      <c r="J4165" s="1">
        <v>45915.378912037035</v>
      </c>
    </row>
    <row r="4166" spans="1:10" x14ac:dyDescent="0.2">
      <c r="A4166" s="4" t="s">
        <v>1</v>
      </c>
      <c r="B4166" s="3" t="str">
        <f>HYPERLINK("https://otsuka-europe-crm.veevavault.com/ui/#object/approved_document__v/V5OZ025E82TFUPI", "Spain - HCP Survey Email - June 2025")</f>
        <v>Spain - HCP Survey Email - June 2025</v>
      </c>
      <c r="C4166" s="3" t="str">
        <f>HYPERLINK("https://otsuka-europe-crm.veevavault.com/ui/#object/sent_email__v/VBLZ025E82GN0V5", "SE-000271299")</f>
        <v>SE-000271299</v>
      </c>
      <c r="D4166" s="1" t="s">
        <v>0</v>
      </c>
      <c r="E4166" s="2">
        <v>0</v>
      </c>
      <c r="F4166" s="2">
        <v>0</v>
      </c>
      <c r="G4166" s="2">
        <v>0</v>
      </c>
      <c r="H4166" s="1" t="s">
        <v>0</v>
      </c>
      <c r="I4166" s="2">
        <v>0</v>
      </c>
      <c r="J4166" s="1">
        <v>45915.378761574073</v>
      </c>
    </row>
    <row r="4167" spans="1:10" x14ac:dyDescent="0.2">
      <c r="A4167" s="4" t="s">
        <v>1</v>
      </c>
      <c r="B4167" s="3" t="str">
        <f>HYPERLINK("https://otsuka-europe-crm.veevavault.com/ui/#object/approved_document__v/V5OZ025E82TFUPI", "Spain - HCP Survey Email - June 2025")</f>
        <v>Spain - HCP Survey Email - June 2025</v>
      </c>
      <c r="C4167" s="3" t="str">
        <f>HYPERLINK("https://otsuka-europe-crm.veevavault.com/ui/#object/sent_email__v/VBLZ025E82GN0V6", "SE-000271300")</f>
        <v>SE-000271300</v>
      </c>
      <c r="D4167" s="1" t="s">
        <v>0</v>
      </c>
      <c r="E4167" s="2">
        <v>0</v>
      </c>
      <c r="F4167" s="2">
        <v>0</v>
      </c>
      <c r="G4167" s="2">
        <v>0</v>
      </c>
      <c r="H4167" s="1" t="s">
        <v>0</v>
      </c>
      <c r="I4167" s="2">
        <v>0</v>
      </c>
      <c r="J4167" s="1">
        <v>45915.379236111112</v>
      </c>
    </row>
    <row r="4168" spans="1:10" x14ac:dyDescent="0.2">
      <c r="A4168" s="4" t="s">
        <v>1</v>
      </c>
      <c r="B4168" s="3" t="str">
        <f>HYPERLINK("https://otsuka-europe-crm.veevavault.com/ui/#object/approved_document__v/V5OZ025E82TFUPI", "Spain - HCP Survey Email - June 2025")</f>
        <v>Spain - HCP Survey Email - June 2025</v>
      </c>
      <c r="C4168" s="3" t="str">
        <f>HYPERLINK("https://otsuka-europe-crm.veevavault.com/ui/#object/sent_email__v/VBLZ025E82GN0V7", "SE-000271301")</f>
        <v>SE-000271301</v>
      </c>
      <c r="D4168" s="1" t="s">
        <v>0</v>
      </c>
      <c r="E4168" s="2">
        <v>0</v>
      </c>
      <c r="F4168" s="2">
        <v>0</v>
      </c>
      <c r="G4168" s="2">
        <v>0</v>
      </c>
      <c r="H4168" s="1" t="s">
        <v>0</v>
      </c>
      <c r="I4168" s="2">
        <v>0</v>
      </c>
      <c r="J4168" s="1">
        <v>45915.377858796295</v>
      </c>
    </row>
    <row r="4169" spans="1:10" x14ac:dyDescent="0.2">
      <c r="A4169" s="4" t="s">
        <v>1</v>
      </c>
      <c r="B4169" s="3" t="str">
        <f>HYPERLINK("https://otsuka-europe-crm.veevavault.com/ui/#object/approved_document__v/V5OZ025E82TFUPI", "Spain - HCP Survey Email - June 2025")</f>
        <v>Spain - HCP Survey Email - June 2025</v>
      </c>
      <c r="C4169" s="3" t="str">
        <f>HYPERLINK("https://otsuka-europe-crm.veevavault.com/ui/#object/sent_email__v/VBLZ025E82GN0V8", "SE-000271302")</f>
        <v>SE-000271302</v>
      </c>
      <c r="D4169" s="1" t="s">
        <v>0</v>
      </c>
      <c r="E4169" s="2">
        <v>0</v>
      </c>
      <c r="F4169" s="2">
        <v>0</v>
      </c>
      <c r="G4169" s="2">
        <v>0</v>
      </c>
      <c r="H4169" s="1" t="s">
        <v>0</v>
      </c>
      <c r="I4169" s="2">
        <v>0</v>
      </c>
      <c r="J4169" s="1">
        <v>45915.378333333334</v>
      </c>
    </row>
    <row r="4170" spans="1:10" x14ac:dyDescent="0.2">
      <c r="A4170" s="4" t="s">
        <v>1</v>
      </c>
      <c r="B4170" s="3" t="str">
        <f>HYPERLINK("https://otsuka-europe-crm.veevavault.com/ui/#object/approved_document__v/V5OZ025E82TFUPI", "Spain - HCP Survey Email - June 2025")</f>
        <v>Spain - HCP Survey Email - June 2025</v>
      </c>
      <c r="C4170" s="3" t="str">
        <f>HYPERLINK("https://otsuka-europe-crm.veevavault.com/ui/#object/sent_email__v/VBLZ025E82GN0V9", "SE-000271303")</f>
        <v>SE-000271303</v>
      </c>
      <c r="D4170" s="1" t="s">
        <v>0</v>
      </c>
      <c r="E4170" s="2">
        <v>0</v>
      </c>
      <c r="F4170" s="2">
        <v>0</v>
      </c>
      <c r="G4170" s="2">
        <v>0</v>
      </c>
      <c r="H4170" s="1" t="s">
        <v>0</v>
      </c>
      <c r="I4170" s="2">
        <v>0</v>
      </c>
      <c r="J4170" s="1">
        <v>45915.378125000003</v>
      </c>
    </row>
    <row r="4171" spans="1:10" x14ac:dyDescent="0.2">
      <c r="A4171" s="4" t="s">
        <v>1</v>
      </c>
      <c r="B4171" s="3" t="str">
        <f>HYPERLINK("https://otsuka-europe-crm.veevavault.com/ui/#object/approved_document__v/V5OZ025E82TFUPI", "Spain - HCP Survey Email - June 2025")</f>
        <v>Spain - HCP Survey Email - June 2025</v>
      </c>
      <c r="C4171" s="3" t="str">
        <f>HYPERLINK("https://otsuka-europe-crm.veevavault.com/ui/#object/sent_email__v/VBLZ025E82GN0VA", "SE-000271304")</f>
        <v>SE-000271304</v>
      </c>
      <c r="D4171" s="1">
        <v>45915.379374999997</v>
      </c>
      <c r="E4171" s="2">
        <v>1</v>
      </c>
      <c r="F4171" s="2">
        <v>2</v>
      </c>
      <c r="G4171" s="2">
        <v>1</v>
      </c>
      <c r="H4171" s="1">
        <v>45915.37940972222</v>
      </c>
      <c r="I4171" s="2">
        <v>1</v>
      </c>
      <c r="J4171" s="1">
        <v>45915.378900462965</v>
      </c>
    </row>
    <row r="4172" spans="1:10" x14ac:dyDescent="0.2">
      <c r="A4172" s="4" t="s">
        <v>1</v>
      </c>
      <c r="B4172" s="3" t="str">
        <f>HYPERLINK("https://otsuka-europe-crm.veevavault.com/ui/#object/approved_document__v/V5OZ025E82TFUPI", "Spain - HCP Survey Email - June 2025")</f>
        <v>Spain - HCP Survey Email - June 2025</v>
      </c>
      <c r="C4172" s="3" t="str">
        <f>HYPERLINK("https://otsuka-europe-crm.veevavault.com/ui/#object/sent_email__v/VBLZ025E82GN0VC", "SE-000271306")</f>
        <v>SE-000271306</v>
      </c>
      <c r="D4172" s="1">
        <v>45915.666064814817</v>
      </c>
      <c r="E4172" s="2">
        <v>1</v>
      </c>
      <c r="F4172" s="2">
        <v>1</v>
      </c>
      <c r="G4172" s="2">
        <v>0</v>
      </c>
      <c r="H4172" s="1" t="s">
        <v>0</v>
      </c>
      <c r="I4172" s="2">
        <v>0</v>
      </c>
      <c r="J4172" s="1">
        <v>45915.379386574074</v>
      </c>
    </row>
    <row r="4173" spans="1:10" x14ac:dyDescent="0.2">
      <c r="A4173" s="4" t="s">
        <v>1</v>
      </c>
      <c r="B4173" s="3" t="str">
        <f>HYPERLINK("https://otsuka-europe-crm.veevavault.com/ui/#object/approved_document__v/V5OZ025E82TFUPI", "Spain - HCP Survey Email - June 2025")</f>
        <v>Spain - HCP Survey Email - June 2025</v>
      </c>
      <c r="C4173" s="3" t="str">
        <f>HYPERLINK("https://otsuka-europe-crm.veevavault.com/ui/#object/sent_email__v/VBLZ025E82GN0VD", "SE-000271307")</f>
        <v>SE-000271307</v>
      </c>
      <c r="D4173" s="1" t="s">
        <v>0</v>
      </c>
      <c r="E4173" s="2">
        <v>0</v>
      </c>
      <c r="F4173" s="2">
        <v>0</v>
      </c>
      <c r="G4173" s="2">
        <v>0</v>
      </c>
      <c r="H4173" s="1" t="s">
        <v>0</v>
      </c>
      <c r="I4173" s="2">
        <v>0</v>
      </c>
      <c r="J4173" s="1">
        <v>45915.377395833333</v>
      </c>
    </row>
    <row r="4174" spans="1:10" x14ac:dyDescent="0.2">
      <c r="A4174" s="4" t="s">
        <v>1</v>
      </c>
      <c r="B4174" s="3" t="str">
        <f>HYPERLINK("https://otsuka-europe-crm.veevavault.com/ui/#object/approved_document__v/V5OZ025E82TFUPI", "Spain - HCP Survey Email - June 2025")</f>
        <v>Spain - HCP Survey Email - June 2025</v>
      </c>
      <c r="C4174" s="3" t="str">
        <f>HYPERLINK("https://otsuka-europe-crm.veevavault.com/ui/#object/sent_email__v/VBLZ025E82GN0VE", "SE-000271308")</f>
        <v>SE-000271308</v>
      </c>
      <c r="D4174" s="1">
        <v>45936.72152777778</v>
      </c>
      <c r="E4174" s="2">
        <v>1</v>
      </c>
      <c r="F4174" s="2">
        <v>2</v>
      </c>
      <c r="G4174" s="2">
        <v>0</v>
      </c>
      <c r="H4174" s="1" t="s">
        <v>0</v>
      </c>
      <c r="I4174" s="2">
        <v>0</v>
      </c>
      <c r="J4174" s="1">
        <v>45915.378298611111</v>
      </c>
    </row>
    <row r="4175" spans="1:10" x14ac:dyDescent="0.2">
      <c r="A4175" s="4" t="s">
        <v>1</v>
      </c>
      <c r="B4175" s="3" t="str">
        <f>HYPERLINK("https://otsuka-europe-crm.veevavault.com/ui/#object/approved_document__v/V5OZ025E82TFUPI", "Spain - HCP Survey Email - June 2025")</f>
        <v>Spain - HCP Survey Email - June 2025</v>
      </c>
      <c r="C4175" s="3" t="str">
        <f>HYPERLINK("https://otsuka-europe-crm.veevavault.com/ui/#object/sent_email__v/VBLZ025E82GN0VF", "SE-000271309")</f>
        <v>SE-000271309</v>
      </c>
      <c r="D4175" s="1" t="s">
        <v>0</v>
      </c>
      <c r="E4175" s="2">
        <v>0</v>
      </c>
      <c r="F4175" s="2">
        <v>0</v>
      </c>
      <c r="G4175" s="2">
        <v>0</v>
      </c>
      <c r="H4175" s="1" t="s">
        <v>0</v>
      </c>
      <c r="I4175" s="2">
        <v>0</v>
      </c>
      <c r="J4175" s="1">
        <v>45915.378854166665</v>
      </c>
    </row>
    <row r="4176" spans="1:10" x14ac:dyDescent="0.2">
      <c r="A4176" s="4" t="s">
        <v>1</v>
      </c>
      <c r="B4176" s="3" t="str">
        <f>HYPERLINK("https://otsuka-europe-crm.veevavault.com/ui/#object/approved_document__v/V5OZ025E82TFUPI", "Spain - HCP Survey Email - June 2025")</f>
        <v>Spain - HCP Survey Email - June 2025</v>
      </c>
      <c r="C4176" s="3" t="str">
        <f>HYPERLINK("https://otsuka-europe-crm.veevavault.com/ui/#object/sent_email__v/VBLZ025E82GN0VG", "SE-000271310")</f>
        <v>SE-000271310</v>
      </c>
      <c r="D4176" s="1" t="s">
        <v>0</v>
      </c>
      <c r="E4176" s="2">
        <v>0</v>
      </c>
      <c r="F4176" s="2">
        <v>0</v>
      </c>
      <c r="G4176" s="2">
        <v>0</v>
      </c>
      <c r="H4176" s="1" t="s">
        <v>0</v>
      </c>
      <c r="I4176" s="2">
        <v>0</v>
      </c>
      <c r="J4176" s="1">
        <v>45915.378750000003</v>
      </c>
    </row>
    <row r="4177" spans="1:10" x14ac:dyDescent="0.2">
      <c r="A4177" s="4" t="s">
        <v>1</v>
      </c>
      <c r="B4177" s="3" t="str">
        <f>HYPERLINK("https://otsuka-europe-crm.veevavault.com/ui/#object/approved_document__v/V5OZ025E82TFUPI", "Spain - HCP Survey Email - June 2025")</f>
        <v>Spain - HCP Survey Email - June 2025</v>
      </c>
      <c r="C4177" s="3" t="str">
        <f>HYPERLINK("https://otsuka-europe-crm.veevavault.com/ui/#object/sent_email__v/VBLZ025E82GN0VH", "SE-000271311")</f>
        <v>SE-000271311</v>
      </c>
      <c r="D4177" s="1">
        <v>45917.941863425927</v>
      </c>
      <c r="E4177" s="2">
        <v>1</v>
      </c>
      <c r="F4177" s="2">
        <v>3</v>
      </c>
      <c r="G4177" s="2">
        <v>0</v>
      </c>
      <c r="H4177" s="1" t="s">
        <v>0</v>
      </c>
      <c r="I4177" s="2">
        <v>0</v>
      </c>
      <c r="J4177" s="1">
        <v>45915.379212962966</v>
      </c>
    </row>
    <row r="4178" spans="1:10" x14ac:dyDescent="0.2">
      <c r="A4178" s="4" t="s">
        <v>1</v>
      </c>
      <c r="B4178" s="3" t="str">
        <f>HYPERLINK("https://otsuka-europe-crm.veevavault.com/ui/#object/approved_document__v/V5OZ025E82TFUPI", "Spain - HCP Survey Email - June 2025")</f>
        <v>Spain - HCP Survey Email - June 2025</v>
      </c>
      <c r="C4178" s="3" t="str">
        <f>HYPERLINK("https://otsuka-europe-crm.veevavault.com/ui/#object/sent_email__v/VBLZ025E82GN0VI", "SE-000271312")</f>
        <v>SE-000271312</v>
      </c>
      <c r="D4178" s="1" t="s">
        <v>0</v>
      </c>
      <c r="E4178" s="2">
        <v>0</v>
      </c>
      <c r="F4178" s="2">
        <v>0</v>
      </c>
      <c r="G4178" s="2">
        <v>0</v>
      </c>
      <c r="H4178" s="1" t="s">
        <v>0</v>
      </c>
      <c r="I4178" s="2">
        <v>0</v>
      </c>
      <c r="J4178" s="1">
        <v>45915.378009259257</v>
      </c>
    </row>
    <row r="4179" spans="1:10" x14ac:dyDescent="0.2">
      <c r="A4179" s="4" t="s">
        <v>1</v>
      </c>
      <c r="B4179" s="3" t="str">
        <f>HYPERLINK("https://otsuka-europe-crm.veevavault.com/ui/#object/approved_document__v/V5OZ025E82TFUPI", "Spain - HCP Survey Email - June 2025")</f>
        <v>Spain - HCP Survey Email - June 2025</v>
      </c>
      <c r="C4179" s="3" t="str">
        <f>HYPERLINK("https://otsuka-europe-crm.veevavault.com/ui/#object/sent_email__v/VBLZ025E82GN0VJ", "SE-000271313")</f>
        <v>SE-000271313</v>
      </c>
      <c r="D4179" s="1">
        <v>45915.37841435185</v>
      </c>
      <c r="E4179" s="2">
        <v>1</v>
      </c>
      <c r="F4179" s="2">
        <v>1</v>
      </c>
      <c r="G4179" s="2">
        <v>0</v>
      </c>
      <c r="H4179" s="1" t="s">
        <v>0</v>
      </c>
      <c r="I4179" s="2">
        <v>0</v>
      </c>
      <c r="J4179" s="1">
        <v>45915.378298611111</v>
      </c>
    </row>
    <row r="4180" spans="1:10" x14ac:dyDescent="0.2">
      <c r="A4180" s="4" t="s">
        <v>1</v>
      </c>
      <c r="B4180" s="3" t="str">
        <f>HYPERLINK("https://otsuka-europe-crm.veevavault.com/ui/#object/approved_document__v/V5OZ025E82TFUPI", "Spain - HCP Survey Email - June 2025")</f>
        <v>Spain - HCP Survey Email - June 2025</v>
      </c>
      <c r="C4180" s="3" t="str">
        <f>HYPERLINK("https://otsuka-europe-crm.veevavault.com/ui/#object/sent_email__v/VBLZ025E82GN0VK", "SE-000271314")</f>
        <v>SE-000271314</v>
      </c>
      <c r="D4180" s="1" t="s">
        <v>0</v>
      </c>
      <c r="E4180" s="2">
        <v>0</v>
      </c>
      <c r="F4180" s="2">
        <v>0</v>
      </c>
      <c r="G4180" s="2">
        <v>0</v>
      </c>
      <c r="H4180" s="1" t="s">
        <v>0</v>
      </c>
      <c r="I4180" s="2">
        <v>0</v>
      </c>
      <c r="J4180" s="1">
        <v>45915.378182870372</v>
      </c>
    </row>
    <row r="4181" spans="1:10" x14ac:dyDescent="0.2">
      <c r="A4181" s="4" t="s">
        <v>1</v>
      </c>
      <c r="B4181" s="3" t="str">
        <f>HYPERLINK("https://otsuka-europe-crm.veevavault.com/ui/#object/approved_document__v/V5OZ025E82TFUPI", "Spain - HCP Survey Email - June 2025")</f>
        <v>Spain - HCP Survey Email - June 2025</v>
      </c>
      <c r="C4181" s="3" t="str">
        <f>HYPERLINK("https://otsuka-europe-crm.veevavault.com/ui/#object/sent_email__v/VBLZ025E82GN0VL", "SE-000271315")</f>
        <v>SE-000271315</v>
      </c>
      <c r="D4181" s="1">
        <v>45916.844108796293</v>
      </c>
      <c r="E4181" s="2">
        <v>1</v>
      </c>
      <c r="F4181" s="2">
        <v>1</v>
      </c>
      <c r="G4181" s="2">
        <v>1</v>
      </c>
      <c r="H4181" s="1">
        <v>45916.845104166663</v>
      </c>
      <c r="I4181" s="2">
        <v>2</v>
      </c>
      <c r="J4181" s="1">
        <v>45915.379016203704</v>
      </c>
    </row>
    <row r="4182" spans="1:10" x14ac:dyDescent="0.2">
      <c r="A4182" s="4" t="s">
        <v>1</v>
      </c>
      <c r="B4182" s="3" t="str">
        <f>HYPERLINK("https://otsuka-europe-crm.veevavault.com/ui/#object/approved_document__v/V5OZ025E82TFUPI", "Spain - HCP Survey Email - June 2025")</f>
        <v>Spain - HCP Survey Email - June 2025</v>
      </c>
      <c r="C4182" s="3" t="str">
        <f>HYPERLINK("https://otsuka-europe-crm.veevavault.com/ui/#object/sent_email__v/VBLZ025E82GN0VM", "SE-000271316")</f>
        <v>SE-000271316</v>
      </c>
      <c r="D4182" s="1">
        <v>45917.329953703702</v>
      </c>
      <c r="E4182" s="2">
        <v>1</v>
      </c>
      <c r="F4182" s="2">
        <v>2</v>
      </c>
      <c r="G4182" s="2">
        <v>0</v>
      </c>
      <c r="H4182" s="1" t="s">
        <v>0</v>
      </c>
      <c r="I4182" s="2">
        <v>0</v>
      </c>
      <c r="J4182" s="1">
        <v>45915.379780092589</v>
      </c>
    </row>
    <row r="4183" spans="1:10" x14ac:dyDescent="0.2">
      <c r="A4183" s="4" t="s">
        <v>1</v>
      </c>
      <c r="B4183" s="3" t="str">
        <f>HYPERLINK("https://otsuka-europe-crm.veevavault.com/ui/#object/approved_document__v/V5OZ025E82TFUPI", "Spain - HCP Survey Email - June 2025")</f>
        <v>Spain - HCP Survey Email - June 2025</v>
      </c>
      <c r="C4183" s="3" t="str">
        <f>HYPERLINK("https://otsuka-europe-crm.veevavault.com/ui/#object/sent_email__v/VBLZ025E82GN0VN", "SE-000271317")</f>
        <v>SE-000271317</v>
      </c>
      <c r="D4183" s="1" t="s">
        <v>0</v>
      </c>
      <c r="E4183" s="2">
        <v>0</v>
      </c>
      <c r="F4183" s="2">
        <v>0</v>
      </c>
      <c r="G4183" s="2">
        <v>0</v>
      </c>
      <c r="H4183" s="1" t="s">
        <v>0</v>
      </c>
      <c r="I4183" s="2">
        <v>0</v>
      </c>
      <c r="J4183" s="1">
        <v>45915.379305555558</v>
      </c>
    </row>
    <row r="4184" spans="1:10" x14ac:dyDescent="0.2">
      <c r="A4184" s="4" t="s">
        <v>1</v>
      </c>
      <c r="B4184" s="3" t="str">
        <f>HYPERLINK("https://otsuka-europe-crm.veevavault.com/ui/#object/approved_document__v/V5OZ025E82TFUPI", "Spain - HCP Survey Email - June 2025")</f>
        <v>Spain - HCP Survey Email - June 2025</v>
      </c>
      <c r="C4184" s="3" t="str">
        <f>HYPERLINK("https://otsuka-europe-crm.veevavault.com/ui/#object/sent_email__v/VBLZ025E82GN0VO", "SE-000271318")</f>
        <v>SE-000271318</v>
      </c>
      <c r="D4184" s="1" t="s">
        <v>0</v>
      </c>
      <c r="E4184" s="2">
        <v>0</v>
      </c>
      <c r="F4184" s="2">
        <v>0</v>
      </c>
      <c r="G4184" s="2">
        <v>0</v>
      </c>
      <c r="H4184" s="1" t="s">
        <v>0</v>
      </c>
      <c r="I4184" s="2">
        <v>0</v>
      </c>
      <c r="J4184" s="1">
        <v>45915.37809027778</v>
      </c>
    </row>
    <row r="4185" spans="1:10" x14ac:dyDescent="0.2">
      <c r="A4185" s="4" t="s">
        <v>1</v>
      </c>
      <c r="B4185" s="3" t="str">
        <f>HYPERLINK("https://otsuka-europe-crm.veevavault.com/ui/#object/approved_document__v/V5OZ025E82TFUPI", "Spain - HCP Survey Email - June 2025")</f>
        <v>Spain - HCP Survey Email - June 2025</v>
      </c>
      <c r="C4185" s="3" t="str">
        <f>HYPERLINK("https://otsuka-europe-crm.veevavault.com/ui/#object/sent_email__v/VBLZ025E82GN0VP", "SE-000271319")</f>
        <v>SE-000271319</v>
      </c>
      <c r="D4185" s="1" t="s">
        <v>0</v>
      </c>
      <c r="E4185" s="2">
        <v>0</v>
      </c>
      <c r="F4185" s="2">
        <v>0</v>
      </c>
      <c r="G4185" s="2">
        <v>0</v>
      </c>
      <c r="H4185" s="1" t="s">
        <v>0</v>
      </c>
      <c r="I4185" s="2">
        <v>0</v>
      </c>
      <c r="J4185" s="1">
        <v>45915.378611111111</v>
      </c>
    </row>
    <row r="4186" spans="1:10" x14ac:dyDescent="0.2">
      <c r="A4186" s="4" t="s">
        <v>1</v>
      </c>
      <c r="B4186" s="3" t="str">
        <f>HYPERLINK("https://otsuka-europe-crm.veevavault.com/ui/#object/approved_document__v/V5OZ025E82TFUPI", "Spain - HCP Survey Email - June 2025")</f>
        <v>Spain - HCP Survey Email - June 2025</v>
      </c>
      <c r="C4186" s="3" t="str">
        <f>HYPERLINK("https://otsuka-europe-crm.veevavault.com/ui/#object/sent_email__v/VBLZ025E82GN0VQ", "SE-000271320")</f>
        <v>SE-000271320</v>
      </c>
      <c r="D4186" s="1" t="s">
        <v>0</v>
      </c>
      <c r="E4186" s="2">
        <v>0</v>
      </c>
      <c r="F4186" s="2">
        <v>0</v>
      </c>
      <c r="G4186" s="2">
        <v>0</v>
      </c>
      <c r="H4186" s="1" t="s">
        <v>0</v>
      </c>
      <c r="I4186" s="2">
        <v>0</v>
      </c>
      <c r="J4186" s="1">
        <v>45915.379490740743</v>
      </c>
    </row>
    <row r="4187" spans="1:10" x14ac:dyDescent="0.2">
      <c r="A4187" s="4" t="s">
        <v>1</v>
      </c>
      <c r="B4187" s="3" t="str">
        <f>HYPERLINK("https://otsuka-europe-crm.veevavault.com/ui/#object/approved_document__v/V5OZ025E82TFUPI", "Spain - HCP Survey Email - June 2025")</f>
        <v>Spain - HCP Survey Email - June 2025</v>
      </c>
      <c r="C4187" s="3" t="str">
        <f>HYPERLINK("https://otsuka-europe-crm.veevavault.com/ui/#object/sent_email__v/VBLZ025E82GN0VR", "SE-000271321")</f>
        <v>SE-000271321</v>
      </c>
      <c r="D4187" s="1">
        <v>45915.379594907405</v>
      </c>
      <c r="E4187" s="2">
        <v>1</v>
      </c>
      <c r="F4187" s="2">
        <v>2</v>
      </c>
      <c r="G4187" s="2">
        <v>0</v>
      </c>
      <c r="H4187" s="1" t="s">
        <v>0</v>
      </c>
      <c r="I4187" s="2">
        <v>0</v>
      </c>
      <c r="J4187" s="1">
        <v>45915.379351851851</v>
      </c>
    </row>
    <row r="4188" spans="1:10" x14ac:dyDescent="0.2">
      <c r="A4188" s="4" t="s">
        <v>1</v>
      </c>
      <c r="B4188" s="3" t="str">
        <f>HYPERLINK("https://otsuka-europe-crm.veevavault.com/ui/#object/approved_document__v/V5OZ025E82TFUPI", "Spain - HCP Survey Email - June 2025")</f>
        <v>Spain - HCP Survey Email - June 2025</v>
      </c>
      <c r="C4188" s="3" t="str">
        <f>HYPERLINK("https://otsuka-europe-crm.veevavault.com/ui/#object/sent_email__v/VBLZ025E82GN0VS", "SE-000271322")</f>
        <v>SE-000271322</v>
      </c>
      <c r="D4188" s="1" t="s">
        <v>0</v>
      </c>
      <c r="E4188" s="2">
        <v>0</v>
      </c>
      <c r="F4188" s="2">
        <v>0</v>
      </c>
      <c r="G4188" s="2">
        <v>0</v>
      </c>
      <c r="H4188" s="1" t="s">
        <v>0</v>
      </c>
      <c r="I4188" s="2">
        <v>0</v>
      </c>
      <c r="J4188" s="1">
        <v>45915.377476851849</v>
      </c>
    </row>
    <row r="4189" spans="1:10" x14ac:dyDescent="0.2">
      <c r="A4189" s="4" t="s">
        <v>1</v>
      </c>
      <c r="B4189" s="3" t="str">
        <f>HYPERLINK("https://otsuka-europe-crm.veevavault.com/ui/#object/approved_document__v/V5OZ025E82TFUPI", "Spain - HCP Survey Email - June 2025")</f>
        <v>Spain - HCP Survey Email - June 2025</v>
      </c>
      <c r="C4189" s="3" t="str">
        <f>HYPERLINK("https://otsuka-europe-crm.veevavault.com/ui/#object/sent_email__v/VBLZ025E82GN0VT", "SE-000271323")</f>
        <v>SE-000271323</v>
      </c>
      <c r="D4189" s="1">
        <v>45939.378055555557</v>
      </c>
      <c r="E4189" s="2">
        <v>1</v>
      </c>
      <c r="F4189" s="2">
        <v>1</v>
      </c>
      <c r="G4189" s="2">
        <v>0</v>
      </c>
      <c r="H4189" s="1" t="s">
        <v>0</v>
      </c>
      <c r="I4189" s="2">
        <v>0</v>
      </c>
      <c r="J4189" s="1">
        <v>45915.378379629627</v>
      </c>
    </row>
    <row r="4190" spans="1:10" x14ac:dyDescent="0.2">
      <c r="A4190" s="4" t="s">
        <v>1</v>
      </c>
      <c r="B4190" s="3" t="str">
        <f>HYPERLINK("https://otsuka-europe-crm.veevavault.com/ui/#object/approved_document__v/V5OZ025E82TFUPI", "Spain - HCP Survey Email - June 2025")</f>
        <v>Spain - HCP Survey Email - June 2025</v>
      </c>
      <c r="C4190" s="3" t="str">
        <f>HYPERLINK("https://otsuka-europe-crm.veevavault.com/ui/#object/sent_email__v/VBLZ025E82GN0VU", "SE-000271324")</f>
        <v>SE-000271324</v>
      </c>
      <c r="D4190" s="1">
        <v>45916.333749999998</v>
      </c>
      <c r="E4190" s="2">
        <v>1</v>
      </c>
      <c r="F4190" s="2">
        <v>1</v>
      </c>
      <c r="G4190" s="2">
        <v>0</v>
      </c>
      <c r="H4190" s="1" t="s">
        <v>0</v>
      </c>
      <c r="I4190" s="2">
        <v>0</v>
      </c>
      <c r="J4190" s="1">
        <v>45915.378912037035</v>
      </c>
    </row>
    <row r="4191" spans="1:10" x14ac:dyDescent="0.2">
      <c r="A4191" s="4" t="s">
        <v>1</v>
      </c>
      <c r="B4191" s="3" t="str">
        <f>HYPERLINK("https://otsuka-europe-crm.veevavault.com/ui/#object/approved_document__v/V5OZ025E82TFUPI", "Spain - HCP Survey Email - June 2025")</f>
        <v>Spain - HCP Survey Email - June 2025</v>
      </c>
      <c r="C4191" s="3" t="str">
        <f>HYPERLINK("https://otsuka-europe-crm.veevavault.com/ui/#object/sent_email__v/VBLZ025E82GN0VV", "SE-000271325")</f>
        <v>SE-000271325</v>
      </c>
      <c r="D4191" s="1">
        <v>45915.38244212963</v>
      </c>
      <c r="E4191" s="2">
        <v>1</v>
      </c>
      <c r="F4191" s="2">
        <v>1</v>
      </c>
      <c r="G4191" s="2">
        <v>0</v>
      </c>
      <c r="H4191" s="1" t="s">
        <v>0</v>
      </c>
      <c r="I4191" s="2">
        <v>0</v>
      </c>
      <c r="J4191" s="1">
        <v>45915.37871527778</v>
      </c>
    </row>
    <row r="4192" spans="1:10" x14ac:dyDescent="0.2">
      <c r="A4192" s="4" t="s">
        <v>1</v>
      </c>
      <c r="B4192" s="3" t="str">
        <f>HYPERLINK("https://otsuka-europe-crm.veevavault.com/ui/#object/approved_document__v/V5OZ025E82TFUPI", "Spain - HCP Survey Email - June 2025")</f>
        <v>Spain - HCP Survey Email - June 2025</v>
      </c>
      <c r="C4192" s="3" t="str">
        <f>HYPERLINK("https://otsuka-europe-crm.veevavault.com/ui/#object/sent_email__v/VBLZ025E82GN0VW", "SE-000271326")</f>
        <v>SE-000271326</v>
      </c>
      <c r="D4192" s="1">
        <v>45915.391261574077</v>
      </c>
      <c r="E4192" s="2">
        <v>1</v>
      </c>
      <c r="F4192" s="2">
        <v>1</v>
      </c>
      <c r="G4192" s="2">
        <v>1</v>
      </c>
      <c r="H4192" s="1">
        <v>45915.391909722224</v>
      </c>
      <c r="I4192" s="2">
        <v>2</v>
      </c>
      <c r="J4192" s="1">
        <v>45915.379120370373</v>
      </c>
    </row>
    <row r="4193" spans="1:10" x14ac:dyDescent="0.2">
      <c r="A4193" s="4" t="s">
        <v>1</v>
      </c>
      <c r="B4193" s="3" t="str">
        <f>HYPERLINK("https://otsuka-europe-crm.veevavault.com/ui/#object/approved_document__v/V5OZ025E82TFUPI", "Spain - HCP Survey Email - June 2025")</f>
        <v>Spain - HCP Survey Email - June 2025</v>
      </c>
      <c r="C4193" s="3" t="str">
        <f>HYPERLINK("https://otsuka-europe-crm.veevavault.com/ui/#object/sent_email__v/VBLZ025E82GN0VX", "SE-000271327")</f>
        <v>SE-000271327</v>
      </c>
      <c r="D4193" s="1" t="s">
        <v>0</v>
      </c>
      <c r="E4193" s="2">
        <v>0</v>
      </c>
      <c r="F4193" s="2">
        <v>0</v>
      </c>
      <c r="G4193" s="2">
        <v>0</v>
      </c>
      <c r="H4193" s="1" t="s">
        <v>0</v>
      </c>
      <c r="I4193" s="2">
        <v>0</v>
      </c>
      <c r="J4193" s="1">
        <v>45915.377997685187</v>
      </c>
    </row>
    <row r="4194" spans="1:10" x14ac:dyDescent="0.2">
      <c r="A4194" s="4" t="s">
        <v>1</v>
      </c>
      <c r="B4194" s="3" t="str">
        <f>HYPERLINK("https://otsuka-europe-crm.veevavault.com/ui/#object/approved_document__v/V5OZ025E82TFUPI", "Spain - HCP Survey Email - June 2025")</f>
        <v>Spain - HCP Survey Email - June 2025</v>
      </c>
      <c r="C4194" s="3" t="str">
        <f>HYPERLINK("https://otsuka-europe-crm.veevavault.com/ui/#object/sent_email__v/VBLZ025E82GN0VY", "SE-000271328")</f>
        <v>SE-000271328</v>
      </c>
      <c r="D4194" s="1" t="s">
        <v>0</v>
      </c>
      <c r="E4194" s="2">
        <v>0</v>
      </c>
      <c r="F4194" s="2">
        <v>0</v>
      </c>
      <c r="G4194" s="2">
        <v>0</v>
      </c>
      <c r="H4194" s="1" t="s">
        <v>0</v>
      </c>
      <c r="I4194" s="2">
        <v>0</v>
      </c>
      <c r="J4194" s="1">
        <v>45915.378298611111</v>
      </c>
    </row>
    <row r="4195" spans="1:10" x14ac:dyDescent="0.2">
      <c r="A4195" s="4" t="s">
        <v>1</v>
      </c>
      <c r="B4195" s="3" t="str">
        <f>HYPERLINK("https://otsuka-europe-crm.veevavault.com/ui/#object/approved_document__v/V5OZ025E82TFUPI", "Spain - HCP Survey Email - June 2025")</f>
        <v>Spain - HCP Survey Email - June 2025</v>
      </c>
      <c r="C4195" s="3" t="str">
        <f>HYPERLINK("https://otsuka-europe-crm.veevavault.com/ui/#object/sent_email__v/VBLZ025E82GN0VZ", "SE-000271329")</f>
        <v>SE-000271329</v>
      </c>
      <c r="D4195" s="1">
        <v>45915.378784722219</v>
      </c>
      <c r="E4195" s="2">
        <v>1</v>
      </c>
      <c r="F4195" s="2">
        <v>1</v>
      </c>
      <c r="G4195" s="2">
        <v>0</v>
      </c>
      <c r="H4195" s="1" t="s">
        <v>0</v>
      </c>
      <c r="I4195" s="2">
        <v>0</v>
      </c>
      <c r="J4195" s="1">
        <v>45915.378136574072</v>
      </c>
    </row>
    <row r="4196" spans="1:10" x14ac:dyDescent="0.2">
      <c r="A4196" s="4" t="s">
        <v>1</v>
      </c>
      <c r="B4196" s="3" t="str">
        <f>HYPERLINK("https://otsuka-europe-crm.veevavault.com/ui/#object/approved_document__v/V5OZ025E82TFUPI", "Spain - HCP Survey Email - June 2025")</f>
        <v>Spain - HCP Survey Email - June 2025</v>
      </c>
      <c r="C4196" s="3" t="str">
        <f>HYPERLINK("https://otsuka-europe-crm.veevavault.com/ui/#object/sent_email__v/VBLZ025E82GN0W0", "SE-000271330")</f>
        <v>SE-000271330</v>
      </c>
      <c r="D4196" s="1">
        <v>45915.44971064815</v>
      </c>
      <c r="E4196" s="2">
        <v>1</v>
      </c>
      <c r="F4196" s="2">
        <v>1</v>
      </c>
      <c r="G4196" s="2">
        <v>0</v>
      </c>
      <c r="H4196" s="1" t="s">
        <v>0</v>
      </c>
      <c r="I4196" s="2">
        <v>0</v>
      </c>
      <c r="J4196" s="1">
        <v>45915.378969907404</v>
      </c>
    </row>
    <row r="4197" spans="1:10" x14ac:dyDescent="0.2">
      <c r="A4197" s="4" t="s">
        <v>1</v>
      </c>
      <c r="B4197" s="3" t="str">
        <f>HYPERLINK("https://otsuka-europe-crm.veevavault.com/ui/#object/approved_document__v/V5OZ025E82TFUPI", "Spain - HCP Survey Email - June 2025")</f>
        <v>Spain - HCP Survey Email - June 2025</v>
      </c>
      <c r="C4197" s="3" t="str">
        <f>HYPERLINK("https://otsuka-europe-crm.veevavault.com/ui/#object/sent_email__v/VBLZ025E82GN0W1", "SE-000271331")</f>
        <v>SE-000271331</v>
      </c>
      <c r="D4197" s="1" t="s">
        <v>0</v>
      </c>
      <c r="E4197" s="2">
        <v>0</v>
      </c>
      <c r="F4197" s="2">
        <v>0</v>
      </c>
      <c r="G4197" s="2">
        <v>0</v>
      </c>
      <c r="H4197" s="1" t="s">
        <v>0</v>
      </c>
      <c r="I4197" s="2">
        <v>0</v>
      </c>
      <c r="J4197" s="1">
        <v>45915.379675925928</v>
      </c>
    </row>
    <row r="4198" spans="1:10" x14ac:dyDescent="0.2">
      <c r="A4198" s="4" t="s">
        <v>1</v>
      </c>
      <c r="B4198" s="3" t="str">
        <f>HYPERLINK("https://otsuka-europe-crm.veevavault.com/ui/#object/approved_document__v/V5OZ025E82TFUPI", "Spain - HCP Survey Email - June 2025")</f>
        <v>Spain - HCP Survey Email - June 2025</v>
      </c>
      <c r="C4198" s="3" t="str">
        <f>HYPERLINK("https://otsuka-europe-crm.veevavault.com/ui/#object/sent_email__v/VBLZ025E82GN0W2", "SE-000271332")</f>
        <v>SE-000271332</v>
      </c>
      <c r="D4198" s="1">
        <v>45915.380196759259</v>
      </c>
      <c r="E4198" s="2">
        <v>1</v>
      </c>
      <c r="F4198" s="2">
        <v>1</v>
      </c>
      <c r="G4198" s="2">
        <v>1</v>
      </c>
      <c r="H4198" s="1">
        <v>45915.380416666667</v>
      </c>
      <c r="I4198" s="2">
        <v>2</v>
      </c>
      <c r="J4198" s="1">
        <v>45915.37945601852</v>
      </c>
    </row>
    <row r="4199" spans="1:10" x14ac:dyDescent="0.2">
      <c r="A4199" s="4" t="s">
        <v>1</v>
      </c>
      <c r="B4199" s="3" t="str">
        <f>HYPERLINK("https://otsuka-europe-crm.veevavault.com/ui/#object/approved_document__v/V5OZ025E82TFUPI", "Spain - HCP Survey Email - June 2025")</f>
        <v>Spain - HCP Survey Email - June 2025</v>
      </c>
      <c r="C4199" s="3" t="str">
        <f>HYPERLINK("https://otsuka-europe-crm.veevavault.com/ui/#object/sent_email__v/VBLZ025E82GN0W3", "SE-000271333")</f>
        <v>SE-000271333</v>
      </c>
      <c r="D4199" s="1" t="s">
        <v>0</v>
      </c>
      <c r="E4199" s="2">
        <v>0</v>
      </c>
      <c r="F4199" s="2">
        <v>0</v>
      </c>
      <c r="G4199" s="2">
        <v>0</v>
      </c>
      <c r="H4199" s="1" t="s">
        <v>0</v>
      </c>
      <c r="I4199" s="2">
        <v>0</v>
      </c>
      <c r="J4199" s="1">
        <v>45915.377465277779</v>
      </c>
    </row>
    <row r="4200" spans="1:10" x14ac:dyDescent="0.2">
      <c r="A4200" s="4" t="s">
        <v>1</v>
      </c>
      <c r="B4200" s="3" t="str">
        <f>HYPERLINK("https://otsuka-europe-crm.veevavault.com/ui/#object/approved_document__v/V5OZ025E82TFUPI", "Spain - HCP Survey Email - June 2025")</f>
        <v>Spain - HCP Survey Email - June 2025</v>
      </c>
      <c r="C4200" s="3" t="str">
        <f>HYPERLINK("https://otsuka-europe-crm.veevavault.com/ui/#object/sent_email__v/VBLZ025E82GN0W4", "SE-000271334")</f>
        <v>SE-000271334</v>
      </c>
      <c r="D4200" s="1" t="s">
        <v>0</v>
      </c>
      <c r="E4200" s="2">
        <v>0</v>
      </c>
      <c r="F4200" s="2">
        <v>0</v>
      </c>
      <c r="G4200" s="2">
        <v>0</v>
      </c>
      <c r="H4200" s="1" t="s">
        <v>0</v>
      </c>
      <c r="I4200" s="2">
        <v>0</v>
      </c>
      <c r="J4200" s="1">
        <v>45915.378298611111</v>
      </c>
    </row>
    <row r="4201" spans="1:10" x14ac:dyDescent="0.2">
      <c r="A4201" s="4" t="s">
        <v>1</v>
      </c>
      <c r="B4201" s="3" t="str">
        <f>HYPERLINK("https://otsuka-europe-crm.veevavault.com/ui/#object/approved_document__v/V5OZ025E82TFUPI", "Spain - HCP Survey Email - June 2025")</f>
        <v>Spain - HCP Survey Email - June 2025</v>
      </c>
      <c r="C4201" s="3" t="str">
        <f>HYPERLINK("https://otsuka-europe-crm.veevavault.com/ui/#object/sent_email__v/VBLZ025E82GN0W5", "SE-000271335")</f>
        <v>SE-000271335</v>
      </c>
      <c r="D4201" s="1" t="s">
        <v>0</v>
      </c>
      <c r="E4201" s="2">
        <v>0</v>
      </c>
      <c r="F4201" s="2">
        <v>0</v>
      </c>
      <c r="G4201" s="2">
        <v>0</v>
      </c>
      <c r="H4201" s="1" t="s">
        <v>0</v>
      </c>
      <c r="I4201" s="2">
        <v>0</v>
      </c>
      <c r="J4201" s="1">
        <v>45915.378761574073</v>
      </c>
    </row>
    <row r="4202" spans="1:10" x14ac:dyDescent="0.2">
      <c r="A4202" s="4" t="s">
        <v>1</v>
      </c>
      <c r="B4202" s="3" t="str">
        <f>HYPERLINK("https://otsuka-europe-crm.veevavault.com/ui/#object/approved_document__v/V5OZ025E82TFUPI", "Spain - HCP Survey Email - June 2025")</f>
        <v>Spain - HCP Survey Email - June 2025</v>
      </c>
      <c r="C4202" s="3" t="str">
        <f>HYPERLINK("https://otsuka-europe-crm.veevavault.com/ui/#object/sent_email__v/VBLZ025E82GN0W6", "SE-000271336")</f>
        <v>SE-000271336</v>
      </c>
      <c r="D4202" s="1" t="s">
        <v>0</v>
      </c>
      <c r="E4202" s="2">
        <v>0</v>
      </c>
      <c r="F4202" s="2">
        <v>0</v>
      </c>
      <c r="G4202" s="2">
        <v>0</v>
      </c>
      <c r="H4202" s="1" t="s">
        <v>0</v>
      </c>
      <c r="I4202" s="2">
        <v>0</v>
      </c>
      <c r="J4202" s="1">
        <v>45915.378831018519</v>
      </c>
    </row>
    <row r="4203" spans="1:10" x14ac:dyDescent="0.2">
      <c r="A4203" s="4" t="s">
        <v>1</v>
      </c>
      <c r="B4203" s="3" t="str">
        <f>HYPERLINK("https://otsuka-europe-crm.veevavault.com/ui/#object/approved_document__v/V5OZ025E82TFUPI", "Spain - HCP Survey Email - June 2025")</f>
        <v>Spain - HCP Survey Email - June 2025</v>
      </c>
      <c r="C4203" s="3" t="str">
        <f>HYPERLINK("https://otsuka-europe-crm.veevavault.com/ui/#object/sent_email__v/VBLZ025E82GN0W7", "SE-000271337")</f>
        <v>SE-000271337</v>
      </c>
      <c r="D4203" s="1" t="s">
        <v>0</v>
      </c>
      <c r="E4203" s="2">
        <v>0</v>
      </c>
      <c r="F4203" s="2">
        <v>0</v>
      </c>
      <c r="G4203" s="2">
        <v>0</v>
      </c>
      <c r="H4203" s="1" t="s">
        <v>0</v>
      </c>
      <c r="I4203" s="2">
        <v>0</v>
      </c>
      <c r="J4203" s="1">
        <v>45915.379282407404</v>
      </c>
    </row>
    <row r="4204" spans="1:10" x14ac:dyDescent="0.2">
      <c r="A4204" s="4" t="s">
        <v>1</v>
      </c>
      <c r="B4204" s="3" t="str">
        <f>HYPERLINK("https://otsuka-europe-crm.veevavault.com/ui/#object/approved_document__v/V5OZ025E82TFUPI", "Spain - HCP Survey Email - June 2025")</f>
        <v>Spain - HCP Survey Email - June 2025</v>
      </c>
      <c r="C4204" s="3" t="str">
        <f>HYPERLINK("https://otsuka-europe-crm.veevavault.com/ui/#object/sent_email__v/VBLZ025E82GN0W8", "SE-000271338")</f>
        <v>SE-000271338</v>
      </c>
      <c r="D4204" s="1" t="s">
        <v>0</v>
      </c>
      <c r="E4204" s="2">
        <v>0</v>
      </c>
      <c r="F4204" s="2">
        <v>0</v>
      </c>
      <c r="G4204" s="2">
        <v>0</v>
      </c>
      <c r="H4204" s="1" t="s">
        <v>0</v>
      </c>
      <c r="I4204" s="2">
        <v>0</v>
      </c>
      <c r="J4204" s="1">
        <v>45915.377939814818</v>
      </c>
    </row>
    <row r="4205" spans="1:10" x14ac:dyDescent="0.2">
      <c r="A4205" s="4" t="s">
        <v>1</v>
      </c>
      <c r="B4205" s="3" t="str">
        <f>HYPERLINK("https://otsuka-europe-crm.veevavault.com/ui/#object/approved_document__v/V5OZ025E82TFUPI", "Spain - HCP Survey Email - June 2025")</f>
        <v>Spain - HCP Survey Email - June 2025</v>
      </c>
      <c r="C4205" s="3" t="str">
        <f>HYPERLINK("https://otsuka-europe-crm.veevavault.com/ui/#object/sent_email__v/VBLZ025E82GN0W9", "SE-000271339")</f>
        <v>SE-000271339</v>
      </c>
      <c r="D4205" s="1" t="s">
        <v>0</v>
      </c>
      <c r="E4205" s="2">
        <v>0</v>
      </c>
      <c r="F4205" s="2">
        <v>0</v>
      </c>
      <c r="G4205" s="2">
        <v>0</v>
      </c>
      <c r="H4205" s="1" t="s">
        <v>0</v>
      </c>
      <c r="I4205" s="2">
        <v>0</v>
      </c>
      <c r="J4205" s="1">
        <v>45915.378321759257</v>
      </c>
    </row>
    <row r="4206" spans="1:10" x14ac:dyDescent="0.2">
      <c r="A4206" s="4" t="s">
        <v>1</v>
      </c>
      <c r="B4206" s="3" t="str">
        <f>HYPERLINK("https://otsuka-europe-crm.veevavault.com/ui/#object/approved_document__v/V5OZ025E82TFUPI", "Spain - HCP Survey Email - June 2025")</f>
        <v>Spain - HCP Survey Email - June 2025</v>
      </c>
      <c r="C4206" s="3" t="str">
        <f>HYPERLINK("https://otsuka-europe-crm.veevavault.com/ui/#object/sent_email__v/VBLZ025E82GN0WA", "SE-000271340")</f>
        <v>SE-000271340</v>
      </c>
      <c r="D4206" s="1" t="s">
        <v>0</v>
      </c>
      <c r="E4206" s="2">
        <v>0</v>
      </c>
      <c r="F4206" s="2">
        <v>0</v>
      </c>
      <c r="G4206" s="2">
        <v>0</v>
      </c>
      <c r="H4206" s="1" t="s">
        <v>0</v>
      </c>
      <c r="I4206" s="2">
        <v>0</v>
      </c>
      <c r="J4206" s="1">
        <v>45915.378078703703</v>
      </c>
    </row>
    <row r="4207" spans="1:10" x14ac:dyDescent="0.2">
      <c r="A4207" s="4" t="s">
        <v>1</v>
      </c>
      <c r="B4207" s="3" t="str">
        <f>HYPERLINK("https://otsuka-europe-crm.veevavault.com/ui/#object/approved_document__v/V5OZ025E82TFUPI", "Spain - HCP Survey Email - June 2025")</f>
        <v>Spain - HCP Survey Email - June 2025</v>
      </c>
      <c r="C4207" s="3" t="str">
        <f>HYPERLINK("https://otsuka-europe-crm.veevavault.com/ui/#object/sent_email__v/VBLZ025E82GN0WB", "SE-000271341")</f>
        <v>SE-000271341</v>
      </c>
      <c r="D4207" s="1" t="s">
        <v>0</v>
      </c>
      <c r="E4207" s="2">
        <v>0</v>
      </c>
      <c r="F4207" s="2">
        <v>0</v>
      </c>
      <c r="G4207" s="2">
        <v>0</v>
      </c>
      <c r="H4207" s="1" t="s">
        <v>0</v>
      </c>
      <c r="I4207" s="2">
        <v>0</v>
      </c>
      <c r="J4207" s="1">
        <v>45915.378912037035</v>
      </c>
    </row>
    <row r="4208" spans="1:10" x14ac:dyDescent="0.2">
      <c r="A4208" s="4" t="s">
        <v>1</v>
      </c>
      <c r="B4208" s="3" t="str">
        <f>HYPERLINK("https://otsuka-europe-crm.veevavault.com/ui/#object/approved_document__v/V5OZ025E82TFUPI", "Spain - HCP Survey Email - June 2025")</f>
        <v>Spain - HCP Survey Email - June 2025</v>
      </c>
      <c r="C4208" s="3" t="str">
        <f>HYPERLINK("https://otsuka-europe-crm.veevavault.com/ui/#object/sent_email__v/VBLZ025E82GN0WC", "SE-000271342")</f>
        <v>SE-000271342</v>
      </c>
      <c r="D4208" s="1">
        <v>45915.443356481483</v>
      </c>
      <c r="E4208" s="2">
        <v>1</v>
      </c>
      <c r="F4208" s="2">
        <v>1</v>
      </c>
      <c r="G4208" s="2">
        <v>0</v>
      </c>
      <c r="H4208" s="1" t="s">
        <v>0</v>
      </c>
      <c r="I4208" s="2">
        <v>0</v>
      </c>
      <c r="J4208" s="1">
        <v>45915.379594907405</v>
      </c>
    </row>
    <row r="4209" spans="1:10" x14ac:dyDescent="0.2">
      <c r="A4209" s="4" t="s">
        <v>1</v>
      </c>
      <c r="B4209" s="3" t="str">
        <f>HYPERLINK("https://otsuka-europe-crm.veevavault.com/ui/#object/approved_document__v/V5OZ025E82TFUPI", "Spain - HCP Survey Email - June 2025")</f>
        <v>Spain - HCP Survey Email - June 2025</v>
      </c>
      <c r="C4209" s="3" t="str">
        <f>HYPERLINK("https://otsuka-europe-crm.veevavault.com/ui/#object/sent_email__v/VBLZ025E82GN0WD", "SE-000271343")</f>
        <v>SE-000271343</v>
      </c>
      <c r="D4209" s="1" t="s">
        <v>0</v>
      </c>
      <c r="E4209" s="2">
        <v>0</v>
      </c>
      <c r="F4209" s="2">
        <v>0</v>
      </c>
      <c r="G4209" s="2">
        <v>0</v>
      </c>
      <c r="H4209" s="1" t="s">
        <v>0</v>
      </c>
      <c r="I4209" s="2">
        <v>0</v>
      </c>
      <c r="J4209" s="1">
        <v>45915.379259259258</v>
      </c>
    </row>
    <row r="4210" spans="1:10" x14ac:dyDescent="0.2">
      <c r="A4210" s="4" t="s">
        <v>1</v>
      </c>
      <c r="B4210" s="3" t="str">
        <f>HYPERLINK("https://otsuka-europe-crm.veevavault.com/ui/#object/approved_document__v/V5OZ025E82TFUPI", "Spain - HCP Survey Email - June 2025")</f>
        <v>Spain - HCP Survey Email - June 2025</v>
      </c>
      <c r="C4210" s="3" t="str">
        <f>HYPERLINK("https://otsuka-europe-crm.veevavault.com/ui/#object/sent_email__v/VBLZ025E82GN0WE", "SE-000271344")</f>
        <v>SE-000271344</v>
      </c>
      <c r="D4210" s="1" t="s">
        <v>0</v>
      </c>
      <c r="E4210" s="2">
        <v>0</v>
      </c>
      <c r="F4210" s="2">
        <v>0</v>
      </c>
      <c r="G4210" s="2">
        <v>0</v>
      </c>
      <c r="H4210" s="1" t="s">
        <v>0</v>
      </c>
      <c r="I4210" s="2">
        <v>0</v>
      </c>
      <c r="J4210" s="1">
        <v>45915.378240740742</v>
      </c>
    </row>
    <row r="4211" spans="1:10" x14ac:dyDescent="0.2">
      <c r="A4211" s="4" t="s">
        <v>1</v>
      </c>
      <c r="B4211" s="3" t="str">
        <f>HYPERLINK("https://otsuka-europe-crm.veevavault.com/ui/#object/approved_document__v/V5OZ025E82TFUPI", "Spain - HCP Survey Email - June 2025")</f>
        <v>Spain - HCP Survey Email - June 2025</v>
      </c>
      <c r="C4211" s="3" t="str">
        <f>HYPERLINK("https://otsuka-europe-crm.veevavault.com/ui/#object/sent_email__v/VBLZ025E82GN0WF", "SE-000271345")</f>
        <v>SE-000271345</v>
      </c>
      <c r="D4211" s="1">
        <v>45915.96435185185</v>
      </c>
      <c r="E4211" s="2">
        <v>1</v>
      </c>
      <c r="F4211" s="2">
        <v>2</v>
      </c>
      <c r="G4211" s="2">
        <v>0</v>
      </c>
      <c r="H4211" s="1" t="s">
        <v>0</v>
      </c>
      <c r="I4211" s="2">
        <v>0</v>
      </c>
      <c r="J4211" s="1">
        <v>45915.378032407411</v>
      </c>
    </row>
    <row r="4212" spans="1:10" x14ac:dyDescent="0.2">
      <c r="A4212" s="4" t="s">
        <v>1</v>
      </c>
      <c r="B4212" s="3" t="str">
        <f>HYPERLINK("https://otsuka-europe-crm.veevavault.com/ui/#object/approved_document__v/V5OZ025E82TFUPI", "Spain - HCP Survey Email - June 2025")</f>
        <v>Spain - HCP Survey Email - June 2025</v>
      </c>
      <c r="C4212" s="3" t="str">
        <f>HYPERLINK("https://otsuka-europe-crm.veevavault.com/ui/#object/sent_email__v/VBLZ025E82GN0WG", "SE-000271346")</f>
        <v>SE-000271346</v>
      </c>
      <c r="D4212" s="1">
        <v>45915.395740740743</v>
      </c>
      <c r="E4212" s="2">
        <v>1</v>
      </c>
      <c r="F4212" s="2">
        <v>1</v>
      </c>
      <c r="G4212" s="2">
        <v>1</v>
      </c>
      <c r="H4212" s="1">
        <v>45915.395902777775</v>
      </c>
      <c r="I4212" s="2">
        <v>2</v>
      </c>
      <c r="J4212" s="1">
        <v>45915.378981481481</v>
      </c>
    </row>
    <row r="4213" spans="1:10" x14ac:dyDescent="0.2">
      <c r="A4213" s="4" t="s">
        <v>1</v>
      </c>
      <c r="B4213" s="3" t="str">
        <f>HYPERLINK("https://otsuka-europe-crm.veevavault.com/ui/#object/approved_document__v/V5OZ025E82TFUPI", "Spain - HCP Survey Email - June 2025")</f>
        <v>Spain - HCP Survey Email - June 2025</v>
      </c>
      <c r="C4213" s="3" t="str">
        <f>HYPERLINK("https://otsuka-europe-crm.veevavault.com/ui/#object/sent_email__v/VBLZ025E82GN0WH", "SE-000271347")</f>
        <v>SE-000271347</v>
      </c>
      <c r="D4213" s="1">
        <v>45915.408310185187</v>
      </c>
      <c r="E4213" s="2">
        <v>1</v>
      </c>
      <c r="F4213" s="2">
        <v>1</v>
      </c>
      <c r="G4213" s="2">
        <v>0</v>
      </c>
      <c r="H4213" s="1" t="s">
        <v>0</v>
      </c>
      <c r="I4213" s="2">
        <v>0</v>
      </c>
      <c r="J4213" s="1">
        <v>45915.37972222222</v>
      </c>
    </row>
    <row r="4214" spans="1:10" x14ac:dyDescent="0.2">
      <c r="A4214" s="4" t="s">
        <v>1</v>
      </c>
      <c r="B4214" s="3" t="str">
        <f>HYPERLINK("https://otsuka-europe-crm.veevavault.com/ui/#object/approved_document__v/V5OZ025E82TFUPI", "Spain - HCP Survey Email - June 2025")</f>
        <v>Spain - HCP Survey Email - June 2025</v>
      </c>
      <c r="C4214" s="3" t="str">
        <f>HYPERLINK("https://otsuka-europe-crm.veevavault.com/ui/#object/sent_email__v/VBLZ025E82GN0WI", "SE-000271348")</f>
        <v>SE-000271348</v>
      </c>
      <c r="D4214" s="1">
        <v>45939.889513888891</v>
      </c>
      <c r="E4214" s="2">
        <v>1</v>
      </c>
      <c r="F4214" s="2">
        <v>8</v>
      </c>
      <c r="G4214" s="2">
        <v>0</v>
      </c>
      <c r="H4214" s="1" t="s">
        <v>0</v>
      </c>
      <c r="I4214" s="2">
        <v>0</v>
      </c>
      <c r="J4214" s="1">
        <v>45915.379479166666</v>
      </c>
    </row>
    <row r="4215" spans="1:10" x14ac:dyDescent="0.2">
      <c r="A4215" s="4" t="s">
        <v>1</v>
      </c>
      <c r="B4215" s="3" t="str">
        <f>HYPERLINK("https://otsuka-europe-crm.veevavault.com/ui/#object/approved_document__v/V5OZ025E82TFUPI", "Spain - HCP Survey Email - June 2025")</f>
        <v>Spain - HCP Survey Email - June 2025</v>
      </c>
      <c r="C4215" s="3" t="str">
        <f>HYPERLINK("https://otsuka-europe-crm.veevavault.com/ui/#object/sent_email__v/VBLZ025E82GN0WJ", "SE-000271349")</f>
        <v>SE-000271349</v>
      </c>
      <c r="D4215" s="1" t="s">
        <v>0</v>
      </c>
      <c r="E4215" s="2">
        <v>0</v>
      </c>
      <c r="F4215" s="2">
        <v>0</v>
      </c>
      <c r="G4215" s="2">
        <v>0</v>
      </c>
      <c r="H4215" s="1" t="s">
        <v>0</v>
      </c>
      <c r="I4215" s="2">
        <v>0</v>
      </c>
      <c r="J4215" s="1">
        <v>45915.377546296295</v>
      </c>
    </row>
    <row r="4216" spans="1:10" x14ac:dyDescent="0.2">
      <c r="A4216" s="4" t="s">
        <v>1</v>
      </c>
      <c r="B4216" s="3" t="str">
        <f>HYPERLINK("https://otsuka-europe-crm.veevavault.com/ui/#object/approved_document__v/V5OZ025E82TFUPI", "Spain - HCP Survey Email - June 2025")</f>
        <v>Spain - HCP Survey Email - June 2025</v>
      </c>
      <c r="C4216" s="3" t="str">
        <f>HYPERLINK("https://otsuka-europe-crm.veevavault.com/ui/#object/sent_email__v/VBLZ025E82GN0WK", "SE-000271350")</f>
        <v>SE-000271350</v>
      </c>
      <c r="D4216" s="1">
        <v>45915.590127314812</v>
      </c>
      <c r="E4216" s="2">
        <v>1</v>
      </c>
      <c r="F4216" s="2">
        <v>1</v>
      </c>
      <c r="G4216" s="2">
        <v>0</v>
      </c>
      <c r="H4216" s="1" t="s">
        <v>0</v>
      </c>
      <c r="I4216" s="2">
        <v>0</v>
      </c>
      <c r="J4216" s="1">
        <v>45915.378495370373</v>
      </c>
    </row>
    <row r="4217" spans="1:10" x14ac:dyDescent="0.2">
      <c r="A4217" s="4" t="s">
        <v>1</v>
      </c>
      <c r="B4217" s="3" t="str">
        <f>HYPERLINK("https://otsuka-europe-crm.veevavault.com/ui/#object/approved_document__v/V5OZ025E82TFUPI", "Spain - HCP Survey Email - June 2025")</f>
        <v>Spain - HCP Survey Email - June 2025</v>
      </c>
      <c r="C4217" s="3" t="str">
        <f>HYPERLINK("https://otsuka-europe-crm.veevavault.com/ui/#object/sent_email__v/VBLZ025E82GN0WL", "SE-000271351")</f>
        <v>SE-000271351</v>
      </c>
      <c r="D4217" s="1">
        <v>45915.436388888891</v>
      </c>
      <c r="E4217" s="2">
        <v>1</v>
      </c>
      <c r="F4217" s="2">
        <v>1</v>
      </c>
      <c r="G4217" s="2">
        <v>1</v>
      </c>
      <c r="H4217" s="1">
        <v>45915.436493055553</v>
      </c>
      <c r="I4217" s="2">
        <v>2</v>
      </c>
      <c r="J4217" s="1">
        <v>45915.37871527778</v>
      </c>
    </row>
    <row r="4218" spans="1:10" x14ac:dyDescent="0.2">
      <c r="A4218" s="4" t="s">
        <v>1</v>
      </c>
      <c r="B4218" s="3" t="str">
        <f>HYPERLINK("https://otsuka-europe-crm.veevavault.com/ui/#object/approved_document__v/V5OZ025E82TFUPI", "Spain - HCP Survey Email - June 2025")</f>
        <v>Spain - HCP Survey Email - June 2025</v>
      </c>
      <c r="C4218" s="3" t="str">
        <f>HYPERLINK("https://otsuka-europe-crm.veevavault.com/ui/#object/sent_email__v/VBLZ025E82GN0WN", "SE-000271353")</f>
        <v>SE-000271353</v>
      </c>
      <c r="D4218" s="1" t="s">
        <v>0</v>
      </c>
      <c r="E4218" s="2">
        <v>0</v>
      </c>
      <c r="F4218" s="2">
        <v>0</v>
      </c>
      <c r="G4218" s="2">
        <v>0</v>
      </c>
      <c r="H4218" s="1" t="s">
        <v>0</v>
      </c>
      <c r="I4218" s="2">
        <v>0</v>
      </c>
      <c r="J4218" s="1">
        <v>45915.379062499997</v>
      </c>
    </row>
    <row r="4219" spans="1:10" x14ac:dyDescent="0.2">
      <c r="A4219" s="4" t="s">
        <v>1</v>
      </c>
      <c r="B4219" s="3" t="str">
        <f>HYPERLINK("https://otsuka-europe-crm.veevavault.com/ui/#object/approved_document__v/V5OZ025E82TFUPI", "Spain - HCP Survey Email - June 2025")</f>
        <v>Spain - HCP Survey Email - June 2025</v>
      </c>
      <c r="C4219" s="3" t="str">
        <f>HYPERLINK("https://otsuka-europe-crm.veevavault.com/ui/#object/sent_email__v/VBLZ025E82GN0WO", "SE-000271354")</f>
        <v>SE-000271354</v>
      </c>
      <c r="D4219" s="1" t="s">
        <v>0</v>
      </c>
      <c r="E4219" s="2">
        <v>0</v>
      </c>
      <c r="F4219" s="2">
        <v>0</v>
      </c>
      <c r="G4219" s="2">
        <v>0</v>
      </c>
      <c r="H4219" s="1" t="s">
        <v>0</v>
      </c>
      <c r="I4219" s="2">
        <v>0</v>
      </c>
      <c r="J4219" s="1">
        <v>45915.377812500003</v>
      </c>
    </row>
    <row r="4220" spans="1:10" x14ac:dyDescent="0.2">
      <c r="A4220" s="4" t="s">
        <v>1</v>
      </c>
      <c r="B4220" s="3" t="str">
        <f>HYPERLINK("https://otsuka-europe-crm.veevavault.com/ui/#object/approved_document__v/V5OZ025E82TFUPI", "Spain - HCP Survey Email - June 2025")</f>
        <v>Spain - HCP Survey Email - June 2025</v>
      </c>
      <c r="C4220" s="3" t="str">
        <f>HYPERLINK("https://otsuka-europe-crm.veevavault.com/ui/#object/sent_email__v/VBLZ025E82GN0WP", "SE-000271355")</f>
        <v>SE-000271355</v>
      </c>
      <c r="D4220" s="1">
        <v>45915.626817129632</v>
      </c>
      <c r="E4220" s="2">
        <v>1</v>
      </c>
      <c r="F4220" s="2">
        <v>2</v>
      </c>
      <c r="G4220" s="2">
        <v>0</v>
      </c>
      <c r="H4220" s="1" t="s">
        <v>0</v>
      </c>
      <c r="I4220" s="2">
        <v>0</v>
      </c>
      <c r="J4220" s="1">
        <v>45915.378275462965</v>
      </c>
    </row>
    <row r="4221" spans="1:10" x14ac:dyDescent="0.2">
      <c r="A4221" s="4" t="s">
        <v>1</v>
      </c>
      <c r="B4221" s="3" t="str">
        <f>HYPERLINK("https://otsuka-europe-crm.veevavault.com/ui/#object/approved_document__v/V5OZ025E82TFUPI", "Spain - HCP Survey Email - June 2025")</f>
        <v>Spain - HCP Survey Email - June 2025</v>
      </c>
      <c r="C4221" s="3" t="str">
        <f>HYPERLINK("https://otsuka-europe-crm.veevavault.com/ui/#object/sent_email__v/VBLZ025E82GN0WQ", "SE-000271356")</f>
        <v>SE-000271356</v>
      </c>
      <c r="D4221" s="1">
        <v>45916.490925925929</v>
      </c>
      <c r="E4221" s="2">
        <v>1</v>
      </c>
      <c r="F4221" s="2">
        <v>2</v>
      </c>
      <c r="G4221" s="2">
        <v>0</v>
      </c>
      <c r="H4221" s="1" t="s">
        <v>0</v>
      </c>
      <c r="I4221" s="2">
        <v>0</v>
      </c>
      <c r="J4221" s="1">
        <v>45915.377962962964</v>
      </c>
    </row>
    <row r="4222" spans="1:10" x14ac:dyDescent="0.2">
      <c r="A4222" s="4" t="s">
        <v>1</v>
      </c>
      <c r="B4222" s="3" t="str">
        <f>HYPERLINK("https://otsuka-europe-crm.veevavault.com/ui/#object/approved_document__v/V5OZ025E82TFUPI", "Spain - HCP Survey Email - June 2025")</f>
        <v>Spain - HCP Survey Email - June 2025</v>
      </c>
      <c r="C4222" s="3" t="str">
        <f>HYPERLINK("https://otsuka-europe-crm.veevavault.com/ui/#object/sent_email__v/VBLZ025E82GN0WR", "SE-000271357")</f>
        <v>SE-000271357</v>
      </c>
      <c r="D4222" s="1">
        <v>45915.448993055557</v>
      </c>
      <c r="E4222" s="2">
        <v>1</v>
      </c>
      <c r="F4222" s="2">
        <v>1</v>
      </c>
      <c r="G4222" s="2">
        <v>0</v>
      </c>
      <c r="H4222" s="1" t="s">
        <v>0</v>
      </c>
      <c r="I4222" s="2">
        <v>0</v>
      </c>
      <c r="J4222" s="1">
        <v>45915.379016203704</v>
      </c>
    </row>
    <row r="4223" spans="1:10" x14ac:dyDescent="0.2">
      <c r="A4223" s="4" t="s">
        <v>1</v>
      </c>
      <c r="B4223" s="3" t="str">
        <f>HYPERLINK("https://otsuka-europe-crm.veevavault.com/ui/#object/approved_document__v/V5OZ025E82TFUPI", "Spain - HCP Survey Email - June 2025")</f>
        <v>Spain - HCP Survey Email - June 2025</v>
      </c>
      <c r="C4223" s="3" t="str">
        <f>HYPERLINK("https://otsuka-europe-crm.veevavault.com/ui/#object/sent_email__v/VBLZ025E82GN0WS", "SE-000271358")</f>
        <v>SE-000271358</v>
      </c>
      <c r="D4223" s="1" t="s">
        <v>0</v>
      </c>
      <c r="E4223" s="2">
        <v>0</v>
      </c>
      <c r="F4223" s="2">
        <v>0</v>
      </c>
      <c r="G4223" s="2">
        <v>0</v>
      </c>
      <c r="H4223" s="1" t="s">
        <v>0</v>
      </c>
      <c r="I4223" s="2">
        <v>0</v>
      </c>
      <c r="J4223" s="1">
        <v>45915.379756944443</v>
      </c>
    </row>
    <row r="4224" spans="1:10" x14ac:dyDescent="0.2">
      <c r="A4224" s="4" t="s">
        <v>1</v>
      </c>
      <c r="B4224" s="3" t="str">
        <f>HYPERLINK("https://otsuka-europe-crm.veevavault.com/ui/#object/approved_document__v/V5OZ025E82TFUPI", "Spain - HCP Survey Email - June 2025")</f>
        <v>Spain - HCP Survey Email - June 2025</v>
      </c>
      <c r="C4224" s="3" t="str">
        <f>HYPERLINK("https://otsuka-europe-crm.veevavault.com/ui/#object/sent_email__v/VBLZ025E82GN0WT", "SE-000271359")</f>
        <v>SE-000271359</v>
      </c>
      <c r="D4224" s="1">
        <v>45915.379791666666</v>
      </c>
      <c r="E4224" s="2">
        <v>1</v>
      </c>
      <c r="F4224" s="2">
        <v>1</v>
      </c>
      <c r="G4224" s="2">
        <v>1</v>
      </c>
      <c r="H4224" s="1">
        <v>45915.380150462966</v>
      </c>
      <c r="I4224" s="2">
        <v>2</v>
      </c>
      <c r="J4224" s="1">
        <v>45915.379490740743</v>
      </c>
    </row>
    <row r="4225" spans="1:10" x14ac:dyDescent="0.2">
      <c r="A4225" s="4" t="s">
        <v>1</v>
      </c>
      <c r="B4225" s="3" t="str">
        <f>HYPERLINK("https://otsuka-europe-crm.veevavault.com/ui/#object/approved_document__v/V5OZ025E82TFUPI", "Spain - HCP Survey Email - June 2025")</f>
        <v>Spain - HCP Survey Email - June 2025</v>
      </c>
      <c r="C4225" s="3" t="str">
        <f>HYPERLINK("https://otsuka-europe-crm.veevavault.com/ui/#object/sent_email__v/VBLZ025E82GN0WU", "SE-000271360")</f>
        <v>SE-000271360</v>
      </c>
      <c r="D4225" s="1">
        <v>45915.884618055556</v>
      </c>
      <c r="E4225" s="2">
        <v>1</v>
      </c>
      <c r="F4225" s="2">
        <v>2</v>
      </c>
      <c r="G4225" s="2">
        <v>1</v>
      </c>
      <c r="H4225" s="1">
        <v>45915.378055555557</v>
      </c>
      <c r="I4225" s="2">
        <v>2</v>
      </c>
      <c r="J4225" s="1">
        <v>45915.377662037034</v>
      </c>
    </row>
    <row r="4226" spans="1:10" x14ac:dyDescent="0.2">
      <c r="A4226" s="4" t="s">
        <v>1</v>
      </c>
      <c r="B4226" s="3" t="str">
        <f>HYPERLINK("https://otsuka-europe-crm.veevavault.com/ui/#object/approved_document__v/V5OZ025E82TFUPI", "Spain - HCP Survey Email - June 2025")</f>
        <v>Spain - HCP Survey Email - June 2025</v>
      </c>
      <c r="C4226" s="3" t="str">
        <f>HYPERLINK("https://otsuka-europe-crm.veevavault.com/ui/#object/sent_email__v/VBLZ025E82GN0WV", "SE-000271361")</f>
        <v>SE-000271361</v>
      </c>
      <c r="D4226" s="1">
        <v>45928.988240740742</v>
      </c>
      <c r="E4226" s="2">
        <v>1</v>
      </c>
      <c r="F4226" s="2">
        <v>2</v>
      </c>
      <c r="G4226" s="2">
        <v>0</v>
      </c>
      <c r="H4226" s="1" t="s">
        <v>0</v>
      </c>
      <c r="I4226" s="2">
        <v>0</v>
      </c>
      <c r="J4226" s="1">
        <v>45915.378587962965</v>
      </c>
    </row>
    <row r="4227" spans="1:10" x14ac:dyDescent="0.2">
      <c r="A4227" s="4" t="s">
        <v>1</v>
      </c>
      <c r="B4227" s="3" t="str">
        <f>HYPERLINK("https://otsuka-europe-crm.veevavault.com/ui/#object/approved_document__v/V5OZ025E82TFUPI", "Spain - HCP Survey Email - June 2025")</f>
        <v>Spain - HCP Survey Email - June 2025</v>
      </c>
      <c r="C4227" s="3" t="str">
        <f>HYPERLINK("https://otsuka-europe-crm.veevavault.com/ui/#object/sent_email__v/VBLZ025E82GN0WW", "SE-000271362")</f>
        <v>SE-000271362</v>
      </c>
      <c r="D4227" s="1">
        <v>45915.504108796296</v>
      </c>
      <c r="E4227" s="2">
        <v>1</v>
      </c>
      <c r="F4227" s="2">
        <v>1</v>
      </c>
      <c r="G4227" s="2">
        <v>0</v>
      </c>
      <c r="H4227" s="1" t="s">
        <v>0</v>
      </c>
      <c r="I4227" s="2">
        <v>0</v>
      </c>
      <c r="J4227" s="1">
        <v>45915.378807870373</v>
      </c>
    </row>
    <row r="4228" spans="1:10" x14ac:dyDescent="0.2">
      <c r="A4228" s="4" t="s">
        <v>1</v>
      </c>
      <c r="B4228" s="3" t="str">
        <f>HYPERLINK("https://otsuka-europe-crm.veevavault.com/ui/#object/approved_document__v/V5OZ025E82TFUPI", "Spain - HCP Survey Email - June 2025")</f>
        <v>Spain - HCP Survey Email - June 2025</v>
      </c>
      <c r="C4228" s="3" t="str">
        <f>HYPERLINK("https://otsuka-europe-crm.veevavault.com/ui/#object/sent_email__v/VBLZ025E82GN0WX", "SE-000271363")</f>
        <v>SE-000271363</v>
      </c>
      <c r="D4228" s="1">
        <v>45916.690983796296</v>
      </c>
      <c r="E4228" s="2">
        <v>1</v>
      </c>
      <c r="F4228" s="2">
        <v>1</v>
      </c>
      <c r="G4228" s="2">
        <v>0</v>
      </c>
      <c r="H4228" s="1" t="s">
        <v>0</v>
      </c>
      <c r="I4228" s="2">
        <v>0</v>
      </c>
      <c r="J4228" s="1">
        <v>45915.378657407404</v>
      </c>
    </row>
    <row r="4229" spans="1:10" x14ac:dyDescent="0.2">
      <c r="A4229" s="4" t="s">
        <v>1</v>
      </c>
      <c r="B4229" s="3" t="str">
        <f>HYPERLINK("https://otsuka-europe-crm.veevavault.com/ui/#object/approved_document__v/V5OZ025E82TFUPI", "Spain - HCP Survey Email - June 2025")</f>
        <v>Spain - HCP Survey Email - June 2025</v>
      </c>
      <c r="C4229" s="3" t="str">
        <f>HYPERLINK("https://otsuka-europe-crm.veevavault.com/ui/#object/sent_email__v/VBLZ025E82GN0WY", "SE-000271364")</f>
        <v>SE-000271364</v>
      </c>
      <c r="D4229" s="1">
        <v>45915.379305555558</v>
      </c>
      <c r="E4229" s="2">
        <v>1</v>
      </c>
      <c r="F4229" s="2">
        <v>1</v>
      </c>
      <c r="G4229" s="2">
        <v>1</v>
      </c>
      <c r="H4229" s="1">
        <v>45915.379664351851</v>
      </c>
      <c r="I4229" s="2">
        <v>2</v>
      </c>
      <c r="J4229" s="1">
        <v>45915.379131944443</v>
      </c>
    </row>
    <row r="4230" spans="1:10" x14ac:dyDescent="0.2">
      <c r="A4230" s="4" t="s">
        <v>1</v>
      </c>
      <c r="B4230" s="3" t="str">
        <f>HYPERLINK("https://otsuka-europe-crm.veevavault.com/ui/#object/approved_document__v/V5OZ025E82TFUPI", "Spain - HCP Survey Email - June 2025")</f>
        <v>Spain - HCP Survey Email - June 2025</v>
      </c>
      <c r="C4230" s="3" t="str">
        <f>HYPERLINK("https://otsuka-europe-crm.veevavault.com/ui/#object/sent_email__v/VBLZ025E82GN0WZ", "SE-000271365")</f>
        <v>SE-000271365</v>
      </c>
      <c r="D4230" s="1">
        <v>45915.91673611111</v>
      </c>
      <c r="E4230" s="2">
        <v>1</v>
      </c>
      <c r="F4230" s="2">
        <v>1</v>
      </c>
      <c r="G4230" s="2">
        <v>0</v>
      </c>
      <c r="H4230" s="1" t="s">
        <v>0</v>
      </c>
      <c r="I4230" s="2">
        <v>0</v>
      </c>
      <c r="J4230" s="1">
        <v>45915.377824074072</v>
      </c>
    </row>
    <row r="4231" spans="1:10" x14ac:dyDescent="0.2">
      <c r="A4231" s="4" t="s">
        <v>1</v>
      </c>
      <c r="B4231" s="3" t="str">
        <f>HYPERLINK("https://otsuka-europe-crm.veevavault.com/ui/#object/approved_document__v/V5OZ025E82TFUPI", "Spain - HCP Survey Email - June 2025")</f>
        <v>Spain - HCP Survey Email - June 2025</v>
      </c>
      <c r="C4231" s="3" t="str">
        <f>HYPERLINK("https://otsuka-europe-crm.veevavault.com/ui/#object/sent_email__v/VBLZ025E82GN0X0", "SE-000271366")</f>
        <v>SE-000271366</v>
      </c>
      <c r="D4231" s="1">
        <v>45915.908206018517</v>
      </c>
      <c r="E4231" s="2">
        <v>1</v>
      </c>
      <c r="F4231" s="2">
        <v>1</v>
      </c>
      <c r="G4231" s="2">
        <v>0</v>
      </c>
      <c r="H4231" s="1" t="s">
        <v>0</v>
      </c>
      <c r="I4231" s="2">
        <v>0</v>
      </c>
      <c r="J4231" s="1">
        <v>45915.378229166665</v>
      </c>
    </row>
    <row r="4232" spans="1:10" x14ac:dyDescent="0.2">
      <c r="A4232" s="4" t="s">
        <v>1</v>
      </c>
      <c r="B4232" s="3" t="str">
        <f>HYPERLINK("https://otsuka-europe-crm.veevavault.com/ui/#object/approved_document__v/V5OZ025E82TFUPI", "Spain - HCP Survey Email - June 2025")</f>
        <v>Spain - HCP Survey Email - June 2025</v>
      </c>
      <c r="C4232" s="3" t="str">
        <f>HYPERLINK("https://otsuka-europe-crm.veevavault.com/ui/#object/sent_email__v/VBLZ025E82GN0X1", "SE-000271367")</f>
        <v>SE-000271367</v>
      </c>
      <c r="D4232" s="1">
        <v>45915.389236111114</v>
      </c>
      <c r="E4232" s="2">
        <v>1</v>
      </c>
      <c r="F4232" s="2">
        <v>1</v>
      </c>
      <c r="G4232" s="2">
        <v>0</v>
      </c>
      <c r="H4232" s="1" t="s">
        <v>0</v>
      </c>
      <c r="I4232" s="2">
        <v>0</v>
      </c>
      <c r="J4232" s="1">
        <v>45915.377951388888</v>
      </c>
    </row>
    <row r="4233" spans="1:10" x14ac:dyDescent="0.2">
      <c r="A4233" s="4" t="s">
        <v>1</v>
      </c>
      <c r="B4233" s="3" t="str">
        <f>HYPERLINK("https://otsuka-europe-crm.veevavault.com/ui/#object/approved_document__v/V5OZ025E82TFUPI", "Spain - HCP Survey Email - June 2025")</f>
        <v>Spain - HCP Survey Email - June 2025</v>
      </c>
      <c r="C4233" s="3" t="str">
        <f>HYPERLINK("https://otsuka-europe-crm.veevavault.com/ui/#object/sent_email__v/VBLZ025E82GN0X2", "SE-000271368")</f>
        <v>SE-000271368</v>
      </c>
      <c r="D4233" s="1">
        <v>45930.472488425927</v>
      </c>
      <c r="E4233" s="2">
        <v>1</v>
      </c>
      <c r="F4233" s="2">
        <v>3</v>
      </c>
      <c r="G4233" s="2">
        <v>1</v>
      </c>
      <c r="H4233" s="1">
        <v>45930.472638888888</v>
      </c>
      <c r="I4233" s="2">
        <v>1</v>
      </c>
      <c r="J4233" s="1">
        <v>45915.379050925927</v>
      </c>
    </row>
    <row r="4234" spans="1:10" x14ac:dyDescent="0.2">
      <c r="A4234" s="4" t="s">
        <v>1</v>
      </c>
      <c r="B4234" s="3" t="str">
        <f>HYPERLINK("https://otsuka-europe-crm.veevavault.com/ui/#object/approved_document__v/V5OZ025E82TFUPI", "Spain - HCP Survey Email - June 2025")</f>
        <v>Spain - HCP Survey Email - June 2025</v>
      </c>
      <c r="C4234" s="3" t="str">
        <f>HYPERLINK("https://otsuka-europe-crm.veevavault.com/ui/#object/sent_email__v/VBLZ025E82GN0X3", "SE-000271369")</f>
        <v>SE-000271369</v>
      </c>
      <c r="D4234" s="1" t="s">
        <v>0</v>
      </c>
      <c r="E4234" s="2">
        <v>0</v>
      </c>
      <c r="F4234" s="2">
        <v>0</v>
      </c>
      <c r="G4234" s="2">
        <v>0</v>
      </c>
      <c r="H4234" s="1" t="s">
        <v>0</v>
      </c>
      <c r="I4234" s="2">
        <v>0</v>
      </c>
      <c r="J4234" s="1">
        <v>45915.379571759258</v>
      </c>
    </row>
    <row r="4235" spans="1:10" x14ac:dyDescent="0.2">
      <c r="A4235" s="4" t="s">
        <v>1</v>
      </c>
      <c r="B4235" s="3" t="str">
        <f>HYPERLINK("https://otsuka-europe-crm.veevavault.com/ui/#object/approved_document__v/V5OZ025E82TFUPI", "Spain - HCP Survey Email - June 2025")</f>
        <v>Spain - HCP Survey Email - June 2025</v>
      </c>
      <c r="C4235" s="3" t="str">
        <f>HYPERLINK("https://otsuka-europe-crm.veevavault.com/ui/#object/sent_email__v/VBLZ025E82GN0X4", "SE-000271370")</f>
        <v>SE-000271370</v>
      </c>
      <c r="D4235" s="1">
        <v>45915.478206018517</v>
      </c>
      <c r="E4235" s="2">
        <v>1</v>
      </c>
      <c r="F4235" s="2">
        <v>2</v>
      </c>
      <c r="G4235" s="2">
        <v>0</v>
      </c>
      <c r="H4235" s="1" t="s">
        <v>0</v>
      </c>
      <c r="I4235" s="2">
        <v>0</v>
      </c>
      <c r="J4235" s="1">
        <v>45915.379305555558</v>
      </c>
    </row>
    <row r="4236" spans="1:10" x14ac:dyDescent="0.2">
      <c r="A4236" s="4" t="s">
        <v>1</v>
      </c>
      <c r="B4236" s="3" t="str">
        <f>HYPERLINK("https://otsuka-europe-crm.veevavault.com/ui/#object/approved_document__v/V5OZ025E82TFUPI", "Spain - HCP Survey Email - June 2025")</f>
        <v>Spain - HCP Survey Email - June 2025</v>
      </c>
      <c r="C4236" s="3" t="str">
        <f>HYPERLINK("https://otsuka-europe-crm.veevavault.com/ui/#object/sent_email__v/VBLZ025E82GN0X5", "SE-000271371")</f>
        <v>SE-000271371</v>
      </c>
      <c r="D4236" s="1" t="s">
        <v>0</v>
      </c>
      <c r="E4236" s="2">
        <v>0</v>
      </c>
      <c r="F4236" s="2">
        <v>0</v>
      </c>
      <c r="G4236" s="2">
        <v>0</v>
      </c>
      <c r="H4236" s="1" t="s">
        <v>0</v>
      </c>
      <c r="I4236" s="2">
        <v>0</v>
      </c>
      <c r="J4236" s="1">
        <v>45915.377395833333</v>
      </c>
    </row>
    <row r="4237" spans="1:10" x14ac:dyDescent="0.2">
      <c r="A4237" s="4" t="s">
        <v>1</v>
      </c>
      <c r="B4237" s="3" t="str">
        <f>HYPERLINK("https://otsuka-europe-crm.veevavault.com/ui/#object/approved_document__v/V5OZ025E82TFUPI", "Spain - HCP Survey Email - June 2025")</f>
        <v>Spain - HCP Survey Email - June 2025</v>
      </c>
      <c r="C4237" s="3" t="str">
        <f>HYPERLINK("https://otsuka-europe-crm.veevavault.com/ui/#object/sent_email__v/VBLZ025E82GN0X6", "SE-000271372")</f>
        <v>SE-000271372</v>
      </c>
      <c r="D4237" s="1" t="s">
        <v>0</v>
      </c>
      <c r="E4237" s="2">
        <v>0</v>
      </c>
      <c r="F4237" s="2">
        <v>0</v>
      </c>
      <c r="G4237" s="2">
        <v>0</v>
      </c>
      <c r="H4237" s="1" t="s">
        <v>0</v>
      </c>
      <c r="I4237" s="2">
        <v>0</v>
      </c>
      <c r="J4237" s="1">
        <v>45915.378333333334</v>
      </c>
    </row>
    <row r="4238" spans="1:10" x14ac:dyDescent="0.2">
      <c r="A4238" s="4" t="s">
        <v>1</v>
      </c>
      <c r="B4238" s="3" t="str">
        <f>HYPERLINK("https://otsuka-europe-crm.veevavault.com/ui/#object/approved_document__v/V5OZ025E82TFUPI", "Spain - HCP Survey Email - June 2025")</f>
        <v>Spain - HCP Survey Email - June 2025</v>
      </c>
      <c r="C4238" s="3" t="str">
        <f>HYPERLINK("https://otsuka-europe-crm.veevavault.com/ui/#object/sent_email__v/VBLZ025E82GN0X7", "SE-000271373")</f>
        <v>SE-000271373</v>
      </c>
      <c r="D4238" s="1" t="s">
        <v>0</v>
      </c>
      <c r="E4238" s="2">
        <v>0</v>
      </c>
      <c r="F4238" s="2">
        <v>0</v>
      </c>
      <c r="G4238" s="2">
        <v>0</v>
      </c>
      <c r="H4238" s="1" t="s">
        <v>0</v>
      </c>
      <c r="I4238" s="2">
        <v>0</v>
      </c>
      <c r="J4238" s="1">
        <v>45915.378946759258</v>
      </c>
    </row>
    <row r="4239" spans="1:10" x14ac:dyDescent="0.2">
      <c r="A4239" s="4" t="s">
        <v>1</v>
      </c>
      <c r="B4239" s="3" t="str">
        <f>HYPERLINK("https://otsuka-europe-crm.veevavault.com/ui/#object/approved_document__v/V5OZ025E82TFUPI", "Spain - HCP Survey Email - June 2025")</f>
        <v>Spain - HCP Survey Email - June 2025</v>
      </c>
      <c r="C4239" s="3" t="str">
        <f>HYPERLINK("https://otsuka-europe-crm.veevavault.com/ui/#object/sent_email__v/VBLZ025E82GN0X8", "SE-000271374")</f>
        <v>SE-000271374</v>
      </c>
      <c r="D4239" s="1" t="s">
        <v>0</v>
      </c>
      <c r="E4239" s="2">
        <v>0</v>
      </c>
      <c r="F4239" s="2">
        <v>0</v>
      </c>
      <c r="G4239" s="2">
        <v>0</v>
      </c>
      <c r="H4239" s="1" t="s">
        <v>0</v>
      </c>
      <c r="I4239" s="2">
        <v>0</v>
      </c>
      <c r="J4239" s="1">
        <v>45915.378854166665</v>
      </c>
    </row>
    <row r="4240" spans="1:10" x14ac:dyDescent="0.2">
      <c r="A4240" s="4" t="s">
        <v>1</v>
      </c>
      <c r="B4240" s="3" t="str">
        <f>HYPERLINK("https://otsuka-europe-crm.veevavault.com/ui/#object/approved_document__v/V5OZ025E82TFUPI", "Spain - HCP Survey Email - June 2025")</f>
        <v>Spain - HCP Survey Email - June 2025</v>
      </c>
      <c r="C4240" s="3" t="str">
        <f>HYPERLINK("https://otsuka-europe-crm.veevavault.com/ui/#object/sent_email__v/VBLZ025E82GN0X9", "SE-000271375")</f>
        <v>SE-000271375</v>
      </c>
      <c r="D4240" s="1" t="s">
        <v>0</v>
      </c>
      <c r="E4240" s="2">
        <v>0</v>
      </c>
      <c r="F4240" s="2">
        <v>0</v>
      </c>
      <c r="G4240" s="2">
        <v>0</v>
      </c>
      <c r="H4240" s="1" t="s">
        <v>0</v>
      </c>
      <c r="I4240" s="2">
        <v>0</v>
      </c>
      <c r="J4240" s="1">
        <v>45915.379224537035</v>
      </c>
    </row>
    <row r="4241" spans="1:10" x14ac:dyDescent="0.2">
      <c r="A4241" s="4" t="s">
        <v>1</v>
      </c>
      <c r="B4241" s="3" t="str">
        <f>HYPERLINK("https://otsuka-europe-crm.veevavault.com/ui/#object/approved_document__v/V5OZ025E82TFUPI", "Spain - HCP Survey Email - June 2025")</f>
        <v>Spain - HCP Survey Email - June 2025</v>
      </c>
      <c r="C4241" s="3" t="str">
        <f>HYPERLINK("https://otsuka-europe-crm.veevavault.com/ui/#object/sent_email__v/VBLZ025E82GN0XA", "SE-000271376")</f>
        <v>SE-000271376</v>
      </c>
      <c r="D4241" s="1" t="s">
        <v>0</v>
      </c>
      <c r="E4241" s="2">
        <v>0</v>
      </c>
      <c r="F4241" s="2">
        <v>0</v>
      </c>
      <c r="G4241" s="2">
        <v>0</v>
      </c>
      <c r="H4241" s="1" t="s">
        <v>0</v>
      </c>
      <c r="I4241" s="2">
        <v>0</v>
      </c>
      <c r="J4241" s="1">
        <v>45915.377835648149</v>
      </c>
    </row>
    <row r="4242" spans="1:10" x14ac:dyDescent="0.2">
      <c r="A4242" s="4" t="s">
        <v>1</v>
      </c>
      <c r="B4242" s="3" t="str">
        <f>HYPERLINK("https://otsuka-europe-crm.veevavault.com/ui/#object/approved_document__v/V5OZ025E82TFUPI", "Spain - HCP Survey Email - June 2025")</f>
        <v>Spain - HCP Survey Email - June 2025</v>
      </c>
      <c r="C4242" s="3" t="str">
        <f>HYPERLINK("https://otsuka-europe-crm.veevavault.com/ui/#object/sent_email__v/VBLZ025E82GN0XB", "SE-000271377")</f>
        <v>SE-000271377</v>
      </c>
      <c r="D4242" s="1" t="s">
        <v>0</v>
      </c>
      <c r="E4242" s="2">
        <v>0</v>
      </c>
      <c r="F4242" s="2">
        <v>0</v>
      </c>
      <c r="G4242" s="2">
        <v>0</v>
      </c>
      <c r="H4242" s="1" t="s">
        <v>0</v>
      </c>
      <c r="I4242" s="2">
        <v>0</v>
      </c>
      <c r="J4242" s="1">
        <v>45915.378240740742</v>
      </c>
    </row>
    <row r="4243" spans="1:10" x14ac:dyDescent="0.2">
      <c r="A4243" s="4" t="s">
        <v>1</v>
      </c>
      <c r="B4243" s="3" t="str">
        <f>HYPERLINK("https://otsuka-europe-crm.veevavault.com/ui/#object/approved_document__v/V5OZ025E82TFUPI", "Spain - HCP Survey Email - June 2025")</f>
        <v>Spain - HCP Survey Email - June 2025</v>
      </c>
      <c r="C4243" s="3" t="str">
        <f>HYPERLINK("https://otsuka-europe-crm.veevavault.com/ui/#object/sent_email__v/VBLZ025E82GN0XC", "SE-000271378")</f>
        <v>SE-000271378</v>
      </c>
      <c r="D4243" s="1">
        <v>45915.559537037036</v>
      </c>
      <c r="E4243" s="2">
        <v>1</v>
      </c>
      <c r="F4243" s="2">
        <v>1</v>
      </c>
      <c r="G4243" s="2">
        <v>0</v>
      </c>
      <c r="H4243" s="1" t="s">
        <v>0</v>
      </c>
      <c r="I4243" s="2">
        <v>0</v>
      </c>
      <c r="J4243" s="1">
        <v>45915.378078703703</v>
      </c>
    </row>
    <row r="4244" spans="1:10" x14ac:dyDescent="0.2">
      <c r="A4244" s="4" t="s">
        <v>1</v>
      </c>
      <c r="B4244" s="3" t="str">
        <f>HYPERLINK("https://otsuka-europe-crm.veevavault.com/ui/#object/approved_document__v/V5OZ025E82TFUPI", "Spain - HCP Survey Email - June 2025")</f>
        <v>Spain - HCP Survey Email - June 2025</v>
      </c>
      <c r="C4244" s="3" t="str">
        <f>HYPERLINK("https://otsuka-europe-crm.veevavault.com/ui/#object/sent_email__v/VBLZ025E82GN0XD", "SE-000271379")</f>
        <v>SE-000271379</v>
      </c>
      <c r="D4244" s="1">
        <v>45936.674722222226</v>
      </c>
      <c r="E4244" s="2">
        <v>1</v>
      </c>
      <c r="F4244" s="2">
        <v>1</v>
      </c>
      <c r="G4244" s="2">
        <v>0</v>
      </c>
      <c r="H4244" s="1" t="s">
        <v>0</v>
      </c>
      <c r="I4244" s="2">
        <v>0</v>
      </c>
      <c r="J4244" s="1">
        <v>45915.378900462965</v>
      </c>
    </row>
    <row r="4245" spans="1:10" x14ac:dyDescent="0.2">
      <c r="A4245" s="4" t="s">
        <v>1</v>
      </c>
      <c r="B4245" s="3" t="str">
        <f>HYPERLINK("https://otsuka-europe-crm.veevavault.com/ui/#object/approved_document__v/V5OZ025E82TFUPI", "Spain - HCP Survey Email - June 2025")</f>
        <v>Spain - HCP Survey Email - June 2025</v>
      </c>
      <c r="C4245" s="3" t="str">
        <f>HYPERLINK("https://otsuka-europe-crm.veevavault.com/ui/#object/sent_email__v/VBLZ025E82GN0XE", "SE-000271380")</f>
        <v>SE-000271380</v>
      </c>
      <c r="D4245" s="1" t="s">
        <v>0</v>
      </c>
      <c r="E4245" s="2">
        <v>0</v>
      </c>
      <c r="F4245" s="2">
        <v>0</v>
      </c>
      <c r="G4245" s="2">
        <v>0</v>
      </c>
      <c r="H4245" s="1" t="s">
        <v>0</v>
      </c>
      <c r="I4245" s="2">
        <v>0</v>
      </c>
      <c r="J4245" s="1">
        <v>45915.377812500003</v>
      </c>
    </row>
    <row r="4246" spans="1:10" x14ac:dyDescent="0.2">
      <c r="A4246" s="4" t="s">
        <v>1</v>
      </c>
      <c r="B4246" s="3" t="str">
        <f>HYPERLINK("https://otsuka-europe-crm.veevavault.com/ui/#object/approved_document__v/V5OZ025E82TFUPI", "Spain - HCP Survey Email - June 2025")</f>
        <v>Spain - HCP Survey Email - June 2025</v>
      </c>
      <c r="C4246" s="3" t="str">
        <f>HYPERLINK("https://otsuka-europe-crm.veevavault.com/ui/#object/sent_email__v/VBLZ025E82GN0XF", "SE-000271381")</f>
        <v>SE-000271381</v>
      </c>
      <c r="D4246" s="1">
        <v>45915.43005787037</v>
      </c>
      <c r="E4246" s="2">
        <v>1</v>
      </c>
      <c r="F4246" s="2">
        <v>1</v>
      </c>
      <c r="G4246" s="2">
        <v>0</v>
      </c>
      <c r="H4246" s="1" t="s">
        <v>0</v>
      </c>
      <c r="I4246" s="2">
        <v>0</v>
      </c>
      <c r="J4246" s="1">
        <v>45915.378206018519</v>
      </c>
    </row>
    <row r="4247" spans="1:10" x14ac:dyDescent="0.2">
      <c r="A4247" s="4" t="s">
        <v>1</v>
      </c>
      <c r="B4247" s="3" t="str">
        <f>HYPERLINK("https://otsuka-europe-crm.veevavault.com/ui/#object/approved_document__v/V5OZ025E82TFUPI", "Spain - HCP Survey Email - June 2025")</f>
        <v>Spain - HCP Survey Email - June 2025</v>
      </c>
      <c r="C4247" s="3" t="str">
        <f>HYPERLINK("https://otsuka-europe-crm.veevavault.com/ui/#object/sent_email__v/VBLZ025E82GN0XG", "SE-000271382")</f>
        <v>SE-000271382</v>
      </c>
      <c r="D4247" s="1">
        <v>45915.640196759261</v>
      </c>
      <c r="E4247" s="2">
        <v>1</v>
      </c>
      <c r="F4247" s="2">
        <v>1</v>
      </c>
      <c r="G4247" s="2">
        <v>0</v>
      </c>
      <c r="H4247" s="1" t="s">
        <v>0</v>
      </c>
      <c r="I4247" s="2">
        <v>0</v>
      </c>
      <c r="J4247" s="1">
        <v>45915.378067129626</v>
      </c>
    </row>
    <row r="4248" spans="1:10" x14ac:dyDescent="0.2">
      <c r="A4248" s="4" t="s">
        <v>1</v>
      </c>
      <c r="B4248" s="3" t="str">
        <f>HYPERLINK("https://otsuka-europe-crm.veevavault.com/ui/#object/approved_document__v/V5OZ025E82TFUPI", "Spain - HCP Survey Email - June 2025")</f>
        <v>Spain - HCP Survey Email - June 2025</v>
      </c>
      <c r="C4248" s="3" t="str">
        <f>HYPERLINK("https://otsuka-europe-crm.veevavault.com/ui/#object/sent_email__v/VBLZ025E82GN0XH", "SE-000271383")</f>
        <v>SE-000271383</v>
      </c>
      <c r="D4248" s="1" t="s">
        <v>0</v>
      </c>
      <c r="E4248" s="2">
        <v>0</v>
      </c>
      <c r="F4248" s="2">
        <v>0</v>
      </c>
      <c r="G4248" s="2">
        <v>0</v>
      </c>
      <c r="H4248" s="1" t="s">
        <v>0</v>
      </c>
      <c r="I4248" s="2">
        <v>0</v>
      </c>
      <c r="J4248" s="1">
        <v>45915.37908564815</v>
      </c>
    </row>
    <row r="4249" spans="1:10" x14ac:dyDescent="0.2">
      <c r="A4249" s="4" t="s">
        <v>1</v>
      </c>
      <c r="B4249" s="3" t="str">
        <f>HYPERLINK("https://otsuka-europe-crm.veevavault.com/ui/#object/approved_document__v/V5OZ025E82TFUPI", "Spain - HCP Survey Email - June 2025")</f>
        <v>Spain - HCP Survey Email - June 2025</v>
      </c>
      <c r="C4249" s="3" t="str">
        <f>HYPERLINK("https://otsuka-europe-crm.veevavault.com/ui/#object/sent_email__v/VBLZ025E82GN0XI", "SE-000271384")</f>
        <v>SE-000271384</v>
      </c>
      <c r="D4249" s="1" t="s">
        <v>0</v>
      </c>
      <c r="E4249" s="2">
        <v>0</v>
      </c>
      <c r="F4249" s="2">
        <v>0</v>
      </c>
      <c r="G4249" s="2">
        <v>0</v>
      </c>
      <c r="H4249" s="1" t="s">
        <v>0</v>
      </c>
      <c r="I4249" s="2">
        <v>0</v>
      </c>
      <c r="J4249" s="1">
        <v>45915.379710648151</v>
      </c>
    </row>
    <row r="4250" spans="1:10" x14ac:dyDescent="0.2">
      <c r="A4250" s="4" t="s">
        <v>1</v>
      </c>
      <c r="B4250" s="3" t="str">
        <f>HYPERLINK("https://otsuka-europe-crm.veevavault.com/ui/#object/approved_document__v/V5OZ025E82TFUPI", "Spain - HCP Survey Email - June 2025")</f>
        <v>Spain - HCP Survey Email - June 2025</v>
      </c>
      <c r="C4250" s="3" t="str">
        <f>HYPERLINK("https://otsuka-europe-crm.veevavault.com/ui/#object/sent_email__v/VBLZ025E82GN0XJ", "SE-000271385")</f>
        <v>SE-000271385</v>
      </c>
      <c r="D4250" s="1">
        <v>45916.37636574074</v>
      </c>
      <c r="E4250" s="2">
        <v>1</v>
      </c>
      <c r="F4250" s="2">
        <v>1</v>
      </c>
      <c r="G4250" s="2">
        <v>0</v>
      </c>
      <c r="H4250" s="1" t="s">
        <v>0</v>
      </c>
      <c r="I4250" s="2">
        <v>0</v>
      </c>
      <c r="J4250" s="1">
        <v>45915.379560185182</v>
      </c>
    </row>
    <row r="4251" spans="1:10" x14ac:dyDescent="0.2">
      <c r="A4251" s="4" t="s">
        <v>1</v>
      </c>
      <c r="B4251" s="3" t="str">
        <f>HYPERLINK("https://otsuka-europe-crm.veevavault.com/ui/#object/approved_document__v/V5OZ025E82TFUPI", "Spain - HCP Survey Email - June 2025")</f>
        <v>Spain - HCP Survey Email - June 2025</v>
      </c>
      <c r="C4251" s="3" t="str">
        <f>HYPERLINK("https://otsuka-europe-crm.veevavault.com/ui/#object/sent_email__v/VBLZ025E82GN0XK", "SE-000271386")</f>
        <v>SE-000271386</v>
      </c>
      <c r="D4251" s="1" t="s">
        <v>0</v>
      </c>
      <c r="E4251" s="2">
        <v>0</v>
      </c>
      <c r="F4251" s="2">
        <v>0</v>
      </c>
      <c r="G4251" s="2">
        <v>0</v>
      </c>
      <c r="H4251" s="1" t="s">
        <v>0</v>
      </c>
      <c r="I4251" s="2">
        <v>0</v>
      </c>
      <c r="J4251" s="1">
        <v>45915.377500000002</v>
      </c>
    </row>
    <row r="4252" spans="1:10" x14ac:dyDescent="0.2">
      <c r="A4252" s="4" t="s">
        <v>1</v>
      </c>
      <c r="B4252" s="3" t="str">
        <f>HYPERLINK("https://otsuka-europe-crm.veevavault.com/ui/#object/approved_document__v/V5OZ025E82TFUPI", "Spain - HCP Survey Email - June 2025")</f>
        <v>Spain - HCP Survey Email - June 2025</v>
      </c>
      <c r="C4252" s="3" t="str">
        <f>HYPERLINK("https://otsuka-europe-crm.veevavault.com/ui/#object/sent_email__v/VBLZ025E82GN0XL", "SE-000271387")</f>
        <v>SE-000271387</v>
      </c>
      <c r="D4252" s="1">
        <v>45916.30908564815</v>
      </c>
      <c r="E4252" s="2">
        <v>1</v>
      </c>
      <c r="F4252" s="2">
        <v>1</v>
      </c>
      <c r="G4252" s="2">
        <v>0</v>
      </c>
      <c r="H4252" s="1" t="s">
        <v>0</v>
      </c>
      <c r="I4252" s="2">
        <v>0</v>
      </c>
      <c r="J4252" s="1">
        <v>45915.378460648149</v>
      </c>
    </row>
    <row r="4253" spans="1:10" x14ac:dyDescent="0.2">
      <c r="A4253" s="4" t="s">
        <v>1</v>
      </c>
      <c r="B4253" s="3" t="str">
        <f>HYPERLINK("https://otsuka-europe-crm.veevavault.com/ui/#object/approved_document__v/V5OZ025E82TFUPI", "Spain - HCP Survey Email - June 2025")</f>
        <v>Spain - HCP Survey Email - June 2025</v>
      </c>
      <c r="C4253" s="3" t="str">
        <f>HYPERLINK("https://otsuka-europe-crm.veevavault.com/ui/#object/sent_email__v/VBLZ025E82GN0XM", "SE-000271388")</f>
        <v>SE-000271388</v>
      </c>
      <c r="D4253" s="1" t="s">
        <v>0</v>
      </c>
      <c r="E4253" s="2">
        <v>0</v>
      </c>
      <c r="F4253" s="2">
        <v>0</v>
      </c>
      <c r="G4253" s="2">
        <v>0</v>
      </c>
      <c r="H4253" s="1" t="s">
        <v>0</v>
      </c>
      <c r="I4253" s="2">
        <v>0</v>
      </c>
      <c r="J4253" s="1">
        <v>45915.378831018519</v>
      </c>
    </row>
    <row r="4254" spans="1:10" x14ac:dyDescent="0.2">
      <c r="A4254" s="4" t="s">
        <v>1</v>
      </c>
      <c r="B4254" s="3" t="str">
        <f>HYPERLINK("https://otsuka-europe-crm.veevavault.com/ui/#object/approved_document__v/V5OZ025E82TFUPI", "Spain - HCP Survey Email - June 2025")</f>
        <v>Spain - HCP Survey Email - June 2025</v>
      </c>
      <c r="C4254" s="3" t="str">
        <f>HYPERLINK("https://otsuka-europe-crm.veevavault.com/ui/#object/sent_email__v/VBLZ025E82GN0XN", "SE-000271389")</f>
        <v>SE-000271389</v>
      </c>
      <c r="D4254" s="1">
        <v>45922.623877314814</v>
      </c>
      <c r="E4254" s="2">
        <v>1</v>
      </c>
      <c r="F4254" s="2">
        <v>5</v>
      </c>
      <c r="G4254" s="2">
        <v>1</v>
      </c>
      <c r="H4254" s="1">
        <v>45915.395300925928</v>
      </c>
      <c r="I4254" s="2">
        <v>2</v>
      </c>
      <c r="J4254" s="1">
        <v>45915.378668981481</v>
      </c>
    </row>
    <row r="4255" spans="1:10" x14ac:dyDescent="0.2">
      <c r="A4255" s="4" t="s">
        <v>1</v>
      </c>
      <c r="B4255" s="3" t="str">
        <f>HYPERLINK("https://otsuka-europe-crm.veevavault.com/ui/#object/approved_document__v/V5OZ025E82TFUPI", "Spain - HCP Survey Email - June 2025")</f>
        <v>Spain - HCP Survey Email - June 2025</v>
      </c>
      <c r="C4255" s="3" t="str">
        <f>HYPERLINK("https://otsuka-europe-crm.veevavault.com/ui/#object/sent_email__v/VBLZ025E82GN0XO", "SE-000271390")</f>
        <v>SE-000271390</v>
      </c>
      <c r="D4255" s="1" t="s">
        <v>0</v>
      </c>
      <c r="E4255" s="2">
        <v>0</v>
      </c>
      <c r="F4255" s="2">
        <v>0</v>
      </c>
      <c r="G4255" s="2">
        <v>0</v>
      </c>
      <c r="H4255" s="1" t="s">
        <v>0</v>
      </c>
      <c r="I4255" s="2">
        <v>0</v>
      </c>
      <c r="J4255" s="1">
        <v>45915.379108796296</v>
      </c>
    </row>
    <row r="4256" spans="1:10" x14ac:dyDescent="0.2">
      <c r="A4256" s="4" t="s">
        <v>1</v>
      </c>
      <c r="B4256" s="3" t="str">
        <f>HYPERLINK("https://otsuka-europe-crm.veevavault.com/ui/#object/approved_document__v/V5OZ025E82TFUPI", "Spain - HCP Survey Email - June 2025")</f>
        <v>Spain - HCP Survey Email - June 2025</v>
      </c>
      <c r="C4256" s="3" t="str">
        <f>HYPERLINK("https://otsuka-europe-crm.veevavault.com/ui/#object/sent_email__v/VBLZ025E82GN0XP", "SE-000271391")</f>
        <v>SE-000271391</v>
      </c>
      <c r="D4256" s="1" t="s">
        <v>0</v>
      </c>
      <c r="E4256" s="2">
        <v>0</v>
      </c>
      <c r="F4256" s="2">
        <v>0</v>
      </c>
      <c r="G4256" s="2">
        <v>0</v>
      </c>
      <c r="H4256" s="1" t="s">
        <v>0</v>
      </c>
      <c r="I4256" s="2">
        <v>0</v>
      </c>
      <c r="J4256" s="1">
        <v>45915.377847222226</v>
      </c>
    </row>
    <row r="4257" spans="1:10" x14ac:dyDescent="0.2">
      <c r="A4257" s="4" t="s">
        <v>1</v>
      </c>
      <c r="B4257" s="3" t="str">
        <f>HYPERLINK("https://otsuka-europe-crm.veevavault.com/ui/#object/approved_document__v/V5OZ025E82TFUPI", "Spain - HCP Survey Email - June 2025")</f>
        <v>Spain - HCP Survey Email - June 2025</v>
      </c>
      <c r="C4257" s="3" t="str">
        <f>HYPERLINK("https://otsuka-europe-crm.veevavault.com/ui/#object/sent_email__v/VBLZ025E82GN0XQ", "SE-000271392")</f>
        <v>SE-000271392</v>
      </c>
      <c r="D4257" s="1">
        <v>45915.737592592595</v>
      </c>
      <c r="E4257" s="2">
        <v>1</v>
      </c>
      <c r="F4257" s="2">
        <v>3</v>
      </c>
      <c r="G4257" s="2">
        <v>1</v>
      </c>
      <c r="H4257" s="1">
        <v>45915.738055555557</v>
      </c>
      <c r="I4257" s="2">
        <v>1</v>
      </c>
      <c r="J4257" s="1">
        <v>45915.378194444442</v>
      </c>
    </row>
    <row r="4258" spans="1:10" x14ac:dyDescent="0.2">
      <c r="A4258" s="4" t="s">
        <v>1</v>
      </c>
      <c r="B4258" s="3" t="str">
        <f>HYPERLINK("https://otsuka-europe-crm.veevavault.com/ui/#object/approved_document__v/V5OZ025E82TFUPI", "Spain - HCP Survey Email - June 2025")</f>
        <v>Spain - HCP Survey Email - June 2025</v>
      </c>
      <c r="C4258" s="3" t="str">
        <f>HYPERLINK("https://otsuka-europe-crm.veevavault.com/ui/#object/sent_email__v/VBLZ025E82GN0XR", "SE-000271393")</f>
        <v>SE-000271393</v>
      </c>
      <c r="D4258" s="1" t="s">
        <v>0</v>
      </c>
      <c r="E4258" s="2">
        <v>0</v>
      </c>
      <c r="F4258" s="2">
        <v>0</v>
      </c>
      <c r="G4258" s="2">
        <v>0</v>
      </c>
      <c r="H4258" s="1" t="s">
        <v>0</v>
      </c>
      <c r="I4258" s="2">
        <v>0</v>
      </c>
      <c r="J4258" s="1">
        <v>45915.378032407411</v>
      </c>
    </row>
    <row r="4259" spans="1:10" x14ac:dyDescent="0.2">
      <c r="A4259" s="4" t="s">
        <v>1</v>
      </c>
      <c r="B4259" s="3" t="str">
        <f>HYPERLINK("https://otsuka-europe-crm.veevavault.com/ui/#object/approved_document__v/V5OZ025E82TFUPI", "Spain - HCP Survey Email - June 2025")</f>
        <v>Spain - HCP Survey Email - June 2025</v>
      </c>
      <c r="C4259" s="3" t="str">
        <f>HYPERLINK("https://otsuka-europe-crm.veevavault.com/ui/#object/sent_email__v/VBLZ025E82GN0XS", "SE-000271394")</f>
        <v>SE-000271394</v>
      </c>
      <c r="D4259" s="1" t="s">
        <v>0</v>
      </c>
      <c r="E4259" s="2">
        <v>0</v>
      </c>
      <c r="F4259" s="2">
        <v>0</v>
      </c>
      <c r="G4259" s="2">
        <v>0</v>
      </c>
      <c r="H4259" s="1" t="s">
        <v>0</v>
      </c>
      <c r="I4259" s="2">
        <v>0</v>
      </c>
      <c r="J4259" s="1">
        <v>45915.378946759258</v>
      </c>
    </row>
    <row r="4260" spans="1:10" x14ac:dyDescent="0.2">
      <c r="A4260" s="4" t="s">
        <v>1</v>
      </c>
      <c r="B4260" s="3" t="str">
        <f>HYPERLINK("https://otsuka-europe-crm.veevavault.com/ui/#object/approved_document__v/V5OZ025E82TFUPI", "Spain - HCP Survey Email - June 2025")</f>
        <v>Spain - HCP Survey Email - June 2025</v>
      </c>
      <c r="C4260" s="3" t="str">
        <f>HYPERLINK("https://otsuka-europe-crm.veevavault.com/ui/#object/sent_email__v/VBLZ025E82GN0XT", "SE-000271395")</f>
        <v>SE-000271395</v>
      </c>
      <c r="D4260" s="1">
        <v>45915.452881944446</v>
      </c>
      <c r="E4260" s="2">
        <v>1</v>
      </c>
      <c r="F4260" s="2">
        <v>1</v>
      </c>
      <c r="G4260" s="2">
        <v>1</v>
      </c>
      <c r="H4260" s="1">
        <v>45915.578368055554</v>
      </c>
      <c r="I4260" s="2">
        <v>2</v>
      </c>
      <c r="J4260" s="1">
        <v>45915.379675925928</v>
      </c>
    </row>
    <row r="4261" spans="1:10" x14ac:dyDescent="0.2">
      <c r="A4261" s="4" t="s">
        <v>1</v>
      </c>
      <c r="B4261" s="3" t="str">
        <f>HYPERLINK("https://otsuka-europe-crm.veevavault.com/ui/#object/approved_document__v/V5OZ025E82TFUPI", "Spain - HCP Survey Email - June 2025")</f>
        <v>Spain - HCP Survey Email - June 2025</v>
      </c>
      <c r="C4261" s="3" t="str">
        <f>HYPERLINK("https://otsuka-europe-crm.veevavault.com/ui/#object/sent_email__v/VBLZ025E82GN0XU", "SE-000271396")</f>
        <v>SE-000271396</v>
      </c>
      <c r="D4261" s="1">
        <v>45915.925763888888</v>
      </c>
      <c r="E4261" s="2">
        <v>1</v>
      </c>
      <c r="F4261" s="2">
        <v>2</v>
      </c>
      <c r="G4261" s="2">
        <v>1</v>
      </c>
      <c r="H4261" s="1">
        <v>45915.926041666666</v>
      </c>
      <c r="I4261" s="2">
        <v>1</v>
      </c>
      <c r="J4261" s="1">
        <v>45915.37945601852</v>
      </c>
    </row>
    <row r="4262" spans="1:10" x14ac:dyDescent="0.2">
      <c r="A4262" s="4" t="s">
        <v>1</v>
      </c>
      <c r="B4262" s="3" t="str">
        <f>HYPERLINK("https://otsuka-europe-crm.veevavault.com/ui/#object/approved_document__v/V5OZ025E82TFUPI", "Spain - HCP Survey Email - June 2025")</f>
        <v>Spain - HCP Survey Email - June 2025</v>
      </c>
      <c r="C4262" s="3" t="str">
        <f>HYPERLINK("https://otsuka-europe-crm.veevavault.com/ui/#object/sent_email__v/VBLZ025E82GN0XV", "SE-000271397")</f>
        <v>SE-000271397</v>
      </c>
      <c r="D4262" s="1" t="s">
        <v>0</v>
      </c>
      <c r="E4262" s="2">
        <v>0</v>
      </c>
      <c r="F4262" s="2">
        <v>0</v>
      </c>
      <c r="G4262" s="2">
        <v>0</v>
      </c>
      <c r="H4262" s="1" t="s">
        <v>0</v>
      </c>
      <c r="I4262" s="2">
        <v>0</v>
      </c>
      <c r="J4262" s="1">
        <v>45915.377546296295</v>
      </c>
    </row>
    <row r="4263" spans="1:10" x14ac:dyDescent="0.2">
      <c r="A4263" s="4" t="s">
        <v>1</v>
      </c>
      <c r="B4263" s="3" t="str">
        <f>HYPERLINK("https://otsuka-europe-crm.veevavault.com/ui/#object/approved_document__v/V5OZ025E82TFUPI", "Spain - HCP Survey Email - June 2025")</f>
        <v>Spain - HCP Survey Email - June 2025</v>
      </c>
      <c r="C4263" s="3" t="str">
        <f>HYPERLINK("https://otsuka-europe-crm.veevavault.com/ui/#object/sent_email__v/VBLZ025E82GN0XW", "SE-000271398")</f>
        <v>SE-000271398</v>
      </c>
      <c r="D4263" s="1">
        <v>45915.627326388887</v>
      </c>
      <c r="E4263" s="2">
        <v>1</v>
      </c>
      <c r="F4263" s="2">
        <v>1</v>
      </c>
      <c r="G4263" s="2">
        <v>1</v>
      </c>
      <c r="H4263" s="1">
        <v>45915.628136574072</v>
      </c>
      <c r="I4263" s="2">
        <v>2</v>
      </c>
      <c r="J4263" s="1">
        <v>45915.378495370373</v>
      </c>
    </row>
    <row r="4264" spans="1:10" x14ac:dyDescent="0.2">
      <c r="A4264" s="4" t="s">
        <v>1</v>
      </c>
      <c r="B4264" s="3" t="str">
        <f>HYPERLINK("https://otsuka-europe-crm.veevavault.com/ui/#object/approved_document__v/V5OZ025E82TFUPI", "Spain - HCP Survey Email - June 2025")</f>
        <v>Spain - HCP Survey Email - June 2025</v>
      </c>
      <c r="C4264" s="3" t="str">
        <f>HYPERLINK("https://otsuka-europe-crm.veevavault.com/ui/#object/sent_email__v/VBLZ025E82GN0XX", "SE-000271399")</f>
        <v>SE-000271399</v>
      </c>
      <c r="D4264" s="1">
        <v>45915.382708333331</v>
      </c>
      <c r="E4264" s="2">
        <v>1</v>
      </c>
      <c r="F4264" s="2">
        <v>1</v>
      </c>
      <c r="G4264" s="2">
        <v>0</v>
      </c>
      <c r="H4264" s="1" t="s">
        <v>0</v>
      </c>
      <c r="I4264" s="2">
        <v>0</v>
      </c>
      <c r="J4264" s="1">
        <v>45915.378854166665</v>
      </c>
    </row>
    <row r="4265" spans="1:10" x14ac:dyDescent="0.2">
      <c r="A4265" s="4" t="s">
        <v>1</v>
      </c>
      <c r="B4265" s="3" t="str">
        <f>HYPERLINK("https://otsuka-europe-crm.veevavault.com/ui/#object/approved_document__v/V5OZ025E82TFUPI", "Spain - HCP Survey Email - June 2025")</f>
        <v>Spain - HCP Survey Email - June 2025</v>
      </c>
      <c r="C4265" s="3" t="str">
        <f>HYPERLINK("https://otsuka-europe-crm.veevavault.com/ui/#object/sent_email__v/VBLZ025E82GN0XY", "SE-000271400")</f>
        <v>SE-000271400</v>
      </c>
      <c r="D4265" s="1" t="s">
        <v>0</v>
      </c>
      <c r="E4265" s="2">
        <v>0</v>
      </c>
      <c r="F4265" s="2">
        <v>0</v>
      </c>
      <c r="G4265" s="2">
        <v>0</v>
      </c>
      <c r="H4265" s="1" t="s">
        <v>0</v>
      </c>
      <c r="I4265" s="2">
        <v>0</v>
      </c>
      <c r="J4265" s="1">
        <v>45915.378634259258</v>
      </c>
    </row>
    <row r="4266" spans="1:10" x14ac:dyDescent="0.2">
      <c r="A4266" s="4" t="s">
        <v>1</v>
      </c>
      <c r="B4266" s="3" t="str">
        <f>HYPERLINK("https://otsuka-europe-crm.veevavault.com/ui/#object/approved_document__v/V5OZ025E82TFUPI", "Spain - HCP Survey Email - June 2025")</f>
        <v>Spain - HCP Survey Email - June 2025</v>
      </c>
      <c r="C4266" s="3" t="str">
        <f>HYPERLINK("https://otsuka-europe-crm.veevavault.com/ui/#object/sent_email__v/VBLZ025E82GN0XZ", "SE-000271401")</f>
        <v>SE-000271401</v>
      </c>
      <c r="D4266" s="1">
        <v>45915.379120370373</v>
      </c>
      <c r="E4266" s="2">
        <v>1</v>
      </c>
      <c r="F4266" s="2">
        <v>1</v>
      </c>
      <c r="G4266" s="2">
        <v>0</v>
      </c>
      <c r="H4266" s="1" t="s">
        <v>0</v>
      </c>
      <c r="I4266" s="2">
        <v>0</v>
      </c>
      <c r="J4266" s="1">
        <v>45915.379050925927</v>
      </c>
    </row>
    <row r="4267" spans="1:10" x14ac:dyDescent="0.2">
      <c r="A4267" s="4" t="s">
        <v>1</v>
      </c>
      <c r="B4267" s="3" t="str">
        <f>HYPERLINK("https://otsuka-europe-crm.veevavault.com/ui/#object/approved_document__v/V5OZ025E82TFUPI", "Spain - HCP Survey Email - June 2025")</f>
        <v>Spain - HCP Survey Email - June 2025</v>
      </c>
      <c r="C4267" s="3" t="str">
        <f>HYPERLINK("https://otsuka-europe-crm.veevavault.com/ui/#object/sent_email__v/VBLZ025E82GN0Y0", "SE-000271402")</f>
        <v>SE-000271402</v>
      </c>
      <c r="D4267" s="1" t="s">
        <v>0</v>
      </c>
      <c r="E4267" s="2">
        <v>0</v>
      </c>
      <c r="F4267" s="2">
        <v>0</v>
      </c>
      <c r="G4267" s="2">
        <v>0</v>
      </c>
      <c r="H4267" s="1" t="s">
        <v>0</v>
      </c>
      <c r="I4267" s="2">
        <v>0</v>
      </c>
      <c r="J4267" s="1">
        <v>45915.377800925926</v>
      </c>
    </row>
    <row r="4268" spans="1:10" x14ac:dyDescent="0.2">
      <c r="A4268" s="4" t="s">
        <v>1</v>
      </c>
      <c r="B4268" s="3" t="str">
        <f>HYPERLINK("https://otsuka-europe-crm.veevavault.com/ui/#object/approved_document__v/V5OZ025E82TFUPI", "Spain - HCP Survey Email - June 2025")</f>
        <v>Spain - HCP Survey Email - June 2025</v>
      </c>
      <c r="C4268" s="3" t="str">
        <f>HYPERLINK("https://otsuka-europe-crm.veevavault.com/ui/#object/sent_email__v/VBLZ025E82GN0Y1", "SE-000271403")</f>
        <v>SE-000271403</v>
      </c>
      <c r="D4268" s="1" t="s">
        <v>0</v>
      </c>
      <c r="E4268" s="2">
        <v>0</v>
      </c>
      <c r="F4268" s="2">
        <v>0</v>
      </c>
      <c r="G4268" s="2">
        <v>0</v>
      </c>
      <c r="H4268" s="1" t="s">
        <v>0</v>
      </c>
      <c r="I4268" s="2">
        <v>0</v>
      </c>
      <c r="J4268" s="1">
        <v>45915.378240740742</v>
      </c>
    </row>
    <row r="4269" spans="1:10" x14ac:dyDescent="0.2">
      <c r="A4269" s="4" t="s">
        <v>1</v>
      </c>
      <c r="B4269" s="3" t="str">
        <f>HYPERLINK("https://otsuka-europe-crm.veevavault.com/ui/#object/approved_document__v/V5OZ025E82TFUPI", "Spain - HCP Survey Email - June 2025")</f>
        <v>Spain - HCP Survey Email - June 2025</v>
      </c>
      <c r="C4269" s="3" t="str">
        <f>HYPERLINK("https://otsuka-europe-crm.veevavault.com/ui/#object/sent_email__v/VBLZ025E82GN0Y2", "SE-000271404")</f>
        <v>SE-000271404</v>
      </c>
      <c r="D4269" s="1" t="s">
        <v>0</v>
      </c>
      <c r="E4269" s="2">
        <v>0</v>
      </c>
      <c r="F4269" s="2">
        <v>0</v>
      </c>
      <c r="G4269" s="2">
        <v>0</v>
      </c>
      <c r="H4269" s="1" t="s">
        <v>0</v>
      </c>
      <c r="I4269" s="2">
        <v>0</v>
      </c>
      <c r="J4269" s="1">
        <v>45915.377997685187</v>
      </c>
    </row>
    <row r="4270" spans="1:10" x14ac:dyDescent="0.2">
      <c r="A4270" s="4" t="s">
        <v>1</v>
      </c>
      <c r="B4270" s="3" t="str">
        <f>HYPERLINK("https://otsuka-europe-crm.veevavault.com/ui/#object/approved_document__v/V5OZ025E82TFUPI", "Spain - HCP Survey Email - June 2025")</f>
        <v>Spain - HCP Survey Email - June 2025</v>
      </c>
      <c r="C4270" s="3" t="str">
        <f>HYPERLINK("https://otsuka-europe-crm.veevavault.com/ui/#object/sent_email__v/VBLZ025E82GN0Y3", "SE-000271405")</f>
        <v>SE-000271405</v>
      </c>
      <c r="D4270" s="1">
        <v>45915.578634259262</v>
      </c>
      <c r="E4270" s="2">
        <v>1</v>
      </c>
      <c r="F4270" s="2">
        <v>1</v>
      </c>
      <c r="G4270" s="2">
        <v>1</v>
      </c>
      <c r="H4270" s="1">
        <v>45915.579062500001</v>
      </c>
      <c r="I4270" s="2">
        <v>1</v>
      </c>
      <c r="J4270" s="1">
        <v>45915.378969907404</v>
      </c>
    </row>
    <row r="4271" spans="1:10" x14ac:dyDescent="0.2">
      <c r="A4271" s="4" t="s">
        <v>1</v>
      </c>
      <c r="B4271" s="3" t="str">
        <f>HYPERLINK("https://otsuka-europe-crm.veevavault.com/ui/#object/approved_document__v/V5OZ025E82TFUPI", "Spain - HCP Survey Email - June 2025")</f>
        <v>Spain - HCP Survey Email - June 2025</v>
      </c>
      <c r="C4271" s="3" t="str">
        <f>HYPERLINK("https://otsuka-europe-crm.veevavault.com/ui/#object/sent_email__v/VBLZ025E82GN0Y4", "SE-000271406")</f>
        <v>SE-000271406</v>
      </c>
      <c r="D4271" s="1">
        <v>45915.526354166665</v>
      </c>
      <c r="E4271" s="2">
        <v>1</v>
      </c>
      <c r="F4271" s="2">
        <v>2</v>
      </c>
      <c r="G4271" s="2">
        <v>0</v>
      </c>
      <c r="H4271" s="1" t="s">
        <v>0</v>
      </c>
      <c r="I4271" s="2">
        <v>0</v>
      </c>
      <c r="J4271" s="1">
        <v>45915.379027777781</v>
      </c>
    </row>
    <row r="4272" spans="1:10" x14ac:dyDescent="0.2">
      <c r="A4272" s="4" t="s">
        <v>1</v>
      </c>
      <c r="B4272" s="3" t="str">
        <f>HYPERLINK("https://otsuka-europe-crm.veevavault.com/ui/#object/approved_document__v/V5OZ025E82TFUPI", "Spain - HCP Survey Email - June 2025")</f>
        <v>Spain - HCP Survey Email - June 2025</v>
      </c>
      <c r="C4272" s="3" t="str">
        <f>HYPERLINK("https://otsuka-europe-crm.veevavault.com/ui/#object/sent_email__v/VBLZ025E82GN0Y5", "SE-000271407")</f>
        <v>SE-000271407</v>
      </c>
      <c r="D4272" s="1">
        <v>45915.551076388889</v>
      </c>
      <c r="E4272" s="2">
        <v>1</v>
      </c>
      <c r="F4272" s="2">
        <v>1</v>
      </c>
      <c r="G4272" s="2">
        <v>0</v>
      </c>
      <c r="H4272" s="1" t="s">
        <v>0</v>
      </c>
      <c r="I4272" s="2">
        <v>0</v>
      </c>
      <c r="J4272" s="1">
        <v>45915.377858796295</v>
      </c>
    </row>
    <row r="4273" spans="1:10" x14ac:dyDescent="0.2">
      <c r="A4273" s="4" t="s">
        <v>1</v>
      </c>
      <c r="B4273" s="3" t="str">
        <f>HYPERLINK("https://otsuka-europe-crm.veevavault.com/ui/#object/approved_document__v/V5OZ025E82TFUPI", "Spain - HCP Survey Email - June 2025")</f>
        <v>Spain - HCP Survey Email - June 2025</v>
      </c>
      <c r="C4273" s="3" t="str">
        <f>HYPERLINK("https://otsuka-europe-crm.veevavault.com/ui/#object/sent_email__v/VBLZ025E82GN0Y6", "SE-000271408")</f>
        <v>SE-000271408</v>
      </c>
      <c r="D4273" s="1">
        <v>45915.382662037038</v>
      </c>
      <c r="E4273" s="2">
        <v>1</v>
      </c>
      <c r="F4273" s="2">
        <v>3</v>
      </c>
      <c r="G4273" s="2">
        <v>0</v>
      </c>
      <c r="H4273" s="1" t="s">
        <v>0</v>
      </c>
      <c r="I4273" s="2">
        <v>0</v>
      </c>
      <c r="J4273" s="1">
        <v>45915.378240740742</v>
      </c>
    </row>
    <row r="4274" spans="1:10" x14ac:dyDescent="0.2">
      <c r="A4274" s="4" t="s">
        <v>1</v>
      </c>
      <c r="B4274" s="3" t="str">
        <f>HYPERLINK("https://otsuka-europe-crm.veevavault.com/ui/#object/approved_document__v/V5OZ025E82TFUPI", "Spain - HCP Survey Email - June 2025")</f>
        <v>Spain - HCP Survey Email - June 2025</v>
      </c>
      <c r="C4274" s="3" t="str">
        <f>HYPERLINK("https://otsuka-europe-crm.veevavault.com/ui/#object/sent_email__v/VBLZ025E82GN0Y7", "SE-000271409")</f>
        <v>SE-000271409</v>
      </c>
      <c r="D4274" s="1">
        <v>45915.644629629627</v>
      </c>
      <c r="E4274" s="2">
        <v>1</v>
      </c>
      <c r="F4274" s="2">
        <v>1</v>
      </c>
      <c r="G4274" s="2">
        <v>0</v>
      </c>
      <c r="H4274" s="1" t="s">
        <v>0</v>
      </c>
      <c r="I4274" s="2">
        <v>0</v>
      </c>
      <c r="J4274" s="1">
        <v>45915.377974537034</v>
      </c>
    </row>
    <row r="4275" spans="1:10" x14ac:dyDescent="0.2">
      <c r="A4275" s="4" t="s">
        <v>1</v>
      </c>
      <c r="B4275" s="3" t="str">
        <f>HYPERLINK("https://otsuka-europe-crm.veevavault.com/ui/#object/approved_document__v/V5OZ025E82TFUPI", "Spain - HCP Survey Email - June 2025")</f>
        <v>Spain - HCP Survey Email - June 2025</v>
      </c>
      <c r="C4275" s="3" t="str">
        <f>HYPERLINK("https://otsuka-europe-crm.veevavault.com/ui/#object/sent_email__v/VBLZ025E82GN0Y8", "SE-000271410")</f>
        <v>SE-000271410</v>
      </c>
      <c r="D4275" s="1">
        <v>45921.636192129627</v>
      </c>
      <c r="E4275" s="2">
        <v>1</v>
      </c>
      <c r="F4275" s="2">
        <v>1</v>
      </c>
      <c r="G4275" s="2">
        <v>0</v>
      </c>
      <c r="H4275" s="1" t="s">
        <v>0</v>
      </c>
      <c r="I4275" s="2">
        <v>0</v>
      </c>
      <c r="J4275" s="1">
        <v>45915.37903935185</v>
      </c>
    </row>
    <row r="4276" spans="1:10" x14ac:dyDescent="0.2">
      <c r="A4276" s="4" t="s">
        <v>1</v>
      </c>
      <c r="B4276" s="3" t="str">
        <f>HYPERLINK("https://otsuka-europe-crm.veevavault.com/ui/#object/approved_document__v/V5OZ025E82TFUPI", "Spain - HCP Survey Email - June 2025")</f>
        <v>Spain - HCP Survey Email - June 2025</v>
      </c>
      <c r="C4276" s="3" t="str">
        <f>HYPERLINK("https://otsuka-europe-crm.veevavault.com/ui/#object/sent_email__v/VBLZ025E82GN0Y9", "SE-000271411")</f>
        <v>SE-000271411</v>
      </c>
      <c r="D4276" s="1" t="s">
        <v>0</v>
      </c>
      <c r="E4276" s="2">
        <v>0</v>
      </c>
      <c r="F4276" s="2">
        <v>0</v>
      </c>
      <c r="G4276" s="2">
        <v>0</v>
      </c>
      <c r="H4276" s="1" t="s">
        <v>0</v>
      </c>
      <c r="I4276" s="2">
        <v>0</v>
      </c>
      <c r="J4276" s="1">
        <v>45915.379606481481</v>
      </c>
    </row>
    <row r="4277" spans="1:10" x14ac:dyDescent="0.2">
      <c r="A4277" s="4" t="s">
        <v>1</v>
      </c>
      <c r="B4277" s="3" t="str">
        <f>HYPERLINK("https://otsuka-europe-crm.veevavault.com/ui/#object/approved_document__v/V5OZ025E82TFUPI", "Spain - HCP Survey Email - June 2025")</f>
        <v>Spain - HCP Survey Email - June 2025</v>
      </c>
      <c r="C4277" s="3" t="str">
        <f>HYPERLINK("https://otsuka-europe-crm.veevavault.com/ui/#object/sent_email__v/VBLZ025E82GN0YA", "SE-000271412")</f>
        <v>SE-000271412</v>
      </c>
      <c r="D4277" s="1" t="s">
        <v>0</v>
      </c>
      <c r="E4277" s="2">
        <v>0</v>
      </c>
      <c r="F4277" s="2">
        <v>0</v>
      </c>
      <c r="G4277" s="2">
        <v>0</v>
      </c>
      <c r="H4277" s="1" t="s">
        <v>0</v>
      </c>
      <c r="I4277" s="2">
        <v>0</v>
      </c>
      <c r="J4277" s="1">
        <v>45915.379444444443</v>
      </c>
    </row>
    <row r="4278" spans="1:10" x14ac:dyDescent="0.2">
      <c r="A4278" s="4" t="s">
        <v>1</v>
      </c>
      <c r="B4278" s="3" t="str">
        <f>HYPERLINK("https://otsuka-europe-crm.veevavault.com/ui/#object/approved_document__v/V5OZ025E82TFUPI", "Spain - HCP Survey Email - June 2025")</f>
        <v>Spain - HCP Survey Email - June 2025</v>
      </c>
      <c r="C4278" s="3" t="str">
        <f>HYPERLINK("https://otsuka-europe-crm.veevavault.com/ui/#object/sent_email__v/VBLZ025E82GN0YB", "SE-000271413")</f>
        <v>SE-000271413</v>
      </c>
      <c r="D4278" s="1">
        <v>45920.751134259262</v>
      </c>
      <c r="E4278" s="2">
        <v>1</v>
      </c>
      <c r="F4278" s="2">
        <v>2</v>
      </c>
      <c r="G4278" s="2">
        <v>0</v>
      </c>
      <c r="H4278" s="1" t="s">
        <v>0</v>
      </c>
      <c r="I4278" s="2">
        <v>0</v>
      </c>
      <c r="J4278" s="1">
        <v>45915.377557870372</v>
      </c>
    </row>
    <row r="4279" spans="1:10" x14ac:dyDescent="0.2">
      <c r="A4279" s="4" t="s">
        <v>1</v>
      </c>
      <c r="B4279" s="3" t="str">
        <f>HYPERLINK("https://otsuka-europe-crm.veevavault.com/ui/#object/approved_document__v/V5OZ025E82TFUPI", "Spain - HCP Survey Email - June 2025")</f>
        <v>Spain - HCP Survey Email - June 2025</v>
      </c>
      <c r="C4279" s="3" t="str">
        <f>HYPERLINK("https://otsuka-europe-crm.veevavault.com/ui/#object/sent_email__v/VBLZ025E82GN0YC", "SE-000271414")</f>
        <v>SE-000271414</v>
      </c>
      <c r="D4279" s="1" t="s">
        <v>0</v>
      </c>
      <c r="E4279" s="2">
        <v>0</v>
      </c>
      <c r="F4279" s="2">
        <v>0</v>
      </c>
      <c r="G4279" s="2">
        <v>0</v>
      </c>
      <c r="H4279" s="1" t="s">
        <v>0</v>
      </c>
      <c r="I4279" s="2">
        <v>0</v>
      </c>
      <c r="J4279" s="1">
        <v>45915.378321759257</v>
      </c>
    </row>
    <row r="4280" spans="1:10" x14ac:dyDescent="0.2">
      <c r="A4280" s="4" t="s">
        <v>1</v>
      </c>
      <c r="B4280" s="3" t="str">
        <f>HYPERLINK("https://otsuka-europe-crm.veevavault.com/ui/#object/approved_document__v/V5OZ025E82TFUPI", "Spain - HCP Survey Email - June 2025")</f>
        <v>Spain - HCP Survey Email - June 2025</v>
      </c>
      <c r="C4280" s="3" t="str">
        <f>HYPERLINK("https://otsuka-europe-crm.veevavault.com/ui/#object/sent_email__v/VBLZ025E82GN0YD", "SE-000271415")</f>
        <v>SE-000271415</v>
      </c>
      <c r="D4280" s="1">
        <v>45915.387106481481</v>
      </c>
      <c r="E4280" s="2">
        <v>1</v>
      </c>
      <c r="F4280" s="2">
        <v>2</v>
      </c>
      <c r="G4280" s="2">
        <v>0</v>
      </c>
      <c r="H4280" s="1" t="s">
        <v>0</v>
      </c>
      <c r="I4280" s="2">
        <v>0</v>
      </c>
      <c r="J4280" s="1">
        <v>45915.378796296296</v>
      </c>
    </row>
    <row r="4281" spans="1:10" x14ac:dyDescent="0.2">
      <c r="A4281" s="4" t="s">
        <v>1</v>
      </c>
      <c r="B4281" s="3" t="str">
        <f>HYPERLINK("https://otsuka-europe-crm.veevavault.com/ui/#object/approved_document__v/V5OZ025E82TFUPI", "Spain - HCP Survey Email - June 2025")</f>
        <v>Spain - HCP Survey Email - June 2025</v>
      </c>
      <c r="C4281" s="3" t="str">
        <f>HYPERLINK("https://otsuka-europe-crm.veevavault.com/ui/#object/sent_email__v/VBLZ025E82GN0YF", "SE-000271417")</f>
        <v>SE-000271417</v>
      </c>
      <c r="D4281" s="1" t="s">
        <v>0</v>
      </c>
      <c r="E4281" s="2">
        <v>0</v>
      </c>
      <c r="F4281" s="2">
        <v>0</v>
      </c>
      <c r="G4281" s="2">
        <v>0</v>
      </c>
      <c r="H4281" s="1" t="s">
        <v>0</v>
      </c>
      <c r="I4281" s="2">
        <v>0</v>
      </c>
      <c r="J4281" s="1">
        <v>45915.379108796296</v>
      </c>
    </row>
    <row r="4282" spans="1:10" x14ac:dyDescent="0.2">
      <c r="A4282" s="4" t="s">
        <v>1</v>
      </c>
      <c r="B4282" s="3" t="str">
        <f>HYPERLINK("https://otsuka-europe-crm.veevavault.com/ui/#object/approved_document__v/V5OZ025E82TFUPI", "Spain - HCP Survey Email - June 2025")</f>
        <v>Spain - HCP Survey Email - June 2025</v>
      </c>
      <c r="C4282" s="3" t="str">
        <f>HYPERLINK("https://otsuka-europe-crm.veevavault.com/ui/#object/sent_email__v/VBLZ025E82GN0YG", "SE-000271418")</f>
        <v>SE-000271418</v>
      </c>
      <c r="D4282" s="1" t="s">
        <v>0</v>
      </c>
      <c r="E4282" s="2">
        <v>0</v>
      </c>
      <c r="F4282" s="2">
        <v>0</v>
      </c>
      <c r="G4282" s="2">
        <v>0</v>
      </c>
      <c r="H4282" s="1" t="s">
        <v>0</v>
      </c>
      <c r="I4282" s="2">
        <v>0</v>
      </c>
      <c r="J4282" s="1">
        <v>45915.377835648149</v>
      </c>
    </row>
    <row r="4283" spans="1:10" x14ac:dyDescent="0.2">
      <c r="A4283" s="4" t="s">
        <v>1</v>
      </c>
      <c r="B4283" s="3" t="str">
        <f>HYPERLINK("https://otsuka-europe-crm.veevavault.com/ui/#object/approved_document__v/V5OZ025E82TFUPI", "Spain - HCP Survey Email - June 2025")</f>
        <v>Spain - HCP Survey Email - June 2025</v>
      </c>
      <c r="C4283" s="3" t="str">
        <f>HYPERLINK("https://otsuka-europe-crm.veevavault.com/ui/#object/sent_email__v/VBLZ025E82GN0YH", "SE-000271419")</f>
        <v>SE-000271419</v>
      </c>
      <c r="D4283" s="1" t="s">
        <v>0</v>
      </c>
      <c r="E4283" s="2">
        <v>0</v>
      </c>
      <c r="F4283" s="2">
        <v>0</v>
      </c>
      <c r="G4283" s="2">
        <v>0</v>
      </c>
      <c r="H4283" s="1" t="s">
        <v>0</v>
      </c>
      <c r="I4283" s="2">
        <v>0</v>
      </c>
      <c r="J4283" s="1">
        <v>45915.378252314818</v>
      </c>
    </row>
    <row r="4284" spans="1:10" x14ac:dyDescent="0.2">
      <c r="A4284" s="4" t="s">
        <v>1</v>
      </c>
      <c r="B4284" s="3" t="str">
        <f>HYPERLINK("https://otsuka-europe-crm.veevavault.com/ui/#object/approved_document__v/V5OZ025E82TFUPI", "Spain - HCP Survey Email - June 2025")</f>
        <v>Spain - HCP Survey Email - June 2025</v>
      </c>
      <c r="C4284" s="3" t="str">
        <f>HYPERLINK("https://otsuka-europe-crm.veevavault.com/ui/#object/sent_email__v/VBLZ025E82GN0YI", "SE-000271420")</f>
        <v>SE-000271420</v>
      </c>
      <c r="D4284" s="1">
        <v>45936.965833333335</v>
      </c>
      <c r="E4284" s="2">
        <v>1</v>
      </c>
      <c r="F4284" s="2">
        <v>2</v>
      </c>
      <c r="G4284" s="2">
        <v>0</v>
      </c>
      <c r="H4284" s="1" t="s">
        <v>0</v>
      </c>
      <c r="I4284" s="2">
        <v>0</v>
      </c>
      <c r="J4284" s="1">
        <v>45915.378009259257</v>
      </c>
    </row>
    <row r="4285" spans="1:10" x14ac:dyDescent="0.2">
      <c r="A4285" s="4" t="s">
        <v>1</v>
      </c>
      <c r="B4285" s="3" t="str">
        <f>HYPERLINK("https://otsuka-europe-crm.veevavault.com/ui/#object/approved_document__v/V5OZ025E82TFUPI", "Spain - HCP Survey Email - June 2025")</f>
        <v>Spain - HCP Survey Email - June 2025</v>
      </c>
      <c r="C4285" s="3" t="str">
        <f>HYPERLINK("https://otsuka-europe-crm.veevavault.com/ui/#object/sent_email__v/VBLZ025E82GN0YJ", "SE-000271421")</f>
        <v>SE-000271421</v>
      </c>
      <c r="D4285" s="1" t="s">
        <v>0</v>
      </c>
      <c r="E4285" s="2">
        <v>0</v>
      </c>
      <c r="F4285" s="2">
        <v>0</v>
      </c>
      <c r="G4285" s="2">
        <v>0</v>
      </c>
      <c r="H4285" s="1" t="s">
        <v>0</v>
      </c>
      <c r="I4285" s="2">
        <v>0</v>
      </c>
      <c r="J4285" s="1">
        <v>45915.378958333335</v>
      </c>
    </row>
    <row r="4286" spans="1:10" x14ac:dyDescent="0.2">
      <c r="A4286" s="4" t="s">
        <v>1</v>
      </c>
      <c r="B4286" s="3" t="str">
        <f>HYPERLINK("https://otsuka-europe-crm.veevavault.com/ui/#object/approved_document__v/V5OZ025E82TFUPI", "Spain - HCP Survey Email - June 2025")</f>
        <v>Spain - HCP Survey Email - June 2025</v>
      </c>
      <c r="C4286" s="3" t="str">
        <f>HYPERLINK("https://otsuka-europe-crm.veevavault.com/ui/#object/sent_email__v/VBLZ025E82GN0YK", "SE-000271422")</f>
        <v>SE-000271422</v>
      </c>
      <c r="D4286" s="1">
        <v>45923.808333333334</v>
      </c>
      <c r="E4286" s="2">
        <v>1</v>
      </c>
      <c r="F4286" s="2">
        <v>3</v>
      </c>
      <c r="G4286" s="2">
        <v>0</v>
      </c>
      <c r="H4286" s="1" t="s">
        <v>0</v>
      </c>
      <c r="I4286" s="2">
        <v>0</v>
      </c>
      <c r="J4286" s="1">
        <v>45915.379745370374</v>
      </c>
    </row>
    <row r="4287" spans="1:10" x14ac:dyDescent="0.2">
      <c r="A4287" s="4" t="s">
        <v>1</v>
      </c>
      <c r="B4287" s="3" t="str">
        <f>HYPERLINK("https://otsuka-europe-crm.veevavault.com/ui/#object/approved_document__v/V5OZ025E82TFUPI", "Spain - HCP Survey Email - June 2025")</f>
        <v>Spain - HCP Survey Email - June 2025</v>
      </c>
      <c r="C4287" s="3" t="str">
        <f>HYPERLINK("https://otsuka-europe-crm.veevavault.com/ui/#object/sent_email__v/VBLZ025E82GN0YL", "SE-000271423")</f>
        <v>SE-000271423</v>
      </c>
      <c r="D4287" s="1">
        <v>45915.947500000002</v>
      </c>
      <c r="E4287" s="2">
        <v>1</v>
      </c>
      <c r="F4287" s="2">
        <v>1</v>
      </c>
      <c r="G4287" s="2">
        <v>0</v>
      </c>
      <c r="H4287" s="1" t="s">
        <v>0</v>
      </c>
      <c r="I4287" s="2">
        <v>0</v>
      </c>
      <c r="J4287" s="1">
        <v>45915.37939814815</v>
      </c>
    </row>
    <row r="4288" spans="1:10" x14ac:dyDescent="0.2">
      <c r="A4288" s="4" t="s">
        <v>1</v>
      </c>
      <c r="B4288" s="3" t="str">
        <f>HYPERLINK("https://otsuka-europe-crm.veevavault.com/ui/#object/approved_document__v/V5OZ025E82TFUPI", "Spain - HCP Survey Email - June 2025")</f>
        <v>Spain - HCP Survey Email - June 2025</v>
      </c>
      <c r="C4288" s="3" t="str">
        <f>HYPERLINK("https://otsuka-europe-crm.veevavault.com/ui/#object/sent_email__v/VBLZ025E82GN0YM", "SE-000271424")</f>
        <v>SE-000271424</v>
      </c>
      <c r="D4288" s="1">
        <v>45915.884016203701</v>
      </c>
      <c r="E4288" s="2">
        <v>1</v>
      </c>
      <c r="F4288" s="2">
        <v>1</v>
      </c>
      <c r="G4288" s="2">
        <v>0</v>
      </c>
      <c r="H4288" s="1" t="s">
        <v>0</v>
      </c>
      <c r="I4288" s="2">
        <v>0</v>
      </c>
      <c r="J4288" s="1">
        <v>45915.377488425926</v>
      </c>
    </row>
    <row r="4289" spans="1:10" x14ac:dyDescent="0.2">
      <c r="A4289" s="4" t="s">
        <v>1</v>
      </c>
      <c r="B4289" s="3" t="str">
        <f>HYPERLINK("https://otsuka-europe-crm.veevavault.com/ui/#object/approved_document__v/V5OZ025E82TFUPI", "Spain - HCP Survey Email - June 2025")</f>
        <v>Spain - HCP Survey Email - June 2025</v>
      </c>
      <c r="C4289" s="3" t="str">
        <f>HYPERLINK("https://otsuka-europe-crm.veevavault.com/ui/#object/sent_email__v/VBLZ025E82GN0YN", "SE-000271425")</f>
        <v>SE-000271425</v>
      </c>
      <c r="D4289" s="1">
        <v>45916.342800925922</v>
      </c>
      <c r="E4289" s="2">
        <v>1</v>
      </c>
      <c r="F4289" s="2">
        <v>1</v>
      </c>
      <c r="G4289" s="2">
        <v>1</v>
      </c>
      <c r="H4289" s="1">
        <v>45916.342800925922</v>
      </c>
      <c r="I4289" s="2">
        <v>1</v>
      </c>
      <c r="J4289" s="1">
        <v>45915.378310185188</v>
      </c>
    </row>
    <row r="4290" spans="1:10" x14ac:dyDescent="0.2">
      <c r="A4290" s="4" t="s">
        <v>1</v>
      </c>
      <c r="B4290" s="3" t="str">
        <f>HYPERLINK("https://otsuka-europe-crm.veevavault.com/ui/#object/approved_document__v/V5OZ025E82TFUPI", "Spain - HCP Survey Email - June 2025")</f>
        <v>Spain - HCP Survey Email - June 2025</v>
      </c>
      <c r="C4290" s="3" t="str">
        <f>HYPERLINK("https://otsuka-europe-crm.veevavault.com/ui/#object/sent_email__v/VBLZ025E82GN0YO", "SE-000271426")</f>
        <v>SE-000271426</v>
      </c>
      <c r="D4290" s="1" t="s">
        <v>0</v>
      </c>
      <c r="E4290" s="2">
        <v>0</v>
      </c>
      <c r="F4290" s="2">
        <v>0</v>
      </c>
      <c r="G4290" s="2">
        <v>0</v>
      </c>
      <c r="H4290" s="1" t="s">
        <v>0</v>
      </c>
      <c r="I4290" s="2">
        <v>0</v>
      </c>
      <c r="J4290" s="1">
        <v>45915.37877314815</v>
      </c>
    </row>
    <row r="4291" spans="1:10" x14ac:dyDescent="0.2">
      <c r="A4291" s="4" t="s">
        <v>1</v>
      </c>
      <c r="B4291" s="3" t="str">
        <f>HYPERLINK("https://otsuka-europe-crm.veevavault.com/ui/#object/approved_document__v/V5OZ025E82TFUPI", "Spain - HCP Survey Email - June 2025")</f>
        <v>Spain - HCP Survey Email - June 2025</v>
      </c>
      <c r="C4291" s="3" t="str">
        <f>HYPERLINK("https://otsuka-europe-crm.veevavault.com/ui/#object/sent_email__v/VBLZ025E82GN0YP", "SE-000271427")</f>
        <v>SE-000271427</v>
      </c>
      <c r="D4291" s="1" t="s">
        <v>0</v>
      </c>
      <c r="E4291" s="2">
        <v>0</v>
      </c>
      <c r="F4291" s="2">
        <v>0</v>
      </c>
      <c r="G4291" s="2">
        <v>0</v>
      </c>
      <c r="H4291" s="1" t="s">
        <v>0</v>
      </c>
      <c r="I4291" s="2">
        <v>0</v>
      </c>
      <c r="J4291" s="1">
        <v>45915.37872685185</v>
      </c>
    </row>
    <row r="4292" spans="1:10" x14ac:dyDescent="0.2">
      <c r="A4292" s="4" t="s">
        <v>1</v>
      </c>
      <c r="B4292" s="3" t="str">
        <f>HYPERLINK("https://otsuka-europe-crm.veevavault.com/ui/#object/approved_document__v/V5OZ025E82TFUPI", "Spain - HCP Survey Email - June 2025")</f>
        <v>Spain - HCP Survey Email - June 2025</v>
      </c>
      <c r="C4292" s="3" t="str">
        <f>HYPERLINK("https://otsuka-europe-crm.veevavault.com/ui/#object/sent_email__v/VBLZ025E82GN0YQ", "SE-000271428")</f>
        <v>SE-000271428</v>
      </c>
      <c r="D4292" s="1" t="s">
        <v>0</v>
      </c>
      <c r="E4292" s="2">
        <v>0</v>
      </c>
      <c r="F4292" s="2">
        <v>0</v>
      </c>
      <c r="G4292" s="2">
        <v>0</v>
      </c>
      <c r="H4292" s="1" t="s">
        <v>0</v>
      </c>
      <c r="I4292" s="2">
        <v>0</v>
      </c>
      <c r="J4292" s="1">
        <v>45915.379155092596</v>
      </c>
    </row>
    <row r="4293" spans="1:10" x14ac:dyDescent="0.2">
      <c r="A4293" s="4" t="s">
        <v>1</v>
      </c>
      <c r="B4293" s="3" t="str">
        <f>HYPERLINK("https://otsuka-europe-crm.veevavault.com/ui/#object/approved_document__v/V5OZ025E82TFUPI", "Spain - HCP Survey Email - June 2025")</f>
        <v>Spain - HCP Survey Email - June 2025</v>
      </c>
      <c r="C4293" s="3" t="str">
        <f>HYPERLINK("https://otsuka-europe-crm.veevavault.com/ui/#object/sent_email__v/VBLZ025E82GN0YR", "SE-000271429")</f>
        <v>SE-000271429</v>
      </c>
      <c r="D4293" s="1" t="s">
        <v>0</v>
      </c>
      <c r="E4293" s="2">
        <v>0</v>
      </c>
      <c r="F4293" s="2">
        <v>0</v>
      </c>
      <c r="G4293" s="2">
        <v>0</v>
      </c>
      <c r="H4293" s="1" t="s">
        <v>0</v>
      </c>
      <c r="I4293" s="2">
        <v>0</v>
      </c>
      <c r="J4293" s="1">
        <v>45915.377881944441</v>
      </c>
    </row>
    <row r="4294" spans="1:10" x14ac:dyDescent="0.2">
      <c r="A4294" s="4" t="s">
        <v>1</v>
      </c>
      <c r="B4294" s="3" t="str">
        <f>HYPERLINK("https://otsuka-europe-crm.veevavault.com/ui/#object/approved_document__v/V5OZ025E82TFUPI", "Spain - HCP Survey Email - June 2025")</f>
        <v>Spain - HCP Survey Email - June 2025</v>
      </c>
      <c r="C4294" s="3" t="str">
        <f>HYPERLINK("https://otsuka-europe-crm.veevavault.com/ui/#object/sent_email__v/VBLZ025E82GN0YS", "SE-000271430")</f>
        <v>SE-000271430</v>
      </c>
      <c r="D4294" s="1" t="s">
        <v>0</v>
      </c>
      <c r="E4294" s="2">
        <v>0</v>
      </c>
      <c r="F4294" s="2">
        <v>0</v>
      </c>
      <c r="G4294" s="2">
        <v>0</v>
      </c>
      <c r="H4294" s="1" t="s">
        <v>0</v>
      </c>
      <c r="I4294" s="2">
        <v>0</v>
      </c>
      <c r="J4294" s="1">
        <v>45915.377581018518</v>
      </c>
    </row>
    <row r="4295" spans="1:10" x14ac:dyDescent="0.2">
      <c r="A4295" s="4" t="s">
        <v>1</v>
      </c>
      <c r="B4295" s="3" t="str">
        <f>HYPERLINK("https://otsuka-europe-crm.veevavault.com/ui/#object/approved_document__v/V5OZ025E82TFUPI", "Spain - HCP Survey Email - June 2025")</f>
        <v>Spain - HCP Survey Email - June 2025</v>
      </c>
      <c r="C4295" s="3" t="str">
        <f>HYPERLINK("https://otsuka-europe-crm.veevavault.com/ui/#object/sent_email__v/VBLZ025E82GN0YT", "SE-000271431")</f>
        <v>SE-000271431</v>
      </c>
      <c r="D4295" s="1">
        <v>45918.649155092593</v>
      </c>
      <c r="E4295" s="2">
        <v>1</v>
      </c>
      <c r="F4295" s="2">
        <v>1</v>
      </c>
      <c r="G4295" s="2">
        <v>0</v>
      </c>
      <c r="H4295" s="1" t="s">
        <v>0</v>
      </c>
      <c r="I4295" s="2">
        <v>0</v>
      </c>
      <c r="J4295" s="1">
        <v>45915.377962962964</v>
      </c>
    </row>
    <row r="4296" spans="1:10" x14ac:dyDescent="0.2">
      <c r="A4296" s="4" t="s">
        <v>1</v>
      </c>
      <c r="B4296" s="3" t="str">
        <f>HYPERLINK("https://otsuka-europe-crm.veevavault.com/ui/#object/approved_document__v/V5OZ025E82TFUPI", "Spain - HCP Survey Email - June 2025")</f>
        <v>Spain - HCP Survey Email - June 2025</v>
      </c>
      <c r="C4296" s="3" t="str">
        <f>HYPERLINK("https://otsuka-europe-crm.veevavault.com/ui/#object/sent_email__v/VBLZ025E82GN0YU", "SE-000271432")</f>
        <v>SE-000271432</v>
      </c>
      <c r="D4296" s="1">
        <v>45916.241875</v>
      </c>
      <c r="E4296" s="2">
        <v>1</v>
      </c>
      <c r="F4296" s="2">
        <v>2</v>
      </c>
      <c r="G4296" s="2">
        <v>0</v>
      </c>
      <c r="H4296" s="1" t="s">
        <v>0</v>
      </c>
      <c r="I4296" s="2">
        <v>0</v>
      </c>
      <c r="J4296" s="1">
        <v>45915.378981481481</v>
      </c>
    </row>
    <row r="4297" spans="1:10" x14ac:dyDescent="0.2">
      <c r="A4297" s="4" t="s">
        <v>1</v>
      </c>
      <c r="B4297" s="3" t="str">
        <f>HYPERLINK("https://otsuka-europe-crm.veevavault.com/ui/#object/approved_document__v/V5OZ025E82TFUPI", "Spain - HCP Survey Email - June 2025")</f>
        <v>Spain - HCP Survey Email - June 2025</v>
      </c>
      <c r="C4297" s="3" t="str">
        <f>HYPERLINK("https://otsuka-europe-crm.veevavault.com/ui/#object/sent_email__v/VBLZ025E82GN0YV", "SE-000271433")</f>
        <v>SE-000271433</v>
      </c>
      <c r="D4297" s="1" t="s">
        <v>0</v>
      </c>
      <c r="E4297" s="2">
        <v>0</v>
      </c>
      <c r="F4297" s="2">
        <v>0</v>
      </c>
      <c r="G4297" s="2">
        <v>0</v>
      </c>
      <c r="H4297" s="1" t="s">
        <v>0</v>
      </c>
      <c r="I4297" s="2">
        <v>0</v>
      </c>
      <c r="J4297" s="1">
        <v>45915.37976851852</v>
      </c>
    </row>
    <row r="4298" spans="1:10" x14ac:dyDescent="0.2">
      <c r="A4298" s="4" t="s">
        <v>1</v>
      </c>
      <c r="B4298" s="3" t="str">
        <f>HYPERLINK("https://otsuka-europe-crm.veevavault.com/ui/#object/approved_document__v/V5OZ025E82TFUPI", "Spain - HCP Survey Email - June 2025")</f>
        <v>Spain - HCP Survey Email - June 2025</v>
      </c>
      <c r="C4298" s="3" t="str">
        <f>HYPERLINK("https://otsuka-europe-crm.veevavault.com/ui/#object/sent_email__v/VBLZ025E82GN0YW", "SE-000271434")</f>
        <v>SE-000271434</v>
      </c>
      <c r="D4298" s="1" t="s">
        <v>0</v>
      </c>
      <c r="E4298" s="2">
        <v>0</v>
      </c>
      <c r="F4298" s="2">
        <v>0</v>
      </c>
      <c r="G4298" s="2">
        <v>0</v>
      </c>
      <c r="H4298" s="1" t="s">
        <v>0</v>
      </c>
      <c r="I4298" s="2">
        <v>0</v>
      </c>
      <c r="J4298" s="1">
        <v>45915.379386574074</v>
      </c>
    </row>
    <row r="4299" spans="1:10" x14ac:dyDescent="0.2">
      <c r="A4299" s="4" t="s">
        <v>1</v>
      </c>
      <c r="B4299" s="3" t="str">
        <f>HYPERLINK("https://otsuka-europe-crm.veevavault.com/ui/#object/approved_document__v/V5OZ025E82TFUPI", "Spain - HCP Survey Email - June 2025")</f>
        <v>Spain - HCP Survey Email - June 2025</v>
      </c>
      <c r="C4299" s="3" t="str">
        <f>HYPERLINK("https://otsuka-europe-crm.veevavault.com/ui/#object/sent_email__v/VBLZ025E82GN0YX", "SE-000271435")</f>
        <v>SE-000271435</v>
      </c>
      <c r="D4299" s="1">
        <v>45916.559166666666</v>
      </c>
      <c r="E4299" s="2">
        <v>1</v>
      </c>
      <c r="F4299" s="2">
        <v>1</v>
      </c>
      <c r="G4299" s="2">
        <v>0</v>
      </c>
      <c r="H4299" s="1" t="s">
        <v>0</v>
      </c>
      <c r="I4299" s="2">
        <v>0</v>
      </c>
      <c r="J4299" s="1">
        <v>45915.377488425926</v>
      </c>
    </row>
    <row r="4300" spans="1:10" x14ac:dyDescent="0.2">
      <c r="A4300" s="4" t="s">
        <v>1</v>
      </c>
      <c r="B4300" s="3" t="str">
        <f>HYPERLINK("https://otsuka-europe-crm.veevavault.com/ui/#object/approved_document__v/V5OZ025E82TFUPI", "Spain - HCP Survey Email - June 2025")</f>
        <v>Spain - HCP Survey Email - June 2025</v>
      </c>
      <c r="C4300" s="3" t="str">
        <f>HYPERLINK("https://otsuka-europe-crm.veevavault.com/ui/#object/sent_email__v/VBLZ025E82GN0YY", "SE-000271436")</f>
        <v>SE-000271436</v>
      </c>
      <c r="D4300" s="1">
        <v>45915.430983796294</v>
      </c>
      <c r="E4300" s="2">
        <v>1</v>
      </c>
      <c r="F4300" s="2">
        <v>1</v>
      </c>
      <c r="G4300" s="2">
        <v>1</v>
      </c>
      <c r="H4300" s="1">
        <v>45915.431597222225</v>
      </c>
      <c r="I4300" s="2">
        <v>2</v>
      </c>
      <c r="J4300" s="1">
        <v>45915.378634259258</v>
      </c>
    </row>
    <row r="4301" spans="1:10" x14ac:dyDescent="0.2">
      <c r="A4301" s="4" t="s">
        <v>1</v>
      </c>
      <c r="B4301" s="3" t="str">
        <f>HYPERLINK("https://otsuka-europe-crm.veevavault.com/ui/#object/approved_document__v/V5OZ025E82TFUPI", "Spain - HCP Survey Email - June 2025")</f>
        <v>Spain - HCP Survey Email - June 2025</v>
      </c>
      <c r="C4301" s="3" t="str">
        <f>HYPERLINK("https://otsuka-europe-crm.veevavault.com/ui/#object/sent_email__v/VBLZ025E82GN0YZ", "SE-000271437")</f>
        <v>SE-000271437</v>
      </c>
      <c r="D4301" s="1" t="s">
        <v>0</v>
      </c>
      <c r="E4301" s="2">
        <v>0</v>
      </c>
      <c r="F4301" s="2">
        <v>0</v>
      </c>
      <c r="G4301" s="2">
        <v>0</v>
      </c>
      <c r="H4301" s="1" t="s">
        <v>0</v>
      </c>
      <c r="I4301" s="2">
        <v>0</v>
      </c>
      <c r="J4301" s="1">
        <v>45915.378854166665</v>
      </c>
    </row>
    <row r="4302" spans="1:10" x14ac:dyDescent="0.2">
      <c r="A4302" s="4" t="s">
        <v>1</v>
      </c>
      <c r="B4302" s="3" t="str">
        <f>HYPERLINK("https://otsuka-europe-crm.veevavault.com/ui/#object/approved_document__v/V5OZ025E82TFUPI", "Spain - HCP Survey Email - June 2025")</f>
        <v>Spain - HCP Survey Email - June 2025</v>
      </c>
      <c r="C4302" s="3" t="str">
        <f>HYPERLINK("https://otsuka-europe-crm.veevavault.com/ui/#object/sent_email__v/VBLZ025E82GN0Z0", "SE-000271438")</f>
        <v>SE-000271438</v>
      </c>
      <c r="D4302" s="1" t="s">
        <v>0</v>
      </c>
      <c r="E4302" s="2">
        <v>0</v>
      </c>
      <c r="F4302" s="2">
        <v>0</v>
      </c>
      <c r="G4302" s="2">
        <v>0</v>
      </c>
      <c r="H4302" s="1" t="s">
        <v>0</v>
      </c>
      <c r="I4302" s="2">
        <v>0</v>
      </c>
      <c r="J4302" s="1">
        <v>45915.378599537034</v>
      </c>
    </row>
    <row r="4303" spans="1:10" x14ac:dyDescent="0.2">
      <c r="A4303" s="4" t="s">
        <v>1</v>
      </c>
      <c r="B4303" s="3" t="str">
        <f>HYPERLINK("https://otsuka-europe-crm.veevavault.com/ui/#object/approved_document__v/V5OZ025E82TFUPI", "Spain - HCP Survey Email - June 2025")</f>
        <v>Spain - HCP Survey Email - June 2025</v>
      </c>
      <c r="C4303" s="3" t="str">
        <f>HYPERLINK("https://otsuka-europe-crm.veevavault.com/ui/#object/sent_email__v/VBLZ025E82GN0Z1", "SE-000271439")</f>
        <v>SE-000271439</v>
      </c>
      <c r="D4303" s="1">
        <v>45920.505891203706</v>
      </c>
      <c r="E4303" s="2">
        <v>1</v>
      </c>
      <c r="F4303" s="2">
        <v>13</v>
      </c>
      <c r="G4303" s="2">
        <v>0</v>
      </c>
      <c r="H4303" s="1" t="s">
        <v>0</v>
      </c>
      <c r="I4303" s="2">
        <v>0</v>
      </c>
      <c r="J4303" s="1">
        <v>45915.379004629627</v>
      </c>
    </row>
    <row r="4304" spans="1:10" x14ac:dyDescent="0.2">
      <c r="A4304" s="4" t="s">
        <v>1</v>
      </c>
      <c r="B4304" s="3" t="str">
        <f>HYPERLINK("https://otsuka-europe-crm.veevavault.com/ui/#object/approved_document__v/V5OZ025E82TFUPI", "Spain - HCP Survey Email - June 2025")</f>
        <v>Spain - HCP Survey Email - June 2025</v>
      </c>
      <c r="C4304" s="3" t="str">
        <f>HYPERLINK("https://otsuka-europe-crm.veevavault.com/ui/#object/sent_email__v/VBLZ025E82GN0Z2", "SE-000271440")</f>
        <v>SE-000271440</v>
      </c>
      <c r="D4304" s="1">
        <v>45915.404768518521</v>
      </c>
      <c r="E4304" s="2">
        <v>1</v>
      </c>
      <c r="F4304" s="2">
        <v>1</v>
      </c>
      <c r="G4304" s="2">
        <v>0</v>
      </c>
      <c r="H4304" s="1" t="s">
        <v>0</v>
      </c>
      <c r="I4304" s="2">
        <v>0</v>
      </c>
      <c r="J4304" s="1">
        <v>45915.377824074072</v>
      </c>
    </row>
    <row r="4305" spans="1:10" x14ac:dyDescent="0.2">
      <c r="A4305" s="4" t="s">
        <v>1</v>
      </c>
      <c r="B4305" s="3" t="str">
        <f>HYPERLINK("https://otsuka-europe-crm.veevavault.com/ui/#object/approved_document__v/V5OZ025E82TFUPI", "Spain - HCP Survey Email - June 2025")</f>
        <v>Spain - HCP Survey Email - June 2025</v>
      </c>
      <c r="C4305" s="3" t="str">
        <f>HYPERLINK("https://otsuka-europe-crm.veevavault.com/ui/#object/sent_email__v/VBLZ025E82GN0Z3", "SE-000271441")</f>
        <v>SE-000271441</v>
      </c>
      <c r="D4305" s="1" t="s">
        <v>0</v>
      </c>
      <c r="E4305" s="2">
        <v>0</v>
      </c>
      <c r="F4305" s="2">
        <v>0</v>
      </c>
      <c r="G4305" s="2">
        <v>0</v>
      </c>
      <c r="H4305" s="1" t="s">
        <v>0</v>
      </c>
      <c r="I4305" s="2">
        <v>0</v>
      </c>
      <c r="J4305" s="1">
        <v>45915.378217592595</v>
      </c>
    </row>
    <row r="4306" spans="1:10" x14ac:dyDescent="0.2">
      <c r="A4306" s="4" t="s">
        <v>1</v>
      </c>
      <c r="B4306" s="3" t="str">
        <f>HYPERLINK("https://otsuka-europe-crm.veevavault.com/ui/#object/approved_document__v/V5OZ025E82TFUPI", "Spain - HCP Survey Email - June 2025")</f>
        <v>Spain - HCP Survey Email - June 2025</v>
      </c>
      <c r="C4306" s="3" t="str">
        <f>HYPERLINK("https://otsuka-europe-crm.veevavault.com/ui/#object/sent_email__v/VBLZ025E82GN0Z4", "SE-000271442")</f>
        <v>SE-000271442</v>
      </c>
      <c r="D4306" s="1">
        <v>45915.452372685184</v>
      </c>
      <c r="E4306" s="2">
        <v>1</v>
      </c>
      <c r="F4306" s="2">
        <v>1</v>
      </c>
      <c r="G4306" s="2">
        <v>0</v>
      </c>
      <c r="H4306" s="1" t="s">
        <v>0</v>
      </c>
      <c r="I4306" s="2">
        <v>0</v>
      </c>
      <c r="J4306" s="1">
        <v>45915.378645833334</v>
      </c>
    </row>
    <row r="4307" spans="1:10" x14ac:dyDescent="0.2">
      <c r="A4307" s="4" t="s">
        <v>1</v>
      </c>
      <c r="B4307" s="3" t="str">
        <f>HYPERLINK("https://otsuka-europe-crm.veevavault.com/ui/#object/approved_document__v/V5OZ025E82TFUPI", "Spain - HCP Survey Email - June 2025")</f>
        <v>Spain - HCP Survey Email - June 2025</v>
      </c>
      <c r="C4307" s="3" t="str">
        <f>HYPERLINK("https://otsuka-europe-crm.veevavault.com/ui/#object/sent_email__v/VBLZ025E82GN0Z5", "SE-000271443")</f>
        <v>SE-000271443</v>
      </c>
      <c r="D4307" s="1">
        <v>45916.487939814811</v>
      </c>
      <c r="E4307" s="2">
        <v>1</v>
      </c>
      <c r="F4307" s="2">
        <v>2</v>
      </c>
      <c r="G4307" s="2">
        <v>0</v>
      </c>
      <c r="H4307" s="1" t="s">
        <v>0</v>
      </c>
      <c r="I4307" s="2">
        <v>0</v>
      </c>
      <c r="J4307" s="1">
        <v>45915.37909722222</v>
      </c>
    </row>
    <row r="4308" spans="1:10" x14ac:dyDescent="0.2">
      <c r="A4308" s="4" t="s">
        <v>1</v>
      </c>
      <c r="B4308" s="3" t="str">
        <f>HYPERLINK("https://otsuka-europe-crm.veevavault.com/ui/#object/approved_document__v/V5OZ025E82TFUPI", "Spain - HCP Survey Email - June 2025")</f>
        <v>Spain - HCP Survey Email - June 2025</v>
      </c>
      <c r="C4308" s="3" t="str">
        <f>HYPERLINK("https://otsuka-europe-crm.veevavault.com/ui/#object/sent_email__v/VBLZ025E82GN0Z6", "SE-000271444")</f>
        <v>SE-000271444</v>
      </c>
      <c r="D4308" s="1">
        <v>45929.329872685186</v>
      </c>
      <c r="E4308" s="2">
        <v>1</v>
      </c>
      <c r="F4308" s="2">
        <v>2</v>
      </c>
      <c r="G4308" s="2">
        <v>0</v>
      </c>
      <c r="H4308" s="1" t="s">
        <v>0</v>
      </c>
      <c r="I4308" s="2">
        <v>0</v>
      </c>
      <c r="J4308" s="1">
        <v>45915.377835648149</v>
      </c>
    </row>
    <row r="4309" spans="1:10" x14ac:dyDescent="0.2">
      <c r="A4309" s="4" t="s">
        <v>1</v>
      </c>
      <c r="B4309" s="3" t="str">
        <f>HYPERLINK("https://otsuka-europe-crm.veevavault.com/ui/#object/approved_document__v/V5OZ025E82TFUPI", "Spain - HCP Survey Email - June 2025")</f>
        <v>Spain - HCP Survey Email - June 2025</v>
      </c>
      <c r="C4309" s="3" t="str">
        <f>HYPERLINK("https://otsuka-europe-crm.veevavault.com/ui/#object/sent_email__v/VBLZ025E82GN0Z7", "SE-000271445")</f>
        <v>SE-000271445</v>
      </c>
      <c r="D4309" s="1">
        <v>45915.56212962963</v>
      </c>
      <c r="E4309" s="2">
        <v>1</v>
      </c>
      <c r="F4309" s="2">
        <v>2</v>
      </c>
      <c r="G4309" s="2">
        <v>0</v>
      </c>
      <c r="H4309" s="1" t="s">
        <v>0</v>
      </c>
      <c r="I4309" s="2">
        <v>0</v>
      </c>
      <c r="J4309" s="1">
        <v>45915.378229166665</v>
      </c>
    </row>
    <row r="4310" spans="1:10" x14ac:dyDescent="0.2">
      <c r="A4310" s="4" t="s">
        <v>1</v>
      </c>
      <c r="B4310" s="3" t="str">
        <f>HYPERLINK("https://otsuka-europe-crm.veevavault.com/ui/#object/approved_document__v/V5OZ025E82TFUPI", "Spain - HCP Survey Email - June 2025")</f>
        <v>Spain - HCP Survey Email - June 2025</v>
      </c>
      <c r="C4310" s="3" t="str">
        <f>HYPERLINK("https://otsuka-europe-crm.veevavault.com/ui/#object/sent_email__v/VBLZ025E82GN0Z8", "SE-000271446")</f>
        <v>SE-000271446</v>
      </c>
      <c r="D4310" s="1" t="s">
        <v>0</v>
      </c>
      <c r="E4310" s="2">
        <v>0</v>
      </c>
      <c r="F4310" s="2">
        <v>0</v>
      </c>
      <c r="G4310" s="2">
        <v>0</v>
      </c>
      <c r="H4310" s="1" t="s">
        <v>0</v>
      </c>
      <c r="I4310" s="2">
        <v>0</v>
      </c>
      <c r="J4310" s="1">
        <v>45915.377962962964</v>
      </c>
    </row>
    <row r="4311" spans="1:10" x14ac:dyDescent="0.2">
      <c r="A4311" s="4" t="s">
        <v>1</v>
      </c>
      <c r="B4311" s="3" t="str">
        <f>HYPERLINK("https://otsuka-europe-crm.veevavault.com/ui/#object/approved_document__v/V5OZ025E82TFUPI", "Spain - HCP Survey Email - June 2025")</f>
        <v>Spain - HCP Survey Email - June 2025</v>
      </c>
      <c r="C4311" s="3" t="str">
        <f>HYPERLINK("https://otsuka-europe-crm.veevavault.com/ui/#object/sent_email__v/VBLZ025E82GN0Z9", "SE-000271447")</f>
        <v>SE-000271447</v>
      </c>
      <c r="D4311" s="1" t="s">
        <v>0</v>
      </c>
      <c r="E4311" s="2">
        <v>0</v>
      </c>
      <c r="F4311" s="2">
        <v>0</v>
      </c>
      <c r="G4311" s="2">
        <v>0</v>
      </c>
      <c r="H4311" s="1" t="s">
        <v>0</v>
      </c>
      <c r="I4311" s="2">
        <v>0</v>
      </c>
      <c r="J4311" s="1">
        <v>45915.37903935185</v>
      </c>
    </row>
    <row r="4312" spans="1:10" x14ac:dyDescent="0.2">
      <c r="A4312" s="4" t="s">
        <v>1</v>
      </c>
      <c r="B4312" s="3" t="str">
        <f>HYPERLINK("https://otsuka-europe-crm.veevavault.com/ui/#object/approved_document__v/V5OZ025E82TFUPI", "Spain - HCP Survey Email - June 2025")</f>
        <v>Spain - HCP Survey Email - June 2025</v>
      </c>
      <c r="C4312" s="3" t="str">
        <f>HYPERLINK("https://otsuka-europe-crm.veevavault.com/ui/#object/sent_email__v/VBLZ025E82GN0ZA", "SE-000271448")</f>
        <v>SE-000271448</v>
      </c>
      <c r="D4312" s="1" t="s">
        <v>0</v>
      </c>
      <c r="E4312" s="2">
        <v>0</v>
      </c>
      <c r="F4312" s="2">
        <v>0</v>
      </c>
      <c r="G4312" s="2">
        <v>0</v>
      </c>
      <c r="H4312" s="1" t="s">
        <v>0</v>
      </c>
      <c r="I4312" s="2">
        <v>0</v>
      </c>
      <c r="J4312" s="1">
        <v>45915.379710648151</v>
      </c>
    </row>
    <row r="4313" spans="1:10" x14ac:dyDescent="0.2">
      <c r="A4313" s="4" t="s">
        <v>1</v>
      </c>
      <c r="B4313" s="3" t="str">
        <f>HYPERLINK("https://otsuka-europe-crm.veevavault.com/ui/#object/approved_document__v/V5OZ025E82TFUPI", "Spain - HCP Survey Email - June 2025")</f>
        <v>Spain - HCP Survey Email - June 2025</v>
      </c>
      <c r="C4313" s="3" t="str">
        <f>HYPERLINK("https://otsuka-europe-crm.veevavault.com/ui/#object/sent_email__v/VBLZ025E82GN0ZB", "SE-000271449")</f>
        <v>SE-000271449</v>
      </c>
      <c r="D4313" s="1" t="s">
        <v>0</v>
      </c>
      <c r="E4313" s="2">
        <v>0</v>
      </c>
      <c r="F4313" s="2">
        <v>0</v>
      </c>
      <c r="G4313" s="2">
        <v>0</v>
      </c>
      <c r="H4313" s="1" t="s">
        <v>0</v>
      </c>
      <c r="I4313" s="2">
        <v>0</v>
      </c>
      <c r="J4313" s="1">
        <v>45915.379467592589</v>
      </c>
    </row>
    <row r="4314" spans="1:10" x14ac:dyDescent="0.2">
      <c r="A4314" s="4" t="s">
        <v>1</v>
      </c>
      <c r="B4314" s="3" t="str">
        <f>HYPERLINK("https://otsuka-europe-crm.veevavault.com/ui/#object/approved_document__v/V5OZ025E82TFUPI", "Spain - HCP Survey Email - June 2025")</f>
        <v>Spain - HCP Survey Email - June 2025</v>
      </c>
      <c r="C4314" s="3" t="str">
        <f>HYPERLINK("https://otsuka-europe-crm.veevavault.com/ui/#object/sent_email__v/VBLZ025E82GN0ZC", "SE-000271450")</f>
        <v>SE-000271450</v>
      </c>
      <c r="D4314" s="1">
        <v>45915.721898148149</v>
      </c>
      <c r="E4314" s="2">
        <v>1</v>
      </c>
      <c r="F4314" s="2">
        <v>1</v>
      </c>
      <c r="G4314" s="2">
        <v>1</v>
      </c>
      <c r="H4314" s="1">
        <v>45915.722071759257</v>
      </c>
      <c r="I4314" s="2">
        <v>1</v>
      </c>
      <c r="J4314" s="1">
        <v>45915.377488425926</v>
      </c>
    </row>
    <row r="4315" spans="1:10" x14ac:dyDescent="0.2">
      <c r="A4315" s="4" t="s">
        <v>1</v>
      </c>
      <c r="B4315" s="3" t="str">
        <f>HYPERLINK("https://otsuka-europe-crm.veevavault.com/ui/#object/approved_document__v/V5OZ025E82TFUPI", "Spain - HCP Survey Email - June 2025")</f>
        <v>Spain - HCP Survey Email - June 2025</v>
      </c>
      <c r="C4315" s="3" t="str">
        <f>HYPERLINK("https://otsuka-europe-crm.veevavault.com/ui/#object/sent_email__v/VBLZ025E82GN0ZD", "SE-000271451")</f>
        <v>SE-000271451</v>
      </c>
      <c r="D4315" s="1" t="s">
        <v>0</v>
      </c>
      <c r="E4315" s="2">
        <v>0</v>
      </c>
      <c r="F4315" s="2">
        <v>0</v>
      </c>
      <c r="G4315" s="2">
        <v>0</v>
      </c>
      <c r="H4315" s="1" t="s">
        <v>0</v>
      </c>
      <c r="I4315" s="2">
        <v>0</v>
      </c>
      <c r="J4315" s="1">
        <v>45915.378576388888</v>
      </c>
    </row>
    <row r="4316" spans="1:10" x14ac:dyDescent="0.2">
      <c r="A4316" s="4" t="s">
        <v>1</v>
      </c>
      <c r="B4316" s="3" t="str">
        <f>HYPERLINK("https://otsuka-europe-crm.veevavault.com/ui/#object/approved_document__v/V5OZ025E82TFUPI", "Spain - HCP Survey Email - June 2025")</f>
        <v>Spain - HCP Survey Email - June 2025</v>
      </c>
      <c r="C4316" s="3" t="str">
        <f>HYPERLINK("https://otsuka-europe-crm.veevavault.com/ui/#object/sent_email__v/VBLZ025E82GN0ZE", "SE-000271452")</f>
        <v>SE-000271452</v>
      </c>
      <c r="D4316" s="1">
        <v>45915.378923611112</v>
      </c>
      <c r="E4316" s="2">
        <v>1</v>
      </c>
      <c r="F4316" s="2">
        <v>1</v>
      </c>
      <c r="G4316" s="2">
        <v>0</v>
      </c>
      <c r="H4316" s="1" t="s">
        <v>0</v>
      </c>
      <c r="I4316" s="2">
        <v>0</v>
      </c>
      <c r="J4316" s="1">
        <v>45915.378854166665</v>
      </c>
    </row>
    <row r="4317" spans="1:10" x14ac:dyDescent="0.2">
      <c r="A4317" s="4" t="s">
        <v>1</v>
      </c>
      <c r="B4317" s="3" t="str">
        <f>HYPERLINK("https://otsuka-europe-crm.veevavault.com/ui/#object/approved_document__v/V5OZ025E82TFUPI", "Spain - HCP Survey Email - June 2025")</f>
        <v>Spain - HCP Survey Email - June 2025</v>
      </c>
      <c r="C4317" s="3" t="str">
        <f>HYPERLINK("https://otsuka-europe-crm.veevavault.com/ui/#object/sent_email__v/VBLZ025E82GN0ZF", "SE-000271453")</f>
        <v>SE-000271453</v>
      </c>
      <c r="D4317" s="1">
        <v>45994.271851851852</v>
      </c>
      <c r="E4317" s="2">
        <v>1</v>
      </c>
      <c r="F4317" s="2">
        <v>3</v>
      </c>
      <c r="G4317" s="2">
        <v>0</v>
      </c>
      <c r="H4317" s="1" t="s">
        <v>0</v>
      </c>
      <c r="I4317" s="2">
        <v>0</v>
      </c>
      <c r="J4317" s="1">
        <v>45915.378645833334</v>
      </c>
    </row>
    <row r="4318" spans="1:10" x14ac:dyDescent="0.2">
      <c r="A4318" s="4" t="s">
        <v>1</v>
      </c>
      <c r="B4318" s="3" t="str">
        <f>HYPERLINK("https://otsuka-europe-crm.veevavault.com/ui/#object/approved_document__v/V5OZ025E82TFUPI", "Spain - HCP Survey Email - June 2025")</f>
        <v>Spain - HCP Survey Email - June 2025</v>
      </c>
      <c r="C4318" s="3" t="str">
        <f>HYPERLINK("https://otsuka-europe-crm.veevavault.com/ui/#object/sent_email__v/VBLZ025E82GN0ZG", "SE-000271454")</f>
        <v>SE-000271454</v>
      </c>
      <c r="D4318" s="1">
        <v>45915.590729166666</v>
      </c>
      <c r="E4318" s="2">
        <v>1</v>
      </c>
      <c r="F4318" s="2">
        <v>3</v>
      </c>
      <c r="G4318" s="2">
        <v>0</v>
      </c>
      <c r="H4318" s="1" t="s">
        <v>0</v>
      </c>
      <c r="I4318" s="2">
        <v>0</v>
      </c>
      <c r="J4318" s="1">
        <v>45915.37903935185</v>
      </c>
    </row>
    <row r="4319" spans="1:10" x14ac:dyDescent="0.2">
      <c r="A4319" s="4" t="s">
        <v>1</v>
      </c>
      <c r="B4319" s="3" t="str">
        <f>HYPERLINK("https://otsuka-europe-crm.veevavault.com/ui/#object/approved_document__v/V5OZ025E82TFUPI", "Spain - HCP Survey Email - June 2025")</f>
        <v>Spain - HCP Survey Email - June 2025</v>
      </c>
      <c r="C4319" s="3" t="str">
        <f>HYPERLINK("https://otsuka-europe-crm.veevavault.com/ui/#object/sent_email__v/VBLZ025E82GN0ZH", "SE-000271455")</f>
        <v>SE-000271455</v>
      </c>
      <c r="D4319" s="1">
        <v>45922.288252314815</v>
      </c>
      <c r="E4319" s="2">
        <v>1</v>
      </c>
      <c r="F4319" s="2">
        <v>1</v>
      </c>
      <c r="G4319" s="2">
        <v>0</v>
      </c>
      <c r="H4319" s="1" t="s">
        <v>0</v>
      </c>
      <c r="I4319" s="2">
        <v>0</v>
      </c>
      <c r="J4319" s="1">
        <v>45915.377881944441</v>
      </c>
    </row>
    <row r="4320" spans="1:10" x14ac:dyDescent="0.2">
      <c r="A4320" s="4" t="s">
        <v>1</v>
      </c>
      <c r="B4320" s="3" t="str">
        <f>HYPERLINK("https://otsuka-europe-crm.veevavault.com/ui/#object/approved_document__v/V5OZ025E82TFUPI", "Spain - HCP Survey Email - June 2025")</f>
        <v>Spain - HCP Survey Email - June 2025</v>
      </c>
      <c r="C4320" s="3" t="str">
        <f>HYPERLINK("https://otsuka-europe-crm.veevavault.com/ui/#object/sent_email__v/VBLZ025E82GN0ZI", "SE-000271456")</f>
        <v>SE-000271456</v>
      </c>
      <c r="D4320" s="1">
        <v>45915.64471064815</v>
      </c>
      <c r="E4320" s="2">
        <v>1</v>
      </c>
      <c r="F4320" s="2">
        <v>1</v>
      </c>
      <c r="G4320" s="2">
        <v>0</v>
      </c>
      <c r="H4320" s="1" t="s">
        <v>0</v>
      </c>
      <c r="I4320" s="2">
        <v>0</v>
      </c>
      <c r="J4320" s="1">
        <v>45915.378321759257</v>
      </c>
    </row>
    <row r="4321" spans="1:10" x14ac:dyDescent="0.2">
      <c r="A4321" s="4" t="s">
        <v>1</v>
      </c>
      <c r="B4321" s="3" t="str">
        <f>HYPERLINK("https://otsuka-europe-crm.veevavault.com/ui/#object/approved_document__v/V5OZ025E82TFUPI", "Spain - HCP Survey Email - June 2025")</f>
        <v>Spain - HCP Survey Email - June 2025</v>
      </c>
      <c r="C4321" s="3" t="str">
        <f>HYPERLINK("https://otsuka-europe-crm.veevavault.com/ui/#object/sent_email__v/VBLZ025E82GN0ZJ", "SE-000271457")</f>
        <v>SE-000271457</v>
      </c>
      <c r="D4321" s="1">
        <v>45938.336458333331</v>
      </c>
      <c r="E4321" s="2">
        <v>1</v>
      </c>
      <c r="F4321" s="2">
        <v>2</v>
      </c>
      <c r="G4321" s="2">
        <v>0</v>
      </c>
      <c r="H4321" s="1" t="s">
        <v>0</v>
      </c>
      <c r="I4321" s="2">
        <v>0</v>
      </c>
      <c r="J4321" s="1">
        <v>45915.377974537034</v>
      </c>
    </row>
    <row r="4322" spans="1:10" x14ac:dyDescent="0.2">
      <c r="A4322" s="4" t="s">
        <v>1</v>
      </c>
      <c r="B4322" s="3" t="str">
        <f>HYPERLINK("https://otsuka-europe-crm.veevavault.com/ui/#object/approved_document__v/V5OZ025E82TFUPI", "Spain - HCP Survey Email - June 2025")</f>
        <v>Spain - HCP Survey Email - June 2025</v>
      </c>
      <c r="C4322" s="3" t="str">
        <f>HYPERLINK("https://otsuka-europe-crm.veevavault.com/ui/#object/sent_email__v/VBLZ025E82GN0ZK", "SE-000271458")</f>
        <v>SE-000271458</v>
      </c>
      <c r="D4322" s="1" t="s">
        <v>0</v>
      </c>
      <c r="E4322" s="2">
        <v>0</v>
      </c>
      <c r="F4322" s="2">
        <v>0</v>
      </c>
      <c r="G4322" s="2">
        <v>0</v>
      </c>
      <c r="H4322" s="1" t="s">
        <v>0</v>
      </c>
      <c r="I4322" s="2">
        <v>0</v>
      </c>
      <c r="J4322" s="1">
        <v>45915.378993055558</v>
      </c>
    </row>
    <row r="4323" spans="1:10" x14ac:dyDescent="0.2">
      <c r="A4323" s="4" t="s">
        <v>1</v>
      </c>
      <c r="B4323" s="3" t="str">
        <f>HYPERLINK("https://otsuka-europe-crm.veevavault.com/ui/#object/approved_document__v/V5OZ025E82TFUPI", "Spain - HCP Survey Email - June 2025")</f>
        <v>Spain - HCP Survey Email - June 2025</v>
      </c>
      <c r="C4323" s="3" t="str">
        <f>HYPERLINK("https://otsuka-europe-crm.veevavault.com/ui/#object/sent_email__v/VBLZ025E82GN0ZL", "SE-000271459")</f>
        <v>SE-000271459</v>
      </c>
      <c r="D4323" s="1" t="s">
        <v>0</v>
      </c>
      <c r="E4323" s="2">
        <v>0</v>
      </c>
      <c r="F4323" s="2">
        <v>0</v>
      </c>
      <c r="G4323" s="2">
        <v>0</v>
      </c>
      <c r="H4323" s="1" t="s">
        <v>0</v>
      </c>
      <c r="I4323" s="2">
        <v>0</v>
      </c>
      <c r="J4323" s="1">
        <v>45915.379606481481</v>
      </c>
    </row>
    <row r="4324" spans="1:10" x14ac:dyDescent="0.2">
      <c r="A4324" s="4" t="s">
        <v>1</v>
      </c>
      <c r="B4324" s="3" t="str">
        <f>HYPERLINK("https://otsuka-europe-crm.veevavault.com/ui/#object/approved_document__v/V5OZ025E82TFUPI", "Spain - HCP Survey Email - June 2025")</f>
        <v>Spain - HCP Survey Email - June 2025</v>
      </c>
      <c r="C4324" s="3" t="str">
        <f>HYPERLINK("https://otsuka-europe-crm.veevavault.com/ui/#object/sent_email__v/VBLZ025E82GN0ZM", "SE-000271460")</f>
        <v>SE-000271460</v>
      </c>
      <c r="D4324" s="1" t="s">
        <v>0</v>
      </c>
      <c r="E4324" s="2">
        <v>0</v>
      </c>
      <c r="F4324" s="2">
        <v>0</v>
      </c>
      <c r="G4324" s="2">
        <v>0</v>
      </c>
      <c r="H4324" s="1" t="s">
        <v>0</v>
      </c>
      <c r="I4324" s="2">
        <v>0</v>
      </c>
      <c r="J4324" s="1">
        <v>45915.379421296297</v>
      </c>
    </row>
    <row r="4325" spans="1:10" x14ac:dyDescent="0.2">
      <c r="A4325" s="4" t="s">
        <v>1</v>
      </c>
      <c r="B4325" s="3" t="str">
        <f>HYPERLINK("https://otsuka-europe-crm.veevavault.com/ui/#object/approved_document__v/V5OZ025E82TFUPI", "Spain - HCP Survey Email - June 2025")</f>
        <v>Spain - HCP Survey Email - June 2025</v>
      </c>
      <c r="C4325" s="3" t="str">
        <f>HYPERLINK("https://otsuka-europe-crm.veevavault.com/ui/#object/sent_email__v/VBLZ025E82GN0ZN", "SE-000271461")</f>
        <v>SE-000271461</v>
      </c>
      <c r="D4325" s="1" t="s">
        <v>0</v>
      </c>
      <c r="E4325" s="2">
        <v>0</v>
      </c>
      <c r="F4325" s="2">
        <v>0</v>
      </c>
      <c r="G4325" s="2">
        <v>0</v>
      </c>
      <c r="H4325" s="1" t="s">
        <v>0</v>
      </c>
      <c r="I4325" s="2">
        <v>0</v>
      </c>
      <c r="J4325" s="1">
        <v>45915.377581018518</v>
      </c>
    </row>
    <row r="4326" spans="1:10" x14ac:dyDescent="0.2">
      <c r="A4326" s="4" t="s">
        <v>1</v>
      </c>
      <c r="B4326" s="3" t="str">
        <f>HYPERLINK("https://otsuka-europe-crm.veevavault.com/ui/#object/approved_document__v/V5OZ025E82TFUPI", "Spain - HCP Survey Email - June 2025")</f>
        <v>Spain - HCP Survey Email - June 2025</v>
      </c>
      <c r="C4326" s="3" t="str">
        <f>HYPERLINK("https://otsuka-europe-crm.veevavault.com/ui/#object/sent_email__v/VBLZ025E82GN0ZO", "SE-000271462")</f>
        <v>SE-000271462</v>
      </c>
      <c r="D4326" s="1">
        <v>45916.789039351854</v>
      </c>
      <c r="E4326" s="2">
        <v>1</v>
      </c>
      <c r="F4326" s="2">
        <v>1</v>
      </c>
      <c r="G4326" s="2">
        <v>0</v>
      </c>
      <c r="H4326" s="1" t="s">
        <v>0</v>
      </c>
      <c r="I4326" s="2">
        <v>0</v>
      </c>
      <c r="J4326" s="1">
        <v>45915.378310185188</v>
      </c>
    </row>
    <row r="4327" spans="1:10" x14ac:dyDescent="0.2">
      <c r="A4327" s="4" t="s">
        <v>1</v>
      </c>
      <c r="B4327" s="3" t="str">
        <f>HYPERLINK("https://otsuka-europe-crm.veevavault.com/ui/#object/approved_document__v/V5OZ025E82TFUPI", "Spain - HCP Survey Email - June 2025")</f>
        <v>Spain - HCP Survey Email - June 2025</v>
      </c>
      <c r="C4327" s="3" t="str">
        <f>HYPERLINK("https://otsuka-europe-crm.veevavault.com/ui/#object/sent_email__v/VBLZ025E82GN0ZP", "SE-000271463")</f>
        <v>SE-000271463</v>
      </c>
      <c r="D4327" s="1" t="s">
        <v>0</v>
      </c>
      <c r="E4327" s="2">
        <v>0</v>
      </c>
      <c r="F4327" s="2">
        <v>0</v>
      </c>
      <c r="G4327" s="2">
        <v>0</v>
      </c>
      <c r="H4327" s="1" t="s">
        <v>0</v>
      </c>
      <c r="I4327" s="2">
        <v>0</v>
      </c>
      <c r="J4327" s="1">
        <v>45915.378819444442</v>
      </c>
    </row>
    <row r="4328" spans="1:10" x14ac:dyDescent="0.2">
      <c r="A4328" s="4" t="s">
        <v>1</v>
      </c>
      <c r="B4328" s="3" t="str">
        <f>HYPERLINK("https://otsuka-europe-crm.veevavault.com/ui/#object/approved_document__v/V5OZ025E82TFUPI", "Spain - HCP Survey Email - June 2025")</f>
        <v>Spain - HCP Survey Email - June 2025</v>
      </c>
      <c r="C4328" s="3" t="str">
        <f>HYPERLINK("https://otsuka-europe-crm.veevavault.com/ui/#object/sent_email__v/VBLZ025E82GN0ZQ", "SE-000271464")</f>
        <v>SE-000271464</v>
      </c>
      <c r="D4328" s="1" t="s">
        <v>0</v>
      </c>
      <c r="E4328" s="2">
        <v>0</v>
      </c>
      <c r="F4328" s="2">
        <v>0</v>
      </c>
      <c r="G4328" s="2">
        <v>0</v>
      </c>
      <c r="H4328" s="1" t="s">
        <v>0</v>
      </c>
      <c r="I4328" s="2">
        <v>0</v>
      </c>
      <c r="J4328" s="1">
        <v>45915.378761574073</v>
      </c>
    </row>
    <row r="4329" spans="1:10" x14ac:dyDescent="0.2">
      <c r="A4329" s="4" t="s">
        <v>1</v>
      </c>
      <c r="B4329" s="3" t="str">
        <f>HYPERLINK("https://otsuka-europe-crm.veevavault.com/ui/#object/approved_document__v/V5OZ025E82TFUPI", "Spain - HCP Survey Email - June 2025")</f>
        <v>Spain - HCP Survey Email - June 2025</v>
      </c>
      <c r="C4329" s="3" t="str">
        <f>HYPERLINK("https://otsuka-europe-crm.veevavault.com/ui/#object/sent_email__v/VBLZ025E82GN0ZR", "SE-000271465")</f>
        <v>SE-000271465</v>
      </c>
      <c r="D4329" s="1" t="s">
        <v>0</v>
      </c>
      <c r="E4329" s="2">
        <v>0</v>
      </c>
      <c r="F4329" s="2">
        <v>0</v>
      </c>
      <c r="G4329" s="2">
        <v>0</v>
      </c>
      <c r="H4329" s="1" t="s">
        <v>0</v>
      </c>
      <c r="I4329" s="2">
        <v>0</v>
      </c>
      <c r="J4329" s="1">
        <v>45915.379062499997</v>
      </c>
    </row>
    <row r="4330" spans="1:10" x14ac:dyDescent="0.2">
      <c r="A4330" s="4" t="s">
        <v>1</v>
      </c>
      <c r="B4330" s="3" t="str">
        <f>HYPERLINK("https://otsuka-europe-crm.veevavault.com/ui/#object/approved_document__v/V5OZ025E82TFUPI", "Spain - HCP Survey Email - June 2025")</f>
        <v>Spain - HCP Survey Email - June 2025</v>
      </c>
      <c r="C4330" s="3" t="str">
        <f>HYPERLINK("https://otsuka-europe-crm.veevavault.com/ui/#object/sent_email__v/VBLZ025E82GN0ZS", "SE-000271466")</f>
        <v>SE-000271466</v>
      </c>
      <c r="D4330" s="1" t="s">
        <v>0</v>
      </c>
      <c r="E4330" s="2">
        <v>0</v>
      </c>
      <c r="F4330" s="2">
        <v>0</v>
      </c>
      <c r="G4330" s="2">
        <v>0</v>
      </c>
      <c r="H4330" s="1" t="s">
        <v>0</v>
      </c>
      <c r="I4330" s="2">
        <v>0</v>
      </c>
      <c r="J4330" s="1">
        <v>45915.377812500003</v>
      </c>
    </row>
    <row r="4331" spans="1:10" x14ac:dyDescent="0.2">
      <c r="A4331" s="4" t="s">
        <v>1</v>
      </c>
      <c r="B4331" s="3" t="str">
        <f>HYPERLINK("https://otsuka-europe-crm.veevavault.com/ui/#object/approved_document__v/V5OZ025E82TFUPI", "Spain - HCP Survey Email - June 2025")</f>
        <v>Spain - HCP Survey Email - June 2025</v>
      </c>
      <c r="C4331" s="3" t="str">
        <f>HYPERLINK("https://otsuka-europe-crm.veevavault.com/ui/#object/sent_email__v/VBLZ025E82GN0ZT", "SE-000271467")</f>
        <v>SE-000271467</v>
      </c>
      <c r="D4331" s="1">
        <v>45915.380289351851</v>
      </c>
      <c r="E4331" s="2">
        <v>1</v>
      </c>
      <c r="F4331" s="2">
        <v>1</v>
      </c>
      <c r="G4331" s="2">
        <v>1</v>
      </c>
      <c r="H4331" s="1">
        <v>45915.380671296298</v>
      </c>
      <c r="I4331" s="2">
        <v>2</v>
      </c>
      <c r="J4331" s="1">
        <v>45915.378252314818</v>
      </c>
    </row>
    <row r="4332" spans="1:10" x14ac:dyDescent="0.2">
      <c r="A4332" s="4" t="s">
        <v>1</v>
      </c>
      <c r="B4332" s="3" t="str">
        <f>HYPERLINK("https://otsuka-europe-crm.veevavault.com/ui/#object/approved_document__v/V5OZ025E82TFUPI", "Spain - HCP Survey Email - June 2025")</f>
        <v>Spain - HCP Survey Email - June 2025</v>
      </c>
      <c r="C4332" s="3" t="str">
        <f>HYPERLINK("https://otsuka-europe-crm.veevavault.com/ui/#object/sent_email__v/VBLZ025E82GN0ZU", "SE-000271468")</f>
        <v>SE-000271468</v>
      </c>
      <c r="D4332" s="1" t="s">
        <v>0</v>
      </c>
      <c r="E4332" s="2">
        <v>0</v>
      </c>
      <c r="F4332" s="2">
        <v>0</v>
      </c>
      <c r="G4332" s="2">
        <v>0</v>
      </c>
      <c r="H4332" s="1" t="s">
        <v>0</v>
      </c>
      <c r="I4332" s="2">
        <v>0</v>
      </c>
      <c r="J4332" s="1">
        <v>45915.378807870373</v>
      </c>
    </row>
    <row r="4333" spans="1:10" x14ac:dyDescent="0.2">
      <c r="A4333" s="4" t="s">
        <v>1</v>
      </c>
      <c r="B4333" s="3" t="str">
        <f>HYPERLINK("https://otsuka-europe-crm.veevavault.com/ui/#object/approved_document__v/V5OZ025E82TFUPI", "Spain - HCP Survey Email - June 2025")</f>
        <v>Spain - HCP Survey Email - June 2025</v>
      </c>
      <c r="C4333" s="3" t="str">
        <f>HYPERLINK("https://otsuka-europe-crm.veevavault.com/ui/#object/sent_email__v/VBLZ025E82GN0ZV", "SE-000271469")</f>
        <v>SE-000271469</v>
      </c>
      <c r="D4333" s="1" t="s">
        <v>0</v>
      </c>
      <c r="E4333" s="2">
        <v>0</v>
      </c>
      <c r="F4333" s="2">
        <v>0</v>
      </c>
      <c r="G4333" s="2">
        <v>0</v>
      </c>
      <c r="H4333" s="1" t="s">
        <v>0</v>
      </c>
      <c r="I4333" s="2">
        <v>0</v>
      </c>
      <c r="J4333" s="1">
        <v>45915.378668981481</v>
      </c>
    </row>
    <row r="4334" spans="1:10" x14ac:dyDescent="0.2">
      <c r="A4334" s="4" t="s">
        <v>1</v>
      </c>
      <c r="B4334" s="3" t="str">
        <f>HYPERLINK("https://otsuka-europe-crm.veevavault.com/ui/#object/approved_document__v/V5OZ025E82TFUPI", "Spain - HCP Survey Email - June 2025")</f>
        <v>Spain - HCP Survey Email - June 2025</v>
      </c>
      <c r="C4334" s="3" t="str">
        <f>HYPERLINK("https://otsuka-europe-crm.veevavault.com/ui/#object/sent_email__v/VBLZ025E82GN0ZW", "SE-000271470")</f>
        <v>SE-000271470</v>
      </c>
      <c r="D4334" s="1">
        <v>45915.563715277778</v>
      </c>
      <c r="E4334" s="2">
        <v>1</v>
      </c>
      <c r="F4334" s="2">
        <v>1</v>
      </c>
      <c r="G4334" s="2">
        <v>0</v>
      </c>
      <c r="H4334" s="1" t="s">
        <v>0</v>
      </c>
      <c r="I4334" s="2">
        <v>0</v>
      </c>
      <c r="J4334" s="1">
        <v>45915.379189814812</v>
      </c>
    </row>
    <row r="4335" spans="1:10" x14ac:dyDescent="0.2">
      <c r="A4335" s="4" t="s">
        <v>1</v>
      </c>
      <c r="B4335" s="3" t="str">
        <f>HYPERLINK("https://otsuka-europe-crm.veevavault.com/ui/#object/approved_document__v/V5OZ025E82TFUPI", "Spain - HCP Survey Email - June 2025")</f>
        <v>Spain - HCP Survey Email - June 2025</v>
      </c>
      <c r="C4335" s="3" t="str">
        <f>HYPERLINK("https://otsuka-europe-crm.veevavault.com/ui/#object/sent_email__v/VBLZ025E82GN0ZX", "SE-000271471")</f>
        <v>SE-000271471</v>
      </c>
      <c r="D4335" s="1">
        <v>45918.839548611111</v>
      </c>
      <c r="E4335" s="2">
        <v>1</v>
      </c>
      <c r="F4335" s="2">
        <v>1</v>
      </c>
      <c r="G4335" s="2">
        <v>0</v>
      </c>
      <c r="H4335" s="1" t="s">
        <v>0</v>
      </c>
      <c r="I4335" s="2">
        <v>0</v>
      </c>
      <c r="J4335" s="1">
        <v>45915.377824074072</v>
      </c>
    </row>
    <row r="4336" spans="1:10" x14ac:dyDescent="0.2">
      <c r="A4336" s="4" t="s">
        <v>1</v>
      </c>
      <c r="B4336" s="3" t="str">
        <f>HYPERLINK("https://otsuka-europe-crm.veevavault.com/ui/#object/approved_document__v/V5OZ025E82TFUPI", "Spain - HCP Survey Email - June 2025")</f>
        <v>Spain - HCP Survey Email - June 2025</v>
      </c>
      <c r="C4336" s="3" t="str">
        <f>HYPERLINK("https://otsuka-europe-crm.veevavault.com/ui/#object/sent_email__v/VBLZ025E82GN0ZY", "SE-000271472")</f>
        <v>SE-000271472</v>
      </c>
      <c r="D4336" s="1">
        <v>45915.731851851851</v>
      </c>
      <c r="E4336" s="2">
        <v>1</v>
      </c>
      <c r="F4336" s="2">
        <v>1</v>
      </c>
      <c r="G4336" s="2">
        <v>0</v>
      </c>
      <c r="H4336" s="1" t="s">
        <v>0</v>
      </c>
      <c r="I4336" s="2">
        <v>0</v>
      </c>
      <c r="J4336" s="1">
        <v>45915.377581018518</v>
      </c>
    </row>
    <row r="4337" spans="1:10" x14ac:dyDescent="0.2">
      <c r="A4337" s="4" t="s">
        <v>1</v>
      </c>
      <c r="B4337" s="3" t="str">
        <f>HYPERLINK("https://otsuka-europe-crm.veevavault.com/ui/#object/approved_document__v/V5OZ025E82TFUPI", "Spain - HCP Survey Email - June 2025")</f>
        <v>Spain - HCP Survey Email - June 2025</v>
      </c>
      <c r="C4337" s="3" t="str">
        <f>HYPERLINK("https://otsuka-europe-crm.veevavault.com/ui/#object/sent_email__v/VBLZ025E82GN0ZZ", "SE-000271473")</f>
        <v>SE-000271473</v>
      </c>
      <c r="D4337" s="1" t="s">
        <v>0</v>
      </c>
      <c r="E4337" s="2">
        <v>0</v>
      </c>
      <c r="F4337" s="2">
        <v>0</v>
      </c>
      <c r="G4337" s="2">
        <v>0</v>
      </c>
      <c r="H4337" s="1" t="s">
        <v>0</v>
      </c>
      <c r="I4337" s="2">
        <v>0</v>
      </c>
      <c r="J4337" s="1">
        <v>45915.377986111111</v>
      </c>
    </row>
    <row r="4338" spans="1:10" x14ac:dyDescent="0.2">
      <c r="A4338" s="4" t="s">
        <v>1</v>
      </c>
      <c r="B4338" s="3" t="str">
        <f>HYPERLINK("https://otsuka-europe-crm.veevavault.com/ui/#object/approved_document__v/V5OZ025E82TFUPI", "Spain - HCP Survey Email - June 2025")</f>
        <v>Spain - HCP Survey Email - June 2025</v>
      </c>
      <c r="C4338" s="3" t="str">
        <f>HYPERLINK("https://otsuka-europe-crm.veevavault.com/ui/#object/sent_email__v/VBLZ025E82GN100", "SE-000271474")</f>
        <v>SE-000271474</v>
      </c>
      <c r="D4338" s="1" t="s">
        <v>0</v>
      </c>
      <c r="E4338" s="2">
        <v>0</v>
      </c>
      <c r="F4338" s="2">
        <v>0</v>
      </c>
      <c r="G4338" s="2">
        <v>0</v>
      </c>
      <c r="H4338" s="1" t="s">
        <v>0</v>
      </c>
      <c r="I4338" s="2">
        <v>0</v>
      </c>
      <c r="J4338" s="1">
        <v>45915.379108796296</v>
      </c>
    </row>
    <row r="4339" spans="1:10" x14ac:dyDescent="0.2">
      <c r="A4339" s="4" t="s">
        <v>1</v>
      </c>
      <c r="B4339" s="3" t="str">
        <f>HYPERLINK("https://otsuka-europe-crm.veevavault.com/ui/#object/approved_document__v/V5OZ025E82TFUPI", "Spain - HCP Survey Email - June 2025")</f>
        <v>Spain - HCP Survey Email - June 2025</v>
      </c>
      <c r="C4339" s="3" t="str">
        <f>HYPERLINK("https://otsuka-europe-crm.veevavault.com/ui/#object/sent_email__v/VBLZ025E82GN101", "SE-000271475")</f>
        <v>SE-000271475</v>
      </c>
      <c r="D4339" s="1">
        <v>45915.411666666667</v>
      </c>
      <c r="E4339" s="2">
        <v>1</v>
      </c>
      <c r="F4339" s="2">
        <v>2</v>
      </c>
      <c r="G4339" s="2">
        <v>0</v>
      </c>
      <c r="H4339" s="1" t="s">
        <v>0</v>
      </c>
      <c r="I4339" s="2">
        <v>0</v>
      </c>
      <c r="J4339" s="1">
        <v>45915.379745370374</v>
      </c>
    </row>
    <row r="4340" spans="1:10" x14ac:dyDescent="0.2">
      <c r="A4340" s="4" t="s">
        <v>1</v>
      </c>
      <c r="B4340" s="3" t="str">
        <f>HYPERLINK("https://otsuka-europe-crm.veevavault.com/ui/#object/approved_document__v/V5OZ025E82TFUPI", "Spain - HCP Survey Email - June 2025")</f>
        <v>Spain - HCP Survey Email - June 2025</v>
      </c>
      <c r="C4340" s="3" t="str">
        <f>HYPERLINK("https://otsuka-europe-crm.veevavault.com/ui/#object/sent_email__v/VBLZ025E82GN102", "SE-000271476")</f>
        <v>SE-000271476</v>
      </c>
      <c r="D4340" s="1" t="s">
        <v>0</v>
      </c>
      <c r="E4340" s="2">
        <v>0</v>
      </c>
      <c r="F4340" s="2">
        <v>0</v>
      </c>
      <c r="G4340" s="2">
        <v>0</v>
      </c>
      <c r="H4340" s="1" t="s">
        <v>0</v>
      </c>
      <c r="I4340" s="2">
        <v>0</v>
      </c>
      <c r="J4340" s="1">
        <v>45915.379525462966</v>
      </c>
    </row>
    <row r="4341" spans="1:10" x14ac:dyDescent="0.2">
      <c r="A4341" s="4" t="s">
        <v>1</v>
      </c>
      <c r="B4341" s="3" t="str">
        <f>HYPERLINK("https://otsuka-europe-crm.veevavault.com/ui/#object/approved_document__v/V5OZ025E82TFUPI", "Spain - HCP Survey Email - June 2025")</f>
        <v>Spain - HCP Survey Email - June 2025</v>
      </c>
      <c r="C4341" s="3" t="str">
        <f>HYPERLINK("https://otsuka-europe-crm.veevavault.com/ui/#object/sent_email__v/VBLZ025E82GN104", "SE-000271478")</f>
        <v>SE-000271478</v>
      </c>
      <c r="D4341" s="1">
        <v>45915.396296296298</v>
      </c>
      <c r="E4341" s="2">
        <v>1</v>
      </c>
      <c r="F4341" s="2">
        <v>2</v>
      </c>
      <c r="G4341" s="2">
        <v>0</v>
      </c>
      <c r="H4341" s="1" t="s">
        <v>0</v>
      </c>
      <c r="I4341" s="2">
        <v>0</v>
      </c>
      <c r="J4341" s="1">
        <v>45915.378344907411</v>
      </c>
    </row>
    <row r="4342" spans="1:10" x14ac:dyDescent="0.2">
      <c r="A4342" s="4" t="s">
        <v>1</v>
      </c>
      <c r="B4342" s="3" t="str">
        <f>HYPERLINK("https://otsuka-europe-crm.veevavault.com/ui/#object/approved_document__v/V5OZ025E82TFUPI", "Spain - HCP Survey Email - June 2025")</f>
        <v>Spain - HCP Survey Email - June 2025</v>
      </c>
      <c r="C4342" s="3" t="str">
        <f>HYPERLINK("https://otsuka-europe-crm.veevavault.com/ui/#object/sent_email__v/VBLZ025E82GN105", "SE-000271479")</f>
        <v>SE-000271479</v>
      </c>
      <c r="D4342" s="1">
        <v>46057.324687499997</v>
      </c>
      <c r="E4342" s="2">
        <v>1</v>
      </c>
      <c r="F4342" s="2">
        <v>5</v>
      </c>
      <c r="G4342" s="2">
        <v>0</v>
      </c>
      <c r="H4342" s="1" t="s">
        <v>0</v>
      </c>
      <c r="I4342" s="2">
        <v>0</v>
      </c>
      <c r="J4342" s="1">
        <v>45915.378738425927</v>
      </c>
    </row>
    <row r="4343" spans="1:10" x14ac:dyDescent="0.2">
      <c r="A4343" s="4" t="s">
        <v>1</v>
      </c>
      <c r="B4343" s="3" t="str">
        <f>HYPERLINK("https://otsuka-europe-crm.veevavault.com/ui/#object/approved_document__v/V5OZ025E82TFUPI", "Spain - HCP Survey Email - June 2025")</f>
        <v>Spain - HCP Survey Email - June 2025</v>
      </c>
      <c r="C4343" s="3" t="str">
        <f>HYPERLINK("https://otsuka-europe-crm.veevavault.com/ui/#object/sent_email__v/VBLZ025E82GN106", "SE-000271480")</f>
        <v>SE-000271480</v>
      </c>
      <c r="D4343" s="1">
        <v>45915.431793981479</v>
      </c>
      <c r="E4343" s="2">
        <v>1</v>
      </c>
      <c r="F4343" s="2">
        <v>1</v>
      </c>
      <c r="G4343" s="2">
        <v>0</v>
      </c>
      <c r="H4343" s="1" t="s">
        <v>0</v>
      </c>
      <c r="I4343" s="2">
        <v>0</v>
      </c>
      <c r="J4343" s="1">
        <v>45915.378634259258</v>
      </c>
    </row>
    <row r="4344" spans="1:10" x14ac:dyDescent="0.2">
      <c r="A4344" s="4" t="s">
        <v>1</v>
      </c>
      <c r="B4344" s="3" t="str">
        <f>HYPERLINK("https://otsuka-europe-crm.veevavault.com/ui/#object/approved_document__v/V5OZ025E82TFUPI", "Spain - HCP Survey Email - June 2025")</f>
        <v>Spain - HCP Survey Email - June 2025</v>
      </c>
      <c r="C4344" s="3" t="str">
        <f>HYPERLINK("https://otsuka-europe-crm.veevavault.com/ui/#object/sent_email__v/VBLZ025E82GN107", "SE-000271481")</f>
        <v>SE-000271481</v>
      </c>
      <c r="D4344" s="1">
        <v>45915.379571759258</v>
      </c>
      <c r="E4344" s="2">
        <v>1</v>
      </c>
      <c r="F4344" s="2">
        <v>1</v>
      </c>
      <c r="G4344" s="2">
        <v>0</v>
      </c>
      <c r="H4344" s="1" t="s">
        <v>0</v>
      </c>
      <c r="I4344" s="2">
        <v>0</v>
      </c>
      <c r="J4344" s="1">
        <v>45915.379201388889</v>
      </c>
    </row>
    <row r="4345" spans="1:10" x14ac:dyDescent="0.2">
      <c r="A4345" s="4" t="s">
        <v>1</v>
      </c>
      <c r="B4345" s="3" t="str">
        <f>HYPERLINK("https://otsuka-europe-crm.veevavault.com/ui/#object/approved_document__v/V5OZ025E82TFUPI", "Spain - HCP Survey Email - June 2025")</f>
        <v>Spain - HCP Survey Email - June 2025</v>
      </c>
      <c r="C4345" s="3" t="str">
        <f>HYPERLINK("https://otsuka-europe-crm.veevavault.com/ui/#object/sent_email__v/VBLZ025E82GN108", "SE-000271482")</f>
        <v>SE-000271482</v>
      </c>
      <c r="D4345" s="1" t="s">
        <v>0</v>
      </c>
      <c r="E4345" s="2">
        <v>0</v>
      </c>
      <c r="F4345" s="2">
        <v>0</v>
      </c>
      <c r="G4345" s="2">
        <v>0</v>
      </c>
      <c r="H4345" s="1" t="s">
        <v>0</v>
      </c>
      <c r="I4345" s="2">
        <v>0</v>
      </c>
      <c r="J4345" s="1">
        <v>45915.377858796295</v>
      </c>
    </row>
    <row r="4346" spans="1:10" x14ac:dyDescent="0.2">
      <c r="A4346" s="4" t="s">
        <v>1</v>
      </c>
      <c r="B4346" s="3" t="str">
        <f>HYPERLINK("https://otsuka-europe-crm.veevavault.com/ui/#object/approved_document__v/V5OZ025E82TFUPI", "Spain - HCP Survey Email - June 2025")</f>
        <v>Spain - HCP Survey Email - June 2025</v>
      </c>
      <c r="C4346" s="3" t="str">
        <f>HYPERLINK("https://otsuka-europe-crm.veevavault.com/ui/#object/sent_email__v/VBLZ025E82GN109", "SE-000271483")</f>
        <v>SE-000271483</v>
      </c>
      <c r="D4346" s="1" t="s">
        <v>0</v>
      </c>
      <c r="E4346" s="2">
        <v>0</v>
      </c>
      <c r="F4346" s="2">
        <v>0</v>
      </c>
      <c r="G4346" s="2">
        <v>0</v>
      </c>
      <c r="H4346" s="1" t="s">
        <v>0</v>
      </c>
      <c r="I4346" s="2">
        <v>0</v>
      </c>
      <c r="J4346" s="1">
        <v>45915.377615740741</v>
      </c>
    </row>
    <row r="4347" spans="1:10" x14ac:dyDescent="0.2">
      <c r="A4347" s="4" t="s">
        <v>1</v>
      </c>
      <c r="B4347" s="3" t="str">
        <f>HYPERLINK("https://otsuka-europe-crm.veevavault.com/ui/#object/approved_document__v/V5OZ025E82TFUPI", "Spain - HCP Survey Email - June 2025")</f>
        <v>Spain - HCP Survey Email - June 2025</v>
      </c>
      <c r="C4347" s="3" t="str">
        <f>HYPERLINK("https://otsuka-europe-crm.veevavault.com/ui/#object/sent_email__v/VBLZ025E82GN10A", "SE-000271484")</f>
        <v>SE-000271484</v>
      </c>
      <c r="D4347" s="1">
        <v>45916.164953703701</v>
      </c>
      <c r="E4347" s="2">
        <v>1</v>
      </c>
      <c r="F4347" s="2">
        <v>1</v>
      </c>
      <c r="G4347" s="2">
        <v>0</v>
      </c>
      <c r="H4347" s="1" t="s">
        <v>0</v>
      </c>
      <c r="I4347" s="2">
        <v>0</v>
      </c>
      <c r="J4347" s="1">
        <v>45915.37804398148</v>
      </c>
    </row>
    <row r="4348" spans="1:10" x14ac:dyDescent="0.2">
      <c r="A4348" s="4" t="s">
        <v>1</v>
      </c>
      <c r="B4348" s="3" t="str">
        <f>HYPERLINK("https://otsuka-europe-crm.veevavault.com/ui/#object/approved_document__v/V5OZ025E82TFUPI", "Spain - HCP Survey Email - June 2025")</f>
        <v>Spain - HCP Survey Email - June 2025</v>
      </c>
      <c r="C4348" s="3" t="str">
        <f>HYPERLINK("https://otsuka-europe-crm.veevavault.com/ui/#object/sent_email__v/VBLZ025E82GN10B", "SE-000271485")</f>
        <v>SE-000271485</v>
      </c>
      <c r="D4348" s="1" t="s">
        <v>0</v>
      </c>
      <c r="E4348" s="2">
        <v>0</v>
      </c>
      <c r="F4348" s="2">
        <v>0</v>
      </c>
      <c r="G4348" s="2">
        <v>0</v>
      </c>
      <c r="H4348" s="1" t="s">
        <v>0</v>
      </c>
      <c r="I4348" s="2">
        <v>0</v>
      </c>
      <c r="J4348" s="1">
        <v>45915.379004629627</v>
      </c>
    </row>
    <row r="4349" spans="1:10" x14ac:dyDescent="0.2">
      <c r="A4349" s="4" t="s">
        <v>1</v>
      </c>
      <c r="B4349" s="3" t="str">
        <f>HYPERLINK("https://otsuka-europe-crm.veevavault.com/ui/#object/approved_document__v/V5OZ025E82TFUPI", "Spain - HCP Survey Email - June 2025")</f>
        <v>Spain - HCP Survey Email - June 2025</v>
      </c>
      <c r="C4349" s="3" t="str">
        <f>HYPERLINK("https://otsuka-europe-crm.veevavault.com/ui/#object/sent_email__v/VBLZ025E82GN10C", "SE-000271486")</f>
        <v>SE-000271486</v>
      </c>
      <c r="D4349" s="1">
        <v>45918.484861111108</v>
      </c>
      <c r="E4349" s="2">
        <v>1</v>
      </c>
      <c r="F4349" s="2">
        <v>2</v>
      </c>
      <c r="G4349" s="2">
        <v>0</v>
      </c>
      <c r="H4349" s="1" t="s">
        <v>0</v>
      </c>
      <c r="I4349" s="2">
        <v>0</v>
      </c>
      <c r="J4349" s="1">
        <v>45915.379687499997</v>
      </c>
    </row>
    <row r="4350" spans="1:10" x14ac:dyDescent="0.2">
      <c r="A4350" s="4" t="s">
        <v>1</v>
      </c>
      <c r="B4350" s="3" t="str">
        <f>HYPERLINK("https://otsuka-europe-crm.veevavault.com/ui/#object/approved_document__v/V5OZ025E82TFUPI", "Spain - HCP Survey Email - June 2025")</f>
        <v>Spain - HCP Survey Email - June 2025</v>
      </c>
      <c r="C4350" s="3" t="str">
        <f>HYPERLINK("https://otsuka-europe-crm.veevavault.com/ui/#object/sent_email__v/VBLZ025E82GN10D", "SE-000271487")</f>
        <v>SE-000271487</v>
      </c>
      <c r="D4350" s="1">
        <v>45915.382025462961</v>
      </c>
      <c r="E4350" s="2">
        <v>1</v>
      </c>
      <c r="F4350" s="2">
        <v>1</v>
      </c>
      <c r="G4350" s="2">
        <v>0</v>
      </c>
      <c r="H4350" s="1" t="s">
        <v>0</v>
      </c>
      <c r="I4350" s="2">
        <v>0</v>
      </c>
      <c r="J4350" s="1">
        <v>45915.379537037035</v>
      </c>
    </row>
    <row r="4351" spans="1:10" x14ac:dyDescent="0.2">
      <c r="A4351" s="4" t="s">
        <v>1</v>
      </c>
      <c r="B4351" s="3" t="str">
        <f>HYPERLINK("https://otsuka-europe-crm.veevavault.com/ui/#object/approved_document__v/V5OZ025E82TFUPI", "Spain - HCP Survey Email - June 2025")</f>
        <v>Spain - HCP Survey Email - June 2025</v>
      </c>
      <c r="C4351" s="3" t="str">
        <f>HYPERLINK("https://otsuka-europe-crm.veevavault.com/ui/#object/sent_email__v/VBLZ025E82GN10E", "SE-000271488")</f>
        <v>SE-000271488</v>
      </c>
      <c r="D4351" s="1" t="s">
        <v>0</v>
      </c>
      <c r="E4351" s="2">
        <v>0</v>
      </c>
      <c r="F4351" s="2">
        <v>0</v>
      </c>
      <c r="G4351" s="2">
        <v>0</v>
      </c>
      <c r="H4351" s="1" t="s">
        <v>0</v>
      </c>
      <c r="I4351" s="2">
        <v>0</v>
      </c>
      <c r="J4351" s="1">
        <v>45915.377372685187</v>
      </c>
    </row>
    <row r="4352" spans="1:10" x14ac:dyDescent="0.2">
      <c r="A4352" s="4" t="s">
        <v>1</v>
      </c>
      <c r="B4352" s="3" t="str">
        <f>HYPERLINK("https://otsuka-europe-crm.veevavault.com/ui/#object/approved_document__v/V5OZ025E82TFUPI", "Spain - HCP Survey Email - June 2025")</f>
        <v>Spain - HCP Survey Email - June 2025</v>
      </c>
      <c r="C4352" s="3" t="str">
        <f>HYPERLINK("https://otsuka-europe-crm.veevavault.com/ui/#object/sent_email__v/VBLZ025E82GN10F", "SE-000271489")</f>
        <v>SE-000271489</v>
      </c>
      <c r="D4352" s="1">
        <v>45915.42291666667</v>
      </c>
      <c r="E4352" s="2">
        <v>1</v>
      </c>
      <c r="F4352" s="2">
        <v>1</v>
      </c>
      <c r="G4352" s="2">
        <v>0</v>
      </c>
      <c r="H4352" s="1" t="s">
        <v>0</v>
      </c>
      <c r="I4352" s="2">
        <v>0</v>
      </c>
      <c r="J4352" s="1">
        <v>45915.378321759257</v>
      </c>
    </row>
    <row r="4353" spans="1:10" x14ac:dyDescent="0.2">
      <c r="A4353" s="4" t="s">
        <v>1</v>
      </c>
      <c r="B4353" s="3" t="str">
        <f>HYPERLINK("https://otsuka-europe-crm.veevavault.com/ui/#object/approved_document__v/V5OZ025E82TFUPI", "Spain - HCP Survey Email - June 2025")</f>
        <v>Spain - HCP Survey Email - June 2025</v>
      </c>
      <c r="C4353" s="3" t="str">
        <f>HYPERLINK("https://otsuka-europe-crm.veevavault.com/ui/#object/sent_email__v/VBLZ025E82GN10G", "SE-000271490")</f>
        <v>SE-000271490</v>
      </c>
      <c r="D4353" s="1">
        <v>45915.477025462962</v>
      </c>
      <c r="E4353" s="2">
        <v>1</v>
      </c>
      <c r="F4353" s="2">
        <v>1</v>
      </c>
      <c r="G4353" s="2">
        <v>0</v>
      </c>
      <c r="H4353" s="1" t="s">
        <v>0</v>
      </c>
      <c r="I4353" s="2">
        <v>0</v>
      </c>
      <c r="J4353" s="1">
        <v>45915.378854166665</v>
      </c>
    </row>
    <row r="4354" spans="1:10" x14ac:dyDescent="0.2">
      <c r="A4354" s="4" t="s">
        <v>1</v>
      </c>
      <c r="B4354" s="3" t="str">
        <f>HYPERLINK("https://otsuka-europe-crm.veevavault.com/ui/#object/approved_document__v/V5OZ025E82TFUPI", "Spain - HCP Survey Email - June 2025")</f>
        <v>Spain - HCP Survey Email - June 2025</v>
      </c>
      <c r="C4354" s="3" t="str">
        <f>HYPERLINK("https://otsuka-europe-crm.veevavault.com/ui/#object/sent_email__v/VBLZ025E82GN10H", "SE-000271491")</f>
        <v>SE-000271491</v>
      </c>
      <c r="D4354" s="1">
        <v>45915.539861111109</v>
      </c>
      <c r="E4354" s="2">
        <v>1</v>
      </c>
      <c r="F4354" s="2">
        <v>2</v>
      </c>
      <c r="G4354" s="2">
        <v>0</v>
      </c>
      <c r="H4354" s="1" t="s">
        <v>0</v>
      </c>
      <c r="I4354" s="2">
        <v>0</v>
      </c>
      <c r="J4354" s="1">
        <v>45915.378668981481</v>
      </c>
    </row>
    <row r="4355" spans="1:10" x14ac:dyDescent="0.2">
      <c r="A4355" s="4" t="s">
        <v>1</v>
      </c>
      <c r="B4355" s="3" t="str">
        <f>HYPERLINK("https://otsuka-europe-crm.veevavault.com/ui/#object/approved_document__v/V5OZ025E82TFUPI", "Spain - HCP Survey Email - June 2025")</f>
        <v>Spain - HCP Survey Email - June 2025</v>
      </c>
      <c r="C4355" s="3" t="str">
        <f>HYPERLINK("https://otsuka-europe-crm.veevavault.com/ui/#object/sent_email__v/VBLZ025E82GN10I", "SE-000271492")</f>
        <v>SE-000271492</v>
      </c>
      <c r="D4355" s="1">
        <v>45927.526018518518</v>
      </c>
      <c r="E4355" s="2">
        <v>1</v>
      </c>
      <c r="F4355" s="2">
        <v>2</v>
      </c>
      <c r="G4355" s="2">
        <v>0</v>
      </c>
      <c r="H4355" s="1" t="s">
        <v>0</v>
      </c>
      <c r="I4355" s="2">
        <v>0</v>
      </c>
      <c r="J4355" s="1">
        <v>45915.379062499997</v>
      </c>
    </row>
    <row r="4356" spans="1:10" x14ac:dyDescent="0.2">
      <c r="A4356" s="4" t="s">
        <v>1</v>
      </c>
      <c r="B4356" s="3" t="str">
        <f>HYPERLINK("https://otsuka-europe-crm.veevavault.com/ui/#object/approved_document__v/V5OZ025E82TFUPI", "Spain - HCP Survey Email - June 2025")</f>
        <v>Spain - HCP Survey Email - June 2025</v>
      </c>
      <c r="C4356" s="3" t="str">
        <f>HYPERLINK("https://otsuka-europe-crm.veevavault.com/ui/#object/sent_email__v/VBLZ025E82GN10J", "SE-000271493")</f>
        <v>SE-000271493</v>
      </c>
      <c r="D4356" s="1" t="s">
        <v>0</v>
      </c>
      <c r="E4356" s="2">
        <v>0</v>
      </c>
      <c r="F4356" s="2">
        <v>0</v>
      </c>
      <c r="G4356" s="2">
        <v>0</v>
      </c>
      <c r="H4356" s="1" t="s">
        <v>0</v>
      </c>
      <c r="I4356" s="2">
        <v>0</v>
      </c>
      <c r="J4356" s="1">
        <v>45915.377881944441</v>
      </c>
    </row>
    <row r="4357" spans="1:10" x14ac:dyDescent="0.2">
      <c r="A4357" s="4" t="s">
        <v>1</v>
      </c>
      <c r="B4357" s="3" t="str">
        <f>HYPERLINK("https://otsuka-europe-crm.veevavault.com/ui/#object/approved_document__v/V5OZ025E82TFUPI", "Spain - HCP Survey Email - June 2025")</f>
        <v>Spain - HCP Survey Email - June 2025</v>
      </c>
      <c r="C4357" s="3" t="str">
        <f>HYPERLINK("https://otsuka-europe-crm.veevavault.com/ui/#object/sent_email__v/VBLZ025E82GN10K", "SE-000271494")</f>
        <v>SE-000271494</v>
      </c>
      <c r="D4357" s="1" t="s">
        <v>0</v>
      </c>
      <c r="E4357" s="2">
        <v>0</v>
      </c>
      <c r="F4357" s="2">
        <v>0</v>
      </c>
      <c r="G4357" s="2">
        <v>0</v>
      </c>
      <c r="H4357" s="1" t="s">
        <v>0</v>
      </c>
      <c r="I4357" s="2">
        <v>0</v>
      </c>
      <c r="J4357" s="1">
        <v>45915.378240740742</v>
      </c>
    </row>
    <row r="4358" spans="1:10" x14ac:dyDescent="0.2">
      <c r="A4358" s="4" t="s">
        <v>1</v>
      </c>
      <c r="B4358" s="3" t="str">
        <f>HYPERLINK("https://otsuka-europe-crm.veevavault.com/ui/#object/approved_document__v/V5OZ025E82TFUPI", "Spain - HCP Survey Email - June 2025")</f>
        <v>Spain - HCP Survey Email - June 2025</v>
      </c>
      <c r="C4358" s="3" t="str">
        <f>HYPERLINK("https://otsuka-europe-crm.veevavault.com/ui/#object/sent_email__v/VBLZ025E82GN10L", "SE-000271495")</f>
        <v>SE-000271495</v>
      </c>
      <c r="D4358" s="1" t="s">
        <v>0</v>
      </c>
      <c r="E4358" s="2">
        <v>0</v>
      </c>
      <c r="F4358" s="2">
        <v>0</v>
      </c>
      <c r="G4358" s="2">
        <v>0</v>
      </c>
      <c r="H4358" s="1" t="s">
        <v>0</v>
      </c>
      <c r="I4358" s="2">
        <v>0</v>
      </c>
      <c r="J4358" s="1">
        <v>45915.377986111111</v>
      </c>
    </row>
    <row r="4359" spans="1:10" x14ac:dyDescent="0.2">
      <c r="A4359" s="4" t="s">
        <v>1</v>
      </c>
      <c r="B4359" s="3" t="str">
        <f>HYPERLINK("https://otsuka-europe-crm.veevavault.com/ui/#object/approved_document__v/V5OZ025E82TFUPI", "Spain - HCP Survey Email - June 2025")</f>
        <v>Spain - HCP Survey Email - June 2025</v>
      </c>
      <c r="C4359" s="3" t="str">
        <f>HYPERLINK("https://otsuka-europe-crm.veevavault.com/ui/#object/sent_email__v/VBLZ025E82GN10M", "SE-000271496")</f>
        <v>SE-000271496</v>
      </c>
      <c r="D4359" s="1" t="s">
        <v>0</v>
      </c>
      <c r="E4359" s="2">
        <v>0</v>
      </c>
      <c r="F4359" s="2">
        <v>0</v>
      </c>
      <c r="G4359" s="2">
        <v>0</v>
      </c>
      <c r="H4359" s="1" t="s">
        <v>0</v>
      </c>
      <c r="I4359" s="2">
        <v>0</v>
      </c>
      <c r="J4359" s="1">
        <v>45915.379062499997</v>
      </c>
    </row>
    <row r="4360" spans="1:10" x14ac:dyDescent="0.2">
      <c r="A4360" s="4" t="s">
        <v>1</v>
      </c>
      <c r="B4360" s="3" t="str">
        <f>HYPERLINK("https://otsuka-europe-crm.veevavault.com/ui/#object/approved_document__v/V5OZ025E82TFUPI", "Spain - HCP Survey Email - June 2025")</f>
        <v>Spain - HCP Survey Email - June 2025</v>
      </c>
      <c r="C4360" s="3" t="str">
        <f>HYPERLINK("https://otsuka-europe-crm.veevavault.com/ui/#object/sent_email__v/VBLZ025E82GN10N", "SE-000271497")</f>
        <v>SE-000271497</v>
      </c>
      <c r="D4360" s="1">
        <v>46050.836030092592</v>
      </c>
      <c r="E4360" s="2">
        <v>1</v>
      </c>
      <c r="F4360" s="2">
        <v>8</v>
      </c>
      <c r="G4360" s="2">
        <v>0</v>
      </c>
      <c r="H4360" s="1" t="s">
        <v>0</v>
      </c>
      <c r="I4360" s="2">
        <v>0</v>
      </c>
      <c r="J4360" s="1">
        <v>45915.379537037035</v>
      </c>
    </row>
    <row r="4361" spans="1:10" x14ac:dyDescent="0.2">
      <c r="A4361" s="4" t="s">
        <v>1</v>
      </c>
      <c r="B4361" s="3" t="str">
        <f>HYPERLINK("https://otsuka-europe-crm.veevavault.com/ui/#object/approved_document__v/V5OZ025E82TFUPI", "Spain - HCP Survey Email - June 2025")</f>
        <v>Spain - HCP Survey Email - June 2025</v>
      </c>
      <c r="C4361" s="3" t="str">
        <f>HYPERLINK("https://otsuka-europe-crm.veevavault.com/ui/#object/sent_email__v/VBLZ025E82GN10O", "SE-000271498")</f>
        <v>SE-000271498</v>
      </c>
      <c r="D4361" s="1" t="s">
        <v>0</v>
      </c>
      <c r="E4361" s="2">
        <v>0</v>
      </c>
      <c r="F4361" s="2">
        <v>0</v>
      </c>
      <c r="G4361" s="2">
        <v>0</v>
      </c>
      <c r="H4361" s="1" t="s">
        <v>0</v>
      </c>
      <c r="I4361" s="2">
        <v>0</v>
      </c>
      <c r="J4361" s="1">
        <v>45915.379594907405</v>
      </c>
    </row>
    <row r="4362" spans="1:10" x14ac:dyDescent="0.2">
      <c r="A4362" s="4" t="s">
        <v>1</v>
      </c>
      <c r="B4362" s="3" t="str">
        <f>HYPERLINK("https://otsuka-europe-crm.veevavault.com/ui/#object/approved_document__v/V5OZ025E82TFUPI", "Spain - HCP Survey Email - June 2025")</f>
        <v>Spain - HCP Survey Email - June 2025</v>
      </c>
      <c r="C4362" s="3" t="str">
        <f>HYPERLINK("https://otsuka-europe-crm.veevavault.com/ui/#object/sent_email__v/VBLZ025E82GN10P", "SE-000271499")</f>
        <v>SE-000271499</v>
      </c>
      <c r="D4362" s="1" t="s">
        <v>0</v>
      </c>
      <c r="E4362" s="2">
        <v>0</v>
      </c>
      <c r="F4362" s="2">
        <v>0</v>
      </c>
      <c r="G4362" s="2">
        <v>0</v>
      </c>
      <c r="H4362" s="1" t="s">
        <v>0</v>
      </c>
      <c r="I4362" s="2">
        <v>0</v>
      </c>
      <c r="J4362" s="1">
        <v>45915.377534722225</v>
      </c>
    </row>
    <row r="4363" spans="1:10" x14ac:dyDescent="0.2">
      <c r="A4363" s="4" t="s">
        <v>1</v>
      </c>
      <c r="B4363" s="3" t="str">
        <f>HYPERLINK("https://otsuka-europe-crm.veevavault.com/ui/#object/approved_document__v/V5OZ025E82TFUPI", "Spain - HCP Survey Email - June 2025")</f>
        <v>Spain - HCP Survey Email - June 2025</v>
      </c>
      <c r="C4363" s="3" t="str">
        <f>HYPERLINK("https://otsuka-europe-crm.veevavault.com/ui/#object/sent_email__v/VBLZ025E82GN10Q", "SE-000271500")</f>
        <v>SE-000271500</v>
      </c>
      <c r="D4363" s="1">
        <v>45921.998576388891</v>
      </c>
      <c r="E4363" s="2">
        <v>1</v>
      </c>
      <c r="F4363" s="2">
        <v>1</v>
      </c>
      <c r="G4363" s="2">
        <v>0</v>
      </c>
      <c r="H4363" s="1" t="s">
        <v>0</v>
      </c>
      <c r="I4363" s="2">
        <v>0</v>
      </c>
      <c r="J4363" s="1">
        <v>45915.378368055557</v>
      </c>
    </row>
    <row r="4364" spans="1:10" x14ac:dyDescent="0.2">
      <c r="A4364" s="4" t="s">
        <v>1</v>
      </c>
      <c r="B4364" s="3" t="str">
        <f>HYPERLINK("https://otsuka-europe-crm.veevavault.com/ui/#object/approved_document__v/V5OZ025E82TFUPI", "Spain - HCP Survey Email - June 2025")</f>
        <v>Spain - HCP Survey Email - June 2025</v>
      </c>
      <c r="C4364" s="3" t="str">
        <f>HYPERLINK("https://otsuka-europe-crm.veevavault.com/ui/#object/sent_email__v/VBLZ025E82GN10R", "SE-000271501")</f>
        <v>SE-000271501</v>
      </c>
      <c r="D4364" s="1" t="s">
        <v>0</v>
      </c>
      <c r="E4364" s="2">
        <v>0</v>
      </c>
      <c r="F4364" s="2">
        <v>0</v>
      </c>
      <c r="G4364" s="2">
        <v>0</v>
      </c>
      <c r="H4364" s="1" t="s">
        <v>0</v>
      </c>
      <c r="I4364" s="2">
        <v>0</v>
      </c>
      <c r="J4364" s="1">
        <v>45915.378796296296</v>
      </c>
    </row>
    <row r="4365" spans="1:10" x14ac:dyDescent="0.2">
      <c r="A4365" s="4" t="s">
        <v>1</v>
      </c>
      <c r="B4365" s="3" t="str">
        <f>HYPERLINK("https://otsuka-europe-crm.veevavault.com/ui/#object/approved_document__v/V5OZ025E82TFUPI", "Spain - HCP Survey Email - June 2025")</f>
        <v>Spain - HCP Survey Email - June 2025</v>
      </c>
      <c r="C4365" s="3" t="str">
        <f>HYPERLINK("https://otsuka-europe-crm.veevavault.com/ui/#object/sent_email__v/VBLZ025E82GN10S", "SE-000271502")</f>
        <v>SE-000271502</v>
      </c>
      <c r="D4365" s="1">
        <v>45915.405775462961</v>
      </c>
      <c r="E4365" s="2">
        <v>1</v>
      </c>
      <c r="F4365" s="2">
        <v>1</v>
      </c>
      <c r="G4365" s="2">
        <v>0</v>
      </c>
      <c r="H4365" s="1" t="s">
        <v>0</v>
      </c>
      <c r="I4365" s="2">
        <v>0</v>
      </c>
      <c r="J4365" s="1">
        <v>45915.37872685185</v>
      </c>
    </row>
    <row r="4366" spans="1:10" x14ac:dyDescent="0.2">
      <c r="A4366" s="4" t="s">
        <v>1</v>
      </c>
      <c r="B4366" s="3" t="str">
        <f>HYPERLINK("https://otsuka-europe-crm.veevavault.com/ui/#object/approved_document__v/V5OZ025E82TFUPI", "Spain - HCP Survey Email - June 2025")</f>
        <v>Spain - HCP Survey Email - June 2025</v>
      </c>
      <c r="C4366" s="3" t="str">
        <f>HYPERLINK("https://otsuka-europe-crm.veevavault.com/ui/#object/sent_email__v/VBLZ025E82GN10T", "SE-000271503")</f>
        <v>SE-000271503</v>
      </c>
      <c r="D4366" s="1" t="s">
        <v>0</v>
      </c>
      <c r="E4366" s="2">
        <v>0</v>
      </c>
      <c r="F4366" s="2">
        <v>0</v>
      </c>
      <c r="G4366" s="2">
        <v>0</v>
      </c>
      <c r="H4366" s="1" t="s">
        <v>0</v>
      </c>
      <c r="I4366" s="2">
        <v>0</v>
      </c>
      <c r="J4366" s="1">
        <v>45915.37908564815</v>
      </c>
    </row>
    <row r="4367" spans="1:10" x14ac:dyDescent="0.2">
      <c r="A4367" s="4" t="s">
        <v>1</v>
      </c>
      <c r="B4367" s="3" t="str">
        <f>HYPERLINK("https://otsuka-europe-crm.veevavault.com/ui/#object/approved_document__v/V5OZ025E82TFUPI", "Spain - HCP Survey Email - June 2025")</f>
        <v>Spain - HCP Survey Email - June 2025</v>
      </c>
      <c r="C4367" s="3" t="str">
        <f>HYPERLINK("https://otsuka-europe-crm.veevavault.com/ui/#object/sent_email__v/VBLZ025E82GN10U", "SE-000271504")</f>
        <v>SE-000271504</v>
      </c>
      <c r="D4367" s="1" t="s">
        <v>0</v>
      </c>
      <c r="E4367" s="2">
        <v>0</v>
      </c>
      <c r="F4367" s="2">
        <v>0</v>
      </c>
      <c r="G4367" s="2">
        <v>0</v>
      </c>
      <c r="H4367" s="1" t="s">
        <v>0</v>
      </c>
      <c r="I4367" s="2">
        <v>0</v>
      </c>
      <c r="J4367" s="1">
        <v>45915.378321759257</v>
      </c>
    </row>
    <row r="4368" spans="1:10" x14ac:dyDescent="0.2">
      <c r="A4368" s="4" t="s">
        <v>1</v>
      </c>
      <c r="B4368" s="3" t="str">
        <f>HYPERLINK("https://otsuka-europe-crm.veevavault.com/ui/#object/approved_document__v/V5OZ025E82TFUPI", "Spain - HCP Survey Email - June 2025")</f>
        <v>Spain - HCP Survey Email - June 2025</v>
      </c>
      <c r="C4368" s="3" t="str">
        <f>HYPERLINK("https://otsuka-europe-crm.veevavault.com/ui/#object/sent_email__v/VBLZ025E82GN10W", "SE-000271506")</f>
        <v>SE-000271506</v>
      </c>
      <c r="D4368" s="1" t="s">
        <v>0</v>
      </c>
      <c r="E4368" s="2">
        <v>0</v>
      </c>
      <c r="F4368" s="2">
        <v>0</v>
      </c>
      <c r="G4368" s="2">
        <v>0</v>
      </c>
      <c r="H4368" s="1" t="s">
        <v>0</v>
      </c>
      <c r="I4368" s="2">
        <v>0</v>
      </c>
      <c r="J4368" s="1">
        <v>45915.37872685185</v>
      </c>
    </row>
    <row r="4369" spans="1:10" x14ac:dyDescent="0.2">
      <c r="A4369" s="4" t="s">
        <v>1</v>
      </c>
      <c r="B4369" s="3" t="str">
        <f>HYPERLINK("https://otsuka-europe-crm.veevavault.com/ui/#object/approved_document__v/V5OZ025E82TFUPI", "Spain - HCP Survey Email - June 2025")</f>
        <v>Spain - HCP Survey Email - June 2025</v>
      </c>
      <c r="C4369" s="3" t="str">
        <f>HYPERLINK("https://otsuka-europe-crm.veevavault.com/ui/#object/sent_email__v/VBLZ025E82GN10Y", "SE-000271508")</f>
        <v>SE-000271508</v>
      </c>
      <c r="D4369" s="1" t="s">
        <v>0</v>
      </c>
      <c r="E4369" s="2">
        <v>0</v>
      </c>
      <c r="F4369" s="2">
        <v>0</v>
      </c>
      <c r="G4369" s="2">
        <v>0</v>
      </c>
      <c r="H4369" s="1" t="s">
        <v>0</v>
      </c>
      <c r="I4369" s="2">
        <v>0</v>
      </c>
      <c r="J4369" s="1">
        <v>45915.377847222226</v>
      </c>
    </row>
    <row r="4370" spans="1:10" x14ac:dyDescent="0.2">
      <c r="A4370" s="4" t="s">
        <v>1</v>
      </c>
      <c r="B4370" s="3" t="str">
        <f>HYPERLINK("https://otsuka-europe-crm.veevavault.com/ui/#object/approved_document__v/V5OZ025E82TFUPI", "Spain - HCP Survey Email - June 2025")</f>
        <v>Spain - HCP Survey Email - June 2025</v>
      </c>
      <c r="C4370" s="3" t="str">
        <f>HYPERLINK("https://otsuka-europe-crm.veevavault.com/ui/#object/sent_email__v/VBLZ025E82GN10Z", "SE-000271509")</f>
        <v>SE-000271509</v>
      </c>
      <c r="D4370" s="1">
        <v>45918.701979166668</v>
      </c>
      <c r="E4370" s="2">
        <v>1</v>
      </c>
      <c r="F4370" s="2">
        <v>1</v>
      </c>
      <c r="G4370" s="2">
        <v>0</v>
      </c>
      <c r="H4370" s="1" t="s">
        <v>0</v>
      </c>
      <c r="I4370" s="2">
        <v>0</v>
      </c>
      <c r="J4370" s="1">
        <v>45915.378229166665</v>
      </c>
    </row>
    <row r="4371" spans="1:10" x14ac:dyDescent="0.2">
      <c r="A4371" s="4" t="s">
        <v>1</v>
      </c>
      <c r="B4371" s="3" t="str">
        <f>HYPERLINK("https://otsuka-europe-crm.veevavault.com/ui/#object/approved_document__v/V5OZ025E82TFUPI", "Spain - HCP Survey Email - June 2025")</f>
        <v>Spain - HCP Survey Email - June 2025</v>
      </c>
      <c r="C4371" s="3" t="str">
        <f>HYPERLINK("https://otsuka-europe-crm.veevavault.com/ui/#object/sent_email__v/VBLZ025E82GN110", "SE-000271510")</f>
        <v>SE-000271510</v>
      </c>
      <c r="D4371" s="1" t="s">
        <v>0</v>
      </c>
      <c r="E4371" s="2">
        <v>0</v>
      </c>
      <c r="F4371" s="2">
        <v>0</v>
      </c>
      <c r="G4371" s="2">
        <v>0</v>
      </c>
      <c r="H4371" s="1" t="s">
        <v>0</v>
      </c>
      <c r="I4371" s="2">
        <v>0</v>
      </c>
      <c r="J4371" s="1">
        <v>45915.377997685187</v>
      </c>
    </row>
    <row r="4372" spans="1:10" x14ac:dyDescent="0.2">
      <c r="A4372" s="4" t="s">
        <v>1</v>
      </c>
      <c r="B4372" s="3" t="str">
        <f>HYPERLINK("https://otsuka-europe-crm.veevavault.com/ui/#object/approved_document__v/V5OZ025E82TFUPI", "Spain - HCP Survey Email - June 2025")</f>
        <v>Spain - HCP Survey Email - June 2025</v>
      </c>
      <c r="C4372" s="3" t="str">
        <f>HYPERLINK("https://otsuka-europe-crm.veevavault.com/ui/#object/sent_email__v/VBLZ025E82GN111", "SE-000271511")</f>
        <v>SE-000271511</v>
      </c>
      <c r="D4372" s="1">
        <v>45916.396064814813</v>
      </c>
      <c r="E4372" s="2">
        <v>1</v>
      </c>
      <c r="F4372" s="2">
        <v>1</v>
      </c>
      <c r="G4372" s="2">
        <v>0</v>
      </c>
      <c r="H4372" s="1" t="s">
        <v>0</v>
      </c>
      <c r="I4372" s="2">
        <v>0</v>
      </c>
      <c r="J4372" s="1">
        <v>45915.379004629627</v>
      </c>
    </row>
    <row r="4373" spans="1:10" x14ac:dyDescent="0.2">
      <c r="A4373" s="4" t="s">
        <v>1</v>
      </c>
      <c r="B4373" s="3" t="str">
        <f>HYPERLINK("https://otsuka-europe-crm.veevavault.com/ui/#object/approved_document__v/V5OZ025E82TFUPI", "Spain - HCP Survey Email - June 2025")</f>
        <v>Spain - HCP Survey Email - June 2025</v>
      </c>
      <c r="C4373" s="3" t="str">
        <f>HYPERLINK("https://otsuka-europe-crm.veevavault.com/ui/#object/sent_email__v/VBLZ025E82GN112", "SE-000271512")</f>
        <v>SE-000271512</v>
      </c>
      <c r="D4373" s="1" t="s">
        <v>0</v>
      </c>
      <c r="E4373" s="2">
        <v>0</v>
      </c>
      <c r="F4373" s="2">
        <v>0</v>
      </c>
      <c r="G4373" s="2">
        <v>0</v>
      </c>
      <c r="H4373" s="1" t="s">
        <v>0</v>
      </c>
      <c r="I4373" s="2">
        <v>0</v>
      </c>
      <c r="J4373" s="1">
        <v>45915.379756944443</v>
      </c>
    </row>
    <row r="4374" spans="1:10" x14ac:dyDescent="0.2">
      <c r="A4374" s="4" t="s">
        <v>1</v>
      </c>
      <c r="B4374" s="3" t="str">
        <f>HYPERLINK("https://otsuka-europe-crm.veevavault.com/ui/#object/approved_document__v/V5OZ025E82TFUPI", "Spain - HCP Survey Email - June 2025")</f>
        <v>Spain - HCP Survey Email - June 2025</v>
      </c>
      <c r="C4374" s="3" t="str">
        <f>HYPERLINK("https://otsuka-europe-crm.veevavault.com/ui/#object/sent_email__v/VBLZ025E82GN113", "SE-000271513")</f>
        <v>SE-000271513</v>
      </c>
      <c r="D4374" s="1">
        <v>45916.486956018518</v>
      </c>
      <c r="E4374" s="2">
        <v>1</v>
      </c>
      <c r="F4374" s="2">
        <v>2</v>
      </c>
      <c r="G4374" s="2">
        <v>0</v>
      </c>
      <c r="H4374" s="1" t="s">
        <v>0</v>
      </c>
      <c r="I4374" s="2">
        <v>0</v>
      </c>
      <c r="J4374" s="1">
        <v>45915.379479166666</v>
      </c>
    </row>
    <row r="4375" spans="1:10" x14ac:dyDescent="0.2">
      <c r="A4375" s="4" t="s">
        <v>1</v>
      </c>
      <c r="B4375" s="3" t="str">
        <f>HYPERLINK("https://otsuka-europe-crm.veevavault.com/ui/#object/approved_document__v/V5OZ025E82TFUPI", "Spain - HCP Survey Email - June 2025")</f>
        <v>Spain - HCP Survey Email - June 2025</v>
      </c>
      <c r="C4375" s="3" t="str">
        <f>HYPERLINK("https://otsuka-europe-crm.veevavault.com/ui/#object/sent_email__v/VBLZ025E82GN114", "SE-000271514")</f>
        <v>SE-000271514</v>
      </c>
      <c r="D4375" s="1" t="s">
        <v>0</v>
      </c>
      <c r="E4375" s="2">
        <v>0</v>
      </c>
      <c r="F4375" s="2">
        <v>0</v>
      </c>
      <c r="G4375" s="2">
        <v>0</v>
      </c>
      <c r="H4375" s="1" t="s">
        <v>0</v>
      </c>
      <c r="I4375" s="2">
        <v>0</v>
      </c>
      <c r="J4375" s="1">
        <v>45915.377557870372</v>
      </c>
    </row>
    <row r="4376" spans="1:10" x14ac:dyDescent="0.2">
      <c r="A4376" s="4" t="s">
        <v>1</v>
      </c>
      <c r="B4376" s="3" t="str">
        <f>HYPERLINK("https://otsuka-europe-crm.veevavault.com/ui/#object/approved_document__v/V5OZ025E82TFUPI", "Spain - HCP Survey Email - June 2025")</f>
        <v>Spain - HCP Survey Email - June 2025</v>
      </c>
      <c r="C4376" s="3" t="str">
        <f>HYPERLINK("https://otsuka-europe-crm.veevavault.com/ui/#object/sent_email__v/VBLZ025E82GN115", "SE-000271515")</f>
        <v>SE-000271515</v>
      </c>
      <c r="D4376" s="1">
        <v>45915.623252314814</v>
      </c>
      <c r="E4376" s="2">
        <v>1</v>
      </c>
      <c r="F4376" s="2">
        <v>2</v>
      </c>
      <c r="G4376" s="2">
        <v>0</v>
      </c>
      <c r="H4376" s="1" t="s">
        <v>0</v>
      </c>
      <c r="I4376" s="2">
        <v>0</v>
      </c>
      <c r="J4376" s="1">
        <v>45915.378368055557</v>
      </c>
    </row>
    <row r="4377" spans="1:10" x14ac:dyDescent="0.2">
      <c r="A4377" s="4" t="s">
        <v>1</v>
      </c>
      <c r="B4377" s="3" t="str">
        <f>HYPERLINK("https://otsuka-europe-crm.veevavault.com/ui/#object/approved_document__v/V5OZ025E82TFUPI", "Spain - HCP Survey Email - June 2025")</f>
        <v>Spain - HCP Survey Email - June 2025</v>
      </c>
      <c r="C4377" s="3" t="str">
        <f>HYPERLINK("https://otsuka-europe-crm.veevavault.com/ui/#object/sent_email__v/VBLZ025E82GN116", "SE-000271516")</f>
        <v>SE-000271516</v>
      </c>
      <c r="D4377" s="1">
        <v>45915.524710648147</v>
      </c>
      <c r="E4377" s="2">
        <v>1</v>
      </c>
      <c r="F4377" s="2">
        <v>1</v>
      </c>
      <c r="G4377" s="2">
        <v>0</v>
      </c>
      <c r="H4377" s="1" t="s">
        <v>0</v>
      </c>
      <c r="I4377" s="2">
        <v>0</v>
      </c>
      <c r="J4377" s="1">
        <v>45915.378877314812</v>
      </c>
    </row>
    <row r="4378" spans="1:10" x14ac:dyDescent="0.2">
      <c r="A4378" s="4" t="s">
        <v>1</v>
      </c>
      <c r="B4378" s="3" t="str">
        <f>HYPERLINK("https://otsuka-europe-crm.veevavault.com/ui/#object/approved_document__v/V5OZ025E82TFUPI", "Spain - HCP Survey Email - June 2025")</f>
        <v>Spain - HCP Survey Email - June 2025</v>
      </c>
      <c r="C4378" s="3" t="str">
        <f>HYPERLINK("https://otsuka-europe-crm.veevavault.com/ui/#object/sent_email__v/VBLZ025E82GN117", "SE-000271517")</f>
        <v>SE-000271517</v>
      </c>
      <c r="D4378" s="1" t="s">
        <v>0</v>
      </c>
      <c r="E4378" s="2">
        <v>0</v>
      </c>
      <c r="F4378" s="2">
        <v>0</v>
      </c>
      <c r="G4378" s="2">
        <v>0</v>
      </c>
      <c r="H4378" s="1" t="s">
        <v>0</v>
      </c>
      <c r="I4378" s="2">
        <v>0</v>
      </c>
      <c r="J4378" s="1">
        <v>45915.378784722219</v>
      </c>
    </row>
    <row r="4379" spans="1:10" x14ac:dyDescent="0.2">
      <c r="A4379" s="4" t="s">
        <v>1</v>
      </c>
      <c r="B4379" s="3" t="str">
        <f>HYPERLINK("https://otsuka-europe-crm.veevavault.com/ui/#object/approved_document__v/V5OZ025E82TFUPI", "Spain - HCP Survey Email - June 2025")</f>
        <v>Spain - HCP Survey Email - June 2025</v>
      </c>
      <c r="C4379" s="3" t="str">
        <f>HYPERLINK("https://otsuka-europe-crm.veevavault.com/ui/#object/sent_email__v/VBLZ025E82GN118", "SE-000271518")</f>
        <v>SE-000271518</v>
      </c>
      <c r="D4379" s="1" t="s">
        <v>0</v>
      </c>
      <c r="E4379" s="2">
        <v>0</v>
      </c>
      <c r="F4379" s="2">
        <v>0</v>
      </c>
      <c r="G4379" s="2">
        <v>0</v>
      </c>
      <c r="H4379" s="1" t="s">
        <v>0</v>
      </c>
      <c r="I4379" s="2">
        <v>0</v>
      </c>
      <c r="J4379" s="1">
        <v>45915.37908564815</v>
      </c>
    </row>
    <row r="4380" spans="1:10" x14ac:dyDescent="0.2">
      <c r="A4380" s="4" t="s">
        <v>1</v>
      </c>
      <c r="B4380" s="3" t="str">
        <f>HYPERLINK("https://otsuka-europe-crm.veevavault.com/ui/#object/approved_document__v/V5OZ025E82TFUPI", "Spain - HCP Survey Email - June 2025")</f>
        <v>Spain - HCP Survey Email - June 2025</v>
      </c>
      <c r="C4380" s="3" t="str">
        <f>HYPERLINK("https://otsuka-europe-crm.veevavault.com/ui/#object/sent_email__v/VBLZ025E82GN119", "SE-000271519")</f>
        <v>SE-000271519</v>
      </c>
      <c r="D4380" s="1">
        <v>45917.009444444448</v>
      </c>
      <c r="E4380" s="2">
        <v>1</v>
      </c>
      <c r="F4380" s="2">
        <v>1</v>
      </c>
      <c r="G4380" s="2">
        <v>0</v>
      </c>
      <c r="H4380" s="1" t="s">
        <v>0</v>
      </c>
      <c r="I4380" s="2">
        <v>0</v>
      </c>
      <c r="J4380" s="1">
        <v>45915.377835648149</v>
      </c>
    </row>
    <row r="4381" spans="1:10" x14ac:dyDescent="0.2">
      <c r="A4381" s="4" t="s">
        <v>1</v>
      </c>
      <c r="B4381" s="3" t="str">
        <f>HYPERLINK("https://otsuka-europe-crm.veevavault.com/ui/#object/approved_document__v/V5OZ025E82TFUPI", "Spain - HCP Survey Email - June 2025")</f>
        <v>Spain - HCP Survey Email - June 2025</v>
      </c>
      <c r="C4381" s="3" t="str">
        <f>HYPERLINK("https://otsuka-europe-crm.veevavault.com/ui/#object/sent_email__v/VBLZ025E82GN11A", "SE-000271520")</f>
        <v>SE-000271520</v>
      </c>
      <c r="D4381" s="1">
        <v>45915.394791666666</v>
      </c>
      <c r="E4381" s="2">
        <v>1</v>
      </c>
      <c r="F4381" s="2">
        <v>1</v>
      </c>
      <c r="G4381" s="2">
        <v>0</v>
      </c>
      <c r="H4381" s="1" t="s">
        <v>0</v>
      </c>
      <c r="I4381" s="2">
        <v>0</v>
      </c>
      <c r="J4381" s="1">
        <v>45915.377581018518</v>
      </c>
    </row>
    <row r="4382" spans="1:10" x14ac:dyDescent="0.2">
      <c r="A4382" s="4" t="s">
        <v>1</v>
      </c>
      <c r="B4382" s="3" t="str">
        <f>HYPERLINK("https://otsuka-europe-crm.veevavault.com/ui/#object/approved_document__v/V5OZ025E82TFUPI", "Spain - HCP Survey Email - June 2025")</f>
        <v>Spain - HCP Survey Email - June 2025</v>
      </c>
      <c r="C4382" s="3" t="str">
        <f>HYPERLINK("https://otsuka-europe-crm.veevavault.com/ui/#object/sent_email__v/VBLZ025E82GN11B", "SE-000271521")</f>
        <v>SE-000271521</v>
      </c>
      <c r="D4382" s="1">
        <v>45916.753993055558</v>
      </c>
      <c r="E4382" s="2">
        <v>1</v>
      </c>
      <c r="F4382" s="2">
        <v>3</v>
      </c>
      <c r="G4382" s="2">
        <v>0</v>
      </c>
      <c r="H4382" s="1" t="s">
        <v>0</v>
      </c>
      <c r="I4382" s="2">
        <v>0</v>
      </c>
      <c r="J4382" s="1">
        <v>45915.378032407411</v>
      </c>
    </row>
    <row r="4383" spans="1:10" x14ac:dyDescent="0.2">
      <c r="A4383" s="4" t="s">
        <v>1</v>
      </c>
      <c r="B4383" s="3" t="str">
        <f>HYPERLINK("https://otsuka-europe-crm.veevavault.com/ui/#object/approved_document__v/V5OZ025E82TFUPI", "Spain - HCP Survey Email - June 2025")</f>
        <v>Spain - HCP Survey Email - June 2025</v>
      </c>
      <c r="C4383" s="3" t="str">
        <f>HYPERLINK("https://otsuka-europe-crm.veevavault.com/ui/#object/sent_email__v/VBLZ025E82GN11C", "SE-000271522")</f>
        <v>SE-000271522</v>
      </c>
      <c r="D4383" s="1" t="s">
        <v>0</v>
      </c>
      <c r="E4383" s="2">
        <v>0</v>
      </c>
      <c r="F4383" s="2">
        <v>0</v>
      </c>
      <c r="G4383" s="2">
        <v>0</v>
      </c>
      <c r="H4383" s="1" t="s">
        <v>0</v>
      </c>
      <c r="I4383" s="2">
        <v>0</v>
      </c>
      <c r="J4383" s="1">
        <v>45915.379074074073</v>
      </c>
    </row>
    <row r="4384" spans="1:10" x14ac:dyDescent="0.2">
      <c r="A4384" s="4" t="s">
        <v>1</v>
      </c>
      <c r="B4384" s="3" t="str">
        <f>HYPERLINK("https://otsuka-europe-crm.veevavault.com/ui/#object/approved_document__v/V5OZ025E82TFUPI", "Spain - HCP Survey Email - June 2025")</f>
        <v>Spain - HCP Survey Email - June 2025</v>
      </c>
      <c r="C4384" s="3" t="str">
        <f>HYPERLINK("https://otsuka-europe-crm.veevavault.com/ui/#object/sent_email__v/VBLZ025E82GN11D", "SE-000271523")</f>
        <v>SE-000271523</v>
      </c>
      <c r="D4384" s="1" t="s">
        <v>0</v>
      </c>
      <c r="E4384" s="2">
        <v>0</v>
      </c>
      <c r="F4384" s="2">
        <v>0</v>
      </c>
      <c r="G4384" s="2">
        <v>0</v>
      </c>
      <c r="H4384" s="1" t="s">
        <v>0</v>
      </c>
      <c r="I4384" s="2">
        <v>0</v>
      </c>
      <c r="J4384" s="1">
        <v>45915.379699074074</v>
      </c>
    </row>
    <row r="4385" spans="1:10" x14ac:dyDescent="0.2">
      <c r="A4385" s="4" t="s">
        <v>1</v>
      </c>
      <c r="B4385" s="3" t="str">
        <f>HYPERLINK("https://otsuka-europe-crm.veevavault.com/ui/#object/approved_document__v/V5OZ025E82TFUPI", "Spain - HCP Survey Email - June 2025")</f>
        <v>Spain - HCP Survey Email - June 2025</v>
      </c>
      <c r="C4385" s="3" t="str">
        <f>HYPERLINK("https://otsuka-europe-crm.veevavault.com/ui/#object/sent_email__v/VBLZ025E82GN11E", "SE-000271524")</f>
        <v>SE-000271524</v>
      </c>
      <c r="D4385" s="1" t="s">
        <v>0</v>
      </c>
      <c r="E4385" s="2">
        <v>0</v>
      </c>
      <c r="F4385" s="2">
        <v>0</v>
      </c>
      <c r="G4385" s="2">
        <v>0</v>
      </c>
      <c r="H4385" s="1" t="s">
        <v>0</v>
      </c>
      <c r="I4385" s="2">
        <v>0</v>
      </c>
      <c r="J4385" s="1">
        <v>45915.379513888889</v>
      </c>
    </row>
    <row r="4386" spans="1:10" x14ac:dyDescent="0.2">
      <c r="A4386" s="4" t="s">
        <v>1</v>
      </c>
      <c r="B4386" s="3" t="str">
        <f>HYPERLINK("https://otsuka-europe-crm.veevavault.com/ui/#object/approved_document__v/V5OZ025E82TFUPI", "Spain - HCP Survey Email - June 2025")</f>
        <v>Spain - HCP Survey Email - June 2025</v>
      </c>
      <c r="C4386" s="3" t="str">
        <f>HYPERLINK("https://otsuka-europe-crm.veevavault.com/ui/#object/sent_email__v/VBLZ025E82GN11F", "SE-000271525")</f>
        <v>SE-000271525</v>
      </c>
      <c r="D4386" s="1">
        <v>45935.954583333332</v>
      </c>
      <c r="E4386" s="2">
        <v>1</v>
      </c>
      <c r="F4386" s="2">
        <v>6</v>
      </c>
      <c r="G4386" s="2">
        <v>1</v>
      </c>
      <c r="H4386" s="1">
        <v>45915.526145833333</v>
      </c>
      <c r="I4386" s="2">
        <v>1</v>
      </c>
      <c r="J4386" s="1">
        <v>45915.377523148149</v>
      </c>
    </row>
    <row r="4387" spans="1:10" x14ac:dyDescent="0.2">
      <c r="A4387" s="4" t="s">
        <v>1</v>
      </c>
      <c r="B4387" s="3" t="str">
        <f>HYPERLINK("https://otsuka-europe-crm.veevavault.com/ui/#object/approved_document__v/V5OZ025E82TFUPI", "Spain - HCP Survey Email - June 2025")</f>
        <v>Spain - HCP Survey Email - June 2025</v>
      </c>
      <c r="C4387" s="3" t="str">
        <f>HYPERLINK("https://otsuka-europe-crm.veevavault.com/ui/#object/sent_email__v/VBLZ025E82GN11G", "SE-000271526")</f>
        <v>SE-000271526</v>
      </c>
      <c r="D4387" s="1">
        <v>45944.505844907406</v>
      </c>
      <c r="E4387" s="2">
        <v>1</v>
      </c>
      <c r="F4387" s="2">
        <v>5</v>
      </c>
      <c r="G4387" s="2">
        <v>0</v>
      </c>
      <c r="H4387" s="1" t="s">
        <v>0</v>
      </c>
      <c r="I4387" s="2">
        <v>0</v>
      </c>
      <c r="J4387" s="1">
        <v>45915.378344907411</v>
      </c>
    </row>
    <row r="4388" spans="1:10" x14ac:dyDescent="0.2">
      <c r="A4388" s="4" t="s">
        <v>1</v>
      </c>
      <c r="B4388" s="3" t="str">
        <f>HYPERLINK("https://otsuka-europe-crm.veevavault.com/ui/#object/approved_document__v/V5OZ025E82TFUPI", "Spain - HCP Survey Email - June 2025")</f>
        <v>Spain - HCP Survey Email - June 2025</v>
      </c>
      <c r="C4388" s="3" t="str">
        <f>HYPERLINK("https://otsuka-europe-crm.veevavault.com/ui/#object/sent_email__v/VBLZ025E82GN11H", "SE-000271527")</f>
        <v>SE-000271527</v>
      </c>
      <c r="D4388" s="1">
        <v>45915.380648148152</v>
      </c>
      <c r="E4388" s="2">
        <v>1</v>
      </c>
      <c r="F4388" s="2">
        <v>1</v>
      </c>
      <c r="G4388" s="2">
        <v>0</v>
      </c>
      <c r="H4388" s="1" t="s">
        <v>0</v>
      </c>
      <c r="I4388" s="2">
        <v>0</v>
      </c>
      <c r="J4388" s="1">
        <v>45915.378842592596</v>
      </c>
    </row>
    <row r="4389" spans="1:10" x14ac:dyDescent="0.2">
      <c r="A4389" s="4" t="s">
        <v>1</v>
      </c>
      <c r="B4389" s="3" t="str">
        <f>HYPERLINK("https://otsuka-europe-crm.veevavault.com/ui/#object/approved_document__v/V5OZ025E82TFUPI", "Spain - HCP Survey Email - June 2025")</f>
        <v>Spain - HCP Survey Email - June 2025</v>
      </c>
      <c r="C4389" s="3" t="str">
        <f>HYPERLINK("https://otsuka-europe-crm.veevavault.com/ui/#object/sent_email__v/VBLZ025E82GN11I", "SE-000271528")</f>
        <v>SE-000271528</v>
      </c>
      <c r="D4389" s="1">
        <v>45915.390868055554</v>
      </c>
      <c r="E4389" s="2">
        <v>1</v>
      </c>
      <c r="F4389" s="2">
        <v>1</v>
      </c>
      <c r="G4389" s="2">
        <v>0</v>
      </c>
      <c r="H4389" s="1" t="s">
        <v>0</v>
      </c>
      <c r="I4389" s="2">
        <v>0</v>
      </c>
      <c r="J4389" s="1">
        <v>45915.378622685188</v>
      </c>
    </row>
    <row r="4390" spans="1:10" x14ac:dyDescent="0.2">
      <c r="A4390" s="4" t="s">
        <v>1</v>
      </c>
      <c r="B4390" s="3" t="str">
        <f>HYPERLINK("https://otsuka-europe-crm.veevavault.com/ui/#object/approved_document__v/V5OZ025E82TFUPI", "Spain - HCP Survey Email - June 2025")</f>
        <v>Spain - HCP Survey Email - June 2025</v>
      </c>
      <c r="C4390" s="3" t="str">
        <f>HYPERLINK("https://otsuka-europe-crm.veevavault.com/ui/#object/sent_email__v/VBLZ025E82GN11J", "SE-000271529")</f>
        <v>SE-000271529</v>
      </c>
      <c r="D4390" s="1" t="s">
        <v>0</v>
      </c>
      <c r="E4390" s="2">
        <v>0</v>
      </c>
      <c r="F4390" s="2">
        <v>0</v>
      </c>
      <c r="G4390" s="2">
        <v>0</v>
      </c>
      <c r="H4390" s="1" t="s">
        <v>0</v>
      </c>
      <c r="I4390" s="2">
        <v>0</v>
      </c>
      <c r="J4390" s="1">
        <v>45915.379155092596</v>
      </c>
    </row>
    <row r="4391" spans="1:10" x14ac:dyDescent="0.2">
      <c r="A4391" s="4" t="s">
        <v>1</v>
      </c>
      <c r="B4391" s="3" t="str">
        <f>HYPERLINK("https://otsuka-europe-crm.veevavault.com/ui/#object/approved_document__v/V5OZ025E82TFUPI", "Spain - HCP Survey Email - June 2025")</f>
        <v>Spain - HCP Survey Email - June 2025</v>
      </c>
      <c r="C4391" s="3" t="str">
        <f>HYPERLINK("https://otsuka-europe-crm.veevavault.com/ui/#object/sent_email__v/VBLZ025E82GN11K", "SE-000271530")</f>
        <v>SE-000271530</v>
      </c>
      <c r="D4391" s="1">
        <v>45915.957673611112</v>
      </c>
      <c r="E4391" s="2">
        <v>1</v>
      </c>
      <c r="F4391" s="2">
        <v>1</v>
      </c>
      <c r="G4391" s="2">
        <v>0</v>
      </c>
      <c r="H4391" s="1" t="s">
        <v>0</v>
      </c>
      <c r="I4391" s="2">
        <v>0</v>
      </c>
      <c r="J4391" s="1">
        <v>45915.377372685187</v>
      </c>
    </row>
    <row r="4392" spans="1:10" x14ac:dyDescent="0.2">
      <c r="A4392" s="4" t="s">
        <v>1</v>
      </c>
      <c r="B4392" s="3" t="str">
        <f>HYPERLINK("https://otsuka-europe-crm.veevavault.com/ui/#object/approved_document__v/V5OZ025E82TFUPI", "Spain - HCP Survey Email - June 2025")</f>
        <v>Spain - HCP Survey Email - June 2025</v>
      </c>
      <c r="C4392" s="3" t="str">
        <f>HYPERLINK("https://otsuka-europe-crm.veevavault.com/ui/#object/sent_email__v/VBLZ025E82GN11L", "SE-000271531")</f>
        <v>SE-000271531</v>
      </c>
      <c r="D4392" s="1" t="s">
        <v>0</v>
      </c>
      <c r="E4392" s="2">
        <v>0</v>
      </c>
      <c r="F4392" s="2">
        <v>0</v>
      </c>
      <c r="G4392" s="2">
        <v>0</v>
      </c>
      <c r="H4392" s="1" t="s">
        <v>0</v>
      </c>
      <c r="I4392" s="2">
        <v>0</v>
      </c>
      <c r="J4392" s="1">
        <v>45915.378298611111</v>
      </c>
    </row>
    <row r="4393" spans="1:10" x14ac:dyDescent="0.2">
      <c r="A4393" s="4" t="s">
        <v>1</v>
      </c>
      <c r="B4393" s="3" t="str">
        <f>HYPERLINK("https://otsuka-europe-crm.veevavault.com/ui/#object/approved_document__v/V5OZ025E82TFUPI", "Spain - HCP Survey Email - June 2025")</f>
        <v>Spain - HCP Survey Email - June 2025</v>
      </c>
      <c r="C4393" s="3" t="str">
        <f>HYPERLINK("https://otsuka-europe-crm.veevavault.com/ui/#object/sent_email__v/VBLZ025E82GN11M", "SE-000271532")</f>
        <v>SE-000271532</v>
      </c>
      <c r="D4393" s="1" t="s">
        <v>0</v>
      </c>
      <c r="E4393" s="2">
        <v>0</v>
      </c>
      <c r="F4393" s="2">
        <v>0</v>
      </c>
      <c r="G4393" s="2">
        <v>0</v>
      </c>
      <c r="H4393" s="1" t="s">
        <v>0</v>
      </c>
      <c r="I4393" s="2">
        <v>0</v>
      </c>
      <c r="J4393" s="1">
        <v>45915.378912037035</v>
      </c>
    </row>
    <row r="4394" spans="1:10" x14ac:dyDescent="0.2">
      <c r="A4394" s="4" t="s">
        <v>1</v>
      </c>
      <c r="B4394" s="3" t="str">
        <f>HYPERLINK("https://otsuka-europe-crm.veevavault.com/ui/#object/approved_document__v/V5OZ025E82TFUPI", "Spain - HCP Survey Email - June 2025")</f>
        <v>Spain - HCP Survey Email - June 2025</v>
      </c>
      <c r="C4394" s="3" t="str">
        <f>HYPERLINK("https://otsuka-europe-crm.veevavault.com/ui/#object/sent_email__v/VBLZ025E82GN11N", "SE-000271533")</f>
        <v>SE-000271533</v>
      </c>
      <c r="D4394" s="1" t="s">
        <v>0</v>
      </c>
      <c r="E4394" s="2">
        <v>0</v>
      </c>
      <c r="F4394" s="2">
        <v>0</v>
      </c>
      <c r="G4394" s="2">
        <v>0</v>
      </c>
      <c r="H4394" s="1" t="s">
        <v>0</v>
      </c>
      <c r="I4394" s="2">
        <v>0</v>
      </c>
      <c r="J4394" s="1">
        <v>45915.378668981481</v>
      </c>
    </row>
    <row r="4395" spans="1:10" x14ac:dyDescent="0.2">
      <c r="A4395" s="4" t="s">
        <v>1</v>
      </c>
      <c r="B4395" s="3" t="str">
        <f>HYPERLINK("https://otsuka-europe-crm.veevavault.com/ui/#object/approved_document__v/V5OZ025E82TFUPI", "Spain - HCP Survey Email - June 2025")</f>
        <v>Spain - HCP Survey Email - June 2025</v>
      </c>
      <c r="C4395" s="3" t="str">
        <f>HYPERLINK("https://otsuka-europe-crm.veevavault.com/ui/#object/sent_email__v/VBLZ025E82GN11O", "SE-000271534")</f>
        <v>SE-000271534</v>
      </c>
      <c r="D4395" s="1" t="s">
        <v>0</v>
      </c>
      <c r="E4395" s="2">
        <v>0</v>
      </c>
      <c r="F4395" s="2">
        <v>0</v>
      </c>
      <c r="G4395" s="2">
        <v>0</v>
      </c>
      <c r="H4395" s="1" t="s">
        <v>0</v>
      </c>
      <c r="I4395" s="2">
        <v>0</v>
      </c>
      <c r="J4395" s="1">
        <v>45915.379178240742</v>
      </c>
    </row>
    <row r="4396" spans="1:10" x14ac:dyDescent="0.2">
      <c r="A4396" s="4" t="s">
        <v>1</v>
      </c>
      <c r="B4396" s="3" t="str">
        <f>HYPERLINK("https://otsuka-europe-crm.veevavault.com/ui/#object/approved_document__v/V5OZ025E82TFUPI", "Spain - HCP Survey Email - June 2025")</f>
        <v>Spain - HCP Survey Email - June 2025</v>
      </c>
      <c r="C4396" s="3" t="str">
        <f>HYPERLINK("https://otsuka-europe-crm.veevavault.com/ui/#object/sent_email__v/VBLZ025E82GN11P", "SE-000271535")</f>
        <v>SE-000271535</v>
      </c>
      <c r="D4396" s="1">
        <v>45926.772152777776</v>
      </c>
      <c r="E4396" s="2">
        <v>1</v>
      </c>
      <c r="F4396" s="2">
        <v>1</v>
      </c>
      <c r="G4396" s="2">
        <v>1</v>
      </c>
      <c r="H4396" s="1">
        <v>45926.772418981483</v>
      </c>
      <c r="I4396" s="2">
        <v>1</v>
      </c>
      <c r="J4396" s="1">
        <v>45915.377800925926</v>
      </c>
    </row>
    <row r="4397" spans="1:10" x14ac:dyDescent="0.2">
      <c r="A4397" s="4" t="s">
        <v>1</v>
      </c>
      <c r="B4397" s="3" t="str">
        <f>HYPERLINK("https://otsuka-europe-crm.veevavault.com/ui/#object/approved_document__v/V5OZ025E82TFUPI", "Spain - HCP Survey Email - June 2025")</f>
        <v>Spain - HCP Survey Email - June 2025</v>
      </c>
      <c r="C4397" s="3" t="str">
        <f>HYPERLINK("https://otsuka-europe-crm.veevavault.com/ui/#object/sent_email__v/VBLZ025E82GN11Q", "SE-000271536")</f>
        <v>SE-000271536</v>
      </c>
      <c r="D4397" s="1">
        <v>45915.429166666669</v>
      </c>
      <c r="E4397" s="2">
        <v>1</v>
      </c>
      <c r="F4397" s="2">
        <v>1</v>
      </c>
      <c r="G4397" s="2">
        <v>0</v>
      </c>
      <c r="H4397" s="1" t="s">
        <v>0</v>
      </c>
      <c r="I4397" s="2">
        <v>0</v>
      </c>
      <c r="J4397" s="1">
        <v>45915.377557870372</v>
      </c>
    </row>
    <row r="4398" spans="1:10" x14ac:dyDescent="0.2">
      <c r="A4398" s="4" t="s">
        <v>1</v>
      </c>
      <c r="B4398" s="3" t="str">
        <f>HYPERLINK("https://otsuka-europe-crm.veevavault.com/ui/#object/approved_document__v/V5OZ025E82TFUPI", "Spain - HCP Survey Email - June 2025")</f>
        <v>Spain - HCP Survey Email - June 2025</v>
      </c>
      <c r="C4398" s="3" t="str">
        <f>HYPERLINK("https://otsuka-europe-crm.veevavault.com/ui/#object/sent_email__v/VBLZ025E82GN11R", "SE-000271537")</f>
        <v>SE-000271537</v>
      </c>
      <c r="D4398" s="1" t="s">
        <v>0</v>
      </c>
      <c r="E4398" s="2">
        <v>0</v>
      </c>
      <c r="F4398" s="2">
        <v>0</v>
      </c>
      <c r="G4398" s="2">
        <v>0</v>
      </c>
      <c r="H4398" s="1" t="s">
        <v>0</v>
      </c>
      <c r="I4398" s="2">
        <v>0</v>
      </c>
      <c r="J4398" s="1">
        <v>45915.378032407411</v>
      </c>
    </row>
    <row r="4399" spans="1:10" x14ac:dyDescent="0.2">
      <c r="A4399" s="4" t="s">
        <v>1</v>
      </c>
      <c r="B4399" s="3" t="str">
        <f>HYPERLINK("https://otsuka-europe-crm.veevavault.com/ui/#object/approved_document__v/V5OZ025E82TFUPI", "Spain - HCP Survey Email - June 2025")</f>
        <v>Spain - HCP Survey Email - June 2025</v>
      </c>
      <c r="C4399" s="3" t="str">
        <f>HYPERLINK("https://otsuka-europe-crm.veevavault.com/ui/#object/sent_email__v/VBLZ025E82GN11S", "SE-000271538")</f>
        <v>SE-000271538</v>
      </c>
      <c r="D4399" s="1" t="s">
        <v>0</v>
      </c>
      <c r="E4399" s="2">
        <v>0</v>
      </c>
      <c r="F4399" s="2">
        <v>0</v>
      </c>
      <c r="G4399" s="2">
        <v>0</v>
      </c>
      <c r="H4399" s="1" t="s">
        <v>0</v>
      </c>
      <c r="I4399" s="2">
        <v>0</v>
      </c>
      <c r="J4399" s="1">
        <v>45915.379016203704</v>
      </c>
    </row>
    <row r="4400" spans="1:10" x14ac:dyDescent="0.2">
      <c r="A4400" s="4" t="s">
        <v>1</v>
      </c>
      <c r="B4400" s="3" t="str">
        <f>HYPERLINK("https://otsuka-europe-crm.veevavault.com/ui/#object/approved_document__v/V5OZ025E82TFUPI", "Spain - HCP Survey Email - June 2025")</f>
        <v>Spain - HCP Survey Email - June 2025</v>
      </c>
      <c r="C4400" s="3" t="str">
        <f>HYPERLINK("https://otsuka-europe-crm.veevavault.com/ui/#object/sent_email__v/VBLZ025E82GN11T", "SE-000271539")</f>
        <v>SE-000271539</v>
      </c>
      <c r="D4400" s="1" t="s">
        <v>0</v>
      </c>
      <c r="E4400" s="2">
        <v>0</v>
      </c>
      <c r="F4400" s="2">
        <v>0</v>
      </c>
      <c r="G4400" s="2">
        <v>0</v>
      </c>
      <c r="H4400" s="1" t="s">
        <v>0</v>
      </c>
      <c r="I4400" s="2">
        <v>0</v>
      </c>
      <c r="J4400" s="1">
        <v>45915.379803240743</v>
      </c>
    </row>
    <row r="4401" spans="1:10" x14ac:dyDescent="0.2">
      <c r="A4401" s="4" t="s">
        <v>1</v>
      </c>
      <c r="B4401" s="3" t="str">
        <f>HYPERLINK("https://otsuka-europe-crm.veevavault.com/ui/#object/approved_document__v/V5OZ025E82TFUPI", "Spain - HCP Survey Email - June 2025")</f>
        <v>Spain - HCP Survey Email - June 2025</v>
      </c>
      <c r="C4401" s="3" t="str">
        <f>HYPERLINK("https://otsuka-europe-crm.veevavault.com/ui/#object/sent_email__v/VBLZ025E82GN11U", "SE-000271540")</f>
        <v>SE-000271540</v>
      </c>
      <c r="D4401" s="1">
        <v>45915.602847222224</v>
      </c>
      <c r="E4401" s="2">
        <v>1</v>
      </c>
      <c r="F4401" s="2">
        <v>1</v>
      </c>
      <c r="G4401" s="2">
        <v>0</v>
      </c>
      <c r="H4401" s="1" t="s">
        <v>0</v>
      </c>
      <c r="I4401" s="2">
        <v>0</v>
      </c>
      <c r="J4401" s="1">
        <v>45915.379548611112</v>
      </c>
    </row>
    <row r="4402" spans="1:10" x14ac:dyDescent="0.2">
      <c r="A4402" s="4" t="s">
        <v>1</v>
      </c>
      <c r="B4402" s="3" t="str">
        <f>HYPERLINK("https://otsuka-europe-crm.veevavault.com/ui/#object/approved_document__v/V5OZ025E82TFUPI", "Spain - HCP Survey Email - June 2025")</f>
        <v>Spain - HCP Survey Email - June 2025</v>
      </c>
      <c r="C4402" s="3" t="str">
        <f>HYPERLINK("https://otsuka-europe-crm.veevavault.com/ui/#object/sent_email__v/VBLZ025E82GN11V", "SE-000271541")</f>
        <v>SE-000271541</v>
      </c>
      <c r="D4402" s="1" t="s">
        <v>0</v>
      </c>
      <c r="E4402" s="2">
        <v>0</v>
      </c>
      <c r="F4402" s="2">
        <v>0</v>
      </c>
      <c r="G4402" s="2">
        <v>0</v>
      </c>
      <c r="H4402" s="1" t="s">
        <v>0</v>
      </c>
      <c r="I4402" s="2">
        <v>0</v>
      </c>
      <c r="J4402" s="1">
        <v>45915.377372685187</v>
      </c>
    </row>
    <row r="4403" spans="1:10" x14ac:dyDescent="0.2">
      <c r="A4403" s="4" t="s">
        <v>1</v>
      </c>
      <c r="B4403" s="3" t="str">
        <f>HYPERLINK("https://otsuka-europe-crm.veevavault.com/ui/#object/approved_document__v/V5OZ025E82TFUPI", "Spain - HCP Survey Email - June 2025")</f>
        <v>Spain - HCP Survey Email - June 2025</v>
      </c>
      <c r="C4403" s="3" t="str">
        <f>HYPERLINK("https://otsuka-europe-crm.veevavault.com/ui/#object/sent_email__v/VBLZ025E82GN11W", "SE-000271542")</f>
        <v>SE-000271542</v>
      </c>
      <c r="D4403" s="1">
        <v>45918.30431712963</v>
      </c>
      <c r="E4403" s="2">
        <v>1</v>
      </c>
      <c r="F4403" s="2">
        <v>4</v>
      </c>
      <c r="G4403" s="2">
        <v>0</v>
      </c>
      <c r="H4403" s="1" t="s">
        <v>0</v>
      </c>
      <c r="I4403" s="2">
        <v>0</v>
      </c>
      <c r="J4403" s="1">
        <v>45915.378368055557</v>
      </c>
    </row>
    <row r="4404" spans="1:10" x14ac:dyDescent="0.2">
      <c r="A4404" s="4" t="s">
        <v>1</v>
      </c>
      <c r="B4404" s="3" t="str">
        <f>HYPERLINK("https://otsuka-europe-crm.veevavault.com/ui/#object/approved_document__v/V5OZ025E82TFUPI", "Spain - HCP Survey Email - June 2025")</f>
        <v>Spain - HCP Survey Email - June 2025</v>
      </c>
      <c r="C4404" s="3" t="str">
        <f>HYPERLINK("https://otsuka-europe-crm.veevavault.com/ui/#object/sent_email__v/VBLZ025E82GN11X", "SE-000271543")</f>
        <v>SE-000271543</v>
      </c>
      <c r="D4404" s="1" t="s">
        <v>0</v>
      </c>
      <c r="E4404" s="2">
        <v>0</v>
      </c>
      <c r="F4404" s="2">
        <v>0</v>
      </c>
      <c r="G4404" s="2">
        <v>0</v>
      </c>
      <c r="H4404" s="1" t="s">
        <v>0</v>
      </c>
      <c r="I4404" s="2">
        <v>0</v>
      </c>
      <c r="J4404" s="1">
        <v>45915.378784722219</v>
      </c>
    </row>
    <row r="4405" spans="1:10" x14ac:dyDescent="0.2">
      <c r="A4405" s="4" t="s">
        <v>1</v>
      </c>
      <c r="B4405" s="3" t="str">
        <f>HYPERLINK("https://otsuka-europe-crm.veevavault.com/ui/#object/approved_document__v/V5OZ025E82TFUPI", "Spain - HCP Survey Email - June 2025")</f>
        <v>Spain - HCP Survey Email - June 2025</v>
      </c>
      <c r="C4405" s="3" t="str">
        <f>HYPERLINK("https://otsuka-europe-crm.veevavault.com/ui/#object/sent_email__v/VBLZ025E82GN11Y", "SE-000271544")</f>
        <v>SE-000271544</v>
      </c>
      <c r="D4405" s="1">
        <v>45918.303425925929</v>
      </c>
      <c r="E4405" s="2">
        <v>1</v>
      </c>
      <c r="F4405" s="2">
        <v>2</v>
      </c>
      <c r="G4405" s="2">
        <v>0</v>
      </c>
      <c r="H4405" s="1" t="s">
        <v>0</v>
      </c>
      <c r="I4405" s="2">
        <v>0</v>
      </c>
      <c r="J4405" s="1">
        <v>45915.37871527778</v>
      </c>
    </row>
    <row r="4406" spans="1:10" x14ac:dyDescent="0.2">
      <c r="A4406" s="4" t="s">
        <v>1</v>
      </c>
      <c r="B4406" s="3" t="str">
        <f>HYPERLINK("https://otsuka-europe-crm.veevavault.com/ui/#object/approved_document__v/V5OZ025E82TFUPI", "Spain - HCP Survey Email - June 2025")</f>
        <v>Spain - HCP Survey Email - June 2025</v>
      </c>
      <c r="C4406" s="3" t="str">
        <f>HYPERLINK("https://otsuka-europe-crm.veevavault.com/ui/#object/sent_email__v/VBLZ025E82GN11Z", "SE-000271545")</f>
        <v>SE-000271545</v>
      </c>
      <c r="D4406" s="1" t="s">
        <v>0</v>
      </c>
      <c r="E4406" s="2">
        <v>0</v>
      </c>
      <c r="F4406" s="2">
        <v>0</v>
      </c>
      <c r="G4406" s="2">
        <v>0</v>
      </c>
      <c r="H4406" s="1" t="s">
        <v>0</v>
      </c>
      <c r="I4406" s="2">
        <v>0</v>
      </c>
      <c r="J4406" s="1">
        <v>45915.37903935185</v>
      </c>
    </row>
    <row r="4407" spans="1:10" x14ac:dyDescent="0.2">
      <c r="A4407" s="4" t="s">
        <v>1</v>
      </c>
      <c r="B4407" s="3" t="str">
        <f>HYPERLINK("https://otsuka-europe-crm.veevavault.com/ui/#object/approved_document__v/V5OZ025E82TFUPI", "Spain - HCP Survey Email - June 2025")</f>
        <v>Spain - HCP Survey Email - June 2025</v>
      </c>
      <c r="C4407" s="3" t="str">
        <f>HYPERLINK("https://otsuka-europe-crm.veevavault.com/ui/#object/sent_email__v/VBLZ025E82GN120", "SE-000271546")</f>
        <v>SE-000271546</v>
      </c>
      <c r="D4407" s="1" t="s">
        <v>0</v>
      </c>
      <c r="E4407" s="2">
        <v>0</v>
      </c>
      <c r="F4407" s="2">
        <v>0</v>
      </c>
      <c r="G4407" s="2">
        <v>0</v>
      </c>
      <c r="H4407" s="1" t="s">
        <v>0</v>
      </c>
      <c r="I4407" s="2">
        <v>0</v>
      </c>
      <c r="J4407" s="1">
        <v>45915.377685185187</v>
      </c>
    </row>
    <row r="4408" spans="1:10" x14ac:dyDescent="0.2">
      <c r="A4408" s="4" t="s">
        <v>1</v>
      </c>
      <c r="B4408" s="3" t="str">
        <f>HYPERLINK("https://otsuka-europe-crm.veevavault.com/ui/#object/approved_document__v/V5OZ025E82TFUPI", "Spain - HCP Survey Email - June 2025")</f>
        <v>Spain - HCP Survey Email - June 2025</v>
      </c>
      <c r="C4408" s="3" t="str">
        <f>HYPERLINK("https://otsuka-europe-crm.veevavault.com/ui/#object/sent_email__v/VBLZ025E82GN121", "SE-000271547")</f>
        <v>SE-000271547</v>
      </c>
      <c r="D4408" s="1" t="s">
        <v>0</v>
      </c>
      <c r="E4408" s="2">
        <v>0</v>
      </c>
      <c r="F4408" s="2">
        <v>0</v>
      </c>
      <c r="G4408" s="2">
        <v>0</v>
      </c>
      <c r="H4408" s="1" t="s">
        <v>0</v>
      </c>
      <c r="I4408" s="2">
        <v>0</v>
      </c>
      <c r="J4408" s="1">
        <v>45915.377604166664</v>
      </c>
    </row>
    <row r="4409" spans="1:10" x14ac:dyDescent="0.2">
      <c r="A4409" s="4" t="s">
        <v>1</v>
      </c>
      <c r="B4409" s="3" t="str">
        <f>HYPERLINK("https://otsuka-europe-crm.veevavault.com/ui/#object/approved_document__v/V5OZ025E82TFUPI", "Spain - HCP Survey Email - June 2025")</f>
        <v>Spain - HCP Survey Email - June 2025</v>
      </c>
      <c r="C4409" s="3" t="str">
        <f>HYPERLINK("https://otsuka-europe-crm.veevavault.com/ui/#object/sent_email__v/VBLZ025E82GN122", "SE-000271548")</f>
        <v>SE-000271548</v>
      </c>
      <c r="D4409" s="1">
        <v>45930.656990740739</v>
      </c>
      <c r="E4409" s="2">
        <v>1</v>
      </c>
      <c r="F4409" s="2">
        <v>1</v>
      </c>
      <c r="G4409" s="2">
        <v>0</v>
      </c>
      <c r="H4409" s="1" t="s">
        <v>0</v>
      </c>
      <c r="I4409" s="2">
        <v>0</v>
      </c>
      <c r="J4409" s="1">
        <v>45915.377997685187</v>
      </c>
    </row>
    <row r="4410" spans="1:10" x14ac:dyDescent="0.2">
      <c r="A4410" s="4" t="s">
        <v>1</v>
      </c>
      <c r="B4410" s="3" t="str">
        <f>HYPERLINK("https://otsuka-europe-crm.veevavault.com/ui/#object/approved_document__v/V5OZ025E82TFUPI", "Spain - HCP Survey Email - June 2025")</f>
        <v>Spain - HCP Survey Email - June 2025</v>
      </c>
      <c r="C4410" s="3" t="str">
        <f>HYPERLINK("https://otsuka-europe-crm.veevavault.com/ui/#object/sent_email__v/VBLZ025E82GN123", "SE-000271549")</f>
        <v>SE-000271549</v>
      </c>
      <c r="D4410" s="1">
        <v>45916.914513888885</v>
      </c>
      <c r="E4410" s="2">
        <v>1</v>
      </c>
      <c r="F4410" s="2">
        <v>1</v>
      </c>
      <c r="G4410" s="2">
        <v>0</v>
      </c>
      <c r="H4410" s="1" t="s">
        <v>0</v>
      </c>
      <c r="I4410" s="2">
        <v>0</v>
      </c>
      <c r="J4410" s="1">
        <v>45915.379004629627</v>
      </c>
    </row>
    <row r="4411" spans="1:10" x14ac:dyDescent="0.2">
      <c r="A4411" s="4" t="s">
        <v>1</v>
      </c>
      <c r="B4411" s="3" t="str">
        <f>HYPERLINK("https://otsuka-europe-crm.veevavault.com/ui/#object/approved_document__v/V5OZ025E82TFUPI", "Spain - HCP Survey Email - June 2025")</f>
        <v>Spain - HCP Survey Email - June 2025</v>
      </c>
      <c r="C4411" s="3" t="str">
        <f>HYPERLINK("https://otsuka-europe-crm.veevavault.com/ui/#object/sent_email__v/VBLZ025E82GN124", "SE-000271550")</f>
        <v>SE-000271550</v>
      </c>
      <c r="D4411" s="1">
        <v>45915.380289351851</v>
      </c>
      <c r="E4411" s="2">
        <v>1</v>
      </c>
      <c r="F4411" s="2">
        <v>1</v>
      </c>
      <c r="G4411" s="2">
        <v>0</v>
      </c>
      <c r="H4411" s="1" t="s">
        <v>0</v>
      </c>
      <c r="I4411" s="2">
        <v>0</v>
      </c>
      <c r="J4411" s="1">
        <v>45915.379965277774</v>
      </c>
    </row>
    <row r="4412" spans="1:10" x14ac:dyDescent="0.2">
      <c r="A4412" s="4" t="s">
        <v>1</v>
      </c>
      <c r="B4412" s="3" t="str">
        <f>HYPERLINK("https://otsuka-europe-crm.veevavault.com/ui/#object/approved_document__v/V5OZ025E82TFUPI", "Spain - HCP Survey Email - June 2025")</f>
        <v>Spain - HCP Survey Email - June 2025</v>
      </c>
      <c r="C4412" s="3" t="str">
        <f>HYPERLINK("https://otsuka-europe-crm.veevavault.com/ui/#object/sent_email__v/VBLZ025E82GN125", "SE-000271551")</f>
        <v>SE-000271551</v>
      </c>
      <c r="D4412" s="1">
        <v>45925.660358796296</v>
      </c>
      <c r="E4412" s="2">
        <v>1</v>
      </c>
      <c r="F4412" s="2">
        <v>1</v>
      </c>
      <c r="G4412" s="2">
        <v>0</v>
      </c>
      <c r="H4412" s="1" t="s">
        <v>0</v>
      </c>
      <c r="I4412" s="2">
        <v>0</v>
      </c>
      <c r="J4412" s="1">
        <v>45915.37939814815</v>
      </c>
    </row>
    <row r="4413" spans="1:10" x14ac:dyDescent="0.2">
      <c r="A4413" s="4" t="s">
        <v>1</v>
      </c>
      <c r="B4413" s="3" t="str">
        <f>HYPERLINK("https://otsuka-europe-crm.veevavault.com/ui/#object/approved_document__v/V5OZ025E82TFUPI", "Spain - HCP Survey Email - June 2025")</f>
        <v>Spain - HCP Survey Email - June 2025</v>
      </c>
      <c r="C4413" s="3" t="str">
        <f>HYPERLINK("https://otsuka-europe-crm.veevavault.com/ui/#object/sent_email__v/VBLZ025E82GN126", "SE-000271552")</f>
        <v>SE-000271552</v>
      </c>
      <c r="D4413" s="1">
        <v>45917.968946759262</v>
      </c>
      <c r="E4413" s="2">
        <v>1</v>
      </c>
      <c r="F4413" s="2">
        <v>2</v>
      </c>
      <c r="G4413" s="2">
        <v>0</v>
      </c>
      <c r="H4413" s="1" t="s">
        <v>0</v>
      </c>
      <c r="I4413" s="2">
        <v>0</v>
      </c>
      <c r="J4413" s="1">
        <v>45915.377372685187</v>
      </c>
    </row>
    <row r="4414" spans="1:10" x14ac:dyDescent="0.2">
      <c r="A4414" s="4" t="s">
        <v>1</v>
      </c>
      <c r="B4414" s="3" t="str">
        <f>HYPERLINK("https://otsuka-europe-crm.veevavault.com/ui/#object/approved_document__v/V5OZ025E82TFUPI", "Spain - HCP Survey Email - June 2025")</f>
        <v>Spain - HCP Survey Email - June 2025</v>
      </c>
      <c r="C4414" s="3" t="str">
        <f>HYPERLINK("https://otsuka-europe-crm.veevavault.com/ui/#object/sent_email__v/VBLZ025E82GN127", "SE-000271553")</f>
        <v>SE-000271553</v>
      </c>
      <c r="D4414" s="1">
        <v>45915.433217592596</v>
      </c>
      <c r="E4414" s="2">
        <v>1</v>
      </c>
      <c r="F4414" s="2">
        <v>1</v>
      </c>
      <c r="G4414" s="2">
        <v>1</v>
      </c>
      <c r="H4414" s="1">
        <v>45915.433298611111</v>
      </c>
      <c r="I4414" s="2">
        <v>1</v>
      </c>
      <c r="J4414" s="1">
        <v>45915.37841435185</v>
      </c>
    </row>
    <row r="4415" spans="1:10" x14ac:dyDescent="0.2">
      <c r="A4415" s="4" t="s">
        <v>1</v>
      </c>
      <c r="B4415" s="3" t="str">
        <f>HYPERLINK("https://otsuka-europe-crm.veevavault.com/ui/#object/approved_document__v/V5OZ025E82TFUPI", "Spain - HCP Survey Email - June 2025")</f>
        <v>Spain - HCP Survey Email - June 2025</v>
      </c>
      <c r="C4415" s="3" t="str">
        <f>HYPERLINK("https://otsuka-europe-crm.veevavault.com/ui/#object/sent_email__v/VBLZ025E82GN128", "SE-000271554")</f>
        <v>SE-000271554</v>
      </c>
      <c r="D4415" s="1" t="s">
        <v>0</v>
      </c>
      <c r="E4415" s="2">
        <v>0</v>
      </c>
      <c r="F4415" s="2">
        <v>0</v>
      </c>
      <c r="G4415" s="2">
        <v>0</v>
      </c>
      <c r="H4415" s="1" t="s">
        <v>0</v>
      </c>
      <c r="I4415" s="2">
        <v>0</v>
      </c>
      <c r="J4415" s="1">
        <v>45915.378912037035</v>
      </c>
    </row>
    <row r="4416" spans="1:10" x14ac:dyDescent="0.2">
      <c r="A4416" s="4" t="s">
        <v>1</v>
      </c>
      <c r="B4416" s="3" t="str">
        <f>HYPERLINK("https://otsuka-europe-crm.veevavault.com/ui/#object/approved_document__v/V5OZ025E82TFUPI", "Spain - HCP Survey Email - June 2025")</f>
        <v>Spain - HCP Survey Email - June 2025</v>
      </c>
      <c r="C4416" s="3" t="str">
        <f>HYPERLINK("https://otsuka-europe-crm.veevavault.com/ui/#object/sent_email__v/VBLZ025E82GN129", "SE-000271555")</f>
        <v>SE-000271555</v>
      </c>
      <c r="D4416" s="1">
        <v>45915.433020833334</v>
      </c>
      <c r="E4416" s="2">
        <v>1</v>
      </c>
      <c r="F4416" s="2">
        <v>1</v>
      </c>
      <c r="G4416" s="2">
        <v>0</v>
      </c>
      <c r="H4416" s="1" t="s">
        <v>0</v>
      </c>
      <c r="I4416" s="2">
        <v>0</v>
      </c>
      <c r="J4416" s="1">
        <v>45915.378611111111</v>
      </c>
    </row>
    <row r="4417" spans="1:10" x14ac:dyDescent="0.2">
      <c r="A4417" s="4" t="s">
        <v>1</v>
      </c>
      <c r="B4417" s="3" t="str">
        <f>HYPERLINK("https://otsuka-europe-crm.veevavault.com/ui/#object/approved_document__v/V5OZ025E82TFUPI", "Spain - HCP Survey Email - June 2025")</f>
        <v>Spain - HCP Survey Email - June 2025</v>
      </c>
      <c r="C4417" s="3" t="str">
        <f>HYPERLINK("https://otsuka-europe-crm.veevavault.com/ui/#object/sent_email__v/VBLZ025E82GN12A", "SE-000271556")</f>
        <v>SE-000271556</v>
      </c>
      <c r="D4417" s="1">
        <v>45915.628865740742</v>
      </c>
      <c r="E4417" s="2">
        <v>1</v>
      </c>
      <c r="F4417" s="2">
        <v>1</v>
      </c>
      <c r="G4417" s="2">
        <v>0</v>
      </c>
      <c r="H4417" s="1" t="s">
        <v>0</v>
      </c>
      <c r="I4417" s="2">
        <v>0</v>
      </c>
      <c r="J4417" s="1">
        <v>45915.379201388889</v>
      </c>
    </row>
    <row r="4418" spans="1:10" x14ac:dyDescent="0.2">
      <c r="A4418" s="4" t="s">
        <v>1</v>
      </c>
      <c r="B4418" s="3" t="str">
        <f>HYPERLINK("https://otsuka-europe-crm.veevavault.com/ui/#object/approved_document__v/V5OZ025E82TFUPI", "Spain - HCP Survey Email - June 2025")</f>
        <v>Spain - HCP Survey Email - June 2025</v>
      </c>
      <c r="C4418" s="3" t="str">
        <f>HYPERLINK("https://otsuka-europe-crm.veevavault.com/ui/#object/sent_email__v/VBLZ025E82GN12B", "SE-000271557")</f>
        <v>SE-000271557</v>
      </c>
      <c r="D4418" s="1">
        <v>45915.831990740742</v>
      </c>
      <c r="E4418" s="2">
        <v>1</v>
      </c>
      <c r="F4418" s="2">
        <v>1</v>
      </c>
      <c r="G4418" s="2">
        <v>1</v>
      </c>
      <c r="H4418" s="1">
        <v>45915.832465277781</v>
      </c>
      <c r="I4418" s="2">
        <v>1</v>
      </c>
      <c r="J4418" s="1">
        <v>45915.377858796295</v>
      </c>
    </row>
    <row r="4419" spans="1:10" x14ac:dyDescent="0.2">
      <c r="A4419" s="4" t="s">
        <v>1</v>
      </c>
      <c r="B4419" s="3" t="str">
        <f>HYPERLINK("https://otsuka-europe-crm.veevavault.com/ui/#object/approved_document__v/V5OZ025E82TFUPI", "Spain - HCP Survey Email - June 2025")</f>
        <v>Spain - HCP Survey Email - June 2025</v>
      </c>
      <c r="C4419" s="3" t="str">
        <f>HYPERLINK("https://otsuka-europe-crm.veevavault.com/ui/#object/sent_email__v/VBLZ025E82GN12C", "SE-000271558")</f>
        <v>SE-000271558</v>
      </c>
      <c r="D4419" s="1">
        <v>45921.138599537036</v>
      </c>
      <c r="E4419" s="2">
        <v>1</v>
      </c>
      <c r="F4419" s="2">
        <v>2</v>
      </c>
      <c r="G4419" s="2">
        <v>0</v>
      </c>
      <c r="H4419" s="1" t="s">
        <v>0</v>
      </c>
      <c r="I4419" s="2">
        <v>0</v>
      </c>
      <c r="J4419" s="1">
        <v>45915.377615740741</v>
      </c>
    </row>
    <row r="4420" spans="1:10" x14ac:dyDescent="0.2">
      <c r="A4420" s="4" t="s">
        <v>1</v>
      </c>
      <c r="B4420" s="3" t="str">
        <f>HYPERLINK("https://otsuka-europe-crm.veevavault.com/ui/#object/approved_document__v/V5OZ025E82TFUPI", "Spain - HCP Survey Email - June 2025")</f>
        <v>Spain - HCP Survey Email - June 2025</v>
      </c>
      <c r="C4420" s="3" t="str">
        <f>HYPERLINK("https://otsuka-europe-crm.veevavault.com/ui/#object/sent_email__v/VBLZ025E82GN12D", "SE-000271559")</f>
        <v>SE-000271559</v>
      </c>
      <c r="D4420" s="1">
        <v>45924.625694444447</v>
      </c>
      <c r="E4420" s="2">
        <v>1</v>
      </c>
      <c r="F4420" s="2">
        <v>4</v>
      </c>
      <c r="G4420" s="2">
        <v>0</v>
      </c>
      <c r="H4420" s="1" t="s">
        <v>0</v>
      </c>
      <c r="I4420" s="2">
        <v>0</v>
      </c>
      <c r="J4420" s="1">
        <v>45915.378055555557</v>
      </c>
    </row>
    <row r="4421" spans="1:10" x14ac:dyDescent="0.2">
      <c r="A4421" s="4" t="s">
        <v>1</v>
      </c>
      <c r="B4421" s="3" t="str">
        <f>HYPERLINK("https://otsuka-europe-crm.veevavault.com/ui/#object/approved_document__v/V5OZ025E82TFUPI", "Spain - HCP Survey Email - June 2025")</f>
        <v>Spain - HCP Survey Email - June 2025</v>
      </c>
      <c r="C4421" s="3" t="str">
        <f>HYPERLINK("https://otsuka-europe-crm.veevavault.com/ui/#object/sent_email__v/VBLZ025E82GN12E", "SE-000271560")</f>
        <v>SE-000271560</v>
      </c>
      <c r="D4421" s="1">
        <v>45915.545844907407</v>
      </c>
      <c r="E4421" s="2">
        <v>1</v>
      </c>
      <c r="F4421" s="2">
        <v>2</v>
      </c>
      <c r="G4421" s="2">
        <v>0</v>
      </c>
      <c r="H4421" s="1" t="s">
        <v>0</v>
      </c>
      <c r="I4421" s="2">
        <v>0</v>
      </c>
      <c r="J4421" s="1">
        <v>45915.378969907404</v>
      </c>
    </row>
    <row r="4422" spans="1:10" x14ac:dyDescent="0.2">
      <c r="A4422" s="4" t="s">
        <v>1</v>
      </c>
      <c r="B4422" s="3" t="str">
        <f>HYPERLINK("https://otsuka-europe-crm.veevavault.com/ui/#object/approved_document__v/V5OZ025E82TFUPI", "Spain - HCP Survey Email - June 2025")</f>
        <v>Spain - HCP Survey Email - June 2025</v>
      </c>
      <c r="C4422" s="3" t="str">
        <f>HYPERLINK("https://otsuka-europe-crm.veevavault.com/ui/#object/sent_email__v/VBLZ025E82GN12F", "SE-000271561")</f>
        <v>SE-000271561</v>
      </c>
      <c r="D4422" s="1" t="s">
        <v>0</v>
      </c>
      <c r="E4422" s="2">
        <v>0</v>
      </c>
      <c r="F4422" s="2">
        <v>0</v>
      </c>
      <c r="G4422" s="2">
        <v>0</v>
      </c>
      <c r="H4422" s="1" t="s">
        <v>0</v>
      </c>
      <c r="I4422" s="2">
        <v>0</v>
      </c>
      <c r="J4422" s="1">
        <v>45915.379687499997</v>
      </c>
    </row>
    <row r="4423" spans="1:10" x14ac:dyDescent="0.2">
      <c r="A4423" s="4" t="s">
        <v>1</v>
      </c>
      <c r="B4423" s="3" t="str">
        <f>HYPERLINK("https://otsuka-europe-crm.veevavault.com/ui/#object/approved_document__v/V5OZ025E82TFUPI", "Spain - HCP Survey Email - June 2025")</f>
        <v>Spain - HCP Survey Email - June 2025</v>
      </c>
      <c r="C4423" s="3" t="str">
        <f>HYPERLINK("https://otsuka-europe-crm.veevavault.com/ui/#object/sent_email__v/VBLZ025E82GN12G", "SE-000271562")</f>
        <v>SE-000271562</v>
      </c>
      <c r="D4423" s="1">
        <v>45917.257847222223</v>
      </c>
      <c r="E4423" s="2">
        <v>1</v>
      </c>
      <c r="F4423" s="2">
        <v>4</v>
      </c>
      <c r="G4423" s="2">
        <v>1</v>
      </c>
      <c r="H4423" s="1">
        <v>45917.258194444446</v>
      </c>
      <c r="I4423" s="2">
        <v>1</v>
      </c>
      <c r="J4423" s="1">
        <v>45915.379490740743</v>
      </c>
    </row>
    <row r="4424" spans="1:10" x14ac:dyDescent="0.2">
      <c r="A4424" s="4" t="s">
        <v>1</v>
      </c>
      <c r="B4424" s="3" t="str">
        <f>HYPERLINK("https://otsuka-europe-crm.veevavault.com/ui/#object/approved_document__v/V5OZ025E82TFUPI", "Spain - HCP Survey Email - June 2025")</f>
        <v>Spain - HCP Survey Email - June 2025</v>
      </c>
      <c r="C4424" s="3" t="str">
        <f>HYPERLINK("https://otsuka-europe-crm.veevavault.com/ui/#object/sent_email__v/VBLZ025E82GN12H", "SE-000271563")</f>
        <v>SE-000271563</v>
      </c>
      <c r="D4424" s="1" t="s">
        <v>0</v>
      </c>
      <c r="E4424" s="2">
        <v>0</v>
      </c>
      <c r="F4424" s="2">
        <v>0</v>
      </c>
      <c r="G4424" s="2">
        <v>0</v>
      </c>
      <c r="H4424" s="1" t="s">
        <v>0</v>
      </c>
      <c r="I4424" s="2">
        <v>0</v>
      </c>
      <c r="J4424" s="1">
        <v>45915.377372685187</v>
      </c>
    </row>
    <row r="4425" spans="1:10" x14ac:dyDescent="0.2">
      <c r="A4425" s="4" t="s">
        <v>1</v>
      </c>
      <c r="B4425" s="3" t="str">
        <f>HYPERLINK("https://otsuka-europe-crm.veevavault.com/ui/#object/approved_document__v/V5OZ025E82TFUPI", "Spain - HCP Survey Email - June 2025")</f>
        <v>Spain - HCP Survey Email - June 2025</v>
      </c>
      <c r="C4425" s="3" t="str">
        <f>HYPERLINK("https://otsuka-europe-crm.veevavault.com/ui/#object/sent_email__v/VBLZ025E82GN12I", "SE-000271564")</f>
        <v>SE-000271564</v>
      </c>
      <c r="D4425" s="1">
        <v>45915.378321759257</v>
      </c>
      <c r="E4425" s="2">
        <v>1</v>
      </c>
      <c r="F4425" s="2">
        <v>1</v>
      </c>
      <c r="G4425" s="2">
        <v>0</v>
      </c>
      <c r="H4425" s="1" t="s">
        <v>0</v>
      </c>
      <c r="I4425" s="2">
        <v>0</v>
      </c>
      <c r="J4425" s="1">
        <v>45915.378263888888</v>
      </c>
    </row>
    <row r="4426" spans="1:10" x14ac:dyDescent="0.2">
      <c r="A4426" s="4" t="s">
        <v>1</v>
      </c>
      <c r="B4426" s="3" t="str">
        <f>HYPERLINK("https://otsuka-europe-crm.veevavault.com/ui/#object/approved_document__v/V5OZ025E82TFUPI", "Spain - HCP Survey Email - June 2025")</f>
        <v>Spain - HCP Survey Email - June 2025</v>
      </c>
      <c r="C4426" s="3" t="str">
        <f>HYPERLINK("https://otsuka-europe-crm.veevavault.com/ui/#object/sent_email__v/VBLZ025E82GN12J", "SE-000271565")</f>
        <v>SE-000271565</v>
      </c>
      <c r="D4426" s="1">
        <v>45935.491620370369</v>
      </c>
      <c r="E4426" s="2">
        <v>1</v>
      </c>
      <c r="F4426" s="2">
        <v>43</v>
      </c>
      <c r="G4426" s="2">
        <v>0</v>
      </c>
      <c r="H4426" s="1" t="s">
        <v>0</v>
      </c>
      <c r="I4426" s="2">
        <v>0</v>
      </c>
      <c r="J4426" s="1">
        <v>45915.378819444442</v>
      </c>
    </row>
    <row r="4427" spans="1:10" x14ac:dyDescent="0.2">
      <c r="A4427" s="4" t="s">
        <v>1</v>
      </c>
      <c r="B4427" s="3" t="str">
        <f>HYPERLINK("https://otsuka-europe-crm.veevavault.com/ui/#object/approved_document__v/V5OZ025E82TFUPI", "Spain - HCP Survey Email - June 2025")</f>
        <v>Spain - HCP Survey Email - June 2025</v>
      </c>
      <c r="C4427" s="3" t="str">
        <f>HYPERLINK("https://otsuka-europe-crm.veevavault.com/ui/#object/sent_email__v/VBLZ025E82GN12K", "SE-000271566")</f>
        <v>SE-000271566</v>
      </c>
      <c r="D4427" s="1" t="s">
        <v>0</v>
      </c>
      <c r="E4427" s="2">
        <v>0</v>
      </c>
      <c r="F4427" s="2">
        <v>0</v>
      </c>
      <c r="G4427" s="2">
        <v>0</v>
      </c>
      <c r="H4427" s="1" t="s">
        <v>0</v>
      </c>
      <c r="I4427" s="2">
        <v>0</v>
      </c>
      <c r="J4427" s="1">
        <v>45915.379479166666</v>
      </c>
    </row>
    <row r="4428" spans="1:10" x14ac:dyDescent="0.2">
      <c r="A4428" s="4" t="s">
        <v>1</v>
      </c>
      <c r="B4428" s="3" t="str">
        <f>HYPERLINK("https://otsuka-europe-crm.veevavault.com/ui/#object/approved_document__v/V5OZ025E82TFUPI", "Spain - HCP Survey Email - June 2025")</f>
        <v>Spain - HCP Survey Email - June 2025</v>
      </c>
      <c r="C4428" s="3" t="str">
        <f>HYPERLINK("https://otsuka-europe-crm.veevavault.com/ui/#object/sent_email__v/VBLZ025E82GN12M", "SE-000271568")</f>
        <v>SE-000271568</v>
      </c>
      <c r="D4428" s="1" t="s">
        <v>0</v>
      </c>
      <c r="E4428" s="2">
        <v>0</v>
      </c>
      <c r="F4428" s="2">
        <v>0</v>
      </c>
      <c r="G4428" s="2">
        <v>0</v>
      </c>
      <c r="H4428" s="1" t="s">
        <v>0</v>
      </c>
      <c r="I4428" s="2">
        <v>0</v>
      </c>
      <c r="J4428" s="1">
        <v>45915.378275462965</v>
      </c>
    </row>
    <row r="4429" spans="1:10" x14ac:dyDescent="0.2">
      <c r="A4429" s="4" t="s">
        <v>1</v>
      </c>
      <c r="B4429" s="3" t="str">
        <f>HYPERLINK("https://otsuka-europe-crm.veevavault.com/ui/#object/approved_document__v/V5OZ025E82TFUPI", "Spain - HCP Survey Email - June 2025")</f>
        <v>Spain - HCP Survey Email - June 2025</v>
      </c>
      <c r="C4429" s="3" t="str">
        <f>HYPERLINK("https://otsuka-europe-crm.veevavault.com/ui/#object/sent_email__v/VBLZ025E82GN12N", "SE-000271569")</f>
        <v>SE-000271569</v>
      </c>
      <c r="D4429" s="1" t="s">
        <v>0</v>
      </c>
      <c r="E4429" s="2">
        <v>0</v>
      </c>
      <c r="F4429" s="2">
        <v>0</v>
      </c>
      <c r="G4429" s="2">
        <v>0</v>
      </c>
      <c r="H4429" s="1" t="s">
        <v>0</v>
      </c>
      <c r="I4429" s="2">
        <v>0</v>
      </c>
      <c r="J4429" s="1">
        <v>45915.378865740742</v>
      </c>
    </row>
    <row r="4430" spans="1:10" x14ac:dyDescent="0.2">
      <c r="A4430" s="4" t="s">
        <v>1</v>
      </c>
      <c r="B4430" s="3" t="str">
        <f>HYPERLINK("https://otsuka-europe-crm.veevavault.com/ui/#object/approved_document__v/V5OZ025E82TFUPI", "Spain - HCP Survey Email - June 2025")</f>
        <v>Spain - HCP Survey Email - June 2025</v>
      </c>
      <c r="C4430" s="3" t="str">
        <f>HYPERLINK("https://otsuka-europe-crm.veevavault.com/ui/#object/sent_email__v/VBLZ025E82GN12O", "SE-000271570")</f>
        <v>SE-000271570</v>
      </c>
      <c r="D4430" s="1">
        <v>45915.552129629628</v>
      </c>
      <c r="E4430" s="2">
        <v>1</v>
      </c>
      <c r="F4430" s="2">
        <v>1</v>
      </c>
      <c r="G4430" s="2">
        <v>1</v>
      </c>
      <c r="H4430" s="1">
        <v>45915.552199074074</v>
      </c>
      <c r="I4430" s="2">
        <v>3</v>
      </c>
      <c r="J4430" s="1">
        <v>45915.378784722219</v>
      </c>
    </row>
    <row r="4431" spans="1:10" x14ac:dyDescent="0.2">
      <c r="A4431" s="4" t="s">
        <v>1</v>
      </c>
      <c r="B4431" s="3" t="str">
        <f>HYPERLINK("https://otsuka-europe-crm.veevavault.com/ui/#object/approved_document__v/V5OZ025E82TFUPI", "Spain - HCP Survey Email - June 2025")</f>
        <v>Spain - HCP Survey Email - June 2025</v>
      </c>
      <c r="C4431" s="3" t="str">
        <f>HYPERLINK("https://otsuka-europe-crm.veevavault.com/ui/#object/sent_email__v/VBLZ025E82GN12P", "SE-000271571")</f>
        <v>SE-000271571</v>
      </c>
      <c r="D4431" s="1">
        <v>45915.526400462964</v>
      </c>
      <c r="E4431" s="2">
        <v>1</v>
      </c>
      <c r="F4431" s="2">
        <v>6</v>
      </c>
      <c r="G4431" s="2">
        <v>0</v>
      </c>
      <c r="H4431" s="1" t="s">
        <v>0</v>
      </c>
      <c r="I4431" s="2">
        <v>0</v>
      </c>
      <c r="J4431" s="1">
        <v>45915.37908564815</v>
      </c>
    </row>
    <row r="4432" spans="1:10" x14ac:dyDescent="0.2">
      <c r="A4432" s="4" t="s">
        <v>1</v>
      </c>
      <c r="B4432" s="3" t="str">
        <f>HYPERLINK("https://otsuka-europe-crm.veevavault.com/ui/#object/approved_document__v/V5OZ025E82TFUPI", "Spain - HCP Survey Email - June 2025")</f>
        <v>Spain - HCP Survey Email - June 2025</v>
      </c>
      <c r="C4432" s="3" t="str">
        <f>HYPERLINK("https://otsuka-europe-crm.veevavault.com/ui/#object/sent_email__v/VBLZ025E82GN12Q", "SE-000271572")</f>
        <v>SE-000271572</v>
      </c>
      <c r="D4432" s="1">
        <v>45952.773657407408</v>
      </c>
      <c r="E4432" s="2">
        <v>1</v>
      </c>
      <c r="F4432" s="2">
        <v>3</v>
      </c>
      <c r="G4432" s="2">
        <v>1</v>
      </c>
      <c r="H4432" s="1">
        <v>45915.405509259261</v>
      </c>
      <c r="I4432" s="2">
        <v>1</v>
      </c>
      <c r="J4432" s="1">
        <v>45915.377905092595</v>
      </c>
    </row>
    <row r="4433" spans="1:10" x14ac:dyDescent="0.2">
      <c r="A4433" s="4" t="s">
        <v>1</v>
      </c>
      <c r="B4433" s="3" t="str">
        <f>HYPERLINK("https://otsuka-europe-crm.veevavault.com/ui/#object/approved_document__v/V5OZ025E82TFUPI", "Spain - HCP Survey Email - June 2025")</f>
        <v>Spain - HCP Survey Email - June 2025</v>
      </c>
      <c r="C4433" s="3" t="str">
        <f>HYPERLINK("https://otsuka-europe-crm.veevavault.com/ui/#object/sent_email__v/VBLZ025E82GN12R", "SE-000271573")</f>
        <v>SE-000271573</v>
      </c>
      <c r="D4433" s="1" t="s">
        <v>0</v>
      </c>
      <c r="E4433" s="2">
        <v>0</v>
      </c>
      <c r="F4433" s="2">
        <v>0</v>
      </c>
      <c r="G4433" s="2">
        <v>0</v>
      </c>
      <c r="H4433" s="1" t="s">
        <v>0</v>
      </c>
      <c r="I4433" s="2">
        <v>0</v>
      </c>
      <c r="J4433" s="1">
        <v>45915.377581018518</v>
      </c>
    </row>
    <row r="4434" spans="1:10" x14ac:dyDescent="0.2">
      <c r="A4434" s="4" t="s">
        <v>1</v>
      </c>
      <c r="B4434" s="3" t="str">
        <f>HYPERLINK("https://otsuka-europe-crm.veevavault.com/ui/#object/approved_document__v/V5OZ025E82TFUPI", "Spain - HCP Survey Email - June 2025")</f>
        <v>Spain - HCP Survey Email - June 2025</v>
      </c>
      <c r="C4434" s="3" t="str">
        <f>HYPERLINK("https://otsuka-europe-crm.veevavault.com/ui/#object/sent_email__v/VBLZ025E82GN12S", "SE-000271574")</f>
        <v>SE-000271574</v>
      </c>
      <c r="D4434" s="1">
        <v>45916.431793981479</v>
      </c>
      <c r="E4434" s="2">
        <v>1</v>
      </c>
      <c r="F4434" s="2">
        <v>1</v>
      </c>
      <c r="G4434" s="2">
        <v>0</v>
      </c>
      <c r="H4434" s="1" t="s">
        <v>0</v>
      </c>
      <c r="I4434" s="2">
        <v>0</v>
      </c>
      <c r="J4434" s="1">
        <v>45915.377974537034</v>
      </c>
    </row>
    <row r="4435" spans="1:10" x14ac:dyDescent="0.2">
      <c r="A4435" s="4" t="s">
        <v>1</v>
      </c>
      <c r="B4435" s="3" t="str">
        <f>HYPERLINK("https://otsuka-europe-crm.veevavault.com/ui/#object/approved_document__v/V5OZ025E82TFUPI", "Spain - HCP Survey Email - June 2025")</f>
        <v>Spain - HCP Survey Email - June 2025</v>
      </c>
      <c r="C4435" s="3" t="str">
        <f>HYPERLINK("https://otsuka-europe-crm.veevavault.com/ui/#object/sent_email__v/VBLZ025E82GN12T", "SE-000271575")</f>
        <v>SE-000271575</v>
      </c>
      <c r="D4435" s="1">
        <v>45945.540347222224</v>
      </c>
      <c r="E4435" s="2">
        <v>1</v>
      </c>
      <c r="F4435" s="2">
        <v>1</v>
      </c>
      <c r="G4435" s="2">
        <v>1</v>
      </c>
      <c r="H4435" s="1">
        <v>45945.540613425925</v>
      </c>
      <c r="I4435" s="2">
        <v>1</v>
      </c>
      <c r="J4435" s="1">
        <v>45915.379004629627</v>
      </c>
    </row>
    <row r="4436" spans="1:10" x14ac:dyDescent="0.2">
      <c r="A4436" s="4" t="s">
        <v>1</v>
      </c>
      <c r="B4436" s="3" t="str">
        <f>HYPERLINK("https://otsuka-europe-crm.veevavault.com/ui/#object/approved_document__v/V5OZ025E82TFUPI", "Spain - HCP Survey Email - June 2025")</f>
        <v>Spain - HCP Survey Email - June 2025</v>
      </c>
      <c r="C4436" s="3" t="str">
        <f>HYPERLINK("https://otsuka-europe-crm.veevavault.com/ui/#object/sent_email__v/VBLZ025E82GN12U", "SE-000271576")</f>
        <v>SE-000271576</v>
      </c>
      <c r="D4436" s="1" t="s">
        <v>0</v>
      </c>
      <c r="E4436" s="2">
        <v>0</v>
      </c>
      <c r="F4436" s="2">
        <v>0</v>
      </c>
      <c r="G4436" s="2">
        <v>0</v>
      </c>
      <c r="H4436" s="1" t="s">
        <v>0</v>
      </c>
      <c r="I4436" s="2">
        <v>0</v>
      </c>
      <c r="J4436" s="1">
        <v>45915.379629629628</v>
      </c>
    </row>
    <row r="4437" spans="1:10" x14ac:dyDescent="0.2">
      <c r="A4437" s="4" t="s">
        <v>1</v>
      </c>
      <c r="B4437" s="3" t="str">
        <f>HYPERLINK("https://otsuka-europe-crm.veevavault.com/ui/#object/approved_document__v/V5OZ025E82TFUPI", "Spain - HCP Survey Email - June 2025")</f>
        <v>Spain - HCP Survey Email - June 2025</v>
      </c>
      <c r="C4437" s="3" t="str">
        <f>HYPERLINK("https://otsuka-europe-crm.veevavault.com/ui/#object/sent_email__v/VBLZ025E82GN12V", "SE-000271577")</f>
        <v>SE-000271577</v>
      </c>
      <c r="D4437" s="1" t="s">
        <v>0</v>
      </c>
      <c r="E4437" s="2">
        <v>0</v>
      </c>
      <c r="F4437" s="2">
        <v>0</v>
      </c>
      <c r="G4437" s="2">
        <v>0</v>
      </c>
      <c r="H4437" s="1" t="s">
        <v>0</v>
      </c>
      <c r="I4437" s="2">
        <v>0</v>
      </c>
      <c r="J4437" s="1">
        <v>45915.379467592589</v>
      </c>
    </row>
    <row r="4438" spans="1:10" x14ac:dyDescent="0.2">
      <c r="A4438" s="4" t="s">
        <v>1</v>
      </c>
      <c r="B4438" s="3" t="str">
        <f>HYPERLINK("https://otsuka-europe-crm.veevavault.com/ui/#object/approved_document__v/V5OZ025E82TFUPI", "Spain - HCP Survey Email - June 2025")</f>
        <v>Spain - HCP Survey Email - June 2025</v>
      </c>
      <c r="C4438" s="3" t="str">
        <f>HYPERLINK("https://otsuka-europe-crm.veevavault.com/ui/#object/sent_email__v/VBLZ025E82GN12W", "SE-000271578")</f>
        <v>SE-000271578</v>
      </c>
      <c r="D4438" s="1" t="s">
        <v>0</v>
      </c>
      <c r="E4438" s="2">
        <v>0</v>
      </c>
      <c r="F4438" s="2">
        <v>0</v>
      </c>
      <c r="G4438" s="2">
        <v>0</v>
      </c>
      <c r="H4438" s="1" t="s">
        <v>0</v>
      </c>
      <c r="I4438" s="2">
        <v>0</v>
      </c>
      <c r="J4438" s="1">
        <v>45915.37740740741</v>
      </c>
    </row>
    <row r="4439" spans="1:10" x14ac:dyDescent="0.2">
      <c r="A4439" s="4" t="s">
        <v>1</v>
      </c>
      <c r="B4439" s="3" t="str">
        <f>HYPERLINK("https://otsuka-europe-crm.veevavault.com/ui/#object/approved_document__v/V5OZ025E82TFUPI", "Spain - HCP Survey Email - June 2025")</f>
        <v>Spain - HCP Survey Email - June 2025</v>
      </c>
      <c r="C4439" s="3" t="str">
        <f>HYPERLINK("https://otsuka-europe-crm.veevavault.com/ui/#object/sent_email__v/VBLZ025E82GN12X", "SE-000271579")</f>
        <v>SE-000271579</v>
      </c>
      <c r="D4439" s="1">
        <v>45915.58084490741</v>
      </c>
      <c r="E4439" s="2">
        <v>1</v>
      </c>
      <c r="F4439" s="2">
        <v>1</v>
      </c>
      <c r="G4439" s="2">
        <v>0</v>
      </c>
      <c r="H4439" s="1" t="s">
        <v>0</v>
      </c>
      <c r="I4439" s="2">
        <v>0</v>
      </c>
      <c r="J4439" s="1">
        <v>45915.378275462965</v>
      </c>
    </row>
    <row r="4440" spans="1:10" x14ac:dyDescent="0.2">
      <c r="A4440" s="4" t="s">
        <v>1</v>
      </c>
      <c r="B4440" s="3" t="str">
        <f>HYPERLINK("https://otsuka-europe-crm.veevavault.com/ui/#object/approved_document__v/V5OZ025E82TFUPI", "Spain - HCP Survey Email - June 2025")</f>
        <v>Spain - HCP Survey Email - June 2025</v>
      </c>
      <c r="C4440" s="3" t="str">
        <f>HYPERLINK("https://otsuka-europe-crm.veevavault.com/ui/#object/sent_email__v/VBLZ025E82GN12Y", "SE-000271580")</f>
        <v>SE-000271580</v>
      </c>
      <c r="D4440" s="1">
        <v>45916.075821759259</v>
      </c>
      <c r="E4440" s="2">
        <v>1</v>
      </c>
      <c r="F4440" s="2">
        <v>5</v>
      </c>
      <c r="G4440" s="2">
        <v>0</v>
      </c>
      <c r="H4440" s="1" t="s">
        <v>0</v>
      </c>
      <c r="I4440" s="2">
        <v>0</v>
      </c>
      <c r="J4440" s="1">
        <v>45915.378831018519</v>
      </c>
    </row>
    <row r="4441" spans="1:10" x14ac:dyDescent="0.2">
      <c r="A4441" s="4" t="s">
        <v>1</v>
      </c>
      <c r="B4441" s="3" t="str">
        <f>HYPERLINK("https://otsuka-europe-crm.veevavault.com/ui/#object/approved_document__v/V5OZ025E82TFUPI", "Spain - HCP Survey Email - June 2025")</f>
        <v>Spain - HCP Survey Email - June 2025</v>
      </c>
      <c r="C4441" s="3" t="str">
        <f>HYPERLINK("https://otsuka-europe-crm.veevavault.com/ui/#object/sent_email__v/VBLZ025E82GN12Z", "SE-000271581")</f>
        <v>SE-000271581</v>
      </c>
      <c r="D4441" s="1" t="s">
        <v>0</v>
      </c>
      <c r="E4441" s="2">
        <v>0</v>
      </c>
      <c r="F4441" s="2">
        <v>0</v>
      </c>
      <c r="G4441" s="2">
        <v>0</v>
      </c>
      <c r="H4441" s="1" t="s">
        <v>0</v>
      </c>
      <c r="I4441" s="2">
        <v>0</v>
      </c>
      <c r="J4441" s="1">
        <v>45915.378692129627</v>
      </c>
    </row>
    <row r="4442" spans="1:10" x14ac:dyDescent="0.2">
      <c r="A4442" s="4" t="s">
        <v>1</v>
      </c>
      <c r="B4442" s="3" t="str">
        <f>HYPERLINK("https://otsuka-europe-crm.veevavault.com/ui/#object/approved_document__v/V5OZ025E82TFUPI", "Spain - HCP Survey Email - June 2025")</f>
        <v>Spain - HCP Survey Email - June 2025</v>
      </c>
      <c r="C4442" s="3" t="str">
        <f>HYPERLINK("https://otsuka-europe-crm.veevavault.com/ui/#object/sent_email__v/VBLZ025E82GN130", "SE-000271582")</f>
        <v>SE-000271582</v>
      </c>
      <c r="D4442" s="1" t="s">
        <v>0</v>
      </c>
      <c r="E4442" s="2">
        <v>0</v>
      </c>
      <c r="F4442" s="2">
        <v>0</v>
      </c>
      <c r="G4442" s="2">
        <v>0</v>
      </c>
      <c r="H4442" s="1" t="s">
        <v>0</v>
      </c>
      <c r="I4442" s="2">
        <v>0</v>
      </c>
      <c r="J4442" s="1">
        <v>45915.379155092596</v>
      </c>
    </row>
    <row r="4443" spans="1:10" x14ac:dyDescent="0.2">
      <c r="A4443" s="4" t="s">
        <v>1</v>
      </c>
      <c r="B4443" s="3" t="str">
        <f>HYPERLINK("https://otsuka-europe-crm.veevavault.com/ui/#object/approved_document__v/V5OZ025E82TFUPI", "Spain - HCP Survey Email - June 2025")</f>
        <v>Spain - HCP Survey Email - June 2025</v>
      </c>
      <c r="C4443" s="3" t="str">
        <f>HYPERLINK("https://otsuka-europe-crm.veevavault.com/ui/#object/sent_email__v/VBLZ025E82GN131", "SE-000271583")</f>
        <v>SE-000271583</v>
      </c>
      <c r="D4443" s="1" t="s">
        <v>0</v>
      </c>
      <c r="E4443" s="2">
        <v>0</v>
      </c>
      <c r="F4443" s="2">
        <v>0</v>
      </c>
      <c r="G4443" s="2">
        <v>0</v>
      </c>
      <c r="H4443" s="1" t="s">
        <v>0</v>
      </c>
      <c r="I4443" s="2">
        <v>0</v>
      </c>
      <c r="J4443" s="1">
        <v>45915.377870370372</v>
      </c>
    </row>
    <row r="4444" spans="1:10" x14ac:dyDescent="0.2">
      <c r="A4444" s="4" t="s">
        <v>1</v>
      </c>
      <c r="B4444" s="3" t="str">
        <f>HYPERLINK("https://otsuka-europe-crm.veevavault.com/ui/#object/approved_document__v/V5OZ025E82TFUPI", "Spain - HCP Survey Email - June 2025")</f>
        <v>Spain - HCP Survey Email - June 2025</v>
      </c>
      <c r="C4444" s="3" t="str">
        <f>HYPERLINK("https://otsuka-europe-crm.veevavault.com/ui/#object/sent_email__v/VBLZ025E82GN132", "SE-000271584")</f>
        <v>SE-000271584</v>
      </c>
      <c r="D4444" s="1">
        <v>45915.476701388892</v>
      </c>
      <c r="E4444" s="2">
        <v>1</v>
      </c>
      <c r="F4444" s="2">
        <v>1</v>
      </c>
      <c r="G4444" s="2">
        <v>1</v>
      </c>
      <c r="H4444" s="1">
        <v>45915.476701388892</v>
      </c>
      <c r="I4444" s="2">
        <v>1</v>
      </c>
      <c r="J4444" s="1">
        <v>45915.377604166664</v>
      </c>
    </row>
    <row r="4445" spans="1:10" x14ac:dyDescent="0.2">
      <c r="A4445" s="4" t="s">
        <v>1</v>
      </c>
      <c r="B4445" s="3" t="str">
        <f>HYPERLINK("https://otsuka-europe-crm.veevavault.com/ui/#object/approved_document__v/V5OZ025E82TFUPI", "Spain - HCP Survey Email - June 2025")</f>
        <v>Spain - HCP Survey Email - June 2025</v>
      </c>
      <c r="C4445" s="3" t="str">
        <f>HYPERLINK("https://otsuka-europe-crm.veevavault.com/ui/#object/sent_email__v/VBLZ025E82GN133", "SE-000271585")</f>
        <v>SE-000271585</v>
      </c>
      <c r="D4445" s="1">
        <v>45915.491493055553</v>
      </c>
      <c r="E4445" s="2">
        <v>1</v>
      </c>
      <c r="F4445" s="2">
        <v>1</v>
      </c>
      <c r="G4445" s="2">
        <v>1</v>
      </c>
      <c r="H4445" s="1">
        <v>45915.491493055553</v>
      </c>
      <c r="I4445" s="2">
        <v>1</v>
      </c>
      <c r="J4445" s="1">
        <v>45915.378055555557</v>
      </c>
    </row>
    <row r="4446" spans="1:10" x14ac:dyDescent="0.2">
      <c r="A4446" s="4" t="s">
        <v>1</v>
      </c>
      <c r="B4446" s="3" t="str">
        <f>HYPERLINK("https://otsuka-europe-crm.veevavault.com/ui/#object/approved_document__v/V5OZ025E82TFUPI", "Spain - HCP Survey Email - June 2025")</f>
        <v>Spain - HCP Survey Email - June 2025</v>
      </c>
      <c r="C4446" s="3" t="str">
        <f>HYPERLINK("https://otsuka-europe-crm.veevavault.com/ui/#object/sent_email__v/VBLZ025E82GN134", "SE-000271586")</f>
        <v>SE-000271586</v>
      </c>
      <c r="D4446" s="1" t="s">
        <v>0</v>
      </c>
      <c r="E4446" s="2">
        <v>0</v>
      </c>
      <c r="F4446" s="2">
        <v>0</v>
      </c>
      <c r="G4446" s="2">
        <v>0</v>
      </c>
      <c r="H4446" s="1" t="s">
        <v>0</v>
      </c>
      <c r="I4446" s="2">
        <v>0</v>
      </c>
      <c r="J4446" s="1">
        <v>45915.379074074073</v>
      </c>
    </row>
    <row r="4447" spans="1:10" x14ac:dyDescent="0.2">
      <c r="A4447" s="4" t="s">
        <v>1</v>
      </c>
      <c r="B4447" s="3" t="str">
        <f>HYPERLINK("https://otsuka-europe-crm.veevavault.com/ui/#object/approved_document__v/V5OZ025E82TFUPI", "Spain - HCP Survey Email - June 2025")</f>
        <v>Spain - HCP Survey Email - June 2025</v>
      </c>
      <c r="C4447" s="3" t="str">
        <f>HYPERLINK("https://otsuka-europe-crm.veevavault.com/ui/#object/sent_email__v/VBLZ025E82GN135", "SE-000271587")</f>
        <v>SE-000271587</v>
      </c>
      <c r="D4447" s="1">
        <v>45915.438738425924</v>
      </c>
      <c r="E4447" s="2">
        <v>1</v>
      </c>
      <c r="F4447" s="2">
        <v>3</v>
      </c>
      <c r="G4447" s="2">
        <v>0</v>
      </c>
      <c r="H4447" s="1" t="s">
        <v>0</v>
      </c>
      <c r="I4447" s="2">
        <v>0</v>
      </c>
      <c r="J4447" s="1">
        <v>45915.379837962966</v>
      </c>
    </row>
    <row r="4448" spans="1:10" x14ac:dyDescent="0.2">
      <c r="A4448" s="4" t="s">
        <v>1</v>
      </c>
      <c r="B4448" s="3" t="str">
        <f>HYPERLINK("https://otsuka-europe-crm.veevavault.com/ui/#object/approved_document__v/V5OZ025E82TFUPI", "Spain - HCP Survey Email - June 2025")</f>
        <v>Spain - HCP Survey Email - June 2025</v>
      </c>
      <c r="C4448" s="3" t="str">
        <f>HYPERLINK("https://otsuka-europe-crm.veevavault.com/ui/#object/sent_email__v/VBLZ025E82GN136", "SE-000271588")</f>
        <v>SE-000271588</v>
      </c>
      <c r="D4448" s="1" t="s">
        <v>0</v>
      </c>
      <c r="E4448" s="2">
        <v>0</v>
      </c>
      <c r="F4448" s="2">
        <v>0</v>
      </c>
      <c r="G4448" s="2">
        <v>0</v>
      </c>
      <c r="H4448" s="1" t="s">
        <v>0</v>
      </c>
      <c r="I4448" s="2">
        <v>0</v>
      </c>
      <c r="J4448" s="1">
        <v>45915.379594907405</v>
      </c>
    </row>
    <row r="4449" spans="1:10" x14ac:dyDescent="0.2">
      <c r="A4449" s="4" t="s">
        <v>1</v>
      </c>
      <c r="B4449" s="3" t="str">
        <f>HYPERLINK("https://otsuka-europe-crm.veevavault.com/ui/#object/approved_document__v/V5OZ025E82TFUPI", "Spain - HCP Survey Email - June 2025")</f>
        <v>Spain - HCP Survey Email - June 2025</v>
      </c>
      <c r="C4449" s="3" t="str">
        <f>HYPERLINK("https://otsuka-europe-crm.veevavault.com/ui/#object/sent_email__v/VBLZ025E82GN137", "SE-000271589")</f>
        <v>SE-000271589</v>
      </c>
      <c r="D4449" s="1">
        <v>45915.386701388888</v>
      </c>
      <c r="E4449" s="2">
        <v>1</v>
      </c>
      <c r="F4449" s="2">
        <v>1</v>
      </c>
      <c r="G4449" s="2">
        <v>0</v>
      </c>
      <c r="H4449" s="1" t="s">
        <v>0</v>
      </c>
      <c r="I4449" s="2">
        <v>0</v>
      </c>
      <c r="J4449" s="1">
        <v>45915.377430555556</v>
      </c>
    </row>
    <row r="4450" spans="1:10" x14ac:dyDescent="0.2">
      <c r="A4450" s="4" t="s">
        <v>1</v>
      </c>
      <c r="B4450" s="3" t="str">
        <f>HYPERLINK("https://otsuka-europe-crm.veevavault.com/ui/#object/approved_document__v/V5OZ025E82TFUPI", "Spain - HCP Survey Email - June 2025")</f>
        <v>Spain - HCP Survey Email - June 2025</v>
      </c>
      <c r="C4450" s="3" t="str">
        <f>HYPERLINK("https://otsuka-europe-crm.veevavault.com/ui/#object/sent_email__v/VBLZ025E82GN138", "SE-000271590")</f>
        <v>SE-000271590</v>
      </c>
      <c r="D4450" s="1">
        <v>45930.547326388885</v>
      </c>
      <c r="E4450" s="2">
        <v>1</v>
      </c>
      <c r="F4450" s="2">
        <v>1</v>
      </c>
      <c r="G4450" s="2">
        <v>1</v>
      </c>
      <c r="H4450" s="1">
        <v>45930.547673611109</v>
      </c>
      <c r="I4450" s="2">
        <v>1</v>
      </c>
      <c r="J4450" s="1">
        <v>45915.378321759257</v>
      </c>
    </row>
    <row r="4451" spans="1:10" x14ac:dyDescent="0.2">
      <c r="A4451" s="4" t="s">
        <v>1</v>
      </c>
      <c r="B4451" s="3" t="str">
        <f>HYPERLINK("https://otsuka-europe-crm.veevavault.com/ui/#object/approved_document__v/V5OZ025E82TFUPI", "Spain - HCP Survey Email - June 2025")</f>
        <v>Spain - HCP Survey Email - June 2025</v>
      </c>
      <c r="C4451" s="3" t="str">
        <f>HYPERLINK("https://otsuka-europe-crm.veevavault.com/ui/#object/sent_email__v/VBLZ025E82GN139", "SE-000271591")</f>
        <v>SE-000271591</v>
      </c>
      <c r="D4451" s="1" t="s">
        <v>0</v>
      </c>
      <c r="E4451" s="2">
        <v>0</v>
      </c>
      <c r="F4451" s="2">
        <v>0</v>
      </c>
      <c r="G4451" s="2">
        <v>0</v>
      </c>
      <c r="H4451" s="1" t="s">
        <v>0</v>
      </c>
      <c r="I4451" s="2">
        <v>0</v>
      </c>
      <c r="J4451" s="1">
        <v>45915.378819444442</v>
      </c>
    </row>
    <row r="4452" spans="1:10" x14ac:dyDescent="0.2">
      <c r="A4452" s="4" t="s">
        <v>1</v>
      </c>
      <c r="B4452" s="3" t="str">
        <f>HYPERLINK("https://otsuka-europe-crm.veevavault.com/ui/#object/approved_document__v/V5OZ025E82TFUPI", "Spain - HCP Survey Email - June 2025")</f>
        <v>Spain - HCP Survey Email - June 2025</v>
      </c>
      <c r="C4452" s="3" t="str">
        <f>HYPERLINK("https://otsuka-europe-crm.veevavault.com/ui/#object/sent_email__v/VBLZ025E82GN13A", "SE-000271592")</f>
        <v>SE-000271592</v>
      </c>
      <c r="D4452" s="1" t="s">
        <v>0</v>
      </c>
      <c r="E4452" s="2">
        <v>0</v>
      </c>
      <c r="F4452" s="2">
        <v>0</v>
      </c>
      <c r="G4452" s="2">
        <v>0</v>
      </c>
      <c r="H4452" s="1" t="s">
        <v>0</v>
      </c>
      <c r="I4452" s="2">
        <v>0</v>
      </c>
      <c r="J4452" s="1">
        <v>45915.379837962966</v>
      </c>
    </row>
    <row r="4453" spans="1:10" x14ac:dyDescent="0.2">
      <c r="A4453" s="4" t="s">
        <v>1</v>
      </c>
      <c r="B4453" s="3" t="str">
        <f>HYPERLINK("https://otsuka-europe-crm.veevavault.com/ui/#object/approved_document__v/V5OZ025E82TFUPI", "Spain - HCP Survey Email - June 2025")</f>
        <v>Spain - HCP Survey Email - June 2025</v>
      </c>
      <c r="C4453" s="3" t="str">
        <f>HYPERLINK("https://otsuka-europe-crm.veevavault.com/ui/#object/sent_email__v/VBLZ025E82GN13B", "SE-000271593")</f>
        <v>SE-000271593</v>
      </c>
      <c r="D4453" s="1">
        <v>45915.850925925923</v>
      </c>
      <c r="E4453" s="2">
        <v>1</v>
      </c>
      <c r="F4453" s="2">
        <v>1</v>
      </c>
      <c r="G4453" s="2">
        <v>0</v>
      </c>
      <c r="H4453" s="1" t="s">
        <v>0</v>
      </c>
      <c r="I4453" s="2">
        <v>0</v>
      </c>
      <c r="J4453" s="1">
        <v>45915.379606481481</v>
      </c>
    </row>
    <row r="4454" spans="1:10" x14ac:dyDescent="0.2">
      <c r="A4454" s="4" t="s">
        <v>1</v>
      </c>
      <c r="B4454" s="3" t="str">
        <f>HYPERLINK("https://otsuka-europe-crm.veevavault.com/ui/#object/approved_document__v/V5OZ025E82TFUPI", "Spain - HCP Survey Email - June 2025")</f>
        <v>Spain - HCP Survey Email - June 2025</v>
      </c>
      <c r="C4454" s="3" t="str">
        <f>HYPERLINK("https://otsuka-europe-crm.veevavault.com/ui/#object/sent_email__v/VBLZ025E82GN13C", "SE-000271594")</f>
        <v>SE-000271594</v>
      </c>
      <c r="D4454" s="1">
        <v>45916.034259259257</v>
      </c>
      <c r="E4454" s="2">
        <v>1</v>
      </c>
      <c r="F4454" s="2">
        <v>2</v>
      </c>
      <c r="G4454" s="2">
        <v>0</v>
      </c>
      <c r="H4454" s="1" t="s">
        <v>0</v>
      </c>
      <c r="I4454" s="2">
        <v>0</v>
      </c>
      <c r="J4454" s="1">
        <v>45915.377372685187</v>
      </c>
    </row>
    <row r="4455" spans="1:10" x14ac:dyDescent="0.2">
      <c r="A4455" s="4" t="s">
        <v>1</v>
      </c>
      <c r="B4455" s="3" t="str">
        <f>HYPERLINK("https://otsuka-europe-crm.veevavault.com/ui/#object/approved_document__v/V5OZ025E82TFUPI", "Spain - HCP Survey Email - June 2025")</f>
        <v>Spain - HCP Survey Email - June 2025</v>
      </c>
      <c r="C4455" s="3" t="str">
        <f>HYPERLINK("https://otsuka-europe-crm.veevavault.com/ui/#object/sent_email__v/VBLZ025E82GN13D", "SE-000271595")</f>
        <v>SE-000271595</v>
      </c>
      <c r="D4455" s="1">
        <v>45915.385393518518</v>
      </c>
      <c r="E4455" s="2">
        <v>1</v>
      </c>
      <c r="F4455" s="2">
        <v>2</v>
      </c>
      <c r="G4455" s="2">
        <v>1</v>
      </c>
      <c r="H4455" s="1">
        <v>45915.385393518518</v>
      </c>
      <c r="I4455" s="2">
        <v>2</v>
      </c>
      <c r="J4455" s="1">
        <v>45915.378321759257</v>
      </c>
    </row>
    <row r="4456" spans="1:10" x14ac:dyDescent="0.2">
      <c r="A4456" s="4" t="s">
        <v>1</v>
      </c>
      <c r="B4456" s="3" t="str">
        <f>HYPERLINK("https://otsuka-europe-crm.veevavault.com/ui/#object/approved_document__v/V5OZ025E82TFUPI", "Spain - HCP Survey Email - June 2025")</f>
        <v>Spain - HCP Survey Email - June 2025</v>
      </c>
      <c r="C4456" s="3" t="str">
        <f>HYPERLINK("https://otsuka-europe-crm.veevavault.com/ui/#object/sent_email__v/VBLZ025E82GN13E", "SE-000271596")</f>
        <v>SE-000271596</v>
      </c>
      <c r="D4456" s="1">
        <v>45915.40729166667</v>
      </c>
      <c r="E4456" s="2">
        <v>1</v>
      </c>
      <c r="F4456" s="2">
        <v>2</v>
      </c>
      <c r="G4456" s="2">
        <v>0</v>
      </c>
      <c r="H4456" s="1" t="s">
        <v>0</v>
      </c>
      <c r="I4456" s="2">
        <v>0</v>
      </c>
      <c r="J4456" s="1">
        <v>45915.378900462965</v>
      </c>
    </row>
    <row r="4457" spans="1:10" x14ac:dyDescent="0.2">
      <c r="A4457" s="4" t="s">
        <v>1</v>
      </c>
      <c r="B4457" s="3" t="str">
        <f>HYPERLINK("https://otsuka-europe-crm.veevavault.com/ui/#object/approved_document__v/V5OZ025E82TFUPI", "Spain - HCP Survey Email - June 2025")</f>
        <v>Spain - HCP Survey Email - June 2025</v>
      </c>
      <c r="C4457" s="3" t="str">
        <f>HYPERLINK("https://otsuka-europe-crm.veevavault.com/ui/#object/sent_email__v/VBLZ025E82GN13F", "SE-000271597")</f>
        <v>SE-000271597</v>
      </c>
      <c r="D4457" s="1" t="s">
        <v>0</v>
      </c>
      <c r="E4457" s="2">
        <v>0</v>
      </c>
      <c r="F4457" s="2">
        <v>0</v>
      </c>
      <c r="G4457" s="2">
        <v>0</v>
      </c>
      <c r="H4457" s="1" t="s">
        <v>0</v>
      </c>
      <c r="I4457" s="2">
        <v>0</v>
      </c>
      <c r="J4457" s="1">
        <v>45915.378657407404</v>
      </c>
    </row>
    <row r="4458" spans="1:10" x14ac:dyDescent="0.2">
      <c r="A4458" s="4" t="s">
        <v>1</v>
      </c>
      <c r="B4458" s="3" t="str">
        <f>HYPERLINK("https://otsuka-europe-crm.veevavault.com/ui/#object/approved_document__v/V5OZ025E82TFUPI", "Spain - HCP Survey Email - June 2025")</f>
        <v>Spain - HCP Survey Email - June 2025</v>
      </c>
      <c r="C4458" s="3" t="str">
        <f>HYPERLINK("https://otsuka-europe-crm.veevavault.com/ui/#object/sent_email__v/VBLZ025E82GN13G", "SE-000271598")</f>
        <v>SE-000271598</v>
      </c>
      <c r="D4458" s="1" t="s">
        <v>0</v>
      </c>
      <c r="E4458" s="2">
        <v>0</v>
      </c>
      <c r="F4458" s="2">
        <v>0</v>
      </c>
      <c r="G4458" s="2">
        <v>0</v>
      </c>
      <c r="H4458" s="1" t="s">
        <v>0</v>
      </c>
      <c r="I4458" s="2">
        <v>0</v>
      </c>
      <c r="J4458" s="1">
        <v>45915.379178240742</v>
      </c>
    </row>
    <row r="4459" spans="1:10" x14ac:dyDescent="0.2">
      <c r="A4459" s="4" t="s">
        <v>1</v>
      </c>
      <c r="B4459" s="3" t="str">
        <f>HYPERLINK("https://otsuka-europe-crm.veevavault.com/ui/#object/approved_document__v/V5OZ025E82TFUPI", "Spain - HCP Survey Email - June 2025")</f>
        <v>Spain - HCP Survey Email - June 2025</v>
      </c>
      <c r="C4459" s="3" t="str">
        <f>HYPERLINK("https://otsuka-europe-crm.veevavault.com/ui/#object/sent_email__v/VBLZ025E82GN13H", "SE-000271599")</f>
        <v>SE-000271599</v>
      </c>
      <c r="D4459" s="1" t="s">
        <v>0</v>
      </c>
      <c r="E4459" s="2">
        <v>0</v>
      </c>
      <c r="F4459" s="2">
        <v>0</v>
      </c>
      <c r="G4459" s="2">
        <v>0</v>
      </c>
      <c r="H4459" s="1" t="s">
        <v>0</v>
      </c>
      <c r="I4459" s="2">
        <v>0</v>
      </c>
      <c r="J4459" s="1">
        <v>45915.377685185187</v>
      </c>
    </row>
    <row r="4460" spans="1:10" x14ac:dyDescent="0.2">
      <c r="A4460" s="4" t="s">
        <v>1</v>
      </c>
      <c r="B4460" s="3" t="str">
        <f>HYPERLINK("https://otsuka-europe-crm.veevavault.com/ui/#object/approved_document__v/V5OZ025E82TFUPI", "Spain - HCP Survey Email - June 2025")</f>
        <v>Spain - HCP Survey Email - June 2025</v>
      </c>
      <c r="C4460" s="3" t="str">
        <f>HYPERLINK("https://otsuka-europe-crm.veevavault.com/ui/#object/sent_email__v/VBLZ025E82GN13I", "SE-000271600")</f>
        <v>SE-000271600</v>
      </c>
      <c r="D4460" s="1">
        <v>45917.967546296299</v>
      </c>
      <c r="E4460" s="2">
        <v>1</v>
      </c>
      <c r="F4460" s="2">
        <v>3</v>
      </c>
      <c r="G4460" s="2">
        <v>0</v>
      </c>
      <c r="H4460" s="1" t="s">
        <v>0</v>
      </c>
      <c r="I4460" s="2">
        <v>0</v>
      </c>
      <c r="J4460" s="1">
        <v>45915.377557870372</v>
      </c>
    </row>
    <row r="4461" spans="1:10" x14ac:dyDescent="0.2">
      <c r="A4461" s="4" t="s">
        <v>1</v>
      </c>
      <c r="B4461" s="3" t="str">
        <f>HYPERLINK("https://otsuka-europe-crm.veevavault.com/ui/#object/approved_document__v/V5OZ025E82TFUPI", "Spain - HCP Survey Email - June 2025")</f>
        <v>Spain - HCP Survey Email - June 2025</v>
      </c>
      <c r="C4461" s="3" t="str">
        <f>HYPERLINK("https://otsuka-europe-crm.veevavault.com/ui/#object/sent_email__v/VBLZ025E82GN13J", "SE-000271601")</f>
        <v>SE-000271601</v>
      </c>
      <c r="D4461" s="1" t="s">
        <v>0</v>
      </c>
      <c r="E4461" s="2">
        <v>0</v>
      </c>
      <c r="F4461" s="2">
        <v>0</v>
      </c>
      <c r="G4461" s="2">
        <v>0</v>
      </c>
      <c r="H4461" s="1" t="s">
        <v>0</v>
      </c>
      <c r="I4461" s="2">
        <v>0</v>
      </c>
      <c r="J4461" s="1">
        <v>45915.377986111111</v>
      </c>
    </row>
    <row r="4462" spans="1:10" x14ac:dyDescent="0.2">
      <c r="A4462" s="4" t="s">
        <v>1</v>
      </c>
      <c r="B4462" s="3" t="str">
        <f>HYPERLINK("https://otsuka-europe-crm.veevavault.com/ui/#object/approved_document__v/V5OZ025E82TFUPI", "Spain - HCP Survey Email - June 2025")</f>
        <v>Spain - HCP Survey Email - June 2025</v>
      </c>
      <c r="C4462" s="3" t="str">
        <f>HYPERLINK("https://otsuka-europe-crm.veevavault.com/ui/#object/sent_email__v/VBLZ025E82GN13K", "SE-000271602")</f>
        <v>SE-000271602</v>
      </c>
      <c r="D4462" s="1" t="s">
        <v>0</v>
      </c>
      <c r="E4462" s="2">
        <v>0</v>
      </c>
      <c r="F4462" s="2">
        <v>0</v>
      </c>
      <c r="G4462" s="2">
        <v>0</v>
      </c>
      <c r="H4462" s="1" t="s">
        <v>0</v>
      </c>
      <c r="I4462" s="2">
        <v>0</v>
      </c>
      <c r="J4462" s="1">
        <v>45915.379062499997</v>
      </c>
    </row>
    <row r="4463" spans="1:10" x14ac:dyDescent="0.2">
      <c r="A4463" s="4" t="s">
        <v>1</v>
      </c>
      <c r="B4463" s="3" t="str">
        <f>HYPERLINK("https://otsuka-europe-crm.veevavault.com/ui/#object/approved_document__v/V5OZ025E82TFUPI", "Spain - HCP Survey Email - June 2025")</f>
        <v>Spain - HCP Survey Email - June 2025</v>
      </c>
      <c r="C4463" s="3" t="str">
        <f>HYPERLINK("https://otsuka-europe-crm.veevavault.com/ui/#object/sent_email__v/VBLZ025E82GN13L", "SE-000271603")</f>
        <v>SE-000271603</v>
      </c>
      <c r="D4463" s="1" t="s">
        <v>0</v>
      </c>
      <c r="E4463" s="2">
        <v>0</v>
      </c>
      <c r="F4463" s="2">
        <v>0</v>
      </c>
      <c r="G4463" s="2">
        <v>0</v>
      </c>
      <c r="H4463" s="1" t="s">
        <v>0</v>
      </c>
      <c r="I4463" s="2">
        <v>0</v>
      </c>
      <c r="J4463" s="1">
        <v>45915.379745370374</v>
      </c>
    </row>
    <row r="4464" spans="1:10" x14ac:dyDescent="0.2">
      <c r="A4464" s="4" t="s">
        <v>1</v>
      </c>
      <c r="B4464" s="3" t="str">
        <f>HYPERLINK("https://otsuka-europe-crm.veevavault.com/ui/#object/approved_document__v/V5OZ025E82TFUPI", "Spain - HCP Survey Email - June 2025")</f>
        <v>Spain - HCP Survey Email - June 2025</v>
      </c>
      <c r="C4464" s="3" t="str">
        <f>HYPERLINK("https://otsuka-europe-crm.veevavault.com/ui/#object/sent_email__v/VBLZ025E82GN13M", "SE-000271604")</f>
        <v>SE-000271604</v>
      </c>
      <c r="D4464" s="1">
        <v>45916.333564814813</v>
      </c>
      <c r="E4464" s="2">
        <v>1</v>
      </c>
      <c r="F4464" s="2">
        <v>1</v>
      </c>
      <c r="G4464" s="2">
        <v>0</v>
      </c>
      <c r="H4464" s="1" t="s">
        <v>0</v>
      </c>
      <c r="I4464" s="2">
        <v>0</v>
      </c>
      <c r="J4464" s="1">
        <v>45915.379432870373</v>
      </c>
    </row>
    <row r="4465" spans="1:10" x14ac:dyDescent="0.2">
      <c r="A4465" s="4" t="s">
        <v>1</v>
      </c>
      <c r="B4465" s="3" t="str">
        <f>HYPERLINK("https://otsuka-europe-crm.veevavault.com/ui/#object/approved_document__v/V5OZ025E82TFUPI", "Spain - HCP Survey Email - June 2025")</f>
        <v>Spain - HCP Survey Email - June 2025</v>
      </c>
      <c r="C4465" s="3" t="str">
        <f>HYPERLINK("https://otsuka-europe-crm.veevavault.com/ui/#object/sent_email__v/VBLZ025E82GN13N", "SE-000271605")</f>
        <v>SE-000271605</v>
      </c>
      <c r="D4465" s="1">
        <v>45915.38013888889</v>
      </c>
      <c r="E4465" s="2">
        <v>1</v>
      </c>
      <c r="F4465" s="2">
        <v>1</v>
      </c>
      <c r="G4465" s="2">
        <v>0</v>
      </c>
      <c r="H4465" s="1" t="s">
        <v>0</v>
      </c>
      <c r="I4465" s="2">
        <v>0</v>
      </c>
      <c r="J4465" s="1">
        <v>45915.377442129633</v>
      </c>
    </row>
    <row r="4466" spans="1:10" x14ac:dyDescent="0.2">
      <c r="A4466" s="4" t="s">
        <v>1</v>
      </c>
      <c r="B4466" s="3" t="str">
        <f>HYPERLINK("https://otsuka-europe-crm.veevavault.com/ui/#object/approved_document__v/V5OZ025E82TFUPI", "Spain - HCP Survey Email - June 2025")</f>
        <v>Spain - HCP Survey Email - June 2025</v>
      </c>
      <c r="C4466" s="3" t="str">
        <f>HYPERLINK("https://otsuka-europe-crm.veevavault.com/ui/#object/sent_email__v/VBLZ025E82GN13O", "SE-000271606")</f>
        <v>SE-000271606</v>
      </c>
      <c r="D4466" s="1" t="s">
        <v>0</v>
      </c>
      <c r="E4466" s="2">
        <v>0</v>
      </c>
      <c r="F4466" s="2">
        <v>0</v>
      </c>
      <c r="G4466" s="2">
        <v>0</v>
      </c>
      <c r="H4466" s="1" t="s">
        <v>0</v>
      </c>
      <c r="I4466" s="2">
        <v>0</v>
      </c>
      <c r="J4466" s="1">
        <v>45915.37840277778</v>
      </c>
    </row>
    <row r="4467" spans="1:10" x14ac:dyDescent="0.2">
      <c r="A4467" s="4" t="s">
        <v>1</v>
      </c>
      <c r="B4467" s="3" t="str">
        <f>HYPERLINK("https://otsuka-europe-crm.veevavault.com/ui/#object/approved_document__v/V5OZ025E82TFUPI", "Spain - HCP Survey Email - June 2025")</f>
        <v>Spain - HCP Survey Email - June 2025</v>
      </c>
      <c r="C4467" s="3" t="str">
        <f>HYPERLINK("https://otsuka-europe-crm.veevavault.com/ui/#object/sent_email__v/VBLZ025E82GN13P", "SE-000271607")</f>
        <v>SE-000271607</v>
      </c>
      <c r="D4467" s="1" t="s">
        <v>0</v>
      </c>
      <c r="E4467" s="2">
        <v>0</v>
      </c>
      <c r="F4467" s="2">
        <v>0</v>
      </c>
      <c r="G4467" s="2">
        <v>0</v>
      </c>
      <c r="H4467" s="1" t="s">
        <v>0</v>
      </c>
      <c r="I4467" s="2">
        <v>0</v>
      </c>
      <c r="J4467" s="1">
        <v>45915.378912037035</v>
      </c>
    </row>
    <row r="4468" spans="1:10" x14ac:dyDescent="0.2">
      <c r="A4468" s="4" t="s">
        <v>1</v>
      </c>
      <c r="B4468" s="3" t="str">
        <f>HYPERLINK("https://otsuka-europe-crm.veevavault.com/ui/#object/approved_document__v/V5OZ025E82TFUPI", "Spain - HCP Survey Email - June 2025")</f>
        <v>Spain - HCP Survey Email - June 2025</v>
      </c>
      <c r="C4468" s="3" t="str">
        <f>HYPERLINK("https://otsuka-europe-crm.veevavault.com/ui/#object/sent_email__v/VBLZ025E82GN13Q", "SE-000271608")</f>
        <v>SE-000271608</v>
      </c>
      <c r="D4468" s="1" t="s">
        <v>0</v>
      </c>
      <c r="E4468" s="2">
        <v>0</v>
      </c>
      <c r="F4468" s="2">
        <v>0</v>
      </c>
      <c r="G4468" s="2">
        <v>0</v>
      </c>
      <c r="H4468" s="1" t="s">
        <v>0</v>
      </c>
      <c r="I4468" s="2">
        <v>0</v>
      </c>
      <c r="J4468" s="1">
        <v>45915.37872685185</v>
      </c>
    </row>
    <row r="4469" spans="1:10" x14ac:dyDescent="0.2">
      <c r="A4469" s="4" t="s">
        <v>1</v>
      </c>
      <c r="B4469" s="3" t="str">
        <f>HYPERLINK("https://otsuka-europe-crm.veevavault.com/ui/#object/approved_document__v/V5OZ025E82TFUPI", "Spain - HCP Survey Email - June 2025")</f>
        <v>Spain - HCP Survey Email - June 2025</v>
      </c>
      <c r="C4469" s="3" t="str">
        <f>HYPERLINK("https://otsuka-europe-crm.veevavault.com/ui/#object/sent_email__v/VBLZ025E82GN13R", "SE-000271609")</f>
        <v>SE-000271609</v>
      </c>
      <c r="D4469" s="1" t="s">
        <v>0</v>
      </c>
      <c r="E4469" s="2">
        <v>0</v>
      </c>
      <c r="F4469" s="2">
        <v>0</v>
      </c>
      <c r="G4469" s="2">
        <v>0</v>
      </c>
      <c r="H4469" s="1" t="s">
        <v>0</v>
      </c>
      <c r="I4469" s="2">
        <v>0</v>
      </c>
      <c r="J4469" s="1">
        <v>45915.379120370373</v>
      </c>
    </row>
    <row r="4470" spans="1:10" x14ac:dyDescent="0.2">
      <c r="A4470" s="4" t="s">
        <v>1</v>
      </c>
      <c r="B4470" s="3" t="str">
        <f>HYPERLINK("https://otsuka-europe-crm.veevavault.com/ui/#object/approved_document__v/V5OZ025E82TFUPI", "Spain - HCP Survey Email - June 2025")</f>
        <v>Spain - HCP Survey Email - June 2025</v>
      </c>
      <c r="C4470" s="3" t="str">
        <f>HYPERLINK("https://otsuka-europe-crm.veevavault.com/ui/#object/sent_email__v/VBLZ025E82GN13S", "SE-000271610")</f>
        <v>SE-000271610</v>
      </c>
      <c r="D4470" s="1">
        <v>45915.48709490741</v>
      </c>
      <c r="E4470" s="2">
        <v>1</v>
      </c>
      <c r="F4470" s="2">
        <v>1</v>
      </c>
      <c r="G4470" s="2">
        <v>0</v>
      </c>
      <c r="H4470" s="1" t="s">
        <v>0</v>
      </c>
      <c r="I4470" s="2">
        <v>0</v>
      </c>
      <c r="J4470" s="1">
        <v>45915.377685185187</v>
      </c>
    </row>
    <row r="4471" spans="1:10" x14ac:dyDescent="0.2">
      <c r="A4471" s="4" t="s">
        <v>1</v>
      </c>
      <c r="B4471" s="3" t="str">
        <f>HYPERLINK("https://otsuka-europe-crm.veevavault.com/ui/#object/approved_document__v/V5OZ025E82TFUPI", "Spain - HCP Survey Email - June 2025")</f>
        <v>Spain - HCP Survey Email - June 2025</v>
      </c>
      <c r="C4471" s="3" t="str">
        <f>HYPERLINK("https://otsuka-europe-crm.veevavault.com/ui/#object/sent_email__v/VBLZ025E82GN13T", "SE-000271611")</f>
        <v>SE-000271611</v>
      </c>
      <c r="D4471" s="1">
        <v>45915.816782407404</v>
      </c>
      <c r="E4471" s="2">
        <v>1</v>
      </c>
      <c r="F4471" s="2">
        <v>2</v>
      </c>
      <c r="G4471" s="2">
        <v>0</v>
      </c>
      <c r="H4471" s="1" t="s">
        <v>0</v>
      </c>
      <c r="I4471" s="2">
        <v>0</v>
      </c>
      <c r="J4471" s="1">
        <v>45915.377604166664</v>
      </c>
    </row>
    <row r="4472" spans="1:10" x14ac:dyDescent="0.2">
      <c r="A4472" s="4" t="s">
        <v>1</v>
      </c>
      <c r="B4472" s="3" t="str">
        <f>HYPERLINK("https://otsuka-europe-crm.veevavault.com/ui/#object/approved_document__v/V5OZ025E82TFUPI", "Spain - HCP Survey Email - June 2025")</f>
        <v>Spain - HCP Survey Email - June 2025</v>
      </c>
      <c r="C4472" s="3" t="str">
        <f>HYPERLINK("https://otsuka-europe-crm.veevavault.com/ui/#object/sent_email__v/VBLZ025E82GN13U", "SE-000271612")</f>
        <v>SE-000271612</v>
      </c>
      <c r="D4472" s="1" t="s">
        <v>0</v>
      </c>
      <c r="E4472" s="2">
        <v>0</v>
      </c>
      <c r="F4472" s="2">
        <v>0</v>
      </c>
      <c r="G4472" s="2">
        <v>0</v>
      </c>
      <c r="H4472" s="1" t="s">
        <v>0</v>
      </c>
      <c r="I4472" s="2">
        <v>0</v>
      </c>
      <c r="J4472" s="1">
        <v>45915.37804398148</v>
      </c>
    </row>
    <row r="4473" spans="1:10" x14ac:dyDescent="0.2">
      <c r="A4473" s="4" t="s">
        <v>1</v>
      </c>
      <c r="B4473" s="3" t="str">
        <f>HYPERLINK("https://otsuka-europe-crm.veevavault.com/ui/#object/approved_document__v/V5OZ025E82TFUPI", "Spain - HCP Survey Email - June 2025")</f>
        <v>Spain - HCP Survey Email - June 2025</v>
      </c>
      <c r="C4473" s="3" t="str">
        <f>HYPERLINK("https://otsuka-europe-crm.veevavault.com/ui/#object/sent_email__v/VBLZ025E82GN13V", "SE-000271613")</f>
        <v>SE-000271613</v>
      </c>
      <c r="D4473" s="1">
        <v>45940.940555555557</v>
      </c>
      <c r="E4473" s="2">
        <v>1</v>
      </c>
      <c r="F4473" s="2">
        <v>1</v>
      </c>
      <c r="G4473" s="2">
        <v>0</v>
      </c>
      <c r="H4473" s="1" t="s">
        <v>0</v>
      </c>
      <c r="I4473" s="2">
        <v>0</v>
      </c>
      <c r="J4473" s="1">
        <v>45915.379016203704</v>
      </c>
    </row>
    <row r="4474" spans="1:10" x14ac:dyDescent="0.2">
      <c r="A4474" s="4" t="s">
        <v>1</v>
      </c>
      <c r="B4474" s="3" t="str">
        <f>HYPERLINK("https://otsuka-europe-crm.veevavault.com/ui/#object/approved_document__v/V5OZ025E82TFUPI", "Spain - HCP Survey Email - June 2025")</f>
        <v>Spain - HCP Survey Email - June 2025</v>
      </c>
      <c r="C4474" s="3" t="str">
        <f>HYPERLINK("https://otsuka-europe-crm.veevavault.com/ui/#object/sent_email__v/VBLZ025E82GN13X", "SE-000271615")</f>
        <v>SE-000271615</v>
      </c>
      <c r="D4474" s="1">
        <v>45915.854710648149</v>
      </c>
      <c r="E4474" s="2">
        <v>1</v>
      </c>
      <c r="F4474" s="2">
        <v>1</v>
      </c>
      <c r="G4474" s="2">
        <v>0</v>
      </c>
      <c r="H4474" s="1" t="s">
        <v>0</v>
      </c>
      <c r="I4474" s="2">
        <v>0</v>
      </c>
      <c r="J4474" s="1">
        <v>45915.379282407404</v>
      </c>
    </row>
    <row r="4475" spans="1:10" x14ac:dyDescent="0.2">
      <c r="A4475" s="4" t="s">
        <v>1</v>
      </c>
      <c r="B4475" s="3" t="str">
        <f>HYPERLINK("https://otsuka-europe-crm.veevavault.com/ui/#object/approved_document__v/V5OZ025E82TFUPI", "Spain - HCP Survey Email - June 2025")</f>
        <v>Spain - HCP Survey Email - June 2025</v>
      </c>
      <c r="C4475" s="3" t="str">
        <f>HYPERLINK("https://otsuka-europe-crm.veevavault.com/ui/#object/sent_email__v/VBLZ025E82GN13Y", "SE-000271616")</f>
        <v>SE-000271616</v>
      </c>
      <c r="D4475" s="1">
        <v>45915.465057870373</v>
      </c>
      <c r="E4475" s="2">
        <v>1</v>
      </c>
      <c r="F4475" s="2">
        <v>1</v>
      </c>
      <c r="G4475" s="2">
        <v>0</v>
      </c>
      <c r="H4475" s="1" t="s">
        <v>0</v>
      </c>
      <c r="I4475" s="2">
        <v>0</v>
      </c>
      <c r="J4475" s="1">
        <v>45915.37740740741</v>
      </c>
    </row>
    <row r="4476" spans="1:10" x14ac:dyDescent="0.2">
      <c r="A4476" s="4" t="s">
        <v>1</v>
      </c>
      <c r="B4476" s="3" t="str">
        <f>HYPERLINK("https://otsuka-europe-crm.veevavault.com/ui/#object/approved_document__v/V5OZ025E82TFUPI", "Spain - HCP Survey Email - June 2025")</f>
        <v>Spain - HCP Survey Email - June 2025</v>
      </c>
      <c r="C4476" s="3" t="str">
        <f>HYPERLINK("https://otsuka-europe-crm.veevavault.com/ui/#object/sent_email__v/VBLZ025E82GN13Z", "SE-000271617")</f>
        <v>SE-000271617</v>
      </c>
      <c r="D4476" s="1">
        <v>45915.395057870373</v>
      </c>
      <c r="E4476" s="2">
        <v>1</v>
      </c>
      <c r="F4476" s="2">
        <v>1</v>
      </c>
      <c r="G4476" s="2">
        <v>0</v>
      </c>
      <c r="H4476" s="1" t="s">
        <v>0</v>
      </c>
      <c r="I4476" s="2">
        <v>0</v>
      </c>
      <c r="J4476" s="1">
        <v>45915.378333333334</v>
      </c>
    </row>
    <row r="4477" spans="1:10" x14ac:dyDescent="0.2">
      <c r="A4477" s="4" t="s">
        <v>1</v>
      </c>
      <c r="B4477" s="3" t="str">
        <f>HYPERLINK("https://otsuka-europe-crm.veevavault.com/ui/#object/approved_document__v/V5OZ025E82TFUPI", "Spain - HCP Survey Email - June 2025")</f>
        <v>Spain - HCP Survey Email - June 2025</v>
      </c>
      <c r="C4477" s="3" t="str">
        <f>HYPERLINK("https://otsuka-europe-crm.veevavault.com/ui/#object/sent_email__v/VBLZ025E82GN140", "SE-000271618")</f>
        <v>SE-000271618</v>
      </c>
      <c r="D4477" s="1">
        <v>45915.580127314817</v>
      </c>
      <c r="E4477" s="2">
        <v>1</v>
      </c>
      <c r="F4477" s="2">
        <v>1</v>
      </c>
      <c r="G4477" s="2">
        <v>0</v>
      </c>
      <c r="H4477" s="1" t="s">
        <v>0</v>
      </c>
      <c r="I4477" s="2">
        <v>0</v>
      </c>
      <c r="J4477" s="1">
        <v>45915.378842592596</v>
      </c>
    </row>
    <row r="4478" spans="1:10" x14ac:dyDescent="0.2">
      <c r="A4478" s="4" t="s">
        <v>1</v>
      </c>
      <c r="B4478" s="3" t="str">
        <f>HYPERLINK("https://otsuka-europe-crm.veevavault.com/ui/#object/approved_document__v/V5OZ025E82TFUPI", "Spain - HCP Survey Email - June 2025")</f>
        <v>Spain - HCP Survey Email - June 2025</v>
      </c>
      <c r="C4478" s="3" t="str">
        <f>HYPERLINK("https://otsuka-europe-crm.veevavault.com/ui/#object/sent_email__v/VBLZ025E82GN141", "SE-000271619")</f>
        <v>SE-000271619</v>
      </c>
      <c r="D4478" s="1" t="s">
        <v>0</v>
      </c>
      <c r="E4478" s="2">
        <v>0</v>
      </c>
      <c r="F4478" s="2">
        <v>0</v>
      </c>
      <c r="G4478" s="2">
        <v>0</v>
      </c>
      <c r="H4478" s="1" t="s">
        <v>0</v>
      </c>
      <c r="I4478" s="2">
        <v>0</v>
      </c>
      <c r="J4478" s="1">
        <v>45915.378784722219</v>
      </c>
    </row>
    <row r="4479" spans="1:10" x14ac:dyDescent="0.2">
      <c r="A4479" s="4" t="s">
        <v>1</v>
      </c>
      <c r="B4479" s="3" t="str">
        <f>HYPERLINK("https://otsuka-europe-crm.veevavault.com/ui/#object/approved_document__v/V5OZ025E82TFUPI", "Spain - HCP Survey Email - June 2025")</f>
        <v>Spain - HCP Survey Email - June 2025</v>
      </c>
      <c r="C4479" s="3" t="str">
        <f>HYPERLINK("https://otsuka-europe-crm.veevavault.com/ui/#object/sent_email__v/VBLZ025E82GN142", "SE-000271620")</f>
        <v>SE-000271620</v>
      </c>
      <c r="D4479" s="1" t="s">
        <v>0</v>
      </c>
      <c r="E4479" s="2">
        <v>0</v>
      </c>
      <c r="F4479" s="2">
        <v>0</v>
      </c>
      <c r="G4479" s="2">
        <v>0</v>
      </c>
      <c r="H4479" s="1" t="s">
        <v>0</v>
      </c>
      <c r="I4479" s="2">
        <v>0</v>
      </c>
      <c r="J4479" s="1">
        <v>45915.379120370373</v>
      </c>
    </row>
    <row r="4480" spans="1:10" x14ac:dyDescent="0.2">
      <c r="A4480" s="4" t="s">
        <v>1</v>
      </c>
      <c r="B4480" s="3" t="str">
        <f>HYPERLINK("https://otsuka-europe-crm.veevavault.com/ui/#object/approved_document__v/V5OZ025E82TFUPI", "Spain - HCP Survey Email - June 2025")</f>
        <v>Spain - HCP Survey Email - June 2025</v>
      </c>
      <c r="C4480" s="3" t="str">
        <f>HYPERLINK("https://otsuka-europe-crm.veevavault.com/ui/#object/sent_email__v/VBLZ025E82GN143", "SE-000271621")</f>
        <v>SE-000271621</v>
      </c>
      <c r="D4480" s="1">
        <v>45915.406747685185</v>
      </c>
      <c r="E4480" s="2">
        <v>1</v>
      </c>
      <c r="F4480" s="2">
        <v>1</v>
      </c>
      <c r="G4480" s="2">
        <v>0</v>
      </c>
      <c r="H4480" s="1" t="s">
        <v>0</v>
      </c>
      <c r="I4480" s="2">
        <v>0</v>
      </c>
      <c r="J4480" s="1">
        <v>45915.377708333333</v>
      </c>
    </row>
    <row r="4481" spans="1:10" x14ac:dyDescent="0.2">
      <c r="A4481" s="4" t="s">
        <v>1</v>
      </c>
      <c r="B4481" s="3" t="str">
        <f>HYPERLINK("https://otsuka-europe-crm.veevavault.com/ui/#object/approved_document__v/V5OZ025E82TFUPI", "Spain - HCP Survey Email - June 2025")</f>
        <v>Spain - HCP Survey Email - June 2025</v>
      </c>
      <c r="C4481" s="3" t="str">
        <f>HYPERLINK("https://otsuka-europe-crm.veevavault.com/ui/#object/sent_email__v/VBLZ025E82GN144", "SE-000271622")</f>
        <v>SE-000271622</v>
      </c>
      <c r="D4481" s="1" t="s">
        <v>0</v>
      </c>
      <c r="E4481" s="2">
        <v>0</v>
      </c>
      <c r="F4481" s="2">
        <v>0</v>
      </c>
      <c r="G4481" s="2">
        <v>0</v>
      </c>
      <c r="H4481" s="1" t="s">
        <v>0</v>
      </c>
      <c r="I4481" s="2">
        <v>0</v>
      </c>
      <c r="J4481" s="1">
        <v>45915.377592592595</v>
      </c>
    </row>
    <row r="4482" spans="1:10" x14ac:dyDescent="0.2">
      <c r="A4482" s="4" t="s">
        <v>1</v>
      </c>
      <c r="B4482" s="3" t="str">
        <f>HYPERLINK("https://otsuka-europe-crm.veevavault.com/ui/#object/approved_document__v/V5OZ025E82TFUPI", "Spain - HCP Survey Email - June 2025")</f>
        <v>Spain - HCP Survey Email - June 2025</v>
      </c>
      <c r="C4482" s="3" t="str">
        <f>HYPERLINK("https://otsuka-europe-crm.veevavault.com/ui/#object/sent_email__v/VBLZ025E82GN145", "SE-000271623")</f>
        <v>SE-000271623</v>
      </c>
      <c r="D4482" s="1">
        <v>45985.554039351853</v>
      </c>
      <c r="E4482" s="2">
        <v>1</v>
      </c>
      <c r="F4482" s="2">
        <v>2</v>
      </c>
      <c r="G4482" s="2">
        <v>0</v>
      </c>
      <c r="H4482" s="1" t="s">
        <v>0</v>
      </c>
      <c r="I4482" s="2">
        <v>0</v>
      </c>
      <c r="J4482" s="1">
        <v>45915.378009259257</v>
      </c>
    </row>
    <row r="4483" spans="1:10" x14ac:dyDescent="0.2">
      <c r="A4483" s="4" t="s">
        <v>1</v>
      </c>
      <c r="B4483" s="3" t="str">
        <f>HYPERLINK("https://otsuka-europe-crm.veevavault.com/ui/#object/approved_document__v/V5OZ025E82TFUPI", "Spain - HCP Survey Email - June 2025")</f>
        <v>Spain - HCP Survey Email - June 2025</v>
      </c>
      <c r="C4483" s="3" t="str">
        <f>HYPERLINK("https://otsuka-europe-crm.veevavault.com/ui/#object/sent_email__v/VBLZ025E82GN146", "SE-000271624")</f>
        <v>SE-000271624</v>
      </c>
      <c r="D4483" s="1" t="s">
        <v>0</v>
      </c>
      <c r="E4483" s="2">
        <v>0</v>
      </c>
      <c r="F4483" s="2">
        <v>0</v>
      </c>
      <c r="G4483" s="2">
        <v>0</v>
      </c>
      <c r="H4483" s="1" t="s">
        <v>0</v>
      </c>
      <c r="I4483" s="2">
        <v>0</v>
      </c>
      <c r="J4483" s="1">
        <v>45915.37903935185</v>
      </c>
    </row>
    <row r="4484" spans="1:10" x14ac:dyDescent="0.2">
      <c r="A4484" s="4" t="s">
        <v>1</v>
      </c>
      <c r="B4484" s="3" t="str">
        <f>HYPERLINK("https://otsuka-europe-crm.veevavault.com/ui/#object/approved_document__v/V5OZ025E82TFUPI", "Spain - HCP Survey Email - June 2025")</f>
        <v>Spain - HCP Survey Email - June 2025</v>
      </c>
      <c r="C4484" s="3" t="str">
        <f>HYPERLINK("https://otsuka-europe-crm.veevavault.com/ui/#object/sent_email__v/VBLZ025E82GN147", "SE-000271625")</f>
        <v>SE-000271625</v>
      </c>
      <c r="D4484" s="1" t="s">
        <v>0</v>
      </c>
      <c r="E4484" s="2">
        <v>0</v>
      </c>
      <c r="F4484" s="2">
        <v>0</v>
      </c>
      <c r="G4484" s="2">
        <v>0</v>
      </c>
      <c r="H4484" s="1" t="s">
        <v>0</v>
      </c>
      <c r="I4484" s="2">
        <v>0</v>
      </c>
      <c r="J4484" s="1">
        <v>45915.379699074074</v>
      </c>
    </row>
    <row r="4485" spans="1:10" x14ac:dyDescent="0.2">
      <c r="A4485" s="4" t="s">
        <v>1</v>
      </c>
      <c r="B4485" s="3" t="str">
        <f>HYPERLINK("https://otsuka-europe-crm.veevavault.com/ui/#object/approved_document__v/V5OZ025E82TFUPI", "Spain - HCP Survey Email - June 2025")</f>
        <v>Spain - HCP Survey Email - June 2025</v>
      </c>
      <c r="C4485" s="3" t="str">
        <f>HYPERLINK("https://otsuka-europe-crm.veevavault.com/ui/#object/sent_email__v/VBLZ025E82GN148", "SE-000271626")</f>
        <v>SE-000271626</v>
      </c>
      <c r="D4485" s="1">
        <v>45936.956990740742</v>
      </c>
      <c r="E4485" s="2">
        <v>1</v>
      </c>
      <c r="F4485" s="2">
        <v>3</v>
      </c>
      <c r="G4485" s="2">
        <v>0</v>
      </c>
      <c r="H4485" s="1" t="s">
        <v>0</v>
      </c>
      <c r="I4485" s="2">
        <v>0</v>
      </c>
      <c r="J4485" s="1">
        <v>45915.379687499997</v>
      </c>
    </row>
    <row r="4486" spans="1:10" x14ac:dyDescent="0.2">
      <c r="A4486" s="4" t="s">
        <v>1</v>
      </c>
      <c r="B4486" s="3" t="str">
        <f>HYPERLINK("https://otsuka-europe-crm.veevavault.com/ui/#object/approved_document__v/V5OZ025E82TFUPI", "Spain - HCP Survey Email - June 2025")</f>
        <v>Spain - HCP Survey Email - June 2025</v>
      </c>
      <c r="C4486" s="3" t="str">
        <f>HYPERLINK("https://otsuka-europe-crm.veevavault.com/ui/#object/sent_email__v/VBLZ025E82GN149", "SE-000271627")</f>
        <v>SE-000271627</v>
      </c>
      <c r="D4486" s="1" t="s">
        <v>0</v>
      </c>
      <c r="E4486" s="2">
        <v>0</v>
      </c>
      <c r="F4486" s="2">
        <v>0</v>
      </c>
      <c r="G4486" s="2">
        <v>0</v>
      </c>
      <c r="H4486" s="1" t="s">
        <v>0</v>
      </c>
      <c r="I4486" s="2">
        <v>0</v>
      </c>
      <c r="J4486" s="1">
        <v>45915.37740740741</v>
      </c>
    </row>
    <row r="4487" spans="1:10" x14ac:dyDescent="0.2">
      <c r="A4487" s="4" t="s">
        <v>1</v>
      </c>
      <c r="B4487" s="3" t="str">
        <f>HYPERLINK("https://otsuka-europe-crm.veevavault.com/ui/#object/approved_document__v/V5OZ025E82TFUPI", "Spain - HCP Survey Email - June 2025")</f>
        <v>Spain - HCP Survey Email - June 2025</v>
      </c>
      <c r="C4487" s="3" t="str">
        <f>HYPERLINK("https://otsuka-europe-crm.veevavault.com/ui/#object/sent_email__v/VBLZ025E82GN14A", "SE-000271628")</f>
        <v>SE-000271628</v>
      </c>
      <c r="D4487" s="1">
        <v>45918.660486111112</v>
      </c>
      <c r="E4487" s="2">
        <v>1</v>
      </c>
      <c r="F4487" s="2">
        <v>4</v>
      </c>
      <c r="G4487" s="2">
        <v>0</v>
      </c>
      <c r="H4487" s="1" t="s">
        <v>0</v>
      </c>
      <c r="I4487" s="2">
        <v>0</v>
      </c>
      <c r="J4487" s="1">
        <v>45915.379062499997</v>
      </c>
    </row>
    <row r="4488" spans="1:10" x14ac:dyDescent="0.2">
      <c r="A4488" s="4" t="s">
        <v>1</v>
      </c>
      <c r="B4488" s="3" t="str">
        <f>HYPERLINK("https://otsuka-europe-crm.veevavault.com/ui/#object/approved_document__v/V5OZ025E82TFUPI", "Spain - HCP Survey Email - June 2025")</f>
        <v>Spain - HCP Survey Email - June 2025</v>
      </c>
      <c r="C4488" s="3" t="str">
        <f>HYPERLINK("https://otsuka-europe-crm.veevavault.com/ui/#object/sent_email__v/VBLZ025E82GN14B", "SE-000271629")</f>
        <v>SE-000271629</v>
      </c>
      <c r="D4488" s="1" t="s">
        <v>0</v>
      </c>
      <c r="E4488" s="2">
        <v>0</v>
      </c>
      <c r="F4488" s="2">
        <v>0</v>
      </c>
      <c r="G4488" s="2">
        <v>0</v>
      </c>
      <c r="H4488" s="1" t="s">
        <v>0</v>
      </c>
      <c r="I4488" s="2">
        <v>0</v>
      </c>
      <c r="J4488" s="1">
        <v>45915.379791666666</v>
      </c>
    </row>
    <row r="4489" spans="1:10" x14ac:dyDescent="0.2">
      <c r="A4489" s="4" t="s">
        <v>1</v>
      </c>
      <c r="B4489" s="3" t="str">
        <f>HYPERLINK("https://otsuka-europe-crm.veevavault.com/ui/#object/approved_document__v/V5OZ025E82TFUPI", "Spain - HCP Survey Email - June 2025")</f>
        <v>Spain - HCP Survey Email - June 2025</v>
      </c>
      <c r="C4489" s="3" t="str">
        <f>HYPERLINK("https://otsuka-europe-crm.veevavault.com/ui/#object/sent_email__v/VBLZ025E82GN14C", "SE-000271630")</f>
        <v>SE-000271630</v>
      </c>
      <c r="D4489" s="1" t="s">
        <v>0</v>
      </c>
      <c r="E4489" s="2">
        <v>0</v>
      </c>
      <c r="F4489" s="2">
        <v>0</v>
      </c>
      <c r="G4489" s="2">
        <v>0</v>
      </c>
      <c r="H4489" s="1" t="s">
        <v>0</v>
      </c>
      <c r="I4489" s="2">
        <v>0</v>
      </c>
      <c r="J4489" s="1">
        <v>45915.379594907405</v>
      </c>
    </row>
    <row r="4490" spans="1:10" x14ac:dyDescent="0.2">
      <c r="A4490" s="4" t="s">
        <v>1</v>
      </c>
      <c r="B4490" s="3" t="str">
        <f>HYPERLINK("https://otsuka-europe-crm.veevavault.com/ui/#object/approved_document__v/V5OZ025E82TFUPI", "Spain - HCP Survey Email - June 2025")</f>
        <v>Spain - HCP Survey Email - June 2025</v>
      </c>
      <c r="C4490" s="3" t="str">
        <f>HYPERLINK("https://otsuka-europe-crm.veevavault.com/ui/#object/sent_email__v/VBLZ025E82GN14D", "SE-000271631")</f>
        <v>SE-000271631</v>
      </c>
      <c r="D4490" s="1">
        <v>45916.292905092596</v>
      </c>
      <c r="E4490" s="2">
        <v>1</v>
      </c>
      <c r="F4490" s="2">
        <v>1</v>
      </c>
      <c r="G4490" s="2">
        <v>0</v>
      </c>
      <c r="H4490" s="1" t="s">
        <v>0</v>
      </c>
      <c r="I4490" s="2">
        <v>0</v>
      </c>
      <c r="J4490" s="1">
        <v>45915.37740740741</v>
      </c>
    </row>
    <row r="4491" spans="1:10" x14ac:dyDescent="0.2">
      <c r="A4491" s="4" t="s">
        <v>1</v>
      </c>
      <c r="B4491" s="3" t="str">
        <f>HYPERLINK("https://otsuka-europe-crm.veevavault.com/ui/#object/approved_document__v/V5OZ025E82TFUPI", "Spain - HCP Survey Email - June 2025")</f>
        <v>Spain - HCP Survey Email - June 2025</v>
      </c>
      <c r="C4491" s="3" t="str">
        <f>HYPERLINK("https://otsuka-europe-crm.veevavault.com/ui/#object/sent_email__v/VBLZ025E82GN14E", "SE-000271632")</f>
        <v>SE-000271632</v>
      </c>
      <c r="D4491" s="1" t="s">
        <v>0</v>
      </c>
      <c r="E4491" s="2">
        <v>0</v>
      </c>
      <c r="F4491" s="2">
        <v>0</v>
      </c>
      <c r="G4491" s="2">
        <v>0</v>
      </c>
      <c r="H4491" s="1" t="s">
        <v>0</v>
      </c>
      <c r="I4491" s="2">
        <v>0</v>
      </c>
      <c r="J4491" s="1">
        <v>45915.37835648148</v>
      </c>
    </row>
    <row r="4492" spans="1:10" x14ac:dyDescent="0.2">
      <c r="A4492" s="4" t="s">
        <v>1</v>
      </c>
      <c r="B4492" s="3" t="str">
        <f>HYPERLINK("https://otsuka-europe-crm.veevavault.com/ui/#object/approved_document__v/V5OZ025E82TFUPI", "Spain - HCP Survey Email - June 2025")</f>
        <v>Spain - HCP Survey Email - June 2025</v>
      </c>
      <c r="C4492" s="3" t="str">
        <f>HYPERLINK("https://otsuka-europe-crm.veevavault.com/ui/#object/sent_email__v/VBLZ025E82GN14F", "SE-000271633")</f>
        <v>SE-000271633</v>
      </c>
      <c r="D4492" s="1">
        <v>45921.959328703706</v>
      </c>
      <c r="E4492" s="2">
        <v>1</v>
      </c>
      <c r="F4492" s="2">
        <v>1</v>
      </c>
      <c r="G4492" s="2">
        <v>0</v>
      </c>
      <c r="H4492" s="1" t="s">
        <v>0</v>
      </c>
      <c r="I4492" s="2">
        <v>0</v>
      </c>
      <c r="J4492" s="1">
        <v>45915.378819444442</v>
      </c>
    </row>
    <row r="4493" spans="1:10" x14ac:dyDescent="0.2">
      <c r="A4493" s="4" t="s">
        <v>1</v>
      </c>
      <c r="B4493" s="3" t="str">
        <f>HYPERLINK("https://otsuka-europe-crm.veevavault.com/ui/#object/approved_document__v/V5OZ025E82TFUPI", "Spain - HCP Survey Email - June 2025")</f>
        <v>Spain - HCP Survey Email - June 2025</v>
      </c>
      <c r="C4493" s="3" t="str">
        <f>HYPERLINK("https://otsuka-europe-crm.veevavault.com/ui/#object/sent_email__v/VBLZ025E82GN14G", "SE-000271634")</f>
        <v>SE-000271634</v>
      </c>
      <c r="D4493" s="1">
        <v>45915.492835648147</v>
      </c>
      <c r="E4493" s="2">
        <v>1</v>
      </c>
      <c r="F4493" s="2">
        <v>1</v>
      </c>
      <c r="G4493" s="2">
        <v>0</v>
      </c>
      <c r="H4493" s="1" t="s">
        <v>0</v>
      </c>
      <c r="I4493" s="2">
        <v>0</v>
      </c>
      <c r="J4493" s="1">
        <v>45915.378761574073</v>
      </c>
    </row>
    <row r="4494" spans="1:10" x14ac:dyDescent="0.2">
      <c r="A4494" s="4" t="s">
        <v>1</v>
      </c>
      <c r="B4494" s="3" t="str">
        <f>HYPERLINK("https://otsuka-europe-crm.veevavault.com/ui/#object/approved_document__v/V5OZ025E82TFUPI", "Spain - HCP Survey Email - June 2025")</f>
        <v>Spain - HCP Survey Email - June 2025</v>
      </c>
      <c r="C4494" s="3" t="str">
        <f>HYPERLINK("https://otsuka-europe-crm.veevavault.com/ui/#object/sent_email__v/VBLZ025E82GN14H", "SE-000271635")</f>
        <v>SE-000271635</v>
      </c>
      <c r="D4494" s="1">
        <v>45915.388564814813</v>
      </c>
      <c r="E4494" s="2">
        <v>1</v>
      </c>
      <c r="F4494" s="2">
        <v>1</v>
      </c>
      <c r="G4494" s="2">
        <v>0</v>
      </c>
      <c r="H4494" s="1" t="s">
        <v>0</v>
      </c>
      <c r="I4494" s="2">
        <v>0</v>
      </c>
      <c r="J4494" s="1">
        <v>45915.379120370373</v>
      </c>
    </row>
    <row r="4495" spans="1:10" x14ac:dyDescent="0.2">
      <c r="A4495" s="4" t="s">
        <v>1</v>
      </c>
      <c r="B4495" s="3" t="str">
        <f>HYPERLINK("https://otsuka-europe-crm.veevavault.com/ui/#object/approved_document__v/V5OZ025E82TFUPI", "Spain - HCP Survey Email - June 2025")</f>
        <v>Spain - HCP Survey Email - June 2025</v>
      </c>
      <c r="C4495" s="3" t="str">
        <f>HYPERLINK("https://otsuka-europe-crm.veevavault.com/ui/#object/sent_email__v/VBLZ025E82GN14I", "SE-000271636")</f>
        <v>SE-000271636</v>
      </c>
      <c r="D4495" s="1">
        <v>45915.37777777778</v>
      </c>
      <c r="E4495" s="2">
        <v>1</v>
      </c>
      <c r="F4495" s="2">
        <v>1</v>
      </c>
      <c r="G4495" s="2">
        <v>0</v>
      </c>
      <c r="H4495" s="1" t="s">
        <v>0</v>
      </c>
      <c r="I4495" s="2">
        <v>0</v>
      </c>
      <c r="J4495" s="1">
        <v>45915.377696759257</v>
      </c>
    </row>
    <row r="4496" spans="1:10" x14ac:dyDescent="0.2">
      <c r="A4496" s="4" t="s">
        <v>1</v>
      </c>
      <c r="B4496" s="3" t="str">
        <f>HYPERLINK("https://otsuka-europe-crm.veevavault.com/ui/#object/approved_document__v/V5OZ025E82TFUPI", "Spain - HCP Survey Email - June 2025")</f>
        <v>Spain - HCP Survey Email - June 2025</v>
      </c>
      <c r="C4496" s="3" t="str">
        <f>HYPERLINK("https://otsuka-europe-crm.veevavault.com/ui/#object/sent_email__v/VBLZ025E82GN14J", "SE-000271637")</f>
        <v>SE-000271637</v>
      </c>
      <c r="D4496" s="1">
        <v>45915.461365740739</v>
      </c>
      <c r="E4496" s="2">
        <v>1</v>
      </c>
      <c r="F4496" s="2">
        <v>1</v>
      </c>
      <c r="G4496" s="2">
        <v>1</v>
      </c>
      <c r="H4496" s="1">
        <v>45915.46166666667</v>
      </c>
      <c r="I4496" s="2">
        <v>1</v>
      </c>
      <c r="J4496" s="1">
        <v>45915.377581018518</v>
      </c>
    </row>
    <row r="4497" spans="1:10" x14ac:dyDescent="0.2">
      <c r="A4497" s="4" t="s">
        <v>1</v>
      </c>
      <c r="B4497" s="3" t="str">
        <f>HYPERLINK("https://otsuka-europe-crm.veevavault.com/ui/#object/approved_document__v/V5OZ025E82TFUPI", "Spain - HCP Survey Email - June 2025")</f>
        <v>Spain - HCP Survey Email - June 2025</v>
      </c>
      <c r="C4497" s="3" t="str">
        <f>HYPERLINK("https://otsuka-europe-crm.veevavault.com/ui/#object/sent_email__v/VBLZ025E82GN14K", "SE-000271638")</f>
        <v>SE-000271638</v>
      </c>
      <c r="D4497" s="1" t="s">
        <v>0</v>
      </c>
      <c r="E4497" s="2">
        <v>0</v>
      </c>
      <c r="F4497" s="2">
        <v>0</v>
      </c>
      <c r="G4497" s="2">
        <v>0</v>
      </c>
      <c r="H4497" s="1" t="s">
        <v>0</v>
      </c>
      <c r="I4497" s="2">
        <v>0</v>
      </c>
      <c r="J4497" s="1">
        <v>45915.377986111111</v>
      </c>
    </row>
    <row r="4498" spans="1:10" x14ac:dyDescent="0.2">
      <c r="A4498" s="4" t="s">
        <v>1</v>
      </c>
      <c r="B4498" s="3" t="str">
        <f>HYPERLINK("https://otsuka-europe-crm.veevavault.com/ui/#object/approved_document__v/V5OZ025E82TFUPI", "Spain - HCP Survey Email - June 2025")</f>
        <v>Spain - HCP Survey Email - June 2025</v>
      </c>
      <c r="C4498" s="3" t="str">
        <f>HYPERLINK("https://otsuka-europe-crm.veevavault.com/ui/#object/sent_email__v/VBLZ025E82GN14L", "SE-000271639")</f>
        <v>SE-000271639</v>
      </c>
      <c r="D4498" s="1" t="s">
        <v>0</v>
      </c>
      <c r="E4498" s="2">
        <v>0</v>
      </c>
      <c r="F4498" s="2">
        <v>0</v>
      </c>
      <c r="G4498" s="2">
        <v>0</v>
      </c>
      <c r="H4498" s="1" t="s">
        <v>0</v>
      </c>
      <c r="I4498" s="2">
        <v>0</v>
      </c>
      <c r="J4498" s="1">
        <v>45915.379189814812</v>
      </c>
    </row>
    <row r="4499" spans="1:10" x14ac:dyDescent="0.2">
      <c r="A4499" s="4" t="s">
        <v>1</v>
      </c>
      <c r="B4499" s="3" t="str">
        <f>HYPERLINK("https://otsuka-europe-crm.veevavault.com/ui/#object/approved_document__v/V5OZ025E82TFUPI", "Spain - HCP Survey Email - June 2025")</f>
        <v>Spain - HCP Survey Email - June 2025</v>
      </c>
      <c r="C4499" s="3" t="str">
        <f>HYPERLINK("https://otsuka-europe-crm.veevavault.com/ui/#object/sent_email__v/VBLZ025E82GN14M", "SE-000271640")</f>
        <v>SE-000271640</v>
      </c>
      <c r="D4499" s="1">
        <v>45915.415150462963</v>
      </c>
      <c r="E4499" s="2">
        <v>1</v>
      </c>
      <c r="F4499" s="2">
        <v>1</v>
      </c>
      <c r="G4499" s="2">
        <v>1</v>
      </c>
      <c r="H4499" s="1">
        <v>45915.415254629632</v>
      </c>
      <c r="I4499" s="2">
        <v>2</v>
      </c>
      <c r="J4499" s="1">
        <v>45915.379699074074</v>
      </c>
    </row>
    <row r="4500" spans="1:10" x14ac:dyDescent="0.2">
      <c r="A4500" s="4" t="s">
        <v>1</v>
      </c>
      <c r="B4500" s="3" t="str">
        <f>HYPERLINK("https://otsuka-europe-crm.veevavault.com/ui/#object/approved_document__v/V5OZ025E82TFUPI", "Spain - HCP Survey Email - June 2025")</f>
        <v>Spain - HCP Survey Email - June 2025</v>
      </c>
      <c r="C4500" s="3" t="str">
        <f>HYPERLINK("https://otsuka-europe-crm.veevavault.com/ui/#object/sent_email__v/VBLZ025E82GN14N", "SE-000271641")</f>
        <v>SE-000271641</v>
      </c>
      <c r="D4500" s="1">
        <v>45929.426319444443</v>
      </c>
      <c r="E4500" s="2">
        <v>1</v>
      </c>
      <c r="F4500" s="2">
        <v>2</v>
      </c>
      <c r="G4500" s="2">
        <v>0</v>
      </c>
      <c r="H4500" s="1" t="s">
        <v>0</v>
      </c>
      <c r="I4500" s="2">
        <v>0</v>
      </c>
      <c r="J4500" s="1">
        <v>45915.379537037035</v>
      </c>
    </row>
    <row r="4501" spans="1:10" x14ac:dyDescent="0.2">
      <c r="A4501" s="4" t="s">
        <v>1</v>
      </c>
      <c r="B4501" s="3" t="str">
        <f>HYPERLINK("https://otsuka-europe-crm.veevavault.com/ui/#object/approved_document__v/V5OZ025E82TFUPI", "Spain - HCP Survey Email - June 2025")</f>
        <v>Spain - HCP Survey Email - June 2025</v>
      </c>
      <c r="C4501" s="3" t="str">
        <f>HYPERLINK("https://otsuka-europe-crm.veevavault.com/ui/#object/sent_email__v/VBLZ025E82GN14O", "SE-000271642")</f>
        <v>SE-000271642</v>
      </c>
      <c r="D4501" s="1">
        <v>45915.482291666667</v>
      </c>
      <c r="E4501" s="2">
        <v>1</v>
      </c>
      <c r="F4501" s="2">
        <v>1</v>
      </c>
      <c r="G4501" s="2">
        <v>0</v>
      </c>
      <c r="H4501" s="1" t="s">
        <v>0</v>
      </c>
      <c r="I4501" s="2">
        <v>0</v>
      </c>
      <c r="J4501" s="1">
        <v>45915.377442129633</v>
      </c>
    </row>
    <row r="4502" spans="1:10" x14ac:dyDescent="0.2">
      <c r="A4502" s="4" t="s">
        <v>1</v>
      </c>
      <c r="B4502" s="3" t="str">
        <f>HYPERLINK("https://otsuka-europe-crm.veevavault.com/ui/#object/approved_document__v/V5OZ025E82TFUPI", "Spain - HCP Survey Email - June 2025")</f>
        <v>Spain - HCP Survey Email - June 2025</v>
      </c>
      <c r="C4502" s="3" t="str">
        <f>HYPERLINK("https://otsuka-europe-crm.veevavault.com/ui/#object/sent_email__v/VBLZ025E82GN14P", "SE-000271643")</f>
        <v>SE-000271643</v>
      </c>
      <c r="D4502" s="1" t="s">
        <v>0</v>
      </c>
      <c r="E4502" s="2">
        <v>0</v>
      </c>
      <c r="F4502" s="2">
        <v>0</v>
      </c>
      <c r="G4502" s="2">
        <v>0</v>
      </c>
      <c r="H4502" s="1" t="s">
        <v>0</v>
      </c>
      <c r="I4502" s="2">
        <v>0</v>
      </c>
      <c r="J4502" s="1">
        <v>45915.37841435185</v>
      </c>
    </row>
    <row r="4503" spans="1:10" x14ac:dyDescent="0.2">
      <c r="A4503" s="4" t="s">
        <v>1</v>
      </c>
      <c r="B4503" s="3" t="str">
        <f>HYPERLINK("https://otsuka-europe-crm.veevavault.com/ui/#object/approved_document__v/V5OZ025E82TFUPI", "Spain - HCP Survey Email - June 2025")</f>
        <v>Spain - HCP Survey Email - June 2025</v>
      </c>
      <c r="C4503" s="3" t="str">
        <f>HYPERLINK("https://otsuka-europe-crm.veevavault.com/ui/#object/sent_email__v/VBLZ025E82GN14Q", "SE-000271644")</f>
        <v>SE-000271644</v>
      </c>
      <c r="D4503" s="1">
        <v>45916.515613425923</v>
      </c>
      <c r="E4503" s="2">
        <v>1</v>
      </c>
      <c r="F4503" s="2">
        <v>1</v>
      </c>
      <c r="G4503" s="2">
        <v>0</v>
      </c>
      <c r="H4503" s="1" t="s">
        <v>0</v>
      </c>
      <c r="I4503" s="2">
        <v>0</v>
      </c>
      <c r="J4503" s="1">
        <v>45915.378865740742</v>
      </c>
    </row>
    <row r="4504" spans="1:10" x14ac:dyDescent="0.2">
      <c r="A4504" s="4" t="s">
        <v>1</v>
      </c>
      <c r="B4504" s="3" t="str">
        <f>HYPERLINK("https://otsuka-europe-crm.veevavault.com/ui/#object/approved_document__v/V5OZ025E82TFUPI", "Spain - HCP Survey Email - June 2025")</f>
        <v>Spain - HCP Survey Email - June 2025</v>
      </c>
      <c r="C4504" s="3" t="str">
        <f>HYPERLINK("https://otsuka-europe-crm.veevavault.com/ui/#object/sent_email__v/VBLZ025E82GN14R", "SE-000271645")</f>
        <v>SE-000271645</v>
      </c>
      <c r="D4504" s="1">
        <v>45915.397175925929</v>
      </c>
      <c r="E4504" s="2">
        <v>1</v>
      </c>
      <c r="F4504" s="2">
        <v>2</v>
      </c>
      <c r="G4504" s="2">
        <v>0</v>
      </c>
      <c r="H4504" s="1" t="s">
        <v>0</v>
      </c>
      <c r="I4504" s="2">
        <v>0</v>
      </c>
      <c r="J4504" s="1">
        <v>45915.378738425927</v>
      </c>
    </row>
    <row r="4505" spans="1:10" x14ac:dyDescent="0.2">
      <c r="A4505" s="4" t="s">
        <v>1</v>
      </c>
      <c r="B4505" s="3" t="str">
        <f>HYPERLINK("https://otsuka-europe-crm.veevavault.com/ui/#object/approved_document__v/V5OZ025E82TFUPI", "Spain - HCP Survey Email - June 2025")</f>
        <v>Spain - HCP Survey Email - June 2025</v>
      </c>
      <c r="C4505" s="3" t="str">
        <f>HYPERLINK("https://otsuka-europe-crm.veevavault.com/ui/#object/sent_email__v/VBLZ025E82GN14S", "SE-000271646")</f>
        <v>SE-000271646</v>
      </c>
      <c r="D4505" s="1" t="s">
        <v>0</v>
      </c>
      <c r="E4505" s="2">
        <v>0</v>
      </c>
      <c r="F4505" s="2">
        <v>0</v>
      </c>
      <c r="G4505" s="2">
        <v>0</v>
      </c>
      <c r="H4505" s="1" t="s">
        <v>0</v>
      </c>
      <c r="I4505" s="2">
        <v>0</v>
      </c>
      <c r="J4505" s="1">
        <v>45915.37909722222</v>
      </c>
    </row>
    <row r="4506" spans="1:10" x14ac:dyDescent="0.2">
      <c r="A4506" s="4" t="s">
        <v>1</v>
      </c>
      <c r="B4506" s="3" t="str">
        <f>HYPERLINK("https://otsuka-europe-crm.veevavault.com/ui/#object/approved_document__v/V5OZ025E82TFUPI", "Spain - HCP Survey Email - June 2025")</f>
        <v>Spain - HCP Survey Email - June 2025</v>
      </c>
      <c r="C4506" s="3" t="str">
        <f>HYPERLINK("https://otsuka-europe-crm.veevavault.com/ui/#object/sent_email__v/VBLZ025E82GN14T", "SE-000271647")</f>
        <v>SE-000271647</v>
      </c>
      <c r="D4506" s="1" t="s">
        <v>0</v>
      </c>
      <c r="E4506" s="2">
        <v>0</v>
      </c>
      <c r="F4506" s="2">
        <v>0</v>
      </c>
      <c r="G4506" s="2">
        <v>0</v>
      </c>
      <c r="H4506" s="1" t="s">
        <v>0</v>
      </c>
      <c r="I4506" s="2">
        <v>0</v>
      </c>
      <c r="J4506" s="1">
        <v>45915.377743055556</v>
      </c>
    </row>
    <row r="4507" spans="1:10" x14ac:dyDescent="0.2">
      <c r="A4507" s="4" t="s">
        <v>1</v>
      </c>
      <c r="B4507" s="3" t="str">
        <f>HYPERLINK("https://otsuka-europe-crm.veevavault.com/ui/#object/approved_document__v/V5OZ025E82TFUPI", "Spain - HCP Survey Email - June 2025")</f>
        <v>Spain - HCP Survey Email - June 2025</v>
      </c>
      <c r="C4507" s="3" t="str">
        <f>HYPERLINK("https://otsuka-europe-crm.veevavault.com/ui/#object/sent_email__v/VBLZ025E82GN14U", "SE-000271648")</f>
        <v>SE-000271648</v>
      </c>
      <c r="D4507" s="1">
        <v>45922.736400462964</v>
      </c>
      <c r="E4507" s="2">
        <v>1</v>
      </c>
      <c r="F4507" s="2">
        <v>2</v>
      </c>
      <c r="G4507" s="2">
        <v>0</v>
      </c>
      <c r="H4507" s="1" t="s">
        <v>0</v>
      </c>
      <c r="I4507" s="2">
        <v>0</v>
      </c>
      <c r="J4507" s="1">
        <v>45915.377650462964</v>
      </c>
    </row>
    <row r="4508" spans="1:10" x14ac:dyDescent="0.2">
      <c r="A4508" s="4" t="s">
        <v>1</v>
      </c>
      <c r="B4508" s="3" t="str">
        <f>HYPERLINK("https://otsuka-europe-crm.veevavault.com/ui/#object/approved_document__v/V5OZ025E82TFUPI", "Spain - HCP Survey Email - June 2025")</f>
        <v>Spain - HCP Survey Email - June 2025</v>
      </c>
      <c r="C4508" s="3" t="str">
        <f>HYPERLINK("https://otsuka-europe-crm.veevavault.com/ui/#object/sent_email__v/VBLZ025E82GN14V", "SE-000271649")</f>
        <v>SE-000271649</v>
      </c>
      <c r="D4508" s="1">
        <v>45915.378148148149</v>
      </c>
      <c r="E4508" s="2">
        <v>1</v>
      </c>
      <c r="F4508" s="2">
        <v>1</v>
      </c>
      <c r="G4508" s="2">
        <v>0</v>
      </c>
      <c r="H4508" s="1" t="s">
        <v>0</v>
      </c>
      <c r="I4508" s="2">
        <v>0</v>
      </c>
      <c r="J4508" s="1">
        <v>45915.378032407411</v>
      </c>
    </row>
    <row r="4509" spans="1:10" x14ac:dyDescent="0.2">
      <c r="A4509" s="4" t="s">
        <v>1</v>
      </c>
      <c r="B4509" s="3" t="str">
        <f>HYPERLINK("https://otsuka-europe-crm.veevavault.com/ui/#object/approved_document__v/V5OZ025E82TFUPI", "Spain - HCP Survey Email - June 2025")</f>
        <v>Spain - HCP Survey Email - June 2025</v>
      </c>
      <c r="C4509" s="3" t="str">
        <f>HYPERLINK("https://otsuka-europe-crm.veevavault.com/ui/#object/sent_email__v/VBLZ025E82GN14W", "SE-000271650")</f>
        <v>SE-000271650</v>
      </c>
      <c r="D4509" s="1">
        <v>45915.426099537035</v>
      </c>
      <c r="E4509" s="2">
        <v>1</v>
      </c>
      <c r="F4509" s="2">
        <v>2</v>
      </c>
      <c r="G4509" s="2">
        <v>1</v>
      </c>
      <c r="H4509" s="1">
        <v>45915.424571759257</v>
      </c>
      <c r="I4509" s="2">
        <v>1</v>
      </c>
      <c r="J4509" s="1">
        <v>45915.379004629627</v>
      </c>
    </row>
    <row r="4510" spans="1:10" x14ac:dyDescent="0.2">
      <c r="A4510" s="4" t="s">
        <v>1</v>
      </c>
      <c r="B4510" s="3" t="str">
        <f>HYPERLINK("https://otsuka-europe-crm.veevavault.com/ui/#object/approved_document__v/V5OZ025E82TFUPI", "Spain - HCP Survey Email - June 2025")</f>
        <v>Spain - HCP Survey Email - June 2025</v>
      </c>
      <c r="C4510" s="3" t="str">
        <f>HYPERLINK("https://otsuka-europe-crm.veevavault.com/ui/#object/sent_email__v/VBLZ025E82GN14X", "SE-000271651")</f>
        <v>SE-000271651</v>
      </c>
      <c r="D4510" s="1">
        <v>45915.443865740737</v>
      </c>
      <c r="E4510" s="2">
        <v>1</v>
      </c>
      <c r="F4510" s="2">
        <v>2</v>
      </c>
      <c r="G4510" s="2">
        <v>0</v>
      </c>
      <c r="H4510" s="1" t="s">
        <v>0</v>
      </c>
      <c r="I4510" s="2">
        <v>0</v>
      </c>
      <c r="J4510" s="1">
        <v>45915.37976851852</v>
      </c>
    </row>
    <row r="4511" spans="1:10" x14ac:dyDescent="0.2">
      <c r="A4511" s="4" t="s">
        <v>1</v>
      </c>
      <c r="B4511" s="3" t="str">
        <f>HYPERLINK("https://otsuka-europe-crm.veevavault.com/ui/#object/approved_document__v/V5OZ025E82TFUPI", "Spain - HCP Survey Email - June 2025")</f>
        <v>Spain - HCP Survey Email - June 2025</v>
      </c>
      <c r="C4511" s="3" t="str">
        <f>HYPERLINK("https://otsuka-europe-crm.veevavault.com/ui/#object/sent_email__v/VBLZ025E82GN14Y", "SE-000271652")</f>
        <v>SE-000271652</v>
      </c>
      <c r="D4511" s="1" t="s">
        <v>0</v>
      </c>
      <c r="E4511" s="2">
        <v>0</v>
      </c>
      <c r="F4511" s="2">
        <v>0</v>
      </c>
      <c r="G4511" s="2">
        <v>0</v>
      </c>
      <c r="H4511" s="1" t="s">
        <v>0</v>
      </c>
      <c r="I4511" s="2">
        <v>0</v>
      </c>
      <c r="J4511" s="1">
        <v>45915.379270833335</v>
      </c>
    </row>
    <row r="4512" spans="1:10" x14ac:dyDescent="0.2">
      <c r="A4512" s="4" t="s">
        <v>1</v>
      </c>
      <c r="B4512" s="3" t="str">
        <f>HYPERLINK("https://otsuka-europe-crm.veevavault.com/ui/#object/approved_document__v/V5OZ025E82TFUPI", "Spain - HCP Survey Email - June 2025")</f>
        <v>Spain - HCP Survey Email - June 2025</v>
      </c>
      <c r="C4512" s="3" t="str">
        <f>HYPERLINK("https://otsuka-europe-crm.veevavault.com/ui/#object/sent_email__v/VBLZ025E82GN14Z", "SE-000271653")</f>
        <v>SE-000271653</v>
      </c>
      <c r="D4512" s="1">
        <v>45918.580706018518</v>
      </c>
      <c r="E4512" s="2">
        <v>1</v>
      </c>
      <c r="F4512" s="2">
        <v>2</v>
      </c>
      <c r="G4512" s="2">
        <v>0</v>
      </c>
      <c r="H4512" s="1" t="s">
        <v>0</v>
      </c>
      <c r="I4512" s="2">
        <v>0</v>
      </c>
      <c r="J4512" s="1">
        <v>45915.37740740741</v>
      </c>
    </row>
    <row r="4513" spans="1:10" x14ac:dyDescent="0.2">
      <c r="A4513" s="4" t="s">
        <v>1</v>
      </c>
      <c r="B4513" s="3" t="str">
        <f>HYPERLINK("https://otsuka-europe-crm.veevavault.com/ui/#object/approved_document__v/V5OZ025E82TFUPI", "Spain - HCP Survey Email - June 2025")</f>
        <v>Spain - HCP Survey Email - June 2025</v>
      </c>
      <c r="C4513" s="3" t="str">
        <f>HYPERLINK("https://otsuka-europe-crm.veevavault.com/ui/#object/sent_email__v/VBLZ025E82GN150", "SE-000271654")</f>
        <v>SE-000271654</v>
      </c>
      <c r="D4513" s="1">
        <v>45915.383275462962</v>
      </c>
      <c r="E4513" s="2">
        <v>1</v>
      </c>
      <c r="F4513" s="2">
        <v>2</v>
      </c>
      <c r="G4513" s="2">
        <v>0</v>
      </c>
      <c r="H4513" s="1" t="s">
        <v>0</v>
      </c>
      <c r="I4513" s="2">
        <v>0</v>
      </c>
      <c r="J4513" s="1">
        <v>45915.37804398148</v>
      </c>
    </row>
    <row r="4514" spans="1:10" x14ac:dyDescent="0.2">
      <c r="A4514" s="4" t="s">
        <v>1</v>
      </c>
      <c r="B4514" s="3" t="str">
        <f>HYPERLINK("https://otsuka-europe-crm.veevavault.com/ui/#object/approved_document__v/V5OZ025E82TFUPI", "Spain - HCP Survey Email - June 2025")</f>
        <v>Spain - HCP Survey Email - June 2025</v>
      </c>
      <c r="C4514" s="3" t="str">
        <f>HYPERLINK("https://otsuka-europe-crm.veevavault.com/ui/#object/sent_email__v/VBLZ025E82GN151", "SE-000271655")</f>
        <v>SE-000271655</v>
      </c>
      <c r="D4514" s="1">
        <v>45919.66815972222</v>
      </c>
      <c r="E4514" s="2">
        <v>1</v>
      </c>
      <c r="F4514" s="2">
        <v>2</v>
      </c>
      <c r="G4514" s="2">
        <v>1</v>
      </c>
      <c r="H4514" s="1">
        <v>45919.667731481481</v>
      </c>
      <c r="I4514" s="2">
        <v>1</v>
      </c>
      <c r="J4514" s="1">
        <v>45915.379027777781</v>
      </c>
    </row>
    <row r="4515" spans="1:10" x14ac:dyDescent="0.2">
      <c r="A4515" s="4" t="s">
        <v>1</v>
      </c>
      <c r="B4515" s="3" t="str">
        <f>HYPERLINK("https://otsuka-europe-crm.veevavault.com/ui/#object/approved_document__v/V5OZ025E82TFUPI", "Spain - HCP Survey Email - June 2025")</f>
        <v>Spain - HCP Survey Email - June 2025</v>
      </c>
      <c r="C4515" s="3" t="str">
        <f>HYPERLINK("https://otsuka-europe-crm.veevavault.com/ui/#object/sent_email__v/VBLZ025E82GN152", "SE-000271656")</f>
        <v>SE-000271656</v>
      </c>
      <c r="D4515" s="1">
        <v>45919.681747685187</v>
      </c>
      <c r="E4515" s="2">
        <v>1</v>
      </c>
      <c r="F4515" s="2">
        <v>1</v>
      </c>
      <c r="G4515" s="2">
        <v>0</v>
      </c>
      <c r="H4515" s="1" t="s">
        <v>0</v>
      </c>
      <c r="I4515" s="2">
        <v>0</v>
      </c>
      <c r="J4515" s="1">
        <v>45915.37972222222</v>
      </c>
    </row>
    <row r="4516" spans="1:10" x14ac:dyDescent="0.2">
      <c r="A4516" s="4" t="s">
        <v>1</v>
      </c>
      <c r="B4516" s="3" t="str">
        <f>HYPERLINK("https://otsuka-europe-crm.veevavault.com/ui/#object/approved_document__v/V5OZ025E82TFUPI", "Spain - HCP Survey Email - June 2025")</f>
        <v>Spain - HCP Survey Email - June 2025</v>
      </c>
      <c r="C4516" s="3" t="str">
        <f>HYPERLINK("https://otsuka-europe-crm.veevavault.com/ui/#object/sent_email__v/VBLZ025E82GN153", "SE-000271657")</f>
        <v>SE-000271657</v>
      </c>
      <c r="D4516" s="1" t="s">
        <v>0</v>
      </c>
      <c r="E4516" s="2">
        <v>0</v>
      </c>
      <c r="F4516" s="2">
        <v>0</v>
      </c>
      <c r="G4516" s="2">
        <v>0</v>
      </c>
      <c r="H4516" s="1" t="s">
        <v>0</v>
      </c>
      <c r="I4516" s="2">
        <v>0</v>
      </c>
      <c r="J4516" s="1">
        <v>45915.379363425927</v>
      </c>
    </row>
    <row r="4517" spans="1:10" x14ac:dyDescent="0.2">
      <c r="A4517" s="4" t="s">
        <v>1</v>
      </c>
      <c r="B4517" s="3" t="str">
        <f>HYPERLINK("https://otsuka-europe-crm.veevavault.com/ui/#object/approved_document__v/V5OZ025E82TFUPI", "Spain - HCP Survey Email - June 2025")</f>
        <v>Spain - HCP Survey Email - June 2025</v>
      </c>
      <c r="C4517" s="3" t="str">
        <f>HYPERLINK("https://otsuka-europe-crm.veevavault.com/ui/#object/sent_email__v/VBLZ025E82GN154", "SE-000271658")</f>
        <v>SE-000271658</v>
      </c>
      <c r="D4517" s="1">
        <v>45915.731249999997</v>
      </c>
      <c r="E4517" s="2">
        <v>1</v>
      </c>
      <c r="F4517" s="2">
        <v>2</v>
      </c>
      <c r="G4517" s="2">
        <v>0</v>
      </c>
      <c r="H4517" s="1" t="s">
        <v>0</v>
      </c>
      <c r="I4517" s="2">
        <v>0</v>
      </c>
      <c r="J4517" s="1">
        <v>45915.377465277779</v>
      </c>
    </row>
    <row r="4518" spans="1:10" x14ac:dyDescent="0.2">
      <c r="A4518" s="4" t="s">
        <v>1</v>
      </c>
      <c r="B4518" s="3" t="str">
        <f>HYPERLINK("https://otsuka-europe-crm.veevavault.com/ui/#object/approved_document__v/V5OZ025E82TFUPI", "Spain - HCP Survey Email - June 2025")</f>
        <v>Spain - HCP Survey Email - June 2025</v>
      </c>
      <c r="C4518" s="3" t="str">
        <f>HYPERLINK("https://otsuka-europe-crm.veevavault.com/ui/#object/sent_email__v/VBLZ025E82GN155", "SE-000271659")</f>
        <v>SE-000271659</v>
      </c>
      <c r="D4518" s="1" t="s">
        <v>0</v>
      </c>
      <c r="E4518" s="2">
        <v>0</v>
      </c>
      <c r="F4518" s="2">
        <v>0</v>
      </c>
      <c r="G4518" s="2">
        <v>0</v>
      </c>
      <c r="H4518" s="1" t="s">
        <v>0</v>
      </c>
      <c r="I4518" s="2">
        <v>0</v>
      </c>
      <c r="J4518" s="1">
        <v>45915.378344907411</v>
      </c>
    </row>
    <row r="4519" spans="1:10" x14ac:dyDescent="0.2">
      <c r="A4519" s="4" t="s">
        <v>1</v>
      </c>
      <c r="B4519" s="3" t="str">
        <f>HYPERLINK("https://otsuka-europe-crm.veevavault.com/ui/#object/approved_document__v/V5OZ025E82TFUPI", "Spain - HCP Survey Email - June 2025")</f>
        <v>Spain - HCP Survey Email - June 2025</v>
      </c>
      <c r="C4519" s="3" t="str">
        <f>HYPERLINK("https://otsuka-europe-crm.veevavault.com/ui/#object/sent_email__v/VBLZ025E82GN156", "SE-000271660")</f>
        <v>SE-000271660</v>
      </c>
      <c r="D4519" s="1">
        <v>45915.85355324074</v>
      </c>
      <c r="E4519" s="2">
        <v>1</v>
      </c>
      <c r="F4519" s="2">
        <v>1</v>
      </c>
      <c r="G4519" s="2">
        <v>1</v>
      </c>
      <c r="H4519" s="1">
        <v>45915.85355324074</v>
      </c>
      <c r="I4519" s="2">
        <v>1</v>
      </c>
      <c r="J4519" s="1">
        <v>45915.378912037035</v>
      </c>
    </row>
    <row r="4520" spans="1:10" x14ac:dyDescent="0.2">
      <c r="A4520" s="4" t="s">
        <v>1</v>
      </c>
      <c r="B4520" s="3" t="str">
        <f>HYPERLINK("https://otsuka-europe-crm.veevavault.com/ui/#object/approved_document__v/V5OZ025E82TFUPI", "Spain - HCP Survey Email - June 2025")</f>
        <v>Spain - HCP Survey Email - June 2025</v>
      </c>
      <c r="C4520" s="3" t="str">
        <f>HYPERLINK("https://otsuka-europe-crm.veevavault.com/ui/#object/sent_email__v/VBLZ025E82GN157", "SE-000271661")</f>
        <v>SE-000271661</v>
      </c>
      <c r="D4520" s="1" t="s">
        <v>0</v>
      </c>
      <c r="E4520" s="2">
        <v>0</v>
      </c>
      <c r="F4520" s="2">
        <v>0</v>
      </c>
      <c r="G4520" s="2">
        <v>0</v>
      </c>
      <c r="H4520" s="1" t="s">
        <v>0</v>
      </c>
      <c r="I4520" s="2">
        <v>0</v>
      </c>
      <c r="J4520" s="1">
        <v>45915.378842592596</v>
      </c>
    </row>
    <row r="4521" spans="1:10" x14ac:dyDescent="0.2">
      <c r="A4521" s="4" t="s">
        <v>1</v>
      </c>
      <c r="B4521" s="3" t="str">
        <f>HYPERLINK("https://otsuka-europe-crm.veevavault.com/ui/#object/approved_document__v/V5OZ025E82TFUPI", "Spain - HCP Survey Email - June 2025")</f>
        <v>Spain - HCP Survey Email - June 2025</v>
      </c>
      <c r="C4521" s="3" t="str">
        <f>HYPERLINK("https://otsuka-europe-crm.veevavault.com/ui/#object/sent_email__v/VBLZ025E82GN158", "SE-000271662")</f>
        <v>SE-000271662</v>
      </c>
      <c r="D4521" s="1">
        <v>45915.468842592592</v>
      </c>
      <c r="E4521" s="2">
        <v>1</v>
      </c>
      <c r="F4521" s="2">
        <v>1</v>
      </c>
      <c r="G4521" s="2">
        <v>0</v>
      </c>
      <c r="H4521" s="1" t="s">
        <v>0</v>
      </c>
      <c r="I4521" s="2">
        <v>0</v>
      </c>
      <c r="J4521" s="1">
        <v>45915.379907407405</v>
      </c>
    </row>
    <row r="4522" spans="1:10" x14ac:dyDescent="0.2">
      <c r="A4522" s="4" t="s">
        <v>1</v>
      </c>
      <c r="B4522" s="3" t="str">
        <f>HYPERLINK("https://otsuka-europe-crm.veevavault.com/ui/#object/approved_document__v/V5OZ025E82TFUPI", "Spain - HCP Survey Email - June 2025")</f>
        <v>Spain - HCP Survey Email - June 2025</v>
      </c>
      <c r="C4522" s="3" t="str">
        <f>HYPERLINK("https://otsuka-europe-crm.veevavault.com/ui/#object/sent_email__v/VBLZ025E82GN159", "SE-000271663")</f>
        <v>SE-000271663</v>
      </c>
      <c r="D4522" s="1">
        <v>45984.435289351852</v>
      </c>
      <c r="E4522" s="2">
        <v>1</v>
      </c>
      <c r="F4522" s="2">
        <v>2</v>
      </c>
      <c r="G4522" s="2">
        <v>0</v>
      </c>
      <c r="H4522" s="1" t="s">
        <v>0</v>
      </c>
      <c r="I4522" s="2">
        <v>0</v>
      </c>
      <c r="J4522" s="1">
        <v>45915.377696759257</v>
      </c>
    </row>
    <row r="4523" spans="1:10" x14ac:dyDescent="0.2">
      <c r="A4523" s="4" t="s">
        <v>1</v>
      </c>
      <c r="B4523" s="3" t="str">
        <f>HYPERLINK("https://otsuka-europe-crm.veevavault.com/ui/#object/approved_document__v/V5OZ025E82TFUPI", "Spain - HCP Survey Email - June 2025")</f>
        <v>Spain - HCP Survey Email - June 2025</v>
      </c>
      <c r="C4523" s="3" t="str">
        <f>HYPERLINK("https://otsuka-europe-crm.veevavault.com/ui/#object/sent_email__v/VBLZ025E82GN15A", "SE-000271664")</f>
        <v>SE-000271664</v>
      </c>
      <c r="D4523" s="1" t="s">
        <v>0</v>
      </c>
      <c r="E4523" s="2">
        <v>0</v>
      </c>
      <c r="F4523" s="2">
        <v>0</v>
      </c>
      <c r="G4523" s="2">
        <v>0</v>
      </c>
      <c r="H4523" s="1" t="s">
        <v>0</v>
      </c>
      <c r="I4523" s="2">
        <v>0</v>
      </c>
      <c r="J4523" s="1">
        <v>45915.377592592595</v>
      </c>
    </row>
    <row r="4524" spans="1:10" x14ac:dyDescent="0.2">
      <c r="A4524" s="4" t="s">
        <v>1</v>
      </c>
      <c r="B4524" s="3" t="str">
        <f>HYPERLINK("https://otsuka-europe-crm.veevavault.com/ui/#object/approved_document__v/V5OZ025E82TFUPI", "Spain - HCP Survey Email - June 2025")</f>
        <v>Spain - HCP Survey Email - June 2025</v>
      </c>
      <c r="C4524" s="3" t="str">
        <f>HYPERLINK("https://otsuka-europe-crm.veevavault.com/ui/#object/sent_email__v/VBLZ025E82GN15B", "SE-000271665")</f>
        <v>SE-000271665</v>
      </c>
      <c r="D4524" s="1">
        <v>45915.421388888892</v>
      </c>
      <c r="E4524" s="2">
        <v>1</v>
      </c>
      <c r="F4524" s="2">
        <v>1</v>
      </c>
      <c r="G4524" s="2">
        <v>0</v>
      </c>
      <c r="H4524" s="1" t="s">
        <v>0</v>
      </c>
      <c r="I4524" s="2">
        <v>0</v>
      </c>
      <c r="J4524" s="1">
        <v>45915.37809027778</v>
      </c>
    </row>
    <row r="4525" spans="1:10" x14ac:dyDescent="0.2">
      <c r="A4525" s="4" t="s">
        <v>1</v>
      </c>
      <c r="B4525" s="3" t="str">
        <f>HYPERLINK("https://otsuka-europe-crm.veevavault.com/ui/#object/approved_document__v/V5OZ025E82TFUPI", "Spain - HCP Survey Email - June 2025")</f>
        <v>Spain - HCP Survey Email - June 2025</v>
      </c>
      <c r="C4525" s="3" t="str">
        <f>HYPERLINK("https://otsuka-europe-crm.veevavault.com/ui/#object/sent_email__v/VBLZ025E82GN15C", "SE-000271666")</f>
        <v>SE-000271666</v>
      </c>
      <c r="D4525" s="1" t="s">
        <v>0</v>
      </c>
      <c r="E4525" s="2">
        <v>0</v>
      </c>
      <c r="F4525" s="2">
        <v>0</v>
      </c>
      <c r="G4525" s="2">
        <v>0</v>
      </c>
      <c r="H4525" s="1" t="s">
        <v>0</v>
      </c>
      <c r="I4525" s="2">
        <v>0</v>
      </c>
      <c r="J4525" s="1">
        <v>45915.378969907404</v>
      </c>
    </row>
    <row r="4526" spans="1:10" x14ac:dyDescent="0.2">
      <c r="A4526" s="4" t="s">
        <v>1</v>
      </c>
      <c r="B4526" s="3" t="str">
        <f>HYPERLINK("https://otsuka-europe-crm.veevavault.com/ui/#object/approved_document__v/V5OZ025E82TFUPI", "Spain - HCP Survey Email - June 2025")</f>
        <v>Spain - HCP Survey Email - June 2025</v>
      </c>
      <c r="C4526" s="3" t="str">
        <f>HYPERLINK("https://otsuka-europe-crm.veevavault.com/ui/#object/sent_email__v/VBLZ025E82GN15D", "SE-000271667")</f>
        <v>SE-000271667</v>
      </c>
      <c r="D4526" s="1">
        <v>45916.377974537034</v>
      </c>
      <c r="E4526" s="2">
        <v>1</v>
      </c>
      <c r="F4526" s="2">
        <v>1</v>
      </c>
      <c r="G4526" s="2">
        <v>0</v>
      </c>
      <c r="H4526" s="1" t="s">
        <v>0</v>
      </c>
      <c r="I4526" s="2">
        <v>0</v>
      </c>
      <c r="J4526" s="1">
        <v>45915.379861111112</v>
      </c>
    </row>
    <row r="4527" spans="1:10" x14ac:dyDescent="0.2">
      <c r="A4527" s="4" t="s">
        <v>1</v>
      </c>
      <c r="B4527" s="3" t="str">
        <f>HYPERLINK("https://otsuka-europe-crm.veevavault.com/ui/#object/approved_document__v/V5OZ025E82TFUPI", "Spain - HCP Survey Email - June 2025")</f>
        <v>Spain - HCP Survey Email - June 2025</v>
      </c>
      <c r="C4527" s="3" t="str">
        <f>HYPERLINK("https://otsuka-europe-crm.veevavault.com/ui/#object/sent_email__v/VBLZ025E82GN15E", "SE-000271668")</f>
        <v>SE-000271668</v>
      </c>
      <c r="D4527" s="1" t="s">
        <v>0</v>
      </c>
      <c r="E4527" s="2">
        <v>0</v>
      </c>
      <c r="F4527" s="2">
        <v>0</v>
      </c>
      <c r="G4527" s="2">
        <v>0</v>
      </c>
      <c r="H4527" s="1" t="s">
        <v>0</v>
      </c>
      <c r="I4527" s="2">
        <v>0</v>
      </c>
      <c r="J4527" s="1">
        <v>45915.379282407404</v>
      </c>
    </row>
    <row r="4528" spans="1:10" x14ac:dyDescent="0.2">
      <c r="A4528" s="4" t="s">
        <v>1</v>
      </c>
      <c r="B4528" s="3" t="str">
        <f>HYPERLINK("https://otsuka-europe-crm.veevavault.com/ui/#object/approved_document__v/V5OZ025E82TFUPI", "Spain - HCP Survey Email - June 2025")</f>
        <v>Spain - HCP Survey Email - June 2025</v>
      </c>
      <c r="C4528" s="3" t="str">
        <f>HYPERLINK("https://otsuka-europe-crm.veevavault.com/ui/#object/sent_email__v/VBLZ025E82GN15F", "SE-000271669")</f>
        <v>SE-000271669</v>
      </c>
      <c r="D4528" s="1">
        <v>45966.784594907411</v>
      </c>
      <c r="E4528" s="2">
        <v>1</v>
      </c>
      <c r="F4528" s="2">
        <v>1</v>
      </c>
      <c r="G4528" s="2">
        <v>1</v>
      </c>
      <c r="H4528" s="1">
        <v>45966.784884259258</v>
      </c>
      <c r="I4528" s="2">
        <v>1</v>
      </c>
      <c r="J4528" s="1">
        <v>45915.377442129633</v>
      </c>
    </row>
    <row r="4529" spans="1:10" x14ac:dyDescent="0.2">
      <c r="A4529" s="4" t="s">
        <v>1</v>
      </c>
      <c r="B4529" s="3" t="str">
        <f>HYPERLINK("https://otsuka-europe-crm.veevavault.com/ui/#object/approved_document__v/V5OZ025E82TFUPI", "Spain - HCP Survey Email - June 2025")</f>
        <v>Spain - HCP Survey Email - June 2025</v>
      </c>
      <c r="C4529" s="3" t="str">
        <f>HYPERLINK("https://otsuka-europe-crm.veevavault.com/ui/#object/sent_email__v/VBLZ025E82GN15G", "SE-000271670")</f>
        <v>SE-000271670</v>
      </c>
      <c r="D4529" s="1">
        <v>45915.744895833333</v>
      </c>
      <c r="E4529" s="2">
        <v>1</v>
      </c>
      <c r="F4529" s="2">
        <v>2</v>
      </c>
      <c r="G4529" s="2">
        <v>0</v>
      </c>
      <c r="H4529" s="1" t="s">
        <v>0</v>
      </c>
      <c r="I4529" s="2">
        <v>0</v>
      </c>
      <c r="J4529" s="1">
        <v>45915.378379629627</v>
      </c>
    </row>
    <row r="4530" spans="1:10" x14ac:dyDescent="0.2">
      <c r="A4530" s="4" t="s">
        <v>1</v>
      </c>
      <c r="B4530" s="3" t="str">
        <f>HYPERLINK("https://otsuka-europe-crm.veevavault.com/ui/#object/approved_document__v/V5OZ025E82TFUPI", "Spain - HCP Survey Email - June 2025")</f>
        <v>Spain - HCP Survey Email - June 2025</v>
      </c>
      <c r="C4530" s="3" t="str">
        <f>HYPERLINK("https://otsuka-europe-crm.veevavault.com/ui/#object/sent_email__v/VBLZ025E82GN15H", "SE-000271671")</f>
        <v>SE-000271671</v>
      </c>
      <c r="D4530" s="1" t="s">
        <v>0</v>
      </c>
      <c r="E4530" s="2">
        <v>0</v>
      </c>
      <c r="F4530" s="2">
        <v>0</v>
      </c>
      <c r="G4530" s="2">
        <v>0</v>
      </c>
      <c r="H4530" s="1" t="s">
        <v>0</v>
      </c>
      <c r="I4530" s="2">
        <v>0</v>
      </c>
      <c r="J4530" s="1">
        <v>45915.378865740742</v>
      </c>
    </row>
    <row r="4531" spans="1:10" x14ac:dyDescent="0.2">
      <c r="A4531" s="4" t="s">
        <v>1</v>
      </c>
      <c r="B4531" s="3" t="str">
        <f>HYPERLINK("https://otsuka-europe-crm.veevavault.com/ui/#object/approved_document__v/V5OZ025E82TFUPI", "Spain - HCP Survey Email - June 2025")</f>
        <v>Spain - HCP Survey Email - June 2025</v>
      </c>
      <c r="C4531" s="3" t="str">
        <f>HYPERLINK("https://otsuka-europe-crm.veevavault.com/ui/#object/sent_email__v/VBLZ025E82GN15I", "SE-000271672")</f>
        <v>SE-000271672</v>
      </c>
      <c r="D4531" s="1">
        <v>45915.462083333332</v>
      </c>
      <c r="E4531" s="2">
        <v>1</v>
      </c>
      <c r="F4531" s="2">
        <v>2</v>
      </c>
      <c r="G4531" s="2">
        <v>0</v>
      </c>
      <c r="H4531" s="1" t="s">
        <v>0</v>
      </c>
      <c r="I4531" s="2">
        <v>0</v>
      </c>
      <c r="J4531" s="1">
        <v>45915.378680555557</v>
      </c>
    </row>
    <row r="4532" spans="1:10" x14ac:dyDescent="0.2">
      <c r="A4532" s="4" t="s">
        <v>1</v>
      </c>
      <c r="B4532" s="3" t="str">
        <f>HYPERLINK("https://otsuka-europe-crm.veevavault.com/ui/#object/approved_document__v/V5OZ025E82TFUPI", "Spain - HCP Survey Email - June 2025")</f>
        <v>Spain - HCP Survey Email - June 2025</v>
      </c>
      <c r="C4532" s="3" t="str">
        <f>HYPERLINK("https://otsuka-europe-crm.veevavault.com/ui/#object/sent_email__v/VBLZ025E82GN15J", "SE-000271673")</f>
        <v>SE-000271673</v>
      </c>
      <c r="D4532" s="1">
        <v>45958.47865740741</v>
      </c>
      <c r="E4532" s="2">
        <v>1</v>
      </c>
      <c r="F4532" s="2">
        <v>6</v>
      </c>
      <c r="G4532" s="2">
        <v>0</v>
      </c>
      <c r="H4532" s="1" t="s">
        <v>0</v>
      </c>
      <c r="I4532" s="2">
        <v>0</v>
      </c>
      <c r="J4532" s="1">
        <v>45915.379965277774</v>
      </c>
    </row>
    <row r="4533" spans="1:10" x14ac:dyDescent="0.2">
      <c r="A4533" s="4" t="s">
        <v>1</v>
      </c>
      <c r="B4533" s="3" t="str">
        <f>HYPERLINK("https://otsuka-europe-crm.veevavault.com/ui/#object/approved_document__v/V5OZ025E82TFUPI", "Spain - HCP Survey Email - June 2025")</f>
        <v>Spain - HCP Survey Email - June 2025</v>
      </c>
      <c r="C4533" s="3" t="str">
        <f>HYPERLINK("https://otsuka-europe-crm.veevavault.com/ui/#object/sent_email__v/VBLZ025E82GN15K", "SE-000271674")</f>
        <v>SE-000271674</v>
      </c>
      <c r="D4533" s="1">
        <v>45916.295972222222</v>
      </c>
      <c r="E4533" s="2">
        <v>1</v>
      </c>
      <c r="F4533" s="2">
        <v>1</v>
      </c>
      <c r="G4533" s="2">
        <v>1</v>
      </c>
      <c r="H4533" s="1">
        <v>45917.32545138889</v>
      </c>
      <c r="I4533" s="2">
        <v>6</v>
      </c>
      <c r="J4533" s="1">
        <v>45915.37771990741</v>
      </c>
    </row>
    <row r="4534" spans="1:10" x14ac:dyDescent="0.2">
      <c r="A4534" s="4" t="s">
        <v>1</v>
      </c>
      <c r="B4534" s="3" t="str">
        <f>HYPERLINK("https://otsuka-europe-crm.veevavault.com/ui/#object/approved_document__v/V5OZ025E82TFUPI", "Spain - HCP Survey Email - June 2025")</f>
        <v>Spain - HCP Survey Email - June 2025</v>
      </c>
      <c r="C4534" s="3" t="str">
        <f>HYPERLINK("https://otsuka-europe-crm.veevavault.com/ui/#object/sent_email__v/VBLZ025E82GN15L", "SE-000271675")</f>
        <v>SE-000271675</v>
      </c>
      <c r="D4534" s="1" t="s">
        <v>0</v>
      </c>
      <c r="E4534" s="2">
        <v>0</v>
      </c>
      <c r="F4534" s="2">
        <v>0</v>
      </c>
      <c r="G4534" s="2">
        <v>0</v>
      </c>
      <c r="H4534" s="1" t="s">
        <v>0</v>
      </c>
      <c r="I4534" s="2">
        <v>0</v>
      </c>
      <c r="J4534" s="1">
        <v>45915.377569444441</v>
      </c>
    </row>
    <row r="4535" spans="1:10" x14ac:dyDescent="0.2">
      <c r="A4535" s="4" t="s">
        <v>1</v>
      </c>
      <c r="B4535" s="3" t="str">
        <f>HYPERLINK("https://otsuka-europe-crm.veevavault.com/ui/#object/approved_document__v/V5OZ025E82TFUPI", "Spain - HCP Survey Email - June 2025")</f>
        <v>Spain - HCP Survey Email - June 2025</v>
      </c>
      <c r="C4535" s="3" t="str">
        <f>HYPERLINK("https://otsuka-europe-crm.veevavault.com/ui/#object/sent_email__v/VBLZ025E82GN15M", "SE-000271676")</f>
        <v>SE-000271676</v>
      </c>
      <c r="D4535" s="1">
        <v>45915.404456018521</v>
      </c>
      <c r="E4535" s="2">
        <v>1</v>
      </c>
      <c r="F4535" s="2">
        <v>1</v>
      </c>
      <c r="G4535" s="2">
        <v>0</v>
      </c>
      <c r="H4535" s="1" t="s">
        <v>0</v>
      </c>
      <c r="I4535" s="2">
        <v>0</v>
      </c>
      <c r="J4535" s="1">
        <v>45915.377962962964</v>
      </c>
    </row>
    <row r="4536" spans="1:10" x14ac:dyDescent="0.2">
      <c r="A4536" s="4" t="s">
        <v>1</v>
      </c>
      <c r="B4536" s="3" t="str">
        <f>HYPERLINK("https://otsuka-europe-crm.veevavault.com/ui/#object/approved_document__v/V5OZ025E82TFUPI", "Spain - HCP Survey Email - June 2025")</f>
        <v>Spain - HCP Survey Email - June 2025</v>
      </c>
      <c r="C4536" s="3" t="str">
        <f>HYPERLINK("https://otsuka-europe-crm.veevavault.com/ui/#object/sent_email__v/VBLZ025E82GN15N", "SE-000271677")</f>
        <v>SE-000271677</v>
      </c>
      <c r="D4536" s="1">
        <v>45916.736504629633</v>
      </c>
      <c r="E4536" s="2">
        <v>1</v>
      </c>
      <c r="F4536" s="2">
        <v>2</v>
      </c>
      <c r="G4536" s="2">
        <v>1</v>
      </c>
      <c r="H4536" s="1">
        <v>45916.737905092596</v>
      </c>
      <c r="I4536" s="2">
        <v>1</v>
      </c>
      <c r="J4536" s="1">
        <v>45915.379131944443</v>
      </c>
    </row>
    <row r="4537" spans="1:10" x14ac:dyDescent="0.2">
      <c r="A4537" s="4" t="s">
        <v>1</v>
      </c>
      <c r="B4537" s="3" t="str">
        <f>HYPERLINK("https://otsuka-europe-crm.veevavault.com/ui/#object/approved_document__v/V5OZ025E82TFUPI", "Spain - HCP Survey Email - June 2025")</f>
        <v>Spain - HCP Survey Email - June 2025</v>
      </c>
      <c r="C4537" s="3" t="str">
        <f>HYPERLINK("https://otsuka-europe-crm.veevavault.com/ui/#object/sent_email__v/VBLZ025E82GN15O", "SE-000271678")</f>
        <v>SE-000271678</v>
      </c>
      <c r="D4537" s="1">
        <v>45922.32675925926</v>
      </c>
      <c r="E4537" s="2">
        <v>1</v>
      </c>
      <c r="F4537" s="2">
        <v>1</v>
      </c>
      <c r="G4537" s="2">
        <v>0</v>
      </c>
      <c r="H4537" s="1" t="s">
        <v>0</v>
      </c>
      <c r="I4537" s="2">
        <v>0</v>
      </c>
      <c r="J4537" s="1">
        <v>45915.379444444443</v>
      </c>
    </row>
    <row r="4538" spans="1:10" x14ac:dyDescent="0.2">
      <c r="A4538" s="4" t="s">
        <v>1</v>
      </c>
      <c r="B4538" s="3" t="str">
        <f>HYPERLINK("https://otsuka-europe-crm.veevavault.com/ui/#object/approved_document__v/V5OZ025E82TFUPI", "Spain - HCP Survey Email - June 2025")</f>
        <v>Spain - HCP Survey Email - June 2025</v>
      </c>
      <c r="C4538" s="3" t="str">
        <f>HYPERLINK("https://otsuka-europe-crm.veevavault.com/ui/#object/sent_email__v/VBLZ025E82GN15P", "SE-000271679")</f>
        <v>SE-000271679</v>
      </c>
      <c r="D4538" s="1">
        <v>45930.712256944447</v>
      </c>
      <c r="E4538" s="2">
        <v>1</v>
      </c>
      <c r="F4538" s="2">
        <v>6</v>
      </c>
      <c r="G4538" s="2">
        <v>1</v>
      </c>
      <c r="H4538" s="1">
        <v>45922.938634259262</v>
      </c>
      <c r="I4538" s="2">
        <v>1</v>
      </c>
      <c r="J4538" s="1">
        <v>45915.379236111112</v>
      </c>
    </row>
    <row r="4539" spans="1:10" x14ac:dyDescent="0.2">
      <c r="A4539" s="4" t="s">
        <v>1</v>
      </c>
      <c r="B4539" s="3" t="str">
        <f>HYPERLINK("https://otsuka-europe-crm.veevavault.com/ui/#object/approved_document__v/V5OZ025E82TFUPI", "Spain - HCP Survey Email - June 2025")</f>
        <v>Spain - HCP Survey Email - June 2025</v>
      </c>
      <c r="C4539" s="3" t="str">
        <f>HYPERLINK("https://otsuka-europe-crm.veevavault.com/ui/#object/sent_email__v/VBLZ025E82GN15Q", "SE-000271680")</f>
        <v>SE-000271680</v>
      </c>
      <c r="D4539" s="1">
        <v>46019.937280092592</v>
      </c>
      <c r="E4539" s="2">
        <v>1</v>
      </c>
      <c r="F4539" s="2">
        <v>5</v>
      </c>
      <c r="G4539" s="2">
        <v>0</v>
      </c>
      <c r="H4539" s="1" t="s">
        <v>0</v>
      </c>
      <c r="I4539" s="2">
        <v>0</v>
      </c>
      <c r="J4539" s="1">
        <v>45915.377372685187</v>
      </c>
    </row>
    <row r="4540" spans="1:10" x14ac:dyDescent="0.2">
      <c r="A4540" s="4" t="s">
        <v>1</v>
      </c>
      <c r="B4540" s="3" t="str">
        <f>HYPERLINK("https://otsuka-europe-crm.veevavault.com/ui/#object/approved_document__v/V5OZ025E82TFUPI", "Spain - HCP Survey Email - June 2025")</f>
        <v>Spain - HCP Survey Email - June 2025</v>
      </c>
      <c r="C4540" s="3" t="str">
        <f>HYPERLINK("https://otsuka-europe-crm.veevavault.com/ui/#object/sent_email__v/VBLZ025E82GN15R", "SE-000271681")</f>
        <v>SE-000271681</v>
      </c>
      <c r="D4540" s="1">
        <v>45915.581157407411</v>
      </c>
      <c r="E4540" s="2">
        <v>1</v>
      </c>
      <c r="F4540" s="2">
        <v>2</v>
      </c>
      <c r="G4540" s="2">
        <v>0</v>
      </c>
      <c r="H4540" s="1" t="s">
        <v>0</v>
      </c>
      <c r="I4540" s="2">
        <v>0</v>
      </c>
      <c r="J4540" s="1">
        <v>45915.378344907411</v>
      </c>
    </row>
    <row r="4541" spans="1:10" x14ac:dyDescent="0.2">
      <c r="A4541" s="4" t="s">
        <v>1</v>
      </c>
      <c r="B4541" s="3" t="str">
        <f>HYPERLINK("https://otsuka-europe-crm.veevavault.com/ui/#object/approved_document__v/V5OZ025E82TFUPI", "Spain - HCP Survey Email - June 2025")</f>
        <v>Spain - HCP Survey Email - June 2025</v>
      </c>
      <c r="C4541" s="3" t="str">
        <f>HYPERLINK("https://otsuka-europe-crm.veevavault.com/ui/#object/sent_email__v/VBLZ025E82GN15S", "SE-000271682")</f>
        <v>SE-000271682</v>
      </c>
      <c r="D4541" s="1">
        <v>45916.356909722221</v>
      </c>
      <c r="E4541" s="2">
        <v>1</v>
      </c>
      <c r="F4541" s="2">
        <v>3</v>
      </c>
      <c r="G4541" s="2">
        <v>0</v>
      </c>
      <c r="H4541" s="1" t="s">
        <v>0</v>
      </c>
      <c r="I4541" s="2">
        <v>0</v>
      </c>
      <c r="J4541" s="1">
        <v>45915.378888888888</v>
      </c>
    </row>
    <row r="4542" spans="1:10" x14ac:dyDescent="0.2">
      <c r="A4542" s="4" t="s">
        <v>1</v>
      </c>
      <c r="B4542" s="3" t="str">
        <f>HYPERLINK("https://otsuka-europe-crm.veevavault.com/ui/#object/approved_document__v/V5OZ025E82TFUPI", "Spain - HCP Survey Email - June 2025")</f>
        <v>Spain - HCP Survey Email - June 2025</v>
      </c>
      <c r="C4542" s="3" t="str">
        <f>HYPERLINK("https://otsuka-europe-crm.veevavault.com/ui/#object/sent_email__v/VBLZ025E82GN15T", "SE-000271683")</f>
        <v>SE-000271683</v>
      </c>
      <c r="D4542" s="1" t="s">
        <v>0</v>
      </c>
      <c r="E4542" s="2">
        <v>0</v>
      </c>
      <c r="F4542" s="2">
        <v>0</v>
      </c>
      <c r="G4542" s="2">
        <v>0</v>
      </c>
      <c r="H4542" s="1" t="s">
        <v>0</v>
      </c>
      <c r="I4542" s="2">
        <v>0</v>
      </c>
      <c r="J4542" s="1">
        <v>45915.378634259258</v>
      </c>
    </row>
    <row r="4543" spans="1:10" x14ac:dyDescent="0.2">
      <c r="A4543" s="4" t="s">
        <v>1</v>
      </c>
      <c r="B4543" s="3" t="str">
        <f>HYPERLINK("https://otsuka-europe-crm.veevavault.com/ui/#object/approved_document__v/V5OZ025E82TFUPI", "Spain - HCP Survey Email - June 2025")</f>
        <v>Spain - HCP Survey Email - June 2025</v>
      </c>
      <c r="C4543" s="3" t="str">
        <f>HYPERLINK("https://otsuka-europe-crm.veevavault.com/ui/#object/sent_email__v/VBLZ025E82GN15U", "SE-000271684")</f>
        <v>SE-000271684</v>
      </c>
      <c r="D4543" s="1" t="s">
        <v>0</v>
      </c>
      <c r="E4543" s="2">
        <v>0</v>
      </c>
      <c r="F4543" s="2">
        <v>0</v>
      </c>
      <c r="G4543" s="2">
        <v>0</v>
      </c>
      <c r="H4543" s="1" t="s">
        <v>0</v>
      </c>
      <c r="I4543" s="2">
        <v>0</v>
      </c>
      <c r="J4543" s="1">
        <v>45915.379062499997</v>
      </c>
    </row>
    <row r="4544" spans="1:10" x14ac:dyDescent="0.2">
      <c r="A4544" s="4" t="s">
        <v>1</v>
      </c>
      <c r="B4544" s="3" t="str">
        <f>HYPERLINK("https://otsuka-europe-crm.veevavault.com/ui/#object/approved_document__v/V5OZ025E82TFUPI", "Spain - HCP Survey Email - June 2025")</f>
        <v>Spain - HCP Survey Email - June 2025</v>
      </c>
      <c r="C4544" s="3" t="str">
        <f>HYPERLINK("https://otsuka-europe-crm.veevavault.com/ui/#object/sent_email__v/VBLZ025E82GN15V", "SE-000271685")</f>
        <v>SE-000271685</v>
      </c>
      <c r="D4544" s="1" t="s">
        <v>0</v>
      </c>
      <c r="E4544" s="2">
        <v>0</v>
      </c>
      <c r="F4544" s="2">
        <v>0</v>
      </c>
      <c r="G4544" s="2">
        <v>0</v>
      </c>
      <c r="H4544" s="1" t="s">
        <v>0</v>
      </c>
      <c r="I4544" s="2">
        <v>0</v>
      </c>
      <c r="J4544" s="1">
        <v>45915.377743055556</v>
      </c>
    </row>
    <row r="4545" spans="1:10" x14ac:dyDescent="0.2">
      <c r="A4545" s="4" t="s">
        <v>1</v>
      </c>
      <c r="B4545" s="3" t="str">
        <f>HYPERLINK("https://otsuka-europe-crm.veevavault.com/ui/#object/approved_document__v/V5OZ025E82TFUPI", "Spain - HCP Survey Email - June 2025")</f>
        <v>Spain - HCP Survey Email - June 2025</v>
      </c>
      <c r="C4545" s="3" t="str">
        <f>HYPERLINK("https://otsuka-europe-crm.veevavault.com/ui/#object/sent_email__v/VBLZ025E82GN15W", "SE-000271686")</f>
        <v>SE-000271686</v>
      </c>
      <c r="D4545" s="1">
        <v>45919.941678240742</v>
      </c>
      <c r="E4545" s="2">
        <v>1</v>
      </c>
      <c r="F4545" s="2">
        <v>1</v>
      </c>
      <c r="G4545" s="2">
        <v>0</v>
      </c>
      <c r="H4545" s="1" t="s">
        <v>0</v>
      </c>
      <c r="I4545" s="2">
        <v>0</v>
      </c>
      <c r="J4545" s="1">
        <v>45915.377604166664</v>
      </c>
    </row>
    <row r="4546" spans="1:10" x14ac:dyDescent="0.2">
      <c r="A4546" s="4" t="s">
        <v>1</v>
      </c>
      <c r="B4546" s="3" t="str">
        <f>HYPERLINK("https://otsuka-europe-crm.veevavault.com/ui/#object/approved_document__v/V5OZ025E82TFUPI", "Spain - HCP Survey Email - June 2025")</f>
        <v>Spain - HCP Survey Email - June 2025</v>
      </c>
      <c r="C4546" s="3" t="str">
        <f>HYPERLINK("https://otsuka-europe-crm.veevavault.com/ui/#object/sent_email__v/VBLZ025E82GN15X", "SE-000271687")</f>
        <v>SE-000271687</v>
      </c>
      <c r="D4546" s="1">
        <v>45915.378495370373</v>
      </c>
      <c r="E4546" s="2">
        <v>1</v>
      </c>
      <c r="F4546" s="2">
        <v>1</v>
      </c>
      <c r="G4546" s="2">
        <v>1</v>
      </c>
      <c r="H4546" s="1">
        <v>45915.378703703704</v>
      </c>
      <c r="I4546" s="2">
        <v>1</v>
      </c>
      <c r="J4546" s="1">
        <v>45915.378020833334</v>
      </c>
    </row>
    <row r="4547" spans="1:10" x14ac:dyDescent="0.2">
      <c r="A4547" s="4" t="s">
        <v>1</v>
      </c>
      <c r="B4547" s="3" t="str">
        <f>HYPERLINK("https://otsuka-europe-crm.veevavault.com/ui/#object/approved_document__v/V5OZ025E82TFUPI", "Spain - HCP Survey Email - June 2025")</f>
        <v>Spain - HCP Survey Email - June 2025</v>
      </c>
      <c r="C4547" s="3" t="str">
        <f>HYPERLINK("https://otsuka-europe-crm.veevavault.com/ui/#object/sent_email__v/VBLZ025E82GN15Y", "SE-000271688")</f>
        <v>SE-000271688</v>
      </c>
      <c r="D4547" s="1">
        <v>45915.380324074074</v>
      </c>
      <c r="E4547" s="2">
        <v>1</v>
      </c>
      <c r="F4547" s="2">
        <v>1</v>
      </c>
      <c r="G4547" s="2">
        <v>0</v>
      </c>
      <c r="H4547" s="1" t="s">
        <v>0</v>
      </c>
      <c r="I4547" s="2">
        <v>0</v>
      </c>
      <c r="J4547" s="1">
        <v>45915.379016203704</v>
      </c>
    </row>
    <row r="4548" spans="1:10" x14ac:dyDescent="0.2">
      <c r="A4548" s="4" t="s">
        <v>1</v>
      </c>
      <c r="B4548" s="3" t="str">
        <f>HYPERLINK("https://otsuka-europe-crm.veevavault.com/ui/#object/approved_document__v/V5OZ025E82TFUPI", "Spain - HCP Survey Email - June 2025")</f>
        <v>Spain - HCP Survey Email - June 2025</v>
      </c>
      <c r="C4548" s="3" t="str">
        <f>HYPERLINK("https://otsuka-europe-crm.veevavault.com/ui/#object/sent_email__v/VBLZ025E82GN15Z", "SE-000271689")</f>
        <v>SE-000271689</v>
      </c>
      <c r="D4548" s="1" t="s">
        <v>0</v>
      </c>
      <c r="E4548" s="2">
        <v>0</v>
      </c>
      <c r="F4548" s="2">
        <v>0</v>
      </c>
      <c r="G4548" s="2">
        <v>0</v>
      </c>
      <c r="H4548" s="1" t="s">
        <v>0</v>
      </c>
      <c r="I4548" s="2">
        <v>0</v>
      </c>
      <c r="J4548" s="1">
        <v>45915.379699074074</v>
      </c>
    </row>
    <row r="4549" spans="1:10" x14ac:dyDescent="0.2">
      <c r="A4549" s="4" t="s">
        <v>1</v>
      </c>
      <c r="B4549" s="3" t="str">
        <f>HYPERLINK("https://otsuka-europe-crm.veevavault.com/ui/#object/approved_document__v/V5OZ025E82TFUPI", "Spain - HCP Survey Email - June 2025")</f>
        <v>Spain - HCP Survey Email - June 2025</v>
      </c>
      <c r="C4549" s="3" t="str">
        <f>HYPERLINK("https://otsuka-europe-crm.veevavault.com/ui/#object/sent_email__v/VBLZ025E82GN160", "SE-000271690")</f>
        <v>SE-000271690</v>
      </c>
      <c r="D4549" s="1">
        <v>45915.825914351852</v>
      </c>
      <c r="E4549" s="2">
        <v>1</v>
      </c>
      <c r="F4549" s="2">
        <v>1</v>
      </c>
      <c r="G4549" s="2">
        <v>0</v>
      </c>
      <c r="H4549" s="1" t="s">
        <v>0</v>
      </c>
      <c r="I4549" s="2">
        <v>0</v>
      </c>
      <c r="J4549" s="1">
        <v>45915.377604166664</v>
      </c>
    </row>
    <row r="4550" spans="1:10" x14ac:dyDescent="0.2">
      <c r="A4550" s="4" t="s">
        <v>1</v>
      </c>
      <c r="B4550" s="3" t="str">
        <f>HYPERLINK("https://otsuka-europe-crm.veevavault.com/ui/#object/approved_document__v/V5OZ025E82TFUPI", "Spain - HCP Survey Email - June 2025")</f>
        <v>Spain - HCP Survey Email - June 2025</v>
      </c>
      <c r="C4550" s="3" t="str">
        <f>HYPERLINK("https://otsuka-europe-crm.veevavault.com/ui/#object/sent_email__v/VBLZ025E82GN161", "SE-000271691")</f>
        <v>SE-000271691</v>
      </c>
      <c r="D4550" s="1">
        <v>45916.783750000002</v>
      </c>
      <c r="E4550" s="2">
        <v>1</v>
      </c>
      <c r="F4550" s="2">
        <v>1</v>
      </c>
      <c r="G4550" s="2">
        <v>0</v>
      </c>
      <c r="H4550" s="1" t="s">
        <v>0</v>
      </c>
      <c r="I4550" s="2">
        <v>0</v>
      </c>
      <c r="J4550" s="1">
        <v>45915.37804398148</v>
      </c>
    </row>
    <row r="4551" spans="1:10" x14ac:dyDescent="0.2">
      <c r="A4551" s="4" t="s">
        <v>1</v>
      </c>
      <c r="B4551" s="3" t="str">
        <f>HYPERLINK("https://otsuka-europe-crm.veevavault.com/ui/#object/approved_document__v/V5OZ025E82TFUPI", "Spain - HCP Survey Email - June 2025")</f>
        <v>Spain - HCP Survey Email - June 2025</v>
      </c>
      <c r="C4551" s="3" t="str">
        <f>HYPERLINK("https://otsuka-europe-crm.veevavault.com/ui/#object/sent_email__v/VBLZ025E82GN162", "SE-000271692")</f>
        <v>SE-000271692</v>
      </c>
      <c r="D4551" s="1" t="s">
        <v>0</v>
      </c>
      <c r="E4551" s="2">
        <v>0</v>
      </c>
      <c r="F4551" s="2">
        <v>0</v>
      </c>
      <c r="G4551" s="2">
        <v>0</v>
      </c>
      <c r="H4551" s="1" t="s">
        <v>0</v>
      </c>
      <c r="I4551" s="2">
        <v>0</v>
      </c>
      <c r="J4551" s="1">
        <v>45915.379016203704</v>
      </c>
    </row>
    <row r="4552" spans="1:10" x14ac:dyDescent="0.2">
      <c r="A4552" s="4" t="s">
        <v>1</v>
      </c>
      <c r="B4552" s="3" t="str">
        <f>HYPERLINK("https://otsuka-europe-crm.veevavault.com/ui/#object/approved_document__v/V5OZ025E82TFUPI", "Spain - HCP Survey Email - June 2025")</f>
        <v>Spain - HCP Survey Email - June 2025</v>
      </c>
      <c r="C4552" s="3" t="str">
        <f>HYPERLINK("https://otsuka-europe-crm.veevavault.com/ui/#object/sent_email__v/VBLZ025E82GN163", "SE-000271693")</f>
        <v>SE-000271693</v>
      </c>
      <c r="D4552" s="1">
        <v>45915.414224537039</v>
      </c>
      <c r="E4552" s="2">
        <v>1</v>
      </c>
      <c r="F4552" s="2">
        <v>1</v>
      </c>
      <c r="G4552" s="2">
        <v>0</v>
      </c>
      <c r="H4552" s="1" t="s">
        <v>0</v>
      </c>
      <c r="I4552" s="2">
        <v>0</v>
      </c>
      <c r="J4552" s="1">
        <v>45915.37972222222</v>
      </c>
    </row>
    <row r="4553" spans="1:10" x14ac:dyDescent="0.2">
      <c r="A4553" s="4" t="s">
        <v>1</v>
      </c>
      <c r="B4553" s="3" t="str">
        <f>HYPERLINK("https://otsuka-europe-crm.veevavault.com/ui/#object/approved_document__v/V5OZ025E82TFUPI", "Spain - HCP Survey Email - June 2025")</f>
        <v>Spain - HCP Survey Email - June 2025</v>
      </c>
      <c r="C4553" s="3" t="str">
        <f>HYPERLINK("https://otsuka-europe-crm.veevavault.com/ui/#object/sent_email__v/VBLZ025E82GN164", "SE-000271694")</f>
        <v>SE-000271694</v>
      </c>
      <c r="D4553" s="1">
        <v>45915.722488425927</v>
      </c>
      <c r="E4553" s="2">
        <v>1</v>
      </c>
      <c r="F4553" s="2">
        <v>2</v>
      </c>
      <c r="G4553" s="2">
        <v>0</v>
      </c>
      <c r="H4553" s="1" t="s">
        <v>0</v>
      </c>
      <c r="I4553" s="2">
        <v>0</v>
      </c>
      <c r="J4553" s="1">
        <v>45915.379340277781</v>
      </c>
    </row>
    <row r="4554" spans="1:10" x14ac:dyDescent="0.2">
      <c r="A4554" s="4" t="s">
        <v>1</v>
      </c>
      <c r="B4554" s="3" t="str">
        <f>HYPERLINK("https://otsuka-europe-crm.veevavault.com/ui/#object/approved_document__v/V5OZ025E82TFUPI", "Spain - HCP Survey Email - June 2025")</f>
        <v>Spain - HCP Survey Email - June 2025</v>
      </c>
      <c r="C4554" s="3" t="str">
        <f>HYPERLINK("https://otsuka-europe-crm.veevavault.com/ui/#object/sent_email__v/VBLZ025E82GN165", "SE-000271695")</f>
        <v>SE-000271695</v>
      </c>
      <c r="D4554" s="1" t="s">
        <v>0</v>
      </c>
      <c r="E4554" s="2">
        <v>0</v>
      </c>
      <c r="F4554" s="2">
        <v>0</v>
      </c>
      <c r="G4554" s="2">
        <v>0</v>
      </c>
      <c r="H4554" s="1" t="s">
        <v>0</v>
      </c>
      <c r="I4554" s="2">
        <v>0</v>
      </c>
      <c r="J4554" s="1">
        <v>45915.377465277779</v>
      </c>
    </row>
    <row r="4555" spans="1:10" x14ac:dyDescent="0.2">
      <c r="A4555" s="4" t="s">
        <v>1</v>
      </c>
      <c r="B4555" s="3" t="str">
        <f>HYPERLINK("https://otsuka-europe-crm.veevavault.com/ui/#object/approved_document__v/V5OZ025E82TFUPI", "Spain - HCP Survey Email - June 2025")</f>
        <v>Spain - HCP Survey Email - June 2025</v>
      </c>
      <c r="C4555" s="3" t="str">
        <f>HYPERLINK("https://otsuka-europe-crm.veevavault.com/ui/#object/sent_email__v/VBLZ025E82GN166", "SE-000271696")</f>
        <v>SE-000271696</v>
      </c>
      <c r="D4555" s="1" t="s">
        <v>0</v>
      </c>
      <c r="E4555" s="2">
        <v>0</v>
      </c>
      <c r="F4555" s="2">
        <v>0</v>
      </c>
      <c r="G4555" s="2">
        <v>0</v>
      </c>
      <c r="H4555" s="1" t="s">
        <v>0</v>
      </c>
      <c r="I4555" s="2">
        <v>0</v>
      </c>
      <c r="J4555" s="1">
        <v>45915.378321759257</v>
      </c>
    </row>
    <row r="4556" spans="1:10" x14ac:dyDescent="0.2">
      <c r="A4556" s="4" t="s">
        <v>1</v>
      </c>
      <c r="B4556" s="3" t="str">
        <f>HYPERLINK("https://otsuka-europe-crm.veevavault.com/ui/#object/approved_document__v/V5OZ025E82TFUPI", "Spain - HCP Survey Email - June 2025")</f>
        <v>Spain - HCP Survey Email - June 2025</v>
      </c>
      <c r="C4556" s="3" t="str">
        <f>HYPERLINK("https://otsuka-europe-crm.veevavault.com/ui/#object/sent_email__v/VBLZ025E82GN167", "SE-000271697")</f>
        <v>SE-000271697</v>
      </c>
      <c r="D4556" s="1" t="s">
        <v>0</v>
      </c>
      <c r="E4556" s="2">
        <v>0</v>
      </c>
      <c r="F4556" s="2">
        <v>0</v>
      </c>
      <c r="G4556" s="2">
        <v>0</v>
      </c>
      <c r="H4556" s="1" t="s">
        <v>0</v>
      </c>
      <c r="I4556" s="2">
        <v>0</v>
      </c>
      <c r="J4556" s="1">
        <v>45915.378900462965</v>
      </c>
    </row>
    <row r="4557" spans="1:10" x14ac:dyDescent="0.2">
      <c r="A4557" s="4" t="s">
        <v>1</v>
      </c>
      <c r="B4557" s="3" t="str">
        <f>HYPERLINK("https://otsuka-europe-crm.veevavault.com/ui/#object/approved_document__v/V5OZ025E82TFUPI", "Spain - HCP Survey Email - June 2025")</f>
        <v>Spain - HCP Survey Email - June 2025</v>
      </c>
      <c r="C4557" s="3" t="str">
        <f>HYPERLINK("https://otsuka-europe-crm.veevavault.com/ui/#object/sent_email__v/VBLZ025E82GN168", "SE-000271698")</f>
        <v>SE-000271698</v>
      </c>
      <c r="D4557" s="1">
        <v>45915.383518518516</v>
      </c>
      <c r="E4557" s="2">
        <v>1</v>
      </c>
      <c r="F4557" s="2">
        <v>4</v>
      </c>
      <c r="G4557" s="2">
        <v>0</v>
      </c>
      <c r="H4557" s="1" t="s">
        <v>0</v>
      </c>
      <c r="I4557" s="2">
        <v>0</v>
      </c>
      <c r="J4557" s="1">
        <v>45915.378831018519</v>
      </c>
    </row>
    <row r="4558" spans="1:10" x14ac:dyDescent="0.2">
      <c r="A4558" s="4" t="s">
        <v>1</v>
      </c>
      <c r="B4558" s="3" t="str">
        <f>HYPERLINK("https://otsuka-europe-crm.veevavault.com/ui/#object/approved_document__v/V5OZ025E82TFUPI", "Spain - HCP Survey Email - June 2025")</f>
        <v>Spain - HCP Survey Email - June 2025</v>
      </c>
      <c r="C4558" s="3" t="str">
        <f>HYPERLINK("https://otsuka-europe-crm.veevavault.com/ui/#object/sent_email__v/VBLZ025E82GN16A", "SE-000271700")</f>
        <v>SE-000271700</v>
      </c>
      <c r="D4558" s="1" t="s">
        <v>0</v>
      </c>
      <c r="E4558" s="2">
        <v>0</v>
      </c>
      <c r="F4558" s="2">
        <v>0</v>
      </c>
      <c r="G4558" s="2">
        <v>0</v>
      </c>
      <c r="H4558" s="1" t="s">
        <v>0</v>
      </c>
      <c r="I4558" s="2">
        <v>0</v>
      </c>
      <c r="J4558" s="1">
        <v>45915.37767361111</v>
      </c>
    </row>
    <row r="4559" spans="1:10" x14ac:dyDescent="0.2">
      <c r="A4559" s="4" t="s">
        <v>1</v>
      </c>
      <c r="B4559" s="3" t="str">
        <f>HYPERLINK("https://otsuka-europe-crm.veevavault.com/ui/#object/approved_document__v/V5OZ025E82TFUPI", "Spain - HCP Survey Email - June 2025")</f>
        <v>Spain - HCP Survey Email - June 2025</v>
      </c>
      <c r="C4559" s="3" t="str">
        <f>HYPERLINK("https://otsuka-europe-crm.veevavault.com/ui/#object/sent_email__v/VBLZ025E82GN16B", "SE-000271701")</f>
        <v>SE-000271701</v>
      </c>
      <c r="D4559" s="1">
        <v>45915.38009259259</v>
      </c>
      <c r="E4559" s="2">
        <v>1</v>
      </c>
      <c r="F4559" s="2">
        <v>1</v>
      </c>
      <c r="G4559" s="2">
        <v>0</v>
      </c>
      <c r="H4559" s="1" t="s">
        <v>0</v>
      </c>
      <c r="I4559" s="2">
        <v>0</v>
      </c>
      <c r="J4559" s="1">
        <v>45915.377592592595</v>
      </c>
    </row>
    <row r="4560" spans="1:10" x14ac:dyDescent="0.2">
      <c r="A4560" s="4" t="s">
        <v>1</v>
      </c>
      <c r="B4560" s="3" t="str">
        <f>HYPERLINK("https://otsuka-europe-crm.veevavault.com/ui/#object/approved_document__v/V5OZ025E82TFUPI", "Spain - HCP Survey Email - June 2025")</f>
        <v>Spain - HCP Survey Email - June 2025</v>
      </c>
      <c r="C4560" s="3" t="str">
        <f>HYPERLINK("https://otsuka-europe-crm.veevavault.com/ui/#object/sent_email__v/VBLZ025E82GN16C", "SE-000271702")</f>
        <v>SE-000271702</v>
      </c>
      <c r="D4560" s="1" t="s">
        <v>0</v>
      </c>
      <c r="E4560" s="2">
        <v>0</v>
      </c>
      <c r="F4560" s="2">
        <v>0</v>
      </c>
      <c r="G4560" s="2">
        <v>0</v>
      </c>
      <c r="H4560" s="1" t="s">
        <v>0</v>
      </c>
      <c r="I4560" s="2">
        <v>0</v>
      </c>
      <c r="J4560" s="1">
        <v>45915.378055555557</v>
      </c>
    </row>
    <row r="4561" spans="1:10" x14ac:dyDescent="0.2">
      <c r="A4561" s="4" t="s">
        <v>1</v>
      </c>
      <c r="B4561" s="3" t="str">
        <f>HYPERLINK("https://otsuka-europe-crm.veevavault.com/ui/#object/approved_document__v/V5OZ025E82TFUPI", "Spain - HCP Survey Email - June 2025")</f>
        <v>Spain - HCP Survey Email - June 2025</v>
      </c>
      <c r="C4561" s="3" t="str">
        <f>HYPERLINK("https://otsuka-europe-crm.veevavault.com/ui/#object/sent_email__v/VBLZ025E82GN16D", "SE-000271703")</f>
        <v>SE-000271703</v>
      </c>
      <c r="D4561" s="1">
        <v>45915.517164351855</v>
      </c>
      <c r="E4561" s="2">
        <v>1</v>
      </c>
      <c r="F4561" s="2">
        <v>1</v>
      </c>
      <c r="G4561" s="2">
        <v>0</v>
      </c>
      <c r="H4561" s="1" t="s">
        <v>0</v>
      </c>
      <c r="I4561" s="2">
        <v>0</v>
      </c>
      <c r="J4561" s="1">
        <v>45915.379027777781</v>
      </c>
    </row>
    <row r="4562" spans="1:10" x14ac:dyDescent="0.2">
      <c r="A4562" s="4" t="s">
        <v>1</v>
      </c>
      <c r="B4562" s="3" t="str">
        <f>HYPERLINK("https://otsuka-europe-crm.veevavault.com/ui/#object/approved_document__v/V5OZ025E82TFUPI", "Spain - HCP Survey Email - June 2025")</f>
        <v>Spain - HCP Survey Email - June 2025</v>
      </c>
      <c r="C4562" s="3" t="str">
        <f>HYPERLINK("https://otsuka-europe-crm.veevavault.com/ui/#object/sent_email__v/VBLZ025E82GN16E", "SE-000271704")</f>
        <v>SE-000271704</v>
      </c>
      <c r="D4562" s="1">
        <v>45915.386307870373</v>
      </c>
      <c r="E4562" s="2">
        <v>1</v>
      </c>
      <c r="F4562" s="2">
        <v>1</v>
      </c>
      <c r="G4562" s="2">
        <v>0</v>
      </c>
      <c r="H4562" s="1" t="s">
        <v>0</v>
      </c>
      <c r="I4562" s="2">
        <v>0</v>
      </c>
      <c r="J4562" s="1">
        <v>45915.379571759258</v>
      </c>
    </row>
    <row r="4563" spans="1:10" x14ac:dyDescent="0.2">
      <c r="A4563" s="4" t="s">
        <v>1</v>
      </c>
      <c r="B4563" s="3" t="str">
        <f>HYPERLINK("https://otsuka-europe-crm.veevavault.com/ui/#object/approved_document__v/V5OZ025E82TFUPI", "Spain - HCP Survey Email - June 2025")</f>
        <v>Spain - HCP Survey Email - June 2025</v>
      </c>
      <c r="C4563" s="3" t="str">
        <f>HYPERLINK("https://otsuka-europe-crm.veevavault.com/ui/#object/sent_email__v/VBLZ025E82GN16F", "SE-000271705")</f>
        <v>SE-000271705</v>
      </c>
      <c r="D4563" s="1">
        <v>45920.518842592595</v>
      </c>
      <c r="E4563" s="2">
        <v>1</v>
      </c>
      <c r="F4563" s="2">
        <v>1</v>
      </c>
      <c r="G4563" s="2">
        <v>0</v>
      </c>
      <c r="H4563" s="1" t="s">
        <v>0</v>
      </c>
      <c r="I4563" s="2">
        <v>0</v>
      </c>
      <c r="J4563" s="1">
        <v>45915.379212962966</v>
      </c>
    </row>
    <row r="4564" spans="1:10" x14ac:dyDescent="0.2">
      <c r="A4564" s="4" t="s">
        <v>1</v>
      </c>
      <c r="B4564" s="3" t="str">
        <f>HYPERLINK("https://otsuka-europe-crm.veevavault.com/ui/#object/approved_document__v/V5OZ025E82TFUPI", "Spain - HCP Survey Email - June 2025")</f>
        <v>Spain - HCP Survey Email - June 2025</v>
      </c>
      <c r="C4564" s="3" t="str">
        <f>HYPERLINK("https://otsuka-europe-crm.veevavault.com/ui/#object/sent_email__v/VBLZ025E82GN16G", "SE-000271706")</f>
        <v>SE-000271706</v>
      </c>
      <c r="D4564" s="1">
        <v>45915.468923611108</v>
      </c>
      <c r="E4564" s="2">
        <v>1</v>
      </c>
      <c r="F4564" s="2">
        <v>1</v>
      </c>
      <c r="G4564" s="2">
        <v>0</v>
      </c>
      <c r="H4564" s="1" t="s">
        <v>0</v>
      </c>
      <c r="I4564" s="2">
        <v>0</v>
      </c>
      <c r="J4564" s="1">
        <v>45915.37740740741</v>
      </c>
    </row>
    <row r="4565" spans="1:10" x14ac:dyDescent="0.2">
      <c r="A4565" s="4" t="s">
        <v>1</v>
      </c>
      <c r="B4565" s="3" t="str">
        <f>HYPERLINK("https://otsuka-europe-crm.veevavault.com/ui/#object/approved_document__v/V5OZ025E82TFUPI", "Spain - HCP Survey Email - June 2025")</f>
        <v>Spain - HCP Survey Email - June 2025</v>
      </c>
      <c r="C4565" s="3" t="str">
        <f>HYPERLINK("https://otsuka-europe-crm.veevavault.com/ui/#object/sent_email__v/VBLZ025E82GN16H", "SE-000271707")</f>
        <v>SE-000271707</v>
      </c>
      <c r="D4565" s="1" t="s">
        <v>0</v>
      </c>
      <c r="E4565" s="2">
        <v>0</v>
      </c>
      <c r="F4565" s="2">
        <v>0</v>
      </c>
      <c r="G4565" s="2">
        <v>0</v>
      </c>
      <c r="H4565" s="1" t="s">
        <v>0</v>
      </c>
      <c r="I4565" s="2">
        <v>0</v>
      </c>
      <c r="J4565" s="1">
        <v>45915.37835648148</v>
      </c>
    </row>
    <row r="4566" spans="1:10" x14ac:dyDescent="0.2">
      <c r="A4566" s="4" t="s">
        <v>1</v>
      </c>
      <c r="B4566" s="3" t="str">
        <f>HYPERLINK("https://otsuka-europe-crm.veevavault.com/ui/#object/approved_document__v/V5OZ025E82TFUPI", "Spain - HCP Survey Email - June 2025")</f>
        <v>Spain - HCP Survey Email - June 2025</v>
      </c>
      <c r="C4566" s="3" t="str">
        <f>HYPERLINK("https://otsuka-europe-crm.veevavault.com/ui/#object/sent_email__v/VBLZ025E82GN16I", "SE-000271708")</f>
        <v>SE-000271708</v>
      </c>
      <c r="D4566" s="1">
        <v>45915.494780092595</v>
      </c>
      <c r="E4566" s="2">
        <v>1</v>
      </c>
      <c r="F4566" s="2">
        <v>1</v>
      </c>
      <c r="G4566" s="2">
        <v>0</v>
      </c>
      <c r="H4566" s="1" t="s">
        <v>0</v>
      </c>
      <c r="I4566" s="2">
        <v>0</v>
      </c>
      <c r="J4566" s="1">
        <v>45915.378888888888</v>
      </c>
    </row>
    <row r="4567" spans="1:10" x14ac:dyDescent="0.2">
      <c r="A4567" s="4" t="s">
        <v>1</v>
      </c>
      <c r="B4567" s="3" t="str">
        <f>HYPERLINK("https://otsuka-europe-crm.veevavault.com/ui/#object/approved_document__v/V5OZ025E82TFUPI", "Spain - HCP Survey Email - June 2025")</f>
        <v>Spain - HCP Survey Email - June 2025</v>
      </c>
      <c r="C4567" s="3" t="str">
        <f>HYPERLINK("https://otsuka-europe-crm.veevavault.com/ui/#object/sent_email__v/VBLZ025E82GN16J", "SE-000271709")</f>
        <v>SE-000271709</v>
      </c>
      <c r="D4567" s="1" t="s">
        <v>0</v>
      </c>
      <c r="E4567" s="2">
        <v>0</v>
      </c>
      <c r="F4567" s="2">
        <v>0</v>
      </c>
      <c r="G4567" s="2">
        <v>0</v>
      </c>
      <c r="H4567" s="1" t="s">
        <v>0</v>
      </c>
      <c r="I4567" s="2">
        <v>0</v>
      </c>
      <c r="J4567" s="1">
        <v>45915.378761574073</v>
      </c>
    </row>
    <row r="4568" spans="1:10" x14ac:dyDescent="0.2">
      <c r="A4568" s="4" t="s">
        <v>1</v>
      </c>
      <c r="B4568" s="3" t="str">
        <f>HYPERLINK("https://otsuka-europe-crm.veevavault.com/ui/#object/approved_document__v/V5OZ025E82TFUPI", "Spain - HCP Survey Email - June 2025")</f>
        <v>Spain - HCP Survey Email - June 2025</v>
      </c>
      <c r="C4568" s="3" t="str">
        <f>HYPERLINK("https://otsuka-europe-crm.veevavault.com/ui/#object/sent_email__v/VBLZ025E82GN16K", "SE-000271710")</f>
        <v>SE-000271710</v>
      </c>
      <c r="D4568" s="1" t="s">
        <v>0</v>
      </c>
      <c r="E4568" s="2">
        <v>0</v>
      </c>
      <c r="F4568" s="2">
        <v>0</v>
      </c>
      <c r="G4568" s="2">
        <v>0</v>
      </c>
      <c r="H4568" s="1" t="s">
        <v>0</v>
      </c>
      <c r="I4568" s="2">
        <v>0</v>
      </c>
      <c r="J4568" s="1">
        <v>45915.379907407405</v>
      </c>
    </row>
    <row r="4569" spans="1:10" x14ac:dyDescent="0.2">
      <c r="A4569" s="4" t="s">
        <v>1</v>
      </c>
      <c r="B4569" s="3" t="str">
        <f>HYPERLINK("https://otsuka-europe-crm.veevavault.com/ui/#object/approved_document__v/V5OZ025E82TFUPI", "Spain - HCP Survey Email - June 2025")</f>
        <v>Spain - HCP Survey Email - June 2025</v>
      </c>
      <c r="C4569" s="3" t="str">
        <f>HYPERLINK("https://otsuka-europe-crm.veevavault.com/ui/#object/sent_email__v/VBLZ025E82GN16L", "SE-000271711")</f>
        <v>SE-000271711</v>
      </c>
      <c r="D4569" s="1">
        <v>45917.50335648148</v>
      </c>
      <c r="E4569" s="2">
        <v>1</v>
      </c>
      <c r="F4569" s="2">
        <v>1</v>
      </c>
      <c r="G4569" s="2">
        <v>0</v>
      </c>
      <c r="H4569" s="1" t="s">
        <v>0</v>
      </c>
      <c r="I4569" s="2">
        <v>0</v>
      </c>
      <c r="J4569" s="1">
        <v>45915.377696759257</v>
      </c>
    </row>
    <row r="4570" spans="1:10" x14ac:dyDescent="0.2">
      <c r="A4570" s="4" t="s">
        <v>1</v>
      </c>
      <c r="B4570" s="3" t="str">
        <f>HYPERLINK("https://otsuka-europe-crm.veevavault.com/ui/#object/approved_document__v/V5OZ025E82TFUPI", "Spain - HCP Survey Email - June 2025")</f>
        <v>Spain - HCP Survey Email - June 2025</v>
      </c>
      <c r="C4570" s="3" t="str">
        <f>HYPERLINK("https://otsuka-europe-crm.veevavault.com/ui/#object/sent_email__v/VBLZ025E82GN16M", "SE-000271712")</f>
        <v>SE-000271712</v>
      </c>
      <c r="D4570" s="1" t="s">
        <v>0</v>
      </c>
      <c r="E4570" s="2">
        <v>0</v>
      </c>
      <c r="F4570" s="2">
        <v>0</v>
      </c>
      <c r="G4570" s="2">
        <v>0</v>
      </c>
      <c r="H4570" s="1" t="s">
        <v>0</v>
      </c>
      <c r="I4570" s="2">
        <v>0</v>
      </c>
      <c r="J4570" s="1">
        <v>45915.377569444441</v>
      </c>
    </row>
    <row r="4571" spans="1:10" x14ac:dyDescent="0.2">
      <c r="A4571" s="4" t="s">
        <v>1</v>
      </c>
      <c r="B4571" s="3" t="str">
        <f>HYPERLINK("https://otsuka-europe-crm.veevavault.com/ui/#object/approved_document__v/V5OZ025E82TFUPI", "Spain - HCP Survey Email - June 2025")</f>
        <v>Spain - HCP Survey Email - June 2025</v>
      </c>
      <c r="C4571" s="3" t="str">
        <f>HYPERLINK("https://otsuka-europe-crm.veevavault.com/ui/#object/sent_email__v/VBLZ025E82GN16N", "SE-000271713")</f>
        <v>SE-000271713</v>
      </c>
      <c r="D4571" s="1">
        <v>45915.761331018519</v>
      </c>
      <c r="E4571" s="2">
        <v>1</v>
      </c>
      <c r="F4571" s="2">
        <v>1</v>
      </c>
      <c r="G4571" s="2">
        <v>0</v>
      </c>
      <c r="H4571" s="1" t="s">
        <v>0</v>
      </c>
      <c r="I4571" s="2">
        <v>0</v>
      </c>
      <c r="J4571" s="1">
        <v>45915.378055555557</v>
      </c>
    </row>
    <row r="4572" spans="1:10" x14ac:dyDescent="0.2">
      <c r="A4572" s="4" t="s">
        <v>1</v>
      </c>
      <c r="B4572" s="3" t="str">
        <f>HYPERLINK("https://otsuka-europe-crm.veevavault.com/ui/#object/approved_document__v/V5OZ025E82TFUPI", "Spain - HCP Survey Email - June 2025")</f>
        <v>Spain - HCP Survey Email - June 2025</v>
      </c>
      <c r="C4572" s="3" t="str">
        <f>HYPERLINK("https://otsuka-europe-crm.veevavault.com/ui/#object/sent_email__v/VBLZ025E82GN16O", "SE-000271714")</f>
        <v>SE-000271714</v>
      </c>
      <c r="D4572" s="1" t="s">
        <v>0</v>
      </c>
      <c r="E4572" s="2">
        <v>0</v>
      </c>
      <c r="F4572" s="2">
        <v>0</v>
      </c>
      <c r="G4572" s="2">
        <v>0</v>
      </c>
      <c r="H4572" s="1" t="s">
        <v>0</v>
      </c>
      <c r="I4572" s="2">
        <v>0</v>
      </c>
      <c r="J4572" s="1">
        <v>45915.379004629627</v>
      </c>
    </row>
    <row r="4573" spans="1:10" x14ac:dyDescent="0.2">
      <c r="A4573" s="4" t="s">
        <v>1</v>
      </c>
      <c r="B4573" s="3" t="str">
        <f>HYPERLINK("https://otsuka-europe-crm.veevavault.com/ui/#object/approved_document__v/V5OZ025E82TFUPI", "Spain - HCP Survey Email - June 2025")</f>
        <v>Spain - HCP Survey Email - June 2025</v>
      </c>
      <c r="C4573" s="3" t="str">
        <f>HYPERLINK("https://otsuka-europe-crm.veevavault.com/ui/#object/sent_email__v/VBLZ025E82GN16P", "SE-000271715")</f>
        <v>SE-000271715</v>
      </c>
      <c r="D4573" s="1">
        <v>45915.452916666669</v>
      </c>
      <c r="E4573" s="2">
        <v>1</v>
      </c>
      <c r="F4573" s="2">
        <v>1</v>
      </c>
      <c r="G4573" s="2">
        <v>1</v>
      </c>
      <c r="H4573" s="1">
        <v>45915.452916666669</v>
      </c>
      <c r="I4573" s="2">
        <v>1</v>
      </c>
      <c r="J4573" s="1">
        <v>45915.379872685182</v>
      </c>
    </row>
    <row r="4574" spans="1:10" x14ac:dyDescent="0.2">
      <c r="A4574" s="4" t="s">
        <v>1</v>
      </c>
      <c r="B4574" s="3" t="str">
        <f>HYPERLINK("https://otsuka-europe-crm.veevavault.com/ui/#object/approved_document__v/V5OZ025E82TFUPI", "Spain - HCP Survey Email - June 2025")</f>
        <v>Spain - HCP Survey Email - June 2025</v>
      </c>
      <c r="C4574" s="3" t="str">
        <f>HYPERLINK("https://otsuka-europe-crm.veevavault.com/ui/#object/sent_email__v/VBLZ025E82GN16Q", "SE-000271716")</f>
        <v>SE-000271716</v>
      </c>
      <c r="D4574" s="1">
        <v>45915.460289351853</v>
      </c>
      <c r="E4574" s="2">
        <v>1</v>
      </c>
      <c r="F4574" s="2">
        <v>1</v>
      </c>
      <c r="G4574" s="2">
        <v>0</v>
      </c>
      <c r="H4574" s="1" t="s">
        <v>0</v>
      </c>
      <c r="I4574" s="2">
        <v>0</v>
      </c>
      <c r="J4574" s="1">
        <v>45915.37777777778</v>
      </c>
    </row>
    <row r="4575" spans="1:10" x14ac:dyDescent="0.2">
      <c r="A4575" s="4" t="s">
        <v>1</v>
      </c>
      <c r="B4575" s="3" t="str">
        <f>HYPERLINK("https://otsuka-europe-crm.veevavault.com/ui/#object/approved_document__v/V5OZ025E82TFUPI", "Spain - HCP Survey Email - June 2025")</f>
        <v>Spain - HCP Survey Email - June 2025</v>
      </c>
      <c r="C4575" s="3" t="str">
        <f>HYPERLINK("https://otsuka-europe-crm.veevavault.com/ui/#object/sent_email__v/VBLZ025E82GN16R", "SE-000271717")</f>
        <v>SE-000271717</v>
      </c>
      <c r="D4575" s="1" t="s">
        <v>0</v>
      </c>
      <c r="E4575" s="2">
        <v>0</v>
      </c>
      <c r="F4575" s="2">
        <v>0</v>
      </c>
      <c r="G4575" s="2">
        <v>0</v>
      </c>
      <c r="H4575" s="1" t="s">
        <v>0</v>
      </c>
      <c r="I4575" s="2">
        <v>0</v>
      </c>
      <c r="J4575" s="1">
        <v>45915.377638888887</v>
      </c>
    </row>
    <row r="4576" spans="1:10" x14ac:dyDescent="0.2">
      <c r="A4576" s="4" t="s">
        <v>1</v>
      </c>
      <c r="B4576" s="3" t="str">
        <f>HYPERLINK("https://otsuka-europe-crm.veevavault.com/ui/#object/approved_document__v/V5OZ025E82TFUPI", "Spain - HCP Survey Email - June 2025")</f>
        <v>Spain - HCP Survey Email - June 2025</v>
      </c>
      <c r="C4576" s="3" t="str">
        <f>HYPERLINK("https://otsuka-europe-crm.veevavault.com/ui/#object/sent_email__v/VBLZ025E82GN16S", "SE-000271718")</f>
        <v>SE-000271718</v>
      </c>
      <c r="D4576" s="1">
        <v>45915.536238425928</v>
      </c>
      <c r="E4576" s="2">
        <v>1</v>
      </c>
      <c r="F4576" s="2">
        <v>1</v>
      </c>
      <c r="G4576" s="2">
        <v>0</v>
      </c>
      <c r="H4576" s="1" t="s">
        <v>0</v>
      </c>
      <c r="I4576" s="2">
        <v>0</v>
      </c>
      <c r="J4576" s="1">
        <v>45915.37804398148</v>
      </c>
    </row>
    <row r="4577" spans="1:10" x14ac:dyDescent="0.2">
      <c r="A4577" s="4" t="s">
        <v>1</v>
      </c>
      <c r="B4577" s="3" t="str">
        <f>HYPERLINK("https://otsuka-europe-crm.veevavault.com/ui/#object/approved_document__v/V5OZ025E82TFUPI", "Spain - HCP Survey Email - June 2025")</f>
        <v>Spain - HCP Survey Email - June 2025</v>
      </c>
      <c r="C4577" s="3" t="str">
        <f>HYPERLINK("https://otsuka-europe-crm.veevavault.com/ui/#object/sent_email__v/VBLZ025E82GN16T", "SE-000271719")</f>
        <v>SE-000271719</v>
      </c>
      <c r="D4577" s="1">
        <v>45915.528935185182</v>
      </c>
      <c r="E4577" s="2">
        <v>1</v>
      </c>
      <c r="F4577" s="2">
        <v>1</v>
      </c>
      <c r="G4577" s="2">
        <v>0</v>
      </c>
      <c r="H4577" s="1" t="s">
        <v>0</v>
      </c>
      <c r="I4577" s="2">
        <v>0</v>
      </c>
      <c r="J4577" s="1">
        <v>45915.378935185188</v>
      </c>
    </row>
    <row r="4578" spans="1:10" x14ac:dyDescent="0.2">
      <c r="A4578" s="4" t="s">
        <v>1</v>
      </c>
      <c r="B4578" s="3" t="str">
        <f>HYPERLINK("https://otsuka-europe-crm.veevavault.com/ui/#object/approved_document__v/V5OZ025E82TFUPI", "Spain - HCP Survey Email - June 2025")</f>
        <v>Spain - HCP Survey Email - June 2025</v>
      </c>
      <c r="C4578" s="3" t="str">
        <f>HYPERLINK("https://otsuka-europe-crm.veevavault.com/ui/#object/sent_email__v/VBLZ025E82GN16U", "SE-000271720")</f>
        <v>SE-000271720</v>
      </c>
      <c r="D4578" s="1" t="s">
        <v>0</v>
      </c>
      <c r="E4578" s="2">
        <v>0</v>
      </c>
      <c r="F4578" s="2">
        <v>0</v>
      </c>
      <c r="G4578" s="2">
        <v>0</v>
      </c>
      <c r="H4578" s="1" t="s">
        <v>0</v>
      </c>
      <c r="I4578" s="2">
        <v>0</v>
      </c>
      <c r="J4578" s="1">
        <v>45915.37972222222</v>
      </c>
    </row>
    <row r="4579" spans="1:10" x14ac:dyDescent="0.2">
      <c r="A4579" s="4" t="s">
        <v>1</v>
      </c>
      <c r="B4579" s="3" t="str">
        <f>HYPERLINK("https://otsuka-europe-crm.veevavault.com/ui/#object/approved_document__v/V5OZ025E82TFUPI", "Spain - HCP Survey Email - June 2025")</f>
        <v>Spain - HCP Survey Email - June 2025</v>
      </c>
      <c r="C4579" s="3" t="str">
        <f>HYPERLINK("https://otsuka-europe-crm.veevavault.com/ui/#object/sent_email__v/VBLZ025E82GN16V", "SE-000271721")</f>
        <v>SE-000271721</v>
      </c>
      <c r="D4579" s="1">
        <v>45917.452673611115</v>
      </c>
      <c r="E4579" s="2">
        <v>1</v>
      </c>
      <c r="F4579" s="2">
        <v>2</v>
      </c>
      <c r="G4579" s="2">
        <v>0</v>
      </c>
      <c r="H4579" s="1" t="s">
        <v>0</v>
      </c>
      <c r="I4579" s="2">
        <v>0</v>
      </c>
      <c r="J4579" s="1">
        <v>45915.37939814815</v>
      </c>
    </row>
    <row r="4580" spans="1:10" x14ac:dyDescent="0.2">
      <c r="A4580" s="4" t="s">
        <v>1</v>
      </c>
      <c r="B4580" s="3" t="str">
        <f>HYPERLINK("https://otsuka-europe-crm.veevavault.com/ui/#object/approved_document__v/V5OZ025E82TFUPI", "Spain - HCP Survey Email - June 2025")</f>
        <v>Spain - HCP Survey Email - June 2025</v>
      </c>
      <c r="C4580" s="3" t="str">
        <f>HYPERLINK("https://otsuka-europe-crm.veevavault.com/ui/#object/sent_email__v/VBLZ025E82GN16W", "SE-000271722")</f>
        <v>SE-000271722</v>
      </c>
      <c r="D4580" s="1">
        <v>45915.388969907406</v>
      </c>
      <c r="E4580" s="2">
        <v>1</v>
      </c>
      <c r="F4580" s="2">
        <v>1</v>
      </c>
      <c r="G4580" s="2">
        <v>0</v>
      </c>
      <c r="H4580" s="1" t="s">
        <v>0</v>
      </c>
      <c r="I4580" s="2">
        <v>0</v>
      </c>
      <c r="J4580" s="1">
        <v>45915.377384259256</v>
      </c>
    </row>
    <row r="4581" spans="1:10" x14ac:dyDescent="0.2">
      <c r="A4581" s="4" t="s">
        <v>1</v>
      </c>
      <c r="B4581" s="3" t="str">
        <f>HYPERLINK("https://otsuka-europe-crm.veevavault.com/ui/#object/approved_document__v/V5OZ025E82TFUPI", "Spain - HCP Survey Email - June 2025")</f>
        <v>Spain - HCP Survey Email - June 2025</v>
      </c>
      <c r="C4581" s="3" t="str">
        <f>HYPERLINK("https://otsuka-europe-crm.veevavault.com/ui/#object/sent_email__v/VBLZ025E82GN16X", "SE-000271723")</f>
        <v>SE-000271723</v>
      </c>
      <c r="D4581" s="1" t="s">
        <v>0</v>
      </c>
      <c r="E4581" s="2">
        <v>0</v>
      </c>
      <c r="F4581" s="2">
        <v>0</v>
      </c>
      <c r="G4581" s="2">
        <v>0</v>
      </c>
      <c r="H4581" s="1" t="s">
        <v>0</v>
      </c>
      <c r="I4581" s="2">
        <v>0</v>
      </c>
      <c r="J4581" s="1">
        <v>45915.378437500003</v>
      </c>
    </row>
    <row r="4582" spans="1:10" x14ac:dyDescent="0.2">
      <c r="A4582" s="4" t="s">
        <v>1</v>
      </c>
      <c r="B4582" s="3" t="str">
        <f>HYPERLINK("https://otsuka-europe-crm.veevavault.com/ui/#object/approved_document__v/V5OZ025E82TFUPI", "Spain - HCP Survey Email - June 2025")</f>
        <v>Spain - HCP Survey Email - June 2025</v>
      </c>
      <c r="C4582" s="3" t="str">
        <f>HYPERLINK("https://otsuka-europe-crm.veevavault.com/ui/#object/sent_email__v/VBLZ025E82GN16Y", "SE-000271724")</f>
        <v>SE-000271724</v>
      </c>
      <c r="D4582" s="1" t="s">
        <v>0</v>
      </c>
      <c r="E4582" s="2">
        <v>0</v>
      </c>
      <c r="F4582" s="2">
        <v>0</v>
      </c>
      <c r="G4582" s="2">
        <v>0</v>
      </c>
      <c r="H4582" s="1" t="s">
        <v>0</v>
      </c>
      <c r="I4582" s="2">
        <v>0</v>
      </c>
      <c r="J4582" s="1">
        <v>45915.378912037035</v>
      </c>
    </row>
    <row r="4583" spans="1:10" x14ac:dyDescent="0.2">
      <c r="A4583" s="4" t="s">
        <v>1</v>
      </c>
      <c r="B4583" s="3" t="str">
        <f>HYPERLINK("https://otsuka-europe-crm.veevavault.com/ui/#object/approved_document__v/V5OZ025E82TFUPI", "Spain - HCP Survey Email - June 2025")</f>
        <v>Spain - HCP Survey Email - June 2025</v>
      </c>
      <c r="C4583" s="3" t="str">
        <f>HYPERLINK("https://otsuka-europe-crm.veevavault.com/ui/#object/sent_email__v/VBLZ025E82GN16Z", "SE-000271725")</f>
        <v>SE-000271725</v>
      </c>
      <c r="D4583" s="1">
        <v>45916.586967592593</v>
      </c>
      <c r="E4583" s="2">
        <v>1</v>
      </c>
      <c r="F4583" s="2">
        <v>2</v>
      </c>
      <c r="G4583" s="2">
        <v>0</v>
      </c>
      <c r="H4583" s="1" t="s">
        <v>0</v>
      </c>
      <c r="I4583" s="2">
        <v>0</v>
      </c>
      <c r="J4583" s="1">
        <v>45915.378761574073</v>
      </c>
    </row>
    <row r="4584" spans="1:10" x14ac:dyDescent="0.2">
      <c r="A4584" s="4" t="s">
        <v>1</v>
      </c>
      <c r="B4584" s="3" t="str">
        <f>HYPERLINK("https://otsuka-europe-crm.veevavault.com/ui/#object/approved_document__v/V5OZ025E82TFUPI", "Spain - HCP Survey Email - June 2025")</f>
        <v>Spain - HCP Survey Email - June 2025</v>
      </c>
      <c r="C4584" s="3" t="str">
        <f>HYPERLINK("https://otsuka-europe-crm.veevavault.com/ui/#object/sent_email__v/VBLZ025E82GN170", "SE-000271726")</f>
        <v>SE-000271726</v>
      </c>
      <c r="D4584" s="1" t="s">
        <v>0</v>
      </c>
      <c r="E4584" s="2">
        <v>0</v>
      </c>
      <c r="F4584" s="2">
        <v>0</v>
      </c>
      <c r="G4584" s="2">
        <v>0</v>
      </c>
      <c r="H4584" s="1" t="s">
        <v>0</v>
      </c>
      <c r="I4584" s="2">
        <v>0</v>
      </c>
      <c r="J4584" s="1">
        <v>45915.379837962966</v>
      </c>
    </row>
    <row r="4585" spans="1:10" x14ac:dyDescent="0.2">
      <c r="A4585" s="4" t="s">
        <v>1</v>
      </c>
      <c r="B4585" s="3" t="str">
        <f>HYPERLINK("https://otsuka-europe-crm.veevavault.com/ui/#object/approved_document__v/V5OZ025E82TFUPI", "Spain - HCP Survey Email - June 2025")</f>
        <v>Spain - HCP Survey Email - June 2025</v>
      </c>
      <c r="C4585" s="3" t="str">
        <f>HYPERLINK("https://otsuka-europe-crm.veevavault.com/ui/#object/sent_email__v/VBLZ025E82GN171", "SE-000271727")</f>
        <v>SE-000271727</v>
      </c>
      <c r="D4585" s="1" t="s">
        <v>0</v>
      </c>
      <c r="E4585" s="2">
        <v>0</v>
      </c>
      <c r="F4585" s="2">
        <v>0</v>
      </c>
      <c r="G4585" s="2">
        <v>0</v>
      </c>
      <c r="H4585" s="1" t="s">
        <v>0</v>
      </c>
      <c r="I4585" s="2">
        <v>0</v>
      </c>
      <c r="J4585" s="1">
        <v>45915.377812500003</v>
      </c>
    </row>
    <row r="4586" spans="1:10" x14ac:dyDescent="0.2">
      <c r="A4586" s="4" t="s">
        <v>1</v>
      </c>
      <c r="B4586" s="3" t="str">
        <f>HYPERLINK("https://otsuka-europe-crm.veevavault.com/ui/#object/approved_document__v/V5OZ025E82TFUPI", "Spain - HCP Survey Email - June 2025")</f>
        <v>Spain - HCP Survey Email - June 2025</v>
      </c>
      <c r="C4586" s="3" t="str">
        <f>HYPERLINK("https://otsuka-europe-crm.veevavault.com/ui/#object/sent_email__v/VBLZ025E82GN172", "SE-000271728")</f>
        <v>SE-000271728</v>
      </c>
      <c r="D4586" s="1">
        <v>45915.379340277781</v>
      </c>
      <c r="E4586" s="2">
        <v>1</v>
      </c>
      <c r="F4586" s="2">
        <v>1</v>
      </c>
      <c r="G4586" s="2">
        <v>0</v>
      </c>
      <c r="H4586" s="1" t="s">
        <v>0</v>
      </c>
      <c r="I4586" s="2">
        <v>0</v>
      </c>
      <c r="J4586" s="1">
        <v>45915.377708333333</v>
      </c>
    </row>
    <row r="4587" spans="1:10" x14ac:dyDescent="0.2">
      <c r="A4587" s="4" t="s">
        <v>1</v>
      </c>
      <c r="B4587" s="3" t="str">
        <f>HYPERLINK("https://otsuka-europe-crm.veevavault.com/ui/#object/approved_document__v/V5OZ025E82TFUPI", "Spain - HCP Survey Email - June 2025")</f>
        <v>Spain - HCP Survey Email - June 2025</v>
      </c>
      <c r="C4587" s="3" t="str">
        <f>HYPERLINK("https://otsuka-europe-crm.veevavault.com/ui/#object/sent_email__v/VBLZ025E82GN173", "SE-000271729")</f>
        <v>SE-000271729</v>
      </c>
      <c r="D4587" s="1">
        <v>45916.974502314813</v>
      </c>
      <c r="E4587" s="2">
        <v>1</v>
      </c>
      <c r="F4587" s="2">
        <v>4</v>
      </c>
      <c r="G4587" s="2">
        <v>0</v>
      </c>
      <c r="H4587" s="1" t="s">
        <v>0</v>
      </c>
      <c r="I4587" s="2">
        <v>0</v>
      </c>
      <c r="J4587" s="1">
        <v>45915.377951388888</v>
      </c>
    </row>
    <row r="4588" spans="1:10" x14ac:dyDescent="0.2">
      <c r="A4588" s="4" t="s">
        <v>1</v>
      </c>
      <c r="B4588" s="3" t="str">
        <f>HYPERLINK("https://otsuka-europe-crm.veevavault.com/ui/#object/approved_document__v/V5OZ025E82TFUPI", "Spain - HCP Survey Email - June 2025")</f>
        <v>Spain - HCP Survey Email - June 2025</v>
      </c>
      <c r="C4588" s="3" t="str">
        <f>HYPERLINK("https://otsuka-europe-crm.veevavault.com/ui/#object/sent_email__v/VBLZ025E82GN174", "SE-000271730")</f>
        <v>SE-000271730</v>
      </c>
      <c r="D4588" s="1" t="s">
        <v>0</v>
      </c>
      <c r="E4588" s="2">
        <v>0</v>
      </c>
      <c r="F4588" s="2">
        <v>0</v>
      </c>
      <c r="G4588" s="2">
        <v>0</v>
      </c>
      <c r="H4588" s="1" t="s">
        <v>0</v>
      </c>
      <c r="I4588" s="2">
        <v>0</v>
      </c>
      <c r="J4588" s="1">
        <v>45915.379004629627</v>
      </c>
    </row>
    <row r="4589" spans="1:10" x14ac:dyDescent="0.2">
      <c r="A4589" s="4" t="s">
        <v>1</v>
      </c>
      <c r="B4589" s="3" t="str">
        <f>HYPERLINK("https://otsuka-europe-crm.veevavault.com/ui/#object/approved_document__v/V5OZ025E82TFUPI", "Spain - HCP Survey Email - June 2025")</f>
        <v>Spain - HCP Survey Email - June 2025</v>
      </c>
      <c r="C4589" s="3" t="str">
        <f>HYPERLINK("https://otsuka-europe-crm.veevavault.com/ui/#object/sent_email__v/VBLZ025E82GN175", "SE-000271731")</f>
        <v>SE-000271731</v>
      </c>
      <c r="D4589" s="1" t="s">
        <v>0</v>
      </c>
      <c r="E4589" s="2">
        <v>0</v>
      </c>
      <c r="F4589" s="2">
        <v>0</v>
      </c>
      <c r="G4589" s="2">
        <v>0</v>
      </c>
      <c r="H4589" s="1" t="s">
        <v>0</v>
      </c>
      <c r="I4589" s="2">
        <v>0</v>
      </c>
      <c r="J4589" s="1">
        <v>45915.379583333335</v>
      </c>
    </row>
    <row r="4590" spans="1:10" x14ac:dyDescent="0.2">
      <c r="A4590" s="4" t="s">
        <v>1</v>
      </c>
      <c r="B4590" s="3" t="str">
        <f>HYPERLINK("https://otsuka-europe-crm.veevavault.com/ui/#object/approved_document__v/V5OZ025E82TFUPI", "Spain - HCP Survey Email - June 2025")</f>
        <v>Spain - HCP Survey Email - June 2025</v>
      </c>
      <c r="C4590" s="3" t="str">
        <f>HYPERLINK("https://otsuka-europe-crm.veevavault.com/ui/#object/sent_email__v/VBLZ025E82GN176", "SE-000271732")</f>
        <v>SE-000271732</v>
      </c>
      <c r="D4590" s="1">
        <v>45915.570543981485</v>
      </c>
      <c r="E4590" s="2">
        <v>1</v>
      </c>
      <c r="F4590" s="2">
        <v>1</v>
      </c>
      <c r="G4590" s="2">
        <v>1</v>
      </c>
      <c r="H4590" s="1">
        <v>45915.570949074077</v>
      </c>
      <c r="I4590" s="2">
        <v>2</v>
      </c>
      <c r="J4590" s="1">
        <v>45915.379363425927</v>
      </c>
    </row>
    <row r="4591" spans="1:10" x14ac:dyDescent="0.2">
      <c r="A4591" s="4" t="s">
        <v>1</v>
      </c>
      <c r="B4591" s="3" t="str">
        <f>HYPERLINK("https://otsuka-europe-crm.veevavault.com/ui/#object/approved_document__v/V5OZ025E82TFUPI", "Spain - HCP Survey Email - June 2025")</f>
        <v>Spain - HCP Survey Email - June 2025</v>
      </c>
      <c r="C4591" s="3" t="str">
        <f>HYPERLINK("https://otsuka-europe-crm.veevavault.com/ui/#object/sent_email__v/VBLZ025E82GN177", "SE-000271733")</f>
        <v>SE-000271733</v>
      </c>
      <c r="D4591" s="1">
        <v>45922.668773148151</v>
      </c>
      <c r="E4591" s="2">
        <v>1</v>
      </c>
      <c r="F4591" s="2">
        <v>2</v>
      </c>
      <c r="G4591" s="2">
        <v>0</v>
      </c>
      <c r="H4591" s="1" t="s">
        <v>0</v>
      </c>
      <c r="I4591" s="2">
        <v>0</v>
      </c>
      <c r="J4591" s="1">
        <v>45915.377395833333</v>
      </c>
    </row>
    <row r="4592" spans="1:10" x14ac:dyDescent="0.2">
      <c r="A4592" s="4" t="s">
        <v>1</v>
      </c>
      <c r="B4592" s="3" t="str">
        <f>HYPERLINK("https://otsuka-europe-crm.veevavault.com/ui/#object/approved_document__v/V5OZ025E82TFUPI", "Spain - HCP Survey Email - June 2025")</f>
        <v>Spain - HCP Survey Email - June 2025</v>
      </c>
      <c r="C4592" s="3" t="str">
        <f>HYPERLINK("https://otsuka-europe-crm.veevavault.com/ui/#object/sent_email__v/VBLZ025E82GN178", "SE-000271734")</f>
        <v>SE-000271734</v>
      </c>
      <c r="D4592" s="1" t="s">
        <v>0</v>
      </c>
      <c r="E4592" s="2">
        <v>0</v>
      </c>
      <c r="F4592" s="2">
        <v>0</v>
      </c>
      <c r="G4592" s="2">
        <v>0</v>
      </c>
      <c r="H4592" s="1" t="s">
        <v>0</v>
      </c>
      <c r="I4592" s="2">
        <v>0</v>
      </c>
      <c r="J4592" s="1">
        <v>45915.378437500003</v>
      </c>
    </row>
    <row r="4593" spans="1:10" x14ac:dyDescent="0.2">
      <c r="A4593" s="4" t="s">
        <v>1</v>
      </c>
      <c r="B4593" s="3" t="str">
        <f>HYPERLINK("https://otsuka-europe-crm.veevavault.com/ui/#object/approved_document__v/V5OZ025E82TFUPI", "Spain - HCP Survey Email - June 2025")</f>
        <v>Spain - HCP Survey Email - June 2025</v>
      </c>
      <c r="C4593" s="3" t="str">
        <f>HYPERLINK("https://otsuka-europe-crm.veevavault.com/ui/#object/sent_email__v/VBLZ025E82GN179", "SE-000271735")</f>
        <v>SE-000271735</v>
      </c>
      <c r="D4593" s="1" t="s">
        <v>0</v>
      </c>
      <c r="E4593" s="2">
        <v>0</v>
      </c>
      <c r="F4593" s="2">
        <v>0</v>
      </c>
      <c r="G4593" s="2">
        <v>0</v>
      </c>
      <c r="H4593" s="1" t="s">
        <v>0</v>
      </c>
      <c r="I4593" s="2">
        <v>0</v>
      </c>
      <c r="J4593" s="1">
        <v>45915.378888888888</v>
      </c>
    </row>
    <row r="4594" spans="1:10" x14ac:dyDescent="0.2">
      <c r="A4594" s="4" t="s">
        <v>1</v>
      </c>
      <c r="B4594" s="3" t="str">
        <f>HYPERLINK("https://otsuka-europe-crm.veevavault.com/ui/#object/approved_document__v/V5OZ025E82TFUPI", "Spain - HCP Survey Email - June 2025")</f>
        <v>Spain - HCP Survey Email - June 2025</v>
      </c>
      <c r="C4594" s="3" t="str">
        <f>HYPERLINK("https://otsuka-europe-crm.veevavault.com/ui/#object/sent_email__v/VBLZ025E82GN17A", "SE-000271736")</f>
        <v>SE-000271736</v>
      </c>
      <c r="D4594" s="1">
        <v>45915.390902777777</v>
      </c>
      <c r="E4594" s="2">
        <v>1</v>
      </c>
      <c r="F4594" s="2">
        <v>2</v>
      </c>
      <c r="G4594" s="2">
        <v>0</v>
      </c>
      <c r="H4594" s="1" t="s">
        <v>0</v>
      </c>
      <c r="I4594" s="2">
        <v>0</v>
      </c>
      <c r="J4594" s="1">
        <v>45915.378622685188</v>
      </c>
    </row>
    <row r="4595" spans="1:10" x14ac:dyDescent="0.2">
      <c r="A4595" s="4" t="s">
        <v>1</v>
      </c>
      <c r="B4595" s="3" t="str">
        <f>HYPERLINK("https://otsuka-europe-crm.veevavault.com/ui/#object/approved_document__v/V5OZ025E82TFUPI", "Spain - HCP Survey Email - June 2025")</f>
        <v>Spain - HCP Survey Email - June 2025</v>
      </c>
      <c r="C4595" s="3" t="str">
        <f>HYPERLINK("https://otsuka-europe-crm.veevavault.com/ui/#object/sent_email__v/VBLZ025E82GN17B", "SE-000271737")</f>
        <v>SE-000271737</v>
      </c>
      <c r="D4595" s="1">
        <v>45916.721446759257</v>
      </c>
      <c r="E4595" s="2">
        <v>1</v>
      </c>
      <c r="F4595" s="2">
        <v>1</v>
      </c>
      <c r="G4595" s="2">
        <v>0</v>
      </c>
      <c r="H4595" s="1" t="s">
        <v>0</v>
      </c>
      <c r="I4595" s="2">
        <v>0</v>
      </c>
      <c r="J4595" s="1">
        <v>45915.379965277774</v>
      </c>
    </row>
    <row r="4596" spans="1:10" x14ac:dyDescent="0.2">
      <c r="A4596" s="4" t="s">
        <v>1</v>
      </c>
      <c r="B4596" s="3" t="str">
        <f>HYPERLINK("https://otsuka-europe-crm.veevavault.com/ui/#object/approved_document__v/V5OZ025E82TFUPI", "Spain - HCP Survey Email - June 2025")</f>
        <v>Spain - HCP Survey Email - June 2025</v>
      </c>
      <c r="C4596" s="3" t="str">
        <f>HYPERLINK("https://otsuka-europe-crm.veevavault.com/ui/#object/sent_email__v/VBLZ025E82GN17C", "SE-000271738")</f>
        <v>SE-000271738</v>
      </c>
      <c r="D4596" s="1" t="s">
        <v>0</v>
      </c>
      <c r="E4596" s="2">
        <v>0</v>
      </c>
      <c r="F4596" s="2">
        <v>0</v>
      </c>
      <c r="G4596" s="2">
        <v>0</v>
      </c>
      <c r="H4596" s="1" t="s">
        <v>0</v>
      </c>
      <c r="I4596" s="2">
        <v>0</v>
      </c>
      <c r="J4596" s="1">
        <v>45915.37773148148</v>
      </c>
    </row>
    <row r="4597" spans="1:10" x14ac:dyDescent="0.2">
      <c r="A4597" s="4" t="s">
        <v>1</v>
      </c>
      <c r="B4597" s="3" t="str">
        <f>HYPERLINK("https://otsuka-europe-crm.veevavault.com/ui/#object/approved_document__v/V5OZ025E82TFUPI", "Spain - HCP Survey Email - June 2025")</f>
        <v>Spain - HCP Survey Email - June 2025</v>
      </c>
      <c r="C4597" s="3" t="str">
        <f>HYPERLINK("https://otsuka-europe-crm.veevavault.com/ui/#object/sent_email__v/VBLZ025E82GN17D", "SE-000271739")</f>
        <v>SE-000271739</v>
      </c>
      <c r="D4597" s="1">
        <v>45916.121192129627</v>
      </c>
      <c r="E4597" s="2">
        <v>1</v>
      </c>
      <c r="F4597" s="2">
        <v>3</v>
      </c>
      <c r="G4597" s="2">
        <v>0</v>
      </c>
      <c r="H4597" s="1" t="s">
        <v>0</v>
      </c>
      <c r="I4597" s="2">
        <v>0</v>
      </c>
      <c r="J4597" s="1">
        <v>45915.377650462964</v>
      </c>
    </row>
    <row r="4598" spans="1:10" x14ac:dyDescent="0.2">
      <c r="A4598" s="4" t="s">
        <v>1</v>
      </c>
      <c r="B4598" s="3" t="str">
        <f>HYPERLINK("https://otsuka-europe-crm.veevavault.com/ui/#object/approved_document__v/V5OZ025E82TFUPI", "Spain - HCP Survey Email - June 2025")</f>
        <v>Spain - HCP Survey Email - June 2025</v>
      </c>
      <c r="C4598" s="3" t="str">
        <f>HYPERLINK("https://otsuka-europe-crm.veevavault.com/ui/#object/sent_email__v/VBLZ025E82GN17E", "SE-000271740")</f>
        <v>SE-000271740</v>
      </c>
      <c r="D4598" s="1" t="s">
        <v>0</v>
      </c>
      <c r="E4598" s="2">
        <v>0</v>
      </c>
      <c r="F4598" s="2">
        <v>0</v>
      </c>
      <c r="G4598" s="2">
        <v>0</v>
      </c>
      <c r="H4598" s="1" t="s">
        <v>0</v>
      </c>
      <c r="I4598" s="2">
        <v>0</v>
      </c>
      <c r="J4598" s="1">
        <v>45915.377951388888</v>
      </c>
    </row>
    <row r="4599" spans="1:10" x14ac:dyDescent="0.2">
      <c r="A4599" s="4" t="s">
        <v>1</v>
      </c>
      <c r="B4599" s="3" t="str">
        <f>HYPERLINK("https://otsuka-europe-crm.veevavault.com/ui/#object/approved_document__v/V5OZ025E82TFUPI", "Spain - HCP Survey Email - June 2025")</f>
        <v>Spain - HCP Survey Email - June 2025</v>
      </c>
      <c r="C4599" s="3" t="str">
        <f>HYPERLINK("https://otsuka-europe-crm.veevavault.com/ui/#object/sent_email__v/VBLZ025E82GN17F", "SE-000271741")</f>
        <v>SE-000271741</v>
      </c>
      <c r="D4599" s="1" t="s">
        <v>0</v>
      </c>
      <c r="E4599" s="2">
        <v>0</v>
      </c>
      <c r="F4599" s="2">
        <v>0</v>
      </c>
      <c r="G4599" s="2">
        <v>0</v>
      </c>
      <c r="H4599" s="1" t="s">
        <v>0</v>
      </c>
      <c r="I4599" s="2">
        <v>0</v>
      </c>
      <c r="J4599" s="1">
        <v>45915.379108796296</v>
      </c>
    </row>
    <row r="4600" spans="1:10" x14ac:dyDescent="0.2">
      <c r="A4600" s="4" t="s">
        <v>1</v>
      </c>
      <c r="B4600" s="3" t="str">
        <f>HYPERLINK("https://otsuka-europe-crm.veevavault.com/ui/#object/approved_document__v/V5OZ025E82TFUPI", "Spain - HCP Survey Email - June 2025")</f>
        <v>Spain - HCP Survey Email - June 2025</v>
      </c>
      <c r="C4600" s="3" t="str">
        <f>HYPERLINK("https://otsuka-europe-crm.veevavault.com/ui/#object/sent_email__v/VBLZ025E82GN17G", "SE-000271742")</f>
        <v>SE-000271742</v>
      </c>
      <c r="D4600" s="1">
        <v>45916.330682870372</v>
      </c>
      <c r="E4600" s="2">
        <v>1</v>
      </c>
      <c r="F4600" s="2">
        <v>1</v>
      </c>
      <c r="G4600" s="2">
        <v>1</v>
      </c>
      <c r="H4600" s="1">
        <v>45916.758645833332</v>
      </c>
      <c r="I4600" s="2">
        <v>1</v>
      </c>
      <c r="J4600" s="1">
        <v>45915.379814814813</v>
      </c>
    </row>
    <row r="4601" spans="1:10" x14ac:dyDescent="0.2">
      <c r="A4601" s="4" t="s">
        <v>1</v>
      </c>
      <c r="B4601" s="3" t="str">
        <f>HYPERLINK("https://otsuka-europe-crm.veevavault.com/ui/#object/approved_document__v/V5OZ025E82TFUPI", "Spain - HCP Survey Email - June 2025")</f>
        <v>Spain - HCP Survey Email - June 2025</v>
      </c>
      <c r="C4601" s="3" t="str">
        <f>HYPERLINK("https://otsuka-europe-crm.veevavault.com/ui/#object/sent_email__v/VBLZ025E82GN17H", "SE-000271743")</f>
        <v>SE-000271743</v>
      </c>
      <c r="D4601" s="1">
        <v>45916.515416666669</v>
      </c>
      <c r="E4601" s="2">
        <v>1</v>
      </c>
      <c r="F4601" s="2">
        <v>1</v>
      </c>
      <c r="G4601" s="2">
        <v>0</v>
      </c>
      <c r="H4601" s="1" t="s">
        <v>0</v>
      </c>
      <c r="I4601" s="2">
        <v>0</v>
      </c>
      <c r="J4601" s="1">
        <v>45915.379247685189</v>
      </c>
    </row>
    <row r="4602" spans="1:10" x14ac:dyDescent="0.2">
      <c r="A4602" s="4" t="s">
        <v>1</v>
      </c>
      <c r="B4602" s="3" t="str">
        <f>HYPERLINK("https://otsuka-europe-crm.veevavault.com/ui/#object/approved_document__v/V5OZ025E82TFUPI", "Spain - HCP Survey Email - June 2025")</f>
        <v>Spain - HCP Survey Email - June 2025</v>
      </c>
      <c r="C4602" s="3" t="str">
        <f>HYPERLINK("https://otsuka-europe-crm.veevavault.com/ui/#object/sent_email__v/VBLZ025E82GN17I", "SE-000271744")</f>
        <v>SE-000271744</v>
      </c>
      <c r="D4602" s="1" t="s">
        <v>0</v>
      </c>
      <c r="E4602" s="2">
        <v>0</v>
      </c>
      <c r="F4602" s="2">
        <v>0</v>
      </c>
      <c r="G4602" s="2">
        <v>0</v>
      </c>
      <c r="H4602" s="1" t="s">
        <v>0</v>
      </c>
      <c r="I4602" s="2">
        <v>0</v>
      </c>
      <c r="J4602" s="1">
        <v>45915.377465277779</v>
      </c>
    </row>
    <row r="4603" spans="1:10" x14ac:dyDescent="0.2">
      <c r="A4603" s="4" t="s">
        <v>1</v>
      </c>
      <c r="B4603" s="3" t="str">
        <f>HYPERLINK("https://otsuka-europe-crm.veevavault.com/ui/#object/approved_document__v/V5OZ025E82TFUPI", "Spain - HCP Survey Email - June 2025")</f>
        <v>Spain - HCP Survey Email - June 2025</v>
      </c>
      <c r="C4603" s="3" t="str">
        <f>HYPERLINK("https://otsuka-europe-crm.veevavault.com/ui/#object/sent_email__v/VBLZ025E82GN17J", "SE-000271745")</f>
        <v>SE-000271745</v>
      </c>
      <c r="D4603" s="1">
        <v>45923.798472222225</v>
      </c>
      <c r="E4603" s="2">
        <v>1</v>
      </c>
      <c r="F4603" s="2">
        <v>5</v>
      </c>
      <c r="G4603" s="2">
        <v>1</v>
      </c>
      <c r="H4603" s="1">
        <v>45924.844583333332</v>
      </c>
      <c r="I4603" s="2">
        <v>1</v>
      </c>
      <c r="J4603" s="1">
        <v>45915.378379629627</v>
      </c>
    </row>
    <row r="4604" spans="1:10" x14ac:dyDescent="0.2">
      <c r="A4604" s="4" t="s">
        <v>1</v>
      </c>
      <c r="B4604" s="3" t="str">
        <f>HYPERLINK("https://otsuka-europe-crm.veevavault.com/ui/#object/approved_document__v/V5OZ025E82TFUPI", "Spain - HCP Survey Email - June 2025")</f>
        <v>Spain - HCP Survey Email - June 2025</v>
      </c>
      <c r="C4604" s="3" t="str">
        <f>HYPERLINK("https://otsuka-europe-crm.veevavault.com/ui/#object/sent_email__v/VBLZ025E82GN17K", "SE-000271746")</f>
        <v>SE-000271746</v>
      </c>
      <c r="D4604" s="1">
        <v>45916.428680555553</v>
      </c>
      <c r="E4604" s="2">
        <v>1</v>
      </c>
      <c r="F4604" s="2">
        <v>1</v>
      </c>
      <c r="G4604" s="2">
        <v>0</v>
      </c>
      <c r="H4604" s="1" t="s">
        <v>0</v>
      </c>
      <c r="I4604" s="2">
        <v>0</v>
      </c>
      <c r="J4604" s="1">
        <v>45915.378877314812</v>
      </c>
    </row>
    <row r="4605" spans="1:10" x14ac:dyDescent="0.2">
      <c r="A4605" s="4" t="s">
        <v>1</v>
      </c>
      <c r="B4605" s="3" t="str">
        <f>HYPERLINK("https://otsuka-europe-crm.veevavault.com/ui/#object/approved_document__v/V5OZ025E82TFUPI", "Spain - HCP Survey Email - June 2025")</f>
        <v>Spain - HCP Survey Email - June 2025</v>
      </c>
      <c r="C4605" s="3" t="str">
        <f>HYPERLINK("https://otsuka-europe-crm.veevavault.com/ui/#object/sent_email__v/VBLZ025E82GN17L", "SE-000271747")</f>
        <v>SE-000271747</v>
      </c>
      <c r="D4605" s="1" t="s">
        <v>0</v>
      </c>
      <c r="E4605" s="2">
        <v>0</v>
      </c>
      <c r="F4605" s="2">
        <v>0</v>
      </c>
      <c r="G4605" s="2">
        <v>0</v>
      </c>
      <c r="H4605" s="1" t="s">
        <v>0</v>
      </c>
      <c r="I4605" s="2">
        <v>0</v>
      </c>
      <c r="J4605" s="1">
        <v>45915.37871527778</v>
      </c>
    </row>
    <row r="4606" spans="1:10" x14ac:dyDescent="0.2">
      <c r="A4606" s="4" t="s">
        <v>1</v>
      </c>
      <c r="B4606" s="3" t="str">
        <f>HYPERLINK("https://otsuka-europe-crm.veevavault.com/ui/#object/approved_document__v/V5OZ025E82TFUPI", "Spain - HCP Survey Email - June 2025")</f>
        <v>Spain - HCP Survey Email - June 2025</v>
      </c>
      <c r="C4606" s="3" t="str">
        <f>HYPERLINK("https://otsuka-europe-crm.veevavault.com/ui/#object/sent_email__v/VBLZ025E82GN17M", "SE-000271748")</f>
        <v>SE-000271748</v>
      </c>
      <c r="D4606" s="1">
        <v>45915.828761574077</v>
      </c>
      <c r="E4606" s="2">
        <v>1</v>
      </c>
      <c r="F4606" s="2">
        <v>1</v>
      </c>
      <c r="G4606" s="2">
        <v>0</v>
      </c>
      <c r="H4606" s="1" t="s">
        <v>0</v>
      </c>
      <c r="I4606" s="2">
        <v>0</v>
      </c>
      <c r="J4606" s="1">
        <v>45915.379895833335</v>
      </c>
    </row>
    <row r="4607" spans="1:10" x14ac:dyDescent="0.2">
      <c r="A4607" s="4" t="s">
        <v>1</v>
      </c>
      <c r="B4607" s="3" t="str">
        <f>HYPERLINK("https://otsuka-europe-crm.veevavault.com/ui/#object/approved_document__v/V5OZ025E82TFUPI", "Spain - HCP Survey Email - June 2025")</f>
        <v>Spain - HCP Survey Email - June 2025</v>
      </c>
      <c r="C4607" s="3" t="str">
        <f>HYPERLINK("https://otsuka-europe-crm.veevavault.com/ui/#object/sent_email__v/VBLZ025E82GN17N", "SE-000271749")</f>
        <v>SE-000271749</v>
      </c>
      <c r="D4607" s="1" t="s">
        <v>0</v>
      </c>
      <c r="E4607" s="2">
        <v>0</v>
      </c>
      <c r="F4607" s="2">
        <v>0</v>
      </c>
      <c r="G4607" s="2">
        <v>0</v>
      </c>
      <c r="H4607" s="1" t="s">
        <v>0</v>
      </c>
      <c r="I4607" s="2">
        <v>0</v>
      </c>
      <c r="J4607" s="1">
        <v>45915.37771990741</v>
      </c>
    </row>
    <row r="4608" spans="1:10" x14ac:dyDescent="0.2">
      <c r="A4608" s="4" t="s">
        <v>1</v>
      </c>
      <c r="B4608" s="3" t="str">
        <f>HYPERLINK("https://otsuka-europe-crm.veevavault.com/ui/#object/approved_document__v/V5OZ025E82TFUPI", "Spain - HCP Survey Email - June 2025")</f>
        <v>Spain - HCP Survey Email - June 2025</v>
      </c>
      <c r="C4608" s="3" t="str">
        <f>HYPERLINK("https://otsuka-europe-crm.veevavault.com/ui/#object/sent_email__v/VBLZ025E82GN17O", "SE-000271750")</f>
        <v>SE-000271750</v>
      </c>
      <c r="D4608" s="1" t="s">
        <v>0</v>
      </c>
      <c r="E4608" s="2">
        <v>0</v>
      </c>
      <c r="F4608" s="2">
        <v>0</v>
      </c>
      <c r="G4608" s="2">
        <v>0</v>
      </c>
      <c r="H4608" s="1" t="s">
        <v>0</v>
      </c>
      <c r="I4608" s="2">
        <v>0</v>
      </c>
      <c r="J4608" s="1">
        <v>45915.377662037034</v>
      </c>
    </row>
    <row r="4609" spans="1:10" x14ac:dyDescent="0.2">
      <c r="A4609" s="4" t="s">
        <v>1</v>
      </c>
      <c r="B4609" s="3" t="str">
        <f>HYPERLINK("https://otsuka-europe-crm.veevavault.com/ui/#object/approved_document__v/V5OZ025E82TFUPI", "Spain - HCP Survey Email - June 2025")</f>
        <v>Spain - HCP Survey Email - June 2025</v>
      </c>
      <c r="C4609" s="3" t="str">
        <f>HYPERLINK("https://otsuka-europe-crm.veevavault.com/ui/#object/sent_email__v/VBLZ025E82GN17P", "SE-000271751")</f>
        <v>SE-000271751</v>
      </c>
      <c r="D4609" s="1" t="s">
        <v>0</v>
      </c>
      <c r="E4609" s="2">
        <v>0</v>
      </c>
      <c r="F4609" s="2">
        <v>0</v>
      </c>
      <c r="G4609" s="2">
        <v>0</v>
      </c>
      <c r="H4609" s="1" t="s">
        <v>0</v>
      </c>
      <c r="I4609" s="2">
        <v>0</v>
      </c>
      <c r="J4609" s="1">
        <v>45915.377986111111</v>
      </c>
    </row>
    <row r="4610" spans="1:10" x14ac:dyDescent="0.2">
      <c r="A4610" s="4" t="s">
        <v>1</v>
      </c>
      <c r="B4610" s="3" t="str">
        <f>HYPERLINK("https://otsuka-europe-crm.veevavault.com/ui/#object/approved_document__v/V5OZ025E82TFUPI", "Spain - HCP Survey Email - June 2025")</f>
        <v>Spain - HCP Survey Email - June 2025</v>
      </c>
      <c r="C4610" s="3" t="str">
        <f>HYPERLINK("https://otsuka-europe-crm.veevavault.com/ui/#object/sent_email__v/VBLZ025E82GN17Q", "SE-000271752")</f>
        <v>SE-000271752</v>
      </c>
      <c r="D4610" s="1">
        <v>45915.883912037039</v>
      </c>
      <c r="E4610" s="2">
        <v>1</v>
      </c>
      <c r="F4610" s="2">
        <v>1</v>
      </c>
      <c r="G4610" s="2">
        <v>0</v>
      </c>
      <c r="H4610" s="1" t="s">
        <v>0</v>
      </c>
      <c r="I4610" s="2">
        <v>0</v>
      </c>
      <c r="J4610" s="1">
        <v>45915.38</v>
      </c>
    </row>
    <row r="4611" spans="1:10" x14ac:dyDescent="0.2">
      <c r="A4611" s="4" t="s">
        <v>1</v>
      </c>
      <c r="B4611" s="3" t="str">
        <f>HYPERLINK("https://otsuka-europe-crm.veevavault.com/ui/#object/approved_document__v/V5OZ025E82TFUPI", "Spain - HCP Survey Email - June 2025")</f>
        <v>Spain - HCP Survey Email - June 2025</v>
      </c>
      <c r="C4611" s="3" t="str">
        <f>HYPERLINK("https://otsuka-europe-crm.veevavault.com/ui/#object/sent_email__v/VBLZ025E82GN17R", "SE-000271753")</f>
        <v>SE-000271753</v>
      </c>
      <c r="D4611" s="1">
        <v>45916.654710648145</v>
      </c>
      <c r="E4611" s="2">
        <v>1</v>
      </c>
      <c r="F4611" s="2">
        <v>2</v>
      </c>
      <c r="G4611" s="2">
        <v>0</v>
      </c>
      <c r="H4611" s="1" t="s">
        <v>0</v>
      </c>
      <c r="I4611" s="2">
        <v>0</v>
      </c>
      <c r="J4611" s="1">
        <v>45915.377754629626</v>
      </c>
    </row>
    <row r="4612" spans="1:10" x14ac:dyDescent="0.2">
      <c r="A4612" s="4" t="s">
        <v>1</v>
      </c>
      <c r="B4612" s="3" t="str">
        <f>HYPERLINK("https://otsuka-europe-crm.veevavault.com/ui/#object/approved_document__v/V5OZ025E82TFUPI", "Spain - HCP Survey Email - June 2025")</f>
        <v>Spain - HCP Survey Email - June 2025</v>
      </c>
      <c r="C4612" s="3" t="str">
        <f>HYPERLINK("https://otsuka-europe-crm.veevavault.com/ui/#object/sent_email__v/VBLZ025E82GN17S", "SE-000271754")</f>
        <v>SE-000271754</v>
      </c>
      <c r="D4612" s="1" t="s">
        <v>0</v>
      </c>
      <c r="E4612" s="2">
        <v>0</v>
      </c>
      <c r="F4612" s="2">
        <v>0</v>
      </c>
      <c r="G4612" s="2">
        <v>0</v>
      </c>
      <c r="H4612" s="1" t="s">
        <v>0</v>
      </c>
      <c r="I4612" s="2">
        <v>0</v>
      </c>
      <c r="J4612" s="1">
        <v>45915.377627314818</v>
      </c>
    </row>
    <row r="4613" spans="1:10" x14ac:dyDescent="0.2">
      <c r="A4613" s="4" t="s">
        <v>1</v>
      </c>
      <c r="B4613" s="3" t="str">
        <f>HYPERLINK("https://otsuka-europe-crm.veevavault.com/ui/#object/approved_document__v/V5OZ025E82TFUPI", "Spain - HCP Survey Email - June 2025")</f>
        <v>Spain - HCP Survey Email - June 2025</v>
      </c>
      <c r="C4613" s="3" t="str">
        <f>HYPERLINK("https://otsuka-europe-crm.veevavault.com/ui/#object/sent_email__v/VBLZ025E82GN17T", "SE-000271755")</f>
        <v>SE-000271755</v>
      </c>
      <c r="D4613" s="1" t="s">
        <v>0</v>
      </c>
      <c r="E4613" s="2">
        <v>0</v>
      </c>
      <c r="F4613" s="2">
        <v>0</v>
      </c>
      <c r="G4613" s="2">
        <v>0</v>
      </c>
      <c r="H4613" s="1" t="s">
        <v>0</v>
      </c>
      <c r="I4613" s="2">
        <v>0</v>
      </c>
      <c r="J4613" s="1">
        <v>45915.378020833334</v>
      </c>
    </row>
    <row r="4614" spans="1:10" x14ac:dyDescent="0.2">
      <c r="A4614" s="4" t="s">
        <v>1</v>
      </c>
      <c r="B4614" s="3" t="str">
        <f>HYPERLINK("https://otsuka-europe-crm.veevavault.com/ui/#object/approved_document__v/V5OZ025E82TFUPI", "Spain - HCP Survey Email - June 2025")</f>
        <v>Spain - HCP Survey Email - June 2025</v>
      </c>
      <c r="C4614" s="3" t="str">
        <f>HYPERLINK("https://otsuka-europe-crm.veevavault.com/ui/#object/sent_email__v/VBLZ025E82GN17U", "SE-000271756")</f>
        <v>SE-000271756</v>
      </c>
      <c r="D4614" s="1" t="s">
        <v>0</v>
      </c>
      <c r="E4614" s="2">
        <v>0</v>
      </c>
      <c r="F4614" s="2">
        <v>0</v>
      </c>
      <c r="G4614" s="2">
        <v>0</v>
      </c>
      <c r="H4614" s="1" t="s">
        <v>0</v>
      </c>
      <c r="I4614" s="2">
        <v>0</v>
      </c>
      <c r="J4614" s="1">
        <v>45915.37909722222</v>
      </c>
    </row>
    <row r="4615" spans="1:10" x14ac:dyDescent="0.2">
      <c r="A4615" s="4" t="s">
        <v>1</v>
      </c>
      <c r="B4615" s="3" t="str">
        <f>HYPERLINK("https://otsuka-europe-crm.veevavault.com/ui/#object/approved_document__v/V5OZ025E82TFUPI", "Spain - HCP Survey Email - June 2025")</f>
        <v>Spain - HCP Survey Email - June 2025</v>
      </c>
      <c r="C4615" s="3" t="str">
        <f>HYPERLINK("https://otsuka-europe-crm.veevavault.com/ui/#object/sent_email__v/VBLZ025E82GN17V", "SE-000271757")</f>
        <v>SE-000271757</v>
      </c>
      <c r="D4615" s="1" t="s">
        <v>0</v>
      </c>
      <c r="E4615" s="2">
        <v>0</v>
      </c>
      <c r="F4615" s="2">
        <v>0</v>
      </c>
      <c r="G4615" s="2">
        <v>0</v>
      </c>
      <c r="H4615" s="1" t="s">
        <v>0</v>
      </c>
      <c r="I4615" s="2">
        <v>0</v>
      </c>
      <c r="J4615" s="1">
        <v>45915.379374999997</v>
      </c>
    </row>
    <row r="4616" spans="1:10" x14ac:dyDescent="0.2">
      <c r="A4616" s="4" t="s">
        <v>1</v>
      </c>
      <c r="B4616" s="3" t="str">
        <f>HYPERLINK("https://otsuka-europe-crm.veevavault.com/ui/#object/approved_document__v/V5OZ025E82TFUPI", "Spain - HCP Survey Email - June 2025")</f>
        <v>Spain - HCP Survey Email - June 2025</v>
      </c>
      <c r="C4616" s="3" t="str">
        <f>HYPERLINK("https://otsuka-europe-crm.veevavault.com/ui/#object/sent_email__v/VBLZ025E82GN17W", "SE-000271758")</f>
        <v>SE-000271758</v>
      </c>
      <c r="D4616" s="1">
        <v>45915.379247685189</v>
      </c>
      <c r="E4616" s="2">
        <v>1</v>
      </c>
      <c r="F4616" s="2">
        <v>1</v>
      </c>
      <c r="G4616" s="2">
        <v>1</v>
      </c>
      <c r="H4616" s="1">
        <v>45915.379444444443</v>
      </c>
      <c r="I4616" s="2">
        <v>2</v>
      </c>
      <c r="J4616" s="1">
        <v>45915.379166666666</v>
      </c>
    </row>
    <row r="4617" spans="1:10" x14ac:dyDescent="0.2">
      <c r="A4617" s="4" t="s">
        <v>1</v>
      </c>
      <c r="B4617" s="3" t="str">
        <f>HYPERLINK("https://otsuka-europe-crm.veevavault.com/ui/#object/approved_document__v/V5OZ025E82TFUPI", "Spain - HCP Survey Email - June 2025")</f>
        <v>Spain - HCP Survey Email - June 2025</v>
      </c>
      <c r="C4617" s="3" t="str">
        <f>HYPERLINK("https://otsuka-europe-crm.veevavault.com/ui/#object/sent_email__v/VBLZ025E82GN17X", "SE-000271759")</f>
        <v>SE-000271759</v>
      </c>
      <c r="D4617" s="1" t="s">
        <v>0</v>
      </c>
      <c r="E4617" s="2">
        <v>0</v>
      </c>
      <c r="F4617" s="2">
        <v>0</v>
      </c>
      <c r="G4617" s="2">
        <v>0</v>
      </c>
      <c r="H4617" s="1" t="s">
        <v>0</v>
      </c>
      <c r="I4617" s="2">
        <v>0</v>
      </c>
      <c r="J4617" s="1">
        <v>45915.377476851849</v>
      </c>
    </row>
    <row r="4618" spans="1:10" x14ac:dyDescent="0.2">
      <c r="A4618" s="4" t="s">
        <v>1</v>
      </c>
      <c r="B4618" s="3" t="str">
        <f>HYPERLINK("https://otsuka-europe-crm.veevavault.com/ui/#object/approved_document__v/V5OZ025E82TFUPI", "Spain - HCP Survey Email - June 2025")</f>
        <v>Spain - HCP Survey Email - June 2025</v>
      </c>
      <c r="C4618" s="3" t="str">
        <f>HYPERLINK("https://otsuka-europe-crm.veevavault.com/ui/#object/sent_email__v/VBLZ025E82GN17Y", "SE-000271760")</f>
        <v>SE-000271760</v>
      </c>
      <c r="D4618" s="1" t="s">
        <v>0</v>
      </c>
      <c r="E4618" s="2">
        <v>0</v>
      </c>
      <c r="F4618" s="2">
        <v>0</v>
      </c>
      <c r="G4618" s="2">
        <v>0</v>
      </c>
      <c r="H4618" s="1" t="s">
        <v>0</v>
      </c>
      <c r="I4618" s="2">
        <v>0</v>
      </c>
      <c r="J4618" s="1">
        <v>45915.378379629627</v>
      </c>
    </row>
    <row r="4619" spans="1:10" x14ac:dyDescent="0.2">
      <c r="A4619" s="4" t="s">
        <v>1</v>
      </c>
      <c r="B4619" s="3" t="str">
        <f>HYPERLINK("https://otsuka-europe-crm.veevavault.com/ui/#object/approved_document__v/V5OZ025E82TFUPI", "Spain - HCP Survey Email - June 2025")</f>
        <v>Spain - HCP Survey Email - June 2025</v>
      </c>
      <c r="C4619" s="3" t="str">
        <f>HYPERLINK("https://otsuka-europe-crm.veevavault.com/ui/#object/sent_email__v/VBLZ025E82GN17Z", "SE-000271761")</f>
        <v>SE-000271761</v>
      </c>
      <c r="D4619" s="1">
        <v>45915.381053240744</v>
      </c>
      <c r="E4619" s="2">
        <v>1</v>
      </c>
      <c r="F4619" s="2">
        <v>2</v>
      </c>
      <c r="G4619" s="2">
        <v>0</v>
      </c>
      <c r="H4619" s="1" t="s">
        <v>0</v>
      </c>
      <c r="I4619" s="2">
        <v>0</v>
      </c>
      <c r="J4619" s="1">
        <v>45915.378796296296</v>
      </c>
    </row>
    <row r="4620" spans="1:10" x14ac:dyDescent="0.2">
      <c r="A4620" s="4" t="s">
        <v>1</v>
      </c>
      <c r="B4620" s="3" t="str">
        <f>HYPERLINK("https://otsuka-europe-crm.veevavault.com/ui/#object/approved_document__v/V5OZ025E82TFUPI", "Spain - HCP Survey Email - June 2025")</f>
        <v>Spain - HCP Survey Email - June 2025</v>
      </c>
      <c r="C4620" s="3" t="str">
        <f>HYPERLINK("https://otsuka-europe-crm.veevavault.com/ui/#object/sent_email__v/VBLZ025E82GN180", "SE-000271762")</f>
        <v>SE-000271762</v>
      </c>
      <c r="D4620" s="1" t="s">
        <v>0</v>
      </c>
      <c r="E4620" s="2">
        <v>0</v>
      </c>
      <c r="F4620" s="2">
        <v>0</v>
      </c>
      <c r="G4620" s="2">
        <v>0</v>
      </c>
      <c r="H4620" s="1" t="s">
        <v>0</v>
      </c>
      <c r="I4620" s="2">
        <v>0</v>
      </c>
      <c r="J4620" s="1">
        <v>45915.37871527778</v>
      </c>
    </row>
    <row r="4621" spans="1:10" x14ac:dyDescent="0.2">
      <c r="A4621" s="4" t="s">
        <v>1</v>
      </c>
      <c r="B4621" s="3" t="str">
        <f>HYPERLINK("https://otsuka-europe-crm.veevavault.com/ui/#object/approved_document__v/V5OZ025E82TFUPI", "Spain - HCP Survey Email - June 2025")</f>
        <v>Spain - HCP Survey Email - June 2025</v>
      </c>
      <c r="C4621" s="3" t="str">
        <f>HYPERLINK("https://otsuka-europe-crm.veevavault.com/ui/#object/sent_email__v/VBLZ025E82GN181", "SE-000271763")</f>
        <v>SE-000271763</v>
      </c>
      <c r="D4621" s="1">
        <v>45915.38</v>
      </c>
      <c r="E4621" s="2">
        <v>1</v>
      </c>
      <c r="F4621" s="2">
        <v>1</v>
      </c>
      <c r="G4621" s="2">
        <v>1</v>
      </c>
      <c r="H4621" s="1">
        <v>45915.380694444444</v>
      </c>
      <c r="I4621" s="2">
        <v>2</v>
      </c>
      <c r="J4621" s="1">
        <v>45915.379895833335</v>
      </c>
    </row>
    <row r="4622" spans="1:10" x14ac:dyDescent="0.2">
      <c r="A4622" s="4" t="s">
        <v>1</v>
      </c>
      <c r="B4622" s="3" t="str">
        <f>HYPERLINK("https://otsuka-europe-crm.veevavault.com/ui/#object/approved_document__v/V5OZ025E82TFUPI", "Spain - HCP Survey Email - June 2025")</f>
        <v>Spain - HCP Survey Email - June 2025</v>
      </c>
      <c r="C4622" s="3" t="str">
        <f>HYPERLINK("https://otsuka-europe-crm.veevavault.com/ui/#object/sent_email__v/VBLZ025E82GN182", "SE-000271764")</f>
        <v>SE-000271764</v>
      </c>
      <c r="D4622" s="1" t="s">
        <v>0</v>
      </c>
      <c r="E4622" s="2">
        <v>0</v>
      </c>
      <c r="F4622" s="2">
        <v>0</v>
      </c>
      <c r="G4622" s="2">
        <v>0</v>
      </c>
      <c r="H4622" s="1" t="s">
        <v>0</v>
      </c>
      <c r="I4622" s="2">
        <v>0</v>
      </c>
      <c r="J4622" s="1">
        <v>45915.37771990741</v>
      </c>
    </row>
    <row r="4623" spans="1:10" x14ac:dyDescent="0.2">
      <c r="A4623" s="4" t="s">
        <v>1</v>
      </c>
      <c r="B4623" s="3" t="str">
        <f>HYPERLINK("https://otsuka-europe-crm.veevavault.com/ui/#object/approved_document__v/V5OZ025E82TFUPI", "Spain - HCP Survey Email - June 2025")</f>
        <v>Spain - HCP Survey Email - June 2025</v>
      </c>
      <c r="C4623" s="3" t="str">
        <f>HYPERLINK("https://otsuka-europe-crm.veevavault.com/ui/#object/sent_email__v/VBLZ025E82GN183", "SE-000271765")</f>
        <v>SE-000271765</v>
      </c>
      <c r="D4623" s="1" t="s">
        <v>0</v>
      </c>
      <c r="E4623" s="2">
        <v>0</v>
      </c>
      <c r="F4623" s="2">
        <v>0</v>
      </c>
      <c r="G4623" s="2">
        <v>0</v>
      </c>
      <c r="H4623" s="1" t="s">
        <v>0</v>
      </c>
      <c r="I4623" s="2">
        <v>0</v>
      </c>
      <c r="J4623" s="1">
        <v>45915.377569444441</v>
      </c>
    </row>
    <row r="4624" spans="1:10" x14ac:dyDescent="0.2">
      <c r="A4624" s="4" t="s">
        <v>1</v>
      </c>
      <c r="B4624" s="3" t="str">
        <f>HYPERLINK("https://otsuka-europe-crm.veevavault.com/ui/#object/approved_document__v/V5OZ025E82TFUPI", "Spain - HCP Survey Email - June 2025")</f>
        <v>Spain - HCP Survey Email - June 2025</v>
      </c>
      <c r="C4624" s="3" t="str">
        <f>HYPERLINK("https://otsuka-europe-crm.veevavault.com/ui/#object/sent_email__v/VBLZ025E82GN184", "SE-000271766")</f>
        <v>SE-000271766</v>
      </c>
      <c r="D4624" s="1">
        <v>45919.677268518521</v>
      </c>
      <c r="E4624" s="2">
        <v>1</v>
      </c>
      <c r="F4624" s="2">
        <v>3</v>
      </c>
      <c r="G4624" s="2">
        <v>0</v>
      </c>
      <c r="H4624" s="1" t="s">
        <v>0</v>
      </c>
      <c r="I4624" s="2">
        <v>0</v>
      </c>
      <c r="J4624" s="1">
        <v>45915.377986111111</v>
      </c>
    </row>
    <row r="4625" spans="1:10" x14ac:dyDescent="0.2">
      <c r="A4625" s="4" t="s">
        <v>1</v>
      </c>
      <c r="B4625" s="3" t="str">
        <f>HYPERLINK("https://otsuka-europe-crm.veevavault.com/ui/#object/approved_document__v/V5OZ025E82TFUPI", "Spain - HCP Survey Email - June 2025")</f>
        <v>Spain - HCP Survey Email - June 2025</v>
      </c>
      <c r="C4625" s="3" t="str">
        <f>HYPERLINK("https://otsuka-europe-crm.veevavault.com/ui/#object/sent_email__v/VBLZ025E82GN185", "SE-000271767")</f>
        <v>SE-000271767</v>
      </c>
      <c r="D4625" s="1">
        <v>45916.796111111114</v>
      </c>
      <c r="E4625" s="2">
        <v>1</v>
      </c>
      <c r="F4625" s="2">
        <v>2</v>
      </c>
      <c r="G4625" s="2">
        <v>0</v>
      </c>
      <c r="H4625" s="1" t="s">
        <v>0</v>
      </c>
      <c r="I4625" s="2">
        <v>0</v>
      </c>
      <c r="J4625" s="1">
        <v>45915.379074074073</v>
      </c>
    </row>
    <row r="4626" spans="1:10" x14ac:dyDescent="0.2">
      <c r="A4626" s="4" t="s">
        <v>1</v>
      </c>
      <c r="B4626" s="3" t="str">
        <f>HYPERLINK("https://otsuka-europe-crm.veevavault.com/ui/#object/approved_document__v/V5OZ025E82TFUPI", "Spain - HCP Survey Email - June 2025")</f>
        <v>Spain - HCP Survey Email - June 2025</v>
      </c>
      <c r="C4626" s="3" t="str">
        <f>HYPERLINK("https://otsuka-europe-crm.veevavault.com/ui/#object/sent_email__v/VBLZ025E82GN186", "SE-000271768")</f>
        <v>SE-000271768</v>
      </c>
      <c r="D4626" s="1" t="s">
        <v>0</v>
      </c>
      <c r="E4626" s="2">
        <v>0</v>
      </c>
      <c r="F4626" s="2">
        <v>0</v>
      </c>
      <c r="G4626" s="2">
        <v>0</v>
      </c>
      <c r="H4626" s="1" t="s">
        <v>0</v>
      </c>
      <c r="I4626" s="2">
        <v>0</v>
      </c>
      <c r="J4626" s="1">
        <v>45915.379641203705</v>
      </c>
    </row>
    <row r="4627" spans="1:10" x14ac:dyDescent="0.2">
      <c r="A4627" s="4" t="s">
        <v>1</v>
      </c>
      <c r="B4627" s="3" t="str">
        <f>HYPERLINK("https://otsuka-europe-crm.veevavault.com/ui/#object/approved_document__v/V5OZ025E82TFUPI", "Spain - HCP Survey Email - June 2025")</f>
        <v>Spain - HCP Survey Email - June 2025</v>
      </c>
      <c r="C4627" s="3" t="str">
        <f>HYPERLINK("https://otsuka-europe-crm.veevavault.com/ui/#object/sent_email__v/VBLZ025E82GN187", "SE-000271769")</f>
        <v>SE-000271769</v>
      </c>
      <c r="D4627" s="1" t="s">
        <v>0</v>
      </c>
      <c r="E4627" s="2">
        <v>0</v>
      </c>
      <c r="F4627" s="2">
        <v>0</v>
      </c>
      <c r="G4627" s="2">
        <v>0</v>
      </c>
      <c r="H4627" s="1" t="s">
        <v>0</v>
      </c>
      <c r="I4627" s="2">
        <v>0</v>
      </c>
      <c r="J4627" s="1">
        <v>45915.379317129627</v>
      </c>
    </row>
    <row r="4628" spans="1:10" x14ac:dyDescent="0.2">
      <c r="A4628" s="4" t="s">
        <v>1</v>
      </c>
      <c r="B4628" s="3" t="str">
        <f>HYPERLINK("https://otsuka-europe-crm.veevavault.com/ui/#object/approved_document__v/V5OZ025E82TFUPI", "Spain - HCP Survey Email - June 2025")</f>
        <v>Spain - HCP Survey Email - June 2025</v>
      </c>
      <c r="C4628" s="3" t="str">
        <f>HYPERLINK("https://otsuka-europe-crm.veevavault.com/ui/#object/sent_email__v/VBLZ025E82GN188", "SE-000271770")</f>
        <v>SE-000271770</v>
      </c>
      <c r="D4628" s="1" t="s">
        <v>0</v>
      </c>
      <c r="E4628" s="2">
        <v>0</v>
      </c>
      <c r="F4628" s="2">
        <v>0</v>
      </c>
      <c r="G4628" s="2">
        <v>0</v>
      </c>
      <c r="H4628" s="1" t="s">
        <v>0</v>
      </c>
      <c r="I4628" s="2">
        <v>0</v>
      </c>
      <c r="J4628" s="1">
        <v>45915.37740740741</v>
      </c>
    </row>
    <row r="4629" spans="1:10" x14ac:dyDescent="0.2">
      <c r="A4629" s="4" t="s">
        <v>1</v>
      </c>
      <c r="B4629" s="3" t="str">
        <f>HYPERLINK("https://otsuka-europe-crm.veevavault.com/ui/#object/approved_document__v/V5OZ025E82TFUPI", "Spain - HCP Survey Email - June 2025")</f>
        <v>Spain - HCP Survey Email - June 2025</v>
      </c>
      <c r="C4629" s="3" t="str">
        <f>HYPERLINK("https://otsuka-europe-crm.veevavault.com/ui/#object/sent_email__v/VBLZ025E82GN189", "SE-000271771")</f>
        <v>SE-000271771</v>
      </c>
      <c r="D4629" s="1" t="s">
        <v>0</v>
      </c>
      <c r="E4629" s="2">
        <v>0</v>
      </c>
      <c r="F4629" s="2">
        <v>0</v>
      </c>
      <c r="G4629" s="2">
        <v>0</v>
      </c>
      <c r="H4629" s="1" t="s">
        <v>0</v>
      </c>
      <c r="I4629" s="2">
        <v>0</v>
      </c>
      <c r="J4629" s="1">
        <v>45915.378495370373</v>
      </c>
    </row>
    <row r="4630" spans="1:10" x14ac:dyDescent="0.2">
      <c r="A4630" s="4" t="s">
        <v>1</v>
      </c>
      <c r="B4630" s="3" t="str">
        <f>HYPERLINK("https://otsuka-europe-crm.veevavault.com/ui/#object/approved_document__v/V5OZ025E82TFUPI", "Spain - HCP Survey Email - June 2025")</f>
        <v>Spain - HCP Survey Email - June 2025</v>
      </c>
      <c r="C4630" s="3" t="str">
        <f>HYPERLINK("https://otsuka-europe-crm.veevavault.com/ui/#object/sent_email__v/VBLZ025E82GN18A", "SE-000271772")</f>
        <v>SE-000271772</v>
      </c>
      <c r="D4630" s="1" t="s">
        <v>0</v>
      </c>
      <c r="E4630" s="2">
        <v>0</v>
      </c>
      <c r="F4630" s="2">
        <v>0</v>
      </c>
      <c r="G4630" s="2">
        <v>0</v>
      </c>
      <c r="H4630" s="1" t="s">
        <v>0</v>
      </c>
      <c r="I4630" s="2">
        <v>0</v>
      </c>
      <c r="J4630" s="1">
        <v>45915.378946759258</v>
      </c>
    </row>
    <row r="4631" spans="1:10" x14ac:dyDescent="0.2">
      <c r="A4631" s="4" t="s">
        <v>1</v>
      </c>
      <c r="B4631" s="3" t="str">
        <f>HYPERLINK("https://otsuka-europe-crm.veevavault.com/ui/#object/approved_document__v/V5OZ025E82TFUPI", "Spain - HCP Survey Email - June 2025")</f>
        <v>Spain - HCP Survey Email - June 2025</v>
      </c>
      <c r="C4631" s="3" t="str">
        <f>HYPERLINK("https://otsuka-europe-crm.veevavault.com/ui/#object/sent_email__v/VBLZ025E82GN18B", "SE-000271773")</f>
        <v>SE-000271773</v>
      </c>
      <c r="D4631" s="1">
        <v>45925.275196759256</v>
      </c>
      <c r="E4631" s="2">
        <v>1</v>
      </c>
      <c r="F4631" s="2">
        <v>1</v>
      </c>
      <c r="G4631" s="2">
        <v>0</v>
      </c>
      <c r="H4631" s="1" t="s">
        <v>0</v>
      </c>
      <c r="I4631" s="2">
        <v>0</v>
      </c>
      <c r="J4631" s="1">
        <v>45915.378703703704</v>
      </c>
    </row>
    <row r="4632" spans="1:10" x14ac:dyDescent="0.2">
      <c r="A4632" s="4" t="s">
        <v>1</v>
      </c>
      <c r="B4632" s="3" t="str">
        <f>HYPERLINK("https://otsuka-europe-crm.veevavault.com/ui/#object/approved_document__v/V5OZ025E82TFUPI", "Spain - HCP Survey Email - June 2025")</f>
        <v>Spain - HCP Survey Email - June 2025</v>
      </c>
      <c r="C4632" s="3" t="str">
        <f>HYPERLINK("https://otsuka-europe-crm.veevavault.com/ui/#object/sent_email__v/VBLZ025E82GN18C", "SE-000271774")</f>
        <v>SE-000271774</v>
      </c>
      <c r="D4632" s="1" t="s">
        <v>0</v>
      </c>
      <c r="E4632" s="2">
        <v>0</v>
      </c>
      <c r="F4632" s="2">
        <v>0</v>
      </c>
      <c r="G4632" s="2">
        <v>0</v>
      </c>
      <c r="H4632" s="1" t="s">
        <v>0</v>
      </c>
      <c r="I4632" s="2">
        <v>0</v>
      </c>
      <c r="J4632" s="1">
        <v>45915.379884259259</v>
      </c>
    </row>
    <row r="4633" spans="1:10" x14ac:dyDescent="0.2">
      <c r="A4633" s="4" t="s">
        <v>1</v>
      </c>
      <c r="B4633" s="3" t="str">
        <f>HYPERLINK("https://otsuka-europe-crm.veevavault.com/ui/#object/approved_document__v/V5OZ025E82TFUPI", "Spain - HCP Survey Email - June 2025")</f>
        <v>Spain - HCP Survey Email - June 2025</v>
      </c>
      <c r="C4633" s="3" t="str">
        <f>HYPERLINK("https://otsuka-europe-crm.veevavault.com/ui/#object/sent_email__v/VBLZ025E82GN18D", "SE-000271775")</f>
        <v>SE-000271775</v>
      </c>
      <c r="D4633" s="1">
        <v>45915.386354166665</v>
      </c>
      <c r="E4633" s="2">
        <v>1</v>
      </c>
      <c r="F4633" s="2">
        <v>1</v>
      </c>
      <c r="G4633" s="2">
        <v>0</v>
      </c>
      <c r="H4633" s="1" t="s">
        <v>0</v>
      </c>
      <c r="I4633" s="2">
        <v>0</v>
      </c>
      <c r="J4633" s="1">
        <v>45915.377789351849</v>
      </c>
    </row>
    <row r="4634" spans="1:10" x14ac:dyDescent="0.2">
      <c r="A4634" s="4" t="s">
        <v>1</v>
      </c>
      <c r="B4634" s="3" t="str">
        <f>HYPERLINK("https://otsuka-europe-crm.veevavault.com/ui/#object/approved_document__v/V5OZ025E82TFUPI", "Spain - HCP Survey Email - June 2025")</f>
        <v>Spain - HCP Survey Email - June 2025</v>
      </c>
      <c r="C4634" s="3" t="str">
        <f>HYPERLINK("https://otsuka-europe-crm.veevavault.com/ui/#object/sent_email__v/VBLZ025E82GN18E", "SE-000271776")</f>
        <v>SE-000271776</v>
      </c>
      <c r="D4634" s="1" t="s">
        <v>0</v>
      </c>
      <c r="E4634" s="2">
        <v>0</v>
      </c>
      <c r="F4634" s="2">
        <v>0</v>
      </c>
      <c r="G4634" s="2">
        <v>0</v>
      </c>
      <c r="H4634" s="1" t="s">
        <v>0</v>
      </c>
      <c r="I4634" s="2">
        <v>0</v>
      </c>
      <c r="J4634" s="1">
        <v>45915.377604166664</v>
      </c>
    </row>
    <row r="4635" spans="1:10" x14ac:dyDescent="0.2">
      <c r="A4635" s="4" t="s">
        <v>1</v>
      </c>
      <c r="B4635" s="3" t="str">
        <f>HYPERLINK("https://otsuka-europe-crm.veevavault.com/ui/#object/approved_document__v/V5OZ025E82TFUPI", "Spain - HCP Survey Email - June 2025")</f>
        <v>Spain - HCP Survey Email - June 2025</v>
      </c>
      <c r="C4635" s="3" t="str">
        <f>HYPERLINK("https://otsuka-europe-crm.veevavault.com/ui/#object/sent_email__v/VBLZ025E82GN18F", "SE-000271777")</f>
        <v>SE-000271777</v>
      </c>
      <c r="D4635" s="1">
        <v>45915.378333333334</v>
      </c>
      <c r="E4635" s="2">
        <v>1</v>
      </c>
      <c r="F4635" s="2">
        <v>1</v>
      </c>
      <c r="G4635" s="2">
        <v>1</v>
      </c>
      <c r="H4635" s="1">
        <v>45915.378842592596</v>
      </c>
      <c r="I4635" s="2">
        <v>2</v>
      </c>
      <c r="J4635" s="1">
        <v>45915.377997685187</v>
      </c>
    </row>
    <row r="4636" spans="1:10" x14ac:dyDescent="0.2">
      <c r="A4636" s="4" t="s">
        <v>1</v>
      </c>
      <c r="B4636" s="3" t="str">
        <f>HYPERLINK("https://otsuka-europe-crm.veevavault.com/ui/#object/approved_document__v/V5OZ025E82TFUPI", "Spain - HCP Survey Email - June 2025")</f>
        <v>Spain - HCP Survey Email - June 2025</v>
      </c>
      <c r="C4636" s="3" t="str">
        <f>HYPERLINK("https://otsuka-europe-crm.veevavault.com/ui/#object/sent_email__v/VBLZ025E82GN18G", "SE-000271778")</f>
        <v>SE-000271778</v>
      </c>
      <c r="D4636" s="1" t="s">
        <v>0</v>
      </c>
      <c r="E4636" s="2">
        <v>0</v>
      </c>
      <c r="F4636" s="2">
        <v>0</v>
      </c>
      <c r="G4636" s="2">
        <v>0</v>
      </c>
      <c r="H4636" s="1" t="s">
        <v>0</v>
      </c>
      <c r="I4636" s="2">
        <v>0</v>
      </c>
      <c r="J4636" s="1">
        <v>45915.378553240742</v>
      </c>
    </row>
    <row r="4637" spans="1:10" x14ac:dyDescent="0.2">
      <c r="A4637" s="4" t="s">
        <v>1</v>
      </c>
      <c r="B4637" s="3" t="str">
        <f>HYPERLINK("https://otsuka-europe-crm.veevavault.com/ui/#object/approved_document__v/V5OZ025E82TFUPI", "Spain - HCP Survey Email - June 2025")</f>
        <v>Spain - HCP Survey Email - June 2025</v>
      </c>
      <c r="C4637" s="3" t="str">
        <f>HYPERLINK("https://otsuka-europe-crm.veevavault.com/ui/#object/sent_email__v/VBLZ025E82GN18H", "SE-000271779")</f>
        <v>SE-000271779</v>
      </c>
      <c r="D4637" s="1" t="s">
        <v>0</v>
      </c>
      <c r="E4637" s="2">
        <v>0</v>
      </c>
      <c r="F4637" s="2">
        <v>0</v>
      </c>
      <c r="G4637" s="2">
        <v>0</v>
      </c>
      <c r="H4637" s="1" t="s">
        <v>0</v>
      </c>
      <c r="I4637" s="2">
        <v>0</v>
      </c>
      <c r="J4637" s="1">
        <v>45915.379918981482</v>
      </c>
    </row>
    <row r="4638" spans="1:10" x14ac:dyDescent="0.2">
      <c r="A4638" s="4" t="s">
        <v>1</v>
      </c>
      <c r="B4638" s="3" t="str">
        <f>HYPERLINK("https://otsuka-europe-crm.veevavault.com/ui/#object/approved_document__v/V5OZ025E82TFUPI", "Spain - HCP Survey Email - June 2025")</f>
        <v>Spain - HCP Survey Email - June 2025</v>
      </c>
      <c r="C4638" s="3" t="str">
        <f>HYPERLINK("https://otsuka-europe-crm.veevavault.com/ui/#object/sent_email__v/VBLZ025E82GN18I", "SE-000271780")</f>
        <v>SE-000271780</v>
      </c>
      <c r="D4638" s="1">
        <v>45924.804803240739</v>
      </c>
      <c r="E4638" s="2">
        <v>1</v>
      </c>
      <c r="F4638" s="2">
        <v>1</v>
      </c>
      <c r="G4638" s="2">
        <v>0</v>
      </c>
      <c r="H4638" s="1" t="s">
        <v>0</v>
      </c>
      <c r="I4638" s="2">
        <v>0</v>
      </c>
      <c r="J4638" s="1">
        <v>45915.37771990741</v>
      </c>
    </row>
    <row r="4639" spans="1:10" x14ac:dyDescent="0.2">
      <c r="A4639" s="4" t="s">
        <v>1</v>
      </c>
      <c r="B4639" s="3" t="str">
        <f>HYPERLINK("https://otsuka-europe-crm.veevavault.com/ui/#object/approved_document__v/V5OZ025E82TFUPI", "Spain - HCP Survey Email - June 2025")</f>
        <v>Spain - HCP Survey Email - June 2025</v>
      </c>
      <c r="C4639" s="3" t="str">
        <f>HYPERLINK("https://otsuka-europe-crm.veevavault.com/ui/#object/sent_email__v/VBLZ025E82GN18J", "SE-000271781")</f>
        <v>SE-000271781</v>
      </c>
      <c r="D4639" s="1" t="s">
        <v>0</v>
      </c>
      <c r="E4639" s="2">
        <v>0</v>
      </c>
      <c r="F4639" s="2">
        <v>0</v>
      </c>
      <c r="G4639" s="2">
        <v>0</v>
      </c>
      <c r="H4639" s="1" t="s">
        <v>0</v>
      </c>
      <c r="I4639" s="2">
        <v>0</v>
      </c>
      <c r="J4639" s="1">
        <v>45915.377592592595</v>
      </c>
    </row>
    <row r="4640" spans="1:10" x14ac:dyDescent="0.2">
      <c r="A4640" s="4" t="s">
        <v>1</v>
      </c>
      <c r="B4640" s="3" t="str">
        <f>HYPERLINK("https://otsuka-europe-crm.veevavault.com/ui/#object/approved_document__v/V5OZ025E82TFUPI", "Spain - HCP Survey Email - June 2025")</f>
        <v>Spain - HCP Survey Email - June 2025</v>
      </c>
      <c r="C4640" s="3" t="str">
        <f>HYPERLINK("https://otsuka-europe-crm.veevavault.com/ui/#object/sent_email__v/VBLZ025E82GN18K", "SE-000271782")</f>
        <v>SE-000271782</v>
      </c>
      <c r="D4640" s="1" t="s">
        <v>0</v>
      </c>
      <c r="E4640" s="2">
        <v>0</v>
      </c>
      <c r="F4640" s="2">
        <v>0</v>
      </c>
      <c r="G4640" s="2">
        <v>0</v>
      </c>
      <c r="H4640" s="1" t="s">
        <v>0</v>
      </c>
      <c r="I4640" s="2">
        <v>0</v>
      </c>
      <c r="J4640" s="1">
        <v>45915.377974537034</v>
      </c>
    </row>
    <row r="4641" spans="1:10" x14ac:dyDescent="0.2">
      <c r="A4641" s="4" t="s">
        <v>1</v>
      </c>
      <c r="B4641" s="3" t="str">
        <f>HYPERLINK("https://otsuka-europe-crm.veevavault.com/ui/#object/approved_document__v/V5OZ025E82TFUPI", "Spain - HCP Survey Email - June 2025")</f>
        <v>Spain - HCP Survey Email - June 2025</v>
      </c>
      <c r="C4641" s="3" t="str">
        <f>HYPERLINK("https://otsuka-europe-crm.veevavault.com/ui/#object/sent_email__v/VBLZ025E82GN18L", "SE-000271783")</f>
        <v>SE-000271783</v>
      </c>
      <c r="D4641" s="1" t="s">
        <v>0</v>
      </c>
      <c r="E4641" s="2">
        <v>0</v>
      </c>
      <c r="F4641" s="2">
        <v>0</v>
      </c>
      <c r="G4641" s="2">
        <v>0</v>
      </c>
      <c r="H4641" s="1" t="s">
        <v>0</v>
      </c>
      <c r="I4641" s="2">
        <v>0</v>
      </c>
      <c r="J4641" s="1">
        <v>45915.379212962966</v>
      </c>
    </row>
    <row r="4642" spans="1:10" x14ac:dyDescent="0.2">
      <c r="A4642" s="4" t="s">
        <v>1</v>
      </c>
      <c r="B4642" s="3" t="str">
        <f>HYPERLINK("https://otsuka-europe-crm.veevavault.com/ui/#object/approved_document__v/V5OZ025E82TFUPI", "Spain - HCP Survey Email - June 2025")</f>
        <v>Spain - HCP Survey Email - June 2025</v>
      </c>
      <c r="C4642" s="3" t="str">
        <f>HYPERLINK("https://otsuka-europe-crm.veevavault.com/ui/#object/sent_email__v/VBLZ025E82GN18M", "SE-000271784")</f>
        <v>SE-000271784</v>
      </c>
      <c r="D4642" s="1">
        <v>45915.449317129627</v>
      </c>
      <c r="E4642" s="2">
        <v>1</v>
      </c>
      <c r="F4642" s="2">
        <v>1</v>
      </c>
      <c r="G4642" s="2">
        <v>0</v>
      </c>
      <c r="H4642" s="1" t="s">
        <v>0</v>
      </c>
      <c r="I4642" s="2">
        <v>0</v>
      </c>
      <c r="J4642" s="1">
        <v>45915.379525462966</v>
      </c>
    </row>
    <row r="4643" spans="1:10" x14ac:dyDescent="0.2">
      <c r="A4643" s="4" t="s">
        <v>1</v>
      </c>
      <c r="B4643" s="3" t="str">
        <f>HYPERLINK("https://otsuka-europe-crm.veevavault.com/ui/#object/approved_document__v/V5OZ025E82TFUPI", "Spain - HCP Survey Email - June 2025")</f>
        <v>Spain - HCP Survey Email - June 2025</v>
      </c>
      <c r="C4643" s="3" t="str">
        <f>HYPERLINK("https://otsuka-europe-crm.veevavault.com/ui/#object/sent_email__v/VBLZ025E82GN18N", "SE-000271785")</f>
        <v>SE-000271785</v>
      </c>
      <c r="D4643" s="1" t="s">
        <v>0</v>
      </c>
      <c r="E4643" s="2">
        <v>0</v>
      </c>
      <c r="F4643" s="2">
        <v>0</v>
      </c>
      <c r="G4643" s="2">
        <v>0</v>
      </c>
      <c r="H4643" s="1" t="s">
        <v>0</v>
      </c>
      <c r="I4643" s="2">
        <v>0</v>
      </c>
      <c r="J4643" s="1">
        <v>45915.379236111112</v>
      </c>
    </row>
    <row r="4644" spans="1:10" x14ac:dyDescent="0.2">
      <c r="A4644" s="4" t="s">
        <v>1</v>
      </c>
      <c r="B4644" s="3" t="str">
        <f>HYPERLINK("https://otsuka-europe-crm.veevavault.com/ui/#object/approved_document__v/V5OZ025E82TFUPI", "Spain - HCP Survey Email - June 2025")</f>
        <v>Spain - HCP Survey Email - June 2025</v>
      </c>
      <c r="C4644" s="3" t="str">
        <f>HYPERLINK("https://otsuka-europe-crm.veevavault.com/ui/#object/sent_email__v/VBLZ025E82GN18O", "SE-000271786")</f>
        <v>SE-000271786</v>
      </c>
      <c r="D4644" s="1">
        <v>45915.378194444442</v>
      </c>
      <c r="E4644" s="2">
        <v>1</v>
      </c>
      <c r="F4644" s="2">
        <v>2</v>
      </c>
      <c r="G4644" s="2">
        <v>1</v>
      </c>
      <c r="H4644" s="1">
        <v>45915.378194444442</v>
      </c>
      <c r="I4644" s="2">
        <v>2</v>
      </c>
      <c r="J4644" s="1">
        <v>45915.377418981479</v>
      </c>
    </row>
    <row r="4645" spans="1:10" x14ac:dyDescent="0.2">
      <c r="A4645" s="4" t="s">
        <v>1</v>
      </c>
      <c r="B4645" s="3" t="str">
        <f>HYPERLINK("https://otsuka-europe-crm.veevavault.com/ui/#object/approved_document__v/V5OZ025E82TFUPI", "Spain - HCP Survey Email - June 2025")</f>
        <v>Spain - HCP Survey Email - June 2025</v>
      </c>
      <c r="C4645" s="3" t="str">
        <f>HYPERLINK("https://otsuka-europe-crm.veevavault.com/ui/#object/sent_email__v/VBLZ025E82GN18P", "SE-000271787")</f>
        <v>SE-000271787</v>
      </c>
      <c r="D4645" s="1" t="s">
        <v>0</v>
      </c>
      <c r="E4645" s="2">
        <v>0</v>
      </c>
      <c r="F4645" s="2">
        <v>0</v>
      </c>
      <c r="G4645" s="2">
        <v>0</v>
      </c>
      <c r="H4645" s="1" t="s">
        <v>0</v>
      </c>
      <c r="I4645" s="2">
        <v>0</v>
      </c>
      <c r="J4645" s="1">
        <v>45915.378495370373</v>
      </c>
    </row>
    <row r="4646" spans="1:10" x14ac:dyDescent="0.2">
      <c r="A4646" s="4" t="s">
        <v>1</v>
      </c>
      <c r="B4646" s="3" t="str">
        <f>HYPERLINK("https://otsuka-europe-crm.veevavault.com/ui/#object/approved_document__v/V5OZ025E82TFUPI", "Spain - HCP Survey Email - June 2025")</f>
        <v>Spain - HCP Survey Email - June 2025</v>
      </c>
      <c r="C4646" s="3" t="str">
        <f>HYPERLINK("https://otsuka-europe-crm.veevavault.com/ui/#object/sent_email__v/VBLZ025E82GN18Q", "SE-000271788")</f>
        <v>SE-000271788</v>
      </c>
      <c r="D4646" s="1" t="s">
        <v>0</v>
      </c>
      <c r="E4646" s="2">
        <v>0</v>
      </c>
      <c r="F4646" s="2">
        <v>0</v>
      </c>
      <c r="G4646" s="2">
        <v>0</v>
      </c>
      <c r="H4646" s="1" t="s">
        <v>0</v>
      </c>
      <c r="I4646" s="2">
        <v>0</v>
      </c>
      <c r="J4646" s="1">
        <v>45915.378842592596</v>
      </c>
    </row>
    <row r="4647" spans="1:10" x14ac:dyDescent="0.2">
      <c r="A4647" s="4" t="s">
        <v>1</v>
      </c>
      <c r="B4647" s="3" t="str">
        <f>HYPERLINK("https://otsuka-europe-crm.veevavault.com/ui/#object/approved_document__v/V5OZ025E82TFUPI", "Spain - HCP Survey Email - June 2025")</f>
        <v>Spain - HCP Survey Email - June 2025</v>
      </c>
      <c r="C4647" s="3" t="str">
        <f>HYPERLINK("https://otsuka-europe-crm.veevavault.com/ui/#object/sent_email__v/VBLZ025E82GN18R", "SE-000271789")</f>
        <v>SE-000271789</v>
      </c>
      <c r="D4647" s="1" t="s">
        <v>0</v>
      </c>
      <c r="E4647" s="2">
        <v>0</v>
      </c>
      <c r="F4647" s="2">
        <v>0</v>
      </c>
      <c r="G4647" s="2">
        <v>0</v>
      </c>
      <c r="H4647" s="1" t="s">
        <v>0</v>
      </c>
      <c r="I4647" s="2">
        <v>0</v>
      </c>
      <c r="J4647" s="1">
        <v>45915.378541666665</v>
      </c>
    </row>
    <row r="4648" spans="1:10" x14ac:dyDescent="0.2">
      <c r="A4648" s="4" t="s">
        <v>1</v>
      </c>
      <c r="B4648" s="3" t="str">
        <f>HYPERLINK("https://otsuka-europe-crm.veevavault.com/ui/#object/approved_document__v/V5OZ025E82TFUPI", "Spain - HCP Survey Email - June 2025")</f>
        <v>Spain - HCP Survey Email - June 2025</v>
      </c>
      <c r="C4648" s="3" t="str">
        <f>HYPERLINK("https://otsuka-europe-crm.veevavault.com/ui/#object/sent_email__v/VBLZ025E82GN18S", "SE-000271790")</f>
        <v>SE-000271790</v>
      </c>
      <c r="D4648" s="1" t="s">
        <v>0</v>
      </c>
      <c r="E4648" s="2">
        <v>0</v>
      </c>
      <c r="F4648" s="2">
        <v>0</v>
      </c>
      <c r="G4648" s="2">
        <v>0</v>
      </c>
      <c r="H4648" s="1" t="s">
        <v>0</v>
      </c>
      <c r="I4648" s="2">
        <v>0</v>
      </c>
      <c r="J4648" s="1">
        <v>45915.379930555559</v>
      </c>
    </row>
    <row r="4649" spans="1:10" x14ac:dyDescent="0.2">
      <c r="A4649" s="4" t="s">
        <v>1</v>
      </c>
      <c r="B4649" s="3" t="str">
        <f>HYPERLINK("https://otsuka-europe-crm.veevavault.com/ui/#object/approved_document__v/V5OZ025E82TFUPI", "Spain - HCP Survey Email - June 2025")</f>
        <v>Spain - HCP Survey Email - June 2025</v>
      </c>
      <c r="C4649" s="3" t="str">
        <f>HYPERLINK("https://otsuka-europe-crm.veevavault.com/ui/#object/sent_email__v/VBLZ025E82GN18T", "SE-000271791")</f>
        <v>SE-000271791</v>
      </c>
      <c r="D4649" s="1" t="s">
        <v>0</v>
      </c>
      <c r="E4649" s="2">
        <v>0</v>
      </c>
      <c r="F4649" s="2">
        <v>0</v>
      </c>
      <c r="G4649" s="2">
        <v>0</v>
      </c>
      <c r="H4649" s="1" t="s">
        <v>0</v>
      </c>
      <c r="I4649" s="2">
        <v>0</v>
      </c>
      <c r="J4649" s="1">
        <v>45915.377708333333</v>
      </c>
    </row>
    <row r="4650" spans="1:10" x14ac:dyDescent="0.2">
      <c r="A4650" s="4" t="s">
        <v>1</v>
      </c>
      <c r="B4650" s="3" t="str">
        <f>HYPERLINK("https://otsuka-europe-crm.veevavault.com/ui/#object/approved_document__v/V5OZ025E82TFUPI", "Spain - HCP Survey Email - June 2025")</f>
        <v>Spain - HCP Survey Email - June 2025</v>
      </c>
      <c r="C4650" s="3" t="str">
        <f>HYPERLINK("https://otsuka-europe-crm.veevavault.com/ui/#object/sent_email__v/VBLZ025E82GN18U", "SE-000271792")</f>
        <v>SE-000271792</v>
      </c>
      <c r="D4650" s="1" t="s">
        <v>0</v>
      </c>
      <c r="E4650" s="2">
        <v>0</v>
      </c>
      <c r="F4650" s="2">
        <v>0</v>
      </c>
      <c r="G4650" s="2">
        <v>0</v>
      </c>
      <c r="H4650" s="1" t="s">
        <v>0</v>
      </c>
      <c r="I4650" s="2">
        <v>0</v>
      </c>
      <c r="J4650" s="1">
        <v>45915.377592592595</v>
      </c>
    </row>
    <row r="4651" spans="1:10" x14ac:dyDescent="0.2">
      <c r="A4651" s="4" t="s">
        <v>1</v>
      </c>
      <c r="B4651" s="3" t="str">
        <f>HYPERLINK("https://otsuka-europe-crm.veevavault.com/ui/#object/approved_document__v/V5OZ025E82TFUPI", "Spain - HCP Survey Email - June 2025")</f>
        <v>Spain - HCP Survey Email - June 2025</v>
      </c>
      <c r="C4651" s="3" t="str">
        <f>HYPERLINK("https://otsuka-europe-crm.veevavault.com/ui/#object/sent_email__v/VBLZ025E82GN18V", "SE-000271793")</f>
        <v>SE-000271793</v>
      </c>
      <c r="D4651" s="1" t="s">
        <v>0</v>
      </c>
      <c r="E4651" s="2">
        <v>0</v>
      </c>
      <c r="F4651" s="2">
        <v>0</v>
      </c>
      <c r="G4651" s="2">
        <v>0</v>
      </c>
      <c r="H4651" s="1" t="s">
        <v>0</v>
      </c>
      <c r="I4651" s="2">
        <v>0</v>
      </c>
      <c r="J4651" s="1">
        <v>45915.378009259257</v>
      </c>
    </row>
    <row r="4652" spans="1:10" x14ac:dyDescent="0.2">
      <c r="A4652" s="4" t="s">
        <v>1</v>
      </c>
      <c r="B4652" s="3" t="str">
        <f>HYPERLINK("https://otsuka-europe-crm.veevavault.com/ui/#object/approved_document__v/V5OZ025E82TFUPI", "Spain - HCP Survey Email - June 2025")</f>
        <v>Spain - HCP Survey Email - June 2025</v>
      </c>
      <c r="C4652" s="3" t="str">
        <f>HYPERLINK("https://otsuka-europe-crm.veevavault.com/ui/#object/sent_email__v/VBLZ025E82GN18W", "SE-000271794")</f>
        <v>SE-000271794</v>
      </c>
      <c r="D4652" s="1" t="s">
        <v>0</v>
      </c>
      <c r="E4652" s="2">
        <v>0</v>
      </c>
      <c r="F4652" s="2">
        <v>0</v>
      </c>
      <c r="G4652" s="2">
        <v>0</v>
      </c>
      <c r="H4652" s="1" t="s">
        <v>0</v>
      </c>
      <c r="I4652" s="2">
        <v>0</v>
      </c>
      <c r="J4652" s="1">
        <v>45915.378981481481</v>
      </c>
    </row>
    <row r="4653" spans="1:10" x14ac:dyDescent="0.2">
      <c r="A4653" s="4" t="s">
        <v>1</v>
      </c>
      <c r="B4653" s="3" t="str">
        <f>HYPERLINK("https://otsuka-europe-crm.veevavault.com/ui/#object/approved_document__v/V5OZ025E82TFUPI", "Spain - HCP Survey Email - June 2025")</f>
        <v>Spain - HCP Survey Email - June 2025</v>
      </c>
      <c r="C4653" s="3" t="str">
        <f>HYPERLINK("https://otsuka-europe-crm.veevavault.com/ui/#object/sent_email__v/VBLZ025E82GN18X", "SE-000271795")</f>
        <v>SE-000271795</v>
      </c>
      <c r="D4653" s="1" t="s">
        <v>0</v>
      </c>
      <c r="E4653" s="2">
        <v>0</v>
      </c>
      <c r="F4653" s="2">
        <v>0</v>
      </c>
      <c r="G4653" s="2">
        <v>0</v>
      </c>
      <c r="H4653" s="1" t="s">
        <v>0</v>
      </c>
      <c r="I4653" s="2">
        <v>0</v>
      </c>
      <c r="J4653" s="1">
        <v>45915.379571759258</v>
      </c>
    </row>
    <row r="4654" spans="1:10" x14ac:dyDescent="0.2">
      <c r="A4654" s="4" t="s">
        <v>1</v>
      </c>
      <c r="B4654" s="3" t="str">
        <f>HYPERLINK("https://otsuka-europe-crm.veevavault.com/ui/#object/approved_document__v/V5OZ025E82TFUPI", "Spain - HCP Survey Email - June 2025")</f>
        <v>Spain - HCP Survey Email - June 2025</v>
      </c>
      <c r="C4654" s="3" t="str">
        <f>HYPERLINK("https://otsuka-europe-crm.veevavault.com/ui/#object/sent_email__v/VBLZ025E82GN18Y", "SE-000271796")</f>
        <v>SE-000271796</v>
      </c>
      <c r="D4654" s="1" t="s">
        <v>0</v>
      </c>
      <c r="E4654" s="2">
        <v>0</v>
      </c>
      <c r="F4654" s="2">
        <v>0</v>
      </c>
      <c r="G4654" s="2">
        <v>0</v>
      </c>
      <c r="H4654" s="1" t="s">
        <v>0</v>
      </c>
      <c r="I4654" s="2">
        <v>0</v>
      </c>
      <c r="J4654" s="1">
        <v>45915.379282407404</v>
      </c>
    </row>
    <row r="4655" spans="1:10" x14ac:dyDescent="0.2">
      <c r="A4655" s="4" t="s">
        <v>1</v>
      </c>
      <c r="B4655" s="3" t="str">
        <f>HYPERLINK("https://otsuka-europe-crm.veevavault.com/ui/#object/approved_document__v/V5OZ025E82TFUPI", "Spain - HCP Survey Email - June 2025")</f>
        <v>Spain - HCP Survey Email - June 2025</v>
      </c>
      <c r="C4655" s="3" t="str">
        <f>HYPERLINK("https://otsuka-europe-crm.veevavault.com/ui/#object/sent_email__v/VBLZ025E82GN18Z", "SE-000271797")</f>
        <v>SE-000271797</v>
      </c>
      <c r="D4655" s="1" t="s">
        <v>0</v>
      </c>
      <c r="E4655" s="2">
        <v>0</v>
      </c>
      <c r="F4655" s="2">
        <v>0</v>
      </c>
      <c r="G4655" s="2">
        <v>0</v>
      </c>
      <c r="H4655" s="1" t="s">
        <v>0</v>
      </c>
      <c r="I4655" s="2">
        <v>0</v>
      </c>
      <c r="J4655" s="1">
        <v>45915.377430555556</v>
      </c>
    </row>
    <row r="4656" spans="1:10" x14ac:dyDescent="0.2">
      <c r="A4656" s="4" t="s">
        <v>1</v>
      </c>
      <c r="B4656" s="3" t="str">
        <f>HYPERLINK("https://otsuka-europe-crm.veevavault.com/ui/#object/approved_document__v/V5OZ025E82TFUPI", "Spain - HCP Survey Email - June 2025")</f>
        <v>Spain - HCP Survey Email - June 2025</v>
      </c>
      <c r="C4656" s="3" t="str">
        <f>HYPERLINK("https://otsuka-europe-crm.veevavault.com/ui/#object/sent_email__v/VBLZ025E82GN190", "SE-000271798")</f>
        <v>SE-000271798</v>
      </c>
      <c r="D4656" s="1">
        <v>45915.95721064815</v>
      </c>
      <c r="E4656" s="2">
        <v>1</v>
      </c>
      <c r="F4656" s="2">
        <v>1</v>
      </c>
      <c r="G4656" s="2">
        <v>0</v>
      </c>
      <c r="H4656" s="1" t="s">
        <v>0</v>
      </c>
      <c r="I4656" s="2">
        <v>0</v>
      </c>
      <c r="J4656" s="1">
        <v>45915.378425925926</v>
      </c>
    </row>
    <row r="4657" spans="1:10" x14ac:dyDescent="0.2">
      <c r="A4657" s="4" t="s">
        <v>1</v>
      </c>
      <c r="B4657" s="3" t="str">
        <f>HYPERLINK("https://otsuka-europe-crm.veevavault.com/ui/#object/approved_document__v/V5OZ025E82TFUPI", "Spain - HCP Survey Email - June 2025")</f>
        <v>Spain - HCP Survey Email - June 2025</v>
      </c>
      <c r="C4657" s="3" t="str">
        <f>HYPERLINK("https://otsuka-europe-crm.veevavault.com/ui/#object/sent_email__v/VBLZ025E82GN191", "SE-000271799")</f>
        <v>SE-000271799</v>
      </c>
      <c r="D4657" s="1" t="s">
        <v>0</v>
      </c>
      <c r="E4657" s="2">
        <v>0</v>
      </c>
      <c r="F4657" s="2">
        <v>0</v>
      </c>
      <c r="G4657" s="2">
        <v>0</v>
      </c>
      <c r="H4657" s="1" t="s">
        <v>0</v>
      </c>
      <c r="I4657" s="2">
        <v>0</v>
      </c>
      <c r="J4657" s="1">
        <v>45915.378796296296</v>
      </c>
    </row>
    <row r="4658" spans="1:10" x14ac:dyDescent="0.2">
      <c r="A4658" s="4" t="s">
        <v>1</v>
      </c>
      <c r="B4658" s="3" t="str">
        <f>HYPERLINK("https://otsuka-europe-crm.veevavault.com/ui/#object/approved_document__v/V5OZ025E82TFUPI", "Spain - HCP Survey Email - June 2025")</f>
        <v>Spain - HCP Survey Email - June 2025</v>
      </c>
      <c r="C4658" s="3" t="str">
        <f>HYPERLINK("https://otsuka-europe-crm.veevavault.com/ui/#object/sent_email__v/VBLZ025E82GN192", "SE-000271800")</f>
        <v>SE-000271800</v>
      </c>
      <c r="D4658" s="1">
        <v>45915.378993055558</v>
      </c>
      <c r="E4658" s="2">
        <v>1</v>
      </c>
      <c r="F4658" s="2">
        <v>1</v>
      </c>
      <c r="G4658" s="2">
        <v>1</v>
      </c>
      <c r="H4658" s="1">
        <v>45915.380196759259</v>
      </c>
      <c r="I4658" s="2">
        <v>2</v>
      </c>
      <c r="J4658" s="1">
        <v>45915.378518518519</v>
      </c>
    </row>
    <row r="4659" spans="1:10" x14ac:dyDescent="0.2">
      <c r="A4659" s="4" t="s">
        <v>1</v>
      </c>
      <c r="B4659" s="3" t="str">
        <f>HYPERLINK("https://otsuka-europe-crm.veevavault.com/ui/#object/approved_document__v/V5OZ025E82TFUPI", "Spain - HCP Survey Email - June 2025")</f>
        <v>Spain - HCP Survey Email - June 2025</v>
      </c>
      <c r="C4659" s="3" t="str">
        <f>HYPERLINK("https://otsuka-europe-crm.veevavault.com/ui/#object/sent_email__v/VBLZ025E82GN193", "SE-000271801")</f>
        <v>SE-000271801</v>
      </c>
      <c r="D4659" s="1" t="s">
        <v>0</v>
      </c>
      <c r="E4659" s="2">
        <v>0</v>
      </c>
      <c r="F4659" s="2">
        <v>0</v>
      </c>
      <c r="G4659" s="2">
        <v>0</v>
      </c>
      <c r="H4659" s="1" t="s">
        <v>0</v>
      </c>
      <c r="I4659" s="2">
        <v>0</v>
      </c>
      <c r="J4659" s="1">
        <v>45915.379918981482</v>
      </c>
    </row>
    <row r="4660" spans="1:10" x14ac:dyDescent="0.2">
      <c r="A4660" s="4" t="s">
        <v>1</v>
      </c>
      <c r="B4660" s="3" t="str">
        <f>HYPERLINK("https://otsuka-europe-crm.veevavault.com/ui/#object/approved_document__v/V5OZ025E82TFUPI", "Spain - HCP Survey Email - June 2025")</f>
        <v>Spain - HCP Survey Email - June 2025</v>
      </c>
      <c r="C4660" s="3" t="str">
        <f>HYPERLINK("https://otsuka-europe-crm.veevavault.com/ui/#object/sent_email__v/VBLZ025E82GN194", "SE-000271802")</f>
        <v>SE-000271802</v>
      </c>
      <c r="D4660" s="1">
        <v>45915.973391203705</v>
      </c>
      <c r="E4660" s="2">
        <v>1</v>
      </c>
      <c r="F4660" s="2">
        <v>2</v>
      </c>
      <c r="G4660" s="2">
        <v>0</v>
      </c>
      <c r="H4660" s="1" t="s">
        <v>0</v>
      </c>
      <c r="I4660" s="2">
        <v>0</v>
      </c>
      <c r="J4660" s="1">
        <v>45915.377789351849</v>
      </c>
    </row>
    <row r="4661" spans="1:10" x14ac:dyDescent="0.2">
      <c r="A4661" s="4" t="s">
        <v>1</v>
      </c>
      <c r="B4661" s="3" t="str">
        <f>HYPERLINK("https://otsuka-europe-crm.veevavault.com/ui/#object/approved_document__v/V5OZ025E82TFUPI", "Spain - HCP Survey Email - June 2025")</f>
        <v>Spain - HCP Survey Email - June 2025</v>
      </c>
      <c r="C4661" s="3" t="str">
        <f>HYPERLINK("https://otsuka-europe-crm.veevavault.com/ui/#object/sent_email__v/VBLZ025E82GN195", "SE-000271803")</f>
        <v>SE-000271803</v>
      </c>
      <c r="D4661" s="1" t="s">
        <v>0</v>
      </c>
      <c r="E4661" s="2">
        <v>0</v>
      </c>
      <c r="F4661" s="2">
        <v>0</v>
      </c>
      <c r="G4661" s="2">
        <v>0</v>
      </c>
      <c r="H4661" s="1" t="s">
        <v>0</v>
      </c>
      <c r="I4661" s="2">
        <v>0</v>
      </c>
      <c r="J4661" s="1">
        <v>45915.377604166664</v>
      </c>
    </row>
    <row r="4662" spans="1:10" x14ac:dyDescent="0.2">
      <c r="A4662" s="4" t="s">
        <v>1</v>
      </c>
      <c r="B4662" s="3" t="str">
        <f>HYPERLINK("https://otsuka-europe-crm.veevavault.com/ui/#object/approved_document__v/V5OZ025E82TFUPI", "Spain - HCP Survey Email - June 2025")</f>
        <v>Spain - HCP Survey Email - June 2025</v>
      </c>
      <c r="C4662" s="3" t="str">
        <f>HYPERLINK("https://otsuka-europe-crm.veevavault.com/ui/#object/sent_email__v/VBLZ025E82GN196", "SE-000271804")</f>
        <v>SE-000271804</v>
      </c>
      <c r="D4662" s="1" t="s">
        <v>0</v>
      </c>
      <c r="E4662" s="2">
        <v>0</v>
      </c>
      <c r="F4662" s="2">
        <v>0</v>
      </c>
      <c r="G4662" s="2">
        <v>0</v>
      </c>
      <c r="H4662" s="1" t="s">
        <v>0</v>
      </c>
      <c r="I4662" s="2">
        <v>0</v>
      </c>
      <c r="J4662" s="1">
        <v>45915.377962962964</v>
      </c>
    </row>
    <row r="4663" spans="1:10" x14ac:dyDescent="0.2">
      <c r="A4663" s="4" t="s">
        <v>1</v>
      </c>
      <c r="B4663" s="3" t="str">
        <f>HYPERLINK("https://otsuka-europe-crm.veevavault.com/ui/#object/approved_document__v/V5OZ025E82TFUPI", "Spain - HCP Survey Email - June 2025")</f>
        <v>Spain - HCP Survey Email - June 2025</v>
      </c>
      <c r="C4663" s="3" t="str">
        <f>HYPERLINK("https://otsuka-europe-crm.veevavault.com/ui/#object/sent_email__v/VBLZ025E82GN197", "SE-000271805")</f>
        <v>SE-000271805</v>
      </c>
      <c r="D4663" s="1">
        <v>45915.656875000001</v>
      </c>
      <c r="E4663" s="2">
        <v>1</v>
      </c>
      <c r="F4663" s="2">
        <v>2</v>
      </c>
      <c r="G4663" s="2">
        <v>0</v>
      </c>
      <c r="H4663" s="1" t="s">
        <v>0</v>
      </c>
      <c r="I4663" s="2">
        <v>0</v>
      </c>
      <c r="J4663" s="1">
        <v>45915.378981481481</v>
      </c>
    </row>
    <row r="4664" spans="1:10" x14ac:dyDescent="0.2">
      <c r="A4664" s="4" t="s">
        <v>1</v>
      </c>
      <c r="B4664" s="3" t="str">
        <f>HYPERLINK("https://otsuka-europe-crm.veevavault.com/ui/#object/approved_document__v/V5OZ025E82TFUPI", "Spain - HCP Survey Email - June 2025")</f>
        <v>Spain - HCP Survey Email - June 2025</v>
      </c>
      <c r="C4664" s="3" t="str">
        <f>HYPERLINK("https://otsuka-europe-crm.veevavault.com/ui/#object/sent_email__v/VBLZ025E82GN198", "SE-000271806")</f>
        <v>SE-000271806</v>
      </c>
      <c r="D4664" s="1" t="s">
        <v>0</v>
      </c>
      <c r="E4664" s="2">
        <v>0</v>
      </c>
      <c r="F4664" s="2">
        <v>0</v>
      </c>
      <c r="G4664" s="2">
        <v>0</v>
      </c>
      <c r="H4664" s="1" t="s">
        <v>0</v>
      </c>
      <c r="I4664" s="2">
        <v>0</v>
      </c>
      <c r="J4664" s="1">
        <v>45915.379548611112</v>
      </c>
    </row>
    <row r="4665" spans="1:10" x14ac:dyDescent="0.2">
      <c r="A4665" s="4" t="s">
        <v>1</v>
      </c>
      <c r="B4665" s="3" t="str">
        <f>HYPERLINK("https://otsuka-europe-crm.veevavault.com/ui/#object/approved_document__v/V5OZ025E82TFUPI", "Spain - HCP Survey Email - June 2025")</f>
        <v>Spain - HCP Survey Email - June 2025</v>
      </c>
      <c r="C4665" s="3" t="str">
        <f>HYPERLINK("https://otsuka-europe-crm.veevavault.com/ui/#object/sent_email__v/VBLZ025E82GN199", "SE-000271807")</f>
        <v>SE-000271807</v>
      </c>
      <c r="D4665" s="1" t="s">
        <v>0</v>
      </c>
      <c r="E4665" s="2">
        <v>0</v>
      </c>
      <c r="F4665" s="2">
        <v>0</v>
      </c>
      <c r="G4665" s="2">
        <v>0</v>
      </c>
      <c r="H4665" s="1" t="s">
        <v>0</v>
      </c>
      <c r="I4665" s="2">
        <v>0</v>
      </c>
      <c r="J4665" s="1">
        <v>45915.379374999997</v>
      </c>
    </row>
    <row r="4666" spans="1:10" x14ac:dyDescent="0.2">
      <c r="A4666" s="4" t="s">
        <v>1</v>
      </c>
      <c r="B4666" s="3" t="str">
        <f>HYPERLINK("https://otsuka-europe-crm.veevavault.com/ui/#object/approved_document__v/V5OZ025E82TFUPI", "Spain - HCP Survey Email - June 2025")</f>
        <v>Spain - HCP Survey Email - June 2025</v>
      </c>
      <c r="C4666" s="3" t="str">
        <f>HYPERLINK("https://otsuka-europe-crm.veevavault.com/ui/#object/sent_email__v/VBLZ025E82GN19A", "SE-000271808")</f>
        <v>SE-000271808</v>
      </c>
      <c r="D4666" s="1" t="s">
        <v>0</v>
      </c>
      <c r="E4666" s="2">
        <v>0</v>
      </c>
      <c r="F4666" s="2">
        <v>0</v>
      </c>
      <c r="G4666" s="2">
        <v>0</v>
      </c>
      <c r="H4666" s="1" t="s">
        <v>0</v>
      </c>
      <c r="I4666" s="2">
        <v>0</v>
      </c>
      <c r="J4666" s="1">
        <v>45915.377395833333</v>
      </c>
    </row>
    <row r="4667" spans="1:10" x14ac:dyDescent="0.2">
      <c r="A4667" s="4" t="s">
        <v>1</v>
      </c>
      <c r="B4667" s="3" t="str">
        <f>HYPERLINK("https://otsuka-europe-crm.veevavault.com/ui/#object/approved_document__v/V5OZ025E82TFUPI", "Spain - HCP Survey Email - June 2025")</f>
        <v>Spain - HCP Survey Email - June 2025</v>
      </c>
      <c r="C4667" s="3" t="str">
        <f>HYPERLINK("https://otsuka-europe-crm.veevavault.com/ui/#object/sent_email__v/VBLZ025E82GN19B", "SE-000271809")</f>
        <v>SE-000271809</v>
      </c>
      <c r="D4667" s="1" t="s">
        <v>0</v>
      </c>
      <c r="E4667" s="2">
        <v>0</v>
      </c>
      <c r="F4667" s="2">
        <v>0</v>
      </c>
      <c r="G4667" s="2">
        <v>0</v>
      </c>
      <c r="H4667" s="1" t="s">
        <v>0</v>
      </c>
      <c r="I4667" s="2">
        <v>0</v>
      </c>
      <c r="J4667" s="1">
        <v>45915.378437500003</v>
      </c>
    </row>
    <row r="4668" spans="1:10" x14ac:dyDescent="0.2">
      <c r="A4668" s="4" t="s">
        <v>1</v>
      </c>
      <c r="B4668" s="3" t="str">
        <f>HYPERLINK("https://otsuka-europe-crm.veevavault.com/ui/#object/approved_document__v/V5OZ025E82TFUPI", "Spain - HCP Survey Email - June 2025")</f>
        <v>Spain - HCP Survey Email - June 2025</v>
      </c>
      <c r="C4668" s="3" t="str">
        <f>HYPERLINK("https://otsuka-europe-crm.veevavault.com/ui/#object/sent_email__v/VBLZ025E82GN19C", "SE-000271810")</f>
        <v>SE-000271810</v>
      </c>
      <c r="D4668" s="1" t="s">
        <v>0</v>
      </c>
      <c r="E4668" s="2">
        <v>0</v>
      </c>
      <c r="F4668" s="2">
        <v>0</v>
      </c>
      <c r="G4668" s="2">
        <v>0</v>
      </c>
      <c r="H4668" s="1" t="s">
        <v>0</v>
      </c>
      <c r="I4668" s="2">
        <v>0</v>
      </c>
      <c r="J4668" s="1">
        <v>45915.378877314812</v>
      </c>
    </row>
    <row r="4669" spans="1:10" x14ac:dyDescent="0.2">
      <c r="A4669" s="4" t="s">
        <v>1</v>
      </c>
      <c r="B4669" s="3" t="str">
        <f>HYPERLINK("https://otsuka-europe-crm.veevavault.com/ui/#object/approved_document__v/V5OZ025E82TFUPI", "Spain - HCP Survey Email - June 2025")</f>
        <v>Spain - HCP Survey Email - June 2025</v>
      </c>
      <c r="C4669" s="3" t="str">
        <f>HYPERLINK("https://otsuka-europe-crm.veevavault.com/ui/#object/sent_email__v/VBLZ025E82GN19D", "SE-000271811")</f>
        <v>SE-000271811</v>
      </c>
      <c r="D4669" s="1" t="s">
        <v>0</v>
      </c>
      <c r="E4669" s="2">
        <v>0</v>
      </c>
      <c r="F4669" s="2">
        <v>0</v>
      </c>
      <c r="G4669" s="2">
        <v>0</v>
      </c>
      <c r="H4669" s="1" t="s">
        <v>0</v>
      </c>
      <c r="I4669" s="2">
        <v>0</v>
      </c>
      <c r="J4669" s="1">
        <v>45915.378564814811</v>
      </c>
    </row>
    <row r="4670" spans="1:10" x14ac:dyDescent="0.2">
      <c r="A4670" s="4" t="s">
        <v>1</v>
      </c>
      <c r="B4670" s="3" t="str">
        <f>HYPERLINK("https://otsuka-europe-crm.veevavault.com/ui/#object/approved_document__v/V5OZ025E82TFUPI", "Spain - HCP Survey Email - June 2025")</f>
        <v>Spain - HCP Survey Email - June 2025</v>
      </c>
      <c r="C4670" s="3" t="str">
        <f>HYPERLINK("https://otsuka-europe-crm.veevavault.com/ui/#object/sent_email__v/VBLZ025E82GN19E", "SE-000271812")</f>
        <v>SE-000271812</v>
      </c>
      <c r="D4670" s="1" t="s">
        <v>0</v>
      </c>
      <c r="E4670" s="2">
        <v>0</v>
      </c>
      <c r="F4670" s="2">
        <v>0</v>
      </c>
      <c r="G4670" s="2">
        <v>0</v>
      </c>
      <c r="H4670" s="1" t="s">
        <v>0</v>
      </c>
      <c r="I4670" s="2">
        <v>0</v>
      </c>
      <c r="J4670" s="1">
        <v>45915.379907407405</v>
      </c>
    </row>
    <row r="4671" spans="1:10" x14ac:dyDescent="0.2">
      <c r="A4671" s="4" t="s">
        <v>1</v>
      </c>
      <c r="B4671" s="3" t="str">
        <f>HYPERLINK("https://otsuka-europe-crm.veevavault.com/ui/#object/approved_document__v/V5OZ025E82TFUPI", "Spain - HCP Survey Email - June 2025")</f>
        <v>Spain - HCP Survey Email - June 2025</v>
      </c>
      <c r="C4671" s="3" t="str">
        <f>HYPERLINK("https://otsuka-europe-crm.veevavault.com/ui/#object/sent_email__v/VBLZ025E82GN19F", "SE-000271813")</f>
        <v>SE-000271813</v>
      </c>
      <c r="D4671" s="1">
        <v>45940.457094907404</v>
      </c>
      <c r="E4671" s="2">
        <v>1</v>
      </c>
      <c r="F4671" s="2">
        <v>3</v>
      </c>
      <c r="G4671" s="2">
        <v>0</v>
      </c>
      <c r="H4671" s="1" t="s">
        <v>0</v>
      </c>
      <c r="I4671" s="2">
        <v>0</v>
      </c>
      <c r="J4671" s="1">
        <v>45915.377754629626</v>
      </c>
    </row>
    <row r="4672" spans="1:10" x14ac:dyDescent="0.2">
      <c r="A4672" s="4" t="s">
        <v>1</v>
      </c>
      <c r="B4672" s="3" t="str">
        <f>HYPERLINK("https://otsuka-europe-crm.veevavault.com/ui/#object/approved_document__v/V5OZ025E82TFUPI", "Spain - HCP Survey Email - June 2025")</f>
        <v>Spain - HCP Survey Email - June 2025</v>
      </c>
      <c r="C4672" s="3" t="str">
        <f>HYPERLINK("https://otsuka-europe-crm.veevavault.com/ui/#object/sent_email__v/VBLZ025E82GN19G", "SE-000271814")</f>
        <v>SE-000271814</v>
      </c>
      <c r="D4672" s="1">
        <v>45934.703032407408</v>
      </c>
      <c r="E4672" s="2">
        <v>1</v>
      </c>
      <c r="F4672" s="2">
        <v>2</v>
      </c>
      <c r="G4672" s="2">
        <v>0</v>
      </c>
      <c r="H4672" s="1" t="s">
        <v>0</v>
      </c>
      <c r="I4672" s="2">
        <v>0</v>
      </c>
      <c r="J4672" s="1">
        <v>45915.378819444442</v>
      </c>
    </row>
    <row r="4673" spans="1:10" x14ac:dyDescent="0.2">
      <c r="A4673" s="4" t="s">
        <v>1</v>
      </c>
      <c r="B4673" s="3" t="str">
        <f>HYPERLINK("https://otsuka-europe-crm.veevavault.com/ui/#object/approved_document__v/V5OZ025E82TFUPI", "Spain - HCP Survey Email - June 2025")</f>
        <v>Spain - HCP Survey Email - June 2025</v>
      </c>
      <c r="C4673" s="3" t="str">
        <f>HYPERLINK("https://otsuka-europe-crm.veevavault.com/ui/#object/sent_email__v/VBLZ025E82GN19H", "SE-000271815")</f>
        <v>SE-000271815</v>
      </c>
      <c r="D4673" s="1" t="s">
        <v>0</v>
      </c>
      <c r="E4673" s="2">
        <v>0</v>
      </c>
      <c r="F4673" s="2">
        <v>0</v>
      </c>
      <c r="G4673" s="2">
        <v>0</v>
      </c>
      <c r="H4673" s="1" t="s">
        <v>0</v>
      </c>
      <c r="I4673" s="2">
        <v>0</v>
      </c>
      <c r="J4673" s="1">
        <v>45915.378553240742</v>
      </c>
    </row>
    <row r="4674" spans="1:10" x14ac:dyDescent="0.2">
      <c r="A4674" s="4" t="s">
        <v>1</v>
      </c>
      <c r="B4674" s="3" t="str">
        <f>HYPERLINK("https://otsuka-europe-crm.veevavault.com/ui/#object/approved_document__v/V5OZ025E82TFUPI", "Spain - HCP Survey Email - June 2025")</f>
        <v>Spain - HCP Survey Email - June 2025</v>
      </c>
      <c r="C4674" s="3" t="str">
        <f>HYPERLINK("https://otsuka-europe-crm.veevavault.com/ui/#object/sent_email__v/VBLZ025E82GN19I", "SE-000271816")</f>
        <v>SE-000271816</v>
      </c>
      <c r="D4674" s="1">
        <v>46065.455277777779</v>
      </c>
      <c r="E4674" s="2">
        <v>1</v>
      </c>
      <c r="F4674" s="2">
        <v>6</v>
      </c>
      <c r="G4674" s="2">
        <v>1</v>
      </c>
      <c r="H4674" s="1">
        <v>45915.58866898148</v>
      </c>
      <c r="I4674" s="2">
        <v>1</v>
      </c>
      <c r="J4674" s="1">
        <v>45915.379861111112</v>
      </c>
    </row>
    <row r="4675" spans="1:10" x14ac:dyDescent="0.2">
      <c r="A4675" s="4" t="s">
        <v>1</v>
      </c>
      <c r="B4675" s="3" t="str">
        <f>HYPERLINK("https://otsuka-europe-crm.veevavault.com/ui/#object/approved_document__v/V5OZ025E82TFUPI", "Spain - HCP Survey Email - June 2025")</f>
        <v>Spain - HCP Survey Email - June 2025</v>
      </c>
      <c r="C4675" s="3" t="str">
        <f>HYPERLINK("https://otsuka-europe-crm.veevavault.com/ui/#object/sent_email__v/VBLZ025E82GN19J", "SE-000271817")</f>
        <v>SE-000271817</v>
      </c>
      <c r="D4675" s="1">
        <v>45915.407939814817</v>
      </c>
      <c r="E4675" s="2">
        <v>1</v>
      </c>
      <c r="F4675" s="2">
        <v>1</v>
      </c>
      <c r="G4675" s="2">
        <v>1</v>
      </c>
      <c r="H4675" s="1">
        <v>45915.408854166664</v>
      </c>
      <c r="I4675" s="2">
        <v>2</v>
      </c>
      <c r="J4675" s="1">
        <v>45915.377754629626</v>
      </c>
    </row>
    <row r="4676" spans="1:10" x14ac:dyDescent="0.2">
      <c r="A4676" s="4" t="s">
        <v>1</v>
      </c>
      <c r="B4676" s="3" t="str">
        <f>HYPERLINK("https://otsuka-europe-crm.veevavault.com/ui/#object/approved_document__v/V5OZ025E82TFUPI", "Spain - HCP Survey Email - June 2025")</f>
        <v>Spain - HCP Survey Email - June 2025</v>
      </c>
      <c r="C4676" s="3" t="str">
        <f>HYPERLINK("https://otsuka-europe-crm.veevavault.com/ui/#object/sent_email__v/VBLZ025E82GN19K", "SE-000271818")</f>
        <v>SE-000271818</v>
      </c>
      <c r="D4676" s="1">
        <v>45963.762164351851</v>
      </c>
      <c r="E4676" s="2">
        <v>1</v>
      </c>
      <c r="F4676" s="2">
        <v>4</v>
      </c>
      <c r="G4676" s="2">
        <v>1</v>
      </c>
      <c r="H4676" s="1">
        <v>45916.625462962962</v>
      </c>
      <c r="I4676" s="2">
        <v>3</v>
      </c>
      <c r="J4676" s="1">
        <v>45915.377592592595</v>
      </c>
    </row>
    <row r="4677" spans="1:10" x14ac:dyDescent="0.2">
      <c r="A4677" s="4" t="s">
        <v>1</v>
      </c>
      <c r="B4677" s="3" t="str">
        <f>HYPERLINK("https://otsuka-europe-crm.veevavault.com/ui/#object/approved_document__v/V5OZ025E82TFUPI", "Spain - HCP Survey Email - June 2025")</f>
        <v>Spain - HCP Survey Email - June 2025</v>
      </c>
      <c r="C4677" s="3" t="str">
        <f>HYPERLINK("https://otsuka-europe-crm.veevavault.com/ui/#object/sent_email__v/VBLZ025E82GN19L", "SE-000271819")</f>
        <v>SE-000271819</v>
      </c>
      <c r="D4677" s="1">
        <v>45915.959814814814</v>
      </c>
      <c r="E4677" s="2">
        <v>1</v>
      </c>
      <c r="F4677" s="2">
        <v>1</v>
      </c>
      <c r="G4677" s="2">
        <v>0</v>
      </c>
      <c r="H4677" s="1" t="s">
        <v>0</v>
      </c>
      <c r="I4677" s="2">
        <v>0</v>
      </c>
      <c r="J4677" s="1">
        <v>45915.378020833334</v>
      </c>
    </row>
    <row r="4678" spans="1:10" x14ac:dyDescent="0.2">
      <c r="A4678" s="4" t="s">
        <v>1</v>
      </c>
      <c r="B4678" s="3" t="str">
        <f>HYPERLINK("https://otsuka-europe-crm.veevavault.com/ui/#object/approved_document__v/V5OZ025E82TFUPI", "Spain - HCP Survey Email - June 2025")</f>
        <v>Spain - HCP Survey Email - June 2025</v>
      </c>
      <c r="C4678" s="3" t="str">
        <f>HYPERLINK("https://otsuka-europe-crm.veevavault.com/ui/#object/sent_email__v/VBLZ025E82GN19M", "SE-000271820")</f>
        <v>SE-000271820</v>
      </c>
      <c r="D4678" s="1" t="s">
        <v>0</v>
      </c>
      <c r="E4678" s="2">
        <v>0</v>
      </c>
      <c r="F4678" s="2">
        <v>0</v>
      </c>
      <c r="G4678" s="2">
        <v>0</v>
      </c>
      <c r="H4678" s="1" t="s">
        <v>0</v>
      </c>
      <c r="I4678" s="2">
        <v>0</v>
      </c>
      <c r="J4678" s="1">
        <v>45915.379016203704</v>
      </c>
    </row>
    <row r="4679" spans="1:10" x14ac:dyDescent="0.2">
      <c r="A4679" s="4" t="s">
        <v>1</v>
      </c>
      <c r="B4679" s="3" t="str">
        <f>HYPERLINK("https://otsuka-europe-crm.veevavault.com/ui/#object/approved_document__v/V5OZ025E82TFUPI", "Spain - HCP Survey Email - June 2025")</f>
        <v>Spain - HCP Survey Email - June 2025</v>
      </c>
      <c r="C4679" s="3" t="str">
        <f>HYPERLINK("https://otsuka-europe-crm.veevavault.com/ui/#object/sent_email__v/VBLZ025E82GN19N", "SE-000271821")</f>
        <v>SE-000271821</v>
      </c>
      <c r="D4679" s="1" t="s">
        <v>0</v>
      </c>
      <c r="E4679" s="2">
        <v>0</v>
      </c>
      <c r="F4679" s="2">
        <v>0</v>
      </c>
      <c r="G4679" s="2">
        <v>0</v>
      </c>
      <c r="H4679" s="1" t="s">
        <v>0</v>
      </c>
      <c r="I4679" s="2">
        <v>0</v>
      </c>
      <c r="J4679" s="1">
        <v>45915.379525462966</v>
      </c>
    </row>
    <row r="4680" spans="1:10" x14ac:dyDescent="0.2">
      <c r="A4680" s="4" t="s">
        <v>1</v>
      </c>
      <c r="B4680" s="3" t="str">
        <f>HYPERLINK("https://otsuka-europe-crm.veevavault.com/ui/#object/approved_document__v/V5OZ025E82TFUPI", "Spain - HCP Survey Email - June 2025")</f>
        <v>Spain - HCP Survey Email - June 2025</v>
      </c>
      <c r="C4680" s="3" t="str">
        <f>HYPERLINK("https://otsuka-europe-crm.veevavault.com/ui/#object/sent_email__v/VBLZ025E82GN19P", "SE-000271823")</f>
        <v>SE-000271823</v>
      </c>
      <c r="D4680" s="1" t="s">
        <v>0</v>
      </c>
      <c r="E4680" s="2">
        <v>0</v>
      </c>
      <c r="F4680" s="2">
        <v>0</v>
      </c>
      <c r="G4680" s="2">
        <v>0</v>
      </c>
      <c r="H4680" s="1" t="s">
        <v>0</v>
      </c>
      <c r="I4680" s="2">
        <v>0</v>
      </c>
      <c r="J4680" s="1">
        <v>45915.37740740741</v>
      </c>
    </row>
    <row r="4681" spans="1:10" x14ac:dyDescent="0.2">
      <c r="A4681" s="4" t="s">
        <v>1</v>
      </c>
      <c r="B4681" s="3" t="str">
        <f>HYPERLINK("https://otsuka-europe-crm.veevavault.com/ui/#object/approved_document__v/V5OZ025E82TFUPI", "Spain - HCP Survey Email - June 2025")</f>
        <v>Spain - HCP Survey Email - June 2025</v>
      </c>
      <c r="C4681" s="3" t="str">
        <f>HYPERLINK("https://otsuka-europe-crm.veevavault.com/ui/#object/sent_email__v/VBLZ025E82GN19Q", "SE-000271824")</f>
        <v>SE-000271824</v>
      </c>
      <c r="D4681" s="1" t="s">
        <v>0</v>
      </c>
      <c r="E4681" s="2">
        <v>0</v>
      </c>
      <c r="F4681" s="2">
        <v>0</v>
      </c>
      <c r="G4681" s="2">
        <v>0</v>
      </c>
      <c r="H4681" s="1" t="s">
        <v>0</v>
      </c>
      <c r="I4681" s="2">
        <v>0</v>
      </c>
      <c r="J4681" s="1">
        <v>45915.378344907411</v>
      </c>
    </row>
    <row r="4682" spans="1:10" x14ac:dyDescent="0.2">
      <c r="A4682" s="4" t="s">
        <v>1</v>
      </c>
      <c r="B4682" s="3" t="str">
        <f>HYPERLINK("https://otsuka-europe-crm.veevavault.com/ui/#object/approved_document__v/V5OZ025E82TFUPI", "Spain - HCP Survey Email - June 2025")</f>
        <v>Spain - HCP Survey Email - June 2025</v>
      </c>
      <c r="C4682" s="3" t="str">
        <f>HYPERLINK("https://otsuka-europe-crm.veevavault.com/ui/#object/sent_email__v/VBLZ025E82GN19R", "SE-000271825")</f>
        <v>SE-000271825</v>
      </c>
      <c r="D4682" s="1">
        <v>45923.37667824074</v>
      </c>
      <c r="E4682" s="2">
        <v>1</v>
      </c>
      <c r="F4682" s="2">
        <v>1</v>
      </c>
      <c r="G4682" s="2">
        <v>0</v>
      </c>
      <c r="H4682" s="1" t="s">
        <v>0</v>
      </c>
      <c r="I4682" s="2">
        <v>0</v>
      </c>
      <c r="J4682" s="1">
        <v>45915.378993055558</v>
      </c>
    </row>
    <row r="4683" spans="1:10" x14ac:dyDescent="0.2">
      <c r="A4683" s="4" t="s">
        <v>1</v>
      </c>
      <c r="B4683" s="3" t="str">
        <f>HYPERLINK("https://otsuka-europe-crm.veevavault.com/ui/#object/approved_document__v/V5OZ025E82TFUPI", "Spain - HCP Survey Email - June 2025")</f>
        <v>Spain - HCP Survey Email - June 2025</v>
      </c>
      <c r="C4683" s="3" t="str">
        <f>HYPERLINK("https://otsuka-europe-crm.veevavault.com/ui/#object/sent_email__v/VBLZ025E82GN19S", "SE-000271826")</f>
        <v>SE-000271826</v>
      </c>
      <c r="D4683" s="1">
        <v>45916.960150462961</v>
      </c>
      <c r="E4683" s="2">
        <v>1</v>
      </c>
      <c r="F4683" s="2">
        <v>1</v>
      </c>
      <c r="G4683" s="2">
        <v>0</v>
      </c>
      <c r="H4683" s="1" t="s">
        <v>0</v>
      </c>
      <c r="I4683" s="2">
        <v>0</v>
      </c>
      <c r="J4683" s="1">
        <v>45915.378622685188</v>
      </c>
    </row>
    <row r="4684" spans="1:10" x14ac:dyDescent="0.2">
      <c r="A4684" s="4" t="s">
        <v>1</v>
      </c>
      <c r="B4684" s="3" t="str">
        <f>HYPERLINK("https://otsuka-europe-crm.veevavault.com/ui/#object/approved_document__v/V5OZ025E82TFUPI", "Spain - HCP Survey Email - June 2025")</f>
        <v>Spain - HCP Survey Email - June 2025</v>
      </c>
      <c r="C4684" s="3" t="str">
        <f>HYPERLINK("https://otsuka-europe-crm.veevavault.com/ui/#object/sent_email__v/VBLZ025E82GN19T", "SE-000271827")</f>
        <v>SE-000271827</v>
      </c>
      <c r="D4684" s="1" t="s">
        <v>0</v>
      </c>
      <c r="E4684" s="2">
        <v>0</v>
      </c>
      <c r="F4684" s="2">
        <v>0</v>
      </c>
      <c r="G4684" s="2">
        <v>0</v>
      </c>
      <c r="H4684" s="1" t="s">
        <v>0</v>
      </c>
      <c r="I4684" s="2">
        <v>0</v>
      </c>
      <c r="J4684" s="1">
        <v>45915.379988425928</v>
      </c>
    </row>
    <row r="4685" spans="1:10" x14ac:dyDescent="0.2">
      <c r="A4685" s="4" t="s">
        <v>1</v>
      </c>
      <c r="B4685" s="3" t="str">
        <f>HYPERLINK("https://otsuka-europe-crm.veevavault.com/ui/#object/approved_document__v/V5OZ025E82TFUPI", "Spain - HCP Survey Email - June 2025")</f>
        <v>Spain - HCP Survey Email - June 2025</v>
      </c>
      <c r="C4685" s="3" t="str">
        <f>HYPERLINK("https://otsuka-europe-crm.veevavault.com/ui/#object/sent_email__v/VBLZ025E82GN19U", "SE-000271828")</f>
        <v>SE-000271828</v>
      </c>
      <c r="D4685" s="1" t="s">
        <v>0</v>
      </c>
      <c r="E4685" s="2">
        <v>0</v>
      </c>
      <c r="F4685" s="2">
        <v>0</v>
      </c>
      <c r="G4685" s="2">
        <v>0</v>
      </c>
      <c r="H4685" s="1" t="s">
        <v>0</v>
      </c>
      <c r="I4685" s="2">
        <v>0</v>
      </c>
      <c r="J4685" s="1">
        <v>45915.37771990741</v>
      </c>
    </row>
    <row r="4686" spans="1:10" x14ac:dyDescent="0.2">
      <c r="A4686" s="4" t="s">
        <v>1</v>
      </c>
      <c r="B4686" s="3" t="str">
        <f>HYPERLINK("https://otsuka-europe-crm.veevavault.com/ui/#object/approved_document__v/V5OZ025E82TFUPI", "Spain - HCP Survey Email - June 2025")</f>
        <v>Spain - HCP Survey Email - June 2025</v>
      </c>
      <c r="C4686" s="3" t="str">
        <f>HYPERLINK("https://otsuka-europe-crm.veevavault.com/ui/#object/sent_email__v/VBLZ025E82GN19V", "SE-000271829")</f>
        <v>SE-000271829</v>
      </c>
      <c r="D4686" s="1" t="s">
        <v>0</v>
      </c>
      <c r="E4686" s="2">
        <v>0</v>
      </c>
      <c r="F4686" s="2">
        <v>0</v>
      </c>
      <c r="G4686" s="2">
        <v>0</v>
      </c>
      <c r="H4686" s="1" t="s">
        <v>0</v>
      </c>
      <c r="I4686" s="2">
        <v>0</v>
      </c>
      <c r="J4686" s="1">
        <v>45915.377650462964</v>
      </c>
    </row>
    <row r="4687" spans="1:10" x14ac:dyDescent="0.2">
      <c r="A4687" s="4" t="s">
        <v>1</v>
      </c>
      <c r="B4687" s="3" t="str">
        <f>HYPERLINK("https://otsuka-europe-crm.veevavault.com/ui/#object/approved_document__v/V5OZ025E82TFUPI", "Spain - HCP Survey Email - June 2025")</f>
        <v>Spain - HCP Survey Email - June 2025</v>
      </c>
      <c r="C4687" s="3" t="str">
        <f>HYPERLINK("https://otsuka-europe-crm.veevavault.com/ui/#object/sent_email__v/VBLZ025E82GN19W", "SE-000271830")</f>
        <v>SE-000271830</v>
      </c>
      <c r="D4687" s="1">
        <v>45918.949502314812</v>
      </c>
      <c r="E4687" s="2">
        <v>1</v>
      </c>
      <c r="F4687" s="2">
        <v>2</v>
      </c>
      <c r="G4687" s="2">
        <v>1</v>
      </c>
      <c r="H4687" s="1">
        <v>45936.408888888887</v>
      </c>
      <c r="I4687" s="2">
        <v>2</v>
      </c>
      <c r="J4687" s="1">
        <v>45915.378136574072</v>
      </c>
    </row>
    <row r="4688" spans="1:10" x14ac:dyDescent="0.2">
      <c r="A4688" s="4" t="s">
        <v>1</v>
      </c>
      <c r="B4688" s="3" t="str">
        <f>HYPERLINK("https://otsuka-europe-crm.veevavault.com/ui/#object/approved_document__v/V5OZ025E82TFUPI", "Spain - HCP Survey Email - June 2025")</f>
        <v>Spain - HCP Survey Email - June 2025</v>
      </c>
      <c r="C4688" s="3" t="str">
        <f>HYPERLINK("https://otsuka-europe-crm.veevavault.com/ui/#object/sent_email__v/VBLZ025E82GN19X", "SE-000271831")</f>
        <v>SE-000271831</v>
      </c>
      <c r="D4688" s="1" t="s">
        <v>0</v>
      </c>
      <c r="E4688" s="2">
        <v>0</v>
      </c>
      <c r="F4688" s="2">
        <v>0</v>
      </c>
      <c r="G4688" s="2">
        <v>0</v>
      </c>
      <c r="H4688" s="1" t="s">
        <v>0</v>
      </c>
      <c r="I4688" s="2">
        <v>0</v>
      </c>
      <c r="J4688" s="1">
        <v>45915.37903935185</v>
      </c>
    </row>
    <row r="4689" spans="1:10" x14ac:dyDescent="0.2">
      <c r="A4689" s="4" t="s">
        <v>1</v>
      </c>
      <c r="B4689" s="3" t="str">
        <f>HYPERLINK("https://otsuka-europe-crm.veevavault.com/ui/#object/approved_document__v/V5OZ025E82TFUPI", "Spain - HCP Survey Email - June 2025")</f>
        <v>Spain - HCP Survey Email - June 2025</v>
      </c>
      <c r="C4689" s="3" t="str">
        <f>HYPERLINK("https://otsuka-europe-crm.veevavault.com/ui/#object/sent_email__v/VBLZ025E82GN19Y", "SE-000271832")</f>
        <v>SE-000271832</v>
      </c>
      <c r="D4689" s="1" t="s">
        <v>0</v>
      </c>
      <c r="E4689" s="2">
        <v>0</v>
      </c>
      <c r="F4689" s="2">
        <v>0</v>
      </c>
      <c r="G4689" s="2">
        <v>0</v>
      </c>
      <c r="H4689" s="1" t="s">
        <v>0</v>
      </c>
      <c r="I4689" s="2">
        <v>0</v>
      </c>
      <c r="J4689" s="1">
        <v>45915.379548611112</v>
      </c>
    </row>
    <row r="4690" spans="1:10" x14ac:dyDescent="0.2">
      <c r="A4690" s="4" t="s">
        <v>1</v>
      </c>
      <c r="B4690" s="3" t="str">
        <f>HYPERLINK("https://otsuka-europe-crm.veevavault.com/ui/#object/approved_document__v/V5OZ025E82TFUPI", "Spain - HCP Survey Email - June 2025")</f>
        <v>Spain - HCP Survey Email - June 2025</v>
      </c>
      <c r="C4690" s="3" t="str">
        <f>HYPERLINK("https://otsuka-europe-crm.veevavault.com/ui/#object/sent_email__v/VBLZ025E82GN19Z", "SE-000271833")</f>
        <v>SE-000271833</v>
      </c>
      <c r="D4690" s="1">
        <v>45917.507060185184</v>
      </c>
      <c r="E4690" s="2">
        <v>1</v>
      </c>
      <c r="F4690" s="2">
        <v>2</v>
      </c>
      <c r="G4690" s="2">
        <v>0</v>
      </c>
      <c r="H4690" s="1" t="s">
        <v>0</v>
      </c>
      <c r="I4690" s="2">
        <v>0</v>
      </c>
      <c r="J4690" s="1">
        <v>45915.379328703704</v>
      </c>
    </row>
    <row r="4691" spans="1:10" x14ac:dyDescent="0.2">
      <c r="A4691" s="4" t="s">
        <v>1</v>
      </c>
      <c r="B4691" s="3" t="str">
        <f>HYPERLINK("https://otsuka-europe-crm.veevavault.com/ui/#object/approved_document__v/V5OZ025E82TFUPI", "Spain - HCP Survey Email - June 2025")</f>
        <v>Spain - HCP Survey Email - June 2025</v>
      </c>
      <c r="C4691" s="3" t="str">
        <f>HYPERLINK("https://otsuka-europe-crm.veevavault.com/ui/#object/sent_email__v/VBLZ025E82GN1A0", "SE-000271834")</f>
        <v>SE-000271834</v>
      </c>
      <c r="D4691" s="1" t="s">
        <v>0</v>
      </c>
      <c r="E4691" s="2">
        <v>0</v>
      </c>
      <c r="F4691" s="2">
        <v>0</v>
      </c>
      <c r="G4691" s="2">
        <v>0</v>
      </c>
      <c r="H4691" s="1" t="s">
        <v>0</v>
      </c>
      <c r="I4691" s="2">
        <v>0</v>
      </c>
      <c r="J4691" s="1">
        <v>45915.377511574072</v>
      </c>
    </row>
    <row r="4692" spans="1:10" x14ac:dyDescent="0.2">
      <c r="A4692" s="4" t="s">
        <v>1</v>
      </c>
      <c r="B4692" s="3" t="str">
        <f>HYPERLINK("https://otsuka-europe-crm.veevavault.com/ui/#object/approved_document__v/V5OZ025E82TFUPI", "Spain - HCP Survey Email - June 2025")</f>
        <v>Spain - HCP Survey Email - June 2025</v>
      </c>
      <c r="C4692" s="3" t="str">
        <f>HYPERLINK("https://otsuka-europe-crm.veevavault.com/ui/#object/sent_email__v/VBLZ025E82GN1A1", "SE-000271835")</f>
        <v>SE-000271835</v>
      </c>
      <c r="D4692" s="1">
        <v>45915.631319444445</v>
      </c>
      <c r="E4692" s="2">
        <v>1</v>
      </c>
      <c r="F4692" s="2">
        <v>1</v>
      </c>
      <c r="G4692" s="2">
        <v>0</v>
      </c>
      <c r="H4692" s="1" t="s">
        <v>0</v>
      </c>
      <c r="I4692" s="2">
        <v>0</v>
      </c>
      <c r="J4692" s="1">
        <v>45915.378553240742</v>
      </c>
    </row>
    <row r="4693" spans="1:10" x14ac:dyDescent="0.2">
      <c r="A4693" s="4" t="s">
        <v>1</v>
      </c>
      <c r="B4693" s="3" t="str">
        <f>HYPERLINK("https://otsuka-europe-crm.veevavault.com/ui/#object/approved_document__v/V5OZ025E82TFUPI", "Spain - HCP Survey Email - June 2025")</f>
        <v>Spain - HCP Survey Email - June 2025</v>
      </c>
      <c r="C4693" s="3" t="str">
        <f>HYPERLINK("https://otsuka-europe-crm.veevavault.com/ui/#object/sent_email__v/VBLZ025E82GN1A2", "SE-000271836")</f>
        <v>SE-000271836</v>
      </c>
      <c r="D4693" s="1" t="s">
        <v>0</v>
      </c>
      <c r="E4693" s="2">
        <v>0</v>
      </c>
      <c r="F4693" s="2">
        <v>0</v>
      </c>
      <c r="G4693" s="2">
        <v>0</v>
      </c>
      <c r="H4693" s="1" t="s">
        <v>0</v>
      </c>
      <c r="I4693" s="2">
        <v>0</v>
      </c>
      <c r="J4693" s="1">
        <v>45915.378946759258</v>
      </c>
    </row>
    <row r="4694" spans="1:10" x14ac:dyDescent="0.2">
      <c r="A4694" s="4" t="s">
        <v>1</v>
      </c>
      <c r="B4694" s="3" t="str">
        <f>HYPERLINK("https://otsuka-europe-crm.veevavault.com/ui/#object/approved_document__v/V5OZ025E82TFUPI", "Spain - HCP Survey Email - June 2025")</f>
        <v>Spain - HCP Survey Email - June 2025</v>
      </c>
      <c r="C4694" s="3" t="str">
        <f>HYPERLINK("https://otsuka-europe-crm.veevavault.com/ui/#object/sent_email__v/VBLZ025E82GN1A3", "SE-000271837")</f>
        <v>SE-000271837</v>
      </c>
      <c r="D4694" s="1">
        <v>45947.714884259258</v>
      </c>
      <c r="E4694" s="2">
        <v>1</v>
      </c>
      <c r="F4694" s="2">
        <v>2</v>
      </c>
      <c r="G4694" s="2">
        <v>0</v>
      </c>
      <c r="H4694" s="1" t="s">
        <v>0</v>
      </c>
      <c r="I4694" s="2">
        <v>0</v>
      </c>
      <c r="J4694" s="1">
        <v>45915.378576388888</v>
      </c>
    </row>
    <row r="4695" spans="1:10" x14ac:dyDescent="0.2">
      <c r="A4695" s="4" t="s">
        <v>1</v>
      </c>
      <c r="B4695" s="3" t="str">
        <f>HYPERLINK("https://otsuka-europe-crm.veevavault.com/ui/#object/approved_document__v/V5OZ025E82TFUPI", "Spain - HCP Survey Email - June 2025")</f>
        <v>Spain - HCP Survey Email - June 2025</v>
      </c>
      <c r="C4695" s="3" t="str">
        <f>HYPERLINK("https://otsuka-europe-crm.veevavault.com/ui/#object/sent_email__v/VBLZ025E82GN1A4", "SE-000271838")</f>
        <v>SE-000271838</v>
      </c>
      <c r="D4695" s="1" t="s">
        <v>0</v>
      </c>
      <c r="E4695" s="2">
        <v>0</v>
      </c>
      <c r="F4695" s="2">
        <v>0</v>
      </c>
      <c r="G4695" s="2">
        <v>0</v>
      </c>
      <c r="H4695" s="1" t="s">
        <v>0</v>
      </c>
      <c r="I4695" s="2">
        <v>0</v>
      </c>
      <c r="J4695" s="1">
        <v>45915.380023148151</v>
      </c>
    </row>
    <row r="4696" spans="1:10" x14ac:dyDescent="0.2">
      <c r="A4696" s="4" t="s">
        <v>1</v>
      </c>
      <c r="B4696" s="3" t="str">
        <f>HYPERLINK("https://otsuka-europe-crm.veevavault.com/ui/#object/approved_document__v/V5OZ025E82TFUPI", "Spain - HCP Survey Email - June 2025")</f>
        <v>Spain - HCP Survey Email - June 2025</v>
      </c>
      <c r="C4696" s="3" t="str">
        <f>HYPERLINK("https://otsuka-europe-crm.veevavault.com/ui/#object/sent_email__v/VBLZ025E82GN1A5", "SE-000271839")</f>
        <v>SE-000271839</v>
      </c>
      <c r="D4696" s="1">
        <v>45915.837627314817</v>
      </c>
      <c r="E4696" s="2">
        <v>1</v>
      </c>
      <c r="F4696" s="2">
        <v>1</v>
      </c>
      <c r="G4696" s="2">
        <v>0</v>
      </c>
      <c r="H4696" s="1" t="s">
        <v>0</v>
      </c>
      <c r="I4696" s="2">
        <v>0</v>
      </c>
      <c r="J4696" s="1">
        <v>45915.37777777778</v>
      </c>
    </row>
    <row r="4697" spans="1:10" x14ac:dyDescent="0.2">
      <c r="A4697" s="4" t="s">
        <v>1</v>
      </c>
      <c r="B4697" s="3" t="str">
        <f>HYPERLINK("https://otsuka-europe-crm.veevavault.com/ui/#object/approved_document__v/V5OZ025E82TFUPI", "Spain - HCP Survey Email - June 2025")</f>
        <v>Spain - HCP Survey Email - June 2025</v>
      </c>
      <c r="C4697" s="3" t="str">
        <f>HYPERLINK("https://otsuka-europe-crm.veevavault.com/ui/#object/sent_email__v/VBLZ025E82GN1A6", "SE-000271840")</f>
        <v>SE-000271840</v>
      </c>
      <c r="D4697" s="1" t="s">
        <v>0</v>
      </c>
      <c r="E4697" s="2">
        <v>0</v>
      </c>
      <c r="F4697" s="2">
        <v>0</v>
      </c>
      <c r="G4697" s="2">
        <v>0</v>
      </c>
      <c r="H4697" s="1" t="s">
        <v>0</v>
      </c>
      <c r="I4697" s="2">
        <v>0</v>
      </c>
      <c r="J4697" s="1">
        <v>45915.378437500003</v>
      </c>
    </row>
    <row r="4698" spans="1:10" x14ac:dyDescent="0.2">
      <c r="A4698" s="4" t="s">
        <v>1</v>
      </c>
      <c r="B4698" s="3" t="str">
        <f>HYPERLINK("https://otsuka-europe-crm.veevavault.com/ui/#object/approved_document__v/V5OZ025E82TFUPI", "Spain - HCP Survey Email - June 2025")</f>
        <v>Spain - HCP Survey Email - June 2025</v>
      </c>
      <c r="C4698" s="3" t="str">
        <f>HYPERLINK("https://otsuka-europe-crm.veevavault.com/ui/#object/sent_email__v/VBLZ025E82GN1A7", "SE-000271841")</f>
        <v>SE-000271841</v>
      </c>
      <c r="D4698" s="1" t="s">
        <v>0</v>
      </c>
      <c r="E4698" s="2">
        <v>0</v>
      </c>
      <c r="F4698" s="2">
        <v>0</v>
      </c>
      <c r="G4698" s="2">
        <v>0</v>
      </c>
      <c r="H4698" s="1" t="s">
        <v>0</v>
      </c>
      <c r="I4698" s="2">
        <v>0</v>
      </c>
      <c r="J4698" s="1">
        <v>45915.378113425926</v>
      </c>
    </row>
    <row r="4699" spans="1:10" x14ac:dyDescent="0.2">
      <c r="A4699" s="4" t="s">
        <v>1</v>
      </c>
      <c r="B4699" s="3" t="str">
        <f>HYPERLINK("https://otsuka-europe-crm.veevavault.com/ui/#object/approved_document__v/V5OZ025E82TFUPI", "Spain - HCP Survey Email - June 2025")</f>
        <v>Spain - HCP Survey Email - June 2025</v>
      </c>
      <c r="C4699" s="3" t="str">
        <f>HYPERLINK("https://otsuka-europe-crm.veevavault.com/ui/#object/sent_email__v/VBLZ025E82GN1A8", "SE-000271842")</f>
        <v>SE-000271842</v>
      </c>
      <c r="D4699" s="1" t="s">
        <v>0</v>
      </c>
      <c r="E4699" s="2">
        <v>0</v>
      </c>
      <c r="F4699" s="2">
        <v>0</v>
      </c>
      <c r="G4699" s="2">
        <v>0</v>
      </c>
      <c r="H4699" s="1" t="s">
        <v>0</v>
      </c>
      <c r="I4699" s="2">
        <v>0</v>
      </c>
      <c r="J4699" s="1">
        <v>45915.378564814811</v>
      </c>
    </row>
    <row r="4700" spans="1:10" x14ac:dyDescent="0.2">
      <c r="A4700" s="4" t="s">
        <v>1</v>
      </c>
      <c r="B4700" s="3" t="str">
        <f>HYPERLINK("https://otsuka-europe-crm.veevavault.com/ui/#object/approved_document__v/V5OZ025E82TFUPI", "Spain - HCP Survey Email - June 2025")</f>
        <v>Spain - HCP Survey Email - June 2025</v>
      </c>
      <c r="C4700" s="3" t="str">
        <f>HYPERLINK("https://otsuka-europe-crm.veevavault.com/ui/#object/sent_email__v/VBLZ025E82GN1A9", "SE-000271843")</f>
        <v>SE-000271843</v>
      </c>
      <c r="D4700" s="1" t="s">
        <v>0</v>
      </c>
      <c r="E4700" s="2">
        <v>0</v>
      </c>
      <c r="F4700" s="2">
        <v>0</v>
      </c>
      <c r="G4700" s="2">
        <v>0</v>
      </c>
      <c r="H4700" s="1" t="s">
        <v>0</v>
      </c>
      <c r="I4700" s="2">
        <v>0</v>
      </c>
      <c r="J4700" s="1">
        <v>45915.379930555559</v>
      </c>
    </row>
    <row r="4701" spans="1:10" x14ac:dyDescent="0.2">
      <c r="A4701" s="4" t="s">
        <v>1</v>
      </c>
      <c r="B4701" s="3" t="str">
        <f>HYPERLINK("https://otsuka-europe-crm.veevavault.com/ui/#object/approved_document__v/V5OZ025E82TFUPI", "Spain - HCP Survey Email - June 2025")</f>
        <v>Spain - HCP Survey Email - June 2025</v>
      </c>
      <c r="C4701" s="3" t="str">
        <f>HYPERLINK("https://otsuka-europe-crm.veevavault.com/ui/#object/sent_email__v/VBLZ025E82GN1AA", "SE-000271844")</f>
        <v>SE-000271844</v>
      </c>
      <c r="D4701" s="1">
        <v>45941.936041666668</v>
      </c>
      <c r="E4701" s="2">
        <v>1</v>
      </c>
      <c r="F4701" s="2">
        <v>2</v>
      </c>
      <c r="G4701" s="2">
        <v>1</v>
      </c>
      <c r="H4701" s="1">
        <v>45915.394525462965</v>
      </c>
      <c r="I4701" s="2">
        <v>1</v>
      </c>
      <c r="J4701" s="1">
        <v>45915.377754629626</v>
      </c>
    </row>
    <row r="4702" spans="1:10" x14ac:dyDescent="0.2">
      <c r="A4702" s="4" t="s">
        <v>1</v>
      </c>
      <c r="B4702" s="3" t="str">
        <f>HYPERLINK("https://otsuka-europe-crm.veevavault.com/ui/#object/approved_document__v/V5OZ025E82TFUPI", "Spain - HCP Survey Email - June 2025")</f>
        <v>Spain - HCP Survey Email - June 2025</v>
      </c>
      <c r="C4702" s="3" t="str">
        <f>HYPERLINK("https://otsuka-europe-crm.veevavault.com/ui/#object/sent_email__v/VBLZ025E82GN1AB", "SE-000271845")</f>
        <v>SE-000271845</v>
      </c>
      <c r="D4702" s="1">
        <v>45915.422337962962</v>
      </c>
      <c r="E4702" s="2">
        <v>1</v>
      </c>
      <c r="F4702" s="2">
        <v>1</v>
      </c>
      <c r="G4702" s="2">
        <v>0</v>
      </c>
      <c r="H4702" s="1" t="s">
        <v>0</v>
      </c>
      <c r="I4702" s="2">
        <v>0</v>
      </c>
      <c r="J4702" s="1">
        <v>45915.377615740741</v>
      </c>
    </row>
    <row r="4703" spans="1:10" x14ac:dyDescent="0.2">
      <c r="A4703" s="4" t="s">
        <v>1</v>
      </c>
      <c r="B4703" s="3" t="str">
        <f>HYPERLINK("https://otsuka-europe-crm.veevavault.com/ui/#object/approved_document__v/V5OZ025E82TFUPI", "Spain - HCP Survey Email - June 2025")</f>
        <v>Spain - HCP Survey Email - June 2025</v>
      </c>
      <c r="C4703" s="3" t="str">
        <f>HYPERLINK("https://otsuka-europe-crm.veevavault.com/ui/#object/sent_email__v/VBLZ025E82GN1AC", "SE-000271846")</f>
        <v>SE-000271846</v>
      </c>
      <c r="D4703" s="1" t="s">
        <v>0</v>
      </c>
      <c r="E4703" s="2">
        <v>0</v>
      </c>
      <c r="F4703" s="2">
        <v>0</v>
      </c>
      <c r="G4703" s="2">
        <v>0</v>
      </c>
      <c r="H4703" s="1" t="s">
        <v>0</v>
      </c>
      <c r="I4703" s="2">
        <v>0</v>
      </c>
      <c r="J4703" s="1">
        <v>45915.378055555557</v>
      </c>
    </row>
    <row r="4704" spans="1:10" x14ac:dyDescent="0.2">
      <c r="A4704" s="4" t="s">
        <v>1</v>
      </c>
      <c r="B4704" s="3" t="str">
        <f>HYPERLINK("https://otsuka-europe-crm.veevavault.com/ui/#object/approved_document__v/V5OZ025E82TFUPI", "Spain - HCP Survey Email - June 2025")</f>
        <v>Spain - HCP Survey Email - June 2025</v>
      </c>
      <c r="C4704" s="3" t="str">
        <f>HYPERLINK("https://otsuka-europe-crm.veevavault.com/ui/#object/sent_email__v/VBLZ025E82GN1AD", "SE-000271847")</f>
        <v>SE-000271847</v>
      </c>
      <c r="D4704" s="1" t="s">
        <v>0</v>
      </c>
      <c r="E4704" s="2">
        <v>0</v>
      </c>
      <c r="F4704" s="2">
        <v>0</v>
      </c>
      <c r="G4704" s="2">
        <v>0</v>
      </c>
      <c r="H4704" s="1" t="s">
        <v>0</v>
      </c>
      <c r="I4704" s="2">
        <v>0</v>
      </c>
      <c r="J4704" s="1">
        <v>45915.378946759258</v>
      </c>
    </row>
    <row r="4705" spans="1:10" x14ac:dyDescent="0.2">
      <c r="A4705" s="4" t="s">
        <v>1</v>
      </c>
      <c r="B4705" s="3" t="str">
        <f>HYPERLINK("https://otsuka-europe-crm.veevavault.com/ui/#object/approved_document__v/V5OZ025E82TFUPI", "Spain - HCP Survey Email - June 2025")</f>
        <v>Spain - HCP Survey Email - June 2025</v>
      </c>
      <c r="C4705" s="3" t="str">
        <f>HYPERLINK("https://otsuka-europe-crm.veevavault.com/ui/#object/sent_email__v/VBLZ025E82GN1AE", "SE-000271848")</f>
        <v>SE-000271848</v>
      </c>
      <c r="D4705" s="1" t="s">
        <v>0</v>
      </c>
      <c r="E4705" s="2">
        <v>0</v>
      </c>
      <c r="F4705" s="2">
        <v>0</v>
      </c>
      <c r="G4705" s="2">
        <v>0</v>
      </c>
      <c r="H4705" s="1" t="s">
        <v>0</v>
      </c>
      <c r="I4705" s="2">
        <v>0</v>
      </c>
      <c r="J4705" s="1">
        <v>45915.379560185182</v>
      </c>
    </row>
    <row r="4706" spans="1:10" x14ac:dyDescent="0.2">
      <c r="A4706" s="4" t="s">
        <v>1</v>
      </c>
      <c r="B4706" s="3" t="str">
        <f>HYPERLINK("https://otsuka-europe-crm.veevavault.com/ui/#object/approved_document__v/V5OZ025E82TFUPI", "Spain - HCP Survey Email - June 2025")</f>
        <v>Spain - HCP Survey Email - June 2025</v>
      </c>
      <c r="C4706" s="3" t="str">
        <f>HYPERLINK("https://otsuka-europe-crm.veevavault.com/ui/#object/sent_email__v/VBLZ025E82GN1AF", "SE-000271849")</f>
        <v>SE-000271849</v>
      </c>
      <c r="D4706" s="1" t="s">
        <v>0</v>
      </c>
      <c r="E4706" s="2">
        <v>0</v>
      </c>
      <c r="F4706" s="2">
        <v>0</v>
      </c>
      <c r="G4706" s="2">
        <v>0</v>
      </c>
      <c r="H4706" s="1" t="s">
        <v>0</v>
      </c>
      <c r="I4706" s="2">
        <v>0</v>
      </c>
      <c r="J4706" s="1">
        <v>45915.379317129627</v>
      </c>
    </row>
    <row r="4707" spans="1:10" x14ac:dyDescent="0.2">
      <c r="A4707" s="4" t="s">
        <v>1</v>
      </c>
      <c r="B4707" s="3" t="str">
        <f>HYPERLINK("https://otsuka-europe-crm.veevavault.com/ui/#object/approved_document__v/V5OZ025E82TFUPI", "Spain - HCP Survey Email - June 2025")</f>
        <v>Spain - HCP Survey Email - June 2025</v>
      </c>
      <c r="C4707" s="3" t="str">
        <f>HYPERLINK("https://otsuka-europe-crm.veevavault.com/ui/#object/sent_email__v/VBLZ025E82GN1AG", "SE-000271850")</f>
        <v>SE-000271850</v>
      </c>
      <c r="D4707" s="1" t="s">
        <v>0</v>
      </c>
      <c r="E4707" s="2">
        <v>0</v>
      </c>
      <c r="F4707" s="2">
        <v>0</v>
      </c>
      <c r="G4707" s="2">
        <v>0</v>
      </c>
      <c r="H4707" s="1" t="s">
        <v>0</v>
      </c>
      <c r="I4707" s="2">
        <v>0</v>
      </c>
      <c r="J4707" s="1">
        <v>45915.377453703702</v>
      </c>
    </row>
    <row r="4708" spans="1:10" x14ac:dyDescent="0.2">
      <c r="A4708" s="4" t="s">
        <v>1</v>
      </c>
      <c r="B4708" s="3" t="str">
        <f>HYPERLINK("https://otsuka-europe-crm.veevavault.com/ui/#object/approved_document__v/V5OZ025E82TFUPI", "Spain - HCP Survey Email - June 2025")</f>
        <v>Spain - HCP Survey Email - June 2025</v>
      </c>
      <c r="C4708" s="3" t="str">
        <f>HYPERLINK("https://otsuka-europe-crm.veevavault.com/ui/#object/sent_email__v/VBLZ025E82GN1AH", "SE-000271851")</f>
        <v>SE-000271851</v>
      </c>
      <c r="D4708" s="1">
        <v>45920.787164351852</v>
      </c>
      <c r="E4708" s="2">
        <v>1</v>
      </c>
      <c r="F4708" s="2">
        <v>2</v>
      </c>
      <c r="G4708" s="2">
        <v>0</v>
      </c>
      <c r="H4708" s="1" t="s">
        <v>0</v>
      </c>
      <c r="I4708" s="2">
        <v>0</v>
      </c>
      <c r="J4708" s="1">
        <v>45915.378437500003</v>
      </c>
    </row>
    <row r="4709" spans="1:10" x14ac:dyDescent="0.2">
      <c r="A4709" s="4" t="s">
        <v>1</v>
      </c>
      <c r="B4709" s="3" t="str">
        <f>HYPERLINK("https://otsuka-europe-crm.veevavault.com/ui/#object/approved_document__v/V5OZ025E82TFUPI", "Spain - HCP Survey Email - June 2025")</f>
        <v>Spain - HCP Survey Email - June 2025</v>
      </c>
      <c r="C4709" s="3" t="str">
        <f>HYPERLINK("https://otsuka-europe-crm.veevavault.com/ui/#object/sent_email__v/VBLZ025E82GN1AI", "SE-000271852")</f>
        <v>SE-000271852</v>
      </c>
      <c r="D4709" s="1" t="s">
        <v>0</v>
      </c>
      <c r="E4709" s="2">
        <v>0</v>
      </c>
      <c r="F4709" s="2">
        <v>0</v>
      </c>
      <c r="G4709" s="2">
        <v>0</v>
      </c>
      <c r="H4709" s="1" t="s">
        <v>0</v>
      </c>
      <c r="I4709" s="2">
        <v>0</v>
      </c>
      <c r="J4709" s="1">
        <v>45915.378113425926</v>
      </c>
    </row>
    <row r="4710" spans="1:10" x14ac:dyDescent="0.2">
      <c r="A4710" s="4" t="s">
        <v>1</v>
      </c>
      <c r="B4710" s="3" t="str">
        <f>HYPERLINK("https://otsuka-europe-crm.veevavault.com/ui/#object/approved_document__v/V5OZ025E82TFUPI", "Spain - HCP Survey Email - June 2025")</f>
        <v>Spain - HCP Survey Email - June 2025</v>
      </c>
      <c r="C4710" s="3" t="str">
        <f>HYPERLINK("https://otsuka-europe-crm.veevavault.com/ui/#object/sent_email__v/VBLZ025E82GN1AJ", "SE-000271853")</f>
        <v>SE-000271853</v>
      </c>
      <c r="D4710" s="1" t="s">
        <v>0</v>
      </c>
      <c r="E4710" s="2">
        <v>0</v>
      </c>
      <c r="F4710" s="2">
        <v>0</v>
      </c>
      <c r="G4710" s="2">
        <v>0</v>
      </c>
      <c r="H4710" s="1" t="s">
        <v>0</v>
      </c>
      <c r="I4710" s="2">
        <v>0</v>
      </c>
      <c r="J4710" s="1">
        <v>45915.378599537034</v>
      </c>
    </row>
    <row r="4711" spans="1:10" x14ac:dyDescent="0.2">
      <c r="A4711" s="4" t="s">
        <v>1</v>
      </c>
      <c r="B4711" s="3" t="str">
        <f>HYPERLINK("https://otsuka-europe-crm.veevavault.com/ui/#object/approved_document__v/V5OZ025E82TFUPI", "Spain - HCP Survey Email - June 2025")</f>
        <v>Spain - HCP Survey Email - June 2025</v>
      </c>
      <c r="C4711" s="3" t="str">
        <f>HYPERLINK("https://otsuka-europe-crm.veevavault.com/ui/#object/sent_email__v/VBLZ025E82GN1AK", "SE-000271854")</f>
        <v>SE-000271854</v>
      </c>
      <c r="D4711" s="1" t="s">
        <v>0</v>
      </c>
      <c r="E4711" s="2">
        <v>0</v>
      </c>
      <c r="F4711" s="2">
        <v>0</v>
      </c>
      <c r="G4711" s="2">
        <v>0</v>
      </c>
      <c r="H4711" s="1" t="s">
        <v>0</v>
      </c>
      <c r="I4711" s="2">
        <v>0</v>
      </c>
      <c r="J4711" s="1">
        <v>45915.379884259259</v>
      </c>
    </row>
    <row r="4712" spans="1:10" x14ac:dyDescent="0.2">
      <c r="A4712" s="4" t="s">
        <v>1</v>
      </c>
      <c r="B4712" s="3" t="str">
        <f>HYPERLINK("https://otsuka-europe-crm.veevavault.com/ui/#object/approved_document__v/V5OZ025E82TFUPI", "Spain - HCP Survey Email - June 2025")</f>
        <v>Spain - HCP Survey Email - June 2025</v>
      </c>
      <c r="C4712" s="3" t="str">
        <f>HYPERLINK("https://otsuka-europe-crm.veevavault.com/ui/#object/sent_email__v/VBLZ025E82GN1AL", "SE-000271855")</f>
        <v>SE-000271855</v>
      </c>
      <c r="D4712" s="1" t="s">
        <v>0</v>
      </c>
      <c r="E4712" s="2">
        <v>0</v>
      </c>
      <c r="F4712" s="2">
        <v>0</v>
      </c>
      <c r="G4712" s="2">
        <v>0</v>
      </c>
      <c r="H4712" s="1" t="s">
        <v>0</v>
      </c>
      <c r="I4712" s="2">
        <v>0</v>
      </c>
      <c r="J4712" s="1">
        <v>45915.377743055556</v>
      </c>
    </row>
    <row r="4713" spans="1:10" x14ac:dyDescent="0.2">
      <c r="A4713" s="4" t="s">
        <v>1</v>
      </c>
      <c r="B4713" s="3" t="str">
        <f>HYPERLINK("https://otsuka-europe-crm.veevavault.com/ui/#object/approved_document__v/V5OZ025E82TFUPI", "Spain - HCP Survey Email - June 2025")</f>
        <v>Spain - HCP Survey Email - June 2025</v>
      </c>
      <c r="C4713" s="3" t="str">
        <f>HYPERLINK("https://otsuka-europe-crm.veevavault.com/ui/#object/sent_email__v/VBLZ025E82GN1AM", "SE-000271856")</f>
        <v>SE-000271856</v>
      </c>
      <c r="D4713" s="1">
        <v>45919.219351851854</v>
      </c>
      <c r="E4713" s="2">
        <v>1</v>
      </c>
      <c r="F4713" s="2">
        <v>2</v>
      </c>
      <c r="G4713" s="2">
        <v>1</v>
      </c>
      <c r="H4713" s="1">
        <v>45915.578483796293</v>
      </c>
      <c r="I4713" s="2">
        <v>1</v>
      </c>
      <c r="J4713" s="1">
        <v>45915.377615740741</v>
      </c>
    </row>
    <row r="4714" spans="1:10" x14ac:dyDescent="0.2">
      <c r="A4714" s="4" t="s">
        <v>1</v>
      </c>
      <c r="B4714" s="3" t="str">
        <f>HYPERLINK("https://otsuka-europe-crm.veevavault.com/ui/#object/approved_document__v/V5OZ025E82TFUPI", "Spain - HCP Survey Email - June 2025")</f>
        <v>Spain - HCP Survey Email - June 2025</v>
      </c>
      <c r="C4714" s="3" t="str">
        <f>HYPERLINK("https://otsuka-europe-crm.veevavault.com/ui/#object/sent_email__v/VBLZ025E82GN1AN", "SE-000271857")</f>
        <v>SE-000271857</v>
      </c>
      <c r="D4714" s="1">
        <v>45919.674178240741</v>
      </c>
      <c r="E4714" s="2">
        <v>1</v>
      </c>
      <c r="F4714" s="2">
        <v>1</v>
      </c>
      <c r="G4714" s="2">
        <v>0</v>
      </c>
      <c r="H4714" s="1" t="s">
        <v>0</v>
      </c>
      <c r="I4714" s="2">
        <v>0</v>
      </c>
      <c r="J4714" s="1">
        <v>45915.377997685187</v>
      </c>
    </row>
    <row r="4715" spans="1:10" x14ac:dyDescent="0.2">
      <c r="A4715" s="4" t="s">
        <v>1</v>
      </c>
      <c r="B4715" s="3" t="str">
        <f>HYPERLINK("https://otsuka-europe-crm.veevavault.com/ui/#object/approved_document__v/V5OZ025E82TFUPI", "Spain - HCP Survey Email - June 2025")</f>
        <v>Spain - HCP Survey Email - June 2025</v>
      </c>
      <c r="C4715" s="3" t="str">
        <f>HYPERLINK("https://otsuka-europe-crm.veevavault.com/ui/#object/sent_email__v/VBLZ025E82GN1AO", "SE-000271858")</f>
        <v>SE-000271858</v>
      </c>
      <c r="D4715" s="1" t="s">
        <v>0</v>
      </c>
      <c r="E4715" s="2">
        <v>0</v>
      </c>
      <c r="F4715" s="2">
        <v>0</v>
      </c>
      <c r="G4715" s="2">
        <v>0</v>
      </c>
      <c r="H4715" s="1" t="s">
        <v>0</v>
      </c>
      <c r="I4715" s="2">
        <v>0</v>
      </c>
      <c r="J4715" s="1">
        <v>45915.378865740742</v>
      </c>
    </row>
    <row r="4716" spans="1:10" x14ac:dyDescent="0.2">
      <c r="A4716" s="4" t="s">
        <v>1</v>
      </c>
      <c r="B4716" s="3" t="str">
        <f>HYPERLINK("https://otsuka-europe-crm.veevavault.com/ui/#object/approved_document__v/V5OZ025E82TFUPI", "Spain - HCP Survey Email - June 2025")</f>
        <v>Spain - HCP Survey Email - June 2025</v>
      </c>
      <c r="C4716" s="3" t="str">
        <f>HYPERLINK("https://otsuka-europe-crm.veevavault.com/ui/#object/sent_email__v/VBLZ025E82GN1AP", "SE-000271859")</f>
        <v>SE-000271859</v>
      </c>
      <c r="D4716" s="1">
        <v>45923.692476851851</v>
      </c>
      <c r="E4716" s="2">
        <v>1</v>
      </c>
      <c r="F4716" s="2">
        <v>1</v>
      </c>
      <c r="G4716" s="2">
        <v>1</v>
      </c>
      <c r="H4716" s="1">
        <v>45923.692476851851</v>
      </c>
      <c r="I4716" s="2">
        <v>1</v>
      </c>
      <c r="J4716" s="1">
        <v>45915.379618055558</v>
      </c>
    </row>
    <row r="4717" spans="1:10" x14ac:dyDescent="0.2">
      <c r="A4717" s="4" t="s">
        <v>1</v>
      </c>
      <c r="B4717" s="3" t="str">
        <f>HYPERLINK("https://otsuka-europe-crm.veevavault.com/ui/#object/approved_document__v/V5OZ025E82TFUPI", "Spain - HCP Survey Email - June 2025")</f>
        <v>Spain - HCP Survey Email - June 2025</v>
      </c>
      <c r="C4717" s="3" t="str">
        <f>HYPERLINK("https://otsuka-europe-crm.veevavault.com/ui/#object/sent_email__v/VBLZ025E82GN1AQ", "SE-000271860")</f>
        <v>SE-000271860</v>
      </c>
      <c r="D4717" s="1" t="s">
        <v>0</v>
      </c>
      <c r="E4717" s="2">
        <v>0</v>
      </c>
      <c r="F4717" s="2">
        <v>0</v>
      </c>
      <c r="G4717" s="2">
        <v>0</v>
      </c>
      <c r="H4717" s="1" t="s">
        <v>0</v>
      </c>
      <c r="I4717" s="2">
        <v>0</v>
      </c>
      <c r="J4717" s="1">
        <v>45915.379340277781</v>
      </c>
    </row>
    <row r="4718" spans="1:10" x14ac:dyDescent="0.2">
      <c r="A4718" s="4" t="s">
        <v>1</v>
      </c>
      <c r="B4718" s="3" t="str">
        <f>HYPERLINK("https://otsuka-europe-crm.veevavault.com/ui/#object/approved_document__v/V5OZ025E82TFUPI", "Spain - HCP Survey Email - June 2025")</f>
        <v>Spain - HCP Survey Email - June 2025</v>
      </c>
      <c r="C4718" s="3" t="str">
        <f>HYPERLINK("https://otsuka-europe-crm.veevavault.com/ui/#object/sent_email__v/VBLZ025E82GN1AR", "SE-000271861")</f>
        <v>SE-000271861</v>
      </c>
      <c r="D4718" s="1">
        <v>45915.782349537039</v>
      </c>
      <c r="E4718" s="2">
        <v>1</v>
      </c>
      <c r="F4718" s="2">
        <v>1</v>
      </c>
      <c r="G4718" s="2">
        <v>0</v>
      </c>
      <c r="H4718" s="1" t="s">
        <v>0</v>
      </c>
      <c r="I4718" s="2">
        <v>0</v>
      </c>
      <c r="J4718" s="1">
        <v>45915.377430555556</v>
      </c>
    </row>
    <row r="4719" spans="1:10" x14ac:dyDescent="0.2">
      <c r="A4719" s="4" t="s">
        <v>1</v>
      </c>
      <c r="B4719" s="3" t="str">
        <f>HYPERLINK("https://otsuka-europe-crm.veevavault.com/ui/#object/approved_document__v/V5OZ025E82TFUPI", "Spain - HCP Survey Email - June 2025")</f>
        <v>Spain - HCP Survey Email - June 2025</v>
      </c>
      <c r="C4719" s="3" t="str">
        <f>HYPERLINK("https://otsuka-europe-crm.veevavault.com/ui/#object/sent_email__v/VBLZ025E82GN1AS", "SE-000271862")</f>
        <v>SE-000271862</v>
      </c>
      <c r="D4719" s="1">
        <v>45915.454143518517</v>
      </c>
      <c r="E4719" s="2">
        <v>1</v>
      </c>
      <c r="F4719" s="2">
        <v>1</v>
      </c>
      <c r="G4719" s="2">
        <v>0</v>
      </c>
      <c r="H4719" s="1" t="s">
        <v>0</v>
      </c>
      <c r="I4719" s="2">
        <v>0</v>
      </c>
      <c r="J4719" s="1">
        <v>45915.37835648148</v>
      </c>
    </row>
    <row r="4720" spans="1:10" x14ac:dyDescent="0.2">
      <c r="A4720" s="4" t="s">
        <v>1</v>
      </c>
      <c r="B4720" s="3" t="str">
        <f>HYPERLINK("https://otsuka-europe-crm.veevavault.com/ui/#object/approved_document__v/V5OZ025E82TFUPI", "Spain - HCP Survey Email - June 2025")</f>
        <v>Spain - HCP Survey Email - June 2025</v>
      </c>
      <c r="C4720" s="3" t="str">
        <f>HYPERLINK("https://otsuka-europe-crm.veevavault.com/ui/#object/sent_email__v/VBLZ025E82GN1AT", "SE-000271863")</f>
        <v>SE-000271863</v>
      </c>
      <c r="D4720" s="1" t="s">
        <v>0</v>
      </c>
      <c r="E4720" s="2">
        <v>0</v>
      </c>
      <c r="F4720" s="2">
        <v>0</v>
      </c>
      <c r="G4720" s="2">
        <v>0</v>
      </c>
      <c r="H4720" s="1" t="s">
        <v>0</v>
      </c>
      <c r="I4720" s="2">
        <v>0</v>
      </c>
      <c r="J4720" s="1">
        <v>45915.378113425926</v>
      </c>
    </row>
    <row r="4721" spans="1:10" x14ac:dyDescent="0.2">
      <c r="A4721" s="4" t="s">
        <v>1</v>
      </c>
      <c r="B4721" s="3" t="str">
        <f>HYPERLINK("https://otsuka-europe-crm.veevavault.com/ui/#object/approved_document__v/V5OZ025E82TFUPI", "Spain - HCP Survey Email - June 2025")</f>
        <v>Spain - HCP Survey Email - June 2025</v>
      </c>
      <c r="C4721" s="3" t="str">
        <f>HYPERLINK("https://otsuka-europe-crm.veevavault.com/ui/#object/sent_email__v/VBLZ025E82GN1AU", "SE-000271864")</f>
        <v>SE-000271864</v>
      </c>
      <c r="D4721" s="1" t="s">
        <v>0</v>
      </c>
      <c r="E4721" s="2">
        <v>0</v>
      </c>
      <c r="F4721" s="2">
        <v>0</v>
      </c>
      <c r="G4721" s="2">
        <v>0</v>
      </c>
      <c r="H4721" s="1" t="s">
        <v>0</v>
      </c>
      <c r="I4721" s="2">
        <v>0</v>
      </c>
      <c r="J4721" s="1">
        <v>45915.378622685188</v>
      </c>
    </row>
    <row r="4722" spans="1:10" x14ac:dyDescent="0.2">
      <c r="A4722" s="4" t="s">
        <v>1</v>
      </c>
      <c r="B4722" s="3" t="str">
        <f>HYPERLINK("https://otsuka-europe-crm.veevavault.com/ui/#object/approved_document__v/V5OZ025E82TFUPI", "Spain - HCP Survey Email - June 2025")</f>
        <v>Spain - HCP Survey Email - June 2025</v>
      </c>
      <c r="C4722" s="3" t="str">
        <f>HYPERLINK("https://otsuka-europe-crm.veevavault.com/ui/#object/sent_email__v/VBLZ025E82GN1AV", "SE-000271865")</f>
        <v>SE-000271865</v>
      </c>
      <c r="D4722" s="1" t="s">
        <v>0</v>
      </c>
      <c r="E4722" s="2">
        <v>0</v>
      </c>
      <c r="F4722" s="2">
        <v>0</v>
      </c>
      <c r="G4722" s="2">
        <v>0</v>
      </c>
      <c r="H4722" s="1" t="s">
        <v>0</v>
      </c>
      <c r="I4722" s="2">
        <v>0</v>
      </c>
      <c r="J4722" s="1">
        <v>45915.379918981482</v>
      </c>
    </row>
    <row r="4723" spans="1:10" x14ac:dyDescent="0.2">
      <c r="A4723" s="4" t="s">
        <v>1</v>
      </c>
      <c r="B4723" s="3" t="str">
        <f>HYPERLINK("https://otsuka-europe-crm.veevavault.com/ui/#object/approved_document__v/V5OZ025E82TFUPI", "Spain - HCP Survey Email - June 2025")</f>
        <v>Spain - HCP Survey Email - June 2025</v>
      </c>
      <c r="C4723" s="3" t="str">
        <f>HYPERLINK("https://otsuka-europe-crm.veevavault.com/ui/#object/sent_email__v/VBLZ025E82GN1AW", "SE-000271866")</f>
        <v>SE-000271866</v>
      </c>
      <c r="D4723" s="1" t="s">
        <v>0</v>
      </c>
      <c r="E4723" s="2">
        <v>0</v>
      </c>
      <c r="F4723" s="2">
        <v>0</v>
      </c>
      <c r="G4723" s="2">
        <v>0</v>
      </c>
      <c r="H4723" s="1" t="s">
        <v>0</v>
      </c>
      <c r="I4723" s="2">
        <v>0</v>
      </c>
      <c r="J4723" s="1">
        <v>45915.37767361111</v>
      </c>
    </row>
    <row r="4724" spans="1:10" x14ac:dyDescent="0.2">
      <c r="A4724" s="4" t="s">
        <v>1</v>
      </c>
      <c r="B4724" s="3" t="str">
        <f>HYPERLINK("https://otsuka-europe-crm.veevavault.com/ui/#object/approved_document__v/V5OZ025E82TFUPI", "Spain - HCP Survey Email - June 2025")</f>
        <v>Spain - HCP Survey Email - June 2025</v>
      </c>
      <c r="C4724" s="3" t="str">
        <f>HYPERLINK("https://otsuka-europe-crm.veevavault.com/ui/#object/sent_email__v/VBLZ025E82GN1AX", "SE-000271867")</f>
        <v>SE-000271867</v>
      </c>
      <c r="D4724" s="1">
        <v>45915.61309027778</v>
      </c>
      <c r="E4724" s="2">
        <v>1</v>
      </c>
      <c r="F4724" s="2">
        <v>1</v>
      </c>
      <c r="G4724" s="2">
        <v>1</v>
      </c>
      <c r="H4724" s="1">
        <v>45915.613206018519</v>
      </c>
      <c r="I4724" s="2">
        <v>2</v>
      </c>
      <c r="J4724" s="1">
        <v>45915.377592592595</v>
      </c>
    </row>
    <row r="4725" spans="1:10" x14ac:dyDescent="0.2">
      <c r="A4725" s="4" t="s">
        <v>1</v>
      </c>
      <c r="B4725" s="3" t="str">
        <f>HYPERLINK("https://otsuka-europe-crm.veevavault.com/ui/#object/approved_document__v/V5OZ025E82TFUPI", "Spain - HCP Survey Email - June 2025")</f>
        <v>Spain - HCP Survey Email - June 2025</v>
      </c>
      <c r="C4725" s="3" t="str">
        <f>HYPERLINK("https://otsuka-europe-crm.veevavault.com/ui/#object/sent_email__v/VBLZ025E82GN1AY", "SE-000271868")</f>
        <v>SE-000271868</v>
      </c>
      <c r="D4725" s="1">
        <v>45918.371423611112</v>
      </c>
      <c r="E4725" s="2">
        <v>1</v>
      </c>
      <c r="F4725" s="2">
        <v>1</v>
      </c>
      <c r="G4725" s="2">
        <v>0</v>
      </c>
      <c r="H4725" s="1" t="s">
        <v>0</v>
      </c>
      <c r="I4725" s="2">
        <v>0</v>
      </c>
      <c r="J4725" s="1">
        <v>45915.378020833334</v>
      </c>
    </row>
    <row r="4726" spans="1:10" x14ac:dyDescent="0.2">
      <c r="A4726" s="4" t="s">
        <v>1</v>
      </c>
      <c r="B4726" s="3" t="str">
        <f>HYPERLINK("https://otsuka-europe-crm.veevavault.com/ui/#object/approved_document__v/V5OZ025E82TFUPI", "Spain - HCP Survey Email - June 2025")</f>
        <v>Spain - HCP Survey Email - June 2025</v>
      </c>
      <c r="C4726" s="3" t="str">
        <f>HYPERLINK("https://otsuka-europe-crm.veevavault.com/ui/#object/sent_email__v/VBLZ025E82GN1AZ", "SE-000271869")</f>
        <v>SE-000271869</v>
      </c>
      <c r="D4726" s="1">
        <v>45915.393599537034</v>
      </c>
      <c r="E4726" s="2">
        <v>1</v>
      </c>
      <c r="F4726" s="2">
        <v>2</v>
      </c>
      <c r="G4726" s="2">
        <v>0</v>
      </c>
      <c r="H4726" s="1" t="s">
        <v>0</v>
      </c>
      <c r="I4726" s="2">
        <v>0</v>
      </c>
      <c r="J4726" s="1">
        <v>45915.378946759258</v>
      </c>
    </row>
    <row r="4727" spans="1:10" x14ac:dyDescent="0.2">
      <c r="A4727" s="4" t="s">
        <v>1</v>
      </c>
      <c r="B4727" s="3" t="str">
        <f>HYPERLINK("https://otsuka-europe-crm.veevavault.com/ui/#object/approved_document__v/V5OZ025E82TFUPI", "Spain - HCP Survey Email - June 2025")</f>
        <v>Spain - HCP Survey Email - June 2025</v>
      </c>
      <c r="C4727" s="3" t="str">
        <f>HYPERLINK("https://otsuka-europe-crm.veevavault.com/ui/#object/sent_email__v/VBLZ025E82GN1B0", "SE-000271870")</f>
        <v>SE-000271870</v>
      </c>
      <c r="D4727" s="1" t="s">
        <v>0</v>
      </c>
      <c r="E4727" s="2">
        <v>0</v>
      </c>
      <c r="F4727" s="2">
        <v>0</v>
      </c>
      <c r="G4727" s="2">
        <v>0</v>
      </c>
      <c r="H4727" s="1" t="s">
        <v>0</v>
      </c>
      <c r="I4727" s="2">
        <v>0</v>
      </c>
      <c r="J4727" s="1">
        <v>45915.379525462966</v>
      </c>
    </row>
    <row r="4728" spans="1:10" x14ac:dyDescent="0.2">
      <c r="A4728" s="4" t="s">
        <v>1</v>
      </c>
      <c r="B4728" s="3" t="str">
        <f>HYPERLINK("https://otsuka-europe-crm.veevavault.com/ui/#object/approved_document__v/V5OZ025E82TFUPI", "Spain - HCP Survey Email - June 2025")</f>
        <v>Spain - HCP Survey Email - June 2025</v>
      </c>
      <c r="C4728" s="3" t="str">
        <f>HYPERLINK("https://otsuka-europe-crm.veevavault.com/ui/#object/sent_email__v/VBLZ025E82GN1B1", "SE-000271871")</f>
        <v>SE-000271871</v>
      </c>
      <c r="D4728" s="1">
        <v>45915.43478009259</v>
      </c>
      <c r="E4728" s="2">
        <v>1</v>
      </c>
      <c r="F4728" s="2">
        <v>1</v>
      </c>
      <c r="G4728" s="2">
        <v>0</v>
      </c>
      <c r="H4728" s="1" t="s">
        <v>0</v>
      </c>
      <c r="I4728" s="2">
        <v>0</v>
      </c>
      <c r="J4728" s="1">
        <v>45915.379282407404</v>
      </c>
    </row>
    <row r="4729" spans="1:10" x14ac:dyDescent="0.2">
      <c r="A4729" s="4" t="s">
        <v>1</v>
      </c>
      <c r="B4729" s="3" t="str">
        <f>HYPERLINK("https://otsuka-europe-crm.veevavault.com/ui/#object/approved_document__v/V5OZ025E82TFUPI", "Spain - HCP Survey Email - June 2025")</f>
        <v>Spain - HCP Survey Email - June 2025</v>
      </c>
      <c r="C4729" s="3" t="str">
        <f>HYPERLINK("https://otsuka-europe-crm.veevavault.com/ui/#object/sent_email__v/VBLZ025E82GN1B2", "SE-000271872")</f>
        <v>SE-000271872</v>
      </c>
      <c r="D4729" s="1">
        <v>45915.657986111109</v>
      </c>
      <c r="E4729" s="2">
        <v>1</v>
      </c>
      <c r="F4729" s="2">
        <v>2</v>
      </c>
      <c r="G4729" s="2">
        <v>0</v>
      </c>
      <c r="H4729" s="1" t="s">
        <v>0</v>
      </c>
      <c r="I4729" s="2">
        <v>0</v>
      </c>
      <c r="J4729" s="1">
        <v>45915.377430555556</v>
      </c>
    </row>
    <row r="4730" spans="1:10" x14ac:dyDescent="0.2">
      <c r="A4730" s="4" t="s">
        <v>1</v>
      </c>
      <c r="B4730" s="3" t="str">
        <f>HYPERLINK("https://otsuka-europe-crm.veevavault.com/ui/#object/approved_document__v/V5OZ025E82TFUPI", "Spain - HCP Survey Email - June 2025")</f>
        <v>Spain - HCP Survey Email - June 2025</v>
      </c>
      <c r="C4730" s="3" t="str">
        <f>HYPERLINK("https://otsuka-europe-crm.veevavault.com/ui/#object/sent_email__v/VBLZ025E82GN1B3", "SE-000271873")</f>
        <v>SE-000271873</v>
      </c>
      <c r="D4730" s="1" t="s">
        <v>0</v>
      </c>
      <c r="E4730" s="2">
        <v>0</v>
      </c>
      <c r="F4730" s="2">
        <v>0</v>
      </c>
      <c r="G4730" s="2">
        <v>0</v>
      </c>
      <c r="H4730" s="1" t="s">
        <v>0</v>
      </c>
      <c r="I4730" s="2">
        <v>0</v>
      </c>
      <c r="J4730" s="1">
        <v>45915.378449074073</v>
      </c>
    </row>
    <row r="4731" spans="1:10" x14ac:dyDescent="0.2">
      <c r="A4731" s="4" t="s">
        <v>1</v>
      </c>
      <c r="B4731" s="3" t="str">
        <f>HYPERLINK("https://otsuka-europe-crm.veevavault.com/ui/#object/approved_document__v/V5OZ025E82TFUPI", "Spain - HCP Survey Email - June 2025")</f>
        <v>Spain - HCP Survey Email - June 2025</v>
      </c>
      <c r="C4731" s="3" t="str">
        <f>HYPERLINK("https://otsuka-europe-crm.veevavault.com/ui/#object/sent_email__v/VBLZ025E82GN1B4", "SE-000271874")</f>
        <v>SE-000271874</v>
      </c>
      <c r="D4731" s="1">
        <v>45951.759560185186</v>
      </c>
      <c r="E4731" s="2">
        <v>1</v>
      </c>
      <c r="F4731" s="2">
        <v>3</v>
      </c>
      <c r="G4731" s="2">
        <v>0</v>
      </c>
      <c r="H4731" s="1" t="s">
        <v>0</v>
      </c>
      <c r="I4731" s="2">
        <v>0</v>
      </c>
      <c r="J4731" s="1">
        <v>45915.378784722219</v>
      </c>
    </row>
    <row r="4732" spans="1:10" x14ac:dyDescent="0.2">
      <c r="A4732" s="4" t="s">
        <v>1</v>
      </c>
      <c r="B4732" s="3" t="str">
        <f>HYPERLINK("https://otsuka-europe-crm.veevavault.com/ui/#object/approved_document__v/V5OZ025E82TFUPI", "Spain - HCP Survey Email - June 2025")</f>
        <v>Spain - HCP Survey Email - June 2025</v>
      </c>
      <c r="C4732" s="3" t="str">
        <f>HYPERLINK("https://otsuka-europe-crm.veevavault.com/ui/#object/sent_email__v/VBLZ025E82GN1B5", "SE-000271875")</f>
        <v>SE-000271875</v>
      </c>
      <c r="D4732" s="1">
        <v>45915.415046296293</v>
      </c>
      <c r="E4732" s="2">
        <v>1</v>
      </c>
      <c r="F4732" s="2">
        <v>1</v>
      </c>
      <c r="G4732" s="2">
        <v>0</v>
      </c>
      <c r="H4732" s="1" t="s">
        <v>0</v>
      </c>
      <c r="I4732" s="2">
        <v>0</v>
      </c>
      <c r="J4732" s="1">
        <v>45915.378530092596</v>
      </c>
    </row>
    <row r="4733" spans="1:10" x14ac:dyDescent="0.2">
      <c r="A4733" s="4" t="s">
        <v>1</v>
      </c>
      <c r="B4733" s="3" t="str">
        <f>HYPERLINK("https://otsuka-europe-crm.veevavault.com/ui/#object/approved_document__v/V5OZ025E82TFUPI", "Spain - HCP Survey Email - June 2025")</f>
        <v>Spain - HCP Survey Email - June 2025</v>
      </c>
      <c r="C4733" s="3" t="str">
        <f>HYPERLINK("https://otsuka-europe-crm.veevavault.com/ui/#object/sent_email__v/VBLZ025E82GN1B6", "SE-000271876")</f>
        <v>SE-000271876</v>
      </c>
      <c r="D4733" s="1">
        <v>45933.406631944446</v>
      </c>
      <c r="E4733" s="2">
        <v>1</v>
      </c>
      <c r="F4733" s="2">
        <v>3</v>
      </c>
      <c r="G4733" s="2">
        <v>0</v>
      </c>
      <c r="H4733" s="1" t="s">
        <v>0</v>
      </c>
      <c r="I4733" s="2">
        <v>0</v>
      </c>
      <c r="J4733" s="1">
        <v>45915.377488425926</v>
      </c>
    </row>
    <row r="4734" spans="1:10" x14ac:dyDescent="0.2">
      <c r="A4734" s="4" t="s">
        <v>1</v>
      </c>
      <c r="B4734" s="3" t="str">
        <f>HYPERLINK("https://otsuka-europe-crm.veevavault.com/ui/#object/approved_document__v/V5OZ025E82TFUPI", "Spain - HCP Survey Email - June 2025")</f>
        <v>Spain - HCP Survey Email - June 2025</v>
      </c>
      <c r="C4734" s="3" t="str">
        <f>HYPERLINK("https://otsuka-europe-crm.veevavault.com/ui/#object/sent_email__v/VBLZ025E82GN1B7", "SE-000271877")</f>
        <v>SE-000271877</v>
      </c>
      <c r="D4734" s="1" t="s">
        <v>0</v>
      </c>
      <c r="E4734" s="2">
        <v>0</v>
      </c>
      <c r="F4734" s="2">
        <v>0</v>
      </c>
      <c r="G4734" s="2">
        <v>0</v>
      </c>
      <c r="H4734" s="1" t="s">
        <v>0</v>
      </c>
      <c r="I4734" s="2">
        <v>0</v>
      </c>
      <c r="J4734" s="1">
        <v>45915.378437500003</v>
      </c>
    </row>
    <row r="4735" spans="1:10" x14ac:dyDescent="0.2">
      <c r="A4735" s="4" t="s">
        <v>1</v>
      </c>
      <c r="B4735" s="3" t="str">
        <f>HYPERLINK("https://otsuka-europe-crm.veevavault.com/ui/#object/approved_document__v/V5OZ025E82TFUPI", "Spain - HCP Survey Email - June 2025")</f>
        <v>Spain - HCP Survey Email - June 2025</v>
      </c>
      <c r="C4735" s="3" t="str">
        <f>HYPERLINK("https://otsuka-europe-crm.veevavault.com/ui/#object/sent_email__v/VBLZ025E82GN1B8", "SE-000271878")</f>
        <v>SE-000271878</v>
      </c>
      <c r="D4735" s="1" t="s">
        <v>0</v>
      </c>
      <c r="E4735" s="2">
        <v>0</v>
      </c>
      <c r="F4735" s="2">
        <v>0</v>
      </c>
      <c r="G4735" s="2">
        <v>0</v>
      </c>
      <c r="H4735" s="1" t="s">
        <v>0</v>
      </c>
      <c r="I4735" s="2">
        <v>0</v>
      </c>
      <c r="J4735" s="1">
        <v>45915.378831018519</v>
      </c>
    </row>
    <row r="4736" spans="1:10" x14ac:dyDescent="0.2">
      <c r="A4736" s="4" t="s">
        <v>1</v>
      </c>
      <c r="B4736" s="3" t="str">
        <f>HYPERLINK("https://otsuka-europe-crm.veevavault.com/ui/#object/approved_document__v/V5OZ025E82TFUPI", "Spain - HCP Survey Email - June 2025")</f>
        <v>Spain - HCP Survey Email - June 2025</v>
      </c>
      <c r="C4736" s="3" t="str">
        <f>HYPERLINK("https://otsuka-europe-crm.veevavault.com/ui/#object/sent_email__v/VBLZ025E82GN1B9", "SE-000271879")</f>
        <v>SE-000271879</v>
      </c>
      <c r="D4736" s="1">
        <v>45915.416180555556</v>
      </c>
      <c r="E4736" s="2">
        <v>1</v>
      </c>
      <c r="F4736" s="2">
        <v>2</v>
      </c>
      <c r="G4736" s="2">
        <v>1</v>
      </c>
      <c r="H4736" s="1">
        <v>45915.416365740741</v>
      </c>
      <c r="I4736" s="2">
        <v>1</v>
      </c>
      <c r="J4736" s="1">
        <v>45915.378645833334</v>
      </c>
    </row>
    <row r="4737" spans="1:10" x14ac:dyDescent="0.2">
      <c r="A4737" s="4" t="s">
        <v>1</v>
      </c>
      <c r="B4737" s="3" t="str">
        <f>HYPERLINK("https://otsuka-europe-crm.veevavault.com/ui/#object/approved_document__v/V5OZ025E82TFUPI", "Spain - HCP Survey Email - June 2025")</f>
        <v>Spain - HCP Survey Email - June 2025</v>
      </c>
      <c r="C4737" s="3" t="str">
        <f>HYPERLINK("https://otsuka-europe-crm.veevavault.com/ui/#object/sent_email__v/VBLZ025E82GN1BA", "SE-000271880")</f>
        <v>SE-000271880</v>
      </c>
      <c r="D4737" s="1" t="s">
        <v>0</v>
      </c>
      <c r="E4737" s="2">
        <v>0</v>
      </c>
      <c r="F4737" s="2">
        <v>0</v>
      </c>
      <c r="G4737" s="2">
        <v>0</v>
      </c>
      <c r="H4737" s="1" t="s">
        <v>0</v>
      </c>
      <c r="I4737" s="2">
        <v>0</v>
      </c>
      <c r="J4737" s="1">
        <v>45915.379930555559</v>
      </c>
    </row>
    <row r="4738" spans="1:10" x14ac:dyDescent="0.2">
      <c r="A4738" s="4" t="s">
        <v>1</v>
      </c>
      <c r="B4738" s="3" t="str">
        <f>HYPERLINK("https://otsuka-europe-crm.veevavault.com/ui/#object/approved_document__v/V5OZ025E82TFUPI", "Spain - HCP Survey Email - June 2025")</f>
        <v>Spain - HCP Survey Email - June 2025</v>
      </c>
      <c r="C4738" s="3" t="str">
        <f>HYPERLINK("https://otsuka-europe-crm.veevavault.com/ui/#object/sent_email__v/VBLZ025E82GN1BB", "SE-000271881")</f>
        <v>SE-000271881</v>
      </c>
      <c r="D4738" s="1" t="s">
        <v>0</v>
      </c>
      <c r="E4738" s="2">
        <v>0</v>
      </c>
      <c r="F4738" s="2">
        <v>0</v>
      </c>
      <c r="G4738" s="2">
        <v>0</v>
      </c>
      <c r="H4738" s="1" t="s">
        <v>0</v>
      </c>
      <c r="I4738" s="2">
        <v>0</v>
      </c>
      <c r="J4738" s="1">
        <v>45915.37777777778</v>
      </c>
    </row>
    <row r="4739" spans="1:10" x14ac:dyDescent="0.2">
      <c r="A4739" s="4" t="s">
        <v>1</v>
      </c>
      <c r="B4739" s="3" t="str">
        <f>HYPERLINK("https://otsuka-europe-crm.veevavault.com/ui/#object/approved_document__v/V5OZ025E82TFUPI", "Spain - HCP Survey Email - June 2025")</f>
        <v>Spain - HCP Survey Email - June 2025</v>
      </c>
      <c r="C4739" s="3" t="str">
        <f>HYPERLINK("https://otsuka-europe-crm.veevavault.com/ui/#object/sent_email__v/VBLZ025E82GN1BC", "SE-000271882")</f>
        <v>SE-000271882</v>
      </c>
      <c r="D4739" s="1">
        <v>45915.642731481479</v>
      </c>
      <c r="E4739" s="2">
        <v>1</v>
      </c>
      <c r="F4739" s="2">
        <v>1</v>
      </c>
      <c r="G4739" s="2">
        <v>0</v>
      </c>
      <c r="H4739" s="1" t="s">
        <v>0</v>
      </c>
      <c r="I4739" s="2">
        <v>0</v>
      </c>
      <c r="J4739" s="1">
        <v>45915.377615740741</v>
      </c>
    </row>
    <row r="4740" spans="1:10" x14ac:dyDescent="0.2">
      <c r="A4740" s="4" t="s">
        <v>1</v>
      </c>
      <c r="B4740" s="3" t="str">
        <f>HYPERLINK("https://otsuka-europe-crm.veevavault.com/ui/#object/approved_document__v/V5OZ025E82TFUPI", "Spain - HCP Survey Email - June 2025")</f>
        <v>Spain - HCP Survey Email - June 2025</v>
      </c>
      <c r="C4740" s="3" t="str">
        <f>HYPERLINK("https://otsuka-europe-crm.veevavault.com/ui/#object/sent_email__v/VBLZ025E82GN1BD", "SE-000271883")</f>
        <v>SE-000271883</v>
      </c>
      <c r="D4740" s="1" t="s">
        <v>0</v>
      </c>
      <c r="E4740" s="2">
        <v>0</v>
      </c>
      <c r="F4740" s="2">
        <v>0</v>
      </c>
      <c r="G4740" s="2">
        <v>0</v>
      </c>
      <c r="H4740" s="1" t="s">
        <v>0</v>
      </c>
      <c r="I4740" s="2">
        <v>0</v>
      </c>
      <c r="J4740" s="1">
        <v>45915.377986111111</v>
      </c>
    </row>
    <row r="4741" spans="1:10" x14ac:dyDescent="0.2">
      <c r="A4741" s="4" t="s">
        <v>1</v>
      </c>
      <c r="B4741" s="3" t="str">
        <f>HYPERLINK("https://otsuka-europe-crm.veevavault.com/ui/#object/approved_document__v/V5OZ025E82TFUPI", "Spain - HCP Survey Email - June 2025")</f>
        <v>Spain - HCP Survey Email - June 2025</v>
      </c>
      <c r="C4741" s="3" t="str">
        <f>HYPERLINK("https://otsuka-europe-crm.veevavault.com/ui/#object/sent_email__v/VBLZ025E82GN1BE", "SE-000271884")</f>
        <v>SE-000271884</v>
      </c>
      <c r="D4741" s="1">
        <v>45916.03601851852</v>
      </c>
      <c r="E4741" s="2">
        <v>1</v>
      </c>
      <c r="F4741" s="2">
        <v>2</v>
      </c>
      <c r="G4741" s="2">
        <v>0</v>
      </c>
      <c r="H4741" s="1" t="s">
        <v>0</v>
      </c>
      <c r="I4741" s="2">
        <v>0</v>
      </c>
      <c r="J4741" s="1">
        <v>45915.378865740742</v>
      </c>
    </row>
    <row r="4742" spans="1:10" x14ac:dyDescent="0.2">
      <c r="A4742" s="4" t="s">
        <v>1</v>
      </c>
      <c r="B4742" s="3" t="str">
        <f>HYPERLINK("https://otsuka-europe-crm.veevavault.com/ui/#object/approved_document__v/V5OZ025E82TFUPI", "Spain - HCP Survey Email - June 2025")</f>
        <v>Spain - HCP Survey Email - June 2025</v>
      </c>
      <c r="C4742" s="3" t="str">
        <f>HYPERLINK("https://otsuka-europe-crm.veevavault.com/ui/#object/sent_email__v/VBLZ025E82GN1BF", "SE-000271885")</f>
        <v>SE-000271885</v>
      </c>
      <c r="D4742" s="1">
        <v>45915.476585648146</v>
      </c>
      <c r="E4742" s="2">
        <v>1</v>
      </c>
      <c r="F4742" s="2">
        <v>1</v>
      </c>
      <c r="G4742" s="2">
        <v>0</v>
      </c>
      <c r="H4742" s="1" t="s">
        <v>0</v>
      </c>
      <c r="I4742" s="2">
        <v>0</v>
      </c>
      <c r="J4742" s="1">
        <v>45915.379467592589</v>
      </c>
    </row>
    <row r="4743" spans="1:10" x14ac:dyDescent="0.2">
      <c r="A4743" s="4" t="s">
        <v>1</v>
      </c>
      <c r="B4743" s="3" t="str">
        <f>HYPERLINK("https://otsuka-europe-crm.veevavault.com/ui/#object/approved_document__v/V5OZ025E82TFUPI", "Spain - HCP Survey Email - June 2025")</f>
        <v>Spain - HCP Survey Email - June 2025</v>
      </c>
      <c r="C4743" s="3" t="str">
        <f>HYPERLINK("https://otsuka-europe-crm.veevavault.com/ui/#object/sent_email__v/VBLZ025E82GN1BG", "SE-000271886")</f>
        <v>SE-000271886</v>
      </c>
      <c r="D4743" s="1">
        <v>45915.379479166666</v>
      </c>
      <c r="E4743" s="2">
        <v>1</v>
      </c>
      <c r="F4743" s="2">
        <v>1</v>
      </c>
      <c r="G4743" s="2">
        <v>1</v>
      </c>
      <c r="H4743" s="1">
        <v>45915.380150462966</v>
      </c>
      <c r="I4743" s="2">
        <v>2</v>
      </c>
      <c r="J4743" s="1">
        <v>45915.379363425927</v>
      </c>
    </row>
    <row r="4744" spans="1:10" x14ac:dyDescent="0.2">
      <c r="A4744" s="4" t="s">
        <v>1</v>
      </c>
      <c r="B4744" s="3" t="str">
        <f>HYPERLINK("https://otsuka-europe-crm.veevavault.com/ui/#object/approved_document__v/V5OZ025E82TFUPI", "Spain - HCP Survey Email - June 2025")</f>
        <v>Spain - HCP Survey Email - June 2025</v>
      </c>
      <c r="C4744" s="3" t="str">
        <f>HYPERLINK("https://otsuka-europe-crm.veevavault.com/ui/#object/sent_email__v/VBLZ025E82GN1BH", "SE-000271887")</f>
        <v>SE-000271887</v>
      </c>
      <c r="D4744" s="1" t="s">
        <v>0</v>
      </c>
      <c r="E4744" s="2">
        <v>0</v>
      </c>
      <c r="F4744" s="2">
        <v>0</v>
      </c>
      <c r="G4744" s="2">
        <v>0</v>
      </c>
      <c r="H4744" s="1" t="s">
        <v>0</v>
      </c>
      <c r="I4744" s="2">
        <v>0</v>
      </c>
      <c r="J4744" s="1">
        <v>45915.377430555556</v>
      </c>
    </row>
    <row r="4745" spans="1:10" x14ac:dyDescent="0.2">
      <c r="A4745" s="4" t="s">
        <v>1</v>
      </c>
      <c r="B4745" s="3" t="str">
        <f>HYPERLINK("https://otsuka-europe-crm.veevavault.com/ui/#object/approved_document__v/V5OZ025E82TFUPI", "Spain - HCP Survey Email - June 2025")</f>
        <v>Spain - HCP Survey Email - June 2025</v>
      </c>
      <c r="C4745" s="3" t="str">
        <f>HYPERLINK("https://otsuka-europe-crm.veevavault.com/ui/#object/sent_email__v/VBLZ025E82GN1BI", "SE-000271888")</f>
        <v>SE-000271888</v>
      </c>
      <c r="D4745" s="1" t="s">
        <v>0</v>
      </c>
      <c r="E4745" s="2">
        <v>0</v>
      </c>
      <c r="F4745" s="2">
        <v>0</v>
      </c>
      <c r="G4745" s="2">
        <v>0</v>
      </c>
      <c r="H4745" s="1" t="s">
        <v>0</v>
      </c>
      <c r="I4745" s="2">
        <v>0</v>
      </c>
      <c r="J4745" s="1">
        <v>45915.378530092596</v>
      </c>
    </row>
    <row r="4746" spans="1:10" x14ac:dyDescent="0.2">
      <c r="A4746" s="4" t="s">
        <v>1</v>
      </c>
      <c r="B4746" s="3" t="str">
        <f>HYPERLINK("https://otsuka-europe-crm.veevavault.com/ui/#object/approved_document__v/V5OZ025E82TFUPI", "Spain - HCP Survey Email - June 2025")</f>
        <v>Spain - HCP Survey Email - June 2025</v>
      </c>
      <c r="C4746" s="3" t="str">
        <f>HYPERLINK("https://otsuka-europe-crm.veevavault.com/ui/#object/sent_email__v/VBLZ025E82GN1BJ", "SE-000271889")</f>
        <v>SE-000271889</v>
      </c>
      <c r="D4746" s="1">
        <v>45918.81927083333</v>
      </c>
      <c r="E4746" s="2">
        <v>1</v>
      </c>
      <c r="F4746" s="2">
        <v>1</v>
      </c>
      <c r="G4746" s="2">
        <v>0</v>
      </c>
      <c r="H4746" s="1" t="s">
        <v>0</v>
      </c>
      <c r="I4746" s="2">
        <v>0</v>
      </c>
      <c r="J4746" s="1">
        <v>45915.378877314812</v>
      </c>
    </row>
    <row r="4747" spans="1:10" x14ac:dyDescent="0.2">
      <c r="A4747" s="4" t="s">
        <v>1</v>
      </c>
      <c r="B4747" s="3" t="str">
        <f>HYPERLINK("https://otsuka-europe-crm.veevavault.com/ui/#object/approved_document__v/V5OZ025E82TFUPI", "Spain - HCP Survey Email - June 2025")</f>
        <v>Spain - HCP Survey Email - June 2025</v>
      </c>
      <c r="C4747" s="3" t="str">
        <f>HYPERLINK("https://otsuka-europe-crm.veevavault.com/ui/#object/sent_email__v/VBLZ025E82GN1BK", "SE-000271890")</f>
        <v>SE-000271890</v>
      </c>
      <c r="D4747" s="1" t="s">
        <v>0</v>
      </c>
      <c r="E4747" s="2">
        <v>0</v>
      </c>
      <c r="F4747" s="2">
        <v>0</v>
      </c>
      <c r="G4747" s="2">
        <v>0</v>
      </c>
      <c r="H4747" s="1" t="s">
        <v>0</v>
      </c>
      <c r="I4747" s="2">
        <v>0</v>
      </c>
      <c r="J4747" s="1">
        <v>45915.378576388888</v>
      </c>
    </row>
    <row r="4748" spans="1:10" x14ac:dyDescent="0.2">
      <c r="A4748" s="4" t="s">
        <v>1</v>
      </c>
      <c r="B4748" s="3" t="str">
        <f>HYPERLINK("https://otsuka-europe-crm.veevavault.com/ui/#object/approved_document__v/V5OZ025E82TFUPI", "Spain - HCP Survey Email - June 2025")</f>
        <v>Spain - HCP Survey Email - June 2025</v>
      </c>
      <c r="C4748" s="3" t="str">
        <f>HYPERLINK("https://otsuka-europe-crm.veevavault.com/ui/#object/sent_email__v/VBLZ025E82GN1BL", "SE-000271891")</f>
        <v>SE-000271891</v>
      </c>
      <c r="D4748" s="1">
        <v>45915.38962962963</v>
      </c>
      <c r="E4748" s="2">
        <v>1</v>
      </c>
      <c r="F4748" s="2">
        <v>2</v>
      </c>
      <c r="G4748" s="2">
        <v>0</v>
      </c>
      <c r="H4748" s="1" t="s">
        <v>0</v>
      </c>
      <c r="I4748" s="2">
        <v>0</v>
      </c>
      <c r="J4748" s="1">
        <v>45915.379930555559</v>
      </c>
    </row>
    <row r="4749" spans="1:10" x14ac:dyDescent="0.2">
      <c r="A4749" s="4" t="s">
        <v>1</v>
      </c>
      <c r="B4749" s="3" t="str">
        <f>HYPERLINK("https://otsuka-europe-crm.veevavault.com/ui/#object/approved_document__v/V5OZ025E82TFUPI", "Spain - HCP Survey Email - June 2025")</f>
        <v>Spain - HCP Survey Email - June 2025</v>
      </c>
      <c r="C4749" s="3" t="str">
        <f>HYPERLINK("https://otsuka-europe-crm.veevavault.com/ui/#object/sent_email__v/VBLZ025E82GN1BM", "SE-000271892")</f>
        <v>SE-000271892</v>
      </c>
      <c r="D4749" s="1">
        <v>45915.413344907407</v>
      </c>
      <c r="E4749" s="2">
        <v>1</v>
      </c>
      <c r="F4749" s="2">
        <v>1</v>
      </c>
      <c r="G4749" s="2">
        <v>0</v>
      </c>
      <c r="H4749" s="1" t="s">
        <v>0</v>
      </c>
      <c r="I4749" s="2">
        <v>0</v>
      </c>
      <c r="J4749" s="1">
        <v>45915.377743055556</v>
      </c>
    </row>
    <row r="4750" spans="1:10" x14ac:dyDescent="0.2">
      <c r="A4750" s="4" t="s">
        <v>1</v>
      </c>
      <c r="B4750" s="3" t="str">
        <f>HYPERLINK("https://otsuka-europe-crm.veevavault.com/ui/#object/approved_document__v/V5OZ025E82TFUPI", "Spain - HCP Survey Email - June 2025")</f>
        <v>Spain - HCP Survey Email - June 2025</v>
      </c>
      <c r="C4750" s="3" t="str">
        <f>HYPERLINK("https://otsuka-europe-crm.veevavault.com/ui/#object/sent_email__v/VBLZ025E82GN1BN", "SE-000271893")</f>
        <v>SE-000271893</v>
      </c>
      <c r="D4750" s="1">
        <v>45993.822708333333</v>
      </c>
      <c r="E4750" s="2">
        <v>1</v>
      </c>
      <c r="F4750" s="2">
        <v>2</v>
      </c>
      <c r="G4750" s="2">
        <v>0</v>
      </c>
      <c r="H4750" s="1" t="s">
        <v>0</v>
      </c>
      <c r="I4750" s="2">
        <v>0</v>
      </c>
      <c r="J4750" s="1">
        <v>45915.377604166664</v>
      </c>
    </row>
    <row r="4751" spans="1:10" x14ac:dyDescent="0.2">
      <c r="A4751" s="4" t="s">
        <v>1</v>
      </c>
      <c r="B4751" s="3" t="str">
        <f>HYPERLINK("https://otsuka-europe-crm.veevavault.com/ui/#object/approved_document__v/V5OZ025E82TFUPI", "Spain - HCP Survey Email - June 2025")</f>
        <v>Spain - HCP Survey Email - June 2025</v>
      </c>
      <c r="C4751" s="3" t="str">
        <f>HYPERLINK("https://otsuka-europe-crm.veevavault.com/ui/#object/sent_email__v/VBLZ025E82GN1BO", "SE-000271894")</f>
        <v>SE-000271894</v>
      </c>
      <c r="D4751" s="1">
        <v>45915.749976851854</v>
      </c>
      <c r="E4751" s="2">
        <v>1</v>
      </c>
      <c r="F4751" s="2">
        <v>1</v>
      </c>
      <c r="G4751" s="2">
        <v>0</v>
      </c>
      <c r="H4751" s="1" t="s">
        <v>0</v>
      </c>
      <c r="I4751" s="2">
        <v>0</v>
      </c>
      <c r="J4751" s="1">
        <v>45915.378009259257</v>
      </c>
    </row>
    <row r="4752" spans="1:10" x14ac:dyDescent="0.2">
      <c r="A4752" s="4" t="s">
        <v>1</v>
      </c>
      <c r="B4752" s="3" t="str">
        <f>HYPERLINK("https://otsuka-europe-crm.veevavault.com/ui/#object/approved_document__v/V5OZ025E82TFUPI", "Spain - HCP Survey Email - June 2025")</f>
        <v>Spain - HCP Survey Email - June 2025</v>
      </c>
      <c r="C4752" s="3" t="str">
        <f>HYPERLINK("https://otsuka-europe-crm.veevavault.com/ui/#object/sent_email__v/VBLZ025E82GN1BP", "SE-000271895")</f>
        <v>SE-000271895</v>
      </c>
      <c r="D4752" s="1" t="s">
        <v>0</v>
      </c>
      <c r="E4752" s="2">
        <v>0</v>
      </c>
      <c r="F4752" s="2">
        <v>0</v>
      </c>
      <c r="G4752" s="2">
        <v>0</v>
      </c>
      <c r="H4752" s="1" t="s">
        <v>0</v>
      </c>
      <c r="I4752" s="2">
        <v>0</v>
      </c>
      <c r="J4752" s="1">
        <v>45915.379016203704</v>
      </c>
    </row>
    <row r="4753" spans="1:10" x14ac:dyDescent="0.2">
      <c r="A4753" s="4" t="s">
        <v>1</v>
      </c>
      <c r="B4753" s="3" t="str">
        <f>HYPERLINK("https://otsuka-europe-crm.veevavault.com/ui/#object/approved_document__v/V5OZ025E82TFUPI", "Spain - HCP Survey Email - June 2025")</f>
        <v>Spain - HCP Survey Email - June 2025</v>
      </c>
      <c r="C4753" s="3" t="str">
        <f>HYPERLINK("https://otsuka-europe-crm.veevavault.com/ui/#object/sent_email__v/VBLZ025E82GN1BQ", "SE-000271896")</f>
        <v>SE-000271896</v>
      </c>
      <c r="D4753" s="1">
        <v>45939.898217592592</v>
      </c>
      <c r="E4753" s="2">
        <v>1</v>
      </c>
      <c r="F4753" s="2">
        <v>2</v>
      </c>
      <c r="G4753" s="2">
        <v>0</v>
      </c>
      <c r="H4753" s="1" t="s">
        <v>0</v>
      </c>
      <c r="I4753" s="2">
        <v>0</v>
      </c>
      <c r="J4753" s="1">
        <v>45915.379618055558</v>
      </c>
    </row>
    <row r="4754" spans="1:10" x14ac:dyDescent="0.2">
      <c r="A4754" s="4" t="s">
        <v>1</v>
      </c>
      <c r="B4754" s="3" t="str">
        <f>HYPERLINK("https://otsuka-europe-crm.veevavault.com/ui/#object/approved_document__v/V5OZ025E82TFUPI", "Spain - HCP Survey Email - June 2025")</f>
        <v>Spain - HCP Survey Email - June 2025</v>
      </c>
      <c r="C4754" s="3" t="str">
        <f>HYPERLINK("https://otsuka-europe-crm.veevavault.com/ui/#object/sent_email__v/VBLZ025E82GN1BR", "SE-000271897")</f>
        <v>SE-000271897</v>
      </c>
      <c r="D4754" s="1">
        <v>45941.836562500001</v>
      </c>
      <c r="E4754" s="2">
        <v>1</v>
      </c>
      <c r="F4754" s="2">
        <v>3</v>
      </c>
      <c r="G4754" s="2">
        <v>0</v>
      </c>
      <c r="H4754" s="1" t="s">
        <v>0</v>
      </c>
      <c r="I4754" s="2">
        <v>0</v>
      </c>
      <c r="J4754" s="1">
        <v>45915.379293981481</v>
      </c>
    </row>
    <row r="4755" spans="1:10" x14ac:dyDescent="0.2">
      <c r="A4755" s="4" t="s">
        <v>1</v>
      </c>
      <c r="B4755" s="3" t="str">
        <f>HYPERLINK("https://otsuka-europe-crm.veevavault.com/ui/#object/approved_document__v/V5OZ025E82TFUPI", "Spain - HCP Survey Email - June 2025")</f>
        <v>Spain - HCP Survey Email - June 2025</v>
      </c>
      <c r="C4755" s="3" t="str">
        <f>HYPERLINK("https://otsuka-europe-crm.veevavault.com/ui/#object/sent_email__v/VBLZ025E82GN1BS", "SE-000271898")</f>
        <v>SE-000271898</v>
      </c>
      <c r="D4755" s="1">
        <v>45931.296087962961</v>
      </c>
      <c r="E4755" s="2">
        <v>1</v>
      </c>
      <c r="F4755" s="2">
        <v>1</v>
      </c>
      <c r="G4755" s="2">
        <v>0</v>
      </c>
      <c r="H4755" s="1" t="s">
        <v>0</v>
      </c>
      <c r="I4755" s="2">
        <v>0</v>
      </c>
      <c r="J4755" s="1">
        <v>45915.377442129633</v>
      </c>
    </row>
    <row r="4756" spans="1:10" x14ac:dyDescent="0.2">
      <c r="A4756" s="4" t="s">
        <v>1</v>
      </c>
      <c r="B4756" s="3" t="str">
        <f>HYPERLINK("https://otsuka-europe-crm.veevavault.com/ui/#object/approved_document__v/V5OZ025E82TFUPI", "Spain - HCP Survey Email - June 2025")</f>
        <v>Spain - HCP Survey Email - June 2025</v>
      </c>
      <c r="C4756" s="3" t="str">
        <f>HYPERLINK("https://otsuka-europe-crm.veevavault.com/ui/#object/sent_email__v/VBLZ025E82GN1BT", "SE-000271899")</f>
        <v>SE-000271899</v>
      </c>
      <c r="D4756" s="1" t="s">
        <v>0</v>
      </c>
      <c r="E4756" s="2">
        <v>0</v>
      </c>
      <c r="F4756" s="2">
        <v>0</v>
      </c>
      <c r="G4756" s="2">
        <v>0</v>
      </c>
      <c r="H4756" s="1" t="s">
        <v>0</v>
      </c>
      <c r="I4756" s="2">
        <v>0</v>
      </c>
      <c r="J4756" s="1">
        <v>45915.378449074073</v>
      </c>
    </row>
    <row r="4757" spans="1:10" x14ac:dyDescent="0.2">
      <c r="A4757" s="4" t="s">
        <v>1</v>
      </c>
      <c r="B4757" s="3" t="str">
        <f>HYPERLINK("https://otsuka-europe-crm.veevavault.com/ui/#object/approved_document__v/V5OZ025E82TFUPI", "Spain - HCP Survey Email - June 2025")</f>
        <v>Spain - HCP Survey Email - June 2025</v>
      </c>
      <c r="C4757" s="3" t="str">
        <f>HYPERLINK("https://otsuka-europe-crm.veevavault.com/ui/#object/sent_email__v/VBLZ025E82GN1BU", "SE-000271900")</f>
        <v>SE-000271900</v>
      </c>
      <c r="D4757" s="1" t="s">
        <v>0</v>
      </c>
      <c r="E4757" s="2">
        <v>0</v>
      </c>
      <c r="F4757" s="2">
        <v>0</v>
      </c>
      <c r="G4757" s="2">
        <v>0</v>
      </c>
      <c r="H4757" s="1" t="s">
        <v>0</v>
      </c>
      <c r="I4757" s="2">
        <v>0</v>
      </c>
      <c r="J4757" s="1">
        <v>45915.37809027778</v>
      </c>
    </row>
    <row r="4758" spans="1:10" x14ac:dyDescent="0.2">
      <c r="A4758" s="4" t="s">
        <v>1</v>
      </c>
      <c r="B4758" s="3" t="str">
        <f>HYPERLINK("https://otsuka-europe-crm.veevavault.com/ui/#object/approved_document__v/V5OZ025E82TFUPI", "Spain - HCP Survey Email - June 2025")</f>
        <v>Spain - HCP Survey Email - June 2025</v>
      </c>
      <c r="C4758" s="3" t="str">
        <f>HYPERLINK("https://otsuka-europe-crm.veevavault.com/ui/#object/sent_email__v/VBLZ025E82GN1BV", "SE-000271901")</f>
        <v>SE-000271901</v>
      </c>
      <c r="D4758" s="1" t="s">
        <v>0</v>
      </c>
      <c r="E4758" s="2">
        <v>0</v>
      </c>
      <c r="F4758" s="2">
        <v>0</v>
      </c>
      <c r="G4758" s="2">
        <v>0</v>
      </c>
      <c r="H4758" s="1" t="s">
        <v>0</v>
      </c>
      <c r="I4758" s="2">
        <v>0</v>
      </c>
      <c r="J4758" s="1">
        <v>45915.378599537034</v>
      </c>
    </row>
    <row r="4759" spans="1:10" x14ac:dyDescent="0.2">
      <c r="A4759" s="4" t="s">
        <v>1</v>
      </c>
      <c r="B4759" s="3" t="str">
        <f>HYPERLINK("https://otsuka-europe-crm.veevavault.com/ui/#object/approved_document__v/V5OZ025E82TFUPI", "Spain - HCP Survey Email - June 2025")</f>
        <v>Spain - HCP Survey Email - June 2025</v>
      </c>
      <c r="C4759" s="3" t="str">
        <f>HYPERLINK("https://otsuka-europe-crm.veevavault.com/ui/#object/sent_email__v/VBLZ025E82GN1BW", "SE-000271902")</f>
        <v>SE-000271902</v>
      </c>
      <c r="D4759" s="1">
        <v>45915.876145833332</v>
      </c>
      <c r="E4759" s="2">
        <v>1</v>
      </c>
      <c r="F4759" s="2">
        <v>2</v>
      </c>
      <c r="G4759" s="2">
        <v>0</v>
      </c>
      <c r="H4759" s="1" t="s">
        <v>0</v>
      </c>
      <c r="I4759" s="2">
        <v>0</v>
      </c>
      <c r="J4759" s="1">
        <v>45915.379259259258</v>
      </c>
    </row>
    <row r="4760" spans="1:10" x14ac:dyDescent="0.2">
      <c r="A4760" s="4" t="s">
        <v>1</v>
      </c>
      <c r="B4760" s="3" t="str">
        <f>HYPERLINK("https://otsuka-europe-crm.veevavault.com/ui/#object/approved_document__v/V5OZ025E82TFUPI", "Spain - HCP Survey Email - June 2025")</f>
        <v>Spain - HCP Survey Email - June 2025</v>
      </c>
      <c r="C4760" s="3" t="str">
        <f>HYPERLINK("https://otsuka-europe-crm.veevavault.com/ui/#object/sent_email__v/VBLZ025E82GN1BX", "SE-000271903")</f>
        <v>SE-000271903</v>
      </c>
      <c r="D4760" s="1" t="s">
        <v>0</v>
      </c>
      <c r="E4760" s="2">
        <v>0</v>
      </c>
      <c r="F4760" s="2">
        <v>0</v>
      </c>
      <c r="G4760" s="2">
        <v>0</v>
      </c>
      <c r="H4760" s="1" t="s">
        <v>0</v>
      </c>
      <c r="I4760" s="2">
        <v>0</v>
      </c>
      <c r="J4760" s="1">
        <v>45915.37740740741</v>
      </c>
    </row>
    <row r="4761" spans="1:10" x14ac:dyDescent="0.2">
      <c r="A4761" s="4" t="s">
        <v>1</v>
      </c>
      <c r="B4761" s="3" t="str">
        <f>HYPERLINK("https://otsuka-europe-crm.veevavault.com/ui/#object/approved_document__v/V5OZ025E82TFUPI", "Spain - HCP Survey Email - June 2025")</f>
        <v>Spain - HCP Survey Email - June 2025</v>
      </c>
      <c r="C4761" s="3" t="str">
        <f>HYPERLINK("https://otsuka-europe-crm.veevavault.com/ui/#object/sent_email__v/VBLZ025E82GN1BY", "SE-000271904")</f>
        <v>SE-000271904</v>
      </c>
      <c r="D4761" s="1">
        <v>45916.295925925922</v>
      </c>
      <c r="E4761" s="2">
        <v>1</v>
      </c>
      <c r="F4761" s="2">
        <v>1</v>
      </c>
      <c r="G4761" s="2">
        <v>1</v>
      </c>
      <c r="H4761" s="1">
        <v>45916.295925925922</v>
      </c>
      <c r="I4761" s="2">
        <v>1</v>
      </c>
      <c r="J4761" s="1">
        <v>45915.378587962965</v>
      </c>
    </row>
    <row r="4762" spans="1:10" x14ac:dyDescent="0.2">
      <c r="A4762" s="4" t="s">
        <v>1</v>
      </c>
      <c r="B4762" s="3" t="str">
        <f>HYPERLINK("https://otsuka-europe-crm.veevavault.com/ui/#object/approved_document__v/V5OZ025E82TFUPI", "Spain - HCP Survey Email - June 2025")</f>
        <v>Spain - HCP Survey Email - June 2025</v>
      </c>
      <c r="C4762" s="3" t="str">
        <f>HYPERLINK("https://otsuka-europe-crm.veevavault.com/ui/#object/sent_email__v/VBLZ025E82GN1BZ", "SE-000271905")</f>
        <v>SE-000271905</v>
      </c>
      <c r="D4762" s="1">
        <v>45915.471087962964</v>
      </c>
      <c r="E4762" s="2">
        <v>1</v>
      </c>
      <c r="F4762" s="2">
        <v>1</v>
      </c>
      <c r="G4762" s="2">
        <v>0</v>
      </c>
      <c r="H4762" s="1" t="s">
        <v>0</v>
      </c>
      <c r="I4762" s="2">
        <v>0</v>
      </c>
      <c r="J4762" s="1">
        <v>45915.378136574072</v>
      </c>
    </row>
    <row r="4763" spans="1:10" x14ac:dyDescent="0.2">
      <c r="A4763" s="4" t="s">
        <v>1</v>
      </c>
      <c r="B4763" s="3" t="str">
        <f>HYPERLINK("https://otsuka-europe-crm.veevavault.com/ui/#object/approved_document__v/V5OZ025E82TFUPI", "Spain - HCP Survey Email - June 2025")</f>
        <v>Spain - HCP Survey Email - June 2025</v>
      </c>
      <c r="C4763" s="3" t="str">
        <f>HYPERLINK("https://otsuka-europe-crm.veevavault.com/ui/#object/sent_email__v/VBLZ025E82GN1C0", "SE-000271906")</f>
        <v>SE-000271906</v>
      </c>
      <c r="D4763" s="1" t="s">
        <v>0</v>
      </c>
      <c r="E4763" s="2">
        <v>0</v>
      </c>
      <c r="F4763" s="2">
        <v>0</v>
      </c>
      <c r="G4763" s="2">
        <v>0</v>
      </c>
      <c r="H4763" s="1" t="s">
        <v>0</v>
      </c>
      <c r="I4763" s="2">
        <v>0</v>
      </c>
      <c r="J4763" s="1">
        <v>45915.378553240742</v>
      </c>
    </row>
    <row r="4764" spans="1:10" x14ac:dyDescent="0.2">
      <c r="A4764" s="4" t="s">
        <v>1</v>
      </c>
      <c r="B4764" s="3" t="str">
        <f>HYPERLINK("https://otsuka-europe-crm.veevavault.com/ui/#object/approved_document__v/V5OZ025E82TFUPI", "Spain - HCP Survey Email - June 2025")</f>
        <v>Spain - HCP Survey Email - June 2025</v>
      </c>
      <c r="C4764" s="3" t="str">
        <f>HYPERLINK("https://otsuka-europe-crm.veevavault.com/ui/#object/sent_email__v/VBLZ025E82GN1C1", "SE-000271907")</f>
        <v>SE-000271907</v>
      </c>
      <c r="D4764" s="1">
        <v>45915.380057870374</v>
      </c>
      <c r="E4764" s="2">
        <v>1</v>
      </c>
      <c r="F4764" s="2">
        <v>1</v>
      </c>
      <c r="G4764" s="2">
        <v>1</v>
      </c>
      <c r="H4764" s="1">
        <v>45915.380243055559</v>
      </c>
      <c r="I4764" s="2">
        <v>2</v>
      </c>
      <c r="J4764" s="1">
        <v>45915.379930555559</v>
      </c>
    </row>
    <row r="4765" spans="1:10" x14ac:dyDescent="0.2">
      <c r="A4765" s="4" t="s">
        <v>1</v>
      </c>
      <c r="B4765" s="3" t="str">
        <f>HYPERLINK("https://otsuka-europe-crm.veevavault.com/ui/#object/approved_document__v/V5OZ025E82TFUPI", "Spain - HCP Survey Email - June 2025")</f>
        <v>Spain - HCP Survey Email - June 2025</v>
      </c>
      <c r="C4765" s="3" t="str">
        <f>HYPERLINK("https://otsuka-europe-crm.veevavault.com/ui/#object/sent_email__v/VBLZ025E82GN1C2", "SE-000271908")</f>
        <v>SE-000271908</v>
      </c>
      <c r="D4765" s="1">
        <v>45915.399236111109</v>
      </c>
      <c r="E4765" s="2">
        <v>1</v>
      </c>
      <c r="F4765" s="2">
        <v>2</v>
      </c>
      <c r="G4765" s="2">
        <v>1</v>
      </c>
      <c r="H4765" s="1">
        <v>45915.449108796296</v>
      </c>
      <c r="I4765" s="2">
        <v>2</v>
      </c>
      <c r="J4765" s="1">
        <v>45915.37773148148</v>
      </c>
    </row>
    <row r="4766" spans="1:10" x14ac:dyDescent="0.2">
      <c r="A4766" s="4" t="s">
        <v>1</v>
      </c>
      <c r="B4766" s="3" t="str">
        <f>HYPERLINK("https://otsuka-europe-crm.veevavault.com/ui/#object/approved_document__v/V5OZ025E82TFUPI", "Spain - HCP Survey Email - June 2025")</f>
        <v>Spain - HCP Survey Email - June 2025</v>
      </c>
      <c r="C4766" s="3" t="str">
        <f>HYPERLINK("https://otsuka-europe-crm.veevavault.com/ui/#object/sent_email__v/VBLZ025E82GN1C4", "SE-000271910")</f>
        <v>SE-000271910</v>
      </c>
      <c r="D4766" s="1">
        <v>45916.416331018518</v>
      </c>
      <c r="E4766" s="2">
        <v>1</v>
      </c>
      <c r="F4766" s="2">
        <v>1</v>
      </c>
      <c r="G4766" s="2">
        <v>0</v>
      </c>
      <c r="H4766" s="1" t="s">
        <v>0</v>
      </c>
      <c r="I4766" s="2">
        <v>0</v>
      </c>
      <c r="J4766" s="1">
        <v>45915.377905092595</v>
      </c>
    </row>
    <row r="4767" spans="1:10" x14ac:dyDescent="0.2">
      <c r="A4767" s="4" t="s">
        <v>1</v>
      </c>
      <c r="B4767" s="3" t="str">
        <f>HYPERLINK("https://otsuka-europe-crm.veevavault.com/ui/#object/approved_document__v/V5OZ025E82TFUPI", "Spain - HCP Survey Email - June 2025")</f>
        <v>Spain - HCP Survey Email - June 2025</v>
      </c>
      <c r="C4767" s="3" t="str">
        <f>HYPERLINK("https://otsuka-europe-crm.veevavault.com/ui/#object/sent_email__v/VBLZ025E82GN1C5", "SE-000271911")</f>
        <v>SE-000271911</v>
      </c>
      <c r="D4767" s="1">
        <v>45917.73741898148</v>
      </c>
      <c r="E4767" s="2">
        <v>1</v>
      </c>
      <c r="F4767" s="2">
        <v>1</v>
      </c>
      <c r="G4767" s="2">
        <v>0</v>
      </c>
      <c r="H4767" s="1" t="s">
        <v>0</v>
      </c>
      <c r="I4767" s="2">
        <v>0</v>
      </c>
      <c r="J4767" s="1">
        <v>45915.379050925927</v>
      </c>
    </row>
    <row r="4768" spans="1:10" x14ac:dyDescent="0.2">
      <c r="A4768" s="4" t="s">
        <v>1</v>
      </c>
      <c r="B4768" s="3" t="str">
        <f>HYPERLINK("https://otsuka-europe-crm.veevavault.com/ui/#object/approved_document__v/V5OZ025E82TFUPI", "Spain - HCP Survey Email - June 2025")</f>
        <v>Spain - HCP Survey Email - June 2025</v>
      </c>
      <c r="C4768" s="3" t="str">
        <f>HYPERLINK("https://otsuka-europe-crm.veevavault.com/ui/#object/sent_email__v/VBLZ025E82GN1C6", "SE-000271912")</f>
        <v>SE-000271912</v>
      </c>
      <c r="D4768" s="1">
        <v>45918.649664351855</v>
      </c>
      <c r="E4768" s="2">
        <v>1</v>
      </c>
      <c r="F4768" s="2">
        <v>1</v>
      </c>
      <c r="G4768" s="2">
        <v>0</v>
      </c>
      <c r="H4768" s="1" t="s">
        <v>0</v>
      </c>
      <c r="I4768" s="2">
        <v>0</v>
      </c>
      <c r="J4768" s="1">
        <v>45915.379571759258</v>
      </c>
    </row>
    <row r="4769" spans="1:10" x14ac:dyDescent="0.2">
      <c r="A4769" s="4" t="s">
        <v>1</v>
      </c>
      <c r="B4769" s="3" t="str">
        <f>HYPERLINK("https://otsuka-europe-crm.veevavault.com/ui/#object/approved_document__v/V5OZ025E82TFUPI", "Spain - HCP Survey Email - June 2025")</f>
        <v>Spain - HCP Survey Email - June 2025</v>
      </c>
      <c r="C4769" s="3" t="str">
        <f>HYPERLINK("https://otsuka-europe-crm.veevavault.com/ui/#object/sent_email__v/VBLZ025E82GN1C7", "SE-000271913")</f>
        <v>SE-000271913</v>
      </c>
      <c r="D4769" s="1">
        <v>45915.428159722222</v>
      </c>
      <c r="E4769" s="2">
        <v>1</v>
      </c>
      <c r="F4769" s="2">
        <v>2</v>
      </c>
      <c r="G4769" s="2">
        <v>0</v>
      </c>
      <c r="H4769" s="1" t="s">
        <v>0</v>
      </c>
      <c r="I4769" s="2">
        <v>0</v>
      </c>
      <c r="J4769" s="1">
        <v>45915.379374999997</v>
      </c>
    </row>
    <row r="4770" spans="1:10" x14ac:dyDescent="0.2">
      <c r="A4770" s="4" t="s">
        <v>1</v>
      </c>
      <c r="B4770" s="3" t="str">
        <f>HYPERLINK("https://otsuka-europe-crm.veevavault.com/ui/#object/approved_document__v/V5OZ025E82TFUPI", "Spain - HCP Survey Email - June 2025")</f>
        <v>Spain - HCP Survey Email - June 2025</v>
      </c>
      <c r="C4770" s="3" t="str">
        <f>HYPERLINK("https://otsuka-europe-crm.veevavault.com/ui/#object/sent_email__v/VBLZ025E82GN1C8", "SE-000271914")</f>
        <v>SE-000271914</v>
      </c>
      <c r="D4770" s="1">
        <v>45915.377615740741</v>
      </c>
      <c r="E4770" s="2">
        <v>1</v>
      </c>
      <c r="F4770" s="2">
        <v>1</v>
      </c>
      <c r="G4770" s="2">
        <v>1</v>
      </c>
      <c r="H4770" s="1">
        <v>45915.37773148148</v>
      </c>
      <c r="I4770" s="2">
        <v>1</v>
      </c>
      <c r="J4770" s="1">
        <v>45915.377442129633</v>
      </c>
    </row>
    <row r="4771" spans="1:10" x14ac:dyDescent="0.2">
      <c r="A4771" s="4" t="s">
        <v>1</v>
      </c>
      <c r="B4771" s="3" t="str">
        <f>HYPERLINK("https://otsuka-europe-crm.veevavault.com/ui/#object/approved_document__v/V5OZ025E82TFUPI", "Spain - HCP Survey Email - June 2025")</f>
        <v>Spain - HCP Survey Email - June 2025</v>
      </c>
      <c r="C4771" s="3" t="str">
        <f>HYPERLINK("https://otsuka-europe-crm.veevavault.com/ui/#object/sent_email__v/VBLZ025E82GN1C9", "SE-000271915")</f>
        <v>SE-000271915</v>
      </c>
      <c r="D4771" s="1">
        <v>45918.326388888891</v>
      </c>
      <c r="E4771" s="2">
        <v>1</v>
      </c>
      <c r="F4771" s="2">
        <v>3</v>
      </c>
      <c r="G4771" s="2">
        <v>1</v>
      </c>
      <c r="H4771" s="1">
        <v>45918.326585648145</v>
      </c>
      <c r="I4771" s="2">
        <v>1</v>
      </c>
      <c r="J4771" s="1">
        <v>45915.378437500003</v>
      </c>
    </row>
    <row r="4772" spans="1:10" x14ac:dyDescent="0.2">
      <c r="A4772" s="4" t="s">
        <v>1</v>
      </c>
      <c r="B4772" s="3" t="str">
        <f>HYPERLINK("https://otsuka-europe-crm.veevavault.com/ui/#object/approved_document__v/V5OZ025E82TFUPI", "Spain - HCP Survey Email - June 2025")</f>
        <v>Spain - HCP Survey Email - June 2025</v>
      </c>
      <c r="C4772" s="3" t="str">
        <f>HYPERLINK("https://otsuka-europe-crm.veevavault.com/ui/#object/sent_email__v/VBLZ025E82GN1CA", "SE-000271916")</f>
        <v>SE-000271916</v>
      </c>
      <c r="D4772" s="1" t="s">
        <v>0</v>
      </c>
      <c r="E4772" s="2">
        <v>0</v>
      </c>
      <c r="F4772" s="2">
        <v>0</v>
      </c>
      <c r="G4772" s="2">
        <v>0</v>
      </c>
      <c r="H4772" s="1" t="s">
        <v>0</v>
      </c>
      <c r="I4772" s="2">
        <v>0</v>
      </c>
      <c r="J4772" s="1">
        <v>45915.378101851849</v>
      </c>
    </row>
    <row r="4773" spans="1:10" x14ac:dyDescent="0.2">
      <c r="A4773" s="4" t="s">
        <v>1</v>
      </c>
      <c r="B4773" s="3" t="str">
        <f>HYPERLINK("https://otsuka-europe-crm.veevavault.com/ui/#object/approved_document__v/V5OZ025E82TFUPI", "Spain - HCP Survey Email - June 2025")</f>
        <v>Spain - HCP Survey Email - June 2025</v>
      </c>
      <c r="C4773" s="3" t="str">
        <f>HYPERLINK("https://otsuka-europe-crm.veevavault.com/ui/#object/sent_email__v/VBLZ025E82GN1CB", "SE-000271917")</f>
        <v>SE-000271917</v>
      </c>
      <c r="D4773" s="1">
        <v>45916.556041666663</v>
      </c>
      <c r="E4773" s="2">
        <v>1</v>
      </c>
      <c r="F4773" s="2">
        <v>1</v>
      </c>
      <c r="G4773" s="2">
        <v>0</v>
      </c>
      <c r="H4773" s="1" t="s">
        <v>0</v>
      </c>
      <c r="I4773" s="2">
        <v>0</v>
      </c>
      <c r="J4773" s="1">
        <v>45915.378541666665</v>
      </c>
    </row>
    <row r="4774" spans="1:10" x14ac:dyDescent="0.2">
      <c r="A4774" s="4" t="s">
        <v>1</v>
      </c>
      <c r="B4774" s="3" t="str">
        <f>HYPERLINK("https://otsuka-europe-crm.veevavault.com/ui/#object/approved_document__v/V5OZ025E82TFUPI", "Spain - HCP Survey Email - June 2025")</f>
        <v>Spain - HCP Survey Email - June 2025</v>
      </c>
      <c r="C4774" s="3" t="str">
        <f>HYPERLINK("https://otsuka-europe-crm.veevavault.com/ui/#object/sent_email__v/VBLZ025E82GN1CC", "SE-000271918")</f>
        <v>SE-000271918</v>
      </c>
      <c r="D4774" s="1" t="s">
        <v>0</v>
      </c>
      <c r="E4774" s="2">
        <v>0</v>
      </c>
      <c r="F4774" s="2">
        <v>0</v>
      </c>
      <c r="G4774" s="2">
        <v>0</v>
      </c>
      <c r="H4774" s="1" t="s">
        <v>0</v>
      </c>
      <c r="I4774" s="2">
        <v>0</v>
      </c>
      <c r="J4774" s="1">
        <v>45915.379976851851</v>
      </c>
    </row>
    <row r="4775" spans="1:10" x14ac:dyDescent="0.2">
      <c r="A4775" s="4" t="s">
        <v>1</v>
      </c>
      <c r="B4775" s="3" t="str">
        <f>HYPERLINK("https://otsuka-europe-crm.veevavault.com/ui/#object/approved_document__v/V5OZ025E82TFUPI", "Spain - HCP Survey Email - June 2025")</f>
        <v>Spain - HCP Survey Email - June 2025</v>
      </c>
      <c r="C4775" s="3" t="str">
        <f>HYPERLINK("https://otsuka-europe-crm.veevavault.com/ui/#object/sent_email__v/VBLZ025E82GN1CD", "SE-000271919")</f>
        <v>SE-000271919</v>
      </c>
      <c r="D4775" s="1" t="s">
        <v>0</v>
      </c>
      <c r="E4775" s="2">
        <v>0</v>
      </c>
      <c r="F4775" s="2">
        <v>0</v>
      </c>
      <c r="G4775" s="2">
        <v>0</v>
      </c>
      <c r="H4775" s="1" t="s">
        <v>0</v>
      </c>
      <c r="I4775" s="2">
        <v>0</v>
      </c>
      <c r="J4775" s="1">
        <v>45915.377766203703</v>
      </c>
    </row>
    <row r="4776" spans="1:10" x14ac:dyDescent="0.2">
      <c r="A4776" s="4" t="s">
        <v>1</v>
      </c>
      <c r="B4776" s="3" t="str">
        <f>HYPERLINK("https://otsuka-europe-crm.veevavault.com/ui/#object/approved_document__v/V5OZ025E82TFUPI", "Spain - HCP Survey Email - June 2025")</f>
        <v>Spain - HCP Survey Email - June 2025</v>
      </c>
      <c r="C4776" s="3" t="str">
        <f>HYPERLINK("https://otsuka-europe-crm.veevavault.com/ui/#object/sent_email__v/VBLZ025E82GN1CE", "SE-000271920")</f>
        <v>SE-000271920</v>
      </c>
      <c r="D4776" s="1">
        <v>45915.579756944448</v>
      </c>
      <c r="E4776" s="2">
        <v>1</v>
      </c>
      <c r="F4776" s="2">
        <v>1</v>
      </c>
      <c r="G4776" s="2">
        <v>0</v>
      </c>
      <c r="H4776" s="1" t="s">
        <v>0</v>
      </c>
      <c r="I4776" s="2">
        <v>0</v>
      </c>
      <c r="J4776" s="1">
        <v>45915.377604166664</v>
      </c>
    </row>
    <row r="4777" spans="1:10" x14ac:dyDescent="0.2">
      <c r="A4777" s="4" t="s">
        <v>1</v>
      </c>
      <c r="B4777" s="3" t="str">
        <f>HYPERLINK("https://otsuka-europe-crm.veevavault.com/ui/#object/approved_document__v/V5OZ025E82TFUPI", "Spain - HCP Survey Email - June 2025")</f>
        <v>Spain - HCP Survey Email - June 2025</v>
      </c>
      <c r="C4777" s="3" t="str">
        <f>HYPERLINK("https://otsuka-europe-crm.veevavault.com/ui/#object/sent_email__v/VBLZ025E82GN1CF", "SE-000271921")</f>
        <v>SE-000271921</v>
      </c>
      <c r="D4777" s="1">
        <v>45916.877951388888</v>
      </c>
      <c r="E4777" s="2">
        <v>1</v>
      </c>
      <c r="F4777" s="2">
        <v>1</v>
      </c>
      <c r="G4777" s="2">
        <v>0</v>
      </c>
      <c r="H4777" s="1" t="s">
        <v>0</v>
      </c>
      <c r="I4777" s="2">
        <v>0</v>
      </c>
      <c r="J4777" s="1">
        <v>45915.377997685187</v>
      </c>
    </row>
    <row r="4778" spans="1:10" x14ac:dyDescent="0.2">
      <c r="A4778" s="4" t="s">
        <v>1</v>
      </c>
      <c r="B4778" s="3" t="str">
        <f>HYPERLINK("https://otsuka-europe-crm.veevavault.com/ui/#object/approved_document__v/V5OZ025E82TFUPI", "Spain - HCP Survey Email - June 2025")</f>
        <v>Spain - HCP Survey Email - June 2025</v>
      </c>
      <c r="C4778" s="3" t="str">
        <f>HYPERLINK("https://otsuka-europe-crm.veevavault.com/ui/#object/sent_email__v/VBLZ025E82GN1CG", "SE-000271922")</f>
        <v>SE-000271922</v>
      </c>
      <c r="D4778" s="1" t="s">
        <v>0</v>
      </c>
      <c r="E4778" s="2">
        <v>0</v>
      </c>
      <c r="F4778" s="2">
        <v>0</v>
      </c>
      <c r="G4778" s="2">
        <v>0</v>
      </c>
      <c r="H4778" s="1" t="s">
        <v>0</v>
      </c>
      <c r="I4778" s="2">
        <v>0</v>
      </c>
      <c r="J4778" s="1">
        <v>45915.378888888888</v>
      </c>
    </row>
    <row r="4779" spans="1:10" x14ac:dyDescent="0.2">
      <c r="A4779" s="4" t="s">
        <v>1</v>
      </c>
      <c r="B4779" s="3" t="str">
        <f>HYPERLINK("https://otsuka-europe-crm.veevavault.com/ui/#object/approved_document__v/V5OZ025E82TFUPI", "Spain - HCP Survey Email - June 2025")</f>
        <v>Spain - HCP Survey Email - June 2025</v>
      </c>
      <c r="C4779" s="3" t="str">
        <f>HYPERLINK("https://otsuka-europe-crm.veevavault.com/ui/#object/sent_email__v/VBLZ025E82GN1CH", "SE-000271923")</f>
        <v>SE-000271923</v>
      </c>
      <c r="D4779" s="1" t="s">
        <v>0</v>
      </c>
      <c r="E4779" s="2">
        <v>0</v>
      </c>
      <c r="F4779" s="2">
        <v>0</v>
      </c>
      <c r="G4779" s="2">
        <v>0</v>
      </c>
      <c r="H4779" s="1" t="s">
        <v>0</v>
      </c>
      <c r="I4779" s="2">
        <v>0</v>
      </c>
      <c r="J4779" s="1">
        <v>45915.379502314812</v>
      </c>
    </row>
    <row r="4780" spans="1:10" x14ac:dyDescent="0.2">
      <c r="A4780" s="4" t="s">
        <v>1</v>
      </c>
      <c r="B4780" s="3" t="str">
        <f>HYPERLINK("https://otsuka-europe-crm.veevavault.com/ui/#object/approved_document__v/V5OZ025E82TFUPI", "Spain - HCP Survey Email - June 2025")</f>
        <v>Spain - HCP Survey Email - June 2025</v>
      </c>
      <c r="C4780" s="3" t="str">
        <f>HYPERLINK("https://otsuka-europe-crm.veevavault.com/ui/#object/sent_email__v/VBLZ025E82GN1CI", "SE-000271924")</f>
        <v>SE-000271924</v>
      </c>
      <c r="D4780" s="1">
        <v>45915.612349537034</v>
      </c>
      <c r="E4780" s="2">
        <v>1</v>
      </c>
      <c r="F4780" s="2">
        <v>1</v>
      </c>
      <c r="G4780" s="2">
        <v>1</v>
      </c>
      <c r="H4780" s="1">
        <v>45915.612349537034</v>
      </c>
      <c r="I4780" s="2">
        <v>1</v>
      </c>
      <c r="J4780" s="1">
        <v>45915.379421296297</v>
      </c>
    </row>
    <row r="4781" spans="1:10" x14ac:dyDescent="0.2">
      <c r="A4781" s="4" t="s">
        <v>1</v>
      </c>
      <c r="B4781" s="3" t="str">
        <f>HYPERLINK("https://otsuka-europe-crm.veevavault.com/ui/#object/approved_document__v/V5OZ025E82TFUPI", "Spain - HCP Survey Email - June 2025")</f>
        <v>Spain - HCP Survey Email - June 2025</v>
      </c>
      <c r="C4781" s="3" t="str">
        <f>HYPERLINK("https://otsuka-europe-crm.veevavault.com/ui/#object/sent_email__v/VBLZ025E82GN1CJ", "SE-000271925")</f>
        <v>SE-000271925</v>
      </c>
      <c r="D4781" s="1">
        <v>45915.679884259262</v>
      </c>
      <c r="E4781" s="2">
        <v>1</v>
      </c>
      <c r="F4781" s="2">
        <v>1</v>
      </c>
      <c r="G4781" s="2">
        <v>0</v>
      </c>
      <c r="H4781" s="1" t="s">
        <v>0</v>
      </c>
      <c r="I4781" s="2">
        <v>0</v>
      </c>
      <c r="J4781" s="1">
        <v>45915.377430555556</v>
      </c>
    </row>
    <row r="4782" spans="1:10" x14ac:dyDescent="0.2">
      <c r="A4782" s="4" t="s">
        <v>1</v>
      </c>
      <c r="B4782" s="3" t="str">
        <f>HYPERLINK("https://otsuka-europe-crm.veevavault.com/ui/#object/approved_document__v/V5OZ025E82TFUPI", "Spain - HCP Survey Email - June 2025")</f>
        <v>Spain - HCP Survey Email - June 2025</v>
      </c>
      <c r="C4782" s="3" t="str">
        <f>HYPERLINK("https://otsuka-europe-crm.veevavault.com/ui/#object/sent_email__v/VBLZ025E82GN1CK", "SE-000271926")</f>
        <v>SE-000271926</v>
      </c>
      <c r="D4782" s="1">
        <v>45915.396122685182</v>
      </c>
      <c r="E4782" s="2">
        <v>1</v>
      </c>
      <c r="F4782" s="2">
        <v>1</v>
      </c>
      <c r="G4782" s="2">
        <v>1</v>
      </c>
      <c r="H4782" s="1">
        <v>45915.396122685182</v>
      </c>
      <c r="I4782" s="2">
        <v>1</v>
      </c>
      <c r="J4782" s="1">
        <v>45915.378379629627</v>
      </c>
    </row>
    <row r="4783" spans="1:10" x14ac:dyDescent="0.2">
      <c r="A4783" s="4" t="s">
        <v>1</v>
      </c>
      <c r="B4783" s="3" t="str">
        <f>HYPERLINK("https://otsuka-europe-crm.veevavault.com/ui/#object/approved_document__v/V5OZ025E82TFUPI", "Spain - HCP Survey Email - June 2025")</f>
        <v>Spain - HCP Survey Email - June 2025</v>
      </c>
      <c r="C4783" s="3" t="str">
        <f>HYPERLINK("https://otsuka-europe-crm.veevavault.com/ui/#object/sent_email__v/VBLZ025E82GN1CL", "SE-000271927")</f>
        <v>SE-000271927</v>
      </c>
      <c r="D4783" s="1" t="s">
        <v>0</v>
      </c>
      <c r="E4783" s="2">
        <v>0</v>
      </c>
      <c r="F4783" s="2">
        <v>0</v>
      </c>
      <c r="G4783" s="2">
        <v>0</v>
      </c>
      <c r="H4783" s="1" t="s">
        <v>0</v>
      </c>
      <c r="I4783" s="2">
        <v>0</v>
      </c>
      <c r="J4783" s="1">
        <v>45915.378229166665</v>
      </c>
    </row>
    <row r="4784" spans="1:10" x14ac:dyDescent="0.2">
      <c r="A4784" s="4" t="s">
        <v>1</v>
      </c>
      <c r="B4784" s="3" t="str">
        <f>HYPERLINK("https://otsuka-europe-crm.veevavault.com/ui/#object/approved_document__v/V5OZ025E82TFUPI", "Spain - HCP Survey Email - June 2025")</f>
        <v>Spain - HCP Survey Email - June 2025</v>
      </c>
      <c r="C4784" s="3" t="str">
        <f>HYPERLINK("https://otsuka-europe-crm.veevavault.com/ui/#object/sent_email__v/VBLZ025E82GN1CM", "SE-000271928")</f>
        <v>SE-000271928</v>
      </c>
      <c r="D4784" s="1" t="s">
        <v>0</v>
      </c>
      <c r="E4784" s="2">
        <v>0</v>
      </c>
      <c r="F4784" s="2">
        <v>0</v>
      </c>
      <c r="G4784" s="2">
        <v>0</v>
      </c>
      <c r="H4784" s="1" t="s">
        <v>0</v>
      </c>
      <c r="I4784" s="2">
        <v>0</v>
      </c>
      <c r="J4784" s="1">
        <v>45915.378587962965</v>
      </c>
    </row>
    <row r="4785" spans="1:10" x14ac:dyDescent="0.2">
      <c r="A4785" s="4" t="s">
        <v>1</v>
      </c>
      <c r="B4785" s="3" t="str">
        <f>HYPERLINK("https://otsuka-europe-crm.veevavault.com/ui/#object/approved_document__v/V5OZ025E82TFUPI", "Spain - HCP Survey Email - June 2025")</f>
        <v>Spain - HCP Survey Email - June 2025</v>
      </c>
      <c r="C4785" s="3" t="str">
        <f>HYPERLINK("https://otsuka-europe-crm.veevavault.com/ui/#object/sent_email__v/VBLZ025E82GN1CN", "SE-000271929")</f>
        <v>SE-000271929</v>
      </c>
      <c r="D4785" s="1">
        <v>45915.432291666664</v>
      </c>
      <c r="E4785" s="2">
        <v>1</v>
      </c>
      <c r="F4785" s="2">
        <v>1</v>
      </c>
      <c r="G4785" s="2">
        <v>0</v>
      </c>
      <c r="H4785" s="1" t="s">
        <v>0</v>
      </c>
      <c r="I4785" s="2">
        <v>0</v>
      </c>
      <c r="J4785" s="1">
        <v>45915.379918981482</v>
      </c>
    </row>
    <row r="4786" spans="1:10" x14ac:dyDescent="0.2">
      <c r="A4786" s="4" t="s">
        <v>1</v>
      </c>
      <c r="B4786" s="3" t="str">
        <f>HYPERLINK("https://otsuka-europe-crm.veevavault.com/ui/#object/approved_document__v/V5OZ025E82TFUPI", "Spain - HCP Survey Email - June 2025")</f>
        <v>Spain - HCP Survey Email - June 2025</v>
      </c>
      <c r="C4786" s="3" t="str">
        <f>HYPERLINK("https://otsuka-europe-crm.veevavault.com/ui/#object/sent_email__v/VBLZ025E82GN1CO", "SE-000271930")</f>
        <v>SE-000271930</v>
      </c>
      <c r="D4786" s="1">
        <v>45915.959722222222</v>
      </c>
      <c r="E4786" s="2">
        <v>1</v>
      </c>
      <c r="F4786" s="2">
        <v>1</v>
      </c>
      <c r="G4786" s="2">
        <v>0</v>
      </c>
      <c r="H4786" s="1" t="s">
        <v>0</v>
      </c>
      <c r="I4786" s="2">
        <v>0</v>
      </c>
      <c r="J4786" s="1">
        <v>45915.377766203703</v>
      </c>
    </row>
    <row r="4787" spans="1:10" x14ac:dyDescent="0.2">
      <c r="A4787" s="4" t="s">
        <v>1</v>
      </c>
      <c r="B4787" s="3" t="str">
        <f>HYPERLINK("https://otsuka-europe-crm.veevavault.com/ui/#object/approved_document__v/V5OZ025E82TFUPI", "Spain - HCP Survey Email - June 2025")</f>
        <v>Spain - HCP Survey Email - June 2025</v>
      </c>
      <c r="C4787" s="3" t="str">
        <f>HYPERLINK("https://otsuka-europe-crm.veevavault.com/ui/#object/sent_email__v/VBLZ025E82GN1CP", "SE-000271931")</f>
        <v>SE-000271931</v>
      </c>
      <c r="D4787" s="1">
        <v>45915.412916666668</v>
      </c>
      <c r="E4787" s="2">
        <v>1</v>
      </c>
      <c r="F4787" s="2">
        <v>1</v>
      </c>
      <c r="G4787" s="2">
        <v>1</v>
      </c>
      <c r="H4787" s="1">
        <v>45915.413113425922</v>
      </c>
      <c r="I4787" s="2">
        <v>1</v>
      </c>
      <c r="J4787" s="1">
        <v>45915.377615740741</v>
      </c>
    </row>
    <row r="4788" spans="1:10" x14ac:dyDescent="0.2">
      <c r="A4788" s="4" t="s">
        <v>1</v>
      </c>
      <c r="B4788" s="3" t="str">
        <f>HYPERLINK("https://otsuka-europe-crm.veevavault.com/ui/#object/approved_document__v/V5OZ025E82TFUPI", "Spain - HCP Survey Email - June 2025")</f>
        <v>Spain - HCP Survey Email - June 2025</v>
      </c>
      <c r="C4788" s="3" t="str">
        <f>HYPERLINK("https://otsuka-europe-crm.veevavault.com/ui/#object/sent_email__v/VBLZ025E82GN1CQ", "SE-000271932")</f>
        <v>SE-000271932</v>
      </c>
      <c r="D4788" s="1" t="s">
        <v>0</v>
      </c>
      <c r="E4788" s="2">
        <v>0</v>
      </c>
      <c r="F4788" s="2">
        <v>0</v>
      </c>
      <c r="G4788" s="2">
        <v>0</v>
      </c>
      <c r="H4788" s="1" t="s">
        <v>0</v>
      </c>
      <c r="I4788" s="2">
        <v>0</v>
      </c>
      <c r="J4788" s="1">
        <v>45915.378067129626</v>
      </c>
    </row>
    <row r="4789" spans="1:10" x14ac:dyDescent="0.2">
      <c r="A4789" s="4" t="s">
        <v>1</v>
      </c>
      <c r="B4789" s="3" t="str">
        <f>HYPERLINK("https://otsuka-europe-crm.veevavault.com/ui/#object/approved_document__v/V5OZ025E82TFUPI", "Spain - HCP Survey Email - June 2025")</f>
        <v>Spain - HCP Survey Email - June 2025</v>
      </c>
      <c r="C4789" s="3" t="str">
        <f>HYPERLINK("https://otsuka-europe-crm.veevavault.com/ui/#object/sent_email__v/VBLZ025E82GN1CR", "SE-000271933")</f>
        <v>SE-000271933</v>
      </c>
      <c r="D4789" s="1">
        <v>45915.731990740744</v>
      </c>
      <c r="E4789" s="2">
        <v>1</v>
      </c>
      <c r="F4789" s="2">
        <v>3</v>
      </c>
      <c r="G4789" s="2">
        <v>0</v>
      </c>
      <c r="H4789" s="1" t="s">
        <v>0</v>
      </c>
      <c r="I4789" s="2">
        <v>0</v>
      </c>
      <c r="J4789" s="1">
        <v>45915.378865740742</v>
      </c>
    </row>
    <row r="4790" spans="1:10" x14ac:dyDescent="0.2">
      <c r="A4790" s="4" t="s">
        <v>1</v>
      </c>
      <c r="B4790" s="3" t="str">
        <f>HYPERLINK("https://otsuka-europe-crm.veevavault.com/ui/#object/approved_document__v/V5OZ025E82TFUPI", "Spain - HCP Survey Email - June 2025")</f>
        <v>Spain - HCP Survey Email - June 2025</v>
      </c>
      <c r="C4790" s="3" t="str">
        <f>HYPERLINK("https://otsuka-europe-crm.veevavault.com/ui/#object/sent_email__v/VBLZ025E82GN1CS", "SE-000271934")</f>
        <v>SE-000271934</v>
      </c>
      <c r="D4790" s="1" t="s">
        <v>0</v>
      </c>
      <c r="E4790" s="2">
        <v>0</v>
      </c>
      <c r="F4790" s="2">
        <v>0</v>
      </c>
      <c r="G4790" s="2">
        <v>0</v>
      </c>
      <c r="H4790" s="1" t="s">
        <v>0</v>
      </c>
      <c r="I4790" s="2">
        <v>0</v>
      </c>
      <c r="J4790" s="1">
        <v>45915.379571759258</v>
      </c>
    </row>
    <row r="4791" spans="1:10" x14ac:dyDescent="0.2">
      <c r="A4791" s="4" t="s">
        <v>1</v>
      </c>
      <c r="B4791" s="3" t="str">
        <f>HYPERLINK("https://otsuka-europe-crm.veevavault.com/ui/#object/approved_document__v/V5OZ025E82TFUPI", "Spain - HCP Survey Email - June 2025")</f>
        <v>Spain - HCP Survey Email - June 2025</v>
      </c>
      <c r="C4791" s="3" t="str">
        <f>HYPERLINK("https://otsuka-europe-crm.veevavault.com/ui/#object/sent_email__v/VBLZ025E82GN1CT", "SE-000271935")</f>
        <v>SE-000271935</v>
      </c>
      <c r="D4791" s="1">
        <v>45919.397291666668</v>
      </c>
      <c r="E4791" s="2">
        <v>1</v>
      </c>
      <c r="F4791" s="2">
        <v>7</v>
      </c>
      <c r="G4791" s="2">
        <v>0</v>
      </c>
      <c r="H4791" s="1" t="s">
        <v>0</v>
      </c>
      <c r="I4791" s="2">
        <v>0</v>
      </c>
      <c r="J4791" s="1">
        <v>45915.379340277781</v>
      </c>
    </row>
    <row r="4792" spans="1:10" x14ac:dyDescent="0.2">
      <c r="A4792" s="4" t="s">
        <v>1</v>
      </c>
      <c r="B4792" s="3" t="str">
        <f>HYPERLINK("https://otsuka-europe-crm.veevavault.com/ui/#object/approved_document__v/V5OZ025E82TFUPI", "Spain - HCP Survey Email - June 2025")</f>
        <v>Spain - HCP Survey Email - June 2025</v>
      </c>
      <c r="C4792" s="3" t="str">
        <f>HYPERLINK("https://otsuka-europe-crm.veevavault.com/ui/#object/sent_email__v/VBLZ025E82GN1CU", "SE-000271936")</f>
        <v>SE-000271936</v>
      </c>
      <c r="D4792" s="1">
        <v>45916.386238425926</v>
      </c>
      <c r="E4792" s="2">
        <v>1</v>
      </c>
      <c r="F4792" s="2">
        <v>2</v>
      </c>
      <c r="G4792" s="2">
        <v>0</v>
      </c>
      <c r="H4792" s="1" t="s">
        <v>0</v>
      </c>
      <c r="I4792" s="2">
        <v>0</v>
      </c>
      <c r="J4792" s="1">
        <v>45915.377476851849</v>
      </c>
    </row>
    <row r="4793" spans="1:10" x14ac:dyDescent="0.2">
      <c r="A4793" s="4" t="s">
        <v>1</v>
      </c>
      <c r="B4793" s="3" t="str">
        <f>HYPERLINK("https://otsuka-europe-crm.veevavault.com/ui/#object/approved_document__v/V5OZ025E82TFUPI", "Spain - HCP Survey Email - June 2025")</f>
        <v>Spain - HCP Survey Email - June 2025</v>
      </c>
      <c r="C4793" s="3" t="str">
        <f>HYPERLINK("https://otsuka-europe-crm.veevavault.com/ui/#object/sent_email__v/VBLZ025E82GN1CV", "SE-000271937")</f>
        <v>SE-000271937</v>
      </c>
      <c r="D4793" s="1" t="s">
        <v>0</v>
      </c>
      <c r="E4793" s="2">
        <v>0</v>
      </c>
      <c r="F4793" s="2">
        <v>0</v>
      </c>
      <c r="G4793" s="2">
        <v>0</v>
      </c>
      <c r="H4793" s="1" t="s">
        <v>0</v>
      </c>
      <c r="I4793" s="2">
        <v>0</v>
      </c>
      <c r="J4793" s="1">
        <v>45915.37835648148</v>
      </c>
    </row>
    <row r="4794" spans="1:10" x14ac:dyDescent="0.2">
      <c r="A4794" s="4" t="s">
        <v>1</v>
      </c>
      <c r="B4794" s="3" t="str">
        <f>HYPERLINK("https://otsuka-europe-crm.veevavault.com/ui/#object/approved_document__v/V5OZ025E82TFUPI", "Spain - HCP Survey Email - June 2025")</f>
        <v>Spain - HCP Survey Email - June 2025</v>
      </c>
      <c r="C4794" s="3" t="str">
        <f>HYPERLINK("https://otsuka-europe-crm.veevavault.com/ui/#object/sent_email__v/VBLZ025E82GN1CW", "SE-000271938")</f>
        <v>SE-000271938</v>
      </c>
      <c r="D4794" s="1" t="s">
        <v>0</v>
      </c>
      <c r="E4794" s="2">
        <v>0</v>
      </c>
      <c r="F4794" s="2">
        <v>0</v>
      </c>
      <c r="G4794" s="2">
        <v>0</v>
      </c>
      <c r="H4794" s="1" t="s">
        <v>0</v>
      </c>
      <c r="I4794" s="2">
        <v>0</v>
      </c>
      <c r="J4794" s="1">
        <v>45915.379513888889</v>
      </c>
    </row>
    <row r="4795" spans="1:10" x14ac:dyDescent="0.2">
      <c r="A4795" s="4" t="s">
        <v>1</v>
      </c>
      <c r="B4795" s="3" t="str">
        <f>HYPERLINK("https://otsuka-europe-crm.veevavault.com/ui/#object/approved_document__v/V5OZ025E82TFUPI", "Spain - HCP Survey Email - June 2025")</f>
        <v>Spain - HCP Survey Email - June 2025</v>
      </c>
      <c r="C4795" s="3" t="str">
        <f>HYPERLINK("https://otsuka-europe-crm.veevavault.com/ui/#object/sent_email__v/VBLZ025E82GN1CX", "SE-000271939")</f>
        <v>SE-000271939</v>
      </c>
      <c r="D4795" s="1">
        <v>45926.871990740743</v>
      </c>
      <c r="E4795" s="2">
        <v>1</v>
      </c>
      <c r="F4795" s="2">
        <v>2</v>
      </c>
      <c r="G4795" s="2">
        <v>0</v>
      </c>
      <c r="H4795" s="1" t="s">
        <v>0</v>
      </c>
      <c r="I4795" s="2">
        <v>0</v>
      </c>
      <c r="J4795" s="1">
        <v>45915.379317129627</v>
      </c>
    </row>
    <row r="4796" spans="1:10" x14ac:dyDescent="0.2">
      <c r="A4796" s="4" t="s">
        <v>1</v>
      </c>
      <c r="B4796" s="3" t="str">
        <f>HYPERLINK("https://otsuka-europe-crm.veevavault.com/ui/#object/approved_document__v/V5OZ025E82TFUPI", "Spain - HCP Survey Email - June 2025")</f>
        <v>Spain - HCP Survey Email - June 2025</v>
      </c>
      <c r="C4796" s="3" t="str">
        <f>HYPERLINK("https://otsuka-europe-crm.veevavault.com/ui/#object/sent_email__v/VBLZ025E82GN1CY", "SE-000271940")</f>
        <v>SE-000271940</v>
      </c>
      <c r="D4796" s="1">
        <v>45940.26935185185</v>
      </c>
      <c r="E4796" s="2">
        <v>1</v>
      </c>
      <c r="F4796" s="2">
        <v>3</v>
      </c>
      <c r="G4796" s="2">
        <v>0</v>
      </c>
      <c r="H4796" s="1" t="s">
        <v>0</v>
      </c>
      <c r="I4796" s="2">
        <v>0</v>
      </c>
      <c r="J4796" s="1">
        <v>45915.377453703702</v>
      </c>
    </row>
    <row r="4797" spans="1:10" x14ac:dyDescent="0.2">
      <c r="A4797" s="4" t="s">
        <v>1</v>
      </c>
      <c r="B4797" s="3" t="str">
        <f>HYPERLINK("https://otsuka-europe-crm.veevavault.com/ui/#object/approved_document__v/V5OZ025E82TFUPI", "Spain - HCP Survey Email - June 2025")</f>
        <v>Spain - HCP Survey Email - June 2025</v>
      </c>
      <c r="C4797" s="3" t="str">
        <f>HYPERLINK("https://otsuka-europe-crm.veevavault.com/ui/#object/sent_email__v/VBLZ025E82GN1CZ", "SE-000271941")</f>
        <v>SE-000271941</v>
      </c>
      <c r="D4797" s="1" t="s">
        <v>0</v>
      </c>
      <c r="E4797" s="2">
        <v>0</v>
      </c>
      <c r="F4797" s="2">
        <v>0</v>
      </c>
      <c r="G4797" s="2">
        <v>0</v>
      </c>
      <c r="H4797" s="1" t="s">
        <v>0</v>
      </c>
      <c r="I4797" s="2">
        <v>0</v>
      </c>
      <c r="J4797" s="1">
        <v>45915.378379629627</v>
      </c>
    </row>
    <row r="4798" spans="1:10" x14ac:dyDescent="0.2">
      <c r="A4798" s="4" t="s">
        <v>1</v>
      </c>
      <c r="B4798" s="3" t="str">
        <f>HYPERLINK("https://otsuka-europe-crm.veevavault.com/ui/#object/approved_document__v/V5OZ025E82TFUPI", "Spain - HCP Survey Email - June 2025")</f>
        <v>Spain - HCP Survey Email - June 2025</v>
      </c>
      <c r="C4798" s="3" t="str">
        <f>HYPERLINK("https://otsuka-europe-crm.veevavault.com/ui/#object/sent_email__v/VBLZ025E82GN1D0", "SE-000271942")</f>
        <v>SE-000271942</v>
      </c>
      <c r="D4798" s="1" t="s">
        <v>0</v>
      </c>
      <c r="E4798" s="2">
        <v>0</v>
      </c>
      <c r="F4798" s="2">
        <v>0</v>
      </c>
      <c r="G4798" s="2">
        <v>0</v>
      </c>
      <c r="H4798" s="1" t="s">
        <v>0</v>
      </c>
      <c r="I4798" s="2">
        <v>0</v>
      </c>
      <c r="J4798" s="1">
        <v>45915.378055555557</v>
      </c>
    </row>
    <row r="4799" spans="1:10" x14ac:dyDescent="0.2">
      <c r="A4799" s="4" t="s">
        <v>1</v>
      </c>
      <c r="B4799" s="3" t="str">
        <f>HYPERLINK("https://otsuka-europe-crm.veevavault.com/ui/#object/approved_document__v/V5OZ025E82TFUPI", "Spain - HCP Survey Email - June 2025")</f>
        <v>Spain - HCP Survey Email - June 2025</v>
      </c>
      <c r="C4799" s="3" t="str">
        <f>HYPERLINK("https://otsuka-europe-crm.veevavault.com/ui/#object/sent_email__v/VBLZ025E82GN1D1", "SE-000271943")</f>
        <v>SE-000271943</v>
      </c>
      <c r="D4799" s="1">
        <v>45919.39576388889</v>
      </c>
      <c r="E4799" s="2">
        <v>1</v>
      </c>
      <c r="F4799" s="2">
        <v>3</v>
      </c>
      <c r="G4799" s="2">
        <v>0</v>
      </c>
      <c r="H4799" s="1" t="s">
        <v>0</v>
      </c>
      <c r="I4799" s="2">
        <v>0</v>
      </c>
      <c r="J4799" s="1">
        <v>45915.378564814811</v>
      </c>
    </row>
    <row r="4800" spans="1:10" x14ac:dyDescent="0.2">
      <c r="A4800" s="4" t="s">
        <v>1</v>
      </c>
      <c r="B4800" s="3" t="str">
        <f>HYPERLINK("https://otsuka-europe-crm.veevavault.com/ui/#object/approved_document__v/V5OZ025E82TFUPI", "Spain - HCP Survey Email - June 2025")</f>
        <v>Spain - HCP Survey Email - June 2025</v>
      </c>
      <c r="C4800" s="3" t="str">
        <f>HYPERLINK("https://otsuka-europe-crm.veevavault.com/ui/#object/sent_email__v/VBLZ025E82GN1D2", "SE-000271944")</f>
        <v>SE-000271944</v>
      </c>
      <c r="D4800" s="1" t="s">
        <v>0</v>
      </c>
      <c r="E4800" s="2">
        <v>0</v>
      </c>
      <c r="F4800" s="2">
        <v>0</v>
      </c>
      <c r="G4800" s="2">
        <v>0</v>
      </c>
      <c r="H4800" s="1" t="s">
        <v>0</v>
      </c>
      <c r="I4800" s="2">
        <v>0</v>
      </c>
      <c r="J4800" s="1">
        <v>45915.379837962966</v>
      </c>
    </row>
    <row r="4801" spans="1:10" x14ac:dyDescent="0.2">
      <c r="A4801" s="4" t="s">
        <v>1</v>
      </c>
      <c r="B4801" s="3" t="str">
        <f>HYPERLINK("https://otsuka-europe-crm.veevavault.com/ui/#object/approved_document__v/V5OZ025E82TFUPI", "Spain - HCP Survey Email - June 2025")</f>
        <v>Spain - HCP Survey Email - June 2025</v>
      </c>
      <c r="C4801" s="3" t="str">
        <f>HYPERLINK("https://otsuka-europe-crm.veevavault.com/ui/#object/sent_email__v/VBLZ025E82GN1D3", "SE-000271945")</f>
        <v>SE-000271945</v>
      </c>
      <c r="D4801" s="1" t="s">
        <v>0</v>
      </c>
      <c r="E4801" s="2">
        <v>0</v>
      </c>
      <c r="F4801" s="2">
        <v>0</v>
      </c>
      <c r="G4801" s="2">
        <v>0</v>
      </c>
      <c r="H4801" s="1" t="s">
        <v>0</v>
      </c>
      <c r="I4801" s="2">
        <v>0</v>
      </c>
      <c r="J4801" s="1">
        <v>45915.377835648149</v>
      </c>
    </row>
    <row r="4802" spans="1:10" x14ac:dyDescent="0.2">
      <c r="A4802" s="4" t="s">
        <v>1</v>
      </c>
      <c r="B4802" s="3" t="str">
        <f>HYPERLINK("https://otsuka-europe-crm.veevavault.com/ui/#object/approved_document__v/V5OZ025E82TFUPI", "Spain - HCP Survey Email - June 2025")</f>
        <v>Spain - HCP Survey Email - June 2025</v>
      </c>
      <c r="C4802" s="3" t="str">
        <f>HYPERLINK("https://otsuka-europe-crm.veevavault.com/ui/#object/sent_email__v/VBLZ025E82GN1D4", "SE-000271946")</f>
        <v>SE-000271946</v>
      </c>
      <c r="D4802" s="1" t="s">
        <v>0</v>
      </c>
      <c r="E4802" s="2">
        <v>0</v>
      </c>
      <c r="F4802" s="2">
        <v>0</v>
      </c>
      <c r="G4802" s="2">
        <v>0</v>
      </c>
      <c r="H4802" s="1" t="s">
        <v>0</v>
      </c>
      <c r="I4802" s="2">
        <v>0</v>
      </c>
      <c r="J4802" s="1">
        <v>45915.377615740741</v>
      </c>
    </row>
    <row r="4803" spans="1:10" x14ac:dyDescent="0.2">
      <c r="A4803" s="4" t="s">
        <v>1</v>
      </c>
      <c r="B4803" s="3" t="str">
        <f>HYPERLINK("https://otsuka-europe-crm.veevavault.com/ui/#object/approved_document__v/V5OZ025E82TFUPI", "Spain - HCP Survey Email - June 2025")</f>
        <v>Spain - HCP Survey Email - June 2025</v>
      </c>
      <c r="C4803" s="3" t="str">
        <f>HYPERLINK("https://otsuka-europe-crm.veevavault.com/ui/#object/sent_email__v/VBLZ025E82GN1D5", "SE-000271947")</f>
        <v>SE-000271947</v>
      </c>
      <c r="D4803" s="1">
        <v>45958.300752314812</v>
      </c>
      <c r="E4803" s="2">
        <v>1</v>
      </c>
      <c r="F4803" s="2">
        <v>2</v>
      </c>
      <c r="G4803" s="2">
        <v>0</v>
      </c>
      <c r="H4803" s="1" t="s">
        <v>0</v>
      </c>
      <c r="I4803" s="2">
        <v>0</v>
      </c>
      <c r="J4803" s="1">
        <v>45915.377962962964</v>
      </c>
    </row>
    <row r="4804" spans="1:10" x14ac:dyDescent="0.2">
      <c r="A4804" s="4" t="s">
        <v>1</v>
      </c>
      <c r="B4804" s="3" t="str">
        <f>HYPERLINK("https://otsuka-europe-crm.veevavault.com/ui/#object/approved_document__v/V5OZ025E82TFUPI", "Spain - HCP Survey Email - June 2025")</f>
        <v>Spain - HCP Survey Email - June 2025</v>
      </c>
      <c r="C4804" s="3" t="str">
        <f>HYPERLINK("https://otsuka-europe-crm.veevavault.com/ui/#object/sent_email__v/VBLZ025E82GN1D6", "SE-000271948")</f>
        <v>SE-000271948</v>
      </c>
      <c r="D4804" s="1" t="s">
        <v>0</v>
      </c>
      <c r="E4804" s="2">
        <v>0</v>
      </c>
      <c r="F4804" s="2">
        <v>0</v>
      </c>
      <c r="G4804" s="2">
        <v>0</v>
      </c>
      <c r="H4804" s="1" t="s">
        <v>0</v>
      </c>
      <c r="I4804" s="2">
        <v>0</v>
      </c>
      <c r="J4804" s="1">
        <v>45915.378946759258</v>
      </c>
    </row>
    <row r="4805" spans="1:10" x14ac:dyDescent="0.2">
      <c r="A4805" s="4" t="s">
        <v>1</v>
      </c>
      <c r="B4805" s="3" t="str">
        <f>HYPERLINK("https://otsuka-europe-crm.veevavault.com/ui/#object/approved_document__v/V5OZ025E82TFUPI", "Spain - HCP Survey Email - June 2025")</f>
        <v>Spain - HCP Survey Email - June 2025</v>
      </c>
      <c r="C4805" s="3" t="str">
        <f>HYPERLINK("https://otsuka-europe-crm.veevavault.com/ui/#object/sent_email__v/VBLZ025E82GN1D7", "SE-000271949")</f>
        <v>SE-000271949</v>
      </c>
      <c r="D4805" s="1">
        <v>45917.2578587963</v>
      </c>
      <c r="E4805" s="2">
        <v>1</v>
      </c>
      <c r="F4805" s="2">
        <v>2</v>
      </c>
      <c r="G4805" s="2">
        <v>0</v>
      </c>
      <c r="H4805" s="1" t="s">
        <v>0</v>
      </c>
      <c r="I4805" s="2">
        <v>0</v>
      </c>
      <c r="J4805" s="1">
        <v>45915.379548611112</v>
      </c>
    </row>
    <row r="4806" spans="1:10" x14ac:dyDescent="0.2">
      <c r="A4806" s="4" t="s">
        <v>1</v>
      </c>
      <c r="B4806" s="3" t="str">
        <f>HYPERLINK("https://otsuka-europe-crm.veevavault.com/ui/#object/approved_document__v/V5OZ025E82TFUPI", "Spain - HCP Survey Email - June 2025")</f>
        <v>Spain - HCP Survey Email - June 2025</v>
      </c>
      <c r="C4806" s="3" t="str">
        <f>HYPERLINK("https://otsuka-europe-crm.veevavault.com/ui/#object/sent_email__v/VBLZ025E82GN1D9", "SE-000271951")</f>
        <v>SE-000271951</v>
      </c>
      <c r="D4806" s="1" t="s">
        <v>0</v>
      </c>
      <c r="E4806" s="2">
        <v>0</v>
      </c>
      <c r="F4806" s="2">
        <v>0</v>
      </c>
      <c r="G4806" s="2">
        <v>0</v>
      </c>
      <c r="H4806" s="1" t="s">
        <v>0</v>
      </c>
      <c r="I4806" s="2">
        <v>0</v>
      </c>
      <c r="J4806" s="1">
        <v>45915.377465277779</v>
      </c>
    </row>
    <row r="4807" spans="1:10" x14ac:dyDescent="0.2">
      <c r="A4807" s="4" t="s">
        <v>1</v>
      </c>
      <c r="B4807" s="3" t="str">
        <f>HYPERLINK("https://otsuka-europe-crm.veevavault.com/ui/#object/approved_document__v/V5OZ025E82TFUPI", "Spain - HCP Survey Email - June 2025")</f>
        <v>Spain - HCP Survey Email - June 2025</v>
      </c>
      <c r="C4807" s="3" t="str">
        <f>HYPERLINK("https://otsuka-europe-crm.veevavault.com/ui/#object/sent_email__v/VBLZ025E82GN1DA", "SE-000271952")</f>
        <v>SE-000271952</v>
      </c>
      <c r="D4807" s="1">
        <v>45915.396168981482</v>
      </c>
      <c r="E4807" s="2">
        <v>1</v>
      </c>
      <c r="F4807" s="2">
        <v>2</v>
      </c>
      <c r="G4807" s="2">
        <v>0</v>
      </c>
      <c r="H4807" s="1" t="s">
        <v>0</v>
      </c>
      <c r="I4807" s="2">
        <v>0</v>
      </c>
      <c r="J4807" s="1">
        <v>45915.378472222219</v>
      </c>
    </row>
    <row r="4808" spans="1:10" x14ac:dyDescent="0.2">
      <c r="A4808" s="4" t="s">
        <v>1</v>
      </c>
      <c r="B4808" s="3" t="str">
        <f>HYPERLINK("https://otsuka-europe-crm.veevavault.com/ui/#object/approved_document__v/V5OZ025E82TFUPI", "Spain - HCP Survey Email - June 2025")</f>
        <v>Spain - HCP Survey Email - June 2025</v>
      </c>
      <c r="C4808" s="3" t="str">
        <f>HYPERLINK("https://otsuka-europe-crm.veevavault.com/ui/#object/sent_email__v/VBLZ025E82GN1DB", "SE-000271953")</f>
        <v>SE-000271953</v>
      </c>
      <c r="D4808" s="1" t="s">
        <v>0</v>
      </c>
      <c r="E4808" s="2">
        <v>0</v>
      </c>
      <c r="F4808" s="2">
        <v>0</v>
      </c>
      <c r="G4808" s="2">
        <v>0</v>
      </c>
      <c r="H4808" s="1" t="s">
        <v>0</v>
      </c>
      <c r="I4808" s="2">
        <v>0</v>
      </c>
      <c r="J4808" s="1">
        <v>45915.378136574072</v>
      </c>
    </row>
    <row r="4809" spans="1:10" x14ac:dyDescent="0.2">
      <c r="A4809" s="4" t="s">
        <v>1</v>
      </c>
      <c r="B4809" s="3" t="str">
        <f>HYPERLINK("https://otsuka-europe-crm.veevavault.com/ui/#object/approved_document__v/V5OZ025E82TFUPI", "Spain - HCP Survey Email - June 2025")</f>
        <v>Spain - HCP Survey Email - June 2025</v>
      </c>
      <c r="C4809" s="3" t="str">
        <f>HYPERLINK("https://otsuka-europe-crm.veevavault.com/ui/#object/sent_email__v/VBLZ025E82GN1DC", "SE-000271954")</f>
        <v>SE-000271954</v>
      </c>
      <c r="D4809" s="1" t="s">
        <v>0</v>
      </c>
      <c r="E4809" s="2">
        <v>0</v>
      </c>
      <c r="F4809" s="2">
        <v>0</v>
      </c>
      <c r="G4809" s="2">
        <v>0</v>
      </c>
      <c r="H4809" s="1" t="s">
        <v>0</v>
      </c>
      <c r="I4809" s="2">
        <v>0</v>
      </c>
      <c r="J4809" s="1">
        <v>45915.378541666665</v>
      </c>
    </row>
    <row r="4810" spans="1:10" x14ac:dyDescent="0.2">
      <c r="A4810" s="4" t="s">
        <v>1</v>
      </c>
      <c r="B4810" s="3" t="str">
        <f>HYPERLINK("https://otsuka-europe-crm.veevavault.com/ui/#object/approved_document__v/V5OZ025E82TFUPI", "Spain - HCP Survey Email - June 2025")</f>
        <v>Spain - HCP Survey Email - June 2025</v>
      </c>
      <c r="C4810" s="3" t="str">
        <f>HYPERLINK("https://otsuka-europe-crm.veevavault.com/ui/#object/sent_email__v/VBLZ025E82GN1DD", "SE-000271955")</f>
        <v>SE-000271955</v>
      </c>
      <c r="D4810" s="1">
        <v>45916.674502314818</v>
      </c>
      <c r="E4810" s="2">
        <v>1</v>
      </c>
      <c r="F4810" s="2">
        <v>1</v>
      </c>
      <c r="G4810" s="2">
        <v>0</v>
      </c>
      <c r="H4810" s="1" t="s">
        <v>0</v>
      </c>
      <c r="I4810" s="2">
        <v>0</v>
      </c>
      <c r="J4810" s="1">
        <v>45915.379861111112</v>
      </c>
    </row>
    <row r="4811" spans="1:10" x14ac:dyDescent="0.2">
      <c r="A4811" s="4" t="s">
        <v>1</v>
      </c>
      <c r="B4811" s="3" t="str">
        <f>HYPERLINK("https://otsuka-europe-crm.veevavault.com/ui/#object/approved_document__v/V5OZ025E82TFUPI", "Spain - HCP Survey Email - June 2025")</f>
        <v>Spain - HCP Survey Email - June 2025</v>
      </c>
      <c r="C4811" s="3" t="str">
        <f>HYPERLINK("https://otsuka-europe-crm.veevavault.com/ui/#object/sent_email__v/VBLZ025E82GN1DE", "SE-000271956")</f>
        <v>SE-000271956</v>
      </c>
      <c r="D4811" s="1">
        <v>45915.418715277781</v>
      </c>
      <c r="E4811" s="2">
        <v>1</v>
      </c>
      <c r="F4811" s="2">
        <v>1</v>
      </c>
      <c r="G4811" s="2">
        <v>1</v>
      </c>
      <c r="H4811" s="1">
        <v>45915.419432870367</v>
      </c>
      <c r="I4811" s="2">
        <v>2</v>
      </c>
      <c r="J4811" s="1">
        <v>45915.377766203703</v>
      </c>
    </row>
    <row r="4812" spans="1:10" x14ac:dyDescent="0.2">
      <c r="A4812" s="4" t="s">
        <v>1</v>
      </c>
      <c r="B4812" s="3" t="str">
        <f>HYPERLINK("https://otsuka-europe-crm.veevavault.com/ui/#object/approved_document__v/V5OZ025E82TFUPI", "Spain - HCP Survey Email - June 2025")</f>
        <v>Spain - HCP Survey Email - June 2025</v>
      </c>
      <c r="C4812" s="3" t="str">
        <f>HYPERLINK("https://otsuka-europe-crm.veevavault.com/ui/#object/sent_email__v/VBLZ025E82GN1DF", "SE-000271957")</f>
        <v>SE-000271957</v>
      </c>
      <c r="D4812" s="1" t="s">
        <v>0</v>
      </c>
      <c r="E4812" s="2">
        <v>0</v>
      </c>
      <c r="F4812" s="2">
        <v>0</v>
      </c>
      <c r="G4812" s="2">
        <v>0</v>
      </c>
      <c r="H4812" s="1" t="s">
        <v>0</v>
      </c>
      <c r="I4812" s="2">
        <v>0</v>
      </c>
      <c r="J4812" s="1">
        <v>45915.377604166664</v>
      </c>
    </row>
    <row r="4813" spans="1:10" x14ac:dyDescent="0.2">
      <c r="A4813" s="4" t="s">
        <v>1</v>
      </c>
      <c r="B4813" s="3" t="str">
        <f>HYPERLINK("https://otsuka-europe-crm.veevavault.com/ui/#object/approved_document__v/V5OZ025E82TFUPI", "Spain - HCP Survey Email - June 2025")</f>
        <v>Spain - HCP Survey Email - June 2025</v>
      </c>
      <c r="C4813" s="3" t="str">
        <f>HYPERLINK("https://otsuka-europe-crm.veevavault.com/ui/#object/sent_email__v/VBLZ025E82GN1DG", "SE-000271958")</f>
        <v>SE-000271958</v>
      </c>
      <c r="D4813" s="1" t="s">
        <v>0</v>
      </c>
      <c r="E4813" s="2">
        <v>0</v>
      </c>
      <c r="F4813" s="2">
        <v>0</v>
      </c>
      <c r="G4813" s="2">
        <v>0</v>
      </c>
      <c r="H4813" s="1" t="s">
        <v>0</v>
      </c>
      <c r="I4813" s="2">
        <v>0</v>
      </c>
      <c r="J4813" s="1">
        <v>45915.377916666665</v>
      </c>
    </row>
    <row r="4814" spans="1:10" x14ac:dyDescent="0.2">
      <c r="A4814" s="4" t="s">
        <v>1</v>
      </c>
      <c r="B4814" s="3" t="str">
        <f>HYPERLINK("https://otsuka-europe-crm.veevavault.com/ui/#object/approved_document__v/V5OZ025E82TFUPI", "Spain - HCP Survey Email - June 2025")</f>
        <v>Spain - HCP Survey Email - June 2025</v>
      </c>
      <c r="C4814" s="3" t="str">
        <f>HYPERLINK("https://otsuka-europe-crm.veevavault.com/ui/#object/sent_email__v/VBLZ025E82GN1DH", "SE-000271959")</f>
        <v>SE-000271959</v>
      </c>
      <c r="D4814" s="1">
        <v>45915.602962962963</v>
      </c>
      <c r="E4814" s="2">
        <v>1</v>
      </c>
      <c r="F4814" s="2">
        <v>1</v>
      </c>
      <c r="G4814" s="2">
        <v>1</v>
      </c>
      <c r="H4814" s="1">
        <v>45915.603171296294</v>
      </c>
      <c r="I4814" s="2">
        <v>1</v>
      </c>
      <c r="J4814" s="1">
        <v>45915.379016203704</v>
      </c>
    </row>
    <row r="4815" spans="1:10" x14ac:dyDescent="0.2">
      <c r="A4815" s="4" t="s">
        <v>1</v>
      </c>
      <c r="B4815" s="3" t="str">
        <f>HYPERLINK("https://otsuka-europe-crm.veevavault.com/ui/#object/approved_document__v/V5OZ025E82TFUPI", "Spain - HCP Survey Email - June 2025")</f>
        <v>Spain - HCP Survey Email - June 2025</v>
      </c>
      <c r="C4815" s="3" t="str">
        <f>HYPERLINK("https://otsuka-europe-crm.veevavault.com/ui/#object/sent_email__v/VBLZ025E82GN1DI", "SE-000271960")</f>
        <v>SE-000271960</v>
      </c>
      <c r="D4815" s="1" t="s">
        <v>0</v>
      </c>
      <c r="E4815" s="2">
        <v>0</v>
      </c>
      <c r="F4815" s="2">
        <v>0</v>
      </c>
      <c r="G4815" s="2">
        <v>0</v>
      </c>
      <c r="H4815" s="1" t="s">
        <v>0</v>
      </c>
      <c r="I4815" s="2">
        <v>0</v>
      </c>
      <c r="J4815" s="1">
        <v>45915.379652777781</v>
      </c>
    </row>
    <row r="4816" spans="1:10" x14ac:dyDescent="0.2">
      <c r="A4816" s="4" t="s">
        <v>1</v>
      </c>
      <c r="B4816" s="3" t="str">
        <f>HYPERLINK("https://otsuka-europe-crm.veevavault.com/ui/#object/approved_document__v/V5OZ025E82TFUPI", "Spain - HCP Survey Email - June 2025")</f>
        <v>Spain - HCP Survey Email - June 2025</v>
      </c>
      <c r="C4816" s="3" t="str">
        <f>HYPERLINK("https://otsuka-europe-crm.veevavault.com/ui/#object/sent_email__v/VBLZ025E82GN1DJ", "SE-000271961")</f>
        <v>SE-000271961</v>
      </c>
      <c r="D4816" s="1" t="s">
        <v>0</v>
      </c>
      <c r="E4816" s="2">
        <v>0</v>
      </c>
      <c r="F4816" s="2">
        <v>0</v>
      </c>
      <c r="G4816" s="2">
        <v>0</v>
      </c>
      <c r="H4816" s="1" t="s">
        <v>0</v>
      </c>
      <c r="I4816" s="2">
        <v>0</v>
      </c>
      <c r="J4816" s="1">
        <v>45915.379374999997</v>
      </c>
    </row>
    <row r="4817" spans="1:10" x14ac:dyDescent="0.2">
      <c r="A4817" s="4" t="s">
        <v>1</v>
      </c>
      <c r="B4817" s="3" t="str">
        <f>HYPERLINK("https://otsuka-europe-crm.veevavault.com/ui/#object/approved_document__v/V5OZ025E82TFUPI", "Spain - HCP Survey Email - June 2025")</f>
        <v>Spain - HCP Survey Email - June 2025</v>
      </c>
      <c r="C4817" s="3" t="str">
        <f>HYPERLINK("https://otsuka-europe-crm.veevavault.com/ui/#object/sent_email__v/VBLZ025E82GN1DK", "SE-000271962")</f>
        <v>SE-000271962</v>
      </c>
      <c r="D4817" s="1" t="s">
        <v>0</v>
      </c>
      <c r="E4817" s="2">
        <v>0</v>
      </c>
      <c r="F4817" s="2">
        <v>0</v>
      </c>
      <c r="G4817" s="2">
        <v>0</v>
      </c>
      <c r="H4817" s="1" t="s">
        <v>0</v>
      </c>
      <c r="I4817" s="2">
        <v>0</v>
      </c>
      <c r="J4817" s="1">
        <v>45915.377430555556</v>
      </c>
    </row>
    <row r="4818" spans="1:10" x14ac:dyDescent="0.2">
      <c r="A4818" s="4" t="s">
        <v>1</v>
      </c>
      <c r="B4818" s="3" t="str">
        <f>HYPERLINK("https://otsuka-europe-crm.veevavault.com/ui/#object/approved_document__v/V5OZ025E82TFUPI", "Spain - HCP Survey Email - June 2025")</f>
        <v>Spain - HCP Survey Email - June 2025</v>
      </c>
      <c r="C4818" s="3" t="str">
        <f>HYPERLINK("https://otsuka-europe-crm.veevavault.com/ui/#object/sent_email__v/VBLZ025E82GN1DL", "SE-000271963")</f>
        <v>SE-000271963</v>
      </c>
      <c r="D4818" s="1">
        <v>45916.625277777777</v>
      </c>
      <c r="E4818" s="2">
        <v>1</v>
      </c>
      <c r="F4818" s="2">
        <v>2</v>
      </c>
      <c r="G4818" s="2">
        <v>1</v>
      </c>
      <c r="H4818" s="1">
        <v>45916.625451388885</v>
      </c>
      <c r="I4818" s="2">
        <v>1</v>
      </c>
      <c r="J4818" s="1">
        <v>45915.37841435185</v>
      </c>
    </row>
    <row r="4819" spans="1:10" x14ac:dyDescent="0.2">
      <c r="A4819" s="4" t="s">
        <v>1</v>
      </c>
      <c r="B4819" s="3" t="str">
        <f>HYPERLINK("https://otsuka-europe-crm.veevavault.com/ui/#object/approved_document__v/V5OZ025E82TFUPI", "Spain - HCP Survey Email - June 2025")</f>
        <v>Spain - HCP Survey Email - June 2025</v>
      </c>
      <c r="C4819" s="3" t="str">
        <f>HYPERLINK("https://otsuka-europe-crm.veevavault.com/ui/#object/sent_email__v/VBLZ025E82GN1DM", "SE-000271964")</f>
        <v>SE-000271964</v>
      </c>
      <c r="D4819" s="1" t="s">
        <v>0</v>
      </c>
      <c r="E4819" s="2">
        <v>0</v>
      </c>
      <c r="F4819" s="2">
        <v>0</v>
      </c>
      <c r="G4819" s="2">
        <v>0</v>
      </c>
      <c r="H4819" s="1" t="s">
        <v>0</v>
      </c>
      <c r="I4819" s="2">
        <v>0</v>
      </c>
      <c r="J4819" s="1">
        <v>45915.378854166665</v>
      </c>
    </row>
    <row r="4820" spans="1:10" x14ac:dyDescent="0.2">
      <c r="A4820" s="4" t="s">
        <v>1</v>
      </c>
      <c r="B4820" s="3" t="str">
        <f>HYPERLINK("https://otsuka-europe-crm.veevavault.com/ui/#object/approved_document__v/V5OZ025E82TFUPI", "Spain - HCP Survey Email - June 2025")</f>
        <v>Spain - HCP Survey Email - June 2025</v>
      </c>
      <c r="C4820" s="3" t="str">
        <f>HYPERLINK("https://otsuka-europe-crm.veevavault.com/ui/#object/sent_email__v/VBLZ025E82GN1DN", "SE-000271965")</f>
        <v>SE-000271965</v>
      </c>
      <c r="D4820" s="1">
        <v>45915.861250000002</v>
      </c>
      <c r="E4820" s="2">
        <v>1</v>
      </c>
      <c r="F4820" s="2">
        <v>2</v>
      </c>
      <c r="G4820" s="2">
        <v>1</v>
      </c>
      <c r="H4820" s="1">
        <v>45915.390474537038</v>
      </c>
      <c r="I4820" s="2">
        <v>1</v>
      </c>
      <c r="J4820" s="1">
        <v>45915.379629629628</v>
      </c>
    </row>
    <row r="4821" spans="1:10" x14ac:dyDescent="0.2">
      <c r="A4821" s="4" t="s">
        <v>1</v>
      </c>
      <c r="B4821" s="3" t="str">
        <f>HYPERLINK("https://otsuka-europe-crm.veevavault.com/ui/#object/approved_document__v/V5OZ025E82TFUPI", "Spain - HCP Survey Email - June 2025")</f>
        <v>Spain - HCP Survey Email - June 2025</v>
      </c>
      <c r="C4821" s="3" t="str">
        <f>HYPERLINK("https://otsuka-europe-crm.veevavault.com/ui/#object/sent_email__v/VBLZ025E82GN1DO", "SE-000271966")</f>
        <v>SE-000271966</v>
      </c>
      <c r="D4821" s="1">
        <v>45915.389131944445</v>
      </c>
      <c r="E4821" s="2">
        <v>1</v>
      </c>
      <c r="F4821" s="2">
        <v>2</v>
      </c>
      <c r="G4821" s="2">
        <v>0</v>
      </c>
      <c r="H4821" s="1" t="s">
        <v>0</v>
      </c>
      <c r="I4821" s="2">
        <v>0</v>
      </c>
      <c r="J4821" s="1">
        <v>45915.379432870373</v>
      </c>
    </row>
    <row r="4822" spans="1:10" x14ac:dyDescent="0.2">
      <c r="A4822" s="4" t="s">
        <v>1</v>
      </c>
      <c r="B4822" s="3" t="str">
        <f>HYPERLINK("https://otsuka-europe-crm.veevavault.com/ui/#object/approved_document__v/V5OZ025E82TFUPI", "Spain - HCP Survey Email - June 2025")</f>
        <v>Spain - HCP Survey Email - June 2025</v>
      </c>
      <c r="C4822" s="3" t="str">
        <f>HYPERLINK("https://otsuka-europe-crm.veevavault.com/ui/#object/sent_email__v/VBLZ025E82GN1DP", "SE-000271967")</f>
        <v>SE-000271967</v>
      </c>
      <c r="D4822" s="1" t="s">
        <v>0</v>
      </c>
      <c r="E4822" s="2">
        <v>0</v>
      </c>
      <c r="F4822" s="2">
        <v>0</v>
      </c>
      <c r="G4822" s="2">
        <v>0</v>
      </c>
      <c r="H4822" s="1" t="s">
        <v>0</v>
      </c>
      <c r="I4822" s="2">
        <v>0</v>
      </c>
      <c r="J4822" s="1">
        <v>45915.377488425926</v>
      </c>
    </row>
    <row r="4823" spans="1:10" x14ac:dyDescent="0.2">
      <c r="A4823" s="4" t="s">
        <v>1</v>
      </c>
      <c r="B4823" s="3" t="str">
        <f>HYPERLINK("https://otsuka-europe-crm.veevavault.com/ui/#object/approved_document__v/V5OZ025E82TFUPI", "Spain - HCP Survey Email - June 2025")</f>
        <v>Spain - HCP Survey Email - June 2025</v>
      </c>
      <c r="C4823" s="3" t="str">
        <f>HYPERLINK("https://otsuka-europe-crm.veevavault.com/ui/#object/sent_email__v/VBLZ025E82GN1DQ", "SE-000271968")</f>
        <v>SE-000271968</v>
      </c>
      <c r="D4823" s="1">
        <v>45915.914074074077</v>
      </c>
      <c r="E4823" s="2">
        <v>1</v>
      </c>
      <c r="F4823" s="2">
        <v>1</v>
      </c>
      <c r="G4823" s="2">
        <v>0</v>
      </c>
      <c r="H4823" s="1" t="s">
        <v>0</v>
      </c>
      <c r="I4823" s="2">
        <v>0</v>
      </c>
      <c r="J4823" s="1">
        <v>45915.378252314818</v>
      </c>
    </row>
    <row r="4824" spans="1:10" x14ac:dyDescent="0.2">
      <c r="A4824" s="4" t="s">
        <v>1</v>
      </c>
      <c r="B4824" s="3" t="str">
        <f>HYPERLINK("https://otsuka-europe-crm.veevavault.com/ui/#object/approved_document__v/V5OZ025E82TFUPI", "Spain - HCP Survey Email - June 2025")</f>
        <v>Spain - HCP Survey Email - June 2025</v>
      </c>
      <c r="C4824" s="3" t="str">
        <f>HYPERLINK("https://otsuka-europe-crm.veevavault.com/ui/#object/sent_email__v/VBLZ025E82GN1DR", "SE-000271969")</f>
        <v>SE-000271969</v>
      </c>
      <c r="D4824" s="1" t="s">
        <v>0</v>
      </c>
      <c r="E4824" s="2">
        <v>0</v>
      </c>
      <c r="F4824" s="2">
        <v>0</v>
      </c>
      <c r="G4824" s="2">
        <v>0</v>
      </c>
      <c r="H4824" s="1" t="s">
        <v>0</v>
      </c>
      <c r="I4824" s="2">
        <v>0</v>
      </c>
      <c r="J4824" s="1">
        <v>45915.378136574072</v>
      </c>
    </row>
    <row r="4825" spans="1:10" x14ac:dyDescent="0.2">
      <c r="A4825" s="4" t="s">
        <v>1</v>
      </c>
      <c r="B4825" s="3" t="str">
        <f>HYPERLINK("https://otsuka-europe-crm.veevavault.com/ui/#object/approved_document__v/V5OZ025E82TFUPI", "Spain - HCP Survey Email - June 2025")</f>
        <v>Spain - HCP Survey Email - June 2025</v>
      </c>
      <c r="C4825" s="3" t="str">
        <f>HYPERLINK("https://otsuka-europe-crm.veevavault.com/ui/#object/sent_email__v/VBLZ025E82GN1DS", "SE-000271970")</f>
        <v>SE-000271970</v>
      </c>
      <c r="D4825" s="1">
        <v>45915.687268518515</v>
      </c>
      <c r="E4825" s="2">
        <v>1</v>
      </c>
      <c r="F4825" s="2">
        <v>1</v>
      </c>
      <c r="G4825" s="2">
        <v>0</v>
      </c>
      <c r="H4825" s="1" t="s">
        <v>0</v>
      </c>
      <c r="I4825" s="2">
        <v>0</v>
      </c>
      <c r="J4825" s="1">
        <v>45915.378622685188</v>
      </c>
    </row>
    <row r="4826" spans="1:10" x14ac:dyDescent="0.2">
      <c r="A4826" s="4" t="s">
        <v>1</v>
      </c>
      <c r="B4826" s="3" t="str">
        <f>HYPERLINK("https://otsuka-europe-crm.veevavault.com/ui/#object/approved_document__v/V5OZ025E82TFUPI", "Spain - HCP Survey Email - June 2025")</f>
        <v>Spain - HCP Survey Email - June 2025</v>
      </c>
      <c r="C4826" s="3" t="str">
        <f>HYPERLINK("https://otsuka-europe-crm.veevavault.com/ui/#object/sent_email__v/VBLZ025E82GN1DT", "SE-000271971")</f>
        <v>SE-000271971</v>
      </c>
      <c r="D4826" s="1">
        <v>45916.01902777778</v>
      </c>
      <c r="E4826" s="2">
        <v>1</v>
      </c>
      <c r="F4826" s="2">
        <v>2</v>
      </c>
      <c r="G4826" s="2">
        <v>0</v>
      </c>
      <c r="H4826" s="1" t="s">
        <v>0</v>
      </c>
      <c r="I4826" s="2">
        <v>0</v>
      </c>
      <c r="J4826" s="1">
        <v>45915.379872685182</v>
      </c>
    </row>
    <row r="4827" spans="1:10" x14ac:dyDescent="0.2">
      <c r="A4827" s="4" t="s">
        <v>1</v>
      </c>
      <c r="B4827" s="3" t="str">
        <f>HYPERLINK("https://otsuka-europe-crm.veevavault.com/ui/#object/approved_document__v/V5OZ025E82TFUPI", "Spain - HCP Survey Email - June 2025")</f>
        <v>Spain - HCP Survey Email - June 2025</v>
      </c>
      <c r="C4827" s="3" t="str">
        <f>HYPERLINK("https://otsuka-europe-crm.veevavault.com/ui/#object/sent_email__v/VBLZ025E82GN1DU", "SE-000271972")</f>
        <v>SE-000271972</v>
      </c>
      <c r="D4827" s="1" t="s">
        <v>0</v>
      </c>
      <c r="E4827" s="2">
        <v>0</v>
      </c>
      <c r="F4827" s="2">
        <v>0</v>
      </c>
      <c r="G4827" s="2">
        <v>0</v>
      </c>
      <c r="H4827" s="1" t="s">
        <v>0</v>
      </c>
      <c r="I4827" s="2">
        <v>0</v>
      </c>
      <c r="J4827" s="1">
        <v>45915.377800925926</v>
      </c>
    </row>
    <row r="4828" spans="1:10" x14ac:dyDescent="0.2">
      <c r="A4828" s="4" t="s">
        <v>1</v>
      </c>
      <c r="B4828" s="3" t="str">
        <f>HYPERLINK("https://otsuka-europe-crm.veevavault.com/ui/#object/approved_document__v/V5OZ025E82TFUPI", "Spain - HCP Survey Email - June 2025")</f>
        <v>Spain - HCP Survey Email - June 2025</v>
      </c>
      <c r="C4828" s="3" t="str">
        <f>HYPERLINK("https://otsuka-europe-crm.veevavault.com/ui/#object/sent_email__v/VBLZ025E82GN1DV", "SE-000271973")</f>
        <v>SE-000271973</v>
      </c>
      <c r="D4828" s="1" t="s">
        <v>0</v>
      </c>
      <c r="E4828" s="2">
        <v>0</v>
      </c>
      <c r="F4828" s="2">
        <v>0</v>
      </c>
      <c r="G4828" s="2">
        <v>0</v>
      </c>
      <c r="H4828" s="1" t="s">
        <v>0</v>
      </c>
      <c r="I4828" s="2">
        <v>0</v>
      </c>
      <c r="J4828" s="1">
        <v>45915.37777777778</v>
      </c>
    </row>
    <row r="4829" spans="1:10" x14ac:dyDescent="0.2">
      <c r="A4829" s="4" t="s">
        <v>1</v>
      </c>
      <c r="B4829" s="3" t="str">
        <f>HYPERLINK("https://otsuka-europe-crm.veevavault.com/ui/#object/approved_document__v/V5OZ025E82TFUPI", "Spain - HCP Survey Email - June 2025")</f>
        <v>Spain - HCP Survey Email - June 2025</v>
      </c>
      <c r="C4829" s="3" t="str">
        <f>HYPERLINK("https://otsuka-europe-crm.veevavault.com/ui/#object/sent_email__v/VBLZ025E82GN1DW", "SE-000271974")</f>
        <v>SE-000271974</v>
      </c>
      <c r="D4829" s="1" t="s">
        <v>0</v>
      </c>
      <c r="E4829" s="2">
        <v>0</v>
      </c>
      <c r="F4829" s="2">
        <v>0</v>
      </c>
      <c r="G4829" s="2">
        <v>0</v>
      </c>
      <c r="H4829" s="1" t="s">
        <v>0</v>
      </c>
      <c r="I4829" s="2">
        <v>0</v>
      </c>
      <c r="J4829" s="1">
        <v>45915.378009259257</v>
      </c>
    </row>
    <row r="4830" spans="1:10" x14ac:dyDescent="0.2">
      <c r="A4830" s="4" t="s">
        <v>1</v>
      </c>
      <c r="B4830" s="3" t="str">
        <f>HYPERLINK("https://otsuka-europe-crm.veevavault.com/ui/#object/approved_document__v/V5OZ025E82TFUPI", "Spain - HCP Survey Email - June 2025")</f>
        <v>Spain - HCP Survey Email - June 2025</v>
      </c>
      <c r="C4830" s="3" t="str">
        <f>HYPERLINK("https://otsuka-europe-crm.veevavault.com/ui/#object/sent_email__v/VBLZ025E82GN1DX", "SE-000271975")</f>
        <v>SE-000271975</v>
      </c>
      <c r="D4830" s="1" t="s">
        <v>0</v>
      </c>
      <c r="E4830" s="2">
        <v>0</v>
      </c>
      <c r="F4830" s="2">
        <v>0</v>
      </c>
      <c r="G4830" s="2">
        <v>0</v>
      </c>
      <c r="H4830" s="1" t="s">
        <v>0</v>
      </c>
      <c r="I4830" s="2">
        <v>0</v>
      </c>
      <c r="J4830" s="1">
        <v>45915.378888888888</v>
      </c>
    </row>
    <row r="4831" spans="1:10" x14ac:dyDescent="0.2">
      <c r="A4831" s="4" t="s">
        <v>1</v>
      </c>
      <c r="B4831" s="3" t="str">
        <f>HYPERLINK("https://otsuka-europe-crm.veevavault.com/ui/#object/approved_document__v/V5OZ025E82TFUPI", "Spain - HCP Survey Email - June 2025")</f>
        <v>Spain - HCP Survey Email - June 2025</v>
      </c>
      <c r="C4831" s="3" t="str">
        <f>HYPERLINK("https://otsuka-europe-crm.veevavault.com/ui/#object/sent_email__v/VBLZ025E82GN1DY", "SE-000271976")</f>
        <v>SE-000271976</v>
      </c>
      <c r="D4831" s="1" t="s">
        <v>0</v>
      </c>
      <c r="E4831" s="2">
        <v>0</v>
      </c>
      <c r="F4831" s="2">
        <v>0</v>
      </c>
      <c r="G4831" s="2">
        <v>0</v>
      </c>
      <c r="H4831" s="1" t="s">
        <v>0</v>
      </c>
      <c r="I4831" s="2">
        <v>0</v>
      </c>
      <c r="J4831" s="1">
        <v>45915.379583333335</v>
      </c>
    </row>
    <row r="4832" spans="1:10" x14ac:dyDescent="0.2">
      <c r="A4832" s="4" t="s">
        <v>1</v>
      </c>
      <c r="B4832" s="3" t="str">
        <f>HYPERLINK("https://otsuka-europe-crm.veevavault.com/ui/#object/approved_document__v/V5OZ025E82TFUPI", "Spain - HCP Survey Email - June 2025")</f>
        <v>Spain - HCP Survey Email - June 2025</v>
      </c>
      <c r="C4832" s="3" t="str">
        <f>HYPERLINK("https://otsuka-europe-crm.veevavault.com/ui/#object/sent_email__v/VBLZ025E82GN1DZ", "SE-000271977")</f>
        <v>SE-000271977</v>
      </c>
      <c r="D4832" s="1">
        <v>45924.278680555559</v>
      </c>
      <c r="E4832" s="2">
        <v>1</v>
      </c>
      <c r="F4832" s="2">
        <v>8</v>
      </c>
      <c r="G4832" s="2">
        <v>0</v>
      </c>
      <c r="H4832" s="1" t="s">
        <v>0</v>
      </c>
      <c r="I4832" s="2">
        <v>0</v>
      </c>
      <c r="J4832" s="1">
        <v>45915.379583333335</v>
      </c>
    </row>
    <row r="4833" spans="1:10" x14ac:dyDescent="0.2">
      <c r="A4833" s="4" t="s">
        <v>1</v>
      </c>
      <c r="B4833" s="3" t="str">
        <f>HYPERLINK("https://otsuka-europe-crm.veevavault.com/ui/#object/approved_document__v/V5OZ025E82TFUPI", "Spain - HCP Survey Email - June 2025")</f>
        <v>Spain - HCP Survey Email - June 2025</v>
      </c>
      <c r="C4833" s="3" t="str">
        <f>HYPERLINK("https://otsuka-europe-crm.veevavault.com/ui/#object/sent_email__v/VBLZ025E82GN1E0", "SE-000271978")</f>
        <v>SE-000271978</v>
      </c>
      <c r="D4833" s="1" t="s">
        <v>0</v>
      </c>
      <c r="E4833" s="2">
        <v>0</v>
      </c>
      <c r="F4833" s="2">
        <v>0</v>
      </c>
      <c r="G4833" s="2">
        <v>0</v>
      </c>
      <c r="H4833" s="1" t="s">
        <v>0</v>
      </c>
      <c r="I4833" s="2">
        <v>0</v>
      </c>
      <c r="J4833" s="1">
        <v>45915.377442129633</v>
      </c>
    </row>
    <row r="4834" spans="1:10" x14ac:dyDescent="0.2">
      <c r="A4834" s="4" t="s">
        <v>1</v>
      </c>
      <c r="B4834" s="3" t="str">
        <f>HYPERLINK("https://otsuka-europe-crm.veevavault.com/ui/#object/approved_document__v/V5OZ025E82TFUPI", "Spain - HCP Survey Email - June 2025")</f>
        <v>Spain - HCP Survey Email - June 2025</v>
      </c>
      <c r="C4834" s="3" t="str">
        <f>HYPERLINK("https://otsuka-europe-crm.veevavault.com/ui/#object/sent_email__v/VBLZ025E82GN1E1", "SE-000271979")</f>
        <v>SE-000271979</v>
      </c>
      <c r="D4834" s="1">
        <v>45978.556354166663</v>
      </c>
      <c r="E4834" s="2">
        <v>1</v>
      </c>
      <c r="F4834" s="2">
        <v>4</v>
      </c>
      <c r="G4834" s="2">
        <v>0</v>
      </c>
      <c r="H4834" s="1" t="s">
        <v>0</v>
      </c>
      <c r="I4834" s="2">
        <v>0</v>
      </c>
      <c r="J4834" s="1">
        <v>45915.378252314818</v>
      </c>
    </row>
    <row r="4835" spans="1:10" x14ac:dyDescent="0.2">
      <c r="A4835" s="4" t="s">
        <v>1</v>
      </c>
      <c r="B4835" s="3" t="str">
        <f>HYPERLINK("https://otsuka-europe-crm.veevavault.com/ui/#object/approved_document__v/V5OZ025E82TFUPI", "Spain - HCP Survey Email - June 2025")</f>
        <v>Spain - HCP Survey Email - June 2025</v>
      </c>
      <c r="C4835" s="3" t="str">
        <f>HYPERLINK("https://otsuka-europe-crm.veevavault.com/ui/#object/sent_email__v/VBLZ025E82GN1E2", "SE-000271980")</f>
        <v>SE-000271980</v>
      </c>
      <c r="D4835" s="1">
        <v>45915.379201388889</v>
      </c>
      <c r="E4835" s="2">
        <v>1</v>
      </c>
      <c r="F4835" s="2">
        <v>1</v>
      </c>
      <c r="G4835" s="2">
        <v>1</v>
      </c>
      <c r="H4835" s="1">
        <v>45915.379525462966</v>
      </c>
      <c r="I4835" s="2">
        <v>1</v>
      </c>
      <c r="J4835" s="1">
        <v>45915.378125000003</v>
      </c>
    </row>
    <row r="4836" spans="1:10" x14ac:dyDescent="0.2">
      <c r="A4836" s="4" t="s">
        <v>1</v>
      </c>
      <c r="B4836" s="3" t="str">
        <f>HYPERLINK("https://otsuka-europe-crm.veevavault.com/ui/#object/approved_document__v/V5OZ025E82TFUPI", "Spain - HCP Survey Email - June 2025")</f>
        <v>Spain - HCP Survey Email - June 2025</v>
      </c>
      <c r="C4836" s="3" t="str">
        <f>HYPERLINK("https://otsuka-europe-crm.veevavault.com/ui/#object/sent_email__v/VBLZ025E82GN1E3", "SE-000271981")</f>
        <v>SE-000271981</v>
      </c>
      <c r="D4836" s="1">
        <v>45917.635636574072</v>
      </c>
      <c r="E4836" s="2">
        <v>1</v>
      </c>
      <c r="F4836" s="2">
        <v>2</v>
      </c>
      <c r="G4836" s="2">
        <v>0</v>
      </c>
      <c r="H4836" s="1" t="s">
        <v>0</v>
      </c>
      <c r="I4836" s="2">
        <v>0</v>
      </c>
      <c r="J4836" s="1">
        <v>45915.378576388888</v>
      </c>
    </row>
    <row r="4837" spans="1:10" x14ac:dyDescent="0.2">
      <c r="A4837" s="4" t="s">
        <v>1</v>
      </c>
      <c r="B4837" s="3" t="str">
        <f>HYPERLINK("https://otsuka-europe-crm.veevavault.com/ui/#object/approved_document__v/V5OZ025E82TFUPI", "Spain - HCP Survey Email - June 2025")</f>
        <v>Spain - HCP Survey Email - June 2025</v>
      </c>
      <c r="C4837" s="3" t="str">
        <f>HYPERLINK("https://otsuka-europe-crm.veevavault.com/ui/#object/sent_email__v/VBLZ025E82GN1E4", "SE-000271982")</f>
        <v>SE-000271982</v>
      </c>
      <c r="D4837" s="1" t="s">
        <v>0</v>
      </c>
      <c r="E4837" s="2">
        <v>0</v>
      </c>
      <c r="F4837" s="2">
        <v>0</v>
      </c>
      <c r="G4837" s="2">
        <v>0</v>
      </c>
      <c r="H4837" s="1" t="s">
        <v>0</v>
      </c>
      <c r="I4837" s="2">
        <v>0</v>
      </c>
      <c r="J4837" s="1">
        <v>45915.380057870374</v>
      </c>
    </row>
    <row r="4838" spans="1:10" x14ac:dyDescent="0.2">
      <c r="A4838" s="4" t="s">
        <v>1</v>
      </c>
      <c r="B4838" s="3" t="str">
        <f>HYPERLINK("https://otsuka-europe-crm.veevavault.com/ui/#object/approved_document__v/V5OZ025E82TFUPI", "Spain - HCP Survey Email - June 2025")</f>
        <v>Spain - HCP Survey Email - June 2025</v>
      </c>
      <c r="C4838" s="3" t="str">
        <f>HYPERLINK("https://otsuka-europe-crm.veevavault.com/ui/#object/sent_email__v/VBLZ025E82GN1E5", "SE-000271983")</f>
        <v>SE-000271983</v>
      </c>
      <c r="D4838" s="1" t="s">
        <v>0</v>
      </c>
      <c r="E4838" s="2">
        <v>0</v>
      </c>
      <c r="F4838" s="2">
        <v>0</v>
      </c>
      <c r="G4838" s="2">
        <v>0</v>
      </c>
      <c r="H4838" s="1" t="s">
        <v>0</v>
      </c>
      <c r="I4838" s="2">
        <v>0</v>
      </c>
      <c r="J4838" s="1">
        <v>45915.377800925926</v>
      </c>
    </row>
    <row r="4839" spans="1:10" x14ac:dyDescent="0.2">
      <c r="A4839" s="4" t="s">
        <v>1</v>
      </c>
      <c r="B4839" s="3" t="str">
        <f>HYPERLINK("https://otsuka-europe-crm.veevavault.com/ui/#object/approved_document__v/V5OZ025E82TFUPI", "Spain - HCP Survey Email - June 2025")</f>
        <v>Spain - HCP Survey Email - June 2025</v>
      </c>
      <c r="C4839" s="3" t="str">
        <f>HYPERLINK("https://otsuka-europe-crm.veevavault.com/ui/#object/sent_email__v/VBLZ025E82GN1E6", "SE-000271984")</f>
        <v>SE-000271984</v>
      </c>
      <c r="D4839" s="1" t="s">
        <v>0</v>
      </c>
      <c r="E4839" s="2">
        <v>0</v>
      </c>
      <c r="F4839" s="2">
        <v>0</v>
      </c>
      <c r="G4839" s="2">
        <v>0</v>
      </c>
      <c r="H4839" s="1" t="s">
        <v>0</v>
      </c>
      <c r="I4839" s="2">
        <v>0</v>
      </c>
      <c r="J4839" s="1">
        <v>45915.377511574072</v>
      </c>
    </row>
    <row r="4840" spans="1:10" x14ac:dyDescent="0.2">
      <c r="A4840" s="4" t="s">
        <v>1</v>
      </c>
      <c r="B4840" s="3" t="str">
        <f>HYPERLINK("https://otsuka-europe-crm.veevavault.com/ui/#object/approved_document__v/V5OZ025E82TFUPI", "Spain - HCP Survey Email - June 2025")</f>
        <v>Spain - HCP Survey Email - June 2025</v>
      </c>
      <c r="C4840" s="3" t="str">
        <f>HYPERLINK("https://otsuka-europe-crm.veevavault.com/ui/#object/sent_email__v/VBLZ025E82GN1E7", "SE-000271985")</f>
        <v>SE-000271985</v>
      </c>
      <c r="D4840" s="1" t="s">
        <v>0</v>
      </c>
      <c r="E4840" s="2">
        <v>0</v>
      </c>
      <c r="F4840" s="2">
        <v>0</v>
      </c>
      <c r="G4840" s="2">
        <v>0</v>
      </c>
      <c r="H4840" s="1" t="s">
        <v>0</v>
      </c>
      <c r="I4840" s="2">
        <v>0</v>
      </c>
      <c r="J4840" s="1">
        <v>45915.377916666665</v>
      </c>
    </row>
    <row r="4841" spans="1:10" x14ac:dyDescent="0.2">
      <c r="A4841" s="4" t="s">
        <v>1</v>
      </c>
      <c r="B4841" s="3" t="str">
        <f>HYPERLINK("https://otsuka-europe-crm.veevavault.com/ui/#object/approved_document__v/V5OZ025E82TFUPI", "Spain - HCP Survey Email - June 2025")</f>
        <v>Spain - HCP Survey Email - June 2025</v>
      </c>
      <c r="C4841" s="3" t="str">
        <f>HYPERLINK("https://otsuka-europe-crm.veevavault.com/ui/#object/sent_email__v/VBLZ025E82GN1E8", "SE-000271986")</f>
        <v>SE-000271986</v>
      </c>
      <c r="D4841" s="1">
        <v>45915.379050925927</v>
      </c>
      <c r="E4841" s="2">
        <v>1</v>
      </c>
      <c r="F4841" s="2">
        <v>1</v>
      </c>
      <c r="G4841" s="2">
        <v>1</v>
      </c>
      <c r="H4841" s="1">
        <v>45915.379513888889</v>
      </c>
      <c r="I4841" s="2">
        <v>2</v>
      </c>
      <c r="J4841" s="1">
        <v>45915.378958333335</v>
      </c>
    </row>
    <row r="4842" spans="1:10" x14ac:dyDescent="0.2">
      <c r="A4842" s="4" t="s">
        <v>1</v>
      </c>
      <c r="B4842" s="3" t="str">
        <f>HYPERLINK("https://otsuka-europe-crm.veevavault.com/ui/#object/approved_document__v/V5OZ025E82TFUPI", "Spain - HCP Survey Email - June 2025")</f>
        <v>Spain - HCP Survey Email - June 2025</v>
      </c>
      <c r="C4842" s="3" t="str">
        <f>HYPERLINK("https://otsuka-europe-crm.veevavault.com/ui/#object/sent_email__v/VBLZ025E82GN1E9", "SE-000271987")</f>
        <v>SE-000271987</v>
      </c>
      <c r="D4842" s="1">
        <v>45918.426805555559</v>
      </c>
      <c r="E4842" s="2">
        <v>1</v>
      </c>
      <c r="F4842" s="2">
        <v>5</v>
      </c>
      <c r="G4842" s="2">
        <v>0</v>
      </c>
      <c r="H4842" s="1" t="s">
        <v>0</v>
      </c>
      <c r="I4842" s="2">
        <v>0</v>
      </c>
      <c r="J4842" s="1">
        <v>45915.37972222222</v>
      </c>
    </row>
    <row r="4843" spans="1:10" x14ac:dyDescent="0.2">
      <c r="A4843" s="4" t="s">
        <v>1</v>
      </c>
      <c r="B4843" s="3" t="str">
        <f>HYPERLINK("https://otsuka-europe-crm.veevavault.com/ui/#object/approved_document__v/V5OZ025E82TFUPI", "Spain - HCP Survey Email - June 2025")</f>
        <v>Spain - HCP Survey Email - June 2025</v>
      </c>
      <c r="C4843" s="3" t="str">
        <f>HYPERLINK("https://otsuka-europe-crm.veevavault.com/ui/#object/sent_email__v/VBLZ025E82GN1EA", "SE-000271988")</f>
        <v>SE-000271988</v>
      </c>
      <c r="D4843" s="1">
        <v>45915.395486111112</v>
      </c>
      <c r="E4843" s="2">
        <v>1</v>
      </c>
      <c r="F4843" s="2">
        <v>1</v>
      </c>
      <c r="G4843" s="2">
        <v>0</v>
      </c>
      <c r="H4843" s="1" t="s">
        <v>0</v>
      </c>
      <c r="I4843" s="2">
        <v>0</v>
      </c>
      <c r="J4843" s="1">
        <v>45915.379340277781</v>
      </c>
    </row>
    <row r="4844" spans="1:10" x14ac:dyDescent="0.2">
      <c r="A4844" s="4" t="s">
        <v>1</v>
      </c>
      <c r="B4844" s="3" t="str">
        <f>HYPERLINK("https://otsuka-europe-crm.veevavault.com/ui/#object/approved_document__v/V5OZ025E82TFUPI", "Spain - HCP Survey Email - June 2025")</f>
        <v>Spain - HCP Survey Email - June 2025</v>
      </c>
      <c r="C4844" s="3" t="str">
        <f>HYPERLINK("https://otsuka-europe-crm.veevavault.com/ui/#object/sent_email__v/VBLZ025E82GN1EB", "SE-000271989")</f>
        <v>SE-000271989</v>
      </c>
      <c r="D4844" s="1">
        <v>45916.510613425926</v>
      </c>
      <c r="E4844" s="2">
        <v>1</v>
      </c>
      <c r="F4844" s="2">
        <v>1</v>
      </c>
      <c r="G4844" s="2">
        <v>0</v>
      </c>
      <c r="H4844" s="1" t="s">
        <v>0</v>
      </c>
      <c r="I4844" s="2">
        <v>0</v>
      </c>
      <c r="J4844" s="1">
        <v>45915.377430555556</v>
      </c>
    </row>
    <row r="4845" spans="1:10" x14ac:dyDescent="0.2">
      <c r="A4845" s="4" t="s">
        <v>1</v>
      </c>
      <c r="B4845" s="3" t="str">
        <f>HYPERLINK("https://otsuka-europe-crm.veevavault.com/ui/#object/approved_document__v/V5OZ025E82TFUPI", "Spain - HCP Survey Email - June 2025")</f>
        <v>Spain - HCP Survey Email - June 2025</v>
      </c>
      <c r="C4845" s="3" t="str">
        <f>HYPERLINK("https://otsuka-europe-crm.veevavault.com/ui/#object/sent_email__v/VBLZ025E82GN1EC", "SE-000271990")</f>
        <v>SE-000271990</v>
      </c>
      <c r="D4845" s="1" t="s">
        <v>0</v>
      </c>
      <c r="E4845" s="2">
        <v>0</v>
      </c>
      <c r="F4845" s="2">
        <v>0</v>
      </c>
      <c r="G4845" s="2">
        <v>0</v>
      </c>
      <c r="H4845" s="1" t="s">
        <v>0</v>
      </c>
      <c r="I4845" s="2">
        <v>0</v>
      </c>
      <c r="J4845" s="1">
        <v>45915.377847222226</v>
      </c>
    </row>
    <row r="4846" spans="1:10" x14ac:dyDescent="0.2">
      <c r="A4846" s="4" t="s">
        <v>1</v>
      </c>
      <c r="B4846" s="3" t="str">
        <f>HYPERLINK("https://otsuka-europe-crm.veevavault.com/ui/#object/approved_document__v/V5OZ025E82TFUPI", "Spain - HCP Survey Email - June 2025")</f>
        <v>Spain - HCP Survey Email - June 2025</v>
      </c>
      <c r="C4846" s="3" t="str">
        <f>HYPERLINK("https://otsuka-europe-crm.veevavault.com/ui/#object/sent_email__v/VBLZ025E82GN1ED", "SE-000271991")</f>
        <v>SE-000271991</v>
      </c>
      <c r="D4846" s="1" t="s">
        <v>0</v>
      </c>
      <c r="E4846" s="2">
        <v>0</v>
      </c>
      <c r="F4846" s="2">
        <v>0</v>
      </c>
      <c r="G4846" s="2">
        <v>0</v>
      </c>
      <c r="H4846" s="1" t="s">
        <v>0</v>
      </c>
      <c r="I4846" s="2">
        <v>0</v>
      </c>
      <c r="J4846" s="1">
        <v>45915.378310185188</v>
      </c>
    </row>
    <row r="4847" spans="1:10" x14ac:dyDescent="0.2">
      <c r="A4847" s="4" t="s">
        <v>1</v>
      </c>
      <c r="B4847" s="3" t="str">
        <f>HYPERLINK("https://otsuka-europe-crm.veevavault.com/ui/#object/approved_document__v/V5OZ025E82TFUPI", "Spain - HCP Survey Email - June 2025")</f>
        <v>Spain - HCP Survey Email - June 2025</v>
      </c>
      <c r="C4847" s="3" t="str">
        <f>HYPERLINK("https://otsuka-europe-crm.veevavault.com/ui/#object/sent_email__v/VBLZ025E82GN1EE", "SE-000271992")</f>
        <v>SE-000271992</v>
      </c>
      <c r="D4847" s="1" t="s">
        <v>0</v>
      </c>
      <c r="E4847" s="2">
        <v>0</v>
      </c>
      <c r="F4847" s="2">
        <v>0</v>
      </c>
      <c r="G4847" s="2">
        <v>0</v>
      </c>
      <c r="H4847" s="1" t="s">
        <v>0</v>
      </c>
      <c r="I4847" s="2">
        <v>0</v>
      </c>
      <c r="J4847" s="1">
        <v>45915.378182870372</v>
      </c>
    </row>
    <row r="4848" spans="1:10" x14ac:dyDescent="0.2">
      <c r="A4848" s="4" t="s">
        <v>1</v>
      </c>
      <c r="B4848" s="3" t="str">
        <f>HYPERLINK("https://otsuka-europe-crm.veevavault.com/ui/#object/approved_document__v/V5OZ025E82TFUPI", "Spain - HCP Survey Email - June 2025")</f>
        <v>Spain - HCP Survey Email - June 2025</v>
      </c>
      <c r="C4848" s="3" t="str">
        <f>HYPERLINK("https://otsuka-europe-crm.veevavault.com/ui/#object/sent_email__v/VBLZ025E82GN1EF", "SE-000271993")</f>
        <v>SE-000271993</v>
      </c>
      <c r="D4848" s="1">
        <v>45915.379166666666</v>
      </c>
      <c r="E4848" s="2">
        <v>1</v>
      </c>
      <c r="F4848" s="2">
        <v>1</v>
      </c>
      <c r="G4848" s="2">
        <v>0</v>
      </c>
      <c r="H4848" s="1" t="s">
        <v>0</v>
      </c>
      <c r="I4848" s="2">
        <v>0</v>
      </c>
      <c r="J4848" s="1">
        <v>45915.378611111111</v>
      </c>
    </row>
    <row r="4849" spans="1:10" x14ac:dyDescent="0.2">
      <c r="A4849" s="4" t="s">
        <v>1</v>
      </c>
      <c r="B4849" s="3" t="str">
        <f>HYPERLINK("https://otsuka-europe-crm.veevavault.com/ui/#object/approved_document__v/V5OZ025E82TFUPI", "Spain - HCP Survey Email - June 2025")</f>
        <v>Spain - HCP Survey Email - June 2025</v>
      </c>
      <c r="C4849" s="3" t="str">
        <f>HYPERLINK("https://otsuka-europe-crm.veevavault.com/ui/#object/sent_email__v/VBLZ025E82GN1EG", "SE-000271994")</f>
        <v>SE-000271994</v>
      </c>
      <c r="D4849" s="1">
        <v>45915.403449074074</v>
      </c>
      <c r="E4849" s="2">
        <v>1</v>
      </c>
      <c r="F4849" s="2">
        <v>2</v>
      </c>
      <c r="G4849" s="2">
        <v>0</v>
      </c>
      <c r="H4849" s="1" t="s">
        <v>0</v>
      </c>
      <c r="I4849" s="2">
        <v>0</v>
      </c>
      <c r="J4849" s="1">
        <v>45915.379826388889</v>
      </c>
    </row>
    <row r="4850" spans="1:10" x14ac:dyDescent="0.2">
      <c r="A4850" s="4" t="s">
        <v>1</v>
      </c>
      <c r="B4850" s="3" t="str">
        <f>HYPERLINK("https://otsuka-europe-crm.veevavault.com/ui/#object/approved_document__v/V5OZ025E82TFUPI", "Spain - HCP Survey Email - June 2025")</f>
        <v>Spain - HCP Survey Email - June 2025</v>
      </c>
      <c r="C4850" s="3" t="str">
        <f>HYPERLINK("https://otsuka-europe-crm.veevavault.com/ui/#object/sent_email__v/VBLZ025E82GN1EH", "SE-000271995")</f>
        <v>SE-000271995</v>
      </c>
      <c r="D4850" s="1">
        <v>45915.383379629631</v>
      </c>
      <c r="E4850" s="2">
        <v>1</v>
      </c>
      <c r="F4850" s="2">
        <v>2</v>
      </c>
      <c r="G4850" s="2">
        <v>0</v>
      </c>
      <c r="H4850" s="1" t="s">
        <v>0</v>
      </c>
      <c r="I4850" s="2">
        <v>0</v>
      </c>
      <c r="J4850" s="1">
        <v>45915.37767361111</v>
      </c>
    </row>
    <row r="4851" spans="1:10" x14ac:dyDescent="0.2">
      <c r="A4851" s="4" t="s">
        <v>1</v>
      </c>
      <c r="B4851" s="3" t="str">
        <f>HYPERLINK("https://otsuka-europe-crm.veevavault.com/ui/#object/approved_document__v/V5OZ025E82TFUPI", "Spain - HCP Survey Email - June 2025")</f>
        <v>Spain - HCP Survey Email - June 2025</v>
      </c>
      <c r="C4851" s="3" t="str">
        <f>HYPERLINK("https://otsuka-europe-crm.veevavault.com/ui/#object/sent_email__v/VBLZ025E82GN1EI", "SE-000271996")</f>
        <v>SE-000271996</v>
      </c>
      <c r="D4851" s="1">
        <v>45916.533229166664</v>
      </c>
      <c r="E4851" s="2">
        <v>1</v>
      </c>
      <c r="F4851" s="2">
        <v>1</v>
      </c>
      <c r="G4851" s="2">
        <v>0</v>
      </c>
      <c r="H4851" s="1" t="s">
        <v>0</v>
      </c>
      <c r="I4851" s="2">
        <v>0</v>
      </c>
      <c r="J4851" s="1">
        <v>45915.377546296295</v>
      </c>
    </row>
    <row r="4852" spans="1:10" x14ac:dyDescent="0.2">
      <c r="A4852" s="4" t="s">
        <v>1</v>
      </c>
      <c r="B4852" s="3" t="str">
        <f>HYPERLINK("https://otsuka-europe-crm.veevavault.com/ui/#object/approved_document__v/V5OZ025E82TFUPI", "Spain - HCP Survey Email - June 2025")</f>
        <v>Spain - HCP Survey Email - June 2025</v>
      </c>
      <c r="C4852" s="3" t="str">
        <f>HYPERLINK("https://otsuka-europe-crm.veevavault.com/ui/#object/sent_email__v/VBLZ025E82GN1EJ", "SE-000271997")</f>
        <v>SE-000271997</v>
      </c>
      <c r="D4852" s="1">
        <v>45915.901226851849</v>
      </c>
      <c r="E4852" s="2">
        <v>1</v>
      </c>
      <c r="F4852" s="2">
        <v>1</v>
      </c>
      <c r="G4852" s="2">
        <v>0</v>
      </c>
      <c r="H4852" s="1" t="s">
        <v>0</v>
      </c>
      <c r="I4852" s="2">
        <v>0</v>
      </c>
      <c r="J4852" s="1">
        <v>45915.377974537034</v>
      </c>
    </row>
    <row r="4853" spans="1:10" x14ac:dyDescent="0.2">
      <c r="A4853" s="4" t="s">
        <v>1</v>
      </c>
      <c r="B4853" s="3" t="str">
        <f>HYPERLINK("https://otsuka-europe-crm.veevavault.com/ui/#object/approved_document__v/V5OZ025E82TFUPI", "Spain - HCP Survey Email - June 2025")</f>
        <v>Spain - HCP Survey Email - June 2025</v>
      </c>
      <c r="C4853" s="3" t="str">
        <f>HYPERLINK("https://otsuka-europe-crm.veevavault.com/ui/#object/sent_email__v/VBLZ025E82GN1EK", "SE-000271998")</f>
        <v>SE-000271998</v>
      </c>
      <c r="D4853" s="1">
        <v>45915.472037037034</v>
      </c>
      <c r="E4853" s="2">
        <v>1</v>
      </c>
      <c r="F4853" s="2">
        <v>1</v>
      </c>
      <c r="G4853" s="2">
        <v>0</v>
      </c>
      <c r="H4853" s="1" t="s">
        <v>0</v>
      </c>
      <c r="I4853" s="2">
        <v>0</v>
      </c>
      <c r="J4853" s="1">
        <v>45915.378888888888</v>
      </c>
    </row>
    <row r="4854" spans="1:10" x14ac:dyDescent="0.2">
      <c r="A4854" s="4" t="s">
        <v>1</v>
      </c>
      <c r="B4854" s="3" t="str">
        <f>HYPERLINK("https://otsuka-europe-crm.veevavault.com/ui/#object/approved_document__v/V5OZ025E82TFUPI", "Spain - HCP Survey Email - June 2025")</f>
        <v>Spain - HCP Survey Email - June 2025</v>
      </c>
      <c r="C4854" s="3" t="str">
        <f>HYPERLINK("https://otsuka-europe-crm.veevavault.com/ui/#object/sent_email__v/VBLZ025E82GN1EL", "SE-000271999")</f>
        <v>SE-000271999</v>
      </c>
      <c r="D4854" s="1" t="s">
        <v>0</v>
      </c>
      <c r="E4854" s="2">
        <v>0</v>
      </c>
      <c r="F4854" s="2">
        <v>0</v>
      </c>
      <c r="G4854" s="2">
        <v>0</v>
      </c>
      <c r="H4854" s="1" t="s">
        <v>0</v>
      </c>
      <c r="I4854" s="2">
        <v>0</v>
      </c>
      <c r="J4854" s="1">
        <v>45915.378761574073</v>
      </c>
    </row>
    <row r="4855" spans="1:10" x14ac:dyDescent="0.2">
      <c r="A4855" s="4" t="s">
        <v>1</v>
      </c>
      <c r="B4855" s="3" t="str">
        <f>HYPERLINK("https://otsuka-europe-crm.veevavault.com/ui/#object/approved_document__v/V5OZ025E82TFUPI", "Spain - HCP Survey Email - June 2025")</f>
        <v>Spain - HCP Survey Email - June 2025</v>
      </c>
      <c r="C4855" s="3" t="str">
        <f>HYPERLINK("https://otsuka-europe-crm.veevavault.com/ui/#object/sent_email__v/VBLZ025E82GN1EM", "SE-000272000")</f>
        <v>SE-000272000</v>
      </c>
      <c r="D4855" s="1">
        <v>45930.966886574075</v>
      </c>
      <c r="E4855" s="2">
        <v>1</v>
      </c>
      <c r="F4855" s="2">
        <v>2</v>
      </c>
      <c r="G4855" s="2">
        <v>0</v>
      </c>
      <c r="H4855" s="1" t="s">
        <v>0</v>
      </c>
      <c r="I4855" s="2">
        <v>0</v>
      </c>
      <c r="J4855" s="1">
        <v>45915.377546296295</v>
      </c>
    </row>
    <row r="4856" spans="1:10" x14ac:dyDescent="0.2">
      <c r="A4856" s="4" t="s">
        <v>1</v>
      </c>
      <c r="B4856" s="3" t="str">
        <f>HYPERLINK("https://otsuka-europe-crm.veevavault.com/ui/#object/approved_document__v/V5OZ025E82TFUPI", "Spain - HCP Survey Email - June 2025")</f>
        <v>Spain - HCP Survey Email - June 2025</v>
      </c>
      <c r="C4856" s="3" t="str">
        <f>HYPERLINK("https://otsuka-europe-crm.veevavault.com/ui/#object/sent_email__v/VBLZ025E82GN1EN", "SE-000272001")</f>
        <v>SE-000272001</v>
      </c>
      <c r="D4856" s="1">
        <v>46038.306886574072</v>
      </c>
      <c r="E4856" s="2">
        <v>1</v>
      </c>
      <c r="F4856" s="2">
        <v>6</v>
      </c>
      <c r="G4856" s="2">
        <v>0</v>
      </c>
      <c r="H4856" s="1" t="s">
        <v>0</v>
      </c>
      <c r="I4856" s="2">
        <v>0</v>
      </c>
      <c r="J4856" s="1">
        <v>45915.377928240741</v>
      </c>
    </row>
    <row r="4857" spans="1:10" x14ac:dyDescent="0.2">
      <c r="A4857" s="4" t="s">
        <v>1</v>
      </c>
      <c r="B4857" s="3" t="str">
        <f>HYPERLINK("https://otsuka-europe-crm.veevavault.com/ui/#object/approved_document__v/V5OZ025E82TFUPI", "Spain - HCP Survey Email - June 2025")</f>
        <v>Spain - HCP Survey Email - June 2025</v>
      </c>
      <c r="C4857" s="3" t="str">
        <f>HYPERLINK("https://otsuka-europe-crm.veevavault.com/ui/#object/sent_email__v/VBLZ025E82GN1EO", "SE-000272002")</f>
        <v>SE-000272002</v>
      </c>
      <c r="D4857" s="1" t="s">
        <v>0</v>
      </c>
      <c r="E4857" s="2">
        <v>0</v>
      </c>
      <c r="F4857" s="2">
        <v>0</v>
      </c>
      <c r="G4857" s="2">
        <v>0</v>
      </c>
      <c r="H4857" s="1" t="s">
        <v>0</v>
      </c>
      <c r="I4857" s="2">
        <v>0</v>
      </c>
      <c r="J4857" s="1">
        <v>45915.378900462965</v>
      </c>
    </row>
    <row r="4858" spans="1:10" x14ac:dyDescent="0.2">
      <c r="A4858" s="4" t="s">
        <v>1</v>
      </c>
      <c r="B4858" s="3" t="str">
        <f>HYPERLINK("https://otsuka-europe-crm.veevavault.com/ui/#object/approved_document__v/V5OZ025E82TFUPI", "Spain - HCP Survey Email - June 2025")</f>
        <v>Spain - HCP Survey Email - June 2025</v>
      </c>
      <c r="C4858" s="3" t="str">
        <f>HYPERLINK("https://otsuka-europe-crm.veevavault.com/ui/#object/sent_email__v/VBLZ025E82GN1EP", "SE-000272003")</f>
        <v>SE-000272003</v>
      </c>
      <c r="D4858" s="1" t="s">
        <v>0</v>
      </c>
      <c r="E4858" s="2">
        <v>0</v>
      </c>
      <c r="F4858" s="2">
        <v>0</v>
      </c>
      <c r="G4858" s="2">
        <v>0</v>
      </c>
      <c r="H4858" s="1" t="s">
        <v>0</v>
      </c>
      <c r="I4858" s="2">
        <v>0</v>
      </c>
      <c r="J4858" s="1">
        <v>45915.378796296296</v>
      </c>
    </row>
    <row r="4859" spans="1:10" x14ac:dyDescent="0.2">
      <c r="A4859" s="4" t="s">
        <v>1</v>
      </c>
      <c r="B4859" s="3" t="str">
        <f>HYPERLINK("https://otsuka-europe-crm.veevavault.com/ui/#object/approved_document__v/V5OZ025E82TFUPI", "Spain - HCP Survey Email - June 2025")</f>
        <v>Spain - HCP Survey Email - June 2025</v>
      </c>
      <c r="C4859" s="3" t="str">
        <f>HYPERLINK("https://otsuka-europe-crm.veevavault.com/ui/#object/sent_email__v/VBLZ025E82GN1EQ", "SE-000272004")</f>
        <v>SE-000272004</v>
      </c>
      <c r="D4859" s="1" t="s">
        <v>0</v>
      </c>
      <c r="E4859" s="2">
        <v>0</v>
      </c>
      <c r="F4859" s="2">
        <v>0</v>
      </c>
      <c r="G4859" s="2">
        <v>0</v>
      </c>
      <c r="H4859" s="1" t="s">
        <v>0</v>
      </c>
      <c r="I4859" s="2">
        <v>0</v>
      </c>
      <c r="J4859" s="1">
        <v>45915.379212962966</v>
      </c>
    </row>
    <row r="4860" spans="1:10" x14ac:dyDescent="0.2">
      <c r="A4860" s="4" t="s">
        <v>1</v>
      </c>
      <c r="B4860" s="3" t="str">
        <f>HYPERLINK("https://otsuka-europe-crm.veevavault.com/ui/#object/approved_document__v/V5OZ025E82TFUPI", "Spain - HCP Survey Email - June 2025")</f>
        <v>Spain - HCP Survey Email - June 2025</v>
      </c>
      <c r="C4860" s="3" t="str">
        <f>HYPERLINK("https://otsuka-europe-crm.veevavault.com/ui/#object/sent_email__v/VBLZ025E82GN1ER", "SE-000272005")</f>
        <v>SE-000272005</v>
      </c>
      <c r="D4860" s="1" t="s">
        <v>0</v>
      </c>
      <c r="E4860" s="2">
        <v>0</v>
      </c>
      <c r="F4860" s="2">
        <v>0</v>
      </c>
      <c r="G4860" s="2">
        <v>0</v>
      </c>
      <c r="H4860" s="1" t="s">
        <v>0</v>
      </c>
      <c r="I4860" s="2">
        <v>0</v>
      </c>
      <c r="J4860" s="1">
        <v>45915.377881944441</v>
      </c>
    </row>
    <row r="4861" spans="1:10" x14ac:dyDescent="0.2">
      <c r="A4861" s="4" t="s">
        <v>1</v>
      </c>
      <c r="B4861" s="3" t="str">
        <f>HYPERLINK("https://otsuka-europe-crm.veevavault.com/ui/#object/approved_document__v/V5OZ025E82TFUPI", "Spain - HCP Survey Email - June 2025")</f>
        <v>Spain - HCP Survey Email - June 2025</v>
      </c>
      <c r="C4861" s="3" t="str">
        <f>HYPERLINK("https://otsuka-europe-crm.veevavault.com/ui/#object/sent_email__v/VBLZ025E82GN1ES", "SE-000272006")</f>
        <v>SE-000272006</v>
      </c>
      <c r="D4861" s="1">
        <v>45923.886516203704</v>
      </c>
      <c r="E4861" s="2">
        <v>1</v>
      </c>
      <c r="F4861" s="2">
        <v>7</v>
      </c>
      <c r="G4861" s="2">
        <v>0</v>
      </c>
      <c r="H4861" s="1" t="s">
        <v>0</v>
      </c>
      <c r="I4861" s="2">
        <v>0</v>
      </c>
      <c r="J4861" s="1">
        <v>45915.378321759257</v>
      </c>
    </row>
    <row r="4862" spans="1:10" x14ac:dyDescent="0.2">
      <c r="A4862" s="4" t="s">
        <v>1</v>
      </c>
      <c r="B4862" s="3" t="str">
        <f>HYPERLINK("https://otsuka-europe-crm.veevavault.com/ui/#object/approved_document__v/V5OZ025E82TFUPI", "Spain - HCP Survey Email - June 2025")</f>
        <v>Spain - HCP Survey Email - June 2025</v>
      </c>
      <c r="C4862" s="3" t="str">
        <f>HYPERLINK("https://otsuka-europe-crm.veevavault.com/ui/#object/sent_email__v/VBLZ025E82GN1ET", "SE-000272007")</f>
        <v>SE-000272007</v>
      </c>
      <c r="D4862" s="1">
        <v>45916.585011574076</v>
      </c>
      <c r="E4862" s="2">
        <v>1</v>
      </c>
      <c r="F4862" s="2">
        <v>2</v>
      </c>
      <c r="G4862" s="2">
        <v>0</v>
      </c>
      <c r="H4862" s="1" t="s">
        <v>0</v>
      </c>
      <c r="I4862" s="2">
        <v>0</v>
      </c>
      <c r="J4862" s="1">
        <v>45915.378113425926</v>
      </c>
    </row>
    <row r="4863" spans="1:10" x14ac:dyDescent="0.2">
      <c r="A4863" s="4" t="s">
        <v>1</v>
      </c>
      <c r="B4863" s="3" t="str">
        <f>HYPERLINK("https://otsuka-europe-crm.veevavault.com/ui/#object/approved_document__v/V5OZ025E82TFUPI", "Spain - HCP Survey Email - June 2025")</f>
        <v>Spain - HCP Survey Email - June 2025</v>
      </c>
      <c r="C4863" s="3" t="str">
        <f>HYPERLINK("https://otsuka-europe-crm.veevavault.com/ui/#object/sent_email__v/VBLZ025E82GN1EU", "SE-000272008")</f>
        <v>SE-000272008</v>
      </c>
      <c r="D4863" s="1" t="s">
        <v>0</v>
      </c>
      <c r="E4863" s="2">
        <v>0</v>
      </c>
      <c r="F4863" s="2">
        <v>0</v>
      </c>
      <c r="G4863" s="2">
        <v>0</v>
      </c>
      <c r="H4863" s="1" t="s">
        <v>0</v>
      </c>
      <c r="I4863" s="2">
        <v>0</v>
      </c>
      <c r="J4863" s="1">
        <v>45915.378587962965</v>
      </c>
    </row>
    <row r="4864" spans="1:10" x14ac:dyDescent="0.2">
      <c r="A4864" s="4" t="s">
        <v>1</v>
      </c>
      <c r="B4864" s="3" t="str">
        <f>HYPERLINK("https://otsuka-europe-crm.veevavault.com/ui/#object/approved_document__v/V5OZ025E82TFUPI", "Spain - HCP Survey Email - June 2025")</f>
        <v>Spain - HCP Survey Email - June 2025</v>
      </c>
      <c r="C4864" s="3" t="str">
        <f>HYPERLINK("https://otsuka-europe-crm.veevavault.com/ui/#object/sent_email__v/VBLZ025E82GN1EV", "SE-000272009")</f>
        <v>SE-000272009</v>
      </c>
      <c r="D4864" s="1">
        <v>45917.535613425927</v>
      </c>
      <c r="E4864" s="2">
        <v>1</v>
      </c>
      <c r="F4864" s="2">
        <v>1</v>
      </c>
      <c r="G4864" s="2">
        <v>0</v>
      </c>
      <c r="H4864" s="1" t="s">
        <v>0</v>
      </c>
      <c r="I4864" s="2">
        <v>0</v>
      </c>
      <c r="J4864" s="1">
        <v>45915.379791666666</v>
      </c>
    </row>
    <row r="4865" spans="1:10" x14ac:dyDescent="0.2">
      <c r="A4865" s="4" t="s">
        <v>1</v>
      </c>
      <c r="B4865" s="3" t="str">
        <f>HYPERLINK("https://otsuka-europe-crm.veevavault.com/ui/#object/approved_document__v/V5OZ025E82TFUPI", "Spain - HCP Survey Email - June 2025")</f>
        <v>Spain - HCP Survey Email - June 2025</v>
      </c>
      <c r="C4865" s="3" t="str">
        <f>HYPERLINK("https://otsuka-europe-crm.veevavault.com/ui/#object/sent_email__v/VBLZ025E82GN1EW", "SE-000272010")</f>
        <v>SE-000272010</v>
      </c>
      <c r="D4865" s="1">
        <v>45915.539618055554</v>
      </c>
      <c r="E4865" s="2">
        <v>1</v>
      </c>
      <c r="F4865" s="2">
        <v>2</v>
      </c>
      <c r="G4865" s="2">
        <v>0</v>
      </c>
      <c r="H4865" s="1" t="s">
        <v>0</v>
      </c>
      <c r="I4865" s="2">
        <v>0</v>
      </c>
      <c r="J4865" s="1">
        <v>45915.377743055556</v>
      </c>
    </row>
    <row r="4866" spans="1:10" x14ac:dyDescent="0.2">
      <c r="A4866" s="4" t="s">
        <v>1</v>
      </c>
      <c r="B4866" s="3" t="str">
        <f>HYPERLINK("https://otsuka-europe-crm.veevavault.com/ui/#object/approved_document__v/V5OZ025E82TFUPI", "Spain - HCP Survey Email - June 2025")</f>
        <v>Spain - HCP Survey Email - June 2025</v>
      </c>
      <c r="C4866" s="3" t="str">
        <f>HYPERLINK("https://otsuka-europe-crm.veevavault.com/ui/#object/sent_email__v/VBLZ025E82GN1EX", "SE-000272011")</f>
        <v>SE-000272011</v>
      </c>
      <c r="D4866" s="1">
        <v>45915.449270833335</v>
      </c>
      <c r="E4866" s="2">
        <v>1</v>
      </c>
      <c r="F4866" s="2">
        <v>2</v>
      </c>
      <c r="G4866" s="2">
        <v>0</v>
      </c>
      <c r="H4866" s="1" t="s">
        <v>0</v>
      </c>
      <c r="I4866" s="2">
        <v>0</v>
      </c>
      <c r="J4866" s="1">
        <v>45915.377546296295</v>
      </c>
    </row>
    <row r="4867" spans="1:10" x14ac:dyDescent="0.2">
      <c r="A4867" s="4" t="s">
        <v>1</v>
      </c>
      <c r="B4867" s="3" t="str">
        <f>HYPERLINK("https://otsuka-europe-crm.veevavault.com/ui/#object/approved_document__v/V5OZ025E82TFUPI", "Spain - HCP Survey Email - June 2025")</f>
        <v>Spain - HCP Survey Email - June 2025</v>
      </c>
      <c r="C4867" s="3" t="str">
        <f>HYPERLINK("https://otsuka-europe-crm.veevavault.com/ui/#object/sent_email__v/VBLZ025E82GN1EY", "SE-000272012")</f>
        <v>SE-000272012</v>
      </c>
      <c r="D4867" s="1">
        <v>45915.382291666669</v>
      </c>
      <c r="E4867" s="2">
        <v>1</v>
      </c>
      <c r="F4867" s="2">
        <v>2</v>
      </c>
      <c r="G4867" s="2">
        <v>1</v>
      </c>
      <c r="H4867" s="1">
        <v>45915.378634259258</v>
      </c>
      <c r="I4867" s="2">
        <v>2</v>
      </c>
      <c r="J4867" s="1">
        <v>45915.377951388888</v>
      </c>
    </row>
    <row r="4868" spans="1:10" x14ac:dyDescent="0.2">
      <c r="A4868" s="4" t="s">
        <v>1</v>
      </c>
      <c r="B4868" s="3" t="str">
        <f>HYPERLINK("https://otsuka-europe-crm.veevavault.com/ui/#object/approved_document__v/V5OZ025E82TFUPI", "Spain - HCP Survey Email - June 2025")</f>
        <v>Spain - HCP Survey Email - June 2025</v>
      </c>
      <c r="C4868" s="3" t="str">
        <f>HYPERLINK("https://otsuka-europe-crm.veevavault.com/ui/#object/sent_email__v/VBLZ025E82GN1EZ", "SE-000272013")</f>
        <v>SE-000272013</v>
      </c>
      <c r="D4868" s="1">
        <v>45936.71837962963</v>
      </c>
      <c r="E4868" s="2">
        <v>1</v>
      </c>
      <c r="F4868" s="2">
        <v>3</v>
      </c>
      <c r="G4868" s="2">
        <v>0</v>
      </c>
      <c r="H4868" s="1" t="s">
        <v>0</v>
      </c>
      <c r="I4868" s="2">
        <v>0</v>
      </c>
      <c r="J4868" s="1">
        <v>45915.378900462965</v>
      </c>
    </row>
    <row r="4869" spans="1:10" x14ac:dyDescent="0.2">
      <c r="A4869" s="4" t="s">
        <v>1</v>
      </c>
      <c r="B4869" s="3" t="str">
        <f>HYPERLINK("https://otsuka-europe-crm.veevavault.com/ui/#object/approved_document__v/V5OZ025E82TFUPI", "Spain - HCP Survey Email - June 2025")</f>
        <v>Spain - HCP Survey Email - June 2025</v>
      </c>
      <c r="C4869" s="3" t="str">
        <f>HYPERLINK("https://otsuka-europe-crm.veevavault.com/ui/#object/sent_email__v/VBLZ025E82GN1F0", "SE-000272014")</f>
        <v>SE-000272014</v>
      </c>
      <c r="D4869" s="1" t="s">
        <v>0</v>
      </c>
      <c r="E4869" s="2">
        <v>0</v>
      </c>
      <c r="F4869" s="2">
        <v>0</v>
      </c>
      <c r="G4869" s="2">
        <v>0</v>
      </c>
      <c r="H4869" s="1" t="s">
        <v>0</v>
      </c>
      <c r="I4869" s="2">
        <v>0</v>
      </c>
      <c r="J4869" s="1">
        <v>45915.37871527778</v>
      </c>
    </row>
    <row r="4870" spans="1:10" x14ac:dyDescent="0.2">
      <c r="A4870" s="4" t="s">
        <v>1</v>
      </c>
      <c r="B4870" s="3" t="str">
        <f>HYPERLINK("https://otsuka-europe-crm.veevavault.com/ui/#object/approved_document__v/V5OZ025E82TFUPI", "Spain - HCP Survey Email - June 2025")</f>
        <v>Spain - HCP Survey Email - June 2025</v>
      </c>
      <c r="C4870" s="3" t="str">
        <f>HYPERLINK("https://otsuka-europe-crm.veevavault.com/ui/#object/sent_email__v/VBLZ025E82GN1F1", "SE-000272015")</f>
        <v>SE-000272015</v>
      </c>
      <c r="D4870" s="1" t="s">
        <v>0</v>
      </c>
      <c r="E4870" s="2">
        <v>0</v>
      </c>
      <c r="F4870" s="2">
        <v>0</v>
      </c>
      <c r="G4870" s="2">
        <v>0</v>
      </c>
      <c r="H4870" s="1" t="s">
        <v>0</v>
      </c>
      <c r="I4870" s="2">
        <v>0</v>
      </c>
      <c r="J4870" s="1">
        <v>45915.379131944443</v>
      </c>
    </row>
    <row r="4871" spans="1:10" x14ac:dyDescent="0.2">
      <c r="A4871" s="4" t="s">
        <v>1</v>
      </c>
      <c r="B4871" s="3" t="str">
        <f>HYPERLINK("https://otsuka-europe-crm.veevavault.com/ui/#object/approved_document__v/V5OZ025E82TFUPI", "Spain - HCP Survey Email - June 2025")</f>
        <v>Spain - HCP Survey Email - June 2025</v>
      </c>
      <c r="C4871" s="3" t="str">
        <f>HYPERLINK("https://otsuka-europe-crm.veevavault.com/ui/#object/sent_email__v/VBLZ025E82GN1F2", "SE-000272016")</f>
        <v>SE-000272016</v>
      </c>
      <c r="D4871" s="1">
        <v>45915.55840277778</v>
      </c>
      <c r="E4871" s="2">
        <v>1</v>
      </c>
      <c r="F4871" s="2">
        <v>1</v>
      </c>
      <c r="G4871" s="2">
        <v>1</v>
      </c>
      <c r="H4871" s="1">
        <v>45915.558587962965</v>
      </c>
      <c r="I4871" s="2">
        <v>1</v>
      </c>
      <c r="J4871" s="1">
        <v>45915.377858796295</v>
      </c>
    </row>
    <row r="4872" spans="1:10" x14ac:dyDescent="0.2">
      <c r="A4872" s="4" t="s">
        <v>1</v>
      </c>
      <c r="B4872" s="3" t="str">
        <f>HYPERLINK("https://otsuka-europe-crm.veevavault.com/ui/#object/approved_document__v/V5OZ025E82TFUPI", "Spain - HCP Survey Email - June 2025")</f>
        <v>Spain - HCP Survey Email - June 2025</v>
      </c>
      <c r="C4872" s="3" t="str">
        <f>HYPERLINK("https://otsuka-europe-crm.veevavault.com/ui/#object/sent_email__v/VBLZ025E82GN1F3", "SE-000272017")</f>
        <v>SE-000272017</v>
      </c>
      <c r="D4872" s="1">
        <v>45916.309583333335</v>
      </c>
      <c r="E4872" s="2">
        <v>1</v>
      </c>
      <c r="F4872" s="2">
        <v>1</v>
      </c>
      <c r="G4872" s="2">
        <v>1</v>
      </c>
      <c r="H4872" s="1">
        <v>45916.309583333335</v>
      </c>
      <c r="I4872" s="2">
        <v>1</v>
      </c>
      <c r="J4872" s="1">
        <v>45915.37835648148</v>
      </c>
    </row>
    <row r="4873" spans="1:10" x14ac:dyDescent="0.2">
      <c r="A4873" s="4" t="s">
        <v>1</v>
      </c>
      <c r="B4873" s="3" t="str">
        <f>HYPERLINK("https://otsuka-europe-crm.veevavault.com/ui/#object/approved_document__v/V5OZ025E82TFUPI", "Spain - HCP Survey Email - June 2025")</f>
        <v>Spain - HCP Survey Email - June 2025</v>
      </c>
      <c r="C4873" s="3" t="str">
        <f>HYPERLINK("https://otsuka-europe-crm.veevavault.com/ui/#object/sent_email__v/VBLZ025E82GN1F4", "SE-000272018")</f>
        <v>SE-000272018</v>
      </c>
      <c r="D4873" s="1">
        <v>45972.812476851854</v>
      </c>
      <c r="E4873" s="2">
        <v>1</v>
      </c>
      <c r="F4873" s="2">
        <v>3</v>
      </c>
      <c r="G4873" s="2">
        <v>0</v>
      </c>
      <c r="H4873" s="1" t="s">
        <v>0</v>
      </c>
      <c r="I4873" s="2">
        <v>0</v>
      </c>
      <c r="J4873" s="1">
        <v>45915.378148148149</v>
      </c>
    </row>
    <row r="4874" spans="1:10" x14ac:dyDescent="0.2">
      <c r="A4874" s="4" t="s">
        <v>1</v>
      </c>
      <c r="B4874" s="3" t="str">
        <f>HYPERLINK("https://otsuka-europe-crm.veevavault.com/ui/#object/approved_document__v/V5OZ025E82TFUPI", "Spain - HCP Survey Email - June 2025")</f>
        <v>Spain - HCP Survey Email - June 2025</v>
      </c>
      <c r="C4874" s="3" t="str">
        <f>HYPERLINK("https://otsuka-europe-crm.veevavault.com/ui/#object/sent_email__v/VBLZ025E82GN1F5", "SE-000272019")</f>
        <v>SE-000272019</v>
      </c>
      <c r="D4874" s="1" t="s">
        <v>0</v>
      </c>
      <c r="E4874" s="2">
        <v>0</v>
      </c>
      <c r="F4874" s="2">
        <v>0</v>
      </c>
      <c r="G4874" s="2">
        <v>0</v>
      </c>
      <c r="H4874" s="1" t="s">
        <v>0</v>
      </c>
      <c r="I4874" s="2">
        <v>0</v>
      </c>
      <c r="J4874" s="1">
        <v>45915.378576388888</v>
      </c>
    </row>
    <row r="4875" spans="1:10" x14ac:dyDescent="0.2">
      <c r="A4875" s="4" t="s">
        <v>1</v>
      </c>
      <c r="B4875" s="3" t="str">
        <f>HYPERLINK("https://otsuka-europe-crm.veevavault.com/ui/#object/approved_document__v/V5OZ025E82TFUPI", "Spain - HCP Survey Email - June 2025")</f>
        <v>Spain - HCP Survey Email - June 2025</v>
      </c>
      <c r="C4875" s="3" t="str">
        <f>HYPERLINK("https://otsuka-europe-crm.veevavault.com/ui/#object/sent_email__v/VBLZ025E82GN1F6", "SE-000272020")</f>
        <v>SE-000272020</v>
      </c>
      <c r="D4875" s="1">
        <v>45918.724988425929</v>
      </c>
      <c r="E4875" s="2">
        <v>1</v>
      </c>
      <c r="F4875" s="2">
        <v>1</v>
      </c>
      <c r="G4875" s="2">
        <v>0</v>
      </c>
      <c r="H4875" s="1" t="s">
        <v>0</v>
      </c>
      <c r="I4875" s="2">
        <v>0</v>
      </c>
      <c r="J4875" s="1">
        <v>45915.379826388889</v>
      </c>
    </row>
    <row r="4876" spans="1:10" x14ac:dyDescent="0.2">
      <c r="A4876" s="4" t="s">
        <v>1</v>
      </c>
      <c r="B4876" s="3" t="str">
        <f>HYPERLINK("https://otsuka-europe-crm.veevavault.com/ui/#object/approved_document__v/V5OZ025E82TFUPI", "Spain - HCP Survey Email - June 2025")</f>
        <v>Spain - HCP Survey Email - June 2025</v>
      </c>
      <c r="C4876" s="3" t="str">
        <f>HYPERLINK("https://otsuka-europe-crm.veevavault.com/ui/#object/sent_email__v/VBLZ025E82GN1F7", "SE-000272021")</f>
        <v>SE-000272021</v>
      </c>
      <c r="D4876" s="1">
        <v>45915.390127314815</v>
      </c>
      <c r="E4876" s="2">
        <v>1</v>
      </c>
      <c r="F4876" s="2">
        <v>1</v>
      </c>
      <c r="G4876" s="2">
        <v>0</v>
      </c>
      <c r="H4876" s="1" t="s">
        <v>0</v>
      </c>
      <c r="I4876" s="2">
        <v>0</v>
      </c>
      <c r="J4876" s="1">
        <v>45915.377754629626</v>
      </c>
    </row>
    <row r="4877" spans="1:10" x14ac:dyDescent="0.2">
      <c r="A4877" s="4" t="s">
        <v>1</v>
      </c>
      <c r="B4877" s="3" t="str">
        <f>HYPERLINK("https://otsuka-europe-crm.veevavault.com/ui/#object/approved_document__v/V5OZ025E82TFUPI", "Spain - HCP Survey Email - June 2025")</f>
        <v>Spain - HCP Survey Email - June 2025</v>
      </c>
      <c r="C4877" s="3" t="str">
        <f>HYPERLINK("https://otsuka-europe-crm.veevavault.com/ui/#object/sent_email__v/VBLZ025E82GN1F8", "SE-000272022")</f>
        <v>SE-000272022</v>
      </c>
      <c r="D4877" s="1">
        <v>45917.627997685187</v>
      </c>
      <c r="E4877" s="2">
        <v>1</v>
      </c>
      <c r="F4877" s="2">
        <v>1</v>
      </c>
      <c r="G4877" s="2">
        <v>0</v>
      </c>
      <c r="H4877" s="1" t="s">
        <v>0</v>
      </c>
      <c r="I4877" s="2">
        <v>0</v>
      </c>
      <c r="J4877" s="1">
        <v>45915.377534722225</v>
      </c>
    </row>
    <row r="4878" spans="1:10" x14ac:dyDescent="0.2">
      <c r="A4878" s="4" t="s">
        <v>1</v>
      </c>
      <c r="B4878" s="3" t="str">
        <f>HYPERLINK("https://otsuka-europe-crm.veevavault.com/ui/#object/approved_document__v/V5OZ025E82TFUPI", "Spain - HCP Survey Email - June 2025")</f>
        <v>Spain - HCP Survey Email - June 2025</v>
      </c>
      <c r="C4878" s="3" t="str">
        <f>HYPERLINK("https://otsuka-europe-crm.veevavault.com/ui/#object/sent_email__v/VBLZ025E82GN1F9", "SE-000272023")</f>
        <v>SE-000272023</v>
      </c>
      <c r="D4878" s="1" t="s">
        <v>0</v>
      </c>
      <c r="E4878" s="2">
        <v>0</v>
      </c>
      <c r="F4878" s="2">
        <v>0</v>
      </c>
      <c r="G4878" s="2">
        <v>0</v>
      </c>
      <c r="H4878" s="1" t="s">
        <v>0</v>
      </c>
      <c r="I4878" s="2">
        <v>0</v>
      </c>
      <c r="J4878" s="1">
        <v>45915.377997685187</v>
      </c>
    </row>
    <row r="4879" spans="1:10" x14ac:dyDescent="0.2">
      <c r="A4879" s="4" t="s">
        <v>1</v>
      </c>
      <c r="B4879" s="3" t="str">
        <f>HYPERLINK("https://otsuka-europe-crm.veevavault.com/ui/#object/approved_document__v/V5OZ025E82TFUPI", "Spain - HCP Survey Email - June 2025")</f>
        <v>Spain - HCP Survey Email - June 2025</v>
      </c>
      <c r="C4879" s="3" t="str">
        <f>HYPERLINK("https://otsuka-europe-crm.veevavault.com/ui/#object/sent_email__v/VBLZ025E82GN1FA", "SE-000272024")</f>
        <v>SE-000272024</v>
      </c>
      <c r="D4879" s="1">
        <v>45916.864976851852</v>
      </c>
      <c r="E4879" s="2">
        <v>1</v>
      </c>
      <c r="F4879" s="2">
        <v>8</v>
      </c>
      <c r="G4879" s="2">
        <v>0</v>
      </c>
      <c r="H4879" s="1" t="s">
        <v>0</v>
      </c>
      <c r="I4879" s="2">
        <v>0</v>
      </c>
      <c r="J4879" s="1">
        <v>45915.379004629627</v>
      </c>
    </row>
    <row r="4880" spans="1:10" x14ac:dyDescent="0.2">
      <c r="A4880" s="4" t="s">
        <v>1</v>
      </c>
      <c r="B4880" s="3" t="str">
        <f>HYPERLINK("https://otsuka-europe-crm.veevavault.com/ui/#object/approved_document__v/V5OZ025E82TFUPI", "Spain - HCP Survey Email - June 2025")</f>
        <v>Spain - HCP Survey Email - June 2025</v>
      </c>
      <c r="C4880" s="3" t="str">
        <f>HYPERLINK("https://otsuka-europe-crm.veevavault.com/ui/#object/sent_email__v/VBLZ025E82GN1FB", "SE-000272025")</f>
        <v>SE-000272025</v>
      </c>
      <c r="D4880" s="1">
        <v>45915.708437499998</v>
      </c>
      <c r="E4880" s="2">
        <v>1</v>
      </c>
      <c r="F4880" s="2">
        <v>6</v>
      </c>
      <c r="G4880" s="2">
        <v>0</v>
      </c>
      <c r="H4880" s="1" t="s">
        <v>0</v>
      </c>
      <c r="I4880" s="2">
        <v>0</v>
      </c>
      <c r="J4880" s="1">
        <v>45915.378738425927</v>
      </c>
    </row>
    <row r="4881" spans="1:10" x14ac:dyDescent="0.2">
      <c r="A4881" s="4" t="s">
        <v>1</v>
      </c>
      <c r="B4881" s="3" t="str">
        <f>HYPERLINK("https://otsuka-europe-crm.veevavault.com/ui/#object/approved_document__v/V5OZ025E82TFUPI", "Spain - HCP Survey Email - June 2025")</f>
        <v>Spain - HCP Survey Email - June 2025</v>
      </c>
      <c r="C4881" s="3" t="str">
        <f>HYPERLINK("https://otsuka-europe-crm.veevavault.com/ui/#object/sent_email__v/VBLZ025E82GN1FC", "SE-000272026")</f>
        <v>SE-000272026</v>
      </c>
      <c r="D4881" s="1" t="s">
        <v>0</v>
      </c>
      <c r="E4881" s="2">
        <v>0</v>
      </c>
      <c r="F4881" s="2">
        <v>0</v>
      </c>
      <c r="G4881" s="2">
        <v>0</v>
      </c>
      <c r="H4881" s="1" t="s">
        <v>0</v>
      </c>
      <c r="I4881" s="2">
        <v>0</v>
      </c>
      <c r="J4881" s="1">
        <v>45915.377662037034</v>
      </c>
    </row>
    <row r="4882" spans="1:10" x14ac:dyDescent="0.2">
      <c r="A4882" s="4" t="s">
        <v>1</v>
      </c>
      <c r="B4882" s="3" t="str">
        <f>HYPERLINK("https://otsuka-europe-crm.veevavault.com/ui/#object/approved_document__v/V5OZ025E82TFUPI", "Spain - HCP Survey Email - June 2025")</f>
        <v>Spain - HCP Survey Email - June 2025</v>
      </c>
      <c r="C4882" s="3" t="str">
        <f>HYPERLINK("https://otsuka-europe-crm.veevavault.com/ui/#object/sent_email__v/VBLZ025E82GN1FD", "SE-000272027")</f>
        <v>SE-000272027</v>
      </c>
      <c r="D4882" s="1">
        <v>45915.643530092595</v>
      </c>
      <c r="E4882" s="2">
        <v>1</v>
      </c>
      <c r="F4882" s="2">
        <v>1</v>
      </c>
      <c r="G4882" s="2">
        <v>0</v>
      </c>
      <c r="H4882" s="1" t="s">
        <v>0</v>
      </c>
      <c r="I4882" s="2">
        <v>0</v>
      </c>
      <c r="J4882" s="1">
        <v>45915.377569444441</v>
      </c>
    </row>
    <row r="4883" spans="1:10" x14ac:dyDescent="0.2">
      <c r="A4883" s="4" t="s">
        <v>1</v>
      </c>
      <c r="B4883" s="3" t="str">
        <f>HYPERLINK("https://otsuka-europe-crm.veevavault.com/ui/#object/approved_document__v/V5OZ025E82TFUPI", "Spain - HCP Survey Email - June 2025")</f>
        <v>Spain - HCP Survey Email - June 2025</v>
      </c>
      <c r="C4883" s="3" t="str">
        <f>HYPERLINK("https://otsuka-europe-crm.veevavault.com/ui/#object/sent_email__v/VBLZ025E82GN1FE", "SE-000272028")</f>
        <v>SE-000272028</v>
      </c>
      <c r="D4883" s="1">
        <v>45917.227083333331</v>
      </c>
      <c r="E4883" s="2">
        <v>1</v>
      </c>
      <c r="F4883" s="2">
        <v>3</v>
      </c>
      <c r="G4883" s="2">
        <v>0</v>
      </c>
      <c r="H4883" s="1" t="s">
        <v>0</v>
      </c>
      <c r="I4883" s="2">
        <v>0</v>
      </c>
      <c r="J4883" s="1">
        <v>45915.377962962964</v>
      </c>
    </row>
    <row r="4884" spans="1:10" x14ac:dyDescent="0.2">
      <c r="A4884" s="4" t="s">
        <v>1</v>
      </c>
      <c r="B4884" s="3" t="str">
        <f>HYPERLINK("https://otsuka-europe-crm.veevavault.com/ui/#object/approved_document__v/V5OZ025E82TFUPI", "Spain - HCP Survey Email - June 2025")</f>
        <v>Spain - HCP Survey Email - June 2025</v>
      </c>
      <c r="C4884" s="3" t="str">
        <f>HYPERLINK("https://otsuka-europe-crm.veevavault.com/ui/#object/sent_email__v/VBLZ025E82GN1FF", "SE-000272029")</f>
        <v>SE-000272029</v>
      </c>
      <c r="D4884" s="1">
        <v>45946.811423611114</v>
      </c>
      <c r="E4884" s="2">
        <v>1</v>
      </c>
      <c r="F4884" s="2">
        <v>3</v>
      </c>
      <c r="G4884" s="2">
        <v>0</v>
      </c>
      <c r="H4884" s="1" t="s">
        <v>0</v>
      </c>
      <c r="I4884" s="2">
        <v>0</v>
      </c>
      <c r="J4884" s="1">
        <v>45915.378981481481</v>
      </c>
    </row>
    <row r="4885" spans="1:10" x14ac:dyDescent="0.2">
      <c r="A4885" s="4" t="s">
        <v>1</v>
      </c>
      <c r="B4885" s="3" t="str">
        <f>HYPERLINK("https://otsuka-europe-crm.veevavault.com/ui/#object/approved_document__v/V5OZ025E82TFUPI", "Spain - HCP Survey Email - June 2025")</f>
        <v>Spain - HCP Survey Email - June 2025</v>
      </c>
      <c r="C4885" s="3" t="str">
        <f>HYPERLINK("https://otsuka-europe-crm.veevavault.com/ui/#object/sent_email__v/VBLZ025E82GN1FG", "SE-000272030")</f>
        <v>SE-000272030</v>
      </c>
      <c r="D4885" s="1">
        <v>45915.659594907411</v>
      </c>
      <c r="E4885" s="2">
        <v>1</v>
      </c>
      <c r="F4885" s="2">
        <v>3</v>
      </c>
      <c r="G4885" s="2">
        <v>0</v>
      </c>
      <c r="H4885" s="1" t="s">
        <v>0</v>
      </c>
      <c r="I4885" s="2">
        <v>0</v>
      </c>
      <c r="J4885" s="1">
        <v>45915.378784722219</v>
      </c>
    </row>
    <row r="4886" spans="1:10" x14ac:dyDescent="0.2">
      <c r="A4886" s="4" t="s">
        <v>1</v>
      </c>
      <c r="B4886" s="3" t="str">
        <f>HYPERLINK("https://otsuka-europe-crm.veevavault.com/ui/#object/approved_document__v/V5OZ025E82TFUPI", "Spain - HCP Survey Email - June 2025")</f>
        <v>Spain - HCP Survey Email - June 2025</v>
      </c>
      <c r="C4886" s="3" t="str">
        <f>HYPERLINK("https://otsuka-europe-crm.veevavault.com/ui/#object/sent_email__v/VBLZ025E82GN1FH", "SE-000272031")</f>
        <v>SE-000272031</v>
      </c>
      <c r="D4886" s="1" t="s">
        <v>0</v>
      </c>
      <c r="E4886" s="2">
        <v>0</v>
      </c>
      <c r="F4886" s="2">
        <v>0</v>
      </c>
      <c r="G4886" s="2">
        <v>0</v>
      </c>
      <c r="H4886" s="1" t="s">
        <v>0</v>
      </c>
      <c r="I4886" s="2">
        <v>0</v>
      </c>
      <c r="J4886" s="1">
        <v>45915.379131944443</v>
      </c>
    </row>
    <row r="4887" spans="1:10" x14ac:dyDescent="0.2">
      <c r="A4887" s="4" t="s">
        <v>1</v>
      </c>
      <c r="B4887" s="3" t="str">
        <f>HYPERLINK("https://otsuka-europe-crm.veevavault.com/ui/#object/approved_document__v/V5OZ025E82TFUPI", "Spain - HCP Survey Email - June 2025")</f>
        <v>Spain - HCP Survey Email - June 2025</v>
      </c>
      <c r="C4887" s="3" t="str">
        <f>HYPERLINK("https://otsuka-europe-crm.veevavault.com/ui/#object/sent_email__v/VBLZ025E82GN1FI", "SE-000272032")</f>
        <v>SE-000272032</v>
      </c>
      <c r="D4887" s="1" t="s">
        <v>0</v>
      </c>
      <c r="E4887" s="2">
        <v>0</v>
      </c>
      <c r="F4887" s="2">
        <v>0</v>
      </c>
      <c r="G4887" s="2">
        <v>0</v>
      </c>
      <c r="H4887" s="1" t="s">
        <v>0</v>
      </c>
      <c r="I4887" s="2">
        <v>0</v>
      </c>
      <c r="J4887" s="1">
        <v>45915.377881944441</v>
      </c>
    </row>
    <row r="4888" spans="1:10" x14ac:dyDescent="0.2">
      <c r="A4888" s="4" t="s">
        <v>1</v>
      </c>
      <c r="B4888" s="3" t="str">
        <f>HYPERLINK("https://otsuka-europe-crm.veevavault.com/ui/#object/approved_document__v/V5OZ025E82TFUPI", "Spain - HCP Survey Email - June 2025")</f>
        <v>Spain - HCP Survey Email - June 2025</v>
      </c>
      <c r="C4888" s="3" t="str">
        <f>HYPERLINK("https://otsuka-europe-crm.veevavault.com/ui/#object/sent_email__v/VBLZ025E82GN1FJ", "SE-000272033")</f>
        <v>SE-000272033</v>
      </c>
      <c r="D4888" s="1" t="s">
        <v>0</v>
      </c>
      <c r="E4888" s="2">
        <v>0</v>
      </c>
      <c r="F4888" s="2">
        <v>0</v>
      </c>
      <c r="G4888" s="2">
        <v>0</v>
      </c>
      <c r="H4888" s="1" t="s">
        <v>0</v>
      </c>
      <c r="I4888" s="2">
        <v>0</v>
      </c>
      <c r="J4888" s="1">
        <v>45915.37835648148</v>
      </c>
    </row>
    <row r="4889" spans="1:10" x14ac:dyDescent="0.2">
      <c r="A4889" s="4" t="s">
        <v>1</v>
      </c>
      <c r="B4889" s="3" t="str">
        <f>HYPERLINK("https://otsuka-europe-crm.veevavault.com/ui/#object/approved_document__v/V5OZ025E82TFUPI", "Spain - HCP Survey Email - June 2025")</f>
        <v>Spain - HCP Survey Email - June 2025</v>
      </c>
      <c r="C4889" s="3" t="str">
        <f>HYPERLINK("https://otsuka-europe-crm.veevavault.com/ui/#object/sent_email__v/VBLZ025E82GN1FK", "SE-000272034")</f>
        <v>SE-000272034</v>
      </c>
      <c r="D4889" s="1" t="s">
        <v>0</v>
      </c>
      <c r="E4889" s="2">
        <v>0</v>
      </c>
      <c r="F4889" s="2">
        <v>0</v>
      </c>
      <c r="G4889" s="2">
        <v>0</v>
      </c>
      <c r="H4889" s="1" t="s">
        <v>0</v>
      </c>
      <c r="I4889" s="2">
        <v>0</v>
      </c>
      <c r="J4889" s="1">
        <v>45915.37804398148</v>
      </c>
    </row>
    <row r="4890" spans="1:10" x14ac:dyDescent="0.2">
      <c r="A4890" s="4" t="s">
        <v>1</v>
      </c>
      <c r="B4890" s="3" t="str">
        <f>HYPERLINK("https://otsuka-europe-crm.veevavault.com/ui/#object/approved_document__v/V5OZ025E82TFUPI", "Spain - HCP Survey Email - June 2025")</f>
        <v>Spain - HCP Survey Email - June 2025</v>
      </c>
      <c r="C4890" s="3" t="str">
        <f>HYPERLINK("https://otsuka-europe-crm.veevavault.com/ui/#object/sent_email__v/VBLZ025E82GN1FL", "SE-000272035")</f>
        <v>SE-000272035</v>
      </c>
      <c r="D4890" s="1" t="s">
        <v>0</v>
      </c>
      <c r="E4890" s="2">
        <v>0</v>
      </c>
      <c r="F4890" s="2">
        <v>0</v>
      </c>
      <c r="G4890" s="2">
        <v>0</v>
      </c>
      <c r="H4890" s="1" t="s">
        <v>0</v>
      </c>
      <c r="I4890" s="2">
        <v>0</v>
      </c>
      <c r="J4890" s="1">
        <v>45915.378576388888</v>
      </c>
    </row>
    <row r="4891" spans="1:10" x14ac:dyDescent="0.2">
      <c r="A4891" s="4" t="s">
        <v>1</v>
      </c>
      <c r="B4891" s="3" t="str">
        <f>HYPERLINK("https://otsuka-europe-crm.veevavault.com/ui/#object/approved_document__v/V5OZ025E82TFUPI", "Spain - HCP Survey Email - June 2025")</f>
        <v>Spain - HCP Survey Email - June 2025</v>
      </c>
      <c r="C4891" s="3" t="str">
        <f>HYPERLINK("https://otsuka-europe-crm.veevavault.com/ui/#object/sent_email__v/VBLZ025E82GN1FM", "SE-000272036")</f>
        <v>SE-000272036</v>
      </c>
      <c r="D4891" s="1">
        <v>45915.850462962961</v>
      </c>
      <c r="E4891" s="2">
        <v>1</v>
      </c>
      <c r="F4891" s="2">
        <v>1</v>
      </c>
      <c r="G4891" s="2">
        <v>0</v>
      </c>
      <c r="H4891" s="1" t="s">
        <v>0</v>
      </c>
      <c r="I4891" s="2">
        <v>0</v>
      </c>
      <c r="J4891" s="1">
        <v>45915.379918981482</v>
      </c>
    </row>
    <row r="4892" spans="1:10" x14ac:dyDescent="0.2">
      <c r="A4892" s="4" t="s">
        <v>1</v>
      </c>
      <c r="B4892" s="3" t="str">
        <f>HYPERLINK("https://otsuka-europe-crm.veevavault.com/ui/#object/approved_document__v/V5OZ025E82TFUPI", "Spain - HCP Survey Email - June 2025")</f>
        <v>Spain - HCP Survey Email - June 2025</v>
      </c>
      <c r="C4892" s="3" t="str">
        <f>HYPERLINK("https://otsuka-europe-crm.veevavault.com/ui/#object/sent_email__v/VBLZ025E82GN1FN", "SE-000272037")</f>
        <v>SE-000272037</v>
      </c>
      <c r="D4892" s="1" t="s">
        <v>0</v>
      </c>
      <c r="E4892" s="2">
        <v>0</v>
      </c>
      <c r="F4892" s="2">
        <v>0</v>
      </c>
      <c r="G4892" s="2">
        <v>0</v>
      </c>
      <c r="H4892" s="1" t="s">
        <v>0</v>
      </c>
      <c r="I4892" s="2">
        <v>0</v>
      </c>
      <c r="J4892" s="1">
        <v>45915.377638888887</v>
      </c>
    </row>
    <row r="4893" spans="1:10" x14ac:dyDescent="0.2">
      <c r="A4893" s="4" t="s">
        <v>1</v>
      </c>
      <c r="B4893" s="3" t="str">
        <f>HYPERLINK("https://otsuka-europe-crm.veevavault.com/ui/#object/approved_document__v/V5OZ025E82TFUPI", "Spain - HCP Survey Email - June 2025")</f>
        <v>Spain - HCP Survey Email - June 2025</v>
      </c>
      <c r="C4893" s="3" t="str">
        <f>HYPERLINK("https://otsuka-europe-crm.veevavault.com/ui/#object/sent_email__v/VBLZ025E82GN1FO", "SE-000272038")</f>
        <v>SE-000272038</v>
      </c>
      <c r="D4893" s="1" t="s">
        <v>0</v>
      </c>
      <c r="E4893" s="2">
        <v>0</v>
      </c>
      <c r="F4893" s="2">
        <v>0</v>
      </c>
      <c r="G4893" s="2">
        <v>0</v>
      </c>
      <c r="H4893" s="1" t="s">
        <v>0</v>
      </c>
      <c r="I4893" s="2">
        <v>0</v>
      </c>
      <c r="J4893" s="1">
        <v>45915.377569444441</v>
      </c>
    </row>
    <row r="4894" spans="1:10" x14ac:dyDescent="0.2">
      <c r="A4894" s="4" t="s">
        <v>1</v>
      </c>
      <c r="B4894" s="3" t="str">
        <f>HYPERLINK("https://otsuka-europe-crm.veevavault.com/ui/#object/approved_document__v/V5OZ025E82TFUPI", "Spain - HCP Survey Email - June 2025")</f>
        <v>Spain - HCP Survey Email - June 2025</v>
      </c>
      <c r="C4894" s="3" t="str">
        <f>HYPERLINK("https://otsuka-europe-crm.veevavault.com/ui/#object/sent_email__v/VBLZ025E82GN1FP", "SE-000272039")</f>
        <v>SE-000272039</v>
      </c>
      <c r="D4894" s="1" t="s">
        <v>0</v>
      </c>
      <c r="E4894" s="2">
        <v>0</v>
      </c>
      <c r="F4894" s="2">
        <v>0</v>
      </c>
      <c r="G4894" s="2">
        <v>0</v>
      </c>
      <c r="H4894" s="1" t="s">
        <v>0</v>
      </c>
      <c r="I4894" s="2">
        <v>0</v>
      </c>
      <c r="J4894" s="1">
        <v>45915.377974537034</v>
      </c>
    </row>
    <row r="4895" spans="1:10" x14ac:dyDescent="0.2">
      <c r="A4895" s="4" t="s">
        <v>1</v>
      </c>
      <c r="B4895" s="3" t="str">
        <f>HYPERLINK("https://otsuka-europe-crm.veevavault.com/ui/#object/approved_document__v/V5OZ025E82TFUPI", "Spain - HCP Survey Email - June 2025")</f>
        <v>Spain - HCP Survey Email - June 2025</v>
      </c>
      <c r="C4895" s="3" t="str">
        <f>HYPERLINK("https://otsuka-europe-crm.veevavault.com/ui/#object/sent_email__v/VBLZ025E82GN1FQ", "SE-000272040")</f>
        <v>SE-000272040</v>
      </c>
      <c r="D4895" s="1" t="s">
        <v>0</v>
      </c>
      <c r="E4895" s="2">
        <v>0</v>
      </c>
      <c r="F4895" s="2">
        <v>0</v>
      </c>
      <c r="G4895" s="2">
        <v>0</v>
      </c>
      <c r="H4895" s="1" t="s">
        <v>0</v>
      </c>
      <c r="I4895" s="2">
        <v>0</v>
      </c>
      <c r="J4895" s="1">
        <v>45915.378865740742</v>
      </c>
    </row>
    <row r="4896" spans="1:10" x14ac:dyDescent="0.2">
      <c r="A4896" s="4" t="s">
        <v>1</v>
      </c>
      <c r="B4896" s="3" t="str">
        <f>HYPERLINK("https://otsuka-europe-crm.veevavault.com/ui/#object/approved_document__v/V5OZ025E82TFUPI", "Spain - HCP Survey Email - June 2025")</f>
        <v>Spain - HCP Survey Email - June 2025</v>
      </c>
      <c r="C4896" s="3" t="str">
        <f>HYPERLINK("https://otsuka-europe-crm.veevavault.com/ui/#object/sent_email__v/VBLZ025E82GN1FR", "SE-000272041")</f>
        <v>SE-000272041</v>
      </c>
      <c r="D4896" s="1">
        <v>45916.445763888885</v>
      </c>
      <c r="E4896" s="2">
        <v>1</v>
      </c>
      <c r="F4896" s="2">
        <v>1</v>
      </c>
      <c r="G4896" s="2">
        <v>0</v>
      </c>
      <c r="H4896" s="1" t="s">
        <v>0</v>
      </c>
      <c r="I4896" s="2">
        <v>0</v>
      </c>
      <c r="J4896" s="1">
        <v>45915.378738425927</v>
      </c>
    </row>
    <row r="4897" spans="1:10" x14ac:dyDescent="0.2">
      <c r="A4897" s="4" t="s">
        <v>1</v>
      </c>
      <c r="B4897" s="3" t="str">
        <f>HYPERLINK("https://otsuka-europe-crm.veevavault.com/ui/#object/approved_document__v/V5OZ025E82TFUPI", "Spain - HCP Survey Email - June 2025")</f>
        <v>Spain - HCP Survey Email - June 2025</v>
      </c>
      <c r="C4897" s="3" t="str">
        <f>HYPERLINK("https://otsuka-europe-crm.veevavault.com/ui/#object/sent_email__v/VBLZ025E82GN1FS", "SE-000272042")</f>
        <v>SE-000272042</v>
      </c>
      <c r="D4897" s="1">
        <v>45916.519965277781</v>
      </c>
      <c r="E4897" s="2">
        <v>1</v>
      </c>
      <c r="F4897" s="2">
        <v>1</v>
      </c>
      <c r="G4897" s="2">
        <v>0</v>
      </c>
      <c r="H4897" s="1" t="s">
        <v>0</v>
      </c>
      <c r="I4897" s="2">
        <v>0</v>
      </c>
      <c r="J4897" s="1">
        <v>45915.379247685189</v>
      </c>
    </row>
    <row r="4898" spans="1:10" x14ac:dyDescent="0.2">
      <c r="A4898" s="4" t="s">
        <v>1</v>
      </c>
      <c r="B4898" s="3" t="str">
        <f>HYPERLINK("https://otsuka-europe-crm.veevavault.com/ui/#object/approved_document__v/V5OZ025E82TFUPI", "Spain - HCP Survey Email - June 2025")</f>
        <v>Spain - HCP Survey Email - June 2025</v>
      </c>
      <c r="C4898" s="3" t="str">
        <f>HYPERLINK("https://otsuka-europe-crm.veevavault.com/ui/#object/sent_email__v/VBLZ025E82GN1FT", "SE-000272043")</f>
        <v>SE-000272043</v>
      </c>
      <c r="D4898" s="1" t="s">
        <v>0</v>
      </c>
      <c r="E4898" s="2">
        <v>0</v>
      </c>
      <c r="F4898" s="2">
        <v>0</v>
      </c>
      <c r="G4898" s="2">
        <v>0</v>
      </c>
      <c r="H4898" s="1" t="s">
        <v>0</v>
      </c>
      <c r="I4898" s="2">
        <v>0</v>
      </c>
      <c r="J4898" s="1">
        <v>45915.377916666665</v>
      </c>
    </row>
    <row r="4899" spans="1:10" x14ac:dyDescent="0.2">
      <c r="A4899" s="4" t="s">
        <v>1</v>
      </c>
      <c r="B4899" s="3" t="str">
        <f>HYPERLINK("https://otsuka-europe-crm.veevavault.com/ui/#object/approved_document__v/V5OZ025E82TFUPI", "Spain - HCP Survey Email - June 2025")</f>
        <v>Spain - HCP Survey Email - June 2025</v>
      </c>
      <c r="C4899" s="3" t="str">
        <f>HYPERLINK("https://otsuka-europe-crm.veevavault.com/ui/#object/sent_email__v/VBLZ025E82GN1FU", "SE-000272044")</f>
        <v>SE-000272044</v>
      </c>
      <c r="D4899" s="1" t="s">
        <v>0</v>
      </c>
      <c r="E4899" s="2">
        <v>0</v>
      </c>
      <c r="F4899" s="2">
        <v>0</v>
      </c>
      <c r="G4899" s="2">
        <v>0</v>
      </c>
      <c r="H4899" s="1" t="s">
        <v>0</v>
      </c>
      <c r="I4899" s="2">
        <v>0</v>
      </c>
      <c r="J4899" s="1">
        <v>45915.378287037034</v>
      </c>
    </row>
    <row r="4900" spans="1:10" x14ac:dyDescent="0.2">
      <c r="A4900" s="4" t="s">
        <v>1</v>
      </c>
      <c r="B4900" s="3" t="str">
        <f>HYPERLINK("https://otsuka-europe-crm.veevavault.com/ui/#object/approved_document__v/V5OZ025E82TFUPI", "Spain - HCP Survey Email - June 2025")</f>
        <v>Spain - HCP Survey Email - June 2025</v>
      </c>
      <c r="C4900" s="3" t="str">
        <f>HYPERLINK("https://otsuka-europe-crm.veevavault.com/ui/#object/sent_email__v/VBLZ025E82GN1FW", "SE-000272046")</f>
        <v>SE-000272046</v>
      </c>
      <c r="D4900" s="1" t="s">
        <v>0</v>
      </c>
      <c r="E4900" s="2">
        <v>0</v>
      </c>
      <c r="F4900" s="2">
        <v>0</v>
      </c>
      <c r="G4900" s="2">
        <v>0</v>
      </c>
      <c r="H4900" s="1" t="s">
        <v>0</v>
      </c>
      <c r="I4900" s="2">
        <v>0</v>
      </c>
      <c r="J4900" s="1">
        <v>45915.378449074073</v>
      </c>
    </row>
    <row r="4901" spans="1:10" x14ac:dyDescent="0.2">
      <c r="A4901" s="4" t="s">
        <v>1</v>
      </c>
      <c r="B4901" s="3" t="str">
        <f>HYPERLINK("https://otsuka-europe-crm.veevavault.com/ui/#object/approved_document__v/V5OZ025E82TFUPI", "Spain - HCP Survey Email - June 2025")</f>
        <v>Spain - HCP Survey Email - June 2025</v>
      </c>
      <c r="C4901" s="3" t="str">
        <f>HYPERLINK("https://otsuka-europe-crm.veevavault.com/ui/#object/sent_email__v/VBLZ025E82GN1FX", "SE-000272047")</f>
        <v>SE-000272047</v>
      </c>
      <c r="D4901" s="1">
        <v>45919.942337962966</v>
      </c>
      <c r="E4901" s="2">
        <v>1</v>
      </c>
      <c r="F4901" s="2">
        <v>1</v>
      </c>
      <c r="G4901" s="2">
        <v>0</v>
      </c>
      <c r="H4901" s="1" t="s">
        <v>0</v>
      </c>
      <c r="I4901" s="2">
        <v>0</v>
      </c>
      <c r="J4901" s="1">
        <v>45915.379803240743</v>
      </c>
    </row>
    <row r="4902" spans="1:10" x14ac:dyDescent="0.2">
      <c r="A4902" s="4" t="s">
        <v>1</v>
      </c>
      <c r="B4902" s="3" t="str">
        <f>HYPERLINK("https://otsuka-europe-crm.veevavault.com/ui/#object/approved_document__v/V5OZ025E82TFUPI", "Spain - HCP Survey Email - June 2025")</f>
        <v>Spain - HCP Survey Email - June 2025</v>
      </c>
      <c r="C4902" s="3" t="str">
        <f>HYPERLINK("https://otsuka-europe-crm.veevavault.com/ui/#object/sent_email__v/VBLZ025E82GN1FY", "SE-000272048")</f>
        <v>SE-000272048</v>
      </c>
      <c r="D4902" s="1">
        <v>45915.434537037036</v>
      </c>
      <c r="E4902" s="2">
        <v>1</v>
      </c>
      <c r="F4902" s="2">
        <v>2</v>
      </c>
      <c r="G4902" s="2">
        <v>0</v>
      </c>
      <c r="H4902" s="1" t="s">
        <v>0</v>
      </c>
      <c r="I4902" s="2">
        <v>0</v>
      </c>
      <c r="J4902" s="1">
        <v>45915.377650462964</v>
      </c>
    </row>
    <row r="4903" spans="1:10" x14ac:dyDescent="0.2">
      <c r="A4903" s="4" t="s">
        <v>1</v>
      </c>
      <c r="B4903" s="3" t="str">
        <f>HYPERLINK("https://otsuka-europe-crm.veevavault.com/ui/#object/approved_document__v/V5OZ025E82TFUPI", "Spain - HCP Survey Email - June 2025")</f>
        <v>Spain - HCP Survey Email - June 2025</v>
      </c>
      <c r="C4903" s="3" t="str">
        <f>HYPERLINK("https://otsuka-europe-crm.veevavault.com/ui/#object/sent_email__v/VBLZ025E82GN1FZ", "SE-000272049")</f>
        <v>SE-000272049</v>
      </c>
      <c r="D4903" s="1">
        <v>45915.469907407409</v>
      </c>
      <c r="E4903" s="2">
        <v>1</v>
      </c>
      <c r="F4903" s="2">
        <v>2</v>
      </c>
      <c r="G4903" s="2">
        <v>0</v>
      </c>
      <c r="H4903" s="1" t="s">
        <v>0</v>
      </c>
      <c r="I4903" s="2">
        <v>0</v>
      </c>
      <c r="J4903" s="1">
        <v>45915.377569444441</v>
      </c>
    </row>
    <row r="4904" spans="1:10" x14ac:dyDescent="0.2">
      <c r="A4904" s="4" t="s">
        <v>1</v>
      </c>
      <c r="B4904" s="3" t="str">
        <f>HYPERLINK("https://otsuka-europe-crm.veevavault.com/ui/#object/approved_document__v/V5OZ025E82TFUPI", "Spain - HCP Survey Email - June 2025")</f>
        <v>Spain - HCP Survey Email - June 2025</v>
      </c>
      <c r="C4904" s="3" t="str">
        <f>HYPERLINK("https://otsuka-europe-crm.veevavault.com/ui/#object/sent_email__v/VBLZ025E82GN1G0", "SE-000272050")</f>
        <v>SE-000272050</v>
      </c>
      <c r="D4904" s="1">
        <v>45915.431701388887</v>
      </c>
      <c r="E4904" s="2">
        <v>1</v>
      </c>
      <c r="F4904" s="2">
        <v>1</v>
      </c>
      <c r="G4904" s="2">
        <v>0</v>
      </c>
      <c r="H4904" s="1" t="s">
        <v>0</v>
      </c>
      <c r="I4904" s="2">
        <v>0</v>
      </c>
      <c r="J4904" s="1">
        <v>45915.378530092596</v>
      </c>
    </row>
    <row r="4905" spans="1:10" x14ac:dyDescent="0.2">
      <c r="A4905" s="4" t="s">
        <v>1</v>
      </c>
      <c r="B4905" s="3" t="str">
        <f>HYPERLINK("https://otsuka-europe-crm.veevavault.com/ui/#object/approved_document__v/V5OZ025E82TFUPI", "Spain - HCP Survey Email - June 2025")</f>
        <v>Spain - HCP Survey Email - June 2025</v>
      </c>
      <c r="C4905" s="3" t="str">
        <f>HYPERLINK("https://otsuka-europe-crm.veevavault.com/ui/#object/sent_email__v/VBLZ025E82GN1G1", "SE-000272051")</f>
        <v>SE-000272051</v>
      </c>
      <c r="D4905" s="1" t="s">
        <v>0</v>
      </c>
      <c r="E4905" s="2">
        <v>0</v>
      </c>
      <c r="F4905" s="2">
        <v>0</v>
      </c>
      <c r="G4905" s="2">
        <v>0</v>
      </c>
      <c r="H4905" s="1" t="s">
        <v>0</v>
      </c>
      <c r="I4905" s="2">
        <v>0</v>
      </c>
      <c r="J4905" s="1">
        <v>45915.379004629627</v>
      </c>
    </row>
    <row r="4906" spans="1:10" x14ac:dyDescent="0.2">
      <c r="A4906" s="4" t="s">
        <v>1</v>
      </c>
      <c r="B4906" s="3" t="str">
        <f>HYPERLINK("https://otsuka-europe-crm.veevavault.com/ui/#object/approved_document__v/V5OZ025E82TFUPI", "Spain - HCP Survey Email - June 2025")</f>
        <v>Spain - HCP Survey Email - June 2025</v>
      </c>
      <c r="C4906" s="3" t="str">
        <f>HYPERLINK("https://otsuka-europe-crm.veevavault.com/ui/#object/sent_email__v/VBLZ025E82GN1G2", "SE-000272052")</f>
        <v>SE-000272052</v>
      </c>
      <c r="D4906" s="1" t="s">
        <v>0</v>
      </c>
      <c r="E4906" s="2">
        <v>0</v>
      </c>
      <c r="F4906" s="2">
        <v>0</v>
      </c>
      <c r="G4906" s="2">
        <v>0</v>
      </c>
      <c r="H4906" s="1" t="s">
        <v>0</v>
      </c>
      <c r="I4906" s="2">
        <v>0</v>
      </c>
      <c r="J4906" s="1">
        <v>45915.378807870373</v>
      </c>
    </row>
    <row r="4907" spans="1:10" x14ac:dyDescent="0.2">
      <c r="A4907" s="4" t="s">
        <v>1</v>
      </c>
      <c r="B4907" s="3" t="str">
        <f>HYPERLINK("https://otsuka-europe-crm.veevavault.com/ui/#object/approved_document__v/V5OZ025E82TFUPI", "Spain - HCP Survey Email - June 2025")</f>
        <v>Spain - HCP Survey Email - June 2025</v>
      </c>
      <c r="C4907" s="3" t="str">
        <f>HYPERLINK("https://otsuka-europe-crm.veevavault.com/ui/#object/sent_email__v/VBLZ025E82GN1G3", "SE-000272053")</f>
        <v>SE-000272053</v>
      </c>
      <c r="D4907" s="1">
        <v>45915.602893518517</v>
      </c>
      <c r="E4907" s="2">
        <v>1</v>
      </c>
      <c r="F4907" s="2">
        <v>2</v>
      </c>
      <c r="G4907" s="2">
        <v>1</v>
      </c>
      <c r="H4907" s="1">
        <v>45915.60361111111</v>
      </c>
      <c r="I4907" s="2">
        <v>2</v>
      </c>
      <c r="J4907" s="1">
        <v>45915.379108796296</v>
      </c>
    </row>
    <row r="4908" spans="1:10" x14ac:dyDescent="0.2">
      <c r="A4908" s="4" t="s">
        <v>1</v>
      </c>
      <c r="B4908" s="3" t="str">
        <f>HYPERLINK("https://otsuka-europe-crm.veevavault.com/ui/#object/approved_document__v/V5OZ025E82TFUPI", "Spain - HCP Survey Email - June 2025")</f>
        <v>Spain - HCP Survey Email - June 2025</v>
      </c>
      <c r="C4908" s="3" t="str">
        <f>HYPERLINK("https://otsuka-europe-crm.veevavault.com/ui/#object/sent_email__v/VBLZ025E82GN1G4", "SE-000272054")</f>
        <v>SE-000272054</v>
      </c>
      <c r="D4908" s="1" t="s">
        <v>0</v>
      </c>
      <c r="E4908" s="2">
        <v>0</v>
      </c>
      <c r="F4908" s="2">
        <v>0</v>
      </c>
      <c r="G4908" s="2">
        <v>0</v>
      </c>
      <c r="H4908" s="1" t="s">
        <v>0</v>
      </c>
      <c r="I4908" s="2">
        <v>0</v>
      </c>
      <c r="J4908" s="1">
        <v>45915.377997685187</v>
      </c>
    </row>
    <row r="4909" spans="1:10" x14ac:dyDescent="0.2">
      <c r="A4909" s="4" t="s">
        <v>1</v>
      </c>
      <c r="B4909" s="3" t="str">
        <f>HYPERLINK("https://otsuka-europe-crm.veevavault.com/ui/#object/approved_document__v/V5OZ025E82TFUPI", "Spain - HCP Survey Email - June 2025")</f>
        <v>Spain - HCP Survey Email - June 2025</v>
      </c>
      <c r="C4909" s="3" t="str">
        <f>HYPERLINK("https://otsuka-europe-crm.veevavault.com/ui/#object/sent_email__v/VBLZ025E82GN1G5", "SE-000272055")</f>
        <v>SE-000272055</v>
      </c>
      <c r="D4909" s="1" t="s">
        <v>0</v>
      </c>
      <c r="E4909" s="2">
        <v>0</v>
      </c>
      <c r="F4909" s="2">
        <v>0</v>
      </c>
      <c r="G4909" s="2">
        <v>0</v>
      </c>
      <c r="H4909" s="1" t="s">
        <v>0</v>
      </c>
      <c r="I4909" s="2">
        <v>0</v>
      </c>
      <c r="J4909" s="1">
        <v>45915.378379629627</v>
      </c>
    </row>
    <row r="4910" spans="1:10" x14ac:dyDescent="0.2">
      <c r="A4910" s="4" t="s">
        <v>1</v>
      </c>
      <c r="B4910" s="3" t="str">
        <f>HYPERLINK("https://otsuka-europe-crm.veevavault.com/ui/#object/approved_document__v/V5OZ025E82TFUPI", "Spain - HCP Survey Email - June 2025")</f>
        <v>Spain - HCP Survey Email - June 2025</v>
      </c>
      <c r="C4910" s="3" t="str">
        <f>HYPERLINK("https://otsuka-europe-crm.veevavault.com/ui/#object/sent_email__v/VBLZ025E82GN1G7", "SE-000272057")</f>
        <v>SE-000272057</v>
      </c>
      <c r="D4910" s="1" t="s">
        <v>0</v>
      </c>
      <c r="E4910" s="2">
        <v>0</v>
      </c>
      <c r="F4910" s="2">
        <v>0</v>
      </c>
      <c r="G4910" s="2">
        <v>0</v>
      </c>
      <c r="H4910" s="1" t="s">
        <v>0</v>
      </c>
      <c r="I4910" s="2">
        <v>0</v>
      </c>
      <c r="J4910" s="1">
        <v>45915.378587962965</v>
      </c>
    </row>
    <row r="4911" spans="1:10" x14ac:dyDescent="0.2">
      <c r="A4911" s="4" t="s">
        <v>1</v>
      </c>
      <c r="B4911" s="3" t="str">
        <f>HYPERLINK("https://otsuka-europe-crm.veevavault.com/ui/#object/approved_document__v/V5OZ025E82TFUPI", "Spain - HCP Survey Email - June 2025")</f>
        <v>Spain - HCP Survey Email - June 2025</v>
      </c>
      <c r="C4911" s="3" t="str">
        <f>HYPERLINK("https://otsuka-europe-crm.veevavault.com/ui/#object/sent_email__v/VBLZ025E82GN1G8", "SE-000272058")</f>
        <v>SE-000272058</v>
      </c>
      <c r="D4911" s="1" t="s">
        <v>0</v>
      </c>
      <c r="E4911" s="2">
        <v>0</v>
      </c>
      <c r="F4911" s="2">
        <v>0</v>
      </c>
      <c r="G4911" s="2">
        <v>0</v>
      </c>
      <c r="H4911" s="1" t="s">
        <v>0</v>
      </c>
      <c r="I4911" s="2">
        <v>0</v>
      </c>
      <c r="J4911" s="1">
        <v>45915.379849537036</v>
      </c>
    </row>
    <row r="4912" spans="1:10" x14ac:dyDescent="0.2">
      <c r="A4912" s="4" t="s">
        <v>1</v>
      </c>
      <c r="B4912" s="3" t="str">
        <f>HYPERLINK("https://otsuka-europe-crm.veevavault.com/ui/#object/approved_document__v/V5OZ025E82TFUPI", "Spain - HCP Survey Email - June 2025")</f>
        <v>Spain - HCP Survey Email - June 2025</v>
      </c>
      <c r="C4912" s="3" t="str">
        <f>HYPERLINK("https://otsuka-europe-crm.veevavault.com/ui/#object/sent_email__v/VBLZ025E82GN1G9", "SE-000272059")</f>
        <v>SE-000272059</v>
      </c>
      <c r="D4912" s="1" t="s">
        <v>0</v>
      </c>
      <c r="E4912" s="2">
        <v>0</v>
      </c>
      <c r="F4912" s="2">
        <v>0</v>
      </c>
      <c r="G4912" s="2">
        <v>0</v>
      </c>
      <c r="H4912" s="1" t="s">
        <v>0</v>
      </c>
      <c r="I4912" s="2">
        <v>0</v>
      </c>
      <c r="J4912" s="1">
        <v>45915.37773148148</v>
      </c>
    </row>
    <row r="4913" spans="1:10" x14ac:dyDescent="0.2">
      <c r="A4913" s="4" t="s">
        <v>1</v>
      </c>
      <c r="B4913" s="3" t="str">
        <f>HYPERLINK("https://otsuka-europe-crm.veevavault.com/ui/#object/approved_document__v/V5OZ025E82TFUPI", "Spain - HCP Survey Email - June 2025")</f>
        <v>Spain - HCP Survey Email - June 2025</v>
      </c>
      <c r="C4913" s="3" t="str">
        <f>HYPERLINK("https://otsuka-europe-crm.veevavault.com/ui/#object/sent_email__v/VBLZ025E82GN1GA", "SE-000272060")</f>
        <v>SE-000272060</v>
      </c>
      <c r="D4913" s="1" t="s">
        <v>0</v>
      </c>
      <c r="E4913" s="2">
        <v>0</v>
      </c>
      <c r="F4913" s="2">
        <v>0</v>
      </c>
      <c r="G4913" s="2">
        <v>0</v>
      </c>
      <c r="H4913" s="1" t="s">
        <v>0</v>
      </c>
      <c r="I4913" s="2">
        <v>0</v>
      </c>
      <c r="J4913" s="1">
        <v>45915.377534722225</v>
      </c>
    </row>
    <row r="4914" spans="1:10" x14ac:dyDescent="0.2">
      <c r="A4914" s="4" t="s">
        <v>1</v>
      </c>
      <c r="B4914" s="3" t="str">
        <f>HYPERLINK("https://otsuka-europe-crm.veevavault.com/ui/#object/approved_document__v/V5OZ025E82TFUPI", "Spain - HCP Survey Email - June 2025")</f>
        <v>Spain - HCP Survey Email - June 2025</v>
      </c>
      <c r="C4914" s="3" t="str">
        <f>HYPERLINK("https://otsuka-europe-crm.veevavault.com/ui/#object/sent_email__v/VBLZ025E82GN1GB", "SE-000272061")</f>
        <v>SE-000272061</v>
      </c>
      <c r="D4914" s="1">
        <v>45920.830081018517</v>
      </c>
      <c r="E4914" s="2">
        <v>1</v>
      </c>
      <c r="F4914" s="2">
        <v>4</v>
      </c>
      <c r="G4914" s="2">
        <v>1</v>
      </c>
      <c r="H4914" s="1">
        <v>45915.602696759262</v>
      </c>
      <c r="I4914" s="2">
        <v>2</v>
      </c>
      <c r="J4914" s="1">
        <v>45915.377939814818</v>
      </c>
    </row>
    <row r="4915" spans="1:10" x14ac:dyDescent="0.2">
      <c r="A4915" s="4" t="s">
        <v>1</v>
      </c>
      <c r="B4915" s="3" t="str">
        <f>HYPERLINK("https://otsuka-europe-crm.veevavault.com/ui/#object/approved_document__v/V5OZ025E82TFUPI", "Spain - HCP Survey Email - June 2025")</f>
        <v>Spain - HCP Survey Email - June 2025</v>
      </c>
      <c r="C4915" s="3" t="str">
        <f>HYPERLINK("https://otsuka-europe-crm.veevavault.com/ui/#object/sent_email__v/VBLZ025E82GN1GC", "SE-000272062")</f>
        <v>SE-000272062</v>
      </c>
      <c r="D4915" s="1">
        <v>45945.653993055559</v>
      </c>
      <c r="E4915" s="2">
        <v>1</v>
      </c>
      <c r="F4915" s="2">
        <v>4</v>
      </c>
      <c r="G4915" s="2">
        <v>0</v>
      </c>
      <c r="H4915" s="1" t="s">
        <v>0</v>
      </c>
      <c r="I4915" s="2">
        <v>0</v>
      </c>
      <c r="J4915" s="1">
        <v>45915.379756944443</v>
      </c>
    </row>
    <row r="4916" spans="1:10" x14ac:dyDescent="0.2">
      <c r="A4916" s="4" t="s">
        <v>1</v>
      </c>
      <c r="B4916" s="3" t="str">
        <f>HYPERLINK("https://otsuka-europe-crm.veevavault.com/ui/#object/approved_document__v/V5OZ025E82TFUPI", "Spain - HCP Survey Email - June 2025")</f>
        <v>Spain - HCP Survey Email - June 2025</v>
      </c>
      <c r="C4916" s="3" t="str">
        <f>HYPERLINK("https://otsuka-europe-crm.veevavault.com/ui/#object/sent_email__v/VBLZ025E82GN1GE", "SE-000272064")</f>
        <v>SE-000272064</v>
      </c>
      <c r="D4916" s="1">
        <v>45917.547372685185</v>
      </c>
      <c r="E4916" s="2">
        <v>1</v>
      </c>
      <c r="F4916" s="2">
        <v>2</v>
      </c>
      <c r="G4916" s="2">
        <v>0</v>
      </c>
      <c r="H4916" s="1" t="s">
        <v>0</v>
      </c>
      <c r="I4916" s="2">
        <v>0</v>
      </c>
      <c r="J4916" s="1">
        <v>45915.377569444441</v>
      </c>
    </row>
    <row r="4917" spans="1:10" x14ac:dyDescent="0.2">
      <c r="A4917" s="4" t="s">
        <v>1</v>
      </c>
      <c r="B4917" s="3" t="str">
        <f>HYPERLINK("https://otsuka-europe-crm.veevavault.com/ui/#object/approved_document__v/V5OZ025E82TFUPI", "Spain - HCP Survey Email - June 2025")</f>
        <v>Spain - HCP Survey Email - June 2025</v>
      </c>
      <c r="C4917" s="3" t="str">
        <f>HYPERLINK("https://otsuka-europe-crm.veevavault.com/ui/#object/sent_email__v/VBLZ025E82GN1GF", "SE-000272065")</f>
        <v>SE-000272065</v>
      </c>
      <c r="D4917" s="1">
        <v>45917.259965277779</v>
      </c>
      <c r="E4917" s="2">
        <v>1</v>
      </c>
      <c r="F4917" s="2">
        <v>1</v>
      </c>
      <c r="G4917" s="2">
        <v>0</v>
      </c>
      <c r="H4917" s="1" t="s">
        <v>0</v>
      </c>
      <c r="I4917" s="2">
        <v>0</v>
      </c>
      <c r="J4917" s="1">
        <v>45915.377974537034</v>
      </c>
    </row>
    <row r="4918" spans="1:10" x14ac:dyDescent="0.2">
      <c r="A4918" s="4" t="s">
        <v>1</v>
      </c>
      <c r="B4918" s="3" t="str">
        <f>HYPERLINK("https://otsuka-europe-crm.veevavault.com/ui/#object/approved_document__v/V5OZ025E82TFUPI", "Spain - HCP Survey Email - June 2025")</f>
        <v>Spain - HCP Survey Email - June 2025</v>
      </c>
      <c r="C4918" s="3" t="str">
        <f>HYPERLINK("https://otsuka-europe-crm.veevavault.com/ui/#object/sent_email__v/VBLZ025E82GN1GG", "SE-000272066")</f>
        <v>SE-000272066</v>
      </c>
      <c r="D4918" s="1" t="s">
        <v>0</v>
      </c>
      <c r="E4918" s="2">
        <v>0</v>
      </c>
      <c r="F4918" s="2">
        <v>0</v>
      </c>
      <c r="G4918" s="2">
        <v>0</v>
      </c>
      <c r="H4918" s="1" t="s">
        <v>0</v>
      </c>
      <c r="I4918" s="2">
        <v>0</v>
      </c>
      <c r="J4918" s="1">
        <v>45915.378831018519</v>
      </c>
    </row>
    <row r="4919" spans="1:10" x14ac:dyDescent="0.2">
      <c r="A4919" s="4" t="s">
        <v>1</v>
      </c>
      <c r="B4919" s="3" t="str">
        <f>HYPERLINK("https://otsuka-europe-crm.veevavault.com/ui/#object/approved_document__v/V5OZ025E82TFUPI", "Spain - HCP Survey Email - June 2025")</f>
        <v>Spain - HCP Survey Email - June 2025</v>
      </c>
      <c r="C4919" s="3" t="str">
        <f>HYPERLINK("https://otsuka-europe-crm.veevavault.com/ui/#object/sent_email__v/VBLZ025E82GN1GH", "SE-000272067")</f>
        <v>SE-000272067</v>
      </c>
      <c r="D4919" s="1">
        <v>45915.483784722222</v>
      </c>
      <c r="E4919" s="2">
        <v>1</v>
      </c>
      <c r="F4919" s="2">
        <v>1</v>
      </c>
      <c r="G4919" s="2">
        <v>0</v>
      </c>
      <c r="H4919" s="1" t="s">
        <v>0</v>
      </c>
      <c r="I4919" s="2">
        <v>0</v>
      </c>
      <c r="J4919" s="1">
        <v>45915.378842592596</v>
      </c>
    </row>
    <row r="4920" spans="1:10" x14ac:dyDescent="0.2">
      <c r="A4920" s="4" t="s">
        <v>1</v>
      </c>
      <c r="B4920" s="3" t="str">
        <f>HYPERLINK("https://otsuka-europe-crm.veevavault.com/ui/#object/approved_document__v/V5OZ025E82TFUPI", "Spain - HCP Survey Email - June 2025")</f>
        <v>Spain - HCP Survey Email - June 2025</v>
      </c>
      <c r="C4920" s="3" t="str">
        <f>HYPERLINK("https://otsuka-europe-crm.veevavault.com/ui/#object/sent_email__v/VBLZ025E82GN1GI", "SE-000272068")</f>
        <v>SE-000272068</v>
      </c>
      <c r="D4920" s="1">
        <v>45918.822500000002</v>
      </c>
      <c r="E4920" s="2">
        <v>1</v>
      </c>
      <c r="F4920" s="2">
        <v>1</v>
      </c>
      <c r="G4920" s="2">
        <v>0</v>
      </c>
      <c r="H4920" s="1" t="s">
        <v>0</v>
      </c>
      <c r="I4920" s="2">
        <v>0</v>
      </c>
      <c r="J4920" s="1">
        <v>45915.379201388889</v>
      </c>
    </row>
    <row r="4921" spans="1:10" x14ac:dyDescent="0.2">
      <c r="A4921" s="4" t="s">
        <v>1</v>
      </c>
      <c r="B4921" s="3" t="str">
        <f>HYPERLINK("https://otsuka-europe-crm.veevavault.com/ui/#object/approved_document__v/V5OZ025E82TFUPI", "Spain - HCP Survey Email - June 2025")</f>
        <v>Spain - HCP Survey Email - June 2025</v>
      </c>
      <c r="C4921" s="3" t="str">
        <f>HYPERLINK("https://otsuka-europe-crm.veevavault.com/ui/#object/sent_email__v/VBLZ025E82GN1GJ", "SE-000272069")</f>
        <v>SE-000272069</v>
      </c>
      <c r="D4921" s="1" t="s">
        <v>0</v>
      </c>
      <c r="E4921" s="2">
        <v>0</v>
      </c>
      <c r="F4921" s="2">
        <v>0</v>
      </c>
      <c r="G4921" s="2">
        <v>0</v>
      </c>
      <c r="H4921" s="1" t="s">
        <v>0</v>
      </c>
      <c r="I4921" s="2">
        <v>0</v>
      </c>
      <c r="J4921" s="1">
        <v>45915.377881944441</v>
      </c>
    </row>
    <row r="4922" spans="1:10" x14ac:dyDescent="0.2">
      <c r="A4922" s="4" t="s">
        <v>1</v>
      </c>
      <c r="B4922" s="3" t="str">
        <f>HYPERLINK("https://otsuka-europe-crm.veevavault.com/ui/#object/approved_document__v/V5OZ025E82TFUPI", "Spain - HCP Survey Email - June 2025")</f>
        <v>Spain - HCP Survey Email - June 2025</v>
      </c>
      <c r="C4922" s="3" t="str">
        <f>HYPERLINK("https://otsuka-europe-crm.veevavault.com/ui/#object/sent_email__v/VBLZ025E82GN1GK", "SE-000272070")</f>
        <v>SE-000272070</v>
      </c>
      <c r="D4922" s="1">
        <v>46047.759236111109</v>
      </c>
      <c r="E4922" s="2">
        <v>1</v>
      </c>
      <c r="F4922" s="2">
        <v>3</v>
      </c>
      <c r="G4922" s="2">
        <v>0</v>
      </c>
      <c r="H4922" s="1" t="s">
        <v>0</v>
      </c>
      <c r="I4922" s="2">
        <v>0</v>
      </c>
      <c r="J4922" s="1">
        <v>45915.37835648148</v>
      </c>
    </row>
    <row r="4923" spans="1:10" x14ac:dyDescent="0.2">
      <c r="A4923" s="4" t="s">
        <v>1</v>
      </c>
      <c r="B4923" s="3" t="str">
        <f>HYPERLINK("https://otsuka-europe-crm.veevavault.com/ui/#object/approved_document__v/V5OZ025E82TFUPI", "Spain - HCP Survey Email - June 2025")</f>
        <v>Spain - HCP Survey Email - June 2025</v>
      </c>
      <c r="C4923" s="3" t="str">
        <f>HYPERLINK("https://otsuka-europe-crm.veevavault.com/ui/#object/sent_email__v/VBLZ025E82GN1GL", "SE-000272071")</f>
        <v>SE-000272071</v>
      </c>
      <c r="D4923" s="1" t="s">
        <v>0</v>
      </c>
      <c r="E4923" s="2">
        <v>0</v>
      </c>
      <c r="F4923" s="2">
        <v>0</v>
      </c>
      <c r="G4923" s="2">
        <v>0</v>
      </c>
      <c r="H4923" s="1" t="s">
        <v>0</v>
      </c>
      <c r="I4923" s="2">
        <v>0</v>
      </c>
      <c r="J4923" s="1">
        <v>45915.378148148149</v>
      </c>
    </row>
    <row r="4924" spans="1:10" x14ac:dyDescent="0.2">
      <c r="A4924" s="4" t="s">
        <v>1</v>
      </c>
      <c r="B4924" s="3" t="str">
        <f>HYPERLINK("https://otsuka-europe-crm.veevavault.com/ui/#object/approved_document__v/V5OZ025E82TFUPI", "Spain - HCP Survey Email - June 2025")</f>
        <v>Spain - HCP Survey Email - June 2025</v>
      </c>
      <c r="C4924" s="3" t="str">
        <f>HYPERLINK("https://otsuka-europe-crm.veevavault.com/ui/#object/sent_email__v/VBLZ025E82GN1GM", "SE-000272072")</f>
        <v>SE-000272072</v>
      </c>
      <c r="D4924" s="1" t="s">
        <v>0</v>
      </c>
      <c r="E4924" s="2">
        <v>0</v>
      </c>
      <c r="F4924" s="2">
        <v>0</v>
      </c>
      <c r="G4924" s="2">
        <v>0</v>
      </c>
      <c r="H4924" s="1" t="s">
        <v>0</v>
      </c>
      <c r="I4924" s="2">
        <v>0</v>
      </c>
      <c r="J4924" s="1">
        <v>45915.378449074073</v>
      </c>
    </row>
    <row r="4925" spans="1:10" x14ac:dyDescent="0.2">
      <c r="A4925" s="4" t="s">
        <v>1</v>
      </c>
      <c r="B4925" s="3" t="str">
        <f>HYPERLINK("https://otsuka-europe-crm.veevavault.com/ui/#object/approved_document__v/V5OZ025E82TFUPI", "Spain - HCP Survey Email - June 2025")</f>
        <v>Spain - HCP Survey Email - June 2025</v>
      </c>
      <c r="C4925" s="3" t="str">
        <f>HYPERLINK("https://otsuka-europe-crm.veevavault.com/ui/#object/sent_email__v/VBLZ025E82GN1GN", "SE-000272073")</f>
        <v>SE-000272073</v>
      </c>
      <c r="D4925" s="1" t="s">
        <v>0</v>
      </c>
      <c r="E4925" s="2">
        <v>0</v>
      </c>
      <c r="F4925" s="2">
        <v>0</v>
      </c>
      <c r="G4925" s="2">
        <v>0</v>
      </c>
      <c r="H4925" s="1" t="s">
        <v>0</v>
      </c>
      <c r="I4925" s="2">
        <v>0</v>
      </c>
      <c r="J4925" s="1">
        <v>45915.379814814813</v>
      </c>
    </row>
    <row r="4926" spans="1:10" x14ac:dyDescent="0.2">
      <c r="A4926" s="4" t="s">
        <v>1</v>
      </c>
      <c r="B4926" s="3" t="str">
        <f>HYPERLINK("https://otsuka-europe-crm.veevavault.com/ui/#object/approved_document__v/V5OZ025E82TFUPI", "Spain - HCP Survey Email - June 2025")</f>
        <v>Spain - HCP Survey Email - June 2025</v>
      </c>
      <c r="C4926" s="3" t="str">
        <f>HYPERLINK("https://otsuka-europe-crm.veevavault.com/ui/#object/sent_email__v/VBLZ025E82GN1GO", "SE-000272074")</f>
        <v>SE-000272074</v>
      </c>
      <c r="D4926" s="1">
        <v>45915.919976851852</v>
      </c>
      <c r="E4926" s="2">
        <v>1</v>
      </c>
      <c r="F4926" s="2">
        <v>1</v>
      </c>
      <c r="G4926" s="2">
        <v>0</v>
      </c>
      <c r="H4926" s="1" t="s">
        <v>0</v>
      </c>
      <c r="I4926" s="2">
        <v>0</v>
      </c>
      <c r="J4926" s="1">
        <v>45915.377662037034</v>
      </c>
    </row>
    <row r="4927" spans="1:10" x14ac:dyDescent="0.2">
      <c r="A4927" s="4" t="s">
        <v>1</v>
      </c>
      <c r="B4927" s="3" t="str">
        <f>HYPERLINK("https://otsuka-europe-crm.veevavault.com/ui/#object/approved_document__v/V5OZ025E82TFUPI", "Spain - HCP Survey Email - June 2025")</f>
        <v>Spain - HCP Survey Email - June 2025</v>
      </c>
      <c r="C4927" s="3" t="str">
        <f>HYPERLINK("https://otsuka-europe-crm.veevavault.com/ui/#object/sent_email__v/VBLZ025E82GN1GP", "SE-000272075")</f>
        <v>SE-000272075</v>
      </c>
      <c r="D4927" s="1">
        <v>45915.458460648151</v>
      </c>
      <c r="E4927" s="2">
        <v>1</v>
      </c>
      <c r="F4927" s="2">
        <v>2</v>
      </c>
      <c r="G4927" s="2">
        <v>0</v>
      </c>
      <c r="H4927" s="1" t="s">
        <v>0</v>
      </c>
      <c r="I4927" s="2">
        <v>0</v>
      </c>
      <c r="J4927" s="1">
        <v>45915.377546296295</v>
      </c>
    </row>
    <row r="4928" spans="1:10" x14ac:dyDescent="0.2">
      <c r="A4928" s="4" t="s">
        <v>1</v>
      </c>
      <c r="B4928" s="3" t="str">
        <f>HYPERLINK("https://otsuka-europe-crm.veevavault.com/ui/#object/approved_document__v/V5OZ025E82TFUPI", "Spain - HCP Survey Email - June 2025")</f>
        <v>Spain - HCP Survey Email - June 2025</v>
      </c>
      <c r="C4928" s="3" t="str">
        <f>HYPERLINK("https://otsuka-europe-crm.veevavault.com/ui/#object/sent_email__v/VBLZ025E82GN1GQ", "SE-000272076")</f>
        <v>SE-000272076</v>
      </c>
      <c r="D4928" s="1" t="s">
        <v>0</v>
      </c>
      <c r="E4928" s="2">
        <v>0</v>
      </c>
      <c r="F4928" s="2">
        <v>0</v>
      </c>
      <c r="G4928" s="2">
        <v>0</v>
      </c>
      <c r="H4928" s="1" t="s">
        <v>0</v>
      </c>
      <c r="I4928" s="2">
        <v>0</v>
      </c>
      <c r="J4928" s="1">
        <v>45915.378530092596</v>
      </c>
    </row>
    <row r="4929" spans="1:10" x14ac:dyDescent="0.2">
      <c r="A4929" s="4" t="s">
        <v>1</v>
      </c>
      <c r="B4929" s="3" t="str">
        <f>HYPERLINK("https://otsuka-europe-crm.veevavault.com/ui/#object/approved_document__v/V5OZ025E82TFUPI", "Spain - HCP Survey Email - June 2025")</f>
        <v>Spain - HCP Survey Email - June 2025</v>
      </c>
      <c r="C4929" s="3" t="str">
        <f>HYPERLINK("https://otsuka-europe-crm.veevavault.com/ui/#object/sent_email__v/VBLZ025E82GN1GR", "SE-000272077")</f>
        <v>SE-000272077</v>
      </c>
      <c r="D4929" s="1">
        <v>45915.384710648148</v>
      </c>
      <c r="E4929" s="2">
        <v>1</v>
      </c>
      <c r="F4929" s="2">
        <v>1</v>
      </c>
      <c r="G4929" s="2">
        <v>0</v>
      </c>
      <c r="H4929" s="1" t="s">
        <v>0</v>
      </c>
      <c r="I4929" s="2">
        <v>0</v>
      </c>
      <c r="J4929" s="1">
        <v>45915.378981481481</v>
      </c>
    </row>
    <row r="4930" spans="1:10" x14ac:dyDescent="0.2">
      <c r="A4930" s="4" t="s">
        <v>1</v>
      </c>
      <c r="B4930" s="3" t="str">
        <f>HYPERLINK("https://otsuka-europe-crm.veevavault.com/ui/#object/approved_document__v/V5OZ025E82TFUPI", "Spain - HCP Survey Email - June 2025")</f>
        <v>Spain - HCP Survey Email - June 2025</v>
      </c>
      <c r="C4930" s="3" t="str">
        <f>HYPERLINK("https://otsuka-europe-crm.veevavault.com/ui/#object/sent_email__v/VBLZ025E82GN1GS", "SE-000272078")</f>
        <v>SE-000272078</v>
      </c>
      <c r="D4930" s="1" t="s">
        <v>0</v>
      </c>
      <c r="E4930" s="2">
        <v>0</v>
      </c>
      <c r="F4930" s="2">
        <v>0</v>
      </c>
      <c r="G4930" s="2">
        <v>0</v>
      </c>
      <c r="H4930" s="1" t="s">
        <v>0</v>
      </c>
      <c r="I4930" s="2">
        <v>0</v>
      </c>
      <c r="J4930" s="1">
        <v>45915.378703703704</v>
      </c>
    </row>
    <row r="4931" spans="1:10" x14ac:dyDescent="0.2">
      <c r="A4931" s="4" t="s">
        <v>1</v>
      </c>
      <c r="B4931" s="3" t="str">
        <f>HYPERLINK("https://otsuka-europe-crm.veevavault.com/ui/#object/approved_document__v/V5OZ025E82TFUPI", "Spain - HCP Survey Email - June 2025")</f>
        <v>Spain - HCP Survey Email - June 2025</v>
      </c>
      <c r="C4931" s="3" t="str">
        <f>HYPERLINK("https://otsuka-europe-crm.veevavault.com/ui/#object/sent_email__v/VBLZ025E82GN1GT", "SE-000272079")</f>
        <v>SE-000272079</v>
      </c>
      <c r="D4931" s="1">
        <v>45916.717314814814</v>
      </c>
      <c r="E4931" s="2">
        <v>1</v>
      </c>
      <c r="F4931" s="2">
        <v>1</v>
      </c>
      <c r="G4931" s="2">
        <v>0</v>
      </c>
      <c r="H4931" s="1" t="s">
        <v>0</v>
      </c>
      <c r="I4931" s="2">
        <v>0</v>
      </c>
      <c r="J4931" s="1">
        <v>45915.379270833335</v>
      </c>
    </row>
    <row r="4932" spans="1:10" x14ac:dyDescent="0.2">
      <c r="A4932" s="4" t="s">
        <v>1</v>
      </c>
      <c r="B4932" s="3" t="str">
        <f>HYPERLINK("https://otsuka-europe-crm.veevavault.com/ui/#object/approved_document__v/V5OZ025E82TFUPI", "Spain - HCP Survey Email - June 2025")</f>
        <v>Spain - HCP Survey Email - June 2025</v>
      </c>
      <c r="C4932" s="3" t="str">
        <f>HYPERLINK("https://otsuka-europe-crm.veevavault.com/ui/#object/sent_email__v/VBLZ025E82GN1GU", "SE-000272080")</f>
        <v>SE-000272080</v>
      </c>
      <c r="D4932" s="1">
        <v>45916.003506944442</v>
      </c>
      <c r="E4932" s="2">
        <v>1</v>
      </c>
      <c r="F4932" s="2">
        <v>1</v>
      </c>
      <c r="G4932" s="2">
        <v>1</v>
      </c>
      <c r="H4932" s="1">
        <v>45916.003506944442</v>
      </c>
      <c r="I4932" s="2">
        <v>1</v>
      </c>
      <c r="J4932" s="1">
        <v>45915.377881944441</v>
      </c>
    </row>
    <row r="4933" spans="1:10" x14ac:dyDescent="0.2">
      <c r="A4933" s="4" t="s">
        <v>1</v>
      </c>
      <c r="B4933" s="3" t="str">
        <f>HYPERLINK("https://otsuka-europe-crm.veevavault.com/ui/#object/approved_document__v/V5OZ025E82TFUPI", "Spain - HCP Survey Email - June 2025")</f>
        <v>Spain - HCP Survey Email - June 2025</v>
      </c>
      <c r="C4933" s="3" t="str">
        <f>HYPERLINK("https://otsuka-europe-crm.veevavault.com/ui/#object/sent_email__v/VBLZ025E82GN1GV", "SE-000272081")</f>
        <v>SE-000272081</v>
      </c>
      <c r="D4933" s="1">
        <v>45921.724594907406</v>
      </c>
      <c r="E4933" s="2">
        <v>1</v>
      </c>
      <c r="F4933" s="2">
        <v>2</v>
      </c>
      <c r="G4933" s="2">
        <v>0</v>
      </c>
      <c r="H4933" s="1" t="s">
        <v>0</v>
      </c>
      <c r="I4933" s="2">
        <v>0</v>
      </c>
      <c r="J4933" s="1">
        <v>45915.378252314818</v>
      </c>
    </row>
    <row r="4934" spans="1:10" x14ac:dyDescent="0.2">
      <c r="A4934" s="4" t="s">
        <v>1</v>
      </c>
      <c r="B4934" s="3" t="str">
        <f>HYPERLINK("https://otsuka-europe-crm.veevavault.com/ui/#object/approved_document__v/V5OZ025E82TFUPI", "Spain - HCP Survey Email - June 2025")</f>
        <v>Spain - HCP Survey Email - June 2025</v>
      </c>
      <c r="C4934" s="3" t="str">
        <f>HYPERLINK("https://otsuka-europe-crm.veevavault.com/ui/#object/sent_email__v/VBLZ025E82GN1GW", "SE-000272082")</f>
        <v>SE-000272082</v>
      </c>
      <c r="D4934" s="1">
        <v>45920.060532407406</v>
      </c>
      <c r="E4934" s="2">
        <v>1</v>
      </c>
      <c r="F4934" s="2">
        <v>1</v>
      </c>
      <c r="G4934" s="2">
        <v>0</v>
      </c>
      <c r="H4934" s="1" t="s">
        <v>0</v>
      </c>
      <c r="I4934" s="2">
        <v>0</v>
      </c>
      <c r="J4934" s="1">
        <v>45915.378067129626</v>
      </c>
    </row>
    <row r="4935" spans="1:10" x14ac:dyDescent="0.2">
      <c r="A4935" s="4" t="s">
        <v>1</v>
      </c>
      <c r="B4935" s="3" t="str">
        <f>HYPERLINK("https://otsuka-europe-crm.veevavault.com/ui/#object/approved_document__v/V5OZ025E82TFUPI", "Spain - HCP Survey Email - June 2025")</f>
        <v>Spain - HCP Survey Email - June 2025</v>
      </c>
      <c r="C4935" s="3" t="str">
        <f>HYPERLINK("https://otsuka-europe-crm.veevavault.com/ui/#object/sent_email__v/VBLZ025E82GN1GX", "SE-000272083")</f>
        <v>SE-000272083</v>
      </c>
      <c r="D4935" s="1" t="s">
        <v>0</v>
      </c>
      <c r="E4935" s="2">
        <v>0</v>
      </c>
      <c r="F4935" s="2">
        <v>0</v>
      </c>
      <c r="G4935" s="2">
        <v>0</v>
      </c>
      <c r="H4935" s="1" t="s">
        <v>0</v>
      </c>
      <c r="I4935" s="2">
        <v>0</v>
      </c>
      <c r="J4935" s="1">
        <v>45915.378553240742</v>
      </c>
    </row>
    <row r="4936" spans="1:10" x14ac:dyDescent="0.2">
      <c r="A4936" s="4" t="s">
        <v>1</v>
      </c>
      <c r="B4936" s="3" t="str">
        <f>HYPERLINK("https://otsuka-europe-crm.veevavault.com/ui/#object/approved_document__v/V5OZ025E82TFUPI", "Spain - HCP Survey Email - June 2025")</f>
        <v>Spain - HCP Survey Email - June 2025</v>
      </c>
      <c r="C4936" s="3" t="str">
        <f>HYPERLINK("https://otsuka-europe-crm.veevavault.com/ui/#object/sent_email__v/VBLZ025E82GN1GY", "SE-000272084")</f>
        <v>SE-000272084</v>
      </c>
      <c r="D4936" s="1" t="s">
        <v>0</v>
      </c>
      <c r="E4936" s="2">
        <v>0</v>
      </c>
      <c r="F4936" s="2">
        <v>0</v>
      </c>
      <c r="G4936" s="2">
        <v>0</v>
      </c>
      <c r="H4936" s="1" t="s">
        <v>0</v>
      </c>
      <c r="I4936" s="2">
        <v>0</v>
      </c>
      <c r="J4936" s="1">
        <v>45915.379652777781</v>
      </c>
    </row>
    <row r="4937" spans="1:10" x14ac:dyDescent="0.2">
      <c r="A4937" s="4" t="s">
        <v>1</v>
      </c>
      <c r="B4937" s="3" t="str">
        <f>HYPERLINK("https://otsuka-europe-crm.veevavault.com/ui/#object/approved_document__v/V5OZ025E82TFUPI", "Spain - HCP Survey Email - June 2025")</f>
        <v>Spain - HCP Survey Email - June 2025</v>
      </c>
      <c r="C4937" s="3" t="str">
        <f>HYPERLINK("https://otsuka-europe-crm.veevavault.com/ui/#object/sent_email__v/VBLZ025E82GN1GZ", "SE-000272085")</f>
        <v>SE-000272085</v>
      </c>
      <c r="D4937" s="1">
        <v>45915.423055555555</v>
      </c>
      <c r="E4937" s="2">
        <v>1</v>
      </c>
      <c r="F4937" s="2">
        <v>1</v>
      </c>
      <c r="G4937" s="2">
        <v>1</v>
      </c>
      <c r="H4937" s="1">
        <v>45915.423263888886</v>
      </c>
      <c r="I4937" s="2">
        <v>1</v>
      </c>
      <c r="J4937" s="1">
        <v>45915.37773148148</v>
      </c>
    </row>
    <row r="4938" spans="1:10" x14ac:dyDescent="0.2">
      <c r="A4938" s="4" t="s">
        <v>1</v>
      </c>
      <c r="B4938" s="3" t="str">
        <f>HYPERLINK("https://otsuka-europe-crm.veevavault.com/ui/#object/approved_document__v/V5OZ025E82TFUPI", "Spain - HCP Survey Email - June 2025")</f>
        <v>Spain - HCP Survey Email - June 2025</v>
      </c>
      <c r="C4938" s="3" t="str">
        <f>HYPERLINK("https://otsuka-europe-crm.veevavault.com/ui/#object/sent_email__v/VBLZ025E82GN1H0", "SE-000272086")</f>
        <v>SE-000272086</v>
      </c>
      <c r="D4938" s="1" t="s">
        <v>0</v>
      </c>
      <c r="E4938" s="2">
        <v>0</v>
      </c>
      <c r="F4938" s="2">
        <v>0</v>
      </c>
      <c r="G4938" s="2">
        <v>0</v>
      </c>
      <c r="H4938" s="1" t="s">
        <v>0</v>
      </c>
      <c r="I4938" s="2">
        <v>0</v>
      </c>
      <c r="J4938" s="1">
        <v>45915.377557870372</v>
      </c>
    </row>
    <row r="4939" spans="1:10" x14ac:dyDescent="0.2">
      <c r="A4939" s="4" t="s">
        <v>1</v>
      </c>
      <c r="B4939" s="3" t="str">
        <f>HYPERLINK("https://otsuka-europe-crm.veevavault.com/ui/#object/approved_document__v/V5OZ025E82TFUPI", "Spain - HCP Survey Email - June 2025")</f>
        <v>Spain - HCP Survey Email - June 2025</v>
      </c>
      <c r="C4939" s="3" t="str">
        <f>HYPERLINK("https://otsuka-europe-crm.veevavault.com/ui/#object/sent_email__v/VBLZ025E82GN1H1", "SE-000272087")</f>
        <v>SE-000272087</v>
      </c>
      <c r="D4939" s="1">
        <v>45915.967893518522</v>
      </c>
      <c r="E4939" s="2">
        <v>1</v>
      </c>
      <c r="F4939" s="2">
        <v>1</v>
      </c>
      <c r="G4939" s="2">
        <v>1</v>
      </c>
      <c r="H4939" s="1">
        <v>46079.318749999999</v>
      </c>
      <c r="I4939" s="2">
        <v>8</v>
      </c>
      <c r="J4939" s="1">
        <v>45915.378518518519</v>
      </c>
    </row>
    <row r="4940" spans="1:10" x14ac:dyDescent="0.2">
      <c r="A4940" s="4" t="s">
        <v>1</v>
      </c>
      <c r="B4940" s="3" t="str">
        <f>HYPERLINK("https://otsuka-europe-crm.veevavault.com/ui/#object/approved_document__v/V5OZ025E82TFUPI", "Spain - HCP Survey Email - June 2025")</f>
        <v>Spain - HCP Survey Email - June 2025</v>
      </c>
      <c r="C4940" s="3" t="str">
        <f>HYPERLINK("https://otsuka-europe-crm.veevavault.com/ui/#object/sent_email__v/VBLZ025E82GN1H2", "SE-000272088")</f>
        <v>SE-000272088</v>
      </c>
      <c r="D4940" s="1" t="s">
        <v>0</v>
      </c>
      <c r="E4940" s="2">
        <v>0</v>
      </c>
      <c r="F4940" s="2">
        <v>0</v>
      </c>
      <c r="G4940" s="2">
        <v>0</v>
      </c>
      <c r="H4940" s="1" t="s">
        <v>0</v>
      </c>
      <c r="I4940" s="2">
        <v>0</v>
      </c>
      <c r="J4940" s="1">
        <v>45915.378541666665</v>
      </c>
    </row>
    <row r="4941" spans="1:10" x14ac:dyDescent="0.2">
      <c r="A4941" s="4" t="s">
        <v>1</v>
      </c>
      <c r="B4941" s="3" t="str">
        <f>HYPERLINK("https://otsuka-europe-crm.veevavault.com/ui/#object/approved_document__v/V5OZ025E82TFUPI", "Spain - HCP Survey Email - June 2025")</f>
        <v>Spain - HCP Survey Email - June 2025</v>
      </c>
      <c r="C4941" s="3" t="str">
        <f>HYPERLINK("https://otsuka-europe-crm.veevavault.com/ui/#object/sent_email__v/VBLZ025E82GN1H3", "SE-000272089")</f>
        <v>SE-000272089</v>
      </c>
      <c r="D4941" s="1" t="s">
        <v>0</v>
      </c>
      <c r="E4941" s="2">
        <v>0</v>
      </c>
      <c r="F4941" s="2">
        <v>0</v>
      </c>
      <c r="G4941" s="2">
        <v>0</v>
      </c>
      <c r="H4941" s="1" t="s">
        <v>0</v>
      </c>
      <c r="I4941" s="2">
        <v>0</v>
      </c>
      <c r="J4941" s="1">
        <v>45915.379895833335</v>
      </c>
    </row>
    <row r="4942" spans="1:10" x14ac:dyDescent="0.2">
      <c r="A4942" s="4" t="s">
        <v>1</v>
      </c>
      <c r="B4942" s="3" t="str">
        <f>HYPERLINK("https://otsuka-europe-crm.veevavault.com/ui/#object/approved_document__v/V5OZ025E82TFUPI", "Spain - HCP Survey Email - June 2025")</f>
        <v>Spain - HCP Survey Email - June 2025</v>
      </c>
      <c r="C4942" s="3" t="str">
        <f>HYPERLINK("https://otsuka-europe-crm.veevavault.com/ui/#object/sent_email__v/VBLZ025E82GN1H4", "SE-000272090")</f>
        <v>SE-000272090</v>
      </c>
      <c r="D4942" s="1">
        <v>45915.379525462966</v>
      </c>
      <c r="E4942" s="2">
        <v>1</v>
      </c>
      <c r="F4942" s="2">
        <v>2</v>
      </c>
      <c r="G4942" s="2">
        <v>0</v>
      </c>
      <c r="H4942" s="1" t="s">
        <v>0</v>
      </c>
      <c r="I4942" s="2">
        <v>0</v>
      </c>
      <c r="J4942" s="1">
        <v>45915.377708333333</v>
      </c>
    </row>
    <row r="4943" spans="1:10" x14ac:dyDescent="0.2">
      <c r="A4943" s="4" t="s">
        <v>1</v>
      </c>
      <c r="B4943" s="3" t="str">
        <f>HYPERLINK("https://otsuka-europe-crm.veevavault.com/ui/#object/approved_document__v/V5OZ025E82TFUPI", "Spain - HCP Survey Email - June 2025")</f>
        <v>Spain - HCP Survey Email - June 2025</v>
      </c>
      <c r="C4943" s="3" t="str">
        <f>HYPERLINK("https://otsuka-europe-crm.veevavault.com/ui/#object/sent_email__v/VBLZ025E82GN1H5", "SE-000272091")</f>
        <v>SE-000272091</v>
      </c>
      <c r="D4943" s="1" t="s">
        <v>0</v>
      </c>
      <c r="E4943" s="2">
        <v>0</v>
      </c>
      <c r="F4943" s="2">
        <v>0</v>
      </c>
      <c r="G4943" s="2">
        <v>0</v>
      </c>
      <c r="H4943" s="1" t="s">
        <v>0</v>
      </c>
      <c r="I4943" s="2">
        <v>0</v>
      </c>
      <c r="J4943" s="1">
        <v>45915.377523148149</v>
      </c>
    </row>
    <row r="4944" spans="1:10" x14ac:dyDescent="0.2">
      <c r="A4944" s="4" t="s">
        <v>1</v>
      </c>
      <c r="B4944" s="3" t="str">
        <f>HYPERLINK("https://otsuka-europe-crm.veevavault.com/ui/#object/approved_document__v/V5OZ025E82TFUPI", "Spain - HCP Survey Email - June 2025")</f>
        <v>Spain - HCP Survey Email - June 2025</v>
      </c>
      <c r="C4944" s="3" t="str">
        <f>HYPERLINK("https://otsuka-europe-crm.veevavault.com/ui/#object/sent_email__v/VBLZ025E82GN1H6", "SE-000272092")</f>
        <v>SE-000272092</v>
      </c>
      <c r="D4944" s="1">
        <v>45915.591053240743</v>
      </c>
      <c r="E4944" s="2">
        <v>1</v>
      </c>
      <c r="F4944" s="2">
        <v>2</v>
      </c>
      <c r="G4944" s="2">
        <v>0</v>
      </c>
      <c r="H4944" s="1" t="s">
        <v>0</v>
      </c>
      <c r="I4944" s="2">
        <v>0</v>
      </c>
      <c r="J4944" s="1">
        <v>45915.378495370373</v>
      </c>
    </row>
    <row r="4945" spans="1:10" x14ac:dyDescent="0.2">
      <c r="A4945" s="4" t="s">
        <v>1</v>
      </c>
      <c r="B4945" s="3" t="str">
        <f>HYPERLINK("https://otsuka-europe-crm.veevavault.com/ui/#object/approved_document__v/V5OZ025E82TFUPI", "Spain - HCP Survey Email - June 2025")</f>
        <v>Spain - HCP Survey Email - June 2025</v>
      </c>
      <c r="C4945" s="3" t="str">
        <f>HYPERLINK("https://otsuka-europe-crm.veevavault.com/ui/#object/sent_email__v/VBLZ025E82GN1H7", "SE-000272093")</f>
        <v>SE-000272093</v>
      </c>
      <c r="D4945" s="1">
        <v>45915.614791666667</v>
      </c>
      <c r="E4945" s="2">
        <v>1</v>
      </c>
      <c r="F4945" s="2">
        <v>2</v>
      </c>
      <c r="G4945" s="2">
        <v>1</v>
      </c>
      <c r="H4945" s="1">
        <v>45915.439872685187</v>
      </c>
      <c r="I4945" s="2">
        <v>1</v>
      </c>
      <c r="J4945" s="1">
        <v>45915.378842592596</v>
      </c>
    </row>
    <row r="4946" spans="1:10" x14ac:dyDescent="0.2">
      <c r="A4946" s="4" t="s">
        <v>1</v>
      </c>
      <c r="B4946" s="3" t="str">
        <f>HYPERLINK("https://otsuka-europe-crm.veevavault.com/ui/#object/approved_document__v/V5OZ025E82TFUPI", "Spain - HCP Survey Email - June 2025")</f>
        <v>Spain - HCP Survey Email - June 2025</v>
      </c>
      <c r="C4946" s="3" t="str">
        <f>HYPERLINK("https://otsuka-europe-crm.veevavault.com/ui/#object/sent_email__v/VBLZ025E82GN1H9", "SE-000272095")</f>
        <v>SE-000272095</v>
      </c>
      <c r="D4946" s="1">
        <v>45915.447025462963</v>
      </c>
      <c r="E4946" s="2">
        <v>1</v>
      </c>
      <c r="F4946" s="2">
        <v>2</v>
      </c>
      <c r="G4946" s="2">
        <v>0</v>
      </c>
      <c r="H4946" s="1" t="s">
        <v>0</v>
      </c>
      <c r="I4946" s="2">
        <v>0</v>
      </c>
      <c r="J4946" s="1">
        <v>45915.37908564815</v>
      </c>
    </row>
    <row r="4947" spans="1:10" x14ac:dyDescent="0.2">
      <c r="A4947" s="4" t="s">
        <v>1</v>
      </c>
      <c r="B4947" s="3" t="str">
        <f>HYPERLINK("https://otsuka-europe-crm.veevavault.com/ui/#object/approved_document__v/V5OZ025E82TFUPI", "Spain - HCP Survey Email - June 2025")</f>
        <v>Spain - HCP Survey Email - June 2025</v>
      </c>
      <c r="C4947" s="3" t="str">
        <f>HYPERLINK("https://otsuka-europe-crm.veevavault.com/ui/#object/sent_email__v/VBLZ025E82GN1HA", "SE-000272096")</f>
        <v>SE-000272096</v>
      </c>
      <c r="D4947" s="1">
        <v>45915.787361111114</v>
      </c>
      <c r="E4947" s="2">
        <v>1</v>
      </c>
      <c r="F4947" s="2">
        <v>1</v>
      </c>
      <c r="G4947" s="2">
        <v>0</v>
      </c>
      <c r="H4947" s="1" t="s">
        <v>0</v>
      </c>
      <c r="I4947" s="2">
        <v>0</v>
      </c>
      <c r="J4947" s="1">
        <v>45915.377881944441</v>
      </c>
    </row>
    <row r="4948" spans="1:10" x14ac:dyDescent="0.2">
      <c r="A4948" s="4" t="s">
        <v>1</v>
      </c>
      <c r="B4948" s="3" t="str">
        <f>HYPERLINK("https://otsuka-europe-crm.veevavault.com/ui/#object/approved_document__v/V5OZ025E82TFUPI", "Spain - HCP Survey Email - June 2025")</f>
        <v>Spain - HCP Survey Email - June 2025</v>
      </c>
      <c r="C4948" s="3" t="str">
        <f>HYPERLINK("https://otsuka-europe-crm.veevavault.com/ui/#object/sent_email__v/VBLZ025E82GN1HB", "SE-000272097")</f>
        <v>SE-000272097</v>
      </c>
      <c r="D4948" s="1" t="s">
        <v>0</v>
      </c>
      <c r="E4948" s="2">
        <v>0</v>
      </c>
      <c r="F4948" s="2">
        <v>0</v>
      </c>
      <c r="G4948" s="2">
        <v>0</v>
      </c>
      <c r="H4948" s="1" t="s">
        <v>0</v>
      </c>
      <c r="I4948" s="2">
        <v>0</v>
      </c>
      <c r="J4948" s="1">
        <v>45915.378298611111</v>
      </c>
    </row>
    <row r="4949" spans="1:10" x14ac:dyDescent="0.2">
      <c r="A4949" s="4" t="s">
        <v>1</v>
      </c>
      <c r="B4949" s="3" t="str">
        <f>HYPERLINK("https://otsuka-europe-crm.veevavault.com/ui/#object/approved_document__v/V5OZ025E82TFUPI", "Spain - HCP Survey Email - June 2025")</f>
        <v>Spain - HCP Survey Email - June 2025</v>
      </c>
      <c r="C4949" s="3" t="str">
        <f>HYPERLINK("https://otsuka-europe-crm.veevavault.com/ui/#object/sent_email__v/VBLZ025E82GN1HC", "SE-000272098")</f>
        <v>SE-000272098</v>
      </c>
      <c r="D4949" s="1" t="s">
        <v>0</v>
      </c>
      <c r="E4949" s="2">
        <v>0</v>
      </c>
      <c r="F4949" s="2">
        <v>0</v>
      </c>
      <c r="G4949" s="2">
        <v>0</v>
      </c>
      <c r="H4949" s="1" t="s">
        <v>0</v>
      </c>
      <c r="I4949" s="2">
        <v>0</v>
      </c>
      <c r="J4949" s="1">
        <v>45915.378055555557</v>
      </c>
    </row>
    <row r="4950" spans="1:10" x14ac:dyDescent="0.2">
      <c r="A4950" s="4" t="s">
        <v>1</v>
      </c>
      <c r="B4950" s="3" t="str">
        <f>HYPERLINK("https://otsuka-europe-crm.veevavault.com/ui/#object/approved_document__v/V5OZ025E82TFUPI", "Spain - HCP Survey Email - June 2025")</f>
        <v>Spain - HCP Survey Email - June 2025</v>
      </c>
      <c r="C4950" s="3" t="str">
        <f>HYPERLINK("https://otsuka-europe-crm.veevavault.com/ui/#object/sent_email__v/VBLZ025E82GN1HD", "SE-000272099")</f>
        <v>SE-000272099</v>
      </c>
      <c r="D4950" s="1" t="s">
        <v>0</v>
      </c>
      <c r="E4950" s="2">
        <v>0</v>
      </c>
      <c r="F4950" s="2">
        <v>0</v>
      </c>
      <c r="G4950" s="2">
        <v>0</v>
      </c>
      <c r="H4950" s="1" t="s">
        <v>0</v>
      </c>
      <c r="I4950" s="2">
        <v>0</v>
      </c>
      <c r="J4950" s="1">
        <v>45915.378541666665</v>
      </c>
    </row>
    <row r="4951" spans="1:10" x14ac:dyDescent="0.2">
      <c r="A4951" s="4" t="s">
        <v>1</v>
      </c>
      <c r="B4951" s="3" t="str">
        <f>HYPERLINK("https://otsuka-europe-crm.veevavault.com/ui/#object/approved_document__v/V5OZ025E82TFUPI", "Spain - HCP Survey Email - June 2025")</f>
        <v>Spain - HCP Survey Email - June 2025</v>
      </c>
      <c r="C4951" s="3" t="str">
        <f>HYPERLINK("https://otsuka-europe-crm.veevavault.com/ui/#object/sent_email__v/VBLZ025E82GN1HE", "SE-000272100")</f>
        <v>SE-000272100</v>
      </c>
      <c r="D4951" s="1">
        <v>45915.38140046296</v>
      </c>
      <c r="E4951" s="2">
        <v>1</v>
      </c>
      <c r="F4951" s="2">
        <v>1</v>
      </c>
      <c r="G4951" s="2">
        <v>0</v>
      </c>
      <c r="H4951" s="1" t="s">
        <v>0</v>
      </c>
      <c r="I4951" s="2">
        <v>0</v>
      </c>
      <c r="J4951" s="1">
        <v>45915.37972222222</v>
      </c>
    </row>
    <row r="4952" spans="1:10" x14ac:dyDescent="0.2">
      <c r="A4952" s="4" t="s">
        <v>1</v>
      </c>
      <c r="B4952" s="3" t="str">
        <f>HYPERLINK("https://otsuka-europe-crm.veevavault.com/ui/#object/approved_document__v/V5OZ025E82TFUPI", "Spain - HCP Survey Email - June 2025")</f>
        <v>Spain - HCP Survey Email - June 2025</v>
      </c>
      <c r="C4952" s="3" t="str">
        <f>HYPERLINK("https://otsuka-europe-crm.veevavault.com/ui/#object/sent_email__v/VBLZ025E82GN1HF", "SE-000272101")</f>
        <v>SE-000272101</v>
      </c>
      <c r="D4952" s="1">
        <v>45915.396932870368</v>
      </c>
      <c r="E4952" s="2">
        <v>1</v>
      </c>
      <c r="F4952" s="2">
        <v>1</v>
      </c>
      <c r="G4952" s="2">
        <v>0</v>
      </c>
      <c r="H4952" s="1" t="s">
        <v>0</v>
      </c>
      <c r="I4952" s="2">
        <v>0</v>
      </c>
      <c r="J4952" s="1">
        <v>45915.37771990741</v>
      </c>
    </row>
    <row r="4953" spans="1:10" x14ac:dyDescent="0.2">
      <c r="A4953" s="4" t="s">
        <v>1</v>
      </c>
      <c r="B4953" s="3" t="str">
        <f>HYPERLINK("https://otsuka-europe-crm.veevavault.com/ui/#object/approved_document__v/V5OZ025E82TFUPI", "Spain - HCP Survey Email - June 2025")</f>
        <v>Spain - HCP Survey Email - June 2025</v>
      </c>
      <c r="C4953" s="3" t="str">
        <f>HYPERLINK("https://otsuka-europe-crm.veevavault.com/ui/#object/sent_email__v/VBLZ025E82GN1HG", "SE-000272102")</f>
        <v>SE-000272102</v>
      </c>
      <c r="D4953" s="1" t="s">
        <v>0</v>
      </c>
      <c r="E4953" s="2">
        <v>0</v>
      </c>
      <c r="F4953" s="2">
        <v>0</v>
      </c>
      <c r="G4953" s="2">
        <v>0</v>
      </c>
      <c r="H4953" s="1" t="s">
        <v>0</v>
      </c>
      <c r="I4953" s="2">
        <v>0</v>
      </c>
      <c r="J4953" s="1">
        <v>45915.377511574072</v>
      </c>
    </row>
    <row r="4954" spans="1:10" x14ac:dyDescent="0.2">
      <c r="A4954" s="4" t="s">
        <v>1</v>
      </c>
      <c r="B4954" s="3" t="str">
        <f>HYPERLINK("https://otsuka-europe-crm.veevavault.com/ui/#object/approved_document__v/V5OZ025E82TFUPI", "Spain - HCP Survey Email - June 2025")</f>
        <v>Spain - HCP Survey Email - June 2025</v>
      </c>
      <c r="C4954" s="3" t="str">
        <f>HYPERLINK("https://otsuka-europe-crm.veevavault.com/ui/#object/sent_email__v/VBLZ025E82GN1HH", "SE-000272103")</f>
        <v>SE-000272103</v>
      </c>
      <c r="D4954" s="1">
        <v>45915.421759259261</v>
      </c>
      <c r="E4954" s="2">
        <v>1</v>
      </c>
      <c r="F4954" s="2">
        <v>1</v>
      </c>
      <c r="G4954" s="2">
        <v>1</v>
      </c>
      <c r="H4954" s="1">
        <v>45915.421759259261</v>
      </c>
      <c r="I4954" s="2">
        <v>1</v>
      </c>
      <c r="J4954" s="1">
        <v>45915.378506944442</v>
      </c>
    </row>
    <row r="4955" spans="1:10" x14ac:dyDescent="0.2">
      <c r="A4955" s="4" t="s">
        <v>1</v>
      </c>
      <c r="B4955" s="3" t="str">
        <f>HYPERLINK("https://otsuka-europe-crm.veevavault.com/ui/#object/approved_document__v/V5OZ025E82TFUPI", "Spain - HCP Survey Email - June 2025")</f>
        <v>Spain - HCP Survey Email - June 2025</v>
      </c>
      <c r="C4955" s="3" t="str">
        <f>HYPERLINK("https://otsuka-europe-crm.veevavault.com/ui/#object/sent_email__v/VBLZ025E82GN1HI", "SE-000272104")</f>
        <v>SE-000272104</v>
      </c>
      <c r="D4955" s="1" t="s">
        <v>0</v>
      </c>
      <c r="E4955" s="2">
        <v>0</v>
      </c>
      <c r="F4955" s="2">
        <v>0</v>
      </c>
      <c r="G4955" s="2">
        <v>0</v>
      </c>
      <c r="H4955" s="1" t="s">
        <v>0</v>
      </c>
      <c r="I4955" s="2">
        <v>0</v>
      </c>
      <c r="J4955" s="1">
        <v>45915.378935185188</v>
      </c>
    </row>
    <row r="4956" spans="1:10" x14ac:dyDescent="0.2">
      <c r="A4956" s="4" t="s">
        <v>1</v>
      </c>
      <c r="B4956" s="3" t="str">
        <f>HYPERLINK("https://otsuka-europe-crm.veevavault.com/ui/#object/approved_document__v/V5OZ025E82TFUPI", "Spain - HCP Survey Email - June 2025")</f>
        <v>Spain - HCP Survey Email - June 2025</v>
      </c>
      <c r="C4956" s="3" t="str">
        <f>HYPERLINK("https://otsuka-europe-crm.veevavault.com/ui/#object/sent_email__v/VBLZ025E82GN1HJ", "SE-000272105")</f>
        <v>SE-000272105</v>
      </c>
      <c r="D4956" s="1">
        <v>45943.368993055556</v>
      </c>
      <c r="E4956" s="2">
        <v>1</v>
      </c>
      <c r="F4956" s="2">
        <v>2</v>
      </c>
      <c r="G4956" s="2">
        <v>0</v>
      </c>
      <c r="H4956" s="1" t="s">
        <v>0</v>
      </c>
      <c r="I4956" s="2">
        <v>0</v>
      </c>
      <c r="J4956" s="1">
        <v>45915.378807870373</v>
      </c>
    </row>
    <row r="4957" spans="1:10" x14ac:dyDescent="0.2">
      <c r="A4957" s="4" t="s">
        <v>1</v>
      </c>
      <c r="B4957" s="3" t="str">
        <f>HYPERLINK("https://otsuka-europe-crm.veevavault.com/ui/#object/approved_document__v/V5OZ025E82TFUPI", "Spain - HCP Survey Email - June 2025")</f>
        <v>Spain - HCP Survey Email - June 2025</v>
      </c>
      <c r="C4957" s="3" t="str">
        <f>HYPERLINK("https://otsuka-europe-crm.veevavault.com/ui/#object/sent_email__v/VBLZ025E82GN1HK", "SE-000272106")</f>
        <v>SE-000272106</v>
      </c>
      <c r="D4957" s="1" t="s">
        <v>0</v>
      </c>
      <c r="E4957" s="2">
        <v>0</v>
      </c>
      <c r="F4957" s="2">
        <v>0</v>
      </c>
      <c r="G4957" s="2">
        <v>0</v>
      </c>
      <c r="H4957" s="1" t="s">
        <v>0</v>
      </c>
      <c r="I4957" s="2">
        <v>0</v>
      </c>
      <c r="J4957" s="1">
        <v>45915.379201388889</v>
      </c>
    </row>
    <row r="4958" spans="1:10" x14ac:dyDescent="0.2">
      <c r="A4958" s="4" t="s">
        <v>1</v>
      </c>
      <c r="B4958" s="3" t="str">
        <f>HYPERLINK("https://otsuka-europe-crm.veevavault.com/ui/#object/approved_document__v/V5OZ025E82TFUPI", "Spain - HCP Survey Email - June 2025")</f>
        <v>Spain - HCP Survey Email - June 2025</v>
      </c>
      <c r="C4958" s="3" t="str">
        <f>HYPERLINK("https://otsuka-europe-crm.veevavault.com/ui/#object/sent_email__v/VBLZ025E82GN1HL", "SE-000272107")</f>
        <v>SE-000272107</v>
      </c>
      <c r="D4958" s="1" t="s">
        <v>0</v>
      </c>
      <c r="E4958" s="2">
        <v>0</v>
      </c>
      <c r="F4958" s="2">
        <v>0</v>
      </c>
      <c r="G4958" s="2">
        <v>0</v>
      </c>
      <c r="H4958" s="1" t="s">
        <v>0</v>
      </c>
      <c r="I4958" s="2">
        <v>0</v>
      </c>
      <c r="J4958" s="1">
        <v>45915.377928240741</v>
      </c>
    </row>
    <row r="4959" spans="1:10" x14ac:dyDescent="0.2">
      <c r="A4959" s="4" t="s">
        <v>1</v>
      </c>
      <c r="B4959" s="3" t="str">
        <f>HYPERLINK("https://otsuka-europe-crm.veevavault.com/ui/#object/approved_document__v/V5OZ025E82TFUPI", "Spain - HCP Survey Email - June 2025")</f>
        <v>Spain - HCP Survey Email - June 2025</v>
      </c>
      <c r="C4959" s="3" t="str">
        <f>HYPERLINK("https://otsuka-europe-crm.veevavault.com/ui/#object/sent_email__v/VBLZ025E82GN1HM", "SE-000272108")</f>
        <v>SE-000272108</v>
      </c>
      <c r="D4959" s="1">
        <v>45915.540011574078</v>
      </c>
      <c r="E4959" s="2">
        <v>1</v>
      </c>
      <c r="F4959" s="2">
        <v>2</v>
      </c>
      <c r="G4959" s="2">
        <v>0</v>
      </c>
      <c r="H4959" s="1" t="s">
        <v>0</v>
      </c>
      <c r="I4959" s="2">
        <v>0</v>
      </c>
      <c r="J4959" s="1">
        <v>45915.378217592595</v>
      </c>
    </row>
    <row r="4960" spans="1:10" x14ac:dyDescent="0.2">
      <c r="A4960" s="4" t="s">
        <v>1</v>
      </c>
      <c r="B4960" s="3" t="str">
        <f>HYPERLINK("https://otsuka-europe-crm.veevavault.com/ui/#object/approved_document__v/V5OZ025E82TFUPI", "Spain - HCP Survey Email - June 2025")</f>
        <v>Spain - HCP Survey Email - June 2025</v>
      </c>
      <c r="C4960" s="3" t="str">
        <f>HYPERLINK("https://otsuka-europe-crm.veevavault.com/ui/#object/sent_email__v/VBLZ025E82GN1HO", "SE-000272110")</f>
        <v>SE-000272110</v>
      </c>
      <c r="D4960" s="1">
        <v>45915.480543981481</v>
      </c>
      <c r="E4960" s="2">
        <v>1</v>
      </c>
      <c r="F4960" s="2">
        <v>1</v>
      </c>
      <c r="G4960" s="2">
        <v>0</v>
      </c>
      <c r="H4960" s="1" t="s">
        <v>0</v>
      </c>
      <c r="I4960" s="2">
        <v>0</v>
      </c>
      <c r="J4960" s="1">
        <v>45915.378530092596</v>
      </c>
    </row>
    <row r="4961" spans="1:10" x14ac:dyDescent="0.2">
      <c r="A4961" s="4" t="s">
        <v>1</v>
      </c>
      <c r="B4961" s="3" t="str">
        <f>HYPERLINK("https://otsuka-europe-crm.veevavault.com/ui/#object/approved_document__v/V5OZ025E82TFUPI", "Spain - HCP Survey Email - June 2025")</f>
        <v>Spain - HCP Survey Email - June 2025</v>
      </c>
      <c r="C4961" s="3" t="str">
        <f>HYPERLINK("https://otsuka-europe-crm.veevavault.com/ui/#object/sent_email__v/VBLZ025E82GN1HP", "SE-000272111")</f>
        <v>SE-000272111</v>
      </c>
      <c r="D4961" s="1" t="s">
        <v>0</v>
      </c>
      <c r="E4961" s="2">
        <v>0</v>
      </c>
      <c r="F4961" s="2">
        <v>0</v>
      </c>
      <c r="G4961" s="2">
        <v>0</v>
      </c>
      <c r="H4961" s="1" t="s">
        <v>0</v>
      </c>
      <c r="I4961" s="2">
        <v>0</v>
      </c>
      <c r="J4961" s="1">
        <v>45915.37976851852</v>
      </c>
    </row>
    <row r="4962" spans="1:10" x14ac:dyDescent="0.2">
      <c r="A4962" s="4" t="s">
        <v>1</v>
      </c>
      <c r="B4962" s="3" t="str">
        <f>HYPERLINK("https://otsuka-europe-crm.veevavault.com/ui/#object/approved_document__v/V5OZ025E82TFUPI", "Spain - HCP Survey Email - June 2025")</f>
        <v>Spain - HCP Survey Email - June 2025</v>
      </c>
      <c r="C4962" s="3" t="str">
        <f>HYPERLINK("https://otsuka-europe-crm.veevavault.com/ui/#object/sent_email__v/VBLZ025E82GN1HQ", "SE-000272112")</f>
        <v>SE-000272112</v>
      </c>
      <c r="D4962" s="1">
        <v>45916.63417824074</v>
      </c>
      <c r="E4962" s="2">
        <v>1</v>
      </c>
      <c r="F4962" s="2">
        <v>5</v>
      </c>
      <c r="G4962" s="2">
        <v>0</v>
      </c>
      <c r="H4962" s="1" t="s">
        <v>0</v>
      </c>
      <c r="I4962" s="2">
        <v>0</v>
      </c>
      <c r="J4962" s="1">
        <v>45915.37767361111</v>
      </c>
    </row>
    <row r="4963" spans="1:10" x14ac:dyDescent="0.2">
      <c r="A4963" s="4" t="s">
        <v>1</v>
      </c>
      <c r="B4963" s="3" t="str">
        <f>HYPERLINK("https://otsuka-europe-crm.veevavault.com/ui/#object/approved_document__v/V5OZ025E82TFUPI", "Spain - HCP Survey Email - June 2025")</f>
        <v>Spain - HCP Survey Email - June 2025</v>
      </c>
      <c r="C4963" s="3" t="str">
        <f>HYPERLINK("https://otsuka-europe-crm.veevavault.com/ui/#object/sent_email__v/VBLZ025E82GN1HR", "SE-000272113")</f>
        <v>SE-000272113</v>
      </c>
      <c r="D4963" s="1">
        <v>45915.377627314818</v>
      </c>
      <c r="E4963" s="2">
        <v>1</v>
      </c>
      <c r="F4963" s="2">
        <v>1</v>
      </c>
      <c r="G4963" s="2">
        <v>1</v>
      </c>
      <c r="H4963" s="1">
        <v>45915.378437500003</v>
      </c>
      <c r="I4963" s="2">
        <v>2</v>
      </c>
      <c r="J4963" s="1">
        <v>45915.377546296295</v>
      </c>
    </row>
    <row r="4964" spans="1:10" x14ac:dyDescent="0.2">
      <c r="A4964" s="4" t="s">
        <v>1</v>
      </c>
      <c r="B4964" s="3" t="str">
        <f>HYPERLINK("https://otsuka-europe-crm.veevavault.com/ui/#object/approved_document__v/V5OZ025E82TFUPI", "Spain - HCP Survey Email - June 2025")</f>
        <v>Spain - HCP Survey Email - June 2025</v>
      </c>
      <c r="C4964" s="3" t="str">
        <f>HYPERLINK("https://otsuka-europe-crm.veevavault.com/ui/#object/sent_email__v/VBLZ025E82GN1HS", "SE-000272114")</f>
        <v>SE-000272114</v>
      </c>
      <c r="D4964" s="1" t="s">
        <v>0</v>
      </c>
      <c r="E4964" s="2">
        <v>0</v>
      </c>
      <c r="F4964" s="2">
        <v>0</v>
      </c>
      <c r="G4964" s="2">
        <v>0</v>
      </c>
      <c r="H4964" s="1" t="s">
        <v>0</v>
      </c>
      <c r="I4964" s="2">
        <v>0</v>
      </c>
      <c r="J4964" s="1">
        <v>45915.377893518518</v>
      </c>
    </row>
    <row r="4965" spans="1:10" x14ac:dyDescent="0.2">
      <c r="A4965" s="4" t="s">
        <v>1</v>
      </c>
      <c r="B4965" s="3" t="str">
        <f>HYPERLINK("https://otsuka-europe-crm.veevavault.com/ui/#object/approved_document__v/V5OZ025E82TFUPI", "Spain - HCP Survey Email - June 2025")</f>
        <v>Spain - HCP Survey Email - June 2025</v>
      </c>
      <c r="C4965" s="3" t="str">
        <f>HYPERLINK("https://otsuka-europe-crm.veevavault.com/ui/#object/sent_email__v/VBLZ025E82GN1HT", "SE-000272115")</f>
        <v>SE-000272115</v>
      </c>
      <c r="D4965" s="1">
        <v>45915.400682870371</v>
      </c>
      <c r="E4965" s="2">
        <v>1</v>
      </c>
      <c r="F4965" s="2">
        <v>2</v>
      </c>
      <c r="G4965" s="2">
        <v>0</v>
      </c>
      <c r="H4965" s="1" t="s">
        <v>0</v>
      </c>
      <c r="I4965" s="2">
        <v>0</v>
      </c>
      <c r="J4965" s="1">
        <v>45915.378888888888</v>
      </c>
    </row>
    <row r="4966" spans="1:10" x14ac:dyDescent="0.2">
      <c r="A4966" s="4" t="s">
        <v>1</v>
      </c>
      <c r="B4966" s="3" t="str">
        <f>HYPERLINK("https://otsuka-europe-crm.veevavault.com/ui/#object/approved_document__v/V5OZ025E82TFUPI", "Spain - HCP Survey Email - June 2025")</f>
        <v>Spain - HCP Survey Email - June 2025</v>
      </c>
      <c r="C4966" s="3" t="str">
        <f>HYPERLINK("https://otsuka-europe-crm.veevavault.com/ui/#object/sent_email__v/VBLZ025E82GN1HU", "SE-000272116")</f>
        <v>SE-000272116</v>
      </c>
      <c r="D4966" s="1">
        <v>45915.380162037036</v>
      </c>
      <c r="E4966" s="2">
        <v>1</v>
      </c>
      <c r="F4966" s="2">
        <v>1</v>
      </c>
      <c r="G4966" s="2">
        <v>0</v>
      </c>
      <c r="H4966" s="1" t="s">
        <v>0</v>
      </c>
      <c r="I4966" s="2">
        <v>0</v>
      </c>
      <c r="J4966" s="1">
        <v>45915.378738425927</v>
      </c>
    </row>
    <row r="4967" spans="1:10" x14ac:dyDescent="0.2">
      <c r="A4967" s="4" t="s">
        <v>1</v>
      </c>
      <c r="B4967" s="3" t="str">
        <f>HYPERLINK("https://otsuka-europe-crm.veevavault.com/ui/#object/approved_document__v/V5OZ025E82TFUPI", "Spain - HCP Survey Email - June 2025")</f>
        <v>Spain - HCP Survey Email - June 2025</v>
      </c>
      <c r="C4967" s="3" t="str">
        <f>HYPERLINK("https://otsuka-europe-crm.veevavault.com/ui/#object/sent_email__v/VBLZ025E82GN1HV", "SE-000272117")</f>
        <v>SE-000272117</v>
      </c>
      <c r="D4967" s="1">
        <v>45929.753993055558</v>
      </c>
      <c r="E4967" s="2">
        <v>1</v>
      </c>
      <c r="F4967" s="2">
        <v>2</v>
      </c>
      <c r="G4967" s="2">
        <v>0</v>
      </c>
      <c r="H4967" s="1" t="s">
        <v>0</v>
      </c>
      <c r="I4967" s="2">
        <v>0</v>
      </c>
      <c r="J4967" s="1">
        <v>45915.379236111112</v>
      </c>
    </row>
    <row r="4968" spans="1:10" x14ac:dyDescent="0.2">
      <c r="A4968" s="4" t="s">
        <v>1</v>
      </c>
      <c r="B4968" s="3" t="str">
        <f>HYPERLINK("https://otsuka-europe-crm.veevavault.com/ui/#object/approved_document__v/V5OZ025E82TFUPI", "Spain - HCP Survey Email - June 2025")</f>
        <v>Spain - HCP Survey Email - June 2025</v>
      </c>
      <c r="C4968" s="3" t="str">
        <f>HYPERLINK("https://otsuka-europe-crm.veevavault.com/ui/#object/sent_email__v/VBLZ025E82GN1HW", "SE-000272118")</f>
        <v>SE-000272118</v>
      </c>
      <c r="D4968" s="1" t="s">
        <v>0</v>
      </c>
      <c r="E4968" s="2">
        <v>0</v>
      </c>
      <c r="F4968" s="2">
        <v>0</v>
      </c>
      <c r="G4968" s="2">
        <v>0</v>
      </c>
      <c r="H4968" s="1" t="s">
        <v>0</v>
      </c>
      <c r="I4968" s="2">
        <v>0</v>
      </c>
      <c r="J4968" s="1">
        <v>45915.377858796295</v>
      </c>
    </row>
    <row r="4969" spans="1:10" x14ac:dyDescent="0.2">
      <c r="A4969" s="4" t="s">
        <v>1</v>
      </c>
      <c r="B4969" s="3" t="str">
        <f>HYPERLINK("https://otsuka-europe-crm.veevavault.com/ui/#object/approved_document__v/V5OZ025E82TFUPI", "Spain - HCP Survey Email - June 2025")</f>
        <v>Spain - HCP Survey Email - June 2025</v>
      </c>
      <c r="C4969" s="3" t="str">
        <f>HYPERLINK("https://otsuka-europe-crm.veevavault.com/ui/#object/sent_email__v/VBLZ025E82GN1HX", "SE-000272119")</f>
        <v>SE-000272119</v>
      </c>
      <c r="D4969" s="1" t="s">
        <v>0</v>
      </c>
      <c r="E4969" s="2">
        <v>0</v>
      </c>
      <c r="F4969" s="2">
        <v>0</v>
      </c>
      <c r="G4969" s="2">
        <v>0</v>
      </c>
      <c r="H4969" s="1" t="s">
        <v>0</v>
      </c>
      <c r="I4969" s="2">
        <v>0</v>
      </c>
      <c r="J4969" s="1">
        <v>45915.378333333334</v>
      </c>
    </row>
    <row r="4970" spans="1:10" x14ac:dyDescent="0.2">
      <c r="A4970" s="4" t="s">
        <v>1</v>
      </c>
      <c r="B4970" s="3" t="str">
        <f>HYPERLINK("https://otsuka-europe-crm.veevavault.com/ui/#object/approved_document__v/V5OZ025E82TFUPI", "Spain - HCP Survey Email - June 2025")</f>
        <v>Spain - HCP Survey Email - June 2025</v>
      </c>
      <c r="C4970" s="3" t="str">
        <f>HYPERLINK("https://otsuka-europe-crm.veevavault.com/ui/#object/sent_email__v/VBLZ025E82GN1HY", "SE-000272120")</f>
        <v>SE-000272120</v>
      </c>
      <c r="D4970" s="1" t="s">
        <v>0</v>
      </c>
      <c r="E4970" s="2">
        <v>0</v>
      </c>
      <c r="F4970" s="2">
        <v>0</v>
      </c>
      <c r="G4970" s="2">
        <v>0</v>
      </c>
      <c r="H4970" s="1" t="s">
        <v>0</v>
      </c>
      <c r="I4970" s="2">
        <v>0</v>
      </c>
      <c r="J4970" s="1">
        <v>45915.378009259257</v>
      </c>
    </row>
    <row r="4971" spans="1:10" x14ac:dyDescent="0.2">
      <c r="A4971" s="4" t="s">
        <v>1</v>
      </c>
      <c r="B4971" s="3" t="str">
        <f>HYPERLINK("https://otsuka-europe-crm.veevavault.com/ui/#object/approved_document__v/V5OZ025E82TFUPI", "Spain - HCP Survey Email - June 2025")</f>
        <v>Spain - HCP Survey Email - June 2025</v>
      </c>
      <c r="C4971" s="3" t="str">
        <f>HYPERLINK("https://otsuka-europe-crm.veevavault.com/ui/#object/sent_email__v/VBLZ025E82GN1HZ", "SE-000272121")</f>
        <v>SE-000272121</v>
      </c>
      <c r="D4971" s="1" t="s">
        <v>0</v>
      </c>
      <c r="E4971" s="2">
        <v>0</v>
      </c>
      <c r="F4971" s="2">
        <v>0</v>
      </c>
      <c r="G4971" s="2">
        <v>0</v>
      </c>
      <c r="H4971" s="1" t="s">
        <v>0</v>
      </c>
      <c r="I4971" s="2">
        <v>0</v>
      </c>
      <c r="J4971" s="1">
        <v>45915.378564814811</v>
      </c>
    </row>
    <row r="4972" spans="1:10" x14ac:dyDescent="0.2">
      <c r="A4972" s="4" t="s">
        <v>1</v>
      </c>
      <c r="B4972" s="3" t="str">
        <f>HYPERLINK("https://otsuka-europe-crm.veevavault.com/ui/#object/approved_document__v/V5OZ025E82TFUPI", "Spain - HCP Survey Email - June 2025")</f>
        <v>Spain - HCP Survey Email - June 2025</v>
      </c>
      <c r="C4972" s="3" t="str">
        <f>HYPERLINK("https://otsuka-europe-crm.veevavault.com/ui/#object/sent_email__v/VBLZ025E82GN1I0", "SE-000272122")</f>
        <v>SE-000272122</v>
      </c>
      <c r="D4972" s="1">
        <v>45915.744872685187</v>
      </c>
      <c r="E4972" s="2">
        <v>1</v>
      </c>
      <c r="F4972" s="2">
        <v>2</v>
      </c>
      <c r="G4972" s="2">
        <v>0</v>
      </c>
      <c r="H4972" s="1" t="s">
        <v>0</v>
      </c>
      <c r="I4972" s="2">
        <v>0</v>
      </c>
      <c r="J4972" s="1">
        <v>45915.379745370374</v>
      </c>
    </row>
    <row r="4973" spans="1:10" x14ac:dyDescent="0.2">
      <c r="A4973" s="4" t="s">
        <v>1</v>
      </c>
      <c r="B4973" s="3" t="str">
        <f>HYPERLINK("https://otsuka-europe-crm.veevavault.com/ui/#object/approved_document__v/V5OZ025E82TFUPI", "Spain - HCP Survey Email - June 2025")</f>
        <v>Spain - HCP Survey Email - June 2025</v>
      </c>
      <c r="C4973" s="3" t="str">
        <f>HYPERLINK("https://otsuka-europe-crm.veevavault.com/ui/#object/sent_email__v/VBLZ025E82GN1I1", "SE-000272123")</f>
        <v>SE-000272123</v>
      </c>
      <c r="D4973" s="1">
        <v>45915.578263888892</v>
      </c>
      <c r="E4973" s="2">
        <v>1</v>
      </c>
      <c r="F4973" s="2">
        <v>1</v>
      </c>
      <c r="G4973" s="2">
        <v>0</v>
      </c>
      <c r="H4973" s="1" t="s">
        <v>0</v>
      </c>
      <c r="I4973" s="2">
        <v>0</v>
      </c>
      <c r="J4973" s="1">
        <v>45915.377662037034</v>
      </c>
    </row>
    <row r="4974" spans="1:10" x14ac:dyDescent="0.2">
      <c r="A4974" s="4" t="s">
        <v>1</v>
      </c>
      <c r="B4974" s="3" t="str">
        <f>HYPERLINK("https://otsuka-europe-crm.veevavault.com/ui/#object/approved_document__v/V5OZ025E82TFUPI", "Spain - HCP Survey Email - June 2025")</f>
        <v>Spain - HCP Survey Email - June 2025</v>
      </c>
      <c r="C4974" s="3" t="str">
        <f>HYPERLINK("https://otsuka-europe-crm.veevavault.com/ui/#object/sent_email__v/VBLZ025E82GN1I2", "SE-000272124")</f>
        <v>SE-000272124</v>
      </c>
      <c r="D4974" s="1" t="s">
        <v>0</v>
      </c>
      <c r="E4974" s="2">
        <v>0</v>
      </c>
      <c r="F4974" s="2">
        <v>0</v>
      </c>
      <c r="G4974" s="2">
        <v>0</v>
      </c>
      <c r="H4974" s="1" t="s">
        <v>0</v>
      </c>
      <c r="I4974" s="2">
        <v>0</v>
      </c>
      <c r="J4974" s="1">
        <v>45915.37804398148</v>
      </c>
    </row>
    <row r="4975" spans="1:10" x14ac:dyDescent="0.2">
      <c r="A4975" s="4" t="s">
        <v>1</v>
      </c>
      <c r="B4975" s="3" t="str">
        <f>HYPERLINK("https://otsuka-europe-crm.veevavault.com/ui/#object/approved_document__v/V5OZ025E82TFUPI", "Spain - HCP Survey Email - June 2025")</f>
        <v>Spain - HCP Survey Email - June 2025</v>
      </c>
      <c r="C4975" s="3" t="str">
        <f>HYPERLINK("https://otsuka-europe-crm.veevavault.com/ui/#object/sent_email__v/VBLZ025E82GN1I3", "SE-000272125")</f>
        <v>SE-000272125</v>
      </c>
      <c r="D4975" s="1">
        <v>45915.403680555559</v>
      </c>
      <c r="E4975" s="2">
        <v>1</v>
      </c>
      <c r="F4975" s="2">
        <v>2</v>
      </c>
      <c r="G4975" s="2">
        <v>0</v>
      </c>
      <c r="H4975" s="1" t="s">
        <v>0</v>
      </c>
      <c r="I4975" s="2">
        <v>0</v>
      </c>
      <c r="J4975" s="1">
        <v>45915.378506944442</v>
      </c>
    </row>
    <row r="4976" spans="1:10" x14ac:dyDescent="0.2">
      <c r="A4976" s="4" t="s">
        <v>1</v>
      </c>
      <c r="B4976" s="3" t="str">
        <f>HYPERLINK("https://otsuka-europe-crm.veevavault.com/ui/#object/approved_document__v/V5OZ025E82TFUPI", "Spain - HCP Survey Email - June 2025")</f>
        <v>Spain - HCP Survey Email - June 2025</v>
      </c>
      <c r="C4976" s="3" t="str">
        <f>HYPERLINK("https://otsuka-europe-crm.veevavault.com/ui/#object/sent_email__v/VBLZ025E82GN1I4", "SE-000272126")</f>
        <v>SE-000272126</v>
      </c>
      <c r="D4976" s="1">
        <v>45915.380057870374</v>
      </c>
      <c r="E4976" s="2">
        <v>1</v>
      </c>
      <c r="F4976" s="2">
        <v>1</v>
      </c>
      <c r="G4976" s="2">
        <v>1</v>
      </c>
      <c r="H4976" s="1">
        <v>45915.380543981482</v>
      </c>
      <c r="I4976" s="2">
        <v>2</v>
      </c>
      <c r="J4976" s="1">
        <v>45915.379930555559</v>
      </c>
    </row>
    <row r="4977" spans="1:10" x14ac:dyDescent="0.2">
      <c r="A4977" s="4" t="s">
        <v>1</v>
      </c>
      <c r="B4977" s="3" t="str">
        <f>HYPERLINK("https://otsuka-europe-crm.veevavault.com/ui/#object/approved_document__v/V5OZ025E82TFUPI", "Spain - HCP Survey Email - June 2025")</f>
        <v>Spain - HCP Survey Email - June 2025</v>
      </c>
      <c r="C4977" s="3" t="str">
        <f>HYPERLINK("https://otsuka-europe-crm.veevavault.com/ui/#object/sent_email__v/VBLZ025E82GN1I5", "SE-000272127")</f>
        <v>SE-000272127</v>
      </c>
      <c r="D4977" s="1" t="s">
        <v>0</v>
      </c>
      <c r="E4977" s="2">
        <v>0</v>
      </c>
      <c r="F4977" s="2">
        <v>0</v>
      </c>
      <c r="G4977" s="2">
        <v>0</v>
      </c>
      <c r="H4977" s="1" t="s">
        <v>0</v>
      </c>
      <c r="I4977" s="2">
        <v>0</v>
      </c>
      <c r="J4977" s="1">
        <v>45915.377696759257</v>
      </c>
    </row>
    <row r="4978" spans="1:10" x14ac:dyDescent="0.2">
      <c r="A4978" s="4" t="s">
        <v>1</v>
      </c>
      <c r="B4978" s="3" t="str">
        <f>HYPERLINK("https://otsuka-europe-crm.veevavault.com/ui/#object/approved_document__v/V5OZ025E82TFUPI", "Spain - HCP Survey Email - June 2025")</f>
        <v>Spain - HCP Survey Email - June 2025</v>
      </c>
      <c r="C4978" s="3" t="str">
        <f>HYPERLINK("https://otsuka-europe-crm.veevavault.com/ui/#object/sent_email__v/VBLZ025E82GN1I6", "SE-000272128")</f>
        <v>SE-000272128</v>
      </c>
      <c r="D4978" s="1" t="s">
        <v>0</v>
      </c>
      <c r="E4978" s="2">
        <v>0</v>
      </c>
      <c r="F4978" s="2">
        <v>0</v>
      </c>
      <c r="G4978" s="2">
        <v>0</v>
      </c>
      <c r="H4978" s="1" t="s">
        <v>0</v>
      </c>
      <c r="I4978" s="2">
        <v>0</v>
      </c>
      <c r="J4978" s="1">
        <v>45915.377581018518</v>
      </c>
    </row>
    <row r="4979" spans="1:10" x14ac:dyDescent="0.2">
      <c r="A4979" s="4" t="s">
        <v>1</v>
      </c>
      <c r="B4979" s="3" t="str">
        <f>HYPERLINK("https://otsuka-europe-crm.veevavault.com/ui/#object/approved_document__v/V5OZ025E82TFUPI", "Spain - HCP Survey Email - June 2025")</f>
        <v>Spain - HCP Survey Email - June 2025</v>
      </c>
      <c r="C4979" s="3" t="str">
        <f>HYPERLINK("https://otsuka-europe-crm.veevavault.com/ui/#object/sent_email__v/VBLZ025E82GN1I7", "SE-000272129")</f>
        <v>SE-000272129</v>
      </c>
      <c r="D4979" s="1" t="s">
        <v>0</v>
      </c>
      <c r="E4979" s="2">
        <v>0</v>
      </c>
      <c r="F4979" s="2">
        <v>0</v>
      </c>
      <c r="G4979" s="2">
        <v>0</v>
      </c>
      <c r="H4979" s="1" t="s">
        <v>0</v>
      </c>
      <c r="I4979" s="2">
        <v>0</v>
      </c>
      <c r="J4979" s="1">
        <v>45915.378472222219</v>
      </c>
    </row>
    <row r="4980" spans="1:10" x14ac:dyDescent="0.2">
      <c r="A4980" s="4" t="s">
        <v>1</v>
      </c>
      <c r="B4980" s="3" t="str">
        <f>HYPERLINK("https://otsuka-europe-crm.veevavault.com/ui/#object/approved_document__v/V5OZ025E82TFUPI", "Spain - HCP Survey Email - June 2025")</f>
        <v>Spain - HCP Survey Email - June 2025</v>
      </c>
      <c r="C4980" s="3" t="str">
        <f>HYPERLINK("https://otsuka-europe-crm.veevavault.com/ui/#object/sent_email__v/VBLZ025E82GN1I8", "SE-000272130")</f>
        <v>SE-000272130</v>
      </c>
      <c r="D4980" s="1">
        <v>45915.542870370373</v>
      </c>
      <c r="E4980" s="2">
        <v>1</v>
      </c>
      <c r="F4980" s="2">
        <v>1</v>
      </c>
      <c r="G4980" s="2">
        <v>0</v>
      </c>
      <c r="H4980" s="1" t="s">
        <v>0</v>
      </c>
      <c r="I4980" s="2">
        <v>0</v>
      </c>
      <c r="J4980" s="1">
        <v>45915.378923611112</v>
      </c>
    </row>
    <row r="4981" spans="1:10" x14ac:dyDescent="0.2">
      <c r="A4981" s="4" t="s">
        <v>1</v>
      </c>
      <c r="B4981" s="3" t="str">
        <f>HYPERLINK("https://otsuka-europe-crm.veevavault.com/ui/#object/approved_document__v/V5OZ025E82TFUPI", "Spain - HCP Survey Email - June 2025")</f>
        <v>Spain - HCP Survey Email - June 2025</v>
      </c>
      <c r="C4981" s="3" t="str">
        <f>HYPERLINK("https://otsuka-europe-crm.veevavault.com/ui/#object/sent_email__v/VBLZ025E82GN1I9", "SE-000272131")</f>
        <v>SE-000272131</v>
      </c>
      <c r="D4981" s="1">
        <v>45915.38689814815</v>
      </c>
      <c r="E4981" s="2">
        <v>1</v>
      </c>
      <c r="F4981" s="2">
        <v>1</v>
      </c>
      <c r="G4981" s="2">
        <v>0</v>
      </c>
      <c r="H4981" s="1" t="s">
        <v>0</v>
      </c>
      <c r="I4981" s="2">
        <v>0</v>
      </c>
      <c r="J4981" s="1">
        <v>45915.378842592596</v>
      </c>
    </row>
    <row r="4982" spans="1:10" x14ac:dyDescent="0.2">
      <c r="A4982" s="4" t="s">
        <v>1</v>
      </c>
      <c r="B4982" s="3" t="str">
        <f>HYPERLINK("https://otsuka-europe-crm.veevavault.com/ui/#object/approved_document__v/V5OZ025E82TFUPI", "Spain - HCP Survey Email - June 2025")</f>
        <v>Spain - HCP Survey Email - June 2025</v>
      </c>
      <c r="C4982" s="3" t="str">
        <f>HYPERLINK("https://otsuka-europe-crm.veevavault.com/ui/#object/sent_email__v/VBLZ025E82GN1IA", "SE-000272132")</f>
        <v>SE-000272132</v>
      </c>
      <c r="D4982" s="1" t="s">
        <v>0</v>
      </c>
      <c r="E4982" s="2">
        <v>0</v>
      </c>
      <c r="F4982" s="2">
        <v>0</v>
      </c>
      <c r="G4982" s="2">
        <v>0</v>
      </c>
      <c r="H4982" s="1" t="s">
        <v>0</v>
      </c>
      <c r="I4982" s="2">
        <v>0</v>
      </c>
      <c r="J4982" s="1">
        <v>45915.379166666666</v>
      </c>
    </row>
    <row r="4983" spans="1:10" x14ac:dyDescent="0.2">
      <c r="A4983" s="4" t="s">
        <v>1</v>
      </c>
      <c r="B4983" s="3" t="str">
        <f>HYPERLINK("https://otsuka-europe-crm.veevavault.com/ui/#object/approved_document__v/V5OZ025E82TFUPI", "Spain - HCP Survey Email - June 2025")</f>
        <v>Spain - HCP Survey Email - June 2025</v>
      </c>
      <c r="C4983" s="3" t="str">
        <f>HYPERLINK("https://otsuka-europe-crm.veevavault.com/ui/#object/sent_email__v/VBLZ025E82GN1IB", "SE-000272133")</f>
        <v>SE-000272133</v>
      </c>
      <c r="D4983" s="1">
        <v>45915.381782407407</v>
      </c>
      <c r="E4983" s="2">
        <v>1</v>
      </c>
      <c r="F4983" s="2">
        <v>2</v>
      </c>
      <c r="G4983" s="2">
        <v>0</v>
      </c>
      <c r="H4983" s="1" t="s">
        <v>0</v>
      </c>
      <c r="I4983" s="2">
        <v>0</v>
      </c>
      <c r="J4983" s="1">
        <v>45915.377916666665</v>
      </c>
    </row>
    <row r="4984" spans="1:10" x14ac:dyDescent="0.2">
      <c r="A4984" s="4" t="s">
        <v>1</v>
      </c>
      <c r="B4984" s="3" t="str">
        <f>HYPERLINK("https://otsuka-europe-crm.veevavault.com/ui/#object/approved_document__v/V5OZ025E82TFUPI", "Spain - HCP Survey Email - June 2025")</f>
        <v>Spain - HCP Survey Email - June 2025</v>
      </c>
      <c r="C4984" s="3" t="str">
        <f>HYPERLINK("https://otsuka-europe-crm.veevavault.com/ui/#object/sent_email__v/VBLZ025E82GN1IC", "SE-000272134")</f>
        <v>SE-000272134</v>
      </c>
      <c r="D4984" s="1" t="s">
        <v>0</v>
      </c>
      <c r="E4984" s="2">
        <v>0</v>
      </c>
      <c r="F4984" s="2">
        <v>0</v>
      </c>
      <c r="G4984" s="2">
        <v>0</v>
      </c>
      <c r="H4984" s="1" t="s">
        <v>0</v>
      </c>
      <c r="I4984" s="2">
        <v>0</v>
      </c>
      <c r="J4984" s="1">
        <v>45915.378182870372</v>
      </c>
    </row>
    <row r="4985" spans="1:10" x14ac:dyDescent="0.2">
      <c r="A4985" s="4" t="s">
        <v>1</v>
      </c>
      <c r="B4985" s="3" t="str">
        <f>HYPERLINK("https://otsuka-europe-crm.veevavault.com/ui/#object/approved_document__v/V5OZ025E82TFUPI", "Spain - HCP Survey Email - June 2025")</f>
        <v>Spain - HCP Survey Email - June 2025</v>
      </c>
      <c r="C4985" s="3" t="str">
        <f>HYPERLINK("https://otsuka-europe-crm.veevavault.com/ui/#object/sent_email__v/VBLZ025E82GN1L5", "SE-000272135")</f>
        <v>SE-000272135</v>
      </c>
      <c r="D4985" s="1" t="s">
        <v>0</v>
      </c>
      <c r="E4985" s="2">
        <v>0</v>
      </c>
      <c r="F4985" s="2">
        <v>0</v>
      </c>
      <c r="G4985" s="2">
        <v>0</v>
      </c>
      <c r="H4985" s="1" t="s">
        <v>0</v>
      </c>
      <c r="I4985" s="2">
        <v>0</v>
      </c>
      <c r="J4985" s="1">
        <v>45915.377800925926</v>
      </c>
    </row>
    <row r="4986" spans="1:10" x14ac:dyDescent="0.2">
      <c r="A4986" s="4" t="s">
        <v>1</v>
      </c>
      <c r="B4986" s="3" t="str">
        <f>HYPERLINK("https://otsuka-europe-crm.veevavault.com/ui/#object/approved_document__v/V5OZ025E82TFUPI", "Spain - HCP Survey Email - June 2025")</f>
        <v>Spain - HCP Survey Email - June 2025</v>
      </c>
      <c r="C4986" s="3" t="str">
        <f>HYPERLINK("https://otsuka-europe-crm.veevavault.com/ui/#object/sent_email__v/VBLZ025E82GN1L6", "SE-000272136")</f>
        <v>SE-000272136</v>
      </c>
      <c r="D4986" s="1" t="s">
        <v>0</v>
      </c>
      <c r="E4986" s="2">
        <v>0</v>
      </c>
      <c r="F4986" s="2">
        <v>0</v>
      </c>
      <c r="G4986" s="2">
        <v>0</v>
      </c>
      <c r="H4986" s="1" t="s">
        <v>0</v>
      </c>
      <c r="I4986" s="2">
        <v>0</v>
      </c>
      <c r="J4986" s="1">
        <v>45915.378263888888</v>
      </c>
    </row>
    <row r="4987" spans="1:10" x14ac:dyDescent="0.2">
      <c r="A4987" s="4" t="s">
        <v>1</v>
      </c>
      <c r="B4987" s="3" t="str">
        <f>HYPERLINK("https://otsuka-europe-crm.veevavault.com/ui/#object/approved_document__v/V5OZ025E82TFUPI", "Spain - HCP Survey Email - June 2025")</f>
        <v>Spain - HCP Survey Email - June 2025</v>
      </c>
      <c r="C4987" s="3" t="str">
        <f>HYPERLINK("https://otsuka-europe-crm.veevavault.com/ui/#object/sent_email__v/VBLZ025E82GN1L7", "SE-000272137")</f>
        <v>SE-000272137</v>
      </c>
      <c r="D4987" s="1">
        <v>45916.96297453704</v>
      </c>
      <c r="E4987" s="2">
        <v>1</v>
      </c>
      <c r="F4987" s="2">
        <v>2</v>
      </c>
      <c r="G4987" s="2">
        <v>0</v>
      </c>
      <c r="H4987" s="1" t="s">
        <v>0</v>
      </c>
      <c r="I4987" s="2">
        <v>0</v>
      </c>
      <c r="J4987" s="1">
        <v>45915.378067129626</v>
      </c>
    </row>
    <row r="4988" spans="1:10" x14ac:dyDescent="0.2">
      <c r="A4988" s="4" t="s">
        <v>1</v>
      </c>
      <c r="B4988" s="3" t="str">
        <f>HYPERLINK("https://otsuka-europe-crm.veevavault.com/ui/#object/approved_document__v/V5OZ025E82TFUPI", "Spain - HCP Survey Email - June 2025")</f>
        <v>Spain - HCP Survey Email - June 2025</v>
      </c>
      <c r="C4988" s="3" t="str">
        <f>HYPERLINK("https://otsuka-europe-crm.veevavault.com/ui/#object/sent_email__v/VBLZ025E82GN1L8", "SE-000272138")</f>
        <v>SE-000272138</v>
      </c>
      <c r="D4988" s="1" t="s">
        <v>0</v>
      </c>
      <c r="E4988" s="2">
        <v>0</v>
      </c>
      <c r="F4988" s="2">
        <v>0</v>
      </c>
      <c r="G4988" s="2">
        <v>0</v>
      </c>
      <c r="H4988" s="1" t="s">
        <v>0</v>
      </c>
      <c r="I4988" s="2">
        <v>0</v>
      </c>
      <c r="J4988" s="1">
        <v>45915.378530092596</v>
      </c>
    </row>
    <row r="4989" spans="1:10" x14ac:dyDescent="0.2">
      <c r="A4989" s="4" t="s">
        <v>1</v>
      </c>
      <c r="B4989" s="3" t="str">
        <f>HYPERLINK("https://otsuka-europe-crm.veevavault.com/ui/#object/approved_document__v/V5OZ025E82TFUPI", "Spain - HCP Survey Email - June 2025")</f>
        <v>Spain - HCP Survey Email - June 2025</v>
      </c>
      <c r="C4989" s="3" t="str">
        <f>HYPERLINK("https://otsuka-europe-crm.veevavault.com/ui/#object/sent_email__v/VBLZ025E82GN1L9", "SE-000272139")</f>
        <v>SE-000272139</v>
      </c>
      <c r="D4989" s="1" t="s">
        <v>0</v>
      </c>
      <c r="E4989" s="2">
        <v>0</v>
      </c>
      <c r="F4989" s="2">
        <v>0</v>
      </c>
      <c r="G4989" s="2">
        <v>0</v>
      </c>
      <c r="H4989" s="1" t="s">
        <v>0</v>
      </c>
      <c r="I4989" s="2">
        <v>0</v>
      </c>
      <c r="J4989" s="1">
        <v>45915.379699074074</v>
      </c>
    </row>
    <row r="4990" spans="1:10" x14ac:dyDescent="0.2">
      <c r="A4990" s="4" t="s">
        <v>1</v>
      </c>
      <c r="B4990" s="3" t="str">
        <f>HYPERLINK("https://otsuka-europe-crm.veevavault.com/ui/#object/approved_document__v/V5OZ025E82TFUPI", "Spain - HCP Survey Email - June 2025")</f>
        <v>Spain - HCP Survey Email - June 2025</v>
      </c>
      <c r="C4990" s="3" t="str">
        <f>HYPERLINK("https://otsuka-europe-crm.veevavault.com/ui/#object/sent_email__v/VBLZ025E82GN1LA", "SE-000272140")</f>
        <v>SE-000272140</v>
      </c>
      <c r="D4990" s="1">
        <v>45941.691481481481</v>
      </c>
      <c r="E4990" s="2">
        <v>1</v>
      </c>
      <c r="F4990" s="2">
        <v>3</v>
      </c>
      <c r="G4990" s="2">
        <v>0</v>
      </c>
      <c r="H4990" s="1" t="s">
        <v>0</v>
      </c>
      <c r="I4990" s="2">
        <v>0</v>
      </c>
      <c r="J4990" s="1">
        <v>45915.377638888887</v>
      </c>
    </row>
    <row r="4991" spans="1:10" x14ac:dyDescent="0.2">
      <c r="A4991" s="4" t="s">
        <v>1</v>
      </c>
      <c r="B4991" s="3" t="str">
        <f>HYPERLINK("https://otsuka-europe-crm.veevavault.com/ui/#object/approved_document__v/V5OZ025E82TFUPI", "Spain - HCP Survey Email - June 2025")</f>
        <v>Spain - HCP Survey Email - June 2025</v>
      </c>
      <c r="C4991" s="3" t="str">
        <f>HYPERLINK("https://otsuka-europe-crm.veevavault.com/ui/#object/sent_email__v/VBLZ025E82GN1LB", "SE-000272141")</f>
        <v>SE-000272141</v>
      </c>
      <c r="D4991" s="1">
        <v>45915.406168981484</v>
      </c>
      <c r="E4991" s="2">
        <v>1</v>
      </c>
      <c r="F4991" s="2">
        <v>2</v>
      </c>
      <c r="G4991" s="2">
        <v>0</v>
      </c>
      <c r="H4991" s="1" t="s">
        <v>0</v>
      </c>
      <c r="I4991" s="2">
        <v>0</v>
      </c>
      <c r="J4991" s="1">
        <v>45915.377511574072</v>
      </c>
    </row>
    <row r="4992" spans="1:10" x14ac:dyDescent="0.2">
      <c r="A4992" s="4" t="s">
        <v>1</v>
      </c>
      <c r="B4992" s="3" t="str">
        <f>HYPERLINK("https://otsuka-europe-crm.veevavault.com/ui/#object/approved_document__v/V5OZ025E82TFUPI", "Spain - HCP Survey Email - June 2025")</f>
        <v>Spain - HCP Survey Email - June 2025</v>
      </c>
      <c r="C4992" s="3" t="str">
        <f>HYPERLINK("https://otsuka-europe-crm.veevavault.com/ui/#object/sent_email__v/VBLZ025E82GN1LC", "SE-000272142")</f>
        <v>SE-000272142</v>
      </c>
      <c r="D4992" s="1" t="s">
        <v>0</v>
      </c>
      <c r="E4992" s="2">
        <v>0</v>
      </c>
      <c r="F4992" s="2">
        <v>0</v>
      </c>
      <c r="G4992" s="2">
        <v>0</v>
      </c>
      <c r="H4992" s="1" t="s">
        <v>0</v>
      </c>
      <c r="I4992" s="2">
        <v>0</v>
      </c>
      <c r="J4992" s="1">
        <v>45915.378483796296</v>
      </c>
    </row>
    <row r="4993" spans="1:10" x14ac:dyDescent="0.2">
      <c r="A4993" s="4" t="s">
        <v>1</v>
      </c>
      <c r="B4993" s="3" t="str">
        <f>HYPERLINK("https://otsuka-europe-crm.veevavault.com/ui/#object/approved_document__v/V5OZ025E82TFUPI", "Spain - HCP Survey Email - June 2025")</f>
        <v>Spain - HCP Survey Email - June 2025</v>
      </c>
      <c r="C4993" s="3" t="str">
        <f>HYPERLINK("https://otsuka-europe-crm.veevavault.com/ui/#object/sent_email__v/VBLZ025E82GN1LD", "SE-000272143")</f>
        <v>SE-000272143</v>
      </c>
      <c r="D4993" s="1" t="s">
        <v>0</v>
      </c>
      <c r="E4993" s="2">
        <v>0</v>
      </c>
      <c r="F4993" s="2">
        <v>0</v>
      </c>
      <c r="G4993" s="2">
        <v>0</v>
      </c>
      <c r="H4993" s="1" t="s">
        <v>0</v>
      </c>
      <c r="I4993" s="2">
        <v>0</v>
      </c>
      <c r="J4993" s="1">
        <v>45915.378900462965</v>
      </c>
    </row>
    <row r="4994" spans="1:10" x14ac:dyDescent="0.2">
      <c r="A4994" s="4" t="s">
        <v>1</v>
      </c>
      <c r="B4994" s="3" t="str">
        <f>HYPERLINK("https://otsuka-europe-crm.veevavault.com/ui/#object/approved_document__v/V5OZ025E82TFUPI", "Spain - HCP Survey Email - June 2025")</f>
        <v>Spain - HCP Survey Email - June 2025</v>
      </c>
      <c r="C4994" s="3" t="str">
        <f>HYPERLINK("https://otsuka-europe-crm.veevavault.com/ui/#object/sent_email__v/VBLZ025E82GN1LE", "SE-000272144")</f>
        <v>SE-000272144</v>
      </c>
      <c r="D4994" s="1">
        <v>45916.020578703705</v>
      </c>
      <c r="E4994" s="2">
        <v>1</v>
      </c>
      <c r="F4994" s="2">
        <v>1</v>
      </c>
      <c r="G4994" s="2">
        <v>0</v>
      </c>
      <c r="H4994" s="1" t="s">
        <v>0</v>
      </c>
      <c r="I4994" s="2">
        <v>0</v>
      </c>
      <c r="J4994" s="1">
        <v>45915.37872685185</v>
      </c>
    </row>
    <row r="4995" spans="1:10" x14ac:dyDescent="0.2">
      <c r="A4995" s="4" t="s">
        <v>1</v>
      </c>
      <c r="B4995" s="3" t="str">
        <f>HYPERLINK("https://otsuka-europe-crm.veevavault.com/ui/#object/approved_document__v/V5OZ025E82TFUPI", "Spain - HCP Survey Email - June 2025")</f>
        <v>Spain - HCP Survey Email - June 2025</v>
      </c>
      <c r="C4995" s="3" t="str">
        <f>HYPERLINK("https://otsuka-europe-crm.veevavault.com/ui/#object/sent_email__v/VBLZ025E82GN1LF", "SE-000272145")</f>
        <v>SE-000272145</v>
      </c>
      <c r="D4995" s="1">
        <v>45941.030613425923</v>
      </c>
      <c r="E4995" s="2">
        <v>1</v>
      </c>
      <c r="F4995" s="2">
        <v>2</v>
      </c>
      <c r="G4995" s="2">
        <v>1</v>
      </c>
      <c r="H4995" s="1">
        <v>45915.601597222223</v>
      </c>
      <c r="I4995" s="2">
        <v>1</v>
      </c>
      <c r="J4995" s="1">
        <v>45915.379178240742</v>
      </c>
    </row>
    <row r="4996" spans="1:10" x14ac:dyDescent="0.2">
      <c r="A4996" s="4" t="s">
        <v>1</v>
      </c>
      <c r="B4996" s="3" t="str">
        <f>HYPERLINK("https://otsuka-europe-crm.veevavault.com/ui/#object/approved_document__v/V5OZ025E82TFUPI", "Spain - HCP Survey Email - June 2025")</f>
        <v>Spain - HCP Survey Email - June 2025</v>
      </c>
      <c r="C4996" s="3" t="str">
        <f>HYPERLINK("https://otsuka-europe-crm.veevavault.com/ui/#object/sent_email__v/VBLZ025E82GN1LG", "SE-000272146")</f>
        <v>SE-000272146</v>
      </c>
      <c r="D4996" s="1">
        <v>45915.754675925928</v>
      </c>
      <c r="E4996" s="2">
        <v>1</v>
      </c>
      <c r="F4996" s="2">
        <v>3</v>
      </c>
      <c r="G4996" s="2">
        <v>0</v>
      </c>
      <c r="H4996" s="1" t="s">
        <v>0</v>
      </c>
      <c r="I4996" s="2">
        <v>0</v>
      </c>
      <c r="J4996" s="1">
        <v>45915.377951388888</v>
      </c>
    </row>
    <row r="4997" spans="1:10" x14ac:dyDescent="0.2">
      <c r="A4997" s="4" t="s">
        <v>1</v>
      </c>
      <c r="B4997" s="3" t="str">
        <f>HYPERLINK("https://otsuka-europe-crm.veevavault.com/ui/#object/approved_document__v/V5OZ025E82TFUPI", "Spain - HCP Survey Email - June 2025")</f>
        <v>Spain - HCP Survey Email - June 2025</v>
      </c>
      <c r="C4997" s="3" t="str">
        <f>HYPERLINK("https://otsuka-europe-crm.veevavault.com/ui/#object/sent_email__v/VBLZ025E82GN1LH", "SE-000272147")</f>
        <v>SE-000272147</v>
      </c>
      <c r="D4997" s="1">
        <v>45915.478449074071</v>
      </c>
      <c r="E4997" s="2">
        <v>1</v>
      </c>
      <c r="F4997" s="2">
        <v>1</v>
      </c>
      <c r="G4997" s="2">
        <v>0</v>
      </c>
      <c r="H4997" s="1" t="s">
        <v>0</v>
      </c>
      <c r="I4997" s="2">
        <v>0</v>
      </c>
      <c r="J4997" s="1">
        <v>45915.378263888888</v>
      </c>
    </row>
    <row r="4998" spans="1:10" x14ac:dyDescent="0.2">
      <c r="A4998" s="4" t="s">
        <v>1</v>
      </c>
      <c r="B4998" s="3" t="str">
        <f>HYPERLINK("https://otsuka-europe-crm.veevavault.com/ui/#object/approved_document__v/V5OZ025E82TFUPI", "Spain - HCP Survey Email - June 2025")</f>
        <v>Spain - HCP Survey Email - June 2025</v>
      </c>
      <c r="C4998" s="3" t="str">
        <f>HYPERLINK("https://otsuka-europe-crm.veevavault.com/ui/#object/sent_email__v/VBLZ025E82GN1LI", "SE-000272148")</f>
        <v>SE-000272148</v>
      </c>
      <c r="D4998" s="1" t="s">
        <v>0</v>
      </c>
      <c r="E4998" s="2">
        <v>0</v>
      </c>
      <c r="F4998" s="2">
        <v>0</v>
      </c>
      <c r="G4998" s="2">
        <v>0</v>
      </c>
      <c r="H4998" s="1" t="s">
        <v>0</v>
      </c>
      <c r="I4998" s="2">
        <v>0</v>
      </c>
      <c r="J4998" s="1">
        <v>45915.378738425927</v>
      </c>
    </row>
    <row r="4999" spans="1:10" x14ac:dyDescent="0.2">
      <c r="A4999" s="4" t="s">
        <v>1</v>
      </c>
      <c r="B4999" s="3" t="str">
        <f>HYPERLINK("https://otsuka-europe-crm.veevavault.com/ui/#object/approved_document__v/V5OZ025E82TFUPI", "Spain - HCP Survey Email - June 2025")</f>
        <v>Spain - HCP Survey Email - June 2025</v>
      </c>
      <c r="C4999" s="3" t="str">
        <f>HYPERLINK("https://otsuka-europe-crm.veevavault.com/ui/#object/sent_email__v/VBLZ025E82GN1LJ", "SE-000272149")</f>
        <v>SE-000272149</v>
      </c>
      <c r="D4999" s="1" t="s">
        <v>0</v>
      </c>
      <c r="E4999" s="2">
        <v>0</v>
      </c>
      <c r="F4999" s="2">
        <v>0</v>
      </c>
      <c r="G4999" s="2">
        <v>0</v>
      </c>
      <c r="H4999" s="1" t="s">
        <v>0</v>
      </c>
      <c r="I4999" s="2">
        <v>0</v>
      </c>
      <c r="J4999" s="1">
        <v>45915.37908564815</v>
      </c>
    </row>
    <row r="5000" spans="1:10" x14ac:dyDescent="0.2">
      <c r="A5000" s="4" t="s">
        <v>1</v>
      </c>
      <c r="B5000" s="3" t="str">
        <f>HYPERLINK("https://otsuka-europe-crm.veevavault.com/ui/#object/approved_document__v/V5OZ025E82TFUPI", "Spain - HCP Survey Email - June 2025")</f>
        <v>Spain - HCP Survey Email - June 2025</v>
      </c>
      <c r="C5000" s="3" t="str">
        <f>HYPERLINK("https://otsuka-europe-crm.veevavault.com/ui/#object/sent_email__v/VBLZ025E82GN1LK", "SE-000272150")</f>
        <v>SE-000272150</v>
      </c>
      <c r="D5000" s="1">
        <v>45915.974918981483</v>
      </c>
      <c r="E5000" s="2">
        <v>1</v>
      </c>
      <c r="F5000" s="2">
        <v>1</v>
      </c>
      <c r="G5000" s="2">
        <v>0</v>
      </c>
      <c r="H5000" s="1" t="s">
        <v>0</v>
      </c>
      <c r="I5000" s="2">
        <v>0</v>
      </c>
      <c r="J5000" s="1">
        <v>45915.377812500003</v>
      </c>
    </row>
    <row r="5001" spans="1:10" x14ac:dyDescent="0.2">
      <c r="A5001" s="4" t="s">
        <v>1</v>
      </c>
      <c r="B5001" s="3" t="str">
        <f>HYPERLINK("https://otsuka-europe-crm.veevavault.com/ui/#object/approved_document__v/V5OZ025E82TFUPI", "Spain - HCP Survey Email - June 2025")</f>
        <v>Spain - HCP Survey Email - June 2025</v>
      </c>
      <c r="C5001" s="3" t="str">
        <f>HYPERLINK("https://otsuka-europe-crm.veevavault.com/ui/#object/sent_email__v/VBLZ025E82GN1LL", "SE-000272151")</f>
        <v>SE-000272151</v>
      </c>
      <c r="D5001" s="1" t="s">
        <v>0</v>
      </c>
      <c r="E5001" s="2">
        <v>0</v>
      </c>
      <c r="F5001" s="2">
        <v>0</v>
      </c>
      <c r="G5001" s="2">
        <v>0</v>
      </c>
      <c r="H5001" s="1" t="s">
        <v>0</v>
      </c>
      <c r="I5001" s="2">
        <v>0</v>
      </c>
      <c r="J5001" s="1">
        <v>45915.378229166665</v>
      </c>
    </row>
    <row r="5002" spans="1:10" x14ac:dyDescent="0.2">
      <c r="A5002" s="4" t="s">
        <v>1</v>
      </c>
      <c r="B5002" s="3" t="str">
        <f>HYPERLINK("https://otsuka-europe-crm.veevavault.com/ui/#object/approved_document__v/V5OZ025E82TFUPI", "Spain - HCP Survey Email - June 2025")</f>
        <v>Spain - HCP Survey Email - June 2025</v>
      </c>
      <c r="C5002" s="3" t="str">
        <f>HYPERLINK("https://otsuka-europe-crm.veevavault.com/ui/#object/sent_email__v/VBLZ025E82GN1LM", "SE-000272152")</f>
        <v>SE-000272152</v>
      </c>
      <c r="D5002" s="1">
        <v>45915.701261574075</v>
      </c>
      <c r="E5002" s="2">
        <v>1</v>
      </c>
      <c r="F5002" s="2">
        <v>2</v>
      </c>
      <c r="G5002" s="2">
        <v>1</v>
      </c>
      <c r="H5002" s="1">
        <v>45915.70108796296</v>
      </c>
      <c r="I5002" s="2">
        <v>2</v>
      </c>
      <c r="J5002" s="1">
        <v>45915.378171296295</v>
      </c>
    </row>
    <row r="5003" spans="1:10" x14ac:dyDescent="0.2">
      <c r="A5003" s="4" t="s">
        <v>1</v>
      </c>
      <c r="B5003" s="3" t="str">
        <f>HYPERLINK("https://otsuka-europe-crm.veevavault.com/ui/#object/approved_document__v/V5OZ025E82TFUPI", "Spain - HCP Survey Email - June 2025")</f>
        <v>Spain - HCP Survey Email - June 2025</v>
      </c>
      <c r="C5003" s="3" t="str">
        <f>HYPERLINK("https://otsuka-europe-crm.veevavault.com/ui/#object/sent_email__v/VBLZ025E82GN1LN", "SE-000272153")</f>
        <v>SE-000272153</v>
      </c>
      <c r="D5003" s="1" t="s">
        <v>0</v>
      </c>
      <c r="E5003" s="2">
        <v>0</v>
      </c>
      <c r="F5003" s="2">
        <v>0</v>
      </c>
      <c r="G5003" s="2">
        <v>0</v>
      </c>
      <c r="H5003" s="1" t="s">
        <v>0</v>
      </c>
      <c r="I5003" s="2">
        <v>0</v>
      </c>
      <c r="J5003" s="1">
        <v>45915.378518518519</v>
      </c>
    </row>
    <row r="5004" spans="1:10" x14ac:dyDescent="0.2">
      <c r="A5004" s="4" t="s">
        <v>1</v>
      </c>
      <c r="B5004" s="3" t="str">
        <f>HYPERLINK("https://otsuka-europe-crm.veevavault.com/ui/#object/approved_document__v/V5OZ025E82TFUPI", "Spain - HCP Survey Email - June 2025")</f>
        <v>Spain - HCP Survey Email - June 2025</v>
      </c>
      <c r="C5004" s="3" t="str">
        <f>HYPERLINK("https://otsuka-europe-crm.veevavault.com/ui/#object/sent_email__v/VBLZ025E82GN1LO", "SE-000272154")</f>
        <v>SE-000272154</v>
      </c>
      <c r="D5004" s="1" t="s">
        <v>0</v>
      </c>
      <c r="E5004" s="2">
        <v>0</v>
      </c>
      <c r="F5004" s="2">
        <v>0</v>
      </c>
      <c r="G5004" s="2">
        <v>0</v>
      </c>
      <c r="H5004" s="1" t="s">
        <v>0</v>
      </c>
      <c r="I5004" s="2">
        <v>0</v>
      </c>
      <c r="J5004" s="1">
        <v>45915.379814814813</v>
      </c>
    </row>
    <row r="5005" spans="1:10" x14ac:dyDescent="0.2">
      <c r="A5005" s="4" t="s">
        <v>1</v>
      </c>
      <c r="B5005" s="3" t="str">
        <f>HYPERLINK("https://otsuka-europe-crm.veevavault.com/ui/#object/approved_document__v/V5OZ025E82TFUPI", "Spain - HCP Survey Email - June 2025")</f>
        <v>Spain - HCP Survey Email - June 2025</v>
      </c>
      <c r="C5005" s="3" t="str">
        <f>HYPERLINK("https://otsuka-europe-crm.veevavault.com/ui/#object/sent_email__v/VBLZ025E82GN1LP", "SE-000272155")</f>
        <v>SE-000272155</v>
      </c>
      <c r="D5005" s="1" t="s">
        <v>0</v>
      </c>
      <c r="E5005" s="2">
        <v>0</v>
      </c>
      <c r="F5005" s="2">
        <v>0</v>
      </c>
      <c r="G5005" s="2">
        <v>0</v>
      </c>
      <c r="H5005" s="1" t="s">
        <v>0</v>
      </c>
      <c r="I5005" s="2">
        <v>0</v>
      </c>
      <c r="J5005" s="1">
        <v>45915.377650462964</v>
      </c>
    </row>
    <row r="5006" spans="1:10" x14ac:dyDescent="0.2">
      <c r="A5006" s="4" t="s">
        <v>1</v>
      </c>
      <c r="B5006" s="3" t="str">
        <f>HYPERLINK("https://otsuka-europe-crm.veevavault.com/ui/#object/approved_document__v/V5OZ025E82TFUPI", "Spain - HCP Survey Email - June 2025")</f>
        <v>Spain - HCP Survey Email - June 2025</v>
      </c>
      <c r="C5006" s="3" t="str">
        <f>HYPERLINK("https://otsuka-europe-crm.veevavault.com/ui/#object/sent_email__v/VBLZ025E82GN1LQ", "SE-000272156")</f>
        <v>SE-000272156</v>
      </c>
      <c r="D5006" s="1">
        <v>45915.721562500003</v>
      </c>
      <c r="E5006" s="2">
        <v>1</v>
      </c>
      <c r="F5006" s="2">
        <v>2</v>
      </c>
      <c r="G5006" s="2">
        <v>0</v>
      </c>
      <c r="H5006" s="1" t="s">
        <v>0</v>
      </c>
      <c r="I5006" s="2">
        <v>0</v>
      </c>
      <c r="J5006" s="1">
        <v>45915.377488425926</v>
      </c>
    </row>
    <row r="5007" spans="1:10" x14ac:dyDescent="0.2">
      <c r="A5007" s="4" t="s">
        <v>1</v>
      </c>
      <c r="B5007" s="3" t="str">
        <f>HYPERLINK("https://otsuka-europe-crm.veevavault.com/ui/#object/approved_document__v/V5OZ025E82TFUPI", "Spain - HCP Survey Email - June 2025")</f>
        <v>Spain - HCP Survey Email - June 2025</v>
      </c>
      <c r="C5007" s="3" t="str">
        <f>HYPERLINK("https://otsuka-europe-crm.veevavault.com/ui/#object/sent_email__v/VBLZ025E82GN1LR", "SE-000272157")</f>
        <v>SE-000272157</v>
      </c>
      <c r="D5007" s="1">
        <v>45915.38894675926</v>
      </c>
      <c r="E5007" s="2">
        <v>1</v>
      </c>
      <c r="F5007" s="2">
        <v>1</v>
      </c>
      <c r="G5007" s="2">
        <v>0</v>
      </c>
      <c r="H5007" s="1" t="s">
        <v>0</v>
      </c>
      <c r="I5007" s="2">
        <v>0</v>
      </c>
      <c r="J5007" s="1">
        <v>45915.378425925926</v>
      </c>
    </row>
    <row r="5008" spans="1:10" x14ac:dyDescent="0.2">
      <c r="A5008" s="4" t="s">
        <v>1</v>
      </c>
      <c r="B5008" s="3" t="str">
        <f>HYPERLINK("https://otsuka-europe-crm.veevavault.com/ui/#object/approved_document__v/V5OZ025E82TFUPI", "Spain - HCP Survey Email - June 2025")</f>
        <v>Spain - HCP Survey Email - June 2025</v>
      </c>
      <c r="C5008" s="3" t="str">
        <f>HYPERLINK("https://otsuka-europe-crm.veevavault.com/ui/#object/sent_email__v/VBLZ025E82GN1LS", "SE-000272158")</f>
        <v>SE-000272158</v>
      </c>
      <c r="D5008" s="1">
        <v>45915.553611111114</v>
      </c>
      <c r="E5008" s="2">
        <v>1</v>
      </c>
      <c r="F5008" s="2">
        <v>2</v>
      </c>
      <c r="G5008" s="2">
        <v>1</v>
      </c>
      <c r="H5008" s="1">
        <v>45915.553738425922</v>
      </c>
      <c r="I5008" s="2">
        <v>1</v>
      </c>
      <c r="J5008" s="1">
        <v>45915.378888888888</v>
      </c>
    </row>
    <row r="5009" spans="1:10" x14ac:dyDescent="0.2">
      <c r="A5009" s="4" t="s">
        <v>1</v>
      </c>
      <c r="B5009" s="3" t="str">
        <f>HYPERLINK("https://otsuka-europe-crm.veevavault.com/ui/#object/approved_document__v/V5OZ025E82TFUPI", "Spain - HCP Survey Email - June 2025")</f>
        <v>Spain - HCP Survey Email - June 2025</v>
      </c>
      <c r="C5009" s="3" t="str">
        <f>HYPERLINK("https://otsuka-europe-crm.veevavault.com/ui/#object/sent_email__v/VBLZ025E82GN1LT", "SE-000272159")</f>
        <v>SE-000272159</v>
      </c>
      <c r="D5009" s="1">
        <v>45915.513831018521</v>
      </c>
      <c r="E5009" s="2">
        <v>1</v>
      </c>
      <c r="F5009" s="2">
        <v>1</v>
      </c>
      <c r="G5009" s="2">
        <v>0</v>
      </c>
      <c r="H5009" s="1" t="s">
        <v>0</v>
      </c>
      <c r="I5009" s="2">
        <v>0</v>
      </c>
      <c r="J5009" s="1">
        <v>45915.378738425927</v>
      </c>
    </row>
    <row r="5010" spans="1:10" x14ac:dyDescent="0.2">
      <c r="A5010" s="4" t="s">
        <v>1</v>
      </c>
      <c r="B5010" s="3" t="str">
        <f>HYPERLINK("https://otsuka-europe-crm.veevavault.com/ui/#object/approved_document__v/V5OZ025E82TFUPI", "Spain - HCP Survey Email - June 2025")</f>
        <v>Spain - HCP Survey Email - June 2025</v>
      </c>
      <c r="C5010" s="3" t="str">
        <f>HYPERLINK("https://otsuka-europe-crm.veevavault.com/ui/#object/sent_email__v/VBLZ025E82GN1LU", "SE-000272160")</f>
        <v>SE-000272160</v>
      </c>
      <c r="D5010" s="1" t="s">
        <v>0</v>
      </c>
      <c r="E5010" s="2">
        <v>0</v>
      </c>
      <c r="F5010" s="2">
        <v>0</v>
      </c>
      <c r="G5010" s="2">
        <v>0</v>
      </c>
      <c r="H5010" s="1" t="s">
        <v>0</v>
      </c>
      <c r="I5010" s="2">
        <v>0</v>
      </c>
      <c r="J5010" s="1">
        <v>45915.379178240742</v>
      </c>
    </row>
    <row r="5011" spans="1:10" x14ac:dyDescent="0.2">
      <c r="A5011" s="4" t="s">
        <v>1</v>
      </c>
      <c r="B5011" s="3" t="str">
        <f>HYPERLINK("https://otsuka-europe-crm.veevavault.com/ui/#object/approved_document__v/V5OZ025E82TFUPI", "Spain - HCP Survey Email - June 2025")</f>
        <v>Spain - HCP Survey Email - June 2025</v>
      </c>
      <c r="C5011" s="3" t="str">
        <f>HYPERLINK("https://otsuka-europe-crm.veevavault.com/ui/#object/sent_email__v/VBLZ025E82GN1LV", "SE-000272161")</f>
        <v>SE-000272161</v>
      </c>
      <c r="D5011" s="1">
        <v>45915.632326388892</v>
      </c>
      <c r="E5011" s="2">
        <v>1</v>
      </c>
      <c r="F5011" s="2">
        <v>2</v>
      </c>
      <c r="G5011" s="2">
        <v>0</v>
      </c>
      <c r="H5011" s="1" t="s">
        <v>0</v>
      </c>
      <c r="I5011" s="2">
        <v>0</v>
      </c>
      <c r="J5011" s="1">
        <v>45915.37777777778</v>
      </c>
    </row>
    <row r="5012" spans="1:10" x14ac:dyDescent="0.2">
      <c r="A5012" s="4" t="s">
        <v>1</v>
      </c>
      <c r="B5012" s="3" t="str">
        <f>HYPERLINK("https://otsuka-europe-crm.veevavault.com/ui/#object/approved_document__v/V5OZ025E82TFUPI", "Spain - HCP Survey Email - June 2025")</f>
        <v>Spain - HCP Survey Email - June 2025</v>
      </c>
      <c r="C5012" s="3" t="str">
        <f>HYPERLINK("https://otsuka-europe-crm.veevavault.com/ui/#object/sent_email__v/VBLZ025E82GN1LW", "SE-000272162")</f>
        <v>SE-000272162</v>
      </c>
      <c r="D5012" s="1">
        <v>45915.40587962963</v>
      </c>
      <c r="E5012" s="2">
        <v>1</v>
      </c>
      <c r="F5012" s="2">
        <v>2</v>
      </c>
      <c r="G5012" s="2">
        <v>0</v>
      </c>
      <c r="H5012" s="1" t="s">
        <v>0</v>
      </c>
      <c r="I5012" s="2">
        <v>0</v>
      </c>
      <c r="J5012" s="1">
        <v>45915.378310185188</v>
      </c>
    </row>
    <row r="5013" spans="1:10" x14ac:dyDescent="0.2">
      <c r="A5013" s="4" t="s">
        <v>1</v>
      </c>
      <c r="B5013" s="3" t="str">
        <f>HYPERLINK("https://otsuka-europe-crm.veevavault.com/ui/#object/approved_document__v/V5OZ025E82TFUPI", "Spain - HCP Survey Email - June 2025")</f>
        <v>Spain - HCP Survey Email - June 2025</v>
      </c>
      <c r="C5013" s="3" t="str">
        <f>HYPERLINK("https://otsuka-europe-crm.veevavault.com/ui/#object/sent_email__v/VBLZ025E82GN1LX", "SE-000272163")</f>
        <v>SE-000272163</v>
      </c>
      <c r="D5013" s="1">
        <v>45915.620740740742</v>
      </c>
      <c r="E5013" s="2">
        <v>1</v>
      </c>
      <c r="F5013" s="2">
        <v>4</v>
      </c>
      <c r="G5013" s="2">
        <v>1</v>
      </c>
      <c r="H5013" s="1">
        <v>45915.620995370373</v>
      </c>
      <c r="I5013" s="2">
        <v>2</v>
      </c>
      <c r="J5013" s="1">
        <v>45915.378078703703</v>
      </c>
    </row>
    <row r="5014" spans="1:10" x14ac:dyDescent="0.2">
      <c r="A5014" s="4" t="s">
        <v>1</v>
      </c>
      <c r="B5014" s="3" t="str">
        <f>HYPERLINK("https://otsuka-europe-crm.veevavault.com/ui/#object/approved_document__v/V5OZ025E82TFUPI", "Spain - HCP Survey Email - June 2025")</f>
        <v>Spain - HCP Survey Email - June 2025</v>
      </c>
      <c r="C5014" s="3" t="str">
        <f>HYPERLINK("https://otsuka-europe-crm.veevavault.com/ui/#object/sent_email__v/VBLZ025E82GN1LY", "SE-000272164")</f>
        <v>SE-000272164</v>
      </c>
      <c r="D5014" s="1">
        <v>45916.372314814813</v>
      </c>
      <c r="E5014" s="2">
        <v>1</v>
      </c>
      <c r="F5014" s="2">
        <v>1</v>
      </c>
      <c r="G5014" s="2">
        <v>1</v>
      </c>
      <c r="H5014" s="1">
        <v>45916.372453703705</v>
      </c>
      <c r="I5014" s="2">
        <v>2</v>
      </c>
      <c r="J5014" s="1">
        <v>45915.378576388888</v>
      </c>
    </row>
    <row r="5015" spans="1:10" x14ac:dyDescent="0.2">
      <c r="A5015" s="4" t="s">
        <v>1</v>
      </c>
      <c r="B5015" s="3" t="str">
        <f>HYPERLINK("https://otsuka-europe-crm.veevavault.com/ui/#object/approved_document__v/V5OZ025E82TFUPI", "Spain - HCP Survey Email - June 2025")</f>
        <v>Spain - HCP Survey Email - June 2025</v>
      </c>
      <c r="C5015" s="3" t="str">
        <f>HYPERLINK("https://otsuka-europe-crm.veevavault.com/ui/#object/sent_email__v/VBLZ025E82GN1LZ", "SE-000272165")</f>
        <v>SE-000272165</v>
      </c>
      <c r="D5015" s="1">
        <v>45915.666481481479</v>
      </c>
      <c r="E5015" s="2">
        <v>1</v>
      </c>
      <c r="F5015" s="2">
        <v>2</v>
      </c>
      <c r="G5015" s="2">
        <v>1</v>
      </c>
      <c r="H5015" s="1">
        <v>45915.485138888886</v>
      </c>
      <c r="I5015" s="2">
        <v>1</v>
      </c>
      <c r="J5015" s="1">
        <v>45915.379826388889</v>
      </c>
    </row>
    <row r="5016" spans="1:10" x14ac:dyDescent="0.2">
      <c r="A5016" s="4" t="s">
        <v>1</v>
      </c>
      <c r="B5016" s="3" t="str">
        <f>HYPERLINK("https://otsuka-europe-crm.veevavault.com/ui/#object/approved_document__v/V5OZ025E82TFUPI", "Spain - HCP Survey Email - June 2025")</f>
        <v>Spain - HCP Survey Email - June 2025</v>
      </c>
      <c r="C5016" s="3" t="str">
        <f>HYPERLINK("https://otsuka-europe-crm.veevavault.com/ui/#object/sent_email__v/VBLZ025E82GN1M0", "SE-000272166")</f>
        <v>SE-000272166</v>
      </c>
      <c r="D5016" s="1">
        <v>45915.379548611112</v>
      </c>
      <c r="E5016" s="2">
        <v>1</v>
      </c>
      <c r="F5016" s="2">
        <v>1</v>
      </c>
      <c r="G5016" s="2">
        <v>0</v>
      </c>
      <c r="H5016" s="1" t="s">
        <v>0</v>
      </c>
      <c r="I5016" s="2">
        <v>0</v>
      </c>
      <c r="J5016" s="1">
        <v>45915.379467592589</v>
      </c>
    </row>
    <row r="5017" spans="1:10" x14ac:dyDescent="0.2">
      <c r="A5017" s="4" t="s">
        <v>1</v>
      </c>
      <c r="B5017" s="3" t="str">
        <f>HYPERLINK("https://otsuka-europe-crm.veevavault.com/ui/#object/approved_document__v/V5OZ025E82TFUPI", "Spain - HCP Survey Email - June 2025")</f>
        <v>Spain - HCP Survey Email - June 2025</v>
      </c>
      <c r="C5017" s="3" t="str">
        <f>HYPERLINK("https://otsuka-europe-crm.veevavault.com/ui/#object/sent_email__v/VBLZ025E82GN1M1", "SE-000272167")</f>
        <v>SE-000272167</v>
      </c>
      <c r="D5017" s="1">
        <v>45915.828912037039</v>
      </c>
      <c r="E5017" s="2">
        <v>1</v>
      </c>
      <c r="F5017" s="2">
        <v>1</v>
      </c>
      <c r="G5017" s="2">
        <v>0</v>
      </c>
      <c r="H5017" s="1" t="s">
        <v>0</v>
      </c>
      <c r="I5017" s="2">
        <v>0</v>
      </c>
      <c r="J5017" s="1">
        <v>45915.377500000002</v>
      </c>
    </row>
    <row r="5018" spans="1:10" x14ac:dyDescent="0.2">
      <c r="A5018" s="4" t="s">
        <v>1</v>
      </c>
      <c r="B5018" s="3" t="str">
        <f>HYPERLINK("https://otsuka-europe-crm.veevavault.com/ui/#object/approved_document__v/V5OZ025E82TFUPI", "Spain - HCP Survey Email - June 2025")</f>
        <v>Spain - HCP Survey Email - June 2025</v>
      </c>
      <c r="C5018" s="3" t="str">
        <f>HYPERLINK("https://otsuka-europe-crm.veevavault.com/ui/#object/sent_email__v/VBLZ025E82GN1M2", "SE-000272168")</f>
        <v>SE-000272168</v>
      </c>
      <c r="D5018" s="1" t="s">
        <v>0</v>
      </c>
      <c r="E5018" s="2">
        <v>0</v>
      </c>
      <c r="F5018" s="2">
        <v>0</v>
      </c>
      <c r="G5018" s="2">
        <v>0</v>
      </c>
      <c r="H5018" s="1" t="s">
        <v>0</v>
      </c>
      <c r="I5018" s="2">
        <v>0</v>
      </c>
      <c r="J5018" s="1">
        <v>45915.378425925926</v>
      </c>
    </row>
    <row r="5019" spans="1:10" x14ac:dyDescent="0.2">
      <c r="A5019" s="4" t="s">
        <v>1</v>
      </c>
      <c r="B5019" s="3" t="str">
        <f>HYPERLINK("https://otsuka-europe-crm.veevavault.com/ui/#object/approved_document__v/V5OZ025E82TFUPI", "Spain - HCP Survey Email - June 2025")</f>
        <v>Spain - HCP Survey Email - June 2025</v>
      </c>
      <c r="C5019" s="3" t="str">
        <f>HYPERLINK("https://otsuka-europe-crm.veevavault.com/ui/#object/sent_email__v/VBLZ025E82GN1M3", "SE-000272169")</f>
        <v>SE-000272169</v>
      </c>
      <c r="D5019" s="1" t="s">
        <v>0</v>
      </c>
      <c r="E5019" s="2">
        <v>0</v>
      </c>
      <c r="F5019" s="2">
        <v>0</v>
      </c>
      <c r="G5019" s="2">
        <v>0</v>
      </c>
      <c r="H5019" s="1" t="s">
        <v>0</v>
      </c>
      <c r="I5019" s="2">
        <v>0</v>
      </c>
      <c r="J5019" s="1">
        <v>45915.378865740742</v>
      </c>
    </row>
    <row r="5020" spans="1:10" x14ac:dyDescent="0.2">
      <c r="A5020" s="4" t="s">
        <v>1</v>
      </c>
      <c r="B5020" s="3" t="str">
        <f>HYPERLINK("https://otsuka-europe-crm.veevavault.com/ui/#object/approved_document__v/V5OZ025E82TFUPI", "Spain - HCP Survey Email - June 2025")</f>
        <v>Spain - HCP Survey Email - June 2025</v>
      </c>
      <c r="C5020" s="3" t="str">
        <f>HYPERLINK("https://otsuka-europe-crm.veevavault.com/ui/#object/sent_email__v/VBLZ025E82GN1M4", "SE-000272170")</f>
        <v>SE-000272170</v>
      </c>
      <c r="D5020" s="1" t="s">
        <v>0</v>
      </c>
      <c r="E5020" s="2">
        <v>0</v>
      </c>
      <c r="F5020" s="2">
        <v>0</v>
      </c>
      <c r="G5020" s="2">
        <v>0</v>
      </c>
      <c r="H5020" s="1" t="s">
        <v>0</v>
      </c>
      <c r="I5020" s="2">
        <v>0</v>
      </c>
      <c r="J5020" s="1">
        <v>45915.378761574073</v>
      </c>
    </row>
    <row r="5021" spans="1:10" x14ac:dyDescent="0.2">
      <c r="A5021" s="4" t="s">
        <v>1</v>
      </c>
      <c r="B5021" s="3" t="str">
        <f>HYPERLINK("https://otsuka-europe-crm.veevavault.com/ui/#object/approved_document__v/V5OZ025E82TFUPI", "Spain - HCP Survey Email - June 2025")</f>
        <v>Spain - HCP Survey Email - June 2025</v>
      </c>
      <c r="C5021" s="3" t="str">
        <f>HYPERLINK("https://otsuka-europe-crm.veevavault.com/ui/#object/sent_email__v/VBLZ025E82GN1M5", "SE-000272171")</f>
        <v>SE-000272171</v>
      </c>
      <c r="D5021" s="1" t="s">
        <v>0</v>
      </c>
      <c r="E5021" s="2">
        <v>0</v>
      </c>
      <c r="F5021" s="2">
        <v>0</v>
      </c>
      <c r="G5021" s="2">
        <v>0</v>
      </c>
      <c r="H5021" s="1" t="s">
        <v>0</v>
      </c>
      <c r="I5021" s="2">
        <v>0</v>
      </c>
      <c r="J5021" s="1">
        <v>45915.379189814812</v>
      </c>
    </row>
    <row r="5022" spans="1:10" x14ac:dyDescent="0.2">
      <c r="A5022" s="4" t="s">
        <v>1</v>
      </c>
      <c r="B5022" s="3" t="str">
        <f>HYPERLINK("https://otsuka-europe-crm.veevavault.com/ui/#object/approved_document__v/V5OZ025E82TFUPI", "Spain - HCP Survey Email - June 2025")</f>
        <v>Spain - HCP Survey Email - June 2025</v>
      </c>
      <c r="C5022" s="3" t="str">
        <f>HYPERLINK("https://otsuka-europe-crm.veevavault.com/ui/#object/sent_email__v/VBLZ025E82GN1M6", "SE-000272172")</f>
        <v>SE-000272172</v>
      </c>
      <c r="D5022" s="1" t="s">
        <v>0</v>
      </c>
      <c r="E5022" s="2">
        <v>0</v>
      </c>
      <c r="F5022" s="2">
        <v>0</v>
      </c>
      <c r="G5022" s="2">
        <v>0</v>
      </c>
      <c r="H5022" s="1" t="s">
        <v>0</v>
      </c>
      <c r="I5022" s="2">
        <v>0</v>
      </c>
      <c r="J5022" s="1">
        <v>45915.377812500003</v>
      </c>
    </row>
    <row r="5023" spans="1:10" x14ac:dyDescent="0.2">
      <c r="A5023" s="4" t="s">
        <v>1</v>
      </c>
      <c r="B5023" s="3" t="str">
        <f>HYPERLINK("https://otsuka-europe-crm.veevavault.com/ui/#object/approved_document__v/V5OZ025E82TFUPI", "Spain - HCP Survey Email - June 2025")</f>
        <v>Spain - HCP Survey Email - June 2025</v>
      </c>
      <c r="C5023" s="3" t="str">
        <f>HYPERLINK("https://otsuka-europe-crm.veevavault.com/ui/#object/sent_email__v/VBLZ025E82GN1M7", "SE-000272173")</f>
        <v>SE-000272173</v>
      </c>
      <c r="D5023" s="1">
        <v>45927.586319444446</v>
      </c>
      <c r="E5023" s="2">
        <v>1</v>
      </c>
      <c r="F5023" s="2">
        <v>1</v>
      </c>
      <c r="G5023" s="2">
        <v>0</v>
      </c>
      <c r="H5023" s="1" t="s">
        <v>0</v>
      </c>
      <c r="I5023" s="2">
        <v>0</v>
      </c>
      <c r="J5023" s="1">
        <v>45915.378217592595</v>
      </c>
    </row>
    <row r="5024" spans="1:10" x14ac:dyDescent="0.2">
      <c r="A5024" s="4" t="s">
        <v>1</v>
      </c>
      <c r="B5024" s="3" t="str">
        <f>HYPERLINK("https://otsuka-europe-crm.veevavault.com/ui/#object/approved_document__v/V5OZ025E82TFUPI", "Spain - HCP Survey Email - June 2025")</f>
        <v>Spain - HCP Survey Email - June 2025</v>
      </c>
      <c r="C5024" s="3" t="str">
        <f>HYPERLINK("https://otsuka-europe-crm.veevavault.com/ui/#object/sent_email__v/VBLZ025E82GN1M8", "SE-000272174")</f>
        <v>SE-000272174</v>
      </c>
      <c r="D5024" s="1" t="s">
        <v>0</v>
      </c>
      <c r="E5024" s="2">
        <v>0</v>
      </c>
      <c r="F5024" s="2">
        <v>0</v>
      </c>
      <c r="G5024" s="2">
        <v>0</v>
      </c>
      <c r="H5024" s="1" t="s">
        <v>0</v>
      </c>
      <c r="I5024" s="2">
        <v>0</v>
      </c>
      <c r="J5024" s="1">
        <v>45915.378935185188</v>
      </c>
    </row>
    <row r="5025" spans="1:10" x14ac:dyDescent="0.2">
      <c r="A5025" s="4" t="s">
        <v>1</v>
      </c>
      <c r="B5025" s="3" t="str">
        <f>HYPERLINK("https://otsuka-europe-crm.veevavault.com/ui/#object/approved_document__v/V5OZ025E82TFUPI", "Spain - HCP Survey Email - June 2025")</f>
        <v>Spain - HCP Survey Email - June 2025</v>
      </c>
      <c r="C5025" s="3" t="str">
        <f>HYPERLINK("https://otsuka-europe-crm.veevavault.com/ui/#object/sent_email__v/VBLZ025E82GN1M9", "SE-000272175")</f>
        <v>SE-000272175</v>
      </c>
      <c r="D5025" s="1">
        <v>45915.465648148151</v>
      </c>
      <c r="E5025" s="2">
        <v>1</v>
      </c>
      <c r="F5025" s="2">
        <v>1</v>
      </c>
      <c r="G5025" s="2">
        <v>0</v>
      </c>
      <c r="H5025" s="1" t="s">
        <v>0</v>
      </c>
      <c r="I5025" s="2">
        <v>0</v>
      </c>
      <c r="J5025" s="1">
        <v>45915.378750000003</v>
      </c>
    </row>
    <row r="5026" spans="1:10" x14ac:dyDescent="0.2">
      <c r="A5026" s="4" t="s">
        <v>1</v>
      </c>
      <c r="B5026" s="3" t="str">
        <f>HYPERLINK("https://otsuka-europe-crm.veevavault.com/ui/#object/approved_document__v/V5OZ025E82TFUPI", "Spain - HCP Survey Email - June 2025")</f>
        <v>Spain - HCP Survey Email - June 2025</v>
      </c>
      <c r="C5026" s="3" t="str">
        <f>HYPERLINK("https://otsuka-europe-crm.veevavault.com/ui/#object/sent_email__v/VBLZ025E82GN1MA", "SE-000272176")</f>
        <v>SE-000272176</v>
      </c>
      <c r="D5026" s="1" t="s">
        <v>0</v>
      </c>
      <c r="E5026" s="2">
        <v>0</v>
      </c>
      <c r="F5026" s="2">
        <v>0</v>
      </c>
      <c r="G5026" s="2">
        <v>0</v>
      </c>
      <c r="H5026" s="1" t="s">
        <v>0</v>
      </c>
      <c r="I5026" s="2">
        <v>0</v>
      </c>
      <c r="J5026" s="1">
        <v>45915.379131944443</v>
      </c>
    </row>
    <row r="5027" spans="1:10" x14ac:dyDescent="0.2">
      <c r="A5027" s="4" t="s">
        <v>1</v>
      </c>
      <c r="B5027" s="3" t="str">
        <f>HYPERLINK("https://otsuka-europe-crm.veevavault.com/ui/#object/approved_document__v/V5OZ025E82TFUPI", "Spain - HCP Survey Email - June 2025")</f>
        <v>Spain - HCP Survey Email - June 2025</v>
      </c>
      <c r="C5027" s="3" t="str">
        <f>HYPERLINK("https://otsuka-europe-crm.veevavault.com/ui/#object/sent_email__v/VBLZ025E82GN1MB", "SE-000272177")</f>
        <v>SE-000272177</v>
      </c>
      <c r="D5027" s="1">
        <v>45925.880162037036</v>
      </c>
      <c r="E5027" s="2">
        <v>1</v>
      </c>
      <c r="F5027" s="2">
        <v>2</v>
      </c>
      <c r="G5027" s="2">
        <v>0</v>
      </c>
      <c r="H5027" s="1" t="s">
        <v>0</v>
      </c>
      <c r="I5027" s="2">
        <v>0</v>
      </c>
      <c r="J5027" s="1">
        <v>45915.377893518518</v>
      </c>
    </row>
    <row r="5028" spans="1:10" x14ac:dyDescent="0.2">
      <c r="A5028" s="4" t="s">
        <v>1</v>
      </c>
      <c r="B5028" s="3" t="str">
        <f>HYPERLINK("https://otsuka-europe-crm.veevavault.com/ui/#object/approved_document__v/V5OZ025E82TFUPI", "Spain - HCP Survey Email - June 2025")</f>
        <v>Spain - HCP Survey Email - June 2025</v>
      </c>
      <c r="C5028" s="3" t="str">
        <f>HYPERLINK("https://otsuka-europe-crm.veevavault.com/ui/#object/sent_email__v/VBLZ025E82GN1MC", "SE-000272178")</f>
        <v>SE-000272178</v>
      </c>
      <c r="D5028" s="1" t="s">
        <v>0</v>
      </c>
      <c r="E5028" s="2">
        <v>0</v>
      </c>
      <c r="F5028" s="2">
        <v>0</v>
      </c>
      <c r="G5028" s="2">
        <v>0</v>
      </c>
      <c r="H5028" s="1" t="s">
        <v>0</v>
      </c>
      <c r="I5028" s="2">
        <v>0</v>
      </c>
      <c r="J5028" s="1">
        <v>45915.378217592595</v>
      </c>
    </row>
    <row r="5029" spans="1:10" x14ac:dyDescent="0.2">
      <c r="A5029" s="4" t="s">
        <v>1</v>
      </c>
      <c r="B5029" s="3" t="str">
        <f>HYPERLINK("https://otsuka-europe-crm.veevavault.com/ui/#object/approved_document__v/V5OZ025E82TFUPI", "Spain - HCP Survey Email - June 2025")</f>
        <v>Spain - HCP Survey Email - June 2025</v>
      </c>
      <c r="C5029" s="3" t="str">
        <f>HYPERLINK("https://otsuka-europe-crm.veevavault.com/ui/#object/sent_email__v/VBLZ025E82GN1MD", "SE-000272179")</f>
        <v>SE-000272179</v>
      </c>
      <c r="D5029" s="1" t="s">
        <v>0</v>
      </c>
      <c r="E5029" s="2">
        <v>0</v>
      </c>
      <c r="F5029" s="2">
        <v>0</v>
      </c>
      <c r="G5029" s="2">
        <v>0</v>
      </c>
      <c r="H5029" s="1" t="s">
        <v>0</v>
      </c>
      <c r="I5029" s="2">
        <v>0</v>
      </c>
      <c r="J5029" s="1">
        <v>45915.378020833334</v>
      </c>
    </row>
    <row r="5030" spans="1:10" x14ac:dyDescent="0.2">
      <c r="A5030" s="4" t="s">
        <v>1</v>
      </c>
      <c r="B5030" s="3" t="str">
        <f>HYPERLINK("https://otsuka-europe-crm.veevavault.com/ui/#object/approved_document__v/V5OZ025E82TFUPI", "Spain - HCP Survey Email - June 2025")</f>
        <v>Spain - HCP Survey Email - June 2025</v>
      </c>
      <c r="C5030" s="3" t="str">
        <f>HYPERLINK("https://otsuka-europe-crm.veevavault.com/ui/#object/sent_email__v/VBLZ025E82GN1ME", "SE-000272180")</f>
        <v>SE-000272180</v>
      </c>
      <c r="D5030" s="1" t="s">
        <v>0</v>
      </c>
      <c r="E5030" s="2">
        <v>0</v>
      </c>
      <c r="F5030" s="2">
        <v>0</v>
      </c>
      <c r="G5030" s="2">
        <v>0</v>
      </c>
      <c r="H5030" s="1" t="s">
        <v>0</v>
      </c>
      <c r="I5030" s="2">
        <v>0</v>
      </c>
      <c r="J5030" s="1">
        <v>45915.378553240742</v>
      </c>
    </row>
    <row r="5031" spans="1:10" x14ac:dyDescent="0.2">
      <c r="A5031" s="4" t="s">
        <v>1</v>
      </c>
      <c r="B5031" s="3" t="str">
        <f>HYPERLINK("https://otsuka-europe-crm.veevavault.com/ui/#object/approved_document__v/V5OZ025E82TFUPI", "Spain - HCP Survey Email - June 2025")</f>
        <v>Spain - HCP Survey Email - June 2025</v>
      </c>
      <c r="C5031" s="3" t="str">
        <f>HYPERLINK("https://otsuka-europe-crm.veevavault.com/ui/#object/sent_email__v/VBLZ025E82GN1MF", "SE-000272181")</f>
        <v>SE-000272181</v>
      </c>
      <c r="D5031" s="1">
        <v>45922.040266203701</v>
      </c>
      <c r="E5031" s="2">
        <v>1</v>
      </c>
      <c r="F5031" s="2">
        <v>3</v>
      </c>
      <c r="G5031" s="2">
        <v>1</v>
      </c>
      <c r="H5031" s="1">
        <v>45915.552094907405</v>
      </c>
      <c r="I5031" s="2">
        <v>1</v>
      </c>
      <c r="J5031" s="1">
        <v>45915.379791666666</v>
      </c>
    </row>
    <row r="5032" spans="1:10" x14ac:dyDescent="0.2">
      <c r="A5032" s="4" t="s">
        <v>1</v>
      </c>
      <c r="B5032" s="3" t="str">
        <f>HYPERLINK("https://otsuka-europe-crm.veevavault.com/ui/#object/approved_document__v/V5OZ025E82TFUPI", "Spain - HCP Survey Email - June 2025")</f>
        <v>Spain - HCP Survey Email - June 2025</v>
      </c>
      <c r="C5032" s="3" t="str">
        <f>HYPERLINK("https://otsuka-europe-crm.veevavault.com/ui/#object/sent_email__v/VBLZ025E82GN1MG", "SE-000272182")</f>
        <v>SE-000272182</v>
      </c>
      <c r="D5032" s="1">
        <v>45920.619502314818</v>
      </c>
      <c r="E5032" s="2">
        <v>1</v>
      </c>
      <c r="F5032" s="2">
        <v>6</v>
      </c>
      <c r="G5032" s="2">
        <v>0</v>
      </c>
      <c r="H5032" s="1" t="s">
        <v>0</v>
      </c>
      <c r="I5032" s="2">
        <v>0</v>
      </c>
      <c r="J5032" s="1">
        <v>45915.379490740743</v>
      </c>
    </row>
    <row r="5033" spans="1:10" x14ac:dyDescent="0.2">
      <c r="A5033" s="4" t="s">
        <v>1</v>
      </c>
      <c r="B5033" s="3" t="str">
        <f>HYPERLINK("https://otsuka-europe-crm.veevavault.com/ui/#object/approved_document__v/V5OZ025E82TFUPI", "Spain - HCP Survey Email - June 2025")</f>
        <v>Spain - HCP Survey Email - June 2025</v>
      </c>
      <c r="C5033" s="3" t="str">
        <f>HYPERLINK("https://otsuka-europe-crm.veevavault.com/ui/#object/sent_email__v/VBLZ025E82GN1MH", "SE-000272183")</f>
        <v>SE-000272183</v>
      </c>
      <c r="D5033" s="1">
        <v>45915.664212962962</v>
      </c>
      <c r="E5033" s="2">
        <v>1</v>
      </c>
      <c r="F5033" s="2">
        <v>1</v>
      </c>
      <c r="G5033" s="2">
        <v>0</v>
      </c>
      <c r="H5033" s="1" t="s">
        <v>0</v>
      </c>
      <c r="I5033" s="2">
        <v>0</v>
      </c>
      <c r="J5033" s="1">
        <v>45915.377488425926</v>
      </c>
    </row>
    <row r="5034" spans="1:10" x14ac:dyDescent="0.2">
      <c r="A5034" s="4" t="s">
        <v>1</v>
      </c>
      <c r="B5034" s="3" t="str">
        <f>HYPERLINK("https://otsuka-europe-crm.veevavault.com/ui/#object/approved_document__v/V5OZ025E82TFUPI", "Spain - HCP Survey Email - June 2025")</f>
        <v>Spain - HCP Survey Email - June 2025</v>
      </c>
      <c r="C5034" s="3" t="str">
        <f>HYPERLINK("https://otsuka-europe-crm.veevavault.com/ui/#object/sent_email__v/VBLZ025E82GN1MI", "SE-000272184")</f>
        <v>SE-000272184</v>
      </c>
      <c r="D5034" s="1">
        <v>45915.51703703704</v>
      </c>
      <c r="E5034" s="2">
        <v>1</v>
      </c>
      <c r="F5034" s="2">
        <v>3</v>
      </c>
      <c r="G5034" s="2">
        <v>0</v>
      </c>
      <c r="H5034" s="1" t="s">
        <v>0</v>
      </c>
      <c r="I5034" s="2">
        <v>0</v>
      </c>
      <c r="J5034" s="1">
        <v>45915.378587962965</v>
      </c>
    </row>
    <row r="5035" spans="1:10" x14ac:dyDescent="0.2">
      <c r="A5035" s="4" t="s">
        <v>1</v>
      </c>
      <c r="B5035" s="3" t="str">
        <f>HYPERLINK("https://otsuka-europe-crm.veevavault.com/ui/#object/approved_document__v/V5OZ025E82TFUPI", "Spain - HCP Survey Email - June 2025")</f>
        <v>Spain - HCP Survey Email - June 2025</v>
      </c>
      <c r="C5035" s="3" t="str">
        <f>HYPERLINK("https://otsuka-europe-crm.veevavault.com/ui/#object/sent_email__v/VBLZ025E82GN1MJ", "SE-000272185")</f>
        <v>SE-000272185</v>
      </c>
      <c r="D5035" s="1" t="s">
        <v>0</v>
      </c>
      <c r="E5035" s="2">
        <v>0</v>
      </c>
      <c r="F5035" s="2">
        <v>0</v>
      </c>
      <c r="G5035" s="2">
        <v>0</v>
      </c>
      <c r="H5035" s="1" t="s">
        <v>0</v>
      </c>
      <c r="I5035" s="2">
        <v>0</v>
      </c>
      <c r="J5035" s="1">
        <v>45915.378854166665</v>
      </c>
    </row>
    <row r="5036" spans="1:10" x14ac:dyDescent="0.2">
      <c r="A5036" s="4" t="s">
        <v>1</v>
      </c>
      <c r="B5036" s="3" t="str">
        <f>HYPERLINK("https://otsuka-europe-crm.veevavault.com/ui/#object/approved_document__v/V5OZ025E82TFUPI", "Spain - HCP Survey Email - June 2025")</f>
        <v>Spain - HCP Survey Email - June 2025</v>
      </c>
      <c r="C5036" s="3" t="str">
        <f>HYPERLINK("https://otsuka-europe-crm.veevavault.com/ui/#object/sent_email__v/VBLZ025E82GN1MK", "SE-000272186")</f>
        <v>SE-000272186</v>
      </c>
      <c r="D5036" s="1" t="s">
        <v>0</v>
      </c>
      <c r="E5036" s="2">
        <v>0</v>
      </c>
      <c r="F5036" s="2">
        <v>0</v>
      </c>
      <c r="G5036" s="2">
        <v>0</v>
      </c>
      <c r="H5036" s="1" t="s">
        <v>0</v>
      </c>
      <c r="I5036" s="2">
        <v>0</v>
      </c>
      <c r="J5036" s="1">
        <v>45915.378784722219</v>
      </c>
    </row>
    <row r="5037" spans="1:10" x14ac:dyDescent="0.2">
      <c r="A5037" s="4" t="s">
        <v>1</v>
      </c>
      <c r="B5037" s="3" t="str">
        <f>HYPERLINK("https://otsuka-europe-crm.veevavault.com/ui/#object/approved_document__v/V5OZ025E82TFUPI", "Spain - HCP Survey Email - June 2025")</f>
        <v>Spain - HCP Survey Email - June 2025</v>
      </c>
      <c r="C5037" s="3" t="str">
        <f>HYPERLINK("https://otsuka-europe-crm.veevavault.com/ui/#object/sent_email__v/VBLZ025E82GN1ML", "SE-000272187")</f>
        <v>SE-000272187</v>
      </c>
      <c r="D5037" s="1" t="s">
        <v>0</v>
      </c>
      <c r="E5037" s="2">
        <v>0</v>
      </c>
      <c r="F5037" s="2">
        <v>0</v>
      </c>
      <c r="G5037" s="2">
        <v>0</v>
      </c>
      <c r="H5037" s="1" t="s">
        <v>0</v>
      </c>
      <c r="I5037" s="2">
        <v>0</v>
      </c>
      <c r="J5037" s="1">
        <v>45915.379131944443</v>
      </c>
    </row>
    <row r="5038" spans="1:10" x14ac:dyDescent="0.2">
      <c r="A5038" s="4" t="s">
        <v>1</v>
      </c>
      <c r="B5038" s="3" t="str">
        <f>HYPERLINK("https://otsuka-europe-crm.veevavault.com/ui/#object/approved_document__v/V5OZ025E82TFUPI", "Spain - HCP Survey Email - June 2025")</f>
        <v>Spain - HCP Survey Email - June 2025</v>
      </c>
      <c r="C5038" s="3" t="str">
        <f>HYPERLINK("https://otsuka-europe-crm.veevavault.com/ui/#object/sent_email__v/VBLZ025E82GN1MM", "SE-000272188")</f>
        <v>SE-000272188</v>
      </c>
      <c r="D5038" s="1" t="s">
        <v>0</v>
      </c>
      <c r="E5038" s="2">
        <v>0</v>
      </c>
      <c r="F5038" s="2">
        <v>0</v>
      </c>
      <c r="G5038" s="2">
        <v>0</v>
      </c>
      <c r="H5038" s="1" t="s">
        <v>0</v>
      </c>
      <c r="I5038" s="2">
        <v>0</v>
      </c>
      <c r="J5038" s="1">
        <v>45915.377812500003</v>
      </c>
    </row>
    <row r="5039" spans="1:10" x14ac:dyDescent="0.2">
      <c r="A5039" s="4" t="s">
        <v>1</v>
      </c>
      <c r="B5039" s="3" t="str">
        <f>HYPERLINK("https://otsuka-europe-crm.veevavault.com/ui/#object/approved_document__v/V5OZ025E82TFUPI", "Spain - HCP Survey Email - June 2025")</f>
        <v>Spain - HCP Survey Email - June 2025</v>
      </c>
      <c r="C5039" s="3" t="str">
        <f>HYPERLINK("https://otsuka-europe-crm.veevavault.com/ui/#object/sent_email__v/VBLZ025E82GN1MN", "SE-000272189")</f>
        <v>SE-000272189</v>
      </c>
      <c r="D5039" s="1">
        <v>45918.421342592592</v>
      </c>
      <c r="E5039" s="2">
        <v>1</v>
      </c>
      <c r="F5039" s="2">
        <v>2</v>
      </c>
      <c r="G5039" s="2">
        <v>1</v>
      </c>
      <c r="H5039" s="1">
        <v>45915.715520833335</v>
      </c>
      <c r="I5039" s="2">
        <v>1</v>
      </c>
      <c r="J5039" s="1">
        <v>45915.378159722219</v>
      </c>
    </row>
    <row r="5040" spans="1:10" x14ac:dyDescent="0.2">
      <c r="A5040" s="4" t="s">
        <v>1</v>
      </c>
      <c r="B5040" s="3" t="str">
        <f>HYPERLINK("https://otsuka-europe-crm.veevavault.com/ui/#object/approved_document__v/V5OZ025E82TFUPI", "Spain - HCP Survey Email - June 2025")</f>
        <v>Spain - HCP Survey Email - June 2025</v>
      </c>
      <c r="C5040" s="3" t="str">
        <f>HYPERLINK("https://otsuka-europe-crm.veevavault.com/ui/#object/sent_email__v/VBLZ025E82GN1MP", "SE-000272191")</f>
        <v>SE-000272191</v>
      </c>
      <c r="D5040" s="1">
        <v>45916.442280092589</v>
      </c>
      <c r="E5040" s="2">
        <v>1</v>
      </c>
      <c r="F5040" s="2">
        <v>2</v>
      </c>
      <c r="G5040" s="2">
        <v>1</v>
      </c>
      <c r="H5040" s="1">
        <v>45915.414826388886</v>
      </c>
      <c r="I5040" s="2">
        <v>1</v>
      </c>
      <c r="J5040" s="1">
        <v>45915.378553240742</v>
      </c>
    </row>
    <row r="5041" spans="1:10" x14ac:dyDescent="0.2">
      <c r="A5041" s="4" t="s">
        <v>1</v>
      </c>
      <c r="B5041" s="3" t="str">
        <f>HYPERLINK("https://otsuka-europe-crm.veevavault.com/ui/#object/approved_document__v/V5OZ025E82TFUPI", "Spain - HCP Survey Email - June 2025")</f>
        <v>Spain - HCP Survey Email - June 2025</v>
      </c>
      <c r="C5041" s="3" t="str">
        <f>HYPERLINK("https://otsuka-europe-crm.veevavault.com/ui/#object/sent_email__v/VBLZ025E82GN1MQ", "SE-000272192")</f>
        <v>SE-000272192</v>
      </c>
      <c r="D5041" s="1">
        <v>45915.576886574076</v>
      </c>
      <c r="E5041" s="2">
        <v>1</v>
      </c>
      <c r="F5041" s="2">
        <v>2</v>
      </c>
      <c r="G5041" s="2">
        <v>1</v>
      </c>
      <c r="H5041" s="1">
        <v>45915.405844907407</v>
      </c>
      <c r="I5041" s="2">
        <v>1</v>
      </c>
      <c r="J5041" s="1">
        <v>45915.379918981482</v>
      </c>
    </row>
    <row r="5042" spans="1:10" x14ac:dyDescent="0.2">
      <c r="A5042" s="4" t="s">
        <v>1</v>
      </c>
      <c r="B5042" s="3" t="str">
        <f>HYPERLINK("https://otsuka-europe-crm.veevavault.com/ui/#object/approved_document__v/V5OZ025E82TFUPI", "Spain - HCP Survey Email - June 2025")</f>
        <v>Spain - HCP Survey Email - June 2025</v>
      </c>
      <c r="C5042" s="3" t="str">
        <f>HYPERLINK("https://otsuka-europe-crm.veevavault.com/ui/#object/sent_email__v/VBLZ025E82GN1MR", "SE-000272193")</f>
        <v>SE-000272193</v>
      </c>
      <c r="D5042" s="1">
        <v>45945.488298611112</v>
      </c>
      <c r="E5042" s="2">
        <v>1</v>
      </c>
      <c r="F5042" s="2">
        <v>3</v>
      </c>
      <c r="G5042" s="2">
        <v>0</v>
      </c>
      <c r="H5042" s="1" t="s">
        <v>0</v>
      </c>
      <c r="I5042" s="2">
        <v>0</v>
      </c>
      <c r="J5042" s="1">
        <v>45915.379444444443</v>
      </c>
    </row>
    <row r="5043" spans="1:10" x14ac:dyDescent="0.2">
      <c r="A5043" s="4" t="s">
        <v>1</v>
      </c>
      <c r="B5043" s="3" t="str">
        <f>HYPERLINK("https://otsuka-europe-crm.veevavault.com/ui/#object/approved_document__v/V5OZ025E82TFUPI", "Spain - HCP Survey Email - June 2025")</f>
        <v>Spain - HCP Survey Email - June 2025</v>
      </c>
      <c r="C5043" s="3" t="str">
        <f>HYPERLINK("https://otsuka-europe-crm.veevavault.com/ui/#object/sent_email__v/VBLZ025E82GN1MS", "SE-000272194")</f>
        <v>SE-000272194</v>
      </c>
      <c r="D5043" s="1" t="s">
        <v>0</v>
      </c>
      <c r="E5043" s="2">
        <v>0</v>
      </c>
      <c r="F5043" s="2">
        <v>0</v>
      </c>
      <c r="G5043" s="2">
        <v>0</v>
      </c>
      <c r="H5043" s="1" t="s">
        <v>0</v>
      </c>
      <c r="I5043" s="2">
        <v>0</v>
      </c>
      <c r="J5043" s="1">
        <v>45915.377557870372</v>
      </c>
    </row>
    <row r="5044" spans="1:10" x14ac:dyDescent="0.2">
      <c r="A5044" s="4" t="s">
        <v>1</v>
      </c>
      <c r="B5044" s="3" t="str">
        <f>HYPERLINK("https://otsuka-europe-crm.veevavault.com/ui/#object/approved_document__v/V5OZ025E82TFUPI", "Spain - HCP Survey Email - June 2025")</f>
        <v>Spain - HCP Survey Email - June 2025</v>
      </c>
      <c r="C5044" s="3" t="str">
        <f>HYPERLINK("https://otsuka-europe-crm.veevavault.com/ui/#object/sent_email__v/VBLZ025E82GN1MT", "SE-000272195")</f>
        <v>SE-000272195</v>
      </c>
      <c r="D5044" s="1">
        <v>45917.882511574076</v>
      </c>
      <c r="E5044" s="2">
        <v>1</v>
      </c>
      <c r="F5044" s="2">
        <v>4</v>
      </c>
      <c r="G5044" s="2">
        <v>0</v>
      </c>
      <c r="H5044" s="1" t="s">
        <v>0</v>
      </c>
      <c r="I5044" s="2">
        <v>0</v>
      </c>
      <c r="J5044" s="1">
        <v>45915.37841435185</v>
      </c>
    </row>
    <row r="5045" spans="1:10" x14ac:dyDescent="0.2">
      <c r="A5045" s="4" t="s">
        <v>1</v>
      </c>
      <c r="B5045" s="3" t="str">
        <f>HYPERLINK("https://otsuka-europe-crm.veevavault.com/ui/#object/approved_document__v/V5OZ025E82TFUPI", "Spain - HCP Survey Email - June 2025")</f>
        <v>Spain - HCP Survey Email - June 2025</v>
      </c>
      <c r="C5045" s="3" t="str">
        <f>HYPERLINK("https://otsuka-europe-crm.veevavault.com/ui/#object/sent_email__v/VBLZ025E82GN1MU", "SE-000272196")</f>
        <v>SE-000272196</v>
      </c>
      <c r="D5045" s="1" t="s">
        <v>0</v>
      </c>
      <c r="E5045" s="2">
        <v>0</v>
      </c>
      <c r="F5045" s="2">
        <v>0</v>
      </c>
      <c r="G5045" s="2">
        <v>0</v>
      </c>
      <c r="H5045" s="1" t="s">
        <v>0</v>
      </c>
      <c r="I5045" s="2">
        <v>0</v>
      </c>
      <c r="J5045" s="1">
        <v>45915.379016203704</v>
      </c>
    </row>
    <row r="5046" spans="1:10" x14ac:dyDescent="0.2">
      <c r="A5046" s="4" t="s">
        <v>1</v>
      </c>
      <c r="B5046" s="3" t="str">
        <f>HYPERLINK("https://otsuka-europe-crm.veevavault.com/ui/#object/approved_document__v/V5OZ025E82TFUPI", "Spain - HCP Survey Email - June 2025")</f>
        <v>Spain - HCP Survey Email - June 2025</v>
      </c>
      <c r="C5046" s="3" t="str">
        <f>HYPERLINK("https://otsuka-europe-crm.veevavault.com/ui/#object/sent_email__v/VBLZ025E82GN1MV", "SE-000272197")</f>
        <v>SE-000272197</v>
      </c>
      <c r="D5046" s="1" t="s">
        <v>0</v>
      </c>
      <c r="E5046" s="2">
        <v>0</v>
      </c>
      <c r="F5046" s="2">
        <v>0</v>
      </c>
      <c r="G5046" s="2">
        <v>0</v>
      </c>
      <c r="H5046" s="1" t="s">
        <v>0</v>
      </c>
      <c r="I5046" s="2">
        <v>0</v>
      </c>
      <c r="J5046" s="1">
        <v>45915.378750000003</v>
      </c>
    </row>
    <row r="5047" spans="1:10" x14ac:dyDescent="0.2">
      <c r="A5047" s="4" t="s">
        <v>1</v>
      </c>
      <c r="B5047" s="3" t="str">
        <f>HYPERLINK("https://otsuka-europe-crm.veevavault.com/ui/#object/approved_document__v/V5OZ025E82TFUPI", "Spain - HCP Survey Email - June 2025")</f>
        <v>Spain - HCP Survey Email - June 2025</v>
      </c>
      <c r="C5047" s="3" t="str">
        <f>HYPERLINK("https://otsuka-europe-crm.veevavault.com/ui/#object/sent_email__v/VBLZ025E82GN1MW", "SE-000272198")</f>
        <v>SE-000272198</v>
      </c>
      <c r="D5047" s="1" t="s">
        <v>0</v>
      </c>
      <c r="E5047" s="2">
        <v>0</v>
      </c>
      <c r="F5047" s="2">
        <v>0</v>
      </c>
      <c r="G5047" s="2">
        <v>0</v>
      </c>
      <c r="H5047" s="1" t="s">
        <v>0</v>
      </c>
      <c r="I5047" s="2">
        <v>0</v>
      </c>
      <c r="J5047" s="1">
        <v>45915.379166666666</v>
      </c>
    </row>
    <row r="5048" spans="1:10" x14ac:dyDescent="0.2">
      <c r="A5048" s="4" t="s">
        <v>1</v>
      </c>
      <c r="B5048" s="3" t="str">
        <f>HYPERLINK("https://otsuka-europe-crm.veevavault.com/ui/#object/approved_document__v/V5OZ025E82TFUPI", "Spain - HCP Survey Email - June 2025")</f>
        <v>Spain - HCP Survey Email - June 2025</v>
      </c>
      <c r="C5048" s="3" t="str">
        <f>HYPERLINK("https://otsuka-europe-crm.veevavault.com/ui/#object/sent_email__v/VBLZ025E82GN1MX", "SE-000272199")</f>
        <v>SE-000272199</v>
      </c>
      <c r="D5048" s="1" t="s">
        <v>0</v>
      </c>
      <c r="E5048" s="2">
        <v>0</v>
      </c>
      <c r="F5048" s="2">
        <v>0</v>
      </c>
      <c r="G5048" s="2">
        <v>0</v>
      </c>
      <c r="H5048" s="1" t="s">
        <v>0</v>
      </c>
      <c r="I5048" s="2">
        <v>0</v>
      </c>
      <c r="J5048" s="1">
        <v>45915.377789351849</v>
      </c>
    </row>
    <row r="5049" spans="1:10" x14ac:dyDescent="0.2">
      <c r="A5049" s="4" t="s">
        <v>1</v>
      </c>
      <c r="B5049" s="3" t="str">
        <f>HYPERLINK("https://otsuka-europe-crm.veevavault.com/ui/#object/approved_document__v/V5OZ025E82TFUPI", "Spain - HCP Survey Email - June 2025")</f>
        <v>Spain - HCP Survey Email - June 2025</v>
      </c>
      <c r="C5049" s="3" t="str">
        <f>HYPERLINK("https://otsuka-europe-crm.veevavault.com/ui/#object/sent_email__v/VBLZ025E82GN1MY", "SE-000272200")</f>
        <v>SE-000272200</v>
      </c>
      <c r="D5049" s="1">
        <v>45915.984699074077</v>
      </c>
      <c r="E5049" s="2">
        <v>1</v>
      </c>
      <c r="F5049" s="2">
        <v>1</v>
      </c>
      <c r="G5049" s="2">
        <v>0</v>
      </c>
      <c r="H5049" s="1" t="s">
        <v>0</v>
      </c>
      <c r="I5049" s="2">
        <v>0</v>
      </c>
      <c r="J5049" s="1">
        <v>45915.378206018519</v>
      </c>
    </row>
    <row r="5050" spans="1:10" x14ac:dyDescent="0.2">
      <c r="A5050" s="4" t="s">
        <v>1</v>
      </c>
      <c r="B5050" s="3" t="str">
        <f>HYPERLINK("https://otsuka-europe-crm.veevavault.com/ui/#object/approved_document__v/V5OZ025E82TFUPI", "Spain - HCP Survey Email - June 2025")</f>
        <v>Spain - HCP Survey Email - June 2025</v>
      </c>
      <c r="C5050" s="3" t="str">
        <f>HYPERLINK("https://otsuka-europe-crm.veevavault.com/ui/#object/sent_email__v/VBLZ025E82GN1MZ", "SE-000272201")</f>
        <v>SE-000272201</v>
      </c>
      <c r="D5050" s="1" t="s">
        <v>0</v>
      </c>
      <c r="E5050" s="2">
        <v>0</v>
      </c>
      <c r="F5050" s="2">
        <v>0</v>
      </c>
      <c r="G5050" s="2">
        <v>0</v>
      </c>
      <c r="H5050" s="1" t="s">
        <v>0</v>
      </c>
      <c r="I5050" s="2">
        <v>0</v>
      </c>
      <c r="J5050" s="1">
        <v>45915.37809027778</v>
      </c>
    </row>
    <row r="5051" spans="1:10" x14ac:dyDescent="0.2">
      <c r="A5051" s="4" t="s">
        <v>1</v>
      </c>
      <c r="B5051" s="3" t="str">
        <f>HYPERLINK("https://otsuka-europe-crm.veevavault.com/ui/#object/approved_document__v/V5OZ025E82TFUPI", "Spain - HCP Survey Email - June 2025")</f>
        <v>Spain - HCP Survey Email - June 2025</v>
      </c>
      <c r="C5051" s="3" t="str">
        <f>HYPERLINK("https://otsuka-europe-crm.veevavault.com/ui/#object/sent_email__v/VBLZ025E82GN1N0", "SE-000272202")</f>
        <v>SE-000272202</v>
      </c>
      <c r="D5051" s="1" t="s">
        <v>0</v>
      </c>
      <c r="E5051" s="2">
        <v>0</v>
      </c>
      <c r="F5051" s="2">
        <v>0</v>
      </c>
      <c r="G5051" s="2">
        <v>0</v>
      </c>
      <c r="H5051" s="1" t="s">
        <v>0</v>
      </c>
      <c r="I5051" s="2">
        <v>0</v>
      </c>
      <c r="J5051" s="1">
        <v>45915.378599537034</v>
      </c>
    </row>
    <row r="5052" spans="1:10" x14ac:dyDescent="0.2">
      <c r="A5052" s="4" t="s">
        <v>1</v>
      </c>
      <c r="B5052" s="3" t="str">
        <f>HYPERLINK("https://otsuka-europe-crm.veevavault.com/ui/#object/approved_document__v/V5OZ025E82TFUPI", "Spain - HCP Survey Email - June 2025")</f>
        <v>Spain - HCP Survey Email - June 2025</v>
      </c>
      <c r="C5052" s="3" t="str">
        <f>HYPERLINK("https://otsuka-europe-crm.veevavault.com/ui/#object/sent_email__v/VBLZ025E82GN1N1", "SE-000272203")</f>
        <v>SE-000272203</v>
      </c>
      <c r="D5052" s="1">
        <v>45915.401412037034</v>
      </c>
      <c r="E5052" s="2">
        <v>1</v>
      </c>
      <c r="F5052" s="2">
        <v>2</v>
      </c>
      <c r="G5052" s="2">
        <v>0</v>
      </c>
      <c r="H5052" s="1" t="s">
        <v>0</v>
      </c>
      <c r="I5052" s="2">
        <v>0</v>
      </c>
      <c r="J5052" s="1">
        <v>45915.379895833335</v>
      </c>
    </row>
    <row r="5053" spans="1:10" x14ac:dyDescent="0.2">
      <c r="A5053" s="4" t="s">
        <v>1</v>
      </c>
      <c r="B5053" s="3" t="str">
        <f>HYPERLINK("https://otsuka-europe-crm.veevavault.com/ui/#object/approved_document__v/V5OZ025E82TFUPI", "Spain - HCP Survey Email - June 2025")</f>
        <v>Spain - HCP Survey Email - June 2025</v>
      </c>
      <c r="C5053" s="3" t="str">
        <f>HYPERLINK("https://otsuka-europe-crm.veevavault.com/ui/#object/sent_email__v/VBLZ025E82GN1N2", "SE-000272204")</f>
        <v>SE-000272204</v>
      </c>
      <c r="D5053" s="1" t="s">
        <v>0</v>
      </c>
      <c r="E5053" s="2">
        <v>0</v>
      </c>
      <c r="F5053" s="2">
        <v>0</v>
      </c>
      <c r="G5053" s="2">
        <v>0</v>
      </c>
      <c r="H5053" s="1" t="s">
        <v>0</v>
      </c>
      <c r="I5053" s="2">
        <v>0</v>
      </c>
      <c r="J5053" s="1">
        <v>45915.377650462964</v>
      </c>
    </row>
    <row r="5054" spans="1:10" x14ac:dyDescent="0.2">
      <c r="A5054" s="4" t="s">
        <v>1</v>
      </c>
      <c r="B5054" s="3" t="str">
        <f>HYPERLINK("https://otsuka-europe-crm.veevavault.com/ui/#object/approved_document__v/V5OZ025E82TFUPI", "Spain - HCP Survey Email - June 2025")</f>
        <v>Spain - HCP Survey Email - June 2025</v>
      </c>
      <c r="C5054" s="3" t="str">
        <f>HYPERLINK("https://otsuka-europe-crm.veevavault.com/ui/#object/sent_email__v/VBLZ025E82GN1N3", "SE-000272205")</f>
        <v>SE-000272205</v>
      </c>
      <c r="D5054" s="1" t="s">
        <v>0</v>
      </c>
      <c r="E5054" s="2">
        <v>0</v>
      </c>
      <c r="F5054" s="2">
        <v>0</v>
      </c>
      <c r="G5054" s="2">
        <v>0</v>
      </c>
      <c r="H5054" s="1" t="s">
        <v>0</v>
      </c>
      <c r="I5054" s="2">
        <v>0</v>
      </c>
      <c r="J5054" s="1">
        <v>45915.377546296295</v>
      </c>
    </row>
    <row r="5055" spans="1:10" x14ac:dyDescent="0.2">
      <c r="A5055" s="4" t="s">
        <v>1</v>
      </c>
      <c r="B5055" s="3" t="str">
        <f>HYPERLINK("https://otsuka-europe-crm.veevavault.com/ui/#object/approved_document__v/V5OZ025E82TFUPI", "Spain - HCP Survey Email - June 2025")</f>
        <v>Spain - HCP Survey Email - June 2025</v>
      </c>
      <c r="C5055" s="3" t="str">
        <f>HYPERLINK("https://otsuka-europe-crm.veevavault.com/ui/#object/sent_email__v/VBLZ025E82GN1N4", "SE-000272206")</f>
        <v>SE-000272206</v>
      </c>
      <c r="D5055" s="1" t="s">
        <v>0</v>
      </c>
      <c r="E5055" s="2">
        <v>0</v>
      </c>
      <c r="F5055" s="2">
        <v>0</v>
      </c>
      <c r="G5055" s="2">
        <v>0</v>
      </c>
      <c r="H5055" s="1" t="s">
        <v>0</v>
      </c>
      <c r="I5055" s="2">
        <v>0</v>
      </c>
      <c r="J5055" s="1">
        <v>45915.378483796296</v>
      </c>
    </row>
    <row r="5056" spans="1:10" x14ac:dyDescent="0.2">
      <c r="A5056" s="4" t="s">
        <v>1</v>
      </c>
      <c r="B5056" s="3" t="str">
        <f>HYPERLINK("https://otsuka-europe-crm.veevavault.com/ui/#object/approved_document__v/V5OZ025E82TFUPI", "Spain - HCP Survey Email - June 2025")</f>
        <v>Spain - HCP Survey Email - June 2025</v>
      </c>
      <c r="C5056" s="3" t="str">
        <f>HYPERLINK("https://otsuka-europe-crm.veevavault.com/ui/#object/sent_email__v/VBLZ025E82GN1N5", "SE-000272207")</f>
        <v>SE-000272207</v>
      </c>
      <c r="D5056" s="1">
        <v>45915.650185185186</v>
      </c>
      <c r="E5056" s="2">
        <v>1</v>
      </c>
      <c r="F5056" s="2">
        <v>1</v>
      </c>
      <c r="G5056" s="2">
        <v>0</v>
      </c>
      <c r="H5056" s="1" t="s">
        <v>0</v>
      </c>
      <c r="I5056" s="2">
        <v>0</v>
      </c>
      <c r="J5056" s="1">
        <v>45915.378877314812</v>
      </c>
    </row>
    <row r="5057" spans="1:10" x14ac:dyDescent="0.2">
      <c r="A5057" s="4" t="s">
        <v>1</v>
      </c>
      <c r="B5057" s="3" t="str">
        <f>HYPERLINK("https://otsuka-europe-crm.veevavault.com/ui/#object/approved_document__v/V5OZ025E82TFUPI", "Spain - HCP Survey Email - June 2025")</f>
        <v>Spain - HCP Survey Email - June 2025</v>
      </c>
      <c r="C5057" s="3" t="str">
        <f>HYPERLINK("https://otsuka-europe-crm.veevavault.com/ui/#object/sent_email__v/VBLZ025E82GN1N6", "SE-000272208")</f>
        <v>SE-000272208</v>
      </c>
      <c r="D5057" s="1">
        <v>45915.423344907409</v>
      </c>
      <c r="E5057" s="2">
        <v>1</v>
      </c>
      <c r="F5057" s="2">
        <v>1</v>
      </c>
      <c r="G5057" s="2">
        <v>0</v>
      </c>
      <c r="H5057" s="1" t="s">
        <v>0</v>
      </c>
      <c r="I5057" s="2">
        <v>0</v>
      </c>
      <c r="J5057" s="1">
        <v>45915.37877314815</v>
      </c>
    </row>
    <row r="5058" spans="1:10" x14ac:dyDescent="0.2">
      <c r="A5058" s="4" t="s">
        <v>1</v>
      </c>
      <c r="B5058" s="3" t="str">
        <f>HYPERLINK("https://otsuka-europe-crm.veevavault.com/ui/#object/approved_document__v/V5OZ025E82TFUPI", "Spain - HCP Survey Email - June 2025")</f>
        <v>Spain - HCP Survey Email - June 2025</v>
      </c>
      <c r="C5058" s="3" t="str">
        <f>HYPERLINK("https://otsuka-europe-crm.veevavault.com/ui/#object/sent_email__v/VBLZ025E82GN1N7", "SE-000272209")</f>
        <v>SE-000272209</v>
      </c>
      <c r="D5058" s="1">
        <v>45926.773819444446</v>
      </c>
      <c r="E5058" s="2">
        <v>1</v>
      </c>
      <c r="F5058" s="2">
        <v>1</v>
      </c>
      <c r="G5058" s="2">
        <v>0</v>
      </c>
      <c r="H5058" s="1" t="s">
        <v>0</v>
      </c>
      <c r="I5058" s="2">
        <v>0</v>
      </c>
      <c r="J5058" s="1">
        <v>45915.379108796296</v>
      </c>
    </row>
    <row r="5059" spans="1:10" x14ac:dyDescent="0.2">
      <c r="A5059" s="4" t="s">
        <v>1</v>
      </c>
      <c r="B5059" s="3" t="str">
        <f>HYPERLINK("https://otsuka-europe-crm.veevavault.com/ui/#object/approved_document__v/V5OZ025E82TFUPI", "Spain - HCP Survey Email - June 2025")</f>
        <v>Spain - HCP Survey Email - June 2025</v>
      </c>
      <c r="C5059" s="3" t="str">
        <f>HYPERLINK("https://otsuka-europe-crm.veevavault.com/ui/#object/sent_email__v/VBLZ025E82GN1N8", "SE-000272210")</f>
        <v>SE-000272210</v>
      </c>
      <c r="D5059" s="1">
        <v>45915.814745370371</v>
      </c>
      <c r="E5059" s="2">
        <v>1</v>
      </c>
      <c r="F5059" s="2">
        <v>1</v>
      </c>
      <c r="G5059" s="2">
        <v>0</v>
      </c>
      <c r="H5059" s="1" t="s">
        <v>0</v>
      </c>
      <c r="I5059" s="2">
        <v>0</v>
      </c>
      <c r="J5059" s="1">
        <v>45915.378587962965</v>
      </c>
    </row>
    <row r="5060" spans="1:10" x14ac:dyDescent="0.2">
      <c r="A5060" s="4" t="s">
        <v>1</v>
      </c>
      <c r="B5060" s="3" t="str">
        <f>HYPERLINK("https://otsuka-europe-crm.veevavault.com/ui/#object/approved_document__v/V5OZ025E82TFUPI", "Spain - HCP Survey Email - June 2025")</f>
        <v>Spain - HCP Survey Email - June 2025</v>
      </c>
      <c r="C5060" s="3" t="str">
        <f>HYPERLINK("https://otsuka-europe-crm.veevavault.com/ui/#object/sent_email__v/VBLZ025E82GN1N9", "SE-000272211")</f>
        <v>SE-000272211</v>
      </c>
      <c r="D5060" s="1">
        <v>45925.2966087963</v>
      </c>
      <c r="E5060" s="2">
        <v>1</v>
      </c>
      <c r="F5060" s="2">
        <v>3</v>
      </c>
      <c r="G5060" s="2">
        <v>0</v>
      </c>
      <c r="H5060" s="1" t="s">
        <v>0</v>
      </c>
      <c r="I5060" s="2">
        <v>0</v>
      </c>
      <c r="J5060" s="1">
        <v>45915.378854166665</v>
      </c>
    </row>
    <row r="5061" spans="1:10" x14ac:dyDescent="0.2">
      <c r="A5061" s="4" t="s">
        <v>1</v>
      </c>
      <c r="B5061" s="3" t="str">
        <f>HYPERLINK("https://otsuka-europe-crm.veevavault.com/ui/#object/approved_document__v/V5OZ025E82TFUPI", "Spain - HCP Survey Email - June 2025")</f>
        <v>Spain - HCP Survey Email - June 2025</v>
      </c>
      <c r="C5061" s="3" t="str">
        <f>HYPERLINK("https://otsuka-europe-crm.veevavault.com/ui/#object/sent_email__v/VBLZ025E82GN1NA", "SE-000272212")</f>
        <v>SE-000272212</v>
      </c>
      <c r="D5061" s="1">
        <v>45916.363483796296</v>
      </c>
      <c r="E5061" s="2">
        <v>1</v>
      </c>
      <c r="F5061" s="2">
        <v>3</v>
      </c>
      <c r="G5061" s="2">
        <v>0</v>
      </c>
      <c r="H5061" s="1" t="s">
        <v>0</v>
      </c>
      <c r="I5061" s="2">
        <v>0</v>
      </c>
      <c r="J5061" s="1">
        <v>45915.378703703704</v>
      </c>
    </row>
    <row r="5062" spans="1:10" x14ac:dyDescent="0.2">
      <c r="A5062" s="4" t="s">
        <v>1</v>
      </c>
      <c r="B5062" s="3" t="str">
        <f>HYPERLINK("https://otsuka-europe-crm.veevavault.com/ui/#object/approved_document__v/V5OZ025E82TFUPI", "Spain - HCP Survey Email - June 2025")</f>
        <v>Spain - HCP Survey Email - June 2025</v>
      </c>
      <c r="C5062" s="3" t="str">
        <f>HYPERLINK("https://otsuka-europe-crm.veevavault.com/ui/#object/sent_email__v/VBLZ025E82GN1NB", "SE-000272213")</f>
        <v>SE-000272213</v>
      </c>
      <c r="D5062" s="1" t="s">
        <v>0</v>
      </c>
      <c r="E5062" s="2">
        <v>0</v>
      </c>
      <c r="F5062" s="2">
        <v>0</v>
      </c>
      <c r="G5062" s="2">
        <v>0</v>
      </c>
      <c r="H5062" s="1" t="s">
        <v>0</v>
      </c>
      <c r="I5062" s="2">
        <v>0</v>
      </c>
      <c r="J5062" s="1">
        <v>45915.379178240742</v>
      </c>
    </row>
    <row r="5063" spans="1:10" x14ac:dyDescent="0.2">
      <c r="A5063" s="4" t="s">
        <v>1</v>
      </c>
      <c r="B5063" s="3" t="str">
        <f>HYPERLINK("https://otsuka-europe-crm.veevavault.com/ui/#object/approved_document__v/V5OZ025E82TFUPI", "Spain - HCP Survey Email - June 2025")</f>
        <v>Spain - HCP Survey Email - June 2025</v>
      </c>
      <c r="C5063" s="3" t="str">
        <f>HYPERLINK("https://otsuka-europe-crm.veevavault.com/ui/#object/sent_email__v/VBLZ025E82GN1NC", "SE-000272214")</f>
        <v>SE-000272214</v>
      </c>
      <c r="D5063" s="1" t="s">
        <v>0</v>
      </c>
      <c r="E5063" s="2">
        <v>0</v>
      </c>
      <c r="F5063" s="2">
        <v>0</v>
      </c>
      <c r="G5063" s="2">
        <v>0</v>
      </c>
      <c r="H5063" s="1" t="s">
        <v>0</v>
      </c>
      <c r="I5063" s="2">
        <v>0</v>
      </c>
      <c r="J5063" s="1">
        <v>45915.377812500003</v>
      </c>
    </row>
    <row r="5064" spans="1:10" x14ac:dyDescent="0.2">
      <c r="A5064" s="4" t="s">
        <v>1</v>
      </c>
      <c r="B5064" s="3" t="str">
        <f>HYPERLINK("https://otsuka-europe-crm.veevavault.com/ui/#object/approved_document__v/V5OZ025E82TFUPI", "Spain - HCP Survey Email - June 2025")</f>
        <v>Spain - HCP Survey Email - June 2025</v>
      </c>
      <c r="C5064" s="3" t="str">
        <f>HYPERLINK("https://otsuka-europe-crm.veevavault.com/ui/#object/sent_email__v/VBLZ025E82GN1ND", "SE-000272215")</f>
        <v>SE-000272215</v>
      </c>
      <c r="D5064" s="1" t="s">
        <v>0</v>
      </c>
      <c r="E5064" s="2">
        <v>0</v>
      </c>
      <c r="F5064" s="2">
        <v>0</v>
      </c>
      <c r="G5064" s="2">
        <v>0</v>
      </c>
      <c r="H5064" s="1" t="s">
        <v>0</v>
      </c>
      <c r="I5064" s="2">
        <v>0</v>
      </c>
      <c r="J5064" s="1">
        <v>45915.378194444442</v>
      </c>
    </row>
    <row r="5065" spans="1:10" x14ac:dyDescent="0.2">
      <c r="A5065" s="4" t="s">
        <v>1</v>
      </c>
      <c r="B5065" s="3" t="str">
        <f>HYPERLINK("https://otsuka-europe-crm.veevavault.com/ui/#object/approved_document__v/V5OZ025E82TFUPI", "Spain - HCP Survey Email - June 2025")</f>
        <v>Spain - HCP Survey Email - June 2025</v>
      </c>
      <c r="C5065" s="3" t="str">
        <f>HYPERLINK("https://otsuka-europe-crm.veevavault.com/ui/#object/sent_email__v/VBLZ025E82GN1NE", "SE-000272216")</f>
        <v>SE-000272216</v>
      </c>
      <c r="D5065" s="1">
        <v>45917.281354166669</v>
      </c>
      <c r="E5065" s="2">
        <v>1</v>
      </c>
      <c r="F5065" s="2">
        <v>1</v>
      </c>
      <c r="G5065" s="2">
        <v>0</v>
      </c>
      <c r="H5065" s="1" t="s">
        <v>0</v>
      </c>
      <c r="I5065" s="2">
        <v>0</v>
      </c>
      <c r="J5065" s="1">
        <v>45915.378148148149</v>
      </c>
    </row>
    <row r="5066" spans="1:10" x14ac:dyDescent="0.2">
      <c r="A5066" s="4" t="s">
        <v>1</v>
      </c>
      <c r="B5066" s="3" t="str">
        <f>HYPERLINK("https://otsuka-europe-crm.veevavault.com/ui/#object/approved_document__v/V5OZ025E82TFUPI", "Spain - HCP Survey Email - June 2025")</f>
        <v>Spain - HCP Survey Email - June 2025</v>
      </c>
      <c r="C5066" s="3" t="str">
        <f>HYPERLINK("https://otsuka-europe-crm.veevavault.com/ui/#object/sent_email__v/VBLZ025E82GN1NF", "SE-000272217")</f>
        <v>SE-000272217</v>
      </c>
      <c r="D5066" s="1">
        <v>45915.389548611114</v>
      </c>
      <c r="E5066" s="2">
        <v>1</v>
      </c>
      <c r="F5066" s="2">
        <v>1</v>
      </c>
      <c r="G5066" s="2">
        <v>0</v>
      </c>
      <c r="H5066" s="1" t="s">
        <v>0</v>
      </c>
      <c r="I5066" s="2">
        <v>0</v>
      </c>
      <c r="J5066" s="1">
        <v>45915.378483796296</v>
      </c>
    </row>
    <row r="5067" spans="1:10" x14ac:dyDescent="0.2">
      <c r="A5067" s="4" t="s">
        <v>1</v>
      </c>
      <c r="B5067" s="3" t="str">
        <f>HYPERLINK("https://otsuka-europe-crm.veevavault.com/ui/#object/approved_document__v/V5OZ025E82TFUPI", "Spain - HCP Survey Email - June 2025")</f>
        <v>Spain - HCP Survey Email - June 2025</v>
      </c>
      <c r="C5067" s="3" t="str">
        <f>HYPERLINK("https://otsuka-europe-crm.veevavault.com/ui/#object/sent_email__v/VBLZ025E82GN1NG", "SE-000272218")</f>
        <v>SE-000272218</v>
      </c>
      <c r="D5067" s="1" t="s">
        <v>0</v>
      </c>
      <c r="E5067" s="2">
        <v>0</v>
      </c>
      <c r="F5067" s="2">
        <v>0</v>
      </c>
      <c r="G5067" s="2">
        <v>0</v>
      </c>
      <c r="H5067" s="1" t="s">
        <v>0</v>
      </c>
      <c r="I5067" s="2">
        <v>0</v>
      </c>
      <c r="J5067" s="1">
        <v>45915.379884259259</v>
      </c>
    </row>
    <row r="5068" spans="1:10" x14ac:dyDescent="0.2">
      <c r="A5068" s="4" t="s">
        <v>1</v>
      </c>
      <c r="B5068" s="3" t="str">
        <f>HYPERLINK("https://otsuka-europe-crm.veevavault.com/ui/#object/approved_document__v/V5OZ025E82TFUPI", "Spain - HCP Survey Email - June 2025")</f>
        <v>Spain - HCP Survey Email - June 2025</v>
      </c>
      <c r="C5068" s="3" t="str">
        <f>HYPERLINK("https://otsuka-europe-crm.veevavault.com/ui/#object/sent_email__v/VBLZ025E82GN1NH", "SE-000272219")</f>
        <v>SE-000272219</v>
      </c>
      <c r="D5068" s="1">
        <v>45932.922777777778</v>
      </c>
      <c r="E5068" s="2">
        <v>1</v>
      </c>
      <c r="F5068" s="2">
        <v>1</v>
      </c>
      <c r="G5068" s="2">
        <v>0</v>
      </c>
      <c r="H5068" s="1" t="s">
        <v>0</v>
      </c>
      <c r="I5068" s="2">
        <v>0</v>
      </c>
      <c r="J5068" s="1">
        <v>45915.379444444443</v>
      </c>
    </row>
    <row r="5069" spans="1:10" x14ac:dyDescent="0.2">
      <c r="A5069" s="4" t="s">
        <v>1</v>
      </c>
      <c r="B5069" s="3" t="str">
        <f>HYPERLINK("https://otsuka-europe-crm.veevavault.com/ui/#object/approved_document__v/V5OZ025E82TFUPI", "Spain - HCP Survey Email - June 2025")</f>
        <v>Spain - HCP Survey Email - June 2025</v>
      </c>
      <c r="C5069" s="3" t="str">
        <f>HYPERLINK("https://otsuka-europe-crm.veevavault.com/ui/#object/sent_email__v/VBLZ025E82GN1NI", "SE-000272220")</f>
        <v>SE-000272220</v>
      </c>
      <c r="D5069" s="1">
        <v>45915.971944444442</v>
      </c>
      <c r="E5069" s="2">
        <v>1</v>
      </c>
      <c r="F5069" s="2">
        <v>1</v>
      </c>
      <c r="G5069" s="2">
        <v>0</v>
      </c>
      <c r="H5069" s="1" t="s">
        <v>0</v>
      </c>
      <c r="I5069" s="2">
        <v>0</v>
      </c>
      <c r="J5069" s="1">
        <v>45915.377557870372</v>
      </c>
    </row>
    <row r="5070" spans="1:10" x14ac:dyDescent="0.2">
      <c r="A5070" s="4" t="s">
        <v>1</v>
      </c>
      <c r="B5070" s="3" t="str">
        <f>HYPERLINK("https://otsuka-europe-crm.veevavault.com/ui/#object/approved_document__v/V5OZ025E82TFUPI", "Spain - HCP Survey Email - June 2025")</f>
        <v>Spain - HCP Survey Email - June 2025</v>
      </c>
      <c r="C5070" s="3" t="str">
        <f>HYPERLINK("https://otsuka-europe-crm.veevavault.com/ui/#object/sent_email__v/VBLZ025E82GN1NJ", "SE-000272221")</f>
        <v>SE-000272221</v>
      </c>
      <c r="D5070" s="1" t="s">
        <v>0</v>
      </c>
      <c r="E5070" s="2">
        <v>0</v>
      </c>
      <c r="F5070" s="2">
        <v>0</v>
      </c>
      <c r="G5070" s="2">
        <v>0</v>
      </c>
      <c r="H5070" s="1" t="s">
        <v>0</v>
      </c>
      <c r="I5070" s="2">
        <v>0</v>
      </c>
      <c r="J5070" s="1">
        <v>45915.378483796296</v>
      </c>
    </row>
    <row r="5071" spans="1:10" x14ac:dyDescent="0.2">
      <c r="A5071" s="4" t="s">
        <v>1</v>
      </c>
      <c r="B5071" s="3" t="str">
        <f>HYPERLINK("https://otsuka-europe-crm.veevavault.com/ui/#object/approved_document__v/V5OZ025E82TFUPI", "Spain - HCP Survey Email - June 2025")</f>
        <v>Spain - HCP Survey Email - June 2025</v>
      </c>
      <c r="C5071" s="3" t="str">
        <f>HYPERLINK("https://otsuka-europe-crm.veevavault.com/ui/#object/sent_email__v/VBLZ025E82GN1NK", "SE-000272222")</f>
        <v>SE-000272222</v>
      </c>
      <c r="D5071" s="1">
        <v>45915.573564814818</v>
      </c>
      <c r="E5071" s="2">
        <v>1</v>
      </c>
      <c r="F5071" s="2">
        <v>1</v>
      </c>
      <c r="G5071" s="2">
        <v>0</v>
      </c>
      <c r="H5071" s="1" t="s">
        <v>0</v>
      </c>
      <c r="I5071" s="2">
        <v>0</v>
      </c>
      <c r="J5071" s="1">
        <v>45915.378877314812</v>
      </c>
    </row>
    <row r="5072" spans="1:10" x14ac:dyDescent="0.2">
      <c r="A5072" s="4" t="s">
        <v>1</v>
      </c>
      <c r="B5072" s="3" t="str">
        <f>HYPERLINK("https://otsuka-europe-crm.veevavault.com/ui/#object/approved_document__v/V5OZ025E82TFUPI", "Spain - HCP Survey Email - June 2025")</f>
        <v>Spain - HCP Survey Email - June 2025</v>
      </c>
      <c r="C5072" s="3" t="str">
        <f>HYPERLINK("https://otsuka-europe-crm.veevavault.com/ui/#object/sent_email__v/VBLZ025E82GN1NL", "SE-000272223")</f>
        <v>SE-000272223</v>
      </c>
      <c r="D5072" s="1" t="s">
        <v>0</v>
      </c>
      <c r="E5072" s="2">
        <v>0</v>
      </c>
      <c r="F5072" s="2">
        <v>0</v>
      </c>
      <c r="G5072" s="2">
        <v>0</v>
      </c>
      <c r="H5072" s="1" t="s">
        <v>0</v>
      </c>
      <c r="I5072" s="2">
        <v>0</v>
      </c>
      <c r="J5072" s="1">
        <v>45915.37871527778</v>
      </c>
    </row>
    <row r="5073" spans="1:10" x14ac:dyDescent="0.2">
      <c r="A5073" s="4" t="s">
        <v>1</v>
      </c>
      <c r="B5073" s="3" t="str">
        <f>HYPERLINK("https://otsuka-europe-crm.veevavault.com/ui/#object/approved_document__v/V5OZ025E82TFUPI", "Spain - HCP Survey Email - June 2025")</f>
        <v>Spain - HCP Survey Email - June 2025</v>
      </c>
      <c r="C5073" s="3" t="str">
        <f>HYPERLINK("https://otsuka-europe-crm.veevavault.com/ui/#object/sent_email__v/VBLZ025E82GN1NM", "SE-000272224")</f>
        <v>SE-000272224</v>
      </c>
      <c r="D5073" s="1" t="s">
        <v>0</v>
      </c>
      <c r="E5073" s="2">
        <v>0</v>
      </c>
      <c r="F5073" s="2">
        <v>0</v>
      </c>
      <c r="G5073" s="2">
        <v>0</v>
      </c>
      <c r="H5073" s="1" t="s">
        <v>0</v>
      </c>
      <c r="I5073" s="2">
        <v>0</v>
      </c>
      <c r="J5073" s="1">
        <v>45915.379050925927</v>
      </c>
    </row>
    <row r="5074" spans="1:10" x14ac:dyDescent="0.2">
      <c r="A5074" s="4" t="s">
        <v>1</v>
      </c>
      <c r="B5074" s="3" t="str">
        <f>HYPERLINK("https://otsuka-europe-crm.veevavault.com/ui/#object/approved_document__v/V5OZ025E82TFUPI", "Spain - HCP Survey Email - June 2025")</f>
        <v>Spain - HCP Survey Email - June 2025</v>
      </c>
      <c r="C5074" s="3" t="str">
        <f>HYPERLINK("https://otsuka-europe-crm.veevavault.com/ui/#object/sent_email__v/VBLZ025E82GN1NN", "SE-000272225")</f>
        <v>SE-000272225</v>
      </c>
      <c r="D5074" s="1" t="s">
        <v>0</v>
      </c>
      <c r="E5074" s="2">
        <v>0</v>
      </c>
      <c r="F5074" s="2">
        <v>0</v>
      </c>
      <c r="G5074" s="2">
        <v>0</v>
      </c>
      <c r="H5074" s="1" t="s">
        <v>0</v>
      </c>
      <c r="I5074" s="2">
        <v>0</v>
      </c>
      <c r="J5074" s="1">
        <v>45915.377835648149</v>
      </c>
    </row>
    <row r="5075" spans="1:10" x14ac:dyDescent="0.2">
      <c r="A5075" s="4" t="s">
        <v>1</v>
      </c>
      <c r="B5075" s="3" t="str">
        <f>HYPERLINK("https://otsuka-europe-crm.veevavault.com/ui/#object/approved_document__v/V5OZ025E82TFUPI", "Spain - HCP Survey Email - June 2025")</f>
        <v>Spain - HCP Survey Email - June 2025</v>
      </c>
      <c r="C5075" s="3" t="str">
        <f>HYPERLINK("https://otsuka-europe-crm.veevavault.com/ui/#object/sent_email__v/VBLZ025E82GN1NO", "SE-000272226")</f>
        <v>SE-000272226</v>
      </c>
      <c r="D5075" s="1" t="s">
        <v>0</v>
      </c>
      <c r="E5075" s="2">
        <v>0</v>
      </c>
      <c r="F5075" s="2">
        <v>0</v>
      </c>
      <c r="G5075" s="2">
        <v>0</v>
      </c>
      <c r="H5075" s="1" t="s">
        <v>0</v>
      </c>
      <c r="I5075" s="2">
        <v>0</v>
      </c>
      <c r="J5075" s="1">
        <v>45915.378229166665</v>
      </c>
    </row>
    <row r="5076" spans="1:10" x14ac:dyDescent="0.2">
      <c r="A5076" s="4" t="s">
        <v>1</v>
      </c>
      <c r="B5076" s="3" t="str">
        <f>HYPERLINK("https://otsuka-europe-crm.veevavault.com/ui/#object/approved_document__v/V5OZ025E82TFUPI", "Spain - HCP Survey Email - June 2025")</f>
        <v>Spain - HCP Survey Email - June 2025</v>
      </c>
      <c r="C5076" s="3" t="str">
        <f>HYPERLINK("https://otsuka-europe-crm.veevavault.com/ui/#object/sent_email__v/VBLZ025E82GN1NP", "SE-000272227")</f>
        <v>SE-000272227</v>
      </c>
      <c r="D5076" s="1">
        <v>45915.607893518521</v>
      </c>
      <c r="E5076" s="2">
        <v>1</v>
      </c>
      <c r="F5076" s="2">
        <v>1</v>
      </c>
      <c r="G5076" s="2">
        <v>0</v>
      </c>
      <c r="H5076" s="1" t="s">
        <v>0</v>
      </c>
      <c r="I5076" s="2">
        <v>0</v>
      </c>
      <c r="J5076" s="1">
        <v>45915.378020833334</v>
      </c>
    </row>
    <row r="5077" spans="1:10" x14ac:dyDescent="0.2">
      <c r="A5077" s="4" t="s">
        <v>1</v>
      </c>
      <c r="B5077" s="3" t="str">
        <f>HYPERLINK("https://otsuka-europe-crm.veevavault.com/ui/#object/approved_document__v/V5OZ025E82TFUPI", "Spain - HCP Survey Email - June 2025")</f>
        <v>Spain - HCP Survey Email - June 2025</v>
      </c>
      <c r="C5077" s="3" t="str">
        <f>HYPERLINK("https://otsuka-europe-crm.veevavault.com/ui/#object/sent_email__v/VBLZ025E82GN1NQ", "SE-000272228")</f>
        <v>SE-000272228</v>
      </c>
      <c r="D5077" s="1" t="s">
        <v>0</v>
      </c>
      <c r="E5077" s="2">
        <v>0</v>
      </c>
      <c r="F5077" s="2">
        <v>0</v>
      </c>
      <c r="G5077" s="2">
        <v>0</v>
      </c>
      <c r="H5077" s="1" t="s">
        <v>0</v>
      </c>
      <c r="I5077" s="2">
        <v>0</v>
      </c>
      <c r="J5077" s="1">
        <v>45915.378449074073</v>
      </c>
    </row>
    <row r="5078" spans="1:10" x14ac:dyDescent="0.2">
      <c r="A5078" s="4" t="s">
        <v>1</v>
      </c>
      <c r="B5078" s="3" t="str">
        <f>HYPERLINK("https://otsuka-europe-crm.veevavault.com/ui/#object/approved_document__v/V5OZ025E82TFUPI", "Spain - HCP Survey Email - June 2025")</f>
        <v>Spain - HCP Survey Email - June 2025</v>
      </c>
      <c r="C5078" s="3" t="str">
        <f>HYPERLINK("https://otsuka-europe-crm.veevavault.com/ui/#object/sent_email__v/VBLZ025E82GN1NR", "SE-000272229")</f>
        <v>SE-000272229</v>
      </c>
      <c r="D5078" s="1">
        <v>45918.350185185183</v>
      </c>
      <c r="E5078" s="2">
        <v>1</v>
      </c>
      <c r="F5078" s="2">
        <v>1</v>
      </c>
      <c r="G5078" s="2">
        <v>0</v>
      </c>
      <c r="H5078" s="1" t="s">
        <v>0</v>
      </c>
      <c r="I5078" s="2">
        <v>0</v>
      </c>
      <c r="J5078" s="1">
        <v>45915.379849537036</v>
      </c>
    </row>
    <row r="5079" spans="1:10" x14ac:dyDescent="0.2">
      <c r="A5079" s="4" t="s">
        <v>1</v>
      </c>
      <c r="B5079" s="3" t="str">
        <f>HYPERLINK("https://otsuka-europe-crm.veevavault.com/ui/#object/approved_document__v/V5OZ025E82TFUPI", "Spain - HCP Survey Email - June 2025")</f>
        <v>Spain - HCP Survey Email - June 2025</v>
      </c>
      <c r="C5079" s="3" t="str">
        <f>HYPERLINK("https://otsuka-europe-crm.veevavault.com/ui/#object/sent_email__v/VBLZ025E82GN1NS", "SE-000272230")</f>
        <v>SE-000272230</v>
      </c>
      <c r="D5079" s="1" t="s">
        <v>0</v>
      </c>
      <c r="E5079" s="2">
        <v>0</v>
      </c>
      <c r="F5079" s="2">
        <v>0</v>
      </c>
      <c r="G5079" s="2">
        <v>0</v>
      </c>
      <c r="H5079" s="1" t="s">
        <v>0</v>
      </c>
      <c r="I5079" s="2">
        <v>0</v>
      </c>
      <c r="J5079" s="1">
        <v>45915.379502314812</v>
      </c>
    </row>
    <row r="5080" spans="1:10" x14ac:dyDescent="0.2">
      <c r="A5080" s="4" t="s">
        <v>1</v>
      </c>
      <c r="B5080" s="3" t="str">
        <f>HYPERLINK("https://otsuka-europe-crm.veevavault.com/ui/#object/approved_document__v/V5OZ025E82TFUPI", "Spain - HCP Survey Email - June 2025")</f>
        <v>Spain - HCP Survey Email - June 2025</v>
      </c>
      <c r="C5080" s="3" t="str">
        <f>HYPERLINK("https://otsuka-europe-crm.veevavault.com/ui/#object/sent_email__v/VBLZ025E82GN1NT", "SE-000272231")</f>
        <v>SE-000272231</v>
      </c>
      <c r="D5080" s="1">
        <v>45935.037499999999</v>
      </c>
      <c r="E5080" s="2">
        <v>1</v>
      </c>
      <c r="F5080" s="2">
        <v>2</v>
      </c>
      <c r="G5080" s="2">
        <v>0</v>
      </c>
      <c r="H5080" s="1" t="s">
        <v>0</v>
      </c>
      <c r="I5080" s="2">
        <v>0</v>
      </c>
      <c r="J5080" s="1">
        <v>45915.377557870372</v>
      </c>
    </row>
    <row r="5081" spans="1:10" x14ac:dyDescent="0.2">
      <c r="A5081" s="4" t="s">
        <v>1</v>
      </c>
      <c r="B5081" s="3" t="str">
        <f>HYPERLINK("https://otsuka-europe-crm.veevavault.com/ui/#object/approved_document__v/V5OZ025E82TFUPI", "Spain - HCP Survey Email - June 2025")</f>
        <v>Spain - HCP Survey Email - June 2025</v>
      </c>
      <c r="C5081" s="3" t="str">
        <f>HYPERLINK("https://otsuka-europe-crm.veevavault.com/ui/#object/sent_email__v/VBLZ025E82GN1NU", "SE-000272232")</f>
        <v>SE-000272232</v>
      </c>
      <c r="D5081" s="1" t="s">
        <v>0</v>
      </c>
      <c r="E5081" s="2">
        <v>0</v>
      </c>
      <c r="F5081" s="2">
        <v>0</v>
      </c>
      <c r="G5081" s="2">
        <v>0</v>
      </c>
      <c r="H5081" s="1" t="s">
        <v>0</v>
      </c>
      <c r="I5081" s="2">
        <v>0</v>
      </c>
      <c r="J5081" s="1">
        <v>45915.378425925926</v>
      </c>
    </row>
    <row r="5082" spans="1:10" x14ac:dyDescent="0.2">
      <c r="A5082" s="4" t="s">
        <v>1</v>
      </c>
      <c r="B5082" s="3" t="str">
        <f>HYPERLINK("https://otsuka-europe-crm.veevavault.com/ui/#object/approved_document__v/V5OZ025E82TFUPI", "Spain - HCP Survey Email - June 2025")</f>
        <v>Spain - HCP Survey Email - June 2025</v>
      </c>
      <c r="C5082" s="3" t="str">
        <f>HYPERLINK("https://otsuka-europe-crm.veevavault.com/ui/#object/sent_email__v/VBLZ025E82GN1NV", "SE-000272233")</f>
        <v>SE-000272233</v>
      </c>
      <c r="D5082" s="1">
        <v>45915.428136574075</v>
      </c>
      <c r="E5082" s="2">
        <v>1</v>
      </c>
      <c r="F5082" s="2">
        <v>2</v>
      </c>
      <c r="G5082" s="2">
        <v>0</v>
      </c>
      <c r="H5082" s="1" t="s">
        <v>0</v>
      </c>
      <c r="I5082" s="2">
        <v>0</v>
      </c>
      <c r="J5082" s="1">
        <v>45915.378946759258</v>
      </c>
    </row>
    <row r="5083" spans="1:10" x14ac:dyDescent="0.2">
      <c r="A5083" s="4" t="s">
        <v>1</v>
      </c>
      <c r="B5083" s="3" t="str">
        <f>HYPERLINK("https://otsuka-europe-crm.veevavault.com/ui/#object/approved_document__v/V5OZ025E82TFUPI", "Spain - HCP Survey Email - June 2025")</f>
        <v>Spain - HCP Survey Email - June 2025</v>
      </c>
      <c r="C5083" s="3" t="str">
        <f>HYPERLINK("https://otsuka-europe-crm.veevavault.com/ui/#object/sent_email__v/VBLZ025E82GN1NW", "SE-000272234")</f>
        <v>SE-000272234</v>
      </c>
      <c r="D5083" s="1">
        <v>45915.413263888891</v>
      </c>
      <c r="E5083" s="2">
        <v>1</v>
      </c>
      <c r="F5083" s="2">
        <v>1</v>
      </c>
      <c r="G5083" s="2">
        <v>0</v>
      </c>
      <c r="H5083" s="1" t="s">
        <v>0</v>
      </c>
      <c r="I5083" s="2">
        <v>0</v>
      </c>
      <c r="J5083" s="1">
        <v>45915.378738425927</v>
      </c>
    </row>
    <row r="5084" spans="1:10" x14ac:dyDescent="0.2">
      <c r="A5084" s="4" t="s">
        <v>1</v>
      </c>
      <c r="B5084" s="3" t="str">
        <f>HYPERLINK("https://otsuka-europe-crm.veevavault.com/ui/#object/approved_document__v/V5OZ025E82TFUPI", "Spain - HCP Survey Email - June 2025")</f>
        <v>Spain - HCP Survey Email - June 2025</v>
      </c>
      <c r="C5084" s="3" t="str">
        <f>HYPERLINK("https://otsuka-europe-crm.veevavault.com/ui/#object/sent_email__v/VBLZ025E82GN1NX", "SE-000272235")</f>
        <v>SE-000272235</v>
      </c>
      <c r="D5084" s="1" t="s">
        <v>0</v>
      </c>
      <c r="E5084" s="2">
        <v>0</v>
      </c>
      <c r="F5084" s="2">
        <v>0</v>
      </c>
      <c r="G5084" s="2">
        <v>0</v>
      </c>
      <c r="H5084" s="1" t="s">
        <v>0</v>
      </c>
      <c r="I5084" s="2">
        <v>0</v>
      </c>
      <c r="J5084" s="1">
        <v>45915.379120370373</v>
      </c>
    </row>
    <row r="5085" spans="1:10" x14ac:dyDescent="0.2">
      <c r="A5085" s="4" t="s">
        <v>1</v>
      </c>
      <c r="B5085" s="3" t="str">
        <f>HYPERLINK("https://otsuka-europe-crm.veevavault.com/ui/#object/approved_document__v/V5OZ025E82TFUPI", "Spain - HCP Survey Email - June 2025")</f>
        <v>Spain - HCP Survey Email - June 2025</v>
      </c>
      <c r="C5085" s="3" t="str">
        <f>HYPERLINK("https://otsuka-europe-crm.veevavault.com/ui/#object/sent_email__v/VBLZ025E82GN1NY", "SE-000272236")</f>
        <v>SE-000272236</v>
      </c>
      <c r="D5085" s="1" t="s">
        <v>0</v>
      </c>
      <c r="E5085" s="2">
        <v>0</v>
      </c>
      <c r="F5085" s="2">
        <v>0</v>
      </c>
      <c r="G5085" s="2">
        <v>0</v>
      </c>
      <c r="H5085" s="1" t="s">
        <v>0</v>
      </c>
      <c r="I5085" s="2">
        <v>0</v>
      </c>
      <c r="J5085" s="1">
        <v>45915.377557870372</v>
      </c>
    </row>
    <row r="5086" spans="1:10" x14ac:dyDescent="0.2">
      <c r="A5086" s="4" t="s">
        <v>1</v>
      </c>
      <c r="B5086" s="3" t="str">
        <f>HYPERLINK("https://otsuka-europe-crm.veevavault.com/ui/#object/approved_document__v/V5OZ025E82TFUPI", "Spain - HCP Survey Email - June 2025")</f>
        <v>Spain - HCP Survey Email - June 2025</v>
      </c>
      <c r="C5086" s="3" t="str">
        <f>HYPERLINK("https://otsuka-europe-crm.veevavault.com/ui/#object/sent_email__v/VBLZ025E82GN1NZ", "SE-000272237")</f>
        <v>SE-000272237</v>
      </c>
      <c r="D5086" s="1" t="s">
        <v>0</v>
      </c>
      <c r="E5086" s="2">
        <v>0</v>
      </c>
      <c r="F5086" s="2">
        <v>0</v>
      </c>
      <c r="G5086" s="2">
        <v>0</v>
      </c>
      <c r="H5086" s="1" t="s">
        <v>0</v>
      </c>
      <c r="I5086" s="2">
        <v>0</v>
      </c>
      <c r="J5086" s="1">
        <v>45915.378425925926</v>
      </c>
    </row>
    <row r="5087" spans="1:10" x14ac:dyDescent="0.2">
      <c r="A5087" s="4" t="s">
        <v>1</v>
      </c>
      <c r="B5087" s="3" t="str">
        <f>HYPERLINK("https://otsuka-europe-crm.veevavault.com/ui/#object/approved_document__v/V5OZ025E82TFUPI", "Spain - HCP Survey Email - June 2025")</f>
        <v>Spain - HCP Survey Email - June 2025</v>
      </c>
      <c r="C5087" s="3" t="str">
        <f>HYPERLINK("https://otsuka-europe-crm.veevavault.com/ui/#object/sent_email__v/VBLZ025E82GN1O0", "SE-000272238")</f>
        <v>SE-000272238</v>
      </c>
      <c r="D5087" s="1">
        <v>45917.821643518517</v>
      </c>
      <c r="E5087" s="2">
        <v>1</v>
      </c>
      <c r="F5087" s="2">
        <v>4</v>
      </c>
      <c r="G5087" s="2">
        <v>0</v>
      </c>
      <c r="H5087" s="1" t="s">
        <v>0</v>
      </c>
      <c r="I5087" s="2">
        <v>0</v>
      </c>
      <c r="J5087" s="1">
        <v>45915.378888888888</v>
      </c>
    </row>
    <row r="5088" spans="1:10" x14ac:dyDescent="0.2">
      <c r="A5088" s="4" t="s">
        <v>1</v>
      </c>
      <c r="B5088" s="3" t="str">
        <f>HYPERLINK("https://otsuka-europe-crm.veevavault.com/ui/#object/approved_document__v/V5OZ025E82TFUPI", "Spain - HCP Survey Email - June 2025")</f>
        <v>Spain - HCP Survey Email - June 2025</v>
      </c>
      <c r="C5088" s="3" t="str">
        <f>HYPERLINK("https://otsuka-europe-crm.veevavault.com/ui/#object/sent_email__v/VBLZ025E82GN1O1", "SE-000272239")</f>
        <v>SE-000272239</v>
      </c>
      <c r="D5088" s="1">
        <v>45915.429189814815</v>
      </c>
      <c r="E5088" s="2">
        <v>1</v>
      </c>
      <c r="F5088" s="2">
        <v>1</v>
      </c>
      <c r="G5088" s="2">
        <v>0</v>
      </c>
      <c r="H5088" s="1" t="s">
        <v>0</v>
      </c>
      <c r="I5088" s="2">
        <v>0</v>
      </c>
      <c r="J5088" s="1">
        <v>45915.378738425927</v>
      </c>
    </row>
    <row r="5089" spans="1:10" x14ac:dyDescent="0.2">
      <c r="A5089" s="4" t="s">
        <v>1</v>
      </c>
      <c r="B5089" s="3" t="str">
        <f>HYPERLINK("https://otsuka-europe-crm.veevavault.com/ui/#object/approved_document__v/V5OZ025E82TFUPI", "Spain - HCP Survey Email - June 2025")</f>
        <v>Spain - HCP Survey Email - June 2025</v>
      </c>
      <c r="C5089" s="3" t="str">
        <f>HYPERLINK("https://otsuka-europe-crm.veevavault.com/ui/#object/sent_email__v/VBLZ025E82GN1O2", "SE-000272240")</f>
        <v>SE-000272240</v>
      </c>
      <c r="D5089" s="1" t="s">
        <v>0</v>
      </c>
      <c r="E5089" s="2">
        <v>0</v>
      </c>
      <c r="F5089" s="2">
        <v>0</v>
      </c>
      <c r="G5089" s="2">
        <v>0</v>
      </c>
      <c r="H5089" s="1" t="s">
        <v>0</v>
      </c>
      <c r="I5089" s="2">
        <v>0</v>
      </c>
      <c r="J5089" s="1">
        <v>45915.37903935185</v>
      </c>
    </row>
    <row r="5090" spans="1:10" x14ac:dyDescent="0.2">
      <c r="A5090" s="4" t="s">
        <v>1</v>
      </c>
      <c r="B5090" s="3" t="str">
        <f>HYPERLINK("https://otsuka-europe-crm.veevavault.com/ui/#object/approved_document__v/V5OZ025E82TFUPI", "Spain - HCP Survey Email - June 2025")</f>
        <v>Spain - HCP Survey Email - June 2025</v>
      </c>
      <c r="C5090" s="3" t="str">
        <f>HYPERLINK("https://otsuka-europe-crm.veevavault.com/ui/#object/sent_email__v/VBLZ025E82GN1O4", "SE-000272242")</f>
        <v>SE-000272242</v>
      </c>
      <c r="D5090" s="1" t="s">
        <v>0</v>
      </c>
      <c r="E5090" s="2">
        <v>0</v>
      </c>
      <c r="F5090" s="2">
        <v>0</v>
      </c>
      <c r="G5090" s="2">
        <v>0</v>
      </c>
      <c r="H5090" s="1" t="s">
        <v>0</v>
      </c>
      <c r="I5090" s="2">
        <v>0</v>
      </c>
      <c r="J5090" s="1">
        <v>45915.378263888888</v>
      </c>
    </row>
    <row r="5091" spans="1:10" x14ac:dyDescent="0.2">
      <c r="A5091" s="4" t="s">
        <v>1</v>
      </c>
      <c r="B5091" s="3" t="str">
        <f>HYPERLINK("https://otsuka-europe-crm.veevavault.com/ui/#object/approved_document__v/V5OZ025E82TFUPI", "Spain - HCP Survey Email - June 2025")</f>
        <v>Spain - HCP Survey Email - June 2025</v>
      </c>
      <c r="C5091" s="3" t="str">
        <f>HYPERLINK("https://otsuka-europe-crm.veevavault.com/ui/#object/sent_email__v/VBLZ025E82GN1O5", "SE-000272243")</f>
        <v>SE-000272243</v>
      </c>
      <c r="D5091" s="1" t="s">
        <v>0</v>
      </c>
      <c r="E5091" s="2">
        <v>0</v>
      </c>
      <c r="F5091" s="2">
        <v>0</v>
      </c>
      <c r="G5091" s="2">
        <v>0</v>
      </c>
      <c r="H5091" s="1" t="s">
        <v>0</v>
      </c>
      <c r="I5091" s="2">
        <v>0</v>
      </c>
      <c r="J5091" s="1">
        <v>45915.378101851849</v>
      </c>
    </row>
    <row r="5092" spans="1:10" x14ac:dyDescent="0.2">
      <c r="A5092" s="4" t="s">
        <v>1</v>
      </c>
      <c r="B5092" s="3" t="str">
        <f>HYPERLINK("https://otsuka-europe-crm.veevavault.com/ui/#object/approved_document__v/V5OZ025E82TFUPI", "Spain - HCP Survey Email - June 2025")</f>
        <v>Spain - HCP Survey Email - June 2025</v>
      </c>
      <c r="C5092" s="3" t="str">
        <f>HYPERLINK("https://otsuka-europe-crm.veevavault.com/ui/#object/sent_email__v/VBLZ025E82GN1O6", "SE-000272244")</f>
        <v>SE-000272244</v>
      </c>
      <c r="D5092" s="1" t="s">
        <v>0</v>
      </c>
      <c r="E5092" s="2">
        <v>0</v>
      </c>
      <c r="F5092" s="2">
        <v>0</v>
      </c>
      <c r="G5092" s="2">
        <v>0</v>
      </c>
      <c r="H5092" s="1" t="s">
        <v>0</v>
      </c>
      <c r="I5092" s="2">
        <v>0</v>
      </c>
      <c r="J5092" s="1">
        <v>45915.378530092596</v>
      </c>
    </row>
    <row r="5093" spans="1:10" x14ac:dyDescent="0.2">
      <c r="A5093" s="4" t="s">
        <v>1</v>
      </c>
      <c r="B5093" s="3" t="str">
        <f>HYPERLINK("https://otsuka-europe-crm.veevavault.com/ui/#object/approved_document__v/V5OZ025E82TFUPI", "Spain - HCP Survey Email - June 2025")</f>
        <v>Spain - HCP Survey Email - June 2025</v>
      </c>
      <c r="C5093" s="3" t="str">
        <f>HYPERLINK("https://otsuka-europe-crm.veevavault.com/ui/#object/sent_email__v/VBLZ025E82GN1O7", "SE-000272245")</f>
        <v>SE-000272245</v>
      </c>
      <c r="D5093" s="1" t="s">
        <v>0</v>
      </c>
      <c r="E5093" s="2">
        <v>0</v>
      </c>
      <c r="F5093" s="2">
        <v>0</v>
      </c>
      <c r="G5093" s="2">
        <v>0</v>
      </c>
      <c r="H5093" s="1" t="s">
        <v>0</v>
      </c>
      <c r="I5093" s="2">
        <v>0</v>
      </c>
      <c r="J5093" s="1">
        <v>45915.379907407405</v>
      </c>
    </row>
    <row r="5094" spans="1:10" x14ac:dyDescent="0.2">
      <c r="A5094" s="4" t="s">
        <v>1</v>
      </c>
      <c r="B5094" s="3" t="str">
        <f>HYPERLINK("https://otsuka-europe-crm.veevavault.com/ui/#object/approved_document__v/V5OZ025E82TFUPI", "Spain - HCP Survey Email - June 2025")</f>
        <v>Spain - HCP Survey Email - June 2025</v>
      </c>
      <c r="C5094" s="3" t="str">
        <f>HYPERLINK("https://otsuka-europe-crm.veevavault.com/ui/#object/sent_email__v/VBLZ025E82GN1O9", "SE-000272247")</f>
        <v>SE-000272247</v>
      </c>
      <c r="D5094" s="1" t="s">
        <v>0</v>
      </c>
      <c r="E5094" s="2">
        <v>0</v>
      </c>
      <c r="F5094" s="2">
        <v>0</v>
      </c>
      <c r="G5094" s="2">
        <v>0</v>
      </c>
      <c r="H5094" s="1" t="s">
        <v>0</v>
      </c>
      <c r="I5094" s="2">
        <v>0</v>
      </c>
      <c r="J5094" s="1">
        <v>45915.377476851849</v>
      </c>
    </row>
    <row r="5095" spans="1:10" x14ac:dyDescent="0.2">
      <c r="A5095" s="4" t="s">
        <v>1</v>
      </c>
      <c r="B5095" s="3" t="str">
        <f>HYPERLINK("https://otsuka-europe-crm.veevavault.com/ui/#object/approved_document__v/V5OZ025E82TFUPI", "Spain - HCP Survey Email - June 2025")</f>
        <v>Spain - HCP Survey Email - June 2025</v>
      </c>
      <c r="C5095" s="3" t="str">
        <f>HYPERLINK("https://otsuka-europe-crm.veevavault.com/ui/#object/sent_email__v/VBLZ025E82GN1OA", "SE-000272248")</f>
        <v>SE-000272248</v>
      </c>
      <c r="D5095" s="1" t="s">
        <v>0</v>
      </c>
      <c r="E5095" s="2">
        <v>0</v>
      </c>
      <c r="F5095" s="2">
        <v>0</v>
      </c>
      <c r="G5095" s="2">
        <v>0</v>
      </c>
      <c r="H5095" s="1" t="s">
        <v>0</v>
      </c>
      <c r="I5095" s="2">
        <v>0</v>
      </c>
      <c r="J5095" s="1">
        <v>45915.378472222219</v>
      </c>
    </row>
    <row r="5096" spans="1:10" x14ac:dyDescent="0.2">
      <c r="A5096" s="4" t="s">
        <v>1</v>
      </c>
      <c r="B5096" s="3" t="str">
        <f>HYPERLINK("https://otsuka-europe-crm.veevavault.com/ui/#object/approved_document__v/V5OZ025E82TFUPI", "Spain - HCP Survey Email - June 2025")</f>
        <v>Spain - HCP Survey Email - June 2025</v>
      </c>
      <c r="C5096" s="3" t="str">
        <f>HYPERLINK("https://otsuka-europe-crm.veevavault.com/ui/#object/sent_email__v/VBLZ025E82GN1OB", "SE-000272249")</f>
        <v>SE-000272249</v>
      </c>
      <c r="D5096" s="1" t="s">
        <v>0</v>
      </c>
      <c r="E5096" s="2">
        <v>0</v>
      </c>
      <c r="F5096" s="2">
        <v>0</v>
      </c>
      <c r="G5096" s="2">
        <v>0</v>
      </c>
      <c r="H5096" s="1" t="s">
        <v>0</v>
      </c>
      <c r="I5096" s="2">
        <v>0</v>
      </c>
      <c r="J5096" s="1">
        <v>45915.378912037035</v>
      </c>
    </row>
    <row r="5097" spans="1:10" x14ac:dyDescent="0.2">
      <c r="A5097" s="4" t="s">
        <v>1</v>
      </c>
      <c r="B5097" s="3" t="str">
        <f>HYPERLINK("https://otsuka-europe-crm.veevavault.com/ui/#object/approved_document__v/V5OZ025E82TFUPI", "Spain - HCP Survey Email - June 2025")</f>
        <v>Spain - HCP Survey Email - June 2025</v>
      </c>
      <c r="C5097" s="3" t="str">
        <f>HYPERLINK("https://otsuka-europe-crm.veevavault.com/ui/#object/sent_email__v/VBLZ025E82GN1OC", "SE-000272250")</f>
        <v>SE-000272250</v>
      </c>
      <c r="D5097" s="1" t="s">
        <v>0</v>
      </c>
      <c r="E5097" s="2">
        <v>0</v>
      </c>
      <c r="F5097" s="2">
        <v>0</v>
      </c>
      <c r="G5097" s="2">
        <v>0</v>
      </c>
      <c r="H5097" s="1" t="s">
        <v>0</v>
      </c>
      <c r="I5097" s="2">
        <v>0</v>
      </c>
      <c r="J5097" s="1">
        <v>45915.378784722219</v>
      </c>
    </row>
    <row r="5098" spans="1:10" x14ac:dyDescent="0.2">
      <c r="A5098" s="4" t="s">
        <v>1</v>
      </c>
      <c r="B5098" s="3" t="str">
        <f>HYPERLINK("https://otsuka-europe-crm.veevavault.com/ui/#object/approved_document__v/V5OZ025E82TFUPI", "Spain - HCP Survey Email - June 2025")</f>
        <v>Spain - HCP Survey Email - June 2025</v>
      </c>
      <c r="C5098" s="3" t="str">
        <f>HYPERLINK("https://otsuka-europe-crm.veevavault.com/ui/#object/sent_email__v/VBLZ025E82GN1OD", "SE-000272251")</f>
        <v>SE-000272251</v>
      </c>
      <c r="D5098" s="1">
        <v>45915.618449074071</v>
      </c>
      <c r="E5098" s="2">
        <v>1</v>
      </c>
      <c r="F5098" s="2">
        <v>1</v>
      </c>
      <c r="G5098" s="2">
        <v>0</v>
      </c>
      <c r="H5098" s="1" t="s">
        <v>0</v>
      </c>
      <c r="I5098" s="2">
        <v>0</v>
      </c>
      <c r="J5098" s="1">
        <v>45915.379074074073</v>
      </c>
    </row>
    <row r="5099" spans="1:10" x14ac:dyDescent="0.2">
      <c r="A5099" s="4" t="s">
        <v>1</v>
      </c>
      <c r="B5099" s="3" t="str">
        <f>HYPERLINK("https://otsuka-europe-crm.veevavault.com/ui/#object/approved_document__v/V5OZ025E82TFUPI", "Spain - HCP Survey Email - June 2025")</f>
        <v>Spain - HCP Survey Email - June 2025</v>
      </c>
      <c r="C5099" s="3" t="str">
        <f>HYPERLINK("https://otsuka-europe-crm.veevavault.com/ui/#object/sent_email__v/VBLZ025E82GN1OE", "SE-000272252")</f>
        <v>SE-000272252</v>
      </c>
      <c r="D5099" s="1" t="s">
        <v>0</v>
      </c>
      <c r="E5099" s="2">
        <v>0</v>
      </c>
      <c r="F5099" s="2">
        <v>0</v>
      </c>
      <c r="G5099" s="2">
        <v>0</v>
      </c>
      <c r="H5099" s="1" t="s">
        <v>0</v>
      </c>
      <c r="I5099" s="2">
        <v>0</v>
      </c>
      <c r="J5099" s="1">
        <v>45915.377812500003</v>
      </c>
    </row>
    <row r="5100" spans="1:10" x14ac:dyDescent="0.2">
      <c r="A5100" s="4" t="s">
        <v>1</v>
      </c>
      <c r="B5100" s="3" t="str">
        <f>HYPERLINK("https://otsuka-europe-crm.veevavault.com/ui/#object/approved_document__v/V5OZ025E82TFUPI", "Spain - HCP Survey Email - June 2025")</f>
        <v>Spain - HCP Survey Email - June 2025</v>
      </c>
      <c r="C5100" s="3" t="str">
        <f>HYPERLINK("https://otsuka-europe-crm.veevavault.com/ui/#object/sent_email__v/VBLZ025E82GN1OF", "SE-000272253")</f>
        <v>SE-000272253</v>
      </c>
      <c r="D5100" s="1">
        <v>45916.292569444442</v>
      </c>
      <c r="E5100" s="2">
        <v>1</v>
      </c>
      <c r="F5100" s="2">
        <v>1</v>
      </c>
      <c r="G5100" s="2">
        <v>0</v>
      </c>
      <c r="H5100" s="1" t="s">
        <v>0</v>
      </c>
      <c r="I5100" s="2">
        <v>0</v>
      </c>
      <c r="J5100" s="1">
        <v>45915.378275462965</v>
      </c>
    </row>
    <row r="5101" spans="1:10" x14ac:dyDescent="0.2">
      <c r="A5101" s="4" t="s">
        <v>1</v>
      </c>
      <c r="B5101" s="3" t="str">
        <f>HYPERLINK("https://otsuka-europe-crm.veevavault.com/ui/#object/approved_document__v/V5OZ025E82TFUPI", "Spain - HCP Survey Email - June 2025")</f>
        <v>Spain - HCP Survey Email - June 2025</v>
      </c>
      <c r="C5101" s="3" t="str">
        <f>HYPERLINK("https://otsuka-europe-crm.veevavault.com/ui/#object/sent_email__v/VBLZ025E82GN1OG", "SE-000272254")</f>
        <v>SE-000272254</v>
      </c>
      <c r="D5101" s="1" t="s">
        <v>0</v>
      </c>
      <c r="E5101" s="2">
        <v>0</v>
      </c>
      <c r="F5101" s="2">
        <v>0</v>
      </c>
      <c r="G5101" s="2">
        <v>0</v>
      </c>
      <c r="H5101" s="1" t="s">
        <v>0</v>
      </c>
      <c r="I5101" s="2">
        <v>0</v>
      </c>
      <c r="J5101" s="1">
        <v>45915.378032407411</v>
      </c>
    </row>
    <row r="5102" spans="1:10" x14ac:dyDescent="0.2">
      <c r="A5102" s="4" t="s">
        <v>1</v>
      </c>
      <c r="B5102" s="3" t="str">
        <f>HYPERLINK("https://otsuka-europe-crm.veevavault.com/ui/#object/approved_document__v/V5OZ025E82TFUPI", "Spain - HCP Survey Email - June 2025")</f>
        <v>Spain - HCP Survey Email - June 2025</v>
      </c>
      <c r="C5102" s="3" t="str">
        <f>HYPERLINK("https://otsuka-europe-crm.veevavault.com/ui/#object/sent_email__v/VBLZ025E82GN1OH", "SE-000272255")</f>
        <v>SE-000272255</v>
      </c>
      <c r="D5102" s="1">
        <v>45915.514467592591</v>
      </c>
      <c r="E5102" s="2">
        <v>1</v>
      </c>
      <c r="F5102" s="2">
        <v>4</v>
      </c>
      <c r="G5102" s="2">
        <v>1</v>
      </c>
      <c r="H5102" s="1">
        <v>45915.514664351853</v>
      </c>
      <c r="I5102" s="2">
        <v>2</v>
      </c>
      <c r="J5102" s="1">
        <v>45915.378599537034</v>
      </c>
    </row>
    <row r="5103" spans="1:10" x14ac:dyDescent="0.2">
      <c r="A5103" s="4" t="s">
        <v>1</v>
      </c>
      <c r="B5103" s="3" t="str">
        <f>HYPERLINK("https://otsuka-europe-crm.veevavault.com/ui/#object/approved_document__v/V5OZ025E82TFUPI", "Spain - HCP Survey Email - June 2025")</f>
        <v>Spain - HCP Survey Email - June 2025</v>
      </c>
      <c r="C5103" s="3" t="str">
        <f>HYPERLINK("https://otsuka-europe-crm.veevavault.com/ui/#object/sent_email__v/VBLZ025E82GN1OI", "SE-000272256")</f>
        <v>SE-000272256</v>
      </c>
      <c r="D5103" s="1">
        <v>45915.407627314817</v>
      </c>
      <c r="E5103" s="2">
        <v>1</v>
      </c>
      <c r="F5103" s="2">
        <v>2</v>
      </c>
      <c r="G5103" s="2">
        <v>0</v>
      </c>
      <c r="H5103" s="1" t="s">
        <v>0</v>
      </c>
      <c r="I5103" s="2">
        <v>0</v>
      </c>
      <c r="J5103" s="1">
        <v>45915.379803240743</v>
      </c>
    </row>
    <row r="5104" spans="1:10" x14ac:dyDescent="0.2">
      <c r="A5104" s="4" t="s">
        <v>1</v>
      </c>
      <c r="B5104" s="3" t="str">
        <f>HYPERLINK("https://otsuka-europe-crm.veevavault.com/ui/#object/approved_document__v/V5OZ025E82TFUPI", "Spain - HCP Survey Email - June 2025")</f>
        <v>Spain - HCP Survey Email - June 2025</v>
      </c>
      <c r="C5104" s="3" t="str">
        <f>HYPERLINK("https://otsuka-europe-crm.veevavault.com/ui/#object/sent_email__v/VBLZ025E82GN1OJ", "SE-000272257")</f>
        <v>SE-000272257</v>
      </c>
      <c r="D5104" s="1">
        <v>45918.409398148149</v>
      </c>
      <c r="E5104" s="2">
        <v>1</v>
      </c>
      <c r="F5104" s="2">
        <v>1</v>
      </c>
      <c r="G5104" s="2">
        <v>0</v>
      </c>
      <c r="H5104" s="1" t="s">
        <v>0</v>
      </c>
      <c r="I5104" s="2">
        <v>0</v>
      </c>
      <c r="J5104" s="1">
        <v>45915.379560185182</v>
      </c>
    </row>
    <row r="5105" spans="1:10" x14ac:dyDescent="0.2">
      <c r="A5105" s="4" t="s">
        <v>1</v>
      </c>
      <c r="B5105" s="3" t="str">
        <f>HYPERLINK("https://otsuka-europe-crm.veevavault.com/ui/#object/approved_document__v/V5OZ025E82TFUPI", "Spain - HCP Survey Email - June 2025")</f>
        <v>Spain - HCP Survey Email - June 2025</v>
      </c>
      <c r="C5105" s="3" t="str">
        <f>HYPERLINK("https://otsuka-europe-crm.veevavault.com/ui/#object/sent_email__v/VBLZ025E82GN1OK", "SE-000272258")</f>
        <v>SE-000272258</v>
      </c>
      <c r="D5105" s="1">
        <v>45919.770462962966</v>
      </c>
      <c r="E5105" s="2">
        <v>1</v>
      </c>
      <c r="F5105" s="2">
        <v>1</v>
      </c>
      <c r="G5105" s="2">
        <v>0</v>
      </c>
      <c r="H5105" s="1" t="s">
        <v>0</v>
      </c>
      <c r="I5105" s="2">
        <v>0</v>
      </c>
      <c r="J5105" s="1">
        <v>45915.377546296295</v>
      </c>
    </row>
    <row r="5106" spans="1:10" x14ac:dyDescent="0.2">
      <c r="A5106" s="4" t="s">
        <v>1</v>
      </c>
      <c r="B5106" s="3" t="str">
        <f>HYPERLINK("https://otsuka-europe-crm.veevavault.com/ui/#object/approved_document__v/V5OZ025E82TFUPI", "Spain - HCP Survey Email - June 2025")</f>
        <v>Spain - HCP Survey Email - June 2025</v>
      </c>
      <c r="C5106" s="3" t="str">
        <f>HYPERLINK("https://otsuka-europe-crm.veevavault.com/ui/#object/sent_email__v/VBLZ025E82GN1OL", "SE-000272259")</f>
        <v>SE-000272259</v>
      </c>
      <c r="D5106" s="1" t="s">
        <v>0</v>
      </c>
      <c r="E5106" s="2">
        <v>0</v>
      </c>
      <c r="F5106" s="2">
        <v>0</v>
      </c>
      <c r="G5106" s="2">
        <v>0</v>
      </c>
      <c r="H5106" s="1" t="s">
        <v>0</v>
      </c>
      <c r="I5106" s="2">
        <v>0</v>
      </c>
      <c r="J5106" s="1">
        <v>45915.378437500003</v>
      </c>
    </row>
    <row r="5107" spans="1:10" x14ac:dyDescent="0.2">
      <c r="A5107" s="4" t="s">
        <v>1</v>
      </c>
      <c r="B5107" s="3" t="str">
        <f>HYPERLINK("https://otsuka-europe-crm.veevavault.com/ui/#object/approved_document__v/V5OZ025E82TFUPI", "Spain - HCP Survey Email - June 2025")</f>
        <v>Spain - HCP Survey Email - June 2025</v>
      </c>
      <c r="C5107" s="3" t="str">
        <f>HYPERLINK("https://otsuka-europe-crm.veevavault.com/ui/#object/sent_email__v/VBLZ025E82GN1OM", "SE-000272260")</f>
        <v>SE-000272260</v>
      </c>
      <c r="D5107" s="1" t="s">
        <v>0</v>
      </c>
      <c r="E5107" s="2">
        <v>0</v>
      </c>
      <c r="F5107" s="2">
        <v>0</v>
      </c>
      <c r="G5107" s="2">
        <v>0</v>
      </c>
      <c r="H5107" s="1" t="s">
        <v>0</v>
      </c>
      <c r="I5107" s="2">
        <v>0</v>
      </c>
      <c r="J5107" s="1">
        <v>45915.378981481481</v>
      </c>
    </row>
    <row r="5108" spans="1:10" x14ac:dyDescent="0.2">
      <c r="A5108" s="4" t="s">
        <v>1</v>
      </c>
      <c r="B5108" s="3" t="str">
        <f>HYPERLINK("https://otsuka-europe-crm.veevavault.com/ui/#object/approved_document__v/V5OZ025E82TFUPI", "Spain - HCP Survey Email - June 2025")</f>
        <v>Spain - HCP Survey Email - June 2025</v>
      </c>
      <c r="C5108" s="3" t="str">
        <f>HYPERLINK("https://otsuka-europe-crm.veevavault.com/ui/#object/sent_email__v/VBLZ025E82GN1ON", "SE-000272261")</f>
        <v>SE-000272261</v>
      </c>
      <c r="D5108" s="1" t="s">
        <v>0</v>
      </c>
      <c r="E5108" s="2">
        <v>0</v>
      </c>
      <c r="F5108" s="2">
        <v>0</v>
      </c>
      <c r="G5108" s="2">
        <v>0</v>
      </c>
      <c r="H5108" s="1" t="s">
        <v>0</v>
      </c>
      <c r="I5108" s="2">
        <v>0</v>
      </c>
      <c r="J5108" s="1">
        <v>45915.378692129627</v>
      </c>
    </row>
    <row r="5109" spans="1:10" x14ac:dyDescent="0.2">
      <c r="A5109" s="4" t="s">
        <v>1</v>
      </c>
      <c r="B5109" s="3" t="str">
        <f>HYPERLINK("https://otsuka-europe-crm.veevavault.com/ui/#object/approved_document__v/V5OZ025E82TFUPI", "Spain - HCP Survey Email - June 2025")</f>
        <v>Spain - HCP Survey Email - June 2025</v>
      </c>
      <c r="C5109" s="3" t="str">
        <f>HYPERLINK("https://otsuka-europe-crm.veevavault.com/ui/#object/sent_email__v/VBLZ025E82GN1OO", "SE-000272262")</f>
        <v>SE-000272262</v>
      </c>
      <c r="D5109" s="1" t="s">
        <v>0</v>
      </c>
      <c r="E5109" s="2">
        <v>0</v>
      </c>
      <c r="F5109" s="2">
        <v>0</v>
      </c>
      <c r="G5109" s="2">
        <v>0</v>
      </c>
      <c r="H5109" s="1" t="s">
        <v>0</v>
      </c>
      <c r="I5109" s="2">
        <v>0</v>
      </c>
      <c r="J5109" s="1">
        <v>45915.379224537035</v>
      </c>
    </row>
    <row r="5110" spans="1:10" x14ac:dyDescent="0.2">
      <c r="A5110" s="4" t="s">
        <v>1</v>
      </c>
      <c r="B5110" s="3" t="str">
        <f>HYPERLINK("https://otsuka-europe-crm.veevavault.com/ui/#object/approved_document__v/V5OZ025E82TFUPI", "Spain - HCP Survey Email - June 2025")</f>
        <v>Spain - HCP Survey Email - June 2025</v>
      </c>
      <c r="C5110" s="3" t="str">
        <f>HYPERLINK("https://otsuka-europe-crm.veevavault.com/ui/#object/sent_email__v/VBLZ025E82GN1OP", "SE-000272263")</f>
        <v>SE-000272263</v>
      </c>
      <c r="D5110" s="1">
        <v>45915.644884259258</v>
      </c>
      <c r="E5110" s="2">
        <v>1</v>
      </c>
      <c r="F5110" s="2">
        <v>1</v>
      </c>
      <c r="G5110" s="2">
        <v>0</v>
      </c>
      <c r="H5110" s="1" t="s">
        <v>0</v>
      </c>
      <c r="I5110" s="2">
        <v>0</v>
      </c>
      <c r="J5110" s="1">
        <v>45915.377800925926</v>
      </c>
    </row>
    <row r="5111" spans="1:10" x14ac:dyDescent="0.2">
      <c r="A5111" s="4" t="s">
        <v>1</v>
      </c>
      <c r="B5111" s="3" t="str">
        <f>HYPERLINK("https://otsuka-europe-crm.veevavault.com/ui/#object/approved_document__v/V5OZ025E82TFUPI", "Spain - HCP Survey Email - June 2025")</f>
        <v>Spain - HCP Survey Email - June 2025</v>
      </c>
      <c r="C5111" s="3" t="str">
        <f>HYPERLINK("https://otsuka-europe-crm.veevavault.com/ui/#object/sent_email__v/VBLZ025E82GN1OQ", "SE-000272264")</f>
        <v>SE-000272264</v>
      </c>
      <c r="D5111" s="1" t="s">
        <v>0</v>
      </c>
      <c r="E5111" s="2">
        <v>0</v>
      </c>
      <c r="F5111" s="2">
        <v>0</v>
      </c>
      <c r="G5111" s="2">
        <v>0</v>
      </c>
      <c r="H5111" s="1" t="s">
        <v>0</v>
      </c>
      <c r="I5111" s="2">
        <v>0</v>
      </c>
      <c r="J5111" s="1">
        <v>45915.378194444442</v>
      </c>
    </row>
    <row r="5112" spans="1:10" x14ac:dyDescent="0.2">
      <c r="A5112" s="4" t="s">
        <v>1</v>
      </c>
      <c r="B5112" s="3" t="str">
        <f>HYPERLINK("https://otsuka-europe-crm.veevavault.com/ui/#object/approved_document__v/V5OZ025E82TFUPI", "Spain - HCP Survey Email - June 2025")</f>
        <v>Spain - HCP Survey Email - June 2025</v>
      </c>
      <c r="C5112" s="3" t="str">
        <f>HYPERLINK("https://otsuka-europe-crm.veevavault.com/ui/#object/sent_email__v/VBLZ025E82GN1OR", "SE-000272265")</f>
        <v>SE-000272265</v>
      </c>
      <c r="D5112" s="1" t="s">
        <v>0</v>
      </c>
      <c r="E5112" s="2">
        <v>0</v>
      </c>
      <c r="F5112" s="2">
        <v>0</v>
      </c>
      <c r="G5112" s="2">
        <v>0</v>
      </c>
      <c r="H5112" s="1" t="s">
        <v>0</v>
      </c>
      <c r="I5112" s="2">
        <v>0</v>
      </c>
      <c r="J5112" s="1">
        <v>45915.378055555557</v>
      </c>
    </row>
    <row r="5113" spans="1:10" x14ac:dyDescent="0.2">
      <c r="A5113" s="4" t="s">
        <v>1</v>
      </c>
      <c r="B5113" s="3" t="str">
        <f>HYPERLINK("https://otsuka-europe-crm.veevavault.com/ui/#object/approved_document__v/V5OZ025E82TFUPI", "Spain - HCP Survey Email - June 2025")</f>
        <v>Spain - HCP Survey Email - June 2025</v>
      </c>
      <c r="C5113" s="3" t="str">
        <f>HYPERLINK("https://otsuka-europe-crm.veevavault.com/ui/#object/sent_email__v/VBLZ025E82GN1OS", "SE-000272266")</f>
        <v>SE-000272266</v>
      </c>
      <c r="D5113" s="1">
        <v>45919.673622685186</v>
      </c>
      <c r="E5113" s="2">
        <v>1</v>
      </c>
      <c r="F5113" s="2">
        <v>5</v>
      </c>
      <c r="G5113" s="2">
        <v>1</v>
      </c>
      <c r="H5113" s="1">
        <v>45919.673888888887</v>
      </c>
      <c r="I5113" s="2">
        <v>1</v>
      </c>
      <c r="J5113" s="1">
        <v>45915.378518518519</v>
      </c>
    </row>
    <row r="5114" spans="1:10" x14ac:dyDescent="0.2">
      <c r="A5114" s="4" t="s">
        <v>1</v>
      </c>
      <c r="B5114" s="3" t="str">
        <f>HYPERLINK("https://otsuka-europe-crm.veevavault.com/ui/#object/approved_document__v/V5OZ025E82TFUPI", "Spain - HCP Survey Email - June 2025")</f>
        <v>Spain - HCP Survey Email - June 2025</v>
      </c>
      <c r="C5114" s="3" t="str">
        <f>HYPERLINK("https://otsuka-europe-crm.veevavault.com/ui/#object/sent_email__v/VBLZ025E82GN1OT", "SE-000272267")</f>
        <v>SE-000272267</v>
      </c>
      <c r="D5114" s="1" t="s">
        <v>0</v>
      </c>
      <c r="E5114" s="2">
        <v>0</v>
      </c>
      <c r="F5114" s="2">
        <v>0</v>
      </c>
      <c r="G5114" s="2">
        <v>0</v>
      </c>
      <c r="H5114" s="1" t="s">
        <v>0</v>
      </c>
      <c r="I5114" s="2">
        <v>0</v>
      </c>
      <c r="J5114" s="1">
        <v>45915.379814814813</v>
      </c>
    </row>
    <row r="5115" spans="1:10" x14ac:dyDescent="0.2">
      <c r="A5115" s="4" t="s">
        <v>1</v>
      </c>
      <c r="B5115" s="3" t="str">
        <f>HYPERLINK("https://otsuka-europe-crm.veevavault.com/ui/#object/approved_document__v/V5OZ025E82TFUPI", "Spain - HCP Survey Email - June 2025")</f>
        <v>Spain - HCP Survey Email - June 2025</v>
      </c>
      <c r="C5115" s="3" t="str">
        <f>HYPERLINK("https://otsuka-europe-crm.veevavault.com/ui/#object/sent_email__v/VBLZ025E82GN1OU", "SE-000272268")</f>
        <v>SE-000272268</v>
      </c>
      <c r="D5115" s="1" t="s">
        <v>0</v>
      </c>
      <c r="E5115" s="2">
        <v>0</v>
      </c>
      <c r="F5115" s="2">
        <v>0</v>
      </c>
      <c r="G5115" s="2">
        <v>0</v>
      </c>
      <c r="H5115" s="1" t="s">
        <v>0</v>
      </c>
      <c r="I5115" s="2">
        <v>0</v>
      </c>
      <c r="J5115" s="1">
        <v>45915.379432870373</v>
      </c>
    </row>
    <row r="5116" spans="1:10" x14ac:dyDescent="0.2">
      <c r="A5116" s="4" t="s">
        <v>1</v>
      </c>
      <c r="B5116" s="3" t="str">
        <f>HYPERLINK("https://otsuka-europe-crm.veevavault.com/ui/#object/approved_document__v/V5OZ025E82TFUPI", "Spain - HCP Survey Email - June 2025")</f>
        <v>Spain - HCP Survey Email - June 2025</v>
      </c>
      <c r="C5116" s="3" t="str">
        <f>HYPERLINK("https://otsuka-europe-crm.veevavault.com/ui/#object/sent_email__v/VBLZ025E82GN1OV", "SE-000272269")</f>
        <v>SE-000272269</v>
      </c>
      <c r="D5116" s="1">
        <v>45915.673692129632</v>
      </c>
      <c r="E5116" s="2">
        <v>1</v>
      </c>
      <c r="F5116" s="2">
        <v>2</v>
      </c>
      <c r="G5116" s="2">
        <v>1</v>
      </c>
      <c r="H5116" s="1">
        <v>45915.673796296294</v>
      </c>
      <c r="I5116" s="2">
        <v>3</v>
      </c>
      <c r="J5116" s="1">
        <v>45915.377557870372</v>
      </c>
    </row>
    <row r="5117" spans="1:10" x14ac:dyDescent="0.2">
      <c r="A5117" s="4" t="s">
        <v>1</v>
      </c>
      <c r="B5117" s="3" t="str">
        <f>HYPERLINK("https://otsuka-europe-crm.veevavault.com/ui/#object/approved_document__v/V5OZ025E82TFUPI", "Spain - HCP Survey Email - June 2025")</f>
        <v>Spain - HCP Survey Email - June 2025</v>
      </c>
      <c r="C5117" s="3" t="str">
        <f>HYPERLINK("https://otsuka-europe-crm.veevavault.com/ui/#object/sent_email__v/VBLZ025E82GN1OW", "SE-000272270")</f>
        <v>SE-000272270</v>
      </c>
      <c r="D5117" s="1" t="s">
        <v>0</v>
      </c>
      <c r="E5117" s="2">
        <v>0</v>
      </c>
      <c r="F5117" s="2">
        <v>0</v>
      </c>
      <c r="G5117" s="2">
        <v>0</v>
      </c>
      <c r="H5117" s="1" t="s">
        <v>0</v>
      </c>
      <c r="I5117" s="2">
        <v>0</v>
      </c>
      <c r="J5117" s="1">
        <v>45915.378541666665</v>
      </c>
    </row>
    <row r="5118" spans="1:10" x14ac:dyDescent="0.2">
      <c r="A5118" s="4" t="s">
        <v>1</v>
      </c>
      <c r="B5118" s="3" t="str">
        <f>HYPERLINK("https://otsuka-europe-crm.veevavault.com/ui/#object/approved_document__v/V5OZ025E82TFUPI", "Spain - HCP Survey Email - June 2025")</f>
        <v>Spain - HCP Survey Email - June 2025</v>
      </c>
      <c r="C5118" s="3" t="str">
        <f>HYPERLINK("https://otsuka-europe-crm.veevavault.com/ui/#object/sent_email__v/VBLZ025E82GN1OX", "SE-000272271")</f>
        <v>SE-000272271</v>
      </c>
      <c r="D5118" s="1" t="s">
        <v>0</v>
      </c>
      <c r="E5118" s="2">
        <v>0</v>
      </c>
      <c r="F5118" s="2">
        <v>0</v>
      </c>
      <c r="G5118" s="2">
        <v>0</v>
      </c>
      <c r="H5118" s="1" t="s">
        <v>0</v>
      </c>
      <c r="I5118" s="2">
        <v>0</v>
      </c>
      <c r="J5118" s="1">
        <v>45915.378969907404</v>
      </c>
    </row>
    <row r="5119" spans="1:10" x14ac:dyDescent="0.2">
      <c r="A5119" s="4" t="s">
        <v>1</v>
      </c>
      <c r="B5119" s="3" t="str">
        <f>HYPERLINK("https://otsuka-europe-crm.veevavault.com/ui/#object/approved_document__v/V5OZ025E82TFUPI", "Spain - HCP Survey Email - June 2025")</f>
        <v>Spain - HCP Survey Email - June 2025</v>
      </c>
      <c r="C5119" s="3" t="str">
        <f>HYPERLINK("https://otsuka-europe-crm.veevavault.com/ui/#object/sent_email__v/VBLZ025E82GN1OY", "SE-000272272")</f>
        <v>SE-000272272</v>
      </c>
      <c r="D5119" s="1" t="s">
        <v>0</v>
      </c>
      <c r="E5119" s="2">
        <v>0</v>
      </c>
      <c r="F5119" s="2">
        <v>0</v>
      </c>
      <c r="G5119" s="2">
        <v>0</v>
      </c>
      <c r="H5119" s="1" t="s">
        <v>0</v>
      </c>
      <c r="I5119" s="2">
        <v>0</v>
      </c>
      <c r="J5119" s="1">
        <v>45915.379548611112</v>
      </c>
    </row>
    <row r="5120" spans="1:10" x14ac:dyDescent="0.2">
      <c r="A5120" s="4" t="s">
        <v>1</v>
      </c>
      <c r="B5120" s="3" t="str">
        <f>HYPERLINK("https://otsuka-europe-crm.veevavault.com/ui/#object/approved_document__v/V5OZ025E82TFUPI", "Spain - HCP Survey Email - June 2025")</f>
        <v>Spain - HCP Survey Email - June 2025</v>
      </c>
      <c r="C5120" s="3" t="str">
        <f>HYPERLINK("https://otsuka-europe-crm.veevavault.com/ui/#object/sent_email__v/VBLZ025E82GN1OZ", "SE-000272273")</f>
        <v>SE-000272273</v>
      </c>
      <c r="D5120" s="1">
        <v>45915.741712962961</v>
      </c>
      <c r="E5120" s="2">
        <v>1</v>
      </c>
      <c r="F5120" s="2">
        <v>1</v>
      </c>
      <c r="G5120" s="2">
        <v>0</v>
      </c>
      <c r="H5120" s="1" t="s">
        <v>0</v>
      </c>
      <c r="I5120" s="2">
        <v>0</v>
      </c>
      <c r="J5120" s="1">
        <v>45915.377557870372</v>
      </c>
    </row>
    <row r="5121" spans="1:10" x14ac:dyDescent="0.2">
      <c r="A5121" s="4" t="s">
        <v>1</v>
      </c>
      <c r="B5121" s="3" t="str">
        <f>HYPERLINK("https://otsuka-europe-crm.veevavault.com/ui/#object/approved_document__v/V5OZ025E82TFUPI", "Spain - HCP Survey Email - June 2025")</f>
        <v>Spain - HCP Survey Email - June 2025</v>
      </c>
      <c r="C5121" s="3" t="str">
        <f>HYPERLINK("https://otsuka-europe-crm.veevavault.com/ui/#object/sent_email__v/VBLZ025E82GN1P0", "SE-000272274")</f>
        <v>SE-000272274</v>
      </c>
      <c r="D5121" s="1">
        <v>45915.416979166665</v>
      </c>
      <c r="E5121" s="2">
        <v>1</v>
      </c>
      <c r="F5121" s="2">
        <v>1</v>
      </c>
      <c r="G5121" s="2">
        <v>0</v>
      </c>
      <c r="H5121" s="1" t="s">
        <v>0</v>
      </c>
      <c r="I5121" s="2">
        <v>0</v>
      </c>
      <c r="J5121" s="1">
        <v>45915.378530092596</v>
      </c>
    </row>
    <row r="5122" spans="1:10" x14ac:dyDescent="0.2">
      <c r="A5122" s="4" t="s">
        <v>1</v>
      </c>
      <c r="B5122" s="3" t="str">
        <f>HYPERLINK("https://otsuka-europe-crm.veevavault.com/ui/#object/approved_document__v/V5OZ025E82TFUPI", "Spain - HCP Survey Email - June 2025")</f>
        <v>Spain - HCP Survey Email - June 2025</v>
      </c>
      <c r="C5122" s="3" t="str">
        <f>HYPERLINK("https://otsuka-europe-crm.veevavault.com/ui/#object/sent_email__v/VBLZ025E82GN1P1", "SE-000272275")</f>
        <v>SE-000272275</v>
      </c>
      <c r="D5122" s="1">
        <v>45960.751006944447</v>
      </c>
      <c r="E5122" s="2">
        <v>1</v>
      </c>
      <c r="F5122" s="2">
        <v>2</v>
      </c>
      <c r="G5122" s="2">
        <v>0</v>
      </c>
      <c r="H5122" s="1" t="s">
        <v>0</v>
      </c>
      <c r="I5122" s="2">
        <v>0</v>
      </c>
      <c r="J5122" s="1">
        <v>45915.378842592596</v>
      </c>
    </row>
    <row r="5123" spans="1:10" x14ac:dyDescent="0.2">
      <c r="A5123" s="4" t="s">
        <v>1</v>
      </c>
      <c r="B5123" s="3" t="str">
        <f>HYPERLINK("https://otsuka-europe-crm.veevavault.com/ui/#object/approved_document__v/V5OZ025E82TFUPI", "Spain - HCP Survey Email - June 2025")</f>
        <v>Spain - HCP Survey Email - June 2025</v>
      </c>
      <c r="C5123" s="3" t="str">
        <f>HYPERLINK("https://otsuka-europe-crm.veevavault.com/ui/#object/sent_email__v/VBLZ025E82GN1P2", "SE-000272276")</f>
        <v>SE-000272276</v>
      </c>
      <c r="D5123" s="1">
        <v>45915.423032407409</v>
      </c>
      <c r="E5123" s="2">
        <v>1</v>
      </c>
      <c r="F5123" s="2">
        <v>2</v>
      </c>
      <c r="G5123" s="2">
        <v>0</v>
      </c>
      <c r="H5123" s="1" t="s">
        <v>0</v>
      </c>
      <c r="I5123" s="2">
        <v>0</v>
      </c>
      <c r="J5123" s="1">
        <v>45915.378738425927</v>
      </c>
    </row>
    <row r="5124" spans="1:10" x14ac:dyDescent="0.2">
      <c r="A5124" s="4" t="s">
        <v>1</v>
      </c>
      <c r="B5124" s="3" t="str">
        <f>HYPERLINK("https://otsuka-europe-crm.veevavault.com/ui/#object/approved_document__v/V5OZ025E82TFUPI", "Spain - HCP Survey Email - June 2025")</f>
        <v>Spain - HCP Survey Email - June 2025</v>
      </c>
      <c r="C5124" s="3" t="str">
        <f>HYPERLINK("https://otsuka-europe-crm.veevavault.com/ui/#object/sent_email__v/VBLZ025E82GN1P3", "SE-000272277")</f>
        <v>SE-000272277</v>
      </c>
      <c r="D5124" s="1" t="s">
        <v>0</v>
      </c>
      <c r="E5124" s="2">
        <v>0</v>
      </c>
      <c r="F5124" s="2">
        <v>0</v>
      </c>
      <c r="G5124" s="2">
        <v>0</v>
      </c>
      <c r="H5124" s="1" t="s">
        <v>0</v>
      </c>
      <c r="I5124" s="2">
        <v>0</v>
      </c>
      <c r="J5124" s="1">
        <v>45915.379004629627</v>
      </c>
    </row>
    <row r="5125" spans="1:10" x14ac:dyDescent="0.2">
      <c r="A5125" s="4" t="s">
        <v>1</v>
      </c>
      <c r="B5125" s="3" t="str">
        <f>HYPERLINK("https://otsuka-europe-crm.veevavault.com/ui/#object/approved_document__v/V5OZ025E82TFUPI", "Spain - HCP Survey Email - June 2025")</f>
        <v>Spain - HCP Survey Email - June 2025</v>
      </c>
      <c r="C5125" s="3" t="str">
        <f>HYPERLINK("https://otsuka-europe-crm.veevavault.com/ui/#object/sent_email__v/VBLZ025E82GN1P4", "SE-000272278")</f>
        <v>SE-000272278</v>
      </c>
      <c r="D5125" s="1">
        <v>45915.858506944445</v>
      </c>
      <c r="E5125" s="2">
        <v>1</v>
      </c>
      <c r="F5125" s="2">
        <v>1</v>
      </c>
      <c r="G5125" s="2">
        <v>1</v>
      </c>
      <c r="H5125" s="1">
        <v>45915.858715277776</v>
      </c>
      <c r="I5125" s="2">
        <v>1</v>
      </c>
      <c r="J5125" s="1">
        <v>45915.377789351849</v>
      </c>
    </row>
    <row r="5126" spans="1:10" x14ac:dyDescent="0.2">
      <c r="A5126" s="4" t="s">
        <v>1</v>
      </c>
      <c r="B5126" s="3" t="str">
        <f>HYPERLINK("https://otsuka-europe-crm.veevavault.com/ui/#object/approved_document__v/V5OZ025E82TFUPI", "Spain - HCP Survey Email - June 2025")</f>
        <v>Spain - HCP Survey Email - June 2025</v>
      </c>
      <c r="C5126" s="3" t="str">
        <f>HYPERLINK("https://otsuka-europe-crm.veevavault.com/ui/#object/sent_email__v/VBLZ025E82GN1P5", "SE-000272279")</f>
        <v>SE-000272279</v>
      </c>
      <c r="D5126" s="1" t="s">
        <v>0</v>
      </c>
      <c r="E5126" s="2">
        <v>0</v>
      </c>
      <c r="F5126" s="2">
        <v>0</v>
      </c>
      <c r="G5126" s="2">
        <v>0</v>
      </c>
      <c r="H5126" s="1" t="s">
        <v>0</v>
      </c>
      <c r="I5126" s="2">
        <v>0</v>
      </c>
      <c r="J5126" s="1">
        <v>45915.378344907411</v>
      </c>
    </row>
    <row r="5127" spans="1:10" x14ac:dyDescent="0.2">
      <c r="A5127" s="4" t="s">
        <v>1</v>
      </c>
      <c r="B5127" s="3" t="str">
        <f>HYPERLINK("https://otsuka-europe-crm.veevavault.com/ui/#object/approved_document__v/V5OZ025E82TFUPI", "Spain - HCP Survey Email - June 2025")</f>
        <v>Spain - HCP Survey Email - June 2025</v>
      </c>
      <c r="C5127" s="3" t="str">
        <f>HYPERLINK("https://otsuka-europe-crm.veevavault.com/ui/#object/sent_email__v/VBLZ025E82GN1P6", "SE-000272280")</f>
        <v>SE-000272280</v>
      </c>
      <c r="D5127" s="1">
        <v>45915.486689814818</v>
      </c>
      <c r="E5127" s="2">
        <v>1</v>
      </c>
      <c r="F5127" s="2">
        <v>1</v>
      </c>
      <c r="G5127" s="2">
        <v>0</v>
      </c>
      <c r="H5127" s="1" t="s">
        <v>0</v>
      </c>
      <c r="I5127" s="2">
        <v>0</v>
      </c>
      <c r="J5127" s="1">
        <v>45915.378032407411</v>
      </c>
    </row>
    <row r="5128" spans="1:10" x14ac:dyDescent="0.2">
      <c r="A5128" s="4" t="s">
        <v>1</v>
      </c>
      <c r="B5128" s="3" t="str">
        <f>HYPERLINK("https://otsuka-europe-crm.veevavault.com/ui/#object/approved_document__v/V5OZ025E82TFUPI", "Spain - HCP Survey Email - June 2025")</f>
        <v>Spain - HCP Survey Email - June 2025</v>
      </c>
      <c r="C5128" s="3" t="str">
        <f>HYPERLINK("https://otsuka-europe-crm.veevavault.com/ui/#object/sent_email__v/VBLZ025E82GN1P7", "SE-000272281")</f>
        <v>SE-000272281</v>
      </c>
      <c r="D5128" s="1" t="s">
        <v>0</v>
      </c>
      <c r="E5128" s="2">
        <v>0</v>
      </c>
      <c r="F5128" s="2">
        <v>0</v>
      </c>
      <c r="G5128" s="2">
        <v>0</v>
      </c>
      <c r="H5128" s="1" t="s">
        <v>0</v>
      </c>
      <c r="I5128" s="2">
        <v>0</v>
      </c>
      <c r="J5128" s="1">
        <v>45915.378495370373</v>
      </c>
    </row>
    <row r="5129" spans="1:10" x14ac:dyDescent="0.2">
      <c r="A5129" s="4" t="s">
        <v>1</v>
      </c>
      <c r="B5129" s="3" t="str">
        <f>HYPERLINK("https://otsuka-europe-crm.veevavault.com/ui/#object/approved_document__v/V5OZ025E82TFUPI", "Spain - HCP Survey Email - June 2025")</f>
        <v>Spain - HCP Survey Email - June 2025</v>
      </c>
      <c r="C5129" s="3" t="str">
        <f>HYPERLINK("https://otsuka-europe-crm.veevavault.com/ui/#object/sent_email__v/VBLZ025E82GN1P8", "SE-000272282")</f>
        <v>SE-000272282</v>
      </c>
      <c r="D5129" s="1" t="s">
        <v>0</v>
      </c>
      <c r="E5129" s="2">
        <v>0</v>
      </c>
      <c r="F5129" s="2">
        <v>0</v>
      </c>
      <c r="G5129" s="2">
        <v>0</v>
      </c>
      <c r="H5129" s="1" t="s">
        <v>0</v>
      </c>
      <c r="I5129" s="2">
        <v>0</v>
      </c>
      <c r="J5129" s="1">
        <v>45915.379780092589</v>
      </c>
    </row>
    <row r="5130" spans="1:10" x14ac:dyDescent="0.2">
      <c r="A5130" s="4" t="s">
        <v>1</v>
      </c>
      <c r="B5130" s="3" t="str">
        <f>HYPERLINK("https://otsuka-europe-crm.veevavault.com/ui/#object/approved_document__v/V5OZ025E82TFUPI", "Spain - HCP Survey Email - June 2025")</f>
        <v>Spain - HCP Survey Email - June 2025</v>
      </c>
      <c r="C5130" s="3" t="str">
        <f>HYPERLINK("https://otsuka-europe-crm.veevavault.com/ui/#object/sent_email__v/VBLZ025E82GN1P9", "SE-000272283")</f>
        <v>SE-000272283</v>
      </c>
      <c r="D5130" s="1">
        <v>45917.40829861111</v>
      </c>
      <c r="E5130" s="2">
        <v>1</v>
      </c>
      <c r="F5130" s="2">
        <v>2</v>
      </c>
      <c r="G5130" s="2">
        <v>0</v>
      </c>
      <c r="H5130" s="1" t="s">
        <v>0</v>
      </c>
      <c r="I5130" s="2">
        <v>0</v>
      </c>
      <c r="J5130" s="1">
        <v>45915.379467592589</v>
      </c>
    </row>
    <row r="5131" spans="1:10" x14ac:dyDescent="0.2">
      <c r="A5131" s="4" t="s">
        <v>1</v>
      </c>
      <c r="B5131" s="3" t="str">
        <f>HYPERLINK("https://otsuka-europe-crm.veevavault.com/ui/#object/approved_document__v/V5OZ025E82TFUPI", "Spain - HCP Survey Email - June 2025")</f>
        <v>Spain - HCP Survey Email - June 2025</v>
      </c>
      <c r="C5131" s="3" t="str">
        <f>HYPERLINK("https://otsuka-europe-crm.veevavault.com/ui/#object/sent_email__v/VBLZ025E82GN1PA", "SE-000272284")</f>
        <v>SE-000272284</v>
      </c>
      <c r="D5131" s="1" t="s">
        <v>0</v>
      </c>
      <c r="E5131" s="2">
        <v>0</v>
      </c>
      <c r="F5131" s="2">
        <v>0</v>
      </c>
      <c r="G5131" s="2">
        <v>0</v>
      </c>
      <c r="H5131" s="1" t="s">
        <v>0</v>
      </c>
      <c r="I5131" s="2">
        <v>0</v>
      </c>
      <c r="J5131" s="1">
        <v>45915.377546296295</v>
      </c>
    </row>
    <row r="5132" spans="1:10" x14ac:dyDescent="0.2">
      <c r="A5132" s="4" t="s">
        <v>1</v>
      </c>
      <c r="B5132" s="3" t="str">
        <f>HYPERLINK("https://otsuka-europe-crm.veevavault.com/ui/#object/approved_document__v/V5OZ025E82TFUPI", "Spain - HCP Survey Email - June 2025")</f>
        <v>Spain - HCP Survey Email - June 2025</v>
      </c>
      <c r="C5132" s="3" t="str">
        <f>HYPERLINK("https://otsuka-europe-crm.veevavault.com/ui/#object/sent_email__v/VBLZ025E82GN1PB", "SE-000272285")</f>
        <v>SE-000272285</v>
      </c>
      <c r="D5132" s="1" t="s">
        <v>0</v>
      </c>
      <c r="E5132" s="2">
        <v>0</v>
      </c>
      <c r="F5132" s="2">
        <v>0</v>
      </c>
      <c r="G5132" s="2">
        <v>0</v>
      </c>
      <c r="H5132" s="1" t="s">
        <v>0</v>
      </c>
      <c r="I5132" s="2">
        <v>0</v>
      </c>
      <c r="J5132" s="1">
        <v>45915.378437500003</v>
      </c>
    </row>
    <row r="5133" spans="1:10" x14ac:dyDescent="0.2">
      <c r="A5133" s="4" t="s">
        <v>1</v>
      </c>
      <c r="B5133" s="3" t="str">
        <f>HYPERLINK("https://otsuka-europe-crm.veevavault.com/ui/#object/approved_document__v/V5OZ025E82TFUPI", "Spain - HCP Survey Email - June 2025")</f>
        <v>Spain - HCP Survey Email - June 2025</v>
      </c>
      <c r="C5133" s="3" t="str">
        <f>HYPERLINK("https://otsuka-europe-crm.veevavault.com/ui/#object/sent_email__v/VBLZ025E82GN1PC", "SE-000272286")</f>
        <v>SE-000272286</v>
      </c>
      <c r="D5133" s="1" t="s">
        <v>0</v>
      </c>
      <c r="E5133" s="2">
        <v>0</v>
      </c>
      <c r="F5133" s="2">
        <v>0</v>
      </c>
      <c r="G5133" s="2">
        <v>0</v>
      </c>
      <c r="H5133" s="1" t="s">
        <v>0</v>
      </c>
      <c r="I5133" s="2">
        <v>0</v>
      </c>
      <c r="J5133" s="1">
        <v>45915.378900462965</v>
      </c>
    </row>
    <row r="5134" spans="1:10" x14ac:dyDescent="0.2">
      <c r="A5134" s="4" t="s">
        <v>1</v>
      </c>
      <c r="B5134" s="3" t="str">
        <f>HYPERLINK("https://otsuka-europe-crm.veevavault.com/ui/#object/approved_document__v/V5OZ025E82TFUPI", "Spain - HCP Survey Email - June 2025")</f>
        <v>Spain - HCP Survey Email - June 2025</v>
      </c>
      <c r="C5134" s="3" t="str">
        <f>HYPERLINK("https://otsuka-europe-crm.veevavault.com/ui/#object/sent_email__v/VBLZ025E82GN1PD", "SE-000272287")</f>
        <v>SE-000272287</v>
      </c>
      <c r="D5134" s="1" t="s">
        <v>0</v>
      </c>
      <c r="E5134" s="2">
        <v>0</v>
      </c>
      <c r="F5134" s="2">
        <v>0</v>
      </c>
      <c r="G5134" s="2">
        <v>0</v>
      </c>
      <c r="H5134" s="1" t="s">
        <v>0</v>
      </c>
      <c r="I5134" s="2">
        <v>0</v>
      </c>
      <c r="J5134" s="1">
        <v>45915.378854166665</v>
      </c>
    </row>
    <row r="5135" spans="1:10" x14ac:dyDescent="0.2">
      <c r="A5135" s="4" t="s">
        <v>1</v>
      </c>
      <c r="B5135" s="3" t="str">
        <f>HYPERLINK("https://otsuka-europe-crm.veevavault.com/ui/#object/approved_document__v/V5OZ025E82TFUPI", "Spain - HCP Survey Email - June 2025")</f>
        <v>Spain - HCP Survey Email - June 2025</v>
      </c>
      <c r="C5135" s="3" t="str">
        <f>HYPERLINK("https://otsuka-europe-crm.veevavault.com/ui/#object/sent_email__v/VBLZ025E82GN1PE", "SE-000272288")</f>
        <v>SE-000272288</v>
      </c>
      <c r="D5135" s="1" t="s">
        <v>0</v>
      </c>
      <c r="E5135" s="2">
        <v>0</v>
      </c>
      <c r="F5135" s="2">
        <v>0</v>
      </c>
      <c r="G5135" s="2">
        <v>0</v>
      </c>
      <c r="H5135" s="1" t="s">
        <v>0</v>
      </c>
      <c r="I5135" s="2">
        <v>0</v>
      </c>
      <c r="J5135" s="1">
        <v>45915.379143518519</v>
      </c>
    </row>
    <row r="5136" spans="1:10" x14ac:dyDescent="0.2">
      <c r="A5136" s="4" t="s">
        <v>1</v>
      </c>
      <c r="B5136" s="3" t="str">
        <f>HYPERLINK("https://otsuka-europe-crm.veevavault.com/ui/#object/approved_document__v/V5OZ025E82TFUPI", "Spain - HCP Survey Email - June 2025")</f>
        <v>Spain - HCP Survey Email - June 2025</v>
      </c>
      <c r="C5136" s="3" t="str">
        <f>HYPERLINK("https://otsuka-europe-crm.veevavault.com/ui/#object/sent_email__v/VBLZ025E82GN1PF", "SE-000272289")</f>
        <v>SE-000272289</v>
      </c>
      <c r="D5136" s="1" t="s">
        <v>0</v>
      </c>
      <c r="E5136" s="2">
        <v>0</v>
      </c>
      <c r="F5136" s="2">
        <v>0</v>
      </c>
      <c r="G5136" s="2">
        <v>0</v>
      </c>
      <c r="H5136" s="1" t="s">
        <v>0</v>
      </c>
      <c r="I5136" s="2">
        <v>0</v>
      </c>
      <c r="J5136" s="1">
        <v>45915.377858796295</v>
      </c>
    </row>
    <row r="5137" spans="1:10" x14ac:dyDescent="0.2">
      <c r="A5137" s="4" t="s">
        <v>1</v>
      </c>
      <c r="B5137" s="3" t="str">
        <f>HYPERLINK("https://otsuka-europe-crm.veevavault.com/ui/#object/approved_document__v/V5OZ025E82TFUPI", "Spain - HCP Survey Email - June 2025")</f>
        <v>Spain - HCP Survey Email - June 2025</v>
      </c>
      <c r="C5137" s="3" t="str">
        <f>HYPERLINK("https://otsuka-europe-crm.veevavault.com/ui/#object/sent_email__v/VBLZ025E82GN1PG", "SE-000272290")</f>
        <v>SE-000272290</v>
      </c>
      <c r="D5137" s="1">
        <v>45916.024988425925</v>
      </c>
      <c r="E5137" s="2">
        <v>1</v>
      </c>
      <c r="F5137" s="2">
        <v>5</v>
      </c>
      <c r="G5137" s="2">
        <v>1</v>
      </c>
      <c r="H5137" s="1">
        <v>45915.439421296294</v>
      </c>
      <c r="I5137" s="2">
        <v>2</v>
      </c>
      <c r="J5137" s="1">
        <v>45915.378229166665</v>
      </c>
    </row>
    <row r="5138" spans="1:10" x14ac:dyDescent="0.2">
      <c r="A5138" s="4" t="s">
        <v>1</v>
      </c>
      <c r="B5138" s="3" t="str">
        <f>HYPERLINK("https://otsuka-europe-crm.veevavault.com/ui/#object/approved_document__v/V5OZ025E82TFUPI", "Spain - HCP Survey Email - June 2025")</f>
        <v>Spain - HCP Survey Email - June 2025</v>
      </c>
      <c r="C5138" s="3" t="str">
        <f>HYPERLINK("https://otsuka-europe-crm.veevavault.com/ui/#object/sent_email__v/VBLZ025E82GN1PH", "SE-000272291")</f>
        <v>SE-000272291</v>
      </c>
      <c r="D5138" s="1" t="s">
        <v>0</v>
      </c>
      <c r="E5138" s="2">
        <v>0</v>
      </c>
      <c r="F5138" s="2">
        <v>0</v>
      </c>
      <c r="G5138" s="2">
        <v>0</v>
      </c>
      <c r="H5138" s="1" t="s">
        <v>0</v>
      </c>
      <c r="I5138" s="2">
        <v>0</v>
      </c>
      <c r="J5138" s="1">
        <v>45915.378032407411</v>
      </c>
    </row>
    <row r="5139" spans="1:10" x14ac:dyDescent="0.2">
      <c r="A5139" s="4" t="s">
        <v>1</v>
      </c>
      <c r="B5139" s="3" t="str">
        <f>HYPERLINK("https://otsuka-europe-crm.veevavault.com/ui/#object/approved_document__v/V5OZ025E82TFUPI", "Spain - HCP Survey Email - June 2025")</f>
        <v>Spain - HCP Survey Email - June 2025</v>
      </c>
      <c r="C5139" s="3" t="str">
        <f>HYPERLINK("https://otsuka-europe-crm.veevavault.com/ui/#object/sent_email__v/VBLZ025E82GN1PI", "SE-000272292")</f>
        <v>SE-000272292</v>
      </c>
      <c r="D5139" s="1" t="s">
        <v>0</v>
      </c>
      <c r="E5139" s="2">
        <v>0</v>
      </c>
      <c r="F5139" s="2">
        <v>0</v>
      </c>
      <c r="G5139" s="2">
        <v>0</v>
      </c>
      <c r="H5139" s="1" t="s">
        <v>0</v>
      </c>
      <c r="I5139" s="2">
        <v>0</v>
      </c>
      <c r="J5139" s="1">
        <v>45915.378483796296</v>
      </c>
    </row>
    <row r="5140" spans="1:10" x14ac:dyDescent="0.2">
      <c r="A5140" s="4" t="s">
        <v>1</v>
      </c>
      <c r="B5140" s="3" t="str">
        <f>HYPERLINK("https://otsuka-europe-crm.veevavault.com/ui/#object/approved_document__v/V5OZ025E82TFUPI", "Spain - HCP Survey Email - June 2025")</f>
        <v>Spain - HCP Survey Email - June 2025</v>
      </c>
      <c r="C5140" s="3" t="str">
        <f>HYPERLINK("https://otsuka-europe-crm.veevavault.com/ui/#object/sent_email__v/VBLZ025E82GN1PJ", "SE-000272293")</f>
        <v>SE-000272293</v>
      </c>
      <c r="D5140" s="1" t="s">
        <v>0</v>
      </c>
      <c r="E5140" s="2">
        <v>0</v>
      </c>
      <c r="F5140" s="2">
        <v>0</v>
      </c>
      <c r="G5140" s="2">
        <v>0</v>
      </c>
      <c r="H5140" s="1" t="s">
        <v>0</v>
      </c>
      <c r="I5140" s="2">
        <v>0</v>
      </c>
      <c r="J5140" s="1">
        <v>45915.379641203705</v>
      </c>
    </row>
    <row r="5141" spans="1:10" x14ac:dyDescent="0.2">
      <c r="A5141" s="4" t="s">
        <v>1</v>
      </c>
      <c r="B5141" s="3" t="str">
        <f>HYPERLINK("https://otsuka-europe-crm.veevavault.com/ui/#object/approved_document__v/V5OZ025E82TFUPI", "Spain - HCP Survey Email - June 2025")</f>
        <v>Spain - HCP Survey Email - June 2025</v>
      </c>
      <c r="C5141" s="3" t="str">
        <f>HYPERLINK("https://otsuka-europe-crm.veevavault.com/ui/#object/sent_email__v/VBLZ025E82GN1PK", "SE-000272294")</f>
        <v>SE-000272294</v>
      </c>
      <c r="D5141" s="1" t="s">
        <v>0</v>
      </c>
      <c r="E5141" s="2">
        <v>0</v>
      </c>
      <c r="F5141" s="2">
        <v>0</v>
      </c>
      <c r="G5141" s="2">
        <v>0</v>
      </c>
      <c r="H5141" s="1" t="s">
        <v>0</v>
      </c>
      <c r="I5141" s="2">
        <v>0</v>
      </c>
      <c r="J5141" s="1">
        <v>45915.37940972222</v>
      </c>
    </row>
    <row r="5142" spans="1:10" x14ac:dyDescent="0.2">
      <c r="A5142" s="4" t="s">
        <v>1</v>
      </c>
      <c r="B5142" s="3" t="str">
        <f>HYPERLINK("https://otsuka-europe-crm.veevavault.com/ui/#object/approved_document__v/V5OZ025E82TFUPI", "Spain - HCP Survey Email - June 2025")</f>
        <v>Spain - HCP Survey Email - June 2025</v>
      </c>
      <c r="C5142" s="3" t="str">
        <f>HYPERLINK("https://otsuka-europe-crm.veevavault.com/ui/#object/sent_email__v/VBLZ025E82GN1PM", "SE-000272296")</f>
        <v>SE-000272296</v>
      </c>
      <c r="D5142" s="1">
        <v>45918.622789351852</v>
      </c>
      <c r="E5142" s="2">
        <v>1</v>
      </c>
      <c r="F5142" s="2">
        <v>6</v>
      </c>
      <c r="G5142" s="2">
        <v>0</v>
      </c>
      <c r="H5142" s="1" t="s">
        <v>0</v>
      </c>
      <c r="I5142" s="2">
        <v>0</v>
      </c>
      <c r="J5142" s="1">
        <v>45915.378437500003</v>
      </c>
    </row>
    <row r="5143" spans="1:10" x14ac:dyDescent="0.2">
      <c r="A5143" s="4" t="s">
        <v>1</v>
      </c>
      <c r="B5143" s="3" t="str">
        <f>HYPERLINK("https://otsuka-europe-crm.veevavault.com/ui/#object/approved_document__v/V5OZ025E82TFUPI", "Spain - HCP Survey Email - June 2025")</f>
        <v>Spain - HCP Survey Email - June 2025</v>
      </c>
      <c r="C5143" s="3" t="str">
        <f>HYPERLINK("https://otsuka-europe-crm.veevavault.com/ui/#object/sent_email__v/VBLZ025E82GN1PN", "SE-000272297")</f>
        <v>SE-000272297</v>
      </c>
      <c r="D5143" s="1" t="s">
        <v>0</v>
      </c>
      <c r="E5143" s="2">
        <v>0</v>
      </c>
      <c r="F5143" s="2">
        <v>0</v>
      </c>
      <c r="G5143" s="2">
        <v>0</v>
      </c>
      <c r="H5143" s="1" t="s">
        <v>0</v>
      </c>
      <c r="I5143" s="2">
        <v>0</v>
      </c>
      <c r="J5143" s="1">
        <v>45915.378888888888</v>
      </c>
    </row>
    <row r="5144" spans="1:10" x14ac:dyDescent="0.2">
      <c r="A5144" s="4" t="s">
        <v>1</v>
      </c>
      <c r="B5144" s="3" t="str">
        <f>HYPERLINK("https://otsuka-europe-crm.veevavault.com/ui/#object/approved_document__v/V5OZ025E82TFUPI", "Spain - HCP Survey Email - June 2025")</f>
        <v>Spain - HCP Survey Email - June 2025</v>
      </c>
      <c r="C5144" s="3" t="str">
        <f>HYPERLINK("https://otsuka-europe-crm.veevavault.com/ui/#object/sent_email__v/VBLZ025E82GN1PO", "SE-000272298")</f>
        <v>SE-000272298</v>
      </c>
      <c r="D5144" s="1" t="s">
        <v>0</v>
      </c>
      <c r="E5144" s="2">
        <v>0</v>
      </c>
      <c r="F5144" s="2">
        <v>0</v>
      </c>
      <c r="G5144" s="2">
        <v>0</v>
      </c>
      <c r="H5144" s="1" t="s">
        <v>0</v>
      </c>
      <c r="I5144" s="2">
        <v>0</v>
      </c>
      <c r="J5144" s="1">
        <v>45915.379826388889</v>
      </c>
    </row>
    <row r="5145" spans="1:10" x14ac:dyDescent="0.2">
      <c r="A5145" s="4" t="s">
        <v>1</v>
      </c>
      <c r="B5145" s="3" t="str">
        <f>HYPERLINK("https://otsuka-europe-crm.veevavault.com/ui/#object/approved_document__v/V5OZ025E82TFUPI", "Spain - HCP Survey Email - June 2025")</f>
        <v>Spain - HCP Survey Email - June 2025</v>
      </c>
      <c r="C5145" s="3" t="str">
        <f>HYPERLINK("https://otsuka-europe-crm.veevavault.com/ui/#object/sent_email__v/VBLZ025E82GN1PP", "SE-000272299")</f>
        <v>SE-000272299</v>
      </c>
      <c r="D5145" s="1">
        <v>45920.023865740739</v>
      </c>
      <c r="E5145" s="2">
        <v>1</v>
      </c>
      <c r="F5145" s="2">
        <v>5</v>
      </c>
      <c r="G5145" s="2">
        <v>0</v>
      </c>
      <c r="H5145" s="1" t="s">
        <v>0</v>
      </c>
      <c r="I5145" s="2">
        <v>0</v>
      </c>
      <c r="J5145" s="1">
        <v>45915.379560185182</v>
      </c>
    </row>
    <row r="5146" spans="1:10" x14ac:dyDescent="0.2">
      <c r="A5146" s="4" t="s">
        <v>1</v>
      </c>
      <c r="B5146" s="3" t="str">
        <f>HYPERLINK("https://otsuka-europe-crm.veevavault.com/ui/#object/approved_document__v/V5OZ025E82TFUPI", "Spain - HCP Survey Email - June 2025")</f>
        <v>Spain - HCP Survey Email - June 2025</v>
      </c>
      <c r="C5146" s="3" t="str">
        <f>HYPERLINK("https://otsuka-europe-crm.veevavault.com/ui/#object/sent_email__v/VBLZ025E82GN1PQ", "SE-000272300")</f>
        <v>SE-000272300</v>
      </c>
      <c r="D5146" s="1">
        <v>45915.558321759258</v>
      </c>
      <c r="E5146" s="2">
        <v>1</v>
      </c>
      <c r="F5146" s="2">
        <v>2</v>
      </c>
      <c r="G5146" s="2">
        <v>0</v>
      </c>
      <c r="H5146" s="1" t="s">
        <v>0</v>
      </c>
      <c r="I5146" s="2">
        <v>0</v>
      </c>
      <c r="J5146" s="1">
        <v>45915.377557870372</v>
      </c>
    </row>
    <row r="5147" spans="1:10" x14ac:dyDescent="0.2">
      <c r="A5147" s="4" t="s">
        <v>1</v>
      </c>
      <c r="B5147" s="3" t="str">
        <f>HYPERLINK("https://otsuka-europe-crm.veevavault.com/ui/#object/approved_document__v/V5OZ025E82TFUPI", "Spain - HCP Survey Email - June 2025")</f>
        <v>Spain - HCP Survey Email - June 2025</v>
      </c>
      <c r="C5147" s="3" t="str">
        <f>HYPERLINK("https://otsuka-europe-crm.veevavault.com/ui/#object/sent_email__v/VBLZ025E82GN1PR", "SE-000272301")</f>
        <v>SE-000272301</v>
      </c>
      <c r="D5147" s="1">
        <v>45921.410405092596</v>
      </c>
      <c r="E5147" s="2">
        <v>1</v>
      </c>
      <c r="F5147" s="2">
        <v>1</v>
      </c>
      <c r="G5147" s="2">
        <v>0</v>
      </c>
      <c r="H5147" s="1" t="s">
        <v>0</v>
      </c>
      <c r="I5147" s="2">
        <v>0</v>
      </c>
      <c r="J5147" s="1">
        <v>45915.37840277778</v>
      </c>
    </row>
    <row r="5148" spans="1:10" x14ac:dyDescent="0.2">
      <c r="A5148" s="4" t="s">
        <v>1</v>
      </c>
      <c r="B5148" s="3" t="str">
        <f>HYPERLINK("https://otsuka-europe-crm.veevavault.com/ui/#object/approved_document__v/V5OZ025E82TFUPI", "Spain - HCP Survey Email - June 2025")</f>
        <v>Spain - HCP Survey Email - June 2025</v>
      </c>
      <c r="C5148" s="3" t="str">
        <f>HYPERLINK("https://otsuka-europe-crm.veevavault.com/ui/#object/sent_email__v/VBLZ025E82GN1PS", "SE-000272302")</f>
        <v>SE-000272302</v>
      </c>
      <c r="D5148" s="1" t="s">
        <v>0</v>
      </c>
      <c r="E5148" s="2">
        <v>0</v>
      </c>
      <c r="F5148" s="2">
        <v>0</v>
      </c>
      <c r="G5148" s="2">
        <v>0</v>
      </c>
      <c r="H5148" s="1" t="s">
        <v>0</v>
      </c>
      <c r="I5148" s="2">
        <v>0</v>
      </c>
      <c r="J5148" s="1">
        <v>45915.378912037035</v>
      </c>
    </row>
    <row r="5149" spans="1:10" x14ac:dyDescent="0.2">
      <c r="A5149" s="4" t="s">
        <v>1</v>
      </c>
      <c r="B5149" s="3" t="str">
        <f>HYPERLINK("https://otsuka-europe-crm.veevavault.com/ui/#object/approved_document__v/V5OZ025E82TFUPI", "Spain - HCP Survey Email - June 2025")</f>
        <v>Spain - HCP Survey Email - June 2025</v>
      </c>
      <c r="C5149" s="3" t="str">
        <f>HYPERLINK("https://otsuka-europe-crm.veevavault.com/ui/#object/sent_email__v/VBLZ025E82GN1PT", "SE-000272303")</f>
        <v>SE-000272303</v>
      </c>
      <c r="D5149" s="1" t="s">
        <v>0</v>
      </c>
      <c r="E5149" s="2">
        <v>0</v>
      </c>
      <c r="F5149" s="2">
        <v>0</v>
      </c>
      <c r="G5149" s="2">
        <v>0</v>
      </c>
      <c r="H5149" s="1" t="s">
        <v>0</v>
      </c>
      <c r="I5149" s="2">
        <v>0</v>
      </c>
      <c r="J5149" s="1">
        <v>45915.378703703704</v>
      </c>
    </row>
    <row r="5150" spans="1:10" x14ac:dyDescent="0.2">
      <c r="A5150" s="4" t="s">
        <v>1</v>
      </c>
      <c r="B5150" s="3" t="str">
        <f>HYPERLINK("https://otsuka-europe-crm.veevavault.com/ui/#object/approved_document__v/V5OZ025E82TFUPI", "Spain - HCP Survey Email - June 2025")</f>
        <v>Spain - HCP Survey Email - June 2025</v>
      </c>
      <c r="C5150" s="3" t="str">
        <f>HYPERLINK("https://otsuka-europe-crm.veevavault.com/ui/#object/sent_email__v/VBLZ025E82GN1PU", "SE-000272304")</f>
        <v>SE-000272304</v>
      </c>
      <c r="D5150" s="1" t="s">
        <v>0</v>
      </c>
      <c r="E5150" s="2">
        <v>0</v>
      </c>
      <c r="F5150" s="2">
        <v>0</v>
      </c>
      <c r="G5150" s="2">
        <v>0</v>
      </c>
      <c r="H5150" s="1" t="s">
        <v>0</v>
      </c>
      <c r="I5150" s="2">
        <v>0</v>
      </c>
      <c r="J5150" s="1">
        <v>45915.379155092596</v>
      </c>
    </row>
    <row r="5151" spans="1:10" x14ac:dyDescent="0.2">
      <c r="A5151" s="4" t="s">
        <v>1</v>
      </c>
      <c r="B5151" s="3" t="str">
        <f>HYPERLINK("https://otsuka-europe-crm.veevavault.com/ui/#object/approved_document__v/V5OZ025E82TFUPI", "Spain - HCP Survey Email - June 2025")</f>
        <v>Spain - HCP Survey Email - June 2025</v>
      </c>
      <c r="C5151" s="3" t="str">
        <f>HYPERLINK("https://otsuka-europe-crm.veevavault.com/ui/#object/sent_email__v/VBLZ025E82GN1PV", "SE-000272305")</f>
        <v>SE-000272305</v>
      </c>
      <c r="D5151" s="1">
        <v>45915.432719907411</v>
      </c>
      <c r="E5151" s="2">
        <v>1</v>
      </c>
      <c r="F5151" s="2">
        <v>3</v>
      </c>
      <c r="G5151" s="2">
        <v>1</v>
      </c>
      <c r="H5151" s="1">
        <v>45915.37872685185</v>
      </c>
      <c r="I5151" s="2">
        <v>2</v>
      </c>
      <c r="J5151" s="1">
        <v>45915.377858796295</v>
      </c>
    </row>
    <row r="5152" spans="1:10" x14ac:dyDescent="0.2">
      <c r="A5152" s="4" t="s">
        <v>1</v>
      </c>
      <c r="B5152" s="3" t="str">
        <f>HYPERLINK("https://otsuka-europe-crm.veevavault.com/ui/#object/approved_document__v/V5OZ025E82TFUPI", "Spain - HCP Survey Email - June 2025")</f>
        <v>Spain - HCP Survey Email - June 2025</v>
      </c>
      <c r="C5152" s="3" t="str">
        <f>HYPERLINK("https://otsuka-europe-crm.veevavault.com/ui/#object/sent_email__v/VBLZ025E82GN1PW", "SE-000272306")</f>
        <v>SE-000272306</v>
      </c>
      <c r="D5152" s="1">
        <v>45916.736226851855</v>
      </c>
      <c r="E5152" s="2">
        <v>1</v>
      </c>
      <c r="F5152" s="2">
        <v>1</v>
      </c>
      <c r="G5152" s="2">
        <v>0</v>
      </c>
      <c r="H5152" s="1" t="s">
        <v>0</v>
      </c>
      <c r="I5152" s="2">
        <v>0</v>
      </c>
      <c r="J5152" s="1">
        <v>45915.378182870372</v>
      </c>
    </row>
    <row r="5153" spans="1:10" x14ac:dyDescent="0.2">
      <c r="A5153" s="4" t="s">
        <v>1</v>
      </c>
      <c r="B5153" s="3" t="str">
        <f>HYPERLINK("https://otsuka-europe-crm.veevavault.com/ui/#object/approved_document__v/V5OZ025E82TFUPI", "Spain - HCP Survey Email - June 2025")</f>
        <v>Spain - HCP Survey Email - June 2025</v>
      </c>
      <c r="C5153" s="3" t="str">
        <f>HYPERLINK("https://otsuka-europe-crm.veevavault.com/ui/#object/sent_email__v/VBLZ025E82GN1PX", "SE-000272307")</f>
        <v>SE-000272307</v>
      </c>
      <c r="D5153" s="1" t="s">
        <v>0</v>
      </c>
      <c r="E5153" s="2">
        <v>0</v>
      </c>
      <c r="F5153" s="2">
        <v>0</v>
      </c>
      <c r="G5153" s="2">
        <v>0</v>
      </c>
      <c r="H5153" s="1" t="s">
        <v>0</v>
      </c>
      <c r="I5153" s="2">
        <v>0</v>
      </c>
      <c r="J5153" s="1">
        <v>45915.378020833334</v>
      </c>
    </row>
    <row r="5154" spans="1:10" x14ac:dyDescent="0.2">
      <c r="A5154" s="4" t="s">
        <v>1</v>
      </c>
      <c r="B5154" s="3" t="str">
        <f>HYPERLINK("https://otsuka-europe-crm.veevavault.com/ui/#object/approved_document__v/V5OZ025E82TFUPI", "Spain - HCP Survey Email - June 2025")</f>
        <v>Spain - HCP Survey Email - June 2025</v>
      </c>
      <c r="C5154" s="3" t="str">
        <f>HYPERLINK("https://otsuka-europe-crm.veevavault.com/ui/#object/sent_email__v/VBLZ025E82GN1PY", "SE-000272308")</f>
        <v>SE-000272308</v>
      </c>
      <c r="D5154" s="1">
        <v>45915.396874999999</v>
      </c>
      <c r="E5154" s="2">
        <v>1</v>
      </c>
      <c r="F5154" s="2">
        <v>1</v>
      </c>
      <c r="G5154" s="2">
        <v>0</v>
      </c>
      <c r="H5154" s="1" t="s">
        <v>0</v>
      </c>
      <c r="I5154" s="2">
        <v>0</v>
      </c>
      <c r="J5154" s="1">
        <v>45915.378553240742</v>
      </c>
    </row>
    <row r="5155" spans="1:10" x14ac:dyDescent="0.2">
      <c r="A5155" s="4" t="s">
        <v>1</v>
      </c>
      <c r="B5155" s="3" t="str">
        <f>HYPERLINK("https://otsuka-europe-crm.veevavault.com/ui/#object/approved_document__v/V5OZ025E82TFUPI", "Spain - HCP Survey Email - June 2025")</f>
        <v>Spain - HCP Survey Email - June 2025</v>
      </c>
      <c r="C5155" s="3" t="str">
        <f>HYPERLINK("https://otsuka-europe-crm.veevavault.com/ui/#object/sent_email__v/VBLZ025E82GN1PZ", "SE-000272309")</f>
        <v>SE-000272309</v>
      </c>
      <c r="D5155" s="1" t="s">
        <v>0</v>
      </c>
      <c r="E5155" s="2">
        <v>0</v>
      </c>
      <c r="F5155" s="2">
        <v>0</v>
      </c>
      <c r="G5155" s="2">
        <v>0</v>
      </c>
      <c r="H5155" s="1" t="s">
        <v>0</v>
      </c>
      <c r="I5155" s="2">
        <v>0</v>
      </c>
      <c r="J5155" s="1">
        <v>45915.37976851852</v>
      </c>
    </row>
    <row r="5156" spans="1:10" x14ac:dyDescent="0.2">
      <c r="A5156" s="4" t="s">
        <v>1</v>
      </c>
      <c r="B5156" s="3" t="str">
        <f>HYPERLINK("https://otsuka-europe-crm.veevavault.com/ui/#object/approved_document__v/V5OZ025E82TFUPI", "Spain - HCP Survey Email - June 2025")</f>
        <v>Spain - HCP Survey Email - June 2025</v>
      </c>
      <c r="C5156" s="3" t="str">
        <f>HYPERLINK("https://otsuka-europe-crm.veevavault.com/ui/#object/sent_email__v/VBLZ025E82GN1Q0", "SE-000272310")</f>
        <v>SE-000272310</v>
      </c>
      <c r="D5156" s="1">
        <v>45916.075833333336</v>
      </c>
      <c r="E5156" s="2">
        <v>1</v>
      </c>
      <c r="F5156" s="2">
        <v>1</v>
      </c>
      <c r="G5156" s="2">
        <v>0</v>
      </c>
      <c r="H5156" s="1" t="s">
        <v>0</v>
      </c>
      <c r="I5156" s="2">
        <v>0</v>
      </c>
      <c r="J5156" s="1">
        <v>45915.379675925928</v>
      </c>
    </row>
    <row r="5157" spans="1:10" x14ac:dyDescent="0.2">
      <c r="A5157" s="4" t="s">
        <v>1</v>
      </c>
      <c r="B5157" s="3" t="str">
        <f>HYPERLINK("https://otsuka-europe-crm.veevavault.com/ui/#object/approved_document__v/V5OZ025E82TFUPI", "Spain - HCP Survey Email - June 2025")</f>
        <v>Spain - HCP Survey Email - June 2025</v>
      </c>
      <c r="C5157" s="3" t="str">
        <f>HYPERLINK("https://otsuka-europe-crm.veevavault.com/ui/#object/sent_email__v/VBLZ025E82GN1Q1", "SE-000272311")</f>
        <v>SE-000272311</v>
      </c>
      <c r="D5157" s="1" t="s">
        <v>0</v>
      </c>
      <c r="E5157" s="2">
        <v>0</v>
      </c>
      <c r="F5157" s="2">
        <v>0</v>
      </c>
      <c r="G5157" s="2">
        <v>0</v>
      </c>
      <c r="H5157" s="1" t="s">
        <v>0</v>
      </c>
      <c r="I5157" s="2">
        <v>0</v>
      </c>
      <c r="J5157" s="1">
        <v>45915.377511574072</v>
      </c>
    </row>
    <row r="5158" spans="1:10" x14ac:dyDescent="0.2">
      <c r="A5158" s="4" t="s">
        <v>1</v>
      </c>
      <c r="B5158" s="3" t="str">
        <f>HYPERLINK("https://otsuka-europe-crm.veevavault.com/ui/#object/approved_document__v/V5OZ025E82TFUPI", "Spain - HCP Survey Email - June 2025")</f>
        <v>Spain - HCP Survey Email - June 2025</v>
      </c>
      <c r="C5158" s="3" t="str">
        <f>HYPERLINK("https://otsuka-europe-crm.veevavault.com/ui/#object/sent_email__v/VBLZ025E82GN1Q2", "SE-000272312")</f>
        <v>SE-000272312</v>
      </c>
      <c r="D5158" s="1">
        <v>45916.047662037039</v>
      </c>
      <c r="E5158" s="2">
        <v>1</v>
      </c>
      <c r="F5158" s="2">
        <v>2</v>
      </c>
      <c r="G5158" s="2">
        <v>0</v>
      </c>
      <c r="H5158" s="1" t="s">
        <v>0</v>
      </c>
      <c r="I5158" s="2">
        <v>0</v>
      </c>
      <c r="J5158" s="1">
        <v>45915.378449074073</v>
      </c>
    </row>
    <row r="5159" spans="1:10" x14ac:dyDescent="0.2">
      <c r="A5159" s="4" t="s">
        <v>1</v>
      </c>
      <c r="B5159" s="3" t="str">
        <f>HYPERLINK("https://otsuka-europe-crm.veevavault.com/ui/#object/approved_document__v/V5OZ025E82TFUPI", "Spain - HCP Survey Email - June 2025")</f>
        <v>Spain - HCP Survey Email - June 2025</v>
      </c>
      <c r="C5159" s="3" t="str">
        <f>HYPERLINK("https://otsuka-europe-crm.veevavault.com/ui/#object/sent_email__v/VBLZ025E82GN1Q3", "SE-000272313")</f>
        <v>SE-000272313</v>
      </c>
      <c r="D5159" s="1">
        <v>45915.436319444445</v>
      </c>
      <c r="E5159" s="2">
        <v>1</v>
      </c>
      <c r="F5159" s="2">
        <v>2</v>
      </c>
      <c r="G5159" s="2">
        <v>0</v>
      </c>
      <c r="H5159" s="1" t="s">
        <v>0</v>
      </c>
      <c r="I5159" s="2">
        <v>0</v>
      </c>
      <c r="J5159" s="1">
        <v>45915.378888888888</v>
      </c>
    </row>
    <row r="5160" spans="1:10" x14ac:dyDescent="0.2">
      <c r="A5160" s="4" t="s">
        <v>1</v>
      </c>
      <c r="B5160" s="3" t="str">
        <f>HYPERLINK("https://otsuka-europe-crm.veevavault.com/ui/#object/approved_document__v/V5OZ025E82TFUPI", "Spain - HCP Survey Email - June 2025")</f>
        <v>Spain - HCP Survey Email - June 2025</v>
      </c>
      <c r="C5160" s="3" t="str">
        <f>HYPERLINK("https://otsuka-europe-crm.veevavault.com/ui/#object/sent_email__v/VBLZ025E82GN1Q4", "SE-000272314")</f>
        <v>SE-000272314</v>
      </c>
      <c r="D5160" s="1" t="s">
        <v>0</v>
      </c>
      <c r="E5160" s="2">
        <v>0</v>
      </c>
      <c r="F5160" s="2">
        <v>0</v>
      </c>
      <c r="G5160" s="2">
        <v>0</v>
      </c>
      <c r="H5160" s="1" t="s">
        <v>0</v>
      </c>
      <c r="I5160" s="2">
        <v>0</v>
      </c>
      <c r="J5160" s="1">
        <v>45915.378750000003</v>
      </c>
    </row>
    <row r="5161" spans="1:10" x14ac:dyDescent="0.2">
      <c r="A5161" s="4" t="s">
        <v>1</v>
      </c>
      <c r="B5161" s="3" t="str">
        <f>HYPERLINK("https://otsuka-europe-crm.veevavault.com/ui/#object/approved_document__v/V5OZ025E82TFUPI", "Spain - HCP Survey Email - June 2025")</f>
        <v>Spain - HCP Survey Email - June 2025</v>
      </c>
      <c r="C5161" s="3" t="str">
        <f>HYPERLINK("https://otsuka-europe-crm.veevavault.com/ui/#object/sent_email__v/VBLZ025E82GN1Q5", "SE-000272315")</f>
        <v>SE-000272315</v>
      </c>
      <c r="D5161" s="1">
        <v>45915.766898148147</v>
      </c>
      <c r="E5161" s="2">
        <v>1</v>
      </c>
      <c r="F5161" s="2">
        <v>2</v>
      </c>
      <c r="G5161" s="2">
        <v>0</v>
      </c>
      <c r="H5161" s="1" t="s">
        <v>0</v>
      </c>
      <c r="I5161" s="2">
        <v>0</v>
      </c>
      <c r="J5161" s="1">
        <v>45915.379178240742</v>
      </c>
    </row>
    <row r="5162" spans="1:10" x14ac:dyDescent="0.2">
      <c r="A5162" s="4" t="s">
        <v>1</v>
      </c>
      <c r="B5162" s="3" t="str">
        <f>HYPERLINK("https://otsuka-europe-crm.veevavault.com/ui/#object/approved_document__v/V5OZ025E82TFUPI", "Spain - HCP Survey Email - June 2025")</f>
        <v>Spain - HCP Survey Email - June 2025</v>
      </c>
      <c r="C5162" s="3" t="str">
        <f>HYPERLINK("https://otsuka-europe-crm.veevavault.com/ui/#object/sent_email__v/VBLZ025E82GN1Q6", "SE-000272316")</f>
        <v>SE-000272316</v>
      </c>
      <c r="D5162" s="1">
        <v>45915.709178240744</v>
      </c>
      <c r="E5162" s="2">
        <v>1</v>
      </c>
      <c r="F5162" s="2">
        <v>1</v>
      </c>
      <c r="G5162" s="2">
        <v>0</v>
      </c>
      <c r="H5162" s="1" t="s">
        <v>0</v>
      </c>
      <c r="I5162" s="2">
        <v>0</v>
      </c>
      <c r="J5162" s="1">
        <v>45915.377847222226</v>
      </c>
    </row>
    <row r="5163" spans="1:10" x14ac:dyDescent="0.2">
      <c r="A5163" s="4" t="s">
        <v>1</v>
      </c>
      <c r="B5163" s="3" t="str">
        <f>HYPERLINK("https://otsuka-europe-crm.veevavault.com/ui/#object/approved_document__v/V5OZ025E82TFUPI", "Spain - HCP Survey Email - June 2025")</f>
        <v>Spain - HCP Survey Email - June 2025</v>
      </c>
      <c r="C5163" s="3" t="str">
        <f>HYPERLINK("https://otsuka-europe-crm.veevavault.com/ui/#object/sent_email__v/VBLZ025E82GN1Q7", "SE-000272317")</f>
        <v>SE-000272317</v>
      </c>
      <c r="D5163" s="1">
        <v>45915.470752314817</v>
      </c>
      <c r="E5163" s="2">
        <v>1</v>
      </c>
      <c r="F5163" s="2">
        <v>1</v>
      </c>
      <c r="G5163" s="2">
        <v>1</v>
      </c>
      <c r="H5163" s="1">
        <v>45915.471099537041</v>
      </c>
      <c r="I5163" s="2">
        <v>1</v>
      </c>
      <c r="J5163" s="1">
        <v>45915.378171296295</v>
      </c>
    </row>
    <row r="5164" spans="1:10" x14ac:dyDescent="0.2">
      <c r="A5164" s="4" t="s">
        <v>1</v>
      </c>
      <c r="B5164" s="3" t="str">
        <f>HYPERLINK("https://otsuka-europe-crm.veevavault.com/ui/#object/approved_document__v/V5OZ025E82TFUPI", "Spain - HCP Survey Email - June 2025")</f>
        <v>Spain - HCP Survey Email - June 2025</v>
      </c>
      <c r="C5164" s="3" t="str">
        <f>HYPERLINK("https://otsuka-europe-crm.veevavault.com/ui/#object/sent_email__v/VBLZ025E82GN1Q8", "SE-000272318")</f>
        <v>SE-000272318</v>
      </c>
      <c r="D5164" s="1">
        <v>45915.982303240744</v>
      </c>
      <c r="E5164" s="2">
        <v>1</v>
      </c>
      <c r="F5164" s="2">
        <v>2</v>
      </c>
      <c r="G5164" s="2">
        <v>1</v>
      </c>
      <c r="H5164" s="1">
        <v>45915.39607638889</v>
      </c>
      <c r="I5164" s="2">
        <v>1</v>
      </c>
      <c r="J5164" s="1">
        <v>45915.37809027778</v>
      </c>
    </row>
    <row r="5165" spans="1:10" x14ac:dyDescent="0.2">
      <c r="A5165" s="4" t="s">
        <v>1</v>
      </c>
      <c r="B5165" s="3" t="str">
        <f>HYPERLINK("https://otsuka-europe-crm.veevavault.com/ui/#object/approved_document__v/V5OZ025E82TFUPI", "Spain - HCP Survey Email - June 2025")</f>
        <v>Spain - HCP Survey Email - June 2025</v>
      </c>
      <c r="C5165" s="3" t="str">
        <f>HYPERLINK("https://otsuka-europe-crm.veevavault.com/ui/#object/sent_email__v/VBLZ025E82GN1Q9", "SE-000272319")</f>
        <v>SE-000272319</v>
      </c>
      <c r="D5165" s="1">
        <v>45916.664652777778</v>
      </c>
      <c r="E5165" s="2">
        <v>1</v>
      </c>
      <c r="F5165" s="2">
        <v>1</v>
      </c>
      <c r="G5165" s="2">
        <v>0</v>
      </c>
      <c r="H5165" s="1" t="s">
        <v>0</v>
      </c>
      <c r="I5165" s="2">
        <v>0</v>
      </c>
      <c r="J5165" s="1">
        <v>45915.378657407404</v>
      </c>
    </row>
    <row r="5166" spans="1:10" x14ac:dyDescent="0.2">
      <c r="A5166" s="4" t="s">
        <v>1</v>
      </c>
      <c r="B5166" s="3" t="str">
        <f>HYPERLINK("https://otsuka-europe-crm.veevavault.com/ui/#object/approved_document__v/V5OZ025E82TFUPI", "Spain - HCP Survey Email - June 2025")</f>
        <v>Spain - HCP Survey Email - June 2025</v>
      </c>
      <c r="C5166" s="3" t="str">
        <f>HYPERLINK("https://otsuka-europe-crm.veevavault.com/ui/#object/sent_email__v/VBLZ025E82GN1QA", "SE-000272320")</f>
        <v>SE-000272320</v>
      </c>
      <c r="D5166" s="1">
        <v>45915.408715277779</v>
      </c>
      <c r="E5166" s="2">
        <v>1</v>
      </c>
      <c r="F5166" s="2">
        <v>1</v>
      </c>
      <c r="G5166" s="2">
        <v>0</v>
      </c>
      <c r="H5166" s="1" t="s">
        <v>0</v>
      </c>
      <c r="I5166" s="2">
        <v>0</v>
      </c>
      <c r="J5166" s="1">
        <v>45915.379594907405</v>
      </c>
    </row>
    <row r="5167" spans="1:10" x14ac:dyDescent="0.2">
      <c r="A5167" s="4" t="s">
        <v>1</v>
      </c>
      <c r="B5167" s="3" t="str">
        <f>HYPERLINK("https://otsuka-europe-crm.veevavault.com/ui/#object/approved_document__v/V5OZ025E82TFUPI", "Spain - HCP Survey Email - June 2025")</f>
        <v>Spain - HCP Survey Email - June 2025</v>
      </c>
      <c r="C5167" s="3" t="str">
        <f>HYPERLINK("https://otsuka-europe-crm.veevavault.com/ui/#object/sent_email__v/VBLZ025E82GN1QB", "SE-000272321")</f>
        <v>SE-000272321</v>
      </c>
      <c r="D5167" s="1" t="s">
        <v>0</v>
      </c>
      <c r="E5167" s="2">
        <v>0</v>
      </c>
      <c r="F5167" s="2">
        <v>0</v>
      </c>
      <c r="G5167" s="2">
        <v>0</v>
      </c>
      <c r="H5167" s="1" t="s">
        <v>0</v>
      </c>
      <c r="I5167" s="2">
        <v>0</v>
      </c>
      <c r="J5167" s="1">
        <v>45915.379537037035</v>
      </c>
    </row>
    <row r="5168" spans="1:10" x14ac:dyDescent="0.2">
      <c r="A5168" s="4" t="s">
        <v>1</v>
      </c>
      <c r="B5168" s="3" t="str">
        <f>HYPERLINK("https://otsuka-europe-crm.veevavault.com/ui/#object/approved_document__v/V5OZ025E82TFUPI", "Spain - HCP Survey Email - June 2025")</f>
        <v>Spain - HCP Survey Email - June 2025</v>
      </c>
      <c r="C5168" s="3" t="str">
        <f>HYPERLINK("https://otsuka-europe-crm.veevavault.com/ui/#object/sent_email__v/VBLZ025E82GN1QC", "SE-000272322")</f>
        <v>SE-000272322</v>
      </c>
      <c r="D5168" s="1">
        <v>45950.336805555555</v>
      </c>
      <c r="E5168" s="2">
        <v>1</v>
      </c>
      <c r="F5168" s="2">
        <v>7</v>
      </c>
      <c r="G5168" s="2">
        <v>0</v>
      </c>
      <c r="H5168" s="1" t="s">
        <v>0</v>
      </c>
      <c r="I5168" s="2">
        <v>0</v>
      </c>
      <c r="J5168" s="1">
        <v>45915.377534722225</v>
      </c>
    </row>
    <row r="5169" spans="1:10" x14ac:dyDescent="0.2">
      <c r="A5169" s="4" t="s">
        <v>1</v>
      </c>
      <c r="B5169" s="3" t="str">
        <f>HYPERLINK("https://otsuka-europe-crm.veevavault.com/ui/#object/approved_document__v/V5OZ025E82TFUPI", "Spain - HCP Survey Email - June 2025")</f>
        <v>Spain - HCP Survey Email - June 2025</v>
      </c>
      <c r="C5169" s="3" t="str">
        <f>HYPERLINK("https://otsuka-europe-crm.veevavault.com/ui/#object/sent_email__v/VBLZ025E82GN1QD", "SE-000272323")</f>
        <v>SE-000272323</v>
      </c>
      <c r="D5169" s="1" t="s">
        <v>0</v>
      </c>
      <c r="E5169" s="2">
        <v>0</v>
      </c>
      <c r="F5169" s="2">
        <v>0</v>
      </c>
      <c r="G5169" s="2">
        <v>0</v>
      </c>
      <c r="H5169" s="1" t="s">
        <v>0</v>
      </c>
      <c r="I5169" s="2">
        <v>0</v>
      </c>
      <c r="J5169" s="1">
        <v>45915.378541666665</v>
      </c>
    </row>
    <row r="5170" spans="1:10" x14ac:dyDescent="0.2">
      <c r="A5170" s="4" t="s">
        <v>1</v>
      </c>
      <c r="B5170" s="3" t="str">
        <f>HYPERLINK("https://otsuka-europe-crm.veevavault.com/ui/#object/approved_document__v/V5OZ025E82TFUPI", "Spain - HCP Survey Email - June 2025")</f>
        <v>Spain - HCP Survey Email - June 2025</v>
      </c>
      <c r="C5170" s="3" t="str">
        <f>HYPERLINK("https://otsuka-europe-crm.veevavault.com/ui/#object/sent_email__v/VBLZ025E82GN1QE", "SE-000272324")</f>
        <v>SE-000272324</v>
      </c>
      <c r="D5170" s="1">
        <v>45915.45040509259</v>
      </c>
      <c r="E5170" s="2">
        <v>1</v>
      </c>
      <c r="F5170" s="2">
        <v>1</v>
      </c>
      <c r="G5170" s="2">
        <v>0</v>
      </c>
      <c r="H5170" s="1" t="s">
        <v>0</v>
      </c>
      <c r="I5170" s="2">
        <v>0</v>
      </c>
      <c r="J5170" s="1">
        <v>45915.378854166665</v>
      </c>
    </row>
    <row r="5171" spans="1:10" x14ac:dyDescent="0.2">
      <c r="A5171" s="4" t="s">
        <v>1</v>
      </c>
      <c r="B5171" s="3" t="str">
        <f>HYPERLINK("https://otsuka-europe-crm.veevavault.com/ui/#object/approved_document__v/V5OZ025E82TFUPI", "Spain - HCP Survey Email - June 2025")</f>
        <v>Spain - HCP Survey Email - June 2025</v>
      </c>
      <c r="C5171" s="3" t="str">
        <f>HYPERLINK("https://otsuka-europe-crm.veevavault.com/ui/#object/sent_email__v/VBLZ025E82GN1QF", "SE-000272325")</f>
        <v>SE-000272325</v>
      </c>
      <c r="D5171" s="1" t="s">
        <v>0</v>
      </c>
      <c r="E5171" s="2">
        <v>0</v>
      </c>
      <c r="F5171" s="2">
        <v>0</v>
      </c>
      <c r="G5171" s="2">
        <v>0</v>
      </c>
      <c r="H5171" s="1" t="s">
        <v>0</v>
      </c>
      <c r="I5171" s="2">
        <v>0</v>
      </c>
      <c r="J5171" s="1">
        <v>45915.378877314812</v>
      </c>
    </row>
    <row r="5172" spans="1:10" x14ac:dyDescent="0.2">
      <c r="A5172" s="4" t="s">
        <v>1</v>
      </c>
      <c r="B5172" s="3" t="str">
        <f>HYPERLINK("https://otsuka-europe-crm.veevavault.com/ui/#object/approved_document__v/V5OZ025E82TFUPI", "Spain - HCP Survey Email - June 2025")</f>
        <v>Spain - HCP Survey Email - June 2025</v>
      </c>
      <c r="C5172" s="3" t="str">
        <f>HYPERLINK("https://otsuka-europe-crm.veevavault.com/ui/#object/sent_email__v/VBLZ025E82GN1QG", "SE-000272326")</f>
        <v>SE-000272326</v>
      </c>
      <c r="D5172" s="1">
        <v>45916.29011574074</v>
      </c>
      <c r="E5172" s="2">
        <v>1</v>
      </c>
      <c r="F5172" s="2">
        <v>2</v>
      </c>
      <c r="G5172" s="2">
        <v>0</v>
      </c>
      <c r="H5172" s="1" t="s">
        <v>0</v>
      </c>
      <c r="I5172" s="2">
        <v>0</v>
      </c>
      <c r="J5172" s="1">
        <v>45915.379050925927</v>
      </c>
    </row>
    <row r="5173" spans="1:10" x14ac:dyDescent="0.2">
      <c r="A5173" s="4" t="s">
        <v>1</v>
      </c>
      <c r="B5173" s="3" t="str">
        <f>HYPERLINK("https://otsuka-europe-crm.veevavault.com/ui/#object/approved_document__v/V5OZ025E82TFUPI", "Spain - HCP Survey Email - June 2025")</f>
        <v>Spain - HCP Survey Email - June 2025</v>
      </c>
      <c r="C5173" s="3" t="str">
        <f>HYPERLINK("https://otsuka-europe-crm.veevavault.com/ui/#object/sent_email__v/VBLZ025E82GN1QH", "SE-000272327")</f>
        <v>SE-000272327</v>
      </c>
      <c r="D5173" s="1" t="s">
        <v>0</v>
      </c>
      <c r="E5173" s="2">
        <v>0</v>
      </c>
      <c r="F5173" s="2">
        <v>0</v>
      </c>
      <c r="G5173" s="2">
        <v>0</v>
      </c>
      <c r="H5173" s="1" t="s">
        <v>0</v>
      </c>
      <c r="I5173" s="2">
        <v>0</v>
      </c>
      <c r="J5173" s="1">
        <v>45915.377812500003</v>
      </c>
    </row>
    <row r="5174" spans="1:10" x14ac:dyDescent="0.2">
      <c r="A5174" s="4" t="s">
        <v>1</v>
      </c>
      <c r="B5174" s="3" t="str">
        <f>HYPERLINK("https://otsuka-europe-crm.veevavault.com/ui/#object/approved_document__v/V5OZ025E82TFUPI", "Spain - HCP Survey Email - June 2025")</f>
        <v>Spain - HCP Survey Email - June 2025</v>
      </c>
      <c r="C5174" s="3" t="str">
        <f>HYPERLINK("https://otsuka-europe-crm.veevavault.com/ui/#object/sent_email__v/VBLZ025E82GN1QI", "SE-000272328")</f>
        <v>SE-000272328</v>
      </c>
      <c r="D5174" s="1">
        <v>45915.380497685182</v>
      </c>
      <c r="E5174" s="2">
        <v>1</v>
      </c>
      <c r="F5174" s="2">
        <v>1</v>
      </c>
      <c r="G5174" s="2">
        <v>0</v>
      </c>
      <c r="H5174" s="1" t="s">
        <v>0</v>
      </c>
      <c r="I5174" s="2">
        <v>0</v>
      </c>
      <c r="J5174" s="1">
        <v>45915.378298611111</v>
      </c>
    </row>
    <row r="5175" spans="1:10" x14ac:dyDescent="0.2">
      <c r="A5175" s="4" t="s">
        <v>1</v>
      </c>
      <c r="B5175" s="3" t="str">
        <f>HYPERLINK("https://otsuka-europe-crm.veevavault.com/ui/#object/approved_document__v/V5OZ025E82TFUPI", "Spain - HCP Survey Email - June 2025")</f>
        <v>Spain - HCP Survey Email - June 2025</v>
      </c>
      <c r="C5175" s="3" t="str">
        <f>HYPERLINK("https://otsuka-europe-crm.veevavault.com/ui/#object/sent_email__v/VBLZ025E82GN1QJ", "SE-000272329")</f>
        <v>SE-000272329</v>
      </c>
      <c r="D5175" s="1" t="s">
        <v>0</v>
      </c>
      <c r="E5175" s="2">
        <v>0</v>
      </c>
      <c r="F5175" s="2">
        <v>0</v>
      </c>
      <c r="G5175" s="2">
        <v>0</v>
      </c>
      <c r="H5175" s="1" t="s">
        <v>0</v>
      </c>
      <c r="I5175" s="2">
        <v>0</v>
      </c>
      <c r="J5175" s="1">
        <v>45915.378020833334</v>
      </c>
    </row>
    <row r="5176" spans="1:10" x14ac:dyDescent="0.2">
      <c r="A5176" s="4" t="s">
        <v>1</v>
      </c>
      <c r="B5176" s="3" t="str">
        <f>HYPERLINK("https://otsuka-europe-crm.veevavault.com/ui/#object/approved_document__v/V5OZ025E82TFUPI", "Spain - HCP Survey Email - June 2025")</f>
        <v>Spain - HCP Survey Email - June 2025</v>
      </c>
      <c r="C5176" s="3" t="str">
        <f>HYPERLINK("https://otsuka-europe-crm.veevavault.com/ui/#object/sent_email__v/VBLZ025E82GN1QK", "SE-000272330")</f>
        <v>SE-000272330</v>
      </c>
      <c r="D5176" s="1" t="s">
        <v>0</v>
      </c>
      <c r="E5176" s="2">
        <v>0</v>
      </c>
      <c r="F5176" s="2">
        <v>0</v>
      </c>
      <c r="G5176" s="2">
        <v>0</v>
      </c>
      <c r="H5176" s="1" t="s">
        <v>0</v>
      </c>
      <c r="I5176" s="2">
        <v>0</v>
      </c>
      <c r="J5176" s="1">
        <v>45915.378541666665</v>
      </c>
    </row>
    <row r="5177" spans="1:10" x14ac:dyDescent="0.2">
      <c r="A5177" s="4" t="s">
        <v>1</v>
      </c>
      <c r="B5177" s="3" t="str">
        <f>HYPERLINK("https://otsuka-europe-crm.veevavault.com/ui/#object/approved_document__v/V5OZ025E82TFUPI", "Spain - HCP Survey Email - June 2025")</f>
        <v>Spain - HCP Survey Email - June 2025</v>
      </c>
      <c r="C5177" s="3" t="str">
        <f>HYPERLINK("https://otsuka-europe-crm.veevavault.com/ui/#object/sent_email__v/VBLZ025E82GN1QL", "SE-000272331")</f>
        <v>SE-000272331</v>
      </c>
      <c r="D5177" s="1" t="s">
        <v>0</v>
      </c>
      <c r="E5177" s="2">
        <v>0</v>
      </c>
      <c r="F5177" s="2">
        <v>0</v>
      </c>
      <c r="G5177" s="2">
        <v>0</v>
      </c>
      <c r="H5177" s="1" t="s">
        <v>0</v>
      </c>
      <c r="I5177" s="2">
        <v>0</v>
      </c>
      <c r="J5177" s="1">
        <v>45915.379675925928</v>
      </c>
    </row>
    <row r="5178" spans="1:10" x14ac:dyDescent="0.2">
      <c r="A5178" s="4" t="s">
        <v>1</v>
      </c>
      <c r="B5178" s="3" t="str">
        <f>HYPERLINK("https://otsuka-europe-crm.veevavault.com/ui/#object/approved_document__v/V5OZ025E82TFUPI", "Spain - HCP Survey Email - June 2025")</f>
        <v>Spain - HCP Survey Email - June 2025</v>
      </c>
      <c r="C5178" s="3" t="str">
        <f>HYPERLINK("https://otsuka-europe-crm.veevavault.com/ui/#object/sent_email__v/VBLZ025E82GN1QM", "SE-000272332")</f>
        <v>SE-000272332</v>
      </c>
      <c r="D5178" s="1" t="s">
        <v>0</v>
      </c>
      <c r="E5178" s="2">
        <v>0</v>
      </c>
      <c r="F5178" s="2">
        <v>0</v>
      </c>
      <c r="G5178" s="2">
        <v>0</v>
      </c>
      <c r="H5178" s="1" t="s">
        <v>0</v>
      </c>
      <c r="I5178" s="2">
        <v>0</v>
      </c>
      <c r="J5178" s="1">
        <v>45915.379479166666</v>
      </c>
    </row>
    <row r="5179" spans="1:10" x14ac:dyDescent="0.2">
      <c r="A5179" s="4" t="s">
        <v>1</v>
      </c>
      <c r="B5179" s="3" t="str">
        <f>HYPERLINK("https://otsuka-europe-crm.veevavault.com/ui/#object/approved_document__v/V5OZ025E82TFUPI", "Spain - HCP Survey Email - June 2025")</f>
        <v>Spain - HCP Survey Email - June 2025</v>
      </c>
      <c r="C5179" s="3" t="str">
        <f>HYPERLINK("https://otsuka-europe-crm.veevavault.com/ui/#object/sent_email__v/VBLZ025E82GN1QN", "SE-000272333")</f>
        <v>SE-000272333</v>
      </c>
      <c r="D5179" s="1" t="s">
        <v>0</v>
      </c>
      <c r="E5179" s="2">
        <v>0</v>
      </c>
      <c r="F5179" s="2">
        <v>0</v>
      </c>
      <c r="G5179" s="2">
        <v>0</v>
      </c>
      <c r="H5179" s="1" t="s">
        <v>0</v>
      </c>
      <c r="I5179" s="2">
        <v>0</v>
      </c>
      <c r="J5179" s="1">
        <v>45915.377546296295</v>
      </c>
    </row>
    <row r="5180" spans="1:10" x14ac:dyDescent="0.2">
      <c r="A5180" s="4" t="s">
        <v>1</v>
      </c>
      <c r="B5180" s="3" t="str">
        <f>HYPERLINK("https://otsuka-europe-crm.veevavault.com/ui/#object/approved_document__v/V5OZ025E82TFUPI", "Spain - HCP Survey Email - June 2025")</f>
        <v>Spain - HCP Survey Email - June 2025</v>
      </c>
      <c r="C5180" s="3" t="str">
        <f>HYPERLINK("https://otsuka-europe-crm.veevavault.com/ui/#object/sent_email__v/VBLZ025E82GN1QO", "SE-000272334")</f>
        <v>SE-000272334</v>
      </c>
      <c r="D5180" s="1">
        <v>45948.032395833332</v>
      </c>
      <c r="E5180" s="2">
        <v>1</v>
      </c>
      <c r="F5180" s="2">
        <v>6</v>
      </c>
      <c r="G5180" s="2">
        <v>0</v>
      </c>
      <c r="H5180" s="1" t="s">
        <v>0</v>
      </c>
      <c r="I5180" s="2">
        <v>0</v>
      </c>
      <c r="J5180" s="1">
        <v>45915.378599537034</v>
      </c>
    </row>
    <row r="5181" spans="1:10" x14ac:dyDescent="0.2">
      <c r="A5181" s="4" t="s">
        <v>1</v>
      </c>
      <c r="B5181" s="3" t="str">
        <f>HYPERLINK("https://otsuka-europe-crm.veevavault.com/ui/#object/approved_document__v/V5OZ025E82TFUPI", "Spain - HCP Survey Email - June 2025")</f>
        <v>Spain - HCP Survey Email - June 2025</v>
      </c>
      <c r="C5181" s="3" t="str">
        <f>HYPERLINK("https://otsuka-europe-crm.veevavault.com/ui/#object/sent_email__v/VBLZ025E82GN1QP", "SE-000272335")</f>
        <v>SE-000272335</v>
      </c>
      <c r="D5181" s="1">
        <v>45933.644097222219</v>
      </c>
      <c r="E5181" s="2">
        <v>1</v>
      </c>
      <c r="F5181" s="2">
        <v>2</v>
      </c>
      <c r="G5181" s="2">
        <v>0</v>
      </c>
      <c r="H5181" s="1" t="s">
        <v>0</v>
      </c>
      <c r="I5181" s="2">
        <v>0</v>
      </c>
      <c r="J5181" s="1">
        <v>45915.379837962966</v>
      </c>
    </row>
    <row r="5182" spans="1:10" x14ac:dyDescent="0.2">
      <c r="A5182" s="4" t="s">
        <v>1</v>
      </c>
      <c r="B5182" s="3" t="str">
        <f>HYPERLINK("https://otsuka-europe-crm.veevavault.com/ui/#object/approved_document__v/V5OZ025E82TFUPI", "Spain - HCP Survey Email - June 2025")</f>
        <v>Spain - HCP Survey Email - June 2025</v>
      </c>
      <c r="C5182" s="3" t="str">
        <f>HYPERLINK("https://otsuka-europe-crm.veevavault.com/ui/#object/sent_email__v/VBLZ025E82GN1QQ", "SE-000272336")</f>
        <v>SE-000272336</v>
      </c>
      <c r="D5182" s="1">
        <v>45915.460648148146</v>
      </c>
      <c r="E5182" s="2">
        <v>1</v>
      </c>
      <c r="F5182" s="2">
        <v>1</v>
      </c>
      <c r="G5182" s="2">
        <v>0</v>
      </c>
      <c r="H5182" s="1" t="s">
        <v>0</v>
      </c>
      <c r="I5182" s="2">
        <v>0</v>
      </c>
      <c r="J5182" s="1">
        <v>45915.379490740743</v>
      </c>
    </row>
    <row r="5183" spans="1:10" x14ac:dyDescent="0.2">
      <c r="A5183" s="4" t="s">
        <v>1</v>
      </c>
      <c r="B5183" s="3" t="str">
        <f>HYPERLINK("https://otsuka-europe-crm.veevavault.com/ui/#object/approved_document__v/V5OZ025E82TFUPI", "Spain - HCP Survey Email - June 2025")</f>
        <v>Spain - HCP Survey Email - June 2025</v>
      </c>
      <c r="C5183" s="3" t="str">
        <f>HYPERLINK("https://otsuka-europe-crm.veevavault.com/ui/#object/sent_email__v/VBLZ025E82GN1QR", "SE-000272337")</f>
        <v>SE-000272337</v>
      </c>
      <c r="D5183" s="1">
        <v>45925.377337962964</v>
      </c>
      <c r="E5183" s="2">
        <v>1</v>
      </c>
      <c r="F5183" s="2">
        <v>2</v>
      </c>
      <c r="G5183" s="2">
        <v>0</v>
      </c>
      <c r="H5183" s="1" t="s">
        <v>0</v>
      </c>
      <c r="I5183" s="2">
        <v>0</v>
      </c>
      <c r="J5183" s="1">
        <v>45915.377511574072</v>
      </c>
    </row>
    <row r="5184" spans="1:10" x14ac:dyDescent="0.2">
      <c r="A5184" s="4" t="s">
        <v>1</v>
      </c>
      <c r="B5184" s="3" t="str">
        <f>HYPERLINK("https://otsuka-europe-crm.veevavault.com/ui/#object/approved_document__v/V5OZ025E82TFUPI", "Spain - HCP Survey Email - June 2025")</f>
        <v>Spain - HCP Survey Email - June 2025</v>
      </c>
      <c r="C5184" s="3" t="str">
        <f>HYPERLINK("https://otsuka-europe-crm.veevavault.com/ui/#object/sent_email__v/VBLZ025E82GN1QS", "SE-000272338")</f>
        <v>SE-000272338</v>
      </c>
      <c r="D5184" s="1" t="s">
        <v>0</v>
      </c>
      <c r="E5184" s="2">
        <v>0</v>
      </c>
      <c r="F5184" s="2">
        <v>0</v>
      </c>
      <c r="G5184" s="2">
        <v>0</v>
      </c>
      <c r="H5184" s="1" t="s">
        <v>0</v>
      </c>
      <c r="I5184" s="2">
        <v>0</v>
      </c>
      <c r="J5184" s="1">
        <v>45915.37841435185</v>
      </c>
    </row>
    <row r="5185" spans="1:10" x14ac:dyDescent="0.2">
      <c r="A5185" s="4" t="s">
        <v>1</v>
      </c>
      <c r="B5185" s="3" t="str">
        <f>HYPERLINK("https://otsuka-europe-crm.veevavault.com/ui/#object/approved_document__v/V5OZ025E82TFUPI", "Spain - HCP Survey Email - June 2025")</f>
        <v>Spain - HCP Survey Email - June 2025</v>
      </c>
      <c r="C5185" s="3" t="str">
        <f>HYPERLINK("https://otsuka-europe-crm.veevavault.com/ui/#object/sent_email__v/VBLZ025E82GN1QT", "SE-000272339")</f>
        <v>SE-000272339</v>
      </c>
      <c r="D5185" s="1">
        <v>45920.971261574072</v>
      </c>
      <c r="E5185" s="2">
        <v>1</v>
      </c>
      <c r="F5185" s="2">
        <v>2</v>
      </c>
      <c r="G5185" s="2">
        <v>0</v>
      </c>
      <c r="H5185" s="1" t="s">
        <v>0</v>
      </c>
      <c r="I5185" s="2">
        <v>0</v>
      </c>
      <c r="J5185" s="1">
        <v>45915.378900462965</v>
      </c>
    </row>
    <row r="5186" spans="1:10" x14ac:dyDescent="0.2">
      <c r="A5186" s="4" t="s">
        <v>1</v>
      </c>
      <c r="B5186" s="3" t="str">
        <f>HYPERLINK("https://otsuka-europe-crm.veevavault.com/ui/#object/approved_document__v/V5OZ025E82TFUPI", "Spain - HCP Survey Email - June 2025")</f>
        <v>Spain - HCP Survey Email - June 2025</v>
      </c>
      <c r="C5186" s="3" t="str">
        <f>HYPERLINK("https://otsuka-europe-crm.veevavault.com/ui/#object/sent_email__v/VBLZ025E82GN1QU", "SE-000272340")</f>
        <v>SE-000272340</v>
      </c>
      <c r="D5186" s="1" t="s">
        <v>0</v>
      </c>
      <c r="E5186" s="2">
        <v>0</v>
      </c>
      <c r="F5186" s="2">
        <v>0</v>
      </c>
      <c r="G5186" s="2">
        <v>0</v>
      </c>
      <c r="H5186" s="1" t="s">
        <v>0</v>
      </c>
      <c r="I5186" s="2">
        <v>0</v>
      </c>
      <c r="J5186" s="1">
        <v>45915.378657407404</v>
      </c>
    </row>
    <row r="5187" spans="1:10" x14ac:dyDescent="0.2">
      <c r="A5187" s="4" t="s">
        <v>1</v>
      </c>
      <c r="B5187" s="3" t="str">
        <f>HYPERLINK("https://otsuka-europe-crm.veevavault.com/ui/#object/approved_document__v/V5OZ025E82TFUPI", "Spain - HCP Survey Email - June 2025")</f>
        <v>Spain - HCP Survey Email - June 2025</v>
      </c>
      <c r="C5187" s="3" t="str">
        <f>HYPERLINK("https://otsuka-europe-crm.veevavault.com/ui/#object/sent_email__v/VBLZ025E82GN1QV", "SE-000272341")</f>
        <v>SE-000272341</v>
      </c>
      <c r="D5187" s="1">
        <v>45915.401828703703</v>
      </c>
      <c r="E5187" s="2">
        <v>1</v>
      </c>
      <c r="F5187" s="2">
        <v>1</v>
      </c>
      <c r="G5187" s="2">
        <v>0</v>
      </c>
      <c r="H5187" s="1" t="s">
        <v>0</v>
      </c>
      <c r="I5187" s="2">
        <v>0</v>
      </c>
      <c r="J5187" s="1">
        <v>45915.379004629627</v>
      </c>
    </row>
    <row r="5188" spans="1:10" x14ac:dyDescent="0.2">
      <c r="A5188" s="4" t="s">
        <v>1</v>
      </c>
      <c r="B5188" s="3" t="str">
        <f>HYPERLINK("https://otsuka-europe-crm.veevavault.com/ui/#object/approved_document__v/V5OZ025E82TFUPI", "Spain - HCP Survey Email - June 2025")</f>
        <v>Spain - HCP Survey Email - June 2025</v>
      </c>
      <c r="C5188" s="3" t="str">
        <f>HYPERLINK("https://otsuka-europe-crm.veevavault.com/ui/#object/sent_email__v/VBLZ025E82GN1QW", "SE-000272342")</f>
        <v>SE-000272342</v>
      </c>
      <c r="D5188" s="1" t="s">
        <v>0</v>
      </c>
      <c r="E5188" s="2">
        <v>0</v>
      </c>
      <c r="F5188" s="2">
        <v>0</v>
      </c>
      <c r="G5188" s="2">
        <v>0</v>
      </c>
      <c r="H5188" s="1" t="s">
        <v>0</v>
      </c>
      <c r="I5188" s="2">
        <v>0</v>
      </c>
      <c r="J5188" s="1">
        <v>45915.377824074072</v>
      </c>
    </row>
    <row r="5189" spans="1:10" x14ac:dyDescent="0.2">
      <c r="A5189" s="4" t="s">
        <v>1</v>
      </c>
      <c r="B5189" s="3" t="str">
        <f>HYPERLINK("https://otsuka-europe-crm.veevavault.com/ui/#object/approved_document__v/V5OZ025E82TFUPI", "Spain - HCP Survey Email - June 2025")</f>
        <v>Spain - HCP Survey Email - June 2025</v>
      </c>
      <c r="C5189" s="3" t="str">
        <f>HYPERLINK("https://otsuka-europe-crm.veevavault.com/ui/#object/sent_email__v/VBLZ025E82GN1QX", "SE-000272343")</f>
        <v>SE-000272343</v>
      </c>
      <c r="D5189" s="1" t="s">
        <v>0</v>
      </c>
      <c r="E5189" s="2">
        <v>0</v>
      </c>
      <c r="F5189" s="2">
        <v>0</v>
      </c>
      <c r="G5189" s="2">
        <v>0</v>
      </c>
      <c r="H5189" s="1" t="s">
        <v>0</v>
      </c>
      <c r="I5189" s="2">
        <v>0</v>
      </c>
      <c r="J5189" s="1">
        <v>45915.378113425926</v>
      </c>
    </row>
    <row r="5190" spans="1:10" x14ac:dyDescent="0.2">
      <c r="A5190" s="4" t="s">
        <v>1</v>
      </c>
      <c r="B5190" s="3" t="str">
        <f>HYPERLINK("https://otsuka-europe-crm.veevavault.com/ui/#object/approved_document__v/V5OZ025E82TFUPI", "Spain - HCP Survey Email - June 2025")</f>
        <v>Spain - HCP Survey Email - June 2025</v>
      </c>
      <c r="C5190" s="3" t="str">
        <f>HYPERLINK("https://otsuka-europe-crm.veevavault.com/ui/#object/sent_email__v/VBLZ025E82GN1QY", "SE-000272344")</f>
        <v>SE-000272344</v>
      </c>
      <c r="D5190" s="1">
        <v>45920.616805555554</v>
      </c>
      <c r="E5190" s="2">
        <v>1</v>
      </c>
      <c r="F5190" s="2">
        <v>1</v>
      </c>
      <c r="G5190" s="2">
        <v>0</v>
      </c>
      <c r="H5190" s="1" t="s">
        <v>0</v>
      </c>
      <c r="I5190" s="2">
        <v>0</v>
      </c>
      <c r="J5190" s="1">
        <v>45915.378101851849</v>
      </c>
    </row>
    <row r="5191" spans="1:10" x14ac:dyDescent="0.2">
      <c r="A5191" s="4" t="s">
        <v>1</v>
      </c>
      <c r="B5191" s="3" t="str">
        <f>HYPERLINK("https://otsuka-europe-crm.veevavault.com/ui/#object/approved_document__v/V5OZ025E82TFUPI", "Spain - HCP Survey Email - June 2025")</f>
        <v>Spain - HCP Survey Email - June 2025</v>
      </c>
      <c r="C5191" s="3" t="str">
        <f>HYPERLINK("https://otsuka-europe-crm.veevavault.com/ui/#object/sent_email__v/VBLZ025E82GN1QZ", "SE-000272345")</f>
        <v>SE-000272345</v>
      </c>
      <c r="D5191" s="1">
        <v>45915.928541666668</v>
      </c>
      <c r="E5191" s="2">
        <v>1</v>
      </c>
      <c r="F5191" s="2">
        <v>1</v>
      </c>
      <c r="G5191" s="2">
        <v>0</v>
      </c>
      <c r="H5191" s="1" t="s">
        <v>0</v>
      </c>
      <c r="I5191" s="2">
        <v>0</v>
      </c>
      <c r="J5191" s="1">
        <v>45915.378506944442</v>
      </c>
    </row>
    <row r="5192" spans="1:10" x14ac:dyDescent="0.2">
      <c r="A5192" s="4" t="s">
        <v>1</v>
      </c>
      <c r="B5192" s="3" t="str">
        <f>HYPERLINK("https://otsuka-europe-crm.veevavault.com/ui/#object/approved_document__v/V5OZ025E82TFUPI", "Spain - HCP Survey Email - June 2025")</f>
        <v>Spain - HCP Survey Email - June 2025</v>
      </c>
      <c r="C5192" s="3" t="str">
        <f>HYPERLINK("https://otsuka-europe-crm.veevavault.com/ui/#object/sent_email__v/VBLZ025E82GN1R0", "SE-000272346")</f>
        <v>SE-000272346</v>
      </c>
      <c r="D5192" s="1">
        <v>45915.381099537037</v>
      </c>
      <c r="E5192" s="2">
        <v>1</v>
      </c>
      <c r="F5192" s="2">
        <v>1</v>
      </c>
      <c r="G5192" s="2">
        <v>0</v>
      </c>
      <c r="H5192" s="1" t="s">
        <v>0</v>
      </c>
      <c r="I5192" s="2">
        <v>0</v>
      </c>
      <c r="J5192" s="1">
        <v>45915.379745370374</v>
      </c>
    </row>
    <row r="5193" spans="1:10" x14ac:dyDescent="0.2">
      <c r="A5193" s="4" t="s">
        <v>1</v>
      </c>
      <c r="B5193" s="3" t="str">
        <f>HYPERLINK("https://otsuka-europe-crm.veevavault.com/ui/#object/approved_document__v/V5OZ025E82TFUPI", "Spain - HCP Survey Email - June 2025")</f>
        <v>Spain - HCP Survey Email - June 2025</v>
      </c>
      <c r="C5193" s="3" t="str">
        <f>HYPERLINK("https://otsuka-europe-crm.veevavault.com/ui/#object/sent_email__v/VBLZ025E82GN1R1", "SE-000272347")</f>
        <v>SE-000272347</v>
      </c>
      <c r="D5193" s="1" t="s">
        <v>0</v>
      </c>
      <c r="E5193" s="2">
        <v>0</v>
      </c>
      <c r="F5193" s="2">
        <v>0</v>
      </c>
      <c r="G5193" s="2">
        <v>0</v>
      </c>
      <c r="H5193" s="1" t="s">
        <v>0</v>
      </c>
      <c r="I5193" s="2">
        <v>0</v>
      </c>
      <c r="J5193" s="1">
        <v>45915.379537037035</v>
      </c>
    </row>
    <row r="5194" spans="1:10" x14ac:dyDescent="0.2">
      <c r="A5194" s="4" t="s">
        <v>1</v>
      </c>
      <c r="B5194" s="3" t="str">
        <f>HYPERLINK("https://otsuka-europe-crm.veevavault.com/ui/#object/approved_document__v/V5OZ025E82TFUPI", "Spain - HCP Survey Email - June 2025")</f>
        <v>Spain - HCP Survey Email - June 2025</v>
      </c>
      <c r="C5194" s="3" t="str">
        <f>HYPERLINK("https://otsuka-europe-crm.veevavault.com/ui/#object/sent_email__v/VBLZ025E82GN1R2", "SE-000272348")</f>
        <v>SE-000272348</v>
      </c>
      <c r="D5194" s="1">
        <v>45918.191284722219</v>
      </c>
      <c r="E5194" s="2">
        <v>1</v>
      </c>
      <c r="F5194" s="2">
        <v>3</v>
      </c>
      <c r="G5194" s="2">
        <v>1</v>
      </c>
      <c r="H5194" s="1">
        <v>45915.648854166669</v>
      </c>
      <c r="I5194" s="2">
        <v>2</v>
      </c>
      <c r="J5194" s="1">
        <v>45915.377465277779</v>
      </c>
    </row>
    <row r="5195" spans="1:10" x14ac:dyDescent="0.2">
      <c r="A5195" s="4" t="s">
        <v>1</v>
      </c>
      <c r="B5195" s="3" t="str">
        <f>HYPERLINK("https://otsuka-europe-crm.veevavault.com/ui/#object/approved_document__v/V5OZ025E82TFUPI", "Spain - HCP Survey Email - June 2025")</f>
        <v>Spain - HCP Survey Email - June 2025</v>
      </c>
      <c r="C5195" s="3" t="str">
        <f>HYPERLINK("https://otsuka-europe-crm.veevavault.com/ui/#object/sent_email__v/VBLZ025E82GN1R3", "SE-000272349")</f>
        <v>SE-000272349</v>
      </c>
      <c r="D5195" s="1" t="s">
        <v>0</v>
      </c>
      <c r="E5195" s="2">
        <v>0</v>
      </c>
      <c r="F5195" s="2">
        <v>0</v>
      </c>
      <c r="G5195" s="2">
        <v>0</v>
      </c>
      <c r="H5195" s="1" t="s">
        <v>0</v>
      </c>
      <c r="I5195" s="2">
        <v>0</v>
      </c>
      <c r="J5195" s="1">
        <v>45915.378460648149</v>
      </c>
    </row>
    <row r="5196" spans="1:10" x14ac:dyDescent="0.2">
      <c r="A5196" s="4" t="s">
        <v>1</v>
      </c>
      <c r="B5196" s="3" t="str">
        <f>HYPERLINK("https://otsuka-europe-crm.veevavault.com/ui/#object/approved_document__v/V5OZ025E82TFUPI", "Spain - HCP Survey Email - June 2025")</f>
        <v>Spain - HCP Survey Email - June 2025</v>
      </c>
      <c r="C5196" s="3" t="str">
        <f>HYPERLINK("https://otsuka-europe-crm.veevavault.com/ui/#object/sent_email__v/VBLZ025E82GN1R4", "SE-000272350")</f>
        <v>SE-000272350</v>
      </c>
      <c r="D5196" s="1">
        <v>45939.420949074076</v>
      </c>
      <c r="E5196" s="2">
        <v>1</v>
      </c>
      <c r="F5196" s="2">
        <v>2</v>
      </c>
      <c r="G5196" s="2">
        <v>0</v>
      </c>
      <c r="H5196" s="1" t="s">
        <v>0</v>
      </c>
      <c r="I5196" s="2">
        <v>0</v>
      </c>
      <c r="J5196" s="1">
        <v>45915.378969907404</v>
      </c>
    </row>
    <row r="5197" spans="1:10" x14ac:dyDescent="0.2">
      <c r="A5197" s="4" t="s">
        <v>1</v>
      </c>
      <c r="B5197" s="3" t="str">
        <f>HYPERLINK("https://otsuka-europe-crm.veevavault.com/ui/#object/approved_document__v/V5OZ025E82TFUPI", "Spain - HCP Survey Email - June 2025")</f>
        <v>Spain - HCP Survey Email - June 2025</v>
      </c>
      <c r="C5197" s="3" t="str">
        <f>HYPERLINK("https://otsuka-europe-crm.veevavault.com/ui/#object/sent_email__v/VBLZ025E82GN1R5", "SE-000272351")</f>
        <v>SE-000272351</v>
      </c>
      <c r="D5197" s="1" t="s">
        <v>0</v>
      </c>
      <c r="E5197" s="2">
        <v>0</v>
      </c>
      <c r="F5197" s="2">
        <v>0</v>
      </c>
      <c r="G5197" s="2">
        <v>0</v>
      </c>
      <c r="H5197" s="1" t="s">
        <v>0</v>
      </c>
      <c r="I5197" s="2">
        <v>0</v>
      </c>
      <c r="J5197" s="1">
        <v>45915.378796296296</v>
      </c>
    </row>
    <row r="5198" spans="1:10" x14ac:dyDescent="0.2">
      <c r="A5198" s="4" t="s">
        <v>1</v>
      </c>
      <c r="B5198" s="3" t="str">
        <f>HYPERLINK("https://otsuka-europe-crm.veevavault.com/ui/#object/approved_document__v/V5OZ025E82TFUPI", "Spain - HCP Survey Email - June 2025")</f>
        <v>Spain - HCP Survey Email - June 2025</v>
      </c>
      <c r="C5198" s="3" t="str">
        <f>HYPERLINK("https://otsuka-europe-crm.veevavault.com/ui/#object/sent_email__v/VBLZ025E82GN1R6", "SE-000272352")</f>
        <v>SE-000272352</v>
      </c>
      <c r="D5198" s="1" t="s">
        <v>0</v>
      </c>
      <c r="E5198" s="2">
        <v>0</v>
      </c>
      <c r="F5198" s="2">
        <v>0</v>
      </c>
      <c r="G5198" s="2">
        <v>0</v>
      </c>
      <c r="H5198" s="1" t="s">
        <v>0</v>
      </c>
      <c r="I5198" s="2">
        <v>0</v>
      </c>
      <c r="J5198" s="1">
        <v>45915.379143518519</v>
      </c>
    </row>
    <row r="5199" spans="1:10" x14ac:dyDescent="0.2">
      <c r="A5199" s="4" t="s">
        <v>1</v>
      </c>
      <c r="B5199" s="3" t="str">
        <f>HYPERLINK("https://otsuka-europe-crm.veevavault.com/ui/#object/approved_document__v/V5OZ025E82TFUPI", "Spain - HCP Survey Email - June 2025")</f>
        <v>Spain - HCP Survey Email - June 2025</v>
      </c>
      <c r="C5199" s="3" t="str">
        <f>HYPERLINK("https://otsuka-europe-crm.veevavault.com/ui/#object/sent_email__v/VBLZ025E82GN1R7", "SE-000272353")</f>
        <v>SE-000272353</v>
      </c>
      <c r="D5199" s="1">
        <v>45915.470625000002</v>
      </c>
      <c r="E5199" s="2">
        <v>1</v>
      </c>
      <c r="F5199" s="2">
        <v>1</v>
      </c>
      <c r="G5199" s="2">
        <v>1</v>
      </c>
      <c r="H5199" s="1">
        <v>45915.471006944441</v>
      </c>
      <c r="I5199" s="2">
        <v>4</v>
      </c>
      <c r="J5199" s="1">
        <v>45915.377800925926</v>
      </c>
    </row>
    <row r="5200" spans="1:10" x14ac:dyDescent="0.2">
      <c r="A5200" s="4" t="s">
        <v>1</v>
      </c>
      <c r="B5200" s="3" t="str">
        <f>HYPERLINK("https://otsuka-europe-crm.veevavault.com/ui/#object/approved_document__v/V5OZ025E82TFUPI", "Spain - HCP Survey Email - June 2025")</f>
        <v>Spain - HCP Survey Email - June 2025</v>
      </c>
      <c r="C5200" s="3" t="str">
        <f>HYPERLINK("https://otsuka-europe-crm.veevavault.com/ui/#object/sent_email__v/VBLZ025E82GN1R8", "SE-000272354")</f>
        <v>SE-000272354</v>
      </c>
      <c r="D5200" s="1">
        <v>45923.898645833331</v>
      </c>
      <c r="E5200" s="2">
        <v>1</v>
      </c>
      <c r="F5200" s="2">
        <v>1</v>
      </c>
      <c r="G5200" s="2">
        <v>1</v>
      </c>
      <c r="H5200" s="1">
        <v>45923.899027777778</v>
      </c>
      <c r="I5200" s="2">
        <v>1</v>
      </c>
      <c r="J5200" s="1">
        <v>45915.378217592595</v>
      </c>
    </row>
    <row r="5201" spans="1:10" x14ac:dyDescent="0.2">
      <c r="A5201" s="4" t="s">
        <v>1</v>
      </c>
      <c r="B5201" s="3" t="str">
        <f>HYPERLINK("https://otsuka-europe-crm.veevavault.com/ui/#object/approved_document__v/V5OZ025E82TFUPI", "Spain - HCP Survey Email - June 2025")</f>
        <v>Spain - HCP Survey Email - June 2025</v>
      </c>
      <c r="C5201" s="3" t="str">
        <f>HYPERLINK("https://otsuka-europe-crm.veevavault.com/ui/#object/sent_email__v/VBLZ025E82GN1R9", "SE-000272355")</f>
        <v>SE-000272355</v>
      </c>
      <c r="D5201" s="1">
        <v>45915.386562500003</v>
      </c>
      <c r="E5201" s="2">
        <v>1</v>
      </c>
      <c r="F5201" s="2">
        <v>1</v>
      </c>
      <c r="G5201" s="2">
        <v>0</v>
      </c>
      <c r="H5201" s="1" t="s">
        <v>0</v>
      </c>
      <c r="I5201" s="2">
        <v>0</v>
      </c>
      <c r="J5201" s="1">
        <v>45915.378055555557</v>
      </c>
    </row>
    <row r="5202" spans="1:10" x14ac:dyDescent="0.2">
      <c r="A5202" s="4" t="s">
        <v>1</v>
      </c>
      <c r="B5202" s="3" t="str">
        <f>HYPERLINK("https://otsuka-europe-crm.veevavault.com/ui/#object/approved_document__v/V5OZ025E82TFUPI", "Spain - HCP Survey Email - June 2025")</f>
        <v>Spain - HCP Survey Email - June 2025</v>
      </c>
      <c r="C5202" s="3" t="str">
        <f>HYPERLINK("https://otsuka-europe-crm.veevavault.com/ui/#object/sent_email__v/VBLZ025E82GN1RA", "SE-000272356")</f>
        <v>SE-000272356</v>
      </c>
      <c r="D5202" s="1">
        <v>45915.423807870371</v>
      </c>
      <c r="E5202" s="2">
        <v>1</v>
      </c>
      <c r="F5202" s="2">
        <v>1</v>
      </c>
      <c r="G5202" s="2">
        <v>1</v>
      </c>
      <c r="H5202" s="1">
        <v>45915.424247685187</v>
      </c>
      <c r="I5202" s="2">
        <v>2</v>
      </c>
      <c r="J5202" s="1">
        <v>45915.378958333335</v>
      </c>
    </row>
    <row r="5203" spans="1:10" x14ac:dyDescent="0.2">
      <c r="A5203" s="4" t="s">
        <v>1</v>
      </c>
      <c r="B5203" s="3" t="str">
        <f>HYPERLINK("https://otsuka-europe-crm.veevavault.com/ui/#object/approved_document__v/V5OZ025E82TFUPI", "Spain - HCP Survey Email - June 2025")</f>
        <v>Spain - HCP Survey Email - June 2025</v>
      </c>
      <c r="C5203" s="3" t="str">
        <f>HYPERLINK("https://otsuka-europe-crm.veevavault.com/ui/#object/sent_email__v/VBLZ025E82GN1RB", "SE-000272357")</f>
        <v>SE-000272357</v>
      </c>
      <c r="D5203" s="1">
        <v>45915.42291666667</v>
      </c>
      <c r="E5203" s="2">
        <v>1</v>
      </c>
      <c r="F5203" s="2">
        <v>3</v>
      </c>
      <c r="G5203" s="2">
        <v>0</v>
      </c>
      <c r="H5203" s="1" t="s">
        <v>0</v>
      </c>
      <c r="I5203" s="2">
        <v>0</v>
      </c>
      <c r="J5203" s="1">
        <v>45915.379687499997</v>
      </c>
    </row>
    <row r="5204" spans="1:10" x14ac:dyDescent="0.2">
      <c r="A5204" s="4" t="s">
        <v>1</v>
      </c>
      <c r="B5204" s="3" t="str">
        <f>HYPERLINK("https://otsuka-europe-crm.veevavault.com/ui/#object/approved_document__v/V5OZ025E82TFUPI", "Spain - HCP Survey Email - June 2025")</f>
        <v>Spain - HCP Survey Email - June 2025</v>
      </c>
      <c r="C5204" s="3" t="str">
        <f>HYPERLINK("https://otsuka-europe-crm.veevavault.com/ui/#object/sent_email__v/VBLZ025E82GN1RC", "SE-000272358")</f>
        <v>SE-000272358</v>
      </c>
      <c r="D5204" s="1">
        <v>45915.37972222222</v>
      </c>
      <c r="E5204" s="2">
        <v>1</v>
      </c>
      <c r="F5204" s="2">
        <v>1</v>
      </c>
      <c r="G5204" s="2">
        <v>1</v>
      </c>
      <c r="H5204" s="1">
        <v>45922.530682870369</v>
      </c>
      <c r="I5204" s="2">
        <v>3</v>
      </c>
      <c r="J5204" s="1">
        <v>45915.379502314812</v>
      </c>
    </row>
    <row r="5205" spans="1:10" x14ac:dyDescent="0.2">
      <c r="A5205" s="4" t="s">
        <v>1</v>
      </c>
      <c r="B5205" s="3" t="str">
        <f>HYPERLINK("https://otsuka-europe-crm.veevavault.com/ui/#object/approved_document__v/V5OZ025E82TFUPI", "Spain - HCP Survey Email - June 2025")</f>
        <v>Spain - HCP Survey Email - June 2025</v>
      </c>
      <c r="C5205" s="3" t="str">
        <f>HYPERLINK("https://otsuka-europe-crm.veevavault.com/ui/#object/sent_email__v/VBLZ025E82GN1RD", "SE-000272359")</f>
        <v>SE-000272359</v>
      </c>
      <c r="D5205" s="1" t="s">
        <v>0</v>
      </c>
      <c r="E5205" s="2">
        <v>0</v>
      </c>
      <c r="F5205" s="2">
        <v>0</v>
      </c>
      <c r="G5205" s="2">
        <v>0</v>
      </c>
      <c r="H5205" s="1" t="s">
        <v>0</v>
      </c>
      <c r="I5205" s="2">
        <v>0</v>
      </c>
      <c r="J5205" s="1">
        <v>45915.377534722225</v>
      </c>
    </row>
    <row r="5206" spans="1:10" x14ac:dyDescent="0.2">
      <c r="A5206" s="4" t="s">
        <v>1</v>
      </c>
      <c r="B5206" s="3" t="str">
        <f>HYPERLINK("https://otsuka-europe-crm.veevavault.com/ui/#object/approved_document__v/V5OZ025E82TFUPI", "Spain - HCP Survey Email - June 2025")</f>
        <v>Spain - HCP Survey Email - June 2025</v>
      </c>
      <c r="C5206" s="3" t="str">
        <f>HYPERLINK("https://otsuka-europe-crm.veevavault.com/ui/#object/sent_email__v/VBLZ025E82GN1RE", "SE-000272360")</f>
        <v>SE-000272360</v>
      </c>
      <c r="D5206" s="1">
        <v>45921.511134259257</v>
      </c>
      <c r="E5206" s="2">
        <v>1</v>
      </c>
      <c r="F5206" s="2">
        <v>1</v>
      </c>
      <c r="G5206" s="2">
        <v>0</v>
      </c>
      <c r="H5206" s="1" t="s">
        <v>0</v>
      </c>
      <c r="I5206" s="2">
        <v>0</v>
      </c>
      <c r="J5206" s="1">
        <v>45915.378078703703</v>
      </c>
    </row>
    <row r="5207" spans="1:10" x14ac:dyDescent="0.2">
      <c r="A5207" s="4" t="s">
        <v>1</v>
      </c>
      <c r="B5207" s="3" t="str">
        <f>HYPERLINK("https://otsuka-europe-crm.veevavault.com/ui/#object/approved_document__v/V5OZ025E82TFUPI", "Spain - HCP Survey Email - June 2025")</f>
        <v>Spain - HCP Survey Email - June 2025</v>
      </c>
      <c r="C5207" s="3" t="str">
        <f>HYPERLINK("https://otsuka-europe-crm.veevavault.com/ui/#object/sent_email__v/VBLZ025E82GN1RF", "SE-000272361")</f>
        <v>SE-000272361</v>
      </c>
      <c r="D5207" s="1" t="s">
        <v>0</v>
      </c>
      <c r="E5207" s="2">
        <v>0</v>
      </c>
      <c r="F5207" s="2">
        <v>0</v>
      </c>
      <c r="G5207" s="2">
        <v>0</v>
      </c>
      <c r="H5207" s="1" t="s">
        <v>0</v>
      </c>
      <c r="I5207" s="2">
        <v>0</v>
      </c>
      <c r="J5207" s="1">
        <v>45915.378946759258</v>
      </c>
    </row>
    <row r="5208" spans="1:10" x14ac:dyDescent="0.2">
      <c r="A5208" s="4" t="s">
        <v>1</v>
      </c>
      <c r="B5208" s="3" t="str">
        <f>HYPERLINK("https://otsuka-europe-crm.veevavault.com/ui/#object/approved_document__v/V5OZ025E82TFUPI", "Spain - HCP Survey Email - June 2025")</f>
        <v>Spain - HCP Survey Email - June 2025</v>
      </c>
      <c r="C5208" s="3" t="str">
        <f>HYPERLINK("https://otsuka-europe-crm.veevavault.com/ui/#object/sent_email__v/VBLZ025E82GN1RG", "SE-000272362")</f>
        <v>SE-000272362</v>
      </c>
      <c r="D5208" s="1" t="s">
        <v>0</v>
      </c>
      <c r="E5208" s="2">
        <v>0</v>
      </c>
      <c r="F5208" s="2">
        <v>0</v>
      </c>
      <c r="G5208" s="2">
        <v>0</v>
      </c>
      <c r="H5208" s="1" t="s">
        <v>0</v>
      </c>
      <c r="I5208" s="2">
        <v>0</v>
      </c>
      <c r="J5208" s="1">
        <v>45915.37972222222</v>
      </c>
    </row>
    <row r="5209" spans="1:10" x14ac:dyDescent="0.2">
      <c r="A5209" s="4" t="s">
        <v>1</v>
      </c>
      <c r="B5209" s="3" t="str">
        <f>HYPERLINK("https://otsuka-europe-crm.veevavault.com/ui/#object/approved_document__v/V5OZ025E82TFUPI", "Spain - HCP Survey Email - June 2025")</f>
        <v>Spain - HCP Survey Email - June 2025</v>
      </c>
      <c r="C5209" s="3" t="str">
        <f>HYPERLINK("https://otsuka-europe-crm.veevavault.com/ui/#object/sent_email__v/VBLZ025E82GN1RH", "SE-000272363")</f>
        <v>SE-000272363</v>
      </c>
      <c r="D5209" s="1">
        <v>45915.542025462964</v>
      </c>
      <c r="E5209" s="2">
        <v>1</v>
      </c>
      <c r="F5209" s="2">
        <v>1</v>
      </c>
      <c r="G5209" s="2">
        <v>0</v>
      </c>
      <c r="H5209" s="1" t="s">
        <v>0</v>
      </c>
      <c r="I5209" s="2">
        <v>0</v>
      </c>
      <c r="J5209" s="1">
        <v>45915.379490740743</v>
      </c>
    </row>
    <row r="5210" spans="1:10" x14ac:dyDescent="0.2">
      <c r="A5210" s="4" t="s">
        <v>1</v>
      </c>
      <c r="B5210" s="3" t="str">
        <f>HYPERLINK("https://otsuka-europe-crm.veevavault.com/ui/#object/approved_document__v/V5OZ025E82TFUPI", "Spain - HCP Survey Email - June 2025")</f>
        <v>Spain - HCP Survey Email - June 2025</v>
      </c>
      <c r="C5210" s="3" t="str">
        <f>HYPERLINK("https://otsuka-europe-crm.veevavault.com/ui/#object/sent_email__v/VBLZ025E82GN1RI", "SE-000272364")</f>
        <v>SE-000272364</v>
      </c>
      <c r="D5210" s="1" t="s">
        <v>0</v>
      </c>
      <c r="E5210" s="2">
        <v>0</v>
      </c>
      <c r="F5210" s="2">
        <v>0</v>
      </c>
      <c r="G5210" s="2">
        <v>0</v>
      </c>
      <c r="H5210" s="1" t="s">
        <v>0</v>
      </c>
      <c r="I5210" s="2">
        <v>0</v>
      </c>
      <c r="J5210" s="1">
        <v>45915.377523148149</v>
      </c>
    </row>
    <row r="5211" spans="1:10" x14ac:dyDescent="0.2">
      <c r="A5211" s="4" t="s">
        <v>1</v>
      </c>
      <c r="B5211" s="3" t="str">
        <f>HYPERLINK("https://otsuka-europe-crm.veevavault.com/ui/#object/approved_document__v/V5OZ025E82TFUPI", "Spain - HCP Survey Email - June 2025")</f>
        <v>Spain - HCP Survey Email - June 2025</v>
      </c>
      <c r="C5211" s="3" t="str">
        <f>HYPERLINK("https://otsuka-europe-crm.veevavault.com/ui/#object/sent_email__v/VBLZ025E82GN1RJ", "SE-000272365")</f>
        <v>SE-000272365</v>
      </c>
      <c r="D5211" s="1" t="s">
        <v>0</v>
      </c>
      <c r="E5211" s="2">
        <v>0</v>
      </c>
      <c r="F5211" s="2">
        <v>0</v>
      </c>
      <c r="G5211" s="2">
        <v>0</v>
      </c>
      <c r="H5211" s="1" t="s">
        <v>0</v>
      </c>
      <c r="I5211" s="2">
        <v>0</v>
      </c>
      <c r="J5211" s="1">
        <v>45915.378472222219</v>
      </c>
    </row>
    <row r="5212" spans="1:10" x14ac:dyDescent="0.2">
      <c r="A5212" s="4" t="s">
        <v>1</v>
      </c>
      <c r="B5212" s="3" t="str">
        <f>HYPERLINK("https://otsuka-europe-crm.veevavault.com/ui/#object/approved_document__v/V5OZ025E82TFUPI", "Spain - HCP Survey Email - June 2025")</f>
        <v>Spain - HCP Survey Email - June 2025</v>
      </c>
      <c r="C5212" s="3" t="str">
        <f>HYPERLINK("https://otsuka-europe-crm.veevavault.com/ui/#object/sent_email__v/VBLZ025E82GN1RK", "SE-000272366")</f>
        <v>SE-000272366</v>
      </c>
      <c r="D5212" s="1" t="s">
        <v>0</v>
      </c>
      <c r="E5212" s="2">
        <v>0</v>
      </c>
      <c r="F5212" s="2">
        <v>0</v>
      </c>
      <c r="G5212" s="2">
        <v>0</v>
      </c>
      <c r="H5212" s="1" t="s">
        <v>0</v>
      </c>
      <c r="I5212" s="2">
        <v>0</v>
      </c>
      <c r="J5212" s="1">
        <v>45915.378888888888</v>
      </c>
    </row>
    <row r="5213" spans="1:10" x14ac:dyDescent="0.2">
      <c r="A5213" s="4" t="s">
        <v>1</v>
      </c>
      <c r="B5213" s="3" t="str">
        <f>HYPERLINK("https://otsuka-europe-crm.veevavault.com/ui/#object/approved_document__v/V5OZ025E82TFUPI", "Spain - HCP Survey Email - June 2025")</f>
        <v>Spain - HCP Survey Email - June 2025</v>
      </c>
      <c r="C5213" s="3" t="str">
        <f>HYPERLINK("https://otsuka-europe-crm.veevavault.com/ui/#object/sent_email__v/VBLZ025E82GN1RL", "SE-000272367")</f>
        <v>SE-000272367</v>
      </c>
      <c r="D5213" s="1">
        <v>45920.979733796295</v>
      </c>
      <c r="E5213" s="2">
        <v>1</v>
      </c>
      <c r="F5213" s="2">
        <v>1</v>
      </c>
      <c r="G5213" s="2">
        <v>0</v>
      </c>
      <c r="H5213" s="1" t="s">
        <v>0</v>
      </c>
      <c r="I5213" s="2">
        <v>0</v>
      </c>
      <c r="J5213" s="1">
        <v>45915.378680555557</v>
      </c>
    </row>
    <row r="5214" spans="1:10" x14ac:dyDescent="0.2">
      <c r="A5214" s="4" t="s">
        <v>1</v>
      </c>
      <c r="B5214" s="3" t="str">
        <f>HYPERLINK("https://otsuka-europe-crm.veevavault.com/ui/#object/approved_document__v/V5OZ025E82TFUPI", "Spain - HCP Survey Email - June 2025")</f>
        <v>Spain - HCP Survey Email - June 2025</v>
      </c>
      <c r="C5214" s="3" t="str">
        <f>HYPERLINK("https://otsuka-europe-crm.veevavault.com/ui/#object/sent_email__v/VBLZ025E82GN1RM", "SE-000272368")</f>
        <v>SE-000272368</v>
      </c>
      <c r="D5214" s="1">
        <v>45915.957395833335</v>
      </c>
      <c r="E5214" s="2">
        <v>1</v>
      </c>
      <c r="F5214" s="2">
        <v>1</v>
      </c>
      <c r="G5214" s="2">
        <v>0</v>
      </c>
      <c r="H5214" s="1" t="s">
        <v>0</v>
      </c>
      <c r="I5214" s="2">
        <v>0</v>
      </c>
      <c r="J5214" s="1">
        <v>45915.379236111112</v>
      </c>
    </row>
    <row r="5215" spans="1:10" x14ac:dyDescent="0.2">
      <c r="A5215" s="4" t="s">
        <v>1</v>
      </c>
      <c r="B5215" s="3" t="str">
        <f>HYPERLINK("https://otsuka-europe-crm.veevavault.com/ui/#object/approved_document__v/V5OZ025E82TFUPI", "Spain - HCP Survey Email - June 2025")</f>
        <v>Spain - HCP Survey Email - June 2025</v>
      </c>
      <c r="C5215" s="3" t="str">
        <f>HYPERLINK("https://otsuka-europe-crm.veevavault.com/ui/#object/sent_email__v/VBLZ025E82GN1RN", "SE-000272369")</f>
        <v>SE-000272369</v>
      </c>
      <c r="D5215" s="1">
        <v>45916.954861111109</v>
      </c>
      <c r="E5215" s="2">
        <v>1</v>
      </c>
      <c r="F5215" s="2">
        <v>2</v>
      </c>
      <c r="G5215" s="2">
        <v>0</v>
      </c>
      <c r="H5215" s="1" t="s">
        <v>0</v>
      </c>
      <c r="I5215" s="2">
        <v>0</v>
      </c>
      <c r="J5215" s="1">
        <v>45915.377754629626</v>
      </c>
    </row>
    <row r="5216" spans="1:10" x14ac:dyDescent="0.2">
      <c r="A5216" s="4" t="s">
        <v>1</v>
      </c>
      <c r="B5216" s="3" t="str">
        <f>HYPERLINK("https://otsuka-europe-crm.veevavault.com/ui/#object/approved_document__v/V5OZ025E82TFUPI", "Spain - HCP Survey Email - June 2025")</f>
        <v>Spain - HCP Survey Email - June 2025</v>
      </c>
      <c r="C5216" s="3" t="str">
        <f>HYPERLINK("https://otsuka-europe-crm.veevavault.com/ui/#object/sent_email__v/VBLZ025E82GN1RO", "SE-000272370")</f>
        <v>SE-000272370</v>
      </c>
      <c r="D5216" s="1" t="s">
        <v>0</v>
      </c>
      <c r="E5216" s="2">
        <v>0</v>
      </c>
      <c r="F5216" s="2">
        <v>0</v>
      </c>
      <c r="G5216" s="2">
        <v>0</v>
      </c>
      <c r="H5216" s="1" t="s">
        <v>0</v>
      </c>
      <c r="I5216" s="2">
        <v>0</v>
      </c>
      <c r="J5216" s="1">
        <v>45915.378182870372</v>
      </c>
    </row>
    <row r="5217" spans="1:10" x14ac:dyDescent="0.2">
      <c r="A5217" s="4" t="s">
        <v>1</v>
      </c>
      <c r="B5217" s="3" t="str">
        <f>HYPERLINK("https://otsuka-europe-crm.veevavault.com/ui/#object/approved_document__v/V5OZ025E82TFUPI", "Spain - HCP Survey Email - June 2025")</f>
        <v>Spain - HCP Survey Email - June 2025</v>
      </c>
      <c r="C5217" s="3" t="str">
        <f>HYPERLINK("https://otsuka-europe-crm.veevavault.com/ui/#object/sent_email__v/VBLZ025E82GN1RP", "SE-000272371")</f>
        <v>SE-000272371</v>
      </c>
      <c r="D5217" s="1" t="s">
        <v>0</v>
      </c>
      <c r="E5217" s="2">
        <v>0</v>
      </c>
      <c r="F5217" s="2">
        <v>0</v>
      </c>
      <c r="G5217" s="2">
        <v>0</v>
      </c>
      <c r="H5217" s="1" t="s">
        <v>0</v>
      </c>
      <c r="I5217" s="2">
        <v>0</v>
      </c>
      <c r="J5217" s="1">
        <v>45915.37809027778</v>
      </c>
    </row>
    <row r="5218" spans="1:10" x14ac:dyDescent="0.2">
      <c r="A5218" s="4" t="s">
        <v>1</v>
      </c>
      <c r="B5218" s="3" t="str">
        <f>HYPERLINK("https://otsuka-europe-crm.veevavault.com/ui/#object/approved_document__v/V5OZ025E82TFUPI", "Spain - HCP Survey Email - June 2025")</f>
        <v>Spain - HCP Survey Email - June 2025</v>
      </c>
      <c r="C5218" s="3" t="str">
        <f>HYPERLINK("https://otsuka-europe-crm.veevavault.com/ui/#object/sent_email__v/VBLZ025E82GN1RQ", "SE-000272372")</f>
        <v>SE-000272372</v>
      </c>
      <c r="D5218" s="1">
        <v>45915.592199074075</v>
      </c>
      <c r="E5218" s="2">
        <v>1</v>
      </c>
      <c r="F5218" s="2">
        <v>1</v>
      </c>
      <c r="G5218" s="2">
        <v>0</v>
      </c>
      <c r="H5218" s="1" t="s">
        <v>0</v>
      </c>
      <c r="I5218" s="2">
        <v>0</v>
      </c>
      <c r="J5218" s="1">
        <v>45915.378946759258</v>
      </c>
    </row>
    <row r="5219" spans="1:10" x14ac:dyDescent="0.2">
      <c r="A5219" s="4" t="s">
        <v>1</v>
      </c>
      <c r="B5219" s="3" t="str">
        <f>HYPERLINK("https://otsuka-europe-crm.veevavault.com/ui/#object/approved_document__v/V5OZ025E82TFUPI", "Spain - HCP Survey Email - June 2025")</f>
        <v>Spain - HCP Survey Email - June 2025</v>
      </c>
      <c r="C5219" s="3" t="str">
        <f>HYPERLINK("https://otsuka-europe-crm.veevavault.com/ui/#object/sent_email__v/VBLZ025E82GN1RR", "SE-000272373")</f>
        <v>SE-000272373</v>
      </c>
      <c r="D5219" s="1" t="s">
        <v>0</v>
      </c>
      <c r="E5219" s="2">
        <v>0</v>
      </c>
      <c r="F5219" s="2">
        <v>0</v>
      </c>
      <c r="G5219" s="2">
        <v>0</v>
      </c>
      <c r="H5219" s="1" t="s">
        <v>0</v>
      </c>
      <c r="I5219" s="2">
        <v>0</v>
      </c>
      <c r="J5219" s="1">
        <v>45915.379675925928</v>
      </c>
    </row>
    <row r="5220" spans="1:10" x14ac:dyDescent="0.2">
      <c r="A5220" s="4" t="s">
        <v>1</v>
      </c>
      <c r="B5220" s="3" t="str">
        <f>HYPERLINK("https://otsuka-europe-crm.veevavault.com/ui/#object/approved_document__v/V5OZ025E82TFUPI", "Spain - HCP Survey Email - June 2025")</f>
        <v>Spain - HCP Survey Email - June 2025</v>
      </c>
      <c r="C5220" s="3" t="str">
        <f>HYPERLINK("https://otsuka-europe-crm.veevavault.com/ui/#object/sent_email__v/VBLZ025E82GN1RS", "SE-000272374")</f>
        <v>SE-000272374</v>
      </c>
      <c r="D5220" s="1">
        <v>45920.951284722221</v>
      </c>
      <c r="E5220" s="2">
        <v>1</v>
      </c>
      <c r="F5220" s="2">
        <v>3</v>
      </c>
      <c r="G5220" s="2">
        <v>0</v>
      </c>
      <c r="H5220" s="1" t="s">
        <v>0</v>
      </c>
      <c r="I5220" s="2">
        <v>0</v>
      </c>
      <c r="J5220" s="1">
        <v>45915.379606481481</v>
      </c>
    </row>
    <row r="5221" spans="1:10" x14ac:dyDescent="0.2">
      <c r="A5221" s="4" t="s">
        <v>1</v>
      </c>
      <c r="B5221" s="3" t="str">
        <f>HYPERLINK("https://otsuka-europe-crm.veevavault.com/ui/#object/approved_document__v/V5OZ025E82TFUPI", "Spain - HCP Survey Email - June 2025")</f>
        <v>Spain - HCP Survey Email - June 2025</v>
      </c>
      <c r="C5221" s="3" t="str">
        <f>HYPERLINK("https://otsuka-europe-crm.veevavault.com/ui/#object/sent_email__v/VBLZ025E82GN1RT", "SE-000272375")</f>
        <v>SE-000272375</v>
      </c>
      <c r="D5221" s="1">
        <v>45948.388715277775</v>
      </c>
      <c r="E5221" s="2">
        <v>1</v>
      </c>
      <c r="F5221" s="2">
        <v>7</v>
      </c>
      <c r="G5221" s="2">
        <v>0</v>
      </c>
      <c r="H5221" s="1" t="s">
        <v>0</v>
      </c>
      <c r="I5221" s="2">
        <v>0</v>
      </c>
      <c r="J5221" s="1">
        <v>45915.377476851849</v>
      </c>
    </row>
    <row r="5222" spans="1:10" x14ac:dyDescent="0.2">
      <c r="A5222" s="4" t="s">
        <v>1</v>
      </c>
      <c r="B5222" s="3" t="str">
        <f>HYPERLINK("https://otsuka-europe-crm.veevavault.com/ui/#object/approved_document__v/V5OZ025E82TFUPI", "Spain - HCP Survey Email - June 2025")</f>
        <v>Spain - HCP Survey Email - June 2025</v>
      </c>
      <c r="C5222" s="3" t="str">
        <f>HYPERLINK("https://otsuka-europe-crm.veevavault.com/ui/#object/sent_email__v/VBLZ025E82GN1RU", "SE-000272376")</f>
        <v>SE-000272376</v>
      </c>
      <c r="D5222" s="1">
        <v>45915.442962962959</v>
      </c>
      <c r="E5222" s="2">
        <v>1</v>
      </c>
      <c r="F5222" s="2">
        <v>2</v>
      </c>
      <c r="G5222" s="2">
        <v>0</v>
      </c>
      <c r="H5222" s="1" t="s">
        <v>0</v>
      </c>
      <c r="I5222" s="2">
        <v>0</v>
      </c>
      <c r="J5222" s="1">
        <v>45915.378460648149</v>
      </c>
    </row>
    <row r="5223" spans="1:10" x14ac:dyDescent="0.2">
      <c r="A5223" s="4" t="s">
        <v>1</v>
      </c>
      <c r="B5223" s="3" t="str">
        <f>HYPERLINK("https://otsuka-europe-crm.veevavault.com/ui/#object/approved_document__v/V5OZ025E82TFUPI", "Spain - HCP Survey Email - June 2025")</f>
        <v>Spain - HCP Survey Email - June 2025</v>
      </c>
      <c r="C5223" s="3" t="str">
        <f>HYPERLINK("https://otsuka-europe-crm.veevavault.com/ui/#object/sent_email__v/VBLZ025E82GN1RV", "SE-000272377")</f>
        <v>SE-000272377</v>
      </c>
      <c r="D5223" s="1">
        <v>45928.304629629631</v>
      </c>
      <c r="E5223" s="2">
        <v>1</v>
      </c>
      <c r="F5223" s="2">
        <v>1</v>
      </c>
      <c r="G5223" s="2">
        <v>0</v>
      </c>
      <c r="H5223" s="1" t="s">
        <v>0</v>
      </c>
      <c r="I5223" s="2">
        <v>0</v>
      </c>
      <c r="J5223" s="1">
        <v>45915.378831018519</v>
      </c>
    </row>
    <row r="5224" spans="1:10" x14ac:dyDescent="0.2">
      <c r="A5224" s="4" t="s">
        <v>1</v>
      </c>
      <c r="B5224" s="3" t="str">
        <f>HYPERLINK("https://otsuka-europe-crm.veevavault.com/ui/#object/approved_document__v/V5OZ025E82TFUPI", "Spain - HCP Survey Email - June 2025")</f>
        <v>Spain - HCP Survey Email - June 2025</v>
      </c>
      <c r="C5224" s="3" t="str">
        <f>HYPERLINK("https://otsuka-europe-crm.veevavault.com/ui/#object/sent_email__v/VBLZ025E82GN1RW", "SE-000272378")</f>
        <v>SE-000272378</v>
      </c>
      <c r="D5224" s="1" t="s">
        <v>0</v>
      </c>
      <c r="E5224" s="2">
        <v>0</v>
      </c>
      <c r="F5224" s="2">
        <v>0</v>
      </c>
      <c r="G5224" s="2">
        <v>0</v>
      </c>
      <c r="H5224" s="1" t="s">
        <v>0</v>
      </c>
      <c r="I5224" s="2">
        <v>0</v>
      </c>
      <c r="J5224" s="1">
        <v>45915.37872685185</v>
      </c>
    </row>
    <row r="5225" spans="1:10" x14ac:dyDescent="0.2">
      <c r="A5225" s="4" t="s">
        <v>1</v>
      </c>
      <c r="B5225" s="3" t="str">
        <f>HYPERLINK("https://otsuka-europe-crm.veevavault.com/ui/#object/approved_document__v/V5OZ025E82TFUPI", "Spain - HCP Survey Email - June 2025")</f>
        <v>Spain - HCP Survey Email - June 2025</v>
      </c>
      <c r="C5225" s="3" t="str">
        <f>HYPERLINK("https://otsuka-europe-crm.veevavault.com/ui/#object/sent_email__v/VBLZ025E82GN1RX", "SE-000272379")</f>
        <v>SE-000272379</v>
      </c>
      <c r="D5225" s="1" t="s">
        <v>0</v>
      </c>
      <c r="E5225" s="2">
        <v>0</v>
      </c>
      <c r="F5225" s="2">
        <v>0</v>
      </c>
      <c r="G5225" s="2">
        <v>0</v>
      </c>
      <c r="H5225" s="1" t="s">
        <v>0</v>
      </c>
      <c r="I5225" s="2">
        <v>0</v>
      </c>
      <c r="J5225" s="1">
        <v>45915.379224537035</v>
      </c>
    </row>
    <row r="5226" spans="1:10" x14ac:dyDescent="0.2">
      <c r="A5226" s="4" t="s">
        <v>1</v>
      </c>
      <c r="B5226" s="3" t="str">
        <f>HYPERLINK("https://otsuka-europe-crm.veevavault.com/ui/#object/approved_document__v/V5OZ025E82TFUPI", "Spain - HCP Survey Email - June 2025")</f>
        <v>Spain - HCP Survey Email - June 2025</v>
      </c>
      <c r="C5226" s="3" t="str">
        <f>HYPERLINK("https://otsuka-europe-crm.veevavault.com/ui/#object/sent_email__v/VBLZ025E82GN1RY", "SE-000272380")</f>
        <v>SE-000272380</v>
      </c>
      <c r="D5226" s="1">
        <v>45915.43613425926</v>
      </c>
      <c r="E5226" s="2">
        <v>1</v>
      </c>
      <c r="F5226" s="2">
        <v>2</v>
      </c>
      <c r="G5226" s="2">
        <v>0</v>
      </c>
      <c r="H5226" s="1" t="s">
        <v>0</v>
      </c>
      <c r="I5226" s="2">
        <v>0</v>
      </c>
      <c r="J5226" s="1">
        <v>45915.377754629626</v>
      </c>
    </row>
    <row r="5227" spans="1:10" x14ac:dyDescent="0.2">
      <c r="A5227" s="4" t="s">
        <v>1</v>
      </c>
      <c r="B5227" s="3" t="str">
        <f>HYPERLINK("https://otsuka-europe-crm.veevavault.com/ui/#object/approved_document__v/V5OZ025E82TFUPI", "Spain - HCP Survey Email - June 2025")</f>
        <v>Spain - HCP Survey Email - June 2025</v>
      </c>
      <c r="C5227" s="3" t="str">
        <f>HYPERLINK("https://otsuka-europe-crm.veevavault.com/ui/#object/sent_email__v/VBLZ025E82GN1RZ", "SE-000272381")</f>
        <v>SE-000272381</v>
      </c>
      <c r="D5227" s="1" t="s">
        <v>0</v>
      </c>
      <c r="E5227" s="2">
        <v>0</v>
      </c>
      <c r="F5227" s="2">
        <v>0</v>
      </c>
      <c r="G5227" s="2">
        <v>0</v>
      </c>
      <c r="H5227" s="1" t="s">
        <v>0</v>
      </c>
      <c r="I5227" s="2">
        <v>0</v>
      </c>
      <c r="J5227" s="1">
        <v>45915.378148148149</v>
      </c>
    </row>
    <row r="5228" spans="1:10" x14ac:dyDescent="0.2">
      <c r="A5228" s="4" t="s">
        <v>1</v>
      </c>
      <c r="B5228" s="3" t="str">
        <f>HYPERLINK("https://otsuka-europe-crm.veevavault.com/ui/#object/approved_document__v/V5OZ025E82TFUPI", "Spain - HCP Survey Email - June 2025")</f>
        <v>Spain - HCP Survey Email - June 2025</v>
      </c>
      <c r="C5228" s="3" t="str">
        <f>HYPERLINK("https://otsuka-europe-crm.veevavault.com/ui/#object/sent_email__v/VBLZ025E82GN1S0", "SE-000272382")</f>
        <v>SE-000272382</v>
      </c>
      <c r="D5228" s="1" t="s">
        <v>0</v>
      </c>
      <c r="E5228" s="2">
        <v>0</v>
      </c>
      <c r="F5228" s="2">
        <v>0</v>
      </c>
      <c r="G5228" s="2">
        <v>0</v>
      </c>
      <c r="H5228" s="1" t="s">
        <v>0</v>
      </c>
      <c r="I5228" s="2">
        <v>0</v>
      </c>
      <c r="J5228" s="1">
        <v>45915.378067129626</v>
      </c>
    </row>
    <row r="5229" spans="1:10" x14ac:dyDescent="0.2">
      <c r="A5229" s="4" t="s">
        <v>1</v>
      </c>
      <c r="B5229" s="3" t="str">
        <f>HYPERLINK("https://otsuka-europe-crm.veevavault.com/ui/#object/approved_document__v/V5OZ025E82TFUPI", "Spain - HCP Survey Email - June 2025")</f>
        <v>Spain - HCP Survey Email - June 2025</v>
      </c>
      <c r="C5229" s="3" t="str">
        <f>HYPERLINK("https://otsuka-europe-crm.veevavault.com/ui/#object/sent_email__v/VBLZ025E82GN1S1", "SE-000272383")</f>
        <v>SE-000272383</v>
      </c>
      <c r="D5229" s="1" t="s">
        <v>0</v>
      </c>
      <c r="E5229" s="2">
        <v>0</v>
      </c>
      <c r="F5229" s="2">
        <v>0</v>
      </c>
      <c r="G5229" s="2">
        <v>0</v>
      </c>
      <c r="H5229" s="1" t="s">
        <v>0</v>
      </c>
      <c r="I5229" s="2">
        <v>0</v>
      </c>
      <c r="J5229" s="1">
        <v>45915.379062499997</v>
      </c>
    </row>
    <row r="5230" spans="1:10" x14ac:dyDescent="0.2">
      <c r="A5230" s="4" t="s">
        <v>1</v>
      </c>
      <c r="B5230" s="3" t="str">
        <f>HYPERLINK("https://otsuka-europe-crm.veevavault.com/ui/#object/approved_document__v/V5OZ025E82TFUPI", "Spain - HCP Survey Email - June 2025")</f>
        <v>Spain - HCP Survey Email - June 2025</v>
      </c>
      <c r="C5230" s="3" t="str">
        <f>HYPERLINK("https://otsuka-europe-crm.veevavault.com/ui/#object/sent_email__v/VBLZ025E82GN1S2", "SE-000272384")</f>
        <v>SE-000272384</v>
      </c>
      <c r="D5230" s="1" t="s">
        <v>0</v>
      </c>
      <c r="E5230" s="2">
        <v>0</v>
      </c>
      <c r="F5230" s="2">
        <v>0</v>
      </c>
      <c r="G5230" s="2">
        <v>0</v>
      </c>
      <c r="H5230" s="1" t="s">
        <v>0</v>
      </c>
      <c r="I5230" s="2">
        <v>0</v>
      </c>
      <c r="J5230" s="1">
        <v>45915.37972222222</v>
      </c>
    </row>
    <row r="5231" spans="1:10" x14ac:dyDescent="0.2">
      <c r="A5231" s="4" t="s">
        <v>1</v>
      </c>
      <c r="B5231" s="3" t="str">
        <f>HYPERLINK("https://otsuka-europe-crm.veevavault.com/ui/#object/approved_document__v/V5OZ025E82TFUPI", "Spain - HCP Survey Email - June 2025")</f>
        <v>Spain - HCP Survey Email - June 2025</v>
      </c>
      <c r="C5231" s="3" t="str">
        <f>HYPERLINK("https://otsuka-europe-crm.veevavault.com/ui/#object/sent_email__v/VBLZ025E82GN1S3", "SE-000272385")</f>
        <v>SE-000272385</v>
      </c>
      <c r="D5231" s="1">
        <v>45916.409618055557</v>
      </c>
      <c r="E5231" s="2">
        <v>1</v>
      </c>
      <c r="F5231" s="2">
        <v>1</v>
      </c>
      <c r="G5231" s="2">
        <v>0</v>
      </c>
      <c r="H5231" s="1" t="s">
        <v>0</v>
      </c>
      <c r="I5231" s="2">
        <v>0</v>
      </c>
      <c r="J5231" s="1">
        <v>45915.379444444443</v>
      </c>
    </row>
    <row r="5232" spans="1:10" x14ac:dyDescent="0.2">
      <c r="A5232" s="4" t="s">
        <v>1</v>
      </c>
      <c r="B5232" s="3" t="str">
        <f>HYPERLINK("https://otsuka-europe-crm.veevavault.com/ui/#object/approved_document__v/V5OZ025E82TFUPI", "Spain - HCP Survey Email - June 2025")</f>
        <v>Spain - HCP Survey Email - June 2025</v>
      </c>
      <c r="C5232" s="3" t="str">
        <f>HYPERLINK("https://otsuka-europe-crm.veevavault.com/ui/#object/sent_email__v/VBLZ025E82GN1S4", "SE-000272386")</f>
        <v>SE-000272386</v>
      </c>
      <c r="D5232" s="1">
        <v>45915.631724537037</v>
      </c>
      <c r="E5232" s="2">
        <v>1</v>
      </c>
      <c r="F5232" s="2">
        <v>2</v>
      </c>
      <c r="G5232" s="2">
        <v>0</v>
      </c>
      <c r="H5232" s="1" t="s">
        <v>0</v>
      </c>
      <c r="I5232" s="2">
        <v>0</v>
      </c>
      <c r="J5232" s="1">
        <v>45915.377581018518</v>
      </c>
    </row>
    <row r="5233" spans="1:10" x14ac:dyDescent="0.2">
      <c r="A5233" s="4" t="s">
        <v>1</v>
      </c>
      <c r="B5233" s="3" t="str">
        <f>HYPERLINK("https://otsuka-europe-crm.veevavault.com/ui/#object/approved_document__v/V5OZ025E82TFUPI", "Spain - HCP Survey Email - June 2025")</f>
        <v>Spain - HCP Survey Email - June 2025</v>
      </c>
      <c r="C5233" s="3" t="str">
        <f>HYPERLINK("https://otsuka-europe-crm.veevavault.com/ui/#object/sent_email__v/VBLZ025E82GN1S5", "SE-000272387")</f>
        <v>SE-000272387</v>
      </c>
      <c r="D5233" s="1">
        <v>45915.954479166663</v>
      </c>
      <c r="E5233" s="2">
        <v>1</v>
      </c>
      <c r="F5233" s="2">
        <v>1</v>
      </c>
      <c r="G5233" s="2">
        <v>0</v>
      </c>
      <c r="H5233" s="1" t="s">
        <v>0</v>
      </c>
      <c r="I5233" s="2">
        <v>0</v>
      </c>
      <c r="J5233" s="1">
        <v>45915.378449074073</v>
      </c>
    </row>
    <row r="5234" spans="1:10" x14ac:dyDescent="0.2">
      <c r="A5234" s="4" t="s">
        <v>1</v>
      </c>
      <c r="B5234" s="3" t="str">
        <f>HYPERLINK("https://otsuka-europe-crm.veevavault.com/ui/#object/approved_document__v/V5OZ025E82TFUPI", "Spain - HCP Survey Email - June 2025")</f>
        <v>Spain - HCP Survey Email - June 2025</v>
      </c>
      <c r="C5234" s="3" t="str">
        <f>HYPERLINK("https://otsuka-europe-crm.veevavault.com/ui/#object/sent_email__v/VBLZ025E82GN1S6", "SE-000272388")</f>
        <v>SE-000272388</v>
      </c>
      <c r="D5234" s="1" t="s">
        <v>0</v>
      </c>
      <c r="E5234" s="2">
        <v>0</v>
      </c>
      <c r="F5234" s="2">
        <v>0</v>
      </c>
      <c r="G5234" s="2">
        <v>0</v>
      </c>
      <c r="H5234" s="1" t="s">
        <v>0</v>
      </c>
      <c r="I5234" s="2">
        <v>0</v>
      </c>
      <c r="J5234" s="1">
        <v>45915.378923611112</v>
      </c>
    </row>
    <row r="5235" spans="1:10" x14ac:dyDescent="0.2">
      <c r="A5235" s="4" t="s">
        <v>1</v>
      </c>
      <c r="B5235" s="3" t="str">
        <f>HYPERLINK("https://otsuka-europe-crm.veevavault.com/ui/#object/approved_document__v/V5OZ025E82TFUPI", "Spain - HCP Survey Email - June 2025")</f>
        <v>Spain - HCP Survey Email - June 2025</v>
      </c>
      <c r="C5235" s="3" t="str">
        <f>HYPERLINK("https://otsuka-europe-crm.veevavault.com/ui/#object/sent_email__v/VBLZ025E82GN1S7", "SE-000272389")</f>
        <v>SE-000272389</v>
      </c>
      <c r="D5235" s="1">
        <v>45919.403032407405</v>
      </c>
      <c r="E5235" s="2">
        <v>1</v>
      </c>
      <c r="F5235" s="2">
        <v>9</v>
      </c>
      <c r="G5235" s="2">
        <v>0</v>
      </c>
      <c r="H5235" s="1" t="s">
        <v>0</v>
      </c>
      <c r="I5235" s="2">
        <v>0</v>
      </c>
      <c r="J5235" s="1">
        <v>45915.378761574073</v>
      </c>
    </row>
    <row r="5236" spans="1:10" x14ac:dyDescent="0.2">
      <c r="A5236" s="4" t="s">
        <v>1</v>
      </c>
      <c r="B5236" s="3" t="str">
        <f>HYPERLINK("https://otsuka-europe-crm.veevavault.com/ui/#object/approved_document__v/V5OZ025E82TFUPI", "Spain - HCP Survey Email - June 2025")</f>
        <v>Spain - HCP Survey Email - June 2025</v>
      </c>
      <c r="C5236" s="3" t="str">
        <f>HYPERLINK("https://otsuka-europe-crm.veevavault.com/ui/#object/sent_email__v/VBLZ025E82GN1S8", "SE-000272390")</f>
        <v>SE-000272390</v>
      </c>
      <c r="D5236" s="1">
        <v>45915.5</v>
      </c>
      <c r="E5236" s="2">
        <v>1</v>
      </c>
      <c r="F5236" s="2">
        <v>1</v>
      </c>
      <c r="G5236" s="2">
        <v>0</v>
      </c>
      <c r="H5236" s="1" t="s">
        <v>0</v>
      </c>
      <c r="I5236" s="2">
        <v>0</v>
      </c>
      <c r="J5236" s="1">
        <v>45915.379027777781</v>
      </c>
    </row>
    <row r="5237" spans="1:10" x14ac:dyDescent="0.2">
      <c r="A5237" s="4" t="s">
        <v>1</v>
      </c>
      <c r="B5237" s="3" t="str">
        <f>HYPERLINK("https://otsuka-europe-crm.veevavault.com/ui/#object/approved_document__v/V5OZ025E82TFUPI", "Spain - HCP Survey Email - June 2025")</f>
        <v>Spain - HCP Survey Email - June 2025</v>
      </c>
      <c r="C5237" s="3" t="str">
        <f>HYPERLINK("https://otsuka-europe-crm.veevavault.com/ui/#object/sent_email__v/VBLZ025E82GN1S9", "SE-000272391")</f>
        <v>SE-000272391</v>
      </c>
      <c r="D5237" s="1" t="s">
        <v>0</v>
      </c>
      <c r="E5237" s="2">
        <v>0</v>
      </c>
      <c r="F5237" s="2">
        <v>0</v>
      </c>
      <c r="G5237" s="2">
        <v>0</v>
      </c>
      <c r="H5237" s="1" t="s">
        <v>0</v>
      </c>
      <c r="I5237" s="2">
        <v>0</v>
      </c>
      <c r="J5237" s="1">
        <v>45915.377835648149</v>
      </c>
    </row>
    <row r="5238" spans="1:10" x14ac:dyDescent="0.2">
      <c r="A5238" s="4" t="s">
        <v>1</v>
      </c>
      <c r="B5238" s="3" t="str">
        <f>HYPERLINK("https://otsuka-europe-crm.veevavault.com/ui/#object/approved_document__v/V5OZ025E82TFUPI", "Spain - HCP Survey Email - June 2025")</f>
        <v>Spain - HCP Survey Email - June 2025</v>
      </c>
      <c r="C5238" s="3" t="str">
        <f>HYPERLINK("https://otsuka-europe-crm.veevavault.com/ui/#object/sent_email__v/VBLZ025E82GN1SA", "SE-000272392")</f>
        <v>SE-000272392</v>
      </c>
      <c r="D5238" s="1">
        <v>45915.583518518521</v>
      </c>
      <c r="E5238" s="2">
        <v>1</v>
      </c>
      <c r="F5238" s="2">
        <v>1</v>
      </c>
      <c r="G5238" s="2">
        <v>1</v>
      </c>
      <c r="H5238" s="1">
        <v>45915.583518518521</v>
      </c>
      <c r="I5238" s="2">
        <v>1</v>
      </c>
      <c r="J5238" s="1">
        <v>45915.378148148149</v>
      </c>
    </row>
    <row r="5239" spans="1:10" x14ac:dyDescent="0.2">
      <c r="A5239" s="4" t="s">
        <v>1</v>
      </c>
      <c r="B5239" s="3" t="str">
        <f>HYPERLINK("https://otsuka-europe-crm.veevavault.com/ui/#object/approved_document__v/V5OZ025E82TFUPI", "Spain - HCP Survey Email - June 2025")</f>
        <v>Spain - HCP Survey Email - June 2025</v>
      </c>
      <c r="C5239" s="3" t="str">
        <f>HYPERLINK("https://otsuka-europe-crm.veevavault.com/ui/#object/sent_email__v/VBLZ025E82GN1SB", "SE-000272393")</f>
        <v>SE-000272393</v>
      </c>
      <c r="D5239" s="1">
        <v>45915.378171296295</v>
      </c>
      <c r="E5239" s="2">
        <v>1</v>
      </c>
      <c r="F5239" s="2">
        <v>1</v>
      </c>
      <c r="G5239" s="2">
        <v>0</v>
      </c>
      <c r="H5239" s="1" t="s">
        <v>0</v>
      </c>
      <c r="I5239" s="2">
        <v>0</v>
      </c>
      <c r="J5239" s="1">
        <v>45915.378078703703</v>
      </c>
    </row>
    <row r="5240" spans="1:10" x14ac:dyDescent="0.2">
      <c r="A5240" s="4" t="s">
        <v>1</v>
      </c>
      <c r="B5240" s="3" t="str">
        <f>HYPERLINK("https://otsuka-europe-crm.veevavault.com/ui/#object/approved_document__v/V5OZ025E82TFUPI", "Spain - HCP Survey Email - June 2025")</f>
        <v>Spain - HCP Survey Email - June 2025</v>
      </c>
      <c r="C5240" s="3" t="str">
        <f>HYPERLINK("https://otsuka-europe-crm.veevavault.com/ui/#object/sent_email__v/VBLZ025E82GN1SC", "SE-000272394")</f>
        <v>SE-000272394</v>
      </c>
      <c r="D5240" s="1" t="s">
        <v>0</v>
      </c>
      <c r="E5240" s="2">
        <v>0</v>
      </c>
      <c r="F5240" s="2">
        <v>0</v>
      </c>
      <c r="G5240" s="2">
        <v>0</v>
      </c>
      <c r="H5240" s="1" t="s">
        <v>0</v>
      </c>
      <c r="I5240" s="2">
        <v>0</v>
      </c>
      <c r="J5240" s="1">
        <v>45915.378622685188</v>
      </c>
    </row>
    <row r="5241" spans="1:10" x14ac:dyDescent="0.2">
      <c r="A5241" s="4" t="s">
        <v>1</v>
      </c>
      <c r="B5241" s="3" t="str">
        <f>HYPERLINK("https://otsuka-europe-crm.veevavault.com/ui/#object/approved_document__v/V5OZ025E82TFUPI", "Spain - HCP Survey Email - June 2025")</f>
        <v>Spain - HCP Survey Email - June 2025</v>
      </c>
      <c r="C5241" s="3" t="str">
        <f>HYPERLINK("https://otsuka-europe-crm.veevavault.com/ui/#object/sent_email__v/VBLZ025E82GN1SD", "SE-000272395")</f>
        <v>SE-000272395</v>
      </c>
      <c r="D5241" s="1">
        <v>45938.508900462963</v>
      </c>
      <c r="E5241" s="2">
        <v>1</v>
      </c>
      <c r="F5241" s="2">
        <v>41</v>
      </c>
      <c r="G5241" s="2">
        <v>1</v>
      </c>
      <c r="H5241" s="1">
        <v>45917.323645833334</v>
      </c>
      <c r="I5241" s="2">
        <v>6</v>
      </c>
      <c r="J5241" s="1">
        <v>45915.379594907405</v>
      </c>
    </row>
    <row r="5242" spans="1:10" x14ac:dyDescent="0.2">
      <c r="A5242" s="4" t="s">
        <v>1</v>
      </c>
      <c r="B5242" s="3" t="str">
        <f>HYPERLINK("https://otsuka-europe-crm.veevavault.com/ui/#object/approved_document__v/V5OZ025E82TFUPI", "Spain - HCP Survey Email - June 2025")</f>
        <v>Spain - HCP Survey Email - June 2025</v>
      </c>
      <c r="C5242" s="3" t="str">
        <f>HYPERLINK("https://otsuka-europe-crm.veevavault.com/ui/#object/sent_email__v/VBLZ025E82GN1SE", "SE-000272396")</f>
        <v>SE-000272396</v>
      </c>
      <c r="D5242" s="1" t="s">
        <v>0</v>
      </c>
      <c r="E5242" s="2">
        <v>0</v>
      </c>
      <c r="F5242" s="2">
        <v>0</v>
      </c>
      <c r="G5242" s="2">
        <v>0</v>
      </c>
      <c r="H5242" s="1" t="s">
        <v>0</v>
      </c>
      <c r="I5242" s="2">
        <v>0</v>
      </c>
      <c r="J5242" s="1">
        <v>45915.378298611111</v>
      </c>
    </row>
    <row r="5243" spans="1:10" x14ac:dyDescent="0.2">
      <c r="A5243" s="4" t="s">
        <v>1</v>
      </c>
      <c r="B5243" s="3" t="str">
        <f>HYPERLINK("https://otsuka-europe-crm.veevavault.com/ui/#object/approved_document__v/V5OZ025E82TFUPI", "Spain - HCP Survey Email - June 2025")</f>
        <v>Spain - HCP Survey Email - June 2025</v>
      </c>
      <c r="C5243" s="3" t="str">
        <f>HYPERLINK("https://otsuka-europe-crm.veevavault.com/ui/#object/sent_email__v/VBLZ025E82GN1SF", "SE-000272397")</f>
        <v>SE-000272397</v>
      </c>
      <c r="D5243" s="1" t="s">
        <v>0</v>
      </c>
      <c r="E5243" s="2">
        <v>0</v>
      </c>
      <c r="F5243" s="2">
        <v>0</v>
      </c>
      <c r="G5243" s="2">
        <v>0</v>
      </c>
      <c r="H5243" s="1" t="s">
        <v>0</v>
      </c>
      <c r="I5243" s="2">
        <v>0</v>
      </c>
      <c r="J5243" s="1">
        <v>45915.378067129626</v>
      </c>
    </row>
    <row r="5244" spans="1:10" x14ac:dyDescent="0.2">
      <c r="A5244" s="4" t="s">
        <v>1</v>
      </c>
      <c r="B5244" s="3" t="str">
        <f>HYPERLINK("https://otsuka-europe-crm.veevavault.com/ui/#object/approved_document__v/V5OZ025E82TFUPI", "Spain - HCP Survey Email - June 2025")</f>
        <v>Spain - HCP Survey Email - June 2025</v>
      </c>
      <c r="C5244" s="3" t="str">
        <f>HYPERLINK("https://otsuka-europe-crm.veevavault.com/ui/#object/sent_email__v/VBLZ025E82GN1SG", "SE-000272398")</f>
        <v>SE-000272398</v>
      </c>
      <c r="D5244" s="1">
        <v>45915.525787037041</v>
      </c>
      <c r="E5244" s="2">
        <v>1</v>
      </c>
      <c r="F5244" s="2">
        <v>1</v>
      </c>
      <c r="G5244" s="2">
        <v>0</v>
      </c>
      <c r="H5244" s="1" t="s">
        <v>0</v>
      </c>
      <c r="I5244" s="2">
        <v>0</v>
      </c>
      <c r="J5244" s="1">
        <v>45915.379062499997</v>
      </c>
    </row>
    <row r="5245" spans="1:10" x14ac:dyDescent="0.2">
      <c r="A5245" s="4" t="s">
        <v>1</v>
      </c>
      <c r="B5245" s="3" t="str">
        <f>HYPERLINK("https://otsuka-europe-crm.veevavault.com/ui/#object/approved_document__v/V5OZ025E82TFUPI", "Spain - HCP Survey Email - June 2025")</f>
        <v>Spain - HCP Survey Email - June 2025</v>
      </c>
      <c r="C5245" s="3" t="str">
        <f>HYPERLINK("https://otsuka-europe-crm.veevavault.com/ui/#object/sent_email__v/VBLZ025E82GN1SH", "SE-000272399")</f>
        <v>SE-000272399</v>
      </c>
      <c r="D5245" s="1" t="s">
        <v>0</v>
      </c>
      <c r="E5245" s="2">
        <v>0</v>
      </c>
      <c r="F5245" s="2">
        <v>0</v>
      </c>
      <c r="G5245" s="2">
        <v>0</v>
      </c>
      <c r="H5245" s="1" t="s">
        <v>0</v>
      </c>
      <c r="I5245" s="2">
        <v>0</v>
      </c>
      <c r="J5245" s="1">
        <v>45915.379745370374</v>
      </c>
    </row>
    <row r="5246" spans="1:10" x14ac:dyDescent="0.2">
      <c r="A5246" s="4" t="s">
        <v>1</v>
      </c>
      <c r="B5246" s="3" t="str">
        <f>HYPERLINK("https://otsuka-europe-crm.veevavault.com/ui/#object/approved_document__v/V5OZ025E82TFUPI", "Spain - HCP Survey Email - June 2025")</f>
        <v>Spain - HCP Survey Email - June 2025</v>
      </c>
      <c r="C5246" s="3" t="str">
        <f>HYPERLINK("https://otsuka-europe-crm.veevavault.com/ui/#object/sent_email__v/VBLZ025E82GN1SI", "SE-000272400")</f>
        <v>SE-000272400</v>
      </c>
      <c r="D5246" s="1" t="s">
        <v>0</v>
      </c>
      <c r="E5246" s="2">
        <v>0</v>
      </c>
      <c r="F5246" s="2">
        <v>0</v>
      </c>
      <c r="G5246" s="2">
        <v>0</v>
      </c>
      <c r="H5246" s="1" t="s">
        <v>0</v>
      </c>
      <c r="I5246" s="2">
        <v>0</v>
      </c>
      <c r="J5246" s="1">
        <v>45915.37940972222</v>
      </c>
    </row>
    <row r="5247" spans="1:10" x14ac:dyDescent="0.2">
      <c r="A5247" s="4" t="s">
        <v>1</v>
      </c>
      <c r="B5247" s="3" t="str">
        <f>HYPERLINK("https://otsuka-europe-crm.veevavault.com/ui/#object/approved_document__v/V5OZ025E82TFUPI", "Spain - HCP Survey Email - June 2025")</f>
        <v>Spain - HCP Survey Email - June 2025</v>
      </c>
      <c r="C5247" s="3" t="str">
        <f>HYPERLINK("https://otsuka-europe-crm.veevavault.com/ui/#object/sent_email__v/VBLZ025E82GN1SJ", "SE-000272401")</f>
        <v>SE-000272401</v>
      </c>
      <c r="D5247" s="1">
        <v>45939.684398148151</v>
      </c>
      <c r="E5247" s="2">
        <v>1</v>
      </c>
      <c r="F5247" s="2">
        <v>3</v>
      </c>
      <c r="G5247" s="2">
        <v>0</v>
      </c>
      <c r="H5247" s="1" t="s">
        <v>0</v>
      </c>
      <c r="I5247" s="2">
        <v>0</v>
      </c>
      <c r="J5247" s="1">
        <v>45915.377465277779</v>
      </c>
    </row>
    <row r="5248" spans="1:10" x14ac:dyDescent="0.2">
      <c r="A5248" s="4" t="s">
        <v>1</v>
      </c>
      <c r="B5248" s="3" t="str">
        <f>HYPERLINK("https://otsuka-europe-crm.veevavault.com/ui/#object/approved_document__v/V5OZ025E82TFUPI", "Spain - HCP Survey Email - June 2025")</f>
        <v>Spain - HCP Survey Email - June 2025</v>
      </c>
      <c r="C5248" s="3" t="str">
        <f>HYPERLINK("https://otsuka-europe-crm.veevavault.com/ui/#object/sent_email__v/VBLZ025E82GN1SK", "SE-000272402")</f>
        <v>SE-000272402</v>
      </c>
      <c r="D5248" s="1" t="s">
        <v>0</v>
      </c>
      <c r="E5248" s="2">
        <v>0</v>
      </c>
      <c r="F5248" s="2">
        <v>0</v>
      </c>
      <c r="G5248" s="2">
        <v>0</v>
      </c>
      <c r="H5248" s="1" t="s">
        <v>0</v>
      </c>
      <c r="I5248" s="2">
        <v>0</v>
      </c>
      <c r="J5248" s="1">
        <v>45915.378530092596</v>
      </c>
    </row>
    <row r="5249" spans="1:10" x14ac:dyDescent="0.2">
      <c r="A5249" s="4" t="s">
        <v>1</v>
      </c>
      <c r="B5249" s="3" t="str">
        <f>HYPERLINK("https://otsuka-europe-crm.veevavault.com/ui/#object/approved_document__v/V5OZ025E82TFUPI", "Spain - HCP Survey Email - June 2025")</f>
        <v>Spain - HCP Survey Email - June 2025</v>
      </c>
      <c r="C5249" s="3" t="str">
        <f>HYPERLINK("https://otsuka-europe-crm.veevavault.com/ui/#object/sent_email__v/VBLZ025E82GN1SL", "SE-000272403")</f>
        <v>SE-000272403</v>
      </c>
      <c r="D5249" s="1" t="s">
        <v>0</v>
      </c>
      <c r="E5249" s="2">
        <v>0</v>
      </c>
      <c r="F5249" s="2">
        <v>0</v>
      </c>
      <c r="G5249" s="2">
        <v>0</v>
      </c>
      <c r="H5249" s="1" t="s">
        <v>0</v>
      </c>
      <c r="I5249" s="2">
        <v>0</v>
      </c>
      <c r="J5249" s="1">
        <v>45915.378842592596</v>
      </c>
    </row>
    <row r="5250" spans="1:10" x14ac:dyDescent="0.2">
      <c r="A5250" s="4" t="s">
        <v>1</v>
      </c>
      <c r="B5250" s="3" t="str">
        <f>HYPERLINK("https://otsuka-europe-crm.veevavault.com/ui/#object/approved_document__v/V5OZ025E82TFUPI", "Spain - HCP Survey Email - June 2025")</f>
        <v>Spain - HCP Survey Email - June 2025</v>
      </c>
      <c r="C5250" s="3" t="str">
        <f>HYPERLINK("https://otsuka-europe-crm.veevavault.com/ui/#object/sent_email__v/VBLZ025E82GN1SM", "SE-000272404")</f>
        <v>SE-000272404</v>
      </c>
      <c r="D5250" s="1">
        <v>45915.382187499999</v>
      </c>
      <c r="E5250" s="2">
        <v>1</v>
      </c>
      <c r="F5250" s="2">
        <v>1</v>
      </c>
      <c r="G5250" s="2">
        <v>1</v>
      </c>
      <c r="H5250" s="1">
        <v>45916.440740740742</v>
      </c>
      <c r="I5250" s="2">
        <v>1</v>
      </c>
      <c r="J5250" s="1">
        <v>45915.378680555557</v>
      </c>
    </row>
    <row r="5251" spans="1:10" x14ac:dyDescent="0.2">
      <c r="A5251" s="4" t="s">
        <v>1</v>
      </c>
      <c r="B5251" s="3" t="str">
        <f>HYPERLINK("https://otsuka-europe-crm.veevavault.com/ui/#object/approved_document__v/V5OZ025E82TFUPI", "Spain - HCP Survey Email - June 2025")</f>
        <v>Spain - HCP Survey Email - June 2025</v>
      </c>
      <c r="C5251" s="3" t="str">
        <f>HYPERLINK("https://otsuka-europe-crm.veevavault.com/ui/#object/sent_email__v/VBLZ025E82GN1SO", "SE-000272406")</f>
        <v>SE-000272406</v>
      </c>
      <c r="D5251" s="1" t="s">
        <v>0</v>
      </c>
      <c r="E5251" s="2">
        <v>0</v>
      </c>
      <c r="F5251" s="2">
        <v>0</v>
      </c>
      <c r="G5251" s="2">
        <v>0</v>
      </c>
      <c r="H5251" s="1" t="s">
        <v>0</v>
      </c>
      <c r="I5251" s="2">
        <v>0</v>
      </c>
      <c r="J5251" s="1">
        <v>45915.377754629626</v>
      </c>
    </row>
    <row r="5252" spans="1:10" x14ac:dyDescent="0.2">
      <c r="A5252" s="4" t="s">
        <v>1</v>
      </c>
      <c r="B5252" s="3" t="str">
        <f>HYPERLINK("https://otsuka-europe-crm.veevavault.com/ui/#object/approved_document__v/V5OZ025E82TFUPI", "Spain - HCP Survey Email - June 2025")</f>
        <v>Spain - HCP Survey Email - June 2025</v>
      </c>
      <c r="C5252" s="3" t="str">
        <f>HYPERLINK("https://otsuka-europe-crm.veevavault.com/ui/#object/sent_email__v/VBLZ025E82GN1SP", "SE-000272407")</f>
        <v>SE-000272407</v>
      </c>
      <c r="D5252" s="1">
        <v>45943.479699074072</v>
      </c>
      <c r="E5252" s="2">
        <v>1</v>
      </c>
      <c r="F5252" s="2">
        <v>4</v>
      </c>
      <c r="G5252" s="2">
        <v>0</v>
      </c>
      <c r="H5252" s="1" t="s">
        <v>0</v>
      </c>
      <c r="I5252" s="2">
        <v>0</v>
      </c>
      <c r="J5252" s="1">
        <v>45915.378182870372</v>
      </c>
    </row>
    <row r="5253" spans="1:10" x14ac:dyDescent="0.2">
      <c r="A5253" s="4" t="s">
        <v>1</v>
      </c>
      <c r="B5253" s="3" t="str">
        <f>HYPERLINK("https://otsuka-europe-crm.veevavault.com/ui/#object/approved_document__v/V5OZ025E82TFUPI", "Spain - HCP Survey Email - June 2025")</f>
        <v>Spain - HCP Survey Email - June 2025</v>
      </c>
      <c r="C5253" s="3" t="str">
        <f>HYPERLINK("https://otsuka-europe-crm.veevavault.com/ui/#object/sent_email__v/VBLZ025E82GN1SQ", "SE-000272408")</f>
        <v>SE-000272408</v>
      </c>
      <c r="D5253" s="1" t="s">
        <v>0</v>
      </c>
      <c r="E5253" s="2">
        <v>0</v>
      </c>
      <c r="F5253" s="2">
        <v>0</v>
      </c>
      <c r="G5253" s="2">
        <v>0</v>
      </c>
      <c r="H5253" s="1" t="s">
        <v>0</v>
      </c>
      <c r="I5253" s="2">
        <v>0</v>
      </c>
      <c r="J5253" s="1">
        <v>45915.378020833334</v>
      </c>
    </row>
    <row r="5254" spans="1:10" x14ac:dyDescent="0.2">
      <c r="A5254" s="4" t="s">
        <v>1</v>
      </c>
      <c r="B5254" s="3" t="str">
        <f>HYPERLINK("https://otsuka-europe-crm.veevavault.com/ui/#object/approved_document__v/V5OZ025E82TFUPI", "Spain - HCP Survey Email - June 2025")</f>
        <v>Spain - HCP Survey Email - June 2025</v>
      </c>
      <c r="C5254" s="3" t="str">
        <f>HYPERLINK("https://otsuka-europe-crm.veevavault.com/ui/#object/sent_email__v/VBLZ025E82GN1SS", "SE-000272410")</f>
        <v>SE-000272410</v>
      </c>
      <c r="D5254" s="1">
        <v>45915.379849537036</v>
      </c>
      <c r="E5254" s="2">
        <v>1</v>
      </c>
      <c r="F5254" s="2">
        <v>1</v>
      </c>
      <c r="G5254" s="2">
        <v>0</v>
      </c>
      <c r="H5254" s="1" t="s">
        <v>0</v>
      </c>
      <c r="I5254" s="2">
        <v>0</v>
      </c>
      <c r="J5254" s="1">
        <v>45915.379780092589</v>
      </c>
    </row>
    <row r="5255" spans="1:10" x14ac:dyDescent="0.2">
      <c r="A5255" s="4" t="s">
        <v>1</v>
      </c>
      <c r="B5255" s="3" t="str">
        <f>HYPERLINK("https://otsuka-europe-crm.veevavault.com/ui/#object/approved_document__v/V5OZ025E82TFUPI", "Spain - HCP Survey Email - June 2025")</f>
        <v>Spain - HCP Survey Email - June 2025</v>
      </c>
      <c r="C5255" s="3" t="str">
        <f>HYPERLINK("https://otsuka-europe-crm.veevavault.com/ui/#object/sent_email__v/VBLZ025E82GN1ST", "SE-000272411")</f>
        <v>SE-000272411</v>
      </c>
      <c r="D5255" s="1" t="s">
        <v>0</v>
      </c>
      <c r="E5255" s="2">
        <v>0</v>
      </c>
      <c r="F5255" s="2">
        <v>0</v>
      </c>
      <c r="G5255" s="2">
        <v>0</v>
      </c>
      <c r="H5255" s="1" t="s">
        <v>0</v>
      </c>
      <c r="I5255" s="2">
        <v>0</v>
      </c>
      <c r="J5255" s="1">
        <v>45915.379467592589</v>
      </c>
    </row>
    <row r="5256" spans="1:10" x14ac:dyDescent="0.2">
      <c r="A5256" s="4" t="s">
        <v>1</v>
      </c>
      <c r="B5256" s="3" t="str">
        <f>HYPERLINK("https://otsuka-europe-crm.veevavault.com/ui/#object/approved_document__v/V5OZ025E82TFUPI", "Spain - HCP Survey Email - June 2025")</f>
        <v>Spain - HCP Survey Email - June 2025</v>
      </c>
      <c r="C5256" s="3" t="str">
        <f>HYPERLINK("https://otsuka-europe-crm.veevavault.com/ui/#object/sent_email__v/VBLZ025E82GN1SU", "SE-000272412")</f>
        <v>SE-000272412</v>
      </c>
      <c r="D5256" s="1">
        <v>45922.444930555554</v>
      </c>
      <c r="E5256" s="2">
        <v>1</v>
      </c>
      <c r="F5256" s="2">
        <v>1</v>
      </c>
      <c r="G5256" s="2">
        <v>0</v>
      </c>
      <c r="H5256" s="1" t="s">
        <v>0</v>
      </c>
      <c r="I5256" s="2">
        <v>0</v>
      </c>
      <c r="J5256" s="1">
        <v>45915.377523148149</v>
      </c>
    </row>
    <row r="5257" spans="1:10" x14ac:dyDescent="0.2">
      <c r="A5257" s="4" t="s">
        <v>1</v>
      </c>
      <c r="B5257" s="3" t="str">
        <f>HYPERLINK("https://otsuka-europe-crm.veevavault.com/ui/#object/approved_document__v/V5OZ025E82TFUPI", "Spain - HCP Survey Email - June 2025")</f>
        <v>Spain - HCP Survey Email - June 2025</v>
      </c>
      <c r="C5257" s="3" t="str">
        <f>HYPERLINK("https://otsuka-europe-crm.veevavault.com/ui/#object/sent_email__v/VBLZ025E82GN1SV", "SE-000272413")</f>
        <v>SE-000272413</v>
      </c>
      <c r="D5257" s="1">
        <v>45915.384548611109</v>
      </c>
      <c r="E5257" s="2">
        <v>1</v>
      </c>
      <c r="F5257" s="2">
        <v>1</v>
      </c>
      <c r="G5257" s="2">
        <v>1</v>
      </c>
      <c r="H5257" s="1">
        <v>45915.384652777779</v>
      </c>
      <c r="I5257" s="2">
        <v>1</v>
      </c>
      <c r="J5257" s="1">
        <v>45915.378460648149</v>
      </c>
    </row>
    <row r="5258" spans="1:10" x14ac:dyDescent="0.2">
      <c r="A5258" s="4" t="s">
        <v>1</v>
      </c>
      <c r="B5258" s="3" t="str">
        <f>HYPERLINK("https://otsuka-europe-crm.veevavault.com/ui/#object/approved_document__v/V5OZ025E82TFUPI", "Spain - HCP Survey Email - June 2025")</f>
        <v>Spain - HCP Survey Email - June 2025</v>
      </c>
      <c r="C5258" s="3" t="str">
        <f>HYPERLINK("https://otsuka-europe-crm.veevavault.com/ui/#object/sent_email__v/VBLZ025E82GN1SW", "SE-000272414")</f>
        <v>SE-000272414</v>
      </c>
      <c r="D5258" s="1">
        <v>45922.429456018515</v>
      </c>
      <c r="E5258" s="2">
        <v>1</v>
      </c>
      <c r="F5258" s="2">
        <v>3</v>
      </c>
      <c r="G5258" s="2">
        <v>0</v>
      </c>
      <c r="H5258" s="1" t="s">
        <v>0</v>
      </c>
      <c r="I5258" s="2">
        <v>0</v>
      </c>
      <c r="J5258" s="1">
        <v>45915.378888888888</v>
      </c>
    </row>
    <row r="5259" spans="1:10" x14ac:dyDescent="0.2">
      <c r="A5259" s="4" t="s">
        <v>1</v>
      </c>
      <c r="B5259" s="3" t="str">
        <f>HYPERLINK("https://otsuka-europe-crm.veevavault.com/ui/#object/approved_document__v/V5OZ025E82TFUPI", "Spain - HCP Survey Email - June 2025")</f>
        <v>Spain - HCP Survey Email - June 2025</v>
      </c>
      <c r="C5259" s="3" t="str">
        <f>HYPERLINK("https://otsuka-europe-crm.veevavault.com/ui/#object/sent_email__v/VBLZ025E82GN1SX", "SE-000272415")</f>
        <v>SE-000272415</v>
      </c>
      <c r="D5259" s="1">
        <v>45915.86613425926</v>
      </c>
      <c r="E5259" s="2">
        <v>1</v>
      </c>
      <c r="F5259" s="2">
        <v>1</v>
      </c>
      <c r="G5259" s="2">
        <v>0</v>
      </c>
      <c r="H5259" s="1" t="s">
        <v>0</v>
      </c>
      <c r="I5259" s="2">
        <v>0</v>
      </c>
      <c r="J5259" s="1">
        <v>45915.378611111111</v>
      </c>
    </row>
    <row r="5260" spans="1:10" x14ac:dyDescent="0.2">
      <c r="A5260" s="4" t="s">
        <v>1</v>
      </c>
      <c r="B5260" s="3" t="str">
        <f>HYPERLINK("https://otsuka-europe-crm.veevavault.com/ui/#object/approved_document__v/V5OZ025E82TFUPI", "Spain - HCP Survey Email - June 2025")</f>
        <v>Spain - HCP Survey Email - June 2025</v>
      </c>
      <c r="C5260" s="3" t="str">
        <f>HYPERLINK("https://otsuka-europe-crm.veevavault.com/ui/#object/sent_email__v/VBLZ025E82GN1SY", "SE-000272416")</f>
        <v>SE-000272416</v>
      </c>
      <c r="D5260" s="1" t="s">
        <v>0</v>
      </c>
      <c r="E5260" s="2">
        <v>0</v>
      </c>
      <c r="F5260" s="2">
        <v>0</v>
      </c>
      <c r="G5260" s="2">
        <v>0</v>
      </c>
      <c r="H5260" s="1" t="s">
        <v>0</v>
      </c>
      <c r="I5260" s="2">
        <v>0</v>
      </c>
      <c r="J5260" s="1">
        <v>45915.379131944443</v>
      </c>
    </row>
    <row r="5261" spans="1:10" x14ac:dyDescent="0.2">
      <c r="A5261" s="4" t="s">
        <v>1</v>
      </c>
      <c r="B5261" s="3" t="str">
        <f>HYPERLINK("https://otsuka-europe-crm.veevavault.com/ui/#object/approved_document__v/V5OZ025E82TFUPI", "Spain - HCP Survey Email - June 2025")</f>
        <v>Spain - HCP Survey Email - June 2025</v>
      </c>
      <c r="C5261" s="3" t="str">
        <f>HYPERLINK("https://otsuka-europe-crm.veevavault.com/ui/#object/sent_email__v/VBLZ025E82GN1SZ", "SE-000272417")</f>
        <v>SE-000272417</v>
      </c>
      <c r="D5261" s="1" t="s">
        <v>0</v>
      </c>
      <c r="E5261" s="2">
        <v>0</v>
      </c>
      <c r="F5261" s="2">
        <v>0</v>
      </c>
      <c r="G5261" s="2">
        <v>0</v>
      </c>
      <c r="H5261" s="1" t="s">
        <v>0</v>
      </c>
      <c r="I5261" s="2">
        <v>0</v>
      </c>
      <c r="J5261" s="1">
        <v>45915.377824074072</v>
      </c>
    </row>
    <row r="5262" spans="1:10" x14ac:dyDescent="0.2">
      <c r="A5262" s="4" t="s">
        <v>1</v>
      </c>
      <c r="B5262" s="3" t="str">
        <f>HYPERLINK("https://otsuka-europe-crm.veevavault.com/ui/#object/approved_document__v/V5OZ025E82TFUPI", "Spain - HCP Survey Email - June 2025")</f>
        <v>Spain - HCP Survey Email - June 2025</v>
      </c>
      <c r="C5262" s="3" t="str">
        <f>HYPERLINK("https://otsuka-europe-crm.veevavault.com/ui/#object/sent_email__v/VBLZ025E82GN1T0", "SE-000272418")</f>
        <v>SE-000272418</v>
      </c>
      <c r="D5262" s="1" t="s">
        <v>0</v>
      </c>
      <c r="E5262" s="2">
        <v>0</v>
      </c>
      <c r="F5262" s="2">
        <v>0</v>
      </c>
      <c r="G5262" s="2">
        <v>0</v>
      </c>
      <c r="H5262" s="1" t="s">
        <v>0</v>
      </c>
      <c r="I5262" s="2">
        <v>0</v>
      </c>
      <c r="J5262" s="1">
        <v>45915.378275462965</v>
      </c>
    </row>
    <row r="5263" spans="1:10" x14ac:dyDescent="0.2">
      <c r="A5263" s="4" t="s">
        <v>1</v>
      </c>
      <c r="B5263" s="3" t="str">
        <f>HYPERLINK("https://otsuka-europe-crm.veevavault.com/ui/#object/approved_document__v/V5OZ025E82TFUPI", "Spain - HCP Survey Email - June 2025")</f>
        <v>Spain - HCP Survey Email - June 2025</v>
      </c>
      <c r="C5263" s="3" t="str">
        <f>HYPERLINK("https://otsuka-europe-crm.veevavault.com/ui/#object/sent_email__v/VBLZ025E82GN1T1", "SE-000272419")</f>
        <v>SE-000272419</v>
      </c>
      <c r="D5263" s="1">
        <v>45915.587106481478</v>
      </c>
      <c r="E5263" s="2">
        <v>1</v>
      </c>
      <c r="F5263" s="2">
        <v>4</v>
      </c>
      <c r="G5263" s="2">
        <v>0</v>
      </c>
      <c r="H5263" s="1" t="s">
        <v>0</v>
      </c>
      <c r="I5263" s="2">
        <v>0</v>
      </c>
      <c r="J5263" s="1">
        <v>45915.378009259257</v>
      </c>
    </row>
    <row r="5264" spans="1:10" x14ac:dyDescent="0.2">
      <c r="A5264" s="4" t="s">
        <v>1</v>
      </c>
      <c r="B5264" s="3" t="str">
        <f>HYPERLINK("https://otsuka-europe-crm.veevavault.com/ui/#object/approved_document__v/V5OZ025E82TFUPI", "Spain - HCP Survey Email - June 2025")</f>
        <v>Spain - HCP Survey Email - June 2025</v>
      </c>
      <c r="C5264" s="3" t="str">
        <f>HYPERLINK("https://otsuka-europe-crm.veevavault.com/ui/#object/sent_email__v/VBLZ025E82GN1T2", "SE-000272420")</f>
        <v>SE-000272420</v>
      </c>
      <c r="D5264" s="1">
        <v>45916.888622685183</v>
      </c>
      <c r="E5264" s="2">
        <v>1</v>
      </c>
      <c r="F5264" s="2">
        <v>1</v>
      </c>
      <c r="G5264" s="2">
        <v>0</v>
      </c>
      <c r="H5264" s="1" t="s">
        <v>0</v>
      </c>
      <c r="I5264" s="2">
        <v>0</v>
      </c>
      <c r="J5264" s="1">
        <v>45915.379050925927</v>
      </c>
    </row>
    <row r="5265" spans="1:10" x14ac:dyDescent="0.2">
      <c r="A5265" s="4" t="s">
        <v>1</v>
      </c>
      <c r="B5265" s="3" t="str">
        <f>HYPERLINK("https://otsuka-europe-crm.veevavault.com/ui/#object/approved_document__v/V5OZ025E82TFUPI", "Spain - HCP Survey Email - June 2025")</f>
        <v>Spain - HCP Survey Email - June 2025</v>
      </c>
      <c r="C5265" s="3" t="str">
        <f>HYPERLINK("https://otsuka-europe-crm.veevavault.com/ui/#object/sent_email__v/VBLZ025E82GN2A5", "SE-000272421")</f>
        <v>SE-000272421</v>
      </c>
      <c r="D5265" s="1">
        <v>45915.423368055555</v>
      </c>
      <c r="E5265" s="2">
        <v>1</v>
      </c>
      <c r="F5265" s="2">
        <v>1</v>
      </c>
      <c r="G5265" s="2">
        <v>0</v>
      </c>
      <c r="H5265" s="1" t="s">
        <v>0</v>
      </c>
      <c r="I5265" s="2">
        <v>0</v>
      </c>
      <c r="J5265" s="1">
        <v>45915.37767361111</v>
      </c>
    </row>
    <row r="5266" spans="1:10" x14ac:dyDescent="0.2">
      <c r="A5266" s="4" t="s">
        <v>1</v>
      </c>
      <c r="B5266" s="3" t="str">
        <f>HYPERLINK("https://otsuka-europe-crm.veevavault.com/ui/#object/approved_document__v/V5OZ025E82TFUPI", "Spain - HCP Survey Email - June 2025")</f>
        <v>Spain - HCP Survey Email - June 2025</v>
      </c>
      <c r="C5266" s="3" t="str">
        <f>HYPERLINK("https://otsuka-europe-crm.veevavault.com/ui/#object/sent_email__v/VBLZ025E82GN2A6", "SE-000272422")</f>
        <v>SE-000272422</v>
      </c>
      <c r="D5266" s="1" t="s">
        <v>0</v>
      </c>
      <c r="E5266" s="2">
        <v>0</v>
      </c>
      <c r="F5266" s="2">
        <v>0</v>
      </c>
      <c r="G5266" s="2">
        <v>0</v>
      </c>
      <c r="H5266" s="1" t="s">
        <v>0</v>
      </c>
      <c r="I5266" s="2">
        <v>0</v>
      </c>
      <c r="J5266" s="1">
        <v>45915.377569444441</v>
      </c>
    </row>
    <row r="5267" spans="1:10" x14ac:dyDescent="0.2">
      <c r="A5267" s="4" t="s">
        <v>1</v>
      </c>
      <c r="B5267" s="3" t="str">
        <f>HYPERLINK("https://otsuka-europe-crm.veevavault.com/ui/#object/approved_document__v/V5OZ025E82TFUPI", "Spain - HCP Survey Email - June 2025")</f>
        <v>Spain - HCP Survey Email - June 2025</v>
      </c>
      <c r="C5267" s="3" t="str">
        <f>HYPERLINK("https://otsuka-europe-crm.veevavault.com/ui/#object/sent_email__v/VBLZ025E82GN2A7", "SE-000272423")</f>
        <v>SE-000272423</v>
      </c>
      <c r="D5267" s="1" t="s">
        <v>0</v>
      </c>
      <c r="E5267" s="2">
        <v>0</v>
      </c>
      <c r="F5267" s="2">
        <v>0</v>
      </c>
      <c r="G5267" s="2">
        <v>0</v>
      </c>
      <c r="H5267" s="1" t="s">
        <v>0</v>
      </c>
      <c r="I5267" s="2">
        <v>0</v>
      </c>
      <c r="J5267" s="1">
        <v>45915.377962962964</v>
      </c>
    </row>
    <row r="5268" spans="1:10" x14ac:dyDescent="0.2">
      <c r="A5268" s="4" t="s">
        <v>1</v>
      </c>
      <c r="B5268" s="3" t="str">
        <f>HYPERLINK("https://otsuka-europe-crm.veevavault.com/ui/#object/approved_document__v/V5OZ025E82TFUPI", "Spain - HCP Survey Email - June 2025")</f>
        <v>Spain - HCP Survey Email - June 2025</v>
      </c>
      <c r="C5268" s="3" t="str">
        <f>HYPERLINK("https://otsuka-europe-crm.veevavault.com/ui/#object/sent_email__v/VBLZ025E82GN2A8", "SE-000272424")</f>
        <v>SE-000272424</v>
      </c>
      <c r="D5268" s="1" t="s">
        <v>0</v>
      </c>
      <c r="E5268" s="2">
        <v>0</v>
      </c>
      <c r="F5268" s="2">
        <v>0</v>
      </c>
      <c r="G5268" s="2">
        <v>0</v>
      </c>
      <c r="H5268" s="1" t="s">
        <v>0</v>
      </c>
      <c r="I5268" s="2">
        <v>0</v>
      </c>
      <c r="J5268" s="1">
        <v>45915.379004629627</v>
      </c>
    </row>
    <row r="5269" spans="1:10" x14ac:dyDescent="0.2">
      <c r="A5269" s="4" t="s">
        <v>1</v>
      </c>
      <c r="B5269" s="3" t="str">
        <f>HYPERLINK("https://otsuka-europe-crm.veevavault.com/ui/#object/approved_document__v/V5OZ025E82TFUPI", "Spain - HCP Survey Email - June 2025")</f>
        <v>Spain - HCP Survey Email - June 2025</v>
      </c>
      <c r="C5269" s="3" t="str">
        <f>HYPERLINK("https://otsuka-europe-crm.veevavault.com/ui/#object/sent_email__v/VBLZ025E82GN2A9", "SE-000272425")</f>
        <v>SE-000272425</v>
      </c>
      <c r="D5269" s="1" t="s">
        <v>0</v>
      </c>
      <c r="E5269" s="2">
        <v>0</v>
      </c>
      <c r="F5269" s="2">
        <v>0</v>
      </c>
      <c r="G5269" s="2">
        <v>0</v>
      </c>
      <c r="H5269" s="1" t="s">
        <v>0</v>
      </c>
      <c r="I5269" s="2">
        <v>0</v>
      </c>
      <c r="J5269" s="1">
        <v>45915.379513888889</v>
      </c>
    </row>
    <row r="5270" spans="1:10" x14ac:dyDescent="0.2">
      <c r="A5270" s="4" t="s">
        <v>1</v>
      </c>
      <c r="B5270" s="3" t="str">
        <f>HYPERLINK("https://otsuka-europe-crm.veevavault.com/ui/#object/approved_document__v/V5OZ025E82TFUPI", "Spain - HCP Survey Email - June 2025")</f>
        <v>Spain - HCP Survey Email - June 2025</v>
      </c>
      <c r="C5270" s="3" t="str">
        <f>HYPERLINK("https://otsuka-europe-crm.veevavault.com/ui/#object/sent_email__v/VBLZ025E82GN2AA", "SE-000272426")</f>
        <v>SE-000272426</v>
      </c>
      <c r="D5270" s="1" t="s">
        <v>0</v>
      </c>
      <c r="E5270" s="2">
        <v>0</v>
      </c>
      <c r="F5270" s="2">
        <v>0</v>
      </c>
      <c r="G5270" s="2">
        <v>0</v>
      </c>
      <c r="H5270" s="1" t="s">
        <v>0</v>
      </c>
      <c r="I5270" s="2">
        <v>0</v>
      </c>
      <c r="J5270" s="1">
        <v>45915.379293981481</v>
      </c>
    </row>
    <row r="5271" spans="1:10" x14ac:dyDescent="0.2">
      <c r="A5271" s="4" t="s">
        <v>1</v>
      </c>
      <c r="B5271" s="3" t="str">
        <f>HYPERLINK("https://otsuka-europe-crm.veevavault.com/ui/#object/approved_document__v/V5OZ025E82TFUPI", "Spain - HCP Survey Email - June 2025")</f>
        <v>Spain - HCP Survey Email - June 2025</v>
      </c>
      <c r="C5271" s="3" t="str">
        <f>HYPERLINK("https://otsuka-europe-crm.veevavault.com/ui/#object/sent_email__v/VBLZ025E82GN2AB", "SE-000272427")</f>
        <v>SE-000272427</v>
      </c>
      <c r="D5271" s="1">
        <v>45933.95784722222</v>
      </c>
      <c r="E5271" s="2">
        <v>1</v>
      </c>
      <c r="F5271" s="2">
        <v>2</v>
      </c>
      <c r="G5271" s="2">
        <v>0</v>
      </c>
      <c r="H5271" s="1" t="s">
        <v>0</v>
      </c>
      <c r="I5271" s="2">
        <v>0</v>
      </c>
      <c r="J5271" s="1">
        <v>45915.377372685187</v>
      </c>
    </row>
    <row r="5272" spans="1:10" x14ac:dyDescent="0.2">
      <c r="A5272" s="4" t="s">
        <v>1</v>
      </c>
      <c r="B5272" s="3" t="str">
        <f>HYPERLINK("https://otsuka-europe-crm.veevavault.com/ui/#object/approved_document__v/V5OZ025E82TFUPI", "Spain - HCP Survey Email - June 2025")</f>
        <v>Spain - HCP Survey Email - June 2025</v>
      </c>
      <c r="C5272" s="3" t="str">
        <f>HYPERLINK("https://otsuka-europe-crm.veevavault.com/ui/#object/sent_email__v/VBLZ025E82GN2AC", "SE-000272428")</f>
        <v>SE-000272428</v>
      </c>
      <c r="D5272" s="1" t="s">
        <v>0</v>
      </c>
      <c r="E5272" s="2">
        <v>0</v>
      </c>
      <c r="F5272" s="2">
        <v>0</v>
      </c>
      <c r="G5272" s="2">
        <v>0</v>
      </c>
      <c r="H5272" s="1" t="s">
        <v>0</v>
      </c>
      <c r="I5272" s="2">
        <v>0</v>
      </c>
      <c r="J5272" s="1">
        <v>45915.377962962964</v>
      </c>
    </row>
    <row r="5273" spans="1:10" x14ac:dyDescent="0.2">
      <c r="A5273" s="4" t="s">
        <v>1</v>
      </c>
      <c r="B5273" s="3" t="str">
        <f>HYPERLINK("https://otsuka-europe-crm.veevavault.com/ui/#object/approved_document__v/V5OZ025E82TFUPI", "Spain - HCP Survey Email - June 2025")</f>
        <v>Spain - HCP Survey Email - June 2025</v>
      </c>
      <c r="C5273" s="3" t="str">
        <f>HYPERLINK("https://otsuka-europe-crm.veevavault.com/ui/#object/sent_email__v/VBLZ025E82GN2AD", "SE-000272429")</f>
        <v>SE-000272429</v>
      </c>
      <c r="D5273" s="1">
        <v>45929.859340277777</v>
      </c>
      <c r="E5273" s="2">
        <v>1</v>
      </c>
      <c r="F5273" s="2">
        <v>2</v>
      </c>
      <c r="G5273" s="2">
        <v>0</v>
      </c>
      <c r="H5273" s="1" t="s">
        <v>0</v>
      </c>
      <c r="I5273" s="2">
        <v>0</v>
      </c>
      <c r="J5273" s="1">
        <v>45915.378946759258</v>
      </c>
    </row>
    <row r="5274" spans="1:10" x14ac:dyDescent="0.2">
      <c r="A5274" s="4" t="s">
        <v>1</v>
      </c>
      <c r="B5274" s="3" t="str">
        <f>HYPERLINK("https://otsuka-europe-crm.veevavault.com/ui/#object/approved_document__v/V5OZ025E82TFUPI", "Spain - HCP Survey Email - June 2025")</f>
        <v>Spain - HCP Survey Email - June 2025</v>
      </c>
      <c r="C5274" s="3" t="str">
        <f>HYPERLINK("https://otsuka-europe-crm.veevavault.com/ui/#object/sent_email__v/VBLZ025E82GN2AE", "SE-000272430")</f>
        <v>SE-000272430</v>
      </c>
      <c r="D5274" s="1" t="s">
        <v>0</v>
      </c>
      <c r="E5274" s="2">
        <v>0</v>
      </c>
      <c r="F5274" s="2">
        <v>0</v>
      </c>
      <c r="G5274" s="2">
        <v>0</v>
      </c>
      <c r="H5274" s="1" t="s">
        <v>0</v>
      </c>
      <c r="I5274" s="2">
        <v>0</v>
      </c>
      <c r="J5274" s="1">
        <v>45915.379629629628</v>
      </c>
    </row>
    <row r="5275" spans="1:10" x14ac:dyDescent="0.2">
      <c r="A5275" s="4" t="s">
        <v>1</v>
      </c>
      <c r="B5275" s="3" t="str">
        <f>HYPERLINK("https://otsuka-europe-crm.veevavault.com/ui/#object/approved_document__v/V5OZ025E82TFUPI", "Spain - HCP Survey Email - June 2025")</f>
        <v>Spain - HCP Survey Email - June 2025</v>
      </c>
      <c r="C5275" s="3" t="str">
        <f>HYPERLINK("https://otsuka-europe-crm.veevavault.com/ui/#object/sent_email__v/VBLZ025E82GN2AF", "SE-000272431")</f>
        <v>SE-000272431</v>
      </c>
      <c r="D5275" s="1" t="s">
        <v>0</v>
      </c>
      <c r="E5275" s="2">
        <v>0</v>
      </c>
      <c r="F5275" s="2">
        <v>0</v>
      </c>
      <c r="G5275" s="2">
        <v>0</v>
      </c>
      <c r="H5275" s="1" t="s">
        <v>0</v>
      </c>
      <c r="I5275" s="2">
        <v>0</v>
      </c>
      <c r="J5275" s="1">
        <v>45915.379305555558</v>
      </c>
    </row>
    <row r="5276" spans="1:10" x14ac:dyDescent="0.2">
      <c r="A5276" s="4" t="s">
        <v>1</v>
      </c>
      <c r="B5276" s="3" t="str">
        <f>HYPERLINK("https://otsuka-europe-crm.veevavault.com/ui/#object/approved_document__v/V5OZ025E82TFUPI", "Spain - HCP Survey Email - June 2025")</f>
        <v>Spain - HCP Survey Email - June 2025</v>
      </c>
      <c r="C5276" s="3" t="str">
        <f>HYPERLINK("https://otsuka-europe-crm.veevavault.com/ui/#object/sent_email__v/VBLZ025E82GN2AG", "SE-000272432")</f>
        <v>SE-000272432</v>
      </c>
      <c r="D5276" s="1">
        <v>45917.395902777775</v>
      </c>
      <c r="E5276" s="2">
        <v>1</v>
      </c>
      <c r="F5276" s="2">
        <v>1</v>
      </c>
      <c r="G5276" s="2">
        <v>1</v>
      </c>
      <c r="H5276" s="1">
        <v>45917.396435185183</v>
      </c>
      <c r="I5276" s="2">
        <v>1</v>
      </c>
      <c r="J5276" s="1">
        <v>45915.377442129633</v>
      </c>
    </row>
    <row r="5277" spans="1:10" x14ac:dyDescent="0.2">
      <c r="A5277" s="4" t="s">
        <v>1</v>
      </c>
      <c r="B5277" s="3" t="str">
        <f>HYPERLINK("https://otsuka-europe-crm.veevavault.com/ui/#object/approved_document__v/V5OZ025E82TFUPI", "Spain - HCP Survey Email - June 2025")</f>
        <v>Spain - HCP Survey Email - June 2025</v>
      </c>
      <c r="C5277" s="3" t="str">
        <f>HYPERLINK("https://otsuka-europe-crm.veevavault.com/ui/#object/sent_email__v/VBLZ025E82GN2AH", "SE-000272433")</f>
        <v>SE-000272433</v>
      </c>
      <c r="D5277" s="1">
        <v>45923.55746527778</v>
      </c>
      <c r="E5277" s="2">
        <v>1</v>
      </c>
      <c r="F5277" s="2">
        <v>1</v>
      </c>
      <c r="G5277" s="2">
        <v>0</v>
      </c>
      <c r="H5277" s="1" t="s">
        <v>0</v>
      </c>
      <c r="I5277" s="2">
        <v>0</v>
      </c>
      <c r="J5277" s="1">
        <v>45915.378298611111</v>
      </c>
    </row>
    <row r="5278" spans="1:10" x14ac:dyDescent="0.2">
      <c r="A5278" s="4" t="s">
        <v>1</v>
      </c>
      <c r="B5278" s="3" t="str">
        <f>HYPERLINK("https://otsuka-europe-crm.veevavault.com/ui/#object/approved_document__v/V5OZ025E82TFUPI", "Spain - HCP Survey Email - June 2025")</f>
        <v>Spain - HCP Survey Email - June 2025</v>
      </c>
      <c r="C5278" s="3" t="str">
        <f>HYPERLINK("https://otsuka-europe-crm.veevavault.com/ui/#object/sent_email__v/VBLZ025E82GN2AI", "SE-000272434")</f>
        <v>SE-000272434</v>
      </c>
      <c r="D5278" s="1">
        <v>45916.599861111114</v>
      </c>
      <c r="E5278" s="2">
        <v>1</v>
      </c>
      <c r="F5278" s="2">
        <v>1</v>
      </c>
      <c r="G5278" s="2">
        <v>0</v>
      </c>
      <c r="H5278" s="1" t="s">
        <v>0</v>
      </c>
      <c r="I5278" s="2">
        <v>0</v>
      </c>
      <c r="J5278" s="1">
        <v>45915.378159722219</v>
      </c>
    </row>
    <row r="5279" spans="1:10" x14ac:dyDescent="0.2">
      <c r="A5279" s="4" t="s">
        <v>1</v>
      </c>
      <c r="B5279" s="3" t="str">
        <f>HYPERLINK("https://otsuka-europe-crm.veevavault.com/ui/#object/approved_document__v/V5OZ025E82TFUPI", "Spain - HCP Survey Email - June 2025")</f>
        <v>Spain - HCP Survey Email - June 2025</v>
      </c>
      <c r="C5279" s="3" t="str">
        <f>HYPERLINK("https://otsuka-europe-crm.veevavault.com/ui/#object/sent_email__v/VBLZ025E82GN2AJ", "SE-000272435")</f>
        <v>SE-000272435</v>
      </c>
      <c r="D5279" s="1" t="s">
        <v>0</v>
      </c>
      <c r="E5279" s="2">
        <v>0</v>
      </c>
      <c r="F5279" s="2">
        <v>0</v>
      </c>
      <c r="G5279" s="2">
        <v>0</v>
      </c>
      <c r="H5279" s="1" t="s">
        <v>0</v>
      </c>
      <c r="I5279" s="2">
        <v>0</v>
      </c>
      <c r="J5279" s="1">
        <v>45915.378576388888</v>
      </c>
    </row>
    <row r="5280" spans="1:10" x14ac:dyDescent="0.2">
      <c r="A5280" s="4" t="s">
        <v>1</v>
      </c>
      <c r="B5280" s="3" t="str">
        <f>HYPERLINK("https://otsuka-europe-crm.veevavault.com/ui/#object/approved_document__v/V5OZ025E82TFUPI", "Spain - HCP Survey Email - June 2025")</f>
        <v>Spain - HCP Survey Email - June 2025</v>
      </c>
      <c r="C5280" s="3" t="str">
        <f>HYPERLINK("https://otsuka-europe-crm.veevavault.com/ui/#object/sent_email__v/VBLZ025E82GN2AK", "SE-000272436")</f>
        <v>SE-000272436</v>
      </c>
      <c r="D5280" s="1">
        <v>45925.23332175926</v>
      </c>
      <c r="E5280" s="2">
        <v>1</v>
      </c>
      <c r="F5280" s="2">
        <v>3</v>
      </c>
      <c r="G5280" s="2">
        <v>1</v>
      </c>
      <c r="H5280" s="1">
        <v>45925.233726851853</v>
      </c>
      <c r="I5280" s="2">
        <v>1</v>
      </c>
      <c r="J5280" s="1">
        <v>45915.379930555559</v>
      </c>
    </row>
    <row r="5281" spans="1:10" x14ac:dyDescent="0.2">
      <c r="A5281" s="4" t="s">
        <v>1</v>
      </c>
      <c r="B5281" s="3" t="str">
        <f>HYPERLINK("https://otsuka-europe-crm.veevavault.com/ui/#object/approved_document__v/V5OZ025E82TFUPI", "Spain - HCP Survey Email - June 2025")</f>
        <v>Spain - HCP Survey Email - June 2025</v>
      </c>
      <c r="C5281" s="3" t="str">
        <f>HYPERLINK("https://otsuka-europe-crm.veevavault.com/ui/#object/sent_email__v/VBLZ025E82GN2AL", "SE-000272437")</f>
        <v>SE-000272437</v>
      </c>
      <c r="D5281" s="1" t="s">
        <v>0</v>
      </c>
      <c r="E5281" s="2">
        <v>0</v>
      </c>
      <c r="F5281" s="2">
        <v>0</v>
      </c>
      <c r="G5281" s="2">
        <v>0</v>
      </c>
      <c r="H5281" s="1" t="s">
        <v>0</v>
      </c>
      <c r="I5281" s="2">
        <v>0</v>
      </c>
      <c r="J5281" s="1">
        <v>45915.37777777778</v>
      </c>
    </row>
    <row r="5282" spans="1:10" x14ac:dyDescent="0.2">
      <c r="A5282" s="4" t="s">
        <v>1</v>
      </c>
      <c r="B5282" s="3" t="str">
        <f>HYPERLINK("https://otsuka-europe-crm.veevavault.com/ui/#object/approved_document__v/V5OZ025E82TFUPI", "Spain - HCP Survey Email - June 2025")</f>
        <v>Spain - HCP Survey Email - June 2025</v>
      </c>
      <c r="C5282" s="3" t="str">
        <f>HYPERLINK("https://otsuka-europe-crm.veevavault.com/ui/#object/sent_email__v/VBLZ025E82GN2AM", "SE-000272438")</f>
        <v>SE-000272438</v>
      </c>
      <c r="D5282" s="1">
        <v>45915.414641203701</v>
      </c>
      <c r="E5282" s="2">
        <v>1</v>
      </c>
      <c r="F5282" s="2">
        <v>1</v>
      </c>
      <c r="G5282" s="2">
        <v>0</v>
      </c>
      <c r="H5282" s="1" t="s">
        <v>0</v>
      </c>
      <c r="I5282" s="2">
        <v>0</v>
      </c>
      <c r="J5282" s="1">
        <v>45915.377581018518</v>
      </c>
    </row>
    <row r="5283" spans="1:10" x14ac:dyDescent="0.2">
      <c r="A5283" s="4" t="s">
        <v>1</v>
      </c>
      <c r="B5283" s="3" t="str">
        <f>HYPERLINK("https://otsuka-europe-crm.veevavault.com/ui/#object/approved_document__v/V5OZ025E82TFUPI", "Spain - HCP Survey Email - June 2025")</f>
        <v>Spain - HCP Survey Email - June 2025</v>
      </c>
      <c r="C5283" s="3" t="str">
        <f>HYPERLINK("https://otsuka-europe-crm.veevavault.com/ui/#object/sent_email__v/VBLZ025E82GN2AN", "SE-000272439")</f>
        <v>SE-000272439</v>
      </c>
      <c r="D5283" s="1" t="s">
        <v>0</v>
      </c>
      <c r="E5283" s="2">
        <v>0</v>
      </c>
      <c r="F5283" s="2">
        <v>0</v>
      </c>
      <c r="G5283" s="2">
        <v>0</v>
      </c>
      <c r="H5283" s="1" t="s">
        <v>0</v>
      </c>
      <c r="I5283" s="2">
        <v>0</v>
      </c>
      <c r="J5283" s="1">
        <v>45915.37804398148</v>
      </c>
    </row>
    <row r="5284" spans="1:10" x14ac:dyDescent="0.2">
      <c r="A5284" s="4" t="s">
        <v>1</v>
      </c>
      <c r="B5284" s="3" t="str">
        <f>HYPERLINK("https://otsuka-europe-crm.veevavault.com/ui/#object/approved_document__v/V5OZ025E82TFUPI", "Spain - HCP Survey Email - June 2025")</f>
        <v>Spain - HCP Survey Email - June 2025</v>
      </c>
      <c r="C5284" s="3" t="str">
        <f>HYPERLINK("https://otsuka-europe-crm.veevavault.com/ui/#object/sent_email__v/VBLZ025E82GN2AO", "SE-000272440")</f>
        <v>SE-000272440</v>
      </c>
      <c r="D5284" s="1" t="s">
        <v>0</v>
      </c>
      <c r="E5284" s="2">
        <v>0</v>
      </c>
      <c r="F5284" s="2">
        <v>0</v>
      </c>
      <c r="G5284" s="2">
        <v>0</v>
      </c>
      <c r="H5284" s="1" t="s">
        <v>0</v>
      </c>
      <c r="I5284" s="2">
        <v>0</v>
      </c>
      <c r="J5284" s="1">
        <v>45915.378958333335</v>
      </c>
    </row>
    <row r="5285" spans="1:10" x14ac:dyDescent="0.2">
      <c r="A5285" s="4" t="s">
        <v>1</v>
      </c>
      <c r="B5285" s="3" t="str">
        <f>HYPERLINK("https://otsuka-europe-crm.veevavault.com/ui/#object/approved_document__v/V5OZ025E82TFUPI", "Spain - HCP Survey Email - June 2025")</f>
        <v>Spain - HCP Survey Email - June 2025</v>
      </c>
      <c r="C5285" s="3" t="str">
        <f>HYPERLINK("https://otsuka-europe-crm.veevavault.com/ui/#object/sent_email__v/VBLZ025E82GN2AP", "SE-000272441")</f>
        <v>SE-000272441</v>
      </c>
      <c r="D5285" s="1" t="s">
        <v>0</v>
      </c>
      <c r="E5285" s="2">
        <v>0</v>
      </c>
      <c r="F5285" s="2">
        <v>0</v>
      </c>
      <c r="G5285" s="2">
        <v>0</v>
      </c>
      <c r="H5285" s="1" t="s">
        <v>0</v>
      </c>
      <c r="I5285" s="2">
        <v>0</v>
      </c>
      <c r="J5285" s="1">
        <v>45915.379537037035</v>
      </c>
    </row>
    <row r="5286" spans="1:10" x14ac:dyDescent="0.2">
      <c r="A5286" s="4" t="s">
        <v>1</v>
      </c>
      <c r="B5286" s="3" t="str">
        <f>HYPERLINK("https://otsuka-europe-crm.veevavault.com/ui/#object/approved_document__v/V5OZ025E82TFUPI", "Spain - HCP Survey Email - June 2025")</f>
        <v>Spain - HCP Survey Email - June 2025</v>
      </c>
      <c r="C5286" s="3" t="str">
        <f>HYPERLINK("https://otsuka-europe-crm.veevavault.com/ui/#object/sent_email__v/VBLZ025E82GN2AQ", "SE-000272442")</f>
        <v>SE-000272442</v>
      </c>
      <c r="D5286" s="1">
        <v>45915.551111111112</v>
      </c>
      <c r="E5286" s="2">
        <v>1</v>
      </c>
      <c r="F5286" s="2">
        <v>1</v>
      </c>
      <c r="G5286" s="2">
        <v>0</v>
      </c>
      <c r="H5286" s="1" t="s">
        <v>0</v>
      </c>
      <c r="I5286" s="2">
        <v>0</v>
      </c>
      <c r="J5286" s="1">
        <v>45915.379374999997</v>
      </c>
    </row>
    <row r="5287" spans="1:10" x14ac:dyDescent="0.2">
      <c r="A5287" s="4" t="s">
        <v>1</v>
      </c>
      <c r="B5287" s="3" t="str">
        <f>HYPERLINK("https://otsuka-europe-crm.veevavault.com/ui/#object/approved_document__v/V5OZ025E82TFUPI", "Spain - HCP Survey Email - June 2025")</f>
        <v>Spain - HCP Survey Email - June 2025</v>
      </c>
      <c r="C5287" s="3" t="str">
        <f>HYPERLINK("https://otsuka-europe-crm.veevavault.com/ui/#object/sent_email__v/VBLZ025E82GN2AR", "SE-000272443")</f>
        <v>SE-000272443</v>
      </c>
      <c r="D5287" s="1">
        <v>45915.443067129629</v>
      </c>
      <c r="E5287" s="2">
        <v>1</v>
      </c>
      <c r="F5287" s="2">
        <v>1</v>
      </c>
      <c r="G5287" s="2">
        <v>1</v>
      </c>
      <c r="H5287" s="1">
        <v>45915.44326388889</v>
      </c>
      <c r="I5287" s="2">
        <v>2</v>
      </c>
      <c r="J5287" s="1">
        <v>45915.377430555556</v>
      </c>
    </row>
    <row r="5288" spans="1:10" x14ac:dyDescent="0.2">
      <c r="A5288" s="4" t="s">
        <v>1</v>
      </c>
      <c r="B5288" s="3" t="str">
        <f>HYPERLINK("https://otsuka-europe-crm.veevavault.com/ui/#object/approved_document__v/V5OZ025E82TFUPI", "Spain - HCP Survey Email - June 2025")</f>
        <v>Spain - HCP Survey Email - June 2025</v>
      </c>
      <c r="C5288" s="3" t="str">
        <f>HYPERLINK("https://otsuka-europe-crm.veevavault.com/ui/#object/sent_email__v/VBLZ025E82GN2AS", "SE-000272444")</f>
        <v>SE-000272444</v>
      </c>
      <c r="D5288" s="1">
        <v>45915.717349537037</v>
      </c>
      <c r="E5288" s="2">
        <v>1</v>
      </c>
      <c r="F5288" s="2">
        <v>1</v>
      </c>
      <c r="G5288" s="2">
        <v>0</v>
      </c>
      <c r="H5288" s="1" t="s">
        <v>0</v>
      </c>
      <c r="I5288" s="2">
        <v>0</v>
      </c>
      <c r="J5288" s="1">
        <v>45915.378391203703</v>
      </c>
    </row>
    <row r="5289" spans="1:10" x14ac:dyDescent="0.2">
      <c r="A5289" s="4" t="s">
        <v>1</v>
      </c>
      <c r="B5289" s="3" t="str">
        <f>HYPERLINK("https://otsuka-europe-crm.veevavault.com/ui/#object/approved_document__v/V5OZ025E82TFUPI", "Spain - HCP Survey Email - June 2025")</f>
        <v>Spain - HCP Survey Email - June 2025</v>
      </c>
      <c r="C5289" s="3" t="str">
        <f>HYPERLINK("https://otsuka-europe-crm.veevavault.com/ui/#object/sent_email__v/VBLZ025E82GN2AT", "SE-000272445")</f>
        <v>SE-000272445</v>
      </c>
      <c r="D5289" s="1">
        <v>45915.379050925927</v>
      </c>
      <c r="E5289" s="2">
        <v>1</v>
      </c>
      <c r="F5289" s="2">
        <v>1</v>
      </c>
      <c r="G5289" s="2">
        <v>1</v>
      </c>
      <c r="H5289" s="1">
        <v>45915.379050925927</v>
      </c>
      <c r="I5289" s="2">
        <v>1</v>
      </c>
      <c r="J5289" s="1">
        <v>45915.378206018519</v>
      </c>
    </row>
    <row r="5290" spans="1:10" x14ac:dyDescent="0.2">
      <c r="A5290" s="4" t="s">
        <v>1</v>
      </c>
      <c r="B5290" s="3" t="str">
        <f>HYPERLINK("https://otsuka-europe-crm.veevavault.com/ui/#object/approved_document__v/V5OZ025E82TFUPI", "Spain - HCP Survey Email - June 2025")</f>
        <v>Spain - HCP Survey Email - June 2025</v>
      </c>
      <c r="C5290" s="3" t="str">
        <f>HYPERLINK("https://otsuka-europe-crm.veevavault.com/ui/#object/sent_email__v/VBLZ025E82GN2AU", "SE-000272446")</f>
        <v>SE-000272446</v>
      </c>
      <c r="D5290" s="1">
        <v>45915.387048611112</v>
      </c>
      <c r="E5290" s="2">
        <v>1</v>
      </c>
      <c r="F5290" s="2">
        <v>1</v>
      </c>
      <c r="G5290" s="2">
        <v>0</v>
      </c>
      <c r="H5290" s="1" t="s">
        <v>0</v>
      </c>
      <c r="I5290" s="2">
        <v>0</v>
      </c>
      <c r="J5290" s="1">
        <v>45915.378587962965</v>
      </c>
    </row>
    <row r="5291" spans="1:10" x14ac:dyDescent="0.2">
      <c r="A5291" s="4" t="s">
        <v>1</v>
      </c>
      <c r="B5291" s="3" t="str">
        <f>HYPERLINK("https://otsuka-europe-crm.veevavault.com/ui/#object/approved_document__v/V5OZ025E82TFUPI", "Spain - HCP Survey Email - June 2025")</f>
        <v>Spain - HCP Survey Email - June 2025</v>
      </c>
      <c r="C5291" s="3" t="str">
        <f>HYPERLINK("https://otsuka-europe-crm.veevavault.com/ui/#object/sent_email__v/VBLZ025E82GN2AV", "SE-000272447")</f>
        <v>SE-000272447</v>
      </c>
      <c r="D5291" s="1">
        <v>45915.396689814814</v>
      </c>
      <c r="E5291" s="2">
        <v>1</v>
      </c>
      <c r="F5291" s="2">
        <v>1</v>
      </c>
      <c r="G5291" s="2">
        <v>0</v>
      </c>
      <c r="H5291" s="1" t="s">
        <v>0</v>
      </c>
      <c r="I5291" s="2">
        <v>0</v>
      </c>
      <c r="J5291" s="1">
        <v>45915.379918981482</v>
      </c>
    </row>
    <row r="5292" spans="1:10" x14ac:dyDescent="0.2">
      <c r="A5292" s="4" t="s">
        <v>1</v>
      </c>
      <c r="B5292" s="3" t="str">
        <f>HYPERLINK("https://otsuka-europe-crm.veevavault.com/ui/#object/approved_document__v/V5OZ025E82TFUPI", "Spain - HCP Survey Email - June 2025")</f>
        <v>Spain - HCP Survey Email - June 2025</v>
      </c>
      <c r="C5292" s="3" t="str">
        <f>HYPERLINK("https://otsuka-europe-crm.veevavault.com/ui/#object/sent_email__v/VBLZ025E82GN2AW", "SE-000272448")</f>
        <v>SE-000272448</v>
      </c>
      <c r="D5292" s="1">
        <v>45933.085034722222</v>
      </c>
      <c r="E5292" s="2">
        <v>1</v>
      </c>
      <c r="F5292" s="2">
        <v>2</v>
      </c>
      <c r="G5292" s="2">
        <v>0</v>
      </c>
      <c r="H5292" s="1" t="s">
        <v>0</v>
      </c>
      <c r="I5292" s="2">
        <v>0</v>
      </c>
      <c r="J5292" s="1">
        <v>45915.37767361111</v>
      </c>
    </row>
    <row r="5293" spans="1:10" x14ac:dyDescent="0.2">
      <c r="A5293" s="4" t="s">
        <v>1</v>
      </c>
      <c r="B5293" s="3" t="str">
        <f>HYPERLINK("https://otsuka-europe-crm.veevavault.com/ui/#object/approved_document__v/V5OZ025E82TFUPI", "Spain - HCP Survey Email - June 2025")</f>
        <v>Spain - HCP Survey Email - June 2025</v>
      </c>
      <c r="C5293" s="3" t="str">
        <f>HYPERLINK("https://otsuka-europe-crm.veevavault.com/ui/#object/sent_email__v/VBLZ025E82GN2AX", "SE-000272449")</f>
        <v>SE-000272449</v>
      </c>
      <c r="D5293" s="1" t="s">
        <v>0</v>
      </c>
      <c r="E5293" s="2">
        <v>0</v>
      </c>
      <c r="F5293" s="2">
        <v>0</v>
      </c>
      <c r="G5293" s="2">
        <v>0</v>
      </c>
      <c r="H5293" s="1" t="s">
        <v>0</v>
      </c>
      <c r="I5293" s="2">
        <v>0</v>
      </c>
      <c r="J5293" s="1">
        <v>45915.377557870372</v>
      </c>
    </row>
    <row r="5294" spans="1:10" x14ac:dyDescent="0.2">
      <c r="A5294" s="4" t="s">
        <v>1</v>
      </c>
      <c r="B5294" s="3" t="str">
        <f>HYPERLINK("https://otsuka-europe-crm.veevavault.com/ui/#object/approved_document__v/V5OZ025E82TFUPI", "Spain - HCP Survey Email - June 2025")</f>
        <v>Spain - HCP Survey Email - June 2025</v>
      </c>
      <c r="C5294" s="3" t="str">
        <f>HYPERLINK("https://otsuka-europe-crm.veevavault.com/ui/#object/sent_email__v/VBLZ025E82GN2AY", "SE-000272450")</f>
        <v>SE-000272450</v>
      </c>
      <c r="D5294" s="1" t="s">
        <v>0</v>
      </c>
      <c r="E5294" s="2">
        <v>0</v>
      </c>
      <c r="F5294" s="2">
        <v>0</v>
      </c>
      <c r="G5294" s="2">
        <v>0</v>
      </c>
      <c r="H5294" s="1" t="s">
        <v>0</v>
      </c>
      <c r="I5294" s="2">
        <v>0</v>
      </c>
      <c r="J5294" s="1">
        <v>45915.377939814818</v>
      </c>
    </row>
    <row r="5295" spans="1:10" x14ac:dyDescent="0.2">
      <c r="A5295" s="4" t="s">
        <v>1</v>
      </c>
      <c r="B5295" s="3" t="str">
        <f>HYPERLINK("https://otsuka-europe-crm.veevavault.com/ui/#object/approved_document__v/V5OZ025E82TFUPI", "Spain - HCP Survey Email - June 2025")</f>
        <v>Spain - HCP Survey Email - June 2025</v>
      </c>
      <c r="C5295" s="3" t="str">
        <f>HYPERLINK("https://otsuka-europe-crm.veevavault.com/ui/#object/sent_email__v/VBLZ025E82GN2AZ", "SE-000272451")</f>
        <v>SE-000272451</v>
      </c>
      <c r="D5295" s="1">
        <v>45915.44427083333</v>
      </c>
      <c r="E5295" s="2">
        <v>1</v>
      </c>
      <c r="F5295" s="2">
        <v>1</v>
      </c>
      <c r="G5295" s="2">
        <v>1</v>
      </c>
      <c r="H5295" s="1">
        <v>45915.44427083333</v>
      </c>
      <c r="I5295" s="2">
        <v>1</v>
      </c>
      <c r="J5295" s="1">
        <v>45915.378923611112</v>
      </c>
    </row>
    <row r="5296" spans="1:10" x14ac:dyDescent="0.2">
      <c r="A5296" s="4" t="s">
        <v>1</v>
      </c>
      <c r="B5296" s="3" t="str">
        <f>HYPERLINK("https://otsuka-europe-crm.veevavault.com/ui/#object/approved_document__v/V5OZ025E82TFUPI", "Spain - HCP Survey Email - June 2025")</f>
        <v>Spain - HCP Survey Email - June 2025</v>
      </c>
      <c r="C5296" s="3" t="str">
        <f>HYPERLINK("https://otsuka-europe-crm.veevavault.com/ui/#object/sent_email__v/VBLZ025E82GN2B0", "SE-000272452")</f>
        <v>SE-000272452</v>
      </c>
      <c r="D5296" s="1">
        <v>45915.40729166667</v>
      </c>
      <c r="E5296" s="2">
        <v>1</v>
      </c>
      <c r="F5296" s="2">
        <v>1</v>
      </c>
      <c r="G5296" s="2">
        <v>0</v>
      </c>
      <c r="H5296" s="1" t="s">
        <v>0</v>
      </c>
      <c r="I5296" s="2">
        <v>0</v>
      </c>
      <c r="J5296" s="1">
        <v>45915.379641203705</v>
      </c>
    </row>
    <row r="5297" spans="1:10" x14ac:dyDescent="0.2">
      <c r="A5297" s="4" t="s">
        <v>1</v>
      </c>
      <c r="B5297" s="3" t="str">
        <f>HYPERLINK("https://otsuka-europe-crm.veevavault.com/ui/#object/approved_document__v/V5OZ025E82TFUPI", "Spain - HCP Survey Email - June 2025")</f>
        <v>Spain - HCP Survey Email - June 2025</v>
      </c>
      <c r="C5297" s="3" t="str">
        <f>HYPERLINK("https://otsuka-europe-crm.veevavault.com/ui/#object/sent_email__v/VBLZ025E82GN2B1", "SE-000272453")</f>
        <v>SE-000272453</v>
      </c>
      <c r="D5297" s="1" t="s">
        <v>0</v>
      </c>
      <c r="E5297" s="2">
        <v>0</v>
      </c>
      <c r="F5297" s="2">
        <v>0</v>
      </c>
      <c r="G5297" s="2">
        <v>0</v>
      </c>
      <c r="H5297" s="1" t="s">
        <v>0</v>
      </c>
      <c r="I5297" s="2">
        <v>0</v>
      </c>
      <c r="J5297" s="1">
        <v>45915.379270833335</v>
      </c>
    </row>
    <row r="5298" spans="1:10" x14ac:dyDescent="0.2">
      <c r="A5298" s="4" t="s">
        <v>1</v>
      </c>
      <c r="B5298" s="3" t="str">
        <f>HYPERLINK("https://otsuka-europe-crm.veevavault.com/ui/#object/approved_document__v/V5OZ025E82TFUPI", "Spain - HCP Survey Email - June 2025")</f>
        <v>Spain - HCP Survey Email - June 2025</v>
      </c>
      <c r="C5298" s="3" t="str">
        <f>HYPERLINK("https://otsuka-europe-crm.veevavault.com/ui/#object/sent_email__v/VBLZ025E82GN2B2", "SE-000272454")</f>
        <v>SE-000272454</v>
      </c>
      <c r="D5298" s="1">
        <v>45923.340925925928</v>
      </c>
      <c r="E5298" s="2">
        <v>1</v>
      </c>
      <c r="F5298" s="2">
        <v>2</v>
      </c>
      <c r="G5298" s="2">
        <v>0</v>
      </c>
      <c r="H5298" s="1" t="s">
        <v>0</v>
      </c>
      <c r="I5298" s="2">
        <v>0</v>
      </c>
      <c r="J5298" s="1">
        <v>45915.377384259256</v>
      </c>
    </row>
    <row r="5299" spans="1:10" x14ac:dyDescent="0.2">
      <c r="A5299" s="4" t="s">
        <v>1</v>
      </c>
      <c r="B5299" s="3" t="str">
        <f>HYPERLINK("https://otsuka-europe-crm.veevavault.com/ui/#object/approved_document__v/V5OZ025E82TFUPI", "Spain - HCP Survey Email - June 2025")</f>
        <v>Spain - HCP Survey Email - June 2025</v>
      </c>
      <c r="C5299" s="3" t="str">
        <f>HYPERLINK("https://otsuka-europe-crm.veevavault.com/ui/#object/sent_email__v/VBLZ025E82GN2B3", "SE-000272455")</f>
        <v>SE-000272455</v>
      </c>
      <c r="D5299" s="1">
        <v>45915.757777777777</v>
      </c>
      <c r="E5299" s="2">
        <v>1</v>
      </c>
      <c r="F5299" s="2">
        <v>1</v>
      </c>
      <c r="G5299" s="2">
        <v>0</v>
      </c>
      <c r="H5299" s="1" t="s">
        <v>0</v>
      </c>
      <c r="I5299" s="2">
        <v>0</v>
      </c>
      <c r="J5299" s="1">
        <v>45915.378391203703</v>
      </c>
    </row>
    <row r="5300" spans="1:10" x14ac:dyDescent="0.2">
      <c r="A5300" s="4" t="s">
        <v>1</v>
      </c>
      <c r="B5300" s="3" t="str">
        <f>HYPERLINK("https://otsuka-europe-crm.veevavault.com/ui/#object/approved_document__v/V5OZ025E82TFUPI", "Spain - HCP Survey Email - June 2025")</f>
        <v>Spain - HCP Survey Email - June 2025</v>
      </c>
      <c r="C5300" s="3" t="str">
        <f>HYPERLINK("https://otsuka-europe-crm.veevavault.com/ui/#object/sent_email__v/VBLZ025E82GN2B4", "SE-000272456")</f>
        <v>SE-000272456</v>
      </c>
      <c r="D5300" s="1" t="s">
        <v>0</v>
      </c>
      <c r="E5300" s="2">
        <v>0</v>
      </c>
      <c r="F5300" s="2">
        <v>0</v>
      </c>
      <c r="G5300" s="2">
        <v>0</v>
      </c>
      <c r="H5300" s="1" t="s">
        <v>0</v>
      </c>
      <c r="I5300" s="2">
        <v>0</v>
      </c>
      <c r="J5300" s="1">
        <v>45915.378148148149</v>
      </c>
    </row>
    <row r="5301" spans="1:10" x14ac:dyDescent="0.2">
      <c r="A5301" s="4" t="s">
        <v>1</v>
      </c>
      <c r="B5301" s="3" t="str">
        <f>HYPERLINK("https://otsuka-europe-crm.veevavault.com/ui/#object/approved_document__v/V5OZ025E82TFUPI", "Spain - HCP Survey Email - June 2025")</f>
        <v>Spain - HCP Survey Email - June 2025</v>
      </c>
      <c r="C5301" s="3" t="str">
        <f>HYPERLINK("https://otsuka-europe-crm.veevavault.com/ui/#object/sent_email__v/VBLZ025E82GN2B5", "SE-000272457")</f>
        <v>SE-000272457</v>
      </c>
      <c r="D5301" s="1">
        <v>45915.502442129633</v>
      </c>
      <c r="E5301" s="2">
        <v>1</v>
      </c>
      <c r="F5301" s="2">
        <v>1</v>
      </c>
      <c r="G5301" s="2">
        <v>0</v>
      </c>
      <c r="H5301" s="1" t="s">
        <v>0</v>
      </c>
      <c r="I5301" s="2">
        <v>0</v>
      </c>
      <c r="J5301" s="1">
        <v>45915.378668981481</v>
      </c>
    </row>
    <row r="5302" spans="1:10" x14ac:dyDescent="0.2">
      <c r="A5302" s="4" t="s">
        <v>1</v>
      </c>
      <c r="B5302" s="3" t="str">
        <f>HYPERLINK("https://otsuka-europe-crm.veevavault.com/ui/#object/approved_document__v/V5OZ025E82TFUPI", "Spain - HCP Survey Email - June 2025")</f>
        <v>Spain - HCP Survey Email - June 2025</v>
      </c>
      <c r="C5302" s="3" t="str">
        <f>HYPERLINK("https://otsuka-europe-crm.veevavault.com/ui/#object/sent_email__v/VBLZ025E82GN2B6", "SE-000272458")</f>
        <v>SE-000272458</v>
      </c>
      <c r="D5302" s="1">
        <v>45915.380266203705</v>
      </c>
      <c r="E5302" s="2">
        <v>1</v>
      </c>
      <c r="F5302" s="2">
        <v>1</v>
      </c>
      <c r="G5302" s="2">
        <v>0</v>
      </c>
      <c r="H5302" s="1" t="s">
        <v>0</v>
      </c>
      <c r="I5302" s="2">
        <v>0</v>
      </c>
      <c r="J5302" s="1">
        <v>45915.379965277774</v>
      </c>
    </row>
    <row r="5303" spans="1:10" x14ac:dyDescent="0.2">
      <c r="A5303" s="4" t="s">
        <v>1</v>
      </c>
      <c r="B5303" s="3" t="str">
        <f>HYPERLINK("https://otsuka-europe-crm.veevavault.com/ui/#object/approved_document__v/V5OZ025E82TFUPI", "Spain - HCP Survey Email - June 2025")</f>
        <v>Spain - HCP Survey Email - June 2025</v>
      </c>
      <c r="C5303" s="3" t="str">
        <f>HYPERLINK("https://otsuka-europe-crm.veevavault.com/ui/#object/sent_email__v/VBLZ025E82GN2B7", "SE-000272459")</f>
        <v>SE-000272459</v>
      </c>
      <c r="D5303" s="1" t="s">
        <v>0</v>
      </c>
      <c r="E5303" s="2">
        <v>0</v>
      </c>
      <c r="F5303" s="2">
        <v>0</v>
      </c>
      <c r="G5303" s="2">
        <v>0</v>
      </c>
      <c r="H5303" s="1" t="s">
        <v>0</v>
      </c>
      <c r="I5303" s="2">
        <v>0</v>
      </c>
      <c r="J5303" s="1">
        <v>45915.37777777778</v>
      </c>
    </row>
    <row r="5304" spans="1:10" x14ac:dyDescent="0.2">
      <c r="A5304" s="4" t="s">
        <v>1</v>
      </c>
      <c r="B5304" s="3" t="str">
        <f>HYPERLINK("https://otsuka-europe-crm.veevavault.com/ui/#object/approved_document__v/V5OZ025E82TFUPI", "Spain - HCP Survey Email - June 2025")</f>
        <v>Spain - HCP Survey Email - June 2025</v>
      </c>
      <c r="C5304" s="3" t="str">
        <f>HYPERLINK("https://otsuka-europe-crm.veevavault.com/ui/#object/sent_email__v/VBLZ025E82GN2B8", "SE-000272460")</f>
        <v>SE-000272460</v>
      </c>
      <c r="D5304" s="1" t="s">
        <v>0</v>
      </c>
      <c r="E5304" s="2">
        <v>0</v>
      </c>
      <c r="F5304" s="2">
        <v>0</v>
      </c>
      <c r="G5304" s="2">
        <v>0</v>
      </c>
      <c r="H5304" s="1" t="s">
        <v>0</v>
      </c>
      <c r="I5304" s="2">
        <v>0</v>
      </c>
      <c r="J5304" s="1">
        <v>45915.377557870372</v>
      </c>
    </row>
    <row r="5305" spans="1:10" x14ac:dyDescent="0.2">
      <c r="A5305" s="4" t="s">
        <v>1</v>
      </c>
      <c r="B5305" s="3" t="str">
        <f>HYPERLINK("https://otsuka-europe-crm.veevavault.com/ui/#object/approved_document__v/V5OZ025E82TFUPI", "Spain - HCP Survey Email - June 2025")</f>
        <v>Spain - HCP Survey Email - June 2025</v>
      </c>
      <c r="C5305" s="3" t="str">
        <f>HYPERLINK("https://otsuka-europe-crm.veevavault.com/ui/#object/sent_email__v/VBLZ025E82GN2B9", "SE-000272461")</f>
        <v>SE-000272461</v>
      </c>
      <c r="D5305" s="1">
        <v>45930.477314814816</v>
      </c>
      <c r="E5305" s="2">
        <v>1</v>
      </c>
      <c r="F5305" s="2">
        <v>1</v>
      </c>
      <c r="G5305" s="2">
        <v>0</v>
      </c>
      <c r="H5305" s="1" t="s">
        <v>0</v>
      </c>
      <c r="I5305" s="2">
        <v>0</v>
      </c>
      <c r="J5305" s="1">
        <v>45915.378055555557</v>
      </c>
    </row>
    <row r="5306" spans="1:10" x14ac:dyDescent="0.2">
      <c r="A5306" s="4" t="s">
        <v>1</v>
      </c>
      <c r="B5306" s="3" t="str">
        <f>HYPERLINK("https://otsuka-europe-crm.veevavault.com/ui/#object/approved_document__v/V5OZ025E82TFUPI", "Spain - HCP Survey Email - June 2025")</f>
        <v>Spain - HCP Survey Email - June 2025</v>
      </c>
      <c r="C5306" s="3" t="str">
        <f>HYPERLINK("https://otsuka-europe-crm.veevavault.com/ui/#object/sent_email__v/VBLZ025E82GN2BA", "SE-000272462")</f>
        <v>SE-000272462</v>
      </c>
      <c r="D5306" s="1">
        <v>45915.755474537036</v>
      </c>
      <c r="E5306" s="2">
        <v>1</v>
      </c>
      <c r="F5306" s="2">
        <v>1</v>
      </c>
      <c r="G5306" s="2">
        <v>0</v>
      </c>
      <c r="H5306" s="1" t="s">
        <v>0</v>
      </c>
      <c r="I5306" s="2">
        <v>0</v>
      </c>
      <c r="J5306" s="1">
        <v>45915.379016203704</v>
      </c>
    </row>
    <row r="5307" spans="1:10" x14ac:dyDescent="0.2">
      <c r="A5307" s="4" t="s">
        <v>1</v>
      </c>
      <c r="B5307" s="3" t="str">
        <f>HYPERLINK("https://otsuka-europe-crm.veevavault.com/ui/#object/approved_document__v/V5OZ025E82TFUPI", "Spain - HCP Survey Email - June 2025")</f>
        <v>Spain - HCP Survey Email - June 2025</v>
      </c>
      <c r="C5307" s="3" t="str">
        <f>HYPERLINK("https://otsuka-europe-crm.veevavault.com/ui/#object/sent_email__v/VBLZ025E82GN2BB", "SE-000272463")</f>
        <v>SE-000272463</v>
      </c>
      <c r="D5307" s="1">
        <v>45986.694953703707</v>
      </c>
      <c r="E5307" s="2">
        <v>1</v>
      </c>
      <c r="F5307" s="2">
        <v>2</v>
      </c>
      <c r="G5307" s="2">
        <v>0</v>
      </c>
      <c r="H5307" s="1" t="s">
        <v>0</v>
      </c>
      <c r="I5307" s="2">
        <v>0</v>
      </c>
      <c r="J5307" s="1">
        <v>45915.379652777781</v>
      </c>
    </row>
    <row r="5308" spans="1:10" x14ac:dyDescent="0.2">
      <c r="A5308" s="4" t="s">
        <v>1</v>
      </c>
      <c r="B5308" s="3" t="str">
        <f>HYPERLINK("https://otsuka-europe-crm.veevavault.com/ui/#object/approved_document__v/V5OZ025E82TFUPI", "Spain - HCP Survey Email - June 2025")</f>
        <v>Spain - HCP Survey Email - June 2025</v>
      </c>
      <c r="C5308" s="3" t="str">
        <f>HYPERLINK("https://otsuka-europe-crm.veevavault.com/ui/#object/sent_email__v/VBLZ025E82GN2BC", "SE-000272464")</f>
        <v>SE-000272464</v>
      </c>
      <c r="D5308" s="1" t="s">
        <v>0</v>
      </c>
      <c r="E5308" s="2">
        <v>0</v>
      </c>
      <c r="F5308" s="2">
        <v>0</v>
      </c>
      <c r="G5308" s="2">
        <v>0</v>
      </c>
      <c r="H5308" s="1" t="s">
        <v>0</v>
      </c>
      <c r="I5308" s="2">
        <v>0</v>
      </c>
      <c r="J5308" s="1">
        <v>45915.377615740741</v>
      </c>
    </row>
    <row r="5309" spans="1:10" x14ac:dyDescent="0.2">
      <c r="A5309" s="4" t="s">
        <v>1</v>
      </c>
      <c r="B5309" s="3" t="str">
        <f>HYPERLINK("https://otsuka-europe-crm.veevavault.com/ui/#object/approved_document__v/V5OZ025E82TFUPI", "Spain - HCP Survey Email - June 2025")</f>
        <v>Spain - HCP Survey Email - June 2025</v>
      </c>
      <c r="C5309" s="3" t="str">
        <f>HYPERLINK("https://otsuka-europe-crm.veevavault.com/ui/#object/sent_email__v/VBLZ025E82GN2BD", "SE-000272465")</f>
        <v>SE-000272465</v>
      </c>
      <c r="D5309" s="1">
        <v>45915.391817129632</v>
      </c>
      <c r="E5309" s="2">
        <v>1</v>
      </c>
      <c r="F5309" s="2">
        <v>2</v>
      </c>
      <c r="G5309" s="2">
        <v>0</v>
      </c>
      <c r="H5309" s="1" t="s">
        <v>0</v>
      </c>
      <c r="I5309" s="2">
        <v>0</v>
      </c>
      <c r="J5309" s="1">
        <v>45915.377997685187</v>
      </c>
    </row>
    <row r="5310" spans="1:10" x14ac:dyDescent="0.2">
      <c r="A5310" s="4" t="s">
        <v>1</v>
      </c>
      <c r="B5310" s="3" t="str">
        <f>HYPERLINK("https://otsuka-europe-crm.veevavault.com/ui/#object/approved_document__v/V5OZ025E82TFUPI", "Spain - HCP Survey Email - June 2025")</f>
        <v>Spain - HCP Survey Email - June 2025</v>
      </c>
      <c r="C5310" s="3" t="str">
        <f>HYPERLINK("https://otsuka-europe-crm.veevavault.com/ui/#object/sent_email__v/VBLZ025E82GN2BE", "SE-000272466")</f>
        <v>SE-000272466</v>
      </c>
      <c r="D5310" s="1" t="s">
        <v>0</v>
      </c>
      <c r="E5310" s="2">
        <v>0</v>
      </c>
      <c r="F5310" s="2">
        <v>0</v>
      </c>
      <c r="G5310" s="2">
        <v>0</v>
      </c>
      <c r="H5310" s="1" t="s">
        <v>0</v>
      </c>
      <c r="I5310" s="2">
        <v>0</v>
      </c>
      <c r="J5310" s="1">
        <v>45915.378946759258</v>
      </c>
    </row>
    <row r="5311" spans="1:10" x14ac:dyDescent="0.2">
      <c r="A5311" s="4" t="s">
        <v>1</v>
      </c>
      <c r="B5311" s="3" t="str">
        <f>HYPERLINK("https://otsuka-europe-crm.veevavault.com/ui/#object/approved_document__v/V5OZ025E82TFUPI", "Spain - HCP Survey Email - June 2025")</f>
        <v>Spain - HCP Survey Email - June 2025</v>
      </c>
      <c r="C5311" s="3" t="str">
        <f>HYPERLINK("https://otsuka-europe-crm.veevavault.com/ui/#object/sent_email__v/VBLZ025E82GN2BF", "SE-000272467")</f>
        <v>SE-000272467</v>
      </c>
      <c r="D5311" s="1">
        <v>45915.505972222221</v>
      </c>
      <c r="E5311" s="2">
        <v>1</v>
      </c>
      <c r="F5311" s="2">
        <v>2</v>
      </c>
      <c r="G5311" s="2">
        <v>0</v>
      </c>
      <c r="H5311" s="1" t="s">
        <v>0</v>
      </c>
      <c r="I5311" s="2">
        <v>0</v>
      </c>
      <c r="J5311" s="1">
        <v>45915.379618055558</v>
      </c>
    </row>
    <row r="5312" spans="1:10" x14ac:dyDescent="0.2">
      <c r="A5312" s="4" t="s">
        <v>1</v>
      </c>
      <c r="B5312" s="3" t="str">
        <f>HYPERLINK("https://otsuka-europe-crm.veevavault.com/ui/#object/approved_document__v/V5OZ025E82TFUPI", "Spain - HCP Survey Email - June 2025")</f>
        <v>Spain - HCP Survey Email - June 2025</v>
      </c>
      <c r="C5312" s="3" t="str">
        <f>HYPERLINK("https://otsuka-europe-crm.veevavault.com/ui/#object/sent_email__v/VBLZ025E82GN2BG", "SE-000272468")</f>
        <v>SE-000272468</v>
      </c>
      <c r="D5312" s="1" t="s">
        <v>0</v>
      </c>
      <c r="E5312" s="2">
        <v>0</v>
      </c>
      <c r="F5312" s="2">
        <v>0</v>
      </c>
      <c r="G5312" s="2">
        <v>0</v>
      </c>
      <c r="H5312" s="1" t="s">
        <v>0</v>
      </c>
      <c r="I5312" s="2">
        <v>0</v>
      </c>
      <c r="J5312" s="1">
        <v>45915.379282407404</v>
      </c>
    </row>
    <row r="5313" spans="1:10" x14ac:dyDescent="0.2">
      <c r="A5313" s="4" t="s">
        <v>1</v>
      </c>
      <c r="B5313" s="3" t="str">
        <f>HYPERLINK("https://otsuka-europe-crm.veevavault.com/ui/#object/approved_document__v/V5OZ025E82TFUPI", "Spain - HCP Survey Email - June 2025")</f>
        <v>Spain - HCP Survey Email - June 2025</v>
      </c>
      <c r="C5313" s="3" t="str">
        <f>HYPERLINK("https://otsuka-europe-crm.veevavault.com/ui/#object/sent_email__v/VBLZ025E82GN2BH", "SE-000272469")</f>
        <v>SE-000272469</v>
      </c>
      <c r="D5313" s="1" t="s">
        <v>0</v>
      </c>
      <c r="E5313" s="2">
        <v>0</v>
      </c>
      <c r="F5313" s="2">
        <v>0</v>
      </c>
      <c r="G5313" s="2">
        <v>0</v>
      </c>
      <c r="H5313" s="1" t="s">
        <v>0</v>
      </c>
      <c r="I5313" s="2">
        <v>0</v>
      </c>
      <c r="J5313" s="1">
        <v>45915.37740740741</v>
      </c>
    </row>
    <row r="5314" spans="1:10" x14ac:dyDescent="0.2">
      <c r="A5314" s="4" t="s">
        <v>1</v>
      </c>
      <c r="B5314" s="3" t="str">
        <f>HYPERLINK("https://otsuka-europe-crm.veevavault.com/ui/#object/approved_document__v/V5OZ025E82TFUPI", "Spain - HCP Survey Email - June 2025")</f>
        <v>Spain - HCP Survey Email - June 2025</v>
      </c>
      <c r="C5314" s="3" t="str">
        <f>HYPERLINK("https://otsuka-europe-crm.veevavault.com/ui/#object/sent_email__v/VBLZ025E82GN2BI", "SE-000272470")</f>
        <v>SE-000272470</v>
      </c>
      <c r="D5314" s="1" t="s">
        <v>0</v>
      </c>
      <c r="E5314" s="2">
        <v>0</v>
      </c>
      <c r="F5314" s="2">
        <v>0</v>
      </c>
      <c r="G5314" s="2">
        <v>0</v>
      </c>
      <c r="H5314" s="1" t="s">
        <v>0</v>
      </c>
      <c r="I5314" s="2">
        <v>0</v>
      </c>
      <c r="J5314" s="1">
        <v>45915.378379629627</v>
      </c>
    </row>
    <row r="5315" spans="1:10" x14ac:dyDescent="0.2">
      <c r="A5315" s="4" t="s">
        <v>1</v>
      </c>
      <c r="B5315" s="3" t="str">
        <f>HYPERLINK("https://otsuka-europe-crm.veevavault.com/ui/#object/approved_document__v/V5OZ025E82TFUPI", "Spain - HCP Survey Email - June 2025")</f>
        <v>Spain - HCP Survey Email - June 2025</v>
      </c>
      <c r="C5315" s="3" t="str">
        <f>HYPERLINK("https://otsuka-europe-crm.veevavault.com/ui/#object/sent_email__v/VBLZ025E82GN2BJ", "SE-000272471")</f>
        <v>SE-000272471</v>
      </c>
      <c r="D5315" s="1" t="s">
        <v>0</v>
      </c>
      <c r="E5315" s="2">
        <v>0</v>
      </c>
      <c r="F5315" s="2">
        <v>0</v>
      </c>
      <c r="G5315" s="2">
        <v>0</v>
      </c>
      <c r="H5315" s="1" t="s">
        <v>0</v>
      </c>
      <c r="I5315" s="2">
        <v>0</v>
      </c>
      <c r="J5315" s="1">
        <v>45915.378159722219</v>
      </c>
    </row>
    <row r="5316" spans="1:10" x14ac:dyDescent="0.2">
      <c r="A5316" s="4" t="s">
        <v>1</v>
      </c>
      <c r="B5316" s="3" t="str">
        <f>HYPERLINK("https://otsuka-europe-crm.veevavault.com/ui/#object/approved_document__v/V5OZ025E82TFUPI", "Spain - HCP Survey Email - June 2025")</f>
        <v>Spain - HCP Survey Email - June 2025</v>
      </c>
      <c r="C5316" s="3" t="str">
        <f>HYPERLINK("https://otsuka-europe-crm.veevavault.com/ui/#object/sent_email__v/VBLZ025E82GN2BK", "SE-000272472")</f>
        <v>SE-000272472</v>
      </c>
      <c r="D5316" s="1">
        <v>45915.896620370368</v>
      </c>
      <c r="E5316" s="2">
        <v>1</v>
      </c>
      <c r="F5316" s="2">
        <v>1</v>
      </c>
      <c r="G5316" s="2">
        <v>0</v>
      </c>
      <c r="H5316" s="1" t="s">
        <v>0</v>
      </c>
      <c r="I5316" s="2">
        <v>0</v>
      </c>
      <c r="J5316" s="1">
        <v>45915.378622685188</v>
      </c>
    </row>
    <row r="5317" spans="1:10" x14ac:dyDescent="0.2">
      <c r="A5317" s="4" t="s">
        <v>1</v>
      </c>
      <c r="B5317" s="3" t="str">
        <f>HYPERLINK("https://otsuka-europe-crm.veevavault.com/ui/#object/approved_document__v/V5OZ025E82TFUPI", "Spain - HCP Survey Email - June 2025")</f>
        <v>Spain - HCP Survey Email - June 2025</v>
      </c>
      <c r="C5317" s="3" t="str">
        <f>HYPERLINK("https://otsuka-europe-crm.veevavault.com/ui/#object/sent_email__v/VBLZ025E82GN2BL", "SE-000272473")</f>
        <v>SE-000272473</v>
      </c>
      <c r="D5317" s="1" t="s">
        <v>0</v>
      </c>
      <c r="E5317" s="2">
        <v>0</v>
      </c>
      <c r="F5317" s="2">
        <v>0</v>
      </c>
      <c r="G5317" s="2">
        <v>0</v>
      </c>
      <c r="H5317" s="1" t="s">
        <v>0</v>
      </c>
      <c r="I5317" s="2">
        <v>0</v>
      </c>
      <c r="J5317" s="1">
        <v>45915.379942129628</v>
      </c>
    </row>
    <row r="5318" spans="1:10" x14ac:dyDescent="0.2">
      <c r="A5318" s="4" t="s">
        <v>1</v>
      </c>
      <c r="B5318" s="3" t="str">
        <f>HYPERLINK("https://otsuka-europe-crm.veevavault.com/ui/#object/approved_document__v/V5OZ025E82TFUPI", "Spain - HCP Survey Email - June 2025")</f>
        <v>Spain - HCP Survey Email - June 2025</v>
      </c>
      <c r="C5318" s="3" t="str">
        <f>HYPERLINK("https://otsuka-europe-crm.veevavault.com/ui/#object/sent_email__v/VBLZ025E82GN2BM", "SE-000272474")</f>
        <v>SE-000272474</v>
      </c>
      <c r="D5318" s="1" t="s">
        <v>0</v>
      </c>
      <c r="E5318" s="2">
        <v>0</v>
      </c>
      <c r="F5318" s="2">
        <v>0</v>
      </c>
      <c r="G5318" s="2">
        <v>0</v>
      </c>
      <c r="H5318" s="1" t="s">
        <v>0</v>
      </c>
      <c r="I5318" s="2">
        <v>0</v>
      </c>
      <c r="J5318" s="1">
        <v>45915.37773148148</v>
      </c>
    </row>
    <row r="5319" spans="1:10" x14ac:dyDescent="0.2">
      <c r="A5319" s="4" t="s">
        <v>1</v>
      </c>
      <c r="B5319" s="3" t="str">
        <f>HYPERLINK("https://otsuka-europe-crm.veevavault.com/ui/#object/approved_document__v/V5OZ025E82TFUPI", "Spain - HCP Survey Email - June 2025")</f>
        <v>Spain - HCP Survey Email - June 2025</v>
      </c>
      <c r="C5319" s="3" t="str">
        <f>HYPERLINK("https://otsuka-europe-crm.veevavault.com/ui/#object/sent_email__v/VBLZ025E82GN2BN", "SE-000272475")</f>
        <v>SE-000272475</v>
      </c>
      <c r="D5319" s="1">
        <v>45915.807476851849</v>
      </c>
      <c r="E5319" s="2">
        <v>1</v>
      </c>
      <c r="F5319" s="2">
        <v>1</v>
      </c>
      <c r="G5319" s="2">
        <v>1</v>
      </c>
      <c r="H5319" s="1">
        <v>45915.807627314818</v>
      </c>
      <c r="I5319" s="2">
        <v>1</v>
      </c>
      <c r="J5319" s="1">
        <v>45915.377627314818</v>
      </c>
    </row>
    <row r="5320" spans="1:10" x14ac:dyDescent="0.2">
      <c r="A5320" s="4" t="s">
        <v>1</v>
      </c>
      <c r="B5320" s="3" t="str">
        <f>HYPERLINK("https://otsuka-europe-crm.veevavault.com/ui/#object/approved_document__v/V5OZ025E82TFUPI", "Spain - HCP Survey Email - June 2025")</f>
        <v>Spain - HCP Survey Email - June 2025</v>
      </c>
      <c r="C5320" s="3" t="str">
        <f>HYPERLINK("https://otsuka-europe-crm.veevavault.com/ui/#object/sent_email__v/VBLZ025E82GN2BO", "SE-000272476")</f>
        <v>SE-000272476</v>
      </c>
      <c r="D5320" s="1">
        <v>45915.388368055559</v>
      </c>
      <c r="E5320" s="2">
        <v>1</v>
      </c>
      <c r="F5320" s="2">
        <v>1</v>
      </c>
      <c r="G5320" s="2">
        <v>1</v>
      </c>
      <c r="H5320" s="1">
        <v>45915.388518518521</v>
      </c>
      <c r="I5320" s="2">
        <v>1</v>
      </c>
      <c r="J5320" s="1">
        <v>45915.377939814818</v>
      </c>
    </row>
    <row r="5321" spans="1:10" x14ac:dyDescent="0.2">
      <c r="A5321" s="4" t="s">
        <v>1</v>
      </c>
      <c r="B5321" s="3" t="str">
        <f>HYPERLINK("https://otsuka-europe-crm.veevavault.com/ui/#object/approved_document__v/V5OZ025E82TFUPI", "Spain - HCP Survey Email - June 2025")</f>
        <v>Spain - HCP Survey Email - June 2025</v>
      </c>
      <c r="C5321" s="3" t="str">
        <f>HYPERLINK("https://otsuka-europe-crm.veevavault.com/ui/#object/sent_email__v/VBLZ025E82GN2BP", "SE-000272477")</f>
        <v>SE-000272477</v>
      </c>
      <c r="D5321" s="1">
        <v>45917.831736111111</v>
      </c>
      <c r="E5321" s="2">
        <v>1</v>
      </c>
      <c r="F5321" s="2">
        <v>1</v>
      </c>
      <c r="G5321" s="2">
        <v>0</v>
      </c>
      <c r="H5321" s="1" t="s">
        <v>0</v>
      </c>
      <c r="I5321" s="2">
        <v>0</v>
      </c>
      <c r="J5321" s="1">
        <v>45915.378958333335</v>
      </c>
    </row>
    <row r="5322" spans="1:10" x14ac:dyDescent="0.2">
      <c r="A5322" s="4" t="s">
        <v>1</v>
      </c>
      <c r="B5322" s="3" t="str">
        <f>HYPERLINK("https://otsuka-europe-crm.veevavault.com/ui/#object/approved_document__v/V5OZ025E82TFUPI", "Spain - HCP Survey Email - June 2025")</f>
        <v>Spain - HCP Survey Email - June 2025</v>
      </c>
      <c r="C5322" s="3" t="str">
        <f>HYPERLINK("https://otsuka-europe-crm.veevavault.com/ui/#object/sent_email__v/VBLZ025E82GN2BQ", "SE-000272478")</f>
        <v>SE-000272478</v>
      </c>
      <c r="D5322" s="1" t="s">
        <v>0</v>
      </c>
      <c r="E5322" s="2">
        <v>0</v>
      </c>
      <c r="F5322" s="2">
        <v>0</v>
      </c>
      <c r="G5322" s="2">
        <v>0</v>
      </c>
      <c r="H5322" s="1" t="s">
        <v>0</v>
      </c>
      <c r="I5322" s="2">
        <v>0</v>
      </c>
      <c r="J5322" s="1">
        <v>45915.379571759258</v>
      </c>
    </row>
    <row r="5323" spans="1:10" x14ac:dyDescent="0.2">
      <c r="A5323" s="4" t="s">
        <v>1</v>
      </c>
      <c r="B5323" s="3" t="str">
        <f>HYPERLINK("https://otsuka-europe-crm.veevavault.com/ui/#object/approved_document__v/V5OZ025E82TFUPI", "Spain - HCP Survey Email - June 2025")</f>
        <v>Spain - HCP Survey Email - June 2025</v>
      </c>
      <c r="C5323" s="3" t="str">
        <f>HYPERLINK("https://otsuka-europe-crm.veevavault.com/ui/#object/sent_email__v/VBLZ025E82GN2BR", "SE-000272479")</f>
        <v>SE-000272479</v>
      </c>
      <c r="D5323" s="1">
        <v>45918.343981481485</v>
      </c>
      <c r="E5323" s="2">
        <v>1</v>
      </c>
      <c r="F5323" s="2">
        <v>2</v>
      </c>
      <c r="G5323" s="2">
        <v>1</v>
      </c>
      <c r="H5323" s="1">
        <v>45918.344097222223</v>
      </c>
      <c r="I5323" s="2">
        <v>1</v>
      </c>
      <c r="J5323" s="1">
        <v>45915.379282407404</v>
      </c>
    </row>
    <row r="5324" spans="1:10" x14ac:dyDescent="0.2">
      <c r="A5324" s="4" t="s">
        <v>1</v>
      </c>
      <c r="B5324" s="3" t="str">
        <f>HYPERLINK("https://otsuka-europe-crm.veevavault.com/ui/#object/approved_document__v/V5OZ025E82TFUPI", "Spain - HCP Survey Email - June 2025")</f>
        <v>Spain - HCP Survey Email - June 2025</v>
      </c>
      <c r="C5324" s="3" t="str">
        <f>HYPERLINK("https://otsuka-europe-crm.veevavault.com/ui/#object/sent_email__v/VBLZ025E82GN2BT", "SE-000272481")</f>
        <v>SE-000272481</v>
      </c>
      <c r="D5324" s="1">
        <v>45915.554236111115</v>
      </c>
      <c r="E5324" s="2">
        <v>1</v>
      </c>
      <c r="F5324" s="2">
        <v>2</v>
      </c>
      <c r="G5324" s="2">
        <v>1</v>
      </c>
      <c r="H5324" s="1">
        <v>45915.554282407407</v>
      </c>
      <c r="I5324" s="2">
        <v>1</v>
      </c>
      <c r="J5324" s="1">
        <v>45915.378275462965</v>
      </c>
    </row>
    <row r="5325" spans="1:10" x14ac:dyDescent="0.2">
      <c r="A5325" s="4" t="s">
        <v>1</v>
      </c>
      <c r="B5325" s="3" t="str">
        <f>HYPERLINK("https://otsuka-europe-crm.veevavault.com/ui/#object/approved_document__v/V5OZ025E82TFUPI", "Spain - HCP Survey Email - June 2025")</f>
        <v>Spain - HCP Survey Email - June 2025</v>
      </c>
      <c r="C5325" s="3" t="str">
        <f>HYPERLINK("https://otsuka-europe-crm.veevavault.com/ui/#object/sent_email__v/VBLZ025E82GN2BU", "SE-000272482")</f>
        <v>SE-000272482</v>
      </c>
      <c r="D5325" s="1">
        <v>45915.419317129628</v>
      </c>
      <c r="E5325" s="2">
        <v>1</v>
      </c>
      <c r="F5325" s="2">
        <v>1</v>
      </c>
      <c r="G5325" s="2">
        <v>0</v>
      </c>
      <c r="H5325" s="1" t="s">
        <v>0</v>
      </c>
      <c r="I5325" s="2">
        <v>0</v>
      </c>
      <c r="J5325" s="1">
        <v>45915.378159722219</v>
      </c>
    </row>
    <row r="5326" spans="1:10" x14ac:dyDescent="0.2">
      <c r="A5326" s="4" t="s">
        <v>1</v>
      </c>
      <c r="B5326" s="3" t="str">
        <f>HYPERLINK("https://otsuka-europe-crm.veevavault.com/ui/#object/approved_document__v/V5OZ025E82TFUPI", "Spain - HCP Survey Email - June 2025")</f>
        <v>Spain - HCP Survey Email - June 2025</v>
      </c>
      <c r="C5326" s="3" t="str">
        <f>HYPERLINK("https://otsuka-europe-crm.veevavault.com/ui/#object/sent_email__v/VBLZ025E82GN2BV", "SE-000272483")</f>
        <v>SE-000272483</v>
      </c>
      <c r="D5326" s="1" t="s">
        <v>0</v>
      </c>
      <c r="E5326" s="2">
        <v>0</v>
      </c>
      <c r="F5326" s="2">
        <v>0</v>
      </c>
      <c r="G5326" s="2">
        <v>0</v>
      </c>
      <c r="H5326" s="1" t="s">
        <v>0</v>
      </c>
      <c r="I5326" s="2">
        <v>0</v>
      </c>
      <c r="J5326" s="1">
        <v>45915.378553240742</v>
      </c>
    </row>
    <row r="5327" spans="1:10" x14ac:dyDescent="0.2">
      <c r="A5327" s="4" t="s">
        <v>1</v>
      </c>
      <c r="B5327" s="3" t="str">
        <f>HYPERLINK("https://otsuka-europe-crm.veevavault.com/ui/#object/approved_document__v/V5OZ025E82TFUPI", "Spain - HCP Survey Email - June 2025")</f>
        <v>Spain - HCP Survey Email - June 2025</v>
      </c>
      <c r="C5327" s="3" t="str">
        <f>HYPERLINK("https://otsuka-europe-crm.veevavault.com/ui/#object/sent_email__v/VBLZ025E82GN2BW", "SE-000272484")</f>
        <v>SE-000272484</v>
      </c>
      <c r="D5327" s="1" t="s">
        <v>0</v>
      </c>
      <c r="E5327" s="2">
        <v>0</v>
      </c>
      <c r="F5327" s="2">
        <v>0</v>
      </c>
      <c r="G5327" s="2">
        <v>0</v>
      </c>
      <c r="H5327" s="1" t="s">
        <v>0</v>
      </c>
      <c r="I5327" s="2">
        <v>0</v>
      </c>
      <c r="J5327" s="1">
        <v>45915.379976851851</v>
      </c>
    </row>
    <row r="5328" spans="1:10" x14ac:dyDescent="0.2">
      <c r="A5328" s="4" t="s">
        <v>1</v>
      </c>
      <c r="B5328" s="3" t="str">
        <f>HYPERLINK("https://otsuka-europe-crm.veevavault.com/ui/#object/approved_document__v/V5OZ025E82TFUPI", "Spain - HCP Survey Email - June 2025")</f>
        <v>Spain - HCP Survey Email - June 2025</v>
      </c>
      <c r="C5328" s="3" t="str">
        <f>HYPERLINK("https://otsuka-europe-crm.veevavault.com/ui/#object/sent_email__v/VBLZ025E82GN2BX", "SE-000272485")</f>
        <v>SE-000272485</v>
      </c>
      <c r="D5328" s="1" t="s">
        <v>0</v>
      </c>
      <c r="E5328" s="2">
        <v>0</v>
      </c>
      <c r="F5328" s="2">
        <v>0</v>
      </c>
      <c r="G5328" s="2">
        <v>0</v>
      </c>
      <c r="H5328" s="1" t="s">
        <v>0</v>
      </c>
      <c r="I5328" s="2">
        <v>0</v>
      </c>
      <c r="J5328" s="1">
        <v>45915.37773148148</v>
      </c>
    </row>
    <row r="5329" spans="1:10" x14ac:dyDescent="0.2">
      <c r="A5329" s="4" t="s">
        <v>1</v>
      </c>
      <c r="B5329" s="3" t="str">
        <f>HYPERLINK("https://otsuka-europe-crm.veevavault.com/ui/#object/approved_document__v/V5OZ025E82TFUPI", "Spain - HCP Survey Email - June 2025")</f>
        <v>Spain - HCP Survey Email - June 2025</v>
      </c>
      <c r="C5329" s="3" t="str">
        <f>HYPERLINK("https://otsuka-europe-crm.veevavault.com/ui/#object/sent_email__v/VBLZ025E82GN2BY", "SE-000272486")</f>
        <v>SE-000272486</v>
      </c>
      <c r="D5329" s="1" t="s">
        <v>0</v>
      </c>
      <c r="E5329" s="2">
        <v>0</v>
      </c>
      <c r="F5329" s="2">
        <v>0</v>
      </c>
      <c r="G5329" s="2">
        <v>0</v>
      </c>
      <c r="H5329" s="1" t="s">
        <v>0</v>
      </c>
      <c r="I5329" s="2">
        <v>0</v>
      </c>
      <c r="J5329" s="1">
        <v>45915.377604166664</v>
      </c>
    </row>
    <row r="5330" spans="1:10" x14ac:dyDescent="0.2">
      <c r="A5330" s="4" t="s">
        <v>1</v>
      </c>
      <c r="B5330" s="3" t="str">
        <f>HYPERLINK("https://otsuka-europe-crm.veevavault.com/ui/#object/approved_document__v/V5OZ025E82TFUPI", "Spain - HCP Survey Email - June 2025")</f>
        <v>Spain - HCP Survey Email - June 2025</v>
      </c>
      <c r="C5330" s="3" t="str">
        <f>HYPERLINK("https://otsuka-europe-crm.veevavault.com/ui/#object/sent_email__v/VBLZ025E82GN2BZ", "SE-000272487")</f>
        <v>SE-000272487</v>
      </c>
      <c r="D5330" s="1">
        <v>45915.586331018516</v>
      </c>
      <c r="E5330" s="2">
        <v>1</v>
      </c>
      <c r="F5330" s="2">
        <v>1</v>
      </c>
      <c r="G5330" s="2">
        <v>0</v>
      </c>
      <c r="H5330" s="1" t="s">
        <v>0</v>
      </c>
      <c r="I5330" s="2">
        <v>0</v>
      </c>
      <c r="J5330" s="1">
        <v>45915.377986111111</v>
      </c>
    </row>
    <row r="5331" spans="1:10" x14ac:dyDescent="0.2">
      <c r="A5331" s="4" t="s">
        <v>1</v>
      </c>
      <c r="B5331" s="3" t="str">
        <f>HYPERLINK("https://otsuka-europe-crm.veevavault.com/ui/#object/approved_document__v/V5OZ025E82TFUPI", "Spain - HCP Survey Email - June 2025")</f>
        <v>Spain - HCP Survey Email - June 2025</v>
      </c>
      <c r="C5331" s="3" t="str">
        <f>HYPERLINK("https://otsuka-europe-crm.veevavault.com/ui/#object/sent_email__v/VBLZ025E82GN2C0", "SE-000272488")</f>
        <v>SE-000272488</v>
      </c>
      <c r="D5331" s="1" t="s">
        <v>0</v>
      </c>
      <c r="E5331" s="2">
        <v>0</v>
      </c>
      <c r="F5331" s="2">
        <v>0</v>
      </c>
      <c r="G5331" s="2">
        <v>0</v>
      </c>
      <c r="H5331" s="1" t="s">
        <v>0</v>
      </c>
      <c r="I5331" s="2">
        <v>0</v>
      </c>
      <c r="J5331" s="1">
        <v>45915.378935185188</v>
      </c>
    </row>
    <row r="5332" spans="1:10" x14ac:dyDescent="0.2">
      <c r="A5332" s="4" t="s">
        <v>1</v>
      </c>
      <c r="B5332" s="3" t="str">
        <f>HYPERLINK("https://otsuka-europe-crm.veevavault.com/ui/#object/approved_document__v/V5OZ025E82TFUPI", "Spain - HCP Survey Email - June 2025")</f>
        <v>Spain - HCP Survey Email - June 2025</v>
      </c>
      <c r="C5332" s="3" t="str">
        <f>HYPERLINK("https://otsuka-europe-crm.veevavault.com/ui/#object/sent_email__v/VBLZ025E82GN2C1", "SE-000272489")</f>
        <v>SE-000272489</v>
      </c>
      <c r="D5332" s="1" t="s">
        <v>0</v>
      </c>
      <c r="E5332" s="2">
        <v>0</v>
      </c>
      <c r="F5332" s="2">
        <v>0</v>
      </c>
      <c r="G5332" s="2">
        <v>0</v>
      </c>
      <c r="H5332" s="1" t="s">
        <v>0</v>
      </c>
      <c r="I5332" s="2">
        <v>0</v>
      </c>
      <c r="J5332" s="1">
        <v>45915.379710648151</v>
      </c>
    </row>
    <row r="5333" spans="1:10" x14ac:dyDescent="0.2">
      <c r="A5333" s="4" t="s">
        <v>1</v>
      </c>
      <c r="B5333" s="3" t="str">
        <f>HYPERLINK("https://otsuka-europe-crm.veevavault.com/ui/#object/approved_document__v/V5OZ025E82TFUPI", "Spain - HCP Survey Email - June 2025")</f>
        <v>Spain - HCP Survey Email - June 2025</v>
      </c>
      <c r="C5333" s="3" t="str">
        <f>HYPERLINK("https://otsuka-europe-crm.veevavault.com/ui/#object/sent_email__v/VBLZ025E82GN2C2", "SE-000272490")</f>
        <v>SE-000272490</v>
      </c>
      <c r="D5333" s="1">
        <v>45915.674016203702</v>
      </c>
      <c r="E5333" s="2">
        <v>1</v>
      </c>
      <c r="F5333" s="2">
        <v>1</v>
      </c>
      <c r="G5333" s="2">
        <v>0</v>
      </c>
      <c r="H5333" s="1" t="s">
        <v>0</v>
      </c>
      <c r="I5333" s="2">
        <v>0</v>
      </c>
      <c r="J5333" s="1">
        <v>45915.377685185187</v>
      </c>
    </row>
    <row r="5334" spans="1:10" x14ac:dyDescent="0.2">
      <c r="A5334" s="4" t="s">
        <v>1</v>
      </c>
      <c r="B5334" s="3" t="str">
        <f>HYPERLINK("https://otsuka-europe-crm.veevavault.com/ui/#object/approved_document__v/V5OZ025E82TFUPI", "Spain - HCP Survey Email - June 2025")</f>
        <v>Spain - HCP Survey Email - June 2025</v>
      </c>
      <c r="C5334" s="3" t="str">
        <f>HYPERLINK("https://otsuka-europe-crm.veevavault.com/ui/#object/sent_email__v/VBLZ025E82GN2C3", "SE-000272491")</f>
        <v>SE-000272491</v>
      </c>
      <c r="D5334" s="1" t="s">
        <v>0</v>
      </c>
      <c r="E5334" s="2">
        <v>0</v>
      </c>
      <c r="F5334" s="2">
        <v>0</v>
      </c>
      <c r="G5334" s="2">
        <v>0</v>
      </c>
      <c r="H5334" s="1" t="s">
        <v>0</v>
      </c>
      <c r="I5334" s="2">
        <v>0</v>
      </c>
      <c r="J5334" s="1">
        <v>45915.377604166664</v>
      </c>
    </row>
    <row r="5335" spans="1:10" x14ac:dyDescent="0.2">
      <c r="A5335" s="4" t="s">
        <v>1</v>
      </c>
      <c r="B5335" s="3" t="str">
        <f>HYPERLINK("https://otsuka-europe-crm.veevavault.com/ui/#object/approved_document__v/V5OZ025E82TFUPI", "Spain - HCP Survey Email - June 2025")</f>
        <v>Spain - HCP Survey Email - June 2025</v>
      </c>
      <c r="C5335" s="3" t="str">
        <f>HYPERLINK("https://otsuka-europe-crm.veevavault.com/ui/#object/sent_email__v/VBLZ025E82GN2C4", "SE-000272492")</f>
        <v>SE-000272492</v>
      </c>
      <c r="D5335" s="1" t="s">
        <v>0</v>
      </c>
      <c r="E5335" s="2">
        <v>0</v>
      </c>
      <c r="F5335" s="2">
        <v>0</v>
      </c>
      <c r="G5335" s="2">
        <v>0</v>
      </c>
      <c r="H5335" s="1" t="s">
        <v>0</v>
      </c>
      <c r="I5335" s="2">
        <v>0</v>
      </c>
      <c r="J5335" s="1">
        <v>45915.378009259257</v>
      </c>
    </row>
    <row r="5336" spans="1:10" x14ac:dyDescent="0.2">
      <c r="A5336" s="4" t="s">
        <v>1</v>
      </c>
      <c r="B5336" s="3" t="str">
        <f>HYPERLINK("https://otsuka-europe-crm.veevavault.com/ui/#object/approved_document__v/V5OZ025E82TFUPI", "Spain - HCP Survey Email - June 2025")</f>
        <v>Spain - HCP Survey Email - June 2025</v>
      </c>
      <c r="C5336" s="3" t="str">
        <f>HYPERLINK("https://otsuka-europe-crm.veevavault.com/ui/#object/sent_email__v/VBLZ025E82GN2C5", "SE-000272493")</f>
        <v>SE-000272493</v>
      </c>
      <c r="D5336" s="1" t="s">
        <v>0</v>
      </c>
      <c r="E5336" s="2">
        <v>0</v>
      </c>
      <c r="F5336" s="2">
        <v>0</v>
      </c>
      <c r="G5336" s="2">
        <v>0</v>
      </c>
      <c r="H5336" s="1" t="s">
        <v>0</v>
      </c>
      <c r="I5336" s="2">
        <v>0</v>
      </c>
      <c r="J5336" s="1">
        <v>45915.37908564815</v>
      </c>
    </row>
    <row r="5337" spans="1:10" x14ac:dyDescent="0.2">
      <c r="A5337" s="4" t="s">
        <v>1</v>
      </c>
      <c r="B5337" s="3" t="str">
        <f>HYPERLINK("https://otsuka-europe-crm.veevavault.com/ui/#object/approved_document__v/V5OZ025E82TFUPI", "Spain - HCP Survey Email - June 2025")</f>
        <v>Spain - HCP Survey Email - June 2025</v>
      </c>
      <c r="C5337" s="3" t="str">
        <f>HYPERLINK("https://otsuka-europe-crm.veevavault.com/ui/#object/sent_email__v/VBLZ025E82GN2C6", "SE-000272494")</f>
        <v>SE-000272494</v>
      </c>
      <c r="D5337" s="1">
        <v>45918.644930555558</v>
      </c>
      <c r="E5337" s="2">
        <v>1</v>
      </c>
      <c r="F5337" s="2">
        <v>2</v>
      </c>
      <c r="G5337" s="2">
        <v>0</v>
      </c>
      <c r="H5337" s="1" t="s">
        <v>0</v>
      </c>
      <c r="I5337" s="2">
        <v>0</v>
      </c>
      <c r="J5337" s="1">
        <v>45915.379594907405</v>
      </c>
    </row>
    <row r="5338" spans="1:10" x14ac:dyDescent="0.2">
      <c r="A5338" s="4" t="s">
        <v>1</v>
      </c>
      <c r="B5338" s="3" t="str">
        <f>HYPERLINK("https://otsuka-europe-crm.veevavault.com/ui/#object/approved_document__v/V5OZ025E82TFUPI", "Spain - HCP Survey Email - June 2025")</f>
        <v>Spain - HCP Survey Email - June 2025</v>
      </c>
      <c r="C5338" s="3" t="str">
        <f>HYPERLINK("https://otsuka-europe-crm.veevavault.com/ui/#object/sent_email__v/VBLZ025E82GN2C7", "SE-000272495")</f>
        <v>SE-000272495</v>
      </c>
      <c r="D5338" s="1">
        <v>45915.380312499998</v>
      </c>
      <c r="E5338" s="2">
        <v>1</v>
      </c>
      <c r="F5338" s="2">
        <v>1</v>
      </c>
      <c r="G5338" s="2">
        <v>0</v>
      </c>
      <c r="H5338" s="1" t="s">
        <v>0</v>
      </c>
      <c r="I5338" s="2">
        <v>0</v>
      </c>
      <c r="J5338" s="1">
        <v>45915.379351851851</v>
      </c>
    </row>
    <row r="5339" spans="1:10" x14ac:dyDescent="0.2">
      <c r="A5339" s="4" t="s">
        <v>1</v>
      </c>
      <c r="B5339" s="3" t="str">
        <f>HYPERLINK("https://otsuka-europe-crm.veevavault.com/ui/#object/approved_document__v/V5OZ025E82TFUPI", "Spain - HCP Survey Email - June 2025")</f>
        <v>Spain - HCP Survey Email - June 2025</v>
      </c>
      <c r="C5339" s="3" t="str">
        <f>HYPERLINK("https://otsuka-europe-crm.veevavault.com/ui/#object/sent_email__v/VBLZ025E82GN2C8", "SE-000272496")</f>
        <v>SE-000272496</v>
      </c>
      <c r="D5339" s="1" t="s">
        <v>0</v>
      </c>
      <c r="E5339" s="2">
        <v>0</v>
      </c>
      <c r="F5339" s="2">
        <v>0</v>
      </c>
      <c r="G5339" s="2">
        <v>0</v>
      </c>
      <c r="H5339" s="1" t="s">
        <v>0</v>
      </c>
      <c r="I5339" s="2">
        <v>0</v>
      </c>
      <c r="J5339" s="1">
        <v>45915.37740740741</v>
      </c>
    </row>
    <row r="5340" spans="1:10" x14ac:dyDescent="0.2">
      <c r="A5340" s="4" t="s">
        <v>1</v>
      </c>
      <c r="B5340" s="3" t="str">
        <f>HYPERLINK("https://otsuka-europe-crm.veevavault.com/ui/#object/approved_document__v/V5OZ025E82TFUPI", "Spain - HCP Survey Email - June 2025")</f>
        <v>Spain - HCP Survey Email - June 2025</v>
      </c>
      <c r="C5340" s="3" t="str">
        <f>HYPERLINK("https://otsuka-europe-crm.veevavault.com/ui/#object/sent_email__v/VBLZ025E82GN2C9", "SE-000272497")</f>
        <v>SE-000272497</v>
      </c>
      <c r="D5340" s="1">
        <v>45915.574120370373</v>
      </c>
      <c r="E5340" s="2">
        <v>1</v>
      </c>
      <c r="F5340" s="2">
        <v>1</v>
      </c>
      <c r="G5340" s="2">
        <v>0</v>
      </c>
      <c r="H5340" s="1" t="s">
        <v>0</v>
      </c>
      <c r="I5340" s="2">
        <v>0</v>
      </c>
      <c r="J5340" s="1">
        <v>45915.378240740742</v>
      </c>
    </row>
    <row r="5341" spans="1:10" x14ac:dyDescent="0.2">
      <c r="A5341" s="4" t="s">
        <v>1</v>
      </c>
      <c r="B5341" s="3" t="str">
        <f>HYPERLINK("https://otsuka-europe-crm.veevavault.com/ui/#object/approved_document__v/V5OZ025E82TFUPI", "Spain - HCP Survey Email - June 2025")</f>
        <v>Spain - HCP Survey Email - June 2025</v>
      </c>
      <c r="C5341" s="3" t="str">
        <f>HYPERLINK("https://otsuka-europe-crm.veevavault.com/ui/#object/sent_email__v/VBLZ025E82GN2CA", "SE-000272498")</f>
        <v>SE-000272498</v>
      </c>
      <c r="D5341" s="1" t="s">
        <v>0</v>
      </c>
      <c r="E5341" s="2">
        <v>0</v>
      </c>
      <c r="F5341" s="2">
        <v>0</v>
      </c>
      <c r="G5341" s="2">
        <v>0</v>
      </c>
      <c r="H5341" s="1" t="s">
        <v>0</v>
      </c>
      <c r="I5341" s="2">
        <v>0</v>
      </c>
      <c r="J5341" s="1">
        <v>45915.378171296295</v>
      </c>
    </row>
    <row r="5342" spans="1:10" x14ac:dyDescent="0.2">
      <c r="A5342" s="4" t="s">
        <v>1</v>
      </c>
      <c r="B5342" s="3" t="str">
        <f>HYPERLINK("https://otsuka-europe-crm.veevavault.com/ui/#object/approved_document__v/V5OZ025E82TFUPI", "Spain - HCP Survey Email - June 2025")</f>
        <v>Spain - HCP Survey Email - June 2025</v>
      </c>
      <c r="C5342" s="3" t="str">
        <f>HYPERLINK("https://otsuka-europe-crm.veevavault.com/ui/#object/sent_email__v/VBLZ025E82GN2CB", "SE-000272499")</f>
        <v>SE-000272499</v>
      </c>
      <c r="D5342" s="1" t="s">
        <v>0</v>
      </c>
      <c r="E5342" s="2">
        <v>0</v>
      </c>
      <c r="F5342" s="2">
        <v>0</v>
      </c>
      <c r="G5342" s="2">
        <v>0</v>
      </c>
      <c r="H5342" s="1" t="s">
        <v>0</v>
      </c>
      <c r="I5342" s="2">
        <v>0</v>
      </c>
      <c r="J5342" s="1">
        <v>45915.379027777781</v>
      </c>
    </row>
    <row r="5343" spans="1:10" x14ac:dyDescent="0.2">
      <c r="A5343" s="4" t="s">
        <v>1</v>
      </c>
      <c r="B5343" s="3" t="str">
        <f>HYPERLINK("https://otsuka-europe-crm.veevavault.com/ui/#object/approved_document__v/V5OZ025E82TFUPI", "Spain - HCP Survey Email - June 2025")</f>
        <v>Spain - HCP Survey Email - June 2025</v>
      </c>
      <c r="C5343" s="3" t="str">
        <f>HYPERLINK("https://otsuka-europe-crm.veevavault.com/ui/#object/sent_email__v/VBLZ025E82GN2CC", "SE-000272500")</f>
        <v>SE-000272500</v>
      </c>
      <c r="D5343" s="1">
        <v>45915.432986111111</v>
      </c>
      <c r="E5343" s="2">
        <v>1</v>
      </c>
      <c r="F5343" s="2">
        <v>2</v>
      </c>
      <c r="G5343" s="2">
        <v>0</v>
      </c>
      <c r="H5343" s="1" t="s">
        <v>0</v>
      </c>
      <c r="I5343" s="2">
        <v>0</v>
      </c>
      <c r="J5343" s="1">
        <v>45915.379027777781</v>
      </c>
    </row>
    <row r="5344" spans="1:10" x14ac:dyDescent="0.2">
      <c r="A5344" s="4" t="s">
        <v>1</v>
      </c>
      <c r="B5344" s="3" t="str">
        <f>HYPERLINK("https://otsuka-europe-crm.veevavault.com/ui/#object/approved_document__v/V5OZ025E82TFUPI", "Spain - HCP Survey Email - June 2025")</f>
        <v>Spain - HCP Survey Email - June 2025</v>
      </c>
      <c r="C5344" s="3" t="str">
        <f>HYPERLINK("https://otsuka-europe-crm.veevavault.com/ui/#object/sent_email__v/VBLZ025E82GN2CD", "SE-000272501")</f>
        <v>SE-000272501</v>
      </c>
      <c r="D5344" s="1" t="s">
        <v>0</v>
      </c>
      <c r="E5344" s="2">
        <v>0</v>
      </c>
      <c r="F5344" s="2">
        <v>0</v>
      </c>
      <c r="G5344" s="2">
        <v>0</v>
      </c>
      <c r="H5344" s="1" t="s">
        <v>0</v>
      </c>
      <c r="I5344" s="2">
        <v>0</v>
      </c>
      <c r="J5344" s="1">
        <v>45915.377604166664</v>
      </c>
    </row>
    <row r="5345" spans="1:10" x14ac:dyDescent="0.2">
      <c r="A5345" s="4" t="s">
        <v>1</v>
      </c>
      <c r="B5345" s="3" t="str">
        <f>HYPERLINK("https://otsuka-europe-crm.veevavault.com/ui/#object/approved_document__v/V5OZ025E82TFUPI", "Spain - HCP Survey Email - June 2025")</f>
        <v>Spain - HCP Survey Email - June 2025</v>
      </c>
      <c r="C5345" s="3" t="str">
        <f>HYPERLINK("https://otsuka-europe-crm.veevavault.com/ui/#object/sent_email__v/VBLZ025E82GN2CE", "SE-000272502")</f>
        <v>SE-000272502</v>
      </c>
      <c r="D5345" s="1">
        <v>45915.968958333331</v>
      </c>
      <c r="E5345" s="2">
        <v>1</v>
      </c>
      <c r="F5345" s="2">
        <v>1</v>
      </c>
      <c r="G5345" s="2">
        <v>0</v>
      </c>
      <c r="H5345" s="1" t="s">
        <v>0</v>
      </c>
      <c r="I5345" s="2">
        <v>0</v>
      </c>
      <c r="J5345" s="1">
        <v>45915.37773148148</v>
      </c>
    </row>
    <row r="5346" spans="1:10" x14ac:dyDescent="0.2">
      <c r="A5346" s="4" t="s">
        <v>1</v>
      </c>
      <c r="B5346" s="3" t="str">
        <f>HYPERLINK("https://otsuka-europe-crm.veevavault.com/ui/#object/approved_document__v/V5OZ025E82TFUPI", "Spain - HCP Survey Email - June 2025")</f>
        <v>Spain - HCP Survey Email - June 2025</v>
      </c>
      <c r="C5346" s="3" t="str">
        <f>HYPERLINK("https://otsuka-europe-crm.veevavault.com/ui/#object/sent_email__v/VBLZ025E82GN2CF", "SE-000272503")</f>
        <v>SE-000272503</v>
      </c>
      <c r="D5346" s="1">
        <v>45915.395972222221</v>
      </c>
      <c r="E5346" s="2">
        <v>1</v>
      </c>
      <c r="F5346" s="2">
        <v>2</v>
      </c>
      <c r="G5346" s="2">
        <v>1</v>
      </c>
      <c r="H5346" s="1">
        <v>45915.395972222221</v>
      </c>
      <c r="I5346" s="2">
        <v>2</v>
      </c>
      <c r="J5346" s="1">
        <v>45915.37841435185</v>
      </c>
    </row>
    <row r="5347" spans="1:10" x14ac:dyDescent="0.2">
      <c r="A5347" s="4" t="s">
        <v>1</v>
      </c>
      <c r="B5347" s="3" t="str">
        <f>HYPERLINK("https://otsuka-europe-crm.veevavault.com/ui/#object/approved_document__v/V5OZ025E82TFUPI", "Spain - HCP Survey Email - June 2025")</f>
        <v>Spain - HCP Survey Email - June 2025</v>
      </c>
      <c r="C5347" s="3" t="str">
        <f>HYPERLINK("https://otsuka-europe-crm.veevavault.com/ui/#object/sent_email__v/VBLZ025E82GN2CG", "SE-000272504")</f>
        <v>SE-000272504</v>
      </c>
      <c r="D5347" s="1" t="s">
        <v>0</v>
      </c>
      <c r="E5347" s="2">
        <v>0</v>
      </c>
      <c r="F5347" s="2">
        <v>0</v>
      </c>
      <c r="G5347" s="2">
        <v>0</v>
      </c>
      <c r="H5347" s="1" t="s">
        <v>0</v>
      </c>
      <c r="I5347" s="2">
        <v>0</v>
      </c>
      <c r="J5347" s="1">
        <v>45915.378599537034</v>
      </c>
    </row>
    <row r="5348" spans="1:10" x14ac:dyDescent="0.2">
      <c r="A5348" s="4" t="s">
        <v>1</v>
      </c>
      <c r="B5348" s="3" t="str">
        <f>HYPERLINK("https://otsuka-europe-crm.veevavault.com/ui/#object/approved_document__v/V5OZ025E82TFUPI", "Spain - HCP Survey Email - June 2025")</f>
        <v>Spain - HCP Survey Email - June 2025</v>
      </c>
      <c r="C5348" s="3" t="str">
        <f>HYPERLINK("https://otsuka-europe-crm.veevavault.com/ui/#object/sent_email__v/VBLZ025E82GN2CH", "SE-000272505")</f>
        <v>SE-000272505</v>
      </c>
      <c r="D5348" s="1">
        <v>45915.452013888891</v>
      </c>
      <c r="E5348" s="2">
        <v>1</v>
      </c>
      <c r="F5348" s="2">
        <v>2</v>
      </c>
      <c r="G5348" s="2">
        <v>0</v>
      </c>
      <c r="H5348" s="1" t="s">
        <v>0</v>
      </c>
      <c r="I5348" s="2">
        <v>0</v>
      </c>
      <c r="J5348" s="1">
        <v>45915.379490740743</v>
      </c>
    </row>
    <row r="5349" spans="1:10" x14ac:dyDescent="0.2">
      <c r="A5349" s="4" t="s">
        <v>1</v>
      </c>
      <c r="B5349" s="3" t="str">
        <f>HYPERLINK("https://otsuka-europe-crm.veevavault.com/ui/#object/approved_document__v/V5OZ025E82TFUPI", "Spain - HCP Survey Email - June 2025")</f>
        <v>Spain - HCP Survey Email - June 2025</v>
      </c>
      <c r="C5349" s="3" t="str">
        <f>HYPERLINK("https://otsuka-europe-crm.veevavault.com/ui/#object/sent_email__v/VBLZ025E82GN2CI", "SE-000272506")</f>
        <v>SE-000272506</v>
      </c>
      <c r="D5349" s="1">
        <v>45915.562858796293</v>
      </c>
      <c r="E5349" s="2">
        <v>1</v>
      </c>
      <c r="F5349" s="2">
        <v>4</v>
      </c>
      <c r="G5349" s="2">
        <v>0</v>
      </c>
      <c r="H5349" s="1" t="s">
        <v>0</v>
      </c>
      <c r="I5349" s="2">
        <v>0</v>
      </c>
      <c r="J5349" s="1">
        <v>45915.379756944443</v>
      </c>
    </row>
    <row r="5350" spans="1:10" x14ac:dyDescent="0.2">
      <c r="A5350" s="4" t="s">
        <v>1</v>
      </c>
      <c r="B5350" s="3" t="str">
        <f>HYPERLINK("https://otsuka-europe-crm.veevavault.com/ui/#object/approved_document__v/V5OZ025E82TFUPI", "Spain - HCP Survey Email - June 2025")</f>
        <v>Spain - HCP Survey Email - June 2025</v>
      </c>
      <c r="C5350" s="3" t="str">
        <f>HYPERLINK("https://otsuka-europe-crm.veevavault.com/ui/#object/sent_email__v/VBLZ025E82GN2CJ", "SE-000272507")</f>
        <v>SE-000272507</v>
      </c>
      <c r="D5350" s="1">
        <v>45953.610567129632</v>
      </c>
      <c r="E5350" s="2">
        <v>1</v>
      </c>
      <c r="F5350" s="2">
        <v>34</v>
      </c>
      <c r="G5350" s="2">
        <v>0</v>
      </c>
      <c r="H5350" s="1" t="s">
        <v>0</v>
      </c>
      <c r="I5350" s="2">
        <v>0</v>
      </c>
      <c r="J5350" s="1">
        <v>45915.377384259256</v>
      </c>
    </row>
    <row r="5351" spans="1:10" x14ac:dyDescent="0.2">
      <c r="A5351" s="4" t="s">
        <v>1</v>
      </c>
      <c r="B5351" s="3" t="str">
        <f>HYPERLINK("https://otsuka-europe-crm.veevavault.com/ui/#object/approved_document__v/V5OZ025E82TFUPI", "Spain - HCP Survey Email - June 2025")</f>
        <v>Spain - HCP Survey Email - June 2025</v>
      </c>
      <c r="C5351" s="3" t="str">
        <f>HYPERLINK("https://otsuka-europe-crm.veevavault.com/ui/#object/sent_email__v/VBLZ025E82GN2CK", "SE-000272508")</f>
        <v>SE-000272508</v>
      </c>
      <c r="D5351" s="1">
        <v>45915.388969907406</v>
      </c>
      <c r="E5351" s="2">
        <v>1</v>
      </c>
      <c r="F5351" s="2">
        <v>2</v>
      </c>
      <c r="G5351" s="2">
        <v>0</v>
      </c>
      <c r="H5351" s="1" t="s">
        <v>0</v>
      </c>
      <c r="I5351" s="2">
        <v>0</v>
      </c>
      <c r="J5351" s="1">
        <v>45915.378020833334</v>
      </c>
    </row>
    <row r="5352" spans="1:10" x14ac:dyDescent="0.2">
      <c r="A5352" s="4" t="s">
        <v>1</v>
      </c>
      <c r="B5352" s="3" t="str">
        <f>HYPERLINK("https://otsuka-europe-crm.veevavault.com/ui/#object/approved_document__v/V5OZ025E82TFUPI", "Spain - HCP Survey Email - June 2025")</f>
        <v>Spain - HCP Survey Email - June 2025</v>
      </c>
      <c r="C5352" s="3" t="str">
        <f>HYPERLINK("https://otsuka-europe-crm.veevavault.com/ui/#object/sent_email__v/VBLZ025E82GN2CL", "SE-000272509")</f>
        <v>SE-000272509</v>
      </c>
      <c r="D5352" s="1">
        <v>45937.907453703701</v>
      </c>
      <c r="E5352" s="2">
        <v>1</v>
      </c>
      <c r="F5352" s="2">
        <v>2</v>
      </c>
      <c r="G5352" s="2">
        <v>0</v>
      </c>
      <c r="H5352" s="1" t="s">
        <v>0</v>
      </c>
      <c r="I5352" s="2">
        <v>0</v>
      </c>
      <c r="J5352" s="1">
        <v>45915.378252314818</v>
      </c>
    </row>
    <row r="5353" spans="1:10" x14ac:dyDescent="0.2">
      <c r="A5353" s="4" t="s">
        <v>1</v>
      </c>
      <c r="B5353" s="3" t="str">
        <f>HYPERLINK("https://otsuka-europe-crm.veevavault.com/ui/#object/approved_document__v/V5OZ025E82TFUPI", "Spain - HCP Survey Email - June 2025")</f>
        <v>Spain - HCP Survey Email - June 2025</v>
      </c>
      <c r="C5353" s="3" t="str">
        <f>HYPERLINK("https://otsuka-europe-crm.veevavault.com/ui/#object/sent_email__v/VBLZ025E82GN2CM", "SE-000272510")</f>
        <v>SE-000272510</v>
      </c>
      <c r="D5353" s="1" t="s">
        <v>0</v>
      </c>
      <c r="E5353" s="2">
        <v>0</v>
      </c>
      <c r="F5353" s="2">
        <v>0</v>
      </c>
      <c r="G5353" s="2">
        <v>0</v>
      </c>
      <c r="H5353" s="1" t="s">
        <v>0</v>
      </c>
      <c r="I5353" s="2">
        <v>0</v>
      </c>
      <c r="J5353" s="1">
        <v>45915.379120370373</v>
      </c>
    </row>
    <row r="5354" spans="1:10" x14ac:dyDescent="0.2">
      <c r="A5354" s="4" t="s">
        <v>1</v>
      </c>
      <c r="B5354" s="3" t="str">
        <f>HYPERLINK("https://otsuka-europe-crm.veevavault.com/ui/#object/approved_document__v/V5OZ025E82TFUPI", "Spain - HCP Survey Email - June 2025")</f>
        <v>Spain - HCP Survey Email - June 2025</v>
      </c>
      <c r="C5354" s="3" t="str">
        <f>HYPERLINK("https://otsuka-europe-crm.veevavault.com/ui/#object/sent_email__v/VBLZ025E82GN2CN", "SE-000272511")</f>
        <v>SE-000272511</v>
      </c>
      <c r="D5354" s="1">
        <v>45915.608900462961</v>
      </c>
      <c r="E5354" s="2">
        <v>1</v>
      </c>
      <c r="F5354" s="2">
        <v>2</v>
      </c>
      <c r="G5354" s="2">
        <v>0</v>
      </c>
      <c r="H5354" s="1" t="s">
        <v>0</v>
      </c>
      <c r="I5354" s="2">
        <v>0</v>
      </c>
      <c r="J5354" s="1">
        <v>45915.379166666666</v>
      </c>
    </row>
    <row r="5355" spans="1:10" x14ac:dyDescent="0.2">
      <c r="A5355" s="4" t="s">
        <v>1</v>
      </c>
      <c r="B5355" s="3" t="str">
        <f>HYPERLINK("https://otsuka-europe-crm.veevavault.com/ui/#object/approved_document__v/V5OZ025E82TFUPI", "Spain - HCP Survey Email - June 2025")</f>
        <v>Spain - HCP Survey Email - June 2025</v>
      </c>
      <c r="C5355" s="3" t="str">
        <f>HYPERLINK("https://otsuka-europe-crm.veevavault.com/ui/#object/sent_email__v/VBLZ025E82GN2CO", "SE-000272512")</f>
        <v>SE-000272512</v>
      </c>
      <c r="D5355" s="1" t="s">
        <v>0</v>
      </c>
      <c r="E5355" s="2">
        <v>0</v>
      </c>
      <c r="F5355" s="2">
        <v>0</v>
      </c>
      <c r="G5355" s="2">
        <v>0</v>
      </c>
      <c r="H5355" s="1" t="s">
        <v>0</v>
      </c>
      <c r="I5355" s="2">
        <v>0</v>
      </c>
      <c r="J5355" s="1">
        <v>45915.377581018518</v>
      </c>
    </row>
    <row r="5356" spans="1:10" x14ac:dyDescent="0.2">
      <c r="A5356" s="4" t="s">
        <v>1</v>
      </c>
      <c r="B5356" s="3" t="str">
        <f>HYPERLINK("https://otsuka-europe-crm.veevavault.com/ui/#object/approved_document__v/V5OZ025E82TFUPI", "Spain - HCP Survey Email - June 2025")</f>
        <v>Spain - HCP Survey Email - June 2025</v>
      </c>
      <c r="C5356" s="3" t="str">
        <f>HYPERLINK("https://otsuka-europe-crm.veevavault.com/ui/#object/sent_email__v/VBLZ025E82GN2CP", "SE-000272513")</f>
        <v>SE-000272513</v>
      </c>
      <c r="D5356" s="1">
        <v>45915.565659722219</v>
      </c>
      <c r="E5356" s="2">
        <v>1</v>
      </c>
      <c r="F5356" s="2">
        <v>1</v>
      </c>
      <c r="G5356" s="2">
        <v>1</v>
      </c>
      <c r="H5356" s="1">
        <v>45915.565717592595</v>
      </c>
      <c r="I5356" s="2">
        <v>2</v>
      </c>
      <c r="J5356" s="1">
        <v>45915.377685185187</v>
      </c>
    </row>
    <row r="5357" spans="1:10" x14ac:dyDescent="0.2">
      <c r="A5357" s="4" t="s">
        <v>1</v>
      </c>
      <c r="B5357" s="3" t="str">
        <f>HYPERLINK("https://otsuka-europe-crm.veevavault.com/ui/#object/approved_document__v/V5OZ025E82TFUPI", "Spain - HCP Survey Email - June 2025")</f>
        <v>Spain - HCP Survey Email - June 2025</v>
      </c>
      <c r="C5357" s="3" t="str">
        <f>HYPERLINK("https://otsuka-europe-crm.veevavault.com/ui/#object/sent_email__v/VBLZ025E82GN2CQ", "SE-000272514")</f>
        <v>SE-000272514</v>
      </c>
      <c r="D5357" s="1" t="s">
        <v>0</v>
      </c>
      <c r="E5357" s="2">
        <v>0</v>
      </c>
      <c r="F5357" s="2">
        <v>0</v>
      </c>
      <c r="G5357" s="2">
        <v>0</v>
      </c>
      <c r="H5357" s="1" t="s">
        <v>0</v>
      </c>
      <c r="I5357" s="2">
        <v>0</v>
      </c>
      <c r="J5357" s="1">
        <v>45915.378460648149</v>
      </c>
    </row>
    <row r="5358" spans="1:10" x14ac:dyDescent="0.2">
      <c r="A5358" s="4" t="s">
        <v>1</v>
      </c>
      <c r="B5358" s="3" t="str">
        <f>HYPERLINK("https://otsuka-europe-crm.veevavault.com/ui/#object/approved_document__v/V5OZ025E82TFUPI", "Spain - HCP Survey Email - June 2025")</f>
        <v>Spain - HCP Survey Email - June 2025</v>
      </c>
      <c r="C5358" s="3" t="str">
        <f>HYPERLINK("https://otsuka-europe-crm.veevavault.com/ui/#object/sent_email__v/VBLZ025E82GN2CR", "SE-000272515")</f>
        <v>SE-000272515</v>
      </c>
      <c r="D5358" s="1">
        <v>45915.910046296296</v>
      </c>
      <c r="E5358" s="2">
        <v>1</v>
      </c>
      <c r="F5358" s="2">
        <v>2</v>
      </c>
      <c r="G5358" s="2">
        <v>0</v>
      </c>
      <c r="H5358" s="1" t="s">
        <v>0</v>
      </c>
      <c r="I5358" s="2">
        <v>0</v>
      </c>
      <c r="J5358" s="1">
        <v>45915.378599537034</v>
      </c>
    </row>
    <row r="5359" spans="1:10" x14ac:dyDescent="0.2">
      <c r="A5359" s="4" t="s">
        <v>1</v>
      </c>
      <c r="B5359" s="3" t="str">
        <f>HYPERLINK("https://otsuka-europe-crm.veevavault.com/ui/#object/approved_document__v/V5OZ025E82TFUPI", "Spain - HCP Survey Email - June 2025")</f>
        <v>Spain - HCP Survey Email - June 2025</v>
      </c>
      <c r="C5359" s="3" t="str">
        <f>HYPERLINK("https://otsuka-europe-crm.veevavault.com/ui/#object/sent_email__v/VBLZ025E82GN2CS", "SE-000272516")</f>
        <v>SE-000272516</v>
      </c>
      <c r="D5359" s="1" t="s">
        <v>0</v>
      </c>
      <c r="E5359" s="2">
        <v>0</v>
      </c>
      <c r="F5359" s="2">
        <v>0</v>
      </c>
      <c r="G5359" s="2">
        <v>0</v>
      </c>
      <c r="H5359" s="1" t="s">
        <v>0</v>
      </c>
      <c r="I5359" s="2">
        <v>0</v>
      </c>
      <c r="J5359" s="1">
        <v>45915.379560185182</v>
      </c>
    </row>
    <row r="5360" spans="1:10" x14ac:dyDescent="0.2">
      <c r="A5360" s="4" t="s">
        <v>1</v>
      </c>
      <c r="B5360" s="3" t="str">
        <f>HYPERLINK("https://otsuka-europe-crm.veevavault.com/ui/#object/approved_document__v/V5OZ025E82TFUPI", "Spain - HCP Survey Email - June 2025")</f>
        <v>Spain - HCP Survey Email - June 2025</v>
      </c>
      <c r="C5360" s="3" t="str">
        <f>HYPERLINK("https://otsuka-europe-crm.veevavault.com/ui/#object/sent_email__v/VBLZ025E82GN2CT", "SE-000272517")</f>
        <v>SE-000272517</v>
      </c>
      <c r="D5360" s="1" t="s">
        <v>0</v>
      </c>
      <c r="E5360" s="2">
        <v>0</v>
      </c>
      <c r="F5360" s="2">
        <v>0</v>
      </c>
      <c r="G5360" s="2">
        <v>0</v>
      </c>
      <c r="H5360" s="1" t="s">
        <v>0</v>
      </c>
      <c r="I5360" s="2">
        <v>0</v>
      </c>
      <c r="J5360" s="1">
        <v>45915.379317129627</v>
      </c>
    </row>
    <row r="5361" spans="1:10" x14ac:dyDescent="0.2">
      <c r="A5361" s="4" t="s">
        <v>1</v>
      </c>
      <c r="B5361" s="3" t="str">
        <f>HYPERLINK("https://otsuka-europe-crm.veevavault.com/ui/#object/approved_document__v/V5OZ025E82TFUPI", "Spain - HCP Survey Email - June 2025")</f>
        <v>Spain - HCP Survey Email - June 2025</v>
      </c>
      <c r="C5361" s="3" t="str">
        <f>HYPERLINK("https://otsuka-europe-crm.veevavault.com/ui/#object/sent_email__v/VBLZ025E82GN2CU", "SE-000272518")</f>
        <v>SE-000272518</v>
      </c>
      <c r="D5361" s="1" t="s">
        <v>0</v>
      </c>
      <c r="E5361" s="2">
        <v>0</v>
      </c>
      <c r="F5361" s="2">
        <v>0</v>
      </c>
      <c r="G5361" s="2">
        <v>0</v>
      </c>
      <c r="H5361" s="1" t="s">
        <v>0</v>
      </c>
      <c r="I5361" s="2">
        <v>0</v>
      </c>
      <c r="J5361" s="1">
        <v>45915.377442129633</v>
      </c>
    </row>
    <row r="5362" spans="1:10" x14ac:dyDescent="0.2">
      <c r="A5362" s="4" t="s">
        <v>1</v>
      </c>
      <c r="B5362" s="3" t="str">
        <f>HYPERLINK("https://otsuka-europe-crm.veevavault.com/ui/#object/approved_document__v/V5OZ025E82TFUPI", "Spain - HCP Survey Email - June 2025")</f>
        <v>Spain - HCP Survey Email - June 2025</v>
      </c>
      <c r="C5362" s="3" t="str">
        <f>HYPERLINK("https://otsuka-europe-crm.veevavault.com/ui/#object/sent_email__v/VBLZ025E82GN2CV", "SE-000272519")</f>
        <v>SE-000272519</v>
      </c>
      <c r="D5362" s="1" t="s">
        <v>0</v>
      </c>
      <c r="E5362" s="2">
        <v>0</v>
      </c>
      <c r="F5362" s="2">
        <v>0</v>
      </c>
      <c r="G5362" s="2">
        <v>0</v>
      </c>
      <c r="H5362" s="1" t="s">
        <v>0</v>
      </c>
      <c r="I5362" s="2">
        <v>0</v>
      </c>
      <c r="J5362" s="1">
        <v>45915.378333333334</v>
      </c>
    </row>
    <row r="5363" spans="1:10" x14ac:dyDescent="0.2">
      <c r="A5363" s="4" t="s">
        <v>1</v>
      </c>
      <c r="B5363" s="3" t="str">
        <f>HYPERLINK("https://otsuka-europe-crm.veevavault.com/ui/#object/approved_document__v/V5OZ025E82TFUPI", "Spain - HCP Survey Email - June 2025")</f>
        <v>Spain - HCP Survey Email - June 2025</v>
      </c>
      <c r="C5363" s="3" t="str">
        <f>HYPERLINK("https://otsuka-europe-crm.veevavault.com/ui/#object/sent_email__v/VBLZ025E82GN2CX", "SE-000272521")</f>
        <v>SE-000272521</v>
      </c>
      <c r="D5363" s="1" t="s">
        <v>0</v>
      </c>
      <c r="E5363" s="2">
        <v>0</v>
      </c>
      <c r="F5363" s="2">
        <v>0</v>
      </c>
      <c r="G5363" s="2">
        <v>0</v>
      </c>
      <c r="H5363" s="1" t="s">
        <v>0</v>
      </c>
      <c r="I5363" s="2">
        <v>0</v>
      </c>
      <c r="J5363" s="1">
        <v>45915.378622685188</v>
      </c>
    </row>
    <row r="5364" spans="1:10" x14ac:dyDescent="0.2">
      <c r="A5364" s="4" t="s">
        <v>1</v>
      </c>
      <c r="B5364" s="3" t="str">
        <f>HYPERLINK("https://otsuka-europe-crm.veevavault.com/ui/#object/approved_document__v/V5OZ025E82TFUPI", "Spain - HCP Survey Email - June 2025")</f>
        <v>Spain - HCP Survey Email - June 2025</v>
      </c>
      <c r="C5364" s="3" t="str">
        <f>HYPERLINK("https://otsuka-europe-crm.veevavault.com/ui/#object/sent_email__v/VBLZ025E82GN2CY", "SE-000272522")</f>
        <v>SE-000272522</v>
      </c>
      <c r="D5364" s="1" t="s">
        <v>0</v>
      </c>
      <c r="E5364" s="2">
        <v>0</v>
      </c>
      <c r="F5364" s="2">
        <v>0</v>
      </c>
      <c r="G5364" s="2">
        <v>0</v>
      </c>
      <c r="H5364" s="1" t="s">
        <v>0</v>
      </c>
      <c r="I5364" s="2">
        <v>0</v>
      </c>
      <c r="J5364" s="1">
        <v>45915.379884259259</v>
      </c>
    </row>
    <row r="5365" spans="1:10" x14ac:dyDescent="0.2">
      <c r="A5365" s="4" t="s">
        <v>1</v>
      </c>
      <c r="B5365" s="3" t="str">
        <f>HYPERLINK("https://otsuka-europe-crm.veevavault.com/ui/#object/approved_document__v/V5OZ025E82TFUPI", "Spain - HCP Survey Email - June 2025")</f>
        <v>Spain - HCP Survey Email - June 2025</v>
      </c>
      <c r="C5365" s="3" t="str">
        <f>HYPERLINK("https://otsuka-europe-crm.veevavault.com/ui/#object/sent_email__v/VBLZ025E82GN2CZ", "SE-000272523")</f>
        <v>SE-000272523</v>
      </c>
      <c r="D5365" s="1" t="s">
        <v>0</v>
      </c>
      <c r="E5365" s="2">
        <v>0</v>
      </c>
      <c r="F5365" s="2">
        <v>0</v>
      </c>
      <c r="G5365" s="2">
        <v>0</v>
      </c>
      <c r="H5365" s="1" t="s">
        <v>0</v>
      </c>
      <c r="I5365" s="2">
        <v>0</v>
      </c>
      <c r="J5365" s="1">
        <v>45915.377685185187</v>
      </c>
    </row>
    <row r="5366" spans="1:10" x14ac:dyDescent="0.2">
      <c r="A5366" s="4" t="s">
        <v>1</v>
      </c>
      <c r="B5366" s="3" t="str">
        <f>HYPERLINK("https://otsuka-europe-crm.veevavault.com/ui/#object/approved_document__v/V5OZ025E82TFUPI", "Spain - HCP Survey Email - June 2025")</f>
        <v>Spain - HCP Survey Email - June 2025</v>
      </c>
      <c r="C5366" s="3" t="str">
        <f>HYPERLINK("https://otsuka-europe-crm.veevavault.com/ui/#object/sent_email__v/VBLZ025E82GN2D0", "SE-000272524")</f>
        <v>SE-000272524</v>
      </c>
      <c r="D5366" s="1" t="s">
        <v>0</v>
      </c>
      <c r="E5366" s="2">
        <v>0</v>
      </c>
      <c r="F5366" s="2">
        <v>0</v>
      </c>
      <c r="G5366" s="2">
        <v>0</v>
      </c>
      <c r="H5366" s="1" t="s">
        <v>0</v>
      </c>
      <c r="I5366" s="2">
        <v>0</v>
      </c>
      <c r="J5366" s="1">
        <v>45915.377627314818</v>
      </c>
    </row>
    <row r="5367" spans="1:10" x14ac:dyDescent="0.2">
      <c r="A5367" s="4" t="s">
        <v>1</v>
      </c>
      <c r="B5367" s="3" t="str">
        <f>HYPERLINK("https://otsuka-europe-crm.veevavault.com/ui/#object/approved_document__v/V5OZ025E82TFUPI", "Spain - HCP Survey Email - June 2025")</f>
        <v>Spain - HCP Survey Email - June 2025</v>
      </c>
      <c r="C5367" s="3" t="str">
        <f>HYPERLINK("https://otsuka-europe-crm.veevavault.com/ui/#object/sent_email__v/VBLZ025E82GN2D1", "SE-000272525")</f>
        <v>SE-000272525</v>
      </c>
      <c r="D5367" s="1" t="s">
        <v>0</v>
      </c>
      <c r="E5367" s="2">
        <v>0</v>
      </c>
      <c r="F5367" s="2">
        <v>0</v>
      </c>
      <c r="G5367" s="2">
        <v>0</v>
      </c>
      <c r="H5367" s="1" t="s">
        <v>0</v>
      </c>
      <c r="I5367" s="2">
        <v>0</v>
      </c>
      <c r="J5367" s="1">
        <v>45915.377939814818</v>
      </c>
    </row>
    <row r="5368" spans="1:10" x14ac:dyDescent="0.2">
      <c r="A5368" s="4" t="s">
        <v>1</v>
      </c>
      <c r="B5368" s="3" t="str">
        <f>HYPERLINK("https://otsuka-europe-crm.veevavault.com/ui/#object/approved_document__v/V5OZ025E82TFUPI", "Spain - HCP Survey Email - June 2025")</f>
        <v>Spain - HCP Survey Email - June 2025</v>
      </c>
      <c r="C5368" s="3" t="str">
        <f>HYPERLINK("https://otsuka-europe-crm.veevavault.com/ui/#object/sent_email__v/VBLZ025E82GN2D2", "SE-000272526")</f>
        <v>SE-000272526</v>
      </c>
      <c r="D5368" s="1">
        <v>45967.272106481483</v>
      </c>
      <c r="E5368" s="2">
        <v>1</v>
      </c>
      <c r="F5368" s="2">
        <v>1</v>
      </c>
      <c r="G5368" s="2">
        <v>0</v>
      </c>
      <c r="H5368" s="1" t="s">
        <v>0</v>
      </c>
      <c r="I5368" s="2">
        <v>0</v>
      </c>
      <c r="J5368" s="1">
        <v>45915.379907407405</v>
      </c>
    </row>
    <row r="5369" spans="1:10" x14ac:dyDescent="0.2">
      <c r="A5369" s="4" t="s">
        <v>1</v>
      </c>
      <c r="B5369" s="3" t="str">
        <f>HYPERLINK("https://otsuka-europe-crm.veevavault.com/ui/#object/approved_document__v/V5OZ025E82TFUPI", "Spain - HCP Survey Email - June 2025")</f>
        <v>Spain - HCP Survey Email - June 2025</v>
      </c>
      <c r="C5369" s="3" t="str">
        <f>HYPERLINK("https://otsuka-europe-crm.veevavault.com/ui/#object/sent_email__v/VBLZ025E82GN2D3", "SE-000272527")</f>
        <v>SE-000272527</v>
      </c>
      <c r="D5369" s="1" t="s">
        <v>0</v>
      </c>
      <c r="E5369" s="2">
        <v>0</v>
      </c>
      <c r="F5369" s="2">
        <v>0</v>
      </c>
      <c r="G5369" s="2">
        <v>0</v>
      </c>
      <c r="H5369" s="1" t="s">
        <v>0</v>
      </c>
      <c r="I5369" s="2">
        <v>0</v>
      </c>
      <c r="J5369" s="1">
        <v>45915.377754629626</v>
      </c>
    </row>
    <row r="5370" spans="1:10" x14ac:dyDescent="0.2">
      <c r="A5370" s="4" t="s">
        <v>1</v>
      </c>
      <c r="B5370" s="3" t="str">
        <f>HYPERLINK("https://otsuka-europe-crm.veevavault.com/ui/#object/approved_document__v/V5OZ025E82TFUPI", "Spain - HCP Survey Email - June 2025")</f>
        <v>Spain - HCP Survey Email - June 2025</v>
      </c>
      <c r="C5370" s="3" t="str">
        <f>HYPERLINK("https://otsuka-europe-crm.veevavault.com/ui/#object/sent_email__v/VBLZ025E82GN2D4", "SE-000272528")</f>
        <v>SE-000272528</v>
      </c>
      <c r="D5370" s="1" t="s">
        <v>0</v>
      </c>
      <c r="E5370" s="2">
        <v>0</v>
      </c>
      <c r="F5370" s="2">
        <v>0</v>
      </c>
      <c r="G5370" s="2">
        <v>0</v>
      </c>
      <c r="H5370" s="1" t="s">
        <v>0</v>
      </c>
      <c r="I5370" s="2">
        <v>0</v>
      </c>
      <c r="J5370" s="1">
        <v>45915.377604166664</v>
      </c>
    </row>
    <row r="5371" spans="1:10" x14ac:dyDescent="0.2">
      <c r="A5371" s="4" t="s">
        <v>1</v>
      </c>
      <c r="B5371" s="3" t="str">
        <f>HYPERLINK("https://otsuka-europe-crm.veevavault.com/ui/#object/approved_document__v/V5OZ025E82TFUPI", "Spain - HCP Survey Email - June 2025")</f>
        <v>Spain - HCP Survey Email - June 2025</v>
      </c>
      <c r="C5371" s="3" t="str">
        <f>HYPERLINK("https://otsuka-europe-crm.veevavault.com/ui/#object/sent_email__v/VBLZ025E82GN2D5", "SE-000272529")</f>
        <v>SE-000272529</v>
      </c>
      <c r="D5371" s="1">
        <v>45915.562037037038</v>
      </c>
      <c r="E5371" s="2">
        <v>1</v>
      </c>
      <c r="F5371" s="2">
        <v>2</v>
      </c>
      <c r="G5371" s="2">
        <v>0</v>
      </c>
      <c r="H5371" s="1" t="s">
        <v>0</v>
      </c>
      <c r="I5371" s="2">
        <v>0</v>
      </c>
      <c r="J5371" s="1">
        <v>45915.377986111111</v>
      </c>
    </row>
    <row r="5372" spans="1:10" x14ac:dyDescent="0.2">
      <c r="A5372" s="4" t="s">
        <v>1</v>
      </c>
      <c r="B5372" s="3" t="str">
        <f>HYPERLINK("https://otsuka-europe-crm.veevavault.com/ui/#object/approved_document__v/V5OZ025E82TFUPI", "Spain - HCP Survey Email - June 2025")</f>
        <v>Spain - HCP Survey Email - June 2025</v>
      </c>
      <c r="C5372" s="3" t="str">
        <f>HYPERLINK("https://otsuka-europe-crm.veevavault.com/ui/#object/sent_email__v/VBLZ025E82GN2D6", "SE-000272530")</f>
        <v>SE-000272530</v>
      </c>
      <c r="D5372" s="1">
        <v>45929.767476851855</v>
      </c>
      <c r="E5372" s="2">
        <v>1</v>
      </c>
      <c r="F5372" s="2">
        <v>3</v>
      </c>
      <c r="G5372" s="2">
        <v>1</v>
      </c>
      <c r="H5372" s="1">
        <v>45917.327453703707</v>
      </c>
      <c r="I5372" s="2">
        <v>2</v>
      </c>
      <c r="J5372" s="1">
        <v>45915.379062499997</v>
      </c>
    </row>
    <row r="5373" spans="1:10" x14ac:dyDescent="0.2">
      <c r="A5373" s="4" t="s">
        <v>1</v>
      </c>
      <c r="B5373" s="3" t="str">
        <f>HYPERLINK("https://otsuka-europe-crm.veevavault.com/ui/#object/approved_document__v/V5OZ025E82TFUPI", "Spain - HCP Survey Email - June 2025")</f>
        <v>Spain - HCP Survey Email - June 2025</v>
      </c>
      <c r="C5373" s="3" t="str">
        <f>HYPERLINK("https://otsuka-europe-crm.veevavault.com/ui/#object/sent_email__v/VBLZ025E82GN2D7", "SE-000272531")</f>
        <v>SE-000272531</v>
      </c>
      <c r="D5373" s="1">
        <v>45920.804212962961</v>
      </c>
      <c r="E5373" s="2">
        <v>1</v>
      </c>
      <c r="F5373" s="2">
        <v>2</v>
      </c>
      <c r="G5373" s="2">
        <v>0</v>
      </c>
      <c r="H5373" s="1" t="s">
        <v>0</v>
      </c>
      <c r="I5373" s="2">
        <v>0</v>
      </c>
      <c r="J5373" s="1">
        <v>45915.379594907405</v>
      </c>
    </row>
    <row r="5374" spans="1:10" x14ac:dyDescent="0.2">
      <c r="A5374" s="4" t="s">
        <v>1</v>
      </c>
      <c r="B5374" s="3" t="str">
        <f>HYPERLINK("https://otsuka-europe-crm.veevavault.com/ui/#object/approved_document__v/V5OZ025E82TFUPI", "Spain - HCP Survey Email - June 2025")</f>
        <v>Spain - HCP Survey Email - June 2025</v>
      </c>
      <c r="C5374" s="3" t="str">
        <f>HYPERLINK("https://otsuka-europe-crm.veevavault.com/ui/#object/sent_email__v/VBLZ025E82GN2D8", "SE-000272532")</f>
        <v>SE-000272532</v>
      </c>
      <c r="D5374" s="1" t="s">
        <v>0</v>
      </c>
      <c r="E5374" s="2">
        <v>0</v>
      </c>
      <c r="F5374" s="2">
        <v>0</v>
      </c>
      <c r="G5374" s="2">
        <v>0</v>
      </c>
      <c r="H5374" s="1" t="s">
        <v>0</v>
      </c>
      <c r="I5374" s="2">
        <v>0</v>
      </c>
      <c r="J5374" s="1">
        <v>45915.379247685189</v>
      </c>
    </row>
    <row r="5375" spans="1:10" x14ac:dyDescent="0.2">
      <c r="A5375" s="4" t="s">
        <v>1</v>
      </c>
      <c r="B5375" s="3" t="str">
        <f>HYPERLINK("https://otsuka-europe-crm.veevavault.com/ui/#object/approved_document__v/V5OZ025E82TFUPI", "Spain - HCP Survey Email - June 2025")</f>
        <v>Spain - HCP Survey Email - June 2025</v>
      </c>
      <c r="C5375" s="3" t="str">
        <f>HYPERLINK("https://otsuka-europe-crm.veevavault.com/ui/#object/sent_email__v/VBLZ025E82GN2D9", "SE-000272533")</f>
        <v>SE-000272533</v>
      </c>
      <c r="D5375" s="1">
        <v>45915.384606481479</v>
      </c>
      <c r="E5375" s="2">
        <v>1</v>
      </c>
      <c r="F5375" s="2">
        <v>1</v>
      </c>
      <c r="G5375" s="2">
        <v>0</v>
      </c>
      <c r="H5375" s="1" t="s">
        <v>0</v>
      </c>
      <c r="I5375" s="2">
        <v>0</v>
      </c>
      <c r="J5375" s="1">
        <v>45915.377881944441</v>
      </c>
    </row>
    <row r="5376" spans="1:10" x14ac:dyDescent="0.2">
      <c r="A5376" s="4" t="s">
        <v>1</v>
      </c>
      <c r="B5376" s="3" t="str">
        <f>HYPERLINK("https://otsuka-europe-crm.veevavault.com/ui/#object/approved_document__v/V5OZ025E82TFUPI", "Spain - HCP Survey Email - June 2025")</f>
        <v>Spain - HCP Survey Email - June 2025</v>
      </c>
      <c r="C5376" s="3" t="str">
        <f>HYPERLINK("https://otsuka-europe-crm.veevavault.com/ui/#object/sent_email__v/VBLZ025E82GN2DA", "SE-000272534")</f>
        <v>SE-000272534</v>
      </c>
      <c r="D5376" s="1">
        <v>45915.37841435185</v>
      </c>
      <c r="E5376" s="2">
        <v>1</v>
      </c>
      <c r="F5376" s="2">
        <v>1</v>
      </c>
      <c r="G5376" s="2">
        <v>1</v>
      </c>
      <c r="H5376" s="1">
        <v>45915.378888888888</v>
      </c>
      <c r="I5376" s="2">
        <v>2</v>
      </c>
      <c r="J5376" s="1">
        <v>45915.378298611111</v>
      </c>
    </row>
    <row r="5377" spans="1:10" x14ac:dyDescent="0.2">
      <c r="A5377" s="4" t="s">
        <v>1</v>
      </c>
      <c r="B5377" s="3" t="str">
        <f>HYPERLINK("https://otsuka-europe-crm.veevavault.com/ui/#object/approved_document__v/V5OZ025E82TFUPI", "Spain - HCP Survey Email - June 2025")</f>
        <v>Spain - HCP Survey Email - June 2025</v>
      </c>
      <c r="C5377" s="3" t="str">
        <f>HYPERLINK("https://otsuka-europe-crm.veevavault.com/ui/#object/sent_email__v/VBLZ025E82GN2DB", "SE-000272535")</f>
        <v>SE-000272535</v>
      </c>
      <c r="D5377" s="1">
        <v>45915.491550925923</v>
      </c>
      <c r="E5377" s="2">
        <v>1</v>
      </c>
      <c r="F5377" s="2">
        <v>1</v>
      </c>
      <c r="G5377" s="2">
        <v>0</v>
      </c>
      <c r="H5377" s="1" t="s">
        <v>0</v>
      </c>
      <c r="I5377" s="2">
        <v>0</v>
      </c>
      <c r="J5377" s="1">
        <v>45915.378182870372</v>
      </c>
    </row>
    <row r="5378" spans="1:10" x14ac:dyDescent="0.2">
      <c r="A5378" s="4" t="s">
        <v>1</v>
      </c>
      <c r="B5378" s="3" t="str">
        <f>HYPERLINK("https://otsuka-europe-crm.veevavault.com/ui/#object/approved_document__v/V5OZ025E82TFUPI", "Spain - HCP Survey Email - June 2025")</f>
        <v>Spain - HCP Survey Email - June 2025</v>
      </c>
      <c r="C5378" s="3" t="str">
        <f>HYPERLINK("https://otsuka-europe-crm.veevavault.com/ui/#object/sent_email__v/VBLZ025E82GN2DC", "SE-000272536")</f>
        <v>SE-000272536</v>
      </c>
      <c r="D5378" s="1">
        <v>45915.495891203704</v>
      </c>
      <c r="E5378" s="2">
        <v>1</v>
      </c>
      <c r="F5378" s="2">
        <v>2</v>
      </c>
      <c r="G5378" s="2">
        <v>0</v>
      </c>
      <c r="H5378" s="1" t="s">
        <v>0</v>
      </c>
      <c r="I5378" s="2">
        <v>0</v>
      </c>
      <c r="J5378" s="1">
        <v>45915.378946759258</v>
      </c>
    </row>
    <row r="5379" spans="1:10" x14ac:dyDescent="0.2">
      <c r="A5379" s="4" t="s">
        <v>1</v>
      </c>
      <c r="B5379" s="3" t="str">
        <f>HYPERLINK("https://otsuka-europe-crm.veevavault.com/ui/#object/approved_document__v/V5OZ025E82TFUPI", "Spain - HCP Survey Email - June 2025")</f>
        <v>Spain - HCP Survey Email - June 2025</v>
      </c>
      <c r="C5379" s="3" t="str">
        <f>HYPERLINK("https://otsuka-europe-crm.veevavault.com/ui/#object/sent_email__v/VBLZ025E82GN2DD", "SE-000272537")</f>
        <v>SE-000272537</v>
      </c>
      <c r="D5379" s="1" t="s">
        <v>0</v>
      </c>
      <c r="E5379" s="2">
        <v>0</v>
      </c>
      <c r="F5379" s="2">
        <v>0</v>
      </c>
      <c r="G5379" s="2">
        <v>0</v>
      </c>
      <c r="H5379" s="1" t="s">
        <v>0</v>
      </c>
      <c r="I5379" s="2">
        <v>0</v>
      </c>
      <c r="J5379" s="1">
        <v>45915.379131944443</v>
      </c>
    </row>
    <row r="5380" spans="1:10" x14ac:dyDescent="0.2">
      <c r="A5380" s="4" t="s">
        <v>1</v>
      </c>
      <c r="B5380" s="3" t="str">
        <f>HYPERLINK("https://otsuka-europe-crm.veevavault.com/ui/#object/approved_document__v/V5OZ025E82TFUPI", "Spain - HCP Survey Email - June 2025")</f>
        <v>Spain - HCP Survey Email - June 2025</v>
      </c>
      <c r="C5380" s="3" t="str">
        <f>HYPERLINK("https://otsuka-europe-crm.veevavault.com/ui/#object/sent_email__v/VBLZ025E82GN2DE", "SE-000272538")</f>
        <v>SE-000272538</v>
      </c>
      <c r="D5380" s="1" t="s">
        <v>0</v>
      </c>
      <c r="E5380" s="2">
        <v>0</v>
      </c>
      <c r="F5380" s="2">
        <v>0</v>
      </c>
      <c r="G5380" s="2">
        <v>0</v>
      </c>
      <c r="H5380" s="1" t="s">
        <v>0</v>
      </c>
      <c r="I5380" s="2">
        <v>0</v>
      </c>
      <c r="J5380" s="1">
        <v>45915.377592592595</v>
      </c>
    </row>
    <row r="5381" spans="1:10" x14ac:dyDescent="0.2">
      <c r="A5381" s="4" t="s">
        <v>1</v>
      </c>
      <c r="B5381" s="3" t="str">
        <f>HYPERLINK("https://otsuka-europe-crm.veevavault.com/ui/#object/approved_document__v/V5OZ025E82TFUPI", "Spain - HCP Survey Email - June 2025")</f>
        <v>Spain - HCP Survey Email - June 2025</v>
      </c>
      <c r="C5381" s="3" t="str">
        <f>HYPERLINK("https://otsuka-europe-crm.veevavault.com/ui/#object/sent_email__v/VBLZ025E82GN2DF", "SE-000272539")</f>
        <v>SE-000272539</v>
      </c>
      <c r="D5381" s="1" t="s">
        <v>0</v>
      </c>
      <c r="E5381" s="2">
        <v>0</v>
      </c>
      <c r="F5381" s="2">
        <v>0</v>
      </c>
      <c r="G5381" s="2">
        <v>0</v>
      </c>
      <c r="H5381" s="1" t="s">
        <v>0</v>
      </c>
      <c r="I5381" s="2">
        <v>0</v>
      </c>
      <c r="J5381" s="1">
        <v>45915.377685185187</v>
      </c>
    </row>
    <row r="5382" spans="1:10" x14ac:dyDescent="0.2">
      <c r="A5382" s="4" t="s">
        <v>1</v>
      </c>
      <c r="B5382" s="3" t="str">
        <f>HYPERLINK("https://otsuka-europe-crm.veevavault.com/ui/#object/approved_document__v/V5OZ025E82TFUPI", "Spain - HCP Survey Email - June 2025")</f>
        <v>Spain - HCP Survey Email - June 2025</v>
      </c>
      <c r="C5382" s="3" t="str">
        <f>HYPERLINK("https://otsuka-europe-crm.veevavault.com/ui/#object/sent_email__v/VBLZ025E82GN2DG", "SE-000272540")</f>
        <v>SE-000272540</v>
      </c>
      <c r="D5382" s="1">
        <v>45917.53</v>
      </c>
      <c r="E5382" s="2">
        <v>1</v>
      </c>
      <c r="F5382" s="2">
        <v>1</v>
      </c>
      <c r="G5382" s="2">
        <v>1</v>
      </c>
      <c r="H5382" s="1">
        <v>45917.530115740738</v>
      </c>
      <c r="I5382" s="2">
        <v>1</v>
      </c>
      <c r="J5382" s="1">
        <v>45915.378379629627</v>
      </c>
    </row>
    <row r="5383" spans="1:10" x14ac:dyDescent="0.2">
      <c r="A5383" s="4" t="s">
        <v>1</v>
      </c>
      <c r="B5383" s="3" t="str">
        <f>HYPERLINK("https://otsuka-europe-crm.veevavault.com/ui/#object/approved_document__v/V5OZ025E82TFUPI", "Spain - HCP Survey Email - June 2025")</f>
        <v>Spain - HCP Survey Email - June 2025</v>
      </c>
      <c r="C5383" s="3" t="str">
        <f>HYPERLINK("https://otsuka-europe-crm.veevavault.com/ui/#object/sent_email__v/VBLZ025E82GN2DI", "SE-000272542")</f>
        <v>SE-000272542</v>
      </c>
      <c r="D5383" s="1" t="s">
        <v>0</v>
      </c>
      <c r="E5383" s="2">
        <v>0</v>
      </c>
      <c r="F5383" s="2">
        <v>0</v>
      </c>
      <c r="G5383" s="2">
        <v>0</v>
      </c>
      <c r="H5383" s="1" t="s">
        <v>0</v>
      </c>
      <c r="I5383" s="2">
        <v>0</v>
      </c>
      <c r="J5383" s="1">
        <v>45915.379432870373</v>
      </c>
    </row>
    <row r="5384" spans="1:10" x14ac:dyDescent="0.2">
      <c r="A5384" s="4" t="s">
        <v>1</v>
      </c>
      <c r="B5384" s="3" t="str">
        <f>HYPERLINK("https://otsuka-europe-crm.veevavault.com/ui/#object/approved_document__v/V5OZ025E82TFUPI", "Spain - HCP Survey Email - June 2025")</f>
        <v>Spain - HCP Survey Email - June 2025</v>
      </c>
      <c r="C5384" s="3" t="str">
        <f>HYPERLINK("https://otsuka-europe-crm.veevavault.com/ui/#object/sent_email__v/VBLZ025E82GN2DJ", "SE-000272543")</f>
        <v>SE-000272543</v>
      </c>
      <c r="D5384" s="1">
        <v>45931.324050925927</v>
      </c>
      <c r="E5384" s="2">
        <v>1</v>
      </c>
      <c r="F5384" s="2">
        <v>6</v>
      </c>
      <c r="G5384" s="2">
        <v>0</v>
      </c>
      <c r="H5384" s="1" t="s">
        <v>0</v>
      </c>
      <c r="I5384" s="2">
        <v>0</v>
      </c>
      <c r="J5384" s="1">
        <v>45915.379814814813</v>
      </c>
    </row>
    <row r="5385" spans="1:10" x14ac:dyDescent="0.2">
      <c r="A5385" s="4" t="s">
        <v>1</v>
      </c>
      <c r="B5385" s="3" t="str">
        <f>HYPERLINK("https://otsuka-europe-crm.veevavault.com/ui/#object/approved_document__v/V5OZ025E82TFUPI", "Spain - HCP Survey Email - June 2025")</f>
        <v>Spain - HCP Survey Email - June 2025</v>
      </c>
      <c r="C5385" s="3" t="str">
        <f>HYPERLINK("https://otsuka-europe-crm.veevavault.com/ui/#object/sent_email__v/VBLZ025E82GN2DK", "SE-000272544")</f>
        <v>SE-000272544</v>
      </c>
      <c r="D5385" s="1">
        <v>45918.630960648145</v>
      </c>
      <c r="E5385" s="2">
        <v>1</v>
      </c>
      <c r="F5385" s="2">
        <v>2</v>
      </c>
      <c r="G5385" s="2">
        <v>1</v>
      </c>
      <c r="H5385" s="1">
        <v>45918.630983796298</v>
      </c>
      <c r="I5385" s="2">
        <v>1</v>
      </c>
      <c r="J5385" s="1">
        <v>45915.377395833333</v>
      </c>
    </row>
    <row r="5386" spans="1:10" x14ac:dyDescent="0.2">
      <c r="A5386" s="4" t="s">
        <v>1</v>
      </c>
      <c r="B5386" s="3" t="str">
        <f>HYPERLINK("https://otsuka-europe-crm.veevavault.com/ui/#object/approved_document__v/V5OZ025E82TFUPI", "Spain - HCP Survey Email - June 2025")</f>
        <v>Spain - HCP Survey Email - June 2025</v>
      </c>
      <c r="C5386" s="3" t="str">
        <f>HYPERLINK("https://otsuka-europe-crm.veevavault.com/ui/#object/sent_email__v/VBLZ025E82GN2DL", "SE-000272545")</f>
        <v>SE-000272545</v>
      </c>
      <c r="D5386" s="1">
        <v>45915.385555555556</v>
      </c>
      <c r="E5386" s="2">
        <v>1</v>
      </c>
      <c r="F5386" s="2">
        <v>2</v>
      </c>
      <c r="G5386" s="2">
        <v>0</v>
      </c>
      <c r="H5386" s="1" t="s">
        <v>0</v>
      </c>
      <c r="I5386" s="2">
        <v>0</v>
      </c>
      <c r="J5386" s="1">
        <v>45915.378032407411</v>
      </c>
    </row>
    <row r="5387" spans="1:10" x14ac:dyDescent="0.2">
      <c r="A5387" s="4" t="s">
        <v>1</v>
      </c>
      <c r="B5387" s="3" t="str">
        <f>HYPERLINK("https://otsuka-europe-crm.veevavault.com/ui/#object/approved_document__v/V5OZ025E82TFUPI", "Spain - HCP Survey Email - June 2025")</f>
        <v>Spain - HCP Survey Email - June 2025</v>
      </c>
      <c r="C5387" s="3" t="str">
        <f>HYPERLINK("https://otsuka-europe-crm.veevavault.com/ui/#object/sent_email__v/VBLZ025E82GN2DM", "SE-000272546")</f>
        <v>SE-000272546</v>
      </c>
      <c r="D5387" s="1" t="s">
        <v>0</v>
      </c>
      <c r="E5387" s="2">
        <v>0</v>
      </c>
      <c r="F5387" s="2">
        <v>0</v>
      </c>
      <c r="G5387" s="2">
        <v>0</v>
      </c>
      <c r="H5387" s="1" t="s">
        <v>0</v>
      </c>
      <c r="I5387" s="2">
        <v>0</v>
      </c>
      <c r="J5387" s="1">
        <v>45915.378240740742</v>
      </c>
    </row>
    <row r="5388" spans="1:10" x14ac:dyDescent="0.2">
      <c r="A5388" s="4" t="s">
        <v>1</v>
      </c>
      <c r="B5388" s="3" t="str">
        <f>HYPERLINK("https://otsuka-europe-crm.veevavault.com/ui/#object/approved_document__v/V5OZ025E82TFUPI", "Spain - HCP Survey Email - June 2025")</f>
        <v>Spain - HCP Survey Email - June 2025</v>
      </c>
      <c r="C5388" s="3" t="str">
        <f>HYPERLINK("https://otsuka-europe-crm.veevavault.com/ui/#object/sent_email__v/VBLZ025E82GN2DN", "SE-000272547")</f>
        <v>SE-000272547</v>
      </c>
      <c r="D5388" s="1">
        <v>45940.024837962963</v>
      </c>
      <c r="E5388" s="2">
        <v>1</v>
      </c>
      <c r="F5388" s="2">
        <v>2</v>
      </c>
      <c r="G5388" s="2">
        <v>0</v>
      </c>
      <c r="H5388" s="1" t="s">
        <v>0</v>
      </c>
      <c r="I5388" s="2">
        <v>0</v>
      </c>
      <c r="J5388" s="1">
        <v>45915.378912037035</v>
      </c>
    </row>
    <row r="5389" spans="1:10" x14ac:dyDescent="0.2">
      <c r="A5389" s="4" t="s">
        <v>1</v>
      </c>
      <c r="B5389" s="3" t="str">
        <f>HYPERLINK("https://otsuka-europe-crm.veevavault.com/ui/#object/approved_document__v/V5OZ025E82TFUPI", "Spain - HCP Survey Email - June 2025")</f>
        <v>Spain - HCP Survey Email - June 2025</v>
      </c>
      <c r="C5389" s="3" t="str">
        <f>HYPERLINK("https://otsuka-europe-crm.veevavault.com/ui/#object/sent_email__v/VBLZ025E82GN2DO", "SE-000272548")</f>
        <v>SE-000272548</v>
      </c>
      <c r="D5389" s="1">
        <v>45915.633379629631</v>
      </c>
      <c r="E5389" s="2">
        <v>1</v>
      </c>
      <c r="F5389" s="2">
        <v>1</v>
      </c>
      <c r="G5389" s="2">
        <v>0</v>
      </c>
      <c r="H5389" s="1" t="s">
        <v>0</v>
      </c>
      <c r="I5389" s="2">
        <v>0</v>
      </c>
      <c r="J5389" s="1">
        <v>45915.379062499997</v>
      </c>
    </row>
    <row r="5390" spans="1:10" x14ac:dyDescent="0.2">
      <c r="A5390" s="4" t="s">
        <v>1</v>
      </c>
      <c r="B5390" s="3" t="str">
        <f>HYPERLINK("https://otsuka-europe-crm.veevavault.com/ui/#object/approved_document__v/V5OZ025E82TFUPI", "Spain - HCP Survey Email - June 2025")</f>
        <v>Spain - HCP Survey Email - June 2025</v>
      </c>
      <c r="C5390" s="3" t="str">
        <f>HYPERLINK("https://otsuka-europe-crm.veevavault.com/ui/#object/sent_email__v/VBLZ025E82GN2DP", "SE-000272549")</f>
        <v>SE-000272549</v>
      </c>
      <c r="D5390" s="1" t="s">
        <v>0</v>
      </c>
      <c r="E5390" s="2">
        <v>0</v>
      </c>
      <c r="F5390" s="2">
        <v>0</v>
      </c>
      <c r="G5390" s="2">
        <v>0</v>
      </c>
      <c r="H5390" s="1" t="s">
        <v>0</v>
      </c>
      <c r="I5390" s="2">
        <v>0</v>
      </c>
      <c r="J5390" s="1">
        <v>45915.377569444441</v>
      </c>
    </row>
    <row r="5391" spans="1:10" x14ac:dyDescent="0.2">
      <c r="A5391" s="4" t="s">
        <v>1</v>
      </c>
      <c r="B5391" s="3" t="str">
        <f>HYPERLINK("https://otsuka-europe-crm.veevavault.com/ui/#object/approved_document__v/V5OZ025E82TFUPI", "Spain - HCP Survey Email - June 2025")</f>
        <v>Spain - HCP Survey Email - June 2025</v>
      </c>
      <c r="C5391" s="3" t="str">
        <f>HYPERLINK("https://otsuka-europe-crm.veevavault.com/ui/#object/sent_email__v/VBLZ025E82GN2DQ", "SE-000272550")</f>
        <v>SE-000272550</v>
      </c>
      <c r="D5391" s="1">
        <v>45915.512731481482</v>
      </c>
      <c r="E5391" s="2">
        <v>1</v>
      </c>
      <c r="F5391" s="2">
        <v>1</v>
      </c>
      <c r="G5391" s="2">
        <v>0</v>
      </c>
      <c r="H5391" s="1" t="s">
        <v>0</v>
      </c>
      <c r="I5391" s="2">
        <v>0</v>
      </c>
      <c r="J5391" s="1">
        <v>45915.377685185187</v>
      </c>
    </row>
    <row r="5392" spans="1:10" x14ac:dyDescent="0.2">
      <c r="A5392" s="4" t="s">
        <v>1</v>
      </c>
      <c r="B5392" s="3" t="str">
        <f>HYPERLINK("https://otsuka-europe-crm.veevavault.com/ui/#object/approved_document__v/V5OZ025E82TFUPI", "Spain - HCP Survey Email - June 2025")</f>
        <v>Spain - HCP Survey Email - June 2025</v>
      </c>
      <c r="C5392" s="3" t="str">
        <f>HYPERLINK("https://otsuka-europe-crm.veevavault.com/ui/#object/sent_email__v/VBLZ025E82GN2DR", "SE-000272551")</f>
        <v>SE-000272551</v>
      </c>
      <c r="D5392" s="1" t="s">
        <v>0</v>
      </c>
      <c r="E5392" s="2">
        <v>0</v>
      </c>
      <c r="F5392" s="2">
        <v>0</v>
      </c>
      <c r="G5392" s="2">
        <v>0</v>
      </c>
      <c r="H5392" s="1" t="s">
        <v>0</v>
      </c>
      <c r="I5392" s="2">
        <v>0</v>
      </c>
      <c r="J5392" s="1">
        <v>45915.378495370373</v>
      </c>
    </row>
    <row r="5393" spans="1:10" x14ac:dyDescent="0.2">
      <c r="A5393" s="4" t="s">
        <v>1</v>
      </c>
      <c r="B5393" s="3" t="str">
        <f>HYPERLINK("https://otsuka-europe-crm.veevavault.com/ui/#object/approved_document__v/V5OZ025E82TFUPI", "Spain - HCP Survey Email - June 2025")</f>
        <v>Spain - HCP Survey Email - June 2025</v>
      </c>
      <c r="C5393" s="3" t="str">
        <f>HYPERLINK("https://otsuka-europe-crm.veevavault.com/ui/#object/sent_email__v/VBLZ025E82GN2DS", "SE-000272552")</f>
        <v>SE-000272552</v>
      </c>
      <c r="D5393" s="1" t="s">
        <v>0</v>
      </c>
      <c r="E5393" s="2">
        <v>0</v>
      </c>
      <c r="F5393" s="2">
        <v>0</v>
      </c>
      <c r="G5393" s="2">
        <v>0</v>
      </c>
      <c r="H5393" s="1" t="s">
        <v>0</v>
      </c>
      <c r="I5393" s="2">
        <v>0</v>
      </c>
      <c r="J5393" s="1">
        <v>45915.378877314812</v>
      </c>
    </row>
    <row r="5394" spans="1:10" x14ac:dyDescent="0.2">
      <c r="A5394" s="4" t="s">
        <v>1</v>
      </c>
      <c r="B5394" s="3" t="str">
        <f>HYPERLINK("https://otsuka-europe-crm.veevavault.com/ui/#object/approved_document__v/V5OZ025E82TFUPI", "Spain - HCP Survey Email - June 2025")</f>
        <v>Spain - HCP Survey Email - June 2025</v>
      </c>
      <c r="C5394" s="3" t="str">
        <f>HYPERLINK("https://otsuka-europe-crm.veevavault.com/ui/#object/sent_email__v/VBLZ025E82GN2DT", "SE-000272553")</f>
        <v>SE-000272553</v>
      </c>
      <c r="D5394" s="1" t="s">
        <v>0</v>
      </c>
      <c r="E5394" s="2">
        <v>0</v>
      </c>
      <c r="F5394" s="2">
        <v>0</v>
      </c>
      <c r="G5394" s="2">
        <v>0</v>
      </c>
      <c r="H5394" s="1" t="s">
        <v>0</v>
      </c>
      <c r="I5394" s="2">
        <v>0</v>
      </c>
      <c r="J5394" s="1">
        <v>45915.379108796296</v>
      </c>
    </row>
    <row r="5395" spans="1:10" x14ac:dyDescent="0.2">
      <c r="A5395" s="4" t="s">
        <v>1</v>
      </c>
      <c r="B5395" s="3" t="str">
        <f>HYPERLINK("https://otsuka-europe-crm.veevavault.com/ui/#object/approved_document__v/V5OZ025E82TFUPI", "Spain - HCP Survey Email - June 2025")</f>
        <v>Spain - HCP Survey Email - June 2025</v>
      </c>
      <c r="C5395" s="3" t="str">
        <f>HYPERLINK("https://otsuka-europe-crm.veevavault.com/ui/#object/sent_email__v/VBLZ025E82GN2DU", "SE-000272554")</f>
        <v>SE-000272554</v>
      </c>
      <c r="D5395" s="1">
        <v>45915.709247685183</v>
      </c>
      <c r="E5395" s="2">
        <v>1</v>
      </c>
      <c r="F5395" s="2">
        <v>1</v>
      </c>
      <c r="G5395" s="2">
        <v>0</v>
      </c>
      <c r="H5395" s="1" t="s">
        <v>0</v>
      </c>
      <c r="I5395" s="2">
        <v>0</v>
      </c>
      <c r="J5395" s="1">
        <v>45915.377546296295</v>
      </c>
    </row>
    <row r="5396" spans="1:10" x14ac:dyDescent="0.2">
      <c r="A5396" s="4" t="s">
        <v>1</v>
      </c>
      <c r="B5396" s="3" t="str">
        <f>HYPERLINK("https://otsuka-europe-crm.veevavault.com/ui/#object/approved_document__v/V5OZ025E82TFUPI", "Spain - HCP Survey Email - June 2025")</f>
        <v>Spain - HCP Survey Email - June 2025</v>
      </c>
      <c r="C5396" s="3" t="str">
        <f>HYPERLINK("https://otsuka-europe-crm.veevavault.com/ui/#object/sent_email__v/VBLZ025E82GN2DV", "SE-000272555")</f>
        <v>SE-000272555</v>
      </c>
      <c r="D5396" s="1">
        <v>45926.730740740742</v>
      </c>
      <c r="E5396" s="2">
        <v>1</v>
      </c>
      <c r="F5396" s="2">
        <v>2</v>
      </c>
      <c r="G5396" s="2">
        <v>0</v>
      </c>
      <c r="H5396" s="1" t="s">
        <v>0</v>
      </c>
      <c r="I5396" s="2">
        <v>0</v>
      </c>
      <c r="J5396" s="1">
        <v>45915.377685185187</v>
      </c>
    </row>
    <row r="5397" spans="1:10" x14ac:dyDescent="0.2">
      <c r="A5397" s="4" t="s">
        <v>1</v>
      </c>
      <c r="B5397" s="3" t="str">
        <f>HYPERLINK("https://otsuka-europe-crm.veevavault.com/ui/#object/approved_document__v/V5OZ025E82TFUPI", "Spain - HCP Survey Email - June 2025")</f>
        <v>Spain - HCP Survey Email - June 2025</v>
      </c>
      <c r="C5397" s="3" t="str">
        <f>HYPERLINK("https://otsuka-europe-crm.veevavault.com/ui/#object/sent_email__v/VBLZ025E82GN2DW", "SE-000272556")</f>
        <v>SE-000272556</v>
      </c>
      <c r="D5397" s="1">
        <v>45915.442974537036</v>
      </c>
      <c r="E5397" s="2">
        <v>1</v>
      </c>
      <c r="F5397" s="2">
        <v>2</v>
      </c>
      <c r="G5397" s="2">
        <v>0</v>
      </c>
      <c r="H5397" s="1" t="s">
        <v>0</v>
      </c>
      <c r="I5397" s="2">
        <v>0</v>
      </c>
      <c r="J5397" s="1">
        <v>45915.378495370373</v>
      </c>
    </row>
    <row r="5398" spans="1:10" x14ac:dyDescent="0.2">
      <c r="A5398" s="4" t="s">
        <v>1</v>
      </c>
      <c r="B5398" s="3" t="str">
        <f>HYPERLINK("https://otsuka-europe-crm.veevavault.com/ui/#object/approved_document__v/V5OZ025E82TFUPI", "Spain - HCP Survey Email - June 2025")</f>
        <v>Spain - HCP Survey Email - June 2025</v>
      </c>
      <c r="C5398" s="3" t="str">
        <f>HYPERLINK("https://otsuka-europe-crm.veevavault.com/ui/#object/sent_email__v/VBLZ025E82GN2DX", "SE-000272557")</f>
        <v>SE-000272557</v>
      </c>
      <c r="D5398" s="1">
        <v>45915.444780092592</v>
      </c>
      <c r="E5398" s="2">
        <v>1</v>
      </c>
      <c r="F5398" s="2">
        <v>1</v>
      </c>
      <c r="G5398" s="2">
        <v>1</v>
      </c>
      <c r="H5398" s="1">
        <v>45915.444976851853</v>
      </c>
      <c r="I5398" s="2">
        <v>1</v>
      </c>
      <c r="J5398" s="1">
        <v>45915.378599537034</v>
      </c>
    </row>
    <row r="5399" spans="1:10" x14ac:dyDescent="0.2">
      <c r="A5399" s="4" t="s">
        <v>1</v>
      </c>
      <c r="B5399" s="3" t="str">
        <f>HYPERLINK("https://otsuka-europe-crm.veevavault.com/ui/#object/approved_document__v/V5OZ025E82TFUPI", "Spain - HCP Survey Email - June 2025")</f>
        <v>Spain - HCP Survey Email - June 2025</v>
      </c>
      <c r="C5399" s="3" t="str">
        <f>HYPERLINK("https://otsuka-europe-crm.veevavault.com/ui/#object/sent_email__v/VBLZ025E82GN2DY", "SE-000272558")</f>
        <v>SE-000272558</v>
      </c>
      <c r="D5399" s="1">
        <v>45948.917442129627</v>
      </c>
      <c r="E5399" s="2">
        <v>1</v>
      </c>
      <c r="F5399" s="2">
        <v>3</v>
      </c>
      <c r="G5399" s="2">
        <v>0</v>
      </c>
      <c r="H5399" s="1" t="s">
        <v>0</v>
      </c>
      <c r="I5399" s="2">
        <v>0</v>
      </c>
      <c r="J5399" s="1">
        <v>45915.379444444443</v>
      </c>
    </row>
    <row r="5400" spans="1:10" x14ac:dyDescent="0.2">
      <c r="A5400" s="4" t="s">
        <v>1</v>
      </c>
      <c r="B5400" s="3" t="str">
        <f>HYPERLINK("https://otsuka-europe-crm.veevavault.com/ui/#object/approved_document__v/V5OZ025E82TFUPI", "Spain - HCP Survey Email - June 2025")</f>
        <v>Spain - HCP Survey Email - June 2025</v>
      </c>
      <c r="C5400" s="3" t="str">
        <f>HYPERLINK("https://otsuka-europe-crm.veevavault.com/ui/#object/sent_email__v/VBLZ025E82GN2DZ", "SE-000272559")</f>
        <v>SE-000272559</v>
      </c>
      <c r="D5400" s="1" t="s">
        <v>0</v>
      </c>
      <c r="E5400" s="2">
        <v>0</v>
      </c>
      <c r="F5400" s="2">
        <v>0</v>
      </c>
      <c r="G5400" s="2">
        <v>0</v>
      </c>
      <c r="H5400" s="1" t="s">
        <v>0</v>
      </c>
      <c r="I5400" s="2">
        <v>0</v>
      </c>
      <c r="J5400" s="1">
        <v>45915.379803240743</v>
      </c>
    </row>
    <row r="5401" spans="1:10" x14ac:dyDescent="0.2">
      <c r="A5401" s="4" t="s">
        <v>1</v>
      </c>
      <c r="B5401" s="3" t="str">
        <f>HYPERLINK("https://otsuka-europe-crm.veevavault.com/ui/#object/approved_document__v/V5OZ025E82TFUPI", "Spain - HCP Survey Email - June 2025")</f>
        <v>Spain - HCP Survey Email - June 2025</v>
      </c>
      <c r="C5401" s="3" t="str">
        <f>HYPERLINK("https://otsuka-europe-crm.veevavault.com/ui/#object/sent_email__v/VBLZ025E82GN2E0", "SE-000272560")</f>
        <v>SE-000272560</v>
      </c>
      <c r="D5401" s="1">
        <v>45916.505358796298</v>
      </c>
      <c r="E5401" s="2">
        <v>1</v>
      </c>
      <c r="F5401" s="2">
        <v>1</v>
      </c>
      <c r="G5401" s="2">
        <v>0</v>
      </c>
      <c r="H5401" s="1" t="s">
        <v>0</v>
      </c>
      <c r="I5401" s="2">
        <v>0</v>
      </c>
      <c r="J5401" s="1">
        <v>45915.377442129633</v>
      </c>
    </row>
    <row r="5402" spans="1:10" x14ac:dyDescent="0.2">
      <c r="A5402" s="4" t="s">
        <v>1</v>
      </c>
      <c r="B5402" s="3" t="str">
        <f>HYPERLINK("https://otsuka-europe-crm.veevavault.com/ui/#object/approved_document__v/V5OZ025E82TFUPI", "Spain - HCP Survey Email - June 2025")</f>
        <v>Spain - HCP Survey Email - June 2025</v>
      </c>
      <c r="C5402" s="3" t="str">
        <f>HYPERLINK("https://otsuka-europe-crm.veevavault.com/ui/#object/sent_email__v/VBLZ025E82GN2E1", "SE-000272561")</f>
        <v>SE-000272561</v>
      </c>
      <c r="D5402" s="1" t="s">
        <v>0</v>
      </c>
      <c r="E5402" s="2">
        <v>0</v>
      </c>
      <c r="F5402" s="2">
        <v>0</v>
      </c>
      <c r="G5402" s="2">
        <v>0</v>
      </c>
      <c r="H5402" s="1" t="s">
        <v>0</v>
      </c>
      <c r="I5402" s="2">
        <v>0</v>
      </c>
      <c r="J5402" s="1">
        <v>45915.37804398148</v>
      </c>
    </row>
    <row r="5403" spans="1:10" x14ac:dyDescent="0.2">
      <c r="A5403" s="4" t="s">
        <v>1</v>
      </c>
      <c r="B5403" s="3" t="str">
        <f>HYPERLINK("https://otsuka-europe-crm.veevavault.com/ui/#object/approved_document__v/V5OZ025E82TFUPI", "Spain - HCP Survey Email - June 2025")</f>
        <v>Spain - HCP Survey Email - June 2025</v>
      </c>
      <c r="C5403" s="3" t="str">
        <f>HYPERLINK("https://otsuka-europe-crm.veevavault.com/ui/#object/sent_email__v/VBLZ025E82GN2E2", "SE-000272562")</f>
        <v>SE-000272562</v>
      </c>
      <c r="D5403" s="1" t="s">
        <v>0</v>
      </c>
      <c r="E5403" s="2">
        <v>0</v>
      </c>
      <c r="F5403" s="2">
        <v>0</v>
      </c>
      <c r="G5403" s="2">
        <v>0</v>
      </c>
      <c r="H5403" s="1" t="s">
        <v>0</v>
      </c>
      <c r="I5403" s="2">
        <v>0</v>
      </c>
      <c r="J5403" s="1">
        <v>45915.378229166665</v>
      </c>
    </row>
    <row r="5404" spans="1:10" x14ac:dyDescent="0.2">
      <c r="A5404" s="4" t="s">
        <v>1</v>
      </c>
      <c r="B5404" s="3" t="str">
        <f>HYPERLINK("https://otsuka-europe-crm.veevavault.com/ui/#object/approved_document__v/V5OZ025E82TFUPI", "Spain - HCP Survey Email - June 2025")</f>
        <v>Spain - HCP Survey Email - June 2025</v>
      </c>
      <c r="C5404" s="3" t="str">
        <f>HYPERLINK("https://otsuka-europe-crm.veevavault.com/ui/#object/sent_email__v/VBLZ025E82GN2E3", "SE-000272563")</f>
        <v>SE-000272563</v>
      </c>
      <c r="D5404" s="1" t="s">
        <v>0</v>
      </c>
      <c r="E5404" s="2">
        <v>0</v>
      </c>
      <c r="F5404" s="2">
        <v>0</v>
      </c>
      <c r="G5404" s="2">
        <v>0</v>
      </c>
      <c r="H5404" s="1" t="s">
        <v>0</v>
      </c>
      <c r="I5404" s="2">
        <v>0</v>
      </c>
      <c r="J5404" s="1">
        <v>45915.378958333335</v>
      </c>
    </row>
    <row r="5405" spans="1:10" x14ac:dyDescent="0.2">
      <c r="A5405" s="4" t="s">
        <v>1</v>
      </c>
      <c r="B5405" s="3" t="str">
        <f>HYPERLINK("https://otsuka-europe-crm.veevavault.com/ui/#object/approved_document__v/V5OZ025E82TFUPI", "Spain - HCP Survey Email - June 2025")</f>
        <v>Spain - HCP Survey Email - June 2025</v>
      </c>
      <c r="C5405" s="3" t="str">
        <f>HYPERLINK("https://otsuka-europe-crm.veevavault.com/ui/#object/sent_email__v/VBLZ025E82GN2E4", "SE-000272564")</f>
        <v>SE-000272564</v>
      </c>
      <c r="D5405" s="1">
        <v>45918.641284722224</v>
      </c>
      <c r="E5405" s="2">
        <v>1</v>
      </c>
      <c r="F5405" s="2">
        <v>3</v>
      </c>
      <c r="G5405" s="2">
        <v>0</v>
      </c>
      <c r="H5405" s="1" t="s">
        <v>0</v>
      </c>
      <c r="I5405" s="2">
        <v>0</v>
      </c>
      <c r="J5405" s="1">
        <v>45915.379143518519</v>
      </c>
    </row>
    <row r="5406" spans="1:10" x14ac:dyDescent="0.2">
      <c r="A5406" s="4" t="s">
        <v>1</v>
      </c>
      <c r="B5406" s="3" t="str">
        <f>HYPERLINK("https://otsuka-europe-crm.veevavault.com/ui/#object/approved_document__v/V5OZ025E82TFUPI", "Spain - HCP Survey Email - June 2025")</f>
        <v>Spain - HCP Survey Email - June 2025</v>
      </c>
      <c r="C5406" s="3" t="str">
        <f>HYPERLINK("https://otsuka-europe-crm.veevavault.com/ui/#object/sent_email__v/VBLZ025E82GN2E5", "SE-000272565")</f>
        <v>SE-000272565</v>
      </c>
      <c r="D5406" s="1" t="s">
        <v>0</v>
      </c>
      <c r="E5406" s="2">
        <v>0</v>
      </c>
      <c r="F5406" s="2">
        <v>0</v>
      </c>
      <c r="G5406" s="2">
        <v>0</v>
      </c>
      <c r="H5406" s="1" t="s">
        <v>0</v>
      </c>
      <c r="I5406" s="2">
        <v>0</v>
      </c>
      <c r="J5406" s="1">
        <v>45915.377604166664</v>
      </c>
    </row>
    <row r="5407" spans="1:10" x14ac:dyDescent="0.2">
      <c r="A5407" s="4" t="s">
        <v>1</v>
      </c>
      <c r="B5407" s="3" t="str">
        <f>HYPERLINK("https://otsuka-europe-crm.veevavault.com/ui/#object/approved_document__v/V5OZ025E82TFUPI", "Spain - HCP Survey Email - June 2025")</f>
        <v>Spain - HCP Survey Email - June 2025</v>
      </c>
      <c r="C5407" s="3" t="str">
        <f>HYPERLINK("https://otsuka-europe-crm.veevavault.com/ui/#object/sent_email__v/VBLZ025E82GN2E6", "SE-000272566")</f>
        <v>SE-000272566</v>
      </c>
      <c r="D5407" s="1">
        <v>46031.636203703703</v>
      </c>
      <c r="E5407" s="2">
        <v>1</v>
      </c>
      <c r="F5407" s="2">
        <v>2</v>
      </c>
      <c r="G5407" s="2">
        <v>0</v>
      </c>
      <c r="H5407" s="1" t="s">
        <v>0</v>
      </c>
      <c r="I5407" s="2">
        <v>0</v>
      </c>
      <c r="J5407" s="1">
        <v>45915.377766203703</v>
      </c>
    </row>
    <row r="5408" spans="1:10" x14ac:dyDescent="0.2">
      <c r="A5408" s="4" t="s">
        <v>1</v>
      </c>
      <c r="B5408" s="3" t="str">
        <f>HYPERLINK("https://otsuka-europe-crm.veevavault.com/ui/#object/approved_document__v/V5OZ025E82TFUPI", "Spain - HCP Survey Email - June 2025")</f>
        <v>Spain - HCP Survey Email - June 2025</v>
      </c>
      <c r="C5408" s="3" t="str">
        <f>HYPERLINK("https://otsuka-europe-crm.veevavault.com/ui/#object/sent_email__v/VBLZ025E82GN2E7", "SE-000272567")</f>
        <v>SE-000272567</v>
      </c>
      <c r="D5408" s="1" t="s">
        <v>0</v>
      </c>
      <c r="E5408" s="2">
        <v>0</v>
      </c>
      <c r="F5408" s="2">
        <v>0</v>
      </c>
      <c r="G5408" s="2">
        <v>0</v>
      </c>
      <c r="H5408" s="1" t="s">
        <v>0</v>
      </c>
      <c r="I5408" s="2">
        <v>0</v>
      </c>
      <c r="J5408" s="1">
        <v>45915.37840277778</v>
      </c>
    </row>
    <row r="5409" spans="1:10" x14ac:dyDescent="0.2">
      <c r="A5409" s="4" t="s">
        <v>1</v>
      </c>
      <c r="B5409" s="3" t="str">
        <f>HYPERLINK("https://otsuka-europe-crm.veevavault.com/ui/#object/approved_document__v/V5OZ025E82TFUPI", "Spain - HCP Survey Email - June 2025")</f>
        <v>Spain - HCP Survey Email - June 2025</v>
      </c>
      <c r="C5409" s="3" t="str">
        <f>HYPERLINK("https://otsuka-europe-crm.veevavault.com/ui/#object/sent_email__v/VBLZ025E82GN2E8", "SE-000272568")</f>
        <v>SE-000272568</v>
      </c>
      <c r="D5409" s="1" t="s">
        <v>0</v>
      </c>
      <c r="E5409" s="2">
        <v>0</v>
      </c>
      <c r="F5409" s="2">
        <v>0</v>
      </c>
      <c r="G5409" s="2">
        <v>0</v>
      </c>
      <c r="H5409" s="1" t="s">
        <v>0</v>
      </c>
      <c r="I5409" s="2">
        <v>0</v>
      </c>
      <c r="J5409" s="1">
        <v>45915.378518518519</v>
      </c>
    </row>
    <row r="5410" spans="1:10" x14ac:dyDescent="0.2">
      <c r="A5410" s="4" t="s">
        <v>1</v>
      </c>
      <c r="B5410" s="3" t="str">
        <f>HYPERLINK("https://otsuka-europe-crm.veevavault.com/ui/#object/approved_document__v/V5OZ025E82TFUPI", "Spain - HCP Survey Email - June 2025")</f>
        <v>Spain - HCP Survey Email - June 2025</v>
      </c>
      <c r="C5410" s="3" t="str">
        <f>HYPERLINK("https://otsuka-europe-crm.veevavault.com/ui/#object/sent_email__v/VBLZ025E82GN2E9", "SE-000272569")</f>
        <v>SE-000272569</v>
      </c>
      <c r="D5410" s="1">
        <v>45916.673437500001</v>
      </c>
      <c r="E5410" s="2">
        <v>1</v>
      </c>
      <c r="F5410" s="2">
        <v>4</v>
      </c>
      <c r="G5410" s="2">
        <v>0</v>
      </c>
      <c r="H5410" s="1" t="s">
        <v>0</v>
      </c>
      <c r="I5410" s="2">
        <v>0</v>
      </c>
      <c r="J5410" s="1">
        <v>45915.379479166666</v>
      </c>
    </row>
    <row r="5411" spans="1:10" x14ac:dyDescent="0.2">
      <c r="A5411" s="4" t="s">
        <v>1</v>
      </c>
      <c r="B5411" s="3" t="str">
        <f>HYPERLINK("https://otsuka-europe-crm.veevavault.com/ui/#object/approved_document__v/V5OZ025E82TFUPI", "Spain - HCP Survey Email - June 2025")</f>
        <v>Spain - HCP Survey Email - June 2025</v>
      </c>
      <c r="C5411" s="3" t="str">
        <f>HYPERLINK("https://otsuka-europe-crm.veevavault.com/ui/#object/sent_email__v/VBLZ025E82GN2EA", "SE-000272570")</f>
        <v>SE-000272570</v>
      </c>
      <c r="D5411" s="1" t="s">
        <v>0</v>
      </c>
      <c r="E5411" s="2">
        <v>0</v>
      </c>
      <c r="F5411" s="2">
        <v>0</v>
      </c>
      <c r="G5411" s="2">
        <v>0</v>
      </c>
      <c r="H5411" s="1" t="s">
        <v>0</v>
      </c>
      <c r="I5411" s="2">
        <v>0</v>
      </c>
      <c r="J5411" s="1">
        <v>45915.379745370374</v>
      </c>
    </row>
    <row r="5412" spans="1:10" x14ac:dyDescent="0.2">
      <c r="A5412" s="4" t="s">
        <v>1</v>
      </c>
      <c r="B5412" s="3" t="str">
        <f>HYPERLINK("https://otsuka-europe-crm.veevavault.com/ui/#object/approved_document__v/V5OZ025E82TFUPI", "Spain - HCP Survey Email - June 2025")</f>
        <v>Spain - HCP Survey Email - June 2025</v>
      </c>
      <c r="C5412" s="3" t="str">
        <f>HYPERLINK("https://otsuka-europe-crm.veevavault.com/ui/#object/sent_email__v/VBLZ025E82GN2EB", "SE-000272571")</f>
        <v>SE-000272571</v>
      </c>
      <c r="D5412" s="1">
        <v>45917.714699074073</v>
      </c>
      <c r="E5412" s="2">
        <v>1</v>
      </c>
      <c r="F5412" s="2">
        <v>3</v>
      </c>
      <c r="G5412" s="2">
        <v>0</v>
      </c>
      <c r="H5412" s="1" t="s">
        <v>0</v>
      </c>
      <c r="I5412" s="2">
        <v>0</v>
      </c>
      <c r="J5412" s="1">
        <v>45915.37740740741</v>
      </c>
    </row>
    <row r="5413" spans="1:10" x14ac:dyDescent="0.2">
      <c r="A5413" s="4" t="s">
        <v>1</v>
      </c>
      <c r="B5413" s="3" t="str">
        <f>HYPERLINK("https://otsuka-europe-crm.veevavault.com/ui/#object/approved_document__v/V5OZ025E82TFUPI", "Spain - HCP Survey Email - June 2025")</f>
        <v>Spain - HCP Survey Email - June 2025</v>
      </c>
      <c r="C5413" s="3" t="str">
        <f>HYPERLINK("https://otsuka-europe-crm.veevavault.com/ui/#object/sent_email__v/VBLZ025E82GN2EC", "SE-000272572")</f>
        <v>SE-000272572</v>
      </c>
      <c r="D5413" s="1" t="s">
        <v>0</v>
      </c>
      <c r="E5413" s="2">
        <v>0</v>
      </c>
      <c r="F5413" s="2">
        <v>0</v>
      </c>
      <c r="G5413" s="2">
        <v>0</v>
      </c>
      <c r="H5413" s="1" t="s">
        <v>0</v>
      </c>
      <c r="I5413" s="2">
        <v>0</v>
      </c>
      <c r="J5413" s="1">
        <v>45915.378020833334</v>
      </c>
    </row>
    <row r="5414" spans="1:10" x14ac:dyDescent="0.2">
      <c r="A5414" s="4" t="s">
        <v>1</v>
      </c>
      <c r="B5414" s="3" t="str">
        <f>HYPERLINK("https://otsuka-europe-crm.veevavault.com/ui/#object/approved_document__v/V5OZ025E82TFUPI", "Spain - HCP Survey Email - June 2025")</f>
        <v>Spain - HCP Survey Email - June 2025</v>
      </c>
      <c r="C5414" s="3" t="str">
        <f>HYPERLINK("https://otsuka-europe-crm.veevavault.com/ui/#object/sent_email__v/VBLZ025E82GN2ED", "SE-000272573")</f>
        <v>SE-000272573</v>
      </c>
      <c r="D5414" s="1" t="s">
        <v>0</v>
      </c>
      <c r="E5414" s="2">
        <v>0</v>
      </c>
      <c r="F5414" s="2">
        <v>0</v>
      </c>
      <c r="G5414" s="2">
        <v>0</v>
      </c>
      <c r="H5414" s="1" t="s">
        <v>0</v>
      </c>
      <c r="I5414" s="2">
        <v>0</v>
      </c>
      <c r="J5414" s="1">
        <v>45915.378275462965</v>
      </c>
    </row>
    <row r="5415" spans="1:10" x14ac:dyDescent="0.2">
      <c r="A5415" s="4" t="s">
        <v>1</v>
      </c>
      <c r="B5415" s="3" t="str">
        <f>HYPERLINK("https://otsuka-europe-crm.veevavault.com/ui/#object/approved_document__v/V5OZ025E82TFUPI", "Spain - HCP Survey Email - June 2025")</f>
        <v>Spain - HCP Survey Email - June 2025</v>
      </c>
      <c r="C5415" s="3" t="str">
        <f>HYPERLINK("https://otsuka-europe-crm.veevavault.com/ui/#object/sent_email__v/VBLZ025E82GN2EE", "SE-000272574")</f>
        <v>SE-000272574</v>
      </c>
      <c r="D5415" s="1">
        <v>45915.381620370368</v>
      </c>
      <c r="E5415" s="2">
        <v>1</v>
      </c>
      <c r="F5415" s="2">
        <v>1</v>
      </c>
      <c r="G5415" s="2">
        <v>0</v>
      </c>
      <c r="H5415" s="1" t="s">
        <v>0</v>
      </c>
      <c r="I5415" s="2">
        <v>0</v>
      </c>
      <c r="J5415" s="1">
        <v>45915.378958333335</v>
      </c>
    </row>
    <row r="5416" spans="1:10" x14ac:dyDescent="0.2">
      <c r="A5416" s="4" t="s">
        <v>1</v>
      </c>
      <c r="B5416" s="3" t="str">
        <f>HYPERLINK("https://otsuka-europe-crm.veevavault.com/ui/#object/approved_document__v/V5OZ025E82TFUPI", "Spain - HCP Survey Email - June 2025")</f>
        <v>Spain - HCP Survey Email - June 2025</v>
      </c>
      <c r="C5416" s="3" t="str">
        <f>HYPERLINK("https://otsuka-europe-crm.veevavault.com/ui/#object/sent_email__v/VBLZ025E82GN2EF", "SE-000272575")</f>
        <v>SE-000272575</v>
      </c>
      <c r="D5416" s="1">
        <v>45915.404444444444</v>
      </c>
      <c r="E5416" s="2">
        <v>1</v>
      </c>
      <c r="F5416" s="2">
        <v>1</v>
      </c>
      <c r="G5416" s="2">
        <v>1</v>
      </c>
      <c r="H5416" s="1">
        <v>45915.404444444444</v>
      </c>
      <c r="I5416" s="2">
        <v>1</v>
      </c>
      <c r="J5416" s="1">
        <v>45915.379108796296</v>
      </c>
    </row>
    <row r="5417" spans="1:10" x14ac:dyDescent="0.2">
      <c r="A5417" s="4" t="s">
        <v>1</v>
      </c>
      <c r="B5417" s="3" t="str">
        <f>HYPERLINK("https://otsuka-europe-crm.veevavault.com/ui/#object/approved_document__v/V5OZ025E82TFUPI", "Spain - HCP Survey Email - June 2025")</f>
        <v>Spain - HCP Survey Email - June 2025</v>
      </c>
      <c r="C5417" s="3" t="str">
        <f>HYPERLINK("https://otsuka-europe-crm.veevavault.com/ui/#object/sent_email__v/VBLZ025E82GN2EG", "SE-000272576")</f>
        <v>SE-000272576</v>
      </c>
      <c r="D5417" s="1" t="s">
        <v>0</v>
      </c>
      <c r="E5417" s="2">
        <v>0</v>
      </c>
      <c r="F5417" s="2">
        <v>0</v>
      </c>
      <c r="G5417" s="2">
        <v>0</v>
      </c>
      <c r="H5417" s="1" t="s">
        <v>0</v>
      </c>
      <c r="I5417" s="2">
        <v>0</v>
      </c>
      <c r="J5417" s="1">
        <v>45915.377615740741</v>
      </c>
    </row>
    <row r="5418" spans="1:10" x14ac:dyDescent="0.2">
      <c r="A5418" s="4" t="s">
        <v>1</v>
      </c>
      <c r="B5418" s="3" t="str">
        <f>HYPERLINK("https://otsuka-europe-crm.veevavault.com/ui/#object/approved_document__v/V5OZ025E82TFUPI", "Spain - HCP Survey Email - June 2025")</f>
        <v>Spain - HCP Survey Email - June 2025</v>
      </c>
      <c r="C5418" s="3" t="str">
        <f>HYPERLINK("https://otsuka-europe-crm.veevavault.com/ui/#object/sent_email__v/VBLZ025E82GN2EH", "SE-000272577")</f>
        <v>SE-000272577</v>
      </c>
      <c r="D5418" s="1" t="s">
        <v>0</v>
      </c>
      <c r="E5418" s="2">
        <v>0</v>
      </c>
      <c r="F5418" s="2">
        <v>0</v>
      </c>
      <c r="G5418" s="2">
        <v>0</v>
      </c>
      <c r="H5418" s="1" t="s">
        <v>0</v>
      </c>
      <c r="I5418" s="2">
        <v>0</v>
      </c>
      <c r="J5418" s="1">
        <v>45912.702824074076</v>
      </c>
    </row>
    <row r="5419" spans="1:10" x14ac:dyDescent="0.2">
      <c r="A5419" s="4" t="s">
        <v>1</v>
      </c>
      <c r="B5419" s="3" t="str">
        <f>HYPERLINK("https://otsuka-europe-crm.veevavault.com/ui/#object/approved_document__v/V5OZ025E82TFUPI", "Spain - HCP Survey Email - June 2025")</f>
        <v>Spain - HCP Survey Email - June 2025</v>
      </c>
      <c r="C5419" s="3" t="str">
        <f>HYPERLINK("https://otsuka-europe-crm.veevavault.com/ui/#object/sent_email__v/VBLZ025E82GN2EI", "SE-000272578")</f>
        <v>SE-000272578</v>
      </c>
      <c r="D5419" s="1" t="s">
        <v>0</v>
      </c>
      <c r="E5419" s="2">
        <v>0</v>
      </c>
      <c r="F5419" s="2">
        <v>0</v>
      </c>
      <c r="G5419" s="2">
        <v>0</v>
      </c>
      <c r="H5419" s="1" t="s">
        <v>0</v>
      </c>
      <c r="I5419" s="2">
        <v>0</v>
      </c>
      <c r="J5419" s="1">
        <v>45915.378472222219</v>
      </c>
    </row>
    <row r="5420" spans="1:10" x14ac:dyDescent="0.2">
      <c r="A5420" s="4" t="s">
        <v>1</v>
      </c>
      <c r="B5420" s="3" t="str">
        <f>HYPERLINK("https://otsuka-europe-crm.veevavault.com/ui/#object/approved_document__v/V5OZ025E82TFUPI", "Spain - HCP Survey Email - June 2025")</f>
        <v>Spain - HCP Survey Email - June 2025</v>
      </c>
      <c r="C5420" s="3" t="str">
        <f>HYPERLINK("https://otsuka-europe-crm.veevavault.com/ui/#object/sent_email__v/VBLZ025E82GN2EJ", "SE-000272579")</f>
        <v>SE-000272579</v>
      </c>
      <c r="D5420" s="1" t="s">
        <v>0</v>
      </c>
      <c r="E5420" s="2">
        <v>0</v>
      </c>
      <c r="F5420" s="2">
        <v>0</v>
      </c>
      <c r="G5420" s="2">
        <v>0</v>
      </c>
      <c r="H5420" s="1" t="s">
        <v>0</v>
      </c>
      <c r="I5420" s="2">
        <v>0</v>
      </c>
      <c r="J5420" s="1">
        <v>45915.378645833334</v>
      </c>
    </row>
    <row r="5421" spans="1:10" x14ac:dyDescent="0.2">
      <c r="A5421" s="4" t="s">
        <v>1</v>
      </c>
      <c r="B5421" s="3" t="str">
        <f>HYPERLINK("https://otsuka-europe-crm.veevavault.com/ui/#object/approved_document__v/V5OZ025E82TFUPI", "Spain - HCP Survey Email - June 2025")</f>
        <v>Spain - HCP Survey Email - June 2025</v>
      </c>
      <c r="C5421" s="3" t="str">
        <f>HYPERLINK("https://otsuka-europe-crm.veevavault.com/ui/#object/sent_email__v/VBLZ025E82GN2EK", "SE-000272580")</f>
        <v>SE-000272580</v>
      </c>
      <c r="D5421" s="1" t="s">
        <v>0</v>
      </c>
      <c r="E5421" s="2">
        <v>0</v>
      </c>
      <c r="F5421" s="2">
        <v>0</v>
      </c>
      <c r="G5421" s="2">
        <v>0</v>
      </c>
      <c r="H5421" s="1" t="s">
        <v>0</v>
      </c>
      <c r="I5421" s="2">
        <v>0</v>
      </c>
      <c r="J5421" s="1">
        <v>45915.379479166666</v>
      </c>
    </row>
    <row r="5422" spans="1:10" x14ac:dyDescent="0.2">
      <c r="A5422" s="4" t="s">
        <v>1</v>
      </c>
      <c r="B5422" s="3" t="str">
        <f>HYPERLINK("https://otsuka-europe-crm.veevavault.com/ui/#object/approved_document__v/V5OZ025E82TFUPI", "Spain - HCP Survey Email - June 2025")</f>
        <v>Spain - HCP Survey Email - June 2025</v>
      </c>
      <c r="C5422" s="3" t="str">
        <f>HYPERLINK("https://otsuka-europe-crm.veevavault.com/ui/#object/sent_email__v/VBLZ025E82GN2EL", "SE-000272581")</f>
        <v>SE-000272581</v>
      </c>
      <c r="D5422" s="1" t="s">
        <v>0</v>
      </c>
      <c r="E5422" s="2">
        <v>0</v>
      </c>
      <c r="F5422" s="2">
        <v>0</v>
      </c>
      <c r="G5422" s="2">
        <v>0</v>
      </c>
      <c r="H5422" s="1" t="s">
        <v>0</v>
      </c>
      <c r="I5422" s="2">
        <v>0</v>
      </c>
      <c r="J5422" s="1">
        <v>45915.379699074074</v>
      </c>
    </row>
    <row r="5423" spans="1:10" x14ac:dyDescent="0.2">
      <c r="A5423" s="4" t="s">
        <v>1</v>
      </c>
      <c r="B5423" s="3" t="str">
        <f>HYPERLINK("https://otsuka-europe-crm.veevavault.com/ui/#object/approved_document__v/V5OZ025E82TFUPI", "Spain - HCP Survey Email - June 2025")</f>
        <v>Spain - HCP Survey Email - June 2025</v>
      </c>
      <c r="C5423" s="3" t="str">
        <f>HYPERLINK("https://otsuka-europe-crm.veevavault.com/ui/#object/sent_email__v/VBLZ025E82GN2EM", "SE-000272582")</f>
        <v>SE-000272582</v>
      </c>
      <c r="D5423" s="1" t="s">
        <v>0</v>
      </c>
      <c r="E5423" s="2">
        <v>0</v>
      </c>
      <c r="F5423" s="2">
        <v>0</v>
      </c>
      <c r="G5423" s="2">
        <v>0</v>
      </c>
      <c r="H5423" s="1" t="s">
        <v>0</v>
      </c>
      <c r="I5423" s="2">
        <v>0</v>
      </c>
      <c r="J5423" s="1">
        <v>45915.377372685187</v>
      </c>
    </row>
    <row r="5424" spans="1:10" x14ac:dyDescent="0.2">
      <c r="A5424" s="4" t="s">
        <v>1</v>
      </c>
      <c r="B5424" s="3" t="str">
        <f>HYPERLINK("https://otsuka-europe-crm.veevavault.com/ui/#object/approved_document__v/V5OZ025E82TFUPI", "Spain - HCP Survey Email - June 2025")</f>
        <v>Spain - HCP Survey Email - June 2025</v>
      </c>
      <c r="C5424" s="3" t="str">
        <f>HYPERLINK("https://otsuka-europe-crm.veevavault.com/ui/#object/sent_email__v/VBLZ025E82GN2EN", "SE-000272583")</f>
        <v>SE-000272583</v>
      </c>
      <c r="D5424" s="1">
        <v>45915.877152777779</v>
      </c>
      <c r="E5424" s="2">
        <v>1</v>
      </c>
      <c r="F5424" s="2">
        <v>2</v>
      </c>
      <c r="G5424" s="2">
        <v>0</v>
      </c>
      <c r="H5424" s="1" t="s">
        <v>0</v>
      </c>
      <c r="I5424" s="2">
        <v>0</v>
      </c>
      <c r="J5424" s="1">
        <v>45915.37804398148</v>
      </c>
    </row>
    <row r="5425" spans="1:10" x14ac:dyDescent="0.2">
      <c r="A5425" s="4" t="s">
        <v>1</v>
      </c>
      <c r="B5425" s="3" t="str">
        <f>HYPERLINK("https://otsuka-europe-crm.veevavault.com/ui/#object/approved_document__v/V5OZ025E82TFUPI", "Spain - HCP Survey Email - June 2025")</f>
        <v>Spain - HCP Survey Email - June 2025</v>
      </c>
      <c r="C5425" s="3" t="str">
        <f>HYPERLINK("https://otsuka-europe-crm.veevavault.com/ui/#object/sent_email__v/VBLZ025E82GN2EO", "SE-000272584")</f>
        <v>SE-000272584</v>
      </c>
      <c r="D5425" s="1">
        <v>45915.397048611114</v>
      </c>
      <c r="E5425" s="2">
        <v>1</v>
      </c>
      <c r="F5425" s="2">
        <v>1</v>
      </c>
      <c r="G5425" s="2">
        <v>0</v>
      </c>
      <c r="H5425" s="1" t="s">
        <v>0</v>
      </c>
      <c r="I5425" s="2">
        <v>0</v>
      </c>
      <c r="J5425" s="1">
        <v>45915.378217592595</v>
      </c>
    </row>
    <row r="5426" spans="1:10" x14ac:dyDescent="0.2">
      <c r="A5426" s="4" t="s">
        <v>1</v>
      </c>
      <c r="B5426" s="3" t="str">
        <f>HYPERLINK("https://otsuka-europe-crm.veevavault.com/ui/#object/approved_document__v/V5OZ025E82TFUPI", "Spain - HCP Survey Email - June 2025")</f>
        <v>Spain - HCP Survey Email - June 2025</v>
      </c>
      <c r="C5426" s="3" t="str">
        <f>HYPERLINK("https://otsuka-europe-crm.veevavault.com/ui/#object/sent_email__v/VBLZ025E82GN2EP", "SE-000272585")</f>
        <v>SE-000272585</v>
      </c>
      <c r="D5426" s="1" t="s">
        <v>0</v>
      </c>
      <c r="E5426" s="2">
        <v>0</v>
      </c>
      <c r="F5426" s="2">
        <v>0</v>
      </c>
      <c r="G5426" s="2">
        <v>0</v>
      </c>
      <c r="H5426" s="1" t="s">
        <v>0</v>
      </c>
      <c r="I5426" s="2">
        <v>0</v>
      </c>
      <c r="J5426" s="1">
        <v>45915.37903935185</v>
      </c>
    </row>
    <row r="5427" spans="1:10" x14ac:dyDescent="0.2">
      <c r="A5427" s="4" t="s">
        <v>1</v>
      </c>
      <c r="B5427" s="3" t="str">
        <f>HYPERLINK("https://otsuka-europe-crm.veevavault.com/ui/#object/approved_document__v/V5OZ025E82TFUPI", "Spain - HCP Survey Email - June 2025")</f>
        <v>Spain - HCP Survey Email - June 2025</v>
      </c>
      <c r="C5427" s="3" t="str">
        <f>HYPERLINK("https://otsuka-europe-crm.veevavault.com/ui/#object/sent_email__v/VBLZ025E82GN2EQ", "SE-000272586")</f>
        <v>SE-000272586</v>
      </c>
      <c r="D5427" s="1" t="s">
        <v>0</v>
      </c>
      <c r="E5427" s="2">
        <v>0</v>
      </c>
      <c r="F5427" s="2">
        <v>0</v>
      </c>
      <c r="G5427" s="2">
        <v>0</v>
      </c>
      <c r="H5427" s="1" t="s">
        <v>0</v>
      </c>
      <c r="I5427" s="2">
        <v>0</v>
      </c>
      <c r="J5427" s="1">
        <v>45915.379108796296</v>
      </c>
    </row>
    <row r="5428" spans="1:10" x14ac:dyDescent="0.2">
      <c r="A5428" s="4" t="s">
        <v>1</v>
      </c>
      <c r="B5428" s="3" t="str">
        <f>HYPERLINK("https://otsuka-europe-crm.veevavault.com/ui/#object/approved_document__v/V5OZ025E82TFUPI", "Spain - HCP Survey Email - June 2025")</f>
        <v>Spain - HCP Survey Email - June 2025</v>
      </c>
      <c r="C5428" s="3" t="str">
        <f>HYPERLINK("https://otsuka-europe-crm.veevavault.com/ui/#object/sent_email__v/VBLZ025E82GN2ES", "SE-000272588")</f>
        <v>SE-000272588</v>
      </c>
      <c r="D5428" s="1" t="s">
        <v>0</v>
      </c>
      <c r="E5428" s="2">
        <v>0</v>
      </c>
      <c r="F5428" s="2">
        <v>0</v>
      </c>
      <c r="G5428" s="2">
        <v>0</v>
      </c>
      <c r="H5428" s="1" t="s">
        <v>0</v>
      </c>
      <c r="I5428" s="2">
        <v>0</v>
      </c>
      <c r="J5428" s="1">
        <v>45915.378240740742</v>
      </c>
    </row>
    <row r="5429" spans="1:10" x14ac:dyDescent="0.2">
      <c r="A5429" s="4" t="s">
        <v>1</v>
      </c>
      <c r="B5429" s="3" t="str">
        <f>HYPERLINK("https://otsuka-europe-crm.veevavault.com/ui/#object/approved_document__v/V5OZ025E82TFUPI", "Spain - HCP Survey Email - June 2025")</f>
        <v>Spain - HCP Survey Email - June 2025</v>
      </c>
      <c r="C5429" s="3" t="str">
        <f>HYPERLINK("https://otsuka-europe-crm.veevavault.com/ui/#object/sent_email__v/VBLZ025E82GN2ET", "SE-000272589")</f>
        <v>SE-000272589</v>
      </c>
      <c r="D5429" s="1" t="s">
        <v>0</v>
      </c>
      <c r="E5429" s="2">
        <v>0</v>
      </c>
      <c r="F5429" s="2">
        <v>0</v>
      </c>
      <c r="G5429" s="2">
        <v>0</v>
      </c>
      <c r="H5429" s="1" t="s">
        <v>0</v>
      </c>
      <c r="I5429" s="2">
        <v>0</v>
      </c>
      <c r="J5429" s="1">
        <v>45915.37903935185</v>
      </c>
    </row>
    <row r="5430" spans="1:10" x14ac:dyDescent="0.2">
      <c r="A5430" s="4" t="s">
        <v>1</v>
      </c>
      <c r="B5430" s="3" t="str">
        <f>HYPERLINK("https://otsuka-europe-crm.veevavault.com/ui/#object/approved_document__v/V5OZ025E82TFUPI", "Spain - HCP Survey Email - June 2025")</f>
        <v>Spain - HCP Survey Email - June 2025</v>
      </c>
      <c r="C5430" s="3" t="str">
        <f>HYPERLINK("https://otsuka-europe-crm.veevavault.com/ui/#object/sent_email__v/VBLZ025E82GN2EU", "SE-000272590")</f>
        <v>SE-000272590</v>
      </c>
      <c r="D5430" s="1" t="s">
        <v>0</v>
      </c>
      <c r="E5430" s="2">
        <v>0</v>
      </c>
      <c r="F5430" s="2">
        <v>0</v>
      </c>
      <c r="G5430" s="2">
        <v>0</v>
      </c>
      <c r="H5430" s="1" t="s">
        <v>0</v>
      </c>
      <c r="I5430" s="2">
        <v>0</v>
      </c>
      <c r="J5430" s="1">
        <v>45915.379050925927</v>
      </c>
    </row>
    <row r="5431" spans="1:10" x14ac:dyDescent="0.2">
      <c r="A5431" s="4" t="s">
        <v>1</v>
      </c>
      <c r="B5431" s="3" t="str">
        <f>HYPERLINK("https://otsuka-europe-crm.veevavault.com/ui/#object/approved_document__v/V5OZ025E82TFUPI", "Spain - HCP Survey Email - June 2025")</f>
        <v>Spain - HCP Survey Email - June 2025</v>
      </c>
      <c r="C5431" s="3" t="str">
        <f>HYPERLINK("https://otsuka-europe-crm.veevavault.com/ui/#object/sent_email__v/VBLZ025E82GN2EV", "SE-000272591")</f>
        <v>SE-000272591</v>
      </c>
      <c r="D5431" s="1" t="s">
        <v>0</v>
      </c>
      <c r="E5431" s="2">
        <v>0</v>
      </c>
      <c r="F5431" s="2">
        <v>0</v>
      </c>
      <c r="G5431" s="2">
        <v>0</v>
      </c>
      <c r="H5431" s="1" t="s">
        <v>0</v>
      </c>
      <c r="I5431" s="2">
        <v>0</v>
      </c>
      <c r="J5431" s="1">
        <v>45915.377546296295</v>
      </c>
    </row>
    <row r="5432" spans="1:10" x14ac:dyDescent="0.2">
      <c r="A5432" s="4" t="s">
        <v>1</v>
      </c>
      <c r="B5432" s="3" t="str">
        <f>HYPERLINK("https://otsuka-europe-crm.veevavault.com/ui/#object/approved_document__v/V5OZ025E82TFUPI", "Spain - HCP Survey Email - June 2025")</f>
        <v>Spain - HCP Survey Email - June 2025</v>
      </c>
      <c r="C5432" s="3" t="str">
        <f>HYPERLINK("https://otsuka-europe-crm.veevavault.com/ui/#object/sent_email__v/VBLZ025E82GN2EW", "SE-000272592")</f>
        <v>SE-000272592</v>
      </c>
      <c r="D5432" s="1">
        <v>45915.544629629629</v>
      </c>
      <c r="E5432" s="2">
        <v>1</v>
      </c>
      <c r="F5432" s="2">
        <v>1</v>
      </c>
      <c r="G5432" s="2">
        <v>0</v>
      </c>
      <c r="H5432" s="1" t="s">
        <v>0</v>
      </c>
      <c r="I5432" s="2">
        <v>0</v>
      </c>
      <c r="J5432" s="1">
        <v>45915.37773148148</v>
      </c>
    </row>
    <row r="5433" spans="1:10" x14ac:dyDescent="0.2">
      <c r="A5433" s="4" t="s">
        <v>1</v>
      </c>
      <c r="B5433" s="3" t="str">
        <f>HYPERLINK("https://otsuka-europe-crm.veevavault.com/ui/#object/approved_document__v/V5OZ025E82TFUPI", "Spain - HCP Survey Email - June 2025")</f>
        <v>Spain - HCP Survey Email - June 2025</v>
      </c>
      <c r="C5433" s="3" t="str">
        <f>HYPERLINK("https://otsuka-europe-crm.veevavault.com/ui/#object/sent_email__v/VBLZ025E82GN2EX", "SE-000272593")</f>
        <v>SE-000272593</v>
      </c>
      <c r="D5433" s="1" t="s">
        <v>0</v>
      </c>
      <c r="E5433" s="2">
        <v>0</v>
      </c>
      <c r="F5433" s="2">
        <v>0</v>
      </c>
      <c r="G5433" s="2">
        <v>0</v>
      </c>
      <c r="H5433" s="1" t="s">
        <v>0</v>
      </c>
      <c r="I5433" s="2">
        <v>0</v>
      </c>
      <c r="J5433" s="1">
        <v>45915.378495370373</v>
      </c>
    </row>
    <row r="5434" spans="1:10" x14ac:dyDescent="0.2">
      <c r="A5434" s="4" t="s">
        <v>1</v>
      </c>
      <c r="B5434" s="3" t="str">
        <f>HYPERLINK("https://otsuka-europe-crm.veevavault.com/ui/#object/approved_document__v/V5OZ025E82TFUPI", "Spain - HCP Survey Email - June 2025")</f>
        <v>Spain - HCP Survey Email - June 2025</v>
      </c>
      <c r="C5434" s="3" t="str">
        <f>HYPERLINK("https://otsuka-europe-crm.veevavault.com/ui/#object/sent_email__v/VBLZ025E82GN2EY", "SE-000272594")</f>
        <v>SE-000272594</v>
      </c>
      <c r="D5434" s="1" t="s">
        <v>0</v>
      </c>
      <c r="E5434" s="2">
        <v>0</v>
      </c>
      <c r="F5434" s="2">
        <v>0</v>
      </c>
      <c r="G5434" s="2">
        <v>0</v>
      </c>
      <c r="H5434" s="1" t="s">
        <v>0</v>
      </c>
      <c r="I5434" s="2">
        <v>0</v>
      </c>
      <c r="J5434" s="1">
        <v>45915.378576388888</v>
      </c>
    </row>
    <row r="5435" spans="1:10" x14ac:dyDescent="0.2">
      <c r="A5435" s="4" t="s">
        <v>1</v>
      </c>
      <c r="B5435" s="3" t="str">
        <f>HYPERLINK("https://otsuka-europe-crm.veevavault.com/ui/#object/approved_document__v/V5OZ025E82TFUPI", "Spain - HCP Survey Email - June 2025")</f>
        <v>Spain - HCP Survey Email - June 2025</v>
      </c>
      <c r="C5435" s="3" t="str">
        <f>HYPERLINK("https://otsuka-europe-crm.veevavault.com/ui/#object/sent_email__v/VBLZ025E82GN2EZ", "SE-000272595")</f>
        <v>SE-000272595</v>
      </c>
      <c r="D5435" s="1">
        <v>45915.390613425923</v>
      </c>
      <c r="E5435" s="2">
        <v>1</v>
      </c>
      <c r="F5435" s="2">
        <v>1</v>
      </c>
      <c r="G5435" s="2">
        <v>0</v>
      </c>
      <c r="H5435" s="1" t="s">
        <v>0</v>
      </c>
      <c r="I5435" s="2">
        <v>0</v>
      </c>
      <c r="J5435" s="1">
        <v>45915.379502314812</v>
      </c>
    </row>
    <row r="5436" spans="1:10" x14ac:dyDescent="0.2">
      <c r="A5436" s="4" t="s">
        <v>1</v>
      </c>
      <c r="B5436" s="3" t="str">
        <f>HYPERLINK("https://otsuka-europe-crm.veevavault.com/ui/#object/approved_document__v/V5OZ025E82TFUPI", "Spain - HCP Survey Email - June 2025")</f>
        <v>Spain - HCP Survey Email - June 2025</v>
      </c>
      <c r="C5436" s="3" t="str">
        <f>HYPERLINK("https://otsuka-europe-crm.veevavault.com/ui/#object/sent_email__v/VBLZ025E82GN2F0", "SE-000272596")</f>
        <v>SE-000272596</v>
      </c>
      <c r="D5436" s="1">
        <v>45915.379930555559</v>
      </c>
      <c r="E5436" s="2">
        <v>1</v>
      </c>
      <c r="F5436" s="2">
        <v>2</v>
      </c>
      <c r="G5436" s="2">
        <v>1</v>
      </c>
      <c r="H5436" s="1">
        <v>45915.379930555559</v>
      </c>
      <c r="I5436" s="2">
        <v>2</v>
      </c>
      <c r="J5436" s="1">
        <v>45915.379745370374</v>
      </c>
    </row>
    <row r="5437" spans="1:10" x14ac:dyDescent="0.2">
      <c r="A5437" s="4" t="s">
        <v>1</v>
      </c>
      <c r="B5437" s="3" t="str">
        <f>HYPERLINK("https://otsuka-europe-crm.veevavault.com/ui/#object/approved_document__v/V5OZ025E82TFUPI", "Spain - HCP Survey Email - June 2025")</f>
        <v>Spain - HCP Survey Email - June 2025</v>
      </c>
      <c r="C5437" s="3" t="str">
        <f>HYPERLINK("https://otsuka-europe-crm.veevavault.com/ui/#object/sent_email__v/VBLZ025E82GN2F1", "SE-000272597")</f>
        <v>SE-000272597</v>
      </c>
      <c r="D5437" s="1">
        <v>45916.487430555557</v>
      </c>
      <c r="E5437" s="2">
        <v>1</v>
      </c>
      <c r="F5437" s="2">
        <v>2</v>
      </c>
      <c r="G5437" s="2">
        <v>0</v>
      </c>
      <c r="H5437" s="1" t="s">
        <v>0</v>
      </c>
      <c r="I5437" s="2">
        <v>0</v>
      </c>
      <c r="J5437" s="1">
        <v>45915.377372685187</v>
      </c>
    </row>
    <row r="5438" spans="1:10" x14ac:dyDescent="0.2">
      <c r="A5438" s="4" t="s">
        <v>1</v>
      </c>
      <c r="B5438" s="3" t="str">
        <f>HYPERLINK("https://otsuka-europe-crm.veevavault.com/ui/#object/approved_document__v/V5OZ025E82TFUPI", "Spain - HCP Survey Email - June 2025")</f>
        <v>Spain - HCP Survey Email - June 2025</v>
      </c>
      <c r="C5438" s="3" t="str">
        <f>HYPERLINK("https://otsuka-europe-crm.veevavault.com/ui/#object/sent_email__v/VBLZ025E82GN2F2", "SE-000272598")</f>
        <v>SE-000272598</v>
      </c>
      <c r="D5438" s="1" t="s">
        <v>0</v>
      </c>
      <c r="E5438" s="2">
        <v>0</v>
      </c>
      <c r="F5438" s="2">
        <v>0</v>
      </c>
      <c r="G5438" s="2">
        <v>0</v>
      </c>
      <c r="H5438" s="1" t="s">
        <v>0</v>
      </c>
      <c r="I5438" s="2">
        <v>0</v>
      </c>
      <c r="J5438" s="1">
        <v>45915.37804398148</v>
      </c>
    </row>
    <row r="5439" spans="1:10" x14ac:dyDescent="0.2">
      <c r="A5439" s="4" t="s">
        <v>1</v>
      </c>
      <c r="B5439" s="3" t="str">
        <f>HYPERLINK("https://otsuka-europe-crm.veevavault.com/ui/#object/approved_document__v/V5OZ025E82TFUPI", "Spain - HCP Survey Email - June 2025")</f>
        <v>Spain - HCP Survey Email - June 2025</v>
      </c>
      <c r="C5439" s="3" t="str">
        <f>HYPERLINK("https://otsuka-europe-crm.veevavault.com/ui/#object/sent_email__v/VBLZ025E82GN2F3", "SE-000272599")</f>
        <v>SE-000272599</v>
      </c>
      <c r="D5439" s="1">
        <v>46005.917175925926</v>
      </c>
      <c r="E5439" s="2">
        <v>1</v>
      </c>
      <c r="F5439" s="2">
        <v>3</v>
      </c>
      <c r="G5439" s="2">
        <v>0</v>
      </c>
      <c r="H5439" s="1" t="s">
        <v>0</v>
      </c>
      <c r="I5439" s="2">
        <v>0</v>
      </c>
      <c r="J5439" s="1">
        <v>45915.378229166665</v>
      </c>
    </row>
    <row r="5440" spans="1:10" x14ac:dyDescent="0.2">
      <c r="A5440" s="4" t="s">
        <v>1</v>
      </c>
      <c r="B5440" s="3" t="str">
        <f>HYPERLINK("https://otsuka-europe-crm.veevavault.com/ui/#object/approved_document__v/V5OZ025E82TFUPI", "Spain - HCP Survey Email - June 2025")</f>
        <v>Spain - HCP Survey Email - June 2025</v>
      </c>
      <c r="C5440" s="3" t="str">
        <f>HYPERLINK("https://otsuka-europe-crm.veevavault.com/ui/#object/sent_email__v/VBLZ025E82GN2F4", "SE-000272600")</f>
        <v>SE-000272600</v>
      </c>
      <c r="D5440" s="1" t="s">
        <v>0</v>
      </c>
      <c r="E5440" s="2">
        <v>0</v>
      </c>
      <c r="F5440" s="2">
        <v>0</v>
      </c>
      <c r="G5440" s="2">
        <v>0</v>
      </c>
      <c r="H5440" s="1" t="s">
        <v>0</v>
      </c>
      <c r="I5440" s="2">
        <v>0</v>
      </c>
      <c r="J5440" s="1">
        <v>45915.378981481481</v>
      </c>
    </row>
    <row r="5441" spans="1:10" x14ac:dyDescent="0.2">
      <c r="A5441" s="4" t="s">
        <v>1</v>
      </c>
      <c r="B5441" s="3" t="str">
        <f>HYPERLINK("https://otsuka-europe-crm.veevavault.com/ui/#object/approved_document__v/V5OZ025E82TFUPI", "Spain - HCP Survey Email - June 2025")</f>
        <v>Spain - HCP Survey Email - June 2025</v>
      </c>
      <c r="C5441" s="3" t="str">
        <f>HYPERLINK("https://otsuka-europe-crm.veevavault.com/ui/#object/sent_email__v/VBLZ025E82GN2F5", "SE-000272601")</f>
        <v>SE-000272601</v>
      </c>
      <c r="D5441" s="1">
        <v>45915.564212962963</v>
      </c>
      <c r="E5441" s="2">
        <v>1</v>
      </c>
      <c r="F5441" s="2">
        <v>1</v>
      </c>
      <c r="G5441" s="2">
        <v>0</v>
      </c>
      <c r="H5441" s="1" t="s">
        <v>0</v>
      </c>
      <c r="I5441" s="2">
        <v>0</v>
      </c>
      <c r="J5441" s="1">
        <v>45915.379027777781</v>
      </c>
    </row>
    <row r="5442" spans="1:10" x14ac:dyDescent="0.2">
      <c r="A5442" s="4" t="s">
        <v>1</v>
      </c>
      <c r="B5442" s="3" t="str">
        <f>HYPERLINK("https://otsuka-europe-crm.veevavault.com/ui/#object/approved_document__v/V5OZ025E82TFUPI", "Spain - HCP Survey Email - June 2025")</f>
        <v>Spain - HCP Survey Email - June 2025</v>
      </c>
      <c r="C5442" s="3" t="str">
        <f>HYPERLINK("https://otsuka-europe-crm.veevavault.com/ui/#object/sent_email__v/VBLZ025E82GN2F6", "SE-000272602")</f>
        <v>SE-000272602</v>
      </c>
      <c r="D5442" s="1" t="s">
        <v>0</v>
      </c>
      <c r="E5442" s="2">
        <v>0</v>
      </c>
      <c r="F5442" s="2">
        <v>0</v>
      </c>
      <c r="G5442" s="2">
        <v>0</v>
      </c>
      <c r="H5442" s="1" t="s">
        <v>0</v>
      </c>
      <c r="I5442" s="2">
        <v>0</v>
      </c>
      <c r="J5442" s="1">
        <v>45915.377627314818</v>
      </c>
    </row>
    <row r="5443" spans="1:10" x14ac:dyDescent="0.2">
      <c r="A5443" s="4" t="s">
        <v>1</v>
      </c>
      <c r="B5443" s="3" t="str">
        <f>HYPERLINK("https://otsuka-europe-crm.veevavault.com/ui/#object/approved_document__v/V5OZ025E82TFUPI", "Spain - HCP Survey Email - June 2025")</f>
        <v>Spain - HCP Survey Email - June 2025</v>
      </c>
      <c r="C5443" s="3" t="str">
        <f>HYPERLINK("https://otsuka-europe-crm.veevavault.com/ui/#object/sent_email__v/VBLZ025E82GN2F7", "SE-000272603")</f>
        <v>SE-000272603</v>
      </c>
      <c r="D5443" s="1">
        <v>45915.454351851855</v>
      </c>
      <c r="E5443" s="2">
        <v>1</v>
      </c>
      <c r="F5443" s="2">
        <v>2</v>
      </c>
      <c r="G5443" s="2">
        <v>0</v>
      </c>
      <c r="H5443" s="1" t="s">
        <v>0</v>
      </c>
      <c r="I5443" s="2">
        <v>0</v>
      </c>
      <c r="J5443" s="1">
        <v>45915.37773148148</v>
      </c>
    </row>
    <row r="5444" spans="1:10" x14ac:dyDescent="0.2">
      <c r="A5444" s="4" t="s">
        <v>1</v>
      </c>
      <c r="B5444" s="3" t="str">
        <f>HYPERLINK("https://otsuka-europe-crm.veevavault.com/ui/#object/approved_document__v/V5OZ025E82TFUPI", "Spain - HCP Survey Email - June 2025")</f>
        <v>Spain - HCP Survey Email - June 2025</v>
      </c>
      <c r="C5444" s="3" t="str">
        <f>HYPERLINK("https://otsuka-europe-crm.veevavault.com/ui/#object/sent_email__v/VBLZ025E82GN2F8", "SE-000272604")</f>
        <v>SE-000272604</v>
      </c>
      <c r="D5444" s="1" t="s">
        <v>0</v>
      </c>
      <c r="E5444" s="2">
        <v>0</v>
      </c>
      <c r="F5444" s="2">
        <v>0</v>
      </c>
      <c r="G5444" s="2">
        <v>0</v>
      </c>
      <c r="H5444" s="1" t="s">
        <v>0</v>
      </c>
      <c r="I5444" s="2">
        <v>0</v>
      </c>
      <c r="J5444" s="1">
        <v>45915.378460648149</v>
      </c>
    </row>
    <row r="5445" spans="1:10" x14ac:dyDescent="0.2">
      <c r="A5445" s="4" t="s">
        <v>1</v>
      </c>
      <c r="B5445" s="3" t="str">
        <f>HYPERLINK("https://otsuka-europe-crm.veevavault.com/ui/#object/approved_document__v/V5OZ025E82TFUPI", "Spain - HCP Survey Email - June 2025")</f>
        <v>Spain - HCP Survey Email - June 2025</v>
      </c>
      <c r="C5445" s="3" t="str">
        <f>HYPERLINK("https://otsuka-europe-crm.veevavault.com/ui/#object/sent_email__v/VBLZ025E82GN2F9", "SE-000272605")</f>
        <v>SE-000272605</v>
      </c>
      <c r="D5445" s="1">
        <v>45918.701527777775</v>
      </c>
      <c r="E5445" s="2">
        <v>1</v>
      </c>
      <c r="F5445" s="2">
        <v>1</v>
      </c>
      <c r="G5445" s="2">
        <v>0</v>
      </c>
      <c r="H5445" s="1" t="s">
        <v>0</v>
      </c>
      <c r="I5445" s="2">
        <v>0</v>
      </c>
      <c r="J5445" s="1">
        <v>45915.378622685188</v>
      </c>
    </row>
    <row r="5446" spans="1:10" x14ac:dyDescent="0.2">
      <c r="A5446" s="4" t="s">
        <v>1</v>
      </c>
      <c r="B5446" s="3" t="str">
        <f>HYPERLINK("https://otsuka-europe-crm.veevavault.com/ui/#object/approved_document__v/V5OZ025E82TFUPI", "Spain - HCP Survey Email - June 2025")</f>
        <v>Spain - HCP Survey Email - June 2025</v>
      </c>
      <c r="C5446" s="3" t="str">
        <f>HYPERLINK("https://otsuka-europe-crm.veevavault.com/ui/#object/sent_email__v/VBLZ025E82GN2FA", "SE-000272606")</f>
        <v>SE-000272606</v>
      </c>
      <c r="D5446" s="1" t="s">
        <v>0</v>
      </c>
      <c r="E5446" s="2">
        <v>0</v>
      </c>
      <c r="F5446" s="2">
        <v>0</v>
      </c>
      <c r="G5446" s="2">
        <v>0</v>
      </c>
      <c r="H5446" s="1" t="s">
        <v>0</v>
      </c>
      <c r="I5446" s="2">
        <v>0</v>
      </c>
      <c r="J5446" s="1">
        <v>45915.379583333335</v>
      </c>
    </row>
    <row r="5447" spans="1:10" x14ac:dyDescent="0.2">
      <c r="A5447" s="4" t="s">
        <v>1</v>
      </c>
      <c r="B5447" s="3" t="str">
        <f>HYPERLINK("https://otsuka-europe-crm.veevavault.com/ui/#object/approved_document__v/V5OZ025E82TFUPI", "Spain - HCP Survey Email - June 2025")</f>
        <v>Spain - HCP Survey Email - June 2025</v>
      </c>
      <c r="C5447" s="3" t="str">
        <f>HYPERLINK("https://otsuka-europe-crm.veevavault.com/ui/#object/sent_email__v/VBLZ025E82GN2FB", "SE-000272607")</f>
        <v>SE-000272607</v>
      </c>
      <c r="D5447" s="1" t="s">
        <v>0</v>
      </c>
      <c r="E5447" s="2">
        <v>0</v>
      </c>
      <c r="F5447" s="2">
        <v>0</v>
      </c>
      <c r="G5447" s="2">
        <v>0</v>
      </c>
      <c r="H5447" s="1" t="s">
        <v>0</v>
      </c>
      <c r="I5447" s="2">
        <v>0</v>
      </c>
      <c r="J5447" s="1">
        <v>45915.37972222222</v>
      </c>
    </row>
    <row r="5448" spans="1:10" x14ac:dyDescent="0.2">
      <c r="A5448" s="4" t="s">
        <v>1</v>
      </c>
      <c r="B5448" s="3" t="str">
        <f>HYPERLINK("https://otsuka-europe-crm.veevavault.com/ui/#object/approved_document__v/V5OZ025E82TFUPI", "Spain - HCP Survey Email - June 2025")</f>
        <v>Spain - HCP Survey Email - June 2025</v>
      </c>
      <c r="C5448" s="3" t="str">
        <f>HYPERLINK("https://otsuka-europe-crm.veevavault.com/ui/#object/sent_email__v/VBLZ025E82GN2FC", "SE-000272608")</f>
        <v>SE-000272608</v>
      </c>
      <c r="D5448" s="1" t="s">
        <v>0</v>
      </c>
      <c r="E5448" s="2">
        <v>0</v>
      </c>
      <c r="F5448" s="2">
        <v>0</v>
      </c>
      <c r="G5448" s="2">
        <v>0</v>
      </c>
      <c r="H5448" s="1" t="s">
        <v>0</v>
      </c>
      <c r="I5448" s="2">
        <v>0</v>
      </c>
      <c r="J5448" s="1">
        <v>45915.377430555556</v>
      </c>
    </row>
    <row r="5449" spans="1:10" x14ac:dyDescent="0.2">
      <c r="A5449" s="4" t="s">
        <v>1</v>
      </c>
      <c r="B5449" s="3" t="str">
        <f>HYPERLINK("https://otsuka-europe-crm.veevavault.com/ui/#object/approved_document__v/V5OZ025E82TFUPI", "Spain - HCP Survey Email - June 2025")</f>
        <v>Spain - HCP Survey Email - June 2025</v>
      </c>
      <c r="C5449" s="3" t="str">
        <f>HYPERLINK("https://otsuka-europe-crm.veevavault.com/ui/#object/sent_email__v/VBLZ025E82GN2FD", "SE-000272609")</f>
        <v>SE-000272609</v>
      </c>
      <c r="D5449" s="1">
        <v>45915.428796296299</v>
      </c>
      <c r="E5449" s="2">
        <v>1</v>
      </c>
      <c r="F5449" s="2">
        <v>1</v>
      </c>
      <c r="G5449" s="2">
        <v>1</v>
      </c>
      <c r="H5449" s="1">
        <v>45915.428796296299</v>
      </c>
      <c r="I5449" s="2">
        <v>1</v>
      </c>
      <c r="J5449" s="1">
        <v>45915.378055555557</v>
      </c>
    </row>
    <row r="5450" spans="1:10" x14ac:dyDescent="0.2">
      <c r="A5450" s="4" t="s">
        <v>1</v>
      </c>
      <c r="B5450" s="3" t="str">
        <f>HYPERLINK("https://otsuka-europe-crm.veevavault.com/ui/#object/approved_document__v/V5OZ025E82TFUPI", "Spain - HCP Survey Email - June 2025")</f>
        <v>Spain - HCP Survey Email - June 2025</v>
      </c>
      <c r="C5450" s="3" t="str">
        <f>HYPERLINK("https://otsuka-europe-crm.veevavault.com/ui/#object/sent_email__v/VBLZ025E82GN2FE", "SE-000272610")</f>
        <v>SE-000272610</v>
      </c>
      <c r="D5450" s="1">
        <v>45915.394224537034</v>
      </c>
      <c r="E5450" s="2">
        <v>1</v>
      </c>
      <c r="F5450" s="2">
        <v>1</v>
      </c>
      <c r="G5450" s="2">
        <v>0</v>
      </c>
      <c r="H5450" s="1" t="s">
        <v>0</v>
      </c>
      <c r="I5450" s="2">
        <v>0</v>
      </c>
      <c r="J5450" s="1">
        <v>45915.378206018519</v>
      </c>
    </row>
    <row r="5451" spans="1:10" x14ac:dyDescent="0.2">
      <c r="A5451" s="4" t="s">
        <v>1</v>
      </c>
      <c r="B5451" s="3" t="str">
        <f>HYPERLINK("https://otsuka-europe-crm.veevavault.com/ui/#object/approved_document__v/V5OZ025E82TFUPI", "Spain - HCP Survey Email - June 2025")</f>
        <v>Spain - HCP Survey Email - June 2025</v>
      </c>
      <c r="C5451" s="3" t="str">
        <f>HYPERLINK("https://otsuka-europe-crm.veevavault.com/ui/#object/sent_email__v/VBLZ025E82GN2FF", "SE-000272611")</f>
        <v>SE-000272611</v>
      </c>
      <c r="D5451" s="1">
        <v>45920.505289351851</v>
      </c>
      <c r="E5451" s="2">
        <v>1</v>
      </c>
      <c r="F5451" s="2">
        <v>4</v>
      </c>
      <c r="G5451" s="2">
        <v>1</v>
      </c>
      <c r="H5451" s="1">
        <v>45920.505439814813</v>
      </c>
      <c r="I5451" s="2">
        <v>1</v>
      </c>
      <c r="J5451" s="1">
        <v>45915.379016203704</v>
      </c>
    </row>
    <row r="5452" spans="1:10" x14ac:dyDescent="0.2">
      <c r="A5452" s="4" t="s">
        <v>1</v>
      </c>
      <c r="B5452" s="3" t="str">
        <f>HYPERLINK("https://otsuka-europe-crm.veevavault.com/ui/#object/approved_document__v/V5OZ025E82TFUPI", "Spain - HCP Survey Email - June 2025")</f>
        <v>Spain - HCP Survey Email - June 2025</v>
      </c>
      <c r="C5452" s="3" t="str">
        <f>HYPERLINK("https://otsuka-europe-crm.veevavault.com/ui/#object/sent_email__v/VBLZ025E82GN2FG", "SE-000272612")</f>
        <v>SE-000272612</v>
      </c>
      <c r="D5452" s="1">
        <v>45915.382592592592</v>
      </c>
      <c r="E5452" s="2">
        <v>1</v>
      </c>
      <c r="F5452" s="2">
        <v>1</v>
      </c>
      <c r="G5452" s="2">
        <v>0</v>
      </c>
      <c r="H5452" s="1" t="s">
        <v>0</v>
      </c>
      <c r="I5452" s="2">
        <v>0</v>
      </c>
      <c r="J5452" s="1">
        <v>45915.379166666666</v>
      </c>
    </row>
    <row r="5453" spans="1:10" x14ac:dyDescent="0.2">
      <c r="A5453" s="4" t="s">
        <v>1</v>
      </c>
      <c r="B5453" s="3" t="str">
        <f>HYPERLINK("https://otsuka-europe-crm.veevavault.com/ui/#object/approved_document__v/V5OZ025E82TFUPI", "Spain - HCP Survey Email - June 2025")</f>
        <v>Spain - HCP Survey Email - June 2025</v>
      </c>
      <c r="C5453" s="3" t="str">
        <f>HYPERLINK("https://otsuka-europe-crm.veevavault.com/ui/#object/sent_email__v/VBLZ025E82GN2FH", "SE-000272613")</f>
        <v>SE-000272613</v>
      </c>
      <c r="D5453" s="1">
        <v>45916.840370370373</v>
      </c>
      <c r="E5453" s="2">
        <v>1</v>
      </c>
      <c r="F5453" s="2">
        <v>1</v>
      </c>
      <c r="G5453" s="2">
        <v>0</v>
      </c>
      <c r="H5453" s="1" t="s">
        <v>0</v>
      </c>
      <c r="I5453" s="2">
        <v>0</v>
      </c>
      <c r="J5453" s="1">
        <v>45915.377581018518</v>
      </c>
    </row>
    <row r="5454" spans="1:10" x14ac:dyDescent="0.2">
      <c r="A5454" s="4" t="s">
        <v>1</v>
      </c>
      <c r="B5454" s="3" t="str">
        <f>HYPERLINK("https://otsuka-europe-crm.veevavault.com/ui/#object/approved_document__v/V5OZ025E82TFUPI", "Spain - HCP Survey Email - June 2025")</f>
        <v>Spain - HCP Survey Email - June 2025</v>
      </c>
      <c r="C5454" s="3" t="str">
        <f>HYPERLINK("https://otsuka-europe-crm.veevavault.com/ui/#object/sent_email__v/VBLZ025E82GN2FI", "SE-000272614")</f>
        <v>SE-000272614</v>
      </c>
      <c r="D5454" s="1" t="s">
        <v>0</v>
      </c>
      <c r="E5454" s="2">
        <v>0</v>
      </c>
      <c r="F5454" s="2">
        <v>0</v>
      </c>
      <c r="G5454" s="2">
        <v>0</v>
      </c>
      <c r="H5454" s="1" t="s">
        <v>0</v>
      </c>
      <c r="I5454" s="2">
        <v>0</v>
      </c>
      <c r="J5454" s="1">
        <v>45915.378055555557</v>
      </c>
    </row>
    <row r="5455" spans="1:10" x14ac:dyDescent="0.2">
      <c r="A5455" s="4" t="s">
        <v>1</v>
      </c>
      <c r="B5455" s="3" t="str">
        <f>HYPERLINK("https://otsuka-europe-crm.veevavault.com/ui/#object/approved_document__v/V5OZ025E82TFUPI", "Spain - HCP Survey Email - June 2025")</f>
        <v>Spain - HCP Survey Email - June 2025</v>
      </c>
      <c r="C5455" s="3" t="str">
        <f>HYPERLINK("https://otsuka-europe-crm.veevavault.com/ui/#object/sent_email__v/VBLZ025E82GN2FJ", "SE-000272615")</f>
        <v>SE-000272615</v>
      </c>
      <c r="D5455" s="1">
        <v>45915.378657407404</v>
      </c>
      <c r="E5455" s="2">
        <v>1</v>
      </c>
      <c r="F5455" s="2">
        <v>1</v>
      </c>
      <c r="G5455" s="2">
        <v>0</v>
      </c>
      <c r="H5455" s="1" t="s">
        <v>0</v>
      </c>
      <c r="I5455" s="2">
        <v>0</v>
      </c>
      <c r="J5455" s="1">
        <v>45915.378240740742</v>
      </c>
    </row>
    <row r="5456" spans="1:10" x14ac:dyDescent="0.2">
      <c r="A5456" s="4" t="s">
        <v>1</v>
      </c>
      <c r="B5456" s="3" t="str">
        <f>HYPERLINK("https://otsuka-europe-crm.veevavault.com/ui/#object/approved_document__v/V5OZ025E82TFUPI", "Spain - HCP Survey Email - June 2025")</f>
        <v>Spain - HCP Survey Email - June 2025</v>
      </c>
      <c r="C5456" s="3" t="str">
        <f>HYPERLINK("https://otsuka-europe-crm.veevavault.com/ui/#object/sent_email__v/VBLZ025E82GN2FK", "SE-000272616")</f>
        <v>SE-000272616</v>
      </c>
      <c r="D5456" s="1" t="s">
        <v>0</v>
      </c>
      <c r="E5456" s="2">
        <v>0</v>
      </c>
      <c r="F5456" s="2">
        <v>0</v>
      </c>
      <c r="G5456" s="2">
        <v>0</v>
      </c>
      <c r="H5456" s="1" t="s">
        <v>0</v>
      </c>
      <c r="I5456" s="2">
        <v>0</v>
      </c>
      <c r="J5456" s="1">
        <v>45915.37903935185</v>
      </c>
    </row>
    <row r="5457" spans="1:10" x14ac:dyDescent="0.2">
      <c r="A5457" s="4" t="s">
        <v>1</v>
      </c>
      <c r="B5457" s="3" t="str">
        <f>HYPERLINK("https://otsuka-europe-crm.veevavault.com/ui/#object/approved_document__v/V5OZ025E82TFUPI", "Spain - HCP Survey Email - June 2025")</f>
        <v>Spain - HCP Survey Email - June 2025</v>
      </c>
      <c r="C5457" s="3" t="str">
        <f>HYPERLINK("https://otsuka-europe-crm.veevavault.com/ui/#object/sent_email__v/VBLZ025E82GN2FL", "SE-000272617")</f>
        <v>SE-000272617</v>
      </c>
      <c r="D5457" s="1">
        <v>45915.38690972222</v>
      </c>
      <c r="E5457" s="2">
        <v>1</v>
      </c>
      <c r="F5457" s="2">
        <v>1</v>
      </c>
      <c r="G5457" s="2">
        <v>0</v>
      </c>
      <c r="H5457" s="1" t="s">
        <v>0</v>
      </c>
      <c r="I5457" s="2">
        <v>0</v>
      </c>
      <c r="J5457" s="1">
        <v>45915.37908564815</v>
      </c>
    </row>
    <row r="5458" spans="1:10" x14ac:dyDescent="0.2">
      <c r="A5458" s="4" t="s">
        <v>1</v>
      </c>
      <c r="B5458" s="3" t="str">
        <f>HYPERLINK("https://otsuka-europe-crm.veevavault.com/ui/#object/approved_document__v/V5OZ025E82TFUPI", "Spain - HCP Survey Email - June 2025")</f>
        <v>Spain - HCP Survey Email - June 2025</v>
      </c>
      <c r="C5458" s="3" t="str">
        <f>HYPERLINK("https://otsuka-europe-crm.veevavault.com/ui/#object/sent_email__v/VBLZ025E82GN2FM", "SE-000272618")</f>
        <v>SE-000272618</v>
      </c>
      <c r="D5458" s="1">
        <v>45951.736458333333</v>
      </c>
      <c r="E5458" s="2">
        <v>1</v>
      </c>
      <c r="F5458" s="2">
        <v>3</v>
      </c>
      <c r="G5458" s="2">
        <v>1</v>
      </c>
      <c r="H5458" s="1">
        <v>45915.456076388888</v>
      </c>
      <c r="I5458" s="2">
        <v>1</v>
      </c>
      <c r="J5458" s="1">
        <v>45915.377546296295</v>
      </c>
    </row>
    <row r="5459" spans="1:10" x14ac:dyDescent="0.2">
      <c r="A5459" s="4" t="s">
        <v>1</v>
      </c>
      <c r="B5459" s="3" t="str">
        <f>HYPERLINK("https://otsuka-europe-crm.veevavault.com/ui/#object/approved_document__v/V5OZ025E82TFUPI", "Spain - HCP Survey Email - June 2025")</f>
        <v>Spain - HCP Survey Email - June 2025</v>
      </c>
      <c r="C5459" s="3" t="str">
        <f>HYPERLINK("https://otsuka-europe-crm.veevavault.com/ui/#object/sent_email__v/VBLZ025E82GN2FN", "SE-000272619")</f>
        <v>SE-000272619</v>
      </c>
      <c r="D5459" s="1">
        <v>45915.558055555557</v>
      </c>
      <c r="E5459" s="2">
        <v>1</v>
      </c>
      <c r="F5459" s="2">
        <v>1</v>
      </c>
      <c r="G5459" s="2">
        <v>0</v>
      </c>
      <c r="H5459" s="1" t="s">
        <v>0</v>
      </c>
      <c r="I5459" s="2">
        <v>0</v>
      </c>
      <c r="J5459" s="1">
        <v>45915.377685185187</v>
      </c>
    </row>
    <row r="5460" spans="1:10" x14ac:dyDescent="0.2">
      <c r="A5460" s="4" t="s">
        <v>1</v>
      </c>
      <c r="B5460" s="3" t="str">
        <f>HYPERLINK("https://otsuka-europe-crm.veevavault.com/ui/#object/approved_document__v/V5OZ025E82TFUPI", "Spain - HCP Survey Email - June 2025")</f>
        <v>Spain - HCP Survey Email - June 2025</v>
      </c>
      <c r="C5460" s="3" t="str">
        <f>HYPERLINK("https://otsuka-europe-crm.veevavault.com/ui/#object/sent_email__v/VBLZ025E82GN2FO", "SE-000272620")</f>
        <v>SE-000272620</v>
      </c>
      <c r="D5460" s="1">
        <v>45915.602592592593</v>
      </c>
      <c r="E5460" s="2">
        <v>1</v>
      </c>
      <c r="F5460" s="2">
        <v>1</v>
      </c>
      <c r="G5460" s="2">
        <v>0</v>
      </c>
      <c r="H5460" s="1" t="s">
        <v>0</v>
      </c>
      <c r="I5460" s="2">
        <v>0</v>
      </c>
      <c r="J5460" s="1">
        <v>45915.378518518519</v>
      </c>
    </row>
    <row r="5461" spans="1:10" x14ac:dyDescent="0.2">
      <c r="A5461" s="4" t="s">
        <v>1</v>
      </c>
      <c r="B5461" s="3" t="str">
        <f>HYPERLINK("https://otsuka-europe-crm.veevavault.com/ui/#object/approved_document__v/V5OZ025E82TFUPI", "Spain - HCP Survey Email - June 2025")</f>
        <v>Spain - HCP Survey Email - June 2025</v>
      </c>
      <c r="C5461" s="3" t="str">
        <f>HYPERLINK("https://otsuka-europe-crm.veevavault.com/ui/#object/sent_email__v/VBLZ025E82GN2FP", "SE-000272621")</f>
        <v>SE-000272621</v>
      </c>
      <c r="D5461" s="1">
        <v>45930.70449074074</v>
      </c>
      <c r="E5461" s="2">
        <v>1</v>
      </c>
      <c r="F5461" s="2">
        <v>5</v>
      </c>
      <c r="G5461" s="2">
        <v>0</v>
      </c>
      <c r="H5461" s="1" t="s">
        <v>0</v>
      </c>
      <c r="I5461" s="2">
        <v>0</v>
      </c>
      <c r="J5461" s="1">
        <v>45915.378599537034</v>
      </c>
    </row>
    <row r="5462" spans="1:10" x14ac:dyDescent="0.2">
      <c r="A5462" s="4" t="s">
        <v>1</v>
      </c>
      <c r="B5462" s="3" t="str">
        <f>HYPERLINK("https://otsuka-europe-crm.veevavault.com/ui/#object/approved_document__v/V5OZ025E82TFUPI", "Spain - HCP Survey Email - June 2025")</f>
        <v>Spain - HCP Survey Email - June 2025</v>
      </c>
      <c r="C5462" s="3" t="str">
        <f>HYPERLINK("https://otsuka-europe-crm.veevavault.com/ui/#object/sent_email__v/VBLZ025E82GN2FQ", "SE-000272622")</f>
        <v>SE-000272622</v>
      </c>
      <c r="D5462" s="1">
        <v>45916.379629629628</v>
      </c>
      <c r="E5462" s="2">
        <v>1</v>
      </c>
      <c r="F5462" s="2">
        <v>1</v>
      </c>
      <c r="G5462" s="2">
        <v>0</v>
      </c>
      <c r="H5462" s="1" t="s">
        <v>0</v>
      </c>
      <c r="I5462" s="2">
        <v>0</v>
      </c>
      <c r="J5462" s="1">
        <v>45915.379525462966</v>
      </c>
    </row>
    <row r="5463" spans="1:10" x14ac:dyDescent="0.2">
      <c r="A5463" s="4" t="s">
        <v>1</v>
      </c>
      <c r="B5463" s="3" t="str">
        <f>HYPERLINK("https://otsuka-europe-crm.veevavault.com/ui/#object/approved_document__v/V5OZ025E82TFUPI", "Spain - HCP Survey Email - June 2025")</f>
        <v>Spain - HCP Survey Email - June 2025</v>
      </c>
      <c r="C5463" s="3" t="str">
        <f>HYPERLINK("https://otsuka-europe-crm.veevavault.com/ui/#object/sent_email__v/VBLZ025E82GN2FR", "SE-000272623")</f>
        <v>SE-000272623</v>
      </c>
      <c r="D5463" s="1" t="s">
        <v>0</v>
      </c>
      <c r="E5463" s="2">
        <v>0</v>
      </c>
      <c r="F5463" s="2">
        <v>0</v>
      </c>
      <c r="G5463" s="2">
        <v>0</v>
      </c>
      <c r="H5463" s="1" t="s">
        <v>0</v>
      </c>
      <c r="I5463" s="2">
        <v>0</v>
      </c>
      <c r="J5463" s="1">
        <v>45915.379837962966</v>
      </c>
    </row>
    <row r="5464" spans="1:10" x14ac:dyDescent="0.2">
      <c r="A5464" s="4" t="s">
        <v>1</v>
      </c>
      <c r="B5464" s="3" t="str">
        <f>HYPERLINK("https://otsuka-europe-crm.veevavault.com/ui/#object/approved_document__v/V5OZ025E82TFUPI", "Spain - HCP Survey Email - June 2025")</f>
        <v>Spain - HCP Survey Email - June 2025</v>
      </c>
      <c r="C5464" s="3" t="str">
        <f>HYPERLINK("https://otsuka-europe-crm.veevavault.com/ui/#object/sent_email__v/VBLZ025E82GN2FS", "SE-000272624")</f>
        <v>SE-000272624</v>
      </c>
      <c r="D5464" s="1" t="s">
        <v>0</v>
      </c>
      <c r="E5464" s="2">
        <v>0</v>
      </c>
      <c r="F5464" s="2">
        <v>0</v>
      </c>
      <c r="G5464" s="2">
        <v>0</v>
      </c>
      <c r="H5464" s="1" t="s">
        <v>0</v>
      </c>
      <c r="I5464" s="2">
        <v>0</v>
      </c>
      <c r="J5464" s="1">
        <v>45915.377442129633</v>
      </c>
    </row>
    <row r="5465" spans="1:10" x14ac:dyDescent="0.2">
      <c r="A5465" s="4" t="s">
        <v>1</v>
      </c>
      <c r="B5465" s="3" t="str">
        <f>HYPERLINK("https://otsuka-europe-crm.veevavault.com/ui/#object/approved_document__v/V5OZ025E82TFUPI", "Spain - HCP Survey Email - June 2025")</f>
        <v>Spain - HCP Survey Email - June 2025</v>
      </c>
      <c r="C5465" s="3" t="str">
        <f>HYPERLINK("https://otsuka-europe-crm.veevavault.com/ui/#object/sent_email__v/VBLZ025E82GN2FT", "SE-000272625")</f>
        <v>SE-000272625</v>
      </c>
      <c r="D5465" s="1">
        <v>45943.792638888888</v>
      </c>
      <c r="E5465" s="2">
        <v>1</v>
      </c>
      <c r="F5465" s="2">
        <v>1</v>
      </c>
      <c r="G5465" s="2">
        <v>0</v>
      </c>
      <c r="H5465" s="1" t="s">
        <v>0</v>
      </c>
      <c r="I5465" s="2">
        <v>0</v>
      </c>
      <c r="J5465" s="1">
        <v>45915.378101851849</v>
      </c>
    </row>
    <row r="5466" spans="1:10" x14ac:dyDescent="0.2">
      <c r="A5466" s="4" t="s">
        <v>1</v>
      </c>
      <c r="B5466" s="3" t="str">
        <f>HYPERLINK("https://otsuka-europe-crm.veevavault.com/ui/#object/approved_document__v/V5OZ025E82TFUPI", "Spain - HCP Survey Email - June 2025")</f>
        <v>Spain - HCP Survey Email - June 2025</v>
      </c>
      <c r="C5466" s="3" t="str">
        <f>HYPERLINK("https://otsuka-europe-crm.veevavault.com/ui/#object/sent_email__v/VBLZ025E82GN2FU", "SE-000272626")</f>
        <v>SE-000272626</v>
      </c>
      <c r="D5466" s="1" t="s">
        <v>0</v>
      </c>
      <c r="E5466" s="2">
        <v>0</v>
      </c>
      <c r="F5466" s="2">
        <v>0</v>
      </c>
      <c r="G5466" s="2">
        <v>0</v>
      </c>
      <c r="H5466" s="1" t="s">
        <v>0</v>
      </c>
      <c r="I5466" s="2">
        <v>0</v>
      </c>
      <c r="J5466" s="1">
        <v>45915.378217592595</v>
      </c>
    </row>
    <row r="5467" spans="1:10" x14ac:dyDescent="0.2">
      <c r="A5467" s="4" t="s">
        <v>1</v>
      </c>
      <c r="B5467" s="3" t="str">
        <f>HYPERLINK("https://otsuka-europe-crm.veevavault.com/ui/#object/approved_document__v/V5OZ025E82TFUPI", "Spain - HCP Survey Email - June 2025")</f>
        <v>Spain - HCP Survey Email - June 2025</v>
      </c>
      <c r="C5467" s="3" t="str">
        <f>HYPERLINK("https://otsuka-europe-crm.veevavault.com/ui/#object/sent_email__v/VBLZ025E82GN2FV", "SE-000272627")</f>
        <v>SE-000272627</v>
      </c>
      <c r="D5467" s="1" t="s">
        <v>0</v>
      </c>
      <c r="E5467" s="2">
        <v>0</v>
      </c>
      <c r="F5467" s="2">
        <v>0</v>
      </c>
      <c r="G5467" s="2">
        <v>0</v>
      </c>
      <c r="H5467" s="1" t="s">
        <v>0</v>
      </c>
      <c r="I5467" s="2">
        <v>0</v>
      </c>
      <c r="J5467" s="1">
        <v>45915.378969907404</v>
      </c>
    </row>
    <row r="5468" spans="1:10" x14ac:dyDescent="0.2">
      <c r="A5468" s="4" t="s">
        <v>1</v>
      </c>
      <c r="B5468" s="3" t="str">
        <f>HYPERLINK("https://otsuka-europe-crm.veevavault.com/ui/#object/approved_document__v/V5OZ025E82TFUPI", "Spain - HCP Survey Email - June 2025")</f>
        <v>Spain - HCP Survey Email - June 2025</v>
      </c>
      <c r="C5468" s="3" t="str">
        <f>HYPERLINK("https://otsuka-europe-crm.veevavault.com/ui/#object/sent_email__v/VBLZ025E82GN2FW", "SE-000272628")</f>
        <v>SE-000272628</v>
      </c>
      <c r="D5468" s="1" t="s">
        <v>0</v>
      </c>
      <c r="E5468" s="2">
        <v>0</v>
      </c>
      <c r="F5468" s="2">
        <v>0</v>
      </c>
      <c r="G5468" s="2">
        <v>0</v>
      </c>
      <c r="H5468" s="1" t="s">
        <v>0</v>
      </c>
      <c r="I5468" s="2">
        <v>0</v>
      </c>
      <c r="J5468" s="1">
        <v>45915.379212962966</v>
      </c>
    </row>
    <row r="5469" spans="1:10" x14ac:dyDescent="0.2">
      <c r="A5469" s="4" t="s">
        <v>1</v>
      </c>
      <c r="B5469" s="3" t="str">
        <f>HYPERLINK("https://otsuka-europe-crm.veevavault.com/ui/#object/approved_document__v/V5OZ025E82TFUPI", "Spain - HCP Survey Email - June 2025")</f>
        <v>Spain - HCP Survey Email - June 2025</v>
      </c>
      <c r="C5469" s="3" t="str">
        <f>HYPERLINK("https://otsuka-europe-crm.veevavault.com/ui/#object/sent_email__v/VBLZ025E82GN2FX", "SE-000272629")</f>
        <v>SE-000272629</v>
      </c>
      <c r="D5469" s="1" t="s">
        <v>0</v>
      </c>
      <c r="E5469" s="2">
        <v>0</v>
      </c>
      <c r="F5469" s="2">
        <v>0</v>
      </c>
      <c r="G5469" s="2">
        <v>0</v>
      </c>
      <c r="H5469" s="1" t="s">
        <v>0</v>
      </c>
      <c r="I5469" s="2">
        <v>0</v>
      </c>
      <c r="J5469" s="1">
        <v>45915.377592592595</v>
      </c>
    </row>
    <row r="5470" spans="1:10" x14ac:dyDescent="0.2">
      <c r="A5470" s="4" t="s">
        <v>1</v>
      </c>
      <c r="B5470" s="3" t="str">
        <f>HYPERLINK("https://otsuka-europe-crm.veevavault.com/ui/#object/approved_document__v/V5OZ025E82TFUPI", "Spain - HCP Survey Email - June 2025")</f>
        <v>Spain - HCP Survey Email - June 2025</v>
      </c>
      <c r="C5470" s="3" t="str">
        <f>HYPERLINK("https://otsuka-europe-crm.veevavault.com/ui/#object/sent_email__v/VBLZ025E82GN2FY", "SE-000272630")</f>
        <v>SE-000272630</v>
      </c>
      <c r="D5470" s="1" t="s">
        <v>0</v>
      </c>
      <c r="E5470" s="2">
        <v>0</v>
      </c>
      <c r="F5470" s="2">
        <v>0</v>
      </c>
      <c r="G5470" s="2">
        <v>0</v>
      </c>
      <c r="H5470" s="1" t="s">
        <v>0</v>
      </c>
      <c r="I5470" s="2">
        <v>0</v>
      </c>
      <c r="J5470" s="1">
        <v>45915.37777777778</v>
      </c>
    </row>
    <row r="5471" spans="1:10" x14ac:dyDescent="0.2">
      <c r="A5471" s="4" t="s">
        <v>1</v>
      </c>
      <c r="B5471" s="3" t="str">
        <f>HYPERLINK("https://otsuka-europe-crm.veevavault.com/ui/#object/approved_document__v/V5OZ025E82TFUPI", "Spain - HCP Survey Email - June 2025")</f>
        <v>Spain - HCP Survey Email - June 2025</v>
      </c>
      <c r="C5471" s="3" t="str">
        <f>HYPERLINK("https://otsuka-europe-crm.veevavault.com/ui/#object/sent_email__v/VBLZ025E82GN2FZ", "SE-000272631")</f>
        <v>SE-000272631</v>
      </c>
      <c r="D5471" s="1" t="s">
        <v>0</v>
      </c>
      <c r="E5471" s="2">
        <v>0</v>
      </c>
      <c r="F5471" s="2">
        <v>0</v>
      </c>
      <c r="G5471" s="2">
        <v>0</v>
      </c>
      <c r="H5471" s="1" t="s">
        <v>0</v>
      </c>
      <c r="I5471" s="2">
        <v>0</v>
      </c>
      <c r="J5471" s="1">
        <v>45915.378483796296</v>
      </c>
    </row>
    <row r="5472" spans="1:10" x14ac:dyDescent="0.2">
      <c r="A5472" s="4" t="s">
        <v>1</v>
      </c>
      <c r="B5472" s="3" t="str">
        <f>HYPERLINK("https://otsuka-europe-crm.veevavault.com/ui/#object/approved_document__v/V5OZ025E82TFUPI", "Spain - HCP Survey Email - June 2025")</f>
        <v>Spain - HCP Survey Email - June 2025</v>
      </c>
      <c r="C5472" s="3" t="str">
        <f>HYPERLINK("https://otsuka-europe-crm.veevavault.com/ui/#object/sent_email__v/VBLZ025E82GN2G0", "SE-000272632")</f>
        <v>SE-000272632</v>
      </c>
      <c r="D5472" s="1" t="s">
        <v>0</v>
      </c>
      <c r="E5472" s="2">
        <v>0</v>
      </c>
      <c r="F5472" s="2">
        <v>0</v>
      </c>
      <c r="G5472" s="2">
        <v>0</v>
      </c>
      <c r="H5472" s="1" t="s">
        <v>0</v>
      </c>
      <c r="I5472" s="2">
        <v>0</v>
      </c>
      <c r="J5472" s="1">
        <v>45915.378680555557</v>
      </c>
    </row>
    <row r="5473" spans="1:10" x14ac:dyDescent="0.2">
      <c r="A5473" s="4" t="s">
        <v>1</v>
      </c>
      <c r="B5473" s="3" t="str">
        <f>HYPERLINK("https://otsuka-europe-crm.veevavault.com/ui/#object/approved_document__v/V5OZ025E82TFUPI", "Spain - HCP Survey Email - June 2025")</f>
        <v>Spain - HCP Survey Email - June 2025</v>
      </c>
      <c r="C5473" s="3" t="str">
        <f>HYPERLINK("https://otsuka-europe-crm.veevavault.com/ui/#object/sent_email__v/VBLZ025E82GN2G1", "SE-000272633")</f>
        <v>SE-000272633</v>
      </c>
      <c r="D5473" s="1" t="s">
        <v>0</v>
      </c>
      <c r="E5473" s="2">
        <v>0</v>
      </c>
      <c r="F5473" s="2">
        <v>0</v>
      </c>
      <c r="G5473" s="2">
        <v>0</v>
      </c>
      <c r="H5473" s="1" t="s">
        <v>0</v>
      </c>
      <c r="I5473" s="2">
        <v>0</v>
      </c>
      <c r="J5473" s="1">
        <v>45915.379618055558</v>
      </c>
    </row>
    <row r="5474" spans="1:10" x14ac:dyDescent="0.2">
      <c r="A5474" s="4" t="s">
        <v>1</v>
      </c>
      <c r="B5474" s="3" t="str">
        <f>HYPERLINK("https://otsuka-europe-crm.veevavault.com/ui/#object/approved_document__v/V5OZ025E82TFUPI", "Spain - HCP Survey Email - June 2025")</f>
        <v>Spain - HCP Survey Email - June 2025</v>
      </c>
      <c r="C5474" s="3" t="str">
        <f>HYPERLINK("https://otsuka-europe-crm.veevavault.com/ui/#object/sent_email__v/VBLZ025E82GN2G2", "SE-000272634")</f>
        <v>SE-000272634</v>
      </c>
      <c r="D5474" s="1" t="s">
        <v>0</v>
      </c>
      <c r="E5474" s="2">
        <v>0</v>
      </c>
      <c r="F5474" s="2">
        <v>0</v>
      </c>
      <c r="G5474" s="2">
        <v>0</v>
      </c>
      <c r="H5474" s="1" t="s">
        <v>0</v>
      </c>
      <c r="I5474" s="2">
        <v>0</v>
      </c>
      <c r="J5474" s="1">
        <v>45915.379675925928</v>
      </c>
    </row>
    <row r="5475" spans="1:10" x14ac:dyDescent="0.2">
      <c r="A5475" s="4" t="s">
        <v>1</v>
      </c>
      <c r="B5475" s="3" t="str">
        <f>HYPERLINK("https://otsuka-europe-crm.veevavault.com/ui/#object/approved_document__v/V5OZ025E82TFUPI", "Spain - HCP Survey Email - June 2025")</f>
        <v>Spain - HCP Survey Email - June 2025</v>
      </c>
      <c r="C5475" s="3" t="str">
        <f>HYPERLINK("https://otsuka-europe-crm.veevavault.com/ui/#object/sent_email__v/VBLZ025E82GN2G3", "SE-000272635")</f>
        <v>SE-000272635</v>
      </c>
      <c r="D5475" s="1" t="s">
        <v>0</v>
      </c>
      <c r="E5475" s="2">
        <v>0</v>
      </c>
      <c r="F5475" s="2">
        <v>0</v>
      </c>
      <c r="G5475" s="2">
        <v>0</v>
      </c>
      <c r="H5475" s="1" t="s">
        <v>0</v>
      </c>
      <c r="I5475" s="2">
        <v>0</v>
      </c>
      <c r="J5475" s="1">
        <v>45915.37740740741</v>
      </c>
    </row>
    <row r="5476" spans="1:10" x14ac:dyDescent="0.2">
      <c r="A5476" s="4" t="s">
        <v>1</v>
      </c>
      <c r="B5476" s="3" t="str">
        <f>HYPERLINK("https://otsuka-europe-crm.veevavault.com/ui/#object/approved_document__v/V5OZ025E82TFUPI", "Spain - HCP Survey Email - June 2025")</f>
        <v>Spain - HCP Survey Email - June 2025</v>
      </c>
      <c r="C5476" s="3" t="str">
        <f>HYPERLINK("https://otsuka-europe-crm.veevavault.com/ui/#object/sent_email__v/VBLZ025E82GN2G4", "SE-000272636")</f>
        <v>SE-000272636</v>
      </c>
      <c r="D5476" s="1" t="s">
        <v>0</v>
      </c>
      <c r="E5476" s="2">
        <v>0</v>
      </c>
      <c r="F5476" s="2">
        <v>0</v>
      </c>
      <c r="G5476" s="2">
        <v>0</v>
      </c>
      <c r="H5476" s="1" t="s">
        <v>0</v>
      </c>
      <c r="I5476" s="2">
        <v>0</v>
      </c>
      <c r="J5476" s="1">
        <v>45915.378009259257</v>
      </c>
    </row>
    <row r="5477" spans="1:10" x14ac:dyDescent="0.2">
      <c r="A5477" s="4" t="s">
        <v>1</v>
      </c>
      <c r="B5477" s="3" t="str">
        <f>HYPERLINK("https://otsuka-europe-crm.veevavault.com/ui/#object/approved_document__v/V5OZ025E82TFUPI", "Spain - HCP Survey Email - June 2025")</f>
        <v>Spain - HCP Survey Email - June 2025</v>
      </c>
      <c r="C5477" s="3" t="str">
        <f>HYPERLINK("https://otsuka-europe-crm.veevavault.com/ui/#object/sent_email__v/VBLZ025E82GN2G5", "SE-000272637")</f>
        <v>SE-000272637</v>
      </c>
      <c r="D5477" s="1">
        <v>45920.402824074074</v>
      </c>
      <c r="E5477" s="2">
        <v>1</v>
      </c>
      <c r="F5477" s="2">
        <v>2</v>
      </c>
      <c r="G5477" s="2">
        <v>0</v>
      </c>
      <c r="H5477" s="1" t="s">
        <v>0</v>
      </c>
      <c r="I5477" s="2">
        <v>0</v>
      </c>
      <c r="J5477" s="1">
        <v>45915.378217592595</v>
      </c>
    </row>
    <row r="5478" spans="1:10" x14ac:dyDescent="0.2">
      <c r="A5478" s="4" t="s">
        <v>1</v>
      </c>
      <c r="B5478" s="3" t="str">
        <f>HYPERLINK("https://otsuka-europe-crm.veevavault.com/ui/#object/approved_document__v/V5OZ025E82TFUPI", "Spain - HCP Survey Email - June 2025")</f>
        <v>Spain - HCP Survey Email - June 2025</v>
      </c>
      <c r="C5478" s="3" t="str">
        <f>HYPERLINK("https://otsuka-europe-crm.veevavault.com/ui/#object/sent_email__v/VBLZ025E82GN2G6", "SE-000272638")</f>
        <v>SE-000272638</v>
      </c>
      <c r="D5478" s="1" t="s">
        <v>0</v>
      </c>
      <c r="E5478" s="2">
        <v>0</v>
      </c>
      <c r="F5478" s="2">
        <v>0</v>
      </c>
      <c r="G5478" s="2">
        <v>0</v>
      </c>
      <c r="H5478" s="1" t="s">
        <v>0</v>
      </c>
      <c r="I5478" s="2">
        <v>0</v>
      </c>
      <c r="J5478" s="1">
        <v>45915.378935185188</v>
      </c>
    </row>
    <row r="5479" spans="1:10" x14ac:dyDescent="0.2">
      <c r="A5479" s="4" t="s">
        <v>1</v>
      </c>
      <c r="B5479" s="3" t="str">
        <f>HYPERLINK("https://otsuka-europe-crm.veevavault.com/ui/#object/approved_document__v/V5OZ025E82TFUPI", "Spain - HCP Survey Email - June 2025")</f>
        <v>Spain - HCP Survey Email - June 2025</v>
      </c>
      <c r="C5479" s="3" t="str">
        <f>HYPERLINK("https://otsuka-europe-crm.veevavault.com/ui/#object/sent_email__v/VBLZ025E82GN2G7", "SE-000272639")</f>
        <v>SE-000272639</v>
      </c>
      <c r="D5479" s="1">
        <v>45915.670613425929</v>
      </c>
      <c r="E5479" s="2">
        <v>1</v>
      </c>
      <c r="F5479" s="2">
        <v>1</v>
      </c>
      <c r="G5479" s="2">
        <v>0</v>
      </c>
      <c r="H5479" s="1" t="s">
        <v>0</v>
      </c>
      <c r="I5479" s="2">
        <v>0</v>
      </c>
      <c r="J5479" s="1">
        <v>45915.379155092596</v>
      </c>
    </row>
    <row r="5480" spans="1:10" x14ac:dyDescent="0.2">
      <c r="A5480" s="4" t="s">
        <v>1</v>
      </c>
      <c r="B5480" s="3" t="str">
        <f>HYPERLINK("https://otsuka-europe-crm.veevavault.com/ui/#object/approved_document__v/V5OZ025E82TFUPI", "Spain - HCP Survey Email - June 2025")</f>
        <v>Spain - HCP Survey Email - June 2025</v>
      </c>
      <c r="C5480" s="3" t="str">
        <f>HYPERLINK("https://otsuka-europe-crm.veevavault.com/ui/#object/sent_email__v/VBLZ025E82GN2G8", "SE-000272640")</f>
        <v>SE-000272640</v>
      </c>
      <c r="D5480" s="1" t="s">
        <v>0</v>
      </c>
      <c r="E5480" s="2">
        <v>0</v>
      </c>
      <c r="F5480" s="2">
        <v>0</v>
      </c>
      <c r="G5480" s="2">
        <v>0</v>
      </c>
      <c r="H5480" s="1" t="s">
        <v>0</v>
      </c>
      <c r="I5480" s="2">
        <v>0</v>
      </c>
      <c r="J5480" s="1">
        <v>45915.377615740741</v>
      </c>
    </row>
    <row r="5481" spans="1:10" x14ac:dyDescent="0.2">
      <c r="A5481" s="4" t="s">
        <v>1</v>
      </c>
      <c r="B5481" s="3" t="str">
        <f>HYPERLINK("https://otsuka-europe-crm.veevavault.com/ui/#object/approved_document__v/V5OZ025E82TFUPI", "Spain - HCP Survey Email - June 2025")</f>
        <v>Spain - HCP Survey Email - June 2025</v>
      </c>
      <c r="C5481" s="3" t="str">
        <f>HYPERLINK("https://otsuka-europe-crm.veevavault.com/ui/#object/sent_email__v/VBLZ025E82GN2G9", "SE-000272641")</f>
        <v>SE-000272641</v>
      </c>
      <c r="D5481" s="1" t="s">
        <v>0</v>
      </c>
      <c r="E5481" s="2">
        <v>0</v>
      </c>
      <c r="F5481" s="2">
        <v>0</v>
      </c>
      <c r="G5481" s="2">
        <v>0</v>
      </c>
      <c r="H5481" s="1" t="s">
        <v>0</v>
      </c>
      <c r="I5481" s="2">
        <v>0</v>
      </c>
      <c r="J5481" s="1">
        <v>45915.377858796295</v>
      </c>
    </row>
    <row r="5482" spans="1:10" x14ac:dyDescent="0.2">
      <c r="A5482" s="4" t="s">
        <v>1</v>
      </c>
      <c r="B5482" s="3" t="str">
        <f>HYPERLINK("https://otsuka-europe-crm.veevavault.com/ui/#object/approved_document__v/V5OZ025E82TFUPI", "Spain - HCP Survey Email - June 2025")</f>
        <v>Spain - HCP Survey Email - June 2025</v>
      </c>
      <c r="C5482" s="3" t="str">
        <f>HYPERLINK("https://otsuka-europe-crm.veevavault.com/ui/#object/sent_email__v/VBLZ025E82GN2GA", "SE-000272642")</f>
        <v>SE-000272642</v>
      </c>
      <c r="D5482" s="1">
        <v>45915.411076388889</v>
      </c>
      <c r="E5482" s="2">
        <v>1</v>
      </c>
      <c r="F5482" s="2">
        <v>2</v>
      </c>
      <c r="G5482" s="2">
        <v>1</v>
      </c>
      <c r="H5482" s="1">
        <v>45915.411446759259</v>
      </c>
      <c r="I5482" s="2">
        <v>4</v>
      </c>
      <c r="J5482" s="1">
        <v>45915.378564814811</v>
      </c>
    </row>
    <row r="5483" spans="1:10" x14ac:dyDescent="0.2">
      <c r="A5483" s="4" t="s">
        <v>1</v>
      </c>
      <c r="B5483" s="3" t="str">
        <f>HYPERLINK("https://otsuka-europe-crm.veevavault.com/ui/#object/approved_document__v/V5OZ025E82TFUPI", "Spain - HCP Survey Email - June 2025")</f>
        <v>Spain - HCP Survey Email - June 2025</v>
      </c>
      <c r="C5483" s="3" t="str">
        <f>HYPERLINK("https://otsuka-europe-crm.veevavault.com/ui/#object/sent_email__v/VBLZ025E82GN2GB", "SE-000272643")</f>
        <v>SE-000272643</v>
      </c>
      <c r="D5483" s="1">
        <v>45923.26054398148</v>
      </c>
      <c r="E5483" s="2">
        <v>1</v>
      </c>
      <c r="F5483" s="2">
        <v>2</v>
      </c>
      <c r="G5483" s="2">
        <v>0</v>
      </c>
      <c r="H5483" s="1" t="s">
        <v>0</v>
      </c>
      <c r="I5483" s="2">
        <v>0</v>
      </c>
      <c r="J5483" s="1">
        <v>45915.378587962965</v>
      </c>
    </row>
    <row r="5484" spans="1:10" x14ac:dyDescent="0.2">
      <c r="A5484" s="4" t="s">
        <v>1</v>
      </c>
      <c r="B5484" s="3" t="str">
        <f>HYPERLINK("https://otsuka-europe-crm.veevavault.com/ui/#object/approved_document__v/V5OZ025E82TFUPI", "Spain - HCP Survey Email - June 2025")</f>
        <v>Spain - HCP Survey Email - June 2025</v>
      </c>
      <c r="C5484" s="3" t="str">
        <f>HYPERLINK("https://otsuka-europe-crm.veevavault.com/ui/#object/sent_email__v/VBLZ025E82GN2GD", "SE-000272645")</f>
        <v>SE-000272645</v>
      </c>
      <c r="D5484" s="1">
        <v>45915.389247685183</v>
      </c>
      <c r="E5484" s="2">
        <v>1</v>
      </c>
      <c r="F5484" s="2">
        <v>1</v>
      </c>
      <c r="G5484" s="2">
        <v>0</v>
      </c>
      <c r="H5484" s="1" t="s">
        <v>0</v>
      </c>
      <c r="I5484" s="2">
        <v>0</v>
      </c>
      <c r="J5484" s="1">
        <v>45915.379733796297</v>
      </c>
    </row>
    <row r="5485" spans="1:10" x14ac:dyDescent="0.2">
      <c r="A5485" s="4" t="s">
        <v>1</v>
      </c>
      <c r="B5485" s="3" t="str">
        <f>HYPERLINK("https://otsuka-europe-crm.veevavault.com/ui/#object/approved_document__v/V5OZ025E82TFUPI", "Spain - HCP Survey Email - June 2025")</f>
        <v>Spain - HCP Survey Email - June 2025</v>
      </c>
      <c r="C5485" s="3" t="str">
        <f>HYPERLINK("https://otsuka-europe-crm.veevavault.com/ui/#object/sent_email__v/VBLZ025E82GN2GE", "SE-000272646")</f>
        <v>SE-000272646</v>
      </c>
      <c r="D5485" s="1" t="s">
        <v>0</v>
      </c>
      <c r="E5485" s="2">
        <v>0</v>
      </c>
      <c r="F5485" s="2">
        <v>0</v>
      </c>
      <c r="G5485" s="2">
        <v>0</v>
      </c>
      <c r="H5485" s="1" t="s">
        <v>0</v>
      </c>
      <c r="I5485" s="2">
        <v>0</v>
      </c>
      <c r="J5485" s="1">
        <v>45915.377395833333</v>
      </c>
    </row>
    <row r="5486" spans="1:10" x14ac:dyDescent="0.2">
      <c r="A5486" s="4" t="s">
        <v>1</v>
      </c>
      <c r="B5486" s="3" t="str">
        <f>HYPERLINK("https://otsuka-europe-crm.veevavault.com/ui/#object/approved_document__v/V5OZ025E82TFUPI", "Spain - HCP Survey Email - June 2025")</f>
        <v>Spain - HCP Survey Email - June 2025</v>
      </c>
      <c r="C5486" s="3" t="str">
        <f>HYPERLINK("https://otsuka-europe-crm.veevavault.com/ui/#object/sent_email__v/VBLZ025E82GN2GF", "SE-000272647")</f>
        <v>SE-000272647</v>
      </c>
      <c r="D5486" s="1">
        <v>45915.390868055554</v>
      </c>
      <c r="E5486" s="2">
        <v>1</v>
      </c>
      <c r="F5486" s="2">
        <v>1</v>
      </c>
      <c r="G5486" s="2">
        <v>0</v>
      </c>
      <c r="H5486" s="1" t="s">
        <v>0</v>
      </c>
      <c r="I5486" s="2">
        <v>0</v>
      </c>
      <c r="J5486" s="1">
        <v>45915.37809027778</v>
      </c>
    </row>
    <row r="5487" spans="1:10" x14ac:dyDescent="0.2">
      <c r="A5487" s="4" t="s">
        <v>1</v>
      </c>
      <c r="B5487" s="3" t="str">
        <f>HYPERLINK("https://otsuka-europe-crm.veevavault.com/ui/#object/approved_document__v/V5OZ025E82TFUPI", "Spain - HCP Survey Email - June 2025")</f>
        <v>Spain - HCP Survey Email - June 2025</v>
      </c>
      <c r="C5487" s="3" t="str">
        <f>HYPERLINK("https://otsuka-europe-crm.veevavault.com/ui/#object/sent_email__v/VBLZ025E82GN2GG", "SE-000272648")</f>
        <v>SE-000272648</v>
      </c>
      <c r="D5487" s="1" t="s">
        <v>0</v>
      </c>
      <c r="E5487" s="2">
        <v>0</v>
      </c>
      <c r="F5487" s="2">
        <v>0</v>
      </c>
      <c r="G5487" s="2">
        <v>0</v>
      </c>
      <c r="H5487" s="1" t="s">
        <v>0</v>
      </c>
      <c r="I5487" s="2">
        <v>0</v>
      </c>
      <c r="J5487" s="1">
        <v>45915.378321759257</v>
      </c>
    </row>
    <row r="5488" spans="1:10" x14ac:dyDescent="0.2">
      <c r="A5488" s="4" t="s">
        <v>1</v>
      </c>
      <c r="B5488" s="3" t="str">
        <f>HYPERLINK("https://otsuka-europe-crm.veevavault.com/ui/#object/approved_document__v/V5OZ025E82TFUPI", "Spain - HCP Survey Email - June 2025")</f>
        <v>Spain - HCP Survey Email - June 2025</v>
      </c>
      <c r="C5488" s="3" t="str">
        <f>HYPERLINK("https://otsuka-europe-crm.veevavault.com/ui/#object/sent_email__v/VBLZ025E82GN2GH", "SE-000272649")</f>
        <v>SE-000272649</v>
      </c>
      <c r="D5488" s="1" t="s">
        <v>0</v>
      </c>
      <c r="E5488" s="2">
        <v>0</v>
      </c>
      <c r="F5488" s="2">
        <v>0</v>
      </c>
      <c r="G5488" s="2">
        <v>0</v>
      </c>
      <c r="H5488" s="1" t="s">
        <v>0</v>
      </c>
      <c r="I5488" s="2">
        <v>0</v>
      </c>
      <c r="J5488" s="1">
        <v>45915.378993055558</v>
      </c>
    </row>
    <row r="5489" spans="1:10" x14ac:dyDescent="0.2">
      <c r="A5489" s="4" t="s">
        <v>1</v>
      </c>
      <c r="B5489" s="3" t="str">
        <f>HYPERLINK("https://otsuka-europe-crm.veevavault.com/ui/#object/approved_document__v/V5OZ025E82TFUPI", "Spain - HCP Survey Email - June 2025")</f>
        <v>Spain - HCP Survey Email - June 2025</v>
      </c>
      <c r="C5489" s="3" t="str">
        <f>HYPERLINK("https://otsuka-europe-crm.veevavault.com/ui/#object/sent_email__v/VBLZ025E82GN2GI", "SE-000272650")</f>
        <v>SE-000272650</v>
      </c>
      <c r="D5489" s="1">
        <v>45915.644803240742</v>
      </c>
      <c r="E5489" s="2">
        <v>1</v>
      </c>
      <c r="F5489" s="2">
        <v>2</v>
      </c>
      <c r="G5489" s="2">
        <v>0</v>
      </c>
      <c r="H5489" s="1" t="s">
        <v>0</v>
      </c>
      <c r="I5489" s="2">
        <v>0</v>
      </c>
      <c r="J5489" s="1">
        <v>45915.377442129633</v>
      </c>
    </row>
    <row r="5490" spans="1:10" x14ac:dyDescent="0.2">
      <c r="A5490" s="4" t="s">
        <v>1</v>
      </c>
      <c r="B5490" s="3" t="str">
        <f>HYPERLINK("https://otsuka-europe-crm.veevavault.com/ui/#object/approved_document__v/V5OZ025E82TFUPI", "Spain - HCP Survey Email - June 2025")</f>
        <v>Spain - HCP Survey Email - June 2025</v>
      </c>
      <c r="C5490" s="3" t="str">
        <f>HYPERLINK("https://otsuka-europe-crm.veevavault.com/ui/#object/sent_email__v/VBLZ025E82GN2GJ", "SE-000272651")</f>
        <v>SE-000272651</v>
      </c>
      <c r="D5490" s="1">
        <v>45929.714525462965</v>
      </c>
      <c r="E5490" s="2">
        <v>1</v>
      </c>
      <c r="F5490" s="2">
        <v>1</v>
      </c>
      <c r="G5490" s="2">
        <v>0</v>
      </c>
      <c r="H5490" s="1" t="s">
        <v>0</v>
      </c>
      <c r="I5490" s="2">
        <v>0</v>
      </c>
      <c r="J5490" s="1">
        <v>45915.378101851849</v>
      </c>
    </row>
    <row r="5491" spans="1:10" x14ac:dyDescent="0.2">
      <c r="A5491" s="4" t="s">
        <v>1</v>
      </c>
      <c r="B5491" s="3" t="str">
        <f>HYPERLINK("https://otsuka-europe-crm.veevavault.com/ui/#object/approved_document__v/V5OZ025E82TFUPI", "Spain - HCP Survey Email - June 2025")</f>
        <v>Spain - HCP Survey Email - June 2025</v>
      </c>
      <c r="C5491" s="3" t="str">
        <f>HYPERLINK("https://otsuka-europe-crm.veevavault.com/ui/#object/sent_email__v/VBLZ025E82GN2GK", "SE-000272652")</f>
        <v>SE-000272652</v>
      </c>
      <c r="D5491" s="1">
        <v>45917.623124999998</v>
      </c>
      <c r="E5491" s="2">
        <v>1</v>
      </c>
      <c r="F5491" s="2">
        <v>2</v>
      </c>
      <c r="G5491" s="2">
        <v>0</v>
      </c>
      <c r="H5491" s="1" t="s">
        <v>0</v>
      </c>
      <c r="I5491" s="2">
        <v>0</v>
      </c>
      <c r="J5491" s="1">
        <v>45915.378240740742</v>
      </c>
    </row>
    <row r="5492" spans="1:10" x14ac:dyDescent="0.2">
      <c r="A5492" s="4" t="s">
        <v>1</v>
      </c>
      <c r="B5492" s="3" t="str">
        <f>HYPERLINK("https://otsuka-europe-crm.veevavault.com/ui/#object/approved_document__v/V5OZ025E82TFUPI", "Spain - HCP Survey Email - June 2025")</f>
        <v>Spain - HCP Survey Email - June 2025</v>
      </c>
      <c r="C5492" s="3" t="str">
        <f>HYPERLINK("https://otsuka-europe-crm.veevavault.com/ui/#object/sent_email__v/VBLZ025E82GN2GL", "SE-000272653")</f>
        <v>SE-000272653</v>
      </c>
      <c r="D5492" s="1" t="s">
        <v>0</v>
      </c>
      <c r="E5492" s="2">
        <v>0</v>
      </c>
      <c r="F5492" s="2">
        <v>0</v>
      </c>
      <c r="G5492" s="2">
        <v>0</v>
      </c>
      <c r="H5492" s="1" t="s">
        <v>0</v>
      </c>
      <c r="I5492" s="2">
        <v>0</v>
      </c>
      <c r="J5492" s="1">
        <v>45915.378969907404</v>
      </c>
    </row>
    <row r="5493" spans="1:10" x14ac:dyDescent="0.2">
      <c r="A5493" s="4" t="s">
        <v>1</v>
      </c>
      <c r="B5493" s="3" t="str">
        <f>HYPERLINK("https://otsuka-europe-crm.veevavault.com/ui/#object/approved_document__v/V5OZ025E82TFUPI", "Spain - HCP Survey Email - June 2025")</f>
        <v>Spain - HCP Survey Email - June 2025</v>
      </c>
      <c r="C5493" s="3" t="str">
        <f>HYPERLINK("https://otsuka-europe-crm.veevavault.com/ui/#object/sent_email__v/VBLZ025E82GN2GM", "SE-000272654")</f>
        <v>SE-000272654</v>
      </c>
      <c r="D5493" s="1" t="s">
        <v>0</v>
      </c>
      <c r="E5493" s="2">
        <v>0</v>
      </c>
      <c r="F5493" s="2">
        <v>0</v>
      </c>
      <c r="G5493" s="2">
        <v>0</v>
      </c>
      <c r="H5493" s="1" t="s">
        <v>0</v>
      </c>
      <c r="I5493" s="2">
        <v>0</v>
      </c>
      <c r="J5493" s="1">
        <v>45915.379131944443</v>
      </c>
    </row>
    <row r="5494" spans="1:10" x14ac:dyDescent="0.2">
      <c r="A5494" s="4" t="s">
        <v>1</v>
      </c>
      <c r="B5494" s="3" t="str">
        <f>HYPERLINK("https://otsuka-europe-crm.veevavault.com/ui/#object/approved_document__v/V5OZ025E82TFUPI", "Spain - HCP Survey Email - June 2025")</f>
        <v>Spain - HCP Survey Email - June 2025</v>
      </c>
      <c r="C5494" s="3" t="str">
        <f>HYPERLINK("https://otsuka-europe-crm.veevavault.com/ui/#object/sent_email__v/VBLZ025E82GN2GN", "SE-000272655")</f>
        <v>SE-000272655</v>
      </c>
      <c r="D5494" s="1" t="s">
        <v>0</v>
      </c>
      <c r="E5494" s="2">
        <v>0</v>
      </c>
      <c r="F5494" s="2">
        <v>0</v>
      </c>
      <c r="G5494" s="2">
        <v>0</v>
      </c>
      <c r="H5494" s="1" t="s">
        <v>0</v>
      </c>
      <c r="I5494" s="2">
        <v>0</v>
      </c>
      <c r="J5494" s="1">
        <v>45915.377592592595</v>
      </c>
    </row>
    <row r="5495" spans="1:10" x14ac:dyDescent="0.2">
      <c r="A5495" s="4" t="s">
        <v>1</v>
      </c>
      <c r="B5495" s="3" t="str">
        <f>HYPERLINK("https://otsuka-europe-crm.veevavault.com/ui/#object/approved_document__v/V5OZ025E82TFUPI", "Spain - HCP Survey Email - June 2025")</f>
        <v>Spain - HCP Survey Email - June 2025</v>
      </c>
      <c r="C5495" s="3" t="str">
        <f>HYPERLINK("https://otsuka-europe-crm.veevavault.com/ui/#object/sent_email__v/VBLZ025E82GN2GO", "SE-000272656")</f>
        <v>SE-000272656</v>
      </c>
      <c r="D5495" s="1" t="s">
        <v>0</v>
      </c>
      <c r="E5495" s="2">
        <v>0</v>
      </c>
      <c r="F5495" s="2">
        <v>0</v>
      </c>
      <c r="G5495" s="2">
        <v>0</v>
      </c>
      <c r="H5495" s="1" t="s">
        <v>0</v>
      </c>
      <c r="I5495" s="2">
        <v>0</v>
      </c>
      <c r="J5495" s="1">
        <v>45915.37771990741</v>
      </c>
    </row>
    <row r="5496" spans="1:10" x14ac:dyDescent="0.2">
      <c r="A5496" s="4" t="s">
        <v>1</v>
      </c>
      <c r="B5496" s="3" t="str">
        <f>HYPERLINK("https://otsuka-europe-crm.veevavault.com/ui/#object/approved_document__v/V5OZ025E82TFUPI", "Spain - HCP Survey Email - June 2025")</f>
        <v>Spain - HCP Survey Email - June 2025</v>
      </c>
      <c r="C5496" s="3" t="str">
        <f>HYPERLINK("https://otsuka-europe-crm.veevavault.com/ui/#object/sent_email__v/VBLZ025E82GN2GP", "SE-000272657")</f>
        <v>SE-000272657</v>
      </c>
      <c r="D5496" s="1" t="s">
        <v>0</v>
      </c>
      <c r="E5496" s="2">
        <v>0</v>
      </c>
      <c r="F5496" s="2">
        <v>0</v>
      </c>
      <c r="G5496" s="2">
        <v>0</v>
      </c>
      <c r="H5496" s="1" t="s">
        <v>0</v>
      </c>
      <c r="I5496" s="2">
        <v>0</v>
      </c>
      <c r="J5496" s="1">
        <v>45915.378425925926</v>
      </c>
    </row>
    <row r="5497" spans="1:10" x14ac:dyDescent="0.2">
      <c r="A5497" s="4" t="s">
        <v>1</v>
      </c>
      <c r="B5497" s="3" t="str">
        <f>HYPERLINK("https://otsuka-europe-crm.veevavault.com/ui/#object/approved_document__v/V5OZ025E82TFUPI", "Spain - HCP Survey Email - June 2025")</f>
        <v>Spain - HCP Survey Email - June 2025</v>
      </c>
      <c r="C5497" s="3" t="str">
        <f>HYPERLINK("https://otsuka-europe-crm.veevavault.com/ui/#object/sent_email__v/VBLZ025E82GN2GQ", "SE-000272658")</f>
        <v>SE-000272658</v>
      </c>
      <c r="D5497" s="1" t="s">
        <v>0</v>
      </c>
      <c r="E5497" s="2">
        <v>0</v>
      </c>
      <c r="F5497" s="2">
        <v>0</v>
      </c>
      <c r="G5497" s="2">
        <v>0</v>
      </c>
      <c r="H5497" s="1" t="s">
        <v>0</v>
      </c>
      <c r="I5497" s="2">
        <v>0</v>
      </c>
      <c r="J5497" s="1">
        <v>45915.378680555557</v>
      </c>
    </row>
    <row r="5498" spans="1:10" x14ac:dyDescent="0.2">
      <c r="A5498" s="4" t="s">
        <v>1</v>
      </c>
      <c r="B5498" s="3" t="str">
        <f>HYPERLINK("https://otsuka-europe-crm.veevavault.com/ui/#object/approved_document__v/V5OZ025E82TFUPI", "Spain - HCP Survey Email - June 2025")</f>
        <v>Spain - HCP Survey Email - June 2025</v>
      </c>
      <c r="C5498" s="3" t="str">
        <f>HYPERLINK("https://otsuka-europe-crm.veevavault.com/ui/#object/sent_email__v/VBLZ025E82GN2GR", "SE-000272659")</f>
        <v>SE-000272659</v>
      </c>
      <c r="D5498" s="1">
        <v>45928.304027777776</v>
      </c>
      <c r="E5498" s="2">
        <v>1</v>
      </c>
      <c r="F5498" s="2">
        <v>9</v>
      </c>
      <c r="G5498" s="2">
        <v>0</v>
      </c>
      <c r="H5498" s="1" t="s">
        <v>0</v>
      </c>
      <c r="I5498" s="2">
        <v>0</v>
      </c>
      <c r="J5498" s="1">
        <v>45915.379606481481</v>
      </c>
    </row>
    <row r="5499" spans="1:10" x14ac:dyDescent="0.2">
      <c r="A5499" s="4" t="s">
        <v>1</v>
      </c>
      <c r="B5499" s="3" t="str">
        <f>HYPERLINK("https://otsuka-europe-crm.veevavault.com/ui/#object/approved_document__v/V5OZ025E82TFUPI", "Spain - HCP Survey Email - June 2025")</f>
        <v>Spain - HCP Survey Email - June 2025</v>
      </c>
      <c r="C5499" s="3" t="str">
        <f>HYPERLINK("https://otsuka-europe-crm.veevavault.com/ui/#object/sent_email__v/VBLZ025E82GN2GS", "SE-000272660")</f>
        <v>SE-000272660</v>
      </c>
      <c r="D5499" s="1" t="s">
        <v>0</v>
      </c>
      <c r="E5499" s="2">
        <v>0</v>
      </c>
      <c r="F5499" s="2">
        <v>0</v>
      </c>
      <c r="G5499" s="2">
        <v>0</v>
      </c>
      <c r="H5499" s="1" t="s">
        <v>0</v>
      </c>
      <c r="I5499" s="2">
        <v>0</v>
      </c>
      <c r="J5499" s="1">
        <v>45915.379733796297</v>
      </c>
    </row>
    <row r="5500" spans="1:10" x14ac:dyDescent="0.2">
      <c r="A5500" s="4" t="s">
        <v>1</v>
      </c>
      <c r="B5500" s="3" t="str">
        <f>HYPERLINK("https://otsuka-europe-crm.veevavault.com/ui/#object/approved_document__v/V5OZ025E82TFUPI", "Spain - HCP Survey Email - June 2025")</f>
        <v>Spain - HCP Survey Email - June 2025</v>
      </c>
      <c r="C5500" s="3" t="str">
        <f>HYPERLINK("https://otsuka-europe-crm.veevavault.com/ui/#object/sent_email__v/VBLZ025E82GN2GT", "SE-000272661")</f>
        <v>SE-000272661</v>
      </c>
      <c r="D5500" s="1">
        <v>45918.901284722226</v>
      </c>
      <c r="E5500" s="2">
        <v>1</v>
      </c>
      <c r="F5500" s="2">
        <v>1</v>
      </c>
      <c r="G5500" s="2">
        <v>1</v>
      </c>
      <c r="H5500" s="1">
        <v>45918.901342592595</v>
      </c>
      <c r="I5500" s="2">
        <v>1</v>
      </c>
      <c r="J5500" s="1">
        <v>45915.377395833333</v>
      </c>
    </row>
    <row r="5501" spans="1:10" x14ac:dyDescent="0.2">
      <c r="A5501" s="4" t="s">
        <v>1</v>
      </c>
      <c r="B5501" s="3" t="str">
        <f>HYPERLINK("https://otsuka-europe-crm.veevavault.com/ui/#object/approved_document__v/V5OZ025E82TFUPI", "Spain - HCP Survey Email - June 2025")</f>
        <v>Spain - HCP Survey Email - June 2025</v>
      </c>
      <c r="C5501" s="3" t="str">
        <f>HYPERLINK("https://otsuka-europe-crm.veevavault.com/ui/#object/sent_email__v/VBLZ025E82GN2GU", "SE-000272662")</f>
        <v>SE-000272662</v>
      </c>
      <c r="D5501" s="1">
        <v>45917.915601851855</v>
      </c>
      <c r="E5501" s="2">
        <v>1</v>
      </c>
      <c r="F5501" s="2">
        <v>1</v>
      </c>
      <c r="G5501" s="2">
        <v>0</v>
      </c>
      <c r="H5501" s="1" t="s">
        <v>0</v>
      </c>
      <c r="I5501" s="2">
        <v>0</v>
      </c>
      <c r="J5501" s="1">
        <v>45915.378067129626</v>
      </c>
    </row>
    <row r="5502" spans="1:10" x14ac:dyDescent="0.2">
      <c r="A5502" s="4" t="s">
        <v>1</v>
      </c>
      <c r="B5502" s="3" t="str">
        <f>HYPERLINK("https://otsuka-europe-crm.veevavault.com/ui/#object/approved_document__v/V5OZ025E82TFUPI", "Spain - HCP Survey Email - June 2025")</f>
        <v>Spain - HCP Survey Email - June 2025</v>
      </c>
      <c r="C5502" s="3" t="str">
        <f>HYPERLINK("https://otsuka-europe-crm.veevavault.com/ui/#object/sent_email__v/VBLZ025E82GN2GV", "SE-000272663")</f>
        <v>SE-000272663</v>
      </c>
      <c r="D5502" s="1" t="s">
        <v>0</v>
      </c>
      <c r="E5502" s="2">
        <v>0</v>
      </c>
      <c r="F5502" s="2">
        <v>0</v>
      </c>
      <c r="G5502" s="2">
        <v>0</v>
      </c>
      <c r="H5502" s="1" t="s">
        <v>0</v>
      </c>
      <c r="I5502" s="2">
        <v>0</v>
      </c>
      <c r="J5502" s="1">
        <v>45915.378298611111</v>
      </c>
    </row>
    <row r="5503" spans="1:10" x14ac:dyDescent="0.2">
      <c r="A5503" s="4" t="s">
        <v>1</v>
      </c>
      <c r="B5503" s="3" t="str">
        <f>HYPERLINK("https://otsuka-europe-crm.veevavault.com/ui/#object/approved_document__v/V5OZ025E82TFUPI", "Spain - HCP Survey Email - June 2025")</f>
        <v>Spain - HCP Survey Email - June 2025</v>
      </c>
      <c r="C5503" s="3" t="str">
        <f>HYPERLINK("https://otsuka-europe-crm.veevavault.com/ui/#object/sent_email__v/VBLZ025E82GN2GW", "SE-000272664")</f>
        <v>SE-000272664</v>
      </c>
      <c r="D5503" s="1">
        <v>45915.528460648151</v>
      </c>
      <c r="E5503" s="2">
        <v>1</v>
      </c>
      <c r="F5503" s="2">
        <v>1</v>
      </c>
      <c r="G5503" s="2">
        <v>0</v>
      </c>
      <c r="H5503" s="1" t="s">
        <v>0</v>
      </c>
      <c r="I5503" s="2">
        <v>0</v>
      </c>
      <c r="J5503" s="1">
        <v>45915.379016203704</v>
      </c>
    </row>
    <row r="5504" spans="1:10" x14ac:dyDescent="0.2">
      <c r="A5504" s="4" t="s">
        <v>1</v>
      </c>
      <c r="B5504" s="3" t="str">
        <f>HYPERLINK("https://otsuka-europe-crm.veevavault.com/ui/#object/approved_document__v/V5OZ025E82TFUPI", "Spain - HCP Survey Email - June 2025")</f>
        <v>Spain - HCP Survey Email - June 2025</v>
      </c>
      <c r="C5504" s="3" t="str">
        <f>HYPERLINK("https://otsuka-europe-crm.veevavault.com/ui/#object/sent_email__v/VBLZ025E82GN2GX", "SE-000272665")</f>
        <v>SE-000272665</v>
      </c>
      <c r="D5504" s="1" t="s">
        <v>0</v>
      </c>
      <c r="E5504" s="2">
        <v>0</v>
      </c>
      <c r="F5504" s="2">
        <v>0</v>
      </c>
      <c r="G5504" s="2">
        <v>0</v>
      </c>
      <c r="H5504" s="1" t="s">
        <v>0</v>
      </c>
      <c r="I5504" s="2">
        <v>0</v>
      </c>
      <c r="J5504" s="1">
        <v>45915.379212962966</v>
      </c>
    </row>
    <row r="5505" spans="1:10" x14ac:dyDescent="0.2">
      <c r="A5505" s="4" t="s">
        <v>1</v>
      </c>
      <c r="B5505" s="3" t="str">
        <f>HYPERLINK("https://otsuka-europe-crm.veevavault.com/ui/#object/approved_document__v/V5OZ025E82TFUPI", "Spain - HCP Survey Email - June 2025")</f>
        <v>Spain - HCP Survey Email - June 2025</v>
      </c>
      <c r="C5505" s="3" t="str">
        <f>HYPERLINK("https://otsuka-europe-crm.veevavault.com/ui/#object/sent_email__v/VBLZ025E82GN2GZ", "SE-000272667")</f>
        <v>SE-000272667</v>
      </c>
      <c r="D5505" s="1">
        <v>45915.380891203706</v>
      </c>
      <c r="E5505" s="2">
        <v>1</v>
      </c>
      <c r="F5505" s="2">
        <v>1</v>
      </c>
      <c r="G5505" s="2">
        <v>0</v>
      </c>
      <c r="H5505" s="1" t="s">
        <v>0</v>
      </c>
      <c r="I5505" s="2">
        <v>0</v>
      </c>
      <c r="J5505" s="1">
        <v>45915.377754629626</v>
      </c>
    </row>
    <row r="5506" spans="1:10" x14ac:dyDescent="0.2">
      <c r="A5506" s="4" t="s">
        <v>1</v>
      </c>
      <c r="B5506" s="3" t="str">
        <f>HYPERLINK("https://otsuka-europe-crm.veevavault.com/ui/#object/approved_document__v/V5OZ025E82TFUPI", "Spain - HCP Survey Email - June 2025")</f>
        <v>Spain - HCP Survey Email - June 2025</v>
      </c>
      <c r="C5506" s="3" t="str">
        <f>HYPERLINK("https://otsuka-europe-crm.veevavault.com/ui/#object/sent_email__v/VBLZ025E82GN2H0", "SE-000272668")</f>
        <v>SE-000272668</v>
      </c>
      <c r="D5506" s="1" t="s">
        <v>0</v>
      </c>
      <c r="E5506" s="2">
        <v>0</v>
      </c>
      <c r="F5506" s="2">
        <v>0</v>
      </c>
      <c r="G5506" s="2">
        <v>0</v>
      </c>
      <c r="H5506" s="1" t="s">
        <v>0</v>
      </c>
      <c r="I5506" s="2">
        <v>0</v>
      </c>
      <c r="J5506" s="1">
        <v>45915.378460648149</v>
      </c>
    </row>
    <row r="5507" spans="1:10" x14ac:dyDescent="0.2">
      <c r="A5507" s="4" t="s">
        <v>1</v>
      </c>
      <c r="B5507" s="3" t="str">
        <f>HYPERLINK("https://otsuka-europe-crm.veevavault.com/ui/#object/approved_document__v/V5OZ025E82TFUPI", "Spain - HCP Survey Email - June 2025")</f>
        <v>Spain - HCP Survey Email - June 2025</v>
      </c>
      <c r="C5507" s="3" t="str">
        <f>HYPERLINK("https://otsuka-europe-crm.veevavault.com/ui/#object/sent_email__v/VBLZ025E82GN2H1", "SE-000272669")</f>
        <v>SE-000272669</v>
      </c>
      <c r="D5507" s="1">
        <v>45921.702743055554</v>
      </c>
      <c r="E5507" s="2">
        <v>1</v>
      </c>
      <c r="F5507" s="2">
        <v>4</v>
      </c>
      <c r="G5507" s="2">
        <v>1</v>
      </c>
      <c r="H5507" s="1">
        <v>45916.280289351853</v>
      </c>
      <c r="I5507" s="2">
        <v>1</v>
      </c>
      <c r="J5507" s="1">
        <v>45915.378622685188</v>
      </c>
    </row>
    <row r="5508" spans="1:10" x14ac:dyDescent="0.2">
      <c r="A5508" s="4" t="s">
        <v>1</v>
      </c>
      <c r="B5508" s="3" t="str">
        <f>HYPERLINK("https://otsuka-europe-crm.veevavault.com/ui/#object/approved_document__v/V5OZ025E82TFUPI", "Spain - HCP Survey Email - June 2025")</f>
        <v>Spain - HCP Survey Email - June 2025</v>
      </c>
      <c r="C5508" s="3" t="str">
        <f>HYPERLINK("https://otsuka-europe-crm.veevavault.com/ui/#object/sent_email__v/VBLZ025E82GN2H2", "SE-000272670")</f>
        <v>SE-000272670</v>
      </c>
      <c r="D5508" s="1" t="s">
        <v>0</v>
      </c>
      <c r="E5508" s="2">
        <v>0</v>
      </c>
      <c r="F5508" s="2">
        <v>0</v>
      </c>
      <c r="G5508" s="2">
        <v>0</v>
      </c>
      <c r="H5508" s="1" t="s">
        <v>0</v>
      </c>
      <c r="I5508" s="2">
        <v>0</v>
      </c>
      <c r="J5508" s="1">
        <v>45915.379444444443</v>
      </c>
    </row>
    <row r="5509" spans="1:10" x14ac:dyDescent="0.2">
      <c r="A5509" s="4" t="s">
        <v>1</v>
      </c>
      <c r="B5509" s="3" t="str">
        <f>HYPERLINK("https://otsuka-europe-crm.veevavault.com/ui/#object/approved_document__v/V5OZ025E82TFUPI", "Spain - HCP Survey Email - June 2025")</f>
        <v>Spain - HCP Survey Email - June 2025</v>
      </c>
      <c r="C5509" s="3" t="str">
        <f>HYPERLINK("https://otsuka-europe-crm.veevavault.com/ui/#object/sent_email__v/VBLZ025E82GN2H3", "SE-000272671")</f>
        <v>SE-000272671</v>
      </c>
      <c r="D5509" s="1" t="s">
        <v>0</v>
      </c>
      <c r="E5509" s="2">
        <v>0</v>
      </c>
      <c r="F5509" s="2">
        <v>0</v>
      </c>
      <c r="G5509" s="2">
        <v>0</v>
      </c>
      <c r="H5509" s="1" t="s">
        <v>0</v>
      </c>
      <c r="I5509" s="2">
        <v>0</v>
      </c>
      <c r="J5509" s="1">
        <v>45915.379861111112</v>
      </c>
    </row>
    <row r="5510" spans="1:10" x14ac:dyDescent="0.2">
      <c r="A5510" s="4" t="s">
        <v>1</v>
      </c>
      <c r="B5510" s="3" t="str">
        <f>HYPERLINK("https://otsuka-europe-crm.veevavault.com/ui/#object/approved_document__v/V5OZ025E82TFUPI", "Spain - HCP Survey Email - June 2025")</f>
        <v>Spain - HCP Survey Email - June 2025</v>
      </c>
      <c r="C5510" s="3" t="str">
        <f>HYPERLINK("https://otsuka-europe-crm.veevavault.com/ui/#object/sent_email__v/VBLZ025E82GN2H4", "SE-000272672")</f>
        <v>SE-000272672</v>
      </c>
      <c r="D5510" s="1" t="s">
        <v>0</v>
      </c>
      <c r="E5510" s="2">
        <v>0</v>
      </c>
      <c r="F5510" s="2">
        <v>0</v>
      </c>
      <c r="G5510" s="2">
        <v>0</v>
      </c>
      <c r="H5510" s="1" t="s">
        <v>0</v>
      </c>
      <c r="I5510" s="2">
        <v>0</v>
      </c>
      <c r="J5510" s="1">
        <v>45915.377395833333</v>
      </c>
    </row>
    <row r="5511" spans="1:10" x14ac:dyDescent="0.2">
      <c r="A5511" s="4" t="s">
        <v>1</v>
      </c>
      <c r="B5511" s="3" t="str">
        <f>HYPERLINK("https://otsuka-europe-crm.veevavault.com/ui/#object/approved_document__v/V5OZ025E82TFUPI", "Spain - HCP Survey Email - June 2025")</f>
        <v>Spain - HCP Survey Email - June 2025</v>
      </c>
      <c r="C5511" s="3" t="str">
        <f>HYPERLINK("https://otsuka-europe-crm.veevavault.com/ui/#object/sent_email__v/VBLZ025E82GN2H5", "SE-000272673")</f>
        <v>SE-000272673</v>
      </c>
      <c r="D5511" s="1">
        <v>45915.385879629626</v>
      </c>
      <c r="E5511" s="2">
        <v>1</v>
      </c>
      <c r="F5511" s="2">
        <v>2</v>
      </c>
      <c r="G5511" s="2">
        <v>0</v>
      </c>
      <c r="H5511" s="1" t="s">
        <v>0</v>
      </c>
      <c r="I5511" s="2">
        <v>0</v>
      </c>
      <c r="J5511" s="1">
        <v>45915.378113425926</v>
      </c>
    </row>
    <row r="5512" spans="1:10" x14ac:dyDescent="0.2">
      <c r="A5512" s="4" t="s">
        <v>1</v>
      </c>
      <c r="B5512" s="3" t="str">
        <f>HYPERLINK("https://otsuka-europe-crm.veevavault.com/ui/#object/approved_document__v/V5OZ025E82TFUPI", "Spain - HCP Survey Email - June 2025")</f>
        <v>Spain - HCP Survey Email - June 2025</v>
      </c>
      <c r="C5512" s="3" t="str">
        <f>HYPERLINK("https://otsuka-europe-crm.veevavault.com/ui/#object/sent_email__v/VBLZ025E82GN2H6", "SE-000272674")</f>
        <v>SE-000272674</v>
      </c>
      <c r="D5512" s="1" t="s">
        <v>0</v>
      </c>
      <c r="E5512" s="2">
        <v>0</v>
      </c>
      <c r="F5512" s="2">
        <v>0</v>
      </c>
      <c r="G5512" s="2">
        <v>0</v>
      </c>
      <c r="H5512" s="1" t="s">
        <v>0</v>
      </c>
      <c r="I5512" s="2">
        <v>0</v>
      </c>
      <c r="J5512" s="1">
        <v>45915.378206018519</v>
      </c>
    </row>
    <row r="5513" spans="1:10" x14ac:dyDescent="0.2">
      <c r="A5513" s="4" t="s">
        <v>1</v>
      </c>
      <c r="B5513" s="3" t="str">
        <f>HYPERLINK("https://otsuka-europe-crm.veevavault.com/ui/#object/approved_document__v/V5OZ025E82TFUPI", "Spain - HCP Survey Email - June 2025")</f>
        <v>Spain - HCP Survey Email - June 2025</v>
      </c>
      <c r="C5513" s="3" t="str">
        <f>HYPERLINK("https://otsuka-europe-crm.veevavault.com/ui/#object/sent_email__v/VBLZ025E82GN2H7", "SE-000272675")</f>
        <v>SE-000272675</v>
      </c>
      <c r="D5513" s="1" t="s">
        <v>0</v>
      </c>
      <c r="E5513" s="2">
        <v>0</v>
      </c>
      <c r="F5513" s="2">
        <v>0</v>
      </c>
      <c r="G5513" s="2">
        <v>0</v>
      </c>
      <c r="H5513" s="1" t="s">
        <v>0</v>
      </c>
      <c r="I5513" s="2">
        <v>0</v>
      </c>
      <c r="J5513" s="1">
        <v>45915.378958333335</v>
      </c>
    </row>
    <row r="5514" spans="1:10" x14ac:dyDescent="0.2">
      <c r="A5514" s="4" t="s">
        <v>1</v>
      </c>
      <c r="B5514" s="3" t="str">
        <f>HYPERLINK("https://otsuka-europe-crm.veevavault.com/ui/#object/approved_document__v/V5OZ025E82TFUPI", "Spain - HCP Survey Email - June 2025")</f>
        <v>Spain - HCP Survey Email - June 2025</v>
      </c>
      <c r="C5514" s="3" t="str">
        <f>HYPERLINK("https://otsuka-europe-crm.veevavault.com/ui/#object/sent_email__v/VBLZ025E82GN2H8", "SE-000272676")</f>
        <v>SE-000272676</v>
      </c>
      <c r="D5514" s="1">
        <v>45915.735555555555</v>
      </c>
      <c r="E5514" s="2">
        <v>1</v>
      </c>
      <c r="F5514" s="2">
        <v>1</v>
      </c>
      <c r="G5514" s="2">
        <v>0</v>
      </c>
      <c r="H5514" s="1" t="s">
        <v>0</v>
      </c>
      <c r="I5514" s="2">
        <v>0</v>
      </c>
      <c r="J5514" s="1">
        <v>45915.379803240743</v>
      </c>
    </row>
    <row r="5515" spans="1:10" x14ac:dyDescent="0.2">
      <c r="A5515" s="4" t="s">
        <v>1</v>
      </c>
      <c r="B5515" s="3" t="str">
        <f>HYPERLINK("https://otsuka-europe-crm.veevavault.com/ui/#object/approved_document__v/V5OZ025E82TFUPI", "Spain - HCP Survey Email - June 2025")</f>
        <v>Spain - HCP Survey Email - June 2025</v>
      </c>
      <c r="C5515" s="3" t="str">
        <f>HYPERLINK("https://otsuka-europe-crm.veevavault.com/ui/#object/sent_email__v/VBLZ025E82GN2H9", "SE-000272677")</f>
        <v>SE-000272677</v>
      </c>
      <c r="D5515" s="1" t="s">
        <v>0</v>
      </c>
      <c r="E5515" s="2">
        <v>0</v>
      </c>
      <c r="F5515" s="2">
        <v>0</v>
      </c>
      <c r="G5515" s="2">
        <v>0</v>
      </c>
      <c r="H5515" s="1" t="s">
        <v>0</v>
      </c>
      <c r="I5515" s="2">
        <v>0</v>
      </c>
      <c r="J5515" s="1">
        <v>45915.377395833333</v>
      </c>
    </row>
    <row r="5516" spans="1:10" x14ac:dyDescent="0.2">
      <c r="A5516" s="4" t="s">
        <v>1</v>
      </c>
      <c r="B5516" s="3" t="str">
        <f>HYPERLINK("https://otsuka-europe-crm.veevavault.com/ui/#object/approved_document__v/V5OZ025E82TFUPI", "Spain - HCP Survey Email - June 2025")</f>
        <v>Spain - HCP Survey Email - June 2025</v>
      </c>
      <c r="C5516" s="3" t="str">
        <f>HYPERLINK("https://otsuka-europe-crm.veevavault.com/ui/#object/sent_email__v/VBLZ025E82GN2HA", "SE-000272678")</f>
        <v>SE-000272678</v>
      </c>
      <c r="D5516" s="1">
        <v>45915.390509259261</v>
      </c>
      <c r="E5516" s="2">
        <v>1</v>
      </c>
      <c r="F5516" s="2">
        <v>2</v>
      </c>
      <c r="G5516" s="2">
        <v>0</v>
      </c>
      <c r="H5516" s="1" t="s">
        <v>0</v>
      </c>
      <c r="I5516" s="2">
        <v>0</v>
      </c>
      <c r="J5516" s="1">
        <v>45915.378055555557</v>
      </c>
    </row>
    <row r="5517" spans="1:10" x14ac:dyDescent="0.2">
      <c r="A5517" s="4" t="s">
        <v>1</v>
      </c>
      <c r="B5517" s="3" t="str">
        <f>HYPERLINK("https://otsuka-europe-crm.veevavault.com/ui/#object/approved_document__v/V5OZ025E82TFUPI", "Spain - HCP Survey Email - June 2025")</f>
        <v>Spain - HCP Survey Email - June 2025</v>
      </c>
      <c r="C5517" s="3" t="str">
        <f>HYPERLINK("https://otsuka-europe-crm.veevavault.com/ui/#object/sent_email__v/VBLZ025E82GN2HB", "SE-000272679")</f>
        <v>SE-000272679</v>
      </c>
      <c r="D5517" s="1" t="s">
        <v>0</v>
      </c>
      <c r="E5517" s="2">
        <v>0</v>
      </c>
      <c r="F5517" s="2">
        <v>0</v>
      </c>
      <c r="G5517" s="2">
        <v>0</v>
      </c>
      <c r="H5517" s="1" t="s">
        <v>0</v>
      </c>
      <c r="I5517" s="2">
        <v>0</v>
      </c>
      <c r="J5517" s="1">
        <v>45915.378217592595</v>
      </c>
    </row>
    <row r="5518" spans="1:10" x14ac:dyDescent="0.2">
      <c r="A5518" s="4" t="s">
        <v>1</v>
      </c>
      <c r="B5518" s="3" t="str">
        <f>HYPERLINK("https://otsuka-europe-crm.veevavault.com/ui/#object/approved_document__v/V5OZ025E82TFUPI", "Spain - HCP Survey Email - June 2025")</f>
        <v>Spain - HCP Survey Email - June 2025</v>
      </c>
      <c r="C5518" s="3" t="str">
        <f>HYPERLINK("https://otsuka-europe-crm.veevavault.com/ui/#object/sent_email__v/VBLZ025E82GN2HC", "SE-000272680")</f>
        <v>SE-000272680</v>
      </c>
      <c r="D5518" s="1" t="s">
        <v>0</v>
      </c>
      <c r="E5518" s="2">
        <v>0</v>
      </c>
      <c r="F5518" s="2">
        <v>0</v>
      </c>
      <c r="G5518" s="2">
        <v>0</v>
      </c>
      <c r="H5518" s="1" t="s">
        <v>0</v>
      </c>
      <c r="I5518" s="2">
        <v>0</v>
      </c>
      <c r="J5518" s="1">
        <v>45915.378935185188</v>
      </c>
    </row>
    <row r="5519" spans="1:10" x14ac:dyDescent="0.2">
      <c r="A5519" s="4" t="s">
        <v>1</v>
      </c>
      <c r="B5519" s="3" t="str">
        <f>HYPERLINK("https://otsuka-europe-crm.veevavault.com/ui/#object/approved_document__v/V5OZ025E82TFUPI", "Spain - HCP Survey Email - June 2025")</f>
        <v>Spain - HCP Survey Email - June 2025</v>
      </c>
      <c r="C5519" s="3" t="str">
        <f>HYPERLINK("https://otsuka-europe-crm.veevavault.com/ui/#object/sent_email__v/VBLZ025E82GN2HD", "SE-000272681")</f>
        <v>SE-000272681</v>
      </c>
      <c r="D5519" s="1" t="s">
        <v>0</v>
      </c>
      <c r="E5519" s="2">
        <v>0</v>
      </c>
      <c r="F5519" s="2">
        <v>0</v>
      </c>
      <c r="G5519" s="2">
        <v>0</v>
      </c>
      <c r="H5519" s="1" t="s">
        <v>0</v>
      </c>
      <c r="I5519" s="2">
        <v>0</v>
      </c>
      <c r="J5519" s="1">
        <v>45915.379178240742</v>
      </c>
    </row>
    <row r="5520" spans="1:10" x14ac:dyDescent="0.2">
      <c r="A5520" s="4" t="s">
        <v>1</v>
      </c>
      <c r="B5520" s="3" t="str">
        <f>HYPERLINK("https://otsuka-europe-crm.veevavault.com/ui/#object/approved_document__v/V5OZ025E82TFUPI", "Spain - HCP Survey Email - June 2025")</f>
        <v>Spain - HCP Survey Email - June 2025</v>
      </c>
      <c r="C5520" s="3" t="str">
        <f>HYPERLINK("https://otsuka-europe-crm.veevavault.com/ui/#object/sent_email__v/VBLZ025E82GN2HE", "SE-000272682")</f>
        <v>SE-000272682</v>
      </c>
      <c r="D5520" s="1">
        <v>45916.428622685184</v>
      </c>
      <c r="E5520" s="2">
        <v>1</v>
      </c>
      <c r="F5520" s="2">
        <v>3</v>
      </c>
      <c r="G5520" s="2">
        <v>0</v>
      </c>
      <c r="H5520" s="1" t="s">
        <v>0</v>
      </c>
      <c r="I5520" s="2">
        <v>0</v>
      </c>
      <c r="J5520" s="1">
        <v>45915.377569444441</v>
      </c>
    </row>
    <row r="5521" spans="1:10" x14ac:dyDescent="0.2">
      <c r="A5521" s="4" t="s">
        <v>1</v>
      </c>
      <c r="B5521" s="3" t="str">
        <f>HYPERLINK("https://otsuka-europe-crm.veevavault.com/ui/#object/approved_document__v/V5OZ025E82TFUPI", "Spain - HCP Survey Email - June 2025")</f>
        <v>Spain - HCP Survey Email - June 2025</v>
      </c>
      <c r="C5521" s="3" t="str">
        <f>HYPERLINK("https://otsuka-europe-crm.veevavault.com/ui/#object/sent_email__v/VBLZ025E82GN2HF", "SE-000272683")</f>
        <v>SE-000272683</v>
      </c>
      <c r="D5521" s="1">
        <v>46070.366597222222</v>
      </c>
      <c r="E5521" s="2">
        <v>1</v>
      </c>
      <c r="F5521" s="2">
        <v>3</v>
      </c>
      <c r="G5521" s="2">
        <v>0</v>
      </c>
      <c r="H5521" s="1" t="s">
        <v>0</v>
      </c>
      <c r="I5521" s="2">
        <v>0</v>
      </c>
      <c r="J5521" s="1">
        <v>45915.37773148148</v>
      </c>
    </row>
    <row r="5522" spans="1:10" x14ac:dyDescent="0.2">
      <c r="A5522" s="4" t="s">
        <v>1</v>
      </c>
      <c r="B5522" s="3" t="str">
        <f>HYPERLINK("https://otsuka-europe-crm.veevavault.com/ui/#object/approved_document__v/V5OZ025E82TFUPI", "Spain - HCP Survey Email - June 2025")</f>
        <v>Spain - HCP Survey Email - June 2025</v>
      </c>
      <c r="C5522" s="3" t="str">
        <f>HYPERLINK("https://otsuka-europe-crm.veevavault.com/ui/#object/sent_email__v/VBLZ025E82GN2HG", "SE-000272684")</f>
        <v>SE-000272684</v>
      </c>
      <c r="D5522" s="1">
        <v>45915.399525462963</v>
      </c>
      <c r="E5522" s="2">
        <v>1</v>
      </c>
      <c r="F5522" s="2">
        <v>1</v>
      </c>
      <c r="G5522" s="2">
        <v>0</v>
      </c>
      <c r="H5522" s="1" t="s">
        <v>0</v>
      </c>
      <c r="I5522" s="2">
        <v>0</v>
      </c>
      <c r="J5522" s="1">
        <v>45915.378460648149</v>
      </c>
    </row>
    <row r="5523" spans="1:10" x14ac:dyDescent="0.2">
      <c r="A5523" s="4" t="s">
        <v>1</v>
      </c>
      <c r="B5523" s="3" t="str">
        <f>HYPERLINK("https://otsuka-europe-crm.veevavault.com/ui/#object/approved_document__v/V5OZ025E82TFUPI", "Spain - HCP Survey Email - June 2025")</f>
        <v>Spain - HCP Survey Email - June 2025</v>
      </c>
      <c r="C5523" s="3" t="str">
        <f>HYPERLINK("https://otsuka-europe-crm.veevavault.com/ui/#object/sent_email__v/VBLZ025E82GN2HH", "SE-000272685")</f>
        <v>SE-000272685</v>
      </c>
      <c r="D5523" s="1">
        <v>45915.746087962965</v>
      </c>
      <c r="E5523" s="2">
        <v>1</v>
      </c>
      <c r="F5523" s="2">
        <v>1</v>
      </c>
      <c r="G5523" s="2">
        <v>0</v>
      </c>
      <c r="H5523" s="1" t="s">
        <v>0</v>
      </c>
      <c r="I5523" s="2">
        <v>0</v>
      </c>
      <c r="J5523" s="1">
        <v>45915.378668981481</v>
      </c>
    </row>
    <row r="5524" spans="1:10" x14ac:dyDescent="0.2">
      <c r="A5524" s="4" t="s">
        <v>1</v>
      </c>
      <c r="B5524" s="3" t="str">
        <f>HYPERLINK("https://otsuka-europe-crm.veevavault.com/ui/#object/approved_document__v/V5OZ025E82TFUPI", "Spain - HCP Survey Email - June 2025")</f>
        <v>Spain - HCP Survey Email - June 2025</v>
      </c>
      <c r="C5524" s="3" t="str">
        <f>HYPERLINK("https://otsuka-europe-crm.veevavault.com/ui/#object/sent_email__v/VBLZ025E82GN2HI", "SE-000272686")</f>
        <v>SE-000272686</v>
      </c>
      <c r="D5524" s="1" t="s">
        <v>0</v>
      </c>
      <c r="E5524" s="2">
        <v>0</v>
      </c>
      <c r="F5524" s="2">
        <v>0</v>
      </c>
      <c r="G5524" s="2">
        <v>0</v>
      </c>
      <c r="H5524" s="1" t="s">
        <v>0</v>
      </c>
      <c r="I5524" s="2">
        <v>0</v>
      </c>
      <c r="J5524" s="1">
        <v>45915.37939814815</v>
      </c>
    </row>
    <row r="5525" spans="1:10" x14ac:dyDescent="0.2">
      <c r="A5525" s="4" t="s">
        <v>1</v>
      </c>
      <c r="B5525" s="3" t="str">
        <f>HYPERLINK("https://otsuka-europe-crm.veevavault.com/ui/#object/approved_document__v/V5OZ025E82TFUPI", "Spain - HCP Survey Email - June 2025")</f>
        <v>Spain - HCP Survey Email - June 2025</v>
      </c>
      <c r="C5525" s="3" t="str">
        <f>HYPERLINK("https://otsuka-europe-crm.veevavault.com/ui/#object/sent_email__v/VBLZ025E82GN2HJ", "SE-000272687")</f>
        <v>SE-000272687</v>
      </c>
      <c r="D5525" s="1" t="s">
        <v>0</v>
      </c>
      <c r="E5525" s="2">
        <v>0</v>
      </c>
      <c r="F5525" s="2">
        <v>0</v>
      </c>
      <c r="G5525" s="2">
        <v>0</v>
      </c>
      <c r="H5525" s="1" t="s">
        <v>0</v>
      </c>
      <c r="I5525" s="2">
        <v>0</v>
      </c>
      <c r="J5525" s="1">
        <v>45915.379745370374</v>
      </c>
    </row>
    <row r="5526" spans="1:10" x14ac:dyDescent="0.2">
      <c r="A5526" s="4" t="s">
        <v>1</v>
      </c>
      <c r="B5526" s="3" t="str">
        <f>HYPERLINK("https://otsuka-europe-crm.veevavault.com/ui/#object/approved_document__v/V5OZ025E82TFUPI", "Spain - HCP Survey Email - June 2025")</f>
        <v>Spain - HCP Survey Email - June 2025</v>
      </c>
      <c r="C5526" s="3" t="str">
        <f>HYPERLINK("https://otsuka-europe-crm.veevavault.com/ui/#object/sent_email__v/VBLZ025E82GN2HK", "SE-000272688")</f>
        <v>SE-000272688</v>
      </c>
      <c r="D5526" s="1">
        <v>45915.994363425925</v>
      </c>
      <c r="E5526" s="2">
        <v>1</v>
      </c>
      <c r="F5526" s="2">
        <v>3</v>
      </c>
      <c r="G5526" s="2">
        <v>0</v>
      </c>
      <c r="H5526" s="1" t="s">
        <v>0</v>
      </c>
      <c r="I5526" s="2">
        <v>0</v>
      </c>
      <c r="J5526" s="1">
        <v>45915.377384259256</v>
      </c>
    </row>
    <row r="5527" spans="1:10" x14ac:dyDescent="0.2">
      <c r="A5527" s="4" t="s">
        <v>1</v>
      </c>
      <c r="B5527" s="3" t="str">
        <f>HYPERLINK("https://otsuka-europe-crm.veevavault.com/ui/#object/approved_document__v/V5OZ025E82TFUPI", "Spain - HCP Survey Email - June 2025")</f>
        <v>Spain - HCP Survey Email - June 2025</v>
      </c>
      <c r="C5527" s="3" t="str">
        <f>HYPERLINK("https://otsuka-europe-crm.veevavault.com/ui/#object/sent_email__v/VBLZ025E82GN2HL", "SE-000272689")</f>
        <v>SE-000272689</v>
      </c>
      <c r="D5527" s="1" t="s">
        <v>0</v>
      </c>
      <c r="E5527" s="2">
        <v>0</v>
      </c>
      <c r="F5527" s="2">
        <v>0</v>
      </c>
      <c r="G5527" s="2">
        <v>0</v>
      </c>
      <c r="H5527" s="1" t="s">
        <v>0</v>
      </c>
      <c r="I5527" s="2">
        <v>0</v>
      </c>
      <c r="J5527" s="1">
        <v>45915.378078703703</v>
      </c>
    </row>
    <row r="5528" spans="1:10" x14ac:dyDescent="0.2">
      <c r="A5528" s="4" t="s">
        <v>1</v>
      </c>
      <c r="B5528" s="3" t="str">
        <f>HYPERLINK("https://otsuka-europe-crm.veevavault.com/ui/#object/approved_document__v/V5OZ025E82TFUPI", "Spain - HCP Survey Email - June 2025")</f>
        <v>Spain - HCP Survey Email - June 2025</v>
      </c>
      <c r="C5528" s="3" t="str">
        <f>HYPERLINK("https://otsuka-europe-crm.veevavault.com/ui/#object/sent_email__v/VBLZ025E82GN2HM", "SE-000272690")</f>
        <v>SE-000272690</v>
      </c>
      <c r="D5528" s="1" t="s">
        <v>0</v>
      </c>
      <c r="E5528" s="2">
        <v>0</v>
      </c>
      <c r="F5528" s="2">
        <v>0</v>
      </c>
      <c r="G5528" s="2">
        <v>0</v>
      </c>
      <c r="H5528" s="1" t="s">
        <v>0</v>
      </c>
      <c r="I5528" s="2">
        <v>0</v>
      </c>
      <c r="J5528" s="1">
        <v>45915.378182870372</v>
      </c>
    </row>
    <row r="5529" spans="1:10" x14ac:dyDescent="0.2">
      <c r="A5529" s="4" t="s">
        <v>1</v>
      </c>
      <c r="B5529" s="3" t="str">
        <f>HYPERLINK("https://otsuka-europe-crm.veevavault.com/ui/#object/approved_document__v/V5OZ025E82TFUPI", "Spain - HCP Survey Email - June 2025")</f>
        <v>Spain - HCP Survey Email - June 2025</v>
      </c>
      <c r="C5529" s="3" t="str">
        <f>HYPERLINK("https://otsuka-europe-crm.veevavault.com/ui/#object/sent_email__v/VBLZ025E82GN2HN", "SE-000272691")</f>
        <v>SE-000272691</v>
      </c>
      <c r="D5529" s="1">
        <v>45931.363368055558</v>
      </c>
      <c r="E5529" s="2">
        <v>1</v>
      </c>
      <c r="F5529" s="2">
        <v>1</v>
      </c>
      <c r="G5529" s="2">
        <v>0</v>
      </c>
      <c r="H5529" s="1" t="s">
        <v>0</v>
      </c>
      <c r="I5529" s="2">
        <v>0</v>
      </c>
      <c r="J5529" s="1">
        <v>45915.379004629627</v>
      </c>
    </row>
    <row r="5530" spans="1:10" x14ac:dyDescent="0.2">
      <c r="A5530" s="4" t="s">
        <v>1</v>
      </c>
      <c r="B5530" s="3" t="str">
        <f>HYPERLINK("https://otsuka-europe-crm.veevavault.com/ui/#object/approved_document__v/V5OZ025E82TFUPI", "Spain - HCP Survey Email - June 2025")</f>
        <v>Spain - HCP Survey Email - June 2025</v>
      </c>
      <c r="C5530" s="3" t="str">
        <f>HYPERLINK("https://otsuka-europe-crm.veevavault.com/ui/#object/sent_email__v/VBLZ025E82GN2HO", "SE-000272692")</f>
        <v>SE-000272692</v>
      </c>
      <c r="D5530" s="1">
        <v>45915.424768518518</v>
      </c>
      <c r="E5530" s="2">
        <v>1</v>
      </c>
      <c r="F5530" s="2">
        <v>1</v>
      </c>
      <c r="G5530" s="2">
        <v>0</v>
      </c>
      <c r="H5530" s="1" t="s">
        <v>0</v>
      </c>
      <c r="I5530" s="2">
        <v>0</v>
      </c>
      <c r="J5530" s="1">
        <v>45915.379120370373</v>
      </c>
    </row>
    <row r="5531" spans="1:10" x14ac:dyDescent="0.2">
      <c r="A5531" s="4" t="s">
        <v>1</v>
      </c>
      <c r="B5531" s="3" t="str">
        <f>HYPERLINK("https://otsuka-europe-crm.veevavault.com/ui/#object/approved_document__v/V5OZ025E82TFUPI", "Spain - HCP Survey Email - June 2025")</f>
        <v>Spain - HCP Survey Email - June 2025</v>
      </c>
      <c r="C5531" s="3" t="str">
        <f>HYPERLINK("https://otsuka-europe-crm.veevavault.com/ui/#object/sent_email__v/VBLZ025E82GN2HP", "SE-000272693")</f>
        <v>SE-000272693</v>
      </c>
      <c r="D5531" s="1">
        <v>45923.411273148151</v>
      </c>
      <c r="E5531" s="2">
        <v>1</v>
      </c>
      <c r="F5531" s="2">
        <v>1</v>
      </c>
      <c r="G5531" s="2">
        <v>1</v>
      </c>
      <c r="H5531" s="1">
        <v>45923.411273148151</v>
      </c>
      <c r="I5531" s="2">
        <v>1</v>
      </c>
      <c r="J5531" s="1">
        <v>45915.377592592595</v>
      </c>
    </row>
    <row r="5532" spans="1:10" x14ac:dyDescent="0.2">
      <c r="A5532" s="4" t="s">
        <v>1</v>
      </c>
      <c r="B5532" s="3" t="str">
        <f>HYPERLINK("https://otsuka-europe-crm.veevavault.com/ui/#object/approved_document__v/V5OZ025E82TFUPI", "Spain - HCP Survey Email - June 2025")</f>
        <v>Spain - HCP Survey Email - June 2025</v>
      </c>
      <c r="C5532" s="3" t="str">
        <f>HYPERLINK("https://otsuka-europe-crm.veevavault.com/ui/#object/sent_email__v/VBLZ025E82GN2HQ", "SE-000272694")</f>
        <v>SE-000272694</v>
      </c>
      <c r="D5532" s="1" t="s">
        <v>0</v>
      </c>
      <c r="E5532" s="2">
        <v>0</v>
      </c>
      <c r="F5532" s="2">
        <v>0</v>
      </c>
      <c r="G5532" s="2">
        <v>0</v>
      </c>
      <c r="H5532" s="1" t="s">
        <v>0</v>
      </c>
      <c r="I5532" s="2">
        <v>0</v>
      </c>
      <c r="J5532" s="1">
        <v>45915.37771990741</v>
      </c>
    </row>
    <row r="5533" spans="1:10" x14ac:dyDescent="0.2">
      <c r="A5533" s="4" t="s">
        <v>1</v>
      </c>
      <c r="B5533" s="3" t="str">
        <f>HYPERLINK("https://otsuka-europe-crm.veevavault.com/ui/#object/approved_document__v/V5OZ025E82TFUPI", "Spain - HCP Survey Email - June 2025")</f>
        <v>Spain - HCP Survey Email - June 2025</v>
      </c>
      <c r="C5533" s="3" t="str">
        <f>HYPERLINK("https://otsuka-europe-crm.veevavault.com/ui/#object/sent_email__v/VBLZ025E82GN2HR", "SE-000272695")</f>
        <v>SE-000272695</v>
      </c>
      <c r="D5533" s="1" t="s">
        <v>0</v>
      </c>
      <c r="E5533" s="2">
        <v>0</v>
      </c>
      <c r="F5533" s="2">
        <v>0</v>
      </c>
      <c r="G5533" s="2">
        <v>0</v>
      </c>
      <c r="H5533" s="1" t="s">
        <v>0</v>
      </c>
      <c r="I5533" s="2">
        <v>0</v>
      </c>
      <c r="J5533" s="1">
        <v>45915.378518518519</v>
      </c>
    </row>
    <row r="5534" spans="1:10" x14ac:dyDescent="0.2">
      <c r="A5534" s="4" t="s">
        <v>1</v>
      </c>
      <c r="B5534" s="3" t="str">
        <f>HYPERLINK("https://otsuka-europe-crm.veevavault.com/ui/#object/approved_document__v/V5OZ025E82TFUPI", "Spain - HCP Survey Email - June 2025")</f>
        <v>Spain - HCP Survey Email - June 2025</v>
      </c>
      <c r="C5534" s="3" t="str">
        <f>HYPERLINK("https://otsuka-europe-crm.veevavault.com/ui/#object/sent_email__v/VBLZ025E82GN2HS", "SE-000272696")</f>
        <v>SE-000272696</v>
      </c>
      <c r="D5534" s="1">
        <v>45915.410162037035</v>
      </c>
      <c r="E5534" s="2">
        <v>1</v>
      </c>
      <c r="F5534" s="2">
        <v>1</v>
      </c>
      <c r="G5534" s="2">
        <v>0</v>
      </c>
      <c r="H5534" s="1" t="s">
        <v>0</v>
      </c>
      <c r="I5534" s="2">
        <v>0</v>
      </c>
      <c r="J5534" s="1">
        <v>45915.378692129627</v>
      </c>
    </row>
    <row r="5535" spans="1:10" x14ac:dyDescent="0.2">
      <c r="A5535" s="4" t="s">
        <v>1</v>
      </c>
      <c r="B5535" s="3" t="str">
        <f>HYPERLINK("https://otsuka-europe-crm.veevavault.com/ui/#object/approved_document__v/V5OZ025E82TFUPI", "Spain - HCP Survey Email - June 2025")</f>
        <v>Spain - HCP Survey Email - June 2025</v>
      </c>
      <c r="C5535" s="3" t="str">
        <f>HYPERLINK("https://otsuka-europe-crm.veevavault.com/ui/#object/sent_email__v/VBLZ025E82GN2HT", "SE-000272697")</f>
        <v>SE-000272697</v>
      </c>
      <c r="D5535" s="1" t="s">
        <v>0</v>
      </c>
      <c r="E5535" s="2">
        <v>0</v>
      </c>
      <c r="F5535" s="2">
        <v>0</v>
      </c>
      <c r="G5535" s="2">
        <v>0</v>
      </c>
      <c r="H5535" s="1" t="s">
        <v>0</v>
      </c>
      <c r="I5535" s="2">
        <v>0</v>
      </c>
      <c r="J5535" s="1">
        <v>45915.37871527778</v>
      </c>
    </row>
    <row r="5536" spans="1:10" x14ac:dyDescent="0.2">
      <c r="A5536" s="4" t="s">
        <v>1</v>
      </c>
      <c r="B5536" s="3" t="str">
        <f>HYPERLINK("https://otsuka-europe-crm.veevavault.com/ui/#object/approved_document__v/V5OZ025E82TFUPI", "Spain - HCP Survey Email - June 2025")</f>
        <v>Spain - HCP Survey Email - June 2025</v>
      </c>
      <c r="C5536" s="3" t="str">
        <f>HYPERLINK("https://otsuka-europe-crm.veevavault.com/ui/#object/sent_email__v/VBLZ025E82GN2HU", "SE-000272698")</f>
        <v>SE-000272698</v>
      </c>
      <c r="D5536" s="1">
        <v>45915.466793981483</v>
      </c>
      <c r="E5536" s="2">
        <v>1</v>
      </c>
      <c r="F5536" s="2">
        <v>2</v>
      </c>
      <c r="G5536" s="2">
        <v>1</v>
      </c>
      <c r="H5536" s="1">
        <v>45915.380243055559</v>
      </c>
      <c r="I5536" s="2">
        <v>2</v>
      </c>
      <c r="J5536" s="1">
        <v>45915.379884259259</v>
      </c>
    </row>
    <row r="5537" spans="1:10" x14ac:dyDescent="0.2">
      <c r="A5537" s="4" t="s">
        <v>1</v>
      </c>
      <c r="B5537" s="3" t="str">
        <f>HYPERLINK("https://otsuka-europe-crm.veevavault.com/ui/#object/approved_document__v/V5OZ025E82TFUPI", "Spain - HCP Survey Email - June 2025")</f>
        <v>Spain - HCP Survey Email - June 2025</v>
      </c>
      <c r="C5537" s="3" t="str">
        <f>HYPERLINK("https://otsuka-europe-crm.veevavault.com/ui/#object/sent_email__v/VBLZ025E82GN2HV", "SE-000272699")</f>
        <v>SE-000272699</v>
      </c>
      <c r="D5537" s="1">
        <v>45931.40902777778</v>
      </c>
      <c r="E5537" s="2">
        <v>1</v>
      </c>
      <c r="F5537" s="2">
        <v>3</v>
      </c>
      <c r="G5537" s="2">
        <v>0</v>
      </c>
      <c r="H5537" s="1" t="s">
        <v>0</v>
      </c>
      <c r="I5537" s="2">
        <v>0</v>
      </c>
      <c r="J5537" s="1">
        <v>45915.377442129633</v>
      </c>
    </row>
    <row r="5538" spans="1:10" x14ac:dyDescent="0.2">
      <c r="A5538" s="4" t="s">
        <v>1</v>
      </c>
      <c r="B5538" s="3" t="str">
        <f>HYPERLINK("https://otsuka-europe-crm.veevavault.com/ui/#object/approved_document__v/V5OZ025E82TFUPI", "Spain - HCP Survey Email - June 2025")</f>
        <v>Spain - HCP Survey Email - June 2025</v>
      </c>
      <c r="C5538" s="3" t="str">
        <f>HYPERLINK("https://otsuka-europe-crm.veevavault.com/ui/#object/sent_email__v/VBLZ025E82GN2HW", "SE-000272700")</f>
        <v>SE-000272700</v>
      </c>
      <c r="D5538" s="1">
        <v>45915.378437500003</v>
      </c>
      <c r="E5538" s="2">
        <v>1</v>
      </c>
      <c r="F5538" s="2">
        <v>2</v>
      </c>
      <c r="G5538" s="2">
        <v>0</v>
      </c>
      <c r="H5538" s="1" t="s">
        <v>0</v>
      </c>
      <c r="I5538" s="2">
        <v>0</v>
      </c>
      <c r="J5538" s="1">
        <v>45915.378159722219</v>
      </c>
    </row>
    <row r="5539" spans="1:10" x14ac:dyDescent="0.2">
      <c r="A5539" s="4" t="s">
        <v>1</v>
      </c>
      <c r="B5539" s="3" t="str">
        <f>HYPERLINK("https://otsuka-europe-crm.veevavault.com/ui/#object/approved_document__v/V5OZ025E82TFUPI", "Spain - HCP Survey Email - June 2025")</f>
        <v>Spain - HCP Survey Email - June 2025</v>
      </c>
      <c r="C5539" s="3" t="str">
        <f>HYPERLINK("https://otsuka-europe-crm.veevavault.com/ui/#object/sent_email__v/VBLZ025E82GN2HX", "SE-000272701")</f>
        <v>SE-000272701</v>
      </c>
      <c r="D5539" s="1">
        <v>45938.658796296295</v>
      </c>
      <c r="E5539" s="2">
        <v>1</v>
      </c>
      <c r="F5539" s="2">
        <v>2</v>
      </c>
      <c r="G5539" s="2">
        <v>0</v>
      </c>
      <c r="H5539" s="1" t="s">
        <v>0</v>
      </c>
      <c r="I5539" s="2">
        <v>0</v>
      </c>
      <c r="J5539" s="1">
        <v>45915.378252314818</v>
      </c>
    </row>
    <row r="5540" spans="1:10" x14ac:dyDescent="0.2">
      <c r="A5540" s="4" t="s">
        <v>1</v>
      </c>
      <c r="B5540" s="3" t="str">
        <f>HYPERLINK("https://otsuka-europe-crm.veevavault.com/ui/#object/approved_document__v/V5OZ025E82TFUPI", "Spain - HCP Survey Email - June 2025")</f>
        <v>Spain - HCP Survey Email - June 2025</v>
      </c>
      <c r="C5540" s="3" t="str">
        <f>HYPERLINK("https://otsuka-europe-crm.veevavault.com/ui/#object/sent_email__v/VBLZ025E82GN2HY", "SE-000272702")</f>
        <v>SE-000272702</v>
      </c>
      <c r="D5540" s="1">
        <v>45915.5546412037</v>
      </c>
      <c r="E5540" s="2">
        <v>1</v>
      </c>
      <c r="F5540" s="2">
        <v>1</v>
      </c>
      <c r="G5540" s="2">
        <v>1</v>
      </c>
      <c r="H5540" s="1">
        <v>45915.55541666667</v>
      </c>
      <c r="I5540" s="2">
        <v>2</v>
      </c>
      <c r="J5540" s="1">
        <v>45915.378946759258</v>
      </c>
    </row>
    <row r="5541" spans="1:10" x14ac:dyDescent="0.2">
      <c r="A5541" s="4" t="s">
        <v>1</v>
      </c>
      <c r="B5541" s="3" t="str">
        <f>HYPERLINK("https://otsuka-europe-crm.veevavault.com/ui/#object/approved_document__v/V5OZ025E82TFUPI", "Spain - HCP Survey Email - June 2025")</f>
        <v>Spain - HCP Survey Email - June 2025</v>
      </c>
      <c r="C5541" s="3" t="str">
        <f>HYPERLINK("https://otsuka-europe-crm.veevavault.com/ui/#object/sent_email__v/VBLZ025E82GN2HZ", "SE-000272703")</f>
        <v>SE-000272703</v>
      </c>
      <c r="D5541" s="1">
        <v>45915.461458333331</v>
      </c>
      <c r="E5541" s="2">
        <v>1</v>
      </c>
      <c r="F5541" s="2">
        <v>1</v>
      </c>
      <c r="G5541" s="2">
        <v>0</v>
      </c>
      <c r="H5541" s="1" t="s">
        <v>0</v>
      </c>
      <c r="I5541" s="2">
        <v>0</v>
      </c>
      <c r="J5541" s="1">
        <v>45915.379224537035</v>
      </c>
    </row>
    <row r="5542" spans="1:10" x14ac:dyDescent="0.2">
      <c r="A5542" s="4" t="s">
        <v>1</v>
      </c>
      <c r="B5542" s="3" t="str">
        <f>HYPERLINK("https://otsuka-europe-crm.veevavault.com/ui/#object/approved_document__v/V5OZ025E82TFUPI", "Spain - HCP Survey Email - June 2025")</f>
        <v>Spain - HCP Survey Email - June 2025</v>
      </c>
      <c r="C5542" s="3" t="str">
        <f>HYPERLINK("https://otsuka-europe-crm.veevavault.com/ui/#object/sent_email__v/VBLZ025E82GN2I0", "SE-000272704")</f>
        <v>SE-000272704</v>
      </c>
      <c r="D5542" s="1" t="s">
        <v>0</v>
      </c>
      <c r="E5542" s="2">
        <v>0</v>
      </c>
      <c r="F5542" s="2">
        <v>0</v>
      </c>
      <c r="G5542" s="2">
        <v>0</v>
      </c>
      <c r="H5542" s="1" t="s">
        <v>0</v>
      </c>
      <c r="I5542" s="2">
        <v>0</v>
      </c>
      <c r="J5542" s="1">
        <v>45915.377581018518</v>
      </c>
    </row>
    <row r="5543" spans="1:10" x14ac:dyDescent="0.2">
      <c r="A5543" s="4" t="s">
        <v>1</v>
      </c>
      <c r="B5543" s="3" t="str">
        <f>HYPERLINK("https://otsuka-europe-crm.veevavault.com/ui/#object/approved_document__v/V5OZ025E82TFUPI", "Spain - HCP Survey Email - June 2025")</f>
        <v>Spain - HCP Survey Email - June 2025</v>
      </c>
      <c r="C5543" s="3" t="str">
        <f>HYPERLINK("https://otsuka-europe-crm.veevavault.com/ui/#object/sent_email__v/VBLZ025E82GN2I1", "SE-000272705")</f>
        <v>SE-000272705</v>
      </c>
      <c r="D5543" s="1" t="s">
        <v>0</v>
      </c>
      <c r="E5543" s="2">
        <v>0</v>
      </c>
      <c r="F5543" s="2">
        <v>0</v>
      </c>
      <c r="G5543" s="2">
        <v>0</v>
      </c>
      <c r="H5543" s="1" t="s">
        <v>0</v>
      </c>
      <c r="I5543" s="2">
        <v>0</v>
      </c>
      <c r="J5543" s="1">
        <v>45915.377708333333</v>
      </c>
    </row>
    <row r="5544" spans="1:10" x14ac:dyDescent="0.2">
      <c r="A5544" s="4" t="s">
        <v>1</v>
      </c>
      <c r="B5544" s="3" t="str">
        <f>HYPERLINK("https://otsuka-europe-crm.veevavault.com/ui/#object/approved_document__v/V5OZ025E82TFUPI", "Spain - HCP Survey Email - June 2025")</f>
        <v>Spain - HCP Survey Email - June 2025</v>
      </c>
      <c r="C5544" s="3" t="str">
        <f>HYPERLINK("https://otsuka-europe-crm.veevavault.com/ui/#object/sent_email__v/VBLZ025E82GN2I2", "SE-000272706")</f>
        <v>SE-000272706</v>
      </c>
      <c r="D5544" s="1">
        <v>45941.387037037035</v>
      </c>
      <c r="E5544" s="2">
        <v>1</v>
      </c>
      <c r="F5544" s="2">
        <v>2</v>
      </c>
      <c r="G5544" s="2">
        <v>0</v>
      </c>
      <c r="H5544" s="1" t="s">
        <v>0</v>
      </c>
      <c r="I5544" s="2">
        <v>0</v>
      </c>
      <c r="J5544" s="1">
        <v>45915.378483796296</v>
      </c>
    </row>
    <row r="5545" spans="1:10" x14ac:dyDescent="0.2">
      <c r="A5545" s="4" t="s">
        <v>1</v>
      </c>
      <c r="B5545" s="3" t="str">
        <f>HYPERLINK("https://otsuka-europe-crm.veevavault.com/ui/#object/approved_document__v/V5OZ025E82TFUPI", "Spain - HCP Survey Email - June 2025")</f>
        <v>Spain - HCP Survey Email - June 2025</v>
      </c>
      <c r="C5545" s="3" t="str">
        <f>HYPERLINK("https://otsuka-europe-crm.veevavault.com/ui/#object/sent_email__v/VBLZ025E82GN2I3", "SE-000272707")</f>
        <v>SE-000272707</v>
      </c>
      <c r="D5545" s="1" t="s">
        <v>0</v>
      </c>
      <c r="E5545" s="2">
        <v>0</v>
      </c>
      <c r="F5545" s="2">
        <v>0</v>
      </c>
      <c r="G5545" s="2">
        <v>0</v>
      </c>
      <c r="H5545" s="1" t="s">
        <v>0</v>
      </c>
      <c r="I5545" s="2">
        <v>0</v>
      </c>
      <c r="J5545" s="1">
        <v>45915.378645833334</v>
      </c>
    </row>
    <row r="5546" spans="1:10" x14ac:dyDescent="0.2">
      <c r="A5546" s="4" t="s">
        <v>1</v>
      </c>
      <c r="B5546" s="3" t="str">
        <f>HYPERLINK("https://otsuka-europe-crm.veevavault.com/ui/#object/approved_document__v/V5OZ025E82TFUPI", "Spain - HCP Survey Email - June 2025")</f>
        <v>Spain - HCP Survey Email - June 2025</v>
      </c>
      <c r="C5546" s="3" t="str">
        <f>HYPERLINK("https://otsuka-europe-crm.veevavault.com/ui/#object/sent_email__v/VBLZ025E82GN2I4", "SE-000272708")</f>
        <v>SE-000272708</v>
      </c>
      <c r="D5546" s="1">
        <v>45915.394490740742</v>
      </c>
      <c r="E5546" s="2">
        <v>1</v>
      </c>
      <c r="F5546" s="2">
        <v>1</v>
      </c>
      <c r="G5546" s="2">
        <v>0</v>
      </c>
      <c r="H5546" s="1" t="s">
        <v>0</v>
      </c>
      <c r="I5546" s="2">
        <v>0</v>
      </c>
      <c r="J5546" s="1">
        <v>45915.379537037035</v>
      </c>
    </row>
    <row r="5547" spans="1:10" x14ac:dyDescent="0.2">
      <c r="A5547" s="4" t="s">
        <v>1</v>
      </c>
      <c r="B5547" s="3" t="str">
        <f>HYPERLINK("https://otsuka-europe-crm.veevavault.com/ui/#object/approved_document__v/V5OZ025E82TFUPI", "Spain - HCP Survey Email - June 2025")</f>
        <v>Spain - HCP Survey Email - June 2025</v>
      </c>
      <c r="C5547" s="3" t="str">
        <f>HYPERLINK("https://otsuka-europe-crm.veevavault.com/ui/#object/sent_email__v/VBLZ025E82GN2I5", "SE-000272709")</f>
        <v>SE-000272709</v>
      </c>
      <c r="D5547" s="1">
        <v>45917.363692129627</v>
      </c>
      <c r="E5547" s="2">
        <v>1</v>
      </c>
      <c r="F5547" s="2">
        <v>1</v>
      </c>
      <c r="G5547" s="2">
        <v>1</v>
      </c>
      <c r="H5547" s="1">
        <v>45917.363888888889</v>
      </c>
      <c r="I5547" s="2">
        <v>3</v>
      </c>
      <c r="J5547" s="1">
        <v>45915.379791666666</v>
      </c>
    </row>
    <row r="5548" spans="1:10" x14ac:dyDescent="0.2">
      <c r="A5548" s="4" t="s">
        <v>1</v>
      </c>
      <c r="B5548" s="3" t="str">
        <f>HYPERLINK("https://otsuka-europe-crm.veevavault.com/ui/#object/approved_document__v/V5OZ025E82TFUPI", "Spain - HCP Survey Email - June 2025")</f>
        <v>Spain - HCP Survey Email - June 2025</v>
      </c>
      <c r="C5548" s="3" t="str">
        <f>HYPERLINK("https://otsuka-europe-crm.veevavault.com/ui/#object/sent_email__v/VBLZ025E82GN2I6", "SE-000272710")</f>
        <v>SE-000272710</v>
      </c>
      <c r="D5548" s="1">
        <v>45916.79760416667</v>
      </c>
      <c r="E5548" s="2">
        <v>1</v>
      </c>
      <c r="F5548" s="2">
        <v>1</v>
      </c>
      <c r="G5548" s="2">
        <v>0</v>
      </c>
      <c r="H5548" s="1" t="s">
        <v>0</v>
      </c>
      <c r="I5548" s="2">
        <v>0</v>
      </c>
      <c r="J5548" s="1">
        <v>45915.377395833333</v>
      </c>
    </row>
    <row r="5549" spans="1:10" x14ac:dyDescent="0.2">
      <c r="A5549" s="4" t="s">
        <v>1</v>
      </c>
      <c r="B5549" s="3" t="str">
        <f>HYPERLINK("https://otsuka-europe-crm.veevavault.com/ui/#object/approved_document__v/V5OZ025E82TFUPI", "Spain - HCP Survey Email - June 2025")</f>
        <v>Spain - HCP Survey Email - June 2025</v>
      </c>
      <c r="C5549" s="3" t="str">
        <f>HYPERLINK("https://otsuka-europe-crm.veevavault.com/ui/#object/sent_email__v/VBLZ025E82GN2I7", "SE-000272711")</f>
        <v>SE-000272711</v>
      </c>
      <c r="D5549" s="1" t="s">
        <v>0</v>
      </c>
      <c r="E5549" s="2">
        <v>0</v>
      </c>
      <c r="F5549" s="2">
        <v>0</v>
      </c>
      <c r="G5549" s="2">
        <v>0</v>
      </c>
      <c r="H5549" s="1" t="s">
        <v>0</v>
      </c>
      <c r="I5549" s="2">
        <v>0</v>
      </c>
      <c r="J5549" s="1">
        <v>45915.378009259257</v>
      </c>
    </row>
    <row r="5550" spans="1:10" x14ac:dyDescent="0.2">
      <c r="A5550" s="4" t="s">
        <v>1</v>
      </c>
      <c r="B5550" s="3" t="str">
        <f>HYPERLINK("https://otsuka-europe-crm.veevavault.com/ui/#object/approved_document__v/V5OZ025E82TFUPI", "Spain - HCP Survey Email - June 2025")</f>
        <v>Spain - HCP Survey Email - June 2025</v>
      </c>
      <c r="C5550" s="3" t="str">
        <f>HYPERLINK("https://otsuka-europe-crm.veevavault.com/ui/#object/sent_email__v/VBLZ025E82GN2I8", "SE-000272712")</f>
        <v>SE-000272712</v>
      </c>
      <c r="D5550" s="1">
        <v>45958.921944444446</v>
      </c>
      <c r="E5550" s="2">
        <v>1</v>
      </c>
      <c r="F5550" s="2">
        <v>1</v>
      </c>
      <c r="G5550" s="2">
        <v>0</v>
      </c>
      <c r="H5550" s="1" t="s">
        <v>0</v>
      </c>
      <c r="I5550" s="2">
        <v>0</v>
      </c>
      <c r="J5550" s="1">
        <v>45915.379583333335</v>
      </c>
    </row>
    <row r="5551" spans="1:10" x14ac:dyDescent="0.2">
      <c r="A5551" s="4" t="s">
        <v>1</v>
      </c>
      <c r="B5551" s="3" t="str">
        <f>HYPERLINK("https://otsuka-europe-crm.veevavault.com/ui/#object/approved_document__v/V5OZ025E82TFUPI", "Spain - HCP Survey Email - June 2025")</f>
        <v>Spain - HCP Survey Email - June 2025</v>
      </c>
      <c r="C5551" s="3" t="str">
        <f>HYPERLINK("https://otsuka-europe-crm.veevavault.com/ui/#object/sent_email__v/VBLZ025E82GN2I9", "SE-000272713")</f>
        <v>SE-000272713</v>
      </c>
      <c r="D5551" s="1" t="s">
        <v>0</v>
      </c>
      <c r="E5551" s="2">
        <v>0</v>
      </c>
      <c r="F5551" s="2">
        <v>0</v>
      </c>
      <c r="G5551" s="2">
        <v>0</v>
      </c>
      <c r="H5551" s="1" t="s">
        <v>0</v>
      </c>
      <c r="I5551" s="2">
        <v>0</v>
      </c>
      <c r="J5551" s="1">
        <v>45915.379791666666</v>
      </c>
    </row>
    <row r="5552" spans="1:10" x14ac:dyDescent="0.2">
      <c r="A5552" s="4" t="s">
        <v>1</v>
      </c>
      <c r="B5552" s="3" t="str">
        <f>HYPERLINK("https://otsuka-europe-crm.veevavault.com/ui/#object/approved_document__v/V5OZ025E82TFUPI", "Spain - HCP Survey Email - June 2025")</f>
        <v>Spain - HCP Survey Email - June 2025</v>
      </c>
      <c r="C5552" s="3" t="str">
        <f>HYPERLINK("https://otsuka-europe-crm.veevavault.com/ui/#object/sent_email__v/VBLZ025E82GN2IA", "SE-000272714")</f>
        <v>SE-000272714</v>
      </c>
      <c r="D5552" s="1" t="s">
        <v>0</v>
      </c>
      <c r="E5552" s="2">
        <v>0</v>
      </c>
      <c r="F5552" s="2">
        <v>0</v>
      </c>
      <c r="G5552" s="2">
        <v>0</v>
      </c>
      <c r="H5552" s="1" t="s">
        <v>0</v>
      </c>
      <c r="I5552" s="2">
        <v>0</v>
      </c>
      <c r="J5552" s="1">
        <v>45915.377453703702</v>
      </c>
    </row>
    <row r="5553" spans="1:10" x14ac:dyDescent="0.2">
      <c r="A5553" s="4" t="s">
        <v>1</v>
      </c>
      <c r="B5553" s="3" t="str">
        <f>HYPERLINK("https://otsuka-europe-crm.veevavault.com/ui/#object/approved_document__v/V5OZ025E82TFUPI", "Spain - HCP Survey Email - June 2025")</f>
        <v>Spain - HCP Survey Email - June 2025</v>
      </c>
      <c r="C5553" s="3" t="str">
        <f>HYPERLINK("https://otsuka-europe-crm.veevavault.com/ui/#object/sent_email__v/VBLZ025E82GN2IB", "SE-000272715")</f>
        <v>SE-000272715</v>
      </c>
      <c r="D5553" s="1" t="s">
        <v>0</v>
      </c>
      <c r="E5553" s="2">
        <v>0</v>
      </c>
      <c r="F5553" s="2">
        <v>0</v>
      </c>
      <c r="G5553" s="2">
        <v>0</v>
      </c>
      <c r="H5553" s="1" t="s">
        <v>0</v>
      </c>
      <c r="I5553" s="2">
        <v>0</v>
      </c>
      <c r="J5553" s="1">
        <v>45915.378148148149</v>
      </c>
    </row>
    <row r="5554" spans="1:10" x14ac:dyDescent="0.2">
      <c r="A5554" s="4" t="s">
        <v>1</v>
      </c>
      <c r="B5554" s="3" t="str">
        <f>HYPERLINK("https://otsuka-europe-crm.veevavault.com/ui/#object/approved_document__v/V5OZ025E82TFUPI", "Spain - HCP Survey Email - June 2025")</f>
        <v>Spain - HCP Survey Email - June 2025</v>
      </c>
      <c r="C5554" s="3" t="str">
        <f>HYPERLINK("https://otsuka-europe-crm.veevavault.com/ui/#object/sent_email__v/VBLZ025E82GN2IC", "SE-000272716")</f>
        <v>SE-000272716</v>
      </c>
      <c r="D5554" s="1" t="s">
        <v>0</v>
      </c>
      <c r="E5554" s="2">
        <v>0</v>
      </c>
      <c r="F5554" s="2">
        <v>0</v>
      </c>
      <c r="G5554" s="2">
        <v>0</v>
      </c>
      <c r="H5554" s="1" t="s">
        <v>0</v>
      </c>
      <c r="I5554" s="2">
        <v>0</v>
      </c>
      <c r="J5554" s="1">
        <v>45915.378206018519</v>
      </c>
    </row>
    <row r="5555" spans="1:10" x14ac:dyDescent="0.2">
      <c r="A5555" s="4" t="s">
        <v>1</v>
      </c>
      <c r="B5555" s="3" t="str">
        <f>HYPERLINK("https://otsuka-europe-crm.veevavault.com/ui/#object/approved_document__v/V5OZ025E82TFUPI", "Spain - HCP Survey Email - June 2025")</f>
        <v>Spain - HCP Survey Email - June 2025</v>
      </c>
      <c r="C5555" s="3" t="str">
        <f>HYPERLINK("https://otsuka-europe-crm.veevavault.com/ui/#object/sent_email__v/VBLZ025E82GN2ID", "SE-000272717")</f>
        <v>SE-000272717</v>
      </c>
      <c r="D5555" s="1">
        <v>45915.410960648151</v>
      </c>
      <c r="E5555" s="2">
        <v>1</v>
      </c>
      <c r="F5555" s="2">
        <v>1</v>
      </c>
      <c r="G5555" s="2">
        <v>1</v>
      </c>
      <c r="H5555" s="1">
        <v>45915.876631944448</v>
      </c>
      <c r="I5555" s="2">
        <v>1</v>
      </c>
      <c r="J5555" s="1">
        <v>45915.379004629627</v>
      </c>
    </row>
    <row r="5556" spans="1:10" x14ac:dyDescent="0.2">
      <c r="A5556" s="4" t="s">
        <v>1</v>
      </c>
      <c r="B5556" s="3" t="str">
        <f>HYPERLINK("https://otsuka-europe-crm.veevavault.com/ui/#object/approved_document__v/V5OZ025E82TFUPI", "Spain - HCP Survey Email - June 2025")</f>
        <v>Spain - HCP Survey Email - June 2025</v>
      </c>
      <c r="C5556" s="3" t="str">
        <f>HYPERLINK("https://otsuka-europe-crm.veevavault.com/ui/#object/sent_email__v/VBLZ025E82GN2IE", "SE-000272718")</f>
        <v>SE-000272718</v>
      </c>
      <c r="D5556" s="1" t="s">
        <v>0</v>
      </c>
      <c r="E5556" s="2">
        <v>0</v>
      </c>
      <c r="F5556" s="2">
        <v>0</v>
      </c>
      <c r="G5556" s="2">
        <v>0</v>
      </c>
      <c r="H5556" s="1" t="s">
        <v>0</v>
      </c>
      <c r="I5556" s="2">
        <v>0</v>
      </c>
      <c r="J5556" s="1">
        <v>45915.379143518519</v>
      </c>
    </row>
    <row r="5557" spans="1:10" x14ac:dyDescent="0.2">
      <c r="A5557" s="4" t="s">
        <v>1</v>
      </c>
      <c r="B5557" s="3" t="str">
        <f>HYPERLINK("https://otsuka-europe-crm.veevavault.com/ui/#object/approved_document__v/V5OZ025E82TFUPI", "Spain - HCP Survey Email - June 2025")</f>
        <v>Spain - HCP Survey Email - June 2025</v>
      </c>
      <c r="C5557" s="3" t="str">
        <f>HYPERLINK("https://otsuka-europe-crm.veevavault.com/ui/#object/sent_email__v/VBLZ025E82GN2IF", "SE-000272719")</f>
        <v>SE-000272719</v>
      </c>
      <c r="D5557" s="1">
        <v>45915.423333333332</v>
      </c>
      <c r="E5557" s="2">
        <v>1</v>
      </c>
      <c r="F5557" s="2">
        <v>1</v>
      </c>
      <c r="G5557" s="2">
        <v>1</v>
      </c>
      <c r="H5557" s="1">
        <v>45915.423333333332</v>
      </c>
      <c r="I5557" s="2">
        <v>1</v>
      </c>
      <c r="J5557" s="1">
        <v>45915.377638888887</v>
      </c>
    </row>
    <row r="5558" spans="1:10" x14ac:dyDescent="0.2">
      <c r="A5558" s="4" t="s">
        <v>1</v>
      </c>
      <c r="B5558" s="3" t="str">
        <f>HYPERLINK("https://otsuka-europe-crm.veevavault.com/ui/#object/approved_document__v/V5OZ025E82TFUPI", "Spain - HCP Survey Email - June 2025")</f>
        <v>Spain - HCP Survey Email - June 2025</v>
      </c>
      <c r="C5558" s="3" t="str">
        <f>HYPERLINK("https://otsuka-europe-crm.veevavault.com/ui/#object/sent_email__v/VBLZ025E82GN2IG", "SE-000272720")</f>
        <v>SE-000272720</v>
      </c>
      <c r="D5558" s="1">
        <v>45915.409039351849</v>
      </c>
      <c r="E5558" s="2">
        <v>1</v>
      </c>
      <c r="F5558" s="2">
        <v>2</v>
      </c>
      <c r="G5558" s="2">
        <v>0</v>
      </c>
      <c r="H5558" s="1" t="s">
        <v>0</v>
      </c>
      <c r="I5558" s="2">
        <v>0</v>
      </c>
      <c r="J5558" s="1">
        <v>45915.377708333333</v>
      </c>
    </row>
    <row r="5559" spans="1:10" x14ac:dyDescent="0.2">
      <c r="A5559" s="4" t="s">
        <v>1</v>
      </c>
      <c r="B5559" s="3" t="str">
        <f>HYPERLINK("https://otsuka-europe-crm.veevavault.com/ui/#object/approved_document__v/V5OZ025E82TFUPI", "Spain - HCP Survey Email - June 2025")</f>
        <v>Spain - HCP Survey Email - June 2025</v>
      </c>
      <c r="C5559" s="3" t="str">
        <f>HYPERLINK("https://otsuka-europe-crm.veevavault.com/ui/#object/sent_email__v/VBLZ025E82GN2IH", "SE-000272721")</f>
        <v>SE-000272721</v>
      </c>
      <c r="D5559" s="1">
        <v>46056.667071759257</v>
      </c>
      <c r="E5559" s="2">
        <v>1</v>
      </c>
      <c r="F5559" s="2">
        <v>9</v>
      </c>
      <c r="G5559" s="2">
        <v>1</v>
      </c>
      <c r="H5559" s="1">
        <v>45931.430138888885</v>
      </c>
      <c r="I5559" s="2">
        <v>1</v>
      </c>
      <c r="J5559" s="1">
        <v>45915.378483796296</v>
      </c>
    </row>
    <row r="5560" spans="1:10" x14ac:dyDescent="0.2">
      <c r="A5560" s="4" t="s">
        <v>1</v>
      </c>
      <c r="B5560" s="3" t="str">
        <f>HYPERLINK("https://otsuka-europe-crm.veevavault.com/ui/#object/approved_document__v/V5OZ025E82TFUPI", "Spain - HCP Survey Email - June 2025")</f>
        <v>Spain - HCP Survey Email - June 2025</v>
      </c>
      <c r="C5560" s="3" t="str">
        <f>HYPERLINK("https://otsuka-europe-crm.veevavault.com/ui/#object/sent_email__v/VBLZ025E82GN2II", "SE-000272722")</f>
        <v>SE-000272722</v>
      </c>
      <c r="D5560" s="1">
        <v>45922.438518518517</v>
      </c>
      <c r="E5560" s="2">
        <v>1</v>
      </c>
      <c r="F5560" s="2">
        <v>5</v>
      </c>
      <c r="G5560" s="2">
        <v>0</v>
      </c>
      <c r="H5560" s="1" t="s">
        <v>0</v>
      </c>
      <c r="I5560" s="2">
        <v>0</v>
      </c>
      <c r="J5560" s="1">
        <v>45915.378680555557</v>
      </c>
    </row>
    <row r="5561" spans="1:10" x14ac:dyDescent="0.2">
      <c r="A5561" s="4" t="s">
        <v>1</v>
      </c>
      <c r="B5561" s="3" t="str">
        <f>HYPERLINK("https://otsuka-europe-crm.veevavault.com/ui/#object/approved_document__v/V5OZ025E82TFUPI", "Spain - HCP Survey Email - June 2025")</f>
        <v>Spain - HCP Survey Email - June 2025</v>
      </c>
      <c r="C5561" s="3" t="str">
        <f>HYPERLINK("https://otsuka-europe-crm.veevavault.com/ui/#object/sent_email__v/VBLZ025E82GN2IJ", "SE-000272723")</f>
        <v>SE-000272723</v>
      </c>
      <c r="D5561" s="1" t="s">
        <v>0</v>
      </c>
      <c r="E5561" s="2">
        <v>0</v>
      </c>
      <c r="F5561" s="2">
        <v>0</v>
      </c>
      <c r="G5561" s="2">
        <v>0</v>
      </c>
      <c r="H5561" s="1" t="s">
        <v>0</v>
      </c>
      <c r="I5561" s="2">
        <v>0</v>
      </c>
      <c r="J5561" s="1">
        <v>45915.379618055558</v>
      </c>
    </row>
    <row r="5562" spans="1:10" x14ac:dyDescent="0.2">
      <c r="A5562" s="4" t="s">
        <v>1</v>
      </c>
      <c r="B5562" s="3" t="str">
        <f>HYPERLINK("https://otsuka-europe-crm.veevavault.com/ui/#object/approved_document__v/V5OZ025E82TFUPI", "Spain - HCP Survey Email - June 2025")</f>
        <v>Spain - HCP Survey Email - June 2025</v>
      </c>
      <c r="C5562" s="3" t="str">
        <f>HYPERLINK("https://otsuka-europe-crm.veevavault.com/ui/#object/sent_email__v/VBLZ025E82GN2IK", "SE-000272724")</f>
        <v>SE-000272724</v>
      </c>
      <c r="D5562" s="1">
        <v>45916.864976851852</v>
      </c>
      <c r="E5562" s="2">
        <v>1</v>
      </c>
      <c r="F5562" s="2">
        <v>6</v>
      </c>
      <c r="G5562" s="2">
        <v>1</v>
      </c>
      <c r="H5562" s="1">
        <v>45915.432384259257</v>
      </c>
      <c r="I5562" s="2">
        <v>1</v>
      </c>
      <c r="J5562" s="1">
        <v>45915.379756944443</v>
      </c>
    </row>
    <row r="5563" spans="1:10" x14ac:dyDescent="0.2">
      <c r="A5563" s="4" t="s">
        <v>1</v>
      </c>
      <c r="B5563" s="3" t="str">
        <f>HYPERLINK("https://otsuka-europe-crm.veevavault.com/ui/#object/approved_document__v/V5OZ025E82TFUPI", "Spain - HCP Survey Email - June 2025")</f>
        <v>Spain - HCP Survey Email - June 2025</v>
      </c>
      <c r="C5563" s="3" t="str">
        <f>HYPERLINK("https://otsuka-europe-crm.veevavault.com/ui/#object/sent_email__v/VBLZ025E82GN2IL", "SE-000272725")</f>
        <v>SE-000272725</v>
      </c>
      <c r="D5563" s="1" t="s">
        <v>0</v>
      </c>
      <c r="E5563" s="2">
        <v>0</v>
      </c>
      <c r="F5563" s="2">
        <v>0</v>
      </c>
      <c r="G5563" s="2">
        <v>0</v>
      </c>
      <c r="H5563" s="1" t="s">
        <v>0</v>
      </c>
      <c r="I5563" s="2">
        <v>0</v>
      </c>
      <c r="J5563" s="1">
        <v>45915.377430555556</v>
      </c>
    </row>
    <row r="5564" spans="1:10" x14ac:dyDescent="0.2">
      <c r="A5564" s="4" t="s">
        <v>1</v>
      </c>
      <c r="B5564" s="3" t="str">
        <f>HYPERLINK("https://otsuka-europe-crm.veevavault.com/ui/#object/approved_document__v/V5OZ025E82TFUPI", "Spain - HCP Survey Email - June 2025")</f>
        <v>Spain - HCP Survey Email - June 2025</v>
      </c>
      <c r="C5564" s="3" t="str">
        <f>HYPERLINK("https://otsuka-europe-crm.veevavault.com/ui/#object/sent_email__v/VBLZ025E82GN2IM", "SE-000272726")</f>
        <v>SE-000272726</v>
      </c>
      <c r="D5564" s="1">
        <v>45915.830810185187</v>
      </c>
      <c r="E5564" s="2">
        <v>1</v>
      </c>
      <c r="F5564" s="2">
        <v>1</v>
      </c>
      <c r="G5564" s="2">
        <v>0</v>
      </c>
      <c r="H5564" s="1" t="s">
        <v>0</v>
      </c>
      <c r="I5564" s="2">
        <v>0</v>
      </c>
      <c r="J5564" s="1">
        <v>45915.378078703703</v>
      </c>
    </row>
    <row r="5565" spans="1:10" x14ac:dyDescent="0.2">
      <c r="A5565" s="4" t="s">
        <v>1</v>
      </c>
      <c r="B5565" s="3" t="str">
        <f>HYPERLINK("https://otsuka-europe-crm.veevavault.com/ui/#object/approved_document__v/V5OZ025E82TFUPI", "Spain - HCP Survey Email - June 2025")</f>
        <v>Spain - HCP Survey Email - June 2025</v>
      </c>
      <c r="C5565" s="3" t="str">
        <f>HYPERLINK("https://otsuka-europe-crm.veevavault.com/ui/#object/sent_email__v/VBLZ025E82GN2IN", "SE-000272727")</f>
        <v>SE-000272727</v>
      </c>
      <c r="D5565" s="1" t="s">
        <v>0</v>
      </c>
      <c r="E5565" s="2">
        <v>0</v>
      </c>
      <c r="F5565" s="2">
        <v>0</v>
      </c>
      <c r="G5565" s="2">
        <v>0</v>
      </c>
      <c r="H5565" s="1" t="s">
        <v>0</v>
      </c>
      <c r="I5565" s="2">
        <v>0</v>
      </c>
      <c r="J5565" s="1">
        <v>45915.378240740742</v>
      </c>
    </row>
    <row r="5566" spans="1:10" x14ac:dyDescent="0.2">
      <c r="A5566" s="4" t="s">
        <v>1</v>
      </c>
      <c r="B5566" s="3" t="str">
        <f>HYPERLINK("https://otsuka-europe-crm.veevavault.com/ui/#object/approved_document__v/V5OZ025E82TFUPI", "Spain - HCP Survey Email - June 2025")</f>
        <v>Spain - HCP Survey Email - June 2025</v>
      </c>
      <c r="C5566" s="3" t="str">
        <f>HYPERLINK("https://otsuka-europe-crm.veevavault.com/ui/#object/sent_email__v/VBLZ025E82GN2IO", "SE-000272728")</f>
        <v>SE-000272728</v>
      </c>
      <c r="D5566" s="1" t="s">
        <v>0</v>
      </c>
      <c r="E5566" s="2">
        <v>0</v>
      </c>
      <c r="F5566" s="2">
        <v>0</v>
      </c>
      <c r="G5566" s="2">
        <v>0</v>
      </c>
      <c r="H5566" s="1" t="s">
        <v>0</v>
      </c>
      <c r="I5566" s="2">
        <v>0</v>
      </c>
      <c r="J5566" s="1">
        <v>45915.379027777781</v>
      </c>
    </row>
    <row r="5567" spans="1:10" x14ac:dyDescent="0.2">
      <c r="A5567" s="4" t="s">
        <v>1</v>
      </c>
      <c r="B5567" s="3" t="str">
        <f>HYPERLINK("https://otsuka-europe-crm.veevavault.com/ui/#object/approved_document__v/V5OZ025E82TFUPI", "Spain - HCP Survey Email - June 2025")</f>
        <v>Spain - HCP Survey Email - June 2025</v>
      </c>
      <c r="C5567" s="3" t="str">
        <f>HYPERLINK("https://otsuka-europe-crm.veevavault.com/ui/#object/sent_email__v/VBLZ025E82GN2IP", "SE-000272729")</f>
        <v>SE-000272729</v>
      </c>
      <c r="D5567" s="1" t="s">
        <v>0</v>
      </c>
      <c r="E5567" s="2">
        <v>0</v>
      </c>
      <c r="F5567" s="2">
        <v>0</v>
      </c>
      <c r="G5567" s="2">
        <v>0</v>
      </c>
      <c r="H5567" s="1" t="s">
        <v>0</v>
      </c>
      <c r="I5567" s="2">
        <v>0</v>
      </c>
      <c r="J5567" s="1">
        <v>45915.379143518519</v>
      </c>
    </row>
    <row r="5568" spans="1:10" x14ac:dyDescent="0.2">
      <c r="A5568" s="4" t="s">
        <v>1</v>
      </c>
      <c r="B5568" s="3" t="str">
        <f>HYPERLINK("https://otsuka-europe-crm.veevavault.com/ui/#object/approved_document__v/V5OZ025E82TFUPI", "Spain - HCP Survey Email - June 2025")</f>
        <v>Spain - HCP Survey Email - June 2025</v>
      </c>
      <c r="C5568" s="3" t="str">
        <f>HYPERLINK("https://otsuka-europe-crm.veevavault.com/ui/#object/sent_email__v/VBLZ025E82GN2IQ", "SE-000272730")</f>
        <v>SE-000272730</v>
      </c>
      <c r="D5568" s="1">
        <v>45915.377650462964</v>
      </c>
      <c r="E5568" s="2">
        <v>1</v>
      </c>
      <c r="F5568" s="2">
        <v>1</v>
      </c>
      <c r="G5568" s="2">
        <v>0</v>
      </c>
      <c r="H5568" s="1" t="s">
        <v>0</v>
      </c>
      <c r="I5568" s="2">
        <v>0</v>
      </c>
      <c r="J5568" s="1">
        <v>45915.377569444441</v>
      </c>
    </row>
    <row r="5569" spans="1:10" x14ac:dyDescent="0.2">
      <c r="A5569" s="4" t="s">
        <v>1</v>
      </c>
      <c r="B5569" s="3" t="str">
        <f>HYPERLINK("https://otsuka-europe-crm.veevavault.com/ui/#object/approved_document__v/V5OZ025E82TFUPI", "Spain - HCP Survey Email - June 2025")</f>
        <v>Spain - HCP Survey Email - June 2025</v>
      </c>
      <c r="C5569" s="3" t="str">
        <f>HYPERLINK("https://otsuka-europe-crm.veevavault.com/ui/#object/sent_email__v/VBLZ025E82GN2IR", "SE-000272731")</f>
        <v>SE-000272731</v>
      </c>
      <c r="D5569" s="1">
        <v>45915.562094907407</v>
      </c>
      <c r="E5569" s="2">
        <v>1</v>
      </c>
      <c r="F5569" s="2">
        <v>2</v>
      </c>
      <c r="G5569" s="2">
        <v>0</v>
      </c>
      <c r="H5569" s="1" t="s">
        <v>0</v>
      </c>
      <c r="I5569" s="2">
        <v>0</v>
      </c>
      <c r="J5569" s="1">
        <v>45915.377696759257</v>
      </c>
    </row>
    <row r="5570" spans="1:10" x14ac:dyDescent="0.2">
      <c r="A5570" s="4" t="s">
        <v>1</v>
      </c>
      <c r="B5570" s="3" t="str">
        <f>HYPERLINK("https://otsuka-europe-crm.veevavault.com/ui/#object/approved_document__v/V5OZ025E82TFUPI", "Spain - HCP Survey Email - June 2025")</f>
        <v>Spain - HCP Survey Email - June 2025</v>
      </c>
      <c r="C5570" s="3" t="str">
        <f>HYPERLINK("https://otsuka-europe-crm.veevavault.com/ui/#object/sent_email__v/VBLZ025E82GN2IS", "SE-000272732")</f>
        <v>SE-000272732</v>
      </c>
      <c r="D5570" s="1">
        <v>45916.810960648145</v>
      </c>
      <c r="E5570" s="2">
        <v>1</v>
      </c>
      <c r="F5570" s="2">
        <v>2</v>
      </c>
      <c r="G5570" s="2">
        <v>1</v>
      </c>
      <c r="H5570" s="1">
        <v>45915.383263888885</v>
      </c>
      <c r="I5570" s="2">
        <v>1</v>
      </c>
      <c r="J5570" s="1">
        <v>45915.378449074073</v>
      </c>
    </row>
    <row r="5571" spans="1:10" x14ac:dyDescent="0.2">
      <c r="A5571" s="4" t="s">
        <v>1</v>
      </c>
      <c r="B5571" s="3" t="str">
        <f>HYPERLINK("https://otsuka-europe-crm.veevavault.com/ui/#object/approved_document__v/V5OZ025E82TFUPI", "Spain - HCP Survey Email - June 2025")</f>
        <v>Spain - HCP Survey Email - June 2025</v>
      </c>
      <c r="C5571" s="3" t="str">
        <f>HYPERLINK("https://otsuka-europe-crm.veevavault.com/ui/#object/sent_email__v/VBLZ025E82GN2IT", "SE-000272733")</f>
        <v>SE-000272733</v>
      </c>
      <c r="D5571" s="1">
        <v>45929.627013888887</v>
      </c>
      <c r="E5571" s="2">
        <v>1</v>
      </c>
      <c r="F5571" s="2">
        <v>2</v>
      </c>
      <c r="G5571" s="2">
        <v>1</v>
      </c>
      <c r="H5571" s="1">
        <v>45917.363749999997</v>
      </c>
      <c r="I5571" s="2">
        <v>1</v>
      </c>
      <c r="J5571" s="1">
        <v>45915.378668981481</v>
      </c>
    </row>
    <row r="5572" spans="1:10" x14ac:dyDescent="0.2">
      <c r="A5572" s="4" t="s">
        <v>1</v>
      </c>
      <c r="B5572" s="3" t="str">
        <f>HYPERLINK("https://otsuka-europe-crm.veevavault.com/ui/#object/approved_document__v/V5OZ025E82TFUPI", "Spain - HCP Survey Email - June 2025")</f>
        <v>Spain - HCP Survey Email - June 2025</v>
      </c>
      <c r="C5572" s="3" t="str">
        <f>HYPERLINK("https://otsuka-europe-crm.veevavault.com/ui/#object/sent_email__v/VBLZ025E82GN2IU", "SE-000272734")</f>
        <v>SE-000272734</v>
      </c>
      <c r="D5572" s="1" t="s">
        <v>0</v>
      </c>
      <c r="E5572" s="2">
        <v>0</v>
      </c>
      <c r="F5572" s="2">
        <v>0</v>
      </c>
      <c r="G5572" s="2">
        <v>0</v>
      </c>
      <c r="H5572" s="1" t="s">
        <v>0</v>
      </c>
      <c r="I5572" s="2">
        <v>0</v>
      </c>
      <c r="J5572" s="1">
        <v>45915.378831018519</v>
      </c>
    </row>
    <row r="5573" spans="1:10" x14ac:dyDescent="0.2">
      <c r="A5573" s="4" t="s">
        <v>1</v>
      </c>
      <c r="B5573" s="3" t="str">
        <f>HYPERLINK("https://otsuka-europe-crm.veevavault.com/ui/#object/approved_document__v/V5OZ025E82TFUPI", "Spain - HCP Survey Email - June 2025")</f>
        <v>Spain - HCP Survey Email - June 2025</v>
      </c>
      <c r="C5573" s="3" t="str">
        <f>HYPERLINK("https://otsuka-europe-crm.veevavault.com/ui/#object/sent_email__v/VBLZ025E82GN2IV", "SE-000272735")</f>
        <v>SE-000272735</v>
      </c>
      <c r="D5573" s="1">
        <v>45934.424409722225</v>
      </c>
      <c r="E5573" s="2">
        <v>1</v>
      </c>
      <c r="F5573" s="2">
        <v>1</v>
      </c>
      <c r="G5573" s="2">
        <v>0</v>
      </c>
      <c r="H5573" s="1" t="s">
        <v>0</v>
      </c>
      <c r="I5573" s="2">
        <v>0</v>
      </c>
      <c r="J5573" s="1">
        <v>45915.379895833335</v>
      </c>
    </row>
    <row r="5574" spans="1:10" x14ac:dyDescent="0.2">
      <c r="A5574" s="4" t="s">
        <v>1</v>
      </c>
      <c r="B5574" s="3" t="str">
        <f>HYPERLINK("https://otsuka-europe-crm.veevavault.com/ui/#object/approved_document__v/V5OZ025E82TFUPI", "Spain - HCP Survey Email - June 2025")</f>
        <v>Spain - HCP Survey Email - June 2025</v>
      </c>
      <c r="C5574" s="3" t="str">
        <f>HYPERLINK("https://otsuka-europe-crm.veevavault.com/ui/#object/sent_email__v/VBLZ025E82GN2IW", "SE-000272736")</f>
        <v>SE-000272736</v>
      </c>
      <c r="D5574" s="1" t="s">
        <v>0</v>
      </c>
      <c r="E5574" s="2">
        <v>0</v>
      </c>
      <c r="F5574" s="2">
        <v>0</v>
      </c>
      <c r="G5574" s="2">
        <v>0</v>
      </c>
      <c r="H5574" s="1" t="s">
        <v>0</v>
      </c>
      <c r="I5574" s="2">
        <v>0</v>
      </c>
      <c r="J5574" s="1">
        <v>45915.377476851849</v>
      </c>
    </row>
    <row r="5575" spans="1:10" x14ac:dyDescent="0.2">
      <c r="A5575" s="4" t="s">
        <v>1</v>
      </c>
      <c r="B5575" s="3" t="str">
        <f>HYPERLINK("https://otsuka-europe-crm.veevavault.com/ui/#object/approved_document__v/V5OZ025E82TFUPI", "Spain - HCP Survey Email - June 2025")</f>
        <v>Spain - HCP Survey Email - June 2025</v>
      </c>
      <c r="C5575" s="3" t="str">
        <f>HYPERLINK("https://otsuka-europe-crm.veevavault.com/ui/#object/sent_email__v/VBLZ025E82GN2IX", "SE-000272737")</f>
        <v>SE-000272737</v>
      </c>
      <c r="D5575" s="1">
        <v>45915.410162037035</v>
      </c>
      <c r="E5575" s="2">
        <v>1</v>
      </c>
      <c r="F5575" s="2">
        <v>2</v>
      </c>
      <c r="G5575" s="2">
        <v>0</v>
      </c>
      <c r="H5575" s="1" t="s">
        <v>0</v>
      </c>
      <c r="I5575" s="2">
        <v>0</v>
      </c>
      <c r="J5575" s="1">
        <v>45915.378055555557</v>
      </c>
    </row>
    <row r="5576" spans="1:10" x14ac:dyDescent="0.2">
      <c r="A5576" s="4" t="s">
        <v>1</v>
      </c>
      <c r="B5576" s="3" t="str">
        <f>HYPERLINK("https://otsuka-europe-crm.veevavault.com/ui/#object/approved_document__v/V5OZ025E82TFUPI", "Spain - HCP Survey Email - June 2025")</f>
        <v>Spain - HCP Survey Email - June 2025</v>
      </c>
      <c r="C5576" s="3" t="str">
        <f>HYPERLINK("https://otsuka-europe-crm.veevavault.com/ui/#object/sent_email__v/VBLZ025E82GN2IY", "SE-000272738")</f>
        <v>SE-000272738</v>
      </c>
      <c r="D5576" s="1" t="s">
        <v>0</v>
      </c>
      <c r="E5576" s="2">
        <v>0</v>
      </c>
      <c r="F5576" s="2">
        <v>0</v>
      </c>
      <c r="G5576" s="2">
        <v>0</v>
      </c>
      <c r="H5576" s="1" t="s">
        <v>0</v>
      </c>
      <c r="I5576" s="2">
        <v>0</v>
      </c>
      <c r="J5576" s="1">
        <v>45915.378599537034</v>
      </c>
    </row>
    <row r="5577" spans="1:10" x14ac:dyDescent="0.2">
      <c r="A5577" s="4" t="s">
        <v>1</v>
      </c>
      <c r="B5577" s="3" t="str">
        <f>HYPERLINK("https://otsuka-europe-crm.veevavault.com/ui/#object/approved_document__v/V5OZ025E82TFUPI", "Spain - HCP Survey Email - June 2025")</f>
        <v>Spain - HCP Survey Email - June 2025</v>
      </c>
      <c r="C5577" s="3" t="str">
        <f>HYPERLINK("https://otsuka-europe-crm.veevavault.com/ui/#object/sent_email__v/VBLZ025E82GN2IZ", "SE-000272739")</f>
        <v>SE-000272739</v>
      </c>
      <c r="D5577" s="1">
        <v>45915.38826388889</v>
      </c>
      <c r="E5577" s="2">
        <v>1</v>
      </c>
      <c r="F5577" s="2">
        <v>1</v>
      </c>
      <c r="G5577" s="2">
        <v>0</v>
      </c>
      <c r="H5577" s="1" t="s">
        <v>0</v>
      </c>
      <c r="I5577" s="2">
        <v>0</v>
      </c>
      <c r="J5577" s="1">
        <v>45915.378877314812</v>
      </c>
    </row>
    <row r="5578" spans="1:10" x14ac:dyDescent="0.2">
      <c r="A5578" s="4" t="s">
        <v>1</v>
      </c>
      <c r="B5578" s="3" t="str">
        <f>HYPERLINK("https://otsuka-europe-crm.veevavault.com/ui/#object/approved_document__v/V5OZ025E82TFUPI", "Spain - HCP Survey Email - June 2025")</f>
        <v>Spain - HCP Survey Email - June 2025</v>
      </c>
      <c r="C5578" s="3" t="str">
        <f>HYPERLINK("https://otsuka-europe-crm.veevavault.com/ui/#object/sent_email__v/VBLZ025E82GN2J0", "SE-000272740")</f>
        <v>SE-000272740</v>
      </c>
      <c r="D5578" s="1" t="s">
        <v>0</v>
      </c>
      <c r="E5578" s="2">
        <v>0</v>
      </c>
      <c r="F5578" s="2">
        <v>0</v>
      </c>
      <c r="G5578" s="2">
        <v>0</v>
      </c>
      <c r="H5578" s="1" t="s">
        <v>0</v>
      </c>
      <c r="I5578" s="2">
        <v>0</v>
      </c>
      <c r="J5578" s="1">
        <v>45915.379756944443</v>
      </c>
    </row>
    <row r="5579" spans="1:10" x14ac:dyDescent="0.2">
      <c r="A5579" s="4" t="s">
        <v>1</v>
      </c>
      <c r="B5579" s="3" t="str">
        <f>HYPERLINK("https://otsuka-europe-crm.veevavault.com/ui/#object/approved_document__v/V5OZ025E82TFUPI", "Spain - HCP Survey Email - June 2025")</f>
        <v>Spain - HCP Survey Email - June 2025</v>
      </c>
      <c r="C5579" s="3" t="str">
        <f>HYPERLINK("https://otsuka-europe-crm.veevavault.com/ui/#object/sent_email__v/VBLZ025E82GN2J1", "SE-000272741")</f>
        <v>SE-000272741</v>
      </c>
      <c r="D5579" s="1">
        <v>45915.415011574078</v>
      </c>
      <c r="E5579" s="2">
        <v>1</v>
      </c>
      <c r="F5579" s="2">
        <v>2</v>
      </c>
      <c r="G5579" s="2">
        <v>0</v>
      </c>
      <c r="H5579" s="1" t="s">
        <v>0</v>
      </c>
      <c r="I5579" s="2">
        <v>0</v>
      </c>
      <c r="J5579" s="1">
        <v>45915.377465277779</v>
      </c>
    </row>
    <row r="5580" spans="1:10" x14ac:dyDescent="0.2">
      <c r="A5580" s="4" t="s">
        <v>1</v>
      </c>
      <c r="B5580" s="3" t="str">
        <f>HYPERLINK("https://otsuka-europe-crm.veevavault.com/ui/#object/approved_document__v/V5OZ025E82TFUPI", "Spain - HCP Survey Email - June 2025")</f>
        <v>Spain - HCP Survey Email - June 2025</v>
      </c>
      <c r="C5580" s="3" t="str">
        <f>HYPERLINK("https://otsuka-europe-crm.veevavault.com/ui/#object/sent_email__v/VBLZ025E82GN2J2", "SE-000272742")</f>
        <v>SE-000272742</v>
      </c>
      <c r="D5580" s="1" t="s">
        <v>0</v>
      </c>
      <c r="E5580" s="2">
        <v>0</v>
      </c>
      <c r="F5580" s="2">
        <v>0</v>
      </c>
      <c r="G5580" s="2">
        <v>0</v>
      </c>
      <c r="H5580" s="1" t="s">
        <v>0</v>
      </c>
      <c r="I5580" s="2">
        <v>0</v>
      </c>
      <c r="J5580" s="1">
        <v>45915.378113425926</v>
      </c>
    </row>
    <row r="5581" spans="1:10" x14ac:dyDescent="0.2">
      <c r="A5581" s="4" t="s">
        <v>1</v>
      </c>
      <c r="B5581" s="3" t="str">
        <f>HYPERLINK("https://otsuka-europe-crm.veevavault.com/ui/#object/approved_document__v/V5OZ025E82TFUPI", "Spain - HCP Survey Email - June 2025")</f>
        <v>Spain - HCP Survey Email - June 2025</v>
      </c>
      <c r="C5581" s="3" t="str">
        <f>HYPERLINK("https://otsuka-europe-crm.veevavault.com/ui/#object/sent_email__v/VBLZ025E82GN2J3", "SE-000272743")</f>
        <v>SE-000272743</v>
      </c>
      <c r="D5581" s="1">
        <v>45915.52747685185</v>
      </c>
      <c r="E5581" s="2">
        <v>1</v>
      </c>
      <c r="F5581" s="2">
        <v>2</v>
      </c>
      <c r="G5581" s="2">
        <v>0</v>
      </c>
      <c r="H5581" s="1" t="s">
        <v>0</v>
      </c>
      <c r="I5581" s="2">
        <v>0</v>
      </c>
      <c r="J5581" s="1">
        <v>45915.378333333334</v>
      </c>
    </row>
    <row r="5582" spans="1:10" x14ac:dyDescent="0.2">
      <c r="A5582" s="4" t="s">
        <v>1</v>
      </c>
      <c r="B5582" s="3" t="str">
        <f>HYPERLINK("https://otsuka-europe-crm.veevavault.com/ui/#object/approved_document__v/V5OZ025E82TFUPI", "Spain - HCP Survey Email - June 2025")</f>
        <v>Spain - HCP Survey Email - June 2025</v>
      </c>
      <c r="C5582" s="3" t="str">
        <f>HYPERLINK("https://otsuka-europe-crm.veevavault.com/ui/#object/sent_email__v/VBLZ025E82GN2J4", "SE-000272744")</f>
        <v>SE-000272744</v>
      </c>
      <c r="D5582" s="1">
        <v>45915.386053240742</v>
      </c>
      <c r="E5582" s="2">
        <v>1</v>
      </c>
      <c r="F5582" s="2">
        <v>1</v>
      </c>
      <c r="G5582" s="2">
        <v>1</v>
      </c>
      <c r="H5582" s="1">
        <v>45915.386342592596</v>
      </c>
      <c r="I5582" s="2">
        <v>2</v>
      </c>
      <c r="J5582" s="1">
        <v>45915.378969907404</v>
      </c>
    </row>
    <row r="5583" spans="1:10" x14ac:dyDescent="0.2">
      <c r="A5583" s="4" t="s">
        <v>1</v>
      </c>
      <c r="B5583" s="3" t="str">
        <f>HYPERLINK("https://otsuka-europe-crm.veevavault.com/ui/#object/approved_document__v/V5OZ025E82TFUPI", "Spain - HCP Survey Email - June 2025")</f>
        <v>Spain - HCP Survey Email - June 2025</v>
      </c>
      <c r="C5583" s="3" t="str">
        <f>HYPERLINK("https://otsuka-europe-crm.veevavault.com/ui/#object/sent_email__v/VBLZ025E82GN2J5", "SE-000272745")</f>
        <v>SE-000272745</v>
      </c>
      <c r="D5583" s="1" t="s">
        <v>0</v>
      </c>
      <c r="E5583" s="2">
        <v>0</v>
      </c>
      <c r="F5583" s="2">
        <v>0</v>
      </c>
      <c r="G5583" s="2">
        <v>0</v>
      </c>
      <c r="H5583" s="1" t="s">
        <v>0</v>
      </c>
      <c r="I5583" s="2">
        <v>0</v>
      </c>
      <c r="J5583" s="1">
        <v>45915.379259259258</v>
      </c>
    </row>
    <row r="5584" spans="1:10" x14ac:dyDescent="0.2">
      <c r="A5584" s="4" t="s">
        <v>1</v>
      </c>
      <c r="B5584" s="3" t="str">
        <f>HYPERLINK("https://otsuka-europe-crm.veevavault.com/ui/#object/approved_document__v/V5OZ025E82TFUPI", "Spain - HCP Survey Email - June 2025")</f>
        <v>Spain - HCP Survey Email - June 2025</v>
      </c>
      <c r="C5584" s="3" t="str">
        <f>HYPERLINK("https://otsuka-europe-crm.veevavault.com/ui/#object/sent_email__v/VBLZ025E82GN2J7", "SE-000272747")</f>
        <v>SE-000272747</v>
      </c>
      <c r="D5584" s="1" t="s">
        <v>0</v>
      </c>
      <c r="E5584" s="2">
        <v>0</v>
      </c>
      <c r="F5584" s="2">
        <v>0</v>
      </c>
      <c r="G5584" s="2">
        <v>0</v>
      </c>
      <c r="H5584" s="1" t="s">
        <v>0</v>
      </c>
      <c r="I5584" s="2">
        <v>0</v>
      </c>
      <c r="J5584" s="1">
        <v>45915.377754629626</v>
      </c>
    </row>
    <row r="5585" spans="1:10" x14ac:dyDescent="0.2">
      <c r="A5585" s="4" t="s">
        <v>1</v>
      </c>
      <c r="B5585" s="3" t="str">
        <f>HYPERLINK("https://otsuka-europe-crm.veevavault.com/ui/#object/approved_document__v/V5OZ025E82TFUPI", "Spain - HCP Survey Email - June 2025")</f>
        <v>Spain - HCP Survey Email - June 2025</v>
      </c>
      <c r="C5585" s="3" t="str">
        <f>HYPERLINK("https://otsuka-europe-crm.veevavault.com/ui/#object/sent_email__v/VBLZ025E82GN2J8", "SE-000272748")</f>
        <v>SE-000272748</v>
      </c>
      <c r="D5585" s="1">
        <v>45921.841631944444</v>
      </c>
      <c r="E5585" s="2">
        <v>1</v>
      </c>
      <c r="F5585" s="2">
        <v>1</v>
      </c>
      <c r="G5585" s="2">
        <v>0</v>
      </c>
      <c r="H5585" s="1" t="s">
        <v>0</v>
      </c>
      <c r="I5585" s="2">
        <v>0</v>
      </c>
      <c r="J5585" s="1">
        <v>45915.378483796296</v>
      </c>
    </row>
    <row r="5586" spans="1:10" x14ac:dyDescent="0.2">
      <c r="A5586" s="4" t="s">
        <v>1</v>
      </c>
      <c r="B5586" s="3" t="str">
        <f>HYPERLINK("https://otsuka-europe-crm.veevavault.com/ui/#object/approved_document__v/V5OZ025E82TFUPI", "Spain - HCP Survey Email - June 2025")</f>
        <v>Spain - HCP Survey Email - June 2025</v>
      </c>
      <c r="C5586" s="3" t="str">
        <f>HYPERLINK("https://otsuka-europe-crm.veevavault.com/ui/#object/sent_email__v/VBLZ025E82GN2J9", "SE-000272749")</f>
        <v>SE-000272749</v>
      </c>
      <c r="D5586" s="1">
        <v>45915.5859375</v>
      </c>
      <c r="E5586" s="2">
        <v>1</v>
      </c>
      <c r="F5586" s="2">
        <v>1</v>
      </c>
      <c r="G5586" s="2">
        <v>1</v>
      </c>
      <c r="H5586" s="1">
        <v>45915.5859375</v>
      </c>
      <c r="I5586" s="2">
        <v>1</v>
      </c>
      <c r="J5586" s="1">
        <v>45915.378692129627</v>
      </c>
    </row>
    <row r="5587" spans="1:10" x14ac:dyDescent="0.2">
      <c r="A5587" s="4" t="s">
        <v>1</v>
      </c>
      <c r="B5587" s="3" t="str">
        <f>HYPERLINK("https://otsuka-europe-crm.veevavault.com/ui/#object/approved_document__v/V5OZ025E82TFUPI", "Spain - HCP Survey Email - June 2025")</f>
        <v>Spain - HCP Survey Email - June 2025</v>
      </c>
      <c r="C5587" s="3" t="str">
        <f>HYPERLINK("https://otsuka-europe-crm.veevavault.com/ui/#object/sent_email__v/VBLZ025E82GN2JA", "SE-000272750")</f>
        <v>SE-000272750</v>
      </c>
      <c r="D5587" s="1">
        <v>45916.521458333336</v>
      </c>
      <c r="E5587" s="2">
        <v>1</v>
      </c>
      <c r="F5587" s="2">
        <v>2</v>
      </c>
      <c r="G5587" s="2">
        <v>0</v>
      </c>
      <c r="H5587" s="1" t="s">
        <v>0</v>
      </c>
      <c r="I5587" s="2">
        <v>0</v>
      </c>
      <c r="J5587" s="1">
        <v>45915.378796296296</v>
      </c>
    </row>
    <row r="5588" spans="1:10" x14ac:dyDescent="0.2">
      <c r="A5588" s="4" t="s">
        <v>1</v>
      </c>
      <c r="B5588" s="3" t="str">
        <f>HYPERLINK("https://otsuka-europe-crm.veevavault.com/ui/#object/approved_document__v/V5OZ025E82TFUPI", "Spain - HCP Survey Email - June 2025")</f>
        <v>Spain - HCP Survey Email - June 2025</v>
      </c>
      <c r="C5588" s="3" t="str">
        <f>HYPERLINK("https://otsuka-europe-crm.veevavault.com/ui/#object/sent_email__v/VBLZ025E82GN2JB", "SE-000272751")</f>
        <v>SE-000272751</v>
      </c>
      <c r="D5588" s="1" t="s">
        <v>0</v>
      </c>
      <c r="E5588" s="2">
        <v>0</v>
      </c>
      <c r="F5588" s="2">
        <v>0</v>
      </c>
      <c r="G5588" s="2">
        <v>0</v>
      </c>
      <c r="H5588" s="1" t="s">
        <v>0</v>
      </c>
      <c r="I5588" s="2">
        <v>0</v>
      </c>
      <c r="J5588" s="1">
        <v>45915.379872685182</v>
      </c>
    </row>
    <row r="5589" spans="1:10" x14ac:dyDescent="0.2">
      <c r="A5589" s="4" t="s">
        <v>1</v>
      </c>
      <c r="B5589" s="3" t="str">
        <f>HYPERLINK("https://otsuka-europe-crm.veevavault.com/ui/#object/approved_document__v/V5OZ025E82TFUPI", "Spain - HCP Survey Email - June 2025")</f>
        <v>Spain - HCP Survey Email - June 2025</v>
      </c>
      <c r="C5589" s="3" t="str">
        <f>HYPERLINK("https://otsuka-europe-crm.veevavault.com/ui/#object/sent_email__v/VBLZ025E82GN2JC", "SE-000272752")</f>
        <v>SE-000272752</v>
      </c>
      <c r="D5589" s="1">
        <v>45915.382673611108</v>
      </c>
      <c r="E5589" s="2">
        <v>1</v>
      </c>
      <c r="F5589" s="2">
        <v>1</v>
      </c>
      <c r="G5589" s="2">
        <v>0</v>
      </c>
      <c r="H5589" s="1" t="s">
        <v>0</v>
      </c>
      <c r="I5589" s="2">
        <v>0</v>
      </c>
      <c r="J5589" s="1">
        <v>45915.37740740741</v>
      </c>
    </row>
    <row r="5590" spans="1:10" x14ac:dyDescent="0.2">
      <c r="A5590" s="4" t="s">
        <v>1</v>
      </c>
      <c r="B5590" s="3" t="str">
        <f>HYPERLINK("https://otsuka-europe-crm.veevavault.com/ui/#object/approved_document__v/V5OZ025E82TFUPI", "Spain - HCP Survey Email - June 2025")</f>
        <v>Spain - HCP Survey Email - June 2025</v>
      </c>
      <c r="C5590" s="3" t="str">
        <f>HYPERLINK("https://otsuka-europe-crm.veevavault.com/ui/#object/sent_email__v/VBLZ025E82GN2JD", "SE-000272753")</f>
        <v>SE-000272753</v>
      </c>
      <c r="D5590" s="1" t="s">
        <v>0</v>
      </c>
      <c r="E5590" s="2">
        <v>0</v>
      </c>
      <c r="F5590" s="2">
        <v>0</v>
      </c>
      <c r="G5590" s="2">
        <v>0</v>
      </c>
      <c r="H5590" s="1" t="s">
        <v>0</v>
      </c>
      <c r="I5590" s="2">
        <v>0</v>
      </c>
      <c r="J5590" s="1">
        <v>45915.378067129626</v>
      </c>
    </row>
    <row r="5591" spans="1:10" x14ac:dyDescent="0.2">
      <c r="A5591" s="4" t="s">
        <v>1</v>
      </c>
      <c r="B5591" s="3" t="str">
        <f>HYPERLINK("https://otsuka-europe-crm.veevavault.com/ui/#object/approved_document__v/V5OZ025E82TFUPI", "Spain - HCP Survey Email - June 2025")</f>
        <v>Spain - HCP Survey Email - June 2025</v>
      </c>
      <c r="C5591" s="3" t="str">
        <f>HYPERLINK("https://otsuka-europe-crm.veevavault.com/ui/#object/sent_email__v/VBLZ025E82GN2JE", "SE-000272754")</f>
        <v>SE-000272754</v>
      </c>
      <c r="D5591" s="1">
        <v>45915.382303240738</v>
      </c>
      <c r="E5591" s="2">
        <v>1</v>
      </c>
      <c r="F5591" s="2">
        <v>1</v>
      </c>
      <c r="G5591" s="2">
        <v>0</v>
      </c>
      <c r="H5591" s="1" t="s">
        <v>0</v>
      </c>
      <c r="I5591" s="2">
        <v>0</v>
      </c>
      <c r="J5591" s="1">
        <v>45915.378240740742</v>
      </c>
    </row>
    <row r="5592" spans="1:10" x14ac:dyDescent="0.2">
      <c r="A5592" s="4" t="s">
        <v>1</v>
      </c>
      <c r="B5592" s="3" t="str">
        <f>HYPERLINK("https://otsuka-europe-crm.veevavault.com/ui/#object/approved_document__v/V5OZ025E82TFUPI", "Spain - HCP Survey Email - June 2025")</f>
        <v>Spain - HCP Survey Email - June 2025</v>
      </c>
      <c r="C5592" s="3" t="str">
        <f>HYPERLINK("https://otsuka-europe-crm.veevavault.com/ui/#object/sent_email__v/VBLZ025E82GN2JF", "SE-000272755")</f>
        <v>SE-000272755</v>
      </c>
      <c r="D5592" s="1" t="s">
        <v>0</v>
      </c>
      <c r="E5592" s="2">
        <v>0</v>
      </c>
      <c r="F5592" s="2">
        <v>0</v>
      </c>
      <c r="G5592" s="2">
        <v>0</v>
      </c>
      <c r="H5592" s="1" t="s">
        <v>0</v>
      </c>
      <c r="I5592" s="2">
        <v>0</v>
      </c>
      <c r="J5592" s="1">
        <v>45915.37908564815</v>
      </c>
    </row>
    <row r="5593" spans="1:10" x14ac:dyDescent="0.2">
      <c r="A5593" s="4" t="s">
        <v>1</v>
      </c>
      <c r="B5593" s="3" t="str">
        <f>HYPERLINK("https://otsuka-europe-crm.veevavault.com/ui/#object/approved_document__v/V5OZ025E82TFUPI", "Spain - HCP Survey Email - June 2025")</f>
        <v>Spain - HCP Survey Email - June 2025</v>
      </c>
      <c r="C5593" s="3" t="str">
        <f>HYPERLINK("https://otsuka-europe-crm.veevavault.com/ui/#object/sent_email__v/VBLZ025E82GN2JG", "SE-000272756")</f>
        <v>SE-000272756</v>
      </c>
      <c r="D5593" s="1">
        <v>45920.947233796294</v>
      </c>
      <c r="E5593" s="2">
        <v>1</v>
      </c>
      <c r="F5593" s="2">
        <v>1</v>
      </c>
      <c r="G5593" s="2">
        <v>0</v>
      </c>
      <c r="H5593" s="1" t="s">
        <v>0</v>
      </c>
      <c r="I5593" s="2">
        <v>0</v>
      </c>
      <c r="J5593" s="1">
        <v>45915.379143518519</v>
      </c>
    </row>
    <row r="5594" spans="1:10" x14ac:dyDescent="0.2">
      <c r="A5594" s="4" t="s">
        <v>1</v>
      </c>
      <c r="B5594" s="3" t="str">
        <f>HYPERLINK("https://otsuka-europe-crm.veevavault.com/ui/#object/approved_document__v/V5OZ025E82TFUPI", "Spain - HCP Survey Email - June 2025")</f>
        <v>Spain - HCP Survey Email - June 2025</v>
      </c>
      <c r="C5594" s="3" t="str">
        <f>HYPERLINK("https://otsuka-europe-crm.veevavault.com/ui/#object/sent_email__v/VBLZ025E82GN2JI", "SE-000272758")</f>
        <v>SE-000272758</v>
      </c>
      <c r="D5594" s="1">
        <v>45915.385775462964</v>
      </c>
      <c r="E5594" s="2">
        <v>1</v>
      </c>
      <c r="F5594" s="2">
        <v>1</v>
      </c>
      <c r="G5594" s="2">
        <v>0</v>
      </c>
      <c r="H5594" s="1" t="s">
        <v>0</v>
      </c>
      <c r="I5594" s="2">
        <v>0</v>
      </c>
      <c r="J5594" s="1">
        <v>45915.377800925926</v>
      </c>
    </row>
    <row r="5595" spans="1:10" x14ac:dyDescent="0.2">
      <c r="A5595" s="4" t="s">
        <v>1</v>
      </c>
      <c r="B5595" s="3" t="str">
        <f>HYPERLINK("https://otsuka-europe-crm.veevavault.com/ui/#object/approved_document__v/V5OZ025E82TFUPI", "Spain - HCP Survey Email - June 2025")</f>
        <v>Spain - HCP Survey Email - June 2025</v>
      </c>
      <c r="C5595" s="3" t="str">
        <f>HYPERLINK("https://otsuka-europe-crm.veevavault.com/ui/#object/sent_email__v/VBLZ025E82GN2JJ", "SE-000272759")</f>
        <v>SE-000272759</v>
      </c>
      <c r="D5595" s="1">
        <v>45915.394745370373</v>
      </c>
      <c r="E5595" s="2">
        <v>1</v>
      </c>
      <c r="F5595" s="2">
        <v>1</v>
      </c>
      <c r="G5595" s="2">
        <v>0</v>
      </c>
      <c r="H5595" s="1" t="s">
        <v>0</v>
      </c>
      <c r="I5595" s="2">
        <v>0</v>
      </c>
      <c r="J5595" s="1">
        <v>45915.378449074073</v>
      </c>
    </row>
    <row r="5596" spans="1:10" x14ac:dyDescent="0.2">
      <c r="A5596" s="4" t="s">
        <v>1</v>
      </c>
      <c r="B5596" s="3" t="str">
        <f>HYPERLINK("https://otsuka-europe-crm.veevavault.com/ui/#object/approved_document__v/V5OZ025E82TFUPI", "Spain - HCP Survey Email - June 2025")</f>
        <v>Spain - HCP Survey Email - June 2025</v>
      </c>
      <c r="C5596" s="3" t="str">
        <f>HYPERLINK("https://otsuka-europe-crm.veevavault.com/ui/#object/sent_email__v/VBLZ025E82GN2JK", "SE-000272760")</f>
        <v>SE-000272760</v>
      </c>
      <c r="D5596" s="1" t="s">
        <v>0</v>
      </c>
      <c r="E5596" s="2">
        <v>0</v>
      </c>
      <c r="F5596" s="2">
        <v>0</v>
      </c>
      <c r="G5596" s="2">
        <v>0</v>
      </c>
      <c r="H5596" s="1" t="s">
        <v>0</v>
      </c>
      <c r="I5596" s="2">
        <v>0</v>
      </c>
      <c r="J5596" s="1">
        <v>45915.378634259258</v>
      </c>
    </row>
    <row r="5597" spans="1:10" x14ac:dyDescent="0.2">
      <c r="A5597" s="4" t="s">
        <v>1</v>
      </c>
      <c r="B5597" s="3" t="str">
        <f>HYPERLINK("https://otsuka-europe-crm.veevavault.com/ui/#object/approved_document__v/V5OZ025E82TFUPI", "Spain - HCP Survey Email - June 2025")</f>
        <v>Spain - HCP Survey Email - June 2025</v>
      </c>
      <c r="C5597" s="3" t="str">
        <f>HYPERLINK("https://otsuka-europe-crm.veevavault.com/ui/#object/sent_email__v/VBLZ025E82GN2JL", "SE-000272761")</f>
        <v>SE-000272761</v>
      </c>
      <c r="D5597" s="1">
        <v>45920.728958333333</v>
      </c>
      <c r="E5597" s="2">
        <v>1</v>
      </c>
      <c r="F5597" s="2">
        <v>1</v>
      </c>
      <c r="G5597" s="2">
        <v>0</v>
      </c>
      <c r="H5597" s="1" t="s">
        <v>0</v>
      </c>
      <c r="I5597" s="2">
        <v>0</v>
      </c>
      <c r="J5597" s="1">
        <v>45915.378842592596</v>
      </c>
    </row>
    <row r="5598" spans="1:10" x14ac:dyDescent="0.2">
      <c r="A5598" s="4" t="s">
        <v>1</v>
      </c>
      <c r="B5598" s="3" t="str">
        <f>HYPERLINK("https://otsuka-europe-crm.veevavault.com/ui/#object/approved_document__v/V5OZ025E82TFUPI", "Spain - HCP Survey Email - June 2025")</f>
        <v>Spain - HCP Survey Email - June 2025</v>
      </c>
      <c r="C5598" s="3" t="str">
        <f>HYPERLINK("https://otsuka-europe-crm.veevavault.com/ui/#object/sent_email__v/VBLZ025E82GN2JM", "SE-000272762")</f>
        <v>SE-000272762</v>
      </c>
      <c r="D5598" s="1" t="s">
        <v>0</v>
      </c>
      <c r="E5598" s="2">
        <v>0</v>
      </c>
      <c r="F5598" s="2">
        <v>0</v>
      </c>
      <c r="G5598" s="2">
        <v>0</v>
      </c>
      <c r="H5598" s="1" t="s">
        <v>0</v>
      </c>
      <c r="I5598" s="2">
        <v>0</v>
      </c>
      <c r="J5598" s="1">
        <v>45915.379918981482</v>
      </c>
    </row>
    <row r="5599" spans="1:10" x14ac:dyDescent="0.2">
      <c r="A5599" s="4" t="s">
        <v>1</v>
      </c>
      <c r="B5599" s="3" t="str">
        <f>HYPERLINK("https://otsuka-europe-crm.veevavault.com/ui/#object/approved_document__v/V5OZ025E82TFUPI", "Spain - HCP Survey Email - June 2025")</f>
        <v>Spain - HCP Survey Email - June 2025</v>
      </c>
      <c r="C5599" s="3" t="str">
        <f>HYPERLINK("https://otsuka-europe-crm.veevavault.com/ui/#object/sent_email__v/VBLZ025E82GN2JN", "SE-000272763")</f>
        <v>SE-000272763</v>
      </c>
      <c r="D5599" s="1" t="s">
        <v>0</v>
      </c>
      <c r="E5599" s="2">
        <v>0</v>
      </c>
      <c r="F5599" s="2">
        <v>0</v>
      </c>
      <c r="G5599" s="2">
        <v>0</v>
      </c>
      <c r="H5599" s="1" t="s">
        <v>0</v>
      </c>
      <c r="I5599" s="2">
        <v>0</v>
      </c>
      <c r="J5599" s="1">
        <v>45915.377418981479</v>
      </c>
    </row>
    <row r="5600" spans="1:10" x14ac:dyDescent="0.2">
      <c r="A5600" s="4" t="s">
        <v>1</v>
      </c>
      <c r="B5600" s="3" t="str">
        <f>HYPERLINK("https://otsuka-europe-crm.veevavault.com/ui/#object/approved_document__v/V5OZ025E82TFUPI", "Spain - HCP Survey Email - June 2025")</f>
        <v>Spain - HCP Survey Email - June 2025</v>
      </c>
      <c r="C5600" s="3" t="str">
        <f>HYPERLINK("https://otsuka-europe-crm.veevavault.com/ui/#object/sent_email__v/VBLZ025E82GN2JO", "SE-000272764")</f>
        <v>SE-000272764</v>
      </c>
      <c r="D5600" s="1" t="s">
        <v>0</v>
      </c>
      <c r="E5600" s="2">
        <v>0</v>
      </c>
      <c r="F5600" s="2">
        <v>0</v>
      </c>
      <c r="G5600" s="2">
        <v>0</v>
      </c>
      <c r="H5600" s="1" t="s">
        <v>0</v>
      </c>
      <c r="I5600" s="2">
        <v>0</v>
      </c>
      <c r="J5600" s="1">
        <v>45915.378159722219</v>
      </c>
    </row>
    <row r="5601" spans="1:10" x14ac:dyDescent="0.2">
      <c r="A5601" s="4" t="s">
        <v>1</v>
      </c>
      <c r="B5601" s="3" t="str">
        <f>HYPERLINK("https://otsuka-europe-crm.veevavault.com/ui/#object/approved_document__v/V5OZ025E82TFUPI", "Spain - HCP Survey Email - June 2025")</f>
        <v>Spain - HCP Survey Email - June 2025</v>
      </c>
      <c r="C5601" s="3" t="str">
        <f>HYPERLINK("https://otsuka-europe-crm.veevavault.com/ui/#object/sent_email__v/VBLZ025E82GN2JP", "SE-000272765")</f>
        <v>SE-000272765</v>
      </c>
      <c r="D5601" s="1">
        <v>45915.378518518519</v>
      </c>
      <c r="E5601" s="2">
        <v>1</v>
      </c>
      <c r="F5601" s="2">
        <v>1</v>
      </c>
      <c r="G5601" s="2">
        <v>0</v>
      </c>
      <c r="H5601" s="1" t="s">
        <v>0</v>
      </c>
      <c r="I5601" s="2">
        <v>0</v>
      </c>
      <c r="J5601" s="1">
        <v>45915.378229166665</v>
      </c>
    </row>
    <row r="5602" spans="1:10" x14ac:dyDescent="0.2">
      <c r="A5602" s="4" t="s">
        <v>1</v>
      </c>
      <c r="B5602" s="3" t="str">
        <f>HYPERLINK("https://otsuka-europe-crm.veevavault.com/ui/#object/approved_document__v/V5OZ025E82TFUPI", "Spain - HCP Survey Email - June 2025")</f>
        <v>Spain - HCP Survey Email - June 2025</v>
      </c>
      <c r="C5602" s="3" t="str">
        <f>HYPERLINK("https://otsuka-europe-crm.veevavault.com/ui/#object/sent_email__v/VBLZ025E82GN2JQ", "SE-000272766")</f>
        <v>SE-000272766</v>
      </c>
      <c r="D5602" s="1">
        <v>45915.462557870371</v>
      </c>
      <c r="E5602" s="2">
        <v>1</v>
      </c>
      <c r="F5602" s="2">
        <v>1</v>
      </c>
      <c r="G5602" s="2">
        <v>1</v>
      </c>
      <c r="H5602" s="1">
        <v>45915.462719907409</v>
      </c>
      <c r="I5602" s="2">
        <v>2</v>
      </c>
      <c r="J5602" s="1">
        <v>45915.378946759258</v>
      </c>
    </row>
    <row r="5603" spans="1:10" x14ac:dyDescent="0.2">
      <c r="A5603" s="4" t="s">
        <v>1</v>
      </c>
      <c r="B5603" s="3" t="str">
        <f>HYPERLINK("https://otsuka-europe-crm.veevavault.com/ui/#object/approved_document__v/V5OZ025E82TFUPI", "Spain - HCP Survey Email - June 2025")</f>
        <v>Spain - HCP Survey Email - June 2025</v>
      </c>
      <c r="C5603" s="3" t="str">
        <f>HYPERLINK("https://otsuka-europe-crm.veevavault.com/ui/#object/sent_email__v/VBLZ025E82GN2JR", "SE-000272767")</f>
        <v>SE-000272767</v>
      </c>
      <c r="D5603" s="1">
        <v>45915.947962962964</v>
      </c>
      <c r="E5603" s="2">
        <v>1</v>
      </c>
      <c r="F5603" s="2">
        <v>1</v>
      </c>
      <c r="G5603" s="2">
        <v>0</v>
      </c>
      <c r="H5603" s="1" t="s">
        <v>0</v>
      </c>
      <c r="I5603" s="2">
        <v>0</v>
      </c>
      <c r="J5603" s="1">
        <v>45915.379143518519</v>
      </c>
    </row>
    <row r="5604" spans="1:10" x14ac:dyDescent="0.2">
      <c r="A5604" s="4" t="s">
        <v>1</v>
      </c>
      <c r="B5604" s="3" t="str">
        <f>HYPERLINK("https://otsuka-europe-crm.veevavault.com/ui/#object/approved_document__v/V5OZ025E82TFUPI", "Spain - HCP Survey Email - June 2025")</f>
        <v>Spain - HCP Survey Email - June 2025</v>
      </c>
      <c r="C5604" s="3" t="str">
        <f>HYPERLINK("https://otsuka-europe-crm.veevavault.com/ui/#object/sent_email__v/VBLZ025E82GN2JS", "SE-000272768")</f>
        <v>SE-000272768</v>
      </c>
      <c r="D5604" s="1">
        <v>45915.657766203702</v>
      </c>
      <c r="E5604" s="2">
        <v>1</v>
      </c>
      <c r="F5604" s="2">
        <v>3</v>
      </c>
      <c r="G5604" s="2">
        <v>0</v>
      </c>
      <c r="H5604" s="1" t="s">
        <v>0</v>
      </c>
      <c r="I5604" s="2">
        <v>0</v>
      </c>
      <c r="J5604" s="1">
        <v>45915.377581018518</v>
      </c>
    </row>
    <row r="5605" spans="1:10" x14ac:dyDescent="0.2">
      <c r="A5605" s="4" t="s">
        <v>1</v>
      </c>
      <c r="B5605" s="3" t="str">
        <f>HYPERLINK("https://otsuka-europe-crm.veevavault.com/ui/#object/approved_document__v/V5OZ025E82TFUPI", "Spain - HCP Survey Email - June 2025")</f>
        <v>Spain - HCP Survey Email - June 2025</v>
      </c>
      <c r="C5605" s="3" t="str">
        <f>HYPERLINK("https://otsuka-europe-crm.veevavault.com/ui/#object/sent_email__v/VBLZ025E82GN2JT", "SE-000272769")</f>
        <v>SE-000272769</v>
      </c>
      <c r="D5605" s="1">
        <v>45915.379212962966</v>
      </c>
      <c r="E5605" s="2">
        <v>1</v>
      </c>
      <c r="F5605" s="2">
        <v>1</v>
      </c>
      <c r="G5605" s="2">
        <v>0</v>
      </c>
      <c r="H5605" s="1" t="s">
        <v>0</v>
      </c>
      <c r="I5605" s="2">
        <v>0</v>
      </c>
      <c r="J5605" s="1">
        <v>45915.37771990741</v>
      </c>
    </row>
    <row r="5606" spans="1:10" x14ac:dyDescent="0.2">
      <c r="A5606" s="4" t="s">
        <v>1</v>
      </c>
      <c r="B5606" s="3" t="str">
        <f>HYPERLINK("https://otsuka-europe-crm.veevavault.com/ui/#object/approved_document__v/V5OZ025E82TFUPI", "Spain - HCP Survey Email - June 2025")</f>
        <v>Spain - HCP Survey Email - June 2025</v>
      </c>
      <c r="C5606" s="3" t="str">
        <f>HYPERLINK("https://otsuka-europe-crm.veevavault.com/ui/#object/sent_email__v/VBLZ025E82GN2JU", "SE-000272770")</f>
        <v>SE-000272770</v>
      </c>
      <c r="D5606" s="1" t="s">
        <v>0</v>
      </c>
      <c r="E5606" s="2">
        <v>0</v>
      </c>
      <c r="F5606" s="2">
        <v>0</v>
      </c>
      <c r="G5606" s="2">
        <v>0</v>
      </c>
      <c r="H5606" s="1" t="s">
        <v>0</v>
      </c>
      <c r="I5606" s="2">
        <v>0</v>
      </c>
      <c r="J5606" s="1">
        <v>45915.378483796296</v>
      </c>
    </row>
    <row r="5607" spans="1:10" x14ac:dyDescent="0.2">
      <c r="A5607" s="4" t="s">
        <v>1</v>
      </c>
      <c r="B5607" s="3" t="str">
        <f>HYPERLINK("https://otsuka-europe-crm.veevavault.com/ui/#object/approved_document__v/V5OZ025E82TFUPI", "Spain - HCP Survey Email - June 2025")</f>
        <v>Spain - HCP Survey Email - June 2025</v>
      </c>
      <c r="C5607" s="3" t="str">
        <f>HYPERLINK("https://otsuka-europe-crm.veevavault.com/ui/#object/sent_email__v/VBLZ025E82GN2JV", "SE-000272771")</f>
        <v>SE-000272771</v>
      </c>
      <c r="D5607" s="1">
        <v>45915.441064814811</v>
      </c>
      <c r="E5607" s="2">
        <v>1</v>
      </c>
      <c r="F5607" s="2">
        <v>1</v>
      </c>
      <c r="G5607" s="2">
        <v>0</v>
      </c>
      <c r="H5607" s="1" t="s">
        <v>0</v>
      </c>
      <c r="I5607" s="2">
        <v>0</v>
      </c>
      <c r="J5607" s="1">
        <v>45915.378692129627</v>
      </c>
    </row>
    <row r="5608" spans="1:10" x14ac:dyDescent="0.2">
      <c r="A5608" s="4" t="s">
        <v>1</v>
      </c>
      <c r="B5608" s="3" t="str">
        <f>HYPERLINK("https://otsuka-europe-crm.veevavault.com/ui/#object/approved_document__v/V5OZ025E82TFUPI", "Spain - HCP Survey Email - June 2025")</f>
        <v>Spain - HCP Survey Email - June 2025</v>
      </c>
      <c r="C5608" s="3" t="str">
        <f>HYPERLINK("https://otsuka-europe-crm.veevavault.com/ui/#object/sent_email__v/VBLZ025E82GN2JW", "SE-000272772")</f>
        <v>SE-000272772</v>
      </c>
      <c r="D5608" s="1" t="s">
        <v>0</v>
      </c>
      <c r="E5608" s="2">
        <v>0</v>
      </c>
      <c r="F5608" s="2">
        <v>0</v>
      </c>
      <c r="G5608" s="2">
        <v>0</v>
      </c>
      <c r="H5608" s="1" t="s">
        <v>0</v>
      </c>
      <c r="I5608" s="2">
        <v>0</v>
      </c>
      <c r="J5608" s="1">
        <v>45915.37872685185</v>
      </c>
    </row>
    <row r="5609" spans="1:10" x14ac:dyDescent="0.2">
      <c r="A5609" s="4" t="s">
        <v>1</v>
      </c>
      <c r="B5609" s="3" t="str">
        <f>HYPERLINK("https://otsuka-europe-crm.veevavault.com/ui/#object/approved_document__v/V5OZ025E82TFUPI", "Spain - HCP Survey Email - June 2025")</f>
        <v>Spain - HCP Survey Email - June 2025</v>
      </c>
      <c r="C5609" s="3" t="str">
        <f>HYPERLINK("https://otsuka-europe-crm.veevavault.com/ui/#object/sent_email__v/VBLZ025E82GN2JX", "SE-000272773")</f>
        <v>SE-000272773</v>
      </c>
      <c r="D5609" s="1" t="s">
        <v>0</v>
      </c>
      <c r="E5609" s="2">
        <v>0</v>
      </c>
      <c r="F5609" s="2">
        <v>0</v>
      </c>
      <c r="G5609" s="2">
        <v>0</v>
      </c>
      <c r="H5609" s="1" t="s">
        <v>0</v>
      </c>
      <c r="I5609" s="2">
        <v>0</v>
      </c>
      <c r="J5609" s="1">
        <v>45915.379837962966</v>
      </c>
    </row>
    <row r="5610" spans="1:10" x14ac:dyDescent="0.2">
      <c r="A5610" s="4" t="s">
        <v>1</v>
      </c>
      <c r="B5610" s="3" t="str">
        <f>HYPERLINK("https://otsuka-europe-crm.veevavault.com/ui/#object/approved_document__v/V5OZ025E82TFUPI", "Spain - HCP Survey Email - June 2025")</f>
        <v>Spain - HCP Survey Email - June 2025</v>
      </c>
      <c r="C5610" s="3" t="str">
        <f>HYPERLINK("https://otsuka-europe-crm.veevavault.com/ui/#object/sent_email__v/VBLZ025E82GN2JY", "SE-000272774")</f>
        <v>SE-000272774</v>
      </c>
      <c r="D5610" s="1">
        <v>45915.988576388889</v>
      </c>
      <c r="E5610" s="2">
        <v>1</v>
      </c>
      <c r="F5610" s="2">
        <v>1</v>
      </c>
      <c r="G5610" s="2">
        <v>0</v>
      </c>
      <c r="H5610" s="1" t="s">
        <v>0</v>
      </c>
      <c r="I5610" s="2">
        <v>0</v>
      </c>
      <c r="J5610" s="1">
        <v>45915.378460648149</v>
      </c>
    </row>
    <row r="5611" spans="1:10" x14ac:dyDescent="0.2">
      <c r="A5611" s="4" t="s">
        <v>1</v>
      </c>
      <c r="B5611" s="3" t="str">
        <f>HYPERLINK("https://otsuka-europe-crm.veevavault.com/ui/#object/approved_document__v/V5OZ025E82TFUPI", "Spain - HCP Survey Email - June 2025")</f>
        <v>Spain - HCP Survey Email - June 2025</v>
      </c>
      <c r="C5611" s="3" t="str">
        <f>HYPERLINK("https://otsuka-europe-crm.veevavault.com/ui/#object/sent_email__v/VBLZ025E82GN2JZ", "SE-000272775")</f>
        <v>SE-000272775</v>
      </c>
      <c r="D5611" s="1" t="s">
        <v>0</v>
      </c>
      <c r="E5611" s="2">
        <v>0</v>
      </c>
      <c r="F5611" s="2">
        <v>0</v>
      </c>
      <c r="G5611" s="2">
        <v>0</v>
      </c>
      <c r="H5611" s="1" t="s">
        <v>0</v>
      </c>
      <c r="I5611" s="2">
        <v>0</v>
      </c>
      <c r="J5611" s="1">
        <v>45915.378680555557</v>
      </c>
    </row>
    <row r="5612" spans="1:10" x14ac:dyDescent="0.2">
      <c r="A5612" s="4" t="s">
        <v>1</v>
      </c>
      <c r="B5612" s="3" t="str">
        <f>HYPERLINK("https://otsuka-europe-crm.veevavault.com/ui/#object/approved_document__v/V5OZ025E82TFUPI", "Spain - HCP Survey Email - June 2025")</f>
        <v>Spain - HCP Survey Email - June 2025</v>
      </c>
      <c r="C5612" s="3" t="str">
        <f>HYPERLINK("https://otsuka-europe-crm.veevavault.com/ui/#object/sent_email__v/VBLZ025E82GN2K0", "SE-000272776")</f>
        <v>SE-000272776</v>
      </c>
      <c r="D5612" s="1">
        <v>45916.035902777781</v>
      </c>
      <c r="E5612" s="2">
        <v>1</v>
      </c>
      <c r="F5612" s="2">
        <v>1</v>
      </c>
      <c r="G5612" s="2">
        <v>0</v>
      </c>
      <c r="H5612" s="1" t="s">
        <v>0</v>
      </c>
      <c r="I5612" s="2">
        <v>0</v>
      </c>
      <c r="J5612" s="1">
        <v>45915.378738425927</v>
      </c>
    </row>
    <row r="5613" spans="1:10" x14ac:dyDescent="0.2">
      <c r="A5613" s="4" t="s">
        <v>1</v>
      </c>
      <c r="B5613" s="3" t="str">
        <f>HYPERLINK("https://otsuka-europe-crm.veevavault.com/ui/#object/approved_document__v/V5OZ025E82TFUPI", "Spain - HCP Survey Email - June 2025")</f>
        <v>Spain - HCP Survey Email - June 2025</v>
      </c>
      <c r="C5613" s="3" t="str">
        <f>HYPERLINK("https://otsuka-europe-crm.veevavault.com/ui/#object/sent_email__v/VBLZ025E82GN2K1", "SE-000272777")</f>
        <v>SE-000272777</v>
      </c>
      <c r="D5613" s="1" t="s">
        <v>0</v>
      </c>
      <c r="E5613" s="2">
        <v>0</v>
      </c>
      <c r="F5613" s="2">
        <v>0</v>
      </c>
      <c r="G5613" s="2">
        <v>0</v>
      </c>
      <c r="H5613" s="1" t="s">
        <v>0</v>
      </c>
      <c r="I5613" s="2">
        <v>0</v>
      </c>
      <c r="J5613" s="1">
        <v>45915.37976851852</v>
      </c>
    </row>
    <row r="5614" spans="1:10" x14ac:dyDescent="0.2">
      <c r="A5614" s="4" t="s">
        <v>1</v>
      </c>
      <c r="B5614" s="3" t="str">
        <f>HYPERLINK("https://otsuka-europe-crm.veevavault.com/ui/#object/approved_document__v/V5OZ025E82TFUPI", "Spain - HCP Survey Email - June 2025")</f>
        <v>Spain - HCP Survey Email - June 2025</v>
      </c>
      <c r="C5614" s="3" t="str">
        <f>HYPERLINK("https://otsuka-europe-crm.veevavault.com/ui/#object/sent_email__v/VBLZ025E82GN2K2", "SE-000272778")</f>
        <v>SE-000272778</v>
      </c>
      <c r="D5614" s="1" t="s">
        <v>0</v>
      </c>
      <c r="E5614" s="2">
        <v>0</v>
      </c>
      <c r="F5614" s="2">
        <v>0</v>
      </c>
      <c r="G5614" s="2">
        <v>0</v>
      </c>
      <c r="H5614" s="1" t="s">
        <v>0</v>
      </c>
      <c r="I5614" s="2">
        <v>0</v>
      </c>
      <c r="J5614" s="1">
        <v>45915.377465277779</v>
      </c>
    </row>
    <row r="5615" spans="1:10" x14ac:dyDescent="0.2">
      <c r="A5615" s="4" t="s">
        <v>1</v>
      </c>
      <c r="B5615" s="3" t="str">
        <f>HYPERLINK("https://otsuka-europe-crm.veevavault.com/ui/#object/approved_document__v/V5OZ025E82TFUPI", "Spain - HCP Survey Email - June 2025")</f>
        <v>Spain - HCP Survey Email - June 2025</v>
      </c>
      <c r="C5615" s="3" t="str">
        <f>HYPERLINK("https://otsuka-europe-crm.veevavault.com/ui/#object/sent_email__v/VBLZ025E82GN2K3", "SE-000272779")</f>
        <v>SE-000272779</v>
      </c>
      <c r="D5615" s="1">
        <v>45915.379594907405</v>
      </c>
      <c r="E5615" s="2">
        <v>1</v>
      </c>
      <c r="F5615" s="2">
        <v>1</v>
      </c>
      <c r="G5615" s="2">
        <v>0</v>
      </c>
      <c r="H5615" s="1" t="s">
        <v>0</v>
      </c>
      <c r="I5615" s="2">
        <v>0</v>
      </c>
      <c r="J5615" s="1">
        <v>45915.378113425926</v>
      </c>
    </row>
    <row r="5616" spans="1:10" x14ac:dyDescent="0.2">
      <c r="A5616" s="4" t="s">
        <v>1</v>
      </c>
      <c r="B5616" s="3" t="str">
        <f>HYPERLINK("https://otsuka-europe-crm.veevavault.com/ui/#object/approved_document__v/V5OZ025E82TFUPI", "Spain - HCP Survey Email - June 2025")</f>
        <v>Spain - HCP Survey Email - June 2025</v>
      </c>
      <c r="C5616" s="3" t="str">
        <f>HYPERLINK("https://otsuka-europe-crm.veevavault.com/ui/#object/sent_email__v/VBLZ025E82GN2K4", "SE-000272780")</f>
        <v>SE-000272780</v>
      </c>
      <c r="D5616" s="1" t="s">
        <v>0</v>
      </c>
      <c r="E5616" s="2">
        <v>0</v>
      </c>
      <c r="F5616" s="2">
        <v>0</v>
      </c>
      <c r="G5616" s="2">
        <v>0</v>
      </c>
      <c r="H5616" s="1" t="s">
        <v>0</v>
      </c>
      <c r="I5616" s="2">
        <v>0</v>
      </c>
      <c r="J5616" s="1">
        <v>45915.378171296295</v>
      </c>
    </row>
    <row r="5617" spans="1:10" x14ac:dyDescent="0.2">
      <c r="A5617" s="4" t="s">
        <v>1</v>
      </c>
      <c r="B5617" s="3" t="str">
        <f>HYPERLINK("https://otsuka-europe-crm.veevavault.com/ui/#object/approved_document__v/V5OZ025E82TFUPI", "Spain - HCP Survey Email - June 2025")</f>
        <v>Spain - HCP Survey Email - June 2025</v>
      </c>
      <c r="C5617" s="3" t="str">
        <f>HYPERLINK("https://otsuka-europe-crm.veevavault.com/ui/#object/sent_email__v/VBLZ025E82GN2K5", "SE-000272781")</f>
        <v>SE-000272781</v>
      </c>
      <c r="D5617" s="1" t="s">
        <v>0</v>
      </c>
      <c r="E5617" s="2">
        <v>0</v>
      </c>
      <c r="F5617" s="2">
        <v>0</v>
      </c>
      <c r="G5617" s="2">
        <v>0</v>
      </c>
      <c r="H5617" s="1" t="s">
        <v>0</v>
      </c>
      <c r="I5617" s="2">
        <v>0</v>
      </c>
      <c r="J5617" s="1">
        <v>45915.37909722222</v>
      </c>
    </row>
    <row r="5618" spans="1:10" x14ac:dyDescent="0.2">
      <c r="A5618" s="4" t="s">
        <v>1</v>
      </c>
      <c r="B5618" s="3" t="str">
        <f>HYPERLINK("https://otsuka-europe-crm.veevavault.com/ui/#object/approved_document__v/V5OZ025E82TFUPI", "Spain - HCP Survey Email - June 2025")</f>
        <v>Spain - HCP Survey Email - June 2025</v>
      </c>
      <c r="C5618" s="3" t="str">
        <f>HYPERLINK("https://otsuka-europe-crm.veevavault.com/ui/#object/sent_email__v/VBLZ025E82GN2K6", "SE-000272782")</f>
        <v>SE-000272782</v>
      </c>
      <c r="D5618" s="1">
        <v>45915.380891203706</v>
      </c>
      <c r="E5618" s="2">
        <v>1</v>
      </c>
      <c r="F5618" s="2">
        <v>1</v>
      </c>
      <c r="G5618" s="2">
        <v>1</v>
      </c>
      <c r="H5618" s="1">
        <v>45915.380891203706</v>
      </c>
      <c r="I5618" s="2">
        <v>1</v>
      </c>
      <c r="J5618" s="1">
        <v>45915.379189814812</v>
      </c>
    </row>
    <row r="5619" spans="1:10" x14ac:dyDescent="0.2">
      <c r="A5619" s="4" t="s">
        <v>1</v>
      </c>
      <c r="B5619" s="3" t="str">
        <f>HYPERLINK("https://otsuka-europe-crm.veevavault.com/ui/#object/approved_document__v/V5OZ025E82TFUPI", "Spain - HCP Survey Email - June 2025")</f>
        <v>Spain - HCP Survey Email - June 2025</v>
      </c>
      <c r="C5619" s="3" t="str">
        <f>HYPERLINK("https://otsuka-europe-crm.veevavault.com/ui/#object/sent_email__v/VBLZ025E82GN2K7", "SE-000272783")</f>
        <v>SE-000272783</v>
      </c>
      <c r="D5619" s="1">
        <v>45950.68167824074</v>
      </c>
      <c r="E5619" s="2">
        <v>1</v>
      </c>
      <c r="F5619" s="2">
        <v>1</v>
      </c>
      <c r="G5619" s="2">
        <v>0</v>
      </c>
      <c r="H5619" s="1" t="s">
        <v>0</v>
      </c>
      <c r="I5619" s="2">
        <v>0</v>
      </c>
      <c r="J5619" s="1">
        <v>45915.377569444441</v>
      </c>
    </row>
    <row r="5620" spans="1:10" x14ac:dyDescent="0.2">
      <c r="A5620" s="4" t="s">
        <v>1</v>
      </c>
      <c r="B5620" s="3" t="str">
        <f>HYPERLINK("https://otsuka-europe-crm.veevavault.com/ui/#object/approved_document__v/V5OZ025E82TFUPI", "Spain - HCP Survey Email - June 2025")</f>
        <v>Spain - HCP Survey Email - June 2025</v>
      </c>
      <c r="C5620" s="3" t="str">
        <f>HYPERLINK("https://otsuka-europe-crm.veevavault.com/ui/#object/sent_email__v/VBLZ025E82GN2K8", "SE-000272784")</f>
        <v>SE-000272784</v>
      </c>
      <c r="D5620" s="1">
        <v>45915.899953703702</v>
      </c>
      <c r="E5620" s="2">
        <v>1</v>
      </c>
      <c r="F5620" s="2">
        <v>1</v>
      </c>
      <c r="G5620" s="2">
        <v>0</v>
      </c>
      <c r="H5620" s="1" t="s">
        <v>0</v>
      </c>
      <c r="I5620" s="2">
        <v>0</v>
      </c>
      <c r="J5620" s="1">
        <v>45915.377800925926</v>
      </c>
    </row>
    <row r="5621" spans="1:10" x14ac:dyDescent="0.2">
      <c r="A5621" s="4" t="s">
        <v>1</v>
      </c>
      <c r="B5621" s="3" t="str">
        <f>HYPERLINK("https://otsuka-europe-crm.veevavault.com/ui/#object/approved_document__v/V5OZ025E82TFUPI", "Spain - HCP Survey Email - June 2025")</f>
        <v>Spain - HCP Survey Email - June 2025</v>
      </c>
      <c r="C5621" s="3" t="str">
        <f>HYPERLINK("https://otsuka-europe-crm.veevavault.com/ui/#object/sent_email__v/VBLZ025E82GN2K9", "SE-000272785")</f>
        <v>SE-000272785</v>
      </c>
      <c r="D5621" s="1" t="s">
        <v>0</v>
      </c>
      <c r="E5621" s="2">
        <v>0</v>
      </c>
      <c r="F5621" s="2">
        <v>0</v>
      </c>
      <c r="G5621" s="2">
        <v>0</v>
      </c>
      <c r="H5621" s="1" t="s">
        <v>0</v>
      </c>
      <c r="I5621" s="2">
        <v>0</v>
      </c>
      <c r="J5621" s="1">
        <v>45915.378437500003</v>
      </c>
    </row>
    <row r="5622" spans="1:10" x14ac:dyDescent="0.2">
      <c r="A5622" s="4" t="s">
        <v>1</v>
      </c>
      <c r="B5622" s="3" t="str">
        <f>HYPERLINK("https://otsuka-europe-crm.veevavault.com/ui/#object/approved_document__v/V5OZ025E82TFUPI", "Spain - HCP Survey Email - June 2025")</f>
        <v>Spain - HCP Survey Email - June 2025</v>
      </c>
      <c r="C5622" s="3" t="str">
        <f>HYPERLINK("https://otsuka-europe-crm.veevavault.com/ui/#object/sent_email__v/VBLZ025E82GN2KA", "SE-000272786")</f>
        <v>SE-000272786</v>
      </c>
      <c r="D5622" s="1">
        <v>45921.294444444444</v>
      </c>
      <c r="E5622" s="2">
        <v>1</v>
      </c>
      <c r="F5622" s="2">
        <v>1</v>
      </c>
      <c r="G5622" s="2">
        <v>0</v>
      </c>
      <c r="H5622" s="1" t="s">
        <v>0</v>
      </c>
      <c r="I5622" s="2">
        <v>0</v>
      </c>
      <c r="J5622" s="1">
        <v>45915.378645833334</v>
      </c>
    </row>
    <row r="5623" spans="1:10" x14ac:dyDescent="0.2">
      <c r="A5623" s="4" t="s">
        <v>1</v>
      </c>
      <c r="B5623" s="3" t="str">
        <f>HYPERLINK("https://otsuka-europe-crm.veevavault.com/ui/#object/approved_document__v/V5OZ025E82TFUPI", "Spain - HCP Survey Email - June 2025")</f>
        <v>Spain - HCP Survey Email - June 2025</v>
      </c>
      <c r="C5623" s="3" t="str">
        <f>HYPERLINK("https://otsuka-europe-crm.veevavault.com/ui/#object/sent_email__v/VBLZ025E82GN2KB", "SE-000272787")</f>
        <v>SE-000272787</v>
      </c>
      <c r="D5623" s="1">
        <v>45920.736134259256</v>
      </c>
      <c r="E5623" s="2">
        <v>1</v>
      </c>
      <c r="F5623" s="2">
        <v>2</v>
      </c>
      <c r="G5623" s="2">
        <v>0</v>
      </c>
      <c r="H5623" s="1" t="s">
        <v>0</v>
      </c>
      <c r="I5623" s="2">
        <v>0</v>
      </c>
      <c r="J5623" s="1">
        <v>45915.378761574073</v>
      </c>
    </row>
    <row r="5624" spans="1:10" x14ac:dyDescent="0.2">
      <c r="A5624" s="4" t="s">
        <v>1</v>
      </c>
      <c r="B5624" s="3" t="str">
        <f>HYPERLINK("https://otsuka-europe-crm.veevavault.com/ui/#object/approved_document__v/V5OZ025E82TFUPI", "Spain - HCP Survey Email - June 2025")</f>
        <v>Spain - HCP Survey Email - June 2025</v>
      </c>
      <c r="C5624" s="3" t="str">
        <f>HYPERLINK("https://otsuka-europe-crm.veevavault.com/ui/#object/sent_email__v/VBLZ025E82GN2KC", "SE-000272788")</f>
        <v>SE-000272788</v>
      </c>
      <c r="D5624" s="1" t="s">
        <v>0</v>
      </c>
      <c r="E5624" s="2">
        <v>0</v>
      </c>
      <c r="F5624" s="2">
        <v>0</v>
      </c>
      <c r="G5624" s="2">
        <v>0</v>
      </c>
      <c r="H5624" s="1" t="s">
        <v>0</v>
      </c>
      <c r="I5624" s="2">
        <v>0</v>
      </c>
      <c r="J5624" s="1">
        <v>45915.379826388889</v>
      </c>
    </row>
    <row r="5625" spans="1:10" x14ac:dyDescent="0.2">
      <c r="A5625" s="4" t="s">
        <v>1</v>
      </c>
      <c r="B5625" s="3" t="str">
        <f>HYPERLINK("https://otsuka-europe-crm.veevavault.com/ui/#object/approved_document__v/V5OZ025E82TFUPI", "Spain - HCP Survey Email - June 2025")</f>
        <v>Spain - HCP Survey Email - June 2025</v>
      </c>
      <c r="C5625" s="3" t="str">
        <f>HYPERLINK("https://otsuka-europe-crm.veevavault.com/ui/#object/sent_email__v/VBLZ025E82GN2KD", "SE-000272789")</f>
        <v>SE-000272789</v>
      </c>
      <c r="D5625" s="1">
        <v>45915.378657407404</v>
      </c>
      <c r="E5625" s="2">
        <v>1</v>
      </c>
      <c r="F5625" s="2">
        <v>1</v>
      </c>
      <c r="G5625" s="2">
        <v>0</v>
      </c>
      <c r="H5625" s="1" t="s">
        <v>0</v>
      </c>
      <c r="I5625" s="2">
        <v>0</v>
      </c>
      <c r="J5625" s="1">
        <v>45915.377476851849</v>
      </c>
    </row>
    <row r="5626" spans="1:10" x14ac:dyDescent="0.2">
      <c r="A5626" s="4" t="s">
        <v>1</v>
      </c>
      <c r="B5626" s="3" t="str">
        <f>HYPERLINK("https://otsuka-europe-crm.veevavault.com/ui/#object/approved_document__v/V5OZ025E82TFUPI", "Spain - HCP Survey Email - June 2025")</f>
        <v>Spain - HCP Survey Email - June 2025</v>
      </c>
      <c r="C5626" s="3" t="str">
        <f>HYPERLINK("https://otsuka-europe-crm.veevavault.com/ui/#object/sent_email__v/VBLZ025E82GN2KE", "SE-000272790")</f>
        <v>SE-000272790</v>
      </c>
      <c r="D5626" s="1">
        <v>45915.450925925928</v>
      </c>
      <c r="E5626" s="2">
        <v>1</v>
      </c>
      <c r="F5626" s="2">
        <v>2</v>
      </c>
      <c r="G5626" s="2">
        <v>0</v>
      </c>
      <c r="H5626" s="1" t="s">
        <v>0</v>
      </c>
      <c r="I5626" s="2">
        <v>0</v>
      </c>
      <c r="J5626" s="1">
        <v>45915.378067129626</v>
      </c>
    </row>
    <row r="5627" spans="1:10" x14ac:dyDescent="0.2">
      <c r="A5627" s="4" t="s">
        <v>1</v>
      </c>
      <c r="B5627" s="3" t="str">
        <f>HYPERLINK("https://otsuka-europe-crm.veevavault.com/ui/#object/approved_document__v/V5OZ025E82TFUPI", "Spain - HCP Survey Email - June 2025")</f>
        <v>Spain - HCP Survey Email - June 2025</v>
      </c>
      <c r="C5627" s="3" t="str">
        <f>HYPERLINK("https://otsuka-europe-crm.veevavault.com/ui/#object/sent_email__v/VBLZ025E82GN2KF", "SE-000272791")</f>
        <v>SE-000272791</v>
      </c>
      <c r="D5627" s="1">
        <v>45915.386979166666</v>
      </c>
      <c r="E5627" s="2">
        <v>1</v>
      </c>
      <c r="F5627" s="2">
        <v>1</v>
      </c>
      <c r="G5627" s="2">
        <v>1</v>
      </c>
      <c r="H5627" s="1">
        <v>45915.386979166666</v>
      </c>
      <c r="I5627" s="2">
        <v>1</v>
      </c>
      <c r="J5627" s="1">
        <v>45915.378263888888</v>
      </c>
    </row>
    <row r="5628" spans="1:10" x14ac:dyDescent="0.2">
      <c r="A5628" s="4" t="s">
        <v>1</v>
      </c>
      <c r="B5628" s="3" t="str">
        <f>HYPERLINK("https://otsuka-europe-crm.veevavault.com/ui/#object/approved_document__v/V5OZ025E82TFUPI", "Spain - HCP Survey Email - June 2025")</f>
        <v>Spain - HCP Survey Email - June 2025</v>
      </c>
      <c r="C5628" s="3" t="str">
        <f>HYPERLINK("https://otsuka-europe-crm.veevavault.com/ui/#object/sent_email__v/VBLZ025E82GN2KG", "SE-000272792")</f>
        <v>SE-000272792</v>
      </c>
      <c r="D5628" s="1" t="s">
        <v>0</v>
      </c>
      <c r="E5628" s="2">
        <v>0</v>
      </c>
      <c r="F5628" s="2">
        <v>0</v>
      </c>
      <c r="G5628" s="2">
        <v>0</v>
      </c>
      <c r="H5628" s="1" t="s">
        <v>0</v>
      </c>
      <c r="I5628" s="2">
        <v>0</v>
      </c>
      <c r="J5628" s="1">
        <v>45915.378946759258</v>
      </c>
    </row>
    <row r="5629" spans="1:10" x14ac:dyDescent="0.2">
      <c r="A5629" s="4" t="s">
        <v>1</v>
      </c>
      <c r="B5629" s="3" t="str">
        <f>HYPERLINK("https://otsuka-europe-crm.veevavault.com/ui/#object/approved_document__v/V5OZ025E82TFUPI", "Spain - HCP Survey Email - June 2025")</f>
        <v>Spain - HCP Survey Email - June 2025</v>
      </c>
      <c r="C5629" s="3" t="str">
        <f>HYPERLINK("https://otsuka-europe-crm.veevavault.com/ui/#object/sent_email__v/VBLZ025E82GN2KH", "SE-000272793")</f>
        <v>SE-000272793</v>
      </c>
      <c r="D5629" s="1">
        <v>45917.961655092593</v>
      </c>
      <c r="E5629" s="2">
        <v>1</v>
      </c>
      <c r="F5629" s="2">
        <v>3</v>
      </c>
      <c r="G5629" s="2">
        <v>0</v>
      </c>
      <c r="H5629" s="1" t="s">
        <v>0</v>
      </c>
      <c r="I5629" s="2">
        <v>0</v>
      </c>
      <c r="J5629" s="1">
        <v>45915.379062499997</v>
      </c>
    </row>
    <row r="5630" spans="1:10" x14ac:dyDescent="0.2">
      <c r="A5630" s="4" t="s">
        <v>1</v>
      </c>
      <c r="B5630" s="3" t="str">
        <f>HYPERLINK("https://otsuka-europe-crm.veevavault.com/ui/#object/approved_document__v/V5OZ025E82TFUPI", "Spain - HCP Survey Email - June 2025")</f>
        <v>Spain - HCP Survey Email - June 2025</v>
      </c>
      <c r="C5630" s="3" t="str">
        <f>HYPERLINK("https://otsuka-europe-crm.veevavault.com/ui/#object/sent_email__v/VBLZ025E82GN2KI", "SE-000272794")</f>
        <v>SE-000272794</v>
      </c>
      <c r="D5630" s="1">
        <v>45915.989247685182</v>
      </c>
      <c r="E5630" s="2">
        <v>1</v>
      </c>
      <c r="F5630" s="2">
        <v>2</v>
      </c>
      <c r="G5630" s="2">
        <v>0</v>
      </c>
      <c r="H5630" s="1" t="s">
        <v>0</v>
      </c>
      <c r="I5630" s="2">
        <v>0</v>
      </c>
      <c r="J5630" s="1">
        <v>45915.377650462964</v>
      </c>
    </row>
    <row r="5631" spans="1:10" x14ac:dyDescent="0.2">
      <c r="A5631" s="4" t="s">
        <v>1</v>
      </c>
      <c r="B5631" s="3" t="str">
        <f>HYPERLINK("https://otsuka-europe-crm.veevavault.com/ui/#object/approved_document__v/V5OZ025E82TFUPI", "Spain - HCP Survey Email - June 2025")</f>
        <v>Spain - HCP Survey Email - June 2025</v>
      </c>
      <c r="C5631" s="3" t="str">
        <f>HYPERLINK("https://otsuka-europe-crm.veevavault.com/ui/#object/sent_email__v/VBLZ025E82GN2KJ", "SE-000272795")</f>
        <v>SE-000272795</v>
      </c>
      <c r="D5631" s="1" t="s">
        <v>0</v>
      </c>
      <c r="E5631" s="2">
        <v>0</v>
      </c>
      <c r="F5631" s="2">
        <v>0</v>
      </c>
      <c r="G5631" s="2">
        <v>0</v>
      </c>
      <c r="H5631" s="1" t="s">
        <v>0</v>
      </c>
      <c r="I5631" s="2">
        <v>0</v>
      </c>
      <c r="J5631" s="1">
        <v>45915.377789351849</v>
      </c>
    </row>
    <row r="5632" spans="1:10" x14ac:dyDescent="0.2">
      <c r="A5632" s="4" t="s">
        <v>1</v>
      </c>
      <c r="B5632" s="3" t="str">
        <f>HYPERLINK("https://otsuka-europe-crm.veevavault.com/ui/#object/approved_document__v/V5O00000000B100", "VAE - Manuscrito SECA")</f>
        <v>VAE - Manuscrito SECA</v>
      </c>
      <c r="C5632" s="3" t="str">
        <f>HYPERLINK("https://otsuka-europe-crm.veevavault.com/ui/#object/sent_email__v/VBL00000000V061", "SE-001394812")</f>
        <v>SE-001394812</v>
      </c>
      <c r="D5632" s="1" t="s">
        <v>0</v>
      </c>
      <c r="E5632" s="2">
        <v>0</v>
      </c>
      <c r="F5632" s="2">
        <v>0</v>
      </c>
      <c r="G5632" s="2">
        <v>0</v>
      </c>
      <c r="H5632" s="1" t="s">
        <v>0</v>
      </c>
      <c r="I5632" s="2">
        <v>0</v>
      </c>
      <c r="J5632" s="1">
        <v>45994.513287037036</v>
      </c>
    </row>
    <row r="5633" spans="1:10" x14ac:dyDescent="0.2">
      <c r="A5633" s="4" t="s">
        <v>1</v>
      </c>
      <c r="B5633" s="3" t="str">
        <f>HYPERLINK("https://otsuka-europe-crm.veevavault.com/ui/#object/approved_document__v/V5O00000000B100", "VAE - Manuscrito SECA")</f>
        <v>VAE - Manuscrito SECA</v>
      </c>
      <c r="C5633" s="3" t="str">
        <f>HYPERLINK("https://otsuka-europe-crm.veevavault.com/ui/#object/sent_email__v/VBL00000000U774", "SE-001395366")</f>
        <v>SE-001395366</v>
      </c>
      <c r="D5633" s="1" t="s">
        <v>0</v>
      </c>
      <c r="E5633" s="2">
        <v>0</v>
      </c>
      <c r="F5633" s="2">
        <v>0</v>
      </c>
      <c r="G5633" s="2">
        <v>0</v>
      </c>
      <c r="H5633" s="1" t="s">
        <v>0</v>
      </c>
      <c r="I5633" s="2">
        <v>0</v>
      </c>
      <c r="J5633" s="1">
        <v>45995.463819444441</v>
      </c>
    </row>
    <row r="5634" spans="1:10" x14ac:dyDescent="0.2">
      <c r="A5634" s="4" t="s">
        <v>1</v>
      </c>
      <c r="B5634" s="3" t="str">
        <f>HYPERLINK("https://otsuka-europe-crm.veevavault.com/ui/#object/approved_document__v/V5O00000000B100", "VAE - Manuscrito SECA")</f>
        <v>VAE - Manuscrito SECA</v>
      </c>
      <c r="C5634" s="3" t="str">
        <f>HYPERLINK("https://otsuka-europe-crm.veevavault.com/ui/#object/sent_email__v/VBL000000010021", "SE-001396634")</f>
        <v>SE-001396634</v>
      </c>
      <c r="D5634" s="1" t="s">
        <v>0</v>
      </c>
      <c r="E5634" s="2">
        <v>0</v>
      </c>
      <c r="F5634" s="2">
        <v>0</v>
      </c>
      <c r="G5634" s="2">
        <v>0</v>
      </c>
      <c r="H5634" s="1" t="s">
        <v>0</v>
      </c>
      <c r="I5634" s="2">
        <v>0</v>
      </c>
      <c r="J5634" s="1">
        <v>46006.374189814815</v>
      </c>
    </row>
    <row r="5635" spans="1:10" x14ac:dyDescent="0.2">
      <c r="A5635" s="4" t="s">
        <v>1</v>
      </c>
      <c r="B5635" s="3" t="str">
        <f>HYPERLINK("https://otsuka-europe-crm.veevavault.com/ui/#object/approved_document__v/V5O00000000B100", "VAE - Manuscrito SECA")</f>
        <v>VAE - Manuscrito SECA</v>
      </c>
      <c r="C5635" s="3" t="str">
        <f>HYPERLINK("https://otsuka-europe-crm.veevavault.com/ui/#object/sent_email__v/VBL000000010031", "SE-001396656")</f>
        <v>SE-001396656</v>
      </c>
      <c r="D5635" s="1" t="s">
        <v>0</v>
      </c>
      <c r="E5635" s="2">
        <v>0</v>
      </c>
      <c r="F5635" s="2">
        <v>0</v>
      </c>
      <c r="G5635" s="2">
        <v>0</v>
      </c>
      <c r="H5635" s="1" t="s">
        <v>0</v>
      </c>
      <c r="I5635" s="2">
        <v>0</v>
      </c>
      <c r="J5635" s="1">
        <v>46006.489861111113</v>
      </c>
    </row>
    <row r="5636" spans="1:10" x14ac:dyDescent="0.2">
      <c r="A5636" s="4" t="s">
        <v>1</v>
      </c>
      <c r="B5636" s="3" t="str">
        <f>HYPERLINK("https://otsuka-europe-crm.veevavault.com/ui/#object/approved_document__v/V5O00000000B100", "VAE - Manuscrito SECA")</f>
        <v>VAE - Manuscrito SECA</v>
      </c>
      <c r="C5636" s="3" t="str">
        <f>HYPERLINK("https://otsuka-europe-crm.veevavault.com/ui/#object/sent_email__v/VBL000000017130", "SE-001402159")</f>
        <v>SE-001402159</v>
      </c>
      <c r="D5636" s="1" t="s">
        <v>0</v>
      </c>
      <c r="E5636" s="2">
        <v>0</v>
      </c>
      <c r="F5636" s="2">
        <v>0</v>
      </c>
      <c r="G5636" s="2">
        <v>0</v>
      </c>
      <c r="H5636" s="1" t="s">
        <v>0</v>
      </c>
      <c r="I5636" s="2">
        <v>0</v>
      </c>
      <c r="J5636" s="1">
        <v>46050.676226851851</v>
      </c>
    </row>
    <row r="5637" spans="1:10" x14ac:dyDescent="0.2">
      <c r="A5637" s="4" t="s">
        <v>1</v>
      </c>
      <c r="B5637" s="3" t="str">
        <f>HYPERLINK("https://otsuka-europe-crm.veevavault.com/ui/#object/approved_document__v/V5O00000000B100", "VAE - Manuscrito SECA")</f>
        <v>VAE - Manuscrito SECA</v>
      </c>
      <c r="C5637" s="3" t="str">
        <f>HYPERLINK("https://otsuka-europe-crm.veevavault.com/ui/#object/sent_email__v/VBL000000017131", "SE-001402160")</f>
        <v>SE-001402160</v>
      </c>
      <c r="D5637" s="1" t="s">
        <v>0</v>
      </c>
      <c r="E5637" s="2">
        <v>0</v>
      </c>
      <c r="F5637" s="2">
        <v>0</v>
      </c>
      <c r="G5637" s="2">
        <v>0</v>
      </c>
      <c r="H5637" s="1" t="s">
        <v>0</v>
      </c>
      <c r="I5637" s="2">
        <v>0</v>
      </c>
      <c r="J5637" s="1">
        <v>46050.683159722219</v>
      </c>
    </row>
    <row r="5638" spans="1:10" x14ac:dyDescent="0.2">
      <c r="A5638" s="4" t="s">
        <v>1</v>
      </c>
      <c r="B5638" s="3" t="str">
        <f>HYPERLINK("https://otsuka-europe-crm.veevavault.com/ui/#object/approved_document__v/V5O00000000B100", "VAE - Manuscrito SECA")</f>
        <v>VAE - Manuscrito SECA</v>
      </c>
      <c r="C5638" s="3" t="str">
        <f>HYPERLINK("https://otsuka-europe-crm.veevavault.com/ui/#object/sent_email__v/VBL000000018078", "SE-001402161")</f>
        <v>SE-001402161</v>
      </c>
      <c r="D5638" s="1" t="s">
        <v>0</v>
      </c>
      <c r="E5638" s="2">
        <v>0</v>
      </c>
      <c r="F5638" s="2">
        <v>0</v>
      </c>
      <c r="G5638" s="2">
        <v>0</v>
      </c>
      <c r="H5638" s="1" t="s">
        <v>0</v>
      </c>
      <c r="I5638" s="2">
        <v>0</v>
      </c>
      <c r="J5638" s="1">
        <v>46050.686747685184</v>
      </c>
    </row>
    <row r="5639" spans="1:10" x14ac:dyDescent="0.2">
      <c r="A5639" s="4" t="s">
        <v>1</v>
      </c>
      <c r="B5639" s="3" t="str">
        <f>HYPERLINK("https://otsuka-europe-crm.veevavault.com/ui/#object/approved_document__v/V5O00000000B100", "VAE - Manuscrito SECA")</f>
        <v>VAE - Manuscrito SECA</v>
      </c>
      <c r="C5639" s="3" t="str">
        <f>HYPERLINK("https://otsuka-europe-crm.veevavault.com/ui/#object/sent_email__v/VBL000000018079", "SE-001402162")</f>
        <v>SE-001402162</v>
      </c>
      <c r="D5639" s="1" t="s">
        <v>0</v>
      </c>
      <c r="E5639" s="2">
        <v>0</v>
      </c>
      <c r="F5639" s="2">
        <v>0</v>
      </c>
      <c r="G5639" s="2">
        <v>0</v>
      </c>
      <c r="H5639" s="1" t="s">
        <v>0</v>
      </c>
      <c r="I5639" s="2">
        <v>0</v>
      </c>
      <c r="J5639" s="1">
        <v>46050.690023148149</v>
      </c>
    </row>
    <row r="5640" spans="1:10" x14ac:dyDescent="0.2">
      <c r="A5640" s="4" t="s">
        <v>1</v>
      </c>
      <c r="B5640" s="3" t="str">
        <f>HYPERLINK("https://otsuka-europe-crm.veevavault.com/ui/#object/approved_document__v/V5OZ025E82SZW8X", "VAE Resultados Análisis Inermedio Sibeprenlimab")</f>
        <v>VAE Resultados Análisis Inermedio Sibeprenlimab</v>
      </c>
      <c r="C5640" s="3" t="str">
        <f>HYPERLINK("https://otsuka-europe-crm.veevavault.com/ui/#object/sent_email__v/VBLZ025E82H0QSP", "SE-000280933")</f>
        <v>SE-000280933</v>
      </c>
      <c r="D5640" s="1">
        <v>45925.720567129632</v>
      </c>
      <c r="E5640" s="2">
        <v>1</v>
      </c>
      <c r="F5640" s="2">
        <v>1</v>
      </c>
      <c r="G5640" s="2">
        <v>0</v>
      </c>
      <c r="H5640" s="1" t="s">
        <v>0</v>
      </c>
      <c r="I5640" s="2">
        <v>0</v>
      </c>
      <c r="J5640" s="1">
        <v>45925.675682870373</v>
      </c>
    </row>
    <row r="5641" spans="1:10" x14ac:dyDescent="0.2">
      <c r="A5641" s="4" t="s">
        <v>1</v>
      </c>
      <c r="B5641" s="3" t="str">
        <f>HYPERLINK("https://otsuka-europe-crm.veevavault.com/ui/#object/approved_document__v/V5OZ025E82SZW8X", "VAE Resultados Análisis Inermedio Sibeprenlimab")</f>
        <v>VAE Resultados Análisis Inermedio Sibeprenlimab</v>
      </c>
      <c r="C5641" s="3" t="str">
        <f>HYPERLINK("https://otsuka-europe-crm.veevavault.com/ui/#object/sent_email__v/VBLZ025E82H7ZZH", "SE-000282952")</f>
        <v>SE-000282952</v>
      </c>
      <c r="D5641" s="1">
        <v>45993.294328703705</v>
      </c>
      <c r="E5641" s="2">
        <v>1</v>
      </c>
      <c r="F5641" s="2">
        <v>9</v>
      </c>
      <c r="G5641" s="2">
        <v>0</v>
      </c>
      <c r="H5641" s="1" t="s">
        <v>0</v>
      </c>
      <c r="I5641" s="2">
        <v>0</v>
      </c>
      <c r="J5641" s="1">
        <v>45932.518425925926</v>
      </c>
    </row>
    <row r="5642" spans="1:10" x14ac:dyDescent="0.2">
      <c r="A5642" s="4" t="s">
        <v>1</v>
      </c>
      <c r="B5642" s="3" t="str">
        <f>HYPERLINK("https://otsuka-europe-crm.veevavault.com/ui/#object/approved_document__v/V5OZ025E82SZW8X", "VAE Resultados Análisis Inermedio Sibeprenlimab")</f>
        <v>VAE Resultados Análisis Inermedio Sibeprenlimab</v>
      </c>
      <c r="C5642" s="3" t="str">
        <f>HYPERLINK("https://otsuka-europe-crm.veevavault.com/ui/#object/sent_email__v/VBLZ025E82H80G5", "SE-000282957")</f>
        <v>SE-000282957</v>
      </c>
      <c r="D5642" s="1">
        <v>45964.765300925923</v>
      </c>
      <c r="E5642" s="2">
        <v>1</v>
      </c>
      <c r="F5642" s="2">
        <v>3</v>
      </c>
      <c r="G5642" s="2">
        <v>0</v>
      </c>
      <c r="H5642" s="1" t="s">
        <v>0</v>
      </c>
      <c r="I5642" s="2">
        <v>0</v>
      </c>
      <c r="J5642" s="1">
        <v>45932.519479166665</v>
      </c>
    </row>
    <row r="5643" spans="1:10" x14ac:dyDescent="0.2">
      <c r="A5643" s="4" t="s">
        <v>1</v>
      </c>
      <c r="B5643" s="3" t="str">
        <f>HYPERLINK("https://otsuka-europe-crm.veevavault.com/ui/#object/approved_document__v/V5OZ025E82SZW8X", "VAE Resultados Análisis Inermedio Sibeprenlimab")</f>
        <v>VAE Resultados Análisis Inermedio Sibeprenlimab</v>
      </c>
      <c r="C5643" s="3" t="str">
        <f>HYPERLINK("https://otsuka-europe-crm.veevavault.com/ui/#object/sent_email__v/VBLZ025E82H81J1", "SE-000282974")</f>
        <v>SE-000282974</v>
      </c>
      <c r="D5643" s="1" t="s">
        <v>0</v>
      </c>
      <c r="E5643" s="2">
        <v>0</v>
      </c>
      <c r="F5643" s="2">
        <v>0</v>
      </c>
      <c r="G5643" s="2">
        <v>0</v>
      </c>
      <c r="H5643" s="1" t="s">
        <v>0</v>
      </c>
      <c r="I5643" s="2">
        <v>0</v>
      </c>
      <c r="J5643" s="1">
        <v>45932.526504629626</v>
      </c>
    </row>
    <row r="5644" spans="1:10" x14ac:dyDescent="0.2">
      <c r="A5644" s="4" t="s">
        <v>1</v>
      </c>
      <c r="B5644" s="3" t="str">
        <f>HYPERLINK("https://otsuka-europe-crm.veevavault.com/ui/#object/approved_document__v/V5OZ025E82SZW8X", "VAE Resultados Análisis Inermedio Sibeprenlimab")</f>
        <v>VAE Resultados Análisis Inermedio Sibeprenlimab</v>
      </c>
      <c r="C5644" s="3" t="str">
        <f>HYPERLINK("https://otsuka-europe-crm.veevavault.com/ui/#object/sent_email__v/VBLZ025E82H832L", "SE-000282986")</f>
        <v>SE-000282986</v>
      </c>
      <c r="D5644" s="1">
        <v>45935.719930555555</v>
      </c>
      <c r="E5644" s="2">
        <v>1</v>
      </c>
      <c r="F5644" s="2">
        <v>3</v>
      </c>
      <c r="G5644" s="2">
        <v>0</v>
      </c>
      <c r="H5644" s="1" t="s">
        <v>0</v>
      </c>
      <c r="I5644" s="2">
        <v>0</v>
      </c>
      <c r="J5644" s="1">
        <v>45932.534791666665</v>
      </c>
    </row>
    <row r="5645" spans="1:10" x14ac:dyDescent="0.2">
      <c r="A5645" s="4" t="s">
        <v>1</v>
      </c>
      <c r="B5645" s="3" t="str">
        <f>HYPERLINK("https://otsuka-europe-crm.veevavault.com/ui/#object/approved_document__v/V5OZ025E82SZW8X", "VAE Resultados Análisis Inermedio Sibeprenlimab")</f>
        <v>VAE Resultados Análisis Inermedio Sibeprenlimab</v>
      </c>
      <c r="C5645" s="3" t="str">
        <f>HYPERLINK("https://otsuka-europe-crm.veevavault.com/ui/#object/sent_email__v/VBLZ025E82H8385", "SE-000282988")</f>
        <v>SE-000282988</v>
      </c>
      <c r="D5645" s="1">
        <v>45932.544027777774</v>
      </c>
      <c r="E5645" s="2">
        <v>1</v>
      </c>
      <c r="F5645" s="2">
        <v>1</v>
      </c>
      <c r="G5645" s="2">
        <v>0</v>
      </c>
      <c r="H5645" s="1" t="s">
        <v>0</v>
      </c>
      <c r="I5645" s="2">
        <v>0</v>
      </c>
      <c r="J5645" s="1">
        <v>45932.535370370373</v>
      </c>
    </row>
    <row r="5646" spans="1:10" x14ac:dyDescent="0.2">
      <c r="A5646" s="4" t="s">
        <v>1</v>
      </c>
      <c r="B5646" s="3" t="str">
        <f>HYPERLINK("https://otsuka-europe-crm.veevavault.com/ui/#object/approved_document__v/V5OZ025E82SZW8X", "VAE Resultados Análisis Inermedio Sibeprenlimab")</f>
        <v>VAE Resultados Análisis Inermedio Sibeprenlimab</v>
      </c>
      <c r="C5646" s="3" t="str">
        <f>HYPERLINK("https://otsuka-europe-crm.veevavault.com/ui/#object/sent_email__v/VBLZ025E82H83DP", "SE-000282990")</f>
        <v>SE-000282990</v>
      </c>
      <c r="D5646" s="1">
        <v>45932.609826388885</v>
      </c>
      <c r="E5646" s="2">
        <v>1</v>
      </c>
      <c r="F5646" s="2">
        <v>2</v>
      </c>
      <c r="G5646" s="2">
        <v>0</v>
      </c>
      <c r="H5646" s="1" t="s">
        <v>0</v>
      </c>
      <c r="I5646" s="2">
        <v>0</v>
      </c>
      <c r="J5646" s="1">
        <v>45932.53597222222</v>
      </c>
    </row>
    <row r="5647" spans="1:10" x14ac:dyDescent="0.2">
      <c r="A5647" s="4" t="s">
        <v>1</v>
      </c>
      <c r="B5647" s="3" t="str">
        <f>HYPERLINK("https://otsuka-europe-crm.veevavault.com/ui/#object/approved_document__v/V5O00000000K009", "VAE tercer episodio Nosquedamosencasa - El rol del equipo asistencial")</f>
        <v>VAE tercer episodio Nosquedamosencasa - El rol del equipo asistencial</v>
      </c>
      <c r="C5647" s="3" t="str">
        <f>HYPERLINK("https://otsuka-europe-crm.veevavault.com/ui/#object/sent_email__v/VBL000000015096", "SE-001400194")</f>
        <v>SE-001400194</v>
      </c>
      <c r="D5647" s="1" t="s">
        <v>0</v>
      </c>
      <c r="E5647" s="2">
        <v>0</v>
      </c>
      <c r="F5647" s="2">
        <v>0</v>
      </c>
      <c r="G5647" s="2">
        <v>0</v>
      </c>
      <c r="H5647" s="1" t="s">
        <v>0</v>
      </c>
      <c r="I5647" s="2">
        <v>0</v>
      </c>
      <c r="J5647" s="1">
        <v>46041.392268518517</v>
      </c>
    </row>
    <row r="5648" spans="1:10" x14ac:dyDescent="0.2">
      <c r="A5648" s="4" t="s">
        <v>1</v>
      </c>
      <c r="B5648" s="3" t="str">
        <f>HYPERLINK("https://otsuka-europe-crm.veevavault.com/ui/#object/approved_document__v/V5OZ025E827ZBAE", "¿Conoces RXULTI?")</f>
        <v>¿Conoces RXULTI?</v>
      </c>
      <c r="C5648" s="3" t="str">
        <f>HYPERLINK("https://otsuka-europe-crm.veevavault.com/ui/#object/sent_email__v/VBLZ025E82GHWH9", "SE-000255543")</f>
        <v>SE-000255543</v>
      </c>
      <c r="D5648" s="1">
        <v>45992.785601851851</v>
      </c>
      <c r="E5648" s="2">
        <v>1</v>
      </c>
      <c r="F5648" s="2">
        <v>1</v>
      </c>
      <c r="G5648" s="2">
        <v>0</v>
      </c>
      <c r="H5648" s="1" t="s">
        <v>0</v>
      </c>
      <c r="I5648" s="2">
        <v>0</v>
      </c>
      <c r="J5648" s="1">
        <v>45908.662175925929</v>
      </c>
    </row>
    <row r="5649" spans="1:10" x14ac:dyDescent="0.2">
      <c r="A5649" s="4" t="s">
        <v>1</v>
      </c>
      <c r="B5649" s="3" t="str">
        <f>HYPERLINK("https://otsuka-europe-crm.veevavault.com/ui/#object/approved_document__v/V5O00000000Q016", "AEESME 2026: Programa simposio")</f>
        <v>AEESME 2026: Programa simposio</v>
      </c>
      <c r="C5649" s="3" t="str">
        <f>HYPERLINK("https://otsuka-europe-crm.veevavault.com/ui/#object/sent_email__v/VBL00000001E403", "SE-001404916")</f>
        <v>SE-001404916</v>
      </c>
      <c r="D5649" s="1" t="s">
        <v>0</v>
      </c>
      <c r="E5649" s="2">
        <v>0</v>
      </c>
      <c r="F5649" s="2">
        <v>0</v>
      </c>
      <c r="G5649" s="2">
        <v>0</v>
      </c>
      <c r="H5649" s="1" t="s">
        <v>0</v>
      </c>
      <c r="I5649" s="2">
        <v>0</v>
      </c>
      <c r="J5649" s="1">
        <v>46072.376342592594</v>
      </c>
    </row>
    <row r="5650" spans="1:10" x14ac:dyDescent="0.2">
      <c r="A5650" s="4" t="s">
        <v>1</v>
      </c>
      <c r="B5650" s="3" t="str">
        <f>HYPERLINK("https://otsuka-europe-crm.veevavault.com/ui/#object/approved_document__v/V5O00000000Q016", "AEESME 2026: Programa simposio")</f>
        <v>AEESME 2026: Programa simposio</v>
      </c>
      <c r="C5650" s="3" t="str">
        <f>HYPERLINK("https://otsuka-europe-crm.veevavault.com/ui/#object/sent_email__v/VBL00000001E505", "SE-001405131")</f>
        <v>SE-001405131</v>
      </c>
      <c r="D5650" s="1" t="s">
        <v>0</v>
      </c>
      <c r="E5650" s="2">
        <v>0</v>
      </c>
      <c r="F5650" s="2">
        <v>0</v>
      </c>
      <c r="G5650" s="2">
        <v>0</v>
      </c>
      <c r="H5650" s="1" t="s">
        <v>0</v>
      </c>
      <c r="I5650" s="2">
        <v>0</v>
      </c>
      <c r="J5650" s="1">
        <v>46072.730474537035</v>
      </c>
    </row>
    <row r="5651" spans="1:10" x14ac:dyDescent="0.2">
      <c r="A5651" s="4" t="s">
        <v>1</v>
      </c>
      <c r="B5651" s="3" t="str">
        <f>HYPERLINK("https://otsuka-europe-crm.veevavault.com/ui/#object/approved_document__v/V5O00000000Q016", "AEESME 2026: Programa simposio")</f>
        <v>AEESME 2026: Programa simposio</v>
      </c>
      <c r="C5651" s="3" t="str">
        <f>HYPERLINK("https://otsuka-europe-crm.veevavault.com/ui/#object/sent_email__v/VBL00000001E506", "SE-001405132")</f>
        <v>SE-001405132</v>
      </c>
      <c r="D5651" s="1" t="s">
        <v>0</v>
      </c>
      <c r="E5651" s="2">
        <v>0</v>
      </c>
      <c r="F5651" s="2">
        <v>0</v>
      </c>
      <c r="G5651" s="2">
        <v>0</v>
      </c>
      <c r="H5651" s="1" t="s">
        <v>0</v>
      </c>
      <c r="I5651" s="2">
        <v>0</v>
      </c>
      <c r="J5651" s="1">
        <v>46072.733113425929</v>
      </c>
    </row>
    <row r="5652" spans="1:10" x14ac:dyDescent="0.2">
      <c r="A5652" s="4" t="s">
        <v>1</v>
      </c>
      <c r="B5652" s="3" t="str">
        <f>HYPERLINK("https://otsuka-europe-crm.veevavault.com/ui/#object/approved_document__v/V5O00000000Q016", "AEESME 2026: Programa simposio")</f>
        <v>AEESME 2026: Programa simposio</v>
      </c>
      <c r="C5652" s="3" t="str">
        <f>HYPERLINK("https://otsuka-europe-crm.veevavault.com/ui/#object/sent_email__v/VBL00000001E507", "SE-001405133")</f>
        <v>SE-001405133</v>
      </c>
      <c r="D5652" s="1" t="s">
        <v>0</v>
      </c>
      <c r="E5652" s="2">
        <v>0</v>
      </c>
      <c r="F5652" s="2">
        <v>0</v>
      </c>
      <c r="G5652" s="2">
        <v>0</v>
      </c>
      <c r="H5652" s="1" t="s">
        <v>0</v>
      </c>
      <c r="I5652" s="2">
        <v>0</v>
      </c>
      <c r="J5652" s="1">
        <v>46072.733113425929</v>
      </c>
    </row>
    <row r="5653" spans="1:10" x14ac:dyDescent="0.2">
      <c r="A5653" s="4" t="s">
        <v>1</v>
      </c>
      <c r="B5653" s="3" t="str">
        <f>HYPERLINK("https://otsuka-europe-crm.veevavault.com/ui/#object/approved_document__v/V5O00000000Q016", "AEESME 2026: Programa simposio")</f>
        <v>AEESME 2026: Programa simposio</v>
      </c>
      <c r="C5653" s="3" t="str">
        <f>HYPERLINK("https://otsuka-europe-crm.veevavault.com/ui/#object/sent_email__v/VBL00000001E508", "SE-001405134")</f>
        <v>SE-001405134</v>
      </c>
      <c r="D5653" s="1" t="s">
        <v>0</v>
      </c>
      <c r="E5653" s="2">
        <v>0</v>
      </c>
      <c r="F5653" s="2">
        <v>0</v>
      </c>
      <c r="G5653" s="2">
        <v>0</v>
      </c>
      <c r="H5653" s="1" t="s">
        <v>0</v>
      </c>
      <c r="I5653" s="2">
        <v>0</v>
      </c>
      <c r="J5653" s="1">
        <v>46072.733113425929</v>
      </c>
    </row>
    <row r="5654" spans="1:10" x14ac:dyDescent="0.2">
      <c r="A5654" s="4" t="s">
        <v>1</v>
      </c>
      <c r="B5654" s="3" t="str">
        <f>HYPERLINK("https://otsuka-europe-crm.veevavault.com/ui/#object/approved_document__v/V5O00000000Q016", "AEESME 2026: Programa simposio")</f>
        <v>AEESME 2026: Programa simposio</v>
      </c>
      <c r="C5654" s="3" t="str">
        <f>HYPERLINK("https://otsuka-europe-crm.veevavault.com/ui/#object/sent_email__v/VBL00000001E509", "SE-001405135")</f>
        <v>SE-001405135</v>
      </c>
      <c r="D5654" s="1" t="s">
        <v>0</v>
      </c>
      <c r="E5654" s="2">
        <v>0</v>
      </c>
      <c r="F5654" s="2">
        <v>0</v>
      </c>
      <c r="G5654" s="2">
        <v>0</v>
      </c>
      <c r="H5654" s="1" t="s">
        <v>0</v>
      </c>
      <c r="I5654" s="2">
        <v>0</v>
      </c>
      <c r="J5654" s="1">
        <v>46072.733113425929</v>
      </c>
    </row>
    <row r="5655" spans="1:10" x14ac:dyDescent="0.2">
      <c r="A5655" s="4" t="s">
        <v>1</v>
      </c>
      <c r="B5655" s="3" t="str">
        <f>HYPERLINK("https://otsuka-europe-crm.veevavault.com/ui/#object/approved_document__v/V5O00000000Q016", "AEESME 2026: Programa simposio")</f>
        <v>AEESME 2026: Programa simposio</v>
      </c>
      <c r="C5655" s="3" t="str">
        <f>HYPERLINK("https://otsuka-europe-crm.veevavault.com/ui/#object/sent_email__v/VBL00000001E510", "SE-001405136")</f>
        <v>SE-001405136</v>
      </c>
      <c r="D5655" s="1" t="s">
        <v>0</v>
      </c>
      <c r="E5655" s="2">
        <v>0</v>
      </c>
      <c r="F5655" s="2">
        <v>0</v>
      </c>
      <c r="G5655" s="2">
        <v>0</v>
      </c>
      <c r="H5655" s="1" t="s">
        <v>0</v>
      </c>
      <c r="I5655" s="2">
        <v>0</v>
      </c>
      <c r="J5655" s="1">
        <v>46072.733113425929</v>
      </c>
    </row>
    <row r="5656" spans="1:10" x14ac:dyDescent="0.2">
      <c r="A5656" s="4" t="s">
        <v>1</v>
      </c>
      <c r="B5656" s="3" t="str">
        <f>HYPERLINK("https://otsuka-europe-crm.veevavault.com/ui/#object/approved_document__v/V5O00000000Q016", "AEESME 2026: Programa simposio")</f>
        <v>AEESME 2026: Programa simposio</v>
      </c>
      <c r="C5656" s="3" t="str">
        <f>HYPERLINK("https://otsuka-europe-crm.veevavault.com/ui/#object/sent_email__v/VBL00000001E511", "SE-001405137")</f>
        <v>SE-001405137</v>
      </c>
      <c r="D5656" s="1" t="s">
        <v>0</v>
      </c>
      <c r="E5656" s="2">
        <v>0</v>
      </c>
      <c r="F5656" s="2">
        <v>0</v>
      </c>
      <c r="G5656" s="2">
        <v>0</v>
      </c>
      <c r="H5656" s="1" t="s">
        <v>0</v>
      </c>
      <c r="I5656" s="2">
        <v>0</v>
      </c>
      <c r="J5656" s="1">
        <v>46072.733113425929</v>
      </c>
    </row>
    <row r="5657" spans="1:10" x14ac:dyDescent="0.2">
      <c r="A5657" s="4" t="s">
        <v>1</v>
      </c>
      <c r="B5657" s="3" t="str">
        <f>HYPERLINK("https://otsuka-europe-crm.veevavault.com/ui/#object/approved_document__v/V5O00000000Q016", "AEESME 2026: Programa simposio")</f>
        <v>AEESME 2026: Programa simposio</v>
      </c>
      <c r="C5657" s="3" t="str">
        <f>HYPERLINK("https://otsuka-europe-crm.veevavault.com/ui/#object/sent_email__v/VBL00000001E512", "SE-001405138")</f>
        <v>SE-001405138</v>
      </c>
      <c r="D5657" s="1" t="s">
        <v>0</v>
      </c>
      <c r="E5657" s="2">
        <v>0</v>
      </c>
      <c r="F5657" s="2">
        <v>0</v>
      </c>
      <c r="G5657" s="2">
        <v>0</v>
      </c>
      <c r="H5657" s="1" t="s">
        <v>0</v>
      </c>
      <c r="I5657" s="2">
        <v>0</v>
      </c>
      <c r="J5657" s="1">
        <v>46072.733124999999</v>
      </c>
    </row>
    <row r="5658" spans="1:10" x14ac:dyDescent="0.2">
      <c r="A5658" s="4" t="s">
        <v>1</v>
      </c>
      <c r="B5658" s="3" t="str">
        <f>HYPERLINK("https://otsuka-europe-crm.veevavault.com/ui/#object/approved_document__v/V5O00000000Q016", "AEESME 2026: Programa simposio")</f>
        <v>AEESME 2026: Programa simposio</v>
      </c>
      <c r="C5658" s="3" t="str">
        <f>HYPERLINK("https://otsuka-europe-crm.veevavault.com/ui/#object/sent_email__v/VBL00000001E513", "SE-001405139")</f>
        <v>SE-001405139</v>
      </c>
      <c r="D5658" s="1" t="s">
        <v>0</v>
      </c>
      <c r="E5658" s="2">
        <v>0</v>
      </c>
      <c r="F5658" s="2">
        <v>0</v>
      </c>
      <c r="G5658" s="2">
        <v>0</v>
      </c>
      <c r="H5658" s="1" t="s">
        <v>0</v>
      </c>
      <c r="I5658" s="2">
        <v>0</v>
      </c>
      <c r="J5658" s="1">
        <v>46072.733124999999</v>
      </c>
    </row>
    <row r="5659" spans="1:10" x14ac:dyDescent="0.2">
      <c r="A5659" s="4" t="s">
        <v>1</v>
      </c>
      <c r="B5659" s="3" t="str">
        <f>HYPERLINK("https://otsuka-europe-crm.veevavault.com/ui/#object/approved_document__v/V5O00000000Q016", "AEESME 2026: Programa simposio")</f>
        <v>AEESME 2026: Programa simposio</v>
      </c>
      <c r="C5659" s="3" t="str">
        <f>HYPERLINK("https://otsuka-europe-crm.veevavault.com/ui/#object/sent_email__v/VBL00000001E514", "SE-001405140")</f>
        <v>SE-001405140</v>
      </c>
      <c r="D5659" s="1" t="s">
        <v>0</v>
      </c>
      <c r="E5659" s="2">
        <v>0</v>
      </c>
      <c r="F5659" s="2">
        <v>0</v>
      </c>
      <c r="G5659" s="2">
        <v>0</v>
      </c>
      <c r="H5659" s="1" t="s">
        <v>0</v>
      </c>
      <c r="I5659" s="2">
        <v>0</v>
      </c>
      <c r="J5659" s="1">
        <v>46072.733113425929</v>
      </c>
    </row>
    <row r="5660" spans="1:10" x14ac:dyDescent="0.2">
      <c r="A5660" s="4" t="s">
        <v>1</v>
      </c>
      <c r="B5660" s="3" t="str">
        <f>HYPERLINK("https://otsuka-europe-crm.veevavault.com/ui/#object/approved_document__v/V5O00000000Q016", "AEESME 2026: Programa simposio")</f>
        <v>AEESME 2026: Programa simposio</v>
      </c>
      <c r="C5660" s="3" t="str">
        <f>HYPERLINK("https://otsuka-europe-crm.veevavault.com/ui/#object/sent_email__v/VBL00000001E515", "SE-001405141")</f>
        <v>SE-001405141</v>
      </c>
      <c r="D5660" s="1" t="s">
        <v>0</v>
      </c>
      <c r="E5660" s="2">
        <v>0</v>
      </c>
      <c r="F5660" s="2">
        <v>0</v>
      </c>
      <c r="G5660" s="2">
        <v>0</v>
      </c>
      <c r="H5660" s="1" t="s">
        <v>0</v>
      </c>
      <c r="I5660" s="2">
        <v>0</v>
      </c>
      <c r="J5660" s="1">
        <v>46072.733113425929</v>
      </c>
    </row>
    <row r="5661" spans="1:10" x14ac:dyDescent="0.2">
      <c r="A5661" s="4" t="s">
        <v>1</v>
      </c>
      <c r="B5661" s="3" t="str">
        <f>HYPERLINK("https://otsuka-europe-crm.veevavault.com/ui/#object/approved_document__v/V5O00000000Q016", "AEESME 2026: Programa simposio")</f>
        <v>AEESME 2026: Programa simposio</v>
      </c>
      <c r="C5661" s="3" t="str">
        <f>HYPERLINK("https://otsuka-europe-crm.veevavault.com/ui/#object/sent_email__v/VBL00000001E516", "SE-001405142")</f>
        <v>SE-001405142</v>
      </c>
      <c r="D5661" s="1" t="s">
        <v>0</v>
      </c>
      <c r="E5661" s="2">
        <v>0</v>
      </c>
      <c r="F5661" s="2">
        <v>0</v>
      </c>
      <c r="G5661" s="2">
        <v>0</v>
      </c>
      <c r="H5661" s="1" t="s">
        <v>0</v>
      </c>
      <c r="I5661" s="2">
        <v>0</v>
      </c>
      <c r="J5661" s="1">
        <v>46072.733124999999</v>
      </c>
    </row>
    <row r="5662" spans="1:10" x14ac:dyDescent="0.2">
      <c r="A5662" s="4" t="s">
        <v>1</v>
      </c>
      <c r="B5662" s="3" t="str">
        <f>HYPERLINK("https://otsuka-europe-crm.veevavault.com/ui/#object/approved_document__v/V5O00000000Q016", "AEESME 2026: Programa simposio")</f>
        <v>AEESME 2026: Programa simposio</v>
      </c>
      <c r="C5662" s="3" t="str">
        <f>HYPERLINK("https://otsuka-europe-crm.veevavault.com/ui/#object/sent_email__v/VBL00000001E517", "SE-001405143")</f>
        <v>SE-001405143</v>
      </c>
      <c r="D5662" s="1" t="s">
        <v>0</v>
      </c>
      <c r="E5662" s="2">
        <v>0</v>
      </c>
      <c r="F5662" s="2">
        <v>0</v>
      </c>
      <c r="G5662" s="2">
        <v>0</v>
      </c>
      <c r="H5662" s="1" t="s">
        <v>0</v>
      </c>
      <c r="I5662" s="2">
        <v>0</v>
      </c>
      <c r="J5662" s="1">
        <v>46072.733124999999</v>
      </c>
    </row>
    <row r="5663" spans="1:10" x14ac:dyDescent="0.2">
      <c r="A5663" s="4" t="s">
        <v>1</v>
      </c>
      <c r="B5663" s="3" t="str">
        <f>HYPERLINK("https://otsuka-europe-crm.veevavault.com/ui/#object/approved_document__v/V5O00000000Q016", "AEESME 2026: Programa simposio")</f>
        <v>AEESME 2026: Programa simposio</v>
      </c>
      <c r="C5663" s="3" t="str">
        <f>HYPERLINK("https://otsuka-europe-crm.veevavault.com/ui/#object/sent_email__v/VBL00000001E518", "SE-001405144")</f>
        <v>SE-001405144</v>
      </c>
      <c r="D5663" s="1" t="s">
        <v>0</v>
      </c>
      <c r="E5663" s="2">
        <v>0</v>
      </c>
      <c r="F5663" s="2">
        <v>0</v>
      </c>
      <c r="G5663" s="2">
        <v>0</v>
      </c>
      <c r="H5663" s="1" t="s">
        <v>0</v>
      </c>
      <c r="I5663" s="2">
        <v>0</v>
      </c>
      <c r="J5663" s="1">
        <v>46072.733124999999</v>
      </c>
    </row>
    <row r="5664" spans="1:10" x14ac:dyDescent="0.2">
      <c r="A5664" s="4" t="s">
        <v>1</v>
      </c>
      <c r="B5664" s="3" t="str">
        <f>HYPERLINK("https://otsuka-europe-crm.veevavault.com/ui/#object/approved_document__v/V5O00000000Q016", "AEESME 2026: Programa simposio")</f>
        <v>AEESME 2026: Programa simposio</v>
      </c>
      <c r="C5664" s="3" t="str">
        <f>HYPERLINK("https://otsuka-europe-crm.veevavault.com/ui/#object/sent_email__v/VBL00000001E519", "SE-001405145")</f>
        <v>SE-001405145</v>
      </c>
      <c r="D5664" s="1" t="s">
        <v>0</v>
      </c>
      <c r="E5664" s="2">
        <v>0</v>
      </c>
      <c r="F5664" s="2">
        <v>0</v>
      </c>
      <c r="G5664" s="2">
        <v>0</v>
      </c>
      <c r="H5664" s="1" t="s">
        <v>0</v>
      </c>
      <c r="I5664" s="2">
        <v>0</v>
      </c>
      <c r="J5664" s="1">
        <v>46072.733124999999</v>
      </c>
    </row>
    <row r="5665" spans="1:10" x14ac:dyDescent="0.2">
      <c r="A5665" s="4" t="s">
        <v>1</v>
      </c>
      <c r="B5665" s="3" t="str">
        <f>HYPERLINK("https://otsuka-europe-crm.veevavault.com/ui/#object/approved_document__v/V5O00000000Q016", "AEESME 2026: Programa simposio")</f>
        <v>AEESME 2026: Programa simposio</v>
      </c>
      <c r="C5665" s="3" t="str">
        <f>HYPERLINK("https://otsuka-europe-crm.veevavault.com/ui/#object/sent_email__v/VBL00000001E520", "SE-001405146")</f>
        <v>SE-001405146</v>
      </c>
      <c r="D5665" s="1" t="s">
        <v>0</v>
      </c>
      <c r="E5665" s="2">
        <v>0</v>
      </c>
      <c r="F5665" s="2">
        <v>0</v>
      </c>
      <c r="G5665" s="2">
        <v>0</v>
      </c>
      <c r="H5665" s="1" t="s">
        <v>0</v>
      </c>
      <c r="I5665" s="2">
        <v>0</v>
      </c>
      <c r="J5665" s="1">
        <v>46072.733124999999</v>
      </c>
    </row>
    <row r="5666" spans="1:10" x14ac:dyDescent="0.2">
      <c r="A5666" s="4" t="s">
        <v>1</v>
      </c>
      <c r="B5666" s="3" t="str">
        <f>HYPERLINK("https://otsuka-europe-crm.veevavault.com/ui/#object/approved_document__v/V5O00000000Q016", "AEESME 2026: Programa simposio")</f>
        <v>AEESME 2026: Programa simposio</v>
      </c>
      <c r="C5666" s="3" t="str">
        <f>HYPERLINK("https://otsuka-europe-crm.veevavault.com/ui/#object/sent_email__v/VBL00000001E521", "SE-001405147")</f>
        <v>SE-001405147</v>
      </c>
      <c r="D5666" s="1" t="s">
        <v>0</v>
      </c>
      <c r="E5666" s="2">
        <v>0</v>
      </c>
      <c r="F5666" s="2">
        <v>0</v>
      </c>
      <c r="G5666" s="2">
        <v>0</v>
      </c>
      <c r="H5666" s="1" t="s">
        <v>0</v>
      </c>
      <c r="I5666" s="2">
        <v>0</v>
      </c>
      <c r="J5666" s="1">
        <v>46072.733136574076</v>
      </c>
    </row>
    <row r="5667" spans="1:10" x14ac:dyDescent="0.2">
      <c r="A5667" s="4" t="s">
        <v>1</v>
      </c>
      <c r="B5667" s="3" t="str">
        <f>HYPERLINK("https://otsuka-europe-crm.veevavault.com/ui/#object/approved_document__v/V5O00000000Q016", "AEESME 2026: Programa simposio")</f>
        <v>AEESME 2026: Programa simposio</v>
      </c>
      <c r="C5667" s="3" t="str">
        <f>HYPERLINK("https://otsuka-europe-crm.veevavault.com/ui/#object/sent_email__v/VBL00000001E522", "SE-001405148")</f>
        <v>SE-001405148</v>
      </c>
      <c r="D5667" s="1" t="s">
        <v>0</v>
      </c>
      <c r="E5667" s="2">
        <v>0</v>
      </c>
      <c r="F5667" s="2">
        <v>0</v>
      </c>
      <c r="G5667" s="2">
        <v>0</v>
      </c>
      <c r="H5667" s="1" t="s">
        <v>0</v>
      </c>
      <c r="I5667" s="2">
        <v>0</v>
      </c>
      <c r="J5667" s="1">
        <v>46072.733136574076</v>
      </c>
    </row>
    <row r="5668" spans="1:10" x14ac:dyDescent="0.2">
      <c r="A5668" s="4" t="s">
        <v>1</v>
      </c>
      <c r="B5668" s="3" t="str">
        <f>HYPERLINK("https://otsuka-europe-crm.veevavault.com/ui/#object/approved_document__v/V5O00000000Q016", "AEESME 2026: Programa simposio")</f>
        <v>AEESME 2026: Programa simposio</v>
      </c>
      <c r="C5668" s="3" t="str">
        <f>HYPERLINK("https://otsuka-europe-crm.veevavault.com/ui/#object/sent_email__v/VBL00000001E523", "SE-001405149")</f>
        <v>SE-001405149</v>
      </c>
      <c r="D5668" s="1" t="s">
        <v>0</v>
      </c>
      <c r="E5668" s="2">
        <v>0</v>
      </c>
      <c r="F5668" s="2">
        <v>0</v>
      </c>
      <c r="G5668" s="2">
        <v>0</v>
      </c>
      <c r="H5668" s="1" t="s">
        <v>0</v>
      </c>
      <c r="I5668" s="2">
        <v>0</v>
      </c>
      <c r="J5668" s="1">
        <v>46072.733136574076</v>
      </c>
    </row>
    <row r="5669" spans="1:10" x14ac:dyDescent="0.2">
      <c r="A5669" s="4" t="s">
        <v>1</v>
      </c>
      <c r="B5669" s="3" t="str">
        <f>HYPERLINK("https://otsuka-europe-crm.veevavault.com/ui/#object/approved_document__v/V5O00000000Q016", "AEESME 2026: Programa simposio")</f>
        <v>AEESME 2026: Programa simposio</v>
      </c>
      <c r="C5669" s="3" t="str">
        <f>HYPERLINK("https://otsuka-europe-crm.veevavault.com/ui/#object/sent_email__v/VBL00000001E524", "SE-001405150")</f>
        <v>SE-001405150</v>
      </c>
      <c r="D5669" s="1" t="s">
        <v>0</v>
      </c>
      <c r="E5669" s="2">
        <v>0</v>
      </c>
      <c r="F5669" s="2">
        <v>0</v>
      </c>
      <c r="G5669" s="2">
        <v>0</v>
      </c>
      <c r="H5669" s="1" t="s">
        <v>0</v>
      </c>
      <c r="I5669" s="2">
        <v>0</v>
      </c>
      <c r="J5669" s="1">
        <v>46072.733136574076</v>
      </c>
    </row>
    <row r="5670" spans="1:10" x14ac:dyDescent="0.2">
      <c r="A5670" s="4" t="s">
        <v>1</v>
      </c>
      <c r="B5670" s="3" t="str">
        <f>HYPERLINK("https://otsuka-europe-crm.veevavault.com/ui/#object/approved_document__v/V5O00000000Q016", "AEESME 2026: Programa simposio")</f>
        <v>AEESME 2026: Programa simposio</v>
      </c>
      <c r="C5670" s="3" t="str">
        <f>HYPERLINK("https://otsuka-europe-crm.veevavault.com/ui/#object/sent_email__v/VBL00000001E525", "SE-001405151")</f>
        <v>SE-001405151</v>
      </c>
      <c r="D5670" s="1" t="s">
        <v>0</v>
      </c>
      <c r="E5670" s="2">
        <v>0</v>
      </c>
      <c r="F5670" s="2">
        <v>0</v>
      </c>
      <c r="G5670" s="2">
        <v>0</v>
      </c>
      <c r="H5670" s="1" t="s">
        <v>0</v>
      </c>
      <c r="I5670" s="2">
        <v>0</v>
      </c>
      <c r="J5670" s="1">
        <v>46072.733124999999</v>
      </c>
    </row>
    <row r="5671" spans="1:10" x14ac:dyDescent="0.2">
      <c r="A5671" s="4" t="s">
        <v>1</v>
      </c>
      <c r="B5671" s="3" t="str">
        <f>HYPERLINK("https://otsuka-europe-crm.veevavault.com/ui/#object/approved_document__v/V5O00000000Q016", "AEESME 2026: Programa simposio")</f>
        <v>AEESME 2026: Programa simposio</v>
      </c>
      <c r="C5671" s="3" t="str">
        <f>HYPERLINK("https://otsuka-europe-crm.veevavault.com/ui/#object/sent_email__v/VBL00000001E526", "SE-001405152")</f>
        <v>SE-001405152</v>
      </c>
      <c r="D5671" s="1" t="s">
        <v>0</v>
      </c>
      <c r="E5671" s="2">
        <v>0</v>
      </c>
      <c r="F5671" s="2">
        <v>0</v>
      </c>
      <c r="G5671" s="2">
        <v>0</v>
      </c>
      <c r="H5671" s="1" t="s">
        <v>0</v>
      </c>
      <c r="I5671" s="2">
        <v>0</v>
      </c>
      <c r="J5671" s="1">
        <v>46072.733124999999</v>
      </c>
    </row>
    <row r="5672" spans="1:10" x14ac:dyDescent="0.2">
      <c r="A5672" s="4" t="s">
        <v>1</v>
      </c>
      <c r="B5672" s="3" t="str">
        <f>HYPERLINK("https://otsuka-europe-crm.veevavault.com/ui/#object/approved_document__v/V5O00000000Q016", "AEESME 2026: Programa simposio")</f>
        <v>AEESME 2026: Programa simposio</v>
      </c>
      <c r="C5672" s="3" t="str">
        <f>HYPERLINK("https://otsuka-europe-crm.veevavault.com/ui/#object/sent_email__v/VBL00000001E527", "SE-001405153")</f>
        <v>SE-001405153</v>
      </c>
      <c r="D5672" s="1" t="s">
        <v>0</v>
      </c>
      <c r="E5672" s="2">
        <v>0</v>
      </c>
      <c r="F5672" s="2">
        <v>0</v>
      </c>
      <c r="G5672" s="2">
        <v>0</v>
      </c>
      <c r="H5672" s="1" t="s">
        <v>0</v>
      </c>
      <c r="I5672" s="2">
        <v>0</v>
      </c>
      <c r="J5672" s="1">
        <v>46072.733136574076</v>
      </c>
    </row>
    <row r="5673" spans="1:10" x14ac:dyDescent="0.2">
      <c r="A5673" s="4" t="s">
        <v>1</v>
      </c>
      <c r="B5673" s="3" t="str">
        <f>HYPERLINK("https://otsuka-europe-crm.veevavault.com/ui/#object/approved_document__v/V5O00000000Q016", "AEESME 2026: Programa simposio")</f>
        <v>AEESME 2026: Programa simposio</v>
      </c>
      <c r="C5673" s="3" t="str">
        <f>HYPERLINK("https://otsuka-europe-crm.veevavault.com/ui/#object/sent_email__v/VBL00000001G014", "SE-001405179")</f>
        <v>SE-001405179</v>
      </c>
      <c r="D5673" s="1" t="s">
        <v>0</v>
      </c>
      <c r="E5673" s="2">
        <v>0</v>
      </c>
      <c r="F5673" s="2">
        <v>0</v>
      </c>
      <c r="G5673" s="2">
        <v>0</v>
      </c>
      <c r="H5673" s="1" t="s">
        <v>0</v>
      </c>
      <c r="I5673" s="2">
        <v>0</v>
      </c>
      <c r="J5673" s="1">
        <v>46073.346979166665</v>
      </c>
    </row>
    <row r="5674" spans="1:10" x14ac:dyDescent="0.2">
      <c r="A5674" s="4" t="s">
        <v>1</v>
      </c>
      <c r="B5674" s="3" t="str">
        <f>HYPERLINK("https://otsuka-europe-crm.veevavault.com/ui/#object/approved_document__v/V5O00000000Q016", "AEESME 2026: Programa simposio")</f>
        <v>AEESME 2026: Programa simposio</v>
      </c>
      <c r="C5674" s="3" t="str">
        <f>HYPERLINK("https://otsuka-europe-crm.veevavault.com/ui/#object/sent_email__v/VBL00000001G015", "SE-001405180")</f>
        <v>SE-001405180</v>
      </c>
      <c r="D5674" s="1">
        <v>46073.384814814817</v>
      </c>
      <c r="E5674" s="2">
        <v>1</v>
      </c>
      <c r="F5674" s="2">
        <v>1</v>
      </c>
      <c r="G5674" s="2">
        <v>1</v>
      </c>
      <c r="H5674" s="1">
        <v>46073.384814814817</v>
      </c>
      <c r="I5674" s="2">
        <v>1</v>
      </c>
      <c r="J5674" s="1">
        <v>46073.347141203703</v>
      </c>
    </row>
    <row r="5675" spans="1:10" x14ac:dyDescent="0.2">
      <c r="A5675" s="4" t="s">
        <v>1</v>
      </c>
      <c r="B5675" s="3" t="str">
        <f>HYPERLINK("https://otsuka-europe-crm.veevavault.com/ui/#object/approved_document__v/V5O00000000Q016", "AEESME 2026: Programa simposio")</f>
        <v>AEESME 2026: Programa simposio</v>
      </c>
      <c r="C5675" s="3" t="str">
        <f>HYPERLINK("https://otsuka-europe-crm.veevavault.com/ui/#object/sent_email__v/VBL00000001G016", "SE-001405181")</f>
        <v>SE-001405181</v>
      </c>
      <c r="D5675" s="1">
        <v>46073.573622685188</v>
      </c>
      <c r="E5675" s="2">
        <v>1</v>
      </c>
      <c r="F5675" s="2">
        <v>7</v>
      </c>
      <c r="G5675" s="2">
        <v>1</v>
      </c>
      <c r="H5675" s="1">
        <v>46073.371979166666</v>
      </c>
      <c r="I5675" s="2">
        <v>1</v>
      </c>
      <c r="J5675" s="1">
        <v>46073.347314814811</v>
      </c>
    </row>
    <row r="5676" spans="1:10" x14ac:dyDescent="0.2">
      <c r="A5676" s="4" t="s">
        <v>1</v>
      </c>
      <c r="B5676" s="3" t="str">
        <f>HYPERLINK("https://otsuka-europe-crm.veevavault.com/ui/#object/approved_document__v/V5O00000000Q016", "AEESME 2026: Programa simposio")</f>
        <v>AEESME 2026: Programa simposio</v>
      </c>
      <c r="C5676" s="3" t="str">
        <f>HYPERLINK("https://otsuka-europe-crm.veevavault.com/ui/#object/sent_email__v/VBL00000001G017", "SE-001405182")</f>
        <v>SE-001405182</v>
      </c>
      <c r="D5676" s="1" t="s">
        <v>0</v>
      </c>
      <c r="E5676" s="2">
        <v>0</v>
      </c>
      <c r="F5676" s="2">
        <v>0</v>
      </c>
      <c r="G5676" s="2">
        <v>0</v>
      </c>
      <c r="H5676" s="1" t="s">
        <v>0</v>
      </c>
      <c r="I5676" s="2">
        <v>0</v>
      </c>
      <c r="J5676" s="1">
        <v>46073.34747685185</v>
      </c>
    </row>
    <row r="5677" spans="1:10" x14ac:dyDescent="0.2">
      <c r="A5677" s="4" t="s">
        <v>1</v>
      </c>
      <c r="B5677" s="3" t="str">
        <f>HYPERLINK("https://otsuka-europe-crm.veevavault.com/ui/#object/approved_document__v/V5O00000000Q016", "AEESME 2026: Programa simposio")</f>
        <v>AEESME 2026: Programa simposio</v>
      </c>
      <c r="C5677" s="3" t="str">
        <f>HYPERLINK("https://otsuka-europe-crm.veevavault.com/ui/#object/sent_email__v/VBL00000001G018", "SE-001405183")</f>
        <v>SE-001405183</v>
      </c>
      <c r="D5677" s="1">
        <v>46078.656967592593</v>
      </c>
      <c r="E5677" s="2">
        <v>1</v>
      </c>
      <c r="F5677" s="2">
        <v>3</v>
      </c>
      <c r="G5677" s="2">
        <v>1</v>
      </c>
      <c r="H5677" s="1">
        <v>46073.544479166667</v>
      </c>
      <c r="I5677" s="2">
        <v>2</v>
      </c>
      <c r="J5677" s="1">
        <v>46073.347662037035</v>
      </c>
    </row>
    <row r="5678" spans="1:10" x14ac:dyDescent="0.2">
      <c r="A5678" s="4" t="s">
        <v>1</v>
      </c>
      <c r="B5678" s="3" t="str">
        <f>HYPERLINK("https://otsuka-europe-crm.veevavault.com/ui/#object/approved_document__v/V5O00000000Q016", "AEESME 2026: Programa simposio")</f>
        <v>AEESME 2026: Programa simposio</v>
      </c>
      <c r="C5678" s="3" t="str">
        <f>HYPERLINK("https://otsuka-europe-crm.veevavault.com/ui/#object/sent_email__v/VBL00000001G019", "SE-001405184")</f>
        <v>SE-001405184</v>
      </c>
      <c r="D5678" s="1">
        <v>46073.528645833336</v>
      </c>
      <c r="E5678" s="2">
        <v>1</v>
      </c>
      <c r="F5678" s="2">
        <v>1</v>
      </c>
      <c r="G5678" s="2">
        <v>1</v>
      </c>
      <c r="H5678" s="1">
        <v>46073.528645833336</v>
      </c>
      <c r="I5678" s="2">
        <v>1</v>
      </c>
      <c r="J5678" s="1">
        <v>46073.347824074073</v>
      </c>
    </row>
    <row r="5679" spans="1:10" x14ac:dyDescent="0.2">
      <c r="A5679" s="4" t="s">
        <v>1</v>
      </c>
      <c r="B5679" s="3" t="str">
        <f>HYPERLINK("https://otsuka-europe-crm.veevavault.com/ui/#object/approved_document__v/V5O00000000Q016", "AEESME 2026: Programa simposio")</f>
        <v>AEESME 2026: Programa simposio</v>
      </c>
      <c r="C5679" s="3" t="str">
        <f>HYPERLINK("https://otsuka-europe-crm.veevavault.com/ui/#object/sent_email__v/VBL00000001G020", "SE-001405185")</f>
        <v>SE-001405185</v>
      </c>
      <c r="D5679" s="1">
        <v>46073.401817129627</v>
      </c>
      <c r="E5679" s="2">
        <v>1</v>
      </c>
      <c r="F5679" s="2">
        <v>1</v>
      </c>
      <c r="G5679" s="2">
        <v>1</v>
      </c>
      <c r="H5679" s="1">
        <v>46073.44736111111</v>
      </c>
      <c r="I5679" s="2">
        <v>2</v>
      </c>
      <c r="J5679" s="1">
        <v>46073.347997685189</v>
      </c>
    </row>
    <row r="5680" spans="1:10" x14ac:dyDescent="0.2">
      <c r="A5680" s="4" t="s">
        <v>1</v>
      </c>
      <c r="B5680" s="3" t="str">
        <f>HYPERLINK("https://otsuka-europe-crm.veevavault.com/ui/#object/approved_document__v/V5O00000000Q016", "AEESME 2026: Programa simposio")</f>
        <v>AEESME 2026: Programa simposio</v>
      </c>
      <c r="C5680" s="3" t="str">
        <f>HYPERLINK("https://otsuka-europe-crm.veevavault.com/ui/#object/sent_email__v/VBL00000001F074", "SE-001405518")</f>
        <v>SE-001405518</v>
      </c>
      <c r="D5680" s="1" t="s">
        <v>0</v>
      </c>
      <c r="E5680" s="2">
        <v>0</v>
      </c>
      <c r="F5680" s="2">
        <v>0</v>
      </c>
      <c r="G5680" s="2">
        <v>0</v>
      </c>
      <c r="H5680" s="1" t="s">
        <v>0</v>
      </c>
      <c r="I5680" s="2">
        <v>0</v>
      </c>
      <c r="J5680" s="1">
        <v>46076.316053240742</v>
      </c>
    </row>
    <row r="5681" spans="1:10" x14ac:dyDescent="0.2">
      <c r="A5681" s="4" t="s">
        <v>1</v>
      </c>
      <c r="B5681" s="3" t="str">
        <f>HYPERLINK("https://otsuka-europe-crm.veevavault.com/ui/#object/approved_document__v/V5O00000000Q016", "AEESME 2026: Programa simposio")</f>
        <v>AEESME 2026: Programa simposio</v>
      </c>
      <c r="C5681" s="3" t="str">
        <f>HYPERLINK("https://otsuka-europe-crm.veevavault.com/ui/#object/sent_email__v/VBL00000001F075", "SE-001405519")</f>
        <v>SE-001405519</v>
      </c>
      <c r="D5681" s="1">
        <v>46078.448564814818</v>
      </c>
      <c r="E5681" s="2">
        <v>1</v>
      </c>
      <c r="F5681" s="2">
        <v>2</v>
      </c>
      <c r="G5681" s="2">
        <v>1</v>
      </c>
      <c r="H5681" s="1">
        <v>46078.448067129626</v>
      </c>
      <c r="I5681" s="2">
        <v>1</v>
      </c>
      <c r="J5681" s="1">
        <v>46076.31621527778</v>
      </c>
    </row>
    <row r="5682" spans="1:10" x14ac:dyDescent="0.2">
      <c r="A5682" s="4" t="s">
        <v>1</v>
      </c>
      <c r="B5682" s="3" t="str">
        <f>HYPERLINK("https://otsuka-europe-crm.veevavault.com/ui/#object/approved_document__v/V5O00000000Q016", "AEESME 2026: Programa simposio")</f>
        <v>AEESME 2026: Programa simposio</v>
      </c>
      <c r="C5682" s="3" t="str">
        <f>HYPERLINK("https://otsuka-europe-crm.veevavault.com/ui/#object/sent_email__v/VBL00000001F076", "SE-001405520")</f>
        <v>SE-001405520</v>
      </c>
      <c r="D5682" s="1" t="s">
        <v>0</v>
      </c>
      <c r="E5682" s="2">
        <v>0</v>
      </c>
      <c r="F5682" s="2">
        <v>0</v>
      </c>
      <c r="G5682" s="2">
        <v>0</v>
      </c>
      <c r="H5682" s="1" t="s">
        <v>0</v>
      </c>
      <c r="I5682" s="2">
        <v>0</v>
      </c>
      <c r="J5682" s="1">
        <v>46076.316388888888</v>
      </c>
    </row>
    <row r="5683" spans="1:10" x14ac:dyDescent="0.2">
      <c r="A5683" s="4" t="s">
        <v>1</v>
      </c>
      <c r="B5683" s="3" t="str">
        <f>HYPERLINK("https://otsuka-europe-crm.veevavault.com/ui/#object/approved_document__v/V5O00000000Q016", "AEESME 2026: Programa simposio")</f>
        <v>AEESME 2026: Programa simposio</v>
      </c>
      <c r="C5683" s="3" t="str">
        <f>HYPERLINK("https://otsuka-europe-crm.veevavault.com/ui/#object/sent_email__v/VBL00000001F077", "SE-001405521")</f>
        <v>SE-001405521</v>
      </c>
      <c r="D5683" s="1" t="s">
        <v>0</v>
      </c>
      <c r="E5683" s="2">
        <v>0</v>
      </c>
      <c r="F5683" s="2">
        <v>0</v>
      </c>
      <c r="G5683" s="2">
        <v>0</v>
      </c>
      <c r="H5683" s="1" t="s">
        <v>0</v>
      </c>
      <c r="I5683" s="2">
        <v>0</v>
      </c>
      <c r="J5683" s="1">
        <v>46076.31653935185</v>
      </c>
    </row>
    <row r="5684" spans="1:10" x14ac:dyDescent="0.2">
      <c r="A5684" s="4" t="s">
        <v>1</v>
      </c>
      <c r="B5684" s="3" t="str">
        <f>HYPERLINK("https://otsuka-europe-crm.veevavault.com/ui/#object/approved_document__v/V5O00000000Q016", "AEESME 2026: Programa simposio")</f>
        <v>AEESME 2026: Programa simposio</v>
      </c>
      <c r="C5684" s="3" t="str">
        <f>HYPERLINK("https://otsuka-europe-crm.veevavault.com/ui/#object/sent_email__v/VBL00000001F078", "SE-001405522")</f>
        <v>SE-001405522</v>
      </c>
      <c r="D5684" s="1">
        <v>46076.885324074072</v>
      </c>
      <c r="E5684" s="2">
        <v>1</v>
      </c>
      <c r="F5684" s="2">
        <v>4</v>
      </c>
      <c r="G5684" s="2">
        <v>1</v>
      </c>
      <c r="H5684" s="1">
        <v>46076.845659722225</v>
      </c>
      <c r="I5684" s="2">
        <v>3</v>
      </c>
      <c r="J5684" s="1">
        <v>46076.316724537035</v>
      </c>
    </row>
    <row r="5685" spans="1:10" x14ac:dyDescent="0.2">
      <c r="A5685" s="4" t="s">
        <v>1</v>
      </c>
      <c r="B5685" s="3" t="str">
        <f>HYPERLINK("https://otsuka-europe-crm.veevavault.com/ui/#object/approved_document__v/V5O00000000Q016", "AEESME 2026: Programa simposio")</f>
        <v>AEESME 2026: Programa simposio</v>
      </c>
      <c r="C5685" s="3" t="str">
        <f>HYPERLINK("https://otsuka-europe-crm.veevavault.com/ui/#object/sent_email__v/VBL00000001F079", "SE-001405523")</f>
        <v>SE-001405523</v>
      </c>
      <c r="D5685" s="1">
        <v>46076.392835648148</v>
      </c>
      <c r="E5685" s="2">
        <v>1</v>
      </c>
      <c r="F5685" s="2">
        <v>1</v>
      </c>
      <c r="G5685" s="2">
        <v>0</v>
      </c>
      <c r="H5685" s="1" t="s">
        <v>0</v>
      </c>
      <c r="I5685" s="2">
        <v>0</v>
      </c>
      <c r="J5685" s="1">
        <v>46076.316874999997</v>
      </c>
    </row>
    <row r="5686" spans="1:10" x14ac:dyDescent="0.2">
      <c r="A5686" s="4" t="s">
        <v>1</v>
      </c>
      <c r="B5686" s="3" t="str">
        <f>HYPERLINK("https://otsuka-europe-crm.veevavault.com/ui/#object/approved_document__v/V5O00000000Q016", "AEESME 2026: Programa simposio")</f>
        <v>AEESME 2026: Programa simposio</v>
      </c>
      <c r="C5686" s="3" t="str">
        <f>HYPERLINK("https://otsuka-europe-crm.veevavault.com/ui/#object/sent_email__v/VBL00000001F080", "SE-001405524")</f>
        <v>SE-001405524</v>
      </c>
      <c r="D5686" s="1" t="s">
        <v>0</v>
      </c>
      <c r="E5686" s="2">
        <v>0</v>
      </c>
      <c r="F5686" s="2">
        <v>0</v>
      </c>
      <c r="G5686" s="2">
        <v>0</v>
      </c>
      <c r="H5686" s="1" t="s">
        <v>0</v>
      </c>
      <c r="I5686" s="2">
        <v>0</v>
      </c>
      <c r="J5686" s="1">
        <v>46076.317037037035</v>
      </c>
    </row>
    <row r="5687" spans="1:10" x14ac:dyDescent="0.2">
      <c r="A5687" s="4" t="s">
        <v>1</v>
      </c>
      <c r="B5687" s="3" t="str">
        <f>HYPERLINK("https://otsuka-europe-crm.veevavault.com/ui/#object/approved_document__v/V5O00000000Q016", "AEESME 2026: Programa simposio")</f>
        <v>AEESME 2026: Programa simposio</v>
      </c>
      <c r="C5687" s="3" t="str">
        <f>HYPERLINK("https://otsuka-europe-crm.veevavault.com/ui/#object/sent_email__v/VBL00000001F081", "SE-001405525")</f>
        <v>SE-001405525</v>
      </c>
      <c r="D5687" s="1" t="s">
        <v>0</v>
      </c>
      <c r="E5687" s="2">
        <v>0</v>
      </c>
      <c r="F5687" s="2">
        <v>0</v>
      </c>
      <c r="G5687" s="2">
        <v>0</v>
      </c>
      <c r="H5687" s="1" t="s">
        <v>0</v>
      </c>
      <c r="I5687" s="2">
        <v>0</v>
      </c>
      <c r="J5687" s="1">
        <v>46076.317210648151</v>
      </c>
    </row>
    <row r="5688" spans="1:10" x14ac:dyDescent="0.2">
      <c r="A5688" s="4" t="s">
        <v>1</v>
      </c>
      <c r="B5688" s="3" t="str">
        <f>HYPERLINK("https://otsuka-europe-crm.veevavault.com/ui/#object/approved_document__v/V5O00000000Q016", "AEESME 2026: Programa simposio")</f>
        <v>AEESME 2026: Programa simposio</v>
      </c>
      <c r="C5688" s="3" t="str">
        <f>HYPERLINK("https://otsuka-europe-crm.veevavault.com/ui/#object/sent_email__v/VBL00000001F082", "SE-001405526")</f>
        <v>SE-001405526</v>
      </c>
      <c r="D5688" s="1">
        <v>46076.374826388892</v>
      </c>
      <c r="E5688" s="2">
        <v>1</v>
      </c>
      <c r="F5688" s="2">
        <v>1</v>
      </c>
      <c r="G5688" s="2">
        <v>1</v>
      </c>
      <c r="H5688" s="1">
        <v>46076.376087962963</v>
      </c>
      <c r="I5688" s="2">
        <v>2</v>
      </c>
      <c r="J5688" s="1">
        <v>46076.317372685182</v>
      </c>
    </row>
    <row r="5689" spans="1:10" x14ac:dyDescent="0.2">
      <c r="A5689" s="4" t="s">
        <v>1</v>
      </c>
      <c r="B5689" s="3" t="str">
        <f>HYPERLINK("https://otsuka-europe-crm.veevavault.com/ui/#object/approved_document__v/V5O00000000Q016", "AEESME 2026: Programa simposio")</f>
        <v>AEESME 2026: Programa simposio</v>
      </c>
      <c r="C5689" s="3" t="str">
        <f>HYPERLINK("https://otsuka-europe-crm.veevavault.com/ui/#object/sent_email__v/VBL00000001F083", "SE-001405527")</f>
        <v>SE-001405527</v>
      </c>
      <c r="D5689" s="1">
        <v>46076.947789351849</v>
      </c>
      <c r="E5689" s="2">
        <v>1</v>
      </c>
      <c r="F5689" s="2">
        <v>1</v>
      </c>
      <c r="G5689" s="2">
        <v>1</v>
      </c>
      <c r="H5689" s="1">
        <v>46077.305115740739</v>
      </c>
      <c r="I5689" s="2">
        <v>1</v>
      </c>
      <c r="J5689" s="1">
        <v>46076.317546296297</v>
      </c>
    </row>
    <row r="5690" spans="1:10" x14ac:dyDescent="0.2">
      <c r="A5690" s="4" t="s">
        <v>1</v>
      </c>
      <c r="B5690" s="3" t="str">
        <f>HYPERLINK("https://otsuka-europe-crm.veevavault.com/ui/#object/approved_document__v/V5O00000000Q016", "AEESME 2026: Programa simposio")</f>
        <v>AEESME 2026: Programa simposio</v>
      </c>
      <c r="C5690" s="3" t="str">
        <f>HYPERLINK("https://otsuka-europe-crm.veevavault.com/ui/#object/sent_email__v/VBL00000001F084", "SE-001405528")</f>
        <v>SE-001405528</v>
      </c>
      <c r="D5690" s="1" t="s">
        <v>0</v>
      </c>
      <c r="E5690" s="2">
        <v>0</v>
      </c>
      <c r="F5690" s="2">
        <v>0</v>
      </c>
      <c r="G5690" s="2">
        <v>0</v>
      </c>
      <c r="H5690" s="1" t="s">
        <v>0</v>
      </c>
      <c r="I5690" s="2">
        <v>0</v>
      </c>
      <c r="J5690" s="1">
        <v>46076.317696759259</v>
      </c>
    </row>
    <row r="5691" spans="1:10" x14ac:dyDescent="0.2">
      <c r="A5691" s="4" t="s">
        <v>1</v>
      </c>
      <c r="B5691" s="3" t="str">
        <f>HYPERLINK("https://otsuka-europe-crm.veevavault.com/ui/#object/approved_document__v/V5O00000000Q016", "AEESME 2026: Programa simposio")</f>
        <v>AEESME 2026: Programa simposio</v>
      </c>
      <c r="C5691" s="3" t="str">
        <f>HYPERLINK("https://otsuka-europe-crm.veevavault.com/ui/#object/sent_email__v/VBL00000001F085", "SE-001405529")</f>
        <v>SE-001405529</v>
      </c>
      <c r="D5691" s="1" t="s">
        <v>0</v>
      </c>
      <c r="E5691" s="2">
        <v>0</v>
      </c>
      <c r="F5691" s="2">
        <v>0</v>
      </c>
      <c r="G5691" s="2">
        <v>0</v>
      </c>
      <c r="H5691" s="1" t="s">
        <v>0</v>
      </c>
      <c r="I5691" s="2">
        <v>0</v>
      </c>
      <c r="J5691" s="1">
        <v>46076.317870370367</v>
      </c>
    </row>
    <row r="5692" spans="1:10" x14ac:dyDescent="0.2">
      <c r="A5692" s="4" t="s">
        <v>1</v>
      </c>
      <c r="B5692" s="3" t="str">
        <f>HYPERLINK("https://otsuka-europe-crm.veevavault.com/ui/#object/approved_document__v/V5O00000000Q016", "AEESME 2026: Programa simposio")</f>
        <v>AEESME 2026: Programa simposio</v>
      </c>
      <c r="C5692" s="3" t="str">
        <f>HYPERLINK("https://otsuka-europe-crm.veevavault.com/ui/#object/sent_email__v/VBL00000001F086", "SE-001405530")</f>
        <v>SE-001405530</v>
      </c>
      <c r="D5692" s="1" t="s">
        <v>0</v>
      </c>
      <c r="E5692" s="2">
        <v>0</v>
      </c>
      <c r="F5692" s="2">
        <v>0</v>
      </c>
      <c r="G5692" s="2">
        <v>0</v>
      </c>
      <c r="H5692" s="1" t="s">
        <v>0</v>
      </c>
      <c r="I5692" s="2">
        <v>0</v>
      </c>
      <c r="J5692" s="1">
        <v>46076.318055555559</v>
      </c>
    </row>
    <row r="5693" spans="1:10" x14ac:dyDescent="0.2">
      <c r="A5693" s="4" t="s">
        <v>1</v>
      </c>
      <c r="B5693" s="3" t="str">
        <f>HYPERLINK("https://otsuka-europe-crm.veevavault.com/ui/#object/approved_document__v/V5O00000000Q016", "AEESME 2026: Programa simposio")</f>
        <v>AEESME 2026: Programa simposio</v>
      </c>
      <c r="C5693" s="3" t="str">
        <f>HYPERLINK("https://otsuka-europe-crm.veevavault.com/ui/#object/sent_email__v/VBL00000001F087", "SE-001405531")</f>
        <v>SE-001405531</v>
      </c>
      <c r="D5693" s="1">
        <v>46079.311782407407</v>
      </c>
      <c r="E5693" s="2">
        <v>1</v>
      </c>
      <c r="F5693" s="2">
        <v>5</v>
      </c>
      <c r="G5693" s="2">
        <v>1</v>
      </c>
      <c r="H5693" s="1">
        <v>46077.534675925926</v>
      </c>
      <c r="I5693" s="2">
        <v>1</v>
      </c>
      <c r="J5693" s="1">
        <v>46076.318298611113</v>
      </c>
    </row>
    <row r="5694" spans="1:10" x14ac:dyDescent="0.2">
      <c r="A5694" s="4" t="s">
        <v>1</v>
      </c>
      <c r="B5694" s="3" t="str">
        <f>HYPERLINK("https://otsuka-europe-crm.veevavault.com/ui/#object/approved_document__v/V5O00000000Q016", "AEESME 2026: Programa simposio")</f>
        <v>AEESME 2026: Programa simposio</v>
      </c>
      <c r="C5694" s="3" t="str">
        <f>HYPERLINK("https://otsuka-europe-crm.veevavault.com/ui/#object/sent_email__v/VBL00000001F088", "SE-001405532")</f>
        <v>SE-001405532</v>
      </c>
      <c r="D5694" s="1" t="s">
        <v>0</v>
      </c>
      <c r="E5694" s="2">
        <v>0</v>
      </c>
      <c r="F5694" s="2">
        <v>0</v>
      </c>
      <c r="G5694" s="2">
        <v>0</v>
      </c>
      <c r="H5694" s="1" t="s">
        <v>0</v>
      </c>
      <c r="I5694" s="2">
        <v>0</v>
      </c>
      <c r="J5694" s="1">
        <v>46076.318553240744</v>
      </c>
    </row>
    <row r="5695" spans="1:10" x14ac:dyDescent="0.2">
      <c r="A5695" s="4" t="s">
        <v>1</v>
      </c>
      <c r="B5695" s="3" t="str">
        <f>HYPERLINK("https://otsuka-europe-crm.veevavault.com/ui/#object/approved_document__v/V5O00000000Q016", "AEESME 2026: Programa simposio")</f>
        <v>AEESME 2026: Programa simposio</v>
      </c>
      <c r="C5695" s="3" t="str">
        <f>HYPERLINK("https://otsuka-europe-crm.veevavault.com/ui/#object/sent_email__v/VBL00000001F089", "SE-001405533")</f>
        <v>SE-001405533</v>
      </c>
      <c r="D5695" s="1">
        <v>46077.936608796299</v>
      </c>
      <c r="E5695" s="2">
        <v>1</v>
      </c>
      <c r="F5695" s="2">
        <v>1</v>
      </c>
      <c r="G5695" s="2">
        <v>1</v>
      </c>
      <c r="H5695" s="1">
        <v>46077.936608796299</v>
      </c>
      <c r="I5695" s="2">
        <v>1</v>
      </c>
      <c r="J5695" s="1">
        <v>46076.318807870368</v>
      </c>
    </row>
    <row r="5696" spans="1:10" x14ac:dyDescent="0.2">
      <c r="A5696" s="4" t="s">
        <v>1</v>
      </c>
      <c r="B5696" s="3" t="str">
        <f>HYPERLINK("https://otsuka-europe-crm.veevavault.com/ui/#object/approved_document__v/V5O00000000Q016", "AEESME 2026: Programa simposio")</f>
        <v>AEESME 2026: Programa simposio</v>
      </c>
      <c r="C5696" s="3" t="str">
        <f>HYPERLINK("https://otsuka-europe-crm.veevavault.com/ui/#object/sent_email__v/VBL00000001F090", "SE-001405534")</f>
        <v>SE-001405534</v>
      </c>
      <c r="D5696" s="1" t="s">
        <v>0</v>
      </c>
      <c r="E5696" s="2">
        <v>0</v>
      </c>
      <c r="F5696" s="2">
        <v>0</v>
      </c>
      <c r="G5696" s="2">
        <v>0</v>
      </c>
      <c r="H5696" s="1" t="s">
        <v>0</v>
      </c>
      <c r="I5696" s="2">
        <v>0</v>
      </c>
      <c r="J5696" s="1">
        <v>46076.319039351853</v>
      </c>
    </row>
    <row r="5697" spans="1:10" x14ac:dyDescent="0.2">
      <c r="A5697" s="4" t="s">
        <v>1</v>
      </c>
      <c r="B5697" s="3" t="str">
        <f>HYPERLINK("https://otsuka-europe-crm.veevavault.com/ui/#object/approved_document__v/V5O00000000Q016", "AEESME 2026: Programa simposio")</f>
        <v>AEESME 2026: Programa simposio</v>
      </c>
      <c r="C5697" s="3" t="str">
        <f>HYPERLINK("https://otsuka-europe-crm.veevavault.com/ui/#object/sent_email__v/VBL00000001F091", "SE-001405535")</f>
        <v>SE-001405535</v>
      </c>
      <c r="D5697" s="1" t="s">
        <v>0</v>
      </c>
      <c r="E5697" s="2">
        <v>0</v>
      </c>
      <c r="F5697" s="2">
        <v>0</v>
      </c>
      <c r="G5697" s="2">
        <v>0</v>
      </c>
      <c r="H5697" s="1" t="s">
        <v>0</v>
      </c>
      <c r="I5697" s="2">
        <v>0</v>
      </c>
      <c r="J5697" s="1">
        <v>46076.319282407407</v>
      </c>
    </row>
    <row r="5698" spans="1:10" x14ac:dyDescent="0.2">
      <c r="A5698" s="4" t="s">
        <v>1</v>
      </c>
      <c r="B5698" s="3" t="str">
        <f>HYPERLINK("https://otsuka-europe-crm.veevavault.com/ui/#object/approved_document__v/V5O00000000Q016", "AEESME 2026: Programa simposio")</f>
        <v>AEESME 2026: Programa simposio</v>
      </c>
      <c r="C5698" s="3" t="str">
        <f>HYPERLINK("https://otsuka-europe-crm.veevavault.com/ui/#object/sent_email__v/VBL00000001F092", "SE-001405536")</f>
        <v>SE-001405536</v>
      </c>
      <c r="D5698" s="1" t="s">
        <v>0</v>
      </c>
      <c r="E5698" s="2">
        <v>0</v>
      </c>
      <c r="F5698" s="2">
        <v>0</v>
      </c>
      <c r="G5698" s="2">
        <v>0</v>
      </c>
      <c r="H5698" s="1" t="s">
        <v>0</v>
      </c>
      <c r="I5698" s="2">
        <v>0</v>
      </c>
      <c r="J5698" s="1">
        <v>46076.319490740738</v>
      </c>
    </row>
    <row r="5699" spans="1:10" x14ac:dyDescent="0.2">
      <c r="A5699" s="4" t="s">
        <v>1</v>
      </c>
      <c r="B5699" s="3" t="str">
        <f>HYPERLINK("https://otsuka-europe-crm.veevavault.com/ui/#object/approved_document__v/V5O00000000Q016", "AEESME 2026: Programa simposio")</f>
        <v>AEESME 2026: Programa simposio</v>
      </c>
      <c r="C5699" s="3" t="str">
        <f>HYPERLINK("https://otsuka-europe-crm.veevavault.com/ui/#object/sent_email__v/VBL00000001F093", "SE-001405537")</f>
        <v>SE-001405537</v>
      </c>
      <c r="D5699" s="1" t="s">
        <v>0</v>
      </c>
      <c r="E5699" s="2">
        <v>0</v>
      </c>
      <c r="F5699" s="2">
        <v>0</v>
      </c>
      <c r="G5699" s="2">
        <v>0</v>
      </c>
      <c r="H5699" s="1" t="s">
        <v>0</v>
      </c>
      <c r="I5699" s="2">
        <v>0</v>
      </c>
      <c r="J5699" s="1">
        <v>46076.319652777776</v>
      </c>
    </row>
    <row r="5700" spans="1:10" x14ac:dyDescent="0.2">
      <c r="A5700" s="4" t="s">
        <v>1</v>
      </c>
      <c r="B5700" s="3" t="str">
        <f>HYPERLINK("https://otsuka-europe-crm.veevavault.com/ui/#object/approved_document__v/V5O00000000Q016", "AEESME 2026: Programa simposio")</f>
        <v>AEESME 2026: Programa simposio</v>
      </c>
      <c r="C5700" s="3" t="str">
        <f>HYPERLINK("https://otsuka-europe-crm.veevavault.com/ui/#object/sent_email__v/VBL00000001F094", "SE-001405538")</f>
        <v>SE-001405538</v>
      </c>
      <c r="D5700" s="1">
        <v>46076.951192129629</v>
      </c>
      <c r="E5700" s="2">
        <v>1</v>
      </c>
      <c r="F5700" s="2">
        <v>1</v>
      </c>
      <c r="G5700" s="2">
        <v>0</v>
      </c>
      <c r="H5700" s="1" t="s">
        <v>0</v>
      </c>
      <c r="I5700" s="2">
        <v>0</v>
      </c>
      <c r="J5700" s="1">
        <v>46076.319814814815</v>
      </c>
    </row>
    <row r="5701" spans="1:10" x14ac:dyDescent="0.2">
      <c r="A5701" s="4" t="s">
        <v>1</v>
      </c>
      <c r="B5701" s="3" t="str">
        <f>HYPERLINK("https://otsuka-europe-crm.veevavault.com/ui/#object/approved_document__v/V5O00000000Q016", "AEESME 2026: Programa simposio")</f>
        <v>AEESME 2026: Programa simposio</v>
      </c>
      <c r="C5701" s="3" t="str">
        <f>HYPERLINK("https://otsuka-europe-crm.veevavault.com/ui/#object/sent_email__v/VBL00000001F095", "SE-001405539")</f>
        <v>SE-001405539</v>
      </c>
      <c r="D5701" s="1" t="s">
        <v>0</v>
      </c>
      <c r="E5701" s="2">
        <v>0</v>
      </c>
      <c r="F5701" s="2">
        <v>0</v>
      </c>
      <c r="G5701" s="2">
        <v>0</v>
      </c>
      <c r="H5701" s="1" t="s">
        <v>0</v>
      </c>
      <c r="I5701" s="2">
        <v>0</v>
      </c>
      <c r="J5701" s="1">
        <v>46076.319988425923</v>
      </c>
    </row>
    <row r="5702" spans="1:10" x14ac:dyDescent="0.2">
      <c r="A5702" s="4" t="s">
        <v>1</v>
      </c>
      <c r="B5702" s="3" t="str">
        <f>HYPERLINK("https://otsuka-europe-crm.veevavault.com/ui/#object/approved_document__v/V5O00000000Q016", "AEESME 2026: Programa simposio")</f>
        <v>AEESME 2026: Programa simposio</v>
      </c>
      <c r="C5702" s="3" t="str">
        <f>HYPERLINK("https://otsuka-europe-crm.veevavault.com/ui/#object/sent_email__v/VBL00000001F096", "SE-001405540")</f>
        <v>SE-001405540</v>
      </c>
      <c r="D5702" s="1" t="s">
        <v>0</v>
      </c>
      <c r="E5702" s="2">
        <v>0</v>
      </c>
      <c r="F5702" s="2">
        <v>0</v>
      </c>
      <c r="G5702" s="2">
        <v>0</v>
      </c>
      <c r="H5702" s="1" t="s">
        <v>0</v>
      </c>
      <c r="I5702" s="2">
        <v>0</v>
      </c>
      <c r="J5702" s="1">
        <v>46076.320162037038</v>
      </c>
    </row>
    <row r="5703" spans="1:10" x14ac:dyDescent="0.2">
      <c r="A5703" s="4" t="s">
        <v>1</v>
      </c>
      <c r="B5703" s="3" t="str">
        <f>HYPERLINK("https://otsuka-europe-crm.veevavault.com/ui/#object/approved_document__v/V5O00000000Q016", "AEESME 2026: Programa simposio")</f>
        <v>AEESME 2026: Programa simposio</v>
      </c>
      <c r="C5703" s="3" t="str">
        <f>HYPERLINK("https://otsuka-europe-crm.veevavault.com/ui/#object/sent_email__v/VBL00000001F097", "SE-001405541")</f>
        <v>SE-001405541</v>
      </c>
      <c r="D5703" s="1">
        <v>46076.674178240741</v>
      </c>
      <c r="E5703" s="2">
        <v>1</v>
      </c>
      <c r="F5703" s="2">
        <v>1</v>
      </c>
      <c r="G5703" s="2">
        <v>0</v>
      </c>
      <c r="H5703" s="1" t="s">
        <v>0</v>
      </c>
      <c r="I5703" s="2">
        <v>0</v>
      </c>
      <c r="J5703" s="1">
        <v>46076.320324074077</v>
      </c>
    </row>
    <row r="5704" spans="1:10" x14ac:dyDescent="0.2">
      <c r="A5704" s="4" t="s">
        <v>1</v>
      </c>
      <c r="B5704" s="3" t="str">
        <f>HYPERLINK("https://otsuka-europe-crm.veevavault.com/ui/#object/approved_document__v/V5O00000000Q016", "AEESME 2026: Programa simposio")</f>
        <v>AEESME 2026: Programa simposio</v>
      </c>
      <c r="C5704" s="3" t="str">
        <f>HYPERLINK("https://otsuka-europe-crm.veevavault.com/ui/#object/sent_email__v/VBL00000001F098", "SE-001405542")</f>
        <v>SE-001405542</v>
      </c>
      <c r="D5704" s="1">
        <v>46076.411458333336</v>
      </c>
      <c r="E5704" s="2">
        <v>1</v>
      </c>
      <c r="F5704" s="2">
        <v>1</v>
      </c>
      <c r="G5704" s="2">
        <v>0</v>
      </c>
      <c r="H5704" s="1" t="s">
        <v>0</v>
      </c>
      <c r="I5704" s="2">
        <v>0</v>
      </c>
      <c r="J5704" s="1">
        <v>46076.320486111108</v>
      </c>
    </row>
    <row r="5705" spans="1:10" x14ac:dyDescent="0.2">
      <c r="A5705" s="4" t="s">
        <v>1</v>
      </c>
      <c r="B5705" s="3" t="str">
        <f>HYPERLINK("https://otsuka-europe-crm.veevavault.com/ui/#object/approved_document__v/V5O00000000Q016", "AEESME 2026: Programa simposio")</f>
        <v>AEESME 2026: Programa simposio</v>
      </c>
      <c r="C5705" s="3" t="str">
        <f>HYPERLINK("https://otsuka-europe-crm.veevavault.com/ui/#object/sent_email__v/VBL00000001F099", "SE-001405543")</f>
        <v>SE-001405543</v>
      </c>
      <c r="D5705" s="1" t="s">
        <v>0</v>
      </c>
      <c r="E5705" s="2">
        <v>0</v>
      </c>
      <c r="F5705" s="2">
        <v>0</v>
      </c>
      <c r="G5705" s="2">
        <v>0</v>
      </c>
      <c r="H5705" s="1" t="s">
        <v>0</v>
      </c>
      <c r="I5705" s="2">
        <v>0</v>
      </c>
      <c r="J5705" s="1">
        <v>46076.32068287037</v>
      </c>
    </row>
    <row r="5706" spans="1:10" x14ac:dyDescent="0.2">
      <c r="A5706" s="4" t="s">
        <v>1</v>
      </c>
      <c r="B5706" s="3" t="str">
        <f>HYPERLINK("https://otsuka-europe-crm.veevavault.com/ui/#object/approved_document__v/V5O00000000Q016", "AEESME 2026: Programa simposio")</f>
        <v>AEESME 2026: Programa simposio</v>
      </c>
      <c r="C5706" s="3" t="str">
        <f>HYPERLINK("https://otsuka-europe-crm.veevavault.com/ui/#object/sent_email__v/VBL00000001F100", "SE-001405544")</f>
        <v>SE-001405544</v>
      </c>
      <c r="D5706" s="1">
        <v>46076.69630787037</v>
      </c>
      <c r="E5706" s="2">
        <v>1</v>
      </c>
      <c r="F5706" s="2">
        <v>2</v>
      </c>
      <c r="G5706" s="2">
        <v>0</v>
      </c>
      <c r="H5706" s="1" t="s">
        <v>0</v>
      </c>
      <c r="I5706" s="2">
        <v>0</v>
      </c>
      <c r="J5706" s="1">
        <v>46076.320937500001</v>
      </c>
    </row>
    <row r="5707" spans="1:10" x14ac:dyDescent="0.2">
      <c r="A5707" s="4" t="s">
        <v>1</v>
      </c>
      <c r="B5707" s="3" t="str">
        <f>HYPERLINK("https://otsuka-europe-crm.veevavault.com/ui/#object/approved_document__v/V5O00000000Q016", "AEESME 2026: Programa simposio")</f>
        <v>AEESME 2026: Programa simposio</v>
      </c>
      <c r="C5707" s="3" t="str">
        <f>HYPERLINK("https://otsuka-europe-crm.veevavault.com/ui/#object/sent_email__v/VBL00000001G453", "SE-001405735")</f>
        <v>SE-001405735</v>
      </c>
      <c r="D5707" s="1">
        <v>46077.255162037036</v>
      </c>
      <c r="E5707" s="2">
        <v>1</v>
      </c>
      <c r="F5707" s="2">
        <v>1</v>
      </c>
      <c r="G5707" s="2">
        <v>0</v>
      </c>
      <c r="H5707" s="1" t="s">
        <v>0</v>
      </c>
      <c r="I5707" s="2">
        <v>0</v>
      </c>
      <c r="J5707" s="1">
        <v>46076.641967592594</v>
      </c>
    </row>
    <row r="5708" spans="1:10" x14ac:dyDescent="0.2">
      <c r="A5708" s="4" t="s">
        <v>1</v>
      </c>
      <c r="B5708" s="3" t="str">
        <f>HYPERLINK("https://otsuka-europe-crm.veevavault.com/ui/#object/approved_document__v/V5O00000000Q016", "AEESME 2026: Programa simposio")</f>
        <v>AEESME 2026: Programa simposio</v>
      </c>
      <c r="C5708" s="3" t="str">
        <f>HYPERLINK("https://otsuka-europe-crm.veevavault.com/ui/#object/sent_email__v/VBL00000001G454", "SE-001405736")</f>
        <v>SE-001405736</v>
      </c>
      <c r="D5708" s="1" t="s">
        <v>0</v>
      </c>
      <c r="E5708" s="2">
        <v>0</v>
      </c>
      <c r="F5708" s="2">
        <v>0</v>
      </c>
      <c r="G5708" s="2">
        <v>0</v>
      </c>
      <c r="H5708" s="1" t="s">
        <v>0</v>
      </c>
      <c r="I5708" s="2">
        <v>0</v>
      </c>
      <c r="J5708" s="1">
        <v>46076.642326388886</v>
      </c>
    </row>
    <row r="5709" spans="1:10" x14ac:dyDescent="0.2">
      <c r="A5709" s="4" t="s">
        <v>1</v>
      </c>
      <c r="B5709" s="3" t="str">
        <f>HYPERLINK("https://otsuka-europe-crm.veevavault.com/ui/#object/approved_document__v/V5O00000000Q016", "AEESME 2026: Programa simposio")</f>
        <v>AEESME 2026: Programa simposio</v>
      </c>
      <c r="C5709" s="3" t="str">
        <f>HYPERLINK("https://otsuka-europe-crm.veevavault.com/ui/#object/sent_email__v/VBL00000001G455", "SE-001405737")</f>
        <v>SE-001405737</v>
      </c>
      <c r="D5709" s="1">
        <v>46077.300578703704</v>
      </c>
      <c r="E5709" s="2">
        <v>1</v>
      </c>
      <c r="F5709" s="2">
        <v>5</v>
      </c>
      <c r="G5709" s="2">
        <v>1</v>
      </c>
      <c r="H5709" s="1">
        <v>46076.642685185187</v>
      </c>
      <c r="I5709" s="2">
        <v>6</v>
      </c>
      <c r="J5709" s="1">
        <v>46076.642523148148</v>
      </c>
    </row>
    <row r="5710" spans="1:10" x14ac:dyDescent="0.2">
      <c r="A5710" s="4" t="s">
        <v>1</v>
      </c>
      <c r="B5710" s="3" t="str">
        <f>HYPERLINK("https://otsuka-europe-crm.veevavault.com/ui/#object/approved_document__v/V5O00000000Q016", "AEESME 2026: Programa simposio")</f>
        <v>AEESME 2026: Programa simposio</v>
      </c>
      <c r="C5710" s="3" t="str">
        <f>HYPERLINK("https://otsuka-europe-crm.veevavault.com/ui/#object/sent_email__v/VBL00000001G456", "SE-001405738")</f>
        <v>SE-001405738</v>
      </c>
      <c r="D5710" s="1">
        <v>46077.421527777777</v>
      </c>
      <c r="E5710" s="2">
        <v>1</v>
      </c>
      <c r="F5710" s="2">
        <v>2</v>
      </c>
      <c r="G5710" s="2">
        <v>0</v>
      </c>
      <c r="H5710" s="1" t="s">
        <v>0</v>
      </c>
      <c r="I5710" s="2">
        <v>0</v>
      </c>
      <c r="J5710" s="1">
        <v>46076.64271990741</v>
      </c>
    </row>
    <row r="5711" spans="1:10" x14ac:dyDescent="0.2">
      <c r="A5711" s="4" t="s">
        <v>1</v>
      </c>
      <c r="B5711" s="3" t="str">
        <f>HYPERLINK("https://otsuka-europe-crm.veevavault.com/ui/#object/approved_document__v/V5O00000000Q016", "AEESME 2026: Programa simposio")</f>
        <v>AEESME 2026: Programa simposio</v>
      </c>
      <c r="C5711" s="3" t="str">
        <f>HYPERLINK("https://otsuka-europe-crm.veevavault.com/ui/#object/sent_email__v/VBL00000001F128", "SE-001405743")</f>
        <v>SE-001405743</v>
      </c>
      <c r="D5711" s="1">
        <v>46077.402314814812</v>
      </c>
      <c r="E5711" s="2">
        <v>1</v>
      </c>
      <c r="F5711" s="2">
        <v>1</v>
      </c>
      <c r="G5711" s="2">
        <v>1</v>
      </c>
      <c r="H5711" s="1">
        <v>46077.403854166667</v>
      </c>
      <c r="I5711" s="2">
        <v>2</v>
      </c>
      <c r="J5711" s="1">
        <v>46076.644120370373</v>
      </c>
    </row>
    <row r="5712" spans="1:10" x14ac:dyDescent="0.2">
      <c r="A5712" s="4" t="s">
        <v>1</v>
      </c>
      <c r="B5712" s="3" t="str">
        <f>HYPERLINK("https://otsuka-europe-crm.veevavault.com/ui/#object/approved_document__v/V5O00000000Q016", "AEESME 2026: Programa simposio")</f>
        <v>AEESME 2026: Programa simposio</v>
      </c>
      <c r="C5712" s="3" t="str">
        <f>HYPERLINK("https://otsuka-europe-crm.veevavault.com/ui/#object/sent_email__v/VBL00000001F129", "SE-001405745")</f>
        <v>SE-001405745</v>
      </c>
      <c r="D5712" s="1" t="s">
        <v>0</v>
      </c>
      <c r="E5712" s="2">
        <v>0</v>
      </c>
      <c r="F5712" s="2">
        <v>0</v>
      </c>
      <c r="G5712" s="2">
        <v>0</v>
      </c>
      <c r="H5712" s="1" t="s">
        <v>0</v>
      </c>
      <c r="I5712" s="2">
        <v>0</v>
      </c>
      <c r="J5712" s="1">
        <v>46076.644965277781</v>
      </c>
    </row>
    <row r="5713" spans="1:10" x14ac:dyDescent="0.2">
      <c r="A5713" s="4" t="s">
        <v>1</v>
      </c>
      <c r="B5713" s="3" t="str">
        <f>HYPERLINK("https://otsuka-europe-crm.veevavault.com/ui/#object/approved_document__v/V5O00000000Q016", "AEESME 2026: Programa simposio")</f>
        <v>AEESME 2026: Programa simposio</v>
      </c>
      <c r="C5713" s="3" t="str">
        <f>HYPERLINK("https://otsuka-europe-crm.veevavault.com/ui/#object/sent_email__v/VBL00000001G462", "SE-001405746")</f>
        <v>SE-001405746</v>
      </c>
      <c r="D5713" s="1" t="s">
        <v>0</v>
      </c>
      <c r="E5713" s="2">
        <v>0</v>
      </c>
      <c r="F5713" s="2">
        <v>0</v>
      </c>
      <c r="G5713" s="2">
        <v>0</v>
      </c>
      <c r="H5713" s="1" t="s">
        <v>0</v>
      </c>
      <c r="I5713" s="2">
        <v>0</v>
      </c>
      <c r="J5713" s="1">
        <v>46076.645439814813</v>
      </c>
    </row>
    <row r="5714" spans="1:10" x14ac:dyDescent="0.2">
      <c r="A5714" s="4" t="s">
        <v>1</v>
      </c>
      <c r="B5714" s="3" t="str">
        <f>HYPERLINK("https://otsuka-europe-crm.veevavault.com/ui/#object/approved_document__v/V5O00000000Q016", "AEESME 2026: Programa simposio")</f>
        <v>AEESME 2026: Programa simposio</v>
      </c>
      <c r="C5714" s="3" t="str">
        <f>HYPERLINK("https://otsuka-europe-crm.veevavault.com/ui/#object/sent_email__v/VBL00000001G469", "SE-001405907")</f>
        <v>SE-001405907</v>
      </c>
      <c r="D5714" s="1">
        <v>46076.838020833333</v>
      </c>
      <c r="E5714" s="2">
        <v>1</v>
      </c>
      <c r="F5714" s="2">
        <v>1</v>
      </c>
      <c r="G5714" s="2">
        <v>0</v>
      </c>
      <c r="H5714" s="1" t="s">
        <v>0</v>
      </c>
      <c r="I5714" s="2">
        <v>0</v>
      </c>
      <c r="J5714" s="1">
        <v>46076.737615740742</v>
      </c>
    </row>
    <row r="5715" spans="1:10" x14ac:dyDescent="0.2">
      <c r="A5715" s="4" t="s">
        <v>1</v>
      </c>
      <c r="B5715" s="3" t="str">
        <f>HYPERLINK("https://otsuka-europe-crm.veevavault.com/ui/#object/approved_document__v/V5O00000000Q016", "AEESME 2026: Programa simposio")</f>
        <v>AEESME 2026: Programa simposio</v>
      </c>
      <c r="C5715" s="3" t="str">
        <f>HYPERLINK("https://otsuka-europe-crm.veevavault.com/ui/#object/sent_email__v/VBL00000001G494", "SE-001405958")</f>
        <v>SE-001405958</v>
      </c>
      <c r="D5715" s="1" t="s">
        <v>0</v>
      </c>
      <c r="E5715" s="2">
        <v>0</v>
      </c>
      <c r="F5715" s="2">
        <v>0</v>
      </c>
      <c r="G5715" s="2">
        <v>0</v>
      </c>
      <c r="H5715" s="1" t="s">
        <v>0</v>
      </c>
      <c r="I5715" s="2">
        <v>0</v>
      </c>
      <c r="J5715" s="1">
        <v>46077.339942129627</v>
      </c>
    </row>
    <row r="5716" spans="1:10" x14ac:dyDescent="0.2">
      <c r="A5716" s="4" t="s">
        <v>1</v>
      </c>
      <c r="B5716" s="3" t="str">
        <f>HYPERLINK("https://otsuka-europe-crm.veevavault.com/ui/#object/approved_document__v/V5O00000000Q016", "AEESME 2026: Programa simposio")</f>
        <v>AEESME 2026: Programa simposio</v>
      </c>
      <c r="C5716" s="3" t="str">
        <f>HYPERLINK("https://otsuka-europe-crm.veevavault.com/ui/#object/sent_email__v/VBL00000001G495", "SE-001405959")</f>
        <v>SE-001405959</v>
      </c>
      <c r="D5716" s="1">
        <v>46078.541643518518</v>
      </c>
      <c r="E5716" s="2">
        <v>1</v>
      </c>
      <c r="F5716" s="2">
        <v>3</v>
      </c>
      <c r="G5716" s="2">
        <v>0</v>
      </c>
      <c r="H5716" s="1" t="s">
        <v>0</v>
      </c>
      <c r="I5716" s="2">
        <v>0</v>
      </c>
      <c r="J5716" s="1">
        <v>46077.340127314812</v>
      </c>
    </row>
    <row r="5717" spans="1:10" x14ac:dyDescent="0.2">
      <c r="A5717" s="4" t="s">
        <v>1</v>
      </c>
      <c r="B5717" s="3" t="str">
        <f>HYPERLINK("https://otsuka-europe-crm.veevavault.com/ui/#object/approved_document__v/V5O00000000Q016", "AEESME 2026: Programa simposio")</f>
        <v>AEESME 2026: Programa simposio</v>
      </c>
      <c r="C5717" s="3" t="str">
        <f>HYPERLINK("https://otsuka-europe-crm.veevavault.com/ui/#object/sent_email__v/VBL00000001G496", "SE-001405960")</f>
        <v>SE-001405960</v>
      </c>
      <c r="D5717" s="1">
        <v>46077.388819444444</v>
      </c>
      <c r="E5717" s="2">
        <v>1</v>
      </c>
      <c r="F5717" s="2">
        <v>2</v>
      </c>
      <c r="G5717" s="2">
        <v>1</v>
      </c>
      <c r="H5717" s="1">
        <v>46077.400578703702</v>
      </c>
      <c r="I5717" s="2">
        <v>1</v>
      </c>
      <c r="J5717" s="1">
        <v>46077.340324074074</v>
      </c>
    </row>
    <row r="5718" spans="1:10" x14ac:dyDescent="0.2">
      <c r="A5718" s="4" t="s">
        <v>1</v>
      </c>
      <c r="B5718" s="3" t="str">
        <f>HYPERLINK("https://otsuka-europe-crm.veevavault.com/ui/#object/approved_document__v/V5O00000000Q016", "AEESME 2026: Programa simposio")</f>
        <v>AEESME 2026: Programa simposio</v>
      </c>
      <c r="C5718" s="3" t="str">
        <f>HYPERLINK("https://otsuka-europe-crm.veevavault.com/ui/#object/sent_email__v/VBL00000001G497", "SE-001405961")</f>
        <v>SE-001405961</v>
      </c>
      <c r="D5718" s="1" t="s">
        <v>0</v>
      </c>
      <c r="E5718" s="2">
        <v>0</v>
      </c>
      <c r="F5718" s="2">
        <v>0</v>
      </c>
      <c r="G5718" s="2">
        <v>0</v>
      </c>
      <c r="H5718" s="1" t="s">
        <v>0</v>
      </c>
      <c r="I5718" s="2">
        <v>0</v>
      </c>
      <c r="J5718" s="1">
        <v>46077.340462962966</v>
      </c>
    </row>
    <row r="5719" spans="1:10" x14ac:dyDescent="0.2">
      <c r="A5719" s="4" t="s">
        <v>1</v>
      </c>
      <c r="B5719" s="3" t="str">
        <f>HYPERLINK("https://otsuka-europe-crm.veevavault.com/ui/#object/approved_document__v/V5O00000000Q016", "AEESME 2026: Programa simposio")</f>
        <v>AEESME 2026: Programa simposio</v>
      </c>
      <c r="C5719" s="3" t="str">
        <f>HYPERLINK("https://otsuka-europe-crm.veevavault.com/ui/#object/sent_email__v/VBL00000001G498", "SE-001405962")</f>
        <v>SE-001405962</v>
      </c>
      <c r="D5719" s="1">
        <v>46078.583680555559</v>
      </c>
      <c r="E5719" s="2">
        <v>1</v>
      </c>
      <c r="F5719" s="2">
        <v>2</v>
      </c>
      <c r="G5719" s="2">
        <v>0</v>
      </c>
      <c r="H5719" s="1" t="s">
        <v>0</v>
      </c>
      <c r="I5719" s="2">
        <v>0</v>
      </c>
      <c r="J5719" s="1">
        <v>46077.34065972222</v>
      </c>
    </row>
    <row r="5720" spans="1:10" x14ac:dyDescent="0.2">
      <c r="A5720" s="4" t="s">
        <v>1</v>
      </c>
      <c r="B5720" s="3" t="str">
        <f>HYPERLINK("https://otsuka-europe-crm.veevavault.com/ui/#object/approved_document__v/V5O00000000Q016", "AEESME 2026: Programa simposio")</f>
        <v>AEESME 2026: Programa simposio</v>
      </c>
      <c r="C5720" s="3" t="str">
        <f>HYPERLINK("https://otsuka-europe-crm.veevavault.com/ui/#object/sent_email__v/VBL00000001F536", "SE-001406527")</f>
        <v>SE-001406527</v>
      </c>
      <c r="D5720" s="1">
        <v>46078.566493055558</v>
      </c>
      <c r="E5720" s="2">
        <v>1</v>
      </c>
      <c r="F5720" s="2">
        <v>1</v>
      </c>
      <c r="G5720" s="2">
        <v>1</v>
      </c>
      <c r="H5720" s="1">
        <v>46078.566493055558</v>
      </c>
      <c r="I5720" s="2">
        <v>1</v>
      </c>
      <c r="J5720" s="1">
        <v>46078.481319444443</v>
      </c>
    </row>
    <row r="5721" spans="1:10" x14ac:dyDescent="0.2">
      <c r="A5721" s="4" t="s">
        <v>1</v>
      </c>
      <c r="B5721" s="3" t="str">
        <f>HYPERLINK("https://otsuka-europe-crm.veevavault.com/ui/#object/approved_document__v/V5O00000000Q016", "AEESME 2026: Programa simposio")</f>
        <v>AEESME 2026: Programa simposio</v>
      </c>
      <c r="C5721" s="3" t="str">
        <f>HYPERLINK("https://otsuka-europe-crm.veevavault.com/ui/#object/sent_email__v/VBL00000001F537", "SE-001406528")</f>
        <v>SE-001406528</v>
      </c>
      <c r="D5721" s="1">
        <v>46078.492164351854</v>
      </c>
      <c r="E5721" s="2">
        <v>1</v>
      </c>
      <c r="F5721" s="2">
        <v>1</v>
      </c>
      <c r="G5721" s="2">
        <v>1</v>
      </c>
      <c r="H5721" s="1">
        <v>46078.492164351854</v>
      </c>
      <c r="I5721" s="2">
        <v>1</v>
      </c>
      <c r="J5721" s="1">
        <v>46078.481493055559</v>
      </c>
    </row>
    <row r="5722" spans="1:10" x14ac:dyDescent="0.2">
      <c r="A5722" s="4" t="s">
        <v>1</v>
      </c>
      <c r="B5722" s="3" t="str">
        <f>HYPERLINK("https://otsuka-europe-crm.veevavault.com/ui/#object/approved_document__v/V5O00000000Q016", "AEESME 2026: Programa simposio")</f>
        <v>AEESME 2026: Programa simposio</v>
      </c>
      <c r="C5722" s="3" t="str">
        <f>HYPERLINK("https://otsuka-europe-crm.veevavault.com/ui/#object/sent_email__v/VBL00000001F538", "SE-001406529")</f>
        <v>SE-001406529</v>
      </c>
      <c r="D5722" s="1" t="s">
        <v>0</v>
      </c>
      <c r="E5722" s="2">
        <v>0</v>
      </c>
      <c r="F5722" s="2">
        <v>0</v>
      </c>
      <c r="G5722" s="2">
        <v>0</v>
      </c>
      <c r="H5722" s="1" t="s">
        <v>0</v>
      </c>
      <c r="I5722" s="2">
        <v>0</v>
      </c>
      <c r="J5722" s="1">
        <v>46078.481666666667</v>
      </c>
    </row>
    <row r="5723" spans="1:10" x14ac:dyDescent="0.2">
      <c r="A5723" s="4" t="s">
        <v>1</v>
      </c>
      <c r="B5723" s="3" t="str">
        <f>HYPERLINK("https://otsuka-europe-crm.veevavault.com/ui/#object/approved_document__v/V5O00000000Q016", "AEESME 2026: Programa simposio")</f>
        <v>AEESME 2026: Programa simposio</v>
      </c>
      <c r="C5723" s="3" t="str">
        <f>HYPERLINK("https://otsuka-europe-crm.veevavault.com/ui/#object/sent_email__v/VBL00000001F539", "SE-001406530")</f>
        <v>SE-001406530</v>
      </c>
      <c r="D5723" s="1" t="s">
        <v>0</v>
      </c>
      <c r="E5723" s="2">
        <v>0</v>
      </c>
      <c r="F5723" s="2">
        <v>0</v>
      </c>
      <c r="G5723" s="2">
        <v>0</v>
      </c>
      <c r="H5723" s="1" t="s">
        <v>0</v>
      </c>
      <c r="I5723" s="2">
        <v>0</v>
      </c>
      <c r="J5723" s="1">
        <v>46078.481817129628</v>
      </c>
    </row>
    <row r="5724" spans="1:10" x14ac:dyDescent="0.2">
      <c r="A5724" s="4" t="s">
        <v>1</v>
      </c>
      <c r="B5724" s="3" t="str">
        <f>HYPERLINK("https://otsuka-europe-crm.veevavault.com/ui/#object/approved_document__v/V5O00000000Q016", "AEESME 2026: Programa simposio")</f>
        <v>AEESME 2026: Programa simposio</v>
      </c>
      <c r="C5724" s="3" t="str">
        <f>HYPERLINK("https://otsuka-europe-crm.veevavault.com/ui/#object/sent_email__v/VBL00000001F540", "SE-001406531")</f>
        <v>SE-001406531</v>
      </c>
      <c r="D5724" s="1">
        <v>46078.501608796294</v>
      </c>
      <c r="E5724" s="2">
        <v>1</v>
      </c>
      <c r="F5724" s="2">
        <v>1</v>
      </c>
      <c r="G5724" s="2">
        <v>1</v>
      </c>
      <c r="H5724" s="1">
        <v>46078.501608796294</v>
      </c>
      <c r="I5724" s="2">
        <v>1</v>
      </c>
      <c r="J5724" s="1">
        <v>46078.481990740744</v>
      </c>
    </row>
    <row r="5725" spans="1:10" x14ac:dyDescent="0.2">
      <c r="A5725" s="4" t="s">
        <v>1</v>
      </c>
      <c r="B5725" s="3" t="str">
        <f>HYPERLINK("https://otsuka-europe-crm.veevavault.com/ui/#object/approved_document__v/V5O00000000Q016", "AEESME 2026: Programa simposio")</f>
        <v>AEESME 2026: Programa simposio</v>
      </c>
      <c r="C5725" s="3" t="str">
        <f>HYPERLINK("https://otsuka-europe-crm.veevavault.com/ui/#object/sent_email__v/VBL00000001F541", "SE-001406532")</f>
        <v>SE-001406532</v>
      </c>
      <c r="D5725" s="1" t="s">
        <v>0</v>
      </c>
      <c r="E5725" s="2">
        <v>0</v>
      </c>
      <c r="F5725" s="2">
        <v>0</v>
      </c>
      <c r="G5725" s="2">
        <v>0</v>
      </c>
      <c r="H5725" s="1" t="s">
        <v>0</v>
      </c>
      <c r="I5725" s="2">
        <v>0</v>
      </c>
      <c r="J5725" s="1">
        <v>46078.482152777775</v>
      </c>
    </row>
    <row r="5726" spans="1:10" x14ac:dyDescent="0.2">
      <c r="A5726" s="4" t="s">
        <v>1</v>
      </c>
      <c r="B5726" s="3" t="str">
        <f>HYPERLINK("https://otsuka-europe-crm.veevavault.com/ui/#object/approved_document__v/V5O00000000Q016", "AEESME 2026: Programa simposio")</f>
        <v>AEESME 2026: Programa simposio</v>
      </c>
      <c r="C5726" s="3" t="str">
        <f>HYPERLINK("https://otsuka-europe-crm.veevavault.com/ui/#object/sent_email__v/VBL00000001F542", "SE-001406533")</f>
        <v>SE-001406533</v>
      </c>
      <c r="D5726" s="1" t="s">
        <v>0</v>
      </c>
      <c r="E5726" s="2">
        <v>0</v>
      </c>
      <c r="F5726" s="2">
        <v>0</v>
      </c>
      <c r="G5726" s="2">
        <v>0</v>
      </c>
      <c r="H5726" s="1" t="s">
        <v>0</v>
      </c>
      <c r="I5726" s="2">
        <v>0</v>
      </c>
      <c r="J5726" s="1">
        <v>46078.48232638889</v>
      </c>
    </row>
    <row r="5727" spans="1:10" x14ac:dyDescent="0.2">
      <c r="A5727" s="4" t="s">
        <v>1</v>
      </c>
      <c r="B5727" s="3" t="str">
        <f>HYPERLINK("https://otsuka-europe-crm.veevavault.com/ui/#object/approved_document__v/V5O00000000Q016", "AEESME 2026: Programa simposio")</f>
        <v>AEESME 2026: Programa simposio</v>
      </c>
      <c r="C5727" s="3" t="str">
        <f>HYPERLINK("https://otsuka-europe-crm.veevavault.com/ui/#object/sent_email__v/VBL00000001F543", "SE-001406534")</f>
        <v>SE-001406534</v>
      </c>
      <c r="D5727" s="1">
        <v>46078.483483796299</v>
      </c>
      <c r="E5727" s="2">
        <v>1</v>
      </c>
      <c r="F5727" s="2">
        <v>1</v>
      </c>
      <c r="G5727" s="2">
        <v>1</v>
      </c>
      <c r="H5727" s="1">
        <v>46078.483483796299</v>
      </c>
      <c r="I5727" s="2">
        <v>1</v>
      </c>
      <c r="J5727" s="1">
        <v>46078.482488425929</v>
      </c>
    </row>
    <row r="5728" spans="1:10" x14ac:dyDescent="0.2">
      <c r="A5728" s="4" t="s">
        <v>1</v>
      </c>
      <c r="B5728" s="3" t="str">
        <f>HYPERLINK("https://otsuka-europe-crm.veevavault.com/ui/#object/approved_document__v/V5O00000000Q016", "AEESME 2026: Programa simposio")</f>
        <v>AEESME 2026: Programa simposio</v>
      </c>
      <c r="C5728" s="3" t="str">
        <f>HYPERLINK("https://otsuka-europe-crm.veevavault.com/ui/#object/sent_email__v/VBL00000001G856", "SE-001406571")</f>
        <v>SE-001406571</v>
      </c>
      <c r="D5728" s="1">
        <v>46078.695706018516</v>
      </c>
      <c r="E5728" s="2">
        <v>1</v>
      </c>
      <c r="F5728" s="2">
        <v>1</v>
      </c>
      <c r="G5728" s="2">
        <v>0</v>
      </c>
      <c r="H5728" s="1" t="s">
        <v>0</v>
      </c>
      <c r="I5728" s="2">
        <v>0</v>
      </c>
      <c r="J5728" s="1">
        <v>46078.637743055559</v>
      </c>
    </row>
    <row r="5729" spans="1:10" x14ac:dyDescent="0.2">
      <c r="A5729" s="4" t="s">
        <v>1</v>
      </c>
      <c r="B5729" s="3" t="str">
        <f>HYPERLINK("https://otsuka-europe-crm.veevavault.com/ui/#object/approved_document__v/V5O00000000Q016", "AEESME 2026: Programa simposio")</f>
        <v>AEESME 2026: Programa simposio</v>
      </c>
      <c r="C5729" s="3" t="str">
        <f>HYPERLINK("https://otsuka-europe-crm.veevavault.com/ui/#object/sent_email__v/VBL00000001G858", "SE-001406576")</f>
        <v>SE-001406576</v>
      </c>
      <c r="D5729" s="1">
        <v>46078.850856481484</v>
      </c>
      <c r="E5729" s="2">
        <v>1</v>
      </c>
      <c r="F5729" s="2">
        <v>4</v>
      </c>
      <c r="G5729" s="2">
        <v>0</v>
      </c>
      <c r="H5729" s="1" t="s">
        <v>0</v>
      </c>
      <c r="I5729" s="2">
        <v>0</v>
      </c>
      <c r="J5729" s="1">
        <v>46078.722418981481</v>
      </c>
    </row>
    <row r="5730" spans="1:10" x14ac:dyDescent="0.2">
      <c r="A5730" s="4" t="s">
        <v>1</v>
      </c>
      <c r="B5730" s="3" t="str">
        <f>HYPERLINK("https://otsuka-europe-crm.veevavault.com/ui/#object/approved_document__v/V5O00000000Q016", "AEESME 2026: Programa simposio")</f>
        <v>AEESME 2026: Programa simposio</v>
      </c>
      <c r="C5730" s="3" t="str">
        <f>HYPERLINK("https://otsuka-europe-crm.veevavault.com/ui/#object/sent_email__v/VBL00000001F604", "SE-001406630")</f>
        <v>SE-001406630</v>
      </c>
      <c r="D5730" s="1" t="s">
        <v>0</v>
      </c>
      <c r="E5730" s="2">
        <v>0</v>
      </c>
      <c r="F5730" s="2">
        <v>0</v>
      </c>
      <c r="G5730" s="2">
        <v>0</v>
      </c>
      <c r="H5730" s="1" t="s">
        <v>0</v>
      </c>
      <c r="I5730" s="2">
        <v>0</v>
      </c>
      <c r="J5730" s="1">
        <v>46079.40351851852</v>
      </c>
    </row>
    <row r="5731" spans="1:10" x14ac:dyDescent="0.2">
      <c r="A5731" s="4" t="s">
        <v>1</v>
      </c>
      <c r="B5731" s="3" t="str">
        <f>HYPERLINK("https://otsuka-europe-crm.veevavault.com/ui/#object/approved_document__v/V5OZ025E82OTG1T", "AM2M - AGUDOS")</f>
        <v>AM2M - AGUDOS</v>
      </c>
      <c r="C5731" s="3" t="str">
        <f>HYPERLINK("https://otsuka-europe-crm.veevavault.com/ui/#object/sent_email__v/VBL00000000O242", "SE-001390713")</f>
        <v>SE-001390713</v>
      </c>
      <c r="D5731" s="1">
        <v>45978.721979166665</v>
      </c>
      <c r="E5731" s="2">
        <v>1</v>
      </c>
      <c r="F5731" s="2">
        <v>1</v>
      </c>
      <c r="G5731" s="2">
        <v>0</v>
      </c>
      <c r="H5731" s="1" t="s">
        <v>0</v>
      </c>
      <c r="I5731" s="2">
        <v>0</v>
      </c>
      <c r="J5731" s="1">
        <v>45978.385914351849</v>
      </c>
    </row>
    <row r="5732" spans="1:10" x14ac:dyDescent="0.2">
      <c r="A5732" s="4" t="s">
        <v>1</v>
      </c>
      <c r="B5732" s="3" t="str">
        <f>HYPERLINK("https://otsuka-europe-crm.veevavault.com/ui/#object/approved_document__v/V5OZ025E82OTG1T", "AM2M - AGUDOS")</f>
        <v>AM2M - AGUDOS</v>
      </c>
      <c r="C5732" s="3" t="str">
        <f>HYPERLINK("https://otsuka-europe-crm.veevavault.com/ui/#object/sent_email__v/VBL000000015259", "SE-001400617")</f>
        <v>SE-001400617</v>
      </c>
      <c r="D5732" s="1" t="s">
        <v>0</v>
      </c>
      <c r="E5732" s="2">
        <v>0</v>
      </c>
      <c r="F5732" s="2">
        <v>0</v>
      </c>
      <c r="G5732" s="2">
        <v>0</v>
      </c>
      <c r="H5732" s="1" t="s">
        <v>0</v>
      </c>
      <c r="I5732" s="2">
        <v>0</v>
      </c>
      <c r="J5732" s="1">
        <v>46043.471516203703</v>
      </c>
    </row>
    <row r="5733" spans="1:10" x14ac:dyDescent="0.2">
      <c r="A5733" s="4" t="s">
        <v>1</v>
      </c>
      <c r="B5733" s="3" t="str">
        <f>HYPERLINK("https://otsuka-europe-crm.veevavault.com/ui/#object/approved_document__v/V5OZ025E82OTG1T", "AM2M - AGUDOS")</f>
        <v>AM2M - AGUDOS</v>
      </c>
      <c r="C5733" s="3" t="str">
        <f>HYPERLINK("https://otsuka-europe-crm.veevavault.com/ui/#object/sent_email__v/VBL000000015833", "SE-001401710")</f>
        <v>SE-001401710</v>
      </c>
      <c r="D5733" s="1" t="s">
        <v>0</v>
      </c>
      <c r="E5733" s="2">
        <v>0</v>
      </c>
      <c r="F5733" s="2">
        <v>0</v>
      </c>
      <c r="G5733" s="2">
        <v>0</v>
      </c>
      <c r="H5733" s="1" t="s">
        <v>0</v>
      </c>
      <c r="I5733" s="2">
        <v>0</v>
      </c>
      <c r="J5733" s="1">
        <v>46049.417384259257</v>
      </c>
    </row>
    <row r="5734" spans="1:10" x14ac:dyDescent="0.2">
      <c r="A5734" s="4" t="s">
        <v>1</v>
      </c>
      <c r="B5734" s="3" t="str">
        <f>HYPERLINK("https://otsuka-europe-crm.veevavault.com/ui/#object/approved_document__v/V5OZ025E82GCBPH", "AM2M - ENFERMERÍA - ¿Sabes cómo se administra Abilify Maintena 960 mg?")</f>
        <v>AM2M - ENFERMERÍA - ¿Sabes cómo se administra Abilify Maintena 960 mg?</v>
      </c>
      <c r="C5734" s="3" t="str">
        <f>HYPERLINK("https://otsuka-europe-crm.veevavault.com/ui/#object/sent_email__v/VBL00000001B555", "SE-001403920")</f>
        <v>SE-001403920</v>
      </c>
      <c r="D5734" s="1" t="s">
        <v>0</v>
      </c>
      <c r="E5734" s="2">
        <v>0</v>
      </c>
      <c r="F5734" s="2">
        <v>0</v>
      </c>
      <c r="G5734" s="2">
        <v>0</v>
      </c>
      <c r="H5734" s="1" t="s">
        <v>0</v>
      </c>
      <c r="I5734" s="2">
        <v>0</v>
      </c>
      <c r="J5734" s="1">
        <v>46065.478194444448</v>
      </c>
    </row>
    <row r="5735" spans="1:10" x14ac:dyDescent="0.2">
      <c r="A5735" s="4" t="s">
        <v>1</v>
      </c>
      <c r="B5735" s="3" t="str">
        <f>HYPERLINK("https://otsuka-europe-crm.veevavault.com/ui/#object/approved_document__v/V5O00000000R011", "AM2M - ENFERMERÍA - Guía manejo práctico AM2M")</f>
        <v>AM2M - ENFERMERÍA - Guía manejo práctico AM2M</v>
      </c>
      <c r="C5735" s="3" t="str">
        <f>HYPERLINK("https://otsuka-europe-crm.veevavault.com/ui/#object/sent_email__v/VBL00000001G031", "SE-001405199")</f>
        <v>SE-001405199</v>
      </c>
      <c r="D5735" s="1" t="s">
        <v>0</v>
      </c>
      <c r="E5735" s="2">
        <v>0</v>
      </c>
      <c r="F5735" s="2">
        <v>0</v>
      </c>
      <c r="G5735" s="2">
        <v>0</v>
      </c>
      <c r="H5735" s="1" t="s">
        <v>0</v>
      </c>
      <c r="I5735" s="2">
        <v>0</v>
      </c>
      <c r="J5735" s="1">
        <v>46073.452025462961</v>
      </c>
    </row>
    <row r="5736" spans="1:10" x14ac:dyDescent="0.2">
      <c r="A5736" s="4" t="s">
        <v>1</v>
      </c>
      <c r="B5736" s="3" t="str">
        <f>HYPERLINK("https://otsuka-europe-crm.veevavault.com/ui/#object/approved_document__v/V5O00000000R011", "AM2M - ENFERMERÍA - Guía manejo práctico AM2M")</f>
        <v>AM2M - ENFERMERÍA - Guía manejo práctico AM2M</v>
      </c>
      <c r="C5736" s="3" t="str">
        <f>HYPERLINK("https://otsuka-europe-crm.veevavault.com/ui/#object/sent_email__v/VBL00000001G098", "SE-001405267")</f>
        <v>SE-001405267</v>
      </c>
      <c r="D5736" s="1" t="s">
        <v>0</v>
      </c>
      <c r="E5736" s="2">
        <v>0</v>
      </c>
      <c r="F5736" s="2">
        <v>0</v>
      </c>
      <c r="G5736" s="2">
        <v>0</v>
      </c>
      <c r="H5736" s="1" t="s">
        <v>0</v>
      </c>
      <c r="I5736" s="2">
        <v>0</v>
      </c>
      <c r="J5736" s="1">
        <v>46073.455254629633</v>
      </c>
    </row>
    <row r="5737" spans="1:10" x14ac:dyDescent="0.2">
      <c r="A5737" s="4" t="s">
        <v>1</v>
      </c>
      <c r="B5737" s="3" t="str">
        <f>HYPERLINK("https://otsuka-europe-crm.veevavault.com/ui/#object/approved_document__v/V5O00000000R011", "AM2M - ENFERMERÍA - Guía manejo práctico AM2M")</f>
        <v>AM2M - ENFERMERÍA - Guía manejo práctico AM2M</v>
      </c>
      <c r="C5737" s="3" t="str">
        <f>HYPERLINK("https://otsuka-europe-crm.veevavault.com/ui/#object/sent_email__v/VBL00000001G670", "SE-001406321")</f>
        <v>SE-001406321</v>
      </c>
      <c r="D5737" s="1">
        <v>46077.789456018516</v>
      </c>
      <c r="E5737" s="2">
        <v>1</v>
      </c>
      <c r="F5737" s="2">
        <v>1</v>
      </c>
      <c r="G5737" s="2">
        <v>1</v>
      </c>
      <c r="H5737" s="1">
        <v>46077.789629629631</v>
      </c>
      <c r="I5737" s="2">
        <v>1</v>
      </c>
      <c r="J5737" s="1">
        <v>46077.722384259258</v>
      </c>
    </row>
    <row r="5738" spans="1:10" x14ac:dyDescent="0.2">
      <c r="A5738" s="4" t="s">
        <v>1</v>
      </c>
      <c r="B5738" s="3" t="str">
        <f>HYPERLINK("https://otsuka-europe-crm.veevavault.com/ui/#object/approved_document__v/V5O00000000R011", "AM2M - ENFERMERÍA - Guía manejo práctico AM2M")</f>
        <v>AM2M - ENFERMERÍA - Guía manejo práctico AM2M</v>
      </c>
      <c r="C5738" s="3" t="str">
        <f>HYPERLINK("https://otsuka-europe-crm.veevavault.com/ui/#object/sent_email__v/VBL00000001G671", "SE-001406322")</f>
        <v>SE-001406322</v>
      </c>
      <c r="D5738" s="1" t="s">
        <v>0</v>
      </c>
      <c r="E5738" s="2">
        <v>0</v>
      </c>
      <c r="F5738" s="2">
        <v>0</v>
      </c>
      <c r="G5738" s="2">
        <v>0</v>
      </c>
      <c r="H5738" s="1" t="s">
        <v>0</v>
      </c>
      <c r="I5738" s="2">
        <v>0</v>
      </c>
      <c r="J5738" s="1">
        <v>46077.722546296296</v>
      </c>
    </row>
    <row r="5739" spans="1:10" x14ac:dyDescent="0.2">
      <c r="A5739" s="4" t="s">
        <v>1</v>
      </c>
      <c r="B5739" s="3" t="str">
        <f>HYPERLINK("https://otsuka-europe-crm.veevavault.com/ui/#object/approved_document__v/V5O00000000R011", "AM2M - ENFERMERÍA - Guía manejo práctico AM2M")</f>
        <v>AM2M - ENFERMERÍA - Guía manejo práctico AM2M</v>
      </c>
      <c r="C5739" s="3" t="str">
        <f>HYPERLINK("https://otsuka-europe-crm.veevavault.com/ui/#object/sent_email__v/VBL00000001G672", "SE-001406323")</f>
        <v>SE-001406323</v>
      </c>
      <c r="D5739" s="1">
        <v>46077.73940972222</v>
      </c>
      <c r="E5739" s="2">
        <v>1</v>
      </c>
      <c r="F5739" s="2">
        <v>1</v>
      </c>
      <c r="G5739" s="2">
        <v>0</v>
      </c>
      <c r="H5739" s="1" t="s">
        <v>0</v>
      </c>
      <c r="I5739" s="2">
        <v>0</v>
      </c>
      <c r="J5739" s="1">
        <v>46077.722719907404</v>
      </c>
    </row>
    <row r="5740" spans="1:10" x14ac:dyDescent="0.2">
      <c r="A5740" s="4" t="s">
        <v>1</v>
      </c>
      <c r="B5740" s="3" t="str">
        <f>HYPERLINK("https://otsuka-europe-crm.veevavault.com/ui/#object/approved_document__v/V5O00000000R011", "AM2M - ENFERMERÍA - Guía manejo práctico AM2M")</f>
        <v>AM2M - ENFERMERÍA - Guía manejo práctico AM2M</v>
      </c>
      <c r="C5740" s="3" t="str">
        <f>HYPERLINK("https://otsuka-europe-crm.veevavault.com/ui/#object/sent_email__v/VBL00000001G673", "SE-001406324")</f>
        <v>SE-001406324</v>
      </c>
      <c r="D5740" s="1">
        <v>46077.89576388889</v>
      </c>
      <c r="E5740" s="2">
        <v>1</v>
      </c>
      <c r="F5740" s="2">
        <v>2</v>
      </c>
      <c r="G5740" s="2">
        <v>0</v>
      </c>
      <c r="H5740" s="1" t="s">
        <v>0</v>
      </c>
      <c r="I5740" s="2">
        <v>0</v>
      </c>
      <c r="J5740" s="1">
        <v>46077.722870370373</v>
      </c>
    </row>
    <row r="5741" spans="1:10" x14ac:dyDescent="0.2">
      <c r="A5741" s="4" t="s">
        <v>1</v>
      </c>
      <c r="B5741" s="3" t="str">
        <f>HYPERLINK("https://otsuka-europe-crm.veevavault.com/ui/#object/approved_document__v/V5O00000000R011", "AM2M - ENFERMERÍA - Guía manejo práctico AM2M")</f>
        <v>AM2M - ENFERMERÍA - Guía manejo práctico AM2M</v>
      </c>
      <c r="C5741" s="3" t="str">
        <f>HYPERLINK("https://otsuka-europe-crm.veevavault.com/ui/#object/sent_email__v/VBL00000001G674", "SE-001406325")</f>
        <v>SE-001406325</v>
      </c>
      <c r="D5741" s="1" t="s">
        <v>0</v>
      </c>
      <c r="E5741" s="2">
        <v>0</v>
      </c>
      <c r="F5741" s="2">
        <v>0</v>
      </c>
      <c r="G5741" s="2">
        <v>0</v>
      </c>
      <c r="H5741" s="1" t="s">
        <v>0</v>
      </c>
      <c r="I5741" s="2">
        <v>0</v>
      </c>
      <c r="J5741" s="1">
        <v>46077.723043981481</v>
      </c>
    </row>
    <row r="5742" spans="1:10" x14ac:dyDescent="0.2">
      <c r="A5742" s="4" t="s">
        <v>1</v>
      </c>
      <c r="B5742" s="3" t="str">
        <f>HYPERLINK("https://otsuka-europe-crm.veevavault.com/ui/#object/approved_document__v/V5O00000000R011", "AM2M - ENFERMERÍA - Guía manejo práctico AM2M")</f>
        <v>AM2M - ENFERMERÍA - Guía manejo práctico AM2M</v>
      </c>
      <c r="C5742" s="3" t="str">
        <f>HYPERLINK("https://otsuka-europe-crm.veevavault.com/ui/#object/sent_email__v/VBL00000001G675", "SE-001406326")</f>
        <v>SE-001406326</v>
      </c>
      <c r="D5742" s="1">
        <v>46077.730740740742</v>
      </c>
      <c r="E5742" s="2">
        <v>1</v>
      </c>
      <c r="F5742" s="2">
        <v>2</v>
      </c>
      <c r="G5742" s="2">
        <v>0</v>
      </c>
      <c r="H5742" s="1" t="s">
        <v>0</v>
      </c>
      <c r="I5742" s="2">
        <v>0</v>
      </c>
      <c r="J5742" s="1">
        <v>46077.723217592589</v>
      </c>
    </row>
    <row r="5743" spans="1:10" x14ac:dyDescent="0.2">
      <c r="A5743" s="4" t="s">
        <v>1</v>
      </c>
      <c r="B5743" s="3" t="str">
        <f>HYPERLINK("https://otsuka-europe-crm.veevavault.com/ui/#object/approved_document__v/V5O00000000R011", "AM2M - ENFERMERÍA - Guía manejo práctico AM2M")</f>
        <v>AM2M - ENFERMERÍA - Guía manejo práctico AM2M</v>
      </c>
      <c r="C5743" s="3" t="str">
        <f>HYPERLINK("https://otsuka-europe-crm.veevavault.com/ui/#object/sent_email__v/VBL00000001G676", "SE-001406327")</f>
        <v>SE-001406327</v>
      </c>
      <c r="D5743" s="1" t="s">
        <v>0</v>
      </c>
      <c r="E5743" s="2">
        <v>0</v>
      </c>
      <c r="F5743" s="2">
        <v>0</v>
      </c>
      <c r="G5743" s="2">
        <v>0</v>
      </c>
      <c r="H5743" s="1" t="s">
        <v>0</v>
      </c>
      <c r="I5743" s="2">
        <v>0</v>
      </c>
      <c r="J5743" s="1">
        <v>46077.723425925928</v>
      </c>
    </row>
    <row r="5744" spans="1:10" x14ac:dyDescent="0.2">
      <c r="A5744" s="4" t="s">
        <v>1</v>
      </c>
      <c r="B5744" s="3" t="str">
        <f>HYPERLINK("https://otsuka-europe-crm.veevavault.com/ui/#object/approved_document__v/V5O00000000R011", "AM2M - ENFERMERÍA - Guía manejo práctico AM2M")</f>
        <v>AM2M - ENFERMERÍA - Guía manejo práctico AM2M</v>
      </c>
      <c r="C5744" s="3" t="str">
        <f>HYPERLINK("https://otsuka-europe-crm.veevavault.com/ui/#object/sent_email__v/VBL00000001G677", "SE-001406328")</f>
        <v>SE-001406328</v>
      </c>
      <c r="D5744" s="1" t="s">
        <v>0</v>
      </c>
      <c r="E5744" s="2">
        <v>0</v>
      </c>
      <c r="F5744" s="2">
        <v>0</v>
      </c>
      <c r="G5744" s="2">
        <v>0</v>
      </c>
      <c r="H5744" s="1" t="s">
        <v>0</v>
      </c>
      <c r="I5744" s="2">
        <v>0</v>
      </c>
      <c r="J5744" s="1">
        <v>46077.723668981482</v>
      </c>
    </row>
    <row r="5745" spans="1:10" x14ac:dyDescent="0.2">
      <c r="A5745" s="4" t="s">
        <v>1</v>
      </c>
      <c r="B5745" s="3" t="str">
        <f>HYPERLINK("https://otsuka-europe-crm.veevavault.com/ui/#object/approved_document__v/V5O00000000R011", "AM2M - ENFERMERÍA - Guía manejo práctico AM2M")</f>
        <v>AM2M - ENFERMERÍA - Guía manejo práctico AM2M</v>
      </c>
      <c r="C5745" s="3" t="str">
        <f>HYPERLINK("https://otsuka-europe-crm.veevavault.com/ui/#object/sent_email__v/VBL00000001G678", "SE-001406329")</f>
        <v>SE-001406329</v>
      </c>
      <c r="D5745" s="1">
        <v>46077.833784722221</v>
      </c>
      <c r="E5745" s="2">
        <v>1</v>
      </c>
      <c r="F5745" s="2">
        <v>1</v>
      </c>
      <c r="G5745" s="2">
        <v>0</v>
      </c>
      <c r="H5745" s="1" t="s">
        <v>0</v>
      </c>
      <c r="I5745" s="2">
        <v>0</v>
      </c>
      <c r="J5745" s="1">
        <v>46077.723912037036</v>
      </c>
    </row>
    <row r="5746" spans="1:10" x14ac:dyDescent="0.2">
      <c r="A5746" s="4" t="s">
        <v>1</v>
      </c>
      <c r="B5746" s="3" t="str">
        <f>HYPERLINK("https://otsuka-europe-crm.veevavault.com/ui/#object/approved_document__v/V5O00000000R011", "AM2M - ENFERMERÍA - Guía manejo práctico AM2M")</f>
        <v>AM2M - ENFERMERÍA - Guía manejo práctico AM2M</v>
      </c>
      <c r="C5746" s="3" t="str">
        <f>HYPERLINK("https://otsuka-europe-crm.veevavault.com/ui/#object/sent_email__v/VBL00000001G679", "SE-001406330")</f>
        <v>SE-001406330</v>
      </c>
      <c r="D5746" s="1">
        <v>46077.768252314818</v>
      </c>
      <c r="E5746" s="2">
        <v>1</v>
      </c>
      <c r="F5746" s="2">
        <v>1</v>
      </c>
      <c r="G5746" s="2">
        <v>0</v>
      </c>
      <c r="H5746" s="1" t="s">
        <v>0</v>
      </c>
      <c r="I5746" s="2">
        <v>0</v>
      </c>
      <c r="J5746" s="1">
        <v>46077.72415509259</v>
      </c>
    </row>
    <row r="5747" spans="1:10" x14ac:dyDescent="0.2">
      <c r="A5747" s="4" t="s">
        <v>1</v>
      </c>
      <c r="B5747" s="3" t="str">
        <f>HYPERLINK("https://otsuka-europe-crm.veevavault.com/ui/#object/approved_document__v/V5O00000000R011", "AM2M - ENFERMERÍA - Guía manejo práctico AM2M")</f>
        <v>AM2M - ENFERMERÍA - Guía manejo práctico AM2M</v>
      </c>
      <c r="C5747" s="3" t="str">
        <f>HYPERLINK("https://otsuka-europe-crm.veevavault.com/ui/#object/sent_email__v/VBL00000001G680", "SE-001406331")</f>
        <v>SE-001406331</v>
      </c>
      <c r="D5747" s="1" t="s">
        <v>0</v>
      </c>
      <c r="E5747" s="2">
        <v>0</v>
      </c>
      <c r="F5747" s="2">
        <v>0</v>
      </c>
      <c r="G5747" s="2">
        <v>0</v>
      </c>
      <c r="H5747" s="1" t="s">
        <v>0</v>
      </c>
      <c r="I5747" s="2">
        <v>0</v>
      </c>
      <c r="J5747" s="1">
        <v>46077.724398148152</v>
      </c>
    </row>
    <row r="5748" spans="1:10" x14ac:dyDescent="0.2">
      <c r="A5748" s="4" t="s">
        <v>1</v>
      </c>
      <c r="B5748" s="3" t="str">
        <f>HYPERLINK("https://otsuka-europe-crm.veevavault.com/ui/#object/approved_document__v/V5O00000000R011", "AM2M - ENFERMERÍA - Guía manejo práctico AM2M")</f>
        <v>AM2M - ENFERMERÍA - Guía manejo práctico AM2M</v>
      </c>
      <c r="C5748" s="3" t="str">
        <f>HYPERLINK("https://otsuka-europe-crm.veevavault.com/ui/#object/sent_email__v/VBL00000001G681", "SE-001406332")</f>
        <v>SE-001406332</v>
      </c>
      <c r="D5748" s="1" t="s">
        <v>0</v>
      </c>
      <c r="E5748" s="2">
        <v>0</v>
      </c>
      <c r="F5748" s="2">
        <v>0</v>
      </c>
      <c r="G5748" s="2">
        <v>0</v>
      </c>
      <c r="H5748" s="1" t="s">
        <v>0</v>
      </c>
      <c r="I5748" s="2">
        <v>0</v>
      </c>
      <c r="J5748" s="1">
        <v>46077.724652777775</v>
      </c>
    </row>
    <row r="5749" spans="1:10" x14ac:dyDescent="0.2">
      <c r="A5749" s="4" t="s">
        <v>1</v>
      </c>
      <c r="B5749" s="3" t="str">
        <f>HYPERLINK("https://otsuka-europe-crm.veevavault.com/ui/#object/approved_document__v/V5O00000000R011", "AM2M - ENFERMERÍA - Guía manejo práctico AM2M")</f>
        <v>AM2M - ENFERMERÍA - Guía manejo práctico AM2M</v>
      </c>
      <c r="C5749" s="3" t="str">
        <f>HYPERLINK("https://otsuka-europe-crm.veevavault.com/ui/#object/sent_email__v/VBL00000001G682", "SE-001406333")</f>
        <v>SE-001406333</v>
      </c>
      <c r="D5749" s="1">
        <v>46077.767199074071</v>
      </c>
      <c r="E5749" s="2">
        <v>1</v>
      </c>
      <c r="F5749" s="2">
        <v>1</v>
      </c>
      <c r="G5749" s="2">
        <v>0</v>
      </c>
      <c r="H5749" s="1" t="s">
        <v>0</v>
      </c>
      <c r="I5749" s="2">
        <v>0</v>
      </c>
      <c r="J5749" s="1">
        <v>46077.724895833337</v>
      </c>
    </row>
    <row r="5750" spans="1:10" x14ac:dyDescent="0.2">
      <c r="A5750" s="4" t="s">
        <v>1</v>
      </c>
      <c r="B5750" s="3" t="str">
        <f>HYPERLINK("https://otsuka-europe-crm.veevavault.com/ui/#object/approved_document__v/V5O00000000R011", "AM2M - ENFERMERÍA - Guía manejo práctico AM2M")</f>
        <v>AM2M - ENFERMERÍA - Guía manejo práctico AM2M</v>
      </c>
      <c r="C5750" s="3" t="str">
        <f>HYPERLINK("https://otsuka-europe-crm.veevavault.com/ui/#object/sent_email__v/VBL00000001G683", "SE-001406334")</f>
        <v>SE-001406334</v>
      </c>
      <c r="D5750" s="1">
        <v>46077.915532407409</v>
      </c>
      <c r="E5750" s="2">
        <v>1</v>
      </c>
      <c r="F5750" s="2">
        <v>1</v>
      </c>
      <c r="G5750" s="2">
        <v>0</v>
      </c>
      <c r="H5750" s="1" t="s">
        <v>0</v>
      </c>
      <c r="I5750" s="2">
        <v>0</v>
      </c>
      <c r="J5750" s="1">
        <v>46077.725162037037</v>
      </c>
    </row>
    <row r="5751" spans="1:10" x14ac:dyDescent="0.2">
      <c r="A5751" s="4" t="s">
        <v>1</v>
      </c>
      <c r="B5751" s="3" t="str">
        <f>HYPERLINK("https://otsuka-europe-crm.veevavault.com/ui/#object/approved_document__v/V5O00000000R011", "AM2M - ENFERMERÍA - Guía manejo práctico AM2M")</f>
        <v>AM2M - ENFERMERÍA - Guía manejo práctico AM2M</v>
      </c>
      <c r="C5751" s="3" t="str">
        <f>HYPERLINK("https://otsuka-europe-crm.veevavault.com/ui/#object/sent_email__v/VBL00000001G684", "SE-001406335")</f>
        <v>SE-001406335</v>
      </c>
      <c r="D5751" s="1" t="s">
        <v>0</v>
      </c>
      <c r="E5751" s="2">
        <v>0</v>
      </c>
      <c r="F5751" s="2">
        <v>0</v>
      </c>
      <c r="G5751" s="2">
        <v>0</v>
      </c>
      <c r="H5751" s="1" t="s">
        <v>0</v>
      </c>
      <c r="I5751" s="2">
        <v>0</v>
      </c>
      <c r="J5751" s="1">
        <v>46077.725393518522</v>
      </c>
    </row>
    <row r="5752" spans="1:10" x14ac:dyDescent="0.2">
      <c r="A5752" s="4" t="s">
        <v>1</v>
      </c>
      <c r="B5752" s="3" t="str">
        <f>HYPERLINK("https://otsuka-europe-crm.veevavault.com/ui/#object/approved_document__v/V5O00000000R011", "AM2M - ENFERMERÍA - Guía manejo práctico AM2M")</f>
        <v>AM2M - ENFERMERÍA - Guía manejo práctico AM2M</v>
      </c>
      <c r="C5752" s="3" t="str">
        <f>HYPERLINK("https://otsuka-europe-crm.veevavault.com/ui/#object/sent_email__v/VBL00000001G685", "SE-001406336")</f>
        <v>SE-001406336</v>
      </c>
      <c r="D5752" s="1" t="s">
        <v>0</v>
      </c>
      <c r="E5752" s="2">
        <v>0</v>
      </c>
      <c r="F5752" s="2">
        <v>0</v>
      </c>
      <c r="G5752" s="2">
        <v>0</v>
      </c>
      <c r="H5752" s="1" t="s">
        <v>0</v>
      </c>
      <c r="I5752" s="2">
        <v>0</v>
      </c>
      <c r="J5752" s="1">
        <v>46077.725648148145</v>
      </c>
    </row>
    <row r="5753" spans="1:10" x14ac:dyDescent="0.2">
      <c r="A5753" s="4" t="s">
        <v>1</v>
      </c>
      <c r="B5753" s="3" t="str">
        <f>HYPERLINK("https://otsuka-europe-crm.veevavault.com/ui/#object/approved_document__v/V5O00000000R011", "AM2M - ENFERMERÍA - Guía manejo práctico AM2M")</f>
        <v>AM2M - ENFERMERÍA - Guía manejo práctico AM2M</v>
      </c>
      <c r="C5753" s="3" t="str">
        <f>HYPERLINK("https://otsuka-europe-crm.veevavault.com/ui/#object/sent_email__v/VBL00000001G686", "SE-001406337")</f>
        <v>SE-001406337</v>
      </c>
      <c r="D5753" s="1" t="s">
        <v>0</v>
      </c>
      <c r="E5753" s="2">
        <v>0</v>
      </c>
      <c r="F5753" s="2">
        <v>0</v>
      </c>
      <c r="G5753" s="2">
        <v>0</v>
      </c>
      <c r="H5753" s="1" t="s">
        <v>0</v>
      </c>
      <c r="I5753" s="2">
        <v>0</v>
      </c>
      <c r="J5753" s="1">
        <v>46077.725856481484</v>
      </c>
    </row>
    <row r="5754" spans="1:10" x14ac:dyDescent="0.2">
      <c r="A5754" s="4" t="s">
        <v>1</v>
      </c>
      <c r="B5754" s="3" t="str">
        <f>HYPERLINK("https://otsuka-europe-crm.veevavault.com/ui/#object/approved_document__v/V5O00000000R011", "AM2M - ENFERMERÍA - Guía manejo práctico AM2M")</f>
        <v>AM2M - ENFERMERÍA - Guía manejo práctico AM2M</v>
      </c>
      <c r="C5754" s="3" t="str">
        <f>HYPERLINK("https://otsuka-europe-crm.veevavault.com/ui/#object/sent_email__v/VBL00000001G687", "SE-001406338")</f>
        <v>SE-001406338</v>
      </c>
      <c r="D5754" s="1" t="s">
        <v>0</v>
      </c>
      <c r="E5754" s="2">
        <v>0</v>
      </c>
      <c r="F5754" s="2">
        <v>0</v>
      </c>
      <c r="G5754" s="2">
        <v>0</v>
      </c>
      <c r="H5754" s="1" t="s">
        <v>0</v>
      </c>
      <c r="I5754" s="2">
        <v>0</v>
      </c>
      <c r="J5754" s="1">
        <v>46077.726006944446</v>
      </c>
    </row>
    <row r="5755" spans="1:10" x14ac:dyDescent="0.2">
      <c r="A5755" s="4" t="s">
        <v>1</v>
      </c>
      <c r="B5755" s="3" t="str">
        <f>HYPERLINK("https://otsuka-europe-crm.veevavault.com/ui/#object/approved_document__v/V5O00000000R011", "AM2M - ENFERMERÍA - Guía manejo práctico AM2M")</f>
        <v>AM2M - ENFERMERÍA - Guía manejo práctico AM2M</v>
      </c>
      <c r="C5755" s="3" t="str">
        <f>HYPERLINK("https://otsuka-europe-crm.veevavault.com/ui/#object/sent_email__v/VBL00000001G688", "SE-001406339")</f>
        <v>SE-001406339</v>
      </c>
      <c r="D5755" s="1">
        <v>46078.502222222225</v>
      </c>
      <c r="E5755" s="2">
        <v>1</v>
      </c>
      <c r="F5755" s="2">
        <v>2</v>
      </c>
      <c r="G5755" s="2">
        <v>1</v>
      </c>
      <c r="H5755" s="1">
        <v>46078.502222222225</v>
      </c>
      <c r="I5755" s="2">
        <v>1</v>
      </c>
      <c r="J5755" s="1">
        <v>46077.726168981484</v>
      </c>
    </row>
    <row r="5756" spans="1:10" x14ac:dyDescent="0.2">
      <c r="A5756" s="4" t="s">
        <v>1</v>
      </c>
      <c r="B5756" s="3" t="str">
        <f>HYPERLINK("https://otsuka-europe-crm.veevavault.com/ui/#object/approved_document__v/V5O00000000R011", "AM2M - ENFERMERÍA - Guía manejo práctico AM2M")</f>
        <v>AM2M - ENFERMERÍA - Guía manejo práctico AM2M</v>
      </c>
      <c r="C5756" s="3" t="str">
        <f>HYPERLINK("https://otsuka-europe-crm.veevavault.com/ui/#object/sent_email__v/VBL00000001G689", "SE-001406340")</f>
        <v>SE-001406340</v>
      </c>
      <c r="D5756" s="1" t="s">
        <v>0</v>
      </c>
      <c r="E5756" s="2">
        <v>0</v>
      </c>
      <c r="F5756" s="2">
        <v>0</v>
      </c>
      <c r="G5756" s="2">
        <v>0</v>
      </c>
      <c r="H5756" s="1" t="s">
        <v>0</v>
      </c>
      <c r="I5756" s="2">
        <v>0</v>
      </c>
      <c r="J5756" s="1">
        <v>46077.726342592592</v>
      </c>
    </row>
    <row r="5757" spans="1:10" x14ac:dyDescent="0.2">
      <c r="A5757" s="4" t="s">
        <v>1</v>
      </c>
      <c r="B5757" s="3" t="str">
        <f>HYPERLINK("https://otsuka-europe-crm.veevavault.com/ui/#object/approved_document__v/V5O00000000R011", "AM2M - ENFERMERÍA - Guía manejo práctico AM2M")</f>
        <v>AM2M - ENFERMERÍA - Guía manejo práctico AM2M</v>
      </c>
      <c r="C5757" s="3" t="str">
        <f>HYPERLINK("https://otsuka-europe-crm.veevavault.com/ui/#object/sent_email__v/VBL00000001G690", "SE-001406341")</f>
        <v>SE-001406341</v>
      </c>
      <c r="D5757" s="1">
        <v>46077.927384259259</v>
      </c>
      <c r="E5757" s="2">
        <v>1</v>
      </c>
      <c r="F5757" s="2">
        <v>1</v>
      </c>
      <c r="G5757" s="2">
        <v>0</v>
      </c>
      <c r="H5757" s="1" t="s">
        <v>0</v>
      </c>
      <c r="I5757" s="2">
        <v>0</v>
      </c>
      <c r="J5757" s="1">
        <v>46077.726504629631</v>
      </c>
    </row>
    <row r="5758" spans="1:10" x14ac:dyDescent="0.2">
      <c r="A5758" s="4" t="s">
        <v>1</v>
      </c>
      <c r="B5758" s="3" t="str">
        <f>HYPERLINK("https://otsuka-europe-crm.veevavault.com/ui/#object/approved_document__v/V5O00000000R011", "AM2M - ENFERMERÍA - Guía manejo práctico AM2M")</f>
        <v>AM2M - ENFERMERÍA - Guía manejo práctico AM2M</v>
      </c>
      <c r="C5758" s="3" t="str">
        <f>HYPERLINK("https://otsuka-europe-crm.veevavault.com/ui/#object/sent_email__v/VBL00000001G691", "SE-001406342")</f>
        <v>SE-001406342</v>
      </c>
      <c r="D5758" s="1">
        <v>46077.726793981485</v>
      </c>
      <c r="E5758" s="2">
        <v>1</v>
      </c>
      <c r="F5758" s="2">
        <v>1</v>
      </c>
      <c r="G5758" s="2">
        <v>0</v>
      </c>
      <c r="H5758" s="1" t="s">
        <v>0</v>
      </c>
      <c r="I5758" s="2">
        <v>0</v>
      </c>
      <c r="J5758" s="1">
        <v>46077.726666666669</v>
      </c>
    </row>
    <row r="5759" spans="1:10" x14ac:dyDescent="0.2">
      <c r="A5759" s="4" t="s">
        <v>1</v>
      </c>
      <c r="B5759" s="3" t="str">
        <f>HYPERLINK("https://otsuka-europe-crm.veevavault.com/ui/#object/approved_document__v/V5O00000000R011", "AM2M - ENFERMERÍA - Guía manejo práctico AM2M")</f>
        <v>AM2M - ENFERMERÍA - Guía manejo práctico AM2M</v>
      </c>
      <c r="C5759" s="3" t="str">
        <f>HYPERLINK("https://otsuka-europe-crm.veevavault.com/ui/#object/sent_email__v/VBL00000001G692", "SE-001406343")</f>
        <v>SE-001406343</v>
      </c>
      <c r="D5759" s="1" t="s">
        <v>0</v>
      </c>
      <c r="E5759" s="2">
        <v>0</v>
      </c>
      <c r="F5759" s="2">
        <v>0</v>
      </c>
      <c r="G5759" s="2">
        <v>0</v>
      </c>
      <c r="H5759" s="1" t="s">
        <v>0</v>
      </c>
      <c r="I5759" s="2">
        <v>0</v>
      </c>
      <c r="J5759" s="1">
        <v>46077.726840277777</v>
      </c>
    </row>
    <row r="5760" spans="1:10" x14ac:dyDescent="0.2">
      <c r="A5760" s="4" t="s">
        <v>1</v>
      </c>
      <c r="B5760" s="3" t="str">
        <f>HYPERLINK("https://otsuka-europe-crm.veevavault.com/ui/#object/approved_document__v/V5O00000000R011", "AM2M - ENFERMERÍA - Guía manejo práctico AM2M")</f>
        <v>AM2M - ENFERMERÍA - Guía manejo práctico AM2M</v>
      </c>
      <c r="C5760" s="3" t="str">
        <f>HYPERLINK("https://otsuka-europe-crm.veevavault.com/ui/#object/sent_email__v/VBL00000001G693", "SE-001406344")</f>
        <v>SE-001406344</v>
      </c>
      <c r="D5760" s="1">
        <v>46077.758009259262</v>
      </c>
      <c r="E5760" s="2">
        <v>1</v>
      </c>
      <c r="F5760" s="2">
        <v>1</v>
      </c>
      <c r="G5760" s="2">
        <v>0</v>
      </c>
      <c r="H5760" s="1" t="s">
        <v>0</v>
      </c>
      <c r="I5760" s="2">
        <v>0</v>
      </c>
      <c r="J5760" s="1">
        <v>46077.727013888885</v>
      </c>
    </row>
    <row r="5761" spans="1:10" x14ac:dyDescent="0.2">
      <c r="A5761" s="4" t="s">
        <v>1</v>
      </c>
      <c r="B5761" s="3" t="str">
        <f>HYPERLINK("https://otsuka-europe-crm.veevavault.com/ui/#object/approved_document__v/V5O00000000R011", "AM2M - ENFERMERÍA - Guía manejo práctico AM2M")</f>
        <v>AM2M - ENFERMERÍA - Guía manejo práctico AM2M</v>
      </c>
      <c r="C5761" s="3" t="str">
        <f>HYPERLINK("https://otsuka-europe-crm.veevavault.com/ui/#object/sent_email__v/VBL00000001G694", "SE-001406345")</f>
        <v>SE-001406345</v>
      </c>
      <c r="D5761" s="1" t="s">
        <v>0</v>
      </c>
      <c r="E5761" s="2">
        <v>0</v>
      </c>
      <c r="F5761" s="2">
        <v>0</v>
      </c>
      <c r="G5761" s="2">
        <v>0</v>
      </c>
      <c r="H5761" s="1" t="s">
        <v>0</v>
      </c>
      <c r="I5761" s="2">
        <v>0</v>
      </c>
      <c r="J5761" s="1">
        <v>46077.727175925924</v>
      </c>
    </row>
    <row r="5762" spans="1:10" x14ac:dyDescent="0.2">
      <c r="A5762" s="4" t="s">
        <v>1</v>
      </c>
      <c r="B5762" s="3" t="str">
        <f>HYPERLINK("https://otsuka-europe-crm.veevavault.com/ui/#object/approved_document__v/V5O00000000R011", "AM2M - ENFERMERÍA - Guía manejo práctico AM2M")</f>
        <v>AM2M - ENFERMERÍA - Guía manejo práctico AM2M</v>
      </c>
      <c r="C5762" s="3" t="str">
        <f>HYPERLINK("https://otsuka-europe-crm.veevavault.com/ui/#object/sent_email__v/VBL00000001G695", "SE-001406346")</f>
        <v>SE-001406346</v>
      </c>
      <c r="D5762" s="1" t="s">
        <v>0</v>
      </c>
      <c r="E5762" s="2">
        <v>0</v>
      </c>
      <c r="F5762" s="2">
        <v>0</v>
      </c>
      <c r="G5762" s="2">
        <v>0</v>
      </c>
      <c r="H5762" s="1" t="s">
        <v>0</v>
      </c>
      <c r="I5762" s="2">
        <v>0</v>
      </c>
      <c r="J5762" s="1">
        <v>46077.727337962962</v>
      </c>
    </row>
    <row r="5763" spans="1:10" x14ac:dyDescent="0.2">
      <c r="A5763" s="4" t="s">
        <v>1</v>
      </c>
      <c r="B5763" s="3" t="str">
        <f>HYPERLINK("https://otsuka-europe-crm.veevavault.com/ui/#object/approved_document__v/V5O00000000R011", "AM2M - ENFERMERÍA - Guía manejo práctico AM2M")</f>
        <v>AM2M - ENFERMERÍA - Guía manejo práctico AM2M</v>
      </c>
      <c r="C5763" s="3" t="str">
        <f>HYPERLINK("https://otsuka-europe-crm.veevavault.com/ui/#object/sent_email__v/VBL00000001G696", "SE-001406347")</f>
        <v>SE-001406347</v>
      </c>
      <c r="D5763" s="1">
        <v>46077.887881944444</v>
      </c>
      <c r="E5763" s="2">
        <v>1</v>
      </c>
      <c r="F5763" s="2">
        <v>1</v>
      </c>
      <c r="G5763" s="2">
        <v>0</v>
      </c>
      <c r="H5763" s="1" t="s">
        <v>0</v>
      </c>
      <c r="I5763" s="2">
        <v>0</v>
      </c>
      <c r="J5763" s="1">
        <v>46077.727511574078</v>
      </c>
    </row>
    <row r="5764" spans="1:10" x14ac:dyDescent="0.2">
      <c r="A5764" s="4" t="s">
        <v>1</v>
      </c>
      <c r="B5764" s="3" t="str">
        <f>HYPERLINK("https://otsuka-europe-crm.veevavault.com/ui/#object/approved_document__v/V5O00000000R011", "AM2M - ENFERMERÍA - Guía manejo práctico AM2M")</f>
        <v>AM2M - ENFERMERÍA - Guía manejo práctico AM2M</v>
      </c>
      <c r="C5764" s="3" t="str">
        <f>HYPERLINK("https://otsuka-europe-crm.veevavault.com/ui/#object/sent_email__v/VBL00000001G697", "SE-001406348")</f>
        <v>SE-001406348</v>
      </c>
      <c r="D5764" s="1" t="s">
        <v>0</v>
      </c>
      <c r="E5764" s="2">
        <v>0</v>
      </c>
      <c r="F5764" s="2">
        <v>0</v>
      </c>
      <c r="G5764" s="2">
        <v>0</v>
      </c>
      <c r="H5764" s="1" t="s">
        <v>0</v>
      </c>
      <c r="I5764" s="2">
        <v>0</v>
      </c>
      <c r="J5764" s="1">
        <v>46077.727673611109</v>
      </c>
    </row>
    <row r="5765" spans="1:10" x14ac:dyDescent="0.2">
      <c r="A5765" s="4" t="s">
        <v>1</v>
      </c>
      <c r="B5765" s="3" t="str">
        <f>HYPERLINK("https://otsuka-europe-crm.veevavault.com/ui/#object/approved_document__v/V5O00000000R011", "AM2M - ENFERMERÍA - Guía manejo práctico AM2M")</f>
        <v>AM2M - ENFERMERÍA - Guía manejo práctico AM2M</v>
      </c>
      <c r="C5765" s="3" t="str">
        <f>HYPERLINK("https://otsuka-europe-crm.veevavault.com/ui/#object/sent_email__v/VBL00000001G698", "SE-001406349")</f>
        <v>SE-001406349</v>
      </c>
      <c r="D5765" s="1">
        <v>46078.608449074076</v>
      </c>
      <c r="E5765" s="2">
        <v>1</v>
      </c>
      <c r="F5765" s="2">
        <v>2</v>
      </c>
      <c r="G5765" s="2">
        <v>0</v>
      </c>
      <c r="H5765" s="1" t="s">
        <v>0</v>
      </c>
      <c r="I5765" s="2">
        <v>0</v>
      </c>
      <c r="J5765" s="1">
        <v>46077.727835648147</v>
      </c>
    </row>
    <row r="5766" spans="1:10" x14ac:dyDescent="0.2">
      <c r="A5766" s="4" t="s">
        <v>1</v>
      </c>
      <c r="B5766" s="3" t="str">
        <f>HYPERLINK("https://otsuka-europe-crm.veevavault.com/ui/#object/approved_document__v/V5O00000000R011", "AM2M - ENFERMERÍA - Guía manejo práctico AM2M")</f>
        <v>AM2M - ENFERMERÍA - Guía manejo práctico AM2M</v>
      </c>
      <c r="C5766" s="3" t="str">
        <f>HYPERLINK("https://otsuka-europe-crm.veevavault.com/ui/#object/sent_email__v/VBL00000001G699", "SE-001406350")</f>
        <v>SE-001406350</v>
      </c>
      <c r="D5766" s="1" t="s">
        <v>0</v>
      </c>
      <c r="E5766" s="2">
        <v>0</v>
      </c>
      <c r="F5766" s="2">
        <v>0</v>
      </c>
      <c r="G5766" s="2">
        <v>0</v>
      </c>
      <c r="H5766" s="1" t="s">
        <v>0</v>
      </c>
      <c r="I5766" s="2">
        <v>0</v>
      </c>
      <c r="J5766" s="1">
        <v>46077.728009259263</v>
      </c>
    </row>
    <row r="5767" spans="1:10" x14ac:dyDescent="0.2">
      <c r="A5767" s="4" t="s">
        <v>1</v>
      </c>
      <c r="B5767" s="3" t="str">
        <f>HYPERLINK("https://otsuka-europe-crm.veevavault.com/ui/#object/approved_document__v/V5O00000000R011", "AM2M - ENFERMERÍA - Guía manejo práctico AM2M")</f>
        <v>AM2M - ENFERMERÍA - Guía manejo práctico AM2M</v>
      </c>
      <c r="C5767" s="3" t="str">
        <f>HYPERLINK("https://otsuka-europe-crm.veevavault.com/ui/#object/sent_email__v/VBL00000001G700", "SE-001406351")</f>
        <v>SE-001406351</v>
      </c>
      <c r="D5767" s="1" t="s">
        <v>0</v>
      </c>
      <c r="E5767" s="2">
        <v>0</v>
      </c>
      <c r="F5767" s="2">
        <v>0</v>
      </c>
      <c r="G5767" s="2">
        <v>0</v>
      </c>
      <c r="H5767" s="1" t="s">
        <v>0</v>
      </c>
      <c r="I5767" s="2">
        <v>0</v>
      </c>
      <c r="J5767" s="1">
        <v>46077.728171296294</v>
      </c>
    </row>
    <row r="5768" spans="1:10" x14ac:dyDescent="0.2">
      <c r="A5768" s="4" t="s">
        <v>1</v>
      </c>
      <c r="B5768" s="3" t="str">
        <f>HYPERLINK("https://otsuka-europe-crm.veevavault.com/ui/#object/approved_document__v/V5O00000000R011", "AM2M - ENFERMERÍA - Guía manejo práctico AM2M")</f>
        <v>AM2M - ENFERMERÍA - Guía manejo práctico AM2M</v>
      </c>
      <c r="C5768" s="3" t="str">
        <f>HYPERLINK("https://otsuka-europe-crm.veevavault.com/ui/#object/sent_email__v/VBL00000001G701", "SE-001406352")</f>
        <v>SE-001406352</v>
      </c>
      <c r="D5768" s="1" t="s">
        <v>0</v>
      </c>
      <c r="E5768" s="2">
        <v>0</v>
      </c>
      <c r="F5768" s="2">
        <v>0</v>
      </c>
      <c r="G5768" s="2">
        <v>0</v>
      </c>
      <c r="H5768" s="1" t="s">
        <v>0</v>
      </c>
      <c r="I5768" s="2">
        <v>0</v>
      </c>
      <c r="J5768" s="1">
        <v>46077.728344907409</v>
      </c>
    </row>
    <row r="5769" spans="1:10" x14ac:dyDescent="0.2">
      <c r="A5769" s="4" t="s">
        <v>1</v>
      </c>
      <c r="B5769" s="3" t="str">
        <f>HYPERLINK("https://otsuka-europe-crm.veevavault.com/ui/#object/approved_document__v/V5O00000000R011", "AM2M - ENFERMERÍA - Guía manejo práctico AM2M")</f>
        <v>AM2M - ENFERMERÍA - Guía manejo práctico AM2M</v>
      </c>
      <c r="C5769" s="3" t="str">
        <f>HYPERLINK("https://otsuka-europe-crm.veevavault.com/ui/#object/sent_email__v/VBL00000001G702", "SE-001406353")</f>
        <v>SE-001406353</v>
      </c>
      <c r="D5769" s="1">
        <v>46077.922268518516</v>
      </c>
      <c r="E5769" s="2">
        <v>1</v>
      </c>
      <c r="F5769" s="2">
        <v>1</v>
      </c>
      <c r="G5769" s="2">
        <v>0</v>
      </c>
      <c r="H5769" s="1" t="s">
        <v>0</v>
      </c>
      <c r="I5769" s="2">
        <v>0</v>
      </c>
      <c r="J5769" s="1">
        <v>46077.728506944448</v>
      </c>
    </row>
    <row r="5770" spans="1:10" x14ac:dyDescent="0.2">
      <c r="A5770" s="4" t="s">
        <v>1</v>
      </c>
      <c r="B5770" s="3" t="str">
        <f>HYPERLINK("https://otsuka-europe-crm.veevavault.com/ui/#object/approved_document__v/V5O00000000R011", "AM2M - ENFERMERÍA - Guía manejo práctico AM2M")</f>
        <v>AM2M - ENFERMERÍA - Guía manejo práctico AM2M</v>
      </c>
      <c r="C5770" s="3" t="str">
        <f>HYPERLINK("https://otsuka-europe-crm.veevavault.com/ui/#object/sent_email__v/VBL00000001G703", "SE-001406354")</f>
        <v>SE-001406354</v>
      </c>
      <c r="D5770" s="1" t="s">
        <v>0</v>
      </c>
      <c r="E5770" s="2">
        <v>0</v>
      </c>
      <c r="F5770" s="2">
        <v>0</v>
      </c>
      <c r="G5770" s="2">
        <v>0</v>
      </c>
      <c r="H5770" s="1" t="s">
        <v>0</v>
      </c>
      <c r="I5770" s="2">
        <v>0</v>
      </c>
      <c r="J5770" s="1">
        <v>46077.728668981479</v>
      </c>
    </row>
    <row r="5771" spans="1:10" x14ac:dyDescent="0.2">
      <c r="A5771" s="4" t="s">
        <v>1</v>
      </c>
      <c r="B5771" s="3" t="str">
        <f>HYPERLINK("https://otsuka-europe-crm.veevavault.com/ui/#object/approved_document__v/V5O00000000R011", "AM2M - ENFERMERÍA - Guía manejo práctico AM2M")</f>
        <v>AM2M - ENFERMERÍA - Guía manejo práctico AM2M</v>
      </c>
      <c r="C5771" s="3" t="str">
        <f>HYPERLINK("https://otsuka-europe-crm.veevavault.com/ui/#object/sent_email__v/VBL00000001G704", "SE-001406355")</f>
        <v>SE-001406355</v>
      </c>
      <c r="D5771" s="1" t="s">
        <v>0</v>
      </c>
      <c r="E5771" s="2">
        <v>0</v>
      </c>
      <c r="F5771" s="2">
        <v>0</v>
      </c>
      <c r="G5771" s="2">
        <v>0</v>
      </c>
      <c r="H5771" s="1" t="s">
        <v>0</v>
      </c>
      <c r="I5771" s="2">
        <v>0</v>
      </c>
      <c r="J5771" s="1">
        <v>46077.728842592594</v>
      </c>
    </row>
    <row r="5772" spans="1:10" x14ac:dyDescent="0.2">
      <c r="A5772" s="4" t="s">
        <v>1</v>
      </c>
      <c r="B5772" s="3" t="str">
        <f>HYPERLINK("https://otsuka-europe-crm.veevavault.com/ui/#object/approved_document__v/V5O00000000R011", "AM2M - ENFERMERÍA - Guía manejo práctico AM2M")</f>
        <v>AM2M - ENFERMERÍA - Guía manejo práctico AM2M</v>
      </c>
      <c r="C5772" s="3" t="str">
        <f>HYPERLINK("https://otsuka-europe-crm.veevavault.com/ui/#object/sent_email__v/VBL00000001G705", "SE-001406356")</f>
        <v>SE-001406356</v>
      </c>
      <c r="D5772" s="1" t="s">
        <v>0</v>
      </c>
      <c r="E5772" s="2">
        <v>0</v>
      </c>
      <c r="F5772" s="2">
        <v>0</v>
      </c>
      <c r="G5772" s="2">
        <v>0</v>
      </c>
      <c r="H5772" s="1" t="s">
        <v>0</v>
      </c>
      <c r="I5772" s="2">
        <v>0</v>
      </c>
      <c r="J5772" s="1">
        <v>46077.728993055556</v>
      </c>
    </row>
    <row r="5773" spans="1:10" x14ac:dyDescent="0.2">
      <c r="A5773" s="4" t="s">
        <v>1</v>
      </c>
      <c r="B5773" s="3" t="str">
        <f>HYPERLINK("https://otsuka-europe-crm.veevavault.com/ui/#object/approved_document__v/V5O00000000R011", "AM2M - ENFERMERÍA - Guía manejo práctico AM2M")</f>
        <v>AM2M - ENFERMERÍA - Guía manejo práctico AM2M</v>
      </c>
      <c r="C5773" s="3" t="str">
        <f>HYPERLINK("https://otsuka-europe-crm.veevavault.com/ui/#object/sent_email__v/VBL00000001G706", "SE-001406357")</f>
        <v>SE-001406357</v>
      </c>
      <c r="D5773" s="1" t="s">
        <v>0</v>
      </c>
      <c r="E5773" s="2">
        <v>0</v>
      </c>
      <c r="F5773" s="2">
        <v>0</v>
      </c>
      <c r="G5773" s="2">
        <v>0</v>
      </c>
      <c r="H5773" s="1" t="s">
        <v>0</v>
      </c>
      <c r="I5773" s="2">
        <v>0</v>
      </c>
      <c r="J5773" s="1">
        <v>46077.729155092595</v>
      </c>
    </row>
    <row r="5774" spans="1:10" x14ac:dyDescent="0.2">
      <c r="A5774" s="4" t="s">
        <v>1</v>
      </c>
      <c r="B5774" s="3" t="str">
        <f>HYPERLINK("https://otsuka-europe-crm.veevavault.com/ui/#object/approved_document__v/V5O00000000R011", "AM2M - ENFERMERÍA - Guía manejo práctico AM2M")</f>
        <v>AM2M - ENFERMERÍA - Guía manejo práctico AM2M</v>
      </c>
      <c r="C5774" s="3" t="str">
        <f>HYPERLINK("https://otsuka-europe-crm.veevavault.com/ui/#object/sent_email__v/VBL00000001G707", "SE-001406358")</f>
        <v>SE-001406358</v>
      </c>
      <c r="D5774" s="1" t="s">
        <v>0</v>
      </c>
      <c r="E5774" s="2">
        <v>0</v>
      </c>
      <c r="F5774" s="2">
        <v>0</v>
      </c>
      <c r="G5774" s="2">
        <v>0</v>
      </c>
      <c r="H5774" s="1" t="s">
        <v>0</v>
      </c>
      <c r="I5774" s="2">
        <v>0</v>
      </c>
      <c r="J5774" s="1">
        <v>46077.729328703703</v>
      </c>
    </row>
    <row r="5775" spans="1:10" x14ac:dyDescent="0.2">
      <c r="A5775" s="4" t="s">
        <v>1</v>
      </c>
      <c r="B5775" s="3" t="str">
        <f>HYPERLINK("https://otsuka-europe-crm.veevavault.com/ui/#object/approved_document__v/V5O00000000R011", "AM2M - ENFERMERÍA - Guía manejo práctico AM2M")</f>
        <v>AM2M - ENFERMERÍA - Guía manejo práctico AM2M</v>
      </c>
      <c r="C5775" s="3" t="str">
        <f>HYPERLINK("https://otsuka-europe-crm.veevavault.com/ui/#object/sent_email__v/VBL00000001G708", "SE-001406359")</f>
        <v>SE-001406359</v>
      </c>
      <c r="D5775" s="1" t="s">
        <v>0</v>
      </c>
      <c r="E5775" s="2">
        <v>0</v>
      </c>
      <c r="F5775" s="2">
        <v>0</v>
      </c>
      <c r="G5775" s="2">
        <v>0</v>
      </c>
      <c r="H5775" s="1" t="s">
        <v>0</v>
      </c>
      <c r="I5775" s="2">
        <v>0</v>
      </c>
      <c r="J5775" s="1">
        <v>46077.729479166665</v>
      </c>
    </row>
    <row r="5776" spans="1:10" x14ac:dyDescent="0.2">
      <c r="A5776" s="4" t="s">
        <v>1</v>
      </c>
      <c r="B5776" s="3" t="str">
        <f>HYPERLINK("https://otsuka-europe-crm.veevavault.com/ui/#object/approved_document__v/V5O00000000R011", "AM2M - ENFERMERÍA - Guía manejo práctico AM2M")</f>
        <v>AM2M - ENFERMERÍA - Guía manejo práctico AM2M</v>
      </c>
      <c r="C5776" s="3" t="str">
        <f>HYPERLINK("https://otsuka-europe-crm.veevavault.com/ui/#object/sent_email__v/VBL00000001G709", "SE-001406360")</f>
        <v>SE-001406360</v>
      </c>
      <c r="D5776" s="1" t="s">
        <v>0</v>
      </c>
      <c r="E5776" s="2">
        <v>0</v>
      </c>
      <c r="F5776" s="2">
        <v>0</v>
      </c>
      <c r="G5776" s="2">
        <v>0</v>
      </c>
      <c r="H5776" s="1" t="s">
        <v>0</v>
      </c>
      <c r="I5776" s="2">
        <v>0</v>
      </c>
      <c r="J5776" s="1">
        <v>46077.72965277778</v>
      </c>
    </row>
    <row r="5777" spans="1:10" x14ac:dyDescent="0.2">
      <c r="A5777" s="4" t="s">
        <v>1</v>
      </c>
      <c r="B5777" s="3" t="str">
        <f>HYPERLINK("https://otsuka-europe-crm.veevavault.com/ui/#object/approved_document__v/V5O00000000R011", "AM2M - ENFERMERÍA - Guía manejo práctico AM2M")</f>
        <v>AM2M - ENFERMERÍA - Guía manejo práctico AM2M</v>
      </c>
      <c r="C5777" s="3" t="str">
        <f>HYPERLINK("https://otsuka-europe-crm.veevavault.com/ui/#object/sent_email__v/VBL00000001G710", "SE-001406361")</f>
        <v>SE-001406361</v>
      </c>
      <c r="D5777" s="1" t="s">
        <v>0</v>
      </c>
      <c r="E5777" s="2">
        <v>0</v>
      </c>
      <c r="F5777" s="2">
        <v>0</v>
      </c>
      <c r="G5777" s="2">
        <v>0</v>
      </c>
      <c r="H5777" s="1" t="s">
        <v>0</v>
      </c>
      <c r="I5777" s="2">
        <v>0</v>
      </c>
      <c r="J5777" s="1">
        <v>46077.729814814818</v>
      </c>
    </row>
    <row r="5778" spans="1:10" x14ac:dyDescent="0.2">
      <c r="A5778" s="4" t="s">
        <v>1</v>
      </c>
      <c r="B5778" s="3" t="str">
        <f>HYPERLINK("https://otsuka-europe-crm.veevavault.com/ui/#object/approved_document__v/V5O00000000R011", "AM2M - ENFERMERÍA - Guía manejo práctico AM2M")</f>
        <v>AM2M - ENFERMERÍA - Guía manejo práctico AM2M</v>
      </c>
      <c r="C5778" s="3" t="str">
        <f>HYPERLINK("https://otsuka-europe-crm.veevavault.com/ui/#object/sent_email__v/VBL00000001G711", "SE-001406362")</f>
        <v>SE-001406362</v>
      </c>
      <c r="D5778" s="1">
        <v>46077.985682870371</v>
      </c>
      <c r="E5778" s="2">
        <v>1</v>
      </c>
      <c r="F5778" s="2">
        <v>1</v>
      </c>
      <c r="G5778" s="2">
        <v>0</v>
      </c>
      <c r="H5778" s="1" t="s">
        <v>0</v>
      </c>
      <c r="I5778" s="2">
        <v>0</v>
      </c>
      <c r="J5778" s="1">
        <v>46077.72997685185</v>
      </c>
    </row>
    <row r="5779" spans="1:10" x14ac:dyDescent="0.2">
      <c r="A5779" s="4" t="s">
        <v>1</v>
      </c>
      <c r="B5779" s="3" t="str">
        <f>HYPERLINK("https://otsuka-europe-crm.veevavault.com/ui/#object/approved_document__v/V5O00000000R011", "AM2M - ENFERMERÍA - Guía manejo práctico AM2M")</f>
        <v>AM2M - ENFERMERÍA - Guía manejo práctico AM2M</v>
      </c>
      <c r="C5779" s="3" t="str">
        <f>HYPERLINK("https://otsuka-europe-crm.veevavault.com/ui/#object/sent_email__v/VBL00000001G712", "SE-001406363")</f>
        <v>SE-001406363</v>
      </c>
      <c r="D5779" s="1" t="s">
        <v>0</v>
      </c>
      <c r="E5779" s="2">
        <v>0</v>
      </c>
      <c r="F5779" s="2">
        <v>0</v>
      </c>
      <c r="G5779" s="2">
        <v>0</v>
      </c>
      <c r="H5779" s="1" t="s">
        <v>0</v>
      </c>
      <c r="I5779" s="2">
        <v>0</v>
      </c>
      <c r="J5779" s="1">
        <v>46077.730162037034</v>
      </c>
    </row>
    <row r="5780" spans="1:10" x14ac:dyDescent="0.2">
      <c r="A5780" s="4" t="s">
        <v>1</v>
      </c>
      <c r="B5780" s="3" t="str">
        <f>HYPERLINK("https://otsuka-europe-crm.veevavault.com/ui/#object/approved_document__v/V5O00000000R011", "AM2M - ENFERMERÍA - Guía manejo práctico AM2M")</f>
        <v>AM2M - ENFERMERÍA - Guía manejo práctico AM2M</v>
      </c>
      <c r="C5780" s="3" t="str">
        <f>HYPERLINK("https://otsuka-europe-crm.veevavault.com/ui/#object/sent_email__v/VBL00000001G713", "SE-001406364")</f>
        <v>SE-001406364</v>
      </c>
      <c r="D5780" s="1" t="s">
        <v>0</v>
      </c>
      <c r="E5780" s="2">
        <v>0</v>
      </c>
      <c r="F5780" s="2">
        <v>0</v>
      </c>
      <c r="G5780" s="2">
        <v>0</v>
      </c>
      <c r="H5780" s="1" t="s">
        <v>0</v>
      </c>
      <c r="I5780" s="2">
        <v>0</v>
      </c>
      <c r="J5780" s="1">
        <v>46077.730324074073</v>
      </c>
    </row>
    <row r="5781" spans="1:10" x14ac:dyDescent="0.2">
      <c r="A5781" s="4" t="s">
        <v>1</v>
      </c>
      <c r="B5781" s="3" t="str">
        <f>HYPERLINK("https://otsuka-europe-crm.veevavault.com/ui/#object/approved_document__v/V5O00000000R011", "AM2M - ENFERMERÍA - Guía manejo práctico AM2M")</f>
        <v>AM2M - ENFERMERÍA - Guía manejo práctico AM2M</v>
      </c>
      <c r="C5781" s="3" t="str">
        <f>HYPERLINK("https://otsuka-europe-crm.veevavault.com/ui/#object/sent_email__v/VBL00000001G714", "SE-001406365")</f>
        <v>SE-001406365</v>
      </c>
      <c r="D5781" s="1" t="s">
        <v>0</v>
      </c>
      <c r="E5781" s="2">
        <v>0</v>
      </c>
      <c r="F5781" s="2">
        <v>0</v>
      </c>
      <c r="G5781" s="2">
        <v>0</v>
      </c>
      <c r="H5781" s="1" t="s">
        <v>0</v>
      </c>
      <c r="I5781" s="2">
        <v>0</v>
      </c>
      <c r="J5781" s="1">
        <v>46077.730486111112</v>
      </c>
    </row>
    <row r="5782" spans="1:10" x14ac:dyDescent="0.2">
      <c r="A5782" s="4" t="s">
        <v>1</v>
      </c>
      <c r="B5782" s="3" t="str">
        <f>HYPERLINK("https://otsuka-europe-crm.veevavault.com/ui/#object/approved_document__v/V5O00000000R011", "AM2M - ENFERMERÍA - Guía manejo práctico AM2M")</f>
        <v>AM2M - ENFERMERÍA - Guía manejo práctico AM2M</v>
      </c>
      <c r="C5782" s="3" t="str">
        <f>HYPERLINK("https://otsuka-europe-crm.veevavault.com/ui/#object/sent_email__v/VBL00000001G715", "SE-001406366")</f>
        <v>SE-001406366</v>
      </c>
      <c r="D5782" s="1">
        <v>46078.108263888891</v>
      </c>
      <c r="E5782" s="2">
        <v>1</v>
      </c>
      <c r="F5782" s="2">
        <v>1</v>
      </c>
      <c r="G5782" s="2">
        <v>0</v>
      </c>
      <c r="H5782" s="1" t="s">
        <v>0</v>
      </c>
      <c r="I5782" s="2">
        <v>0</v>
      </c>
      <c r="J5782" s="1">
        <v>46077.730636574073</v>
      </c>
    </row>
    <row r="5783" spans="1:10" x14ac:dyDescent="0.2">
      <c r="A5783" s="4" t="s">
        <v>1</v>
      </c>
      <c r="B5783" s="3" t="str">
        <f>HYPERLINK("https://otsuka-europe-crm.veevavault.com/ui/#object/approved_document__v/V5O00000000R011", "AM2M - ENFERMERÍA - Guía manejo práctico AM2M")</f>
        <v>AM2M - ENFERMERÍA - Guía manejo práctico AM2M</v>
      </c>
      <c r="C5783" s="3" t="str">
        <f>HYPERLINK("https://otsuka-europe-crm.veevavault.com/ui/#object/sent_email__v/VBL00000001G716", "SE-001406367")</f>
        <v>SE-001406367</v>
      </c>
      <c r="D5783" s="1" t="s">
        <v>0</v>
      </c>
      <c r="E5783" s="2">
        <v>0</v>
      </c>
      <c r="F5783" s="2">
        <v>0</v>
      </c>
      <c r="G5783" s="2">
        <v>0</v>
      </c>
      <c r="H5783" s="1" t="s">
        <v>0</v>
      </c>
      <c r="I5783" s="2">
        <v>0</v>
      </c>
      <c r="J5783" s="1">
        <v>46077.730810185189</v>
      </c>
    </row>
    <row r="5784" spans="1:10" x14ac:dyDescent="0.2">
      <c r="A5784" s="4" t="s">
        <v>1</v>
      </c>
      <c r="B5784" s="3" t="str">
        <f>HYPERLINK("https://otsuka-europe-crm.veevavault.com/ui/#object/approved_document__v/V5O00000000R011", "AM2M - ENFERMERÍA - Guía manejo práctico AM2M")</f>
        <v>AM2M - ENFERMERÍA - Guía manejo práctico AM2M</v>
      </c>
      <c r="C5784" s="3" t="str">
        <f>HYPERLINK("https://otsuka-europe-crm.veevavault.com/ui/#object/sent_email__v/VBL00000001G717", "SE-001406368")</f>
        <v>SE-001406368</v>
      </c>
      <c r="D5784" s="1" t="s">
        <v>0</v>
      </c>
      <c r="E5784" s="2">
        <v>0</v>
      </c>
      <c r="F5784" s="2">
        <v>0</v>
      </c>
      <c r="G5784" s="2">
        <v>0</v>
      </c>
      <c r="H5784" s="1" t="s">
        <v>0</v>
      </c>
      <c r="I5784" s="2">
        <v>0</v>
      </c>
      <c r="J5784" s="1">
        <v>46077.73097222222</v>
      </c>
    </row>
    <row r="5785" spans="1:10" x14ac:dyDescent="0.2">
      <c r="A5785" s="4" t="s">
        <v>1</v>
      </c>
      <c r="B5785" s="3" t="str">
        <f>HYPERLINK("https://otsuka-europe-crm.veevavault.com/ui/#object/approved_document__v/V5O00000000R011", "AM2M - ENFERMERÍA - Guía manejo práctico AM2M")</f>
        <v>AM2M - ENFERMERÍA - Guía manejo práctico AM2M</v>
      </c>
      <c r="C5785" s="3" t="str">
        <f>HYPERLINK("https://otsuka-europe-crm.veevavault.com/ui/#object/sent_email__v/VBL00000001G718", "SE-001406369")</f>
        <v>SE-001406369</v>
      </c>
      <c r="D5785" s="1">
        <v>46077.979444444441</v>
      </c>
      <c r="E5785" s="2">
        <v>1</v>
      </c>
      <c r="F5785" s="2">
        <v>1</v>
      </c>
      <c r="G5785" s="2">
        <v>0</v>
      </c>
      <c r="H5785" s="1" t="s">
        <v>0</v>
      </c>
      <c r="I5785" s="2">
        <v>0</v>
      </c>
      <c r="J5785" s="1">
        <v>46077.731145833335</v>
      </c>
    </row>
    <row r="5786" spans="1:10" x14ac:dyDescent="0.2">
      <c r="A5786" s="4" t="s">
        <v>1</v>
      </c>
      <c r="B5786" s="3" t="str">
        <f>HYPERLINK("https://otsuka-europe-crm.veevavault.com/ui/#object/approved_document__v/V5O00000000R011", "AM2M - ENFERMERÍA - Guía manejo práctico AM2M")</f>
        <v>AM2M - ENFERMERÍA - Guía manejo práctico AM2M</v>
      </c>
      <c r="C5786" s="3" t="str">
        <f>HYPERLINK("https://otsuka-europe-crm.veevavault.com/ui/#object/sent_email__v/VBL00000001G719", "SE-001406370")</f>
        <v>SE-001406370</v>
      </c>
      <c r="D5786" s="1">
        <v>46077.98814814815</v>
      </c>
      <c r="E5786" s="2">
        <v>1</v>
      </c>
      <c r="F5786" s="2">
        <v>1</v>
      </c>
      <c r="G5786" s="2">
        <v>0</v>
      </c>
      <c r="H5786" s="1" t="s">
        <v>0</v>
      </c>
      <c r="I5786" s="2">
        <v>0</v>
      </c>
      <c r="J5786" s="1">
        <v>46077.731296296297</v>
      </c>
    </row>
    <row r="5787" spans="1:10" x14ac:dyDescent="0.2">
      <c r="A5787" s="4" t="s">
        <v>1</v>
      </c>
      <c r="B5787" s="3" t="str">
        <f>HYPERLINK("https://otsuka-europe-crm.veevavault.com/ui/#object/approved_document__v/V5O00000000R011", "AM2M - ENFERMERÍA - Guía manejo práctico AM2M")</f>
        <v>AM2M - ENFERMERÍA - Guía manejo práctico AM2M</v>
      </c>
      <c r="C5787" s="3" t="str">
        <f>HYPERLINK("https://otsuka-europe-crm.veevavault.com/ui/#object/sent_email__v/VBL00000001G720", "SE-001406371")</f>
        <v>SE-001406371</v>
      </c>
      <c r="D5787" s="1" t="s">
        <v>0</v>
      </c>
      <c r="E5787" s="2">
        <v>0</v>
      </c>
      <c r="F5787" s="2">
        <v>0</v>
      </c>
      <c r="G5787" s="2">
        <v>0</v>
      </c>
      <c r="H5787" s="1" t="s">
        <v>0</v>
      </c>
      <c r="I5787" s="2">
        <v>0</v>
      </c>
      <c r="J5787" s="1">
        <v>46077.731539351851</v>
      </c>
    </row>
    <row r="5788" spans="1:10" x14ac:dyDescent="0.2">
      <c r="A5788" s="4" t="s">
        <v>1</v>
      </c>
      <c r="B5788" s="3" t="str">
        <f>HYPERLINK("https://otsuka-europe-crm.veevavault.com/ui/#object/approved_document__v/V5O00000000R011", "AM2M - ENFERMERÍA - Guía manejo práctico AM2M")</f>
        <v>AM2M - ENFERMERÍA - Guía manejo práctico AM2M</v>
      </c>
      <c r="C5788" s="3" t="str">
        <f>HYPERLINK("https://otsuka-europe-crm.veevavault.com/ui/#object/sent_email__v/VBL00000001G721", "SE-001406372")</f>
        <v>SE-001406372</v>
      </c>
      <c r="D5788" s="1">
        <v>46079.442349537036</v>
      </c>
      <c r="E5788" s="2">
        <v>1</v>
      </c>
      <c r="F5788" s="2">
        <v>2</v>
      </c>
      <c r="G5788" s="2">
        <v>1</v>
      </c>
      <c r="H5788" s="1">
        <v>46079.442511574074</v>
      </c>
      <c r="I5788" s="2">
        <v>1</v>
      </c>
      <c r="J5788" s="1">
        <v>46077.731805555559</v>
      </c>
    </row>
    <row r="5789" spans="1:10" x14ac:dyDescent="0.2">
      <c r="A5789" s="4" t="s">
        <v>1</v>
      </c>
      <c r="B5789" s="3" t="str">
        <f>HYPERLINK("https://otsuka-europe-crm.veevavault.com/ui/#object/approved_document__v/V5O00000000R011", "AM2M - ENFERMERÍA - Guía manejo práctico AM2M")</f>
        <v>AM2M - ENFERMERÍA - Guía manejo práctico AM2M</v>
      </c>
      <c r="C5789" s="3" t="str">
        <f>HYPERLINK("https://otsuka-europe-crm.veevavault.com/ui/#object/sent_email__v/VBL00000001G722", "SE-001406373")</f>
        <v>SE-001406373</v>
      </c>
      <c r="D5789" s="1" t="s">
        <v>0</v>
      </c>
      <c r="E5789" s="2">
        <v>0</v>
      </c>
      <c r="F5789" s="2">
        <v>0</v>
      </c>
      <c r="G5789" s="2">
        <v>0</v>
      </c>
      <c r="H5789" s="1" t="s">
        <v>0</v>
      </c>
      <c r="I5789" s="2">
        <v>0</v>
      </c>
      <c r="J5789" s="1">
        <v>46077.732037037036</v>
      </c>
    </row>
    <row r="5790" spans="1:10" x14ac:dyDescent="0.2">
      <c r="A5790" s="4" t="s">
        <v>1</v>
      </c>
      <c r="B5790" s="3" t="str">
        <f>HYPERLINK("https://otsuka-europe-crm.veevavault.com/ui/#object/approved_document__v/V5O00000000R011", "AM2M - ENFERMERÍA - Guía manejo práctico AM2M")</f>
        <v>AM2M - ENFERMERÍA - Guía manejo práctico AM2M</v>
      </c>
      <c r="C5790" s="3" t="str">
        <f>HYPERLINK("https://otsuka-europe-crm.veevavault.com/ui/#object/sent_email__v/VBL00000001G723", "SE-001406374")</f>
        <v>SE-001406374</v>
      </c>
      <c r="D5790" s="1" t="s">
        <v>0</v>
      </c>
      <c r="E5790" s="2">
        <v>0</v>
      </c>
      <c r="F5790" s="2">
        <v>0</v>
      </c>
      <c r="G5790" s="2">
        <v>0</v>
      </c>
      <c r="H5790" s="1" t="s">
        <v>0</v>
      </c>
      <c r="I5790" s="2">
        <v>0</v>
      </c>
      <c r="J5790" s="1">
        <v>46077.732291666667</v>
      </c>
    </row>
    <row r="5791" spans="1:10" x14ac:dyDescent="0.2">
      <c r="A5791" s="4" t="s">
        <v>1</v>
      </c>
      <c r="B5791" s="3" t="str">
        <f>HYPERLINK("https://otsuka-europe-crm.veevavault.com/ui/#object/approved_document__v/V5O00000000R011", "AM2M - ENFERMERÍA - Guía manejo práctico AM2M")</f>
        <v>AM2M - ENFERMERÍA - Guía manejo práctico AM2M</v>
      </c>
      <c r="C5791" s="3" t="str">
        <f>HYPERLINK("https://otsuka-europe-crm.veevavault.com/ui/#object/sent_email__v/VBL00000001G724", "SE-001406375")</f>
        <v>SE-001406375</v>
      </c>
      <c r="D5791" s="1" t="s">
        <v>0</v>
      </c>
      <c r="E5791" s="2">
        <v>0</v>
      </c>
      <c r="F5791" s="2">
        <v>0</v>
      </c>
      <c r="G5791" s="2">
        <v>0</v>
      </c>
      <c r="H5791" s="1" t="s">
        <v>0</v>
      </c>
      <c r="I5791" s="2">
        <v>0</v>
      </c>
      <c r="J5791" s="1">
        <v>46077.732534722221</v>
      </c>
    </row>
    <row r="5792" spans="1:10" x14ac:dyDescent="0.2">
      <c r="A5792" s="4" t="s">
        <v>1</v>
      </c>
      <c r="B5792" s="3" t="str">
        <f>HYPERLINK("https://otsuka-europe-crm.veevavault.com/ui/#object/approved_document__v/V5O00000000R011", "AM2M - ENFERMERÍA - Guía manejo práctico AM2M")</f>
        <v>AM2M - ENFERMERÍA - Guía manejo práctico AM2M</v>
      </c>
      <c r="C5792" s="3" t="str">
        <f>HYPERLINK("https://otsuka-europe-crm.veevavault.com/ui/#object/sent_email__v/VBL00000001G725", "SE-001406376")</f>
        <v>SE-001406376</v>
      </c>
      <c r="D5792" s="1" t="s">
        <v>0</v>
      </c>
      <c r="E5792" s="2">
        <v>0</v>
      </c>
      <c r="F5792" s="2">
        <v>0</v>
      </c>
      <c r="G5792" s="2">
        <v>0</v>
      </c>
      <c r="H5792" s="1" t="s">
        <v>0</v>
      </c>
      <c r="I5792" s="2">
        <v>0</v>
      </c>
      <c r="J5792" s="1">
        <v>46077.732731481483</v>
      </c>
    </row>
    <row r="5793" spans="1:10" x14ac:dyDescent="0.2">
      <c r="A5793" s="4" t="s">
        <v>1</v>
      </c>
      <c r="B5793" s="3" t="str">
        <f>HYPERLINK("https://otsuka-europe-crm.veevavault.com/ui/#object/approved_document__v/V5O00000000R011", "AM2M - ENFERMERÍA - Guía manejo práctico AM2M")</f>
        <v>AM2M - ENFERMERÍA - Guía manejo práctico AM2M</v>
      </c>
      <c r="C5793" s="3" t="str">
        <f>HYPERLINK("https://otsuka-europe-crm.veevavault.com/ui/#object/sent_email__v/VBL00000001G726", "SE-001406377")</f>
        <v>SE-001406377</v>
      </c>
      <c r="D5793" s="1">
        <v>46078.502280092594</v>
      </c>
      <c r="E5793" s="2">
        <v>1</v>
      </c>
      <c r="F5793" s="2">
        <v>2</v>
      </c>
      <c r="G5793" s="2">
        <v>1</v>
      </c>
      <c r="H5793" s="1">
        <v>46078.30400462963</v>
      </c>
      <c r="I5793" s="2">
        <v>1</v>
      </c>
      <c r="J5793" s="1">
        <v>46077.732893518521</v>
      </c>
    </row>
    <row r="5794" spans="1:10" x14ac:dyDescent="0.2">
      <c r="A5794" s="4" t="s">
        <v>1</v>
      </c>
      <c r="B5794" s="3" t="str">
        <f>HYPERLINK("https://otsuka-europe-crm.veevavault.com/ui/#object/approved_document__v/V5O00000000R011", "AM2M - ENFERMERÍA - Guía manejo práctico AM2M")</f>
        <v>AM2M - ENFERMERÍA - Guía manejo práctico AM2M</v>
      </c>
      <c r="C5794" s="3" t="str">
        <f>HYPERLINK("https://otsuka-europe-crm.veevavault.com/ui/#object/sent_email__v/VBL00000001G727", "SE-001406378")</f>
        <v>SE-001406378</v>
      </c>
      <c r="D5794" s="1" t="s">
        <v>0</v>
      </c>
      <c r="E5794" s="2">
        <v>0</v>
      </c>
      <c r="F5794" s="2">
        <v>0</v>
      </c>
      <c r="G5794" s="2">
        <v>0</v>
      </c>
      <c r="H5794" s="1" t="s">
        <v>0</v>
      </c>
      <c r="I5794" s="2">
        <v>0</v>
      </c>
      <c r="J5794" s="1">
        <v>46077.733067129629</v>
      </c>
    </row>
    <row r="5795" spans="1:10" x14ac:dyDescent="0.2">
      <c r="A5795" s="4" t="s">
        <v>1</v>
      </c>
      <c r="B5795" s="3" t="str">
        <f>HYPERLINK("https://otsuka-europe-crm.veevavault.com/ui/#object/approved_document__v/V5O00000000R011", "AM2M - ENFERMERÍA - Guía manejo práctico AM2M")</f>
        <v>AM2M - ENFERMERÍA - Guía manejo práctico AM2M</v>
      </c>
      <c r="C5795" s="3" t="str">
        <f>HYPERLINK("https://otsuka-europe-crm.veevavault.com/ui/#object/sent_email__v/VBL00000001G728", "SE-001406379")</f>
        <v>SE-001406379</v>
      </c>
      <c r="D5795" s="1">
        <v>46077.812430555554</v>
      </c>
      <c r="E5795" s="2">
        <v>1</v>
      </c>
      <c r="F5795" s="2">
        <v>1</v>
      </c>
      <c r="G5795" s="2">
        <v>0</v>
      </c>
      <c r="H5795" s="1" t="s">
        <v>0</v>
      </c>
      <c r="I5795" s="2">
        <v>0</v>
      </c>
      <c r="J5795" s="1">
        <v>46077.733229166668</v>
      </c>
    </row>
    <row r="5796" spans="1:10" x14ac:dyDescent="0.2">
      <c r="A5796" s="4" t="s">
        <v>1</v>
      </c>
      <c r="B5796" s="3" t="str">
        <f>HYPERLINK("https://otsuka-europe-crm.veevavault.com/ui/#object/approved_document__v/V5O00000000R011", "AM2M - ENFERMERÍA - Guía manejo práctico AM2M")</f>
        <v>AM2M - ENFERMERÍA - Guía manejo práctico AM2M</v>
      </c>
      <c r="C5796" s="3" t="str">
        <f>HYPERLINK("https://otsuka-europe-crm.veevavault.com/ui/#object/sent_email__v/VBL00000001G729", "SE-001406380")</f>
        <v>SE-001406380</v>
      </c>
      <c r="D5796" s="1" t="s">
        <v>0</v>
      </c>
      <c r="E5796" s="2">
        <v>0</v>
      </c>
      <c r="F5796" s="2">
        <v>0</v>
      </c>
      <c r="G5796" s="2">
        <v>0</v>
      </c>
      <c r="H5796" s="1" t="s">
        <v>0</v>
      </c>
      <c r="I5796" s="2">
        <v>0</v>
      </c>
      <c r="J5796" s="1">
        <v>46077.733402777776</v>
      </c>
    </row>
    <row r="5797" spans="1:10" x14ac:dyDescent="0.2">
      <c r="A5797" s="4" t="s">
        <v>1</v>
      </c>
      <c r="B5797" s="3" t="str">
        <f>HYPERLINK("https://otsuka-europe-crm.veevavault.com/ui/#object/approved_document__v/V5O00000000R011", "AM2M - ENFERMERÍA - Guía manejo práctico AM2M")</f>
        <v>AM2M - ENFERMERÍA - Guía manejo práctico AM2M</v>
      </c>
      <c r="C5797" s="3" t="str">
        <f>HYPERLINK("https://otsuka-europe-crm.veevavault.com/ui/#object/sent_email__v/VBL00000001G730", "SE-001406381")</f>
        <v>SE-001406381</v>
      </c>
      <c r="D5797" s="1">
        <v>46077.88045138889</v>
      </c>
      <c r="E5797" s="2">
        <v>1</v>
      </c>
      <c r="F5797" s="2">
        <v>1</v>
      </c>
      <c r="G5797" s="2">
        <v>0</v>
      </c>
      <c r="H5797" s="1" t="s">
        <v>0</v>
      </c>
      <c r="I5797" s="2">
        <v>0</v>
      </c>
      <c r="J5797" s="1">
        <v>46077.733564814815</v>
      </c>
    </row>
    <row r="5798" spans="1:10" x14ac:dyDescent="0.2">
      <c r="A5798" s="4" t="s">
        <v>1</v>
      </c>
      <c r="B5798" s="3" t="str">
        <f>HYPERLINK("https://otsuka-europe-crm.veevavault.com/ui/#object/approved_document__v/V5O00000000R011", "AM2M - ENFERMERÍA - Guía manejo práctico AM2M")</f>
        <v>AM2M - ENFERMERÍA - Guía manejo práctico AM2M</v>
      </c>
      <c r="C5798" s="3" t="str">
        <f>HYPERLINK("https://otsuka-europe-crm.veevavault.com/ui/#object/sent_email__v/VBL00000001G731", "SE-001406382")</f>
        <v>SE-001406382</v>
      </c>
      <c r="D5798" s="1" t="s">
        <v>0</v>
      </c>
      <c r="E5798" s="2">
        <v>0</v>
      </c>
      <c r="F5798" s="2">
        <v>0</v>
      </c>
      <c r="G5798" s="2">
        <v>0</v>
      </c>
      <c r="H5798" s="1" t="s">
        <v>0</v>
      </c>
      <c r="I5798" s="2">
        <v>0</v>
      </c>
      <c r="J5798" s="1">
        <v>46077.733726851853</v>
      </c>
    </row>
    <row r="5799" spans="1:10" x14ac:dyDescent="0.2">
      <c r="A5799" s="4" t="s">
        <v>1</v>
      </c>
      <c r="B5799" s="3" t="str">
        <f>HYPERLINK("https://otsuka-europe-crm.veevavault.com/ui/#object/approved_document__v/V5O00000000R011", "AM2M - ENFERMERÍA - Guía manejo práctico AM2M")</f>
        <v>AM2M - ENFERMERÍA - Guía manejo práctico AM2M</v>
      </c>
      <c r="C5799" s="3" t="str">
        <f>HYPERLINK("https://otsuka-europe-crm.veevavault.com/ui/#object/sent_email__v/VBL00000001G732", "SE-001406383")</f>
        <v>SE-001406383</v>
      </c>
      <c r="D5799" s="1" t="s">
        <v>0</v>
      </c>
      <c r="E5799" s="2">
        <v>0</v>
      </c>
      <c r="F5799" s="2">
        <v>0</v>
      </c>
      <c r="G5799" s="2">
        <v>0</v>
      </c>
      <c r="H5799" s="1" t="s">
        <v>0</v>
      </c>
      <c r="I5799" s="2">
        <v>0</v>
      </c>
      <c r="J5799" s="1">
        <v>46077.733888888892</v>
      </c>
    </row>
    <row r="5800" spans="1:10" x14ac:dyDescent="0.2">
      <c r="A5800" s="4" t="s">
        <v>1</v>
      </c>
      <c r="B5800" s="3" t="str">
        <f>HYPERLINK("https://otsuka-europe-crm.veevavault.com/ui/#object/approved_document__v/V5O00000000R011", "AM2M - ENFERMERÍA - Guía manejo práctico AM2M")</f>
        <v>AM2M - ENFERMERÍA - Guía manejo práctico AM2M</v>
      </c>
      <c r="C5800" s="3" t="str">
        <f>HYPERLINK("https://otsuka-europe-crm.veevavault.com/ui/#object/sent_email__v/VBL00000001G733", "SE-001406384")</f>
        <v>SE-001406384</v>
      </c>
      <c r="D5800" s="1">
        <v>46077.879837962966</v>
      </c>
      <c r="E5800" s="2">
        <v>1</v>
      </c>
      <c r="F5800" s="2">
        <v>1</v>
      </c>
      <c r="G5800" s="2">
        <v>0</v>
      </c>
      <c r="H5800" s="1" t="s">
        <v>0</v>
      </c>
      <c r="I5800" s="2">
        <v>0</v>
      </c>
      <c r="J5800" s="1">
        <v>46077.734074074076</v>
      </c>
    </row>
    <row r="5801" spans="1:10" x14ac:dyDescent="0.2">
      <c r="A5801" s="4" t="s">
        <v>1</v>
      </c>
      <c r="B5801" s="3" t="str">
        <f>HYPERLINK("https://otsuka-europe-crm.veevavault.com/ui/#object/approved_document__v/V5O00000000R011", "AM2M - ENFERMERÍA - Guía manejo práctico AM2M")</f>
        <v>AM2M - ENFERMERÍA - Guía manejo práctico AM2M</v>
      </c>
      <c r="C5801" s="3" t="str">
        <f>HYPERLINK("https://otsuka-europe-crm.veevavault.com/ui/#object/sent_email__v/VBL00000001G734", "SE-001406385")</f>
        <v>SE-001406385</v>
      </c>
      <c r="D5801" s="1">
        <v>46077.752615740741</v>
      </c>
      <c r="E5801" s="2">
        <v>1</v>
      </c>
      <c r="F5801" s="2">
        <v>2</v>
      </c>
      <c r="G5801" s="2">
        <v>0</v>
      </c>
      <c r="H5801" s="1" t="s">
        <v>0</v>
      </c>
      <c r="I5801" s="2">
        <v>0</v>
      </c>
      <c r="J5801" s="1">
        <v>46077.734224537038</v>
      </c>
    </row>
    <row r="5802" spans="1:10" x14ac:dyDescent="0.2">
      <c r="A5802" s="4" t="s">
        <v>1</v>
      </c>
      <c r="B5802" s="3" t="str">
        <f>HYPERLINK("https://otsuka-europe-crm.veevavault.com/ui/#object/approved_document__v/V5O00000000R011", "AM2M - ENFERMERÍA - Guía manejo práctico AM2M")</f>
        <v>AM2M - ENFERMERÍA - Guía manejo práctico AM2M</v>
      </c>
      <c r="C5802" s="3" t="str">
        <f>HYPERLINK("https://otsuka-europe-crm.veevavault.com/ui/#object/sent_email__v/VBL00000001G735", "SE-001406386")</f>
        <v>SE-001406386</v>
      </c>
      <c r="D5802" s="1">
        <v>46078.438483796293</v>
      </c>
      <c r="E5802" s="2">
        <v>1</v>
      </c>
      <c r="F5802" s="2">
        <v>1</v>
      </c>
      <c r="G5802" s="2">
        <v>0</v>
      </c>
      <c r="H5802" s="1" t="s">
        <v>0</v>
      </c>
      <c r="I5802" s="2">
        <v>0</v>
      </c>
      <c r="J5802" s="1">
        <v>46077.734386574077</v>
      </c>
    </row>
    <row r="5803" spans="1:10" x14ac:dyDescent="0.2">
      <c r="A5803" s="4" t="s">
        <v>1</v>
      </c>
      <c r="B5803" s="3" t="str">
        <f>HYPERLINK("https://otsuka-europe-crm.veevavault.com/ui/#object/approved_document__v/V5O00000000R011", "AM2M - ENFERMERÍA - Guía manejo práctico AM2M")</f>
        <v>AM2M - ENFERMERÍA - Guía manejo práctico AM2M</v>
      </c>
      <c r="C5803" s="3" t="str">
        <f>HYPERLINK("https://otsuka-europe-crm.veevavault.com/ui/#object/sent_email__v/VBL00000001G736", "SE-001406387")</f>
        <v>SE-001406387</v>
      </c>
      <c r="D5803" s="1">
        <v>46078.604988425926</v>
      </c>
      <c r="E5803" s="2">
        <v>1</v>
      </c>
      <c r="F5803" s="2">
        <v>1</v>
      </c>
      <c r="G5803" s="2">
        <v>0</v>
      </c>
      <c r="H5803" s="1" t="s">
        <v>0</v>
      </c>
      <c r="I5803" s="2">
        <v>0</v>
      </c>
      <c r="J5803" s="1">
        <v>46077.734652777777</v>
      </c>
    </row>
    <row r="5804" spans="1:10" x14ac:dyDescent="0.2">
      <c r="A5804" s="4" t="s">
        <v>1</v>
      </c>
      <c r="B5804" s="3" t="str">
        <f>HYPERLINK("https://otsuka-europe-crm.veevavault.com/ui/#object/approved_document__v/V5O00000000R011", "AM2M - ENFERMERÍA - Guía manejo práctico AM2M")</f>
        <v>AM2M - ENFERMERÍA - Guía manejo práctico AM2M</v>
      </c>
      <c r="C5804" s="3" t="str">
        <f>HYPERLINK("https://otsuka-europe-crm.veevavault.com/ui/#object/sent_email__v/VBL00000001G737", "SE-001406388")</f>
        <v>SE-001406388</v>
      </c>
      <c r="D5804" s="1" t="s">
        <v>0</v>
      </c>
      <c r="E5804" s="2">
        <v>0</v>
      </c>
      <c r="F5804" s="2">
        <v>0</v>
      </c>
      <c r="G5804" s="2">
        <v>0</v>
      </c>
      <c r="H5804" s="1" t="s">
        <v>0</v>
      </c>
      <c r="I5804" s="2">
        <v>0</v>
      </c>
      <c r="J5804" s="1">
        <v>46077.734884259262</v>
      </c>
    </row>
    <row r="5805" spans="1:10" x14ac:dyDescent="0.2">
      <c r="A5805" s="4" t="s">
        <v>1</v>
      </c>
      <c r="B5805" s="3" t="str">
        <f>HYPERLINK("https://otsuka-europe-crm.veevavault.com/ui/#object/approved_document__v/V5O00000000R011", "AM2M - ENFERMERÍA - Guía manejo práctico AM2M")</f>
        <v>AM2M - ENFERMERÍA - Guía manejo práctico AM2M</v>
      </c>
      <c r="C5805" s="3" t="str">
        <f>HYPERLINK("https://otsuka-europe-crm.veevavault.com/ui/#object/sent_email__v/VBL00000001G738", "SE-001406389")</f>
        <v>SE-001406389</v>
      </c>
      <c r="D5805" s="1" t="s">
        <v>0</v>
      </c>
      <c r="E5805" s="2">
        <v>0</v>
      </c>
      <c r="F5805" s="2">
        <v>0</v>
      </c>
      <c r="G5805" s="2">
        <v>0</v>
      </c>
      <c r="H5805" s="1" t="s">
        <v>0</v>
      </c>
      <c r="I5805" s="2">
        <v>0</v>
      </c>
      <c r="J5805" s="1">
        <v>46077.735138888886</v>
      </c>
    </row>
    <row r="5806" spans="1:10" x14ac:dyDescent="0.2">
      <c r="A5806" s="4" t="s">
        <v>1</v>
      </c>
      <c r="B5806" s="3" t="str">
        <f>HYPERLINK("https://otsuka-europe-crm.veevavault.com/ui/#object/approved_document__v/V5O00000000R011", "AM2M - ENFERMERÍA - Guía manejo práctico AM2M")</f>
        <v>AM2M - ENFERMERÍA - Guía manejo práctico AM2M</v>
      </c>
      <c r="C5806" s="3" t="str">
        <f>HYPERLINK("https://otsuka-europe-crm.veevavault.com/ui/#object/sent_email__v/VBL00000001G739", "SE-001406390")</f>
        <v>SE-001406390</v>
      </c>
      <c r="D5806" s="1" t="s">
        <v>0</v>
      </c>
      <c r="E5806" s="2">
        <v>0</v>
      </c>
      <c r="F5806" s="2">
        <v>0</v>
      </c>
      <c r="G5806" s="2">
        <v>0</v>
      </c>
      <c r="H5806" s="1" t="s">
        <v>0</v>
      </c>
      <c r="I5806" s="2">
        <v>0</v>
      </c>
      <c r="J5806" s="1">
        <v>46077.735381944447</v>
      </c>
    </row>
    <row r="5807" spans="1:10" x14ac:dyDescent="0.2">
      <c r="A5807" s="4" t="s">
        <v>1</v>
      </c>
      <c r="B5807" s="3" t="str">
        <f>HYPERLINK("https://otsuka-europe-crm.veevavault.com/ui/#object/approved_document__v/V5O00000000R011", "AM2M - ENFERMERÍA - Guía manejo práctico AM2M")</f>
        <v>AM2M - ENFERMERÍA - Guía manejo práctico AM2M</v>
      </c>
      <c r="C5807" s="3" t="str">
        <f>HYPERLINK("https://otsuka-europe-crm.veevavault.com/ui/#object/sent_email__v/VBL00000001G740", "SE-001406391")</f>
        <v>SE-001406391</v>
      </c>
      <c r="D5807" s="1" t="s">
        <v>0</v>
      </c>
      <c r="E5807" s="2">
        <v>0</v>
      </c>
      <c r="F5807" s="2">
        <v>0</v>
      </c>
      <c r="G5807" s="2">
        <v>0</v>
      </c>
      <c r="H5807" s="1" t="s">
        <v>0</v>
      </c>
      <c r="I5807" s="2">
        <v>0</v>
      </c>
      <c r="J5807" s="1">
        <v>46077.735636574071</v>
      </c>
    </row>
    <row r="5808" spans="1:10" x14ac:dyDescent="0.2">
      <c r="A5808" s="4" t="s">
        <v>1</v>
      </c>
      <c r="B5808" s="3" t="str">
        <f>HYPERLINK("https://otsuka-europe-crm.veevavault.com/ui/#object/approved_document__v/V5O00000000R011", "AM2M - ENFERMERÍA - Guía manejo práctico AM2M")</f>
        <v>AM2M - ENFERMERÍA - Guía manejo práctico AM2M</v>
      </c>
      <c r="C5808" s="3" t="str">
        <f>HYPERLINK("https://otsuka-europe-crm.veevavault.com/ui/#object/sent_email__v/VBL00000001G741", "SE-001406392")</f>
        <v>SE-001406392</v>
      </c>
      <c r="D5808" s="1" t="s">
        <v>0</v>
      </c>
      <c r="E5808" s="2">
        <v>0</v>
      </c>
      <c r="F5808" s="2">
        <v>0</v>
      </c>
      <c r="G5808" s="2">
        <v>0</v>
      </c>
      <c r="H5808" s="1" t="s">
        <v>0</v>
      </c>
      <c r="I5808" s="2">
        <v>0</v>
      </c>
      <c r="J5808" s="1">
        <v>46077.735891203702</v>
      </c>
    </row>
    <row r="5809" spans="1:10" x14ac:dyDescent="0.2">
      <c r="A5809" s="4" t="s">
        <v>1</v>
      </c>
      <c r="B5809" s="3" t="str">
        <f>HYPERLINK("https://otsuka-europe-crm.veevavault.com/ui/#object/approved_document__v/V5O00000000R011", "AM2M - ENFERMERÍA - Guía manejo práctico AM2M")</f>
        <v>AM2M - ENFERMERÍA - Guía manejo práctico AM2M</v>
      </c>
      <c r="C5809" s="3" t="str">
        <f>HYPERLINK("https://otsuka-europe-crm.veevavault.com/ui/#object/sent_email__v/VBL00000001G742", "SE-001406393")</f>
        <v>SE-001406393</v>
      </c>
      <c r="D5809" s="1">
        <v>46077.738564814812</v>
      </c>
      <c r="E5809" s="2">
        <v>1</v>
      </c>
      <c r="F5809" s="2">
        <v>2</v>
      </c>
      <c r="G5809" s="2">
        <v>0</v>
      </c>
      <c r="H5809" s="1" t="s">
        <v>0</v>
      </c>
      <c r="I5809" s="2">
        <v>0</v>
      </c>
      <c r="J5809" s="1">
        <v>46077.736122685186</v>
      </c>
    </row>
    <row r="5810" spans="1:10" x14ac:dyDescent="0.2">
      <c r="A5810" s="4" t="s">
        <v>1</v>
      </c>
      <c r="B5810" s="3" t="str">
        <f>HYPERLINK("https://otsuka-europe-crm.veevavault.com/ui/#object/approved_document__v/V5O00000000R011", "AM2M - ENFERMERÍA - Guía manejo práctico AM2M")</f>
        <v>AM2M - ENFERMERÍA - Guía manejo práctico AM2M</v>
      </c>
      <c r="C5810" s="3" t="str">
        <f>HYPERLINK("https://otsuka-europe-crm.veevavault.com/ui/#object/sent_email__v/VBL00000001G743", "SE-001406394")</f>
        <v>SE-001406394</v>
      </c>
      <c r="D5810" s="1" t="s">
        <v>0</v>
      </c>
      <c r="E5810" s="2">
        <v>0</v>
      </c>
      <c r="F5810" s="2">
        <v>0</v>
      </c>
      <c r="G5810" s="2">
        <v>0</v>
      </c>
      <c r="H5810" s="1" t="s">
        <v>0</v>
      </c>
      <c r="I5810" s="2">
        <v>0</v>
      </c>
      <c r="J5810" s="1">
        <v>46077.736296296294</v>
      </c>
    </row>
    <row r="5811" spans="1:10" x14ac:dyDescent="0.2">
      <c r="A5811" s="4" t="s">
        <v>1</v>
      </c>
      <c r="B5811" s="3" t="str">
        <f>HYPERLINK("https://otsuka-europe-crm.veevavault.com/ui/#object/approved_document__v/V5O00000000R011", "AM2M - ENFERMERÍA - Guía manejo práctico AM2M")</f>
        <v>AM2M - ENFERMERÍA - Guía manejo práctico AM2M</v>
      </c>
      <c r="C5811" s="3" t="str">
        <f>HYPERLINK("https://otsuka-europe-crm.veevavault.com/ui/#object/sent_email__v/VBL00000001G744", "SE-001406395")</f>
        <v>SE-001406395</v>
      </c>
      <c r="D5811" s="1" t="s">
        <v>0</v>
      </c>
      <c r="E5811" s="2">
        <v>0</v>
      </c>
      <c r="F5811" s="2">
        <v>0</v>
      </c>
      <c r="G5811" s="2">
        <v>0</v>
      </c>
      <c r="H5811" s="1" t="s">
        <v>0</v>
      </c>
      <c r="I5811" s="2">
        <v>0</v>
      </c>
      <c r="J5811" s="1">
        <v>46077.736458333333</v>
      </c>
    </row>
    <row r="5812" spans="1:10" x14ac:dyDescent="0.2">
      <c r="A5812" s="4" t="s">
        <v>1</v>
      </c>
      <c r="B5812" s="3" t="str">
        <f>HYPERLINK("https://otsuka-europe-crm.veevavault.com/ui/#object/approved_document__v/V5O00000000R011", "AM2M - ENFERMERÍA - Guía manejo práctico AM2M")</f>
        <v>AM2M - ENFERMERÍA - Guía manejo práctico AM2M</v>
      </c>
      <c r="C5812" s="3" t="str">
        <f>HYPERLINK("https://otsuka-europe-crm.veevavault.com/ui/#object/sent_email__v/VBL00000001G745", "SE-001406396")</f>
        <v>SE-001406396</v>
      </c>
      <c r="D5812" s="1">
        <v>46077.864756944444</v>
      </c>
      <c r="E5812" s="2">
        <v>1</v>
      </c>
      <c r="F5812" s="2">
        <v>1</v>
      </c>
      <c r="G5812" s="2">
        <v>0</v>
      </c>
      <c r="H5812" s="1" t="s">
        <v>0</v>
      </c>
      <c r="I5812" s="2">
        <v>0</v>
      </c>
      <c r="J5812" s="1">
        <v>46077.736631944441</v>
      </c>
    </row>
    <row r="5813" spans="1:10" x14ac:dyDescent="0.2">
      <c r="A5813" s="4" t="s">
        <v>1</v>
      </c>
      <c r="B5813" s="3" t="str">
        <f>HYPERLINK("https://otsuka-europe-crm.veevavault.com/ui/#object/approved_document__v/V5O00000000R011", "AM2M - ENFERMERÍA - Guía manejo práctico AM2M")</f>
        <v>AM2M - ENFERMERÍA - Guía manejo práctico AM2M</v>
      </c>
      <c r="C5813" s="3" t="str">
        <f>HYPERLINK("https://otsuka-europe-crm.veevavault.com/ui/#object/sent_email__v/VBL00000001G746", "SE-001406397")</f>
        <v>SE-001406397</v>
      </c>
      <c r="D5813" s="1" t="s">
        <v>0</v>
      </c>
      <c r="E5813" s="2">
        <v>0</v>
      </c>
      <c r="F5813" s="2">
        <v>0</v>
      </c>
      <c r="G5813" s="2">
        <v>0</v>
      </c>
      <c r="H5813" s="1" t="s">
        <v>0</v>
      </c>
      <c r="I5813" s="2">
        <v>0</v>
      </c>
      <c r="J5813" s="1">
        <v>46077.736793981479</v>
      </c>
    </row>
    <row r="5814" spans="1:10" x14ac:dyDescent="0.2">
      <c r="A5814" s="4" t="s">
        <v>1</v>
      </c>
      <c r="B5814" s="3" t="str">
        <f>HYPERLINK("https://otsuka-europe-crm.veevavault.com/ui/#object/approved_document__v/V5O00000000R011", "AM2M - ENFERMERÍA - Guía manejo práctico AM2M")</f>
        <v>AM2M - ENFERMERÍA - Guía manejo práctico AM2M</v>
      </c>
      <c r="C5814" s="3" t="str">
        <f>HYPERLINK("https://otsuka-europe-crm.veevavault.com/ui/#object/sent_email__v/VBL00000001G747", "SE-001406398")</f>
        <v>SE-001406398</v>
      </c>
      <c r="D5814" s="1">
        <v>46078.866863425923</v>
      </c>
      <c r="E5814" s="2">
        <v>1</v>
      </c>
      <c r="F5814" s="2">
        <v>2</v>
      </c>
      <c r="G5814" s="2">
        <v>1</v>
      </c>
      <c r="H5814" s="1">
        <v>46078.789548611108</v>
      </c>
      <c r="I5814" s="2">
        <v>1</v>
      </c>
      <c r="J5814" s="1">
        <v>46077.736956018518</v>
      </c>
    </row>
    <row r="5815" spans="1:10" x14ac:dyDescent="0.2">
      <c r="A5815" s="4" t="s">
        <v>1</v>
      </c>
      <c r="B5815" s="3" t="str">
        <f>HYPERLINK("https://otsuka-europe-crm.veevavault.com/ui/#object/approved_document__v/V5O00000000R011", "AM2M - ENFERMERÍA - Guía manejo práctico AM2M")</f>
        <v>AM2M - ENFERMERÍA - Guía manejo práctico AM2M</v>
      </c>
      <c r="C5815" s="3" t="str">
        <f>HYPERLINK("https://otsuka-europe-crm.veevavault.com/ui/#object/sent_email__v/VBL00000001G748", "SE-001406399")</f>
        <v>SE-001406399</v>
      </c>
      <c r="D5815" s="1">
        <v>46077.955613425926</v>
      </c>
      <c r="E5815" s="2">
        <v>1</v>
      </c>
      <c r="F5815" s="2">
        <v>2</v>
      </c>
      <c r="G5815" s="2">
        <v>0</v>
      </c>
      <c r="H5815" s="1" t="s">
        <v>0</v>
      </c>
      <c r="I5815" s="2">
        <v>0</v>
      </c>
      <c r="J5815" s="1">
        <v>46077.737129629626</v>
      </c>
    </row>
    <row r="5816" spans="1:10" x14ac:dyDescent="0.2">
      <c r="A5816" s="4" t="s">
        <v>1</v>
      </c>
      <c r="B5816" s="3" t="str">
        <f>HYPERLINK("https://otsuka-europe-crm.veevavault.com/ui/#object/approved_document__v/V5O00000000R011", "AM2M - ENFERMERÍA - Guía manejo práctico AM2M")</f>
        <v>AM2M - ENFERMERÍA - Guía manejo práctico AM2M</v>
      </c>
      <c r="C5816" s="3" t="str">
        <f>HYPERLINK("https://otsuka-europe-crm.veevavault.com/ui/#object/sent_email__v/VBL00000001G749", "SE-001406400")</f>
        <v>SE-001406400</v>
      </c>
      <c r="D5816" s="1" t="s">
        <v>0</v>
      </c>
      <c r="E5816" s="2">
        <v>0</v>
      </c>
      <c r="F5816" s="2">
        <v>0</v>
      </c>
      <c r="G5816" s="2">
        <v>0</v>
      </c>
      <c r="H5816" s="1" t="s">
        <v>0</v>
      </c>
      <c r="I5816" s="2">
        <v>0</v>
      </c>
      <c r="J5816" s="1">
        <v>46077.737280092595</v>
      </c>
    </row>
    <row r="5817" spans="1:10" x14ac:dyDescent="0.2">
      <c r="A5817" s="4" t="s">
        <v>1</v>
      </c>
      <c r="B5817" s="3" t="str">
        <f>HYPERLINK("https://otsuka-europe-crm.veevavault.com/ui/#object/approved_document__v/V5O00000000R011", "AM2M - ENFERMERÍA - Guía manejo práctico AM2M")</f>
        <v>AM2M - ENFERMERÍA - Guía manejo práctico AM2M</v>
      </c>
      <c r="C5817" s="3" t="str">
        <f>HYPERLINK("https://otsuka-europe-crm.veevavault.com/ui/#object/sent_email__v/VBL00000001G750", "SE-001406401")</f>
        <v>SE-001406401</v>
      </c>
      <c r="D5817" s="1">
        <v>46077.740416666667</v>
      </c>
      <c r="E5817" s="2">
        <v>1</v>
      </c>
      <c r="F5817" s="2">
        <v>1</v>
      </c>
      <c r="G5817" s="2">
        <v>0</v>
      </c>
      <c r="H5817" s="1" t="s">
        <v>0</v>
      </c>
      <c r="I5817" s="2">
        <v>0</v>
      </c>
      <c r="J5817" s="1">
        <v>46077.737453703703</v>
      </c>
    </row>
    <row r="5818" spans="1:10" x14ac:dyDescent="0.2">
      <c r="A5818" s="4" t="s">
        <v>1</v>
      </c>
      <c r="B5818" s="3" t="str">
        <f>HYPERLINK("https://otsuka-europe-crm.veevavault.com/ui/#object/approved_document__v/V5O00000000R011", "AM2M - ENFERMERÍA - Guía manejo práctico AM2M")</f>
        <v>AM2M - ENFERMERÍA - Guía manejo práctico AM2M</v>
      </c>
      <c r="C5818" s="3" t="str">
        <f>HYPERLINK("https://otsuka-europe-crm.veevavault.com/ui/#object/sent_email__v/VBL00000001G751", "SE-001406402")</f>
        <v>SE-001406402</v>
      </c>
      <c r="D5818" s="1">
        <v>46077.86577546296</v>
      </c>
      <c r="E5818" s="2">
        <v>1</v>
      </c>
      <c r="F5818" s="2">
        <v>2</v>
      </c>
      <c r="G5818" s="2">
        <v>0</v>
      </c>
      <c r="H5818" s="1" t="s">
        <v>0</v>
      </c>
      <c r="I5818" s="2">
        <v>0</v>
      </c>
      <c r="J5818" s="1">
        <v>46077.737615740742</v>
      </c>
    </row>
    <row r="5819" spans="1:10" x14ac:dyDescent="0.2">
      <c r="A5819" s="4" t="s">
        <v>1</v>
      </c>
      <c r="B5819" s="3" t="str">
        <f>HYPERLINK("https://otsuka-europe-crm.veevavault.com/ui/#object/approved_document__v/V5O00000000R011", "AM2M - ENFERMERÍA - Guía manejo práctico AM2M")</f>
        <v>AM2M - ENFERMERÍA - Guía manejo práctico AM2M</v>
      </c>
      <c r="C5819" s="3" t="str">
        <f>HYPERLINK("https://otsuka-europe-crm.veevavault.com/ui/#object/sent_email__v/VBL00000001G752", "SE-001406403")</f>
        <v>SE-001406403</v>
      </c>
      <c r="D5819" s="1" t="s">
        <v>0</v>
      </c>
      <c r="E5819" s="2">
        <v>0</v>
      </c>
      <c r="F5819" s="2">
        <v>0</v>
      </c>
      <c r="G5819" s="2">
        <v>0</v>
      </c>
      <c r="H5819" s="1" t="s">
        <v>0</v>
      </c>
      <c r="I5819" s="2">
        <v>0</v>
      </c>
      <c r="J5819" s="1">
        <v>46077.73777777778</v>
      </c>
    </row>
    <row r="5820" spans="1:10" x14ac:dyDescent="0.2">
      <c r="A5820" s="4" t="s">
        <v>1</v>
      </c>
      <c r="B5820" s="3" t="str">
        <f>HYPERLINK("https://otsuka-europe-crm.veevavault.com/ui/#object/approved_document__v/V5O00000000R011", "AM2M - ENFERMERÍA - Guía manejo práctico AM2M")</f>
        <v>AM2M - ENFERMERÍA - Guía manejo práctico AM2M</v>
      </c>
      <c r="C5820" s="3" t="str">
        <f>HYPERLINK("https://otsuka-europe-crm.veevavault.com/ui/#object/sent_email__v/VBL00000001G753", "SE-001406404")</f>
        <v>SE-001406404</v>
      </c>
      <c r="D5820" s="1" t="s">
        <v>0</v>
      </c>
      <c r="E5820" s="2">
        <v>0</v>
      </c>
      <c r="F5820" s="2">
        <v>0</v>
      </c>
      <c r="G5820" s="2">
        <v>0</v>
      </c>
      <c r="H5820" s="1" t="s">
        <v>0</v>
      </c>
      <c r="I5820" s="2">
        <v>0</v>
      </c>
      <c r="J5820" s="1">
        <v>46077.737951388888</v>
      </c>
    </row>
    <row r="5821" spans="1:10" x14ac:dyDescent="0.2">
      <c r="A5821" s="4" t="s">
        <v>1</v>
      </c>
      <c r="B5821" s="3" t="str">
        <f>HYPERLINK("https://otsuka-europe-crm.veevavault.com/ui/#object/approved_document__v/V5O00000000R011", "AM2M - ENFERMERÍA - Guía manejo práctico AM2M")</f>
        <v>AM2M - ENFERMERÍA - Guía manejo práctico AM2M</v>
      </c>
      <c r="C5821" s="3" t="str">
        <f>HYPERLINK("https://otsuka-europe-crm.veevavault.com/ui/#object/sent_email__v/VBL00000001G754", "SE-001406405")</f>
        <v>SE-001406405</v>
      </c>
      <c r="D5821" s="1" t="s">
        <v>0</v>
      </c>
      <c r="E5821" s="2">
        <v>0</v>
      </c>
      <c r="F5821" s="2">
        <v>0</v>
      </c>
      <c r="G5821" s="2">
        <v>0</v>
      </c>
      <c r="H5821" s="1" t="s">
        <v>0</v>
      </c>
      <c r="I5821" s="2">
        <v>0</v>
      </c>
      <c r="J5821" s="1">
        <v>46077.738113425927</v>
      </c>
    </row>
    <row r="5822" spans="1:10" x14ac:dyDescent="0.2">
      <c r="A5822" s="4" t="s">
        <v>1</v>
      </c>
      <c r="B5822" s="3" t="str">
        <f>HYPERLINK("https://otsuka-europe-crm.veevavault.com/ui/#object/approved_document__v/V5O00000000R011", "AM2M - ENFERMERÍA - Guía manejo práctico AM2M")</f>
        <v>AM2M - ENFERMERÍA - Guía manejo práctico AM2M</v>
      </c>
      <c r="C5822" s="3" t="str">
        <f>HYPERLINK("https://otsuka-europe-crm.veevavault.com/ui/#object/sent_email__v/VBL00000001G755", "SE-001406406")</f>
        <v>SE-001406406</v>
      </c>
      <c r="D5822" s="1" t="s">
        <v>0</v>
      </c>
      <c r="E5822" s="2">
        <v>0</v>
      </c>
      <c r="F5822" s="2">
        <v>0</v>
      </c>
      <c r="G5822" s="2">
        <v>0</v>
      </c>
      <c r="H5822" s="1" t="s">
        <v>0</v>
      </c>
      <c r="I5822" s="2">
        <v>0</v>
      </c>
      <c r="J5822" s="1">
        <v>46077.738287037035</v>
      </c>
    </row>
    <row r="5823" spans="1:10" x14ac:dyDescent="0.2">
      <c r="A5823" s="4" t="s">
        <v>1</v>
      </c>
      <c r="B5823" s="3" t="str">
        <f>HYPERLINK("https://otsuka-europe-crm.veevavault.com/ui/#object/approved_document__v/V5O00000000R011", "AM2M - ENFERMERÍA - Guía manejo práctico AM2M")</f>
        <v>AM2M - ENFERMERÍA - Guía manejo práctico AM2M</v>
      </c>
      <c r="C5823" s="3" t="str">
        <f>HYPERLINK("https://otsuka-europe-crm.veevavault.com/ui/#object/sent_email__v/VBL00000001G756", "SE-001406407")</f>
        <v>SE-001406407</v>
      </c>
      <c r="D5823" s="1">
        <v>46077.866909722223</v>
      </c>
      <c r="E5823" s="2">
        <v>1</v>
      </c>
      <c r="F5823" s="2">
        <v>1</v>
      </c>
      <c r="G5823" s="2">
        <v>0</v>
      </c>
      <c r="H5823" s="1" t="s">
        <v>0</v>
      </c>
      <c r="I5823" s="2">
        <v>0</v>
      </c>
      <c r="J5823" s="1">
        <v>46077.738449074073</v>
      </c>
    </row>
    <row r="5824" spans="1:10" x14ac:dyDescent="0.2">
      <c r="A5824" s="4" t="s">
        <v>1</v>
      </c>
      <c r="B5824" s="3" t="str">
        <f>HYPERLINK("https://otsuka-europe-crm.veevavault.com/ui/#object/approved_document__v/V5O00000000R011", "AM2M - ENFERMERÍA - Guía manejo práctico AM2M")</f>
        <v>AM2M - ENFERMERÍA - Guía manejo práctico AM2M</v>
      </c>
      <c r="C5824" s="3" t="str">
        <f>HYPERLINK("https://otsuka-europe-crm.veevavault.com/ui/#object/sent_email__v/VBL00000001G757", "SE-001406408")</f>
        <v>SE-001406408</v>
      </c>
      <c r="D5824" s="1" t="s">
        <v>0</v>
      </c>
      <c r="E5824" s="2">
        <v>0</v>
      </c>
      <c r="F5824" s="2">
        <v>0</v>
      </c>
      <c r="G5824" s="2">
        <v>0</v>
      </c>
      <c r="H5824" s="1" t="s">
        <v>0</v>
      </c>
      <c r="I5824" s="2">
        <v>0</v>
      </c>
      <c r="J5824" s="1">
        <v>46077.738611111112</v>
      </c>
    </row>
    <row r="5825" spans="1:10" x14ac:dyDescent="0.2">
      <c r="A5825" s="4" t="s">
        <v>1</v>
      </c>
      <c r="B5825" s="3" t="str">
        <f>HYPERLINK("https://otsuka-europe-crm.veevavault.com/ui/#object/approved_document__v/V5O000000001002", "AM2M - ENFERMERÍA - Guía preguntas pacientes")</f>
        <v>AM2M - ENFERMERÍA - Guía preguntas pacientes</v>
      </c>
      <c r="C5825" s="3" t="str">
        <f>HYPERLINK("https://otsuka-europe-crm.veevavault.com/ui/#object/sent_email__v/VBL000000002321", "SE-001378913")</f>
        <v>SE-001378913</v>
      </c>
      <c r="D5825" s="1" t="s">
        <v>0</v>
      </c>
      <c r="E5825" s="2">
        <v>0</v>
      </c>
      <c r="F5825" s="2">
        <v>0</v>
      </c>
      <c r="G5825" s="2">
        <v>0</v>
      </c>
      <c r="H5825" s="1" t="s">
        <v>0</v>
      </c>
      <c r="I5825" s="2">
        <v>0</v>
      </c>
      <c r="J5825" s="1">
        <v>45958.451689814814</v>
      </c>
    </row>
    <row r="5826" spans="1:10" x14ac:dyDescent="0.2">
      <c r="A5826" s="4" t="s">
        <v>1</v>
      </c>
      <c r="B5826" s="3" t="str">
        <f>HYPERLINK("https://otsuka-europe-crm.veevavault.com/ui/#object/approved_document__v/V5O000000001002", "AM2M - ENFERMERÍA - Guía preguntas pacientes")</f>
        <v>AM2M - ENFERMERÍA - Guía preguntas pacientes</v>
      </c>
      <c r="C5826" s="3" t="str">
        <f>HYPERLINK("https://otsuka-europe-crm.veevavault.com/ui/#object/sent_email__v/VBL000000005649", "SE-001380555")</f>
        <v>SE-001380555</v>
      </c>
      <c r="D5826" s="1">
        <v>45965.568240740744</v>
      </c>
      <c r="E5826" s="2">
        <v>1</v>
      </c>
      <c r="F5826" s="2">
        <v>1</v>
      </c>
      <c r="G5826" s="2">
        <v>1</v>
      </c>
      <c r="H5826" s="1">
        <v>45965.568240740744</v>
      </c>
      <c r="I5826" s="2">
        <v>1</v>
      </c>
      <c r="J5826" s="1">
        <v>45965.425196759257</v>
      </c>
    </row>
    <row r="5827" spans="1:10" x14ac:dyDescent="0.2">
      <c r="A5827" s="4" t="s">
        <v>1</v>
      </c>
      <c r="B5827" s="3" t="str">
        <f>HYPERLINK("https://otsuka-europe-crm.veevavault.com/ui/#object/approved_document__v/V5O000000001002", "AM2M - ENFERMERÍA - Guía preguntas pacientes")</f>
        <v>AM2M - ENFERMERÍA - Guía preguntas pacientes</v>
      </c>
      <c r="C5827" s="3" t="str">
        <f>HYPERLINK("https://otsuka-europe-crm.veevavault.com/ui/#object/sent_email__v/VBL000000005650", "SE-001380556")</f>
        <v>SE-001380556</v>
      </c>
      <c r="D5827" s="1">
        <v>45965.587106481478</v>
      </c>
      <c r="E5827" s="2">
        <v>1</v>
      </c>
      <c r="F5827" s="2">
        <v>1</v>
      </c>
      <c r="G5827" s="2">
        <v>0</v>
      </c>
      <c r="H5827" s="1" t="s">
        <v>0</v>
      </c>
      <c r="I5827" s="2">
        <v>0</v>
      </c>
      <c r="J5827" s="1">
        <v>45965.42523148148</v>
      </c>
    </row>
    <row r="5828" spans="1:10" x14ac:dyDescent="0.2">
      <c r="A5828" s="4" t="s">
        <v>1</v>
      </c>
      <c r="B5828" s="3" t="str">
        <f>HYPERLINK("https://otsuka-europe-crm.veevavault.com/ui/#object/approved_document__v/V5O000000001002", "AM2M - ENFERMERÍA - Guía preguntas pacientes")</f>
        <v>AM2M - ENFERMERÍA - Guía preguntas pacientes</v>
      </c>
      <c r="C5828" s="3" t="str">
        <f>HYPERLINK("https://otsuka-europe-crm.veevavault.com/ui/#object/sent_email__v/VBL000000005651", "SE-001380557")</f>
        <v>SE-001380557</v>
      </c>
      <c r="D5828" s="1">
        <v>45966.482002314813</v>
      </c>
      <c r="E5828" s="2">
        <v>1</v>
      </c>
      <c r="F5828" s="2">
        <v>1</v>
      </c>
      <c r="G5828" s="2">
        <v>1</v>
      </c>
      <c r="H5828" s="1">
        <v>45966.482002314813</v>
      </c>
      <c r="I5828" s="2">
        <v>1</v>
      </c>
      <c r="J5828" s="1">
        <v>45965.42527777778</v>
      </c>
    </row>
    <row r="5829" spans="1:10" x14ac:dyDescent="0.2">
      <c r="A5829" s="4" t="s">
        <v>1</v>
      </c>
      <c r="B5829" s="3" t="str">
        <f>HYPERLINK("https://otsuka-europe-crm.veevavault.com/ui/#object/approved_document__v/V5O000000001002", "AM2M - ENFERMERÍA - Guía preguntas pacientes")</f>
        <v>AM2M - ENFERMERÍA - Guía preguntas pacientes</v>
      </c>
      <c r="C5829" s="3" t="str">
        <f>HYPERLINK("https://otsuka-europe-crm.veevavault.com/ui/#object/sent_email__v/VBL000000005652", "SE-001380558")</f>
        <v>SE-001380558</v>
      </c>
      <c r="D5829" s="1" t="s">
        <v>0</v>
      </c>
      <c r="E5829" s="2">
        <v>0</v>
      </c>
      <c r="F5829" s="2">
        <v>0</v>
      </c>
      <c r="G5829" s="2">
        <v>0</v>
      </c>
      <c r="H5829" s="1" t="s">
        <v>0</v>
      </c>
      <c r="I5829" s="2">
        <v>0</v>
      </c>
      <c r="J5829" s="1">
        <v>45965.425312500003</v>
      </c>
    </row>
    <row r="5830" spans="1:10" x14ac:dyDescent="0.2">
      <c r="A5830" s="4" t="s">
        <v>1</v>
      </c>
      <c r="B5830" s="3" t="str">
        <f>HYPERLINK("https://otsuka-europe-crm.veevavault.com/ui/#object/approved_document__v/V5O000000001002", "AM2M - ENFERMERÍA - Guía preguntas pacientes")</f>
        <v>AM2M - ENFERMERÍA - Guía preguntas pacientes</v>
      </c>
      <c r="C5830" s="3" t="str">
        <f>HYPERLINK("https://otsuka-europe-crm.veevavault.com/ui/#object/sent_email__v/VBL000000005653", "SE-001380559")</f>
        <v>SE-001380559</v>
      </c>
      <c r="D5830" s="1" t="s">
        <v>0</v>
      </c>
      <c r="E5830" s="2">
        <v>0</v>
      </c>
      <c r="F5830" s="2">
        <v>0</v>
      </c>
      <c r="G5830" s="2">
        <v>0</v>
      </c>
      <c r="H5830" s="1" t="s">
        <v>0</v>
      </c>
      <c r="I5830" s="2">
        <v>0</v>
      </c>
      <c r="J5830" s="1">
        <v>45965.425405092596</v>
      </c>
    </row>
    <row r="5831" spans="1:10" x14ac:dyDescent="0.2">
      <c r="A5831" s="4" t="s">
        <v>1</v>
      </c>
      <c r="B5831" s="3" t="str">
        <f>HYPERLINK("https://otsuka-europe-crm.veevavault.com/ui/#object/approved_document__v/V5O000000001002", "AM2M - ENFERMERÍA - Guía preguntas pacientes")</f>
        <v>AM2M - ENFERMERÍA - Guía preguntas pacientes</v>
      </c>
      <c r="C5831" s="3" t="str">
        <f>HYPERLINK("https://otsuka-europe-crm.veevavault.com/ui/#object/sent_email__v/VBL000000005654", "SE-001380560")</f>
        <v>SE-001380560</v>
      </c>
      <c r="D5831" s="1" t="s">
        <v>0</v>
      </c>
      <c r="E5831" s="2">
        <v>0</v>
      </c>
      <c r="F5831" s="2">
        <v>0</v>
      </c>
      <c r="G5831" s="2">
        <v>0</v>
      </c>
      <c r="H5831" s="1" t="s">
        <v>0</v>
      </c>
      <c r="I5831" s="2">
        <v>0</v>
      </c>
      <c r="J5831" s="1">
        <v>45965.425462962965</v>
      </c>
    </row>
    <row r="5832" spans="1:10" x14ac:dyDescent="0.2">
      <c r="A5832" s="4" t="s">
        <v>1</v>
      </c>
      <c r="B5832" s="3" t="str">
        <f>HYPERLINK("https://otsuka-europe-crm.veevavault.com/ui/#object/approved_document__v/V5O000000001002", "AM2M - ENFERMERÍA - Guía preguntas pacientes")</f>
        <v>AM2M - ENFERMERÍA - Guía preguntas pacientes</v>
      </c>
      <c r="C5832" s="3" t="str">
        <f>HYPERLINK("https://otsuka-europe-crm.veevavault.com/ui/#object/sent_email__v/VBL000000005655", "SE-001380561")</f>
        <v>SE-001380561</v>
      </c>
      <c r="D5832" s="1">
        <v>45965.444247685184</v>
      </c>
      <c r="E5832" s="2">
        <v>1</v>
      </c>
      <c r="F5832" s="2">
        <v>1</v>
      </c>
      <c r="G5832" s="2">
        <v>0</v>
      </c>
      <c r="H5832" s="1" t="s">
        <v>0</v>
      </c>
      <c r="I5832" s="2">
        <v>0</v>
      </c>
      <c r="J5832" s="1">
        <v>45965.425532407404</v>
      </c>
    </row>
    <row r="5833" spans="1:10" x14ac:dyDescent="0.2">
      <c r="A5833" s="4" t="s">
        <v>1</v>
      </c>
      <c r="B5833" s="3" t="str">
        <f>HYPERLINK("https://otsuka-europe-crm.veevavault.com/ui/#object/approved_document__v/V5O000000001002", "AM2M - ENFERMERÍA - Guía preguntas pacientes")</f>
        <v>AM2M - ENFERMERÍA - Guía preguntas pacientes</v>
      </c>
      <c r="C5833" s="3" t="str">
        <f>HYPERLINK("https://otsuka-europe-crm.veevavault.com/ui/#object/sent_email__v/VBL000000005656", "SE-001380562")</f>
        <v>SE-001380562</v>
      </c>
      <c r="D5833" s="1">
        <v>46014.457141203704</v>
      </c>
      <c r="E5833" s="2">
        <v>1</v>
      </c>
      <c r="F5833" s="2">
        <v>5</v>
      </c>
      <c r="G5833" s="2">
        <v>1</v>
      </c>
      <c r="H5833" s="1">
        <v>45965.463703703703</v>
      </c>
      <c r="I5833" s="2">
        <v>1</v>
      </c>
      <c r="J5833" s="1">
        <v>45965.42560185185</v>
      </c>
    </row>
    <row r="5834" spans="1:10" x14ac:dyDescent="0.2">
      <c r="A5834" s="4" t="s">
        <v>1</v>
      </c>
      <c r="B5834" s="3" t="str">
        <f>HYPERLINK("https://otsuka-europe-crm.veevavault.com/ui/#object/approved_document__v/V5O000000001002", "AM2M - ENFERMERÍA - Guía preguntas pacientes")</f>
        <v>AM2M - ENFERMERÍA - Guía preguntas pacientes</v>
      </c>
      <c r="C5834" s="3" t="str">
        <f>HYPERLINK("https://otsuka-europe-crm.veevavault.com/ui/#object/sent_email__v/VBL000000005657", "SE-001380563")</f>
        <v>SE-001380563</v>
      </c>
      <c r="D5834" s="1" t="s">
        <v>0</v>
      </c>
      <c r="E5834" s="2">
        <v>0</v>
      </c>
      <c r="F5834" s="2">
        <v>0</v>
      </c>
      <c r="G5834" s="2">
        <v>0</v>
      </c>
      <c r="H5834" s="1" t="s">
        <v>0</v>
      </c>
      <c r="I5834" s="2">
        <v>0</v>
      </c>
      <c r="J5834" s="1">
        <v>45965.425671296296</v>
      </c>
    </row>
    <row r="5835" spans="1:10" x14ac:dyDescent="0.2">
      <c r="A5835" s="4" t="s">
        <v>1</v>
      </c>
      <c r="B5835" s="3" t="str">
        <f>HYPERLINK("https://otsuka-europe-crm.veevavault.com/ui/#object/approved_document__v/V5O000000001002", "AM2M - ENFERMERÍA - Guía preguntas pacientes")</f>
        <v>AM2M - ENFERMERÍA - Guía preguntas pacientes</v>
      </c>
      <c r="C5835" s="3" t="str">
        <f>HYPERLINK("https://otsuka-europe-crm.veevavault.com/ui/#object/sent_email__v/VBL000000005658", "SE-001380564")</f>
        <v>SE-001380564</v>
      </c>
      <c r="D5835" s="1" t="s">
        <v>0</v>
      </c>
      <c r="E5835" s="2">
        <v>0</v>
      </c>
      <c r="F5835" s="2">
        <v>0</v>
      </c>
      <c r="G5835" s="2">
        <v>0</v>
      </c>
      <c r="H5835" s="1" t="s">
        <v>0</v>
      </c>
      <c r="I5835" s="2">
        <v>0</v>
      </c>
      <c r="J5835" s="1">
        <v>45965.425740740742</v>
      </c>
    </row>
    <row r="5836" spans="1:10" x14ac:dyDescent="0.2">
      <c r="A5836" s="4" t="s">
        <v>1</v>
      </c>
      <c r="B5836" s="3" t="str">
        <f>HYPERLINK("https://otsuka-europe-crm.veevavault.com/ui/#object/approved_document__v/V5O000000001002", "AM2M - ENFERMERÍA - Guía preguntas pacientes")</f>
        <v>AM2M - ENFERMERÍA - Guía preguntas pacientes</v>
      </c>
      <c r="C5836" s="3" t="str">
        <f>HYPERLINK("https://otsuka-europe-crm.veevavault.com/ui/#object/sent_email__v/VBL000000005659", "SE-001380565")</f>
        <v>SE-001380565</v>
      </c>
      <c r="D5836" s="1">
        <v>45965.466226851851</v>
      </c>
      <c r="E5836" s="2">
        <v>1</v>
      </c>
      <c r="F5836" s="2">
        <v>1</v>
      </c>
      <c r="G5836" s="2">
        <v>1</v>
      </c>
      <c r="H5836" s="1">
        <v>45965.466226851851</v>
      </c>
      <c r="I5836" s="2">
        <v>1</v>
      </c>
      <c r="J5836" s="1">
        <v>45965.425821759258</v>
      </c>
    </row>
    <row r="5837" spans="1:10" x14ac:dyDescent="0.2">
      <c r="A5837" s="4" t="s">
        <v>1</v>
      </c>
      <c r="B5837" s="3" t="str">
        <f>HYPERLINK("https://otsuka-europe-crm.veevavault.com/ui/#object/approved_document__v/V5O000000001002", "AM2M - ENFERMERÍA - Guía preguntas pacientes")</f>
        <v>AM2M - ENFERMERÍA - Guía preguntas pacientes</v>
      </c>
      <c r="C5837" s="3" t="str">
        <f>HYPERLINK("https://otsuka-europe-crm.veevavault.com/ui/#object/sent_email__v/VBL000000005660", "SE-001380566")</f>
        <v>SE-001380566</v>
      </c>
      <c r="D5837" s="1" t="s">
        <v>0</v>
      </c>
      <c r="E5837" s="2">
        <v>0</v>
      </c>
      <c r="F5837" s="2">
        <v>0</v>
      </c>
      <c r="G5837" s="2">
        <v>0</v>
      </c>
      <c r="H5837" s="1" t="s">
        <v>0</v>
      </c>
      <c r="I5837" s="2">
        <v>0</v>
      </c>
      <c r="J5837" s="1">
        <v>45965.425891203704</v>
      </c>
    </row>
    <row r="5838" spans="1:10" x14ac:dyDescent="0.2">
      <c r="A5838" s="4" t="s">
        <v>1</v>
      </c>
      <c r="B5838" s="3" t="str">
        <f>HYPERLINK("https://otsuka-europe-crm.veevavault.com/ui/#object/approved_document__v/V5O000000001002", "AM2M - ENFERMERÍA - Guía preguntas pacientes")</f>
        <v>AM2M - ENFERMERÍA - Guía preguntas pacientes</v>
      </c>
      <c r="C5838" s="3" t="str">
        <f>HYPERLINK("https://otsuka-europe-crm.veevavault.com/ui/#object/sent_email__v/VBL000000005661", "SE-001380567")</f>
        <v>SE-001380567</v>
      </c>
      <c r="D5838" s="1" t="s">
        <v>0</v>
      </c>
      <c r="E5838" s="2">
        <v>0</v>
      </c>
      <c r="F5838" s="2">
        <v>0</v>
      </c>
      <c r="G5838" s="2">
        <v>0</v>
      </c>
      <c r="H5838" s="1" t="s">
        <v>0</v>
      </c>
      <c r="I5838" s="2">
        <v>0</v>
      </c>
      <c r="J5838" s="1">
        <v>45965.42596064815</v>
      </c>
    </row>
    <row r="5839" spans="1:10" x14ac:dyDescent="0.2">
      <c r="A5839" s="4" t="s">
        <v>1</v>
      </c>
      <c r="B5839" s="3" t="str">
        <f>HYPERLINK("https://otsuka-europe-crm.veevavault.com/ui/#object/approved_document__v/V5O000000001002", "AM2M - ENFERMERÍA - Guía preguntas pacientes")</f>
        <v>AM2M - ENFERMERÍA - Guía preguntas pacientes</v>
      </c>
      <c r="C5839" s="3" t="str">
        <f>HYPERLINK("https://otsuka-europe-crm.veevavault.com/ui/#object/sent_email__v/VBL000000005662", "SE-001380568")</f>
        <v>SE-001380568</v>
      </c>
      <c r="D5839" s="1">
        <v>45965.628391203703</v>
      </c>
      <c r="E5839" s="2">
        <v>1</v>
      </c>
      <c r="F5839" s="2">
        <v>1</v>
      </c>
      <c r="G5839" s="2">
        <v>0</v>
      </c>
      <c r="H5839" s="1" t="s">
        <v>0</v>
      </c>
      <c r="I5839" s="2">
        <v>0</v>
      </c>
      <c r="J5839" s="1">
        <v>45965.426030092596</v>
      </c>
    </row>
    <row r="5840" spans="1:10" x14ac:dyDescent="0.2">
      <c r="A5840" s="4" t="s">
        <v>1</v>
      </c>
      <c r="B5840" s="3" t="str">
        <f>HYPERLINK("https://otsuka-europe-crm.veevavault.com/ui/#object/approved_document__v/V5O000000001002", "AM2M - ENFERMERÍA - Guía preguntas pacientes")</f>
        <v>AM2M - ENFERMERÍA - Guía preguntas pacientes</v>
      </c>
      <c r="C5840" s="3" t="str">
        <f>HYPERLINK("https://otsuka-europe-crm.veevavault.com/ui/#object/sent_email__v/VBL000000005663", "SE-001380569")</f>
        <v>SE-001380569</v>
      </c>
      <c r="D5840" s="1" t="s">
        <v>0</v>
      </c>
      <c r="E5840" s="2">
        <v>0</v>
      </c>
      <c r="F5840" s="2">
        <v>0</v>
      </c>
      <c r="G5840" s="2">
        <v>0</v>
      </c>
      <c r="H5840" s="1" t="s">
        <v>0</v>
      </c>
      <c r="I5840" s="2">
        <v>0</v>
      </c>
      <c r="J5840" s="1">
        <v>45965.426099537035</v>
      </c>
    </row>
    <row r="5841" spans="1:10" x14ac:dyDescent="0.2">
      <c r="A5841" s="4" t="s">
        <v>1</v>
      </c>
      <c r="B5841" s="3" t="str">
        <f>HYPERLINK("https://otsuka-europe-crm.veevavault.com/ui/#object/approved_document__v/V5O000000001002", "AM2M - ENFERMERÍA - Guía preguntas pacientes")</f>
        <v>AM2M - ENFERMERÍA - Guía preguntas pacientes</v>
      </c>
      <c r="C5841" s="3" t="str">
        <f>HYPERLINK("https://otsuka-europe-crm.veevavault.com/ui/#object/sent_email__v/VBL000000005664", "SE-001380570")</f>
        <v>SE-001380570</v>
      </c>
      <c r="D5841" s="1">
        <v>45965.427939814814</v>
      </c>
      <c r="E5841" s="2">
        <v>1</v>
      </c>
      <c r="F5841" s="2">
        <v>3</v>
      </c>
      <c r="G5841" s="2">
        <v>0</v>
      </c>
      <c r="H5841" s="1" t="s">
        <v>0</v>
      </c>
      <c r="I5841" s="2">
        <v>0</v>
      </c>
      <c r="J5841" s="1">
        <v>45965.426168981481</v>
      </c>
    </row>
    <row r="5842" spans="1:10" x14ac:dyDescent="0.2">
      <c r="A5842" s="4" t="s">
        <v>1</v>
      </c>
      <c r="B5842" s="3" t="str">
        <f>HYPERLINK("https://otsuka-europe-crm.veevavault.com/ui/#object/approved_document__v/V5O000000001002", "AM2M - ENFERMERÍA - Guía preguntas pacientes")</f>
        <v>AM2M - ENFERMERÍA - Guía preguntas pacientes</v>
      </c>
      <c r="C5842" s="3" t="str">
        <f>HYPERLINK("https://otsuka-europe-crm.veevavault.com/ui/#object/sent_email__v/VBL000000005665", "SE-001380571")</f>
        <v>SE-001380571</v>
      </c>
      <c r="D5842" s="1" t="s">
        <v>0</v>
      </c>
      <c r="E5842" s="2">
        <v>0</v>
      </c>
      <c r="F5842" s="2">
        <v>0</v>
      </c>
      <c r="G5842" s="2">
        <v>0</v>
      </c>
      <c r="H5842" s="1" t="s">
        <v>0</v>
      </c>
      <c r="I5842" s="2">
        <v>0</v>
      </c>
      <c r="J5842" s="1">
        <v>45965.426238425927</v>
      </c>
    </row>
    <row r="5843" spans="1:10" x14ac:dyDescent="0.2">
      <c r="A5843" s="4" t="s">
        <v>1</v>
      </c>
      <c r="B5843" s="3" t="str">
        <f>HYPERLINK("https://otsuka-europe-crm.veevavault.com/ui/#object/approved_document__v/V5O000000001002", "AM2M - ENFERMERÍA - Guía preguntas pacientes")</f>
        <v>AM2M - ENFERMERÍA - Guía preguntas pacientes</v>
      </c>
      <c r="C5843" s="3" t="str">
        <f>HYPERLINK("https://otsuka-europe-crm.veevavault.com/ui/#object/sent_email__v/VBL000000005666", "SE-001380572")</f>
        <v>SE-001380572</v>
      </c>
      <c r="D5843" s="1">
        <v>45965.437638888892</v>
      </c>
      <c r="E5843" s="2">
        <v>1</v>
      </c>
      <c r="F5843" s="2">
        <v>1</v>
      </c>
      <c r="G5843" s="2">
        <v>1</v>
      </c>
      <c r="H5843" s="1">
        <v>45965.438657407409</v>
      </c>
      <c r="I5843" s="2">
        <v>2</v>
      </c>
      <c r="J5843" s="1">
        <v>45965.426307870373</v>
      </c>
    </row>
    <row r="5844" spans="1:10" x14ac:dyDescent="0.2">
      <c r="A5844" s="4" t="s">
        <v>1</v>
      </c>
      <c r="B5844" s="3" t="str">
        <f>HYPERLINK("https://otsuka-europe-crm.veevavault.com/ui/#object/approved_document__v/V5O000000001002", "AM2M - ENFERMERÍA - Guía preguntas pacientes")</f>
        <v>AM2M - ENFERMERÍA - Guía preguntas pacientes</v>
      </c>
      <c r="C5844" s="3" t="str">
        <f>HYPERLINK("https://otsuka-europe-crm.veevavault.com/ui/#object/sent_email__v/VBL000000005667", "SE-001380573")</f>
        <v>SE-001380573</v>
      </c>
      <c r="D5844" s="1" t="s">
        <v>0</v>
      </c>
      <c r="E5844" s="2">
        <v>0</v>
      </c>
      <c r="F5844" s="2">
        <v>0</v>
      </c>
      <c r="G5844" s="2">
        <v>0</v>
      </c>
      <c r="H5844" s="1" t="s">
        <v>0</v>
      </c>
      <c r="I5844" s="2">
        <v>0</v>
      </c>
      <c r="J5844" s="1">
        <v>45965.426377314812</v>
      </c>
    </row>
    <row r="5845" spans="1:10" x14ac:dyDescent="0.2">
      <c r="A5845" s="4" t="s">
        <v>1</v>
      </c>
      <c r="B5845" s="3" t="str">
        <f>HYPERLINK("https://otsuka-europe-crm.veevavault.com/ui/#object/approved_document__v/V5O000000001002", "AM2M - ENFERMERÍA - Guía preguntas pacientes")</f>
        <v>AM2M - ENFERMERÍA - Guía preguntas pacientes</v>
      </c>
      <c r="C5845" s="3" t="str">
        <f>HYPERLINK("https://otsuka-europe-crm.veevavault.com/ui/#object/sent_email__v/VBL000000005668", "SE-001380574")</f>
        <v>SE-001380574</v>
      </c>
      <c r="D5845" s="1" t="s">
        <v>0</v>
      </c>
      <c r="E5845" s="2">
        <v>0</v>
      </c>
      <c r="F5845" s="2">
        <v>0</v>
      </c>
      <c r="G5845" s="2">
        <v>0</v>
      </c>
      <c r="H5845" s="1" t="s">
        <v>0</v>
      </c>
      <c r="I5845" s="2">
        <v>0</v>
      </c>
      <c r="J5845" s="1">
        <v>45965.426446759258</v>
      </c>
    </row>
    <row r="5846" spans="1:10" x14ac:dyDescent="0.2">
      <c r="A5846" s="4" t="s">
        <v>1</v>
      </c>
      <c r="B5846" s="3" t="str">
        <f>HYPERLINK("https://otsuka-europe-crm.veevavault.com/ui/#object/approved_document__v/V5O000000001002", "AM2M - ENFERMERÍA - Guía preguntas pacientes")</f>
        <v>AM2M - ENFERMERÍA - Guía preguntas pacientes</v>
      </c>
      <c r="C5846" s="3" t="str">
        <f>HYPERLINK("https://otsuka-europe-crm.veevavault.com/ui/#object/sent_email__v/VBL000000005669", "SE-001380575")</f>
        <v>SE-001380575</v>
      </c>
      <c r="D5846" s="1">
        <v>45965.441608796296</v>
      </c>
      <c r="E5846" s="2">
        <v>1</v>
      </c>
      <c r="F5846" s="2">
        <v>1</v>
      </c>
      <c r="G5846" s="2">
        <v>0</v>
      </c>
      <c r="H5846" s="1" t="s">
        <v>0</v>
      </c>
      <c r="I5846" s="2">
        <v>0</v>
      </c>
      <c r="J5846" s="1">
        <v>45965.426527777781</v>
      </c>
    </row>
    <row r="5847" spans="1:10" x14ac:dyDescent="0.2">
      <c r="A5847" s="4" t="s">
        <v>1</v>
      </c>
      <c r="B5847" s="3" t="str">
        <f>HYPERLINK("https://otsuka-europe-crm.veevavault.com/ui/#object/approved_document__v/V5O000000001002", "AM2M - ENFERMERÍA - Guía preguntas pacientes")</f>
        <v>AM2M - ENFERMERÍA - Guía preguntas pacientes</v>
      </c>
      <c r="C5847" s="3" t="str">
        <f>HYPERLINK("https://otsuka-europe-crm.veevavault.com/ui/#object/sent_email__v/VBL000000005670", "SE-001380576")</f>
        <v>SE-001380576</v>
      </c>
      <c r="D5847" s="1" t="s">
        <v>0</v>
      </c>
      <c r="E5847" s="2">
        <v>0</v>
      </c>
      <c r="F5847" s="2">
        <v>0</v>
      </c>
      <c r="G5847" s="2">
        <v>0</v>
      </c>
      <c r="H5847" s="1" t="s">
        <v>0</v>
      </c>
      <c r="I5847" s="2">
        <v>0</v>
      </c>
      <c r="J5847" s="1">
        <v>45965.42659722222</v>
      </c>
    </row>
    <row r="5848" spans="1:10" x14ac:dyDescent="0.2">
      <c r="A5848" s="4" t="s">
        <v>1</v>
      </c>
      <c r="B5848" s="3" t="str">
        <f>HYPERLINK("https://otsuka-europe-crm.veevavault.com/ui/#object/approved_document__v/V5O000000001002", "AM2M - ENFERMERÍA - Guía preguntas pacientes")</f>
        <v>AM2M - ENFERMERÍA - Guía preguntas pacientes</v>
      </c>
      <c r="C5848" s="3" t="str">
        <f>HYPERLINK("https://otsuka-europe-crm.veevavault.com/ui/#object/sent_email__v/VBL000000005671", "SE-001380577")</f>
        <v>SE-001380577</v>
      </c>
      <c r="D5848" s="1" t="s">
        <v>0</v>
      </c>
      <c r="E5848" s="2">
        <v>0</v>
      </c>
      <c r="F5848" s="2">
        <v>0</v>
      </c>
      <c r="G5848" s="2">
        <v>0</v>
      </c>
      <c r="H5848" s="1" t="s">
        <v>0</v>
      </c>
      <c r="I5848" s="2">
        <v>0</v>
      </c>
      <c r="J5848" s="1">
        <v>45965.426666666666</v>
      </c>
    </row>
    <row r="5849" spans="1:10" x14ac:dyDescent="0.2">
      <c r="A5849" s="4" t="s">
        <v>1</v>
      </c>
      <c r="B5849" s="3" t="str">
        <f>HYPERLINK("https://otsuka-europe-crm.veevavault.com/ui/#object/approved_document__v/V5O000000001002", "AM2M - ENFERMERÍA - Guía preguntas pacientes")</f>
        <v>AM2M - ENFERMERÍA - Guía preguntas pacientes</v>
      </c>
      <c r="C5849" s="3" t="str">
        <f>HYPERLINK("https://otsuka-europe-crm.veevavault.com/ui/#object/sent_email__v/VBL000000005672", "SE-001380578")</f>
        <v>SE-001380578</v>
      </c>
      <c r="D5849" s="1" t="s">
        <v>0</v>
      </c>
      <c r="E5849" s="2">
        <v>0</v>
      </c>
      <c r="F5849" s="2">
        <v>0</v>
      </c>
      <c r="G5849" s="2">
        <v>0</v>
      </c>
      <c r="H5849" s="1" t="s">
        <v>0</v>
      </c>
      <c r="I5849" s="2">
        <v>0</v>
      </c>
      <c r="J5849" s="1">
        <v>45965.426736111112</v>
      </c>
    </row>
    <row r="5850" spans="1:10" x14ac:dyDescent="0.2">
      <c r="A5850" s="4" t="s">
        <v>1</v>
      </c>
      <c r="B5850" s="3" t="str">
        <f>HYPERLINK("https://otsuka-europe-crm.veevavault.com/ui/#object/approved_document__v/V5O000000001002", "AM2M - ENFERMERÍA - Guía preguntas pacientes")</f>
        <v>AM2M - ENFERMERÍA - Guía preguntas pacientes</v>
      </c>
      <c r="C5850" s="3" t="str">
        <f>HYPERLINK("https://otsuka-europe-crm.veevavault.com/ui/#object/sent_email__v/VBL000000005673", "SE-001380579")</f>
        <v>SE-001380579</v>
      </c>
      <c r="D5850" s="1" t="s">
        <v>0</v>
      </c>
      <c r="E5850" s="2">
        <v>0</v>
      </c>
      <c r="F5850" s="2">
        <v>0</v>
      </c>
      <c r="G5850" s="2">
        <v>0</v>
      </c>
      <c r="H5850" s="1" t="s">
        <v>0</v>
      </c>
      <c r="I5850" s="2">
        <v>0</v>
      </c>
      <c r="J5850" s="1">
        <v>45965.426805555559</v>
      </c>
    </row>
    <row r="5851" spans="1:10" x14ac:dyDescent="0.2">
      <c r="A5851" s="4" t="s">
        <v>1</v>
      </c>
      <c r="B5851" s="3" t="str">
        <f>HYPERLINK("https://otsuka-europe-crm.veevavault.com/ui/#object/approved_document__v/V5O000000001002", "AM2M - ENFERMERÍA - Guía preguntas pacientes")</f>
        <v>AM2M - ENFERMERÍA - Guía preguntas pacientes</v>
      </c>
      <c r="C5851" s="3" t="str">
        <f>HYPERLINK("https://otsuka-europe-crm.veevavault.com/ui/#object/sent_email__v/VBL000000005674", "SE-001380580")</f>
        <v>SE-001380580</v>
      </c>
      <c r="D5851" s="1" t="s">
        <v>0</v>
      </c>
      <c r="E5851" s="2">
        <v>0</v>
      </c>
      <c r="F5851" s="2">
        <v>0</v>
      </c>
      <c r="G5851" s="2">
        <v>0</v>
      </c>
      <c r="H5851" s="1" t="s">
        <v>0</v>
      </c>
      <c r="I5851" s="2">
        <v>0</v>
      </c>
      <c r="J5851" s="1">
        <v>45965.426874999997</v>
      </c>
    </row>
    <row r="5852" spans="1:10" x14ac:dyDescent="0.2">
      <c r="A5852" s="4" t="s">
        <v>1</v>
      </c>
      <c r="B5852" s="3" t="str">
        <f>HYPERLINK("https://otsuka-europe-crm.veevavault.com/ui/#object/approved_document__v/V5O000000001002", "AM2M - ENFERMERÍA - Guía preguntas pacientes")</f>
        <v>AM2M - ENFERMERÍA - Guía preguntas pacientes</v>
      </c>
      <c r="C5852" s="3" t="str">
        <f>HYPERLINK("https://otsuka-europe-crm.veevavault.com/ui/#object/sent_email__v/VBL00000000L510", "SE-001389285")</f>
        <v>SE-001389285</v>
      </c>
      <c r="D5852" s="1">
        <v>45997.427372685182</v>
      </c>
      <c r="E5852" s="2">
        <v>1</v>
      </c>
      <c r="F5852" s="2">
        <v>3</v>
      </c>
      <c r="G5852" s="2">
        <v>0</v>
      </c>
      <c r="H5852" s="1" t="s">
        <v>0</v>
      </c>
      <c r="I5852" s="2">
        <v>0</v>
      </c>
      <c r="J5852" s="1">
        <v>45972.580312500002</v>
      </c>
    </row>
    <row r="5853" spans="1:10" x14ac:dyDescent="0.2">
      <c r="A5853" s="4" t="s">
        <v>1</v>
      </c>
      <c r="B5853" s="3" t="str">
        <f>HYPERLINK("https://otsuka-europe-crm.veevavault.com/ui/#object/approved_document__v/V5O000000001002", "AM2M - ENFERMERÍA - Guía preguntas pacientes")</f>
        <v>AM2M - ENFERMERÍA - Guía preguntas pacientes</v>
      </c>
      <c r="C5853" s="3" t="str">
        <f>HYPERLINK("https://otsuka-europe-crm.veevavault.com/ui/#object/sent_email__v/VBL00000000L511", "SE-001389286")</f>
        <v>SE-001389286</v>
      </c>
      <c r="D5853" s="1">
        <v>45972.669722222221</v>
      </c>
      <c r="E5853" s="2">
        <v>1</v>
      </c>
      <c r="F5853" s="2">
        <v>1</v>
      </c>
      <c r="G5853" s="2">
        <v>0</v>
      </c>
      <c r="H5853" s="1" t="s">
        <v>0</v>
      </c>
      <c r="I5853" s="2">
        <v>0</v>
      </c>
      <c r="J5853" s="1">
        <v>45972.580335648148</v>
      </c>
    </row>
    <row r="5854" spans="1:10" x14ac:dyDescent="0.2">
      <c r="A5854" s="4" t="s">
        <v>1</v>
      </c>
      <c r="B5854" s="3" t="str">
        <f>HYPERLINK("https://otsuka-europe-crm.veevavault.com/ui/#object/approved_document__v/V5O000000001002", "AM2M - ENFERMERÍA - Guía preguntas pacientes")</f>
        <v>AM2M - ENFERMERÍA - Guía preguntas pacientes</v>
      </c>
      <c r="C5854" s="3" t="str">
        <f>HYPERLINK("https://otsuka-europe-crm.veevavault.com/ui/#object/sent_email__v/VBL00000000L512", "SE-001389287")</f>
        <v>SE-001389287</v>
      </c>
      <c r="D5854" s="1">
        <v>45972.954074074078</v>
      </c>
      <c r="E5854" s="2">
        <v>1</v>
      </c>
      <c r="F5854" s="2">
        <v>2</v>
      </c>
      <c r="G5854" s="2">
        <v>0</v>
      </c>
      <c r="H5854" s="1" t="s">
        <v>0</v>
      </c>
      <c r="I5854" s="2">
        <v>0</v>
      </c>
      <c r="J5854" s="1">
        <v>45972.580393518518</v>
      </c>
    </row>
    <row r="5855" spans="1:10" x14ac:dyDescent="0.2">
      <c r="A5855" s="4" t="s">
        <v>1</v>
      </c>
      <c r="B5855" s="3" t="str">
        <f>HYPERLINK("https://otsuka-europe-crm.veevavault.com/ui/#object/approved_document__v/V5O000000001002", "AM2M - ENFERMERÍA - Guía preguntas pacientes")</f>
        <v>AM2M - ENFERMERÍA - Guía preguntas pacientes</v>
      </c>
      <c r="C5855" s="3" t="str">
        <f>HYPERLINK("https://otsuka-europe-crm.veevavault.com/ui/#object/sent_email__v/VBL00000000L513", "SE-001389288")</f>
        <v>SE-001389288</v>
      </c>
      <c r="D5855" s="1">
        <v>45972.580706018518</v>
      </c>
      <c r="E5855" s="2">
        <v>1</v>
      </c>
      <c r="F5855" s="2">
        <v>1</v>
      </c>
      <c r="G5855" s="2">
        <v>0</v>
      </c>
      <c r="H5855" s="1" t="s">
        <v>0</v>
      </c>
      <c r="I5855" s="2">
        <v>0</v>
      </c>
      <c r="J5855" s="1">
        <v>45972.580428240741</v>
      </c>
    </row>
    <row r="5856" spans="1:10" x14ac:dyDescent="0.2">
      <c r="A5856" s="4" t="s">
        <v>1</v>
      </c>
      <c r="B5856" s="3" t="str">
        <f>HYPERLINK("https://otsuka-europe-crm.veevavault.com/ui/#object/approved_document__v/V5O000000001002", "AM2M - ENFERMERÍA - Guía preguntas pacientes")</f>
        <v>AM2M - ENFERMERÍA - Guía preguntas pacientes</v>
      </c>
      <c r="C5856" s="3" t="str">
        <f>HYPERLINK("https://otsuka-europe-crm.veevavault.com/ui/#object/sent_email__v/VBL00000000L514", "SE-001389289")</f>
        <v>SE-001389289</v>
      </c>
      <c r="D5856" s="1">
        <v>45981.521481481483</v>
      </c>
      <c r="E5856" s="2">
        <v>1</v>
      </c>
      <c r="F5856" s="2">
        <v>2</v>
      </c>
      <c r="G5856" s="2">
        <v>0</v>
      </c>
      <c r="H5856" s="1" t="s">
        <v>0</v>
      </c>
      <c r="I5856" s="2">
        <v>0</v>
      </c>
      <c r="J5856" s="1">
        <v>45972.580462962964</v>
      </c>
    </row>
    <row r="5857" spans="1:10" x14ac:dyDescent="0.2">
      <c r="A5857" s="4" t="s">
        <v>1</v>
      </c>
      <c r="B5857" s="3" t="str">
        <f>HYPERLINK("https://otsuka-europe-crm.veevavault.com/ui/#object/approved_document__v/V5O000000001002", "AM2M - ENFERMERÍA - Guía preguntas pacientes")</f>
        <v>AM2M - ENFERMERÍA - Guía preguntas pacientes</v>
      </c>
      <c r="C5857" s="3" t="str">
        <f>HYPERLINK("https://otsuka-europe-crm.veevavault.com/ui/#object/sent_email__v/VBL00000000L515", "SE-001389290")</f>
        <v>SE-001389290</v>
      </c>
      <c r="D5857" s="1" t="s">
        <v>0</v>
      </c>
      <c r="E5857" s="2">
        <v>0</v>
      </c>
      <c r="F5857" s="2">
        <v>0</v>
      </c>
      <c r="G5857" s="2">
        <v>0</v>
      </c>
      <c r="H5857" s="1" t="s">
        <v>0</v>
      </c>
      <c r="I5857" s="2">
        <v>0</v>
      </c>
      <c r="J5857" s="1">
        <v>45972.580509259256</v>
      </c>
    </row>
    <row r="5858" spans="1:10" x14ac:dyDescent="0.2">
      <c r="A5858" s="4" t="s">
        <v>1</v>
      </c>
      <c r="B5858" s="3" t="str">
        <f>HYPERLINK("https://otsuka-europe-crm.veevavault.com/ui/#object/approved_document__v/V5O000000001002", "AM2M - ENFERMERÍA - Guía preguntas pacientes")</f>
        <v>AM2M - ENFERMERÍA - Guía preguntas pacientes</v>
      </c>
      <c r="C5858" s="3" t="str">
        <f>HYPERLINK("https://otsuka-europe-crm.veevavault.com/ui/#object/sent_email__v/VBL00000000L516", "SE-001389291")</f>
        <v>SE-001389291</v>
      </c>
      <c r="D5858" s="1" t="s">
        <v>0</v>
      </c>
      <c r="E5858" s="2">
        <v>0</v>
      </c>
      <c r="F5858" s="2">
        <v>0</v>
      </c>
      <c r="G5858" s="2">
        <v>0</v>
      </c>
      <c r="H5858" s="1" t="s">
        <v>0</v>
      </c>
      <c r="I5858" s="2">
        <v>0</v>
      </c>
      <c r="J5858" s="1">
        <v>45972.580543981479</v>
      </c>
    </row>
    <row r="5859" spans="1:10" x14ac:dyDescent="0.2">
      <c r="A5859" s="4" t="s">
        <v>1</v>
      </c>
      <c r="B5859" s="3" t="str">
        <f>HYPERLINK("https://otsuka-europe-crm.veevavault.com/ui/#object/approved_document__v/V5O000000001002", "AM2M - ENFERMERÍA - Guía preguntas pacientes")</f>
        <v>AM2M - ENFERMERÍA - Guía preguntas pacientes</v>
      </c>
      <c r="C5859" s="3" t="str">
        <f>HYPERLINK("https://otsuka-europe-crm.veevavault.com/ui/#object/sent_email__v/VBL00000000L517", "SE-001389292")</f>
        <v>SE-001389292</v>
      </c>
      <c r="D5859" s="1" t="s">
        <v>0</v>
      </c>
      <c r="E5859" s="2">
        <v>0</v>
      </c>
      <c r="F5859" s="2">
        <v>0</v>
      </c>
      <c r="G5859" s="2">
        <v>0</v>
      </c>
      <c r="H5859" s="1" t="s">
        <v>0</v>
      </c>
      <c r="I5859" s="2">
        <v>0</v>
      </c>
      <c r="J5859" s="1">
        <v>45972.580590277779</v>
      </c>
    </row>
    <row r="5860" spans="1:10" x14ac:dyDescent="0.2">
      <c r="A5860" s="4" t="s">
        <v>1</v>
      </c>
      <c r="B5860" s="3" t="str">
        <f>HYPERLINK("https://otsuka-europe-crm.veevavault.com/ui/#object/approved_document__v/V5O000000001002", "AM2M - ENFERMERÍA - Guía preguntas pacientes")</f>
        <v>AM2M - ENFERMERÍA - Guía preguntas pacientes</v>
      </c>
      <c r="C5860" s="3" t="str">
        <f>HYPERLINK("https://otsuka-europe-crm.veevavault.com/ui/#object/sent_email__v/VBL00000000L518", "SE-001389293")</f>
        <v>SE-001389293</v>
      </c>
      <c r="D5860" s="1" t="s">
        <v>0</v>
      </c>
      <c r="E5860" s="2">
        <v>0</v>
      </c>
      <c r="F5860" s="2">
        <v>0</v>
      </c>
      <c r="G5860" s="2">
        <v>0</v>
      </c>
      <c r="H5860" s="1" t="s">
        <v>0</v>
      </c>
      <c r="I5860" s="2">
        <v>0</v>
      </c>
      <c r="J5860" s="1">
        <v>45972.580625000002</v>
      </c>
    </row>
    <row r="5861" spans="1:10" x14ac:dyDescent="0.2">
      <c r="A5861" s="4" t="s">
        <v>1</v>
      </c>
      <c r="B5861" s="3" t="str">
        <f>HYPERLINK("https://otsuka-europe-crm.veevavault.com/ui/#object/approved_document__v/V5O000000001002", "AM2M - ENFERMERÍA - Guía preguntas pacientes")</f>
        <v>AM2M - ENFERMERÍA - Guía preguntas pacientes</v>
      </c>
      <c r="C5861" s="3" t="str">
        <f>HYPERLINK("https://otsuka-europe-crm.veevavault.com/ui/#object/sent_email__v/VBL00000000L519", "SE-001389294")</f>
        <v>SE-001389294</v>
      </c>
      <c r="D5861" s="1">
        <v>45972.588252314818</v>
      </c>
      <c r="E5861" s="2">
        <v>1</v>
      </c>
      <c r="F5861" s="2">
        <v>2</v>
      </c>
      <c r="G5861" s="2">
        <v>0</v>
      </c>
      <c r="H5861" s="1" t="s">
        <v>0</v>
      </c>
      <c r="I5861" s="2">
        <v>0</v>
      </c>
      <c r="J5861" s="1">
        <v>45972.580671296295</v>
      </c>
    </row>
    <row r="5862" spans="1:10" x14ac:dyDescent="0.2">
      <c r="A5862" s="4" t="s">
        <v>1</v>
      </c>
      <c r="B5862" s="3" t="str">
        <f>HYPERLINK("https://otsuka-europe-crm.veevavault.com/ui/#object/approved_document__v/V5O000000001002", "AM2M - ENFERMERÍA - Guía preguntas pacientes")</f>
        <v>AM2M - ENFERMERÍA - Guía preguntas pacientes</v>
      </c>
      <c r="C5862" s="3" t="str">
        <f>HYPERLINK("https://otsuka-europe-crm.veevavault.com/ui/#object/sent_email__v/VBL00000000L520", "SE-001389295")</f>
        <v>SE-001389295</v>
      </c>
      <c r="D5862" s="1">
        <v>45973.788865740738</v>
      </c>
      <c r="E5862" s="2">
        <v>1</v>
      </c>
      <c r="F5862" s="2">
        <v>1</v>
      </c>
      <c r="G5862" s="2">
        <v>0</v>
      </c>
      <c r="H5862" s="1" t="s">
        <v>0</v>
      </c>
      <c r="I5862" s="2">
        <v>0</v>
      </c>
      <c r="J5862" s="1">
        <v>45972.580706018518</v>
      </c>
    </row>
    <row r="5863" spans="1:10" x14ac:dyDescent="0.2">
      <c r="A5863" s="4" t="s">
        <v>1</v>
      </c>
      <c r="B5863" s="3" t="str">
        <f>HYPERLINK("https://otsuka-europe-crm.veevavault.com/ui/#object/approved_document__v/V5O000000001002", "AM2M - ENFERMERÍA - Guía preguntas pacientes")</f>
        <v>AM2M - ENFERMERÍA - Guía preguntas pacientes</v>
      </c>
      <c r="C5863" s="3" t="str">
        <f>HYPERLINK("https://otsuka-europe-crm.veevavault.com/ui/#object/sent_email__v/VBL00000000L521", "SE-001389296")</f>
        <v>SE-001389296</v>
      </c>
      <c r="D5863" s="1" t="s">
        <v>0</v>
      </c>
      <c r="E5863" s="2">
        <v>0</v>
      </c>
      <c r="F5863" s="2">
        <v>0</v>
      </c>
      <c r="G5863" s="2">
        <v>0</v>
      </c>
      <c r="H5863" s="1" t="s">
        <v>0</v>
      </c>
      <c r="I5863" s="2">
        <v>0</v>
      </c>
      <c r="J5863" s="1">
        <v>45972.580752314818</v>
      </c>
    </row>
    <row r="5864" spans="1:10" x14ac:dyDescent="0.2">
      <c r="A5864" s="4" t="s">
        <v>1</v>
      </c>
      <c r="B5864" s="3" t="str">
        <f>HYPERLINK("https://otsuka-europe-crm.veevavault.com/ui/#object/approved_document__v/V5O000000001002", "AM2M - ENFERMERÍA - Guía preguntas pacientes")</f>
        <v>AM2M - ENFERMERÍA - Guía preguntas pacientes</v>
      </c>
      <c r="C5864" s="3" t="str">
        <f>HYPERLINK("https://otsuka-europe-crm.veevavault.com/ui/#object/sent_email__v/VBL00000000L522", "SE-001389297")</f>
        <v>SE-001389297</v>
      </c>
      <c r="D5864" s="1">
        <v>45973.892384259256</v>
      </c>
      <c r="E5864" s="2">
        <v>1</v>
      </c>
      <c r="F5864" s="2">
        <v>1</v>
      </c>
      <c r="G5864" s="2">
        <v>0</v>
      </c>
      <c r="H5864" s="1" t="s">
        <v>0</v>
      </c>
      <c r="I5864" s="2">
        <v>0</v>
      </c>
      <c r="J5864" s="1">
        <v>45972.580810185187</v>
      </c>
    </row>
    <row r="5865" spans="1:10" x14ac:dyDescent="0.2">
      <c r="A5865" s="4" t="s">
        <v>1</v>
      </c>
      <c r="B5865" s="3" t="str">
        <f>HYPERLINK("https://otsuka-europe-crm.veevavault.com/ui/#object/approved_document__v/V5O000000001002", "AM2M - ENFERMERÍA - Guía preguntas pacientes")</f>
        <v>AM2M - ENFERMERÍA - Guía preguntas pacientes</v>
      </c>
      <c r="C5865" s="3" t="str">
        <f>HYPERLINK("https://otsuka-europe-crm.veevavault.com/ui/#object/sent_email__v/VBL00000000L523", "SE-001389298")</f>
        <v>SE-001389298</v>
      </c>
      <c r="D5865" s="1">
        <v>45972.62877314815</v>
      </c>
      <c r="E5865" s="2">
        <v>1</v>
      </c>
      <c r="F5865" s="2">
        <v>1</v>
      </c>
      <c r="G5865" s="2">
        <v>0</v>
      </c>
      <c r="H5865" s="1" t="s">
        <v>0</v>
      </c>
      <c r="I5865" s="2">
        <v>0</v>
      </c>
      <c r="J5865" s="1">
        <v>45972.58085648148</v>
      </c>
    </row>
    <row r="5866" spans="1:10" x14ac:dyDescent="0.2">
      <c r="A5866" s="4" t="s">
        <v>1</v>
      </c>
      <c r="B5866" s="3" t="str">
        <f>HYPERLINK("https://otsuka-europe-crm.veevavault.com/ui/#object/approved_document__v/V5O000000001002", "AM2M - ENFERMERÍA - Guía preguntas pacientes")</f>
        <v>AM2M - ENFERMERÍA - Guía preguntas pacientes</v>
      </c>
      <c r="C5866" s="3" t="str">
        <f>HYPERLINK("https://otsuka-europe-crm.veevavault.com/ui/#object/sent_email__v/VBL00000000L524", "SE-001389299")</f>
        <v>SE-001389299</v>
      </c>
      <c r="D5866" s="1">
        <v>45972.640034722222</v>
      </c>
      <c r="E5866" s="2">
        <v>1</v>
      </c>
      <c r="F5866" s="2">
        <v>3</v>
      </c>
      <c r="G5866" s="2">
        <v>0</v>
      </c>
      <c r="H5866" s="1" t="s">
        <v>0</v>
      </c>
      <c r="I5866" s="2">
        <v>0</v>
      </c>
      <c r="J5866" s="1">
        <v>45972.580891203703</v>
      </c>
    </row>
    <row r="5867" spans="1:10" x14ac:dyDescent="0.2">
      <c r="A5867" s="4" t="s">
        <v>1</v>
      </c>
      <c r="B5867" s="3" t="str">
        <f>HYPERLINK("https://otsuka-europe-crm.veevavault.com/ui/#object/approved_document__v/V5O000000001002", "AM2M - ENFERMERÍA - Guía preguntas pacientes")</f>
        <v>AM2M - ENFERMERÍA - Guía preguntas pacientes</v>
      </c>
      <c r="C5867" s="3" t="str">
        <f>HYPERLINK("https://otsuka-europe-crm.veevavault.com/ui/#object/sent_email__v/VBL00000000L525", "SE-001389300")</f>
        <v>SE-001389300</v>
      </c>
      <c r="D5867" s="1">
        <v>45972.601759259262</v>
      </c>
      <c r="E5867" s="2">
        <v>1</v>
      </c>
      <c r="F5867" s="2">
        <v>1</v>
      </c>
      <c r="G5867" s="2">
        <v>0</v>
      </c>
      <c r="H5867" s="1" t="s">
        <v>0</v>
      </c>
      <c r="I5867" s="2">
        <v>0</v>
      </c>
      <c r="J5867" s="1">
        <v>45972.580925925926</v>
      </c>
    </row>
    <row r="5868" spans="1:10" x14ac:dyDescent="0.2">
      <c r="A5868" s="4" t="s">
        <v>1</v>
      </c>
      <c r="B5868" s="3" t="str">
        <f>HYPERLINK("https://otsuka-europe-crm.veevavault.com/ui/#object/approved_document__v/V5O000000001002", "AM2M - ENFERMERÍA - Guía preguntas pacientes")</f>
        <v>AM2M - ENFERMERÍA - Guía preguntas pacientes</v>
      </c>
      <c r="C5868" s="3" t="str">
        <f>HYPERLINK("https://otsuka-europe-crm.veevavault.com/ui/#object/sent_email__v/VBL00000000L526", "SE-001389301")</f>
        <v>SE-001389301</v>
      </c>
      <c r="D5868" s="1" t="s">
        <v>0</v>
      </c>
      <c r="E5868" s="2">
        <v>0</v>
      </c>
      <c r="F5868" s="2">
        <v>0</v>
      </c>
      <c r="G5868" s="2">
        <v>0</v>
      </c>
      <c r="H5868" s="1" t="s">
        <v>0</v>
      </c>
      <c r="I5868" s="2">
        <v>0</v>
      </c>
      <c r="J5868" s="1">
        <v>45972.580972222226</v>
      </c>
    </row>
    <row r="5869" spans="1:10" x14ac:dyDescent="0.2">
      <c r="A5869" s="4" t="s">
        <v>1</v>
      </c>
      <c r="B5869" s="3" t="str">
        <f>HYPERLINK("https://otsuka-europe-crm.veevavault.com/ui/#object/approved_document__v/V5O000000001002", "AM2M - ENFERMERÍA - Guía preguntas pacientes")</f>
        <v>AM2M - ENFERMERÍA - Guía preguntas pacientes</v>
      </c>
      <c r="C5869" s="3" t="str">
        <f>HYPERLINK("https://otsuka-europe-crm.veevavault.com/ui/#object/sent_email__v/VBL00000000L527", "SE-001389302")</f>
        <v>SE-001389302</v>
      </c>
      <c r="D5869" s="1" t="s">
        <v>0</v>
      </c>
      <c r="E5869" s="2">
        <v>0</v>
      </c>
      <c r="F5869" s="2">
        <v>0</v>
      </c>
      <c r="G5869" s="2">
        <v>0</v>
      </c>
      <c r="H5869" s="1" t="s">
        <v>0</v>
      </c>
      <c r="I5869" s="2">
        <v>0</v>
      </c>
      <c r="J5869" s="1">
        <v>45972.581018518518</v>
      </c>
    </row>
    <row r="5870" spans="1:10" x14ac:dyDescent="0.2">
      <c r="A5870" s="4" t="s">
        <v>1</v>
      </c>
      <c r="B5870" s="3" t="str">
        <f>HYPERLINK("https://otsuka-europe-crm.veevavault.com/ui/#object/approved_document__v/V5O000000001002", "AM2M - ENFERMERÍA - Guía preguntas pacientes")</f>
        <v>AM2M - ENFERMERÍA - Guía preguntas pacientes</v>
      </c>
      <c r="C5870" s="3" t="str">
        <f>HYPERLINK("https://otsuka-europe-crm.veevavault.com/ui/#object/sent_email__v/VBL00000000L528", "SE-001389303")</f>
        <v>SE-001389303</v>
      </c>
      <c r="D5870" s="1">
        <v>45973.624502314815</v>
      </c>
      <c r="E5870" s="2">
        <v>1</v>
      </c>
      <c r="F5870" s="2">
        <v>4</v>
      </c>
      <c r="G5870" s="2">
        <v>1</v>
      </c>
      <c r="H5870" s="1">
        <v>45972.617442129631</v>
      </c>
      <c r="I5870" s="2">
        <v>3</v>
      </c>
      <c r="J5870" s="1">
        <v>45972.581053240741</v>
      </c>
    </row>
    <row r="5871" spans="1:10" x14ac:dyDescent="0.2">
      <c r="A5871" s="4" t="s">
        <v>1</v>
      </c>
      <c r="B5871" s="3" t="str">
        <f>HYPERLINK("https://otsuka-europe-crm.veevavault.com/ui/#object/approved_document__v/V5O000000001002", "AM2M - ENFERMERÍA - Guía preguntas pacientes")</f>
        <v>AM2M - ENFERMERÍA - Guía preguntas pacientes</v>
      </c>
      <c r="C5871" s="3" t="str">
        <f>HYPERLINK("https://otsuka-europe-crm.veevavault.com/ui/#object/sent_email__v/VBL00000000L529", "SE-001389304")</f>
        <v>SE-001389304</v>
      </c>
      <c r="D5871" s="1" t="s">
        <v>0</v>
      </c>
      <c r="E5871" s="2">
        <v>0</v>
      </c>
      <c r="F5871" s="2">
        <v>0</v>
      </c>
      <c r="G5871" s="2">
        <v>0</v>
      </c>
      <c r="H5871" s="1" t="s">
        <v>0</v>
      </c>
      <c r="I5871" s="2">
        <v>0</v>
      </c>
      <c r="J5871" s="1">
        <v>45972.581087962964</v>
      </c>
    </row>
    <row r="5872" spans="1:10" x14ac:dyDescent="0.2">
      <c r="A5872" s="4" t="s">
        <v>1</v>
      </c>
      <c r="B5872" s="3" t="str">
        <f>HYPERLINK("https://otsuka-europe-crm.veevavault.com/ui/#object/approved_document__v/V5O000000001002", "AM2M - ENFERMERÍA - Guía preguntas pacientes")</f>
        <v>AM2M - ENFERMERÍA - Guía preguntas pacientes</v>
      </c>
      <c r="C5872" s="3" t="str">
        <f>HYPERLINK("https://otsuka-europe-crm.veevavault.com/ui/#object/sent_email__v/VBL00000000L530", "SE-001389305")</f>
        <v>SE-001389305</v>
      </c>
      <c r="D5872" s="1">
        <v>45972.845138888886</v>
      </c>
      <c r="E5872" s="2">
        <v>1</v>
      </c>
      <c r="F5872" s="2">
        <v>1</v>
      </c>
      <c r="G5872" s="2">
        <v>0</v>
      </c>
      <c r="H5872" s="1" t="s">
        <v>0</v>
      </c>
      <c r="I5872" s="2">
        <v>0</v>
      </c>
      <c r="J5872" s="1">
        <v>45972.581134259257</v>
      </c>
    </row>
    <row r="5873" spans="1:10" x14ac:dyDescent="0.2">
      <c r="A5873" s="4" t="s">
        <v>1</v>
      </c>
      <c r="B5873" s="3" t="str">
        <f>HYPERLINK("https://otsuka-europe-crm.veevavault.com/ui/#object/approved_document__v/V5O000000001002", "AM2M - ENFERMERÍA - Guía preguntas pacientes")</f>
        <v>AM2M - ENFERMERÍA - Guía preguntas pacientes</v>
      </c>
      <c r="C5873" s="3" t="str">
        <f>HYPERLINK("https://otsuka-europe-crm.veevavault.com/ui/#object/sent_email__v/VBL00000000L531", "SE-001389306")</f>
        <v>SE-001389306</v>
      </c>
      <c r="D5873" s="1">
        <v>45972.680833333332</v>
      </c>
      <c r="E5873" s="2">
        <v>1</v>
      </c>
      <c r="F5873" s="2">
        <v>1</v>
      </c>
      <c r="G5873" s="2">
        <v>0</v>
      </c>
      <c r="H5873" s="1" t="s">
        <v>0</v>
      </c>
      <c r="I5873" s="2">
        <v>0</v>
      </c>
      <c r="J5873" s="1">
        <v>45972.58116898148</v>
      </c>
    </row>
    <row r="5874" spans="1:10" x14ac:dyDescent="0.2">
      <c r="A5874" s="4" t="s">
        <v>1</v>
      </c>
      <c r="B5874" s="3" t="str">
        <f>HYPERLINK("https://otsuka-europe-crm.veevavault.com/ui/#object/approved_document__v/V5O000000001002", "AM2M - ENFERMERÍA - Guía preguntas pacientes")</f>
        <v>AM2M - ENFERMERÍA - Guía preguntas pacientes</v>
      </c>
      <c r="C5874" s="3" t="str">
        <f>HYPERLINK("https://otsuka-europe-crm.veevavault.com/ui/#object/sent_email__v/VBL00000000L532", "SE-001389307")</f>
        <v>SE-001389307</v>
      </c>
      <c r="D5874" s="1" t="s">
        <v>0</v>
      </c>
      <c r="E5874" s="2">
        <v>0</v>
      </c>
      <c r="F5874" s="2">
        <v>0</v>
      </c>
      <c r="G5874" s="2">
        <v>0</v>
      </c>
      <c r="H5874" s="1" t="s">
        <v>0</v>
      </c>
      <c r="I5874" s="2">
        <v>0</v>
      </c>
      <c r="J5874" s="1">
        <v>45972.581203703703</v>
      </c>
    </row>
    <row r="5875" spans="1:10" x14ac:dyDescent="0.2">
      <c r="A5875" s="4" t="s">
        <v>1</v>
      </c>
      <c r="B5875" s="3" t="str">
        <f>HYPERLINK("https://otsuka-europe-crm.veevavault.com/ui/#object/approved_document__v/V5O000000001002", "AM2M - ENFERMERÍA - Guía preguntas pacientes")</f>
        <v>AM2M - ENFERMERÍA - Guía preguntas pacientes</v>
      </c>
      <c r="C5875" s="3" t="str">
        <f>HYPERLINK("https://otsuka-europe-crm.veevavault.com/ui/#object/sent_email__v/VBL00000000L533", "SE-001389308")</f>
        <v>SE-001389308</v>
      </c>
      <c r="D5875" s="1">
        <v>45972.613946759258</v>
      </c>
      <c r="E5875" s="2">
        <v>1</v>
      </c>
      <c r="F5875" s="2">
        <v>1</v>
      </c>
      <c r="G5875" s="2">
        <v>0</v>
      </c>
      <c r="H5875" s="1" t="s">
        <v>0</v>
      </c>
      <c r="I5875" s="2">
        <v>0</v>
      </c>
      <c r="J5875" s="1">
        <v>45972.581250000003</v>
      </c>
    </row>
    <row r="5876" spans="1:10" x14ac:dyDescent="0.2">
      <c r="A5876" s="4" t="s">
        <v>1</v>
      </c>
      <c r="B5876" s="3" t="str">
        <f>HYPERLINK("https://otsuka-europe-crm.veevavault.com/ui/#object/approved_document__v/V5O000000001002", "AM2M - ENFERMERÍA - Guía preguntas pacientes")</f>
        <v>AM2M - ENFERMERÍA - Guía preguntas pacientes</v>
      </c>
      <c r="C5876" s="3" t="str">
        <f>HYPERLINK("https://otsuka-europe-crm.veevavault.com/ui/#object/sent_email__v/VBL00000000L534", "SE-001389309")</f>
        <v>SE-001389309</v>
      </c>
      <c r="D5876" s="1">
        <v>45972.595567129632</v>
      </c>
      <c r="E5876" s="2">
        <v>1</v>
      </c>
      <c r="F5876" s="2">
        <v>1</v>
      </c>
      <c r="G5876" s="2">
        <v>0</v>
      </c>
      <c r="H5876" s="1" t="s">
        <v>0</v>
      </c>
      <c r="I5876" s="2">
        <v>0</v>
      </c>
      <c r="J5876" s="1">
        <v>45972.581296296295</v>
      </c>
    </row>
    <row r="5877" spans="1:10" x14ac:dyDescent="0.2">
      <c r="A5877" s="4" t="s">
        <v>1</v>
      </c>
      <c r="B5877" s="3" t="str">
        <f>HYPERLINK("https://otsuka-europe-crm.veevavault.com/ui/#object/approved_document__v/V5O000000001002", "AM2M - ENFERMERÍA - Guía preguntas pacientes")</f>
        <v>AM2M - ENFERMERÍA - Guía preguntas pacientes</v>
      </c>
      <c r="C5877" s="3" t="str">
        <f>HYPERLINK("https://otsuka-europe-crm.veevavault.com/ui/#object/sent_email__v/VBL00000000L535", "SE-001389310")</f>
        <v>SE-001389310</v>
      </c>
      <c r="D5877" s="1">
        <v>45975.312997685185</v>
      </c>
      <c r="E5877" s="2">
        <v>1</v>
      </c>
      <c r="F5877" s="2">
        <v>3</v>
      </c>
      <c r="G5877" s="2">
        <v>0</v>
      </c>
      <c r="H5877" s="1" t="s">
        <v>0</v>
      </c>
      <c r="I5877" s="2">
        <v>0</v>
      </c>
      <c r="J5877" s="1">
        <v>45972.581342592595</v>
      </c>
    </row>
    <row r="5878" spans="1:10" x14ac:dyDescent="0.2">
      <c r="A5878" s="4" t="s">
        <v>1</v>
      </c>
      <c r="B5878" s="3" t="str">
        <f>HYPERLINK("https://otsuka-europe-crm.veevavault.com/ui/#object/approved_document__v/V5O000000001002", "AM2M - ENFERMERÍA - Guía preguntas pacientes")</f>
        <v>AM2M - ENFERMERÍA - Guía preguntas pacientes</v>
      </c>
      <c r="C5878" s="3" t="str">
        <f>HYPERLINK("https://otsuka-europe-crm.veevavault.com/ui/#object/sent_email__v/VBL00000000L536", "SE-001389311")</f>
        <v>SE-001389311</v>
      </c>
      <c r="D5878" s="1">
        <v>45973.323483796295</v>
      </c>
      <c r="E5878" s="2">
        <v>1</v>
      </c>
      <c r="F5878" s="2">
        <v>3</v>
      </c>
      <c r="G5878" s="2">
        <v>0</v>
      </c>
      <c r="H5878" s="1" t="s">
        <v>0</v>
      </c>
      <c r="I5878" s="2">
        <v>0</v>
      </c>
      <c r="J5878" s="1">
        <v>45972.581388888888</v>
      </c>
    </row>
    <row r="5879" spans="1:10" x14ac:dyDescent="0.2">
      <c r="A5879" s="4" t="s">
        <v>1</v>
      </c>
      <c r="B5879" s="3" t="str">
        <f>HYPERLINK("https://otsuka-europe-crm.veevavault.com/ui/#object/approved_document__v/V5O000000001002", "AM2M - ENFERMERÍA - Guía preguntas pacientes")</f>
        <v>AM2M - ENFERMERÍA - Guía preguntas pacientes</v>
      </c>
      <c r="C5879" s="3" t="str">
        <f>HYPERLINK("https://otsuka-europe-crm.veevavault.com/ui/#object/sent_email__v/VBL00000000L537", "SE-001389312")</f>
        <v>SE-001389312</v>
      </c>
      <c r="D5879" s="1">
        <v>45972.972384259258</v>
      </c>
      <c r="E5879" s="2">
        <v>1</v>
      </c>
      <c r="F5879" s="2">
        <v>2</v>
      </c>
      <c r="G5879" s="2">
        <v>0</v>
      </c>
      <c r="H5879" s="1" t="s">
        <v>0</v>
      </c>
      <c r="I5879" s="2">
        <v>0</v>
      </c>
      <c r="J5879" s="1">
        <v>45972.581423611111</v>
      </c>
    </row>
    <row r="5880" spans="1:10" x14ac:dyDescent="0.2">
      <c r="A5880" s="4" t="s">
        <v>1</v>
      </c>
      <c r="B5880" s="3" t="str">
        <f>HYPERLINK("https://otsuka-europe-crm.veevavault.com/ui/#object/approved_document__v/V5O000000001002", "AM2M - ENFERMERÍA - Guía preguntas pacientes")</f>
        <v>AM2M - ENFERMERÍA - Guía preguntas pacientes</v>
      </c>
      <c r="C5880" s="3" t="str">
        <f>HYPERLINK("https://otsuka-europe-crm.veevavault.com/ui/#object/sent_email__v/VBL00000000L538", "SE-001389313")</f>
        <v>SE-001389313</v>
      </c>
      <c r="D5880" s="1" t="s">
        <v>0</v>
      </c>
      <c r="E5880" s="2">
        <v>0</v>
      </c>
      <c r="F5880" s="2">
        <v>0</v>
      </c>
      <c r="G5880" s="2">
        <v>0</v>
      </c>
      <c r="H5880" s="1" t="s">
        <v>0</v>
      </c>
      <c r="I5880" s="2">
        <v>0</v>
      </c>
      <c r="J5880" s="1">
        <v>45972.581469907411</v>
      </c>
    </row>
    <row r="5881" spans="1:10" x14ac:dyDescent="0.2">
      <c r="A5881" s="4" t="s">
        <v>1</v>
      </c>
      <c r="B5881" s="3" t="str">
        <f>HYPERLINK("https://otsuka-europe-crm.veevavault.com/ui/#object/approved_document__v/V5O000000001002", "AM2M - ENFERMERÍA - Guía preguntas pacientes")</f>
        <v>AM2M - ENFERMERÍA - Guía preguntas pacientes</v>
      </c>
      <c r="C5881" s="3" t="str">
        <f>HYPERLINK("https://otsuka-europe-crm.veevavault.com/ui/#object/sent_email__v/VBL00000000L539", "SE-001389314")</f>
        <v>SE-001389314</v>
      </c>
      <c r="D5881" s="1">
        <v>45972.795289351852</v>
      </c>
      <c r="E5881" s="2">
        <v>1</v>
      </c>
      <c r="F5881" s="2">
        <v>4</v>
      </c>
      <c r="G5881" s="2">
        <v>0</v>
      </c>
      <c r="H5881" s="1" t="s">
        <v>0</v>
      </c>
      <c r="I5881" s="2">
        <v>0</v>
      </c>
      <c r="J5881" s="1">
        <v>45972.581504629627</v>
      </c>
    </row>
    <row r="5882" spans="1:10" x14ac:dyDescent="0.2">
      <c r="A5882" s="4" t="s">
        <v>1</v>
      </c>
      <c r="B5882" s="3" t="str">
        <f>HYPERLINK("https://otsuka-europe-crm.veevavault.com/ui/#object/approved_document__v/V5O000000001002", "AM2M - ENFERMERÍA - Guía preguntas pacientes")</f>
        <v>AM2M - ENFERMERÍA - Guía preguntas pacientes</v>
      </c>
      <c r="C5882" s="3" t="str">
        <f>HYPERLINK("https://otsuka-europe-crm.veevavault.com/ui/#object/sent_email__v/VBL00000000L540", "SE-001389315")</f>
        <v>SE-001389315</v>
      </c>
      <c r="D5882" s="1">
        <v>45972.581631944442</v>
      </c>
      <c r="E5882" s="2">
        <v>1</v>
      </c>
      <c r="F5882" s="2">
        <v>1</v>
      </c>
      <c r="G5882" s="2">
        <v>0</v>
      </c>
      <c r="H5882" s="1" t="s">
        <v>0</v>
      </c>
      <c r="I5882" s="2">
        <v>0</v>
      </c>
      <c r="J5882" s="1">
        <v>45972.581550925926</v>
      </c>
    </row>
    <row r="5883" spans="1:10" x14ac:dyDescent="0.2">
      <c r="A5883" s="4" t="s">
        <v>1</v>
      </c>
      <c r="B5883" s="3" t="str">
        <f>HYPERLINK("https://otsuka-europe-crm.veevavault.com/ui/#object/approved_document__v/V5O000000001002", "AM2M - ENFERMERÍA - Guía preguntas pacientes")</f>
        <v>AM2M - ENFERMERÍA - Guía preguntas pacientes</v>
      </c>
      <c r="C5883" s="3" t="str">
        <f>HYPERLINK("https://otsuka-europe-crm.veevavault.com/ui/#object/sent_email__v/VBL00000000L541", "SE-001389316")</f>
        <v>SE-001389316</v>
      </c>
      <c r="D5883" s="1">
        <v>45973.439270833333</v>
      </c>
      <c r="E5883" s="2">
        <v>1</v>
      </c>
      <c r="F5883" s="2">
        <v>1</v>
      </c>
      <c r="G5883" s="2">
        <v>0</v>
      </c>
      <c r="H5883" s="1" t="s">
        <v>0</v>
      </c>
      <c r="I5883" s="2">
        <v>0</v>
      </c>
      <c r="J5883" s="1">
        <v>45972.581597222219</v>
      </c>
    </row>
    <row r="5884" spans="1:10" x14ac:dyDescent="0.2">
      <c r="A5884" s="4" t="s">
        <v>1</v>
      </c>
      <c r="B5884" s="3" t="str">
        <f>HYPERLINK("https://otsuka-europe-crm.veevavault.com/ui/#object/approved_document__v/V5O000000001002", "AM2M - ENFERMERÍA - Guía preguntas pacientes")</f>
        <v>AM2M - ENFERMERÍA - Guía preguntas pacientes</v>
      </c>
      <c r="C5884" s="3" t="str">
        <f>HYPERLINK("https://otsuka-europe-crm.veevavault.com/ui/#object/sent_email__v/VBL00000000L542", "SE-001389317")</f>
        <v>SE-001389317</v>
      </c>
      <c r="D5884" s="1">
        <v>45972.758472222224</v>
      </c>
      <c r="E5884" s="2">
        <v>1</v>
      </c>
      <c r="F5884" s="2">
        <v>2</v>
      </c>
      <c r="G5884" s="2">
        <v>0</v>
      </c>
      <c r="H5884" s="1" t="s">
        <v>0</v>
      </c>
      <c r="I5884" s="2">
        <v>0</v>
      </c>
      <c r="J5884" s="1">
        <v>45972.581631944442</v>
      </c>
    </row>
    <row r="5885" spans="1:10" x14ac:dyDescent="0.2">
      <c r="A5885" s="4" t="s">
        <v>1</v>
      </c>
      <c r="B5885" s="3" t="str">
        <f>HYPERLINK("https://otsuka-europe-crm.veevavault.com/ui/#object/approved_document__v/V5O000000001002", "AM2M - ENFERMERÍA - Guía preguntas pacientes")</f>
        <v>AM2M - ENFERMERÍA - Guía preguntas pacientes</v>
      </c>
      <c r="C5885" s="3" t="str">
        <f>HYPERLINK("https://otsuka-europe-crm.veevavault.com/ui/#object/sent_email__v/VBL00000000L543", "SE-001389318")</f>
        <v>SE-001389318</v>
      </c>
      <c r="D5885" s="1">
        <v>45972.581793981481</v>
      </c>
      <c r="E5885" s="2">
        <v>1</v>
      </c>
      <c r="F5885" s="2">
        <v>1</v>
      </c>
      <c r="G5885" s="2">
        <v>0</v>
      </c>
      <c r="H5885" s="1" t="s">
        <v>0</v>
      </c>
      <c r="I5885" s="2">
        <v>0</v>
      </c>
      <c r="J5885" s="1">
        <v>45972.581678240742</v>
      </c>
    </row>
    <row r="5886" spans="1:10" x14ac:dyDescent="0.2">
      <c r="A5886" s="4" t="s">
        <v>1</v>
      </c>
      <c r="B5886" s="3" t="str">
        <f>HYPERLINK("https://otsuka-europe-crm.veevavault.com/ui/#object/approved_document__v/V5O000000001002", "AM2M - ENFERMERÍA - Guía preguntas pacientes")</f>
        <v>AM2M - ENFERMERÍA - Guía preguntas pacientes</v>
      </c>
      <c r="C5886" s="3" t="str">
        <f>HYPERLINK("https://otsuka-europe-crm.veevavault.com/ui/#object/sent_email__v/VBL00000000L544", "SE-001389319")</f>
        <v>SE-001389319</v>
      </c>
      <c r="D5886" s="1" t="s">
        <v>0</v>
      </c>
      <c r="E5886" s="2">
        <v>0</v>
      </c>
      <c r="F5886" s="2">
        <v>0</v>
      </c>
      <c r="G5886" s="2">
        <v>0</v>
      </c>
      <c r="H5886" s="1" t="s">
        <v>0</v>
      </c>
      <c r="I5886" s="2">
        <v>0</v>
      </c>
      <c r="J5886" s="1">
        <v>45972.581712962965</v>
      </c>
    </row>
    <row r="5887" spans="1:10" x14ac:dyDescent="0.2">
      <c r="A5887" s="4" t="s">
        <v>1</v>
      </c>
      <c r="B5887" s="3" t="str">
        <f>HYPERLINK("https://otsuka-europe-crm.veevavault.com/ui/#object/approved_document__v/V5O000000001002", "AM2M - ENFERMERÍA - Guía preguntas pacientes")</f>
        <v>AM2M - ENFERMERÍA - Guía preguntas pacientes</v>
      </c>
      <c r="C5887" s="3" t="str">
        <f>HYPERLINK("https://otsuka-europe-crm.veevavault.com/ui/#object/sent_email__v/VBL00000000L545", "SE-001389320")</f>
        <v>SE-001389320</v>
      </c>
      <c r="D5887" s="1" t="s">
        <v>0</v>
      </c>
      <c r="E5887" s="2">
        <v>0</v>
      </c>
      <c r="F5887" s="2">
        <v>0</v>
      </c>
      <c r="G5887" s="2">
        <v>0</v>
      </c>
      <c r="H5887" s="1" t="s">
        <v>0</v>
      </c>
      <c r="I5887" s="2">
        <v>0</v>
      </c>
      <c r="J5887" s="1">
        <v>45972.581759259258</v>
      </c>
    </row>
    <row r="5888" spans="1:10" x14ac:dyDescent="0.2">
      <c r="A5888" s="4" t="s">
        <v>1</v>
      </c>
      <c r="B5888" s="3" t="str">
        <f>HYPERLINK("https://otsuka-europe-crm.veevavault.com/ui/#object/approved_document__v/V5O000000001002", "AM2M - ENFERMERÍA - Guía preguntas pacientes")</f>
        <v>AM2M - ENFERMERÍA - Guía preguntas pacientes</v>
      </c>
      <c r="C5888" s="3" t="str">
        <f>HYPERLINK("https://otsuka-europe-crm.veevavault.com/ui/#object/sent_email__v/VBL00000000L546", "SE-001389321")</f>
        <v>SE-001389321</v>
      </c>
      <c r="D5888" s="1" t="s">
        <v>0</v>
      </c>
      <c r="E5888" s="2">
        <v>0</v>
      </c>
      <c r="F5888" s="2">
        <v>0</v>
      </c>
      <c r="G5888" s="2">
        <v>0</v>
      </c>
      <c r="H5888" s="1" t="s">
        <v>0</v>
      </c>
      <c r="I5888" s="2">
        <v>0</v>
      </c>
      <c r="J5888" s="1">
        <v>45972.581805555557</v>
      </c>
    </row>
    <row r="5889" spans="1:10" x14ac:dyDescent="0.2">
      <c r="A5889" s="4" t="s">
        <v>1</v>
      </c>
      <c r="B5889" s="3" t="str">
        <f>HYPERLINK("https://otsuka-europe-crm.veevavault.com/ui/#object/approved_document__v/V5O000000001002", "AM2M - ENFERMERÍA - Guía preguntas pacientes")</f>
        <v>AM2M - ENFERMERÍA - Guía preguntas pacientes</v>
      </c>
      <c r="C5889" s="3" t="str">
        <f>HYPERLINK("https://otsuka-europe-crm.veevavault.com/ui/#object/sent_email__v/VBL00000000L547", "SE-001389322")</f>
        <v>SE-001389322</v>
      </c>
      <c r="D5889" s="1" t="s">
        <v>0</v>
      </c>
      <c r="E5889" s="2">
        <v>0</v>
      </c>
      <c r="F5889" s="2">
        <v>0</v>
      </c>
      <c r="G5889" s="2">
        <v>0</v>
      </c>
      <c r="H5889" s="1" t="s">
        <v>0</v>
      </c>
      <c r="I5889" s="2">
        <v>0</v>
      </c>
      <c r="J5889" s="1">
        <v>45972.58185185185</v>
      </c>
    </row>
    <row r="5890" spans="1:10" x14ac:dyDescent="0.2">
      <c r="A5890" s="4" t="s">
        <v>1</v>
      </c>
      <c r="B5890" s="3" t="str">
        <f>HYPERLINK("https://otsuka-europe-crm.veevavault.com/ui/#object/approved_document__v/V5O000000001002", "AM2M - ENFERMERÍA - Guía preguntas pacientes")</f>
        <v>AM2M - ENFERMERÍA - Guía preguntas pacientes</v>
      </c>
      <c r="C5890" s="3" t="str">
        <f>HYPERLINK("https://otsuka-europe-crm.veevavault.com/ui/#object/sent_email__v/VBL00000000L548", "SE-001389323")</f>
        <v>SE-001389323</v>
      </c>
      <c r="D5890" s="1">
        <v>45972.922094907408</v>
      </c>
      <c r="E5890" s="2">
        <v>1</v>
      </c>
      <c r="F5890" s="2">
        <v>2</v>
      </c>
      <c r="G5890" s="2">
        <v>0</v>
      </c>
      <c r="H5890" s="1" t="s">
        <v>0</v>
      </c>
      <c r="I5890" s="2">
        <v>0</v>
      </c>
      <c r="J5890" s="1">
        <v>45972.581886574073</v>
      </c>
    </row>
    <row r="5891" spans="1:10" x14ac:dyDescent="0.2">
      <c r="A5891" s="4" t="s">
        <v>1</v>
      </c>
      <c r="B5891" s="3" t="str">
        <f>HYPERLINK("https://otsuka-europe-crm.veevavault.com/ui/#object/approved_document__v/V5O000000001002", "AM2M - ENFERMERÍA - Guía preguntas pacientes")</f>
        <v>AM2M - ENFERMERÍA - Guía preguntas pacientes</v>
      </c>
      <c r="C5891" s="3" t="str">
        <f>HYPERLINK("https://otsuka-europe-crm.veevavault.com/ui/#object/sent_email__v/VBL00000000L549", "SE-001389324")</f>
        <v>SE-001389324</v>
      </c>
      <c r="D5891" s="1">
        <v>45978.499525462961</v>
      </c>
      <c r="E5891" s="2">
        <v>1</v>
      </c>
      <c r="F5891" s="2">
        <v>2</v>
      </c>
      <c r="G5891" s="2">
        <v>0</v>
      </c>
      <c r="H5891" s="1" t="s">
        <v>0</v>
      </c>
      <c r="I5891" s="2">
        <v>0</v>
      </c>
      <c r="J5891" s="1">
        <v>45972.581921296296</v>
      </c>
    </row>
    <row r="5892" spans="1:10" x14ac:dyDescent="0.2">
      <c r="A5892" s="4" t="s">
        <v>1</v>
      </c>
      <c r="B5892" s="3" t="str">
        <f>HYPERLINK("https://otsuka-europe-crm.veevavault.com/ui/#object/approved_document__v/V5O000000001002", "AM2M - ENFERMERÍA - Guía preguntas pacientes")</f>
        <v>AM2M - ENFERMERÍA - Guía preguntas pacientes</v>
      </c>
      <c r="C5892" s="3" t="str">
        <f>HYPERLINK("https://otsuka-europe-crm.veevavault.com/ui/#object/sent_email__v/VBL00000000L550", "SE-001389325")</f>
        <v>SE-001389325</v>
      </c>
      <c r="D5892" s="1">
        <v>45973.583645833336</v>
      </c>
      <c r="E5892" s="2">
        <v>1</v>
      </c>
      <c r="F5892" s="2">
        <v>6</v>
      </c>
      <c r="G5892" s="2">
        <v>0</v>
      </c>
      <c r="H5892" s="1" t="s">
        <v>0</v>
      </c>
      <c r="I5892" s="2">
        <v>0</v>
      </c>
      <c r="J5892" s="1">
        <v>45972.581967592596</v>
      </c>
    </row>
    <row r="5893" spans="1:10" x14ac:dyDescent="0.2">
      <c r="A5893" s="4" t="s">
        <v>1</v>
      </c>
      <c r="B5893" s="3" t="str">
        <f>HYPERLINK("https://otsuka-europe-crm.veevavault.com/ui/#object/approved_document__v/V5O000000001002", "AM2M - ENFERMERÍA - Guía preguntas pacientes")</f>
        <v>AM2M - ENFERMERÍA - Guía preguntas pacientes</v>
      </c>
      <c r="C5893" s="3" t="str">
        <f>HYPERLINK("https://otsuka-europe-crm.veevavault.com/ui/#object/sent_email__v/VBL00000000L551", "SE-001389326")</f>
        <v>SE-001389326</v>
      </c>
      <c r="D5893" s="1" t="s">
        <v>0</v>
      </c>
      <c r="E5893" s="2">
        <v>0</v>
      </c>
      <c r="F5893" s="2">
        <v>0</v>
      </c>
      <c r="G5893" s="2">
        <v>0</v>
      </c>
      <c r="H5893" s="1" t="s">
        <v>0</v>
      </c>
      <c r="I5893" s="2">
        <v>0</v>
      </c>
      <c r="J5893" s="1">
        <v>45972.582013888888</v>
      </c>
    </row>
    <row r="5894" spans="1:10" x14ac:dyDescent="0.2">
      <c r="A5894" s="4" t="s">
        <v>1</v>
      </c>
      <c r="B5894" s="3" t="str">
        <f>HYPERLINK("https://otsuka-europe-crm.veevavault.com/ui/#object/approved_document__v/V5O000000001002", "AM2M - ENFERMERÍA - Guía preguntas pacientes")</f>
        <v>AM2M - ENFERMERÍA - Guía preguntas pacientes</v>
      </c>
      <c r="C5894" s="3" t="str">
        <f>HYPERLINK("https://otsuka-europe-crm.veevavault.com/ui/#object/sent_email__v/VBL00000000L552", "SE-001389327")</f>
        <v>SE-001389327</v>
      </c>
      <c r="D5894" s="1">
        <v>45972.599687499998</v>
      </c>
      <c r="E5894" s="2">
        <v>1</v>
      </c>
      <c r="F5894" s="2">
        <v>2</v>
      </c>
      <c r="G5894" s="2">
        <v>0</v>
      </c>
      <c r="H5894" s="1" t="s">
        <v>0</v>
      </c>
      <c r="I5894" s="2">
        <v>0</v>
      </c>
      <c r="J5894" s="1">
        <v>45972.582048611112</v>
      </c>
    </row>
    <row r="5895" spans="1:10" x14ac:dyDescent="0.2">
      <c r="A5895" s="4" t="s">
        <v>1</v>
      </c>
      <c r="B5895" s="3" t="str">
        <f>HYPERLINK("https://otsuka-europe-crm.veevavault.com/ui/#object/approved_document__v/V5O000000001002", "AM2M - ENFERMERÍA - Guía preguntas pacientes")</f>
        <v>AM2M - ENFERMERÍA - Guía preguntas pacientes</v>
      </c>
      <c r="C5895" s="3" t="str">
        <f>HYPERLINK("https://otsuka-europe-crm.veevavault.com/ui/#object/sent_email__v/VBL00000000L553", "SE-001389328")</f>
        <v>SE-001389328</v>
      </c>
      <c r="D5895" s="1" t="s">
        <v>0</v>
      </c>
      <c r="E5895" s="2">
        <v>0</v>
      </c>
      <c r="F5895" s="2">
        <v>0</v>
      </c>
      <c r="G5895" s="2">
        <v>0</v>
      </c>
      <c r="H5895" s="1" t="s">
        <v>0</v>
      </c>
      <c r="I5895" s="2">
        <v>0</v>
      </c>
      <c r="J5895" s="1">
        <v>45972.582094907404</v>
      </c>
    </row>
    <row r="5896" spans="1:10" x14ac:dyDescent="0.2">
      <c r="A5896" s="4" t="s">
        <v>1</v>
      </c>
      <c r="B5896" s="3" t="str">
        <f>HYPERLINK("https://otsuka-europe-crm.veevavault.com/ui/#object/approved_document__v/V5O000000001002", "AM2M - ENFERMERÍA - Guía preguntas pacientes")</f>
        <v>AM2M - ENFERMERÍA - Guía preguntas pacientes</v>
      </c>
      <c r="C5896" s="3" t="str">
        <f>HYPERLINK("https://otsuka-europe-crm.veevavault.com/ui/#object/sent_email__v/VBL00000000L554", "SE-001389329")</f>
        <v>SE-001389329</v>
      </c>
      <c r="D5896" s="1">
        <v>45972.872604166667</v>
      </c>
      <c r="E5896" s="2">
        <v>1</v>
      </c>
      <c r="F5896" s="2">
        <v>1</v>
      </c>
      <c r="G5896" s="2">
        <v>0</v>
      </c>
      <c r="H5896" s="1" t="s">
        <v>0</v>
      </c>
      <c r="I5896" s="2">
        <v>0</v>
      </c>
      <c r="J5896" s="1">
        <v>45972.582129629627</v>
      </c>
    </row>
    <row r="5897" spans="1:10" x14ac:dyDescent="0.2">
      <c r="A5897" s="4" t="s">
        <v>1</v>
      </c>
      <c r="B5897" s="3" t="str">
        <f>HYPERLINK("https://otsuka-europe-crm.veevavault.com/ui/#object/approved_document__v/V5O000000001002", "AM2M - ENFERMERÍA - Guía preguntas pacientes")</f>
        <v>AM2M - ENFERMERÍA - Guía preguntas pacientes</v>
      </c>
      <c r="C5897" s="3" t="str">
        <f>HYPERLINK("https://otsuka-europe-crm.veevavault.com/ui/#object/sent_email__v/VBL00000000L555", "SE-001389330")</f>
        <v>SE-001389330</v>
      </c>
      <c r="D5897" s="1">
        <v>45972.583680555559</v>
      </c>
      <c r="E5897" s="2">
        <v>1</v>
      </c>
      <c r="F5897" s="2">
        <v>2</v>
      </c>
      <c r="G5897" s="2">
        <v>0</v>
      </c>
      <c r="H5897" s="1" t="s">
        <v>0</v>
      </c>
      <c r="I5897" s="2">
        <v>0</v>
      </c>
      <c r="J5897" s="1">
        <v>45972.582175925927</v>
      </c>
    </row>
    <row r="5898" spans="1:10" x14ac:dyDescent="0.2">
      <c r="A5898" s="4" t="s">
        <v>1</v>
      </c>
      <c r="B5898" s="3" t="str">
        <f>HYPERLINK("https://otsuka-europe-crm.veevavault.com/ui/#object/approved_document__v/V5O000000001002", "AM2M - ENFERMERÍA - Guía preguntas pacientes")</f>
        <v>AM2M - ENFERMERÍA - Guía preguntas pacientes</v>
      </c>
      <c r="C5898" s="3" t="str">
        <f>HYPERLINK("https://otsuka-europe-crm.veevavault.com/ui/#object/sent_email__v/VBL00000000L556", "SE-001389331")</f>
        <v>SE-001389331</v>
      </c>
      <c r="D5898" s="1">
        <v>45974.331400462965</v>
      </c>
      <c r="E5898" s="2">
        <v>1</v>
      </c>
      <c r="F5898" s="2">
        <v>1</v>
      </c>
      <c r="G5898" s="2">
        <v>0</v>
      </c>
      <c r="H5898" s="1" t="s">
        <v>0</v>
      </c>
      <c r="I5898" s="2">
        <v>0</v>
      </c>
      <c r="J5898" s="1">
        <v>45972.58221064815</v>
      </c>
    </row>
    <row r="5899" spans="1:10" x14ac:dyDescent="0.2">
      <c r="A5899" s="4" t="s">
        <v>1</v>
      </c>
      <c r="B5899" s="3" t="str">
        <f>HYPERLINK("https://otsuka-europe-crm.veevavault.com/ui/#object/approved_document__v/V5O000000001002", "AM2M - ENFERMERÍA - Guía preguntas pacientes")</f>
        <v>AM2M - ENFERMERÍA - Guía preguntas pacientes</v>
      </c>
      <c r="C5899" s="3" t="str">
        <f>HYPERLINK("https://otsuka-europe-crm.veevavault.com/ui/#object/sent_email__v/VBL00000000L557", "SE-001389332")</f>
        <v>SE-001389332</v>
      </c>
      <c r="D5899" s="1" t="s">
        <v>0</v>
      </c>
      <c r="E5899" s="2">
        <v>0</v>
      </c>
      <c r="F5899" s="2">
        <v>0</v>
      </c>
      <c r="G5899" s="2">
        <v>0</v>
      </c>
      <c r="H5899" s="1" t="s">
        <v>0</v>
      </c>
      <c r="I5899" s="2">
        <v>0</v>
      </c>
      <c r="J5899" s="1">
        <v>45972.582256944443</v>
      </c>
    </row>
    <row r="5900" spans="1:10" x14ac:dyDescent="0.2">
      <c r="A5900" s="4" t="s">
        <v>1</v>
      </c>
      <c r="B5900" s="3" t="str">
        <f>HYPERLINK("https://otsuka-europe-crm.veevavault.com/ui/#object/approved_document__v/V5O000000001002", "AM2M - ENFERMERÍA - Guía preguntas pacientes")</f>
        <v>AM2M - ENFERMERÍA - Guía preguntas pacientes</v>
      </c>
      <c r="C5900" s="3" t="str">
        <f>HYPERLINK("https://otsuka-europe-crm.veevavault.com/ui/#object/sent_email__v/VBL00000000L558", "SE-001389333")</f>
        <v>SE-001389333</v>
      </c>
      <c r="D5900" s="1" t="s">
        <v>0</v>
      </c>
      <c r="E5900" s="2">
        <v>0</v>
      </c>
      <c r="F5900" s="2">
        <v>0</v>
      </c>
      <c r="G5900" s="2">
        <v>0</v>
      </c>
      <c r="H5900" s="1" t="s">
        <v>0</v>
      </c>
      <c r="I5900" s="2">
        <v>0</v>
      </c>
      <c r="J5900" s="1">
        <v>45972.582291666666</v>
      </c>
    </row>
    <row r="5901" spans="1:10" x14ac:dyDescent="0.2">
      <c r="A5901" s="4" t="s">
        <v>1</v>
      </c>
      <c r="B5901" s="3" t="str">
        <f>HYPERLINK("https://otsuka-europe-crm.veevavault.com/ui/#object/approved_document__v/V5O000000001002", "AM2M - ENFERMERÍA - Guía preguntas pacientes")</f>
        <v>AM2M - ENFERMERÍA - Guía preguntas pacientes</v>
      </c>
      <c r="C5901" s="3" t="str">
        <f>HYPERLINK("https://otsuka-europe-crm.veevavault.com/ui/#object/sent_email__v/VBL00000000L559", "SE-001389334")</f>
        <v>SE-001389334</v>
      </c>
      <c r="D5901" s="1" t="s">
        <v>0</v>
      </c>
      <c r="E5901" s="2">
        <v>0</v>
      </c>
      <c r="F5901" s="2">
        <v>0</v>
      </c>
      <c r="G5901" s="2">
        <v>0</v>
      </c>
      <c r="H5901" s="1" t="s">
        <v>0</v>
      </c>
      <c r="I5901" s="2">
        <v>0</v>
      </c>
      <c r="J5901" s="1">
        <v>45972.582326388889</v>
      </c>
    </row>
    <row r="5902" spans="1:10" x14ac:dyDescent="0.2">
      <c r="A5902" s="4" t="s">
        <v>1</v>
      </c>
      <c r="B5902" s="3" t="str">
        <f>HYPERLINK("https://otsuka-europe-crm.veevavault.com/ui/#object/approved_document__v/V5O000000001002", "AM2M - ENFERMERÍA - Guía preguntas pacientes")</f>
        <v>AM2M - ENFERMERÍA - Guía preguntas pacientes</v>
      </c>
      <c r="C5902" s="3" t="str">
        <f>HYPERLINK("https://otsuka-europe-crm.veevavault.com/ui/#object/sent_email__v/VBL00000000L560", "SE-001389335")</f>
        <v>SE-001389335</v>
      </c>
      <c r="D5902" s="1">
        <v>45978.244618055556</v>
      </c>
      <c r="E5902" s="2">
        <v>1</v>
      </c>
      <c r="F5902" s="2">
        <v>2</v>
      </c>
      <c r="G5902" s="2">
        <v>0</v>
      </c>
      <c r="H5902" s="1" t="s">
        <v>0</v>
      </c>
      <c r="I5902" s="2">
        <v>0</v>
      </c>
      <c r="J5902" s="1">
        <v>45972.582372685189</v>
      </c>
    </row>
    <row r="5903" spans="1:10" x14ac:dyDescent="0.2">
      <c r="A5903" s="4" t="s">
        <v>1</v>
      </c>
      <c r="B5903" s="3" t="str">
        <f>HYPERLINK("https://otsuka-europe-crm.veevavault.com/ui/#object/approved_document__v/V5O000000001002", "AM2M - ENFERMERÍA - Guía preguntas pacientes")</f>
        <v>AM2M - ENFERMERÍA - Guía preguntas pacientes</v>
      </c>
      <c r="C5903" s="3" t="str">
        <f>HYPERLINK("https://otsuka-europe-crm.veevavault.com/ui/#object/sent_email__v/VBL00000000L561", "SE-001389336")</f>
        <v>SE-001389336</v>
      </c>
      <c r="D5903" s="1" t="s">
        <v>0</v>
      </c>
      <c r="E5903" s="2">
        <v>0</v>
      </c>
      <c r="F5903" s="2">
        <v>0</v>
      </c>
      <c r="G5903" s="2">
        <v>0</v>
      </c>
      <c r="H5903" s="1" t="s">
        <v>0</v>
      </c>
      <c r="I5903" s="2">
        <v>0</v>
      </c>
      <c r="J5903" s="1">
        <v>45972.582418981481</v>
      </c>
    </row>
    <row r="5904" spans="1:10" x14ac:dyDescent="0.2">
      <c r="A5904" s="4" t="s">
        <v>1</v>
      </c>
      <c r="B5904" s="3" t="str">
        <f>HYPERLINK("https://otsuka-europe-crm.veevavault.com/ui/#object/approved_document__v/V5O000000001002", "AM2M - ENFERMERÍA - Guía preguntas pacientes")</f>
        <v>AM2M - ENFERMERÍA - Guía preguntas pacientes</v>
      </c>
      <c r="C5904" s="3" t="str">
        <f>HYPERLINK("https://otsuka-europe-crm.veevavault.com/ui/#object/sent_email__v/VBL00000000L562", "SE-001389337")</f>
        <v>SE-001389337</v>
      </c>
      <c r="D5904" s="1" t="s">
        <v>0</v>
      </c>
      <c r="E5904" s="2">
        <v>0</v>
      </c>
      <c r="F5904" s="2">
        <v>0</v>
      </c>
      <c r="G5904" s="2">
        <v>0</v>
      </c>
      <c r="H5904" s="1" t="s">
        <v>0</v>
      </c>
      <c r="I5904" s="2">
        <v>0</v>
      </c>
      <c r="J5904" s="1">
        <v>45972.582453703704</v>
      </c>
    </row>
    <row r="5905" spans="1:10" x14ac:dyDescent="0.2">
      <c r="A5905" s="4" t="s">
        <v>1</v>
      </c>
      <c r="B5905" s="3" t="str">
        <f>HYPERLINK("https://otsuka-europe-crm.veevavault.com/ui/#object/approved_document__v/V5O000000001002", "AM2M - ENFERMERÍA - Guía preguntas pacientes")</f>
        <v>AM2M - ENFERMERÍA - Guía preguntas pacientes</v>
      </c>
      <c r="C5905" s="3" t="str">
        <f>HYPERLINK("https://otsuka-europe-crm.veevavault.com/ui/#object/sent_email__v/VBL00000000L563", "SE-001389338")</f>
        <v>SE-001389338</v>
      </c>
      <c r="D5905" s="1" t="s">
        <v>0</v>
      </c>
      <c r="E5905" s="2">
        <v>0</v>
      </c>
      <c r="F5905" s="2">
        <v>0</v>
      </c>
      <c r="G5905" s="2">
        <v>0</v>
      </c>
      <c r="H5905" s="1" t="s">
        <v>0</v>
      </c>
      <c r="I5905" s="2">
        <v>0</v>
      </c>
      <c r="J5905" s="1">
        <v>45972.582499999997</v>
      </c>
    </row>
    <row r="5906" spans="1:10" x14ac:dyDescent="0.2">
      <c r="A5906" s="4" t="s">
        <v>1</v>
      </c>
      <c r="B5906" s="3" t="str">
        <f>HYPERLINK("https://otsuka-europe-crm.veevavault.com/ui/#object/approved_document__v/V5O000000001002", "AM2M - ENFERMERÍA - Guía preguntas pacientes")</f>
        <v>AM2M - ENFERMERÍA - Guía preguntas pacientes</v>
      </c>
      <c r="C5906" s="3" t="str">
        <f>HYPERLINK("https://otsuka-europe-crm.veevavault.com/ui/#object/sent_email__v/VBL00000000L564", "SE-001389339")</f>
        <v>SE-001389339</v>
      </c>
      <c r="D5906" s="1" t="s">
        <v>0</v>
      </c>
      <c r="E5906" s="2">
        <v>0</v>
      </c>
      <c r="F5906" s="2">
        <v>0</v>
      </c>
      <c r="G5906" s="2">
        <v>0</v>
      </c>
      <c r="H5906" s="1" t="s">
        <v>0</v>
      </c>
      <c r="I5906" s="2">
        <v>0</v>
      </c>
      <c r="J5906" s="1">
        <v>45972.582546296297</v>
      </c>
    </row>
    <row r="5907" spans="1:10" x14ac:dyDescent="0.2">
      <c r="A5907" s="4" t="s">
        <v>1</v>
      </c>
      <c r="B5907" s="3" t="str">
        <f>HYPERLINK("https://otsuka-europe-crm.veevavault.com/ui/#object/approved_document__v/V5O000000001002", "AM2M - ENFERMERÍA - Guía preguntas pacientes")</f>
        <v>AM2M - ENFERMERÍA - Guía preguntas pacientes</v>
      </c>
      <c r="C5907" s="3" t="str">
        <f>HYPERLINK("https://otsuka-europe-crm.veevavault.com/ui/#object/sent_email__v/VBL00000000L565", "SE-001389340")</f>
        <v>SE-001389340</v>
      </c>
      <c r="D5907" s="1" t="s">
        <v>0</v>
      </c>
      <c r="E5907" s="2">
        <v>0</v>
      </c>
      <c r="F5907" s="2">
        <v>0</v>
      </c>
      <c r="G5907" s="2">
        <v>0</v>
      </c>
      <c r="H5907" s="1" t="s">
        <v>0</v>
      </c>
      <c r="I5907" s="2">
        <v>0</v>
      </c>
      <c r="J5907" s="1">
        <v>45972.58258101852</v>
      </c>
    </row>
    <row r="5908" spans="1:10" x14ac:dyDescent="0.2">
      <c r="A5908" s="4" t="s">
        <v>1</v>
      </c>
      <c r="B5908" s="3" t="str">
        <f>HYPERLINK("https://otsuka-europe-crm.veevavault.com/ui/#object/approved_document__v/V5O000000001002", "AM2M - ENFERMERÍA - Guía preguntas pacientes")</f>
        <v>AM2M - ENFERMERÍA - Guía preguntas pacientes</v>
      </c>
      <c r="C5908" s="3" t="str">
        <f>HYPERLINK("https://otsuka-europe-crm.veevavault.com/ui/#object/sent_email__v/VBL00000000L566", "SE-001389341")</f>
        <v>SE-001389341</v>
      </c>
      <c r="D5908" s="1" t="s">
        <v>0</v>
      </c>
      <c r="E5908" s="2">
        <v>0</v>
      </c>
      <c r="F5908" s="2">
        <v>0</v>
      </c>
      <c r="G5908" s="2">
        <v>0</v>
      </c>
      <c r="H5908" s="1" t="s">
        <v>0</v>
      </c>
      <c r="I5908" s="2">
        <v>0</v>
      </c>
      <c r="J5908" s="1">
        <v>45972.582615740743</v>
      </c>
    </row>
    <row r="5909" spans="1:10" x14ac:dyDescent="0.2">
      <c r="A5909" s="4" t="s">
        <v>1</v>
      </c>
      <c r="B5909" s="3" t="str">
        <f>HYPERLINK("https://otsuka-europe-crm.veevavault.com/ui/#object/approved_document__v/V5O000000001002", "AM2M - ENFERMERÍA - Guía preguntas pacientes")</f>
        <v>AM2M - ENFERMERÍA - Guía preguntas pacientes</v>
      </c>
      <c r="C5909" s="3" t="str">
        <f>HYPERLINK("https://otsuka-europe-crm.veevavault.com/ui/#object/sent_email__v/VBL00000000L567", "SE-001389342")</f>
        <v>SE-001389342</v>
      </c>
      <c r="D5909" s="1">
        <v>45972.596365740741</v>
      </c>
      <c r="E5909" s="2">
        <v>1</v>
      </c>
      <c r="F5909" s="2">
        <v>1</v>
      </c>
      <c r="G5909" s="2">
        <v>0</v>
      </c>
      <c r="H5909" s="1" t="s">
        <v>0</v>
      </c>
      <c r="I5909" s="2">
        <v>0</v>
      </c>
      <c r="J5909" s="1">
        <v>45972.582662037035</v>
      </c>
    </row>
    <row r="5910" spans="1:10" x14ac:dyDescent="0.2">
      <c r="A5910" s="4" t="s">
        <v>1</v>
      </c>
      <c r="B5910" s="3" t="str">
        <f>HYPERLINK("https://otsuka-europe-crm.veevavault.com/ui/#object/approved_document__v/V5O000000001002", "AM2M - ENFERMERÍA - Guía preguntas pacientes")</f>
        <v>AM2M - ENFERMERÍA - Guía preguntas pacientes</v>
      </c>
      <c r="C5910" s="3" t="str">
        <f>HYPERLINK("https://otsuka-europe-crm.veevavault.com/ui/#object/sent_email__v/VBL00000000L568", "SE-001389343")</f>
        <v>SE-001389343</v>
      </c>
      <c r="D5910" s="1">
        <v>45972.854699074072</v>
      </c>
      <c r="E5910" s="2">
        <v>1</v>
      </c>
      <c r="F5910" s="2">
        <v>1</v>
      </c>
      <c r="G5910" s="2">
        <v>0</v>
      </c>
      <c r="H5910" s="1" t="s">
        <v>0</v>
      </c>
      <c r="I5910" s="2">
        <v>0</v>
      </c>
      <c r="J5910" s="1">
        <v>45972.582696759258</v>
      </c>
    </row>
    <row r="5911" spans="1:10" x14ac:dyDescent="0.2">
      <c r="A5911" s="4" t="s">
        <v>1</v>
      </c>
      <c r="B5911" s="3" t="str">
        <f>HYPERLINK("https://otsuka-europe-crm.veevavault.com/ui/#object/approved_document__v/V5O000000001002", "AM2M - ENFERMERÍA - Guía preguntas pacientes")</f>
        <v>AM2M - ENFERMERÍA - Guía preguntas pacientes</v>
      </c>
      <c r="C5911" s="3" t="str">
        <f>HYPERLINK("https://otsuka-europe-crm.veevavault.com/ui/#object/sent_email__v/VBL00000000L569", "SE-001389344")</f>
        <v>SE-001389344</v>
      </c>
      <c r="D5911" s="1">
        <v>45972.770752314813</v>
      </c>
      <c r="E5911" s="2">
        <v>1</v>
      </c>
      <c r="F5911" s="2">
        <v>2</v>
      </c>
      <c r="G5911" s="2">
        <v>0</v>
      </c>
      <c r="H5911" s="1" t="s">
        <v>0</v>
      </c>
      <c r="I5911" s="2">
        <v>0</v>
      </c>
      <c r="J5911" s="1">
        <v>45972.582743055558</v>
      </c>
    </row>
    <row r="5912" spans="1:10" x14ac:dyDescent="0.2">
      <c r="A5912" s="4" t="s">
        <v>1</v>
      </c>
      <c r="B5912" s="3" t="str">
        <f>HYPERLINK("https://otsuka-europe-crm.veevavault.com/ui/#object/approved_document__v/V5O000000001002", "AM2M - ENFERMERÍA - Guía preguntas pacientes")</f>
        <v>AM2M - ENFERMERÍA - Guía preguntas pacientes</v>
      </c>
      <c r="C5912" s="3" t="str">
        <f>HYPERLINK("https://otsuka-europe-crm.veevavault.com/ui/#object/sent_email__v/VBL00000000L570", "SE-001389345")</f>
        <v>SE-001389345</v>
      </c>
      <c r="D5912" s="1">
        <v>46058.6015162037</v>
      </c>
      <c r="E5912" s="2">
        <v>1</v>
      </c>
      <c r="F5912" s="2">
        <v>3</v>
      </c>
      <c r="G5912" s="2">
        <v>0</v>
      </c>
      <c r="H5912" s="1" t="s">
        <v>0</v>
      </c>
      <c r="I5912" s="2">
        <v>0</v>
      </c>
      <c r="J5912" s="1">
        <v>45972.582789351851</v>
      </c>
    </row>
    <row r="5913" spans="1:10" x14ac:dyDescent="0.2">
      <c r="A5913" s="4" t="s">
        <v>1</v>
      </c>
      <c r="B5913" s="3" t="str">
        <f>HYPERLINK("https://otsuka-europe-crm.veevavault.com/ui/#object/approved_document__v/V5O000000001002", "AM2M - ENFERMERÍA - Guía preguntas pacientes")</f>
        <v>AM2M - ENFERMERÍA - Guía preguntas pacientes</v>
      </c>
      <c r="C5913" s="3" t="str">
        <f>HYPERLINK("https://otsuka-europe-crm.veevavault.com/ui/#object/sent_email__v/VBL00000000L571", "SE-001389346")</f>
        <v>SE-001389346</v>
      </c>
      <c r="D5913" s="1" t="s">
        <v>0</v>
      </c>
      <c r="E5913" s="2">
        <v>0</v>
      </c>
      <c r="F5913" s="2">
        <v>0</v>
      </c>
      <c r="G5913" s="2">
        <v>0</v>
      </c>
      <c r="H5913" s="1" t="s">
        <v>0</v>
      </c>
      <c r="I5913" s="2">
        <v>0</v>
      </c>
      <c r="J5913" s="1">
        <v>45972.582835648151</v>
      </c>
    </row>
    <row r="5914" spans="1:10" x14ac:dyDescent="0.2">
      <c r="A5914" s="4" t="s">
        <v>1</v>
      </c>
      <c r="B5914" s="3" t="str">
        <f>HYPERLINK("https://otsuka-europe-crm.veevavault.com/ui/#object/approved_document__v/V5O000000001002", "AM2M - ENFERMERÍA - Guía preguntas pacientes")</f>
        <v>AM2M - ENFERMERÍA - Guía preguntas pacientes</v>
      </c>
      <c r="C5914" s="3" t="str">
        <f>HYPERLINK("https://otsuka-europe-crm.veevavault.com/ui/#object/sent_email__v/VBL00000000L572", "SE-001389347")</f>
        <v>SE-001389347</v>
      </c>
      <c r="D5914" s="1" t="s">
        <v>0</v>
      </c>
      <c r="E5914" s="2">
        <v>0</v>
      </c>
      <c r="F5914" s="2">
        <v>0</v>
      </c>
      <c r="G5914" s="2">
        <v>0</v>
      </c>
      <c r="H5914" s="1" t="s">
        <v>0</v>
      </c>
      <c r="I5914" s="2">
        <v>0</v>
      </c>
      <c r="J5914" s="1">
        <v>45972.583182870374</v>
      </c>
    </row>
    <row r="5915" spans="1:10" x14ac:dyDescent="0.2">
      <c r="A5915" s="4" t="s">
        <v>1</v>
      </c>
      <c r="B5915" s="3" t="str">
        <f>HYPERLINK("https://otsuka-europe-crm.veevavault.com/ui/#object/approved_document__v/V5O000000001002", "AM2M - ENFERMERÍA - Guía preguntas pacientes")</f>
        <v>AM2M - ENFERMERÍA - Guía preguntas pacientes</v>
      </c>
      <c r="C5915" s="3" t="str">
        <f>HYPERLINK("https://otsuka-europe-crm.veevavault.com/ui/#object/sent_email__v/VBL00000000L573", "SE-001389348")</f>
        <v>SE-001389348</v>
      </c>
      <c r="D5915" s="1">
        <v>45985.653715277775</v>
      </c>
      <c r="E5915" s="2">
        <v>1</v>
      </c>
      <c r="F5915" s="2">
        <v>1</v>
      </c>
      <c r="G5915" s="2">
        <v>0</v>
      </c>
      <c r="H5915" s="1" t="s">
        <v>0</v>
      </c>
      <c r="I5915" s="2">
        <v>0</v>
      </c>
      <c r="J5915" s="1">
        <v>45972.583449074074</v>
      </c>
    </row>
    <row r="5916" spans="1:10" x14ac:dyDescent="0.2">
      <c r="A5916" s="4" t="s">
        <v>1</v>
      </c>
      <c r="B5916" s="3" t="str">
        <f>HYPERLINK("https://otsuka-europe-crm.veevavault.com/ui/#object/approved_document__v/V5O000000001002", "AM2M - ENFERMERÍA - Guía preguntas pacientes")</f>
        <v>AM2M - ENFERMERÍA - Guía preguntas pacientes</v>
      </c>
      <c r="C5916" s="3" t="str">
        <f>HYPERLINK("https://otsuka-europe-crm.veevavault.com/ui/#object/sent_email__v/VBL00000000L574", "SE-001389349")</f>
        <v>SE-001389349</v>
      </c>
      <c r="D5916" s="1">
        <v>45972.622523148151</v>
      </c>
      <c r="E5916" s="2">
        <v>1</v>
      </c>
      <c r="F5916" s="2">
        <v>1</v>
      </c>
      <c r="G5916" s="2">
        <v>0</v>
      </c>
      <c r="H5916" s="1" t="s">
        <v>0</v>
      </c>
      <c r="I5916" s="2">
        <v>0</v>
      </c>
      <c r="J5916" s="1">
        <v>45972.58353009259</v>
      </c>
    </row>
    <row r="5917" spans="1:10" x14ac:dyDescent="0.2">
      <c r="A5917" s="4" t="s">
        <v>1</v>
      </c>
      <c r="B5917" s="3" t="str">
        <f>HYPERLINK("https://otsuka-europe-crm.veevavault.com/ui/#object/approved_document__v/V5O000000001002", "AM2M - ENFERMERÍA - Guía preguntas pacientes")</f>
        <v>AM2M - ENFERMERÍA - Guía preguntas pacientes</v>
      </c>
      <c r="C5917" s="3" t="str">
        <f>HYPERLINK("https://otsuka-europe-crm.veevavault.com/ui/#object/sent_email__v/VBL00000000L575", "SE-001389350")</f>
        <v>SE-001389350</v>
      </c>
      <c r="D5917" s="1">
        <v>45997.852037037039</v>
      </c>
      <c r="E5917" s="2">
        <v>1</v>
      </c>
      <c r="F5917" s="2">
        <v>4</v>
      </c>
      <c r="G5917" s="2">
        <v>0</v>
      </c>
      <c r="H5917" s="1" t="s">
        <v>0</v>
      </c>
      <c r="I5917" s="2">
        <v>0</v>
      </c>
      <c r="J5917" s="1">
        <v>45972.583587962959</v>
      </c>
    </row>
    <row r="5918" spans="1:10" x14ac:dyDescent="0.2">
      <c r="A5918" s="4" t="s">
        <v>1</v>
      </c>
      <c r="B5918" s="3" t="str">
        <f>HYPERLINK("https://otsuka-europe-crm.veevavault.com/ui/#object/approved_document__v/V5O000000001002", "AM2M - ENFERMERÍA - Guía preguntas pacientes")</f>
        <v>AM2M - ENFERMERÍA - Guía preguntas pacientes</v>
      </c>
      <c r="C5918" s="3" t="str">
        <f>HYPERLINK("https://otsuka-europe-crm.veevavault.com/ui/#object/sent_email__v/VBL00000000L576", "SE-001389351")</f>
        <v>SE-001389351</v>
      </c>
      <c r="D5918" s="1" t="s">
        <v>0</v>
      </c>
      <c r="E5918" s="2">
        <v>0</v>
      </c>
      <c r="F5918" s="2">
        <v>0</v>
      </c>
      <c r="G5918" s="2">
        <v>0</v>
      </c>
      <c r="H5918" s="1" t="s">
        <v>0</v>
      </c>
      <c r="I5918" s="2">
        <v>0</v>
      </c>
      <c r="J5918" s="1">
        <v>45972.583252314813</v>
      </c>
    </row>
    <row r="5919" spans="1:10" x14ac:dyDescent="0.2">
      <c r="A5919" s="4" t="s">
        <v>1</v>
      </c>
      <c r="B5919" s="3" t="str">
        <f>HYPERLINK("https://otsuka-europe-crm.veevavault.com/ui/#object/approved_document__v/V5O000000001002", "AM2M - ENFERMERÍA - Guía preguntas pacientes")</f>
        <v>AM2M - ENFERMERÍA - Guía preguntas pacientes</v>
      </c>
      <c r="C5919" s="3" t="str">
        <f>HYPERLINK("https://otsuka-europe-crm.veevavault.com/ui/#object/sent_email__v/VBL00000000L577", "SE-001389352")</f>
        <v>SE-001389352</v>
      </c>
      <c r="D5919" s="1">
        <v>45972.793703703705</v>
      </c>
      <c r="E5919" s="2">
        <v>1</v>
      </c>
      <c r="F5919" s="2">
        <v>2</v>
      </c>
      <c r="G5919" s="2">
        <v>0</v>
      </c>
      <c r="H5919" s="1" t="s">
        <v>0</v>
      </c>
      <c r="I5919" s="2">
        <v>0</v>
      </c>
      <c r="J5919" s="1">
        <v>45972.583287037036</v>
      </c>
    </row>
    <row r="5920" spans="1:10" x14ac:dyDescent="0.2">
      <c r="A5920" s="4" t="s">
        <v>1</v>
      </c>
      <c r="B5920" s="3" t="str">
        <f>HYPERLINK("https://otsuka-europe-crm.veevavault.com/ui/#object/approved_document__v/V5O000000001002", "AM2M - ENFERMERÍA - Guía preguntas pacientes")</f>
        <v>AM2M - ENFERMERÍA - Guía preguntas pacientes</v>
      </c>
      <c r="C5920" s="3" t="str">
        <f>HYPERLINK("https://otsuka-europe-crm.veevavault.com/ui/#object/sent_email__v/VBL00000000L578", "SE-001389353")</f>
        <v>SE-001389353</v>
      </c>
      <c r="D5920" s="1">
        <v>45972.586921296293</v>
      </c>
      <c r="E5920" s="2">
        <v>1</v>
      </c>
      <c r="F5920" s="2">
        <v>1</v>
      </c>
      <c r="G5920" s="2">
        <v>0</v>
      </c>
      <c r="H5920" s="1" t="s">
        <v>0</v>
      </c>
      <c r="I5920" s="2">
        <v>0</v>
      </c>
      <c r="J5920" s="1">
        <v>45972.583344907405</v>
      </c>
    </row>
    <row r="5921" spans="1:10" x14ac:dyDescent="0.2">
      <c r="A5921" s="4" t="s">
        <v>1</v>
      </c>
      <c r="B5921" s="3" t="str">
        <f>HYPERLINK("https://otsuka-europe-crm.veevavault.com/ui/#object/approved_document__v/V5O000000001002", "AM2M - ENFERMERÍA - Guía preguntas pacientes")</f>
        <v>AM2M - ENFERMERÍA - Guía preguntas pacientes</v>
      </c>
      <c r="C5921" s="3" t="str">
        <f>HYPERLINK("https://otsuka-europe-crm.veevavault.com/ui/#object/sent_email__v/VBL00000000L579", "SE-001389354")</f>
        <v>SE-001389354</v>
      </c>
      <c r="D5921" s="1" t="s">
        <v>0</v>
      </c>
      <c r="E5921" s="2">
        <v>0</v>
      </c>
      <c r="F5921" s="2">
        <v>0</v>
      </c>
      <c r="G5921" s="2">
        <v>0</v>
      </c>
      <c r="H5921" s="1" t="s">
        <v>0</v>
      </c>
      <c r="I5921" s="2">
        <v>0</v>
      </c>
      <c r="J5921" s="1">
        <v>45972.583391203705</v>
      </c>
    </row>
    <row r="5922" spans="1:10" x14ac:dyDescent="0.2">
      <c r="A5922" s="4" t="s">
        <v>1</v>
      </c>
      <c r="B5922" s="3" t="str">
        <f>HYPERLINK("https://otsuka-europe-crm.veevavault.com/ui/#object/approved_document__v/V5O000000001002", "AM2M - ENFERMERÍA - Guía preguntas pacientes")</f>
        <v>AM2M - ENFERMERÍA - Guía preguntas pacientes</v>
      </c>
      <c r="C5922" s="3" t="str">
        <f>HYPERLINK("https://otsuka-europe-crm.veevavault.com/ui/#object/sent_email__v/VBL00000000L580", "SE-001389355")</f>
        <v>SE-001389355</v>
      </c>
      <c r="D5922" s="1" t="s">
        <v>0</v>
      </c>
      <c r="E5922" s="2">
        <v>0</v>
      </c>
      <c r="F5922" s="2">
        <v>0</v>
      </c>
      <c r="G5922" s="2">
        <v>0</v>
      </c>
      <c r="H5922" s="1" t="s">
        <v>0</v>
      </c>
      <c r="I5922" s="2">
        <v>0</v>
      </c>
      <c r="J5922" s="1">
        <v>45972.583425925928</v>
      </c>
    </row>
    <row r="5923" spans="1:10" x14ac:dyDescent="0.2">
      <c r="A5923" s="4" t="s">
        <v>1</v>
      </c>
      <c r="B5923" s="3" t="str">
        <f>HYPERLINK("https://otsuka-europe-crm.veevavault.com/ui/#object/approved_document__v/V5O000000001002", "AM2M - ENFERMERÍA - Guía preguntas pacientes")</f>
        <v>AM2M - ENFERMERÍA - Guía preguntas pacientes</v>
      </c>
      <c r="C5923" s="3" t="str">
        <f>HYPERLINK("https://otsuka-europe-crm.veevavault.com/ui/#object/sent_email__v/VBL00000000L581", "SE-001389356")</f>
        <v>SE-001389356</v>
      </c>
      <c r="D5923" s="1">
        <v>45973.549085648148</v>
      </c>
      <c r="E5923" s="2">
        <v>1</v>
      </c>
      <c r="F5923" s="2">
        <v>2</v>
      </c>
      <c r="G5923" s="2">
        <v>0</v>
      </c>
      <c r="H5923" s="1" t="s">
        <v>0</v>
      </c>
      <c r="I5923" s="2">
        <v>0</v>
      </c>
      <c r="J5923" s="1">
        <v>45972.583472222221</v>
      </c>
    </row>
    <row r="5924" spans="1:10" x14ac:dyDescent="0.2">
      <c r="A5924" s="4" t="s">
        <v>1</v>
      </c>
      <c r="B5924" s="3" t="str">
        <f>HYPERLINK("https://otsuka-europe-crm.veevavault.com/ui/#object/approved_document__v/V5O000000001002", "AM2M - ENFERMERÍA - Guía preguntas pacientes")</f>
        <v>AM2M - ENFERMERÍA - Guía preguntas pacientes</v>
      </c>
      <c r="C5924" s="3" t="str">
        <f>HYPERLINK("https://otsuka-europe-crm.veevavault.com/ui/#object/sent_email__v/VBL00000000L582", "SE-001389357")</f>
        <v>SE-001389357</v>
      </c>
      <c r="D5924" s="1" t="s">
        <v>0</v>
      </c>
      <c r="E5924" s="2">
        <v>0</v>
      </c>
      <c r="F5924" s="2">
        <v>0</v>
      </c>
      <c r="G5924" s="2">
        <v>0</v>
      </c>
      <c r="H5924" s="1" t="s">
        <v>0</v>
      </c>
      <c r="I5924" s="2">
        <v>0</v>
      </c>
      <c r="J5924" s="1">
        <v>45972.583506944444</v>
      </c>
    </row>
    <row r="5925" spans="1:10" x14ac:dyDescent="0.2">
      <c r="A5925" s="4" t="s">
        <v>1</v>
      </c>
      <c r="B5925" s="3" t="str">
        <f>HYPERLINK("https://otsuka-europe-crm.veevavault.com/ui/#object/approved_document__v/V5O000000001002", "AM2M - ENFERMERÍA - Guía preguntas pacientes")</f>
        <v>AM2M - ENFERMERÍA - Guía preguntas pacientes</v>
      </c>
      <c r="C5925" s="3" t="str">
        <f>HYPERLINK("https://otsuka-europe-crm.veevavault.com/ui/#object/sent_email__v/VBL00000000L583", "SE-001389358")</f>
        <v>SE-001389358</v>
      </c>
      <c r="D5925" s="1">
        <v>46036.411458333336</v>
      </c>
      <c r="E5925" s="2">
        <v>1</v>
      </c>
      <c r="F5925" s="2">
        <v>4</v>
      </c>
      <c r="G5925" s="2">
        <v>0</v>
      </c>
      <c r="H5925" s="1" t="s">
        <v>0</v>
      </c>
      <c r="I5925" s="2">
        <v>0</v>
      </c>
      <c r="J5925" s="1">
        <v>45972.583553240744</v>
      </c>
    </row>
    <row r="5926" spans="1:10" x14ac:dyDescent="0.2">
      <c r="A5926" s="4" t="s">
        <v>1</v>
      </c>
      <c r="B5926" s="3" t="str">
        <f>HYPERLINK("https://otsuka-europe-crm.veevavault.com/ui/#object/approved_document__v/V5O000000001002", "AM2M - ENFERMERÍA - Guía preguntas pacientes")</f>
        <v>AM2M - ENFERMERÍA - Guía preguntas pacientes</v>
      </c>
      <c r="C5926" s="3" t="str">
        <f>HYPERLINK("https://otsuka-europe-crm.veevavault.com/ui/#object/sent_email__v/VBL00000000L584", "SE-001389359")</f>
        <v>SE-001389359</v>
      </c>
      <c r="D5926" s="1">
        <v>45972.97314814815</v>
      </c>
      <c r="E5926" s="2">
        <v>1</v>
      </c>
      <c r="F5926" s="2">
        <v>3</v>
      </c>
      <c r="G5926" s="2">
        <v>0</v>
      </c>
      <c r="H5926" s="1" t="s">
        <v>0</v>
      </c>
      <c r="I5926" s="2">
        <v>0</v>
      </c>
      <c r="J5926" s="1">
        <v>45972.583599537036</v>
      </c>
    </row>
    <row r="5927" spans="1:10" x14ac:dyDescent="0.2">
      <c r="A5927" s="4" t="s">
        <v>1</v>
      </c>
      <c r="B5927" s="3" t="str">
        <f>HYPERLINK("https://otsuka-europe-crm.veevavault.com/ui/#object/approved_document__v/V5O000000001002", "AM2M - ENFERMERÍA - Guía preguntas pacientes")</f>
        <v>AM2M - ENFERMERÍA - Guía preguntas pacientes</v>
      </c>
      <c r="C5927" s="3" t="str">
        <f>HYPERLINK("https://otsuka-europe-crm.veevavault.com/ui/#object/sent_email__v/VBL00000000L585", "SE-001389360")</f>
        <v>SE-001389360</v>
      </c>
      <c r="D5927" s="1">
        <v>45972.710358796299</v>
      </c>
      <c r="E5927" s="2">
        <v>1</v>
      </c>
      <c r="F5927" s="2">
        <v>1</v>
      </c>
      <c r="G5927" s="2">
        <v>0</v>
      </c>
      <c r="H5927" s="1" t="s">
        <v>0</v>
      </c>
      <c r="I5927" s="2">
        <v>0</v>
      </c>
      <c r="J5927" s="1">
        <v>45972.583634259259</v>
      </c>
    </row>
    <row r="5928" spans="1:10" x14ac:dyDescent="0.2">
      <c r="A5928" s="4" t="s">
        <v>1</v>
      </c>
      <c r="B5928" s="3" t="str">
        <f>HYPERLINK("https://otsuka-europe-crm.veevavault.com/ui/#object/approved_document__v/V5O000000001002", "AM2M - ENFERMERÍA - Guía preguntas pacientes")</f>
        <v>AM2M - ENFERMERÍA - Guía preguntas pacientes</v>
      </c>
      <c r="C5928" s="3" t="str">
        <f>HYPERLINK("https://otsuka-europe-crm.veevavault.com/ui/#object/sent_email__v/VBL00000000L586", "SE-001389361")</f>
        <v>SE-001389361</v>
      </c>
      <c r="D5928" s="1">
        <v>45973.679201388892</v>
      </c>
      <c r="E5928" s="2">
        <v>1</v>
      </c>
      <c r="F5928" s="2">
        <v>1</v>
      </c>
      <c r="G5928" s="2">
        <v>1</v>
      </c>
      <c r="H5928" s="1">
        <v>45973.680289351854</v>
      </c>
      <c r="I5928" s="2">
        <v>1</v>
      </c>
      <c r="J5928" s="1">
        <v>45972.583668981482</v>
      </c>
    </row>
    <row r="5929" spans="1:10" x14ac:dyDescent="0.2">
      <c r="A5929" s="4" t="s">
        <v>1</v>
      </c>
      <c r="B5929" s="3" t="str">
        <f>HYPERLINK("https://otsuka-europe-crm.veevavault.com/ui/#object/approved_document__v/V5O000000001002", "AM2M - ENFERMERÍA - Guía preguntas pacientes")</f>
        <v>AM2M - ENFERMERÍA - Guía preguntas pacientes</v>
      </c>
      <c r="C5929" s="3" t="str">
        <f>HYPERLINK("https://otsuka-europe-crm.veevavault.com/ui/#object/sent_email__v/VBL00000000L587", "SE-001389362")</f>
        <v>SE-001389362</v>
      </c>
      <c r="D5929" s="1" t="s">
        <v>0</v>
      </c>
      <c r="E5929" s="2">
        <v>0</v>
      </c>
      <c r="F5929" s="2">
        <v>0</v>
      </c>
      <c r="G5929" s="2">
        <v>0</v>
      </c>
      <c r="H5929" s="1" t="s">
        <v>0</v>
      </c>
      <c r="I5929" s="2">
        <v>0</v>
      </c>
      <c r="J5929" s="1">
        <v>45972.583715277775</v>
      </c>
    </row>
    <row r="5930" spans="1:10" x14ac:dyDescent="0.2">
      <c r="A5930" s="4" t="s">
        <v>1</v>
      </c>
      <c r="B5930" s="3" t="str">
        <f>HYPERLINK("https://otsuka-europe-crm.veevavault.com/ui/#object/approved_document__v/V5O000000001002", "AM2M - ENFERMERÍA - Guía preguntas pacientes")</f>
        <v>AM2M - ENFERMERÍA - Guía preguntas pacientes</v>
      </c>
      <c r="C5930" s="3" t="str">
        <f>HYPERLINK("https://otsuka-europe-crm.veevavault.com/ui/#object/sent_email__v/VBL00000000L588", "SE-001389363")</f>
        <v>SE-001389363</v>
      </c>
      <c r="D5930" s="1">
        <v>45995.483969907407</v>
      </c>
      <c r="E5930" s="2">
        <v>1</v>
      </c>
      <c r="F5930" s="2">
        <v>2</v>
      </c>
      <c r="G5930" s="2">
        <v>0</v>
      </c>
      <c r="H5930" s="1" t="s">
        <v>0</v>
      </c>
      <c r="I5930" s="2">
        <v>0</v>
      </c>
      <c r="J5930" s="1">
        <v>45972.583761574075</v>
      </c>
    </row>
    <row r="5931" spans="1:10" x14ac:dyDescent="0.2">
      <c r="A5931" s="4" t="s">
        <v>1</v>
      </c>
      <c r="B5931" s="3" t="str">
        <f>HYPERLINK("https://otsuka-europe-crm.veevavault.com/ui/#object/approved_document__v/V5O000000001002", "AM2M - ENFERMERÍA - Guía preguntas pacientes")</f>
        <v>AM2M - ENFERMERÍA - Guía preguntas pacientes</v>
      </c>
      <c r="C5931" s="3" t="str">
        <f>HYPERLINK("https://otsuka-europe-crm.veevavault.com/ui/#object/sent_email__v/VBL00000000L589", "SE-001389364")</f>
        <v>SE-001389364</v>
      </c>
      <c r="D5931" s="1">
        <v>45972.647418981483</v>
      </c>
      <c r="E5931" s="2">
        <v>1</v>
      </c>
      <c r="F5931" s="2">
        <v>2</v>
      </c>
      <c r="G5931" s="2">
        <v>0</v>
      </c>
      <c r="H5931" s="1" t="s">
        <v>0</v>
      </c>
      <c r="I5931" s="2">
        <v>0</v>
      </c>
      <c r="J5931" s="1">
        <v>45972.583796296298</v>
      </c>
    </row>
    <row r="5932" spans="1:10" x14ac:dyDescent="0.2">
      <c r="A5932" s="4" t="s">
        <v>1</v>
      </c>
      <c r="B5932" s="3" t="str">
        <f>HYPERLINK("https://otsuka-europe-crm.veevavault.com/ui/#object/approved_document__v/V5O000000001002", "AM2M - ENFERMERÍA - Guía preguntas pacientes")</f>
        <v>AM2M - ENFERMERÍA - Guía preguntas pacientes</v>
      </c>
      <c r="C5932" s="3" t="str">
        <f>HYPERLINK("https://otsuka-europe-crm.veevavault.com/ui/#object/sent_email__v/VBL00000000L590", "SE-001389365")</f>
        <v>SE-001389365</v>
      </c>
      <c r="D5932" s="1">
        <v>45974.640752314815</v>
      </c>
      <c r="E5932" s="2">
        <v>1</v>
      </c>
      <c r="F5932" s="2">
        <v>1</v>
      </c>
      <c r="G5932" s="2">
        <v>0</v>
      </c>
      <c r="H5932" s="1" t="s">
        <v>0</v>
      </c>
      <c r="I5932" s="2">
        <v>0</v>
      </c>
      <c r="J5932" s="1">
        <v>45972.583831018521</v>
      </c>
    </row>
    <row r="5933" spans="1:10" x14ac:dyDescent="0.2">
      <c r="A5933" s="4" t="s">
        <v>1</v>
      </c>
      <c r="B5933" s="3" t="str">
        <f>HYPERLINK("https://otsuka-europe-crm.veevavault.com/ui/#object/approved_document__v/V5O000000001002", "AM2M - ENFERMERÍA - Guía preguntas pacientes")</f>
        <v>AM2M - ENFERMERÍA - Guía preguntas pacientes</v>
      </c>
      <c r="C5933" s="3" t="str">
        <f>HYPERLINK("https://otsuka-europe-crm.veevavault.com/ui/#object/sent_email__v/VBL00000000L591", "SE-001389366")</f>
        <v>SE-001389366</v>
      </c>
      <c r="D5933" s="1">
        <v>45973.338761574072</v>
      </c>
      <c r="E5933" s="2">
        <v>1</v>
      </c>
      <c r="F5933" s="2">
        <v>1</v>
      </c>
      <c r="G5933" s="2">
        <v>1</v>
      </c>
      <c r="H5933" s="1">
        <v>45973.338865740741</v>
      </c>
      <c r="I5933" s="2">
        <v>1</v>
      </c>
      <c r="J5933" s="1">
        <v>45972.583877314813</v>
      </c>
    </row>
    <row r="5934" spans="1:10" x14ac:dyDescent="0.2">
      <c r="A5934" s="4" t="s">
        <v>1</v>
      </c>
      <c r="B5934" s="3" t="str">
        <f>HYPERLINK("https://otsuka-europe-crm.veevavault.com/ui/#object/approved_document__v/V5O000000001002", "AM2M - ENFERMERÍA - Guía preguntas pacientes")</f>
        <v>AM2M - ENFERMERÍA - Guía preguntas pacientes</v>
      </c>
      <c r="C5934" s="3" t="str">
        <f>HYPERLINK("https://otsuka-europe-crm.veevavault.com/ui/#object/sent_email__v/VBL00000000L592", "SE-001389367")</f>
        <v>SE-001389367</v>
      </c>
      <c r="D5934" s="1" t="s">
        <v>0</v>
      </c>
      <c r="E5934" s="2">
        <v>0</v>
      </c>
      <c r="F5934" s="2">
        <v>0</v>
      </c>
      <c r="G5934" s="2">
        <v>0</v>
      </c>
      <c r="H5934" s="1" t="s">
        <v>0</v>
      </c>
      <c r="I5934" s="2">
        <v>0</v>
      </c>
      <c r="J5934" s="1">
        <v>45972.583923611113</v>
      </c>
    </row>
    <row r="5935" spans="1:10" x14ac:dyDescent="0.2">
      <c r="A5935" s="4" t="s">
        <v>1</v>
      </c>
      <c r="B5935" s="3" t="str">
        <f>HYPERLINK("https://otsuka-europe-crm.veevavault.com/ui/#object/approved_document__v/V5O000000001002", "AM2M - ENFERMERÍA - Guía preguntas pacientes")</f>
        <v>AM2M - ENFERMERÍA - Guía preguntas pacientes</v>
      </c>
      <c r="C5935" s="3" t="str">
        <f>HYPERLINK("https://otsuka-europe-crm.veevavault.com/ui/#object/sent_email__v/VBL00000000L593", "SE-001389368")</f>
        <v>SE-001389368</v>
      </c>
      <c r="D5935" s="1">
        <v>45972.625439814816</v>
      </c>
      <c r="E5935" s="2">
        <v>1</v>
      </c>
      <c r="F5935" s="2">
        <v>2</v>
      </c>
      <c r="G5935" s="2">
        <v>0</v>
      </c>
      <c r="H5935" s="1" t="s">
        <v>0</v>
      </c>
      <c r="I5935" s="2">
        <v>0</v>
      </c>
      <c r="J5935" s="1">
        <v>45972.583958333336</v>
      </c>
    </row>
    <row r="5936" spans="1:10" x14ac:dyDescent="0.2">
      <c r="A5936" s="4" t="s">
        <v>1</v>
      </c>
      <c r="B5936" s="3" t="str">
        <f>HYPERLINK("https://otsuka-europe-crm.veevavault.com/ui/#object/approved_document__v/V5O000000001002", "AM2M - ENFERMERÍA - Guía preguntas pacientes")</f>
        <v>AM2M - ENFERMERÍA - Guía preguntas pacientes</v>
      </c>
      <c r="C5936" s="3" t="str">
        <f>HYPERLINK("https://otsuka-europe-crm.veevavault.com/ui/#object/sent_email__v/VBL00000000L594", "SE-001389369")</f>
        <v>SE-001389369</v>
      </c>
      <c r="D5936" s="1" t="s">
        <v>0</v>
      </c>
      <c r="E5936" s="2">
        <v>0</v>
      </c>
      <c r="F5936" s="2">
        <v>0</v>
      </c>
      <c r="G5936" s="2">
        <v>0</v>
      </c>
      <c r="H5936" s="1" t="s">
        <v>0</v>
      </c>
      <c r="I5936" s="2">
        <v>0</v>
      </c>
      <c r="J5936" s="1">
        <v>45972.584004629629</v>
      </c>
    </row>
    <row r="5937" spans="1:10" x14ac:dyDescent="0.2">
      <c r="A5937" s="4" t="s">
        <v>1</v>
      </c>
      <c r="B5937" s="3" t="str">
        <f>HYPERLINK("https://otsuka-europe-crm.veevavault.com/ui/#object/approved_document__v/V5O000000001002", "AM2M - ENFERMERÍA - Guía preguntas pacientes")</f>
        <v>AM2M - ENFERMERÍA - Guía preguntas pacientes</v>
      </c>
      <c r="C5937" s="3" t="str">
        <f>HYPERLINK("https://otsuka-europe-crm.veevavault.com/ui/#object/sent_email__v/VBL00000000L595", "SE-001389370")</f>
        <v>SE-001389370</v>
      </c>
      <c r="D5937" s="1" t="s">
        <v>0</v>
      </c>
      <c r="E5937" s="2">
        <v>0</v>
      </c>
      <c r="F5937" s="2">
        <v>0</v>
      </c>
      <c r="G5937" s="2">
        <v>0</v>
      </c>
      <c r="H5937" s="1" t="s">
        <v>0</v>
      </c>
      <c r="I5937" s="2">
        <v>0</v>
      </c>
      <c r="J5937" s="1">
        <v>45972.584062499998</v>
      </c>
    </row>
    <row r="5938" spans="1:10" x14ac:dyDescent="0.2">
      <c r="A5938" s="4" t="s">
        <v>1</v>
      </c>
      <c r="B5938" s="3" t="str">
        <f>HYPERLINK("https://otsuka-europe-crm.veevavault.com/ui/#object/approved_document__v/V5O000000001002", "AM2M - ENFERMERÍA - Guía preguntas pacientes")</f>
        <v>AM2M - ENFERMERÍA - Guía preguntas pacientes</v>
      </c>
      <c r="C5938" s="3" t="str">
        <f>HYPERLINK("https://otsuka-europe-crm.veevavault.com/ui/#object/sent_email__v/VBL00000000L596", "SE-001389371")</f>
        <v>SE-001389371</v>
      </c>
      <c r="D5938" s="1">
        <v>45972.683055555557</v>
      </c>
      <c r="E5938" s="2">
        <v>1</v>
      </c>
      <c r="F5938" s="2">
        <v>1</v>
      </c>
      <c r="G5938" s="2">
        <v>0</v>
      </c>
      <c r="H5938" s="1" t="s">
        <v>0</v>
      </c>
      <c r="I5938" s="2">
        <v>0</v>
      </c>
      <c r="J5938" s="1">
        <v>45972.584108796298</v>
      </c>
    </row>
    <row r="5939" spans="1:10" x14ac:dyDescent="0.2">
      <c r="A5939" s="4" t="s">
        <v>1</v>
      </c>
      <c r="B5939" s="3" t="str">
        <f>HYPERLINK("https://otsuka-europe-crm.veevavault.com/ui/#object/approved_document__v/V5O000000001002", "AM2M - ENFERMERÍA - Guía preguntas pacientes")</f>
        <v>AM2M - ENFERMERÍA - Guía preguntas pacientes</v>
      </c>
      <c r="C5939" s="3" t="str">
        <f>HYPERLINK("https://otsuka-europe-crm.veevavault.com/ui/#object/sent_email__v/VBL00000000N248", "SE-001390241")</f>
        <v>SE-001390241</v>
      </c>
      <c r="D5939" s="1">
        <v>45977.51939814815</v>
      </c>
      <c r="E5939" s="2">
        <v>1</v>
      </c>
      <c r="F5939" s="2">
        <v>1</v>
      </c>
      <c r="G5939" s="2">
        <v>0</v>
      </c>
      <c r="H5939" s="1" t="s">
        <v>0</v>
      </c>
      <c r="I5939" s="2">
        <v>0</v>
      </c>
      <c r="J5939" s="1">
        <v>45975.403958333336</v>
      </c>
    </row>
    <row r="5940" spans="1:10" x14ac:dyDescent="0.2">
      <c r="A5940" s="4" t="s">
        <v>1</v>
      </c>
      <c r="B5940" s="3" t="str">
        <f>HYPERLINK("https://otsuka-europe-crm.veevavault.com/ui/#object/approved_document__v/V5O000000001002", "AM2M - ENFERMERÍA - Guía preguntas pacientes")</f>
        <v>AM2M - ENFERMERÍA - Guía preguntas pacientes</v>
      </c>
      <c r="C5940" s="3" t="str">
        <f>HYPERLINK("https://otsuka-europe-crm.veevavault.com/ui/#object/sent_email__v/VBL00000000U213", "SE-001394623")</f>
        <v>SE-001394623</v>
      </c>
      <c r="D5940" s="1">
        <v>45994.352881944447</v>
      </c>
      <c r="E5940" s="2">
        <v>1</v>
      </c>
      <c r="F5940" s="2">
        <v>1</v>
      </c>
      <c r="G5940" s="2">
        <v>0</v>
      </c>
      <c r="H5940" s="1" t="s">
        <v>0</v>
      </c>
      <c r="I5940" s="2">
        <v>0</v>
      </c>
      <c r="J5940" s="1">
        <v>45993.548831018517</v>
      </c>
    </row>
    <row r="5941" spans="1:10" x14ac:dyDescent="0.2">
      <c r="A5941" s="4" t="s">
        <v>1</v>
      </c>
      <c r="B5941" s="3" t="str">
        <f>HYPERLINK("https://otsuka-europe-crm.veevavault.com/ui/#object/approved_document__v/V5O000000001002", "AM2M - ENFERMERÍA - Guía preguntas pacientes")</f>
        <v>AM2M - ENFERMERÍA - Guía preguntas pacientes</v>
      </c>
      <c r="C5941" s="3" t="str">
        <f>HYPERLINK("https://otsuka-europe-crm.veevavault.com/ui/#object/sent_email__v/VBL00000000U214", "SE-001394624")</f>
        <v>SE-001394624</v>
      </c>
      <c r="D5941" s="1" t="s">
        <v>0</v>
      </c>
      <c r="E5941" s="2">
        <v>0</v>
      </c>
      <c r="F5941" s="2">
        <v>0</v>
      </c>
      <c r="G5941" s="2">
        <v>0</v>
      </c>
      <c r="H5941" s="1" t="s">
        <v>0</v>
      </c>
      <c r="I5941" s="2">
        <v>0</v>
      </c>
      <c r="J5941" s="1">
        <v>45993.548900462964</v>
      </c>
    </row>
    <row r="5942" spans="1:10" x14ac:dyDescent="0.2">
      <c r="A5942" s="4" t="s">
        <v>1</v>
      </c>
      <c r="B5942" s="3" t="str">
        <f>HYPERLINK("https://otsuka-europe-crm.veevavault.com/ui/#object/approved_document__v/V5O000000001002", "AM2M - ENFERMERÍA - Guía preguntas pacientes")</f>
        <v>AM2M - ENFERMERÍA - Guía preguntas pacientes</v>
      </c>
      <c r="C5942" s="3" t="str">
        <f>HYPERLINK("https://otsuka-europe-crm.veevavault.com/ui/#object/sent_email__v/VBL00000000U215", "SE-001394625")</f>
        <v>SE-001394625</v>
      </c>
      <c r="D5942" s="1">
        <v>45993.709641203706</v>
      </c>
      <c r="E5942" s="2">
        <v>1</v>
      </c>
      <c r="F5942" s="2">
        <v>1</v>
      </c>
      <c r="G5942" s="2">
        <v>0</v>
      </c>
      <c r="H5942" s="1" t="s">
        <v>0</v>
      </c>
      <c r="I5942" s="2">
        <v>0</v>
      </c>
      <c r="J5942" s="1">
        <v>45993.548946759256</v>
      </c>
    </row>
    <row r="5943" spans="1:10" x14ac:dyDescent="0.2">
      <c r="A5943" s="4" t="s">
        <v>1</v>
      </c>
      <c r="B5943" s="3" t="str">
        <f>HYPERLINK("https://otsuka-europe-crm.veevavault.com/ui/#object/approved_document__v/V5O000000001002", "AM2M - ENFERMERÍA - Guía preguntas pacientes")</f>
        <v>AM2M - ENFERMERÍA - Guía preguntas pacientes</v>
      </c>
      <c r="C5943" s="3" t="str">
        <f>HYPERLINK("https://otsuka-europe-crm.veevavault.com/ui/#object/sent_email__v/VBL00000000U216", "SE-001394626")</f>
        <v>SE-001394626</v>
      </c>
      <c r="D5943" s="1">
        <v>45993.816701388889</v>
      </c>
      <c r="E5943" s="2">
        <v>1</v>
      </c>
      <c r="F5943" s="2">
        <v>1</v>
      </c>
      <c r="G5943" s="2">
        <v>0</v>
      </c>
      <c r="H5943" s="1" t="s">
        <v>0</v>
      </c>
      <c r="I5943" s="2">
        <v>0</v>
      </c>
      <c r="J5943" s="1">
        <v>45993.548981481479</v>
      </c>
    </row>
    <row r="5944" spans="1:10" x14ac:dyDescent="0.2">
      <c r="A5944" s="4" t="s">
        <v>1</v>
      </c>
      <c r="B5944" s="3" t="str">
        <f>HYPERLINK("https://otsuka-europe-crm.veevavault.com/ui/#object/approved_document__v/V5O000000001002", "AM2M - ENFERMERÍA - Guía preguntas pacientes")</f>
        <v>AM2M - ENFERMERÍA - Guía preguntas pacientes</v>
      </c>
      <c r="C5944" s="3" t="str">
        <f>HYPERLINK("https://otsuka-europe-crm.veevavault.com/ui/#object/sent_email__v/VBL00000000U217", "SE-001394627")</f>
        <v>SE-001394627</v>
      </c>
      <c r="D5944" s="1" t="s">
        <v>0</v>
      </c>
      <c r="E5944" s="2">
        <v>0</v>
      </c>
      <c r="F5944" s="2">
        <v>0</v>
      </c>
      <c r="G5944" s="2">
        <v>0</v>
      </c>
      <c r="H5944" s="1" t="s">
        <v>0</v>
      </c>
      <c r="I5944" s="2">
        <v>0</v>
      </c>
      <c r="J5944" s="1">
        <v>45993.549039351848</v>
      </c>
    </row>
    <row r="5945" spans="1:10" x14ac:dyDescent="0.2">
      <c r="A5945" s="4" t="s">
        <v>1</v>
      </c>
      <c r="B5945" s="3" t="str">
        <f>HYPERLINK("https://otsuka-europe-crm.veevavault.com/ui/#object/approved_document__v/V5O000000001002", "AM2M - ENFERMERÍA - Guía preguntas pacientes")</f>
        <v>AM2M - ENFERMERÍA - Guía preguntas pacientes</v>
      </c>
      <c r="C5945" s="3" t="str">
        <f>HYPERLINK("https://otsuka-europe-crm.veevavault.com/ui/#object/sent_email__v/VBL00000000U218", "SE-001394628")</f>
        <v>SE-001394628</v>
      </c>
      <c r="D5945" s="1" t="s">
        <v>0</v>
      </c>
      <c r="E5945" s="2">
        <v>0</v>
      </c>
      <c r="F5945" s="2">
        <v>0</v>
      </c>
      <c r="G5945" s="2">
        <v>0</v>
      </c>
      <c r="H5945" s="1" t="s">
        <v>0</v>
      </c>
      <c r="I5945" s="2">
        <v>0</v>
      </c>
      <c r="J5945" s="1">
        <v>45993.549074074072</v>
      </c>
    </row>
    <row r="5946" spans="1:10" x14ac:dyDescent="0.2">
      <c r="A5946" s="4" t="s">
        <v>1</v>
      </c>
      <c r="B5946" s="3" t="str">
        <f>HYPERLINK("https://otsuka-europe-crm.veevavault.com/ui/#object/approved_document__v/V5O000000001002", "AM2M - ENFERMERÍA - Guía preguntas pacientes")</f>
        <v>AM2M - ENFERMERÍA - Guía preguntas pacientes</v>
      </c>
      <c r="C5946" s="3" t="str">
        <f>HYPERLINK("https://otsuka-europe-crm.veevavault.com/ui/#object/sent_email__v/VBL00000000U219", "SE-001394629")</f>
        <v>SE-001394629</v>
      </c>
      <c r="D5946" s="1">
        <v>45993.685659722221</v>
      </c>
      <c r="E5946" s="2">
        <v>1</v>
      </c>
      <c r="F5946" s="2">
        <v>2</v>
      </c>
      <c r="G5946" s="2">
        <v>0</v>
      </c>
      <c r="H5946" s="1" t="s">
        <v>0</v>
      </c>
      <c r="I5946" s="2">
        <v>0</v>
      </c>
      <c r="J5946" s="1">
        <v>45993.549108796295</v>
      </c>
    </row>
    <row r="5947" spans="1:10" x14ac:dyDescent="0.2">
      <c r="A5947" s="4" t="s">
        <v>1</v>
      </c>
      <c r="B5947" s="3" t="str">
        <f>HYPERLINK("https://otsuka-europe-crm.veevavault.com/ui/#object/approved_document__v/V5O000000001002", "AM2M - ENFERMERÍA - Guía preguntas pacientes")</f>
        <v>AM2M - ENFERMERÍA - Guía preguntas pacientes</v>
      </c>
      <c r="C5947" s="3" t="str">
        <f>HYPERLINK("https://otsuka-europe-crm.veevavault.com/ui/#object/sent_email__v/VBL00000000U220", "SE-001394630")</f>
        <v>SE-001394630</v>
      </c>
      <c r="D5947" s="1" t="s">
        <v>0</v>
      </c>
      <c r="E5947" s="2">
        <v>0</v>
      </c>
      <c r="F5947" s="2">
        <v>0</v>
      </c>
      <c r="G5947" s="2">
        <v>0</v>
      </c>
      <c r="H5947" s="1" t="s">
        <v>0</v>
      </c>
      <c r="I5947" s="2">
        <v>0</v>
      </c>
      <c r="J5947" s="1">
        <v>45993.549155092594</v>
      </c>
    </row>
    <row r="5948" spans="1:10" x14ac:dyDescent="0.2">
      <c r="A5948" s="4" t="s">
        <v>1</v>
      </c>
      <c r="B5948" s="3" t="str">
        <f>HYPERLINK("https://otsuka-europe-crm.veevavault.com/ui/#object/approved_document__v/V5O000000001002", "AM2M - ENFERMERÍA - Guía preguntas pacientes")</f>
        <v>AM2M - ENFERMERÍA - Guía preguntas pacientes</v>
      </c>
      <c r="C5948" s="3" t="str">
        <f>HYPERLINK("https://otsuka-europe-crm.veevavault.com/ui/#object/sent_email__v/VBL00000000U221", "SE-001394631")</f>
        <v>SE-001394631</v>
      </c>
      <c r="D5948" s="1" t="s">
        <v>0</v>
      </c>
      <c r="E5948" s="2">
        <v>0</v>
      </c>
      <c r="F5948" s="2">
        <v>0</v>
      </c>
      <c r="G5948" s="2">
        <v>0</v>
      </c>
      <c r="H5948" s="1" t="s">
        <v>0</v>
      </c>
      <c r="I5948" s="2">
        <v>0</v>
      </c>
      <c r="J5948" s="1">
        <v>45993.549189814818</v>
      </c>
    </row>
    <row r="5949" spans="1:10" x14ac:dyDescent="0.2">
      <c r="A5949" s="4" t="s">
        <v>1</v>
      </c>
      <c r="B5949" s="3" t="str">
        <f>HYPERLINK("https://otsuka-europe-crm.veevavault.com/ui/#object/approved_document__v/V5O000000001002", "AM2M - ENFERMERÍA - Guía preguntas pacientes")</f>
        <v>AM2M - ENFERMERÍA - Guía preguntas pacientes</v>
      </c>
      <c r="C5949" s="3" t="str">
        <f>HYPERLINK("https://otsuka-europe-crm.veevavault.com/ui/#object/sent_email__v/VBL00000000U222", "SE-001394632")</f>
        <v>SE-001394632</v>
      </c>
      <c r="D5949" s="1">
        <v>45993.549340277779</v>
      </c>
      <c r="E5949" s="2">
        <v>1</v>
      </c>
      <c r="F5949" s="2">
        <v>1</v>
      </c>
      <c r="G5949" s="2">
        <v>0</v>
      </c>
      <c r="H5949" s="1" t="s">
        <v>0</v>
      </c>
      <c r="I5949" s="2">
        <v>0</v>
      </c>
      <c r="J5949" s="1">
        <v>45993.54923611111</v>
      </c>
    </row>
    <row r="5950" spans="1:10" x14ac:dyDescent="0.2">
      <c r="A5950" s="4" t="s">
        <v>1</v>
      </c>
      <c r="B5950" s="3" t="str">
        <f>HYPERLINK("https://otsuka-europe-crm.veevavault.com/ui/#object/approved_document__v/V5O000000001002", "AM2M - ENFERMERÍA - Guía preguntas pacientes")</f>
        <v>AM2M - ENFERMERÍA - Guía preguntas pacientes</v>
      </c>
      <c r="C5950" s="3" t="str">
        <f>HYPERLINK("https://otsuka-europe-crm.veevavault.com/ui/#object/sent_email__v/VBL00000000U223", "SE-001394633")</f>
        <v>SE-001394633</v>
      </c>
      <c r="D5950" s="1">
        <v>45993.590081018519</v>
      </c>
      <c r="E5950" s="2">
        <v>1</v>
      </c>
      <c r="F5950" s="2">
        <v>1</v>
      </c>
      <c r="G5950" s="2">
        <v>0</v>
      </c>
      <c r="H5950" s="1" t="s">
        <v>0</v>
      </c>
      <c r="I5950" s="2">
        <v>0</v>
      </c>
      <c r="J5950" s="1">
        <v>45993.54928240741</v>
      </c>
    </row>
    <row r="5951" spans="1:10" x14ac:dyDescent="0.2">
      <c r="A5951" s="4" t="s">
        <v>1</v>
      </c>
      <c r="B5951" s="3" t="str">
        <f>HYPERLINK("https://otsuka-europe-crm.veevavault.com/ui/#object/approved_document__v/V5O000000001002", "AM2M - ENFERMERÍA - Guía preguntas pacientes")</f>
        <v>AM2M - ENFERMERÍA - Guía preguntas pacientes</v>
      </c>
      <c r="C5951" s="3" t="str">
        <f>HYPERLINK("https://otsuka-europe-crm.veevavault.com/ui/#object/sent_email__v/VBL00000000U224", "SE-001394634")</f>
        <v>SE-001394634</v>
      </c>
      <c r="D5951" s="1" t="s">
        <v>0</v>
      </c>
      <c r="E5951" s="2">
        <v>0</v>
      </c>
      <c r="F5951" s="2">
        <v>0</v>
      </c>
      <c r="G5951" s="2">
        <v>0</v>
      </c>
      <c r="H5951" s="1" t="s">
        <v>0</v>
      </c>
      <c r="I5951" s="2">
        <v>0</v>
      </c>
      <c r="J5951" s="1">
        <v>45993.549328703702</v>
      </c>
    </row>
    <row r="5952" spans="1:10" x14ac:dyDescent="0.2">
      <c r="A5952" s="4" t="s">
        <v>1</v>
      </c>
      <c r="B5952" s="3" t="str">
        <f>HYPERLINK("https://otsuka-europe-crm.veevavault.com/ui/#object/approved_document__v/V5O000000001002", "AM2M - ENFERMERÍA - Guía preguntas pacientes")</f>
        <v>AM2M - ENFERMERÍA - Guía preguntas pacientes</v>
      </c>
      <c r="C5952" s="3" t="str">
        <f>HYPERLINK("https://otsuka-europe-crm.veevavault.com/ui/#object/sent_email__v/VBL00000000U225", "SE-001394635")</f>
        <v>SE-001394635</v>
      </c>
      <c r="D5952" s="1">
        <v>45993.751458333332</v>
      </c>
      <c r="E5952" s="2">
        <v>1</v>
      </c>
      <c r="F5952" s="2">
        <v>1</v>
      </c>
      <c r="G5952" s="2">
        <v>0</v>
      </c>
      <c r="H5952" s="1" t="s">
        <v>0</v>
      </c>
      <c r="I5952" s="2">
        <v>0</v>
      </c>
      <c r="J5952" s="1">
        <v>45993.549375000002</v>
      </c>
    </row>
    <row r="5953" spans="1:10" x14ac:dyDescent="0.2">
      <c r="A5953" s="4" t="s">
        <v>1</v>
      </c>
      <c r="B5953" s="3" t="str">
        <f>HYPERLINK("https://otsuka-europe-crm.veevavault.com/ui/#object/approved_document__v/V5O000000001002", "AM2M - ENFERMERÍA - Guía preguntas pacientes")</f>
        <v>AM2M - ENFERMERÍA - Guía preguntas pacientes</v>
      </c>
      <c r="C5953" s="3" t="str">
        <f>HYPERLINK("https://otsuka-europe-crm.veevavault.com/ui/#object/sent_email__v/VBL00000000U226", "SE-001394636")</f>
        <v>SE-001394636</v>
      </c>
      <c r="D5953" s="1">
        <v>45994.5153125</v>
      </c>
      <c r="E5953" s="2">
        <v>1</v>
      </c>
      <c r="F5953" s="2">
        <v>2</v>
      </c>
      <c r="G5953" s="2">
        <v>0</v>
      </c>
      <c r="H5953" s="1" t="s">
        <v>0</v>
      </c>
      <c r="I5953" s="2">
        <v>0</v>
      </c>
      <c r="J5953" s="1">
        <v>45993.549409722225</v>
      </c>
    </row>
    <row r="5954" spans="1:10" x14ac:dyDescent="0.2">
      <c r="A5954" s="4" t="s">
        <v>1</v>
      </c>
      <c r="B5954" s="3" t="str">
        <f>HYPERLINK("https://otsuka-europe-crm.veevavault.com/ui/#object/approved_document__v/V5O000000001002", "AM2M - ENFERMERÍA - Guía preguntas pacientes")</f>
        <v>AM2M - ENFERMERÍA - Guía preguntas pacientes</v>
      </c>
      <c r="C5954" s="3" t="str">
        <f>HYPERLINK("https://otsuka-europe-crm.veevavault.com/ui/#object/sent_email__v/VBL00000000U227", "SE-001394637")</f>
        <v>SE-001394637</v>
      </c>
      <c r="D5954" s="1" t="s">
        <v>0</v>
      </c>
      <c r="E5954" s="2">
        <v>0</v>
      </c>
      <c r="F5954" s="2">
        <v>0</v>
      </c>
      <c r="G5954" s="2">
        <v>0</v>
      </c>
      <c r="H5954" s="1" t="s">
        <v>0</v>
      </c>
      <c r="I5954" s="2">
        <v>0</v>
      </c>
      <c r="J5954" s="1">
        <v>45993.549467592595</v>
      </c>
    </row>
    <row r="5955" spans="1:10" x14ac:dyDescent="0.2">
      <c r="A5955" s="4" t="s">
        <v>1</v>
      </c>
      <c r="B5955" s="3" t="str">
        <f>HYPERLINK("https://otsuka-europe-crm.veevavault.com/ui/#object/approved_document__v/V5O000000001002", "AM2M - ENFERMERÍA - Guía preguntas pacientes")</f>
        <v>AM2M - ENFERMERÍA - Guía preguntas pacientes</v>
      </c>
      <c r="C5955" s="3" t="str">
        <f>HYPERLINK("https://otsuka-europe-crm.veevavault.com/ui/#object/sent_email__v/VBL00000000U228", "SE-001394638")</f>
        <v>SE-001394638</v>
      </c>
      <c r="D5955" s="1">
        <v>45993.604722222219</v>
      </c>
      <c r="E5955" s="2">
        <v>1</v>
      </c>
      <c r="F5955" s="2">
        <v>1</v>
      </c>
      <c r="G5955" s="2">
        <v>0</v>
      </c>
      <c r="H5955" s="1" t="s">
        <v>0</v>
      </c>
      <c r="I5955" s="2">
        <v>0</v>
      </c>
      <c r="J5955" s="1">
        <v>45993.549502314818</v>
      </c>
    </row>
    <row r="5956" spans="1:10" x14ac:dyDescent="0.2">
      <c r="A5956" s="4" t="s">
        <v>1</v>
      </c>
      <c r="B5956" s="3" t="str">
        <f>HYPERLINK("https://otsuka-europe-crm.veevavault.com/ui/#object/approved_document__v/V5O000000001002", "AM2M - ENFERMERÍA - Guía preguntas pacientes")</f>
        <v>AM2M - ENFERMERÍA - Guía preguntas pacientes</v>
      </c>
      <c r="C5956" s="3" t="str">
        <f>HYPERLINK("https://otsuka-europe-crm.veevavault.com/ui/#object/sent_email__v/VBL00000000U229", "SE-001394639")</f>
        <v>SE-001394639</v>
      </c>
      <c r="D5956" s="1">
        <v>45996.581597222219</v>
      </c>
      <c r="E5956" s="2">
        <v>1</v>
      </c>
      <c r="F5956" s="2">
        <v>1</v>
      </c>
      <c r="G5956" s="2">
        <v>0</v>
      </c>
      <c r="H5956" s="1" t="s">
        <v>0</v>
      </c>
      <c r="I5956" s="2">
        <v>0</v>
      </c>
      <c r="J5956" s="1">
        <v>45993.54954861111</v>
      </c>
    </row>
    <row r="5957" spans="1:10" x14ac:dyDescent="0.2">
      <c r="A5957" s="4" t="s">
        <v>1</v>
      </c>
      <c r="B5957" s="3" t="str">
        <f>HYPERLINK("https://otsuka-europe-crm.veevavault.com/ui/#object/approved_document__v/V5O000000001002", "AM2M - ENFERMERÍA - Guía preguntas pacientes")</f>
        <v>AM2M - ENFERMERÍA - Guía preguntas pacientes</v>
      </c>
      <c r="C5957" s="3" t="str">
        <f>HYPERLINK("https://otsuka-europe-crm.veevavault.com/ui/#object/sent_email__v/VBL00000000U230", "SE-001394640")</f>
        <v>SE-001394640</v>
      </c>
      <c r="D5957" s="1">
        <v>45993.688449074078</v>
      </c>
      <c r="E5957" s="2">
        <v>1</v>
      </c>
      <c r="F5957" s="2">
        <v>1</v>
      </c>
      <c r="G5957" s="2">
        <v>0</v>
      </c>
      <c r="H5957" s="1" t="s">
        <v>0</v>
      </c>
      <c r="I5957" s="2">
        <v>0</v>
      </c>
      <c r="J5957" s="1">
        <v>45993.549583333333</v>
      </c>
    </row>
    <row r="5958" spans="1:10" x14ac:dyDescent="0.2">
      <c r="A5958" s="4" t="s">
        <v>1</v>
      </c>
      <c r="B5958" s="3" t="str">
        <f>HYPERLINK("https://otsuka-europe-crm.veevavault.com/ui/#object/approved_document__v/V5O000000001002", "AM2M - ENFERMERÍA - Guía preguntas pacientes")</f>
        <v>AM2M - ENFERMERÍA - Guía preguntas pacientes</v>
      </c>
      <c r="C5958" s="3" t="str">
        <f>HYPERLINK("https://otsuka-europe-crm.veevavault.com/ui/#object/sent_email__v/VBL00000000U231", "SE-001394641")</f>
        <v>SE-001394641</v>
      </c>
      <c r="D5958" s="1" t="s">
        <v>0</v>
      </c>
      <c r="E5958" s="2">
        <v>0</v>
      </c>
      <c r="F5958" s="2">
        <v>0</v>
      </c>
      <c r="G5958" s="2">
        <v>0</v>
      </c>
      <c r="H5958" s="1" t="s">
        <v>0</v>
      </c>
      <c r="I5958" s="2">
        <v>0</v>
      </c>
      <c r="J5958" s="1">
        <v>45993.549629629626</v>
      </c>
    </row>
    <row r="5959" spans="1:10" x14ac:dyDescent="0.2">
      <c r="A5959" s="4" t="s">
        <v>1</v>
      </c>
      <c r="B5959" s="3" t="str">
        <f>HYPERLINK("https://otsuka-europe-crm.veevavault.com/ui/#object/approved_document__v/V5O000000001002", "AM2M - ENFERMERÍA - Guía preguntas pacientes")</f>
        <v>AM2M - ENFERMERÍA - Guía preguntas pacientes</v>
      </c>
      <c r="C5959" s="3" t="str">
        <f>HYPERLINK("https://otsuka-europe-crm.veevavault.com/ui/#object/sent_email__v/VBL00000000U232", "SE-001394642")</f>
        <v>SE-001394642</v>
      </c>
      <c r="D5959" s="1" t="s">
        <v>0</v>
      </c>
      <c r="E5959" s="2">
        <v>0</v>
      </c>
      <c r="F5959" s="2">
        <v>0</v>
      </c>
      <c r="G5959" s="2">
        <v>0</v>
      </c>
      <c r="H5959" s="1" t="s">
        <v>0</v>
      </c>
      <c r="I5959" s="2">
        <v>0</v>
      </c>
      <c r="J5959" s="1">
        <v>45993.549675925926</v>
      </c>
    </row>
    <row r="5960" spans="1:10" x14ac:dyDescent="0.2">
      <c r="A5960" s="4" t="s">
        <v>1</v>
      </c>
      <c r="B5960" s="3" t="str">
        <f>HYPERLINK("https://otsuka-europe-crm.veevavault.com/ui/#object/approved_document__v/V5O000000001002", "AM2M - ENFERMERÍA - Guía preguntas pacientes")</f>
        <v>AM2M - ENFERMERÍA - Guía preguntas pacientes</v>
      </c>
      <c r="C5960" s="3" t="str">
        <f>HYPERLINK("https://otsuka-europe-crm.veevavault.com/ui/#object/sent_email__v/VBL00000000U233", "SE-001394643")</f>
        <v>SE-001394643</v>
      </c>
      <c r="D5960" s="1">
        <v>45993.554710648146</v>
      </c>
      <c r="E5960" s="2">
        <v>1</v>
      </c>
      <c r="F5960" s="2">
        <v>2</v>
      </c>
      <c r="G5960" s="2">
        <v>0</v>
      </c>
      <c r="H5960" s="1" t="s">
        <v>0</v>
      </c>
      <c r="I5960" s="2">
        <v>0</v>
      </c>
      <c r="J5960" s="1">
        <v>45993.549710648149</v>
      </c>
    </row>
    <row r="5961" spans="1:10" x14ac:dyDescent="0.2">
      <c r="A5961" s="4" t="s">
        <v>1</v>
      </c>
      <c r="B5961" s="3" t="str">
        <f>HYPERLINK("https://otsuka-europe-crm.veevavault.com/ui/#object/approved_document__v/V5O000000001002", "AM2M - ENFERMERÍA - Guía preguntas pacientes")</f>
        <v>AM2M - ENFERMERÍA - Guía preguntas pacientes</v>
      </c>
      <c r="C5961" s="3" t="str">
        <f>HYPERLINK("https://otsuka-europe-crm.veevavault.com/ui/#object/sent_email__v/VBL00000000U234", "SE-001394644")</f>
        <v>SE-001394644</v>
      </c>
      <c r="D5961" s="1" t="s">
        <v>0</v>
      </c>
      <c r="E5961" s="2">
        <v>0</v>
      </c>
      <c r="F5961" s="2">
        <v>0</v>
      </c>
      <c r="G5961" s="2">
        <v>0</v>
      </c>
      <c r="H5961" s="1" t="s">
        <v>0</v>
      </c>
      <c r="I5961" s="2">
        <v>0</v>
      </c>
      <c r="J5961" s="1">
        <v>45993.549791666665</v>
      </c>
    </row>
    <row r="5962" spans="1:10" x14ac:dyDescent="0.2">
      <c r="A5962" s="4" t="s">
        <v>1</v>
      </c>
      <c r="B5962" s="3" t="str">
        <f>HYPERLINK("https://otsuka-europe-crm.veevavault.com/ui/#object/approved_document__v/V5O000000001002", "AM2M - ENFERMERÍA - Guía preguntas pacientes")</f>
        <v>AM2M - ENFERMERÍA - Guía preguntas pacientes</v>
      </c>
      <c r="C5962" s="3" t="str">
        <f>HYPERLINK("https://otsuka-europe-crm.veevavault.com/ui/#object/sent_email__v/VBL00000000U235", "SE-001394645")</f>
        <v>SE-001394645</v>
      </c>
      <c r="D5962" s="1" t="s">
        <v>0</v>
      </c>
      <c r="E5962" s="2">
        <v>0</v>
      </c>
      <c r="F5962" s="2">
        <v>0</v>
      </c>
      <c r="G5962" s="2">
        <v>0</v>
      </c>
      <c r="H5962" s="1" t="s">
        <v>0</v>
      </c>
      <c r="I5962" s="2">
        <v>0</v>
      </c>
      <c r="J5962" s="1">
        <v>45993.549803240741</v>
      </c>
    </row>
    <row r="5963" spans="1:10" x14ac:dyDescent="0.2">
      <c r="A5963" s="4" t="s">
        <v>1</v>
      </c>
      <c r="B5963" s="3" t="str">
        <f>HYPERLINK("https://otsuka-europe-crm.veevavault.com/ui/#object/approved_document__v/V5O000000001002", "AM2M - ENFERMERÍA - Guía preguntas pacientes")</f>
        <v>AM2M - ENFERMERÍA - Guía preguntas pacientes</v>
      </c>
      <c r="C5963" s="3" t="str">
        <f>HYPERLINK("https://otsuka-europe-crm.veevavault.com/ui/#object/sent_email__v/VBL00000000U236", "SE-001394646")</f>
        <v>SE-001394646</v>
      </c>
      <c r="D5963" s="1" t="s">
        <v>0</v>
      </c>
      <c r="E5963" s="2">
        <v>0</v>
      </c>
      <c r="F5963" s="2">
        <v>0</v>
      </c>
      <c r="G5963" s="2">
        <v>0</v>
      </c>
      <c r="H5963" s="1" t="s">
        <v>0</v>
      </c>
      <c r="I5963" s="2">
        <v>0</v>
      </c>
      <c r="J5963" s="1">
        <v>45993.549837962964</v>
      </c>
    </row>
    <row r="5964" spans="1:10" x14ac:dyDescent="0.2">
      <c r="A5964" s="4" t="s">
        <v>1</v>
      </c>
      <c r="B5964" s="3" t="str">
        <f>HYPERLINK("https://otsuka-europe-crm.veevavault.com/ui/#object/approved_document__v/V5O000000001002", "AM2M - ENFERMERÍA - Guía preguntas pacientes")</f>
        <v>AM2M - ENFERMERÍA - Guía preguntas pacientes</v>
      </c>
      <c r="C5964" s="3" t="str">
        <f>HYPERLINK("https://otsuka-europe-crm.veevavault.com/ui/#object/sent_email__v/VBL00000000U237", "SE-001394647")</f>
        <v>SE-001394647</v>
      </c>
      <c r="D5964" s="1" t="s">
        <v>0</v>
      </c>
      <c r="E5964" s="2">
        <v>0</v>
      </c>
      <c r="F5964" s="2">
        <v>0</v>
      </c>
      <c r="G5964" s="2">
        <v>0</v>
      </c>
      <c r="H5964" s="1" t="s">
        <v>0</v>
      </c>
      <c r="I5964" s="2">
        <v>0</v>
      </c>
      <c r="J5964" s="1">
        <v>45993.549884259257</v>
      </c>
    </row>
    <row r="5965" spans="1:10" x14ac:dyDescent="0.2">
      <c r="A5965" s="4" t="s">
        <v>1</v>
      </c>
      <c r="B5965" s="3" t="str">
        <f>HYPERLINK("https://otsuka-europe-crm.veevavault.com/ui/#object/approved_document__v/V5O000000001002", "AM2M - ENFERMERÍA - Guía preguntas pacientes")</f>
        <v>AM2M - ENFERMERÍA - Guía preguntas pacientes</v>
      </c>
      <c r="C5965" s="3" t="str">
        <f>HYPERLINK("https://otsuka-europe-crm.veevavault.com/ui/#object/sent_email__v/VBL00000000U238", "SE-001394648")</f>
        <v>SE-001394648</v>
      </c>
      <c r="D5965" s="1" t="s">
        <v>0</v>
      </c>
      <c r="E5965" s="2">
        <v>0</v>
      </c>
      <c r="F5965" s="2">
        <v>0</v>
      </c>
      <c r="G5965" s="2">
        <v>0</v>
      </c>
      <c r="H5965" s="1" t="s">
        <v>0</v>
      </c>
      <c r="I5965" s="2">
        <v>0</v>
      </c>
      <c r="J5965" s="1">
        <v>45993.549930555557</v>
      </c>
    </row>
    <row r="5966" spans="1:10" x14ac:dyDescent="0.2">
      <c r="A5966" s="4" t="s">
        <v>1</v>
      </c>
      <c r="B5966" s="3" t="str">
        <f>HYPERLINK("https://otsuka-europe-crm.veevavault.com/ui/#object/approved_document__v/V5O000000001002", "AM2M - ENFERMERÍA - Guía preguntas pacientes")</f>
        <v>AM2M - ENFERMERÍA - Guía preguntas pacientes</v>
      </c>
      <c r="C5966" s="3" t="str">
        <f>HYPERLINK("https://otsuka-europe-crm.veevavault.com/ui/#object/sent_email__v/VBL00000000U239", "SE-001394649")</f>
        <v>SE-001394649</v>
      </c>
      <c r="D5966" s="1" t="s">
        <v>0</v>
      </c>
      <c r="E5966" s="2">
        <v>0</v>
      </c>
      <c r="F5966" s="2">
        <v>0</v>
      </c>
      <c r="G5966" s="2">
        <v>0</v>
      </c>
      <c r="H5966" s="1" t="s">
        <v>0</v>
      </c>
      <c r="I5966" s="2">
        <v>0</v>
      </c>
      <c r="J5966" s="1">
        <v>45993.54996527778</v>
      </c>
    </row>
    <row r="5967" spans="1:10" x14ac:dyDescent="0.2">
      <c r="A5967" s="4" t="s">
        <v>1</v>
      </c>
      <c r="B5967" s="3" t="str">
        <f>HYPERLINK("https://otsuka-europe-crm.veevavault.com/ui/#object/approved_document__v/V5O000000001002", "AM2M - ENFERMERÍA - Guía preguntas pacientes")</f>
        <v>AM2M - ENFERMERÍA - Guía preguntas pacientes</v>
      </c>
      <c r="C5967" s="3" t="str">
        <f>HYPERLINK("https://otsuka-europe-crm.veevavault.com/ui/#object/sent_email__v/VBL00000000U240", "SE-001394650")</f>
        <v>SE-001394650</v>
      </c>
      <c r="D5967" s="1">
        <v>45993.607002314813</v>
      </c>
      <c r="E5967" s="2">
        <v>1</v>
      </c>
      <c r="F5967" s="2">
        <v>1</v>
      </c>
      <c r="G5967" s="2">
        <v>0</v>
      </c>
      <c r="H5967" s="1" t="s">
        <v>0</v>
      </c>
      <c r="I5967" s="2">
        <v>0</v>
      </c>
      <c r="J5967" s="1">
        <v>45993.55</v>
      </c>
    </row>
    <row r="5968" spans="1:10" x14ac:dyDescent="0.2">
      <c r="A5968" s="4" t="s">
        <v>1</v>
      </c>
      <c r="B5968" s="3" t="str">
        <f>HYPERLINK("https://otsuka-europe-crm.veevavault.com/ui/#object/approved_document__v/V5O000000001002", "AM2M - ENFERMERÍA - Guía preguntas pacientes")</f>
        <v>AM2M - ENFERMERÍA - Guía preguntas pacientes</v>
      </c>
      <c r="C5968" s="3" t="str">
        <f>HYPERLINK("https://otsuka-europe-crm.veevavault.com/ui/#object/sent_email__v/VBL00000000U241", "SE-001394651")</f>
        <v>SE-001394651</v>
      </c>
      <c r="D5968" s="1" t="s">
        <v>0</v>
      </c>
      <c r="E5968" s="2">
        <v>0</v>
      </c>
      <c r="F5968" s="2">
        <v>0</v>
      </c>
      <c r="G5968" s="2">
        <v>0</v>
      </c>
      <c r="H5968" s="1" t="s">
        <v>0</v>
      </c>
      <c r="I5968" s="2">
        <v>0</v>
      </c>
      <c r="J5968" s="1">
        <v>45993.550057870372</v>
      </c>
    </row>
    <row r="5969" spans="1:10" x14ac:dyDescent="0.2">
      <c r="A5969" s="4" t="s">
        <v>1</v>
      </c>
      <c r="B5969" s="3" t="str">
        <f>HYPERLINK("https://otsuka-europe-crm.veevavault.com/ui/#object/approved_document__v/V5O000000001002", "AM2M - ENFERMERÍA - Guía preguntas pacientes")</f>
        <v>AM2M - ENFERMERÍA - Guía preguntas pacientes</v>
      </c>
      <c r="C5969" s="3" t="str">
        <f>HYPERLINK("https://otsuka-europe-crm.veevavault.com/ui/#object/sent_email__v/VBL00000000U242", "SE-001394652")</f>
        <v>SE-001394652</v>
      </c>
      <c r="D5969" s="1" t="s">
        <v>0</v>
      </c>
      <c r="E5969" s="2">
        <v>0</v>
      </c>
      <c r="F5969" s="2">
        <v>0</v>
      </c>
      <c r="G5969" s="2">
        <v>0</v>
      </c>
      <c r="H5969" s="1" t="s">
        <v>0</v>
      </c>
      <c r="I5969" s="2">
        <v>0</v>
      </c>
      <c r="J5969" s="1">
        <v>45993.550092592595</v>
      </c>
    </row>
    <row r="5970" spans="1:10" x14ac:dyDescent="0.2">
      <c r="A5970" s="4" t="s">
        <v>1</v>
      </c>
      <c r="B5970" s="3" t="str">
        <f>HYPERLINK("https://otsuka-europe-crm.veevavault.com/ui/#object/approved_document__v/V5O000000001002", "AM2M - ENFERMERÍA - Guía preguntas pacientes")</f>
        <v>AM2M - ENFERMERÍA - Guía preguntas pacientes</v>
      </c>
      <c r="C5970" s="3" t="str">
        <f>HYPERLINK("https://otsuka-europe-crm.veevavault.com/ui/#object/sent_email__v/VBL00000000U243", "SE-001394653")</f>
        <v>SE-001394653</v>
      </c>
      <c r="D5970" s="1">
        <v>45993.63175925926</v>
      </c>
      <c r="E5970" s="2">
        <v>1</v>
      </c>
      <c r="F5970" s="2">
        <v>1</v>
      </c>
      <c r="G5970" s="2">
        <v>0</v>
      </c>
      <c r="H5970" s="1" t="s">
        <v>0</v>
      </c>
      <c r="I5970" s="2">
        <v>0</v>
      </c>
      <c r="J5970" s="1">
        <v>45993.550138888888</v>
      </c>
    </row>
    <row r="5971" spans="1:10" x14ac:dyDescent="0.2">
      <c r="A5971" s="4" t="s">
        <v>1</v>
      </c>
      <c r="B5971" s="3" t="str">
        <f>HYPERLINK("https://otsuka-europe-crm.veevavault.com/ui/#object/approved_document__v/V5O000000001002", "AM2M - ENFERMERÍA - Guía preguntas pacientes")</f>
        <v>AM2M - ENFERMERÍA - Guía preguntas pacientes</v>
      </c>
      <c r="C5971" s="3" t="str">
        <f>HYPERLINK("https://otsuka-europe-crm.veevavault.com/ui/#object/sent_email__v/VBL00000000U244", "SE-001394654")</f>
        <v>SE-001394654</v>
      </c>
      <c r="D5971" s="1">
        <v>45993.55028935185</v>
      </c>
      <c r="E5971" s="2">
        <v>1</v>
      </c>
      <c r="F5971" s="2">
        <v>1</v>
      </c>
      <c r="G5971" s="2">
        <v>0</v>
      </c>
      <c r="H5971" s="1" t="s">
        <v>0</v>
      </c>
      <c r="I5971" s="2">
        <v>0</v>
      </c>
      <c r="J5971" s="1">
        <v>45993.550185185188</v>
      </c>
    </row>
    <row r="5972" spans="1:10" x14ac:dyDescent="0.2">
      <c r="A5972" s="4" t="s">
        <v>1</v>
      </c>
      <c r="B5972" s="3" t="str">
        <f>HYPERLINK("https://otsuka-europe-crm.veevavault.com/ui/#object/approved_document__v/V5O000000001002", "AM2M - ENFERMERÍA - Guía preguntas pacientes")</f>
        <v>AM2M - ENFERMERÍA - Guía preguntas pacientes</v>
      </c>
      <c r="C5972" s="3" t="str">
        <f>HYPERLINK("https://otsuka-europe-crm.veevavault.com/ui/#object/sent_email__v/VBL00000000U245", "SE-001394655")</f>
        <v>SE-001394655</v>
      </c>
      <c r="D5972" s="1">
        <v>45997.968159722222</v>
      </c>
      <c r="E5972" s="2">
        <v>1</v>
      </c>
      <c r="F5972" s="2">
        <v>2</v>
      </c>
      <c r="G5972" s="2">
        <v>0</v>
      </c>
      <c r="H5972" s="1" t="s">
        <v>0</v>
      </c>
      <c r="I5972" s="2">
        <v>0</v>
      </c>
      <c r="J5972" s="1">
        <v>45993.550219907411</v>
      </c>
    </row>
    <row r="5973" spans="1:10" x14ac:dyDescent="0.2">
      <c r="A5973" s="4" t="s">
        <v>1</v>
      </c>
      <c r="B5973" s="3" t="str">
        <f>HYPERLINK("https://otsuka-europe-crm.veevavault.com/ui/#object/approved_document__v/V5O000000001002", "AM2M - ENFERMERÍA - Guía preguntas pacientes")</f>
        <v>AM2M - ENFERMERÍA - Guía preguntas pacientes</v>
      </c>
      <c r="C5973" s="3" t="str">
        <f>HYPERLINK("https://otsuka-europe-crm.veevavault.com/ui/#object/sent_email__v/VBL00000000U246", "SE-001394656")</f>
        <v>SE-001394656</v>
      </c>
      <c r="D5973" s="1" t="s">
        <v>0</v>
      </c>
      <c r="E5973" s="2">
        <v>0</v>
      </c>
      <c r="F5973" s="2">
        <v>0</v>
      </c>
      <c r="G5973" s="2">
        <v>0</v>
      </c>
      <c r="H5973" s="1" t="s">
        <v>0</v>
      </c>
      <c r="I5973" s="2">
        <v>0</v>
      </c>
      <c r="J5973" s="1">
        <v>45993.550266203703</v>
      </c>
    </row>
    <row r="5974" spans="1:10" x14ac:dyDescent="0.2">
      <c r="A5974" s="4" t="s">
        <v>1</v>
      </c>
      <c r="B5974" s="3" t="str">
        <f>HYPERLINK("https://otsuka-europe-crm.veevavault.com/ui/#object/approved_document__v/V5O000000001002", "AM2M - ENFERMERÍA - Guía preguntas pacientes")</f>
        <v>AM2M - ENFERMERÍA - Guía preguntas pacientes</v>
      </c>
      <c r="C5974" s="3" t="str">
        <f>HYPERLINK("https://otsuka-europe-crm.veevavault.com/ui/#object/sent_email__v/VBL00000000U247", "SE-001394657")</f>
        <v>SE-001394657</v>
      </c>
      <c r="D5974" s="1" t="s">
        <v>0</v>
      </c>
      <c r="E5974" s="2">
        <v>0</v>
      </c>
      <c r="F5974" s="2">
        <v>0</v>
      </c>
      <c r="G5974" s="2">
        <v>0</v>
      </c>
      <c r="H5974" s="1" t="s">
        <v>0</v>
      </c>
      <c r="I5974" s="2">
        <v>0</v>
      </c>
      <c r="J5974" s="1">
        <v>45993.550300925926</v>
      </c>
    </row>
    <row r="5975" spans="1:10" x14ac:dyDescent="0.2">
      <c r="A5975" s="4" t="s">
        <v>1</v>
      </c>
      <c r="B5975" s="3" t="str">
        <f>HYPERLINK("https://otsuka-europe-crm.veevavault.com/ui/#object/approved_document__v/V5O000000001002", "AM2M - ENFERMERÍA - Guía preguntas pacientes")</f>
        <v>AM2M - ENFERMERÍA - Guía preguntas pacientes</v>
      </c>
      <c r="C5975" s="3" t="str">
        <f>HYPERLINK("https://otsuka-europe-crm.veevavault.com/ui/#object/sent_email__v/VBL00000000U248", "SE-001394658")</f>
        <v>SE-001394658</v>
      </c>
      <c r="D5975" s="1">
        <v>45993.906006944446</v>
      </c>
      <c r="E5975" s="2">
        <v>1</v>
      </c>
      <c r="F5975" s="2">
        <v>1</v>
      </c>
      <c r="G5975" s="2">
        <v>0</v>
      </c>
      <c r="H5975" s="1" t="s">
        <v>0</v>
      </c>
      <c r="I5975" s="2">
        <v>0</v>
      </c>
      <c r="J5975" s="1">
        <v>45993.550347222219</v>
      </c>
    </row>
    <row r="5976" spans="1:10" x14ac:dyDescent="0.2">
      <c r="A5976" s="4" t="s">
        <v>1</v>
      </c>
      <c r="B5976" s="3" t="str">
        <f>HYPERLINK("https://otsuka-europe-crm.veevavault.com/ui/#object/approved_document__v/V5O000000001002", "AM2M - ENFERMERÍA - Guía preguntas pacientes")</f>
        <v>AM2M - ENFERMERÍA - Guía preguntas pacientes</v>
      </c>
      <c r="C5976" s="3" t="str">
        <f>HYPERLINK("https://otsuka-europe-crm.veevavault.com/ui/#object/sent_email__v/VBL00000000U249", "SE-001394659")</f>
        <v>SE-001394659</v>
      </c>
      <c r="D5976" s="1">
        <v>45994.540752314817</v>
      </c>
      <c r="E5976" s="2">
        <v>1</v>
      </c>
      <c r="F5976" s="2">
        <v>1</v>
      </c>
      <c r="G5976" s="2">
        <v>0</v>
      </c>
      <c r="H5976" s="1" t="s">
        <v>0</v>
      </c>
      <c r="I5976" s="2">
        <v>0</v>
      </c>
      <c r="J5976" s="1">
        <v>45993.550381944442</v>
      </c>
    </row>
    <row r="5977" spans="1:10" x14ac:dyDescent="0.2">
      <c r="A5977" s="4" t="s">
        <v>1</v>
      </c>
      <c r="B5977" s="3" t="str">
        <f>HYPERLINK("https://otsuka-europe-crm.veevavault.com/ui/#object/approved_document__v/V5O000000001002", "AM2M - ENFERMERÍA - Guía preguntas pacientes")</f>
        <v>AM2M - ENFERMERÍA - Guía preguntas pacientes</v>
      </c>
      <c r="C5977" s="3" t="str">
        <f>HYPERLINK("https://otsuka-europe-crm.veevavault.com/ui/#object/sent_email__v/VBL00000000U250", "SE-001394660")</f>
        <v>SE-001394660</v>
      </c>
      <c r="D5977" s="1">
        <v>45993.550509259258</v>
      </c>
      <c r="E5977" s="2">
        <v>1</v>
      </c>
      <c r="F5977" s="2">
        <v>1</v>
      </c>
      <c r="G5977" s="2">
        <v>1</v>
      </c>
      <c r="H5977" s="1">
        <v>45993.551053240742</v>
      </c>
      <c r="I5977" s="2">
        <v>2</v>
      </c>
      <c r="J5977" s="1">
        <v>45993.550428240742</v>
      </c>
    </row>
    <row r="5978" spans="1:10" x14ac:dyDescent="0.2">
      <c r="A5978" s="4" t="s">
        <v>1</v>
      </c>
      <c r="B5978" s="3" t="str">
        <f>HYPERLINK("https://otsuka-europe-crm.veevavault.com/ui/#object/approved_document__v/V5O000000001002", "AM2M - ENFERMERÍA - Guía preguntas pacientes")</f>
        <v>AM2M - ENFERMERÍA - Guía preguntas pacientes</v>
      </c>
      <c r="C5978" s="3" t="str">
        <f>HYPERLINK("https://otsuka-europe-crm.veevavault.com/ui/#object/sent_email__v/VBL00000000U251", "SE-001394661")</f>
        <v>SE-001394661</v>
      </c>
      <c r="D5978" s="1" t="s">
        <v>0</v>
      </c>
      <c r="E5978" s="2">
        <v>0</v>
      </c>
      <c r="F5978" s="2">
        <v>0</v>
      </c>
      <c r="G5978" s="2">
        <v>0</v>
      </c>
      <c r="H5978" s="1" t="s">
        <v>0</v>
      </c>
      <c r="I5978" s="2">
        <v>0</v>
      </c>
      <c r="J5978" s="1">
        <v>45993.550462962965</v>
      </c>
    </row>
    <row r="5979" spans="1:10" x14ac:dyDescent="0.2">
      <c r="A5979" s="4" t="s">
        <v>1</v>
      </c>
      <c r="B5979" s="3" t="str">
        <f>HYPERLINK("https://otsuka-europe-crm.veevavault.com/ui/#object/approved_document__v/V5O000000001002", "AM2M - ENFERMERÍA - Guía preguntas pacientes")</f>
        <v>AM2M - ENFERMERÍA - Guía preguntas pacientes</v>
      </c>
      <c r="C5979" s="3" t="str">
        <f>HYPERLINK("https://otsuka-europe-crm.veevavault.com/ui/#object/sent_email__v/VBL00000000U252", "SE-001394662")</f>
        <v>SE-001394662</v>
      </c>
      <c r="D5979" s="1" t="s">
        <v>0</v>
      </c>
      <c r="E5979" s="2">
        <v>0</v>
      </c>
      <c r="F5979" s="2">
        <v>0</v>
      </c>
      <c r="G5979" s="2">
        <v>0</v>
      </c>
      <c r="H5979" s="1" t="s">
        <v>0</v>
      </c>
      <c r="I5979" s="2">
        <v>0</v>
      </c>
      <c r="J5979" s="1">
        <v>45993.550509259258</v>
      </c>
    </row>
    <row r="5980" spans="1:10" x14ac:dyDescent="0.2">
      <c r="A5980" s="4" t="s">
        <v>1</v>
      </c>
      <c r="B5980" s="3" t="str">
        <f>HYPERLINK("https://otsuka-europe-crm.veevavault.com/ui/#object/approved_document__v/V5O000000001002", "AM2M - ENFERMERÍA - Guía preguntas pacientes")</f>
        <v>AM2M - ENFERMERÍA - Guía preguntas pacientes</v>
      </c>
      <c r="C5980" s="3" t="str">
        <f>HYPERLINK("https://otsuka-europe-crm.veevavault.com/ui/#object/sent_email__v/VBL00000000U253", "SE-001394663")</f>
        <v>SE-001394663</v>
      </c>
      <c r="D5980" s="1" t="s">
        <v>0</v>
      </c>
      <c r="E5980" s="2">
        <v>0</v>
      </c>
      <c r="F5980" s="2">
        <v>0</v>
      </c>
      <c r="G5980" s="2">
        <v>0</v>
      </c>
      <c r="H5980" s="1" t="s">
        <v>0</v>
      </c>
      <c r="I5980" s="2">
        <v>0</v>
      </c>
      <c r="J5980" s="1">
        <v>45993.550555555557</v>
      </c>
    </row>
    <row r="5981" spans="1:10" x14ac:dyDescent="0.2">
      <c r="A5981" s="4" t="s">
        <v>1</v>
      </c>
      <c r="B5981" s="3" t="str">
        <f>HYPERLINK("https://otsuka-europe-crm.veevavault.com/ui/#object/approved_document__v/V5O000000001002", "AM2M - ENFERMERÍA - Guía preguntas pacientes")</f>
        <v>AM2M - ENFERMERÍA - Guía preguntas pacientes</v>
      </c>
      <c r="C5981" s="3" t="str">
        <f>HYPERLINK("https://otsuka-europe-crm.veevavault.com/ui/#object/sent_email__v/VBL00000000U254", "SE-001394664")</f>
        <v>SE-001394664</v>
      </c>
      <c r="D5981" s="1" t="s">
        <v>0</v>
      </c>
      <c r="E5981" s="2">
        <v>0</v>
      </c>
      <c r="F5981" s="2">
        <v>0</v>
      </c>
      <c r="G5981" s="2">
        <v>0</v>
      </c>
      <c r="H5981" s="1" t="s">
        <v>0</v>
      </c>
      <c r="I5981" s="2">
        <v>0</v>
      </c>
      <c r="J5981" s="1">
        <v>45993.55059027778</v>
      </c>
    </row>
    <row r="5982" spans="1:10" x14ac:dyDescent="0.2">
      <c r="A5982" s="4" t="s">
        <v>1</v>
      </c>
      <c r="B5982" s="3" t="str">
        <f>HYPERLINK("https://otsuka-europe-crm.veevavault.com/ui/#object/approved_document__v/V5O000000001002", "AM2M - ENFERMERÍA - Guía preguntas pacientes")</f>
        <v>AM2M - ENFERMERÍA - Guía preguntas pacientes</v>
      </c>
      <c r="C5982" s="3" t="str">
        <f>HYPERLINK("https://otsuka-europe-crm.veevavault.com/ui/#object/sent_email__v/VBL00000000U255", "SE-001394665")</f>
        <v>SE-001394665</v>
      </c>
      <c r="D5982" s="1" t="s">
        <v>0</v>
      </c>
      <c r="E5982" s="2">
        <v>0</v>
      </c>
      <c r="F5982" s="2">
        <v>0</v>
      </c>
      <c r="G5982" s="2">
        <v>0</v>
      </c>
      <c r="H5982" s="1" t="s">
        <v>0</v>
      </c>
      <c r="I5982" s="2">
        <v>0</v>
      </c>
      <c r="J5982" s="1">
        <v>45993.550659722219</v>
      </c>
    </row>
    <row r="5983" spans="1:10" x14ac:dyDescent="0.2">
      <c r="A5983" s="4" t="s">
        <v>1</v>
      </c>
      <c r="B5983" s="3" t="str">
        <f>HYPERLINK("https://otsuka-europe-crm.veevavault.com/ui/#object/approved_document__v/V5O000000001002", "AM2M - ENFERMERÍA - Guía preguntas pacientes")</f>
        <v>AM2M - ENFERMERÍA - Guía preguntas pacientes</v>
      </c>
      <c r="C5983" s="3" t="str">
        <f>HYPERLINK("https://otsuka-europe-crm.veevavault.com/ui/#object/sent_email__v/VBL00000000U256", "SE-001394666")</f>
        <v>SE-001394666</v>
      </c>
      <c r="D5983" s="1">
        <v>46006.406273148146</v>
      </c>
      <c r="E5983" s="2">
        <v>1</v>
      </c>
      <c r="F5983" s="2">
        <v>1</v>
      </c>
      <c r="G5983" s="2">
        <v>0</v>
      </c>
      <c r="H5983" s="1" t="s">
        <v>0</v>
      </c>
      <c r="I5983" s="2">
        <v>0</v>
      </c>
      <c r="J5983" s="1">
        <v>45993.550752314812</v>
      </c>
    </row>
    <row r="5984" spans="1:10" x14ac:dyDescent="0.2">
      <c r="A5984" s="4" t="s">
        <v>1</v>
      </c>
      <c r="B5984" s="3" t="str">
        <f>HYPERLINK("https://otsuka-europe-crm.veevavault.com/ui/#object/approved_document__v/V5O000000001002", "AM2M - ENFERMERÍA - Guía preguntas pacientes")</f>
        <v>AM2M - ENFERMERÍA - Guía preguntas pacientes</v>
      </c>
      <c r="C5984" s="3" t="str">
        <f>HYPERLINK("https://otsuka-europe-crm.veevavault.com/ui/#object/sent_email__v/VBL00000000U257", "SE-001394667")</f>
        <v>SE-001394667</v>
      </c>
      <c r="D5984" s="1" t="s">
        <v>0</v>
      </c>
      <c r="E5984" s="2">
        <v>0</v>
      </c>
      <c r="F5984" s="2">
        <v>0</v>
      </c>
      <c r="G5984" s="2">
        <v>0</v>
      </c>
      <c r="H5984" s="1" t="s">
        <v>0</v>
      </c>
      <c r="I5984" s="2">
        <v>0</v>
      </c>
      <c r="J5984" s="1">
        <v>45993.550798611112</v>
      </c>
    </row>
    <row r="5985" spans="1:10" x14ac:dyDescent="0.2">
      <c r="A5985" s="4" t="s">
        <v>1</v>
      </c>
      <c r="B5985" s="3" t="str">
        <f>HYPERLINK("https://otsuka-europe-crm.veevavault.com/ui/#object/approved_document__v/V5O000000001002", "AM2M - ENFERMERÍA - Guía preguntas pacientes")</f>
        <v>AM2M - ENFERMERÍA - Guía preguntas pacientes</v>
      </c>
      <c r="C5985" s="3" t="str">
        <f>HYPERLINK("https://otsuka-europe-crm.veevavault.com/ui/#object/sent_email__v/VBL00000000U258", "SE-001394668")</f>
        <v>SE-001394668</v>
      </c>
      <c r="D5985" s="1" t="s">
        <v>0</v>
      </c>
      <c r="E5985" s="2">
        <v>0</v>
      </c>
      <c r="F5985" s="2">
        <v>0</v>
      </c>
      <c r="G5985" s="2">
        <v>0</v>
      </c>
      <c r="H5985" s="1" t="s">
        <v>0</v>
      </c>
      <c r="I5985" s="2">
        <v>0</v>
      </c>
      <c r="J5985" s="1">
        <v>45993.550868055558</v>
      </c>
    </row>
    <row r="5986" spans="1:10" x14ac:dyDescent="0.2">
      <c r="A5986" s="4" t="s">
        <v>1</v>
      </c>
      <c r="B5986" s="3" t="str">
        <f>HYPERLINK("https://otsuka-europe-crm.veevavault.com/ui/#object/approved_document__v/V5O000000001002", "AM2M - ENFERMERÍA - Guía preguntas pacientes")</f>
        <v>AM2M - ENFERMERÍA - Guía preguntas pacientes</v>
      </c>
      <c r="C5986" s="3" t="str">
        <f>HYPERLINK("https://otsuka-europe-crm.veevavault.com/ui/#object/sent_email__v/VBL000000017126", "SE-001402148")</f>
        <v>SE-001402148</v>
      </c>
      <c r="D5986" s="1">
        <v>46052.924050925925</v>
      </c>
      <c r="E5986" s="2">
        <v>1</v>
      </c>
      <c r="F5986" s="2">
        <v>1</v>
      </c>
      <c r="G5986" s="2">
        <v>1</v>
      </c>
      <c r="H5986" s="1">
        <v>46052.924050925925</v>
      </c>
      <c r="I5986" s="2">
        <v>1</v>
      </c>
      <c r="J5986" s="1">
        <v>46050.556006944447</v>
      </c>
    </row>
    <row r="5987" spans="1:10" x14ac:dyDescent="0.2">
      <c r="A5987" s="4" t="s">
        <v>1</v>
      </c>
      <c r="B5987" s="3" t="str">
        <f>HYPERLINK("https://otsuka-europe-crm.veevavault.com/ui/#object/approved_document__v/V5O000000001002", "AM2M - ENFERMERÍA - Guía preguntas pacientes")</f>
        <v>AM2M - ENFERMERÍA - Guía preguntas pacientes</v>
      </c>
      <c r="C5987" s="3" t="str">
        <f>HYPERLINK("https://otsuka-europe-crm.veevavault.com/ui/#object/sent_email__v/VBL000000017148", "SE-001402186")</f>
        <v>SE-001402186</v>
      </c>
      <c r="D5987" s="1" t="s">
        <v>0</v>
      </c>
      <c r="E5987" s="2">
        <v>0</v>
      </c>
      <c r="F5987" s="2">
        <v>0</v>
      </c>
      <c r="G5987" s="2">
        <v>0</v>
      </c>
      <c r="H5987" s="1" t="s">
        <v>0</v>
      </c>
      <c r="I5987" s="2">
        <v>0</v>
      </c>
      <c r="J5987" s="1">
        <v>46051.516053240739</v>
      </c>
    </row>
    <row r="5988" spans="1:10" x14ac:dyDescent="0.2">
      <c r="A5988" s="4" t="s">
        <v>1</v>
      </c>
      <c r="B5988" s="3" t="str">
        <f>HYPERLINK("https://otsuka-europe-crm.veevavault.com/ui/#object/approved_document__v/V5O000000001002", "AM2M - ENFERMERÍA - Guía preguntas pacientes")</f>
        <v>AM2M - ENFERMERÍA - Guía preguntas pacientes</v>
      </c>
      <c r="C5988" s="3" t="str">
        <f>HYPERLINK("https://otsuka-europe-crm.veevavault.com/ui/#object/sent_email__v/VBL000000017153", "SE-001402200")</f>
        <v>SE-001402200</v>
      </c>
      <c r="D5988" s="1">
        <v>46051.646215277775</v>
      </c>
      <c r="E5988" s="2">
        <v>1</v>
      </c>
      <c r="F5988" s="2">
        <v>1</v>
      </c>
      <c r="G5988" s="2">
        <v>0</v>
      </c>
      <c r="H5988" s="1" t="s">
        <v>0</v>
      </c>
      <c r="I5988" s="2">
        <v>0</v>
      </c>
      <c r="J5988" s="1">
        <v>46051.573472222219</v>
      </c>
    </row>
    <row r="5989" spans="1:10" x14ac:dyDescent="0.2">
      <c r="A5989" s="4" t="s">
        <v>1</v>
      </c>
      <c r="B5989" s="3" t="str">
        <f>HYPERLINK("https://otsuka-europe-crm.veevavault.com/ui/#object/approved_document__v/V5O000000001002", "AM2M - ENFERMERÍA - Guía preguntas pacientes")</f>
        <v>AM2M - ENFERMERÍA - Guía preguntas pacientes</v>
      </c>
      <c r="C5989" s="3" t="str">
        <f>HYPERLINK("https://otsuka-europe-crm.veevavault.com/ui/#object/sent_email__v/VBL000000019346", "SE-001402757")</f>
        <v>SE-001402757</v>
      </c>
      <c r="D5989" s="1">
        <v>46058.494837962964</v>
      </c>
      <c r="E5989" s="2">
        <v>1</v>
      </c>
      <c r="F5989" s="2">
        <v>1</v>
      </c>
      <c r="G5989" s="2">
        <v>0</v>
      </c>
      <c r="H5989" s="1" t="s">
        <v>0</v>
      </c>
      <c r="I5989" s="2">
        <v>0</v>
      </c>
      <c r="J5989" s="1">
        <v>46058.494710648149</v>
      </c>
    </row>
    <row r="5990" spans="1:10" x14ac:dyDescent="0.2">
      <c r="A5990" s="4" t="s">
        <v>1</v>
      </c>
      <c r="B5990" s="3" t="str">
        <f>HYPERLINK("https://otsuka-europe-crm.veevavault.com/ui/#object/approved_document__v/V5O000000001002", "AM2M - ENFERMERÍA - Guía preguntas pacientes")</f>
        <v>AM2M - ENFERMERÍA - Guía preguntas pacientes</v>
      </c>
      <c r="C5990" s="3" t="str">
        <f>HYPERLINK("https://otsuka-europe-crm.veevavault.com/ui/#object/sent_email__v/VBL00000001C107", "SE-001403119")</f>
        <v>SE-001403119</v>
      </c>
      <c r="D5990" s="1" t="s">
        <v>0</v>
      </c>
      <c r="E5990" s="2">
        <v>0</v>
      </c>
      <c r="F5990" s="2">
        <v>0</v>
      </c>
      <c r="G5990" s="2">
        <v>0</v>
      </c>
      <c r="H5990" s="1" t="s">
        <v>0</v>
      </c>
      <c r="I5990" s="2">
        <v>0</v>
      </c>
      <c r="J5990" s="1">
        <v>46062.356377314813</v>
      </c>
    </row>
    <row r="5991" spans="1:10" x14ac:dyDescent="0.2">
      <c r="A5991" s="4" t="s">
        <v>1</v>
      </c>
      <c r="B5991" s="3" t="str">
        <f>HYPERLINK("https://otsuka-europe-crm.veevavault.com/ui/#object/approved_document__v/V5O000000001002", "AM2M - ENFERMERÍA - Guía preguntas pacientes")</f>
        <v>AM2M - ENFERMERÍA - Guía preguntas pacientes</v>
      </c>
      <c r="C5991" s="3" t="str">
        <f>HYPERLINK("https://otsuka-europe-crm.veevavault.com/ui/#object/sent_email__v/VBL00000001C408", "SE-001403753")</f>
        <v>SE-001403753</v>
      </c>
      <c r="D5991" s="1" t="s">
        <v>0</v>
      </c>
      <c r="E5991" s="2">
        <v>0</v>
      </c>
      <c r="F5991" s="2">
        <v>0</v>
      </c>
      <c r="G5991" s="2">
        <v>0</v>
      </c>
      <c r="H5991" s="1" t="s">
        <v>0</v>
      </c>
      <c r="I5991" s="2">
        <v>0</v>
      </c>
      <c r="J5991" s="1">
        <v>46064.51458333333</v>
      </c>
    </row>
    <row r="5992" spans="1:10" x14ac:dyDescent="0.2">
      <c r="A5992" s="4" t="s">
        <v>1</v>
      </c>
      <c r="B5992" s="3" t="str">
        <f>HYPERLINK("https://otsuka-europe-crm.veevavault.com/ui/#object/approved_document__v/V5OZ025E82PTB3D", "AM2M - ENFERMERÍA - Vídeo simpo AEESME")</f>
        <v>AM2M - ENFERMERÍA - Vídeo simpo AEESME</v>
      </c>
      <c r="C5992" s="3" t="str">
        <f>HYPERLINK("https://otsuka-europe-crm.veevavault.com/ui/#object/sent_email__v/VBL00000001C487", "SE-001403919")</f>
        <v>SE-001403919</v>
      </c>
      <c r="D5992" s="1" t="s">
        <v>0</v>
      </c>
      <c r="E5992" s="2">
        <v>0</v>
      </c>
      <c r="F5992" s="2">
        <v>0</v>
      </c>
      <c r="G5992" s="2">
        <v>0</v>
      </c>
      <c r="H5992" s="1" t="s">
        <v>0</v>
      </c>
      <c r="I5992" s="2">
        <v>0</v>
      </c>
      <c r="J5992" s="1">
        <v>46065.478055555555</v>
      </c>
    </row>
    <row r="5993" spans="1:10" x14ac:dyDescent="0.2">
      <c r="A5993" s="4" t="s">
        <v>1</v>
      </c>
      <c r="B5993" s="3" t="str">
        <f>HYPERLINK("https://otsuka-europe-crm.veevavault.com/ui/#object/approved_document__v/V5O00000000L012", "AM2M - Material adherencia")</f>
        <v>AM2M - Material adherencia</v>
      </c>
      <c r="C5993" s="3" t="str">
        <f>HYPERLINK("https://otsuka-europe-crm.veevavault.com/ui/#object/sent_email__v/VBL000000015325", "SE-001400860")</f>
        <v>SE-001400860</v>
      </c>
      <c r="D5993" s="1" t="s">
        <v>0</v>
      </c>
      <c r="E5993" s="2">
        <v>0</v>
      </c>
      <c r="F5993" s="2">
        <v>0</v>
      </c>
      <c r="G5993" s="2">
        <v>0</v>
      </c>
      <c r="H5993" s="1" t="s">
        <v>0</v>
      </c>
      <c r="I5993" s="2">
        <v>0</v>
      </c>
      <c r="J5993" s="1">
        <v>46045.481435185182</v>
      </c>
    </row>
    <row r="5994" spans="1:10" x14ac:dyDescent="0.2">
      <c r="A5994" s="4" t="s">
        <v>1</v>
      </c>
      <c r="B5994" s="3" t="str">
        <f>HYPERLINK("https://otsuka-europe-crm.veevavault.com/ui/#object/approved_document__v/V5O00000000L012", "AM2M - Material adherencia")</f>
        <v>AM2M - Material adherencia</v>
      </c>
      <c r="C5994" s="3" t="str">
        <f>HYPERLINK("https://otsuka-europe-crm.veevavault.com/ui/#object/sent_email__v/VBL000000016906", "SE-001401676")</f>
        <v>SE-001401676</v>
      </c>
      <c r="D5994" s="1">
        <v>46052.735127314816</v>
      </c>
      <c r="E5994" s="2">
        <v>1</v>
      </c>
      <c r="F5994" s="2">
        <v>2</v>
      </c>
      <c r="G5994" s="2">
        <v>1</v>
      </c>
      <c r="H5994" s="1">
        <v>46052.735127314816</v>
      </c>
      <c r="I5994" s="2">
        <v>1</v>
      </c>
      <c r="J5994" s="1">
        <v>46049.336840277778</v>
      </c>
    </row>
    <row r="5995" spans="1:10" x14ac:dyDescent="0.2">
      <c r="A5995" s="4" t="s">
        <v>1</v>
      </c>
      <c r="B5995" s="3" t="str">
        <f>HYPERLINK("https://otsuka-europe-crm.veevavault.com/ui/#object/approved_document__v/V5O00000000L012", "AM2M - Material adherencia")</f>
        <v>AM2M - Material adherencia</v>
      </c>
      <c r="C5995" s="3" t="str">
        <f>HYPERLINK("https://otsuka-europe-crm.veevavault.com/ui/#object/sent_email__v/VBL000000017098", "SE-001402093")</f>
        <v>SE-001402093</v>
      </c>
      <c r="D5995" s="1">
        <v>46050.653564814813</v>
      </c>
      <c r="E5995" s="2">
        <v>1</v>
      </c>
      <c r="F5995" s="2">
        <v>1</v>
      </c>
      <c r="G5995" s="2">
        <v>0</v>
      </c>
      <c r="H5995" s="1" t="s">
        <v>0</v>
      </c>
      <c r="I5995" s="2">
        <v>0</v>
      </c>
      <c r="J5995" s="1">
        <v>46050.486747685187</v>
      </c>
    </row>
    <row r="5996" spans="1:10" x14ac:dyDescent="0.2">
      <c r="A5996" s="4" t="s">
        <v>1</v>
      </c>
      <c r="B5996" s="3" t="str">
        <f>HYPERLINK("https://otsuka-europe-crm.veevavault.com/ui/#object/approved_document__v/V5O00000000L012", "AM2M - Material adherencia")</f>
        <v>AM2M - Material adherencia</v>
      </c>
      <c r="C5996" s="3" t="str">
        <f>HYPERLINK("https://otsuka-europe-crm.veevavault.com/ui/#object/sent_email__v/VBL000000017100", "SE-001402095")</f>
        <v>SE-001402095</v>
      </c>
      <c r="D5996" s="1">
        <v>46050.514490740738</v>
      </c>
      <c r="E5996" s="2">
        <v>1</v>
      </c>
      <c r="F5996" s="2">
        <v>2</v>
      </c>
      <c r="G5996" s="2">
        <v>0</v>
      </c>
      <c r="H5996" s="1" t="s">
        <v>0</v>
      </c>
      <c r="I5996" s="2">
        <v>0</v>
      </c>
      <c r="J5996" s="1">
        <v>46050.489108796297</v>
      </c>
    </row>
    <row r="5997" spans="1:10" x14ac:dyDescent="0.2">
      <c r="A5997" s="4" t="s">
        <v>1</v>
      </c>
      <c r="B5997" s="3" t="str">
        <f>HYPERLINK("https://otsuka-europe-crm.veevavault.com/ui/#object/approved_document__v/V5O00000000L012", "AM2M - Material adherencia")</f>
        <v>AM2M - Material adherencia</v>
      </c>
      <c r="C5997" s="3" t="str">
        <f>HYPERLINK("https://otsuka-europe-crm.veevavault.com/ui/#object/sent_email__v/VBL000000018052", "SE-001402115")</f>
        <v>SE-001402115</v>
      </c>
      <c r="D5997" s="1" t="s">
        <v>0</v>
      </c>
      <c r="E5997" s="2">
        <v>0</v>
      </c>
      <c r="F5997" s="2">
        <v>0</v>
      </c>
      <c r="G5997" s="2">
        <v>0</v>
      </c>
      <c r="H5997" s="1" t="s">
        <v>0</v>
      </c>
      <c r="I5997" s="2">
        <v>0</v>
      </c>
      <c r="J5997" s="1">
        <v>46050.499432870369</v>
      </c>
    </row>
    <row r="5998" spans="1:10" x14ac:dyDescent="0.2">
      <c r="A5998" s="4" t="s">
        <v>1</v>
      </c>
      <c r="B5998" s="3" t="str">
        <f>HYPERLINK("https://otsuka-europe-crm.veevavault.com/ui/#object/approved_document__v/V5O00000000L012", "AM2M - Material adherencia")</f>
        <v>AM2M - Material adherencia</v>
      </c>
      <c r="C5998" s="3" t="str">
        <f>HYPERLINK("https://otsuka-europe-crm.veevavault.com/ui/#object/sent_email__v/VBL000000018053", "SE-001402118")</f>
        <v>SE-001402118</v>
      </c>
      <c r="D5998" s="1">
        <v>46051.318194444444</v>
      </c>
      <c r="E5998" s="2">
        <v>1</v>
      </c>
      <c r="F5998" s="2">
        <v>3</v>
      </c>
      <c r="G5998" s="2">
        <v>0</v>
      </c>
      <c r="H5998" s="1" t="s">
        <v>0</v>
      </c>
      <c r="I5998" s="2">
        <v>0</v>
      </c>
      <c r="J5998" s="1">
        <v>46050.500300925924</v>
      </c>
    </row>
    <row r="5999" spans="1:10" x14ac:dyDescent="0.2">
      <c r="A5999" s="4" t="s">
        <v>1</v>
      </c>
      <c r="B5999" s="3" t="str">
        <f>HYPERLINK("https://otsuka-europe-crm.veevavault.com/ui/#object/approved_document__v/V5O00000000L012", "AM2M - Material adherencia")</f>
        <v>AM2M - Material adherencia</v>
      </c>
      <c r="C5999" s="3" t="str">
        <f>HYPERLINK("https://otsuka-europe-crm.veevavault.com/ui/#object/sent_email__v/VBL000000018092", "SE-001402183")</f>
        <v>SE-001402183</v>
      </c>
      <c r="D5999" s="1" t="s">
        <v>0</v>
      </c>
      <c r="E5999" s="2">
        <v>0</v>
      </c>
      <c r="F5999" s="2">
        <v>0</v>
      </c>
      <c r="G5999" s="2">
        <v>0</v>
      </c>
      <c r="H5999" s="1" t="s">
        <v>0</v>
      </c>
      <c r="I5999" s="2">
        <v>0</v>
      </c>
      <c r="J5999" s="1">
        <v>46051.462870370371</v>
      </c>
    </row>
    <row r="6000" spans="1:10" x14ac:dyDescent="0.2">
      <c r="A6000" s="4" t="s">
        <v>1</v>
      </c>
      <c r="B6000" s="3" t="str">
        <f>HYPERLINK("https://otsuka-europe-crm.veevavault.com/ui/#object/approved_document__v/V5O00000000L012", "AM2M - Material adherencia")</f>
        <v>AM2M - Material adherencia</v>
      </c>
      <c r="C6000" s="3" t="str">
        <f>HYPERLINK("https://otsuka-europe-crm.veevavault.com/ui/#object/sent_email__v/VBL000000017146", "SE-001402184")</f>
        <v>SE-001402184</v>
      </c>
      <c r="D6000" s="1" t="s">
        <v>0</v>
      </c>
      <c r="E6000" s="2">
        <v>0</v>
      </c>
      <c r="F6000" s="2">
        <v>0</v>
      </c>
      <c r="G6000" s="2">
        <v>0</v>
      </c>
      <c r="H6000" s="1" t="s">
        <v>0</v>
      </c>
      <c r="I6000" s="2">
        <v>0</v>
      </c>
      <c r="J6000" s="1">
        <v>46051.463506944441</v>
      </c>
    </row>
    <row r="6001" spans="1:10" x14ac:dyDescent="0.2">
      <c r="A6001" s="4" t="s">
        <v>1</v>
      </c>
      <c r="B6001" s="3" t="str">
        <f>HYPERLINK("https://otsuka-europe-crm.veevavault.com/ui/#object/approved_document__v/V5O00000000L012", "AM2M - Material adherencia")</f>
        <v>AM2M - Material adherencia</v>
      </c>
      <c r="C6001" s="3" t="str">
        <f>HYPERLINK("https://otsuka-europe-crm.veevavault.com/ui/#object/sent_email__v/VBL000000019035", "SE-001402311")</f>
        <v>SE-001402311</v>
      </c>
      <c r="D6001" s="1" t="s">
        <v>0</v>
      </c>
      <c r="E6001" s="2">
        <v>0</v>
      </c>
      <c r="F6001" s="2">
        <v>0</v>
      </c>
      <c r="G6001" s="2">
        <v>0</v>
      </c>
      <c r="H6001" s="1" t="s">
        <v>0</v>
      </c>
      <c r="I6001" s="2">
        <v>0</v>
      </c>
      <c r="J6001" s="1">
        <v>46052.550358796296</v>
      </c>
    </row>
    <row r="6002" spans="1:10" x14ac:dyDescent="0.2">
      <c r="A6002" s="4" t="s">
        <v>1</v>
      </c>
      <c r="B6002" s="3" t="str">
        <f>HYPERLINK("https://otsuka-europe-crm.veevavault.com/ui/#object/approved_document__v/V5O00000000L012", "AM2M - Material adherencia")</f>
        <v>AM2M - Material adherencia</v>
      </c>
      <c r="C6002" s="3" t="str">
        <f>HYPERLINK("https://otsuka-europe-crm.veevavault.com/ui/#object/sent_email__v/VBL000000019036", "SE-001402312")</f>
        <v>SE-001402312</v>
      </c>
      <c r="D6002" s="1" t="s">
        <v>0</v>
      </c>
      <c r="E6002" s="2">
        <v>0</v>
      </c>
      <c r="F6002" s="2">
        <v>0</v>
      </c>
      <c r="G6002" s="2">
        <v>0</v>
      </c>
      <c r="H6002" s="1" t="s">
        <v>0</v>
      </c>
      <c r="I6002" s="2">
        <v>0</v>
      </c>
      <c r="J6002" s="1">
        <v>46052.550613425927</v>
      </c>
    </row>
    <row r="6003" spans="1:10" x14ac:dyDescent="0.2">
      <c r="A6003" s="4" t="s">
        <v>1</v>
      </c>
      <c r="B6003" s="3" t="str">
        <f>HYPERLINK("https://otsuka-europe-crm.veevavault.com/ui/#object/approved_document__v/V5O00000000L012", "AM2M - Material adherencia")</f>
        <v>AM2M - Material adherencia</v>
      </c>
      <c r="C6003" s="3" t="str">
        <f>HYPERLINK("https://otsuka-europe-crm.veevavault.com/ui/#object/sent_email__v/VBL000000019059", "SE-001402353")</f>
        <v>SE-001402353</v>
      </c>
      <c r="D6003" s="1" t="s">
        <v>0</v>
      </c>
      <c r="E6003" s="2">
        <v>0</v>
      </c>
      <c r="F6003" s="2">
        <v>0</v>
      </c>
      <c r="G6003" s="2">
        <v>0</v>
      </c>
      <c r="H6003" s="1" t="s">
        <v>0</v>
      </c>
      <c r="I6003" s="2">
        <v>0</v>
      </c>
      <c r="J6003" s="1">
        <v>46055.409803240742</v>
      </c>
    </row>
    <row r="6004" spans="1:10" x14ac:dyDescent="0.2">
      <c r="A6004" s="4" t="s">
        <v>1</v>
      </c>
      <c r="B6004" s="3" t="str">
        <f>HYPERLINK("https://otsuka-europe-crm.veevavault.com/ui/#object/approved_document__v/V5O00000000L012", "AM2M - Material adherencia")</f>
        <v>AM2M - Material adherencia</v>
      </c>
      <c r="C6004" s="3" t="str">
        <f>HYPERLINK("https://otsuka-europe-crm.veevavault.com/ui/#object/sent_email__v/VBL00000001A059", "SE-001402363")</f>
        <v>SE-001402363</v>
      </c>
      <c r="D6004" s="1">
        <v>46055.610497685186</v>
      </c>
      <c r="E6004" s="2">
        <v>1</v>
      </c>
      <c r="F6004" s="2">
        <v>2</v>
      </c>
      <c r="G6004" s="2">
        <v>1</v>
      </c>
      <c r="H6004" s="1">
        <v>46055.610891203702</v>
      </c>
      <c r="I6004" s="2">
        <v>1</v>
      </c>
      <c r="J6004" s="1">
        <v>46055.503622685188</v>
      </c>
    </row>
    <row r="6005" spans="1:10" x14ac:dyDescent="0.2">
      <c r="A6005" s="4" t="s">
        <v>1</v>
      </c>
      <c r="B6005" s="3" t="str">
        <f>HYPERLINK("https://otsuka-europe-crm.veevavault.com/ui/#object/approved_document__v/V5O00000000L012", "AM2M - Material adherencia")</f>
        <v>AM2M - Material adherencia</v>
      </c>
      <c r="C6005" s="3" t="str">
        <f>HYPERLINK("https://otsuka-europe-crm.veevavault.com/ui/#object/sent_email__v/VBL000000019234", "SE-001402549")</f>
        <v>SE-001402549</v>
      </c>
      <c r="D6005" s="1" t="s">
        <v>0</v>
      </c>
      <c r="E6005" s="2">
        <v>0</v>
      </c>
      <c r="F6005" s="2">
        <v>0</v>
      </c>
      <c r="G6005" s="2">
        <v>0</v>
      </c>
      <c r="H6005" s="1" t="s">
        <v>0</v>
      </c>
      <c r="I6005" s="2">
        <v>0</v>
      </c>
      <c r="J6005" s="1">
        <v>46056.324305555558</v>
      </c>
    </row>
    <row r="6006" spans="1:10" x14ac:dyDescent="0.2">
      <c r="A6006" s="4" t="s">
        <v>1</v>
      </c>
      <c r="B6006" s="3" t="str">
        <f>HYPERLINK("https://otsuka-europe-crm.veevavault.com/ui/#object/approved_document__v/V5O00000000L012", "AM2M - Material adherencia")</f>
        <v>AM2M - Material adherencia</v>
      </c>
      <c r="C6006" s="3" t="str">
        <f>HYPERLINK("https://otsuka-europe-crm.veevavault.com/ui/#object/sent_email__v/VBL000000019235", "SE-001402550")</f>
        <v>SE-001402550</v>
      </c>
      <c r="D6006" s="1">
        <v>46056.350949074076</v>
      </c>
      <c r="E6006" s="2">
        <v>1</v>
      </c>
      <c r="F6006" s="2">
        <v>3</v>
      </c>
      <c r="G6006" s="2">
        <v>0</v>
      </c>
      <c r="H6006" s="1" t="s">
        <v>0</v>
      </c>
      <c r="I6006" s="2">
        <v>0</v>
      </c>
      <c r="J6006" s="1">
        <v>46056.324467592596</v>
      </c>
    </row>
    <row r="6007" spans="1:10" x14ac:dyDescent="0.2">
      <c r="A6007" s="4" t="s">
        <v>1</v>
      </c>
      <c r="B6007" s="3" t="str">
        <f>HYPERLINK("https://otsuka-europe-crm.veevavault.com/ui/#object/approved_document__v/V5O00000000L012", "AM2M - Material adherencia")</f>
        <v>AM2M - Material adherencia</v>
      </c>
      <c r="C6007" s="3" t="str">
        <f>HYPERLINK("https://otsuka-europe-crm.veevavault.com/ui/#object/sent_email__v/VBL00000001A094", "SE-001402579")</f>
        <v>SE-001402579</v>
      </c>
      <c r="D6007" s="1">
        <v>46056.457905092589</v>
      </c>
      <c r="E6007" s="2">
        <v>1</v>
      </c>
      <c r="F6007" s="2">
        <v>1</v>
      </c>
      <c r="G6007" s="2">
        <v>0</v>
      </c>
      <c r="H6007" s="1" t="s">
        <v>0</v>
      </c>
      <c r="I6007" s="2">
        <v>0</v>
      </c>
      <c r="J6007" s="1">
        <v>46056.455300925925</v>
      </c>
    </row>
    <row r="6008" spans="1:10" x14ac:dyDescent="0.2">
      <c r="A6008" s="4" t="s">
        <v>1</v>
      </c>
      <c r="B6008" s="3" t="str">
        <f>HYPERLINK("https://otsuka-europe-crm.veevavault.com/ui/#object/approved_document__v/V5O00000000L012", "AM2M - Material adherencia")</f>
        <v>AM2M - Material adherencia</v>
      </c>
      <c r="C6008" s="3" t="str">
        <f>HYPERLINK("https://otsuka-europe-crm.veevavault.com/ui/#object/sent_email__v/VBL00000001A095", "SE-001402580")</f>
        <v>SE-001402580</v>
      </c>
      <c r="D6008" s="1">
        <v>46058.922199074077</v>
      </c>
      <c r="E6008" s="2">
        <v>1</v>
      </c>
      <c r="F6008" s="2">
        <v>1</v>
      </c>
      <c r="G6008" s="2">
        <v>0</v>
      </c>
      <c r="H6008" s="1" t="s">
        <v>0</v>
      </c>
      <c r="I6008" s="2">
        <v>0</v>
      </c>
      <c r="J6008" s="1">
        <v>46056.455706018518</v>
      </c>
    </row>
    <row r="6009" spans="1:10" x14ac:dyDescent="0.2">
      <c r="A6009" s="4" t="s">
        <v>1</v>
      </c>
      <c r="B6009" s="3" t="str">
        <f>HYPERLINK("https://otsuka-europe-crm.veevavault.com/ui/#object/approved_document__v/V5O00000000L012", "AM2M - Material adherencia")</f>
        <v>AM2M - Material adherencia</v>
      </c>
      <c r="C6009" s="3" t="str">
        <f>HYPERLINK("https://otsuka-europe-crm.veevavault.com/ui/#object/sent_email__v/VBL00000001A132", "SE-001402643")</f>
        <v>SE-001402643</v>
      </c>
      <c r="D6009" s="1" t="s">
        <v>0</v>
      </c>
      <c r="E6009" s="2">
        <v>0</v>
      </c>
      <c r="F6009" s="2">
        <v>0</v>
      </c>
      <c r="G6009" s="2">
        <v>0</v>
      </c>
      <c r="H6009" s="1" t="s">
        <v>0</v>
      </c>
      <c r="I6009" s="2">
        <v>0</v>
      </c>
      <c r="J6009" s="1">
        <v>46057.469155092593</v>
      </c>
    </row>
    <row r="6010" spans="1:10" x14ac:dyDescent="0.2">
      <c r="A6010" s="4" t="s">
        <v>1</v>
      </c>
      <c r="B6010" s="3" t="str">
        <f>HYPERLINK("https://otsuka-europe-crm.veevavault.com/ui/#object/approved_document__v/V5O00000000L012", "AM2M - Material adherencia")</f>
        <v>AM2M - Material adherencia</v>
      </c>
      <c r="C6010" s="3" t="str">
        <f>HYPERLINK("https://otsuka-europe-crm.veevavault.com/ui/#object/sent_email__v/VBL000000019336", "SE-001402740")</f>
        <v>SE-001402740</v>
      </c>
      <c r="D6010" s="1" t="s">
        <v>0</v>
      </c>
      <c r="E6010" s="2">
        <v>0</v>
      </c>
      <c r="F6010" s="2">
        <v>0</v>
      </c>
      <c r="G6010" s="2">
        <v>0</v>
      </c>
      <c r="H6010" s="1" t="s">
        <v>0</v>
      </c>
      <c r="I6010" s="2">
        <v>0</v>
      </c>
      <c r="J6010" s="1">
        <v>46058.446238425924</v>
      </c>
    </row>
    <row r="6011" spans="1:10" x14ac:dyDescent="0.2">
      <c r="A6011" s="4" t="s">
        <v>1</v>
      </c>
      <c r="B6011" s="3" t="str">
        <f>HYPERLINK("https://otsuka-europe-crm.veevavault.com/ui/#object/approved_document__v/V5O00000000L012", "AM2M - Material adherencia")</f>
        <v>AM2M - Material adherencia</v>
      </c>
      <c r="C6011" s="3" t="str">
        <f>HYPERLINK("https://otsuka-europe-crm.veevavault.com/ui/#object/sent_email__v/VBL00000001A189", "SE-001402766")</f>
        <v>SE-001402766</v>
      </c>
      <c r="D6011" s="1" t="s">
        <v>0</v>
      </c>
      <c r="E6011" s="2">
        <v>0</v>
      </c>
      <c r="F6011" s="2">
        <v>0</v>
      </c>
      <c r="G6011" s="2">
        <v>0</v>
      </c>
      <c r="H6011" s="1" t="s">
        <v>0</v>
      </c>
      <c r="I6011" s="2">
        <v>0</v>
      </c>
      <c r="J6011" s="1">
        <v>46058.522245370368</v>
      </c>
    </row>
    <row r="6012" spans="1:10" x14ac:dyDescent="0.2">
      <c r="A6012" s="4" t="s">
        <v>1</v>
      </c>
      <c r="B6012" s="3" t="str">
        <f>HYPERLINK("https://otsuka-europe-crm.veevavault.com/ui/#object/approved_document__v/V5O00000000L012", "AM2M - Material adherencia")</f>
        <v>AM2M - Material adherencia</v>
      </c>
      <c r="C6012" s="3" t="str">
        <f>HYPERLINK("https://otsuka-europe-crm.veevavault.com/ui/#object/sent_email__v/VBL00000001C076", "SE-001403070")</f>
        <v>SE-001403070</v>
      </c>
      <c r="D6012" s="1">
        <v>46059.492199074077</v>
      </c>
      <c r="E6012" s="2">
        <v>1</v>
      </c>
      <c r="F6012" s="2">
        <v>1</v>
      </c>
      <c r="G6012" s="2">
        <v>0</v>
      </c>
      <c r="H6012" s="1" t="s">
        <v>0</v>
      </c>
      <c r="I6012" s="2">
        <v>0</v>
      </c>
      <c r="J6012" s="1">
        <v>46059.481053240743</v>
      </c>
    </row>
    <row r="6013" spans="1:10" x14ac:dyDescent="0.2">
      <c r="A6013" s="4" t="s">
        <v>1</v>
      </c>
      <c r="B6013" s="3" t="str">
        <f>HYPERLINK("https://otsuka-europe-crm.veevavault.com/ui/#object/approved_document__v/V5O00000000L012", "AM2M - Material adherencia")</f>
        <v>AM2M - Material adherencia</v>
      </c>
      <c r="C6013" s="3" t="str">
        <f>HYPERLINK("https://otsuka-europe-crm.veevavault.com/ui/#object/sent_email__v/VBL00000001B072", "SE-001403071")</f>
        <v>SE-001403071</v>
      </c>
      <c r="D6013" s="1" t="s">
        <v>0</v>
      </c>
      <c r="E6013" s="2">
        <v>0</v>
      </c>
      <c r="F6013" s="2">
        <v>0</v>
      </c>
      <c r="G6013" s="2">
        <v>0</v>
      </c>
      <c r="H6013" s="1" t="s">
        <v>0</v>
      </c>
      <c r="I6013" s="2">
        <v>0</v>
      </c>
      <c r="J6013" s="1">
        <v>46059.483877314815</v>
      </c>
    </row>
    <row r="6014" spans="1:10" x14ac:dyDescent="0.2">
      <c r="A6014" s="4" t="s">
        <v>1</v>
      </c>
      <c r="B6014" s="3" t="str">
        <f>HYPERLINK("https://otsuka-europe-crm.veevavault.com/ui/#object/approved_document__v/V5O00000000L012", "AM2M - Material adherencia")</f>
        <v>AM2M - Material adherencia</v>
      </c>
      <c r="C6014" s="3" t="str">
        <f>HYPERLINK("https://otsuka-europe-crm.veevavault.com/ui/#object/sent_email__v/VBL00000001C109", "SE-001403124")</f>
        <v>SE-001403124</v>
      </c>
      <c r="D6014" s="1" t="s">
        <v>0</v>
      </c>
      <c r="E6014" s="2">
        <v>0</v>
      </c>
      <c r="F6014" s="2">
        <v>0</v>
      </c>
      <c r="G6014" s="2">
        <v>0</v>
      </c>
      <c r="H6014" s="1" t="s">
        <v>0</v>
      </c>
      <c r="I6014" s="2">
        <v>0</v>
      </c>
      <c r="J6014" s="1">
        <v>46062.380289351851</v>
      </c>
    </row>
    <row r="6015" spans="1:10" x14ac:dyDescent="0.2">
      <c r="A6015" s="4" t="s">
        <v>1</v>
      </c>
      <c r="B6015" s="3" t="str">
        <f>HYPERLINK("https://otsuka-europe-crm.veevavault.com/ui/#object/approved_document__v/V5O00000000L012", "AM2M - Material adherencia")</f>
        <v>AM2M - Material adherencia</v>
      </c>
      <c r="C6015" s="3" t="str">
        <f>HYPERLINK("https://otsuka-europe-crm.veevavault.com/ui/#object/sent_email__v/VBL00000001B410", "SE-001403650")</f>
        <v>SE-001403650</v>
      </c>
      <c r="D6015" s="1" t="s">
        <v>0</v>
      </c>
      <c r="E6015" s="2">
        <v>0</v>
      </c>
      <c r="F6015" s="2">
        <v>0</v>
      </c>
      <c r="G6015" s="2">
        <v>0</v>
      </c>
      <c r="H6015" s="1" t="s">
        <v>0</v>
      </c>
      <c r="I6015" s="2">
        <v>0</v>
      </c>
      <c r="J6015" s="1">
        <v>46063.569826388892</v>
      </c>
    </row>
    <row r="6016" spans="1:10" x14ac:dyDescent="0.2">
      <c r="A6016" s="4" t="s">
        <v>1</v>
      </c>
      <c r="B6016" s="3" t="str">
        <f>HYPERLINK("https://otsuka-europe-crm.veevavault.com/ui/#object/approved_document__v/V5O00000000L012", "AM2M - Material adherencia")</f>
        <v>AM2M - Material adherencia</v>
      </c>
      <c r="C6016" s="3" t="str">
        <f>HYPERLINK("https://otsuka-europe-crm.veevavault.com/ui/#object/sent_email__v/VBL00000001B415", "SE-001403662")</f>
        <v>SE-001403662</v>
      </c>
      <c r="D6016" s="1" t="s">
        <v>0</v>
      </c>
      <c r="E6016" s="2">
        <v>0</v>
      </c>
      <c r="F6016" s="2">
        <v>0</v>
      </c>
      <c r="G6016" s="2">
        <v>0</v>
      </c>
      <c r="H6016" s="1" t="s">
        <v>0</v>
      </c>
      <c r="I6016" s="2">
        <v>0</v>
      </c>
      <c r="J6016" s="1">
        <v>46063.783831018518</v>
      </c>
    </row>
    <row r="6017" spans="1:10" x14ac:dyDescent="0.2">
      <c r="A6017" s="4" t="s">
        <v>1</v>
      </c>
      <c r="B6017" s="3" t="str">
        <f>HYPERLINK("https://otsuka-europe-crm.veevavault.com/ui/#object/approved_document__v/V5O00000000L012", "AM2M - Material adherencia")</f>
        <v>AM2M - Material adherencia</v>
      </c>
      <c r="C6017" s="3" t="str">
        <f>HYPERLINK("https://otsuka-europe-crm.veevavault.com/ui/#object/sent_email__v/VBL00000001C371", "SE-001403688")</f>
        <v>SE-001403688</v>
      </c>
      <c r="D6017" s="1" t="s">
        <v>0</v>
      </c>
      <c r="E6017" s="2">
        <v>0</v>
      </c>
      <c r="F6017" s="2">
        <v>0</v>
      </c>
      <c r="G6017" s="2">
        <v>0</v>
      </c>
      <c r="H6017" s="1" t="s">
        <v>0</v>
      </c>
      <c r="I6017" s="2">
        <v>0</v>
      </c>
      <c r="J6017" s="1">
        <v>46064.364675925928</v>
      </c>
    </row>
    <row r="6018" spans="1:10" x14ac:dyDescent="0.2">
      <c r="A6018" s="4" t="s">
        <v>1</v>
      </c>
      <c r="B6018" s="3" t="str">
        <f>HYPERLINK("https://otsuka-europe-crm.veevavault.com/ui/#object/approved_document__v/V5O00000000L012", "AM2M - Material adherencia")</f>
        <v>AM2M - Material adherencia</v>
      </c>
      <c r="C6018" s="3" t="str">
        <f>HYPERLINK("https://otsuka-europe-crm.veevavault.com/ui/#object/sent_email__v/VBL00000001C382", "SE-001403709")</f>
        <v>SE-001403709</v>
      </c>
      <c r="D6018" s="1" t="s">
        <v>0</v>
      </c>
      <c r="E6018" s="2">
        <v>0</v>
      </c>
      <c r="F6018" s="2">
        <v>0</v>
      </c>
      <c r="G6018" s="2">
        <v>0</v>
      </c>
      <c r="H6018" s="1" t="s">
        <v>0</v>
      </c>
      <c r="I6018" s="2">
        <v>0</v>
      </c>
      <c r="J6018" s="1">
        <v>46064.454039351855</v>
      </c>
    </row>
    <row r="6019" spans="1:10" x14ac:dyDescent="0.2">
      <c r="A6019" s="4" t="s">
        <v>1</v>
      </c>
      <c r="B6019" s="3" t="str">
        <f>HYPERLINK("https://otsuka-europe-crm.veevavault.com/ui/#object/approved_document__v/V5O00000000L012", "AM2M - Material adherencia")</f>
        <v>AM2M - Material adherencia</v>
      </c>
      <c r="C6019" s="3" t="str">
        <f>HYPERLINK("https://otsuka-europe-crm.veevavault.com/ui/#object/sent_email__v/VBL00000001B451", "SE-001403747")</f>
        <v>SE-001403747</v>
      </c>
      <c r="D6019" s="1" t="s">
        <v>0</v>
      </c>
      <c r="E6019" s="2">
        <v>0</v>
      </c>
      <c r="F6019" s="2">
        <v>0</v>
      </c>
      <c r="G6019" s="2">
        <v>0</v>
      </c>
      <c r="H6019" s="1" t="s">
        <v>0</v>
      </c>
      <c r="I6019" s="2">
        <v>0</v>
      </c>
      <c r="J6019" s="1">
        <v>46064.481840277775</v>
      </c>
    </row>
    <row r="6020" spans="1:10" x14ac:dyDescent="0.2">
      <c r="A6020" s="4" t="s">
        <v>1</v>
      </c>
      <c r="B6020" s="3" t="str">
        <f>HYPERLINK("https://otsuka-europe-crm.veevavault.com/ui/#object/approved_document__v/V5O00000000L012", "AM2M - Material adherencia")</f>
        <v>AM2M - Material adherencia</v>
      </c>
      <c r="C6020" s="3" t="str">
        <f>HYPERLINK("https://otsuka-europe-crm.veevavault.com/ui/#object/sent_email__v/VBL00000001B456", "SE-001403760")</f>
        <v>SE-001403760</v>
      </c>
      <c r="D6020" s="1" t="s">
        <v>0</v>
      </c>
      <c r="E6020" s="2">
        <v>0</v>
      </c>
      <c r="F6020" s="2">
        <v>0</v>
      </c>
      <c r="G6020" s="2">
        <v>0</v>
      </c>
      <c r="H6020" s="1" t="s">
        <v>0</v>
      </c>
      <c r="I6020" s="2">
        <v>0</v>
      </c>
      <c r="J6020" s="1">
        <v>46064.543530092589</v>
      </c>
    </row>
    <row r="6021" spans="1:10" x14ac:dyDescent="0.2">
      <c r="A6021" s="4" t="s">
        <v>1</v>
      </c>
      <c r="B6021" s="3" t="str">
        <f>HYPERLINK("https://otsuka-europe-crm.veevavault.com/ui/#object/approved_document__v/V5O00000000L012", "AM2M - Material adherencia")</f>
        <v>AM2M - Material adherencia</v>
      </c>
      <c r="C6021" s="3" t="str">
        <f>HYPERLINK("https://otsuka-europe-crm.veevavault.com/ui/#object/sent_email__v/VBL00000001B463", "SE-001403767")</f>
        <v>SE-001403767</v>
      </c>
      <c r="D6021" s="1">
        <v>46064.655081018522</v>
      </c>
      <c r="E6021" s="2">
        <v>1</v>
      </c>
      <c r="F6021" s="2">
        <v>2</v>
      </c>
      <c r="G6021" s="2">
        <v>0</v>
      </c>
      <c r="H6021" s="1" t="s">
        <v>0</v>
      </c>
      <c r="I6021" s="2">
        <v>0</v>
      </c>
      <c r="J6021" s="1">
        <v>46064.580300925925</v>
      </c>
    </row>
    <row r="6022" spans="1:10" x14ac:dyDescent="0.2">
      <c r="A6022" s="4" t="s">
        <v>1</v>
      </c>
      <c r="B6022" s="3" t="str">
        <f>HYPERLINK("https://otsuka-europe-crm.veevavault.com/ui/#object/approved_document__v/V5O00000000L012", "AM2M - Material adherencia")</f>
        <v>AM2M - Material adherencia</v>
      </c>
      <c r="C6022" s="3" t="str">
        <f>HYPERLINK("https://otsuka-europe-crm.veevavault.com/ui/#object/sent_email__v/VBL00000001B511", "SE-001403844")</f>
        <v>SE-001403844</v>
      </c>
      <c r="D6022" s="1" t="s">
        <v>0</v>
      </c>
      <c r="E6022" s="2">
        <v>0</v>
      </c>
      <c r="F6022" s="2">
        <v>0</v>
      </c>
      <c r="G6022" s="2">
        <v>0</v>
      </c>
      <c r="H6022" s="1" t="s">
        <v>0</v>
      </c>
      <c r="I6022" s="2">
        <v>0</v>
      </c>
      <c r="J6022" s="1">
        <v>46065.41505787037</v>
      </c>
    </row>
    <row r="6023" spans="1:10" x14ac:dyDescent="0.2">
      <c r="A6023" s="4" t="s">
        <v>1</v>
      </c>
      <c r="B6023" s="3" t="str">
        <f>HYPERLINK("https://otsuka-europe-crm.veevavault.com/ui/#object/approved_document__v/V5O00000000L012", "AM2M - Material adherencia")</f>
        <v>AM2M - Material adherencia</v>
      </c>
      <c r="C6023" s="3" t="str">
        <f>HYPERLINK("https://otsuka-europe-crm.veevavault.com/ui/#object/sent_email__v/VBL00000001C485", "SE-001403914")</f>
        <v>SE-001403914</v>
      </c>
      <c r="D6023" s="1">
        <v>46065.773599537039</v>
      </c>
      <c r="E6023" s="2">
        <v>1</v>
      </c>
      <c r="F6023" s="2">
        <v>1</v>
      </c>
      <c r="G6023" s="2">
        <v>0</v>
      </c>
      <c r="H6023" s="1" t="s">
        <v>0</v>
      </c>
      <c r="I6023" s="2">
        <v>0</v>
      </c>
      <c r="J6023" s="1">
        <v>46065.460486111115</v>
      </c>
    </row>
    <row r="6024" spans="1:10" x14ac:dyDescent="0.2">
      <c r="A6024" s="4" t="s">
        <v>1</v>
      </c>
      <c r="B6024" s="3" t="str">
        <f>HYPERLINK("https://otsuka-europe-crm.veevavault.com/ui/#object/approved_document__v/V5O00000000L012", "AM2M - Material adherencia")</f>
        <v>AM2M - Material adherencia</v>
      </c>
      <c r="C6024" s="3" t="str">
        <f>HYPERLINK("https://otsuka-europe-crm.veevavault.com/ui/#object/sent_email__v/VBL00000001D027", "SE-001404075")</f>
        <v>SE-001404075</v>
      </c>
      <c r="D6024" s="1" t="s">
        <v>0</v>
      </c>
      <c r="E6024" s="2">
        <v>0</v>
      </c>
      <c r="F6024" s="2">
        <v>0</v>
      </c>
      <c r="G6024" s="2">
        <v>0</v>
      </c>
      <c r="H6024" s="1" t="s">
        <v>0</v>
      </c>
      <c r="I6024" s="2">
        <v>0</v>
      </c>
      <c r="J6024" s="1">
        <v>46066.570173611108</v>
      </c>
    </row>
    <row r="6025" spans="1:10" x14ac:dyDescent="0.2">
      <c r="A6025" s="4" t="s">
        <v>1</v>
      </c>
      <c r="B6025" s="3" t="str">
        <f>HYPERLINK("https://otsuka-europe-crm.veevavault.com/ui/#object/approved_document__v/V5O00000000L012", "AM2M - Material adherencia")</f>
        <v>AM2M - Material adherencia</v>
      </c>
      <c r="C6025" s="3" t="str">
        <f>HYPERLINK("https://otsuka-europe-crm.veevavault.com/ui/#object/sent_email__v/VBL00000001E125", "SE-001404147")</f>
        <v>SE-001404147</v>
      </c>
      <c r="D6025" s="1">
        <v>46070.968472222223</v>
      </c>
      <c r="E6025" s="2">
        <v>1</v>
      </c>
      <c r="F6025" s="2">
        <v>4</v>
      </c>
      <c r="G6025" s="2">
        <v>0</v>
      </c>
      <c r="H6025" s="1" t="s">
        <v>0</v>
      </c>
      <c r="I6025" s="2">
        <v>0</v>
      </c>
      <c r="J6025" s="1">
        <v>46069.482060185182</v>
      </c>
    </row>
    <row r="6026" spans="1:10" x14ac:dyDescent="0.2">
      <c r="A6026" s="4" t="s">
        <v>1</v>
      </c>
      <c r="B6026" s="3" t="str">
        <f>HYPERLINK("https://otsuka-europe-crm.veevavault.com/ui/#object/approved_document__v/V5O00000000L012", "AM2M - Material adherencia")</f>
        <v>AM2M - Material adherencia</v>
      </c>
      <c r="C6026" s="3" t="str">
        <f>HYPERLINK("https://otsuka-europe-crm.veevavault.com/ui/#object/sent_email__v/VBL00000001E126", "SE-001404149")</f>
        <v>SE-001404149</v>
      </c>
      <c r="D6026" s="1" t="s">
        <v>0</v>
      </c>
      <c r="E6026" s="2">
        <v>0</v>
      </c>
      <c r="F6026" s="2">
        <v>0</v>
      </c>
      <c r="G6026" s="2">
        <v>0</v>
      </c>
      <c r="H6026" s="1" t="s">
        <v>0</v>
      </c>
      <c r="I6026" s="2">
        <v>0</v>
      </c>
      <c r="J6026" s="1">
        <v>46069.504675925928</v>
      </c>
    </row>
    <row r="6027" spans="1:10" x14ac:dyDescent="0.2">
      <c r="A6027" s="4" t="s">
        <v>1</v>
      </c>
      <c r="B6027" s="3" t="str">
        <f>HYPERLINK("https://otsuka-europe-crm.veevavault.com/ui/#object/approved_document__v/V5O00000000L012", "AM2M - Material adherencia")</f>
        <v>AM2M - Material adherencia</v>
      </c>
      <c r="C6027" s="3" t="str">
        <f>HYPERLINK("https://otsuka-europe-crm.veevavault.com/ui/#object/sent_email__v/VBL00000001E353", "SE-001404502")</f>
        <v>SE-001404502</v>
      </c>
      <c r="D6027" s="1" t="s">
        <v>0</v>
      </c>
      <c r="E6027" s="2">
        <v>0</v>
      </c>
      <c r="F6027" s="2">
        <v>0</v>
      </c>
      <c r="G6027" s="2">
        <v>0</v>
      </c>
      <c r="H6027" s="1" t="s">
        <v>0</v>
      </c>
      <c r="I6027" s="2">
        <v>0</v>
      </c>
      <c r="J6027" s="1">
        <v>46071.451018518521</v>
      </c>
    </row>
    <row r="6028" spans="1:10" x14ac:dyDescent="0.2">
      <c r="A6028" s="4" t="s">
        <v>1</v>
      </c>
      <c r="B6028" s="3" t="str">
        <f>HYPERLINK("https://otsuka-europe-crm.veevavault.com/ui/#object/approved_document__v/V5O00000000L012", "AM2M - Material adherencia")</f>
        <v>AM2M - Material adherencia</v>
      </c>
      <c r="C6028" s="3" t="str">
        <f>HYPERLINK("https://otsuka-europe-crm.veevavault.com/ui/#object/sent_email__v/VBL00000001F011", "SE-001405197")</f>
        <v>SE-001405197</v>
      </c>
      <c r="D6028" s="1">
        <v>46073.447928240741</v>
      </c>
      <c r="E6028" s="2">
        <v>1</v>
      </c>
      <c r="F6028" s="2">
        <v>2</v>
      </c>
      <c r="G6028" s="2">
        <v>0</v>
      </c>
      <c r="H6028" s="1" t="s">
        <v>0</v>
      </c>
      <c r="I6028" s="2">
        <v>0</v>
      </c>
      <c r="J6028" s="1">
        <v>46073.443923611114</v>
      </c>
    </row>
    <row r="6029" spans="1:10" x14ac:dyDescent="0.2">
      <c r="A6029" s="4" t="s">
        <v>1</v>
      </c>
      <c r="B6029" s="3" t="str">
        <f>HYPERLINK("https://otsuka-europe-crm.veevavault.com/ui/#object/approved_document__v/V5OZ025E82TL3G0", "AM2M - Programa Masterclass Esquizofrenia 2025")</f>
        <v>AM2M - Programa Masterclass Esquizofrenia 2025</v>
      </c>
      <c r="C6029" s="3" t="str">
        <f>HYPERLINK("https://otsuka-europe-crm.veevavault.com/ui/#object/sent_email__v/VBLZ025E82GMJU9", "SE-000266887")</f>
        <v>SE-000266887</v>
      </c>
      <c r="D6029" s="1">
        <v>45920.774641203701</v>
      </c>
      <c r="E6029" s="2">
        <v>1</v>
      </c>
      <c r="F6029" s="2">
        <v>3</v>
      </c>
      <c r="G6029" s="2">
        <v>0</v>
      </c>
      <c r="H6029" s="1" t="s">
        <v>0</v>
      </c>
      <c r="I6029" s="2">
        <v>0</v>
      </c>
      <c r="J6029" s="1">
        <v>45912.562442129631</v>
      </c>
    </row>
    <row r="6030" spans="1:10" x14ac:dyDescent="0.2">
      <c r="A6030" s="4" t="s">
        <v>1</v>
      </c>
      <c r="B6030" s="3" t="str">
        <f>HYPERLINK("https://otsuka-europe-crm.veevavault.com/ui/#object/approved_document__v/V5OZ025E82TMW0X", "AM2M - Programa Masterclass Esquizofrenia 2025")</f>
        <v>AM2M - Programa Masterclass Esquizofrenia 2025</v>
      </c>
      <c r="C6030" s="3" t="str">
        <f>HYPERLINK("https://otsuka-europe-crm.veevavault.com/ui/#object/sent_email__v/VBLZ025E82GNQTH", "SE-000275462")</f>
        <v>SE-000275462</v>
      </c>
      <c r="D6030" s="1">
        <v>45920.807233796295</v>
      </c>
      <c r="E6030" s="2">
        <v>1</v>
      </c>
      <c r="F6030" s="2">
        <v>4</v>
      </c>
      <c r="G6030" s="2">
        <v>1</v>
      </c>
      <c r="H6030" s="1">
        <v>45915.4294212963</v>
      </c>
      <c r="I6030" s="2">
        <v>2</v>
      </c>
      <c r="J6030" s="1">
        <v>45915.428703703707</v>
      </c>
    </row>
    <row r="6031" spans="1:10" x14ac:dyDescent="0.2">
      <c r="A6031" s="4" t="s">
        <v>1</v>
      </c>
      <c r="B6031" s="3" t="str">
        <f>HYPERLINK("https://otsuka-europe-crm.veevavault.com/ui/#object/approved_document__v/V5OZ025E82TMWN5", "AM2M - Programa Masterclass Esquizofrenia 2025")</f>
        <v>AM2M - Programa Masterclass Esquizofrenia 2025</v>
      </c>
      <c r="C6031" s="3" t="str">
        <f>HYPERLINK("https://otsuka-europe-crm.veevavault.com/ui/#object/sent_email__v/VBLZ025E82GNRTL", "SE-000275466")</f>
        <v>SE-000275466</v>
      </c>
      <c r="D6031" s="1">
        <v>45920.807233796295</v>
      </c>
      <c r="E6031" s="2">
        <v>1</v>
      </c>
      <c r="F6031" s="2">
        <v>4</v>
      </c>
      <c r="G6031" s="2">
        <v>1</v>
      </c>
      <c r="H6031" s="1">
        <v>45915.433391203704</v>
      </c>
      <c r="I6031" s="2">
        <v>7</v>
      </c>
      <c r="J6031" s="1">
        <v>45915.432916666665</v>
      </c>
    </row>
    <row r="6032" spans="1:10" x14ac:dyDescent="0.2">
      <c r="A6032" s="4" t="s">
        <v>1</v>
      </c>
      <c r="B6032" s="3" t="str">
        <f>HYPERLINK("https://otsuka-europe-crm.veevavault.com/ui/#object/approved_document__v/V5OZ025E82TMWN5", "AM2M - Programa Masterclass Esquizofrenia 2025")</f>
        <v>AM2M - Programa Masterclass Esquizofrenia 2025</v>
      </c>
      <c r="C6032" s="3" t="str">
        <f>HYPERLINK("https://otsuka-europe-crm.veevavault.com/ui/#object/sent_email__v/VBLZ025E82GPKEL", "SE-000275660")</f>
        <v>SE-000275660</v>
      </c>
      <c r="D6032" s="1">
        <v>45916.508738425924</v>
      </c>
      <c r="E6032" s="2">
        <v>1</v>
      </c>
      <c r="F6032" s="2">
        <v>2</v>
      </c>
      <c r="G6032" s="2">
        <v>1</v>
      </c>
      <c r="H6032" s="1">
        <v>45916.508831018517</v>
      </c>
      <c r="I6032" s="2">
        <v>2</v>
      </c>
      <c r="J6032" s="1">
        <v>45916.508402777778</v>
      </c>
    </row>
    <row r="6033" spans="1:10" x14ac:dyDescent="0.2">
      <c r="A6033" s="4" t="s">
        <v>1</v>
      </c>
      <c r="B6033" s="3" t="str">
        <f>HYPERLINK("https://otsuka-europe-crm.veevavault.com/ui/#object/approved_document__v/V5OZ025E82TMWN5", "AM2M - Programa Masterclass Esquizofrenia 2025")</f>
        <v>AM2M - Programa Masterclass Esquizofrenia 2025</v>
      </c>
      <c r="C6033" s="3" t="str">
        <f>HYPERLINK("https://otsuka-europe-crm.veevavault.com/ui/#object/sent_email__v/VBLZ025E82GWRZ1", "SE-000279773")</f>
        <v>SE-000279773</v>
      </c>
      <c r="D6033" s="1">
        <v>45924.012083333335</v>
      </c>
      <c r="E6033" s="2">
        <v>1</v>
      </c>
      <c r="F6033" s="2">
        <v>1</v>
      </c>
      <c r="G6033" s="2">
        <v>0</v>
      </c>
      <c r="H6033" s="1" t="s">
        <v>0</v>
      </c>
      <c r="I6033" s="2">
        <v>0</v>
      </c>
      <c r="J6033" s="1">
        <v>45923.296747685185</v>
      </c>
    </row>
    <row r="6034" spans="1:10" x14ac:dyDescent="0.2">
      <c r="A6034" s="4" t="s">
        <v>1</v>
      </c>
      <c r="B6034" s="3" t="str">
        <f>HYPERLINK("https://otsuka-europe-crm.veevavault.com/ui/#object/approved_document__v/V5OZ025E82TMWN5", "AM2M - Programa Masterclass Esquizofrenia 2025")</f>
        <v>AM2M - Programa Masterclass Esquizofrenia 2025</v>
      </c>
      <c r="C6034" s="3" t="str">
        <f>HYPERLINK("https://otsuka-europe-crm.veevavault.com/ui/#object/sent_email__v/VBLZ025E82GWRZ2", "SE-000279774")</f>
        <v>SE-000279774</v>
      </c>
      <c r="D6034" s="1">
        <v>45924.341527777775</v>
      </c>
      <c r="E6034" s="2">
        <v>1</v>
      </c>
      <c r="F6034" s="2">
        <v>3</v>
      </c>
      <c r="G6034" s="2">
        <v>0</v>
      </c>
      <c r="H6034" s="1" t="s">
        <v>0</v>
      </c>
      <c r="I6034" s="2">
        <v>0</v>
      </c>
      <c r="J6034" s="1">
        <v>45923.296805555554</v>
      </c>
    </row>
    <row r="6035" spans="1:10" x14ac:dyDescent="0.2">
      <c r="A6035" s="4" t="s">
        <v>1</v>
      </c>
      <c r="B6035" s="3" t="str">
        <f>HYPERLINK("https://otsuka-europe-crm.veevavault.com/ui/#object/approved_document__v/V5OZ025E82TMWN5", "AM2M - Programa Masterclass Esquizofrenia 2025")</f>
        <v>AM2M - Programa Masterclass Esquizofrenia 2025</v>
      </c>
      <c r="C6035" s="3" t="str">
        <f>HYPERLINK("https://otsuka-europe-crm.veevavault.com/ui/#object/sent_email__v/VBLZ025E82GWRZ3", "SE-000279775")</f>
        <v>SE-000279775</v>
      </c>
      <c r="D6035" s="1">
        <v>45923.507337962961</v>
      </c>
      <c r="E6035" s="2">
        <v>1</v>
      </c>
      <c r="F6035" s="2">
        <v>5</v>
      </c>
      <c r="G6035" s="2">
        <v>0</v>
      </c>
      <c r="H6035" s="1" t="s">
        <v>0</v>
      </c>
      <c r="I6035" s="2">
        <v>0</v>
      </c>
      <c r="J6035" s="1">
        <v>45923.296666666669</v>
      </c>
    </row>
    <row r="6036" spans="1:10" x14ac:dyDescent="0.2">
      <c r="A6036" s="4" t="s">
        <v>1</v>
      </c>
      <c r="B6036" s="3" t="str">
        <f>HYPERLINK("https://otsuka-europe-crm.veevavault.com/ui/#object/approved_document__v/V5OZ025E82TMWN5", "AM2M - Programa Masterclass Esquizofrenia 2025")</f>
        <v>AM2M - Programa Masterclass Esquizofrenia 2025</v>
      </c>
      <c r="C6036" s="3" t="str">
        <f>HYPERLINK("https://otsuka-europe-crm.veevavault.com/ui/#object/sent_email__v/VBLZ025E82GWRZ4", "SE-000279776")</f>
        <v>SE-000279776</v>
      </c>
      <c r="D6036" s="1">
        <v>45923.361226851855</v>
      </c>
      <c r="E6036" s="2">
        <v>1</v>
      </c>
      <c r="F6036" s="2">
        <v>1</v>
      </c>
      <c r="G6036" s="2">
        <v>0</v>
      </c>
      <c r="H6036" s="1" t="s">
        <v>0</v>
      </c>
      <c r="I6036" s="2">
        <v>0</v>
      </c>
      <c r="J6036" s="1">
        <v>45923.297025462962</v>
      </c>
    </row>
    <row r="6037" spans="1:10" x14ac:dyDescent="0.2">
      <c r="A6037" s="4" t="s">
        <v>1</v>
      </c>
      <c r="B6037" s="3" t="str">
        <f>HYPERLINK("https://otsuka-europe-crm.veevavault.com/ui/#object/approved_document__v/V5OZ025E82TMWN5", "AM2M - Programa Masterclass Esquizofrenia 2025")</f>
        <v>AM2M - Programa Masterclass Esquizofrenia 2025</v>
      </c>
      <c r="C6037" s="3" t="str">
        <f>HYPERLINK("https://otsuka-europe-crm.veevavault.com/ui/#object/sent_email__v/VBLZ025E82GWRZ5", "SE-000279777")</f>
        <v>SE-000279777</v>
      </c>
      <c r="D6037" s="1">
        <v>45947.553078703706</v>
      </c>
      <c r="E6037" s="2">
        <v>1</v>
      </c>
      <c r="F6037" s="2">
        <v>1</v>
      </c>
      <c r="G6037" s="2">
        <v>0</v>
      </c>
      <c r="H6037" s="1" t="s">
        <v>0</v>
      </c>
      <c r="I6037" s="2">
        <v>0</v>
      </c>
      <c r="J6037" s="1">
        <v>45923.296886574077</v>
      </c>
    </row>
    <row r="6038" spans="1:10" x14ac:dyDescent="0.2">
      <c r="A6038" s="4" t="s">
        <v>1</v>
      </c>
      <c r="B6038" s="3" t="str">
        <f>HYPERLINK("https://otsuka-europe-crm.veevavault.com/ui/#object/approved_document__v/V5OZ025E82TMWN5", "AM2M - Programa Masterclass Esquizofrenia 2025")</f>
        <v>AM2M - Programa Masterclass Esquizofrenia 2025</v>
      </c>
      <c r="C6038" s="3" t="str">
        <f>HYPERLINK("https://otsuka-europe-crm.veevavault.com/ui/#object/sent_email__v/VBLZ025E82GWRZ6", "SE-000279778")</f>
        <v>SE-000279778</v>
      </c>
      <c r="D6038" s="1">
        <v>45923.880231481482</v>
      </c>
      <c r="E6038" s="2">
        <v>1</v>
      </c>
      <c r="F6038" s="2">
        <v>4</v>
      </c>
      <c r="G6038" s="2">
        <v>1</v>
      </c>
      <c r="H6038" s="1">
        <v>45923.880347222221</v>
      </c>
      <c r="I6038" s="2">
        <v>1</v>
      </c>
      <c r="J6038" s="1">
        <v>45923.296747685185</v>
      </c>
    </row>
    <row r="6039" spans="1:10" x14ac:dyDescent="0.2">
      <c r="A6039" s="4" t="s">
        <v>1</v>
      </c>
      <c r="B6039" s="3" t="str">
        <f>HYPERLINK("https://otsuka-europe-crm.veevavault.com/ui/#object/approved_document__v/V5OZ025E82TMWN5", "AM2M - Programa Masterclass Esquizofrenia 2025")</f>
        <v>AM2M - Programa Masterclass Esquizofrenia 2025</v>
      </c>
      <c r="C6039" s="3" t="str">
        <f>HYPERLINK("https://otsuka-europe-crm.veevavault.com/ui/#object/sent_email__v/VBLZ025E82GWRZ7", "SE-000279779")</f>
        <v>SE-000279779</v>
      </c>
      <c r="D6039" s="1" t="s">
        <v>0</v>
      </c>
      <c r="E6039" s="2">
        <v>0</v>
      </c>
      <c r="F6039" s="2">
        <v>0</v>
      </c>
      <c r="G6039" s="2">
        <v>0</v>
      </c>
      <c r="H6039" s="1" t="s">
        <v>0</v>
      </c>
      <c r="I6039" s="2">
        <v>0</v>
      </c>
      <c r="J6039" s="1">
        <v>45923.296643518515</v>
      </c>
    </row>
    <row r="6040" spans="1:10" x14ac:dyDescent="0.2">
      <c r="A6040" s="4" t="s">
        <v>1</v>
      </c>
      <c r="B6040" s="3" t="str">
        <f>HYPERLINK("https://otsuka-europe-crm.veevavault.com/ui/#object/approved_document__v/V5OZ025E82TMWN5", "AM2M - Programa Masterclass Esquizofrenia 2025")</f>
        <v>AM2M - Programa Masterclass Esquizofrenia 2025</v>
      </c>
      <c r="C6040" s="3" t="str">
        <f>HYPERLINK("https://otsuka-europe-crm.veevavault.com/ui/#object/sent_email__v/VBLZ025E82GWRZ8", "SE-000279780")</f>
        <v>SE-000279780</v>
      </c>
      <c r="D6040" s="1">
        <v>45923.50886574074</v>
      </c>
      <c r="E6040" s="2">
        <v>1</v>
      </c>
      <c r="F6040" s="2">
        <v>3</v>
      </c>
      <c r="G6040" s="2">
        <v>0</v>
      </c>
      <c r="H6040" s="1" t="s">
        <v>0</v>
      </c>
      <c r="I6040" s="2">
        <v>0</v>
      </c>
      <c r="J6040" s="1">
        <v>45923.297060185185</v>
      </c>
    </row>
    <row r="6041" spans="1:10" x14ac:dyDescent="0.2">
      <c r="A6041" s="4" t="s">
        <v>1</v>
      </c>
      <c r="B6041" s="3" t="str">
        <f>HYPERLINK("https://otsuka-europe-crm.veevavault.com/ui/#object/approved_document__v/V5OZ025E82TMWN5", "AM2M - Programa Masterclass Esquizofrenia 2025")</f>
        <v>AM2M - Programa Masterclass Esquizofrenia 2025</v>
      </c>
      <c r="C6041" s="3" t="str">
        <f>HYPERLINK("https://otsuka-europe-crm.veevavault.com/ui/#object/sent_email__v/VBLZ025E82GWRZ9", "SE-000279781")</f>
        <v>SE-000279781</v>
      </c>
      <c r="D6041" s="1" t="s">
        <v>0</v>
      </c>
      <c r="E6041" s="2">
        <v>0</v>
      </c>
      <c r="F6041" s="2">
        <v>0</v>
      </c>
      <c r="G6041" s="2">
        <v>0</v>
      </c>
      <c r="H6041" s="1" t="s">
        <v>0</v>
      </c>
      <c r="I6041" s="2">
        <v>0</v>
      </c>
      <c r="J6041" s="1">
        <v>45923.2969212963</v>
      </c>
    </row>
    <row r="6042" spans="1:10" x14ac:dyDescent="0.2">
      <c r="A6042" s="4" t="s">
        <v>1</v>
      </c>
      <c r="B6042" s="3" t="str">
        <f>HYPERLINK("https://otsuka-europe-crm.veevavault.com/ui/#object/approved_document__v/V5OZ025E82TMWN5", "AM2M - Programa Masterclass Esquizofrenia 2025")</f>
        <v>AM2M - Programa Masterclass Esquizofrenia 2025</v>
      </c>
      <c r="C6042" s="3" t="str">
        <f>HYPERLINK("https://otsuka-europe-crm.veevavault.com/ui/#object/sent_email__v/VBLZ025E82GWRZA", "SE-000279782")</f>
        <v>SE-000279782</v>
      </c>
      <c r="D6042" s="1">
        <v>45972.68167824074</v>
      </c>
      <c r="E6042" s="2">
        <v>1</v>
      </c>
      <c r="F6042" s="2">
        <v>4</v>
      </c>
      <c r="G6042" s="2">
        <v>0</v>
      </c>
      <c r="H6042" s="1" t="s">
        <v>0</v>
      </c>
      <c r="I6042" s="2">
        <v>0</v>
      </c>
      <c r="J6042" s="1">
        <v>45923.296782407408</v>
      </c>
    </row>
    <row r="6043" spans="1:10" x14ac:dyDescent="0.2">
      <c r="A6043" s="4" t="s">
        <v>1</v>
      </c>
      <c r="B6043" s="3" t="str">
        <f>HYPERLINK("https://otsuka-europe-crm.veevavault.com/ui/#object/approved_document__v/V5OZ025E82TMWN5", "AM2M - Programa Masterclass Esquizofrenia 2025")</f>
        <v>AM2M - Programa Masterclass Esquizofrenia 2025</v>
      </c>
      <c r="C6043" s="3" t="str">
        <f>HYPERLINK("https://otsuka-europe-crm.veevavault.com/ui/#object/sent_email__v/VBLZ025E82GWRZB", "SE-000279783")</f>
        <v>SE-000279783</v>
      </c>
      <c r="D6043" s="1">
        <v>45923.313842592594</v>
      </c>
      <c r="E6043" s="2">
        <v>1</v>
      </c>
      <c r="F6043" s="2">
        <v>3</v>
      </c>
      <c r="G6043" s="2">
        <v>0</v>
      </c>
      <c r="H6043" s="1" t="s">
        <v>0</v>
      </c>
      <c r="I6043" s="2">
        <v>0</v>
      </c>
      <c r="J6043" s="1">
        <v>45923.296655092592</v>
      </c>
    </row>
    <row r="6044" spans="1:10" x14ac:dyDescent="0.2">
      <c r="A6044" s="4" t="s">
        <v>1</v>
      </c>
      <c r="B6044" s="3" t="str">
        <f>HYPERLINK("https://otsuka-europe-crm.veevavault.com/ui/#object/approved_document__v/V5OZ025E82TMWN5", "AM2M - Programa Masterclass Esquizofrenia 2025")</f>
        <v>AM2M - Programa Masterclass Esquizofrenia 2025</v>
      </c>
      <c r="C6044" s="3" t="str">
        <f>HYPERLINK("https://otsuka-europe-crm.veevavault.com/ui/#object/sent_email__v/VBLZ025E82GWRZC", "SE-000279784")</f>
        <v>SE-000279784</v>
      </c>
      <c r="D6044" s="1" t="s">
        <v>0</v>
      </c>
      <c r="E6044" s="2">
        <v>0</v>
      </c>
      <c r="F6044" s="2">
        <v>0</v>
      </c>
      <c r="G6044" s="2">
        <v>0</v>
      </c>
      <c r="H6044" s="1" t="s">
        <v>0</v>
      </c>
      <c r="I6044" s="2">
        <v>0</v>
      </c>
      <c r="J6044" s="1">
        <v>45923.297083333331</v>
      </c>
    </row>
    <row r="6045" spans="1:10" x14ac:dyDescent="0.2">
      <c r="A6045" s="4" t="s">
        <v>1</v>
      </c>
      <c r="B6045" s="3" t="str">
        <f>HYPERLINK("https://otsuka-europe-crm.veevavault.com/ui/#object/approved_document__v/V5OZ025E82TMWN5", "AM2M - Programa Masterclass Esquizofrenia 2025")</f>
        <v>AM2M - Programa Masterclass Esquizofrenia 2025</v>
      </c>
      <c r="C6045" s="3" t="str">
        <f>HYPERLINK("https://otsuka-europe-crm.veevavault.com/ui/#object/sent_email__v/VBLZ025E82GWRZD", "SE-000279785")</f>
        <v>SE-000279785</v>
      </c>
      <c r="D6045" s="1" t="s">
        <v>0</v>
      </c>
      <c r="E6045" s="2">
        <v>0</v>
      </c>
      <c r="F6045" s="2">
        <v>0</v>
      </c>
      <c r="G6045" s="2">
        <v>0</v>
      </c>
      <c r="H6045" s="1" t="s">
        <v>0</v>
      </c>
      <c r="I6045" s="2">
        <v>0</v>
      </c>
      <c r="J6045" s="1">
        <v>45923.296956018516</v>
      </c>
    </row>
    <row r="6046" spans="1:10" x14ac:dyDescent="0.2">
      <c r="A6046" s="4" t="s">
        <v>1</v>
      </c>
      <c r="B6046" s="3" t="str">
        <f>HYPERLINK("https://otsuka-europe-crm.veevavault.com/ui/#object/approved_document__v/V5OZ025E82TMWN5", "AM2M - Programa Masterclass Esquizofrenia 2025")</f>
        <v>AM2M - Programa Masterclass Esquizofrenia 2025</v>
      </c>
      <c r="C6046" s="3" t="str">
        <f>HYPERLINK("https://otsuka-europe-crm.veevavault.com/ui/#object/sent_email__v/VBLZ025E82GWRZE", "SE-000279786")</f>
        <v>SE-000279786</v>
      </c>
      <c r="D6046" s="1">
        <v>45923.807986111111</v>
      </c>
      <c r="E6046" s="2">
        <v>1</v>
      </c>
      <c r="F6046" s="2">
        <v>3</v>
      </c>
      <c r="G6046" s="2">
        <v>0</v>
      </c>
      <c r="H6046" s="1" t="s">
        <v>0</v>
      </c>
      <c r="I6046" s="2">
        <v>0</v>
      </c>
      <c r="J6046" s="1">
        <v>45923.2968287037</v>
      </c>
    </row>
    <row r="6047" spans="1:10" x14ac:dyDescent="0.2">
      <c r="A6047" s="4" t="s">
        <v>1</v>
      </c>
      <c r="B6047" s="3" t="str">
        <f>HYPERLINK("https://otsuka-europe-crm.veevavault.com/ui/#object/approved_document__v/V5OZ025E82TMWN5", "AM2M - Programa Masterclass Esquizofrenia 2025")</f>
        <v>AM2M - Programa Masterclass Esquizofrenia 2025</v>
      </c>
      <c r="C6047" s="3" t="str">
        <f>HYPERLINK("https://otsuka-europe-crm.veevavault.com/ui/#object/sent_email__v/VBLZ025E82GWRZF", "SE-000279787")</f>
        <v>SE-000279787</v>
      </c>
      <c r="D6047" s="1">
        <v>45924.449594907404</v>
      </c>
      <c r="E6047" s="2">
        <v>1</v>
      </c>
      <c r="F6047" s="2">
        <v>1</v>
      </c>
      <c r="G6047" s="2">
        <v>0</v>
      </c>
      <c r="H6047" s="1" t="s">
        <v>0</v>
      </c>
      <c r="I6047" s="2">
        <v>0</v>
      </c>
      <c r="J6047" s="1">
        <v>45923.296689814815</v>
      </c>
    </row>
    <row r="6048" spans="1:10" x14ac:dyDescent="0.2">
      <c r="A6048" s="4" t="s">
        <v>1</v>
      </c>
      <c r="B6048" s="3" t="str">
        <f>HYPERLINK("https://otsuka-europe-crm.veevavault.com/ui/#object/approved_document__v/V5OZ025E82TMWN5", "AM2M - Programa Masterclass Esquizofrenia 2025")</f>
        <v>AM2M - Programa Masterclass Esquizofrenia 2025</v>
      </c>
      <c r="C6048" s="3" t="str">
        <f>HYPERLINK("https://otsuka-europe-crm.veevavault.com/ui/#object/sent_email__v/VBLZ025E82GWRZG", "SE-000279788")</f>
        <v>SE-000279788</v>
      </c>
      <c r="D6048" s="1">
        <v>45923.951423611114</v>
      </c>
      <c r="E6048" s="2">
        <v>1</v>
      </c>
      <c r="F6048" s="2">
        <v>1</v>
      </c>
      <c r="G6048" s="2">
        <v>0</v>
      </c>
      <c r="H6048" s="1" t="s">
        <v>0</v>
      </c>
      <c r="I6048" s="2">
        <v>0</v>
      </c>
      <c r="J6048" s="1">
        <v>45923.297106481485</v>
      </c>
    </row>
    <row r="6049" spans="1:10" x14ac:dyDescent="0.2">
      <c r="A6049" s="4" t="s">
        <v>1</v>
      </c>
      <c r="B6049" s="3" t="str">
        <f>HYPERLINK("https://otsuka-europe-crm.veevavault.com/ui/#object/approved_document__v/V5OZ025E82TMWN5", "AM2M - Programa Masterclass Esquizofrenia 2025")</f>
        <v>AM2M - Programa Masterclass Esquizofrenia 2025</v>
      </c>
      <c r="C6049" s="3" t="str">
        <f>HYPERLINK("https://otsuka-europe-crm.veevavault.com/ui/#object/sent_email__v/VBLZ025E82GWRZH", "SE-000279789")</f>
        <v>SE-000279789</v>
      </c>
      <c r="D6049" s="1">
        <v>45923.700416666667</v>
      </c>
      <c r="E6049" s="2">
        <v>1</v>
      </c>
      <c r="F6049" s="2">
        <v>3</v>
      </c>
      <c r="G6049" s="2">
        <v>0</v>
      </c>
      <c r="H6049" s="1" t="s">
        <v>0</v>
      </c>
      <c r="I6049" s="2">
        <v>0</v>
      </c>
      <c r="J6049" s="1">
        <v>45923.296979166669</v>
      </c>
    </row>
    <row r="6050" spans="1:10" x14ac:dyDescent="0.2">
      <c r="A6050" s="4" t="s">
        <v>1</v>
      </c>
      <c r="B6050" s="3" t="str">
        <f>HYPERLINK("https://otsuka-europe-crm.veevavault.com/ui/#object/approved_document__v/V5OZ025E82TMWN5", "AM2M - Programa Masterclass Esquizofrenia 2025")</f>
        <v>AM2M - Programa Masterclass Esquizofrenia 2025</v>
      </c>
      <c r="C6050" s="3" t="str">
        <f>HYPERLINK("https://otsuka-europe-crm.veevavault.com/ui/#object/sent_email__v/VBLZ025E82GWRZI", "SE-000279790")</f>
        <v>SE-000279790</v>
      </c>
      <c r="D6050" s="1">
        <v>45924.680659722224</v>
      </c>
      <c r="E6050" s="2">
        <v>1</v>
      </c>
      <c r="F6050" s="2">
        <v>1</v>
      </c>
      <c r="G6050" s="2">
        <v>0</v>
      </c>
      <c r="H6050" s="1" t="s">
        <v>0</v>
      </c>
      <c r="I6050" s="2">
        <v>0</v>
      </c>
      <c r="J6050" s="1">
        <v>45923.2968287037</v>
      </c>
    </row>
    <row r="6051" spans="1:10" x14ac:dyDescent="0.2">
      <c r="A6051" s="4" t="s">
        <v>1</v>
      </c>
      <c r="B6051" s="3" t="str">
        <f>HYPERLINK("https://otsuka-europe-crm.veevavault.com/ui/#object/approved_document__v/V5OZ025E82TMWN5", "AM2M - Programa Masterclass Esquizofrenia 2025")</f>
        <v>AM2M - Programa Masterclass Esquizofrenia 2025</v>
      </c>
      <c r="C6051" s="3" t="str">
        <f>HYPERLINK("https://otsuka-europe-crm.veevavault.com/ui/#object/sent_email__v/VBLZ025E82GWRZJ", "SE-000279791")</f>
        <v>SE-000279791</v>
      </c>
      <c r="D6051" s="1">
        <v>45923.532789351855</v>
      </c>
      <c r="E6051" s="2">
        <v>1</v>
      </c>
      <c r="F6051" s="2">
        <v>1</v>
      </c>
      <c r="G6051" s="2">
        <v>0</v>
      </c>
      <c r="H6051" s="1" t="s">
        <v>0</v>
      </c>
      <c r="I6051" s="2">
        <v>0</v>
      </c>
      <c r="J6051" s="1">
        <v>45923.296678240738</v>
      </c>
    </row>
    <row r="6052" spans="1:10" x14ac:dyDescent="0.2">
      <c r="A6052" s="4" t="s">
        <v>1</v>
      </c>
      <c r="B6052" s="3" t="str">
        <f>HYPERLINK("https://otsuka-europe-crm.veevavault.com/ui/#object/approved_document__v/V5OZ025E82TMWN5", "AM2M - Programa Masterclass Esquizofrenia 2025")</f>
        <v>AM2M - Programa Masterclass Esquizofrenia 2025</v>
      </c>
      <c r="C6052" s="3" t="str">
        <f>HYPERLINK("https://otsuka-europe-crm.veevavault.com/ui/#object/sent_email__v/VBLZ025E82GWRZK", "SE-000279792")</f>
        <v>SE-000279792</v>
      </c>
      <c r="D6052" s="1">
        <v>45923.539780092593</v>
      </c>
      <c r="E6052" s="2">
        <v>1</v>
      </c>
      <c r="F6052" s="2">
        <v>1</v>
      </c>
      <c r="G6052" s="2">
        <v>0</v>
      </c>
      <c r="H6052" s="1" t="s">
        <v>0</v>
      </c>
      <c r="I6052" s="2">
        <v>0</v>
      </c>
      <c r="J6052" s="1">
        <v>45923.297118055554</v>
      </c>
    </row>
    <row r="6053" spans="1:10" x14ac:dyDescent="0.2">
      <c r="A6053" s="4" t="s">
        <v>1</v>
      </c>
      <c r="B6053" s="3" t="str">
        <f>HYPERLINK("https://otsuka-europe-crm.veevavault.com/ui/#object/approved_document__v/V5OZ025E82TMWN5", "AM2M - Programa Masterclass Esquizofrenia 2025")</f>
        <v>AM2M - Programa Masterclass Esquizofrenia 2025</v>
      </c>
      <c r="C6053" s="3" t="str">
        <f>HYPERLINK("https://otsuka-europe-crm.veevavault.com/ui/#object/sent_email__v/VBLZ025E82GWRZL", "SE-000279793")</f>
        <v>SE-000279793</v>
      </c>
      <c r="D6053" s="1" t="s">
        <v>0</v>
      </c>
      <c r="E6053" s="2">
        <v>0</v>
      </c>
      <c r="F6053" s="2">
        <v>0</v>
      </c>
      <c r="G6053" s="2">
        <v>0</v>
      </c>
      <c r="H6053" s="1" t="s">
        <v>0</v>
      </c>
      <c r="I6053" s="2">
        <v>0</v>
      </c>
      <c r="J6053" s="1">
        <v>45923.296979166669</v>
      </c>
    </row>
    <row r="6054" spans="1:10" x14ac:dyDescent="0.2">
      <c r="A6054" s="4" t="s">
        <v>1</v>
      </c>
      <c r="B6054" s="3" t="str">
        <f>HYPERLINK("https://otsuka-europe-crm.veevavault.com/ui/#object/approved_document__v/V5OZ025E82TMWN5", "AM2M - Programa Masterclass Esquizofrenia 2025")</f>
        <v>AM2M - Programa Masterclass Esquizofrenia 2025</v>
      </c>
      <c r="C6054" s="3" t="str">
        <f>HYPERLINK("https://otsuka-europe-crm.veevavault.com/ui/#object/sent_email__v/VBLZ025E82GWRZM", "SE-000279794")</f>
        <v>SE-000279794</v>
      </c>
      <c r="D6054" s="1">
        <v>45923.34574074074</v>
      </c>
      <c r="E6054" s="2">
        <v>1</v>
      </c>
      <c r="F6054" s="2">
        <v>1</v>
      </c>
      <c r="G6054" s="2">
        <v>0</v>
      </c>
      <c r="H6054" s="1" t="s">
        <v>0</v>
      </c>
      <c r="I6054" s="2">
        <v>0</v>
      </c>
      <c r="J6054" s="1">
        <v>45923.296863425923</v>
      </c>
    </row>
    <row r="6055" spans="1:10" x14ac:dyDescent="0.2">
      <c r="A6055" s="4" t="s">
        <v>1</v>
      </c>
      <c r="B6055" s="3" t="str">
        <f>HYPERLINK("https://otsuka-europe-crm.veevavault.com/ui/#object/approved_document__v/V5OZ025E82TMWN5", "AM2M - Programa Masterclass Esquizofrenia 2025")</f>
        <v>AM2M - Programa Masterclass Esquizofrenia 2025</v>
      </c>
      <c r="C6055" s="3" t="str">
        <f>HYPERLINK("https://otsuka-europe-crm.veevavault.com/ui/#object/sent_email__v/VBLZ025E82GWRZN", "SE-000279795")</f>
        <v>SE-000279795</v>
      </c>
      <c r="D6055" s="1" t="s">
        <v>0</v>
      </c>
      <c r="E6055" s="2">
        <v>0</v>
      </c>
      <c r="F6055" s="2">
        <v>0</v>
      </c>
      <c r="G6055" s="2">
        <v>0</v>
      </c>
      <c r="H6055" s="1" t="s">
        <v>0</v>
      </c>
      <c r="I6055" s="2">
        <v>0</v>
      </c>
      <c r="J6055" s="1">
        <v>45923.296712962961</v>
      </c>
    </row>
    <row r="6056" spans="1:10" x14ac:dyDescent="0.2">
      <c r="A6056" s="4" t="s">
        <v>1</v>
      </c>
      <c r="B6056" s="3" t="str">
        <f>HYPERLINK("https://otsuka-europe-crm.veevavault.com/ui/#object/approved_document__v/V5OZ025E82TMWN5", "AM2M - Programa Masterclass Esquizofrenia 2025")</f>
        <v>AM2M - Programa Masterclass Esquizofrenia 2025</v>
      </c>
      <c r="C6056" s="3" t="str">
        <f>HYPERLINK("https://otsuka-europe-crm.veevavault.com/ui/#object/sent_email__v/VBLZ025E82GWRZO", "SE-000279796")</f>
        <v>SE-000279796</v>
      </c>
      <c r="D6056" s="1">
        <v>45923.971898148149</v>
      </c>
      <c r="E6056" s="2">
        <v>1</v>
      </c>
      <c r="F6056" s="2">
        <v>1</v>
      </c>
      <c r="G6056" s="2">
        <v>0</v>
      </c>
      <c r="H6056" s="1" t="s">
        <v>0</v>
      </c>
      <c r="I6056" s="2">
        <v>0</v>
      </c>
      <c r="J6056" s="1">
        <v>45923.297129629631</v>
      </c>
    </row>
    <row r="6057" spans="1:10" x14ac:dyDescent="0.2">
      <c r="A6057" s="4" t="s">
        <v>1</v>
      </c>
      <c r="B6057" s="3" t="str">
        <f>HYPERLINK("https://otsuka-europe-crm.veevavault.com/ui/#object/approved_document__v/V5OZ025E82TMWN5", "AM2M - Programa Masterclass Esquizofrenia 2025")</f>
        <v>AM2M - Programa Masterclass Esquizofrenia 2025</v>
      </c>
      <c r="C6057" s="3" t="str">
        <f>HYPERLINK("https://otsuka-europe-crm.veevavault.com/ui/#object/sent_email__v/VBLZ025E82GWRZP", "SE-000279797")</f>
        <v>SE-000279797</v>
      </c>
      <c r="D6057" s="1">
        <v>45926.389166666668</v>
      </c>
      <c r="E6057" s="2">
        <v>1</v>
      </c>
      <c r="F6057" s="2">
        <v>2</v>
      </c>
      <c r="G6057" s="2">
        <v>0</v>
      </c>
      <c r="H6057" s="1" t="s">
        <v>0</v>
      </c>
      <c r="I6057" s="2">
        <v>0</v>
      </c>
      <c r="J6057" s="1">
        <v>45923.297025462962</v>
      </c>
    </row>
    <row r="6058" spans="1:10" x14ac:dyDescent="0.2">
      <c r="A6058" s="4" t="s">
        <v>1</v>
      </c>
      <c r="B6058" s="3" t="str">
        <f>HYPERLINK("https://otsuka-europe-crm.veevavault.com/ui/#object/approved_document__v/V5OZ025E82TMWN5", "AM2M - Programa Masterclass Esquizofrenia 2025")</f>
        <v>AM2M - Programa Masterclass Esquizofrenia 2025</v>
      </c>
      <c r="C6058" s="3" t="str">
        <f>HYPERLINK("https://otsuka-europe-crm.veevavault.com/ui/#object/sent_email__v/VBLZ025E82GWRZQ", "SE-000279798")</f>
        <v>SE-000279798</v>
      </c>
      <c r="D6058" s="1">
        <v>45923.34542824074</v>
      </c>
      <c r="E6058" s="2">
        <v>1</v>
      </c>
      <c r="F6058" s="2">
        <v>1</v>
      </c>
      <c r="G6058" s="2">
        <v>0</v>
      </c>
      <c r="H6058" s="1" t="s">
        <v>0</v>
      </c>
      <c r="I6058" s="2">
        <v>0</v>
      </c>
      <c r="J6058" s="1">
        <v>45923.2966087963</v>
      </c>
    </row>
    <row r="6059" spans="1:10" x14ac:dyDescent="0.2">
      <c r="A6059" s="4" t="s">
        <v>1</v>
      </c>
      <c r="B6059" s="3" t="str">
        <f>HYPERLINK("https://otsuka-europe-crm.veevavault.com/ui/#object/approved_document__v/V5OZ025E82TMWN5", "AM2M - Programa Masterclass Esquizofrenia 2025")</f>
        <v>AM2M - Programa Masterclass Esquizofrenia 2025</v>
      </c>
      <c r="C6059" s="3" t="str">
        <f>HYPERLINK("https://otsuka-europe-crm.veevavault.com/ui/#object/sent_email__v/VBLZ025E82GWRZR", "SE-000279799")</f>
        <v>SE-000279799</v>
      </c>
      <c r="D6059" s="1">
        <v>45986.486574074072</v>
      </c>
      <c r="E6059" s="2">
        <v>1</v>
      </c>
      <c r="F6059" s="2">
        <v>2</v>
      </c>
      <c r="G6059" s="2">
        <v>0</v>
      </c>
      <c r="H6059" s="1" t="s">
        <v>0</v>
      </c>
      <c r="I6059" s="2">
        <v>0</v>
      </c>
      <c r="J6059" s="1">
        <v>45923.296736111108</v>
      </c>
    </row>
    <row r="6060" spans="1:10" x14ac:dyDescent="0.2">
      <c r="A6060" s="4" t="s">
        <v>1</v>
      </c>
      <c r="B6060" s="3" t="str">
        <f>HYPERLINK("https://otsuka-europe-crm.veevavault.com/ui/#object/approved_document__v/V5OZ025E82TMWN5", "AM2M - Programa Masterclass Esquizofrenia 2025")</f>
        <v>AM2M - Programa Masterclass Esquizofrenia 2025</v>
      </c>
      <c r="C6060" s="3" t="str">
        <f>HYPERLINK("https://otsuka-europe-crm.veevavault.com/ui/#object/sent_email__v/VBLZ025E82GWRZS", "SE-000279800")</f>
        <v>SE-000279800</v>
      </c>
      <c r="D6060" s="1" t="s">
        <v>0</v>
      </c>
      <c r="E6060" s="2">
        <v>0</v>
      </c>
      <c r="F6060" s="2">
        <v>0</v>
      </c>
      <c r="G6060" s="2">
        <v>0</v>
      </c>
      <c r="H6060" s="1" t="s">
        <v>0</v>
      </c>
      <c r="I6060" s="2">
        <v>0</v>
      </c>
      <c r="J6060" s="1">
        <v>45923.296817129631</v>
      </c>
    </row>
    <row r="6061" spans="1:10" x14ac:dyDescent="0.2">
      <c r="A6061" s="4" t="s">
        <v>1</v>
      </c>
      <c r="B6061" s="3" t="str">
        <f>HYPERLINK("https://otsuka-europe-crm.veevavault.com/ui/#object/approved_document__v/V5OZ025E82TMWN5", "AM2M - Programa Masterclass Esquizofrenia 2025")</f>
        <v>AM2M - Programa Masterclass Esquizofrenia 2025</v>
      </c>
      <c r="C6061" s="3" t="str">
        <f>HYPERLINK("https://otsuka-europe-crm.veevavault.com/ui/#object/sent_email__v/VBLZ025E82GWRZT", "SE-000279801")</f>
        <v>SE-000279801</v>
      </c>
      <c r="D6061" s="1">
        <v>45923.299768518518</v>
      </c>
      <c r="E6061" s="2">
        <v>1</v>
      </c>
      <c r="F6061" s="2">
        <v>1</v>
      </c>
      <c r="G6061" s="2">
        <v>0</v>
      </c>
      <c r="H6061" s="1" t="s">
        <v>0</v>
      </c>
      <c r="I6061" s="2">
        <v>0</v>
      </c>
      <c r="J6061" s="1">
        <v>45923.296932870369</v>
      </c>
    </row>
    <row r="6062" spans="1:10" x14ac:dyDescent="0.2">
      <c r="A6062" s="4" t="s">
        <v>1</v>
      </c>
      <c r="B6062" s="3" t="str">
        <f>HYPERLINK("https://otsuka-europe-crm.veevavault.com/ui/#object/approved_document__v/V5OZ025E82TMWN5", "AM2M - Programa Masterclass Esquizofrenia 2025")</f>
        <v>AM2M - Programa Masterclass Esquizofrenia 2025</v>
      </c>
      <c r="C6062" s="3" t="str">
        <f>HYPERLINK("https://otsuka-europe-crm.veevavault.com/ui/#object/sent_email__v/VBLZ025E82GWRZU", "SE-000279802")</f>
        <v>SE-000279802</v>
      </c>
      <c r="D6062" s="1" t="s">
        <v>0</v>
      </c>
      <c r="E6062" s="2">
        <v>0</v>
      </c>
      <c r="F6062" s="2">
        <v>0</v>
      </c>
      <c r="G6062" s="2">
        <v>0</v>
      </c>
      <c r="H6062" s="1" t="s">
        <v>0</v>
      </c>
      <c r="I6062" s="2">
        <v>0</v>
      </c>
      <c r="J6062" s="1">
        <v>45923.297037037039</v>
      </c>
    </row>
    <row r="6063" spans="1:10" x14ac:dyDescent="0.2">
      <c r="A6063" s="4" t="s">
        <v>1</v>
      </c>
      <c r="B6063" s="3" t="str">
        <f>HYPERLINK("https://otsuka-europe-crm.veevavault.com/ui/#object/approved_document__v/V5OZ025E82TMWN5", "AM2M - Programa Masterclass Esquizofrenia 2025")</f>
        <v>AM2M - Programa Masterclass Esquizofrenia 2025</v>
      </c>
      <c r="C6063" s="3" t="str">
        <f>HYPERLINK("https://otsuka-europe-crm.veevavault.com/ui/#object/sent_email__v/VBLZ025E82GWRZV", "SE-000279803")</f>
        <v>SE-000279803</v>
      </c>
      <c r="D6063" s="1" t="s">
        <v>0</v>
      </c>
      <c r="E6063" s="2">
        <v>0</v>
      </c>
      <c r="F6063" s="2">
        <v>0</v>
      </c>
      <c r="G6063" s="2">
        <v>0</v>
      </c>
      <c r="H6063" s="1" t="s">
        <v>0</v>
      </c>
      <c r="I6063" s="2">
        <v>0</v>
      </c>
      <c r="J6063" s="1">
        <v>45923.2966087963</v>
      </c>
    </row>
    <row r="6064" spans="1:10" x14ac:dyDescent="0.2">
      <c r="A6064" s="4" t="s">
        <v>1</v>
      </c>
      <c r="B6064" s="3" t="str">
        <f>HYPERLINK("https://otsuka-europe-crm.veevavault.com/ui/#object/approved_document__v/V5OZ025E82TMWN5", "AM2M - Programa Masterclass Esquizofrenia 2025")</f>
        <v>AM2M - Programa Masterclass Esquizofrenia 2025</v>
      </c>
      <c r="C6064" s="3" t="str">
        <f>HYPERLINK("https://otsuka-europe-crm.veevavault.com/ui/#object/sent_email__v/VBLZ025E82GWRZW", "SE-000279804")</f>
        <v>SE-000279804</v>
      </c>
      <c r="D6064" s="1">
        <v>45923.59101851852</v>
      </c>
      <c r="E6064" s="2">
        <v>1</v>
      </c>
      <c r="F6064" s="2">
        <v>2</v>
      </c>
      <c r="G6064" s="2">
        <v>0</v>
      </c>
      <c r="H6064" s="1" t="s">
        <v>0</v>
      </c>
      <c r="I6064" s="2">
        <v>0</v>
      </c>
      <c r="J6064" s="1">
        <v>45923.296759259261</v>
      </c>
    </row>
    <row r="6065" spans="1:10" x14ac:dyDescent="0.2">
      <c r="A6065" s="4" t="s">
        <v>1</v>
      </c>
      <c r="B6065" s="3" t="str">
        <f>HYPERLINK("https://otsuka-europe-crm.veevavault.com/ui/#object/approved_document__v/V5OZ025E82TMWN5", "AM2M - Programa Masterclass Esquizofrenia 2025")</f>
        <v>AM2M - Programa Masterclass Esquizofrenia 2025</v>
      </c>
      <c r="C6065" s="3" t="str">
        <f>HYPERLINK("https://otsuka-europe-crm.veevavault.com/ui/#object/sent_email__v/VBLZ025E82GWRZX", "SE-000279805")</f>
        <v>SE-000279805</v>
      </c>
      <c r="D6065" s="1" t="s">
        <v>0</v>
      </c>
      <c r="E6065" s="2">
        <v>0</v>
      </c>
      <c r="F6065" s="2">
        <v>0</v>
      </c>
      <c r="G6065" s="2">
        <v>0</v>
      </c>
      <c r="H6065" s="1" t="s">
        <v>0</v>
      </c>
      <c r="I6065" s="2">
        <v>0</v>
      </c>
      <c r="J6065" s="1">
        <v>45923.296898148146</v>
      </c>
    </row>
    <row r="6066" spans="1:10" x14ac:dyDescent="0.2">
      <c r="A6066" s="4" t="s">
        <v>1</v>
      </c>
      <c r="B6066" s="3" t="str">
        <f>HYPERLINK("https://otsuka-europe-crm.veevavault.com/ui/#object/approved_document__v/V5OZ025E82TMWN5", "AM2M - Programa Masterclass Esquizofrenia 2025")</f>
        <v>AM2M - Programa Masterclass Esquizofrenia 2025</v>
      </c>
      <c r="C6066" s="3" t="str">
        <f>HYPERLINK("https://otsuka-europe-crm.veevavault.com/ui/#object/sent_email__v/VBLZ025E82GWRZY", "SE-000279806")</f>
        <v>SE-000279806</v>
      </c>
      <c r="D6066" s="1" t="s">
        <v>0</v>
      </c>
      <c r="E6066" s="2">
        <v>0</v>
      </c>
      <c r="F6066" s="2">
        <v>0</v>
      </c>
      <c r="G6066" s="2">
        <v>0</v>
      </c>
      <c r="H6066" s="1" t="s">
        <v>0</v>
      </c>
      <c r="I6066" s="2">
        <v>0</v>
      </c>
      <c r="J6066" s="1">
        <v>45923.297048611108</v>
      </c>
    </row>
    <row r="6067" spans="1:10" x14ac:dyDescent="0.2">
      <c r="A6067" s="4" t="s">
        <v>1</v>
      </c>
      <c r="B6067" s="3" t="str">
        <f>HYPERLINK("https://otsuka-europe-crm.veevavault.com/ui/#object/approved_document__v/V5OZ025E82TMWN5", "AM2M - Programa Masterclass Esquizofrenia 2025")</f>
        <v>AM2M - Programa Masterclass Esquizofrenia 2025</v>
      </c>
      <c r="C6067" s="3" t="str">
        <f>HYPERLINK("https://otsuka-europe-crm.veevavault.com/ui/#object/sent_email__v/VBLZ025E82GWRZZ", "SE-000279807")</f>
        <v>SE-000279807</v>
      </c>
      <c r="D6067" s="1">
        <v>45923.300219907411</v>
      </c>
      <c r="E6067" s="2">
        <v>1</v>
      </c>
      <c r="F6067" s="2">
        <v>1</v>
      </c>
      <c r="G6067" s="2">
        <v>0</v>
      </c>
      <c r="H6067" s="1" t="s">
        <v>0</v>
      </c>
      <c r="I6067" s="2">
        <v>0</v>
      </c>
      <c r="J6067" s="1">
        <v>45923.296620370369</v>
      </c>
    </row>
    <row r="6068" spans="1:10" x14ac:dyDescent="0.2">
      <c r="A6068" s="4" t="s">
        <v>1</v>
      </c>
      <c r="B6068" s="3" t="str">
        <f>HYPERLINK("https://otsuka-europe-crm.veevavault.com/ui/#object/approved_document__v/V5OZ025E82TMWN5", "AM2M - Programa Masterclass Esquizofrenia 2025")</f>
        <v>AM2M - Programa Masterclass Esquizofrenia 2025</v>
      </c>
      <c r="C6068" s="3" t="str">
        <f>HYPERLINK("https://otsuka-europe-crm.veevavault.com/ui/#object/sent_email__v/VBLZ025E82GWS00", "SE-000279808")</f>
        <v>SE-000279808</v>
      </c>
      <c r="D6068" s="1" t="s">
        <v>0</v>
      </c>
      <c r="E6068" s="2">
        <v>0</v>
      </c>
      <c r="F6068" s="2">
        <v>0</v>
      </c>
      <c r="G6068" s="2">
        <v>0</v>
      </c>
      <c r="H6068" s="1" t="s">
        <v>0</v>
      </c>
      <c r="I6068" s="2">
        <v>0</v>
      </c>
      <c r="J6068" s="1">
        <v>45923.296770833331</v>
      </c>
    </row>
    <row r="6069" spans="1:10" x14ac:dyDescent="0.2">
      <c r="A6069" s="4" t="s">
        <v>1</v>
      </c>
      <c r="B6069" s="3" t="str">
        <f>HYPERLINK("https://otsuka-europe-crm.veevavault.com/ui/#object/approved_document__v/V5OZ025E82TMWN5", "AM2M - Programa Masterclass Esquizofrenia 2025")</f>
        <v>AM2M - Programa Masterclass Esquizofrenia 2025</v>
      </c>
      <c r="C6069" s="3" t="str">
        <f>HYPERLINK("https://otsuka-europe-crm.veevavault.com/ui/#object/sent_email__v/VBLZ025E82GWS01", "SE-000279809")</f>
        <v>SE-000279809</v>
      </c>
      <c r="D6069" s="1">
        <v>45925.282858796294</v>
      </c>
      <c r="E6069" s="2">
        <v>1</v>
      </c>
      <c r="F6069" s="2">
        <v>1</v>
      </c>
      <c r="G6069" s="2">
        <v>0</v>
      </c>
      <c r="H6069" s="1" t="s">
        <v>0</v>
      </c>
      <c r="I6069" s="2">
        <v>0</v>
      </c>
      <c r="J6069" s="1">
        <v>45923.296909722223</v>
      </c>
    </row>
    <row r="6070" spans="1:10" x14ac:dyDescent="0.2">
      <c r="A6070" s="4" t="s">
        <v>1</v>
      </c>
      <c r="B6070" s="3" t="str">
        <f>HYPERLINK("https://otsuka-europe-crm.veevavault.com/ui/#object/approved_document__v/V5OZ025E82TMWN5", "AM2M - Programa Masterclass Esquizofrenia 2025")</f>
        <v>AM2M - Programa Masterclass Esquizofrenia 2025</v>
      </c>
      <c r="C6070" s="3" t="str">
        <f>HYPERLINK("https://otsuka-europe-crm.veevavault.com/ui/#object/sent_email__v/VBLZ025E82GWS02", "SE-000279810")</f>
        <v>SE-000279810</v>
      </c>
      <c r="D6070" s="1">
        <v>45923.768599537034</v>
      </c>
      <c r="E6070" s="2">
        <v>1</v>
      </c>
      <c r="F6070" s="2">
        <v>1</v>
      </c>
      <c r="G6070" s="2">
        <v>0</v>
      </c>
      <c r="H6070" s="1" t="s">
        <v>0</v>
      </c>
      <c r="I6070" s="2">
        <v>0</v>
      </c>
      <c r="J6070" s="1">
        <v>45923.296689814815</v>
      </c>
    </row>
    <row r="6071" spans="1:10" x14ac:dyDescent="0.2">
      <c r="A6071" s="4" t="s">
        <v>1</v>
      </c>
      <c r="B6071" s="3" t="str">
        <f>HYPERLINK("https://otsuka-europe-crm.veevavault.com/ui/#object/approved_document__v/V5OZ025E82TMWN5", "AM2M - Programa Masterclass Esquizofrenia 2025")</f>
        <v>AM2M - Programa Masterclass Esquizofrenia 2025</v>
      </c>
      <c r="C6071" s="3" t="str">
        <f>HYPERLINK("https://otsuka-europe-crm.veevavault.com/ui/#object/sent_email__v/VBLZ025E82GWS03", "SE-000279811")</f>
        <v>SE-000279811</v>
      </c>
      <c r="D6071" s="1">
        <v>45957.627592592595</v>
      </c>
      <c r="E6071" s="2">
        <v>1</v>
      </c>
      <c r="F6071" s="2">
        <v>4</v>
      </c>
      <c r="G6071" s="2">
        <v>0</v>
      </c>
      <c r="H6071" s="1" t="s">
        <v>0</v>
      </c>
      <c r="I6071" s="2">
        <v>0</v>
      </c>
      <c r="J6071" s="1">
        <v>45923.296840277777</v>
      </c>
    </row>
    <row r="6072" spans="1:10" x14ac:dyDescent="0.2">
      <c r="A6072" s="4" t="s">
        <v>1</v>
      </c>
      <c r="B6072" s="3" t="str">
        <f>HYPERLINK("https://otsuka-europe-crm.veevavault.com/ui/#object/approved_document__v/V5OZ025E82TMWN5", "AM2M - Programa Masterclass Esquizofrenia 2025")</f>
        <v>AM2M - Programa Masterclass Esquizofrenia 2025</v>
      </c>
      <c r="C6072" s="3" t="str">
        <f>HYPERLINK("https://otsuka-europe-crm.veevavault.com/ui/#object/sent_email__v/VBLZ025E82GWS04", "SE-000279812")</f>
        <v>SE-000279812</v>
      </c>
      <c r="D6072" s="1">
        <v>45928.395127314812</v>
      </c>
      <c r="E6072" s="2">
        <v>1</v>
      </c>
      <c r="F6072" s="2">
        <v>3</v>
      </c>
      <c r="G6072" s="2">
        <v>0</v>
      </c>
      <c r="H6072" s="1" t="s">
        <v>0</v>
      </c>
      <c r="I6072" s="2">
        <v>0</v>
      </c>
      <c r="J6072" s="1">
        <v>45923.296967592592</v>
      </c>
    </row>
    <row r="6073" spans="1:10" x14ac:dyDescent="0.2">
      <c r="A6073" s="4" t="s">
        <v>1</v>
      </c>
      <c r="B6073" s="3" t="str">
        <f>HYPERLINK("https://otsuka-europe-crm.veevavault.com/ui/#object/approved_document__v/V5OZ025E82TMWN5", "AM2M - Programa Masterclass Esquizofrenia 2025")</f>
        <v>AM2M - Programa Masterclass Esquizofrenia 2025</v>
      </c>
      <c r="C6073" s="3" t="str">
        <f>HYPERLINK("https://otsuka-europe-crm.veevavault.com/ui/#object/sent_email__v/VBLZ025E82GWS05", "SE-000279813")</f>
        <v>SE-000279813</v>
      </c>
      <c r="D6073" s="1">
        <v>45936.742835648147</v>
      </c>
      <c r="E6073" s="2">
        <v>1</v>
      </c>
      <c r="F6073" s="2">
        <v>1</v>
      </c>
      <c r="G6073" s="2">
        <v>0</v>
      </c>
      <c r="H6073" s="1" t="s">
        <v>0</v>
      </c>
      <c r="I6073" s="2">
        <v>0</v>
      </c>
      <c r="J6073" s="1">
        <v>45923.297094907408</v>
      </c>
    </row>
    <row r="6074" spans="1:10" x14ac:dyDescent="0.2">
      <c r="A6074" s="4" t="s">
        <v>1</v>
      </c>
      <c r="B6074" s="3" t="str">
        <f>HYPERLINK("https://otsuka-europe-crm.veevavault.com/ui/#object/approved_document__v/V5OZ025E82TMWN5", "AM2M - Programa Masterclass Esquizofrenia 2025")</f>
        <v>AM2M - Programa Masterclass Esquizofrenia 2025</v>
      </c>
      <c r="C6074" s="3" t="str">
        <f>HYPERLINK("https://otsuka-europe-crm.veevavault.com/ui/#object/sent_email__v/VBLZ025E82GWS06", "SE-000279814")</f>
        <v>SE-000279814</v>
      </c>
      <c r="D6074" s="1" t="s">
        <v>0</v>
      </c>
      <c r="E6074" s="2">
        <v>0</v>
      </c>
      <c r="F6074" s="2">
        <v>0</v>
      </c>
      <c r="G6074" s="2">
        <v>0</v>
      </c>
      <c r="H6074" s="1" t="s">
        <v>0</v>
      </c>
      <c r="I6074" s="2">
        <v>0</v>
      </c>
      <c r="J6074" s="1">
        <v>45923.296678240738</v>
      </c>
    </row>
    <row r="6075" spans="1:10" x14ac:dyDescent="0.2">
      <c r="A6075" s="4" t="s">
        <v>1</v>
      </c>
      <c r="B6075" s="3" t="str">
        <f>HYPERLINK("https://otsuka-europe-crm.veevavault.com/ui/#object/approved_document__v/V5OZ025E82TMWN5", "AM2M - Programa Masterclass Esquizofrenia 2025")</f>
        <v>AM2M - Programa Masterclass Esquizofrenia 2025</v>
      </c>
      <c r="C6075" s="3" t="str">
        <f>HYPERLINK("https://otsuka-europe-crm.veevavault.com/ui/#object/sent_email__v/VBLZ025E82GWS07", "SE-000279815")</f>
        <v>SE-000279815</v>
      </c>
      <c r="D6075" s="1">
        <v>45924.897777777776</v>
      </c>
      <c r="E6075" s="2">
        <v>1</v>
      </c>
      <c r="F6075" s="2">
        <v>1</v>
      </c>
      <c r="G6075" s="2">
        <v>0</v>
      </c>
      <c r="H6075" s="1" t="s">
        <v>0</v>
      </c>
      <c r="I6075" s="2">
        <v>0</v>
      </c>
      <c r="J6075" s="1">
        <v>45923.296817129631</v>
      </c>
    </row>
    <row r="6076" spans="1:10" x14ac:dyDescent="0.2">
      <c r="A6076" s="4" t="s">
        <v>1</v>
      </c>
      <c r="B6076" s="3" t="str">
        <f>HYPERLINK("https://otsuka-europe-crm.veevavault.com/ui/#object/approved_document__v/V5OZ025E82TMWN5", "AM2M - Programa Masterclass Esquizofrenia 2025")</f>
        <v>AM2M - Programa Masterclass Esquizofrenia 2025</v>
      </c>
      <c r="C6076" s="3" t="str">
        <f>HYPERLINK("https://otsuka-europe-crm.veevavault.com/ui/#object/sent_email__v/VBLZ025E82GWS08", "SE-000279816")</f>
        <v>SE-000279816</v>
      </c>
      <c r="D6076" s="1">
        <v>45927.377060185187</v>
      </c>
      <c r="E6076" s="2">
        <v>1</v>
      </c>
      <c r="F6076" s="2">
        <v>2</v>
      </c>
      <c r="G6076" s="2">
        <v>1</v>
      </c>
      <c r="H6076" s="1">
        <v>45923.78601851852</v>
      </c>
      <c r="I6076" s="2">
        <v>1</v>
      </c>
      <c r="J6076" s="1">
        <v>45923.296956018516</v>
      </c>
    </row>
    <row r="6077" spans="1:10" x14ac:dyDescent="0.2">
      <c r="A6077" s="4" t="s">
        <v>1</v>
      </c>
      <c r="B6077" s="3" t="str">
        <f>HYPERLINK("https://otsuka-europe-crm.veevavault.com/ui/#object/approved_document__v/V5OZ025E82TMWN5", "AM2M - Programa Masterclass Esquizofrenia 2025")</f>
        <v>AM2M - Programa Masterclass Esquizofrenia 2025</v>
      </c>
      <c r="C6077" s="3" t="str">
        <f>HYPERLINK("https://otsuka-europe-crm.veevavault.com/ui/#object/sent_email__v/VBLZ025E82GWS09", "SE-000279817")</f>
        <v>SE-000279817</v>
      </c>
      <c r="D6077" s="1">
        <v>45934.066030092596</v>
      </c>
      <c r="E6077" s="2">
        <v>1</v>
      </c>
      <c r="F6077" s="2">
        <v>1</v>
      </c>
      <c r="G6077" s="2">
        <v>0</v>
      </c>
      <c r="H6077" s="1" t="s">
        <v>0</v>
      </c>
      <c r="I6077" s="2">
        <v>0</v>
      </c>
      <c r="J6077" s="1">
        <v>45923.297083333331</v>
      </c>
    </row>
    <row r="6078" spans="1:10" x14ac:dyDescent="0.2">
      <c r="A6078" s="4" t="s">
        <v>1</v>
      </c>
      <c r="B6078" s="3" t="str">
        <f>HYPERLINK("https://otsuka-europe-crm.veevavault.com/ui/#object/approved_document__v/V5OZ025E82TMWN5", "AM2M - Programa Masterclass Esquizofrenia 2025")</f>
        <v>AM2M - Programa Masterclass Esquizofrenia 2025</v>
      </c>
      <c r="C6078" s="3" t="str">
        <f>HYPERLINK("https://otsuka-europe-crm.veevavault.com/ui/#object/sent_email__v/VBLZ025E82GWS0A", "SE-000279818")</f>
        <v>SE-000279818</v>
      </c>
      <c r="D6078" s="1">
        <v>45923.296863425923</v>
      </c>
      <c r="E6078" s="2">
        <v>1</v>
      </c>
      <c r="F6078" s="2">
        <v>1</v>
      </c>
      <c r="G6078" s="2">
        <v>0</v>
      </c>
      <c r="H6078" s="1" t="s">
        <v>0</v>
      </c>
      <c r="I6078" s="2">
        <v>0</v>
      </c>
      <c r="J6078" s="1">
        <v>45923.296712962961</v>
      </c>
    </row>
    <row r="6079" spans="1:10" x14ac:dyDescent="0.2">
      <c r="A6079" s="4" t="s">
        <v>1</v>
      </c>
      <c r="B6079" s="3" t="str">
        <f>HYPERLINK("https://otsuka-europe-crm.veevavault.com/ui/#object/approved_document__v/V5OZ025E82TMWN5", "AM2M - Programa Masterclass Esquizofrenia 2025")</f>
        <v>AM2M - Programa Masterclass Esquizofrenia 2025</v>
      </c>
      <c r="C6079" s="3" t="str">
        <f>HYPERLINK("https://otsuka-europe-crm.veevavault.com/ui/#object/sent_email__v/VBLZ025E82GWS0B", "SE-000279819")</f>
        <v>SE-000279819</v>
      </c>
      <c r="D6079" s="1" t="s">
        <v>0</v>
      </c>
      <c r="E6079" s="2">
        <v>0</v>
      </c>
      <c r="F6079" s="2">
        <v>0</v>
      </c>
      <c r="G6079" s="2">
        <v>0</v>
      </c>
      <c r="H6079" s="1" t="s">
        <v>0</v>
      </c>
      <c r="I6079" s="2">
        <v>0</v>
      </c>
      <c r="J6079" s="1">
        <v>45923.296851851854</v>
      </c>
    </row>
    <row r="6080" spans="1:10" x14ac:dyDescent="0.2">
      <c r="A6080" s="4" t="s">
        <v>1</v>
      </c>
      <c r="B6080" s="3" t="str">
        <f>HYPERLINK("https://otsuka-europe-crm.veevavault.com/ui/#object/approved_document__v/V5OZ025E82TMWN5", "AM2M - Programa Masterclass Esquizofrenia 2025")</f>
        <v>AM2M - Programa Masterclass Esquizofrenia 2025</v>
      </c>
      <c r="C6080" s="3" t="str">
        <f>HYPERLINK("https://otsuka-europe-crm.veevavault.com/ui/#object/sent_email__v/VBLZ025E82GWS0C", "SE-000279820")</f>
        <v>SE-000279820</v>
      </c>
      <c r="D6080" s="1">
        <v>45924.907754629632</v>
      </c>
      <c r="E6080" s="2">
        <v>1</v>
      </c>
      <c r="F6080" s="2">
        <v>2</v>
      </c>
      <c r="G6080" s="2">
        <v>0</v>
      </c>
      <c r="H6080" s="1" t="s">
        <v>0</v>
      </c>
      <c r="I6080" s="2">
        <v>0</v>
      </c>
      <c r="J6080" s="1">
        <v>45923.296990740739</v>
      </c>
    </row>
    <row r="6081" spans="1:10" x14ac:dyDescent="0.2">
      <c r="A6081" s="4" t="s">
        <v>1</v>
      </c>
      <c r="B6081" s="3" t="str">
        <f>HYPERLINK("https://otsuka-europe-crm.veevavault.com/ui/#object/approved_document__v/V5OZ025E82TMWN5", "AM2M - Programa Masterclass Esquizofrenia 2025")</f>
        <v>AM2M - Programa Masterclass Esquizofrenia 2025</v>
      </c>
      <c r="C6081" s="3" t="str">
        <f>HYPERLINK("https://otsuka-europe-crm.veevavault.com/ui/#object/sent_email__v/VBLZ025E82GWS0D", "SE-000279821")</f>
        <v>SE-000279821</v>
      </c>
      <c r="D6081" s="1" t="s">
        <v>0</v>
      </c>
      <c r="E6081" s="2">
        <v>0</v>
      </c>
      <c r="F6081" s="2">
        <v>0</v>
      </c>
      <c r="G6081" s="2">
        <v>0</v>
      </c>
      <c r="H6081" s="1" t="s">
        <v>0</v>
      </c>
      <c r="I6081" s="2">
        <v>0</v>
      </c>
      <c r="J6081" s="1">
        <v>45923.297106481485</v>
      </c>
    </row>
    <row r="6082" spans="1:10" x14ac:dyDescent="0.2">
      <c r="A6082" s="4" t="s">
        <v>1</v>
      </c>
      <c r="B6082" s="3" t="str">
        <f>HYPERLINK("https://otsuka-europe-crm.veevavault.com/ui/#object/approved_document__v/V5OZ025E82TMWN5", "AM2M - Programa Masterclass Esquizofrenia 2025")</f>
        <v>AM2M - Programa Masterclass Esquizofrenia 2025</v>
      </c>
      <c r="C6082" s="3" t="str">
        <f>HYPERLINK("https://otsuka-europe-crm.veevavault.com/ui/#object/sent_email__v/VBLZ025E82GWS0E", "SE-000279822")</f>
        <v>SE-000279822</v>
      </c>
      <c r="D6082" s="1" t="s">
        <v>0</v>
      </c>
      <c r="E6082" s="2">
        <v>0</v>
      </c>
      <c r="F6082" s="2">
        <v>0</v>
      </c>
      <c r="G6082" s="2">
        <v>0</v>
      </c>
      <c r="H6082" s="1" t="s">
        <v>0</v>
      </c>
      <c r="I6082" s="2">
        <v>0</v>
      </c>
      <c r="J6082" s="1">
        <v>45923.296724537038</v>
      </c>
    </row>
    <row r="6083" spans="1:10" x14ac:dyDescent="0.2">
      <c r="A6083" s="4" t="s">
        <v>1</v>
      </c>
      <c r="B6083" s="3" t="str">
        <f>HYPERLINK("https://otsuka-europe-crm.veevavault.com/ui/#object/approved_document__v/V5OZ025E82TMWN5", "AM2M - Programa Masterclass Esquizofrenia 2025")</f>
        <v>AM2M - Programa Masterclass Esquizofrenia 2025</v>
      </c>
      <c r="C6083" s="3" t="str">
        <f>HYPERLINK("https://otsuka-europe-crm.veevavault.com/ui/#object/sent_email__v/VBLZ025E82GWS0F", "SE-000279823")</f>
        <v>SE-000279823</v>
      </c>
      <c r="D6083" s="1">
        <v>45923.863981481481</v>
      </c>
      <c r="E6083" s="2">
        <v>1</v>
      </c>
      <c r="F6083" s="2">
        <v>2</v>
      </c>
      <c r="G6083" s="2">
        <v>0</v>
      </c>
      <c r="H6083" s="1" t="s">
        <v>0</v>
      </c>
      <c r="I6083" s="2">
        <v>0</v>
      </c>
      <c r="J6083" s="1">
        <v>45923.296863425923</v>
      </c>
    </row>
    <row r="6084" spans="1:10" x14ac:dyDescent="0.2">
      <c r="A6084" s="4" t="s">
        <v>1</v>
      </c>
      <c r="B6084" s="3" t="str">
        <f>HYPERLINK("https://otsuka-europe-crm.veevavault.com/ui/#object/approved_document__v/V5OZ025E82TMWN5", "AM2M - Programa Masterclass Esquizofrenia 2025")</f>
        <v>AM2M - Programa Masterclass Esquizofrenia 2025</v>
      </c>
      <c r="C6084" s="3" t="str">
        <f>HYPERLINK("https://otsuka-europe-crm.veevavault.com/ui/#object/sent_email__v/VBLZ025E82GWS0G", "SE-000279824")</f>
        <v>SE-000279824</v>
      </c>
      <c r="D6084" s="1" t="s">
        <v>0</v>
      </c>
      <c r="E6084" s="2">
        <v>0</v>
      </c>
      <c r="F6084" s="2">
        <v>0</v>
      </c>
      <c r="G6084" s="2">
        <v>0</v>
      </c>
      <c r="H6084" s="1" t="s">
        <v>0</v>
      </c>
      <c r="I6084" s="2">
        <v>0</v>
      </c>
      <c r="J6084" s="1">
        <v>45923.297013888892</v>
      </c>
    </row>
    <row r="6085" spans="1:10" x14ac:dyDescent="0.2">
      <c r="A6085" s="4" t="s">
        <v>1</v>
      </c>
      <c r="B6085" s="3" t="str">
        <f>HYPERLINK("https://otsuka-europe-crm.veevavault.com/ui/#object/approved_document__v/V5OZ025E82TMWN5", "AM2M - Programa Masterclass Esquizofrenia 2025")</f>
        <v>AM2M - Programa Masterclass Esquizofrenia 2025</v>
      </c>
      <c r="C6085" s="3" t="str">
        <f>HYPERLINK("https://otsuka-europe-crm.veevavault.com/ui/#object/sent_email__v/VBLZ025E82GWS0H", "SE-000279825")</f>
        <v>SE-000279825</v>
      </c>
      <c r="D6085" s="1" t="s">
        <v>0</v>
      </c>
      <c r="E6085" s="2">
        <v>0</v>
      </c>
      <c r="F6085" s="2">
        <v>0</v>
      </c>
      <c r="G6085" s="2">
        <v>0</v>
      </c>
      <c r="H6085" s="1" t="s">
        <v>0</v>
      </c>
      <c r="I6085" s="2">
        <v>0</v>
      </c>
      <c r="J6085" s="1">
        <v>45923.2971412037</v>
      </c>
    </row>
    <row r="6086" spans="1:10" x14ac:dyDescent="0.2">
      <c r="A6086" s="4" t="s">
        <v>1</v>
      </c>
      <c r="B6086" s="3" t="str">
        <f>HYPERLINK("https://otsuka-europe-crm.veevavault.com/ui/#object/approved_document__v/V5OZ025E82TMWN5", "AM2M - Programa Masterclass Esquizofrenia 2025")</f>
        <v>AM2M - Programa Masterclass Esquizofrenia 2025</v>
      </c>
      <c r="C6086" s="3" t="str">
        <f>HYPERLINK("https://otsuka-europe-crm.veevavault.com/ui/#object/sent_email__v/VBLZ025E82GWS0I", "SE-000279826")</f>
        <v>SE-000279826</v>
      </c>
      <c r="D6086" s="1" t="s">
        <v>0</v>
      </c>
      <c r="E6086" s="2">
        <v>0</v>
      </c>
      <c r="F6086" s="2">
        <v>0</v>
      </c>
      <c r="G6086" s="2">
        <v>0</v>
      </c>
      <c r="H6086" s="1" t="s">
        <v>0</v>
      </c>
      <c r="I6086" s="2">
        <v>0</v>
      </c>
      <c r="J6086" s="1">
        <v>45923.296898148146</v>
      </c>
    </row>
    <row r="6087" spans="1:10" x14ac:dyDescent="0.2">
      <c r="A6087" s="4" t="s">
        <v>1</v>
      </c>
      <c r="B6087" s="3" t="str">
        <f>HYPERLINK("https://otsuka-europe-crm.veevavault.com/ui/#object/approved_document__v/V5OZ025E82TMWN5", "AM2M - Programa Masterclass Esquizofrenia 2025")</f>
        <v>AM2M - Programa Masterclass Esquizofrenia 2025</v>
      </c>
      <c r="C6087" s="3" t="str">
        <f>HYPERLINK("https://otsuka-europe-crm.veevavault.com/ui/#object/sent_email__v/VBLZ025E82GWS0J", "SE-000279827")</f>
        <v>SE-000279827</v>
      </c>
      <c r="D6087" s="1" t="s">
        <v>0</v>
      </c>
      <c r="E6087" s="2">
        <v>0</v>
      </c>
      <c r="F6087" s="2">
        <v>0</v>
      </c>
      <c r="G6087" s="2">
        <v>0</v>
      </c>
      <c r="H6087" s="1" t="s">
        <v>0</v>
      </c>
      <c r="I6087" s="2">
        <v>0</v>
      </c>
      <c r="J6087" s="1">
        <v>45923.296782407408</v>
      </c>
    </row>
    <row r="6088" spans="1:10" x14ac:dyDescent="0.2">
      <c r="A6088" s="4" t="s">
        <v>1</v>
      </c>
      <c r="B6088" s="3" t="str">
        <f>HYPERLINK("https://otsuka-europe-crm.veevavault.com/ui/#object/approved_document__v/V5OZ025E82TMWN5", "AM2M - Programa Masterclass Esquizofrenia 2025")</f>
        <v>AM2M - Programa Masterclass Esquizofrenia 2025</v>
      </c>
      <c r="C6088" s="3" t="str">
        <f>HYPERLINK("https://otsuka-europe-crm.veevavault.com/ui/#object/sent_email__v/VBLZ025E82GWS0K", "SE-000279828")</f>
        <v>SE-000279828</v>
      </c>
      <c r="D6088" s="1">
        <v>45923.315092592595</v>
      </c>
      <c r="E6088" s="2">
        <v>1</v>
      </c>
      <c r="F6088" s="2">
        <v>1</v>
      </c>
      <c r="G6088" s="2">
        <v>0</v>
      </c>
      <c r="H6088" s="1" t="s">
        <v>0</v>
      </c>
      <c r="I6088" s="2">
        <v>0</v>
      </c>
      <c r="J6088" s="1">
        <v>45923.296631944446</v>
      </c>
    </row>
    <row r="6089" spans="1:10" x14ac:dyDescent="0.2">
      <c r="A6089" s="4" t="s">
        <v>1</v>
      </c>
      <c r="B6089" s="3" t="str">
        <f>HYPERLINK("https://otsuka-europe-crm.veevavault.com/ui/#object/approved_document__v/V5OZ025E82TMWN5", "AM2M - Programa Masterclass Esquizofrenia 2025")</f>
        <v>AM2M - Programa Masterclass Esquizofrenia 2025</v>
      </c>
      <c r="C6089" s="3" t="str">
        <f>HYPERLINK("https://otsuka-europe-crm.veevavault.com/ui/#object/sent_email__v/VBLZ025E82GWS0L", "SE-000279829")</f>
        <v>SE-000279829</v>
      </c>
      <c r="D6089" s="1" t="s">
        <v>0</v>
      </c>
      <c r="E6089" s="2">
        <v>0</v>
      </c>
      <c r="F6089" s="2">
        <v>0</v>
      </c>
      <c r="G6089" s="2">
        <v>0</v>
      </c>
      <c r="H6089" s="1" t="s">
        <v>0</v>
      </c>
      <c r="I6089" s="2">
        <v>0</v>
      </c>
      <c r="J6089" s="1">
        <v>45923.297060185185</v>
      </c>
    </row>
    <row r="6090" spans="1:10" x14ac:dyDescent="0.2">
      <c r="A6090" s="4" t="s">
        <v>1</v>
      </c>
      <c r="B6090" s="3" t="str">
        <f>HYPERLINK("https://otsuka-europe-crm.veevavault.com/ui/#object/approved_document__v/V5OZ025E82TMWN5", "AM2M - Programa Masterclass Esquizofrenia 2025")</f>
        <v>AM2M - Programa Masterclass Esquizofrenia 2025</v>
      </c>
      <c r="C6090" s="3" t="str">
        <f>HYPERLINK("https://otsuka-europe-crm.veevavault.com/ui/#object/sent_email__v/VBLZ025E82GWS0M", "SE-000279830")</f>
        <v>SE-000279830</v>
      </c>
      <c r="D6090" s="1">
        <v>45923.915937500002</v>
      </c>
      <c r="E6090" s="2">
        <v>1</v>
      </c>
      <c r="F6090" s="2">
        <v>1</v>
      </c>
      <c r="G6090" s="2">
        <v>0</v>
      </c>
      <c r="H6090" s="1" t="s">
        <v>0</v>
      </c>
      <c r="I6090" s="2">
        <v>0</v>
      </c>
      <c r="J6090" s="1">
        <v>45923.2969212963</v>
      </c>
    </row>
    <row r="6091" spans="1:10" x14ac:dyDescent="0.2">
      <c r="A6091" s="4" t="s">
        <v>1</v>
      </c>
      <c r="B6091" s="3" t="str">
        <f>HYPERLINK("https://otsuka-europe-crm.veevavault.com/ui/#object/approved_document__v/V5OZ025E82TMWN5", "AM2M - Programa Masterclass Esquizofrenia 2025")</f>
        <v>AM2M - Programa Masterclass Esquizofrenia 2025</v>
      </c>
      <c r="C6091" s="3" t="str">
        <f>HYPERLINK("https://otsuka-europe-crm.veevavault.com/ui/#object/sent_email__v/VBLZ025E82GWS0N", "SE-000279831")</f>
        <v>SE-000279831</v>
      </c>
      <c r="D6091" s="1" t="s">
        <v>0</v>
      </c>
      <c r="E6091" s="2">
        <v>0</v>
      </c>
      <c r="F6091" s="2">
        <v>0</v>
      </c>
      <c r="G6091" s="2">
        <v>0</v>
      </c>
      <c r="H6091" s="1" t="s">
        <v>0</v>
      </c>
      <c r="I6091" s="2">
        <v>0</v>
      </c>
      <c r="J6091" s="1">
        <v>45923.296793981484</v>
      </c>
    </row>
    <row r="6092" spans="1:10" x14ac:dyDescent="0.2">
      <c r="A6092" s="4" t="s">
        <v>1</v>
      </c>
      <c r="B6092" s="3" t="str">
        <f>HYPERLINK("https://otsuka-europe-crm.veevavault.com/ui/#object/approved_document__v/V5OZ025E82TMWN5", "AM2M - Programa Masterclass Esquizofrenia 2025")</f>
        <v>AM2M - Programa Masterclass Esquizofrenia 2025</v>
      </c>
      <c r="C6092" s="3" t="str">
        <f>HYPERLINK("https://otsuka-europe-crm.veevavault.com/ui/#object/sent_email__v/VBLZ025E82GWS0O", "SE-000279832")</f>
        <v>SE-000279832</v>
      </c>
      <c r="D6092" s="1" t="s">
        <v>0</v>
      </c>
      <c r="E6092" s="2">
        <v>0</v>
      </c>
      <c r="F6092" s="2">
        <v>0</v>
      </c>
      <c r="G6092" s="2">
        <v>0</v>
      </c>
      <c r="H6092" s="1" t="s">
        <v>0</v>
      </c>
      <c r="I6092" s="2">
        <v>0</v>
      </c>
      <c r="J6092" s="1">
        <v>45923.296631944446</v>
      </c>
    </row>
    <row r="6093" spans="1:10" x14ac:dyDescent="0.2">
      <c r="A6093" s="4" t="s">
        <v>1</v>
      </c>
      <c r="B6093" s="3" t="str">
        <f>HYPERLINK("https://otsuka-europe-crm.veevavault.com/ui/#object/approved_document__v/V5OZ025E82TMWN5", "AM2M - Programa Masterclass Esquizofrenia 2025")</f>
        <v>AM2M - Programa Masterclass Esquizofrenia 2025</v>
      </c>
      <c r="C6093" s="3" t="str">
        <f>HYPERLINK("https://otsuka-europe-crm.veevavault.com/ui/#object/sent_email__v/VBLZ025E82GWS0P", "SE-000279833")</f>
        <v>SE-000279833</v>
      </c>
      <c r="D6093" s="1" t="s">
        <v>0</v>
      </c>
      <c r="E6093" s="2">
        <v>0</v>
      </c>
      <c r="F6093" s="2">
        <v>0</v>
      </c>
      <c r="G6093" s="2">
        <v>0</v>
      </c>
      <c r="H6093" s="1" t="s">
        <v>0</v>
      </c>
      <c r="I6093" s="2">
        <v>0</v>
      </c>
      <c r="J6093" s="1">
        <v>45923.297071759262</v>
      </c>
    </row>
    <row r="6094" spans="1:10" x14ac:dyDescent="0.2">
      <c r="A6094" s="4" t="s">
        <v>1</v>
      </c>
      <c r="B6094" s="3" t="str">
        <f>HYPERLINK("https://otsuka-europe-crm.veevavault.com/ui/#object/approved_document__v/V5OZ025E82TMWN5", "AM2M - Programa Masterclass Esquizofrenia 2025")</f>
        <v>AM2M - Programa Masterclass Esquizofrenia 2025</v>
      </c>
      <c r="C6094" s="3" t="str">
        <f>HYPERLINK("https://otsuka-europe-crm.veevavault.com/ui/#object/sent_email__v/VBLZ025E82GWS0Q", "SE-000279834")</f>
        <v>SE-000279834</v>
      </c>
      <c r="D6094" s="1" t="s">
        <v>0</v>
      </c>
      <c r="E6094" s="2">
        <v>0</v>
      </c>
      <c r="F6094" s="2">
        <v>0</v>
      </c>
      <c r="G6094" s="2">
        <v>0</v>
      </c>
      <c r="H6094" s="1" t="s">
        <v>0</v>
      </c>
      <c r="I6094" s="2">
        <v>0</v>
      </c>
      <c r="J6094" s="1">
        <v>45923.296944444446</v>
      </c>
    </row>
    <row r="6095" spans="1:10" x14ac:dyDescent="0.2">
      <c r="A6095" s="4" t="s">
        <v>1</v>
      </c>
      <c r="B6095" s="3" t="str">
        <f>HYPERLINK("https://otsuka-europe-crm.veevavault.com/ui/#object/approved_document__v/V5OZ025E82TMWN5", "AM2M - Programa Masterclass Esquizofrenia 2025")</f>
        <v>AM2M - Programa Masterclass Esquizofrenia 2025</v>
      </c>
      <c r="C6095" s="3" t="str">
        <f>HYPERLINK("https://otsuka-europe-crm.veevavault.com/ui/#object/sent_email__v/VBLZ025E82GWS0R", "SE-000279835")</f>
        <v>SE-000279835</v>
      </c>
      <c r="D6095" s="1" t="s">
        <v>0</v>
      </c>
      <c r="E6095" s="2">
        <v>0</v>
      </c>
      <c r="F6095" s="2">
        <v>0</v>
      </c>
      <c r="G6095" s="2">
        <v>0</v>
      </c>
      <c r="H6095" s="1" t="s">
        <v>0</v>
      </c>
      <c r="I6095" s="2">
        <v>0</v>
      </c>
      <c r="J6095" s="1">
        <v>45923.296678240738</v>
      </c>
    </row>
    <row r="6096" spans="1:10" x14ac:dyDescent="0.2">
      <c r="A6096" s="4" t="s">
        <v>1</v>
      </c>
      <c r="B6096" s="3" t="str">
        <f>HYPERLINK("https://otsuka-europe-crm.veevavault.com/ui/#object/approved_document__v/V5OZ025E82TMWN5", "AM2M - Programa Masterclass Esquizofrenia 2025")</f>
        <v>AM2M - Programa Masterclass Esquizofrenia 2025</v>
      </c>
      <c r="C6096" s="3" t="str">
        <f>HYPERLINK("https://otsuka-europe-crm.veevavault.com/ui/#object/sent_email__v/VBLZ025E82GWS0S", "SE-000279836")</f>
        <v>SE-000279836</v>
      </c>
      <c r="D6096" s="1" t="s">
        <v>0</v>
      </c>
      <c r="E6096" s="2">
        <v>0</v>
      </c>
      <c r="F6096" s="2">
        <v>0</v>
      </c>
      <c r="G6096" s="2">
        <v>0</v>
      </c>
      <c r="H6096" s="1" t="s">
        <v>0</v>
      </c>
      <c r="I6096" s="2">
        <v>0</v>
      </c>
      <c r="J6096" s="1">
        <v>45923.296701388892</v>
      </c>
    </row>
    <row r="6097" spans="1:10" x14ac:dyDescent="0.2">
      <c r="A6097" s="4" t="s">
        <v>1</v>
      </c>
      <c r="B6097" s="3" t="str">
        <f>HYPERLINK("https://otsuka-europe-crm.veevavault.com/ui/#object/approved_document__v/V5OZ025E82TMWN5", "AM2M - Programa Masterclass Esquizofrenia 2025")</f>
        <v>AM2M - Programa Masterclass Esquizofrenia 2025</v>
      </c>
      <c r="C6097" s="3" t="str">
        <f>HYPERLINK("https://otsuka-europe-crm.veevavault.com/ui/#object/sent_email__v/VBLZ025E82GWS0T", "SE-000279837")</f>
        <v>SE-000279837</v>
      </c>
      <c r="D6097" s="1">
        <v>45947.789664351854</v>
      </c>
      <c r="E6097" s="2">
        <v>1</v>
      </c>
      <c r="F6097" s="2">
        <v>5</v>
      </c>
      <c r="G6097" s="2">
        <v>0</v>
      </c>
      <c r="H6097" s="1" t="s">
        <v>0</v>
      </c>
      <c r="I6097" s="2">
        <v>0</v>
      </c>
      <c r="J6097" s="1">
        <v>45923.296875</v>
      </c>
    </row>
    <row r="6098" spans="1:10" x14ac:dyDescent="0.2">
      <c r="A6098" s="4" t="s">
        <v>1</v>
      </c>
      <c r="B6098" s="3" t="str">
        <f>HYPERLINK("https://otsuka-europe-crm.veevavault.com/ui/#object/approved_document__v/V5OZ025E82TMWN5", "AM2M - Programa Masterclass Esquizofrenia 2025")</f>
        <v>AM2M - Programa Masterclass Esquizofrenia 2025</v>
      </c>
      <c r="C6098" s="3" t="str">
        <f>HYPERLINK("https://otsuka-europe-crm.veevavault.com/ui/#object/sent_email__v/VBLZ025E82GWS0U", "SE-000279838")</f>
        <v>SE-000279838</v>
      </c>
      <c r="D6098" s="1" t="s">
        <v>0</v>
      </c>
      <c r="E6098" s="2">
        <v>0</v>
      </c>
      <c r="F6098" s="2">
        <v>0</v>
      </c>
      <c r="G6098" s="2">
        <v>0</v>
      </c>
      <c r="H6098" s="1" t="s">
        <v>0</v>
      </c>
      <c r="I6098" s="2">
        <v>0</v>
      </c>
      <c r="J6098" s="1">
        <v>45923.297002314815</v>
      </c>
    </row>
    <row r="6099" spans="1:10" x14ac:dyDescent="0.2">
      <c r="A6099" s="4" t="s">
        <v>1</v>
      </c>
      <c r="B6099" s="3" t="str">
        <f>HYPERLINK("https://otsuka-europe-crm.veevavault.com/ui/#object/approved_document__v/V5OZ025E82TMWN5", "AM2M - Programa Masterclass Esquizofrenia 2025")</f>
        <v>AM2M - Programa Masterclass Esquizofrenia 2025</v>
      </c>
      <c r="C6099" s="3" t="str">
        <f>HYPERLINK("https://otsuka-europe-crm.veevavault.com/ui/#object/sent_email__v/VBLZ025E82GWS1T", "SE-000279839")</f>
        <v>SE-000279839</v>
      </c>
      <c r="D6099" s="1">
        <v>45923.559745370374</v>
      </c>
      <c r="E6099" s="2">
        <v>1</v>
      </c>
      <c r="F6099" s="2">
        <v>1</v>
      </c>
      <c r="G6099" s="2">
        <v>0</v>
      </c>
      <c r="H6099" s="1" t="s">
        <v>0</v>
      </c>
      <c r="I6099" s="2">
        <v>0</v>
      </c>
      <c r="J6099" s="1">
        <v>45923.376956018517</v>
      </c>
    </row>
    <row r="6100" spans="1:10" x14ac:dyDescent="0.2">
      <c r="A6100" s="4" t="s">
        <v>1</v>
      </c>
      <c r="B6100" s="3" t="str">
        <f>HYPERLINK("https://otsuka-europe-crm.veevavault.com/ui/#object/approved_document__v/V5OZ025E82TMWN5", "AM2M - Programa Masterclass Esquizofrenia 2025")</f>
        <v>AM2M - Programa Masterclass Esquizofrenia 2025</v>
      </c>
      <c r="C6100" s="3" t="str">
        <f>HYPERLINK("https://otsuka-europe-crm.veevavault.com/ui/#object/sent_email__v/VBLZ025E82GWS1U", "SE-000279840")</f>
        <v>SE-000279840</v>
      </c>
      <c r="D6100" s="1" t="s">
        <v>0</v>
      </c>
      <c r="E6100" s="2">
        <v>0</v>
      </c>
      <c r="F6100" s="2">
        <v>0</v>
      </c>
      <c r="G6100" s="2">
        <v>0</v>
      </c>
      <c r="H6100" s="1" t="s">
        <v>0</v>
      </c>
      <c r="I6100" s="2">
        <v>0</v>
      </c>
      <c r="J6100" s="1">
        <v>45923.376956018517</v>
      </c>
    </row>
    <row r="6101" spans="1:10" x14ac:dyDescent="0.2">
      <c r="A6101" s="4" t="s">
        <v>1</v>
      </c>
      <c r="B6101" s="3" t="str">
        <f>HYPERLINK("https://otsuka-europe-crm.veevavault.com/ui/#object/approved_document__v/V5OZ025E82TMWN5", "AM2M - Programa Masterclass Esquizofrenia 2025")</f>
        <v>AM2M - Programa Masterclass Esquizofrenia 2025</v>
      </c>
      <c r="C6101" s="3" t="str">
        <f>HYPERLINK("https://otsuka-europe-crm.veevavault.com/ui/#object/sent_email__v/VBLZ025E82GWS1V", "SE-000279841")</f>
        <v>SE-000279841</v>
      </c>
      <c r="D6101" s="1">
        <v>45923.412523148145</v>
      </c>
      <c r="E6101" s="2">
        <v>1</v>
      </c>
      <c r="F6101" s="2">
        <v>2</v>
      </c>
      <c r="G6101" s="2">
        <v>0</v>
      </c>
      <c r="H6101" s="1" t="s">
        <v>0</v>
      </c>
      <c r="I6101" s="2">
        <v>0</v>
      </c>
      <c r="J6101" s="1">
        <v>45923.376956018517</v>
      </c>
    </row>
    <row r="6102" spans="1:10" x14ac:dyDescent="0.2">
      <c r="A6102" s="4" t="s">
        <v>1</v>
      </c>
      <c r="B6102" s="3" t="str">
        <f>HYPERLINK("https://otsuka-europe-crm.veevavault.com/ui/#object/approved_document__v/V5OZ025E82TMWN5", "AM2M - Programa Masterclass Esquizofrenia 2025")</f>
        <v>AM2M - Programa Masterclass Esquizofrenia 2025</v>
      </c>
      <c r="C6102" s="3" t="str">
        <f>HYPERLINK("https://otsuka-europe-crm.veevavault.com/ui/#object/sent_email__v/VBLZ025E82GWS1W", "SE-000279842")</f>
        <v>SE-000279842</v>
      </c>
      <c r="D6102" s="1">
        <v>45923.471493055556</v>
      </c>
      <c r="E6102" s="2">
        <v>1</v>
      </c>
      <c r="F6102" s="2">
        <v>1</v>
      </c>
      <c r="G6102" s="2">
        <v>0</v>
      </c>
      <c r="H6102" s="1" t="s">
        <v>0</v>
      </c>
      <c r="I6102" s="2">
        <v>0</v>
      </c>
      <c r="J6102" s="1">
        <v>45923.377002314817</v>
      </c>
    </row>
    <row r="6103" spans="1:10" x14ac:dyDescent="0.2">
      <c r="A6103" s="4" t="s">
        <v>1</v>
      </c>
      <c r="B6103" s="3" t="str">
        <f>HYPERLINK("https://otsuka-europe-crm.veevavault.com/ui/#object/approved_document__v/V5OZ025E82TMWN5", "AM2M - Programa Masterclass Esquizofrenia 2025")</f>
        <v>AM2M - Programa Masterclass Esquizofrenia 2025</v>
      </c>
      <c r="C6103" s="3" t="str">
        <f>HYPERLINK("https://otsuka-europe-crm.veevavault.com/ui/#object/sent_email__v/VBLZ025E82GWS1X", "SE-000279843")</f>
        <v>SE-000279843</v>
      </c>
      <c r="D6103" s="1" t="s">
        <v>0</v>
      </c>
      <c r="E6103" s="2">
        <v>0</v>
      </c>
      <c r="F6103" s="2">
        <v>0</v>
      </c>
      <c r="G6103" s="2">
        <v>0</v>
      </c>
      <c r="H6103" s="1" t="s">
        <v>0</v>
      </c>
      <c r="I6103" s="2">
        <v>0</v>
      </c>
      <c r="J6103" s="1">
        <v>45923.376956018517</v>
      </c>
    </row>
    <row r="6104" spans="1:10" x14ac:dyDescent="0.2">
      <c r="A6104" s="4" t="s">
        <v>1</v>
      </c>
      <c r="B6104" s="3" t="str">
        <f>HYPERLINK("https://otsuka-europe-crm.veevavault.com/ui/#object/approved_document__v/V5OZ025E82TMWN5", "AM2M - Programa Masterclass Esquizofrenia 2025")</f>
        <v>AM2M - Programa Masterclass Esquizofrenia 2025</v>
      </c>
      <c r="C6104" s="3" t="str">
        <f>HYPERLINK("https://otsuka-europe-crm.veevavault.com/ui/#object/sent_email__v/VBLZ025E82GWS1Y", "SE-000279844")</f>
        <v>SE-000279844</v>
      </c>
      <c r="D6104" s="1">
        <v>45923.588229166664</v>
      </c>
      <c r="E6104" s="2">
        <v>1</v>
      </c>
      <c r="F6104" s="2">
        <v>2</v>
      </c>
      <c r="G6104" s="2">
        <v>0</v>
      </c>
      <c r="H6104" s="1" t="s">
        <v>0</v>
      </c>
      <c r="I6104" s="2">
        <v>0</v>
      </c>
      <c r="J6104" s="1">
        <v>45923.376967592594</v>
      </c>
    </row>
    <row r="6105" spans="1:10" x14ac:dyDescent="0.2">
      <c r="A6105" s="4" t="s">
        <v>1</v>
      </c>
      <c r="B6105" s="3" t="str">
        <f>HYPERLINK("https://otsuka-europe-crm.veevavault.com/ui/#object/approved_document__v/V5OZ025E82TMWN5", "AM2M - Programa Masterclass Esquizofrenia 2025")</f>
        <v>AM2M - Programa Masterclass Esquizofrenia 2025</v>
      </c>
      <c r="C6105" s="3" t="str">
        <f>HYPERLINK("https://otsuka-europe-crm.veevavault.com/ui/#object/sent_email__v/VBLZ025E82GWS1Z", "SE-000279845")</f>
        <v>SE-000279845</v>
      </c>
      <c r="D6105" s="1" t="s">
        <v>0</v>
      </c>
      <c r="E6105" s="2">
        <v>0</v>
      </c>
      <c r="F6105" s="2">
        <v>0</v>
      </c>
      <c r="G6105" s="2">
        <v>0</v>
      </c>
      <c r="H6105" s="1" t="s">
        <v>0</v>
      </c>
      <c r="I6105" s="2">
        <v>0</v>
      </c>
      <c r="J6105" s="1">
        <v>45923.376956018517</v>
      </c>
    </row>
    <row r="6106" spans="1:10" x14ac:dyDescent="0.2">
      <c r="A6106" s="4" t="s">
        <v>1</v>
      </c>
      <c r="B6106" s="3" t="str">
        <f>HYPERLINK("https://otsuka-europe-crm.veevavault.com/ui/#object/approved_document__v/V5OZ025E82TMWN5", "AM2M - Programa Masterclass Esquizofrenia 2025")</f>
        <v>AM2M - Programa Masterclass Esquizofrenia 2025</v>
      </c>
      <c r="C6106" s="3" t="str">
        <f>HYPERLINK("https://otsuka-europe-crm.veevavault.com/ui/#object/sent_email__v/VBLZ025E82GWS20", "SE-000279846")</f>
        <v>SE-000279846</v>
      </c>
      <c r="D6106" s="1" t="s">
        <v>0</v>
      </c>
      <c r="E6106" s="2">
        <v>0</v>
      </c>
      <c r="F6106" s="2">
        <v>0</v>
      </c>
      <c r="G6106" s="2">
        <v>0</v>
      </c>
      <c r="H6106" s="1" t="s">
        <v>0</v>
      </c>
      <c r="I6106" s="2">
        <v>0</v>
      </c>
      <c r="J6106" s="1">
        <v>45923.376944444448</v>
      </c>
    </row>
    <row r="6107" spans="1:10" x14ac:dyDescent="0.2">
      <c r="A6107" s="4" t="s">
        <v>1</v>
      </c>
      <c r="B6107" s="3" t="str">
        <f>HYPERLINK("https://otsuka-europe-crm.veevavault.com/ui/#object/approved_document__v/V5OZ025E82TMWN5", "AM2M - Programa Masterclass Esquizofrenia 2025")</f>
        <v>AM2M - Programa Masterclass Esquizofrenia 2025</v>
      </c>
      <c r="C6107" s="3" t="str">
        <f>HYPERLINK("https://otsuka-europe-crm.veevavault.com/ui/#object/sent_email__v/VBLZ025E82GWS21", "SE-000279847")</f>
        <v>SE-000279847</v>
      </c>
      <c r="D6107" s="1">
        <v>45923.396215277775</v>
      </c>
      <c r="E6107" s="2">
        <v>1</v>
      </c>
      <c r="F6107" s="2">
        <v>1</v>
      </c>
      <c r="G6107" s="2">
        <v>0</v>
      </c>
      <c r="H6107" s="1" t="s">
        <v>0</v>
      </c>
      <c r="I6107" s="2">
        <v>0</v>
      </c>
      <c r="J6107" s="1">
        <v>45923.376979166664</v>
      </c>
    </row>
    <row r="6108" spans="1:10" x14ac:dyDescent="0.2">
      <c r="A6108" s="4" t="s">
        <v>1</v>
      </c>
      <c r="B6108" s="3" t="str">
        <f>HYPERLINK("https://otsuka-europe-crm.veevavault.com/ui/#object/approved_document__v/V5OZ025E82TMWN5", "AM2M - Programa Masterclass Esquizofrenia 2025")</f>
        <v>AM2M - Programa Masterclass Esquizofrenia 2025</v>
      </c>
      <c r="C6108" s="3" t="str">
        <f>HYPERLINK("https://otsuka-europe-crm.veevavault.com/ui/#object/sent_email__v/VBLZ025E82GWS22", "SE-000279848")</f>
        <v>SE-000279848</v>
      </c>
      <c r="D6108" s="1">
        <v>45929.409571759257</v>
      </c>
      <c r="E6108" s="2">
        <v>1</v>
      </c>
      <c r="F6108" s="2">
        <v>1</v>
      </c>
      <c r="G6108" s="2">
        <v>1</v>
      </c>
      <c r="H6108" s="1">
        <v>45929.409861111111</v>
      </c>
      <c r="I6108" s="2">
        <v>1</v>
      </c>
      <c r="J6108" s="1">
        <v>45923.376967592594</v>
      </c>
    </row>
    <row r="6109" spans="1:10" x14ac:dyDescent="0.2">
      <c r="A6109" s="4" t="s">
        <v>1</v>
      </c>
      <c r="B6109" s="3" t="str">
        <f>HYPERLINK("https://otsuka-europe-crm.veevavault.com/ui/#object/approved_document__v/V5OZ025E82TMWN5", "AM2M - Programa Masterclass Esquizofrenia 2025")</f>
        <v>AM2M - Programa Masterclass Esquizofrenia 2025</v>
      </c>
      <c r="C6109" s="3" t="str">
        <f>HYPERLINK("https://otsuka-europe-crm.veevavault.com/ui/#object/sent_email__v/VBLZ025E82GWS23", "SE-000279849")</f>
        <v>SE-000279849</v>
      </c>
      <c r="D6109" s="1" t="s">
        <v>0</v>
      </c>
      <c r="E6109" s="2">
        <v>0</v>
      </c>
      <c r="F6109" s="2">
        <v>0</v>
      </c>
      <c r="G6109" s="2">
        <v>0</v>
      </c>
      <c r="H6109" s="1" t="s">
        <v>0</v>
      </c>
      <c r="I6109" s="2">
        <v>0</v>
      </c>
      <c r="J6109" s="1">
        <v>45923.37699074074</v>
      </c>
    </row>
    <row r="6110" spans="1:10" x14ac:dyDescent="0.2">
      <c r="A6110" s="4" t="s">
        <v>1</v>
      </c>
      <c r="B6110" s="3" t="str">
        <f>HYPERLINK("https://otsuka-europe-crm.veevavault.com/ui/#object/approved_document__v/V5OZ025E82TMWN5", "AM2M - Programa Masterclass Esquizofrenia 2025")</f>
        <v>AM2M - Programa Masterclass Esquizofrenia 2025</v>
      </c>
      <c r="C6110" s="3" t="str">
        <f>HYPERLINK("https://otsuka-europe-crm.veevavault.com/ui/#object/sent_email__v/VBLZ025E82GWS24", "SE-000279850")</f>
        <v>SE-000279850</v>
      </c>
      <c r="D6110" s="1" t="s">
        <v>0</v>
      </c>
      <c r="E6110" s="2">
        <v>0</v>
      </c>
      <c r="F6110" s="2">
        <v>0</v>
      </c>
      <c r="G6110" s="2">
        <v>0</v>
      </c>
      <c r="H6110" s="1" t="s">
        <v>0</v>
      </c>
      <c r="I6110" s="2">
        <v>0</v>
      </c>
      <c r="J6110" s="1">
        <v>45923.376967592594</v>
      </c>
    </row>
    <row r="6111" spans="1:10" x14ac:dyDescent="0.2">
      <c r="A6111" s="4" t="s">
        <v>1</v>
      </c>
      <c r="B6111" s="3" t="str">
        <f>HYPERLINK("https://otsuka-europe-crm.veevavault.com/ui/#object/approved_document__v/V5OZ025E82TMWN5", "AM2M - Programa Masterclass Esquizofrenia 2025")</f>
        <v>AM2M - Programa Masterclass Esquizofrenia 2025</v>
      </c>
      <c r="C6111" s="3" t="str">
        <f>HYPERLINK("https://otsuka-europe-crm.veevavault.com/ui/#object/sent_email__v/VBLZ025E82GWS25", "SE-000279851")</f>
        <v>SE-000279851</v>
      </c>
      <c r="D6111" s="1" t="s">
        <v>0</v>
      </c>
      <c r="E6111" s="2">
        <v>0</v>
      </c>
      <c r="F6111" s="2">
        <v>0</v>
      </c>
      <c r="G6111" s="2">
        <v>0</v>
      </c>
      <c r="H6111" s="1" t="s">
        <v>0</v>
      </c>
      <c r="I6111" s="2">
        <v>0</v>
      </c>
      <c r="J6111" s="1">
        <v>45923.376956018517</v>
      </c>
    </row>
    <row r="6112" spans="1:10" x14ac:dyDescent="0.2">
      <c r="A6112" s="4" t="s">
        <v>1</v>
      </c>
      <c r="B6112" s="3" t="str">
        <f>HYPERLINK("https://otsuka-europe-crm.veevavault.com/ui/#object/approved_document__v/V5OZ025E82TMWN5", "AM2M - Programa Masterclass Esquizofrenia 2025")</f>
        <v>AM2M - Programa Masterclass Esquizofrenia 2025</v>
      </c>
      <c r="C6112" s="3" t="str">
        <f>HYPERLINK("https://otsuka-europe-crm.veevavault.com/ui/#object/sent_email__v/VBLZ025E82GWS26", "SE-000279852")</f>
        <v>SE-000279852</v>
      </c>
      <c r="D6112" s="1">
        <v>45959.367627314816</v>
      </c>
      <c r="E6112" s="2">
        <v>1</v>
      </c>
      <c r="F6112" s="2">
        <v>2</v>
      </c>
      <c r="G6112" s="2">
        <v>0</v>
      </c>
      <c r="H6112" s="1" t="s">
        <v>0</v>
      </c>
      <c r="I6112" s="2">
        <v>0</v>
      </c>
      <c r="J6112" s="1">
        <v>45923.376944444448</v>
      </c>
    </row>
    <row r="6113" spans="1:10" x14ac:dyDescent="0.2">
      <c r="A6113" s="4" t="s">
        <v>1</v>
      </c>
      <c r="B6113" s="3" t="str">
        <f>HYPERLINK("https://otsuka-europe-crm.veevavault.com/ui/#object/approved_document__v/V5OZ025E82TMWN5", "AM2M - Programa Masterclass Esquizofrenia 2025")</f>
        <v>AM2M - Programa Masterclass Esquizofrenia 2025</v>
      </c>
      <c r="C6113" s="3" t="str">
        <f>HYPERLINK("https://otsuka-europe-crm.veevavault.com/ui/#object/sent_email__v/VBLZ025E82GWS27", "SE-000279853")</f>
        <v>SE-000279853</v>
      </c>
      <c r="D6113" s="1" t="s">
        <v>0</v>
      </c>
      <c r="E6113" s="2">
        <v>0</v>
      </c>
      <c r="F6113" s="2">
        <v>0</v>
      </c>
      <c r="G6113" s="2">
        <v>0</v>
      </c>
      <c r="H6113" s="1" t="s">
        <v>0</v>
      </c>
      <c r="I6113" s="2">
        <v>0</v>
      </c>
      <c r="J6113" s="1">
        <v>45923.37699074074</v>
      </c>
    </row>
    <row r="6114" spans="1:10" x14ac:dyDescent="0.2">
      <c r="A6114" s="4" t="s">
        <v>1</v>
      </c>
      <c r="B6114" s="3" t="str">
        <f>HYPERLINK("https://otsuka-europe-crm.veevavault.com/ui/#object/approved_document__v/V5OZ025E82TMWN5", "AM2M - Programa Masterclass Esquizofrenia 2025")</f>
        <v>AM2M - Programa Masterclass Esquizofrenia 2025</v>
      </c>
      <c r="C6114" s="3" t="str">
        <f>HYPERLINK("https://otsuka-europe-crm.veevavault.com/ui/#object/sent_email__v/VBLZ025E82GWS28", "SE-000279854")</f>
        <v>SE-000279854</v>
      </c>
      <c r="D6114" s="1">
        <v>45925.271655092591</v>
      </c>
      <c r="E6114" s="2">
        <v>1</v>
      </c>
      <c r="F6114" s="2">
        <v>3</v>
      </c>
      <c r="G6114" s="2">
        <v>1</v>
      </c>
      <c r="H6114" s="1">
        <v>45923.388344907406</v>
      </c>
      <c r="I6114" s="2">
        <v>2</v>
      </c>
      <c r="J6114" s="1">
        <v>45923.376967592594</v>
      </c>
    </row>
    <row r="6115" spans="1:10" x14ac:dyDescent="0.2">
      <c r="A6115" s="4" t="s">
        <v>1</v>
      </c>
      <c r="B6115" s="3" t="str">
        <f>HYPERLINK("https://otsuka-europe-crm.veevavault.com/ui/#object/approved_document__v/V5OZ025E82TMWN5", "AM2M - Programa Masterclass Esquizofrenia 2025")</f>
        <v>AM2M - Programa Masterclass Esquizofrenia 2025</v>
      </c>
      <c r="C6115" s="3" t="str">
        <f>HYPERLINK("https://otsuka-europe-crm.veevavault.com/ui/#object/sent_email__v/VBLZ025E82GWS29", "SE-000279855")</f>
        <v>SE-000279855</v>
      </c>
      <c r="D6115" s="1" t="s">
        <v>0</v>
      </c>
      <c r="E6115" s="2">
        <v>0</v>
      </c>
      <c r="F6115" s="2">
        <v>0</v>
      </c>
      <c r="G6115" s="2">
        <v>0</v>
      </c>
      <c r="H6115" s="1" t="s">
        <v>0</v>
      </c>
      <c r="I6115" s="2">
        <v>0</v>
      </c>
      <c r="J6115" s="1">
        <v>45923.376956018517</v>
      </c>
    </row>
    <row r="6116" spans="1:10" x14ac:dyDescent="0.2">
      <c r="A6116" s="4" t="s">
        <v>1</v>
      </c>
      <c r="B6116" s="3" t="str">
        <f>HYPERLINK("https://otsuka-europe-crm.veevavault.com/ui/#object/approved_document__v/V5OZ025E82TMWN5", "AM2M - Programa Masterclass Esquizofrenia 2025")</f>
        <v>AM2M - Programa Masterclass Esquizofrenia 2025</v>
      </c>
      <c r="C6116" s="3" t="str">
        <f>HYPERLINK("https://otsuka-europe-crm.veevavault.com/ui/#object/sent_email__v/VBLZ025E82GWS2A", "SE-000279856")</f>
        <v>SE-000279856</v>
      </c>
      <c r="D6116" s="1" t="s">
        <v>0</v>
      </c>
      <c r="E6116" s="2">
        <v>0</v>
      </c>
      <c r="F6116" s="2">
        <v>0</v>
      </c>
      <c r="G6116" s="2">
        <v>0</v>
      </c>
      <c r="H6116" s="1" t="s">
        <v>0</v>
      </c>
      <c r="I6116" s="2">
        <v>0</v>
      </c>
      <c r="J6116" s="1">
        <v>45923.376956018517</v>
      </c>
    </row>
    <row r="6117" spans="1:10" x14ac:dyDescent="0.2">
      <c r="A6117" s="4" t="s">
        <v>1</v>
      </c>
      <c r="B6117" s="3" t="str">
        <f>HYPERLINK("https://otsuka-europe-crm.veevavault.com/ui/#object/approved_document__v/V5OZ025E82TMWN5", "AM2M - Programa Masterclass Esquizofrenia 2025")</f>
        <v>AM2M - Programa Masterclass Esquizofrenia 2025</v>
      </c>
      <c r="C6117" s="3" t="str">
        <f>HYPERLINK("https://otsuka-europe-crm.veevavault.com/ui/#object/sent_email__v/VBLZ025E82GWS2B", "SE-000279857")</f>
        <v>SE-000279857</v>
      </c>
      <c r="D6117" s="1">
        <v>45923.389305555553</v>
      </c>
      <c r="E6117" s="2">
        <v>1</v>
      </c>
      <c r="F6117" s="2">
        <v>1</v>
      </c>
      <c r="G6117" s="2">
        <v>0</v>
      </c>
      <c r="H6117" s="1" t="s">
        <v>0</v>
      </c>
      <c r="I6117" s="2">
        <v>0</v>
      </c>
      <c r="J6117" s="1">
        <v>45923.376944444448</v>
      </c>
    </row>
    <row r="6118" spans="1:10" x14ac:dyDescent="0.2">
      <c r="A6118" s="4" t="s">
        <v>1</v>
      </c>
      <c r="B6118" s="3" t="str">
        <f>HYPERLINK("https://otsuka-europe-crm.veevavault.com/ui/#object/approved_document__v/V5OZ025E82TMWN5", "AM2M - Programa Masterclass Esquizofrenia 2025")</f>
        <v>AM2M - Programa Masterclass Esquizofrenia 2025</v>
      </c>
      <c r="C6118" s="3" t="str">
        <f>HYPERLINK("https://otsuka-europe-crm.veevavault.com/ui/#object/sent_email__v/VBLZ025E82GWS2C", "SE-000279858")</f>
        <v>SE-000279858</v>
      </c>
      <c r="D6118" s="1">
        <v>45923.842256944445</v>
      </c>
      <c r="E6118" s="2">
        <v>1</v>
      </c>
      <c r="F6118" s="2">
        <v>2</v>
      </c>
      <c r="G6118" s="2">
        <v>0</v>
      </c>
      <c r="H6118" s="1" t="s">
        <v>0</v>
      </c>
      <c r="I6118" s="2">
        <v>0</v>
      </c>
      <c r="J6118" s="1">
        <v>45923.376956018517</v>
      </c>
    </row>
    <row r="6119" spans="1:10" x14ac:dyDescent="0.2">
      <c r="A6119" s="4" t="s">
        <v>1</v>
      </c>
      <c r="B6119" s="3" t="str">
        <f>HYPERLINK("https://otsuka-europe-crm.veevavault.com/ui/#object/approved_document__v/V5OZ025E82TMWN5", "AM2M - Programa Masterclass Esquizofrenia 2025")</f>
        <v>AM2M - Programa Masterclass Esquizofrenia 2025</v>
      </c>
      <c r="C6119" s="3" t="str">
        <f>HYPERLINK("https://otsuka-europe-crm.veevavault.com/ui/#object/sent_email__v/VBLZ025E82GWS2D", "SE-000279859")</f>
        <v>SE-000279859</v>
      </c>
      <c r="D6119" s="1">
        <v>45996.417094907411</v>
      </c>
      <c r="E6119" s="2">
        <v>1</v>
      </c>
      <c r="F6119" s="2">
        <v>4</v>
      </c>
      <c r="G6119" s="2">
        <v>0</v>
      </c>
      <c r="H6119" s="1" t="s">
        <v>0</v>
      </c>
      <c r="I6119" s="2">
        <v>0</v>
      </c>
      <c r="J6119" s="1">
        <v>45923.376956018517</v>
      </c>
    </row>
    <row r="6120" spans="1:10" x14ac:dyDescent="0.2">
      <c r="A6120" s="4" t="s">
        <v>1</v>
      </c>
      <c r="B6120" s="3" t="str">
        <f>HYPERLINK("https://otsuka-europe-crm.veevavault.com/ui/#object/approved_document__v/V5OZ025E82TMWN5", "AM2M - Programa Masterclass Esquizofrenia 2025")</f>
        <v>AM2M - Programa Masterclass Esquizofrenia 2025</v>
      </c>
      <c r="C6120" s="3" t="str">
        <f>HYPERLINK("https://otsuka-europe-crm.veevavault.com/ui/#object/sent_email__v/VBLZ025E82GWS2E", "SE-000279860")</f>
        <v>SE-000279860</v>
      </c>
      <c r="D6120" s="1" t="s">
        <v>0</v>
      </c>
      <c r="E6120" s="2">
        <v>0</v>
      </c>
      <c r="F6120" s="2">
        <v>0</v>
      </c>
      <c r="G6120" s="2">
        <v>0</v>
      </c>
      <c r="H6120" s="1" t="s">
        <v>0</v>
      </c>
      <c r="I6120" s="2">
        <v>0</v>
      </c>
      <c r="J6120" s="1">
        <v>45923.376956018517</v>
      </c>
    </row>
    <row r="6121" spans="1:10" x14ac:dyDescent="0.2">
      <c r="A6121" s="4" t="s">
        <v>1</v>
      </c>
      <c r="B6121" s="3" t="str">
        <f>HYPERLINK("https://otsuka-europe-crm.veevavault.com/ui/#object/approved_document__v/V5OZ025E82TMWN5", "AM2M - Programa Masterclass Esquizofrenia 2025")</f>
        <v>AM2M - Programa Masterclass Esquizofrenia 2025</v>
      </c>
      <c r="C6121" s="3" t="str">
        <f>HYPERLINK("https://otsuka-europe-crm.veevavault.com/ui/#object/sent_email__v/VBLZ025E82GWS2F", "SE-000279861")</f>
        <v>SE-000279861</v>
      </c>
      <c r="D6121" s="1">
        <v>45924.839166666665</v>
      </c>
      <c r="E6121" s="2">
        <v>1</v>
      </c>
      <c r="F6121" s="2">
        <v>3</v>
      </c>
      <c r="G6121" s="2">
        <v>0</v>
      </c>
      <c r="H6121" s="1" t="s">
        <v>0</v>
      </c>
      <c r="I6121" s="2">
        <v>0</v>
      </c>
      <c r="J6121" s="1">
        <v>45923.377002314817</v>
      </c>
    </row>
    <row r="6122" spans="1:10" x14ac:dyDescent="0.2">
      <c r="A6122" s="4" t="s">
        <v>1</v>
      </c>
      <c r="B6122" s="3" t="str">
        <f>HYPERLINK("https://otsuka-europe-crm.veevavault.com/ui/#object/approved_document__v/V5OZ025E82TMWN5", "AM2M - Programa Masterclass Esquizofrenia 2025")</f>
        <v>AM2M - Programa Masterclass Esquizofrenia 2025</v>
      </c>
      <c r="C6122" s="3" t="str">
        <f>HYPERLINK("https://otsuka-europe-crm.veevavault.com/ui/#object/sent_email__v/VBLZ025E82GWS2G", "SE-000279862")</f>
        <v>SE-000279862</v>
      </c>
      <c r="D6122" s="1">
        <v>45923.555636574078</v>
      </c>
      <c r="E6122" s="2">
        <v>1</v>
      </c>
      <c r="F6122" s="2">
        <v>1</v>
      </c>
      <c r="G6122" s="2">
        <v>0</v>
      </c>
      <c r="H6122" s="1" t="s">
        <v>0</v>
      </c>
      <c r="I6122" s="2">
        <v>0</v>
      </c>
      <c r="J6122" s="1">
        <v>45923.376956018517</v>
      </c>
    </row>
    <row r="6123" spans="1:10" x14ac:dyDescent="0.2">
      <c r="A6123" s="4" t="s">
        <v>1</v>
      </c>
      <c r="B6123" s="3" t="str">
        <f>HYPERLINK("https://otsuka-europe-crm.veevavault.com/ui/#object/approved_document__v/V5OZ025E82TMWN5", "AM2M - Programa Masterclass Esquizofrenia 2025")</f>
        <v>AM2M - Programa Masterclass Esquizofrenia 2025</v>
      </c>
      <c r="C6123" s="3" t="str">
        <f>HYPERLINK("https://otsuka-europe-crm.veevavault.com/ui/#object/sent_email__v/VBLZ025E82GWS2H", "SE-000279863")</f>
        <v>SE-000279863</v>
      </c>
      <c r="D6123" s="1">
        <v>45923.467650462961</v>
      </c>
      <c r="E6123" s="2">
        <v>1</v>
      </c>
      <c r="F6123" s="2">
        <v>1</v>
      </c>
      <c r="G6123" s="2">
        <v>0</v>
      </c>
      <c r="H6123" s="1" t="s">
        <v>0</v>
      </c>
      <c r="I6123" s="2">
        <v>0</v>
      </c>
      <c r="J6123" s="1">
        <v>45923.376956018517</v>
      </c>
    </row>
    <row r="6124" spans="1:10" x14ac:dyDescent="0.2">
      <c r="A6124" s="4" t="s">
        <v>1</v>
      </c>
      <c r="B6124" s="3" t="str">
        <f>HYPERLINK("https://otsuka-europe-crm.veevavault.com/ui/#object/approved_document__v/V5OZ025E82TMWN5", "AM2M - Programa Masterclass Esquizofrenia 2025")</f>
        <v>AM2M - Programa Masterclass Esquizofrenia 2025</v>
      </c>
      <c r="C6124" s="3" t="str">
        <f>HYPERLINK("https://otsuka-europe-crm.veevavault.com/ui/#object/sent_email__v/VBLZ025E82GWS2I", "SE-000279864")</f>
        <v>SE-000279864</v>
      </c>
      <c r="D6124" s="1">
        <v>45923.414918981478</v>
      </c>
      <c r="E6124" s="2">
        <v>1</v>
      </c>
      <c r="F6124" s="2">
        <v>1</v>
      </c>
      <c r="G6124" s="2">
        <v>0</v>
      </c>
      <c r="H6124" s="1" t="s">
        <v>0</v>
      </c>
      <c r="I6124" s="2">
        <v>0</v>
      </c>
      <c r="J6124" s="1">
        <v>45923.376967592594</v>
      </c>
    </row>
    <row r="6125" spans="1:10" x14ac:dyDescent="0.2">
      <c r="A6125" s="4" t="s">
        <v>1</v>
      </c>
      <c r="B6125" s="3" t="str">
        <f>HYPERLINK("https://otsuka-europe-crm.veevavault.com/ui/#object/approved_document__v/V5OZ025E82TMWN5", "AM2M - Programa Masterclass Esquizofrenia 2025")</f>
        <v>AM2M - Programa Masterclass Esquizofrenia 2025</v>
      </c>
      <c r="C6125" s="3" t="str">
        <f>HYPERLINK("https://otsuka-europe-crm.veevavault.com/ui/#object/sent_email__v/VBLZ025E82GWS2J", "SE-000279865")</f>
        <v>SE-000279865</v>
      </c>
      <c r="D6125" s="1">
        <v>45949.593460648146</v>
      </c>
      <c r="E6125" s="2">
        <v>1</v>
      </c>
      <c r="F6125" s="2">
        <v>2</v>
      </c>
      <c r="G6125" s="2">
        <v>0</v>
      </c>
      <c r="H6125" s="1" t="s">
        <v>0</v>
      </c>
      <c r="I6125" s="2">
        <v>0</v>
      </c>
      <c r="J6125" s="1">
        <v>45923.376944444448</v>
      </c>
    </row>
    <row r="6126" spans="1:10" x14ac:dyDescent="0.2">
      <c r="A6126" s="4" t="s">
        <v>1</v>
      </c>
      <c r="B6126" s="3" t="str">
        <f>HYPERLINK("https://otsuka-europe-crm.veevavault.com/ui/#object/approved_document__v/V5OZ025E82TMWN5", "AM2M - Programa Masterclass Esquizofrenia 2025")</f>
        <v>AM2M - Programa Masterclass Esquizofrenia 2025</v>
      </c>
      <c r="C6126" s="3" t="str">
        <f>HYPERLINK("https://otsuka-europe-crm.veevavault.com/ui/#object/sent_email__v/VBLZ025E82GWS2K", "SE-000279866")</f>
        <v>SE-000279866</v>
      </c>
      <c r="D6126" s="1">
        <v>45931.331550925926</v>
      </c>
      <c r="E6126" s="2">
        <v>1</v>
      </c>
      <c r="F6126" s="2">
        <v>10</v>
      </c>
      <c r="G6126" s="2">
        <v>0</v>
      </c>
      <c r="H6126" s="1" t="s">
        <v>0</v>
      </c>
      <c r="I6126" s="2">
        <v>0</v>
      </c>
      <c r="J6126" s="1">
        <v>45923.376944444448</v>
      </c>
    </row>
    <row r="6127" spans="1:10" x14ac:dyDescent="0.2">
      <c r="A6127" s="4" t="s">
        <v>1</v>
      </c>
      <c r="B6127" s="3" t="str">
        <f>HYPERLINK("https://otsuka-europe-crm.veevavault.com/ui/#object/approved_document__v/V5OZ025E82TMWN5", "AM2M - Programa Masterclass Esquizofrenia 2025")</f>
        <v>AM2M - Programa Masterclass Esquizofrenia 2025</v>
      </c>
      <c r="C6127" s="3" t="str">
        <f>HYPERLINK("https://otsuka-europe-crm.veevavault.com/ui/#object/sent_email__v/VBLZ025E82GWS2L", "SE-000279867")</f>
        <v>SE-000279867</v>
      </c>
      <c r="D6127" s="1" t="s">
        <v>0</v>
      </c>
      <c r="E6127" s="2">
        <v>0</v>
      </c>
      <c r="F6127" s="2">
        <v>0</v>
      </c>
      <c r="G6127" s="2">
        <v>0</v>
      </c>
      <c r="H6127" s="1" t="s">
        <v>0</v>
      </c>
      <c r="I6127" s="2">
        <v>0</v>
      </c>
      <c r="J6127" s="1">
        <v>45923.376956018517</v>
      </c>
    </row>
    <row r="6128" spans="1:10" x14ac:dyDescent="0.2">
      <c r="A6128" s="4" t="s">
        <v>1</v>
      </c>
      <c r="B6128" s="3" t="str">
        <f>HYPERLINK("https://otsuka-europe-crm.veevavault.com/ui/#object/approved_document__v/V5OZ025E82TMWN5", "AM2M - Programa Masterclass Esquizofrenia 2025")</f>
        <v>AM2M - Programa Masterclass Esquizofrenia 2025</v>
      </c>
      <c r="C6128" s="3" t="str">
        <f>HYPERLINK("https://otsuka-europe-crm.veevavault.com/ui/#object/sent_email__v/VBLZ025E82GWS2M", "SE-000279868")</f>
        <v>SE-000279868</v>
      </c>
      <c r="D6128" s="1" t="s">
        <v>0</v>
      </c>
      <c r="E6128" s="2">
        <v>0</v>
      </c>
      <c r="F6128" s="2">
        <v>0</v>
      </c>
      <c r="G6128" s="2">
        <v>0</v>
      </c>
      <c r="H6128" s="1" t="s">
        <v>0</v>
      </c>
      <c r="I6128" s="2">
        <v>0</v>
      </c>
      <c r="J6128" s="1">
        <v>45923.376967592594</v>
      </c>
    </row>
    <row r="6129" spans="1:10" x14ac:dyDescent="0.2">
      <c r="A6129" s="4" t="s">
        <v>1</v>
      </c>
      <c r="B6129" s="3" t="str">
        <f>HYPERLINK("https://otsuka-europe-crm.veevavault.com/ui/#object/approved_document__v/V5OZ025E82TMWN5", "AM2M - Programa Masterclass Esquizofrenia 2025")</f>
        <v>AM2M - Programa Masterclass Esquizofrenia 2025</v>
      </c>
      <c r="C6129" s="3" t="str">
        <f>HYPERLINK("https://otsuka-europe-crm.veevavault.com/ui/#object/sent_email__v/VBLZ025E82GWS2N", "SE-000279869")</f>
        <v>SE-000279869</v>
      </c>
      <c r="D6129" s="1" t="s">
        <v>0</v>
      </c>
      <c r="E6129" s="2">
        <v>0</v>
      </c>
      <c r="F6129" s="2">
        <v>0</v>
      </c>
      <c r="G6129" s="2">
        <v>0</v>
      </c>
      <c r="H6129" s="1" t="s">
        <v>0</v>
      </c>
      <c r="I6129" s="2">
        <v>0</v>
      </c>
      <c r="J6129" s="1">
        <v>45923.376979166664</v>
      </c>
    </row>
    <row r="6130" spans="1:10" x14ac:dyDescent="0.2">
      <c r="A6130" s="4" t="s">
        <v>1</v>
      </c>
      <c r="B6130" s="3" t="str">
        <f>HYPERLINK("https://otsuka-europe-crm.veevavault.com/ui/#object/approved_document__v/V5OZ025E82TMWN5", "AM2M - Programa Masterclass Esquizofrenia 2025")</f>
        <v>AM2M - Programa Masterclass Esquizofrenia 2025</v>
      </c>
      <c r="C6130" s="3" t="str">
        <f>HYPERLINK("https://otsuka-europe-crm.veevavault.com/ui/#object/sent_email__v/VBLZ025E82GWS2O", "SE-000279870")</f>
        <v>SE-000279870</v>
      </c>
      <c r="D6130" s="1" t="s">
        <v>0</v>
      </c>
      <c r="E6130" s="2">
        <v>0</v>
      </c>
      <c r="F6130" s="2">
        <v>0</v>
      </c>
      <c r="G6130" s="2">
        <v>0</v>
      </c>
      <c r="H6130" s="1" t="s">
        <v>0</v>
      </c>
      <c r="I6130" s="2">
        <v>0</v>
      </c>
      <c r="J6130" s="1">
        <v>45923.376967592594</v>
      </c>
    </row>
    <row r="6131" spans="1:10" x14ac:dyDescent="0.2">
      <c r="A6131" s="4" t="s">
        <v>1</v>
      </c>
      <c r="B6131" s="3" t="str">
        <f>HYPERLINK("https://otsuka-europe-crm.veevavault.com/ui/#object/approved_document__v/V5OZ025E82TMWN5", "AM2M - Programa Masterclass Esquizofrenia 2025")</f>
        <v>AM2M - Programa Masterclass Esquizofrenia 2025</v>
      </c>
      <c r="C6131" s="3" t="str">
        <f>HYPERLINK("https://otsuka-europe-crm.veevavault.com/ui/#object/sent_email__v/VBLZ025E82GWS4L", "SE-000279871")</f>
        <v>SE-000279871</v>
      </c>
      <c r="D6131" s="1" t="s">
        <v>0</v>
      </c>
      <c r="E6131" s="2">
        <v>0</v>
      </c>
      <c r="F6131" s="2">
        <v>0</v>
      </c>
      <c r="G6131" s="2">
        <v>0</v>
      </c>
      <c r="H6131" s="1" t="s">
        <v>0</v>
      </c>
      <c r="I6131" s="2">
        <v>0</v>
      </c>
      <c r="J6131" s="1">
        <v>45923.376944444448</v>
      </c>
    </row>
    <row r="6132" spans="1:10" x14ac:dyDescent="0.2">
      <c r="A6132" s="4" t="s">
        <v>1</v>
      </c>
      <c r="B6132" s="3" t="str">
        <f>HYPERLINK("https://otsuka-europe-crm.veevavault.com/ui/#object/approved_document__v/V5OZ025E82TMWN5", "AM2M - Programa Masterclass Esquizofrenia 2025")</f>
        <v>AM2M - Programa Masterclass Esquizofrenia 2025</v>
      </c>
      <c r="C6132" s="3" t="str">
        <f>HYPERLINK("https://otsuka-europe-crm.veevavault.com/ui/#object/sent_email__v/VBLZ025E82GWS4M", "SE-000279872")</f>
        <v>SE-000279872</v>
      </c>
      <c r="D6132" s="1">
        <v>46076.378969907404</v>
      </c>
      <c r="E6132" s="2">
        <v>1</v>
      </c>
      <c r="F6132" s="2">
        <v>2</v>
      </c>
      <c r="G6132" s="2">
        <v>0</v>
      </c>
      <c r="H6132" s="1" t="s">
        <v>0</v>
      </c>
      <c r="I6132" s="2">
        <v>0</v>
      </c>
      <c r="J6132" s="1">
        <v>45923.376967592594</v>
      </c>
    </row>
    <row r="6133" spans="1:10" x14ac:dyDescent="0.2">
      <c r="A6133" s="4" t="s">
        <v>1</v>
      </c>
      <c r="B6133" s="3" t="str">
        <f>HYPERLINK("https://otsuka-europe-crm.veevavault.com/ui/#object/approved_document__v/V5OZ025E82TMWN5", "AM2M - Programa Masterclass Esquizofrenia 2025")</f>
        <v>AM2M - Programa Masterclass Esquizofrenia 2025</v>
      </c>
      <c r="C6133" s="3" t="str">
        <f>HYPERLINK("https://otsuka-europe-crm.veevavault.com/ui/#object/sent_email__v/VBLZ025E82GWS4N", "SE-000279873")</f>
        <v>SE-000279873</v>
      </c>
      <c r="D6133" s="1">
        <v>45993.429814814815</v>
      </c>
      <c r="E6133" s="2">
        <v>1</v>
      </c>
      <c r="F6133" s="2">
        <v>2</v>
      </c>
      <c r="G6133" s="2">
        <v>0</v>
      </c>
      <c r="H6133" s="1" t="s">
        <v>0</v>
      </c>
      <c r="I6133" s="2">
        <v>0</v>
      </c>
      <c r="J6133" s="1">
        <v>45923.376956018517</v>
      </c>
    </row>
    <row r="6134" spans="1:10" x14ac:dyDescent="0.2">
      <c r="A6134" s="4" t="s">
        <v>1</v>
      </c>
      <c r="B6134" s="3" t="str">
        <f>HYPERLINK("https://otsuka-europe-crm.veevavault.com/ui/#object/approved_document__v/V5OZ025E82TMWN5", "AM2M - Programa Masterclass Esquizofrenia 2025")</f>
        <v>AM2M - Programa Masterclass Esquizofrenia 2025</v>
      </c>
      <c r="C6134" s="3" t="str">
        <f>HYPERLINK("https://otsuka-europe-crm.veevavault.com/ui/#object/sent_email__v/VBLZ025E82GWS4O", "SE-000279874")</f>
        <v>SE-000279874</v>
      </c>
      <c r="D6134" s="1">
        <v>45924.573298611111</v>
      </c>
      <c r="E6134" s="2">
        <v>1</v>
      </c>
      <c r="F6134" s="2">
        <v>2</v>
      </c>
      <c r="G6134" s="2">
        <v>0</v>
      </c>
      <c r="H6134" s="1" t="s">
        <v>0</v>
      </c>
      <c r="I6134" s="2">
        <v>0</v>
      </c>
      <c r="J6134" s="1">
        <v>45923.376956018517</v>
      </c>
    </row>
    <row r="6135" spans="1:10" x14ac:dyDescent="0.2">
      <c r="A6135" s="4" t="s">
        <v>1</v>
      </c>
      <c r="B6135" s="3" t="str">
        <f>HYPERLINK("https://otsuka-europe-crm.veevavault.com/ui/#object/approved_document__v/V5OZ025E82TMWN5", "AM2M - Programa Masterclass Esquizofrenia 2025")</f>
        <v>AM2M - Programa Masterclass Esquizofrenia 2025</v>
      </c>
      <c r="C6135" s="3" t="str">
        <f>HYPERLINK("https://otsuka-europe-crm.veevavault.com/ui/#object/sent_email__v/VBLZ025E82GWS4P", "SE-000279875")</f>
        <v>SE-000279875</v>
      </c>
      <c r="D6135" s="1" t="s">
        <v>0</v>
      </c>
      <c r="E6135" s="2">
        <v>0</v>
      </c>
      <c r="F6135" s="2">
        <v>0</v>
      </c>
      <c r="G6135" s="2">
        <v>0</v>
      </c>
      <c r="H6135" s="1" t="s">
        <v>0</v>
      </c>
      <c r="I6135" s="2">
        <v>0</v>
      </c>
      <c r="J6135" s="1">
        <v>45923.376956018517</v>
      </c>
    </row>
    <row r="6136" spans="1:10" x14ac:dyDescent="0.2">
      <c r="A6136" s="4" t="s">
        <v>1</v>
      </c>
      <c r="B6136" s="3" t="str">
        <f>HYPERLINK("https://otsuka-europe-crm.veevavault.com/ui/#object/approved_document__v/V5OZ025E82TMWN5", "AM2M - Programa Masterclass Esquizofrenia 2025")</f>
        <v>AM2M - Programa Masterclass Esquizofrenia 2025</v>
      </c>
      <c r="C6136" s="3" t="str">
        <f>HYPERLINK("https://otsuka-europe-crm.veevavault.com/ui/#object/sent_email__v/VBLZ025E82GWS4Q", "SE-000279876")</f>
        <v>SE-000279876</v>
      </c>
      <c r="D6136" s="1" t="s">
        <v>0</v>
      </c>
      <c r="E6136" s="2">
        <v>0</v>
      </c>
      <c r="F6136" s="2">
        <v>0</v>
      </c>
      <c r="G6136" s="2">
        <v>0</v>
      </c>
      <c r="H6136" s="1" t="s">
        <v>0</v>
      </c>
      <c r="I6136" s="2">
        <v>0</v>
      </c>
      <c r="J6136" s="1">
        <v>45923.376956018517</v>
      </c>
    </row>
    <row r="6137" spans="1:10" x14ac:dyDescent="0.2">
      <c r="A6137" s="4" t="s">
        <v>1</v>
      </c>
      <c r="B6137" s="3" t="str">
        <f>HYPERLINK("https://otsuka-europe-crm.veevavault.com/ui/#object/approved_document__v/V5OZ025E82TMWN5", "AM2M - Programa Masterclass Esquizofrenia 2025")</f>
        <v>AM2M - Programa Masterclass Esquizofrenia 2025</v>
      </c>
      <c r="C6137" s="3" t="str">
        <f>HYPERLINK("https://otsuka-europe-crm.veevavault.com/ui/#object/sent_email__v/VBLZ025E82GWS4R", "SE-000279877")</f>
        <v>SE-000279877</v>
      </c>
      <c r="D6137" s="1">
        <v>45923.528310185182</v>
      </c>
      <c r="E6137" s="2">
        <v>1</v>
      </c>
      <c r="F6137" s="2">
        <v>1</v>
      </c>
      <c r="G6137" s="2">
        <v>1</v>
      </c>
      <c r="H6137" s="1">
        <v>45923.528310185182</v>
      </c>
      <c r="I6137" s="2">
        <v>1</v>
      </c>
      <c r="J6137" s="1">
        <v>45923.376944444448</v>
      </c>
    </row>
    <row r="6138" spans="1:10" x14ac:dyDescent="0.2">
      <c r="A6138" s="4" t="s">
        <v>1</v>
      </c>
      <c r="B6138" s="3" t="str">
        <f>HYPERLINK("https://otsuka-europe-crm.veevavault.com/ui/#object/approved_document__v/V5OZ025E82TMWN5", "AM2M - Programa Masterclass Esquizofrenia 2025")</f>
        <v>AM2M - Programa Masterclass Esquizofrenia 2025</v>
      </c>
      <c r="C6138" s="3" t="str">
        <f>HYPERLINK("https://otsuka-europe-crm.veevavault.com/ui/#object/sent_email__v/VBLZ025E82GWS4S", "SE-000279878")</f>
        <v>SE-000279878</v>
      </c>
      <c r="D6138" s="1" t="s">
        <v>0</v>
      </c>
      <c r="E6138" s="2">
        <v>0</v>
      </c>
      <c r="F6138" s="2">
        <v>0</v>
      </c>
      <c r="G6138" s="2">
        <v>0</v>
      </c>
      <c r="H6138" s="1" t="s">
        <v>0</v>
      </c>
      <c r="I6138" s="2">
        <v>0</v>
      </c>
      <c r="J6138" s="1">
        <v>45923.376967592594</v>
      </c>
    </row>
    <row r="6139" spans="1:10" x14ac:dyDescent="0.2">
      <c r="A6139" s="4" t="s">
        <v>1</v>
      </c>
      <c r="B6139" s="3" t="str">
        <f>HYPERLINK("https://otsuka-europe-crm.veevavault.com/ui/#object/approved_document__v/V5OZ025E82TMWN5", "AM2M - Programa Masterclass Esquizofrenia 2025")</f>
        <v>AM2M - Programa Masterclass Esquizofrenia 2025</v>
      </c>
      <c r="C6139" s="3" t="str">
        <f>HYPERLINK("https://otsuka-europe-crm.veevavault.com/ui/#object/sent_email__v/VBLZ025E82GWS4T", "SE-000279879")</f>
        <v>SE-000279879</v>
      </c>
      <c r="D6139" s="1">
        <v>45934.434305555558</v>
      </c>
      <c r="E6139" s="2">
        <v>1</v>
      </c>
      <c r="F6139" s="2">
        <v>2</v>
      </c>
      <c r="G6139" s="2">
        <v>0</v>
      </c>
      <c r="H6139" s="1" t="s">
        <v>0</v>
      </c>
      <c r="I6139" s="2">
        <v>0</v>
      </c>
      <c r="J6139" s="1">
        <v>45923.376944444448</v>
      </c>
    </row>
    <row r="6140" spans="1:10" x14ac:dyDescent="0.2">
      <c r="A6140" s="4" t="s">
        <v>1</v>
      </c>
      <c r="B6140" s="3" t="str">
        <f>HYPERLINK("https://otsuka-europe-crm.veevavault.com/ui/#object/approved_document__v/V5OZ025E82TMWN5", "AM2M - Programa Masterclass Esquizofrenia 2025")</f>
        <v>AM2M - Programa Masterclass Esquizofrenia 2025</v>
      </c>
      <c r="C6140" s="3" t="str">
        <f>HYPERLINK("https://otsuka-europe-crm.veevavault.com/ui/#object/sent_email__v/VBLZ025E82GWS4U", "SE-000279880")</f>
        <v>SE-000279880</v>
      </c>
      <c r="D6140" s="1">
        <v>45923.671666666669</v>
      </c>
      <c r="E6140" s="2">
        <v>1</v>
      </c>
      <c r="F6140" s="2">
        <v>1</v>
      </c>
      <c r="G6140" s="2">
        <v>0</v>
      </c>
      <c r="H6140" s="1" t="s">
        <v>0</v>
      </c>
      <c r="I6140" s="2">
        <v>0</v>
      </c>
      <c r="J6140" s="1">
        <v>45923.37699074074</v>
      </c>
    </row>
    <row r="6141" spans="1:10" x14ac:dyDescent="0.2">
      <c r="A6141" s="4" t="s">
        <v>1</v>
      </c>
      <c r="B6141" s="3" t="str">
        <f>HYPERLINK("https://otsuka-europe-crm.veevavault.com/ui/#object/approved_document__v/V5OZ025E82TMWN5", "AM2M - Programa Masterclass Esquizofrenia 2025")</f>
        <v>AM2M - Programa Masterclass Esquizofrenia 2025</v>
      </c>
      <c r="C6141" s="3" t="str">
        <f>HYPERLINK("https://otsuka-europe-crm.veevavault.com/ui/#object/sent_email__v/VBLZ025E82GWS4V", "SE-000279881")</f>
        <v>SE-000279881</v>
      </c>
      <c r="D6141" s="1">
        <v>45923.419189814813</v>
      </c>
      <c r="E6141" s="2">
        <v>1</v>
      </c>
      <c r="F6141" s="2">
        <v>1</v>
      </c>
      <c r="G6141" s="2">
        <v>0</v>
      </c>
      <c r="H6141" s="1" t="s">
        <v>0</v>
      </c>
      <c r="I6141" s="2">
        <v>0</v>
      </c>
      <c r="J6141" s="1">
        <v>45923.376979166664</v>
      </c>
    </row>
    <row r="6142" spans="1:10" x14ac:dyDescent="0.2">
      <c r="A6142" s="4" t="s">
        <v>1</v>
      </c>
      <c r="B6142" s="3" t="str">
        <f>HYPERLINK("https://otsuka-europe-crm.veevavault.com/ui/#object/approved_document__v/V5OZ025E82TMWN5", "AM2M - Programa Masterclass Esquizofrenia 2025")</f>
        <v>AM2M - Programa Masterclass Esquizofrenia 2025</v>
      </c>
      <c r="C6142" s="3" t="str">
        <f>HYPERLINK("https://otsuka-europe-crm.veevavault.com/ui/#object/sent_email__v/VBLZ025E82GWS4W", "SE-000279882")</f>
        <v>SE-000279882</v>
      </c>
      <c r="D6142" s="1">
        <v>45923.510787037034</v>
      </c>
      <c r="E6142" s="2">
        <v>1</v>
      </c>
      <c r="F6142" s="2">
        <v>1</v>
      </c>
      <c r="G6142" s="2">
        <v>0</v>
      </c>
      <c r="H6142" s="1" t="s">
        <v>0</v>
      </c>
      <c r="I6142" s="2">
        <v>0</v>
      </c>
      <c r="J6142" s="1">
        <v>45923.376967592594</v>
      </c>
    </row>
    <row r="6143" spans="1:10" x14ac:dyDescent="0.2">
      <c r="A6143" s="4" t="s">
        <v>1</v>
      </c>
      <c r="B6143" s="3" t="str">
        <f>HYPERLINK("https://otsuka-europe-crm.veevavault.com/ui/#object/approved_document__v/V5OZ025E82TMWN5", "AM2M - Programa Masterclass Esquizofrenia 2025")</f>
        <v>AM2M - Programa Masterclass Esquizofrenia 2025</v>
      </c>
      <c r="C6143" s="3" t="str">
        <f>HYPERLINK("https://otsuka-europe-crm.veevavault.com/ui/#object/sent_email__v/VBLZ025E82GWS4X", "SE-000279883")</f>
        <v>SE-000279883</v>
      </c>
      <c r="D6143" s="1">
        <v>45939.479317129626</v>
      </c>
      <c r="E6143" s="2">
        <v>1</v>
      </c>
      <c r="F6143" s="2">
        <v>2</v>
      </c>
      <c r="G6143" s="2">
        <v>0</v>
      </c>
      <c r="H6143" s="1" t="s">
        <v>0</v>
      </c>
      <c r="I6143" s="2">
        <v>0</v>
      </c>
      <c r="J6143" s="1">
        <v>45923.376944444448</v>
      </c>
    </row>
    <row r="6144" spans="1:10" x14ac:dyDescent="0.2">
      <c r="A6144" s="4" t="s">
        <v>1</v>
      </c>
      <c r="B6144" s="3" t="str">
        <f>HYPERLINK("https://otsuka-europe-crm.veevavault.com/ui/#object/approved_document__v/V5OZ025E82TMWN5", "AM2M - Programa Masterclass Esquizofrenia 2025")</f>
        <v>AM2M - Programa Masterclass Esquizofrenia 2025</v>
      </c>
      <c r="C6144" s="3" t="str">
        <f>HYPERLINK("https://otsuka-europe-crm.veevavault.com/ui/#object/sent_email__v/VBLZ025E82GWS4Y", "SE-000279884")</f>
        <v>SE-000279884</v>
      </c>
      <c r="D6144" s="1">
        <v>45923.68953703704</v>
      </c>
      <c r="E6144" s="2">
        <v>1</v>
      </c>
      <c r="F6144" s="2">
        <v>1</v>
      </c>
      <c r="G6144" s="2">
        <v>1</v>
      </c>
      <c r="H6144" s="1">
        <v>45923.689965277779</v>
      </c>
      <c r="I6144" s="2">
        <v>1</v>
      </c>
      <c r="J6144" s="1">
        <v>45923.376956018517</v>
      </c>
    </row>
    <row r="6145" spans="1:10" x14ac:dyDescent="0.2">
      <c r="A6145" s="4" t="s">
        <v>1</v>
      </c>
      <c r="B6145" s="3" t="str">
        <f>HYPERLINK("https://otsuka-europe-crm.veevavault.com/ui/#object/approved_document__v/V5OZ025E82TMWN5", "AM2M - Programa Masterclass Esquizofrenia 2025")</f>
        <v>AM2M - Programa Masterclass Esquizofrenia 2025</v>
      </c>
      <c r="C6145" s="3" t="str">
        <f>HYPERLINK("https://otsuka-europe-crm.veevavault.com/ui/#object/sent_email__v/VBLZ025E82GWS4Z", "SE-000279885")</f>
        <v>SE-000279885</v>
      </c>
      <c r="D6145" s="1">
        <v>45929.890370370369</v>
      </c>
      <c r="E6145" s="2">
        <v>1</v>
      </c>
      <c r="F6145" s="2">
        <v>2</v>
      </c>
      <c r="G6145" s="2">
        <v>0</v>
      </c>
      <c r="H6145" s="1" t="s">
        <v>0</v>
      </c>
      <c r="I6145" s="2">
        <v>0</v>
      </c>
      <c r="J6145" s="1">
        <v>45923.376979166664</v>
      </c>
    </row>
    <row r="6146" spans="1:10" x14ac:dyDescent="0.2">
      <c r="A6146" s="4" t="s">
        <v>1</v>
      </c>
      <c r="B6146" s="3" t="str">
        <f>HYPERLINK("https://otsuka-europe-crm.veevavault.com/ui/#object/approved_document__v/V5OZ025E82TMWN5", "AM2M - Programa Masterclass Esquizofrenia 2025")</f>
        <v>AM2M - Programa Masterclass Esquizofrenia 2025</v>
      </c>
      <c r="C6146" s="3" t="str">
        <f>HYPERLINK("https://otsuka-europe-crm.veevavault.com/ui/#object/sent_email__v/VBLZ025E82GWS50", "SE-000279886")</f>
        <v>SE-000279886</v>
      </c>
      <c r="D6146" s="1" t="s">
        <v>0</v>
      </c>
      <c r="E6146" s="2">
        <v>0</v>
      </c>
      <c r="F6146" s="2">
        <v>0</v>
      </c>
      <c r="G6146" s="2">
        <v>0</v>
      </c>
      <c r="H6146" s="1" t="s">
        <v>0</v>
      </c>
      <c r="I6146" s="2">
        <v>0</v>
      </c>
      <c r="J6146" s="1">
        <v>45923.376979166664</v>
      </c>
    </row>
    <row r="6147" spans="1:10" x14ac:dyDescent="0.2">
      <c r="A6147" s="4" t="s">
        <v>1</v>
      </c>
      <c r="B6147" s="3" t="str">
        <f>HYPERLINK("https://otsuka-europe-crm.veevavault.com/ui/#object/approved_document__v/V5OZ025E82TMWN5", "AM2M - Programa Masterclass Esquizofrenia 2025")</f>
        <v>AM2M - Programa Masterclass Esquizofrenia 2025</v>
      </c>
      <c r="C6147" s="3" t="str">
        <f>HYPERLINK("https://otsuka-europe-crm.veevavault.com/ui/#object/sent_email__v/VBLZ025E82GWS51", "SE-000279887")</f>
        <v>SE-000279887</v>
      </c>
      <c r="D6147" s="1" t="s">
        <v>0</v>
      </c>
      <c r="E6147" s="2">
        <v>0</v>
      </c>
      <c r="F6147" s="2">
        <v>0</v>
      </c>
      <c r="G6147" s="2">
        <v>0</v>
      </c>
      <c r="H6147" s="1" t="s">
        <v>0</v>
      </c>
      <c r="I6147" s="2">
        <v>0</v>
      </c>
      <c r="J6147" s="1">
        <v>45923.376979166664</v>
      </c>
    </row>
    <row r="6148" spans="1:10" x14ac:dyDescent="0.2">
      <c r="A6148" s="4" t="s">
        <v>1</v>
      </c>
      <c r="B6148" s="3" t="str">
        <f>HYPERLINK("https://otsuka-europe-crm.veevavault.com/ui/#object/approved_document__v/V5OZ025E82TMWN5", "AM2M - Programa Masterclass Esquizofrenia 2025")</f>
        <v>AM2M - Programa Masterclass Esquizofrenia 2025</v>
      </c>
      <c r="C6148" s="3" t="str">
        <f>HYPERLINK("https://otsuka-europe-crm.veevavault.com/ui/#object/sent_email__v/VBLZ025E82GWS52", "SE-000279888")</f>
        <v>SE-000279888</v>
      </c>
      <c r="D6148" s="1">
        <v>45924.427511574075</v>
      </c>
      <c r="E6148" s="2">
        <v>1</v>
      </c>
      <c r="F6148" s="2">
        <v>2</v>
      </c>
      <c r="G6148" s="2">
        <v>0</v>
      </c>
      <c r="H6148" s="1" t="s">
        <v>0</v>
      </c>
      <c r="I6148" s="2">
        <v>0</v>
      </c>
      <c r="J6148" s="1">
        <v>45923.376967592594</v>
      </c>
    </row>
    <row r="6149" spans="1:10" x14ac:dyDescent="0.2">
      <c r="A6149" s="4" t="s">
        <v>1</v>
      </c>
      <c r="B6149" s="3" t="str">
        <f>HYPERLINK("https://otsuka-europe-crm.veevavault.com/ui/#object/approved_document__v/V5OZ025E82TMWN5", "AM2M - Programa Masterclass Esquizofrenia 2025")</f>
        <v>AM2M - Programa Masterclass Esquizofrenia 2025</v>
      </c>
      <c r="C6149" s="3" t="str">
        <f>HYPERLINK("https://otsuka-europe-crm.veevavault.com/ui/#object/sent_email__v/VBLZ025E82GWS7D", "SE-000279889")</f>
        <v>SE-000279889</v>
      </c>
      <c r="D6149" s="1" t="s">
        <v>0</v>
      </c>
      <c r="E6149" s="2">
        <v>0</v>
      </c>
      <c r="F6149" s="2">
        <v>0</v>
      </c>
      <c r="G6149" s="2">
        <v>0</v>
      </c>
      <c r="H6149" s="1" t="s">
        <v>0</v>
      </c>
      <c r="I6149" s="2">
        <v>0</v>
      </c>
      <c r="J6149" s="1">
        <v>45923.37699074074</v>
      </c>
    </row>
    <row r="6150" spans="1:10" x14ac:dyDescent="0.2">
      <c r="A6150" s="4" t="s">
        <v>1</v>
      </c>
      <c r="B6150" s="3" t="str">
        <f>HYPERLINK("https://otsuka-europe-crm.veevavault.com/ui/#object/approved_document__v/V5OZ025E82TMWN5", "AM2M - Programa Masterclass Esquizofrenia 2025")</f>
        <v>AM2M - Programa Masterclass Esquizofrenia 2025</v>
      </c>
      <c r="C6150" s="3" t="str">
        <f>HYPERLINK("https://otsuka-europe-crm.veevavault.com/ui/#object/sent_email__v/VBLZ025E82GWS7E", "SE-000279890")</f>
        <v>SE-000279890</v>
      </c>
      <c r="D6150" s="1">
        <v>45950.840208333335</v>
      </c>
      <c r="E6150" s="2">
        <v>1</v>
      </c>
      <c r="F6150" s="2">
        <v>4</v>
      </c>
      <c r="G6150" s="2">
        <v>0</v>
      </c>
      <c r="H6150" s="1" t="s">
        <v>0</v>
      </c>
      <c r="I6150" s="2">
        <v>0</v>
      </c>
      <c r="J6150" s="1">
        <v>45923.376956018517</v>
      </c>
    </row>
    <row r="6151" spans="1:10" x14ac:dyDescent="0.2">
      <c r="A6151" s="4" t="s">
        <v>1</v>
      </c>
      <c r="B6151" s="3" t="str">
        <f>HYPERLINK("https://otsuka-europe-crm.veevavault.com/ui/#object/approved_document__v/V5OZ025E82TMWN5", "AM2M - Programa Masterclass Esquizofrenia 2025")</f>
        <v>AM2M - Programa Masterclass Esquizofrenia 2025</v>
      </c>
      <c r="C6151" s="3" t="str">
        <f>HYPERLINK("https://otsuka-europe-crm.veevavault.com/ui/#object/sent_email__v/VBLZ025E82GWS7F", "SE-000279891")</f>
        <v>SE-000279891</v>
      </c>
      <c r="D6151" s="1">
        <v>45923.508136574077</v>
      </c>
      <c r="E6151" s="2">
        <v>1</v>
      </c>
      <c r="F6151" s="2">
        <v>1</v>
      </c>
      <c r="G6151" s="2">
        <v>0</v>
      </c>
      <c r="H6151" s="1" t="s">
        <v>0</v>
      </c>
      <c r="I6151" s="2">
        <v>0</v>
      </c>
      <c r="J6151" s="1">
        <v>45923.376944444448</v>
      </c>
    </row>
    <row r="6152" spans="1:10" x14ac:dyDescent="0.2">
      <c r="A6152" s="4" t="s">
        <v>1</v>
      </c>
      <c r="B6152" s="3" t="str">
        <f>HYPERLINK("https://otsuka-europe-crm.veevavault.com/ui/#object/approved_document__v/V5OZ025E82TMWN5", "AM2M - Programa Masterclass Esquizofrenia 2025")</f>
        <v>AM2M - Programa Masterclass Esquizofrenia 2025</v>
      </c>
      <c r="C6152" s="3" t="str">
        <f>HYPERLINK("https://otsuka-europe-crm.veevavault.com/ui/#object/sent_email__v/VBLZ025E82GWS7G", "SE-000279892")</f>
        <v>SE-000279892</v>
      </c>
      <c r="D6152" s="1" t="s">
        <v>0</v>
      </c>
      <c r="E6152" s="2">
        <v>0</v>
      </c>
      <c r="F6152" s="2">
        <v>0</v>
      </c>
      <c r="G6152" s="2">
        <v>0</v>
      </c>
      <c r="H6152" s="1" t="s">
        <v>0</v>
      </c>
      <c r="I6152" s="2">
        <v>0</v>
      </c>
      <c r="J6152" s="1">
        <v>45923.376967592594</v>
      </c>
    </row>
    <row r="6153" spans="1:10" x14ac:dyDescent="0.2">
      <c r="A6153" s="4" t="s">
        <v>1</v>
      </c>
      <c r="B6153" s="3" t="str">
        <f>HYPERLINK("https://otsuka-europe-crm.veevavault.com/ui/#object/approved_document__v/V5OZ025E82TMWN5", "AM2M - Programa Masterclass Esquizofrenia 2025")</f>
        <v>AM2M - Programa Masterclass Esquizofrenia 2025</v>
      </c>
      <c r="C6153" s="3" t="str">
        <f>HYPERLINK("https://otsuka-europe-crm.veevavault.com/ui/#object/sent_email__v/VBLZ025E82GWS7H", "SE-000279893")</f>
        <v>SE-000279893</v>
      </c>
      <c r="D6153" s="1" t="s">
        <v>0</v>
      </c>
      <c r="E6153" s="2">
        <v>0</v>
      </c>
      <c r="F6153" s="2">
        <v>0</v>
      </c>
      <c r="G6153" s="2">
        <v>0</v>
      </c>
      <c r="H6153" s="1" t="s">
        <v>0</v>
      </c>
      <c r="I6153" s="2">
        <v>0</v>
      </c>
      <c r="J6153" s="1">
        <v>45923.376979166664</v>
      </c>
    </row>
    <row r="6154" spans="1:10" x14ac:dyDescent="0.2">
      <c r="A6154" s="4" t="s">
        <v>1</v>
      </c>
      <c r="B6154" s="3" t="str">
        <f>HYPERLINK("https://otsuka-europe-crm.veevavault.com/ui/#object/approved_document__v/V5OZ025E82TMWN5", "AM2M - Programa Masterclass Esquizofrenia 2025")</f>
        <v>AM2M - Programa Masterclass Esquizofrenia 2025</v>
      </c>
      <c r="C6154" s="3" t="str">
        <f>HYPERLINK("https://otsuka-europe-crm.veevavault.com/ui/#object/sent_email__v/VBLZ025E82GWS7I", "SE-000279894")</f>
        <v>SE-000279894</v>
      </c>
      <c r="D6154" s="1">
        <v>45923.411157407405</v>
      </c>
      <c r="E6154" s="2">
        <v>1</v>
      </c>
      <c r="F6154" s="2">
        <v>1</v>
      </c>
      <c r="G6154" s="2">
        <v>1</v>
      </c>
      <c r="H6154" s="1">
        <v>45923.413935185185</v>
      </c>
      <c r="I6154" s="2">
        <v>1</v>
      </c>
      <c r="J6154" s="1">
        <v>45923.37699074074</v>
      </c>
    </row>
    <row r="6155" spans="1:10" x14ac:dyDescent="0.2">
      <c r="A6155" s="4" t="s">
        <v>1</v>
      </c>
      <c r="B6155" s="3" t="str">
        <f>HYPERLINK("https://otsuka-europe-crm.veevavault.com/ui/#object/approved_document__v/V5OZ025E82TMWN5", "AM2M - Programa Masterclass Esquizofrenia 2025")</f>
        <v>AM2M - Programa Masterclass Esquizofrenia 2025</v>
      </c>
      <c r="C6155" s="3" t="str">
        <f>HYPERLINK("https://otsuka-europe-crm.veevavault.com/ui/#object/sent_email__v/VBLZ025E82GWS7J", "SE-000279895")</f>
        <v>SE-000279895</v>
      </c>
      <c r="D6155" s="1" t="s">
        <v>0</v>
      </c>
      <c r="E6155" s="2">
        <v>0</v>
      </c>
      <c r="F6155" s="2">
        <v>0</v>
      </c>
      <c r="G6155" s="2">
        <v>0</v>
      </c>
      <c r="H6155" s="1" t="s">
        <v>0</v>
      </c>
      <c r="I6155" s="2">
        <v>0</v>
      </c>
      <c r="J6155" s="1">
        <v>45923.376979166664</v>
      </c>
    </row>
    <row r="6156" spans="1:10" x14ac:dyDescent="0.2">
      <c r="A6156" s="4" t="s">
        <v>1</v>
      </c>
      <c r="B6156" s="3" t="str">
        <f>HYPERLINK("https://otsuka-europe-crm.veevavault.com/ui/#object/approved_document__v/V5OZ025E82TMWN5", "AM2M - Programa Masterclass Esquizofrenia 2025")</f>
        <v>AM2M - Programa Masterclass Esquizofrenia 2025</v>
      </c>
      <c r="C6156" s="3" t="str">
        <f>HYPERLINK("https://otsuka-europe-crm.veevavault.com/ui/#object/sent_email__v/VBLZ025E82GWS7K", "SE-000279896")</f>
        <v>SE-000279896</v>
      </c>
      <c r="D6156" s="1" t="s">
        <v>0</v>
      </c>
      <c r="E6156" s="2">
        <v>0</v>
      </c>
      <c r="F6156" s="2">
        <v>0</v>
      </c>
      <c r="G6156" s="2">
        <v>0</v>
      </c>
      <c r="H6156" s="1" t="s">
        <v>0</v>
      </c>
      <c r="I6156" s="2">
        <v>0</v>
      </c>
      <c r="J6156" s="1">
        <v>45923.376956018517</v>
      </c>
    </row>
    <row r="6157" spans="1:10" x14ac:dyDescent="0.2">
      <c r="A6157" s="4" t="s">
        <v>1</v>
      </c>
      <c r="B6157" s="3" t="str">
        <f>HYPERLINK("https://otsuka-europe-crm.veevavault.com/ui/#object/approved_document__v/V5OZ025E82TMWN5", "AM2M - Programa Masterclass Esquizofrenia 2025")</f>
        <v>AM2M - Programa Masterclass Esquizofrenia 2025</v>
      </c>
      <c r="C6157" s="3" t="str">
        <f>HYPERLINK("https://otsuka-europe-crm.veevavault.com/ui/#object/sent_email__v/VBLZ025E82GWS7L", "SE-000279897")</f>
        <v>SE-000279897</v>
      </c>
      <c r="D6157" s="1">
        <v>45992.48033564815</v>
      </c>
      <c r="E6157" s="2">
        <v>1</v>
      </c>
      <c r="F6157" s="2">
        <v>7</v>
      </c>
      <c r="G6157" s="2">
        <v>0</v>
      </c>
      <c r="H6157" s="1" t="s">
        <v>0</v>
      </c>
      <c r="I6157" s="2">
        <v>0</v>
      </c>
      <c r="J6157" s="1">
        <v>45923.376967592594</v>
      </c>
    </row>
    <row r="6158" spans="1:10" x14ac:dyDescent="0.2">
      <c r="A6158" s="4" t="s">
        <v>1</v>
      </c>
      <c r="B6158" s="3" t="str">
        <f>HYPERLINK("https://otsuka-europe-crm.veevavault.com/ui/#object/approved_document__v/V5OZ025E82TMWN5", "AM2M - Programa Masterclass Esquizofrenia 2025")</f>
        <v>AM2M - Programa Masterclass Esquizofrenia 2025</v>
      </c>
      <c r="C6158" s="3" t="str">
        <f>HYPERLINK("https://otsuka-europe-crm.veevavault.com/ui/#object/sent_email__v/VBLZ025E82GWS7M", "SE-000279898")</f>
        <v>SE-000279898</v>
      </c>
      <c r="D6158" s="1">
        <v>45926.615243055552</v>
      </c>
      <c r="E6158" s="2">
        <v>1</v>
      </c>
      <c r="F6158" s="2">
        <v>2</v>
      </c>
      <c r="G6158" s="2">
        <v>0</v>
      </c>
      <c r="H6158" s="1" t="s">
        <v>0</v>
      </c>
      <c r="I6158" s="2">
        <v>0</v>
      </c>
      <c r="J6158" s="1">
        <v>45923.376979166664</v>
      </c>
    </row>
    <row r="6159" spans="1:10" x14ac:dyDescent="0.2">
      <c r="A6159" s="4" t="s">
        <v>1</v>
      </c>
      <c r="B6159" s="3" t="str">
        <f>HYPERLINK("https://otsuka-europe-crm.veevavault.com/ui/#object/approved_document__v/V5OZ025E82TMWN5", "AM2M - Programa Masterclass Esquizofrenia 2025")</f>
        <v>AM2M - Programa Masterclass Esquizofrenia 2025</v>
      </c>
      <c r="C6159" s="3" t="str">
        <f>HYPERLINK("https://otsuka-europe-crm.veevavault.com/ui/#object/sent_email__v/VBLZ025E82GWS7N", "SE-000279899")</f>
        <v>SE-000279899</v>
      </c>
      <c r="D6159" s="1">
        <v>45923.403912037036</v>
      </c>
      <c r="E6159" s="2">
        <v>1</v>
      </c>
      <c r="F6159" s="2">
        <v>2</v>
      </c>
      <c r="G6159" s="2">
        <v>1</v>
      </c>
      <c r="H6159" s="1">
        <v>45923.404027777775</v>
      </c>
      <c r="I6159" s="2">
        <v>2</v>
      </c>
      <c r="J6159" s="1">
        <v>45923.376944444448</v>
      </c>
    </row>
    <row r="6160" spans="1:10" x14ac:dyDescent="0.2">
      <c r="A6160" s="4" t="s">
        <v>1</v>
      </c>
      <c r="B6160" s="3" t="str">
        <f>HYPERLINK("https://otsuka-europe-crm.veevavault.com/ui/#object/approved_document__v/V5OZ025E82TMWN5", "AM2M - Programa Masterclass Esquizofrenia 2025")</f>
        <v>AM2M - Programa Masterclass Esquizofrenia 2025</v>
      </c>
      <c r="C6160" s="3" t="str">
        <f>HYPERLINK("https://otsuka-europe-crm.veevavault.com/ui/#object/sent_email__v/VBLZ025E82GWSZ5", "SE-000280107")</f>
        <v>SE-000280107</v>
      </c>
      <c r="D6160" s="1">
        <v>45925.21974537037</v>
      </c>
      <c r="E6160" s="2">
        <v>1</v>
      </c>
      <c r="F6160" s="2">
        <v>2</v>
      </c>
      <c r="G6160" s="2">
        <v>0</v>
      </c>
      <c r="H6160" s="1" t="s">
        <v>0</v>
      </c>
      <c r="I6160" s="2">
        <v>0</v>
      </c>
      <c r="J6160" s="1">
        <v>45923.376967592594</v>
      </c>
    </row>
    <row r="6161" spans="1:10" x14ac:dyDescent="0.2">
      <c r="A6161" s="4" t="s">
        <v>1</v>
      </c>
      <c r="B6161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61" s="3" t="str">
        <f>HYPERLINK("https://otsuka-europe-crm.veevavault.com/ui/#object/sent_email__v/VBLZ025E82HQVM5", "SE-000289783")</f>
        <v>SE-000289783</v>
      </c>
      <c r="D6161" s="1">
        <v>45952.592951388891</v>
      </c>
      <c r="E6161" s="2">
        <v>1</v>
      </c>
      <c r="F6161" s="2">
        <v>1</v>
      </c>
      <c r="G6161" s="2">
        <v>0</v>
      </c>
      <c r="H6161" s="1" t="s">
        <v>0</v>
      </c>
      <c r="I6161" s="2">
        <v>0</v>
      </c>
      <c r="J6161" s="1">
        <v>45952.343078703707</v>
      </c>
    </row>
    <row r="6162" spans="1:10" x14ac:dyDescent="0.2">
      <c r="A6162" s="4" t="s">
        <v>1</v>
      </c>
      <c r="B6162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62" s="3" t="str">
        <f>HYPERLINK("https://otsuka-europe-crm.veevavault.com/ui/#object/sent_email__v/VBLZ025E82HSUR9", "SE-000290518")</f>
        <v>SE-000290518</v>
      </c>
      <c r="D6162" s="1">
        <v>45953.686921296299</v>
      </c>
      <c r="E6162" s="2">
        <v>1</v>
      </c>
      <c r="F6162" s="2">
        <v>2</v>
      </c>
      <c r="G6162" s="2">
        <v>0</v>
      </c>
      <c r="H6162" s="1" t="s">
        <v>0</v>
      </c>
      <c r="I6162" s="2">
        <v>0</v>
      </c>
      <c r="J6162" s="1">
        <v>45953.675393518519</v>
      </c>
    </row>
    <row r="6163" spans="1:10" x14ac:dyDescent="0.2">
      <c r="A6163" s="4" t="s">
        <v>1</v>
      </c>
      <c r="B6163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63" s="3" t="str">
        <f>HYPERLINK("https://otsuka-europe-crm.veevavault.com/ui/#object/sent_email__v/VBL00000000O241", "SE-001390712")</f>
        <v>SE-001390712</v>
      </c>
      <c r="D6163" s="1">
        <v>45978.721979166665</v>
      </c>
      <c r="E6163" s="2">
        <v>1</v>
      </c>
      <c r="F6163" s="2">
        <v>1</v>
      </c>
      <c r="G6163" s="2">
        <v>0</v>
      </c>
      <c r="H6163" s="1" t="s">
        <v>0</v>
      </c>
      <c r="I6163" s="2">
        <v>0</v>
      </c>
      <c r="J6163" s="1">
        <v>45978.385844907411</v>
      </c>
    </row>
    <row r="6164" spans="1:10" x14ac:dyDescent="0.2">
      <c r="A6164" s="4" t="s">
        <v>1</v>
      </c>
      <c r="B6164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64" s="3" t="str">
        <f>HYPERLINK("https://otsuka-europe-crm.veevavault.com/ui/#object/sent_email__v/VBL00000000R479", "SE-001392118")</f>
        <v>SE-001392118</v>
      </c>
      <c r="D6164" s="1">
        <v>45990.03125</v>
      </c>
      <c r="E6164" s="2">
        <v>1</v>
      </c>
      <c r="F6164" s="2">
        <v>1</v>
      </c>
      <c r="G6164" s="2">
        <v>0</v>
      </c>
      <c r="H6164" s="1" t="s">
        <v>0</v>
      </c>
      <c r="I6164" s="2">
        <v>0</v>
      </c>
      <c r="J6164" s="1">
        <v>45989.638668981483</v>
      </c>
    </row>
    <row r="6165" spans="1:10" x14ac:dyDescent="0.2">
      <c r="A6165" s="4" t="s">
        <v>1</v>
      </c>
      <c r="B6165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65" s="3" t="str">
        <f>HYPERLINK("https://otsuka-europe-crm.veevavault.com/ui/#object/sent_email__v/VBL000000015260", "SE-001400618")</f>
        <v>SE-001400618</v>
      </c>
      <c r="D6165" s="1" t="s">
        <v>0</v>
      </c>
      <c r="E6165" s="2">
        <v>0</v>
      </c>
      <c r="F6165" s="2">
        <v>0</v>
      </c>
      <c r="G6165" s="2">
        <v>0</v>
      </c>
      <c r="H6165" s="1" t="s">
        <v>0</v>
      </c>
      <c r="I6165" s="2">
        <v>0</v>
      </c>
      <c r="J6165" s="1">
        <v>46043.471516203703</v>
      </c>
    </row>
    <row r="6166" spans="1:10" x14ac:dyDescent="0.2">
      <c r="A6166" s="4" t="s">
        <v>1</v>
      </c>
      <c r="B6166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66" s="3" t="str">
        <f>HYPERLINK("https://otsuka-europe-crm.veevavault.com/ui/#object/sent_email__v/VBL000000015288", "SE-001400755")</f>
        <v>SE-001400755</v>
      </c>
      <c r="D6166" s="1" t="s">
        <v>0</v>
      </c>
      <c r="E6166" s="2">
        <v>0</v>
      </c>
      <c r="F6166" s="2">
        <v>0</v>
      </c>
      <c r="G6166" s="2">
        <v>0</v>
      </c>
      <c r="H6166" s="1" t="s">
        <v>0</v>
      </c>
      <c r="I6166" s="2">
        <v>0</v>
      </c>
      <c r="J6166" s="1">
        <v>46044.292395833334</v>
      </c>
    </row>
    <row r="6167" spans="1:10" x14ac:dyDescent="0.2">
      <c r="A6167" s="4" t="s">
        <v>1</v>
      </c>
      <c r="B6167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67" s="3" t="str">
        <f>HYPERLINK("https://otsuka-europe-crm.veevavault.com/ui/#object/sent_email__v/VBL000000015290", "SE-001400757")</f>
        <v>SE-001400757</v>
      </c>
      <c r="D6167" s="1">
        <v>46044.926435185182</v>
      </c>
      <c r="E6167" s="2">
        <v>1</v>
      </c>
      <c r="F6167" s="2">
        <v>2</v>
      </c>
      <c r="G6167" s="2">
        <v>0</v>
      </c>
      <c r="H6167" s="1" t="s">
        <v>0</v>
      </c>
      <c r="I6167" s="2">
        <v>0</v>
      </c>
      <c r="J6167" s="1">
        <v>46044.293842592589</v>
      </c>
    </row>
    <row r="6168" spans="1:10" x14ac:dyDescent="0.2">
      <c r="A6168" s="4" t="s">
        <v>1</v>
      </c>
      <c r="B6168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68" s="3" t="str">
        <f>HYPERLINK("https://otsuka-europe-crm.veevavault.com/ui/#object/sent_email__v/VBL000000016618", "SE-001400952")</f>
        <v>SE-001400952</v>
      </c>
      <c r="D6168" s="1" t="s">
        <v>0</v>
      </c>
      <c r="E6168" s="2">
        <v>0</v>
      </c>
      <c r="F6168" s="2">
        <v>0</v>
      </c>
      <c r="G6168" s="2">
        <v>0</v>
      </c>
      <c r="H6168" s="1" t="s">
        <v>0</v>
      </c>
      <c r="I6168" s="2">
        <v>0</v>
      </c>
      <c r="J6168" s="1">
        <v>46048.560787037037</v>
      </c>
    </row>
    <row r="6169" spans="1:10" x14ac:dyDescent="0.2">
      <c r="A6169" s="4" t="s">
        <v>1</v>
      </c>
      <c r="B6169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69" s="3" t="str">
        <f>HYPERLINK("https://otsuka-europe-crm.veevavault.com/ui/#object/sent_email__v/VBL000000015834", "SE-001401711")</f>
        <v>SE-001401711</v>
      </c>
      <c r="D6169" s="1" t="s">
        <v>0</v>
      </c>
      <c r="E6169" s="2">
        <v>0</v>
      </c>
      <c r="F6169" s="2">
        <v>0</v>
      </c>
      <c r="G6169" s="2">
        <v>0</v>
      </c>
      <c r="H6169" s="1" t="s">
        <v>0</v>
      </c>
      <c r="I6169" s="2">
        <v>0</v>
      </c>
      <c r="J6169" s="1">
        <v>46049.41741898148</v>
      </c>
    </row>
    <row r="6170" spans="1:10" x14ac:dyDescent="0.2">
      <c r="A6170" s="4" t="s">
        <v>1</v>
      </c>
      <c r="B6170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70" s="3" t="str">
        <f>HYPERLINK("https://otsuka-europe-crm.veevavault.com/ui/#object/sent_email__v/VBL00000001A120", "SE-001402620")</f>
        <v>SE-001402620</v>
      </c>
      <c r="D6170" s="1" t="s">
        <v>0</v>
      </c>
      <c r="E6170" s="2">
        <v>0</v>
      </c>
      <c r="F6170" s="2">
        <v>0</v>
      </c>
      <c r="G6170" s="2">
        <v>0</v>
      </c>
      <c r="H6170" s="1" t="s">
        <v>0</v>
      </c>
      <c r="I6170" s="2">
        <v>0</v>
      </c>
      <c r="J6170" s="1">
        <v>46057.307303240741</v>
      </c>
    </row>
    <row r="6171" spans="1:10" x14ac:dyDescent="0.2">
      <c r="A6171" s="4" t="s">
        <v>1</v>
      </c>
      <c r="B6171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71" s="3" t="str">
        <f>HYPERLINK("https://otsuka-europe-crm.veevavault.com/ui/#object/sent_email__v/VBL00000001B392", "SE-001403636")</f>
        <v>SE-001403636</v>
      </c>
      <c r="D6171" s="1">
        <v>46063.650949074072</v>
      </c>
      <c r="E6171" s="2">
        <v>1</v>
      </c>
      <c r="F6171" s="2">
        <v>1</v>
      </c>
      <c r="G6171" s="2">
        <v>0</v>
      </c>
      <c r="H6171" s="1" t="s">
        <v>0</v>
      </c>
      <c r="I6171" s="2">
        <v>0</v>
      </c>
      <c r="J6171" s="1">
        <v>46063.404537037037</v>
      </c>
    </row>
    <row r="6172" spans="1:10" x14ac:dyDescent="0.2">
      <c r="A6172" s="4" t="s">
        <v>1</v>
      </c>
      <c r="B6172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72" s="3" t="str">
        <f>HYPERLINK("https://otsuka-europe-crm.veevavault.com/ui/#object/sent_email__v/VBL00000001D012", "SE-001404057")</f>
        <v>SE-001404057</v>
      </c>
      <c r="D6172" s="1" t="s">
        <v>0</v>
      </c>
      <c r="E6172" s="2">
        <v>0</v>
      </c>
      <c r="F6172" s="2">
        <v>0</v>
      </c>
      <c r="G6172" s="2">
        <v>0</v>
      </c>
      <c r="H6172" s="1" t="s">
        <v>0</v>
      </c>
      <c r="I6172" s="2">
        <v>0</v>
      </c>
      <c r="J6172" s="1">
        <v>46066.465451388889</v>
      </c>
    </row>
    <row r="6173" spans="1:10" x14ac:dyDescent="0.2">
      <c r="A6173" s="4" t="s">
        <v>1</v>
      </c>
      <c r="B6173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73" s="3" t="str">
        <f>HYPERLINK("https://otsuka-europe-crm.veevavault.com/ui/#object/sent_email__v/VBL00000001D013", "SE-001404058")</f>
        <v>SE-001404058</v>
      </c>
      <c r="D6173" s="1" t="s">
        <v>0</v>
      </c>
      <c r="E6173" s="2">
        <v>0</v>
      </c>
      <c r="F6173" s="2">
        <v>0</v>
      </c>
      <c r="G6173" s="2">
        <v>0</v>
      </c>
      <c r="H6173" s="1" t="s">
        <v>0</v>
      </c>
      <c r="I6173" s="2">
        <v>0</v>
      </c>
      <c r="J6173" s="1">
        <v>46066.465462962966</v>
      </c>
    </row>
    <row r="6174" spans="1:10" x14ac:dyDescent="0.2">
      <c r="A6174" s="4" t="s">
        <v>1</v>
      </c>
      <c r="B6174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74" s="3" t="str">
        <f>HYPERLINK("https://otsuka-europe-crm.veevavault.com/ui/#object/sent_email__v/VBL00000001D014", "SE-001404059")</f>
        <v>SE-001404059</v>
      </c>
      <c r="D6174" s="1" t="s">
        <v>0</v>
      </c>
      <c r="E6174" s="2">
        <v>0</v>
      </c>
      <c r="F6174" s="2">
        <v>0</v>
      </c>
      <c r="G6174" s="2">
        <v>0</v>
      </c>
      <c r="H6174" s="1" t="s">
        <v>0</v>
      </c>
      <c r="I6174" s="2">
        <v>0</v>
      </c>
      <c r="J6174" s="1">
        <v>46066.465462962966</v>
      </c>
    </row>
    <row r="6175" spans="1:10" x14ac:dyDescent="0.2">
      <c r="A6175" s="4" t="s">
        <v>1</v>
      </c>
      <c r="B6175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75" s="3" t="str">
        <f>HYPERLINK("https://otsuka-europe-crm.veevavault.com/ui/#object/sent_email__v/VBL00000001D015", "SE-001404060")</f>
        <v>SE-001404060</v>
      </c>
      <c r="D6175" s="1" t="s">
        <v>0</v>
      </c>
      <c r="E6175" s="2">
        <v>0</v>
      </c>
      <c r="F6175" s="2">
        <v>0</v>
      </c>
      <c r="G6175" s="2">
        <v>0</v>
      </c>
      <c r="H6175" s="1" t="s">
        <v>0</v>
      </c>
      <c r="I6175" s="2">
        <v>0</v>
      </c>
      <c r="J6175" s="1">
        <v>46066.465462962966</v>
      </c>
    </row>
    <row r="6176" spans="1:10" x14ac:dyDescent="0.2">
      <c r="A6176" s="4" t="s">
        <v>1</v>
      </c>
      <c r="B6176" s="3" t="str">
        <f>HYPERLINK("https://otsuka-europe-crm.veevavault.com/ui/#object/approved_document__v/V5OZ025E82HVP5D", "AM2M - PSIQUIATRÍA - Cómo iniciar el tratamiento")</f>
        <v>AM2M - PSIQUIATRÍA - Cómo iniciar el tratamiento</v>
      </c>
      <c r="C6176" s="3" t="str">
        <f>HYPERLINK("https://otsuka-europe-crm.veevavault.com/ui/#object/sent_email__v/VBL00000001G467", "SE-001405905")</f>
        <v>SE-001405905</v>
      </c>
      <c r="D6176" s="1">
        <v>46076.844583333332</v>
      </c>
      <c r="E6176" s="2">
        <v>1</v>
      </c>
      <c r="F6176" s="2">
        <v>1</v>
      </c>
      <c r="G6176" s="2">
        <v>0</v>
      </c>
      <c r="H6176" s="1" t="s">
        <v>0</v>
      </c>
      <c r="I6176" s="2">
        <v>0</v>
      </c>
      <c r="J6176" s="1">
        <v>46076.731076388889</v>
      </c>
    </row>
    <row r="6177" spans="1:10" x14ac:dyDescent="0.2">
      <c r="A6177" s="4" t="s">
        <v>1</v>
      </c>
      <c r="B6177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77" s="3" t="str">
        <f>HYPERLINK("https://otsuka-europe-crm.veevavault.com/ui/#object/sent_email__v/VBLZ025E82HRFLL", "SE-000290078")</f>
        <v>SE-000290078</v>
      </c>
      <c r="D6177" s="1">
        <v>45963.512407407405</v>
      </c>
      <c r="E6177" s="2">
        <v>1</v>
      </c>
      <c r="F6177" s="2">
        <v>3</v>
      </c>
      <c r="G6177" s="2">
        <v>1</v>
      </c>
      <c r="H6177" s="1">
        <v>45952.567800925928</v>
      </c>
      <c r="I6177" s="2">
        <v>4</v>
      </c>
      <c r="J6177" s="1">
        <v>45952.567083333335</v>
      </c>
    </row>
    <row r="6178" spans="1:10" x14ac:dyDescent="0.2">
      <c r="A6178" s="4" t="s">
        <v>1</v>
      </c>
      <c r="B6178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78" s="3" t="str">
        <f>HYPERLINK("https://otsuka-europe-crm.veevavault.com/ui/#object/sent_email__v/VBL000000002694", "SE-001379776")</f>
        <v>SE-001379776</v>
      </c>
      <c r="D6178" s="1" t="s">
        <v>0</v>
      </c>
      <c r="E6178" s="2">
        <v>0</v>
      </c>
      <c r="F6178" s="2">
        <v>0</v>
      </c>
      <c r="G6178" s="2">
        <v>0</v>
      </c>
      <c r="H6178" s="1" t="s">
        <v>0</v>
      </c>
      <c r="I6178" s="2">
        <v>0</v>
      </c>
      <c r="J6178" s="1">
        <v>45960.551921296297</v>
      </c>
    </row>
    <row r="6179" spans="1:10" x14ac:dyDescent="0.2">
      <c r="A6179" s="4" t="s">
        <v>1</v>
      </c>
      <c r="B6179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79" s="3" t="str">
        <f>HYPERLINK("https://otsuka-europe-crm.veevavault.com/ui/#object/sent_email__v/VBL00000000M479", "SE-001389503")</f>
        <v>SE-001389503</v>
      </c>
      <c r="D6179" s="1">
        <v>45973.63422453704</v>
      </c>
      <c r="E6179" s="2">
        <v>1</v>
      </c>
      <c r="F6179" s="2">
        <v>1</v>
      </c>
      <c r="G6179" s="2">
        <v>0</v>
      </c>
      <c r="H6179" s="1" t="s">
        <v>0</v>
      </c>
      <c r="I6179" s="2">
        <v>0</v>
      </c>
      <c r="J6179" s="1">
        <v>45973.477500000001</v>
      </c>
    </row>
    <row r="6180" spans="1:10" x14ac:dyDescent="0.2">
      <c r="A6180" s="4" t="s">
        <v>1</v>
      </c>
      <c r="B6180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80" s="3" t="str">
        <f>HYPERLINK("https://otsuka-europe-crm.veevavault.com/ui/#object/sent_email__v/VBL00000000J964", "SE-001389506")</f>
        <v>SE-001389506</v>
      </c>
      <c r="D6180" s="1" t="s">
        <v>0</v>
      </c>
      <c r="E6180" s="2">
        <v>0</v>
      </c>
      <c r="F6180" s="2">
        <v>0</v>
      </c>
      <c r="G6180" s="2">
        <v>0</v>
      </c>
      <c r="H6180" s="1" t="s">
        <v>0</v>
      </c>
      <c r="I6180" s="2">
        <v>0</v>
      </c>
      <c r="J6180" s="1">
        <v>45973.478067129632</v>
      </c>
    </row>
    <row r="6181" spans="1:10" x14ac:dyDescent="0.2">
      <c r="A6181" s="4" t="s">
        <v>1</v>
      </c>
      <c r="B6181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81" s="3" t="str">
        <f>HYPERLINK("https://otsuka-europe-crm.veevavault.com/ui/#object/sent_email__v/VBL00000000R477", "SE-001392116")</f>
        <v>SE-001392116</v>
      </c>
      <c r="D6181" s="1">
        <v>45990.031319444446</v>
      </c>
      <c r="E6181" s="2">
        <v>1</v>
      </c>
      <c r="F6181" s="2">
        <v>1</v>
      </c>
      <c r="G6181" s="2">
        <v>0</v>
      </c>
      <c r="H6181" s="1" t="s">
        <v>0</v>
      </c>
      <c r="I6181" s="2">
        <v>0</v>
      </c>
      <c r="J6181" s="1">
        <v>45989.638495370367</v>
      </c>
    </row>
    <row r="6182" spans="1:10" x14ac:dyDescent="0.2">
      <c r="A6182" s="4" t="s">
        <v>1</v>
      </c>
      <c r="B6182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82" s="3" t="str">
        <f>HYPERLINK("https://otsuka-europe-crm.veevavault.com/ui/#object/sent_email__v/VBL000000011145", "SE-001396852")</f>
        <v>SE-001396852</v>
      </c>
      <c r="D6182" s="1" t="s">
        <v>0</v>
      </c>
      <c r="E6182" s="2">
        <v>0</v>
      </c>
      <c r="F6182" s="2">
        <v>0</v>
      </c>
      <c r="G6182" s="2">
        <v>0</v>
      </c>
      <c r="H6182" s="1" t="s">
        <v>0</v>
      </c>
      <c r="I6182" s="2">
        <v>0</v>
      </c>
      <c r="J6182" s="1">
        <v>46007.344837962963</v>
      </c>
    </row>
    <row r="6183" spans="1:10" x14ac:dyDescent="0.2">
      <c r="A6183" s="4" t="s">
        <v>1</v>
      </c>
      <c r="B6183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83" s="3" t="str">
        <f>HYPERLINK("https://otsuka-europe-crm.veevavault.com/ui/#object/sent_email__v/VBL000000011146", "SE-001396853")</f>
        <v>SE-001396853</v>
      </c>
      <c r="D6183" s="1" t="s">
        <v>0</v>
      </c>
      <c r="E6183" s="2">
        <v>0</v>
      </c>
      <c r="F6183" s="2">
        <v>0</v>
      </c>
      <c r="G6183" s="2">
        <v>0</v>
      </c>
      <c r="H6183" s="1" t="s">
        <v>0</v>
      </c>
      <c r="I6183" s="2">
        <v>0</v>
      </c>
      <c r="J6183" s="1">
        <v>46007.344872685186</v>
      </c>
    </row>
    <row r="6184" spans="1:10" x14ac:dyDescent="0.2">
      <c r="A6184" s="4" t="s">
        <v>1</v>
      </c>
      <c r="B6184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84" s="3" t="str">
        <f>HYPERLINK("https://otsuka-europe-crm.veevavault.com/ui/#object/sent_email__v/VBL000000011147", "SE-001396854")</f>
        <v>SE-001396854</v>
      </c>
      <c r="D6184" s="1" t="s">
        <v>0</v>
      </c>
      <c r="E6184" s="2">
        <v>0</v>
      </c>
      <c r="F6184" s="2">
        <v>0</v>
      </c>
      <c r="G6184" s="2">
        <v>0</v>
      </c>
      <c r="H6184" s="1" t="s">
        <v>0</v>
      </c>
      <c r="I6184" s="2">
        <v>0</v>
      </c>
      <c r="J6184" s="1">
        <v>46007.344918981478</v>
      </c>
    </row>
    <row r="6185" spans="1:10" x14ac:dyDescent="0.2">
      <c r="A6185" s="4" t="s">
        <v>1</v>
      </c>
      <c r="B6185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85" s="3" t="str">
        <f>HYPERLINK("https://otsuka-europe-crm.veevavault.com/ui/#object/sent_email__v/VBL000000011148", "SE-001396855")</f>
        <v>SE-001396855</v>
      </c>
      <c r="D6185" s="1">
        <v>46007.436550925922</v>
      </c>
      <c r="E6185" s="2">
        <v>1</v>
      </c>
      <c r="F6185" s="2">
        <v>2</v>
      </c>
      <c r="G6185" s="2">
        <v>0</v>
      </c>
      <c r="H6185" s="1" t="s">
        <v>0</v>
      </c>
      <c r="I6185" s="2">
        <v>0</v>
      </c>
      <c r="J6185" s="1">
        <v>46007.344942129632</v>
      </c>
    </row>
    <row r="6186" spans="1:10" x14ac:dyDescent="0.2">
      <c r="A6186" s="4" t="s">
        <v>1</v>
      </c>
      <c r="B6186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86" s="3" t="str">
        <f>HYPERLINK("https://otsuka-europe-crm.veevavault.com/ui/#object/sent_email__v/VBL000000011149", "SE-001396856")</f>
        <v>SE-001396856</v>
      </c>
      <c r="D6186" s="1" t="s">
        <v>0</v>
      </c>
      <c r="E6186" s="2">
        <v>0</v>
      </c>
      <c r="F6186" s="2">
        <v>0</v>
      </c>
      <c r="G6186" s="2">
        <v>0</v>
      </c>
      <c r="H6186" s="1" t="s">
        <v>0</v>
      </c>
      <c r="I6186" s="2">
        <v>0</v>
      </c>
      <c r="J6186" s="1">
        <v>46007.344988425924</v>
      </c>
    </row>
    <row r="6187" spans="1:10" x14ac:dyDescent="0.2">
      <c r="A6187" s="4" t="s">
        <v>1</v>
      </c>
      <c r="B6187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87" s="3" t="str">
        <f>HYPERLINK("https://otsuka-europe-crm.veevavault.com/ui/#object/sent_email__v/VBL000000011150", "SE-001396857")</f>
        <v>SE-001396857</v>
      </c>
      <c r="D6187" s="1" t="s">
        <v>0</v>
      </c>
      <c r="E6187" s="2">
        <v>0</v>
      </c>
      <c r="F6187" s="2">
        <v>0</v>
      </c>
      <c r="G6187" s="2">
        <v>0</v>
      </c>
      <c r="H6187" s="1" t="s">
        <v>0</v>
      </c>
      <c r="I6187" s="2">
        <v>0</v>
      </c>
      <c r="J6187" s="1">
        <v>46007.345034722224</v>
      </c>
    </row>
    <row r="6188" spans="1:10" x14ac:dyDescent="0.2">
      <c r="A6188" s="4" t="s">
        <v>1</v>
      </c>
      <c r="B6188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88" s="3" t="str">
        <f>HYPERLINK("https://otsuka-europe-crm.veevavault.com/ui/#object/sent_email__v/VBL000000011151", "SE-001396858")</f>
        <v>SE-001396858</v>
      </c>
      <c r="D6188" s="1" t="s">
        <v>0</v>
      </c>
      <c r="E6188" s="2">
        <v>0</v>
      </c>
      <c r="F6188" s="2">
        <v>0</v>
      </c>
      <c r="G6188" s="2">
        <v>0</v>
      </c>
      <c r="H6188" s="1" t="s">
        <v>0</v>
      </c>
      <c r="I6188" s="2">
        <v>0</v>
      </c>
      <c r="J6188" s="1">
        <v>46007.345069444447</v>
      </c>
    </row>
    <row r="6189" spans="1:10" x14ac:dyDescent="0.2">
      <c r="A6189" s="4" t="s">
        <v>1</v>
      </c>
      <c r="B6189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89" s="3" t="str">
        <f>HYPERLINK("https://otsuka-europe-crm.veevavault.com/ui/#object/sent_email__v/VBL000000011152", "SE-001396859")</f>
        <v>SE-001396859</v>
      </c>
      <c r="D6189" s="1" t="s">
        <v>0</v>
      </c>
      <c r="E6189" s="2">
        <v>0</v>
      </c>
      <c r="F6189" s="2">
        <v>0</v>
      </c>
      <c r="G6189" s="2">
        <v>0</v>
      </c>
      <c r="H6189" s="1" t="s">
        <v>0</v>
      </c>
      <c r="I6189" s="2">
        <v>0</v>
      </c>
      <c r="J6189" s="1">
        <v>46007.345104166663</v>
      </c>
    </row>
    <row r="6190" spans="1:10" x14ac:dyDescent="0.2">
      <c r="A6190" s="4" t="s">
        <v>1</v>
      </c>
      <c r="B6190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90" s="3" t="str">
        <f>HYPERLINK("https://otsuka-europe-crm.veevavault.com/ui/#object/sent_email__v/VBL000000011153", "SE-001396860")</f>
        <v>SE-001396860</v>
      </c>
      <c r="D6190" s="1" t="s">
        <v>0</v>
      </c>
      <c r="E6190" s="2">
        <v>0</v>
      </c>
      <c r="F6190" s="2">
        <v>0</v>
      </c>
      <c r="G6190" s="2">
        <v>0</v>
      </c>
      <c r="H6190" s="1" t="s">
        <v>0</v>
      </c>
      <c r="I6190" s="2">
        <v>0</v>
      </c>
      <c r="J6190" s="1">
        <v>46007.345150462963</v>
      </c>
    </row>
    <row r="6191" spans="1:10" x14ac:dyDescent="0.2">
      <c r="A6191" s="4" t="s">
        <v>1</v>
      </c>
      <c r="B6191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91" s="3" t="str">
        <f>HYPERLINK("https://otsuka-europe-crm.veevavault.com/ui/#object/sent_email__v/VBL000000011154", "SE-001396861")</f>
        <v>SE-001396861</v>
      </c>
      <c r="D6191" s="1" t="s">
        <v>0</v>
      </c>
      <c r="E6191" s="2">
        <v>0</v>
      </c>
      <c r="F6191" s="2">
        <v>0</v>
      </c>
      <c r="G6191" s="2">
        <v>0</v>
      </c>
      <c r="H6191" s="1" t="s">
        <v>0</v>
      </c>
      <c r="I6191" s="2">
        <v>0</v>
      </c>
      <c r="J6191" s="1">
        <v>46007.345173611109</v>
      </c>
    </row>
    <row r="6192" spans="1:10" x14ac:dyDescent="0.2">
      <c r="A6192" s="4" t="s">
        <v>1</v>
      </c>
      <c r="B6192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92" s="3" t="str">
        <f>HYPERLINK("https://otsuka-europe-crm.veevavault.com/ui/#object/sent_email__v/VBL000000011155", "SE-001396862")</f>
        <v>SE-001396862</v>
      </c>
      <c r="D6192" s="1">
        <v>46007.389537037037</v>
      </c>
      <c r="E6192" s="2">
        <v>1</v>
      </c>
      <c r="F6192" s="2">
        <v>1</v>
      </c>
      <c r="G6192" s="2">
        <v>0</v>
      </c>
      <c r="H6192" s="1" t="s">
        <v>0</v>
      </c>
      <c r="I6192" s="2">
        <v>0</v>
      </c>
      <c r="J6192" s="1">
        <v>46007.345219907409</v>
      </c>
    </row>
    <row r="6193" spans="1:10" x14ac:dyDescent="0.2">
      <c r="A6193" s="4" t="s">
        <v>1</v>
      </c>
      <c r="B6193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93" s="3" t="str">
        <f>HYPERLINK("https://otsuka-europe-crm.veevavault.com/ui/#object/sent_email__v/VBL000000011156", "SE-001396863")</f>
        <v>SE-001396863</v>
      </c>
      <c r="D6193" s="1" t="s">
        <v>0</v>
      </c>
      <c r="E6193" s="2">
        <v>0</v>
      </c>
      <c r="F6193" s="2">
        <v>0</v>
      </c>
      <c r="G6193" s="2">
        <v>0</v>
      </c>
      <c r="H6193" s="1" t="s">
        <v>0</v>
      </c>
      <c r="I6193" s="2">
        <v>0</v>
      </c>
      <c r="J6193" s="1">
        <v>46007.345254629632</v>
      </c>
    </row>
    <row r="6194" spans="1:10" x14ac:dyDescent="0.2">
      <c r="A6194" s="4" t="s">
        <v>1</v>
      </c>
      <c r="B6194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94" s="3" t="str">
        <f>HYPERLINK("https://otsuka-europe-crm.veevavault.com/ui/#object/sent_email__v/VBL000000011157", "SE-001396864")</f>
        <v>SE-001396864</v>
      </c>
      <c r="D6194" s="1" t="s">
        <v>0</v>
      </c>
      <c r="E6194" s="2">
        <v>0</v>
      </c>
      <c r="F6194" s="2">
        <v>0</v>
      </c>
      <c r="G6194" s="2">
        <v>0</v>
      </c>
      <c r="H6194" s="1" t="s">
        <v>0</v>
      </c>
      <c r="I6194" s="2">
        <v>0</v>
      </c>
      <c r="J6194" s="1">
        <v>46007.345289351855</v>
      </c>
    </row>
    <row r="6195" spans="1:10" x14ac:dyDescent="0.2">
      <c r="A6195" s="4" t="s">
        <v>1</v>
      </c>
      <c r="B6195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95" s="3" t="str">
        <f>HYPERLINK("https://otsuka-europe-crm.veevavault.com/ui/#object/sent_email__v/VBL000000011158", "SE-001396865")</f>
        <v>SE-001396865</v>
      </c>
      <c r="D6195" s="1">
        <v>46007.563171296293</v>
      </c>
      <c r="E6195" s="2">
        <v>1</v>
      </c>
      <c r="F6195" s="2">
        <v>1</v>
      </c>
      <c r="G6195" s="2">
        <v>0</v>
      </c>
      <c r="H6195" s="1" t="s">
        <v>0</v>
      </c>
      <c r="I6195" s="2">
        <v>0</v>
      </c>
      <c r="J6195" s="1">
        <v>46007.345324074071</v>
      </c>
    </row>
    <row r="6196" spans="1:10" x14ac:dyDescent="0.2">
      <c r="A6196" s="4" t="s">
        <v>1</v>
      </c>
      <c r="B6196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96" s="3" t="str">
        <f>HYPERLINK("https://otsuka-europe-crm.veevavault.com/ui/#object/sent_email__v/VBL000000011159", "SE-001396866")</f>
        <v>SE-001396866</v>
      </c>
      <c r="D6196" s="1">
        <v>46009.635046296295</v>
      </c>
      <c r="E6196" s="2">
        <v>1</v>
      </c>
      <c r="F6196" s="2">
        <v>2</v>
      </c>
      <c r="G6196" s="2">
        <v>0</v>
      </c>
      <c r="H6196" s="1" t="s">
        <v>0</v>
      </c>
      <c r="I6196" s="2">
        <v>0</v>
      </c>
      <c r="J6196" s="1">
        <v>46007.345358796294</v>
      </c>
    </row>
    <row r="6197" spans="1:10" x14ac:dyDescent="0.2">
      <c r="A6197" s="4" t="s">
        <v>1</v>
      </c>
      <c r="B6197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97" s="3" t="str">
        <f>HYPERLINK("https://otsuka-europe-crm.veevavault.com/ui/#object/sent_email__v/VBL000000011160", "SE-001396867")</f>
        <v>SE-001396867</v>
      </c>
      <c r="D6197" s="1">
        <v>46029.4528587963</v>
      </c>
      <c r="E6197" s="2">
        <v>1</v>
      </c>
      <c r="F6197" s="2">
        <v>4</v>
      </c>
      <c r="G6197" s="2">
        <v>0</v>
      </c>
      <c r="H6197" s="1" t="s">
        <v>0</v>
      </c>
      <c r="I6197" s="2">
        <v>0</v>
      </c>
      <c r="J6197" s="1">
        <v>46007.345405092594</v>
      </c>
    </row>
    <row r="6198" spans="1:10" x14ac:dyDescent="0.2">
      <c r="A6198" s="4" t="s">
        <v>1</v>
      </c>
      <c r="B6198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98" s="3" t="str">
        <f>HYPERLINK("https://otsuka-europe-crm.veevavault.com/ui/#object/sent_email__v/VBL000000011161", "SE-001396868")</f>
        <v>SE-001396868</v>
      </c>
      <c r="D6198" s="1">
        <v>46007.354930555557</v>
      </c>
      <c r="E6198" s="2">
        <v>1</v>
      </c>
      <c r="F6198" s="2">
        <v>1</v>
      </c>
      <c r="G6198" s="2">
        <v>0</v>
      </c>
      <c r="H6198" s="1" t="s">
        <v>0</v>
      </c>
      <c r="I6198" s="2">
        <v>0</v>
      </c>
      <c r="J6198" s="1">
        <v>46007.345462962963</v>
      </c>
    </row>
    <row r="6199" spans="1:10" x14ac:dyDescent="0.2">
      <c r="A6199" s="4" t="s">
        <v>1</v>
      </c>
      <c r="B6199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199" s="3" t="str">
        <f>HYPERLINK("https://otsuka-europe-crm.veevavault.com/ui/#object/sent_email__v/VBL000000011162", "SE-001396869")</f>
        <v>SE-001396869</v>
      </c>
      <c r="D6199" s="1">
        <v>46007.607141203705</v>
      </c>
      <c r="E6199" s="2">
        <v>1</v>
      </c>
      <c r="F6199" s="2">
        <v>1</v>
      </c>
      <c r="G6199" s="2">
        <v>0</v>
      </c>
      <c r="H6199" s="1" t="s">
        <v>0</v>
      </c>
      <c r="I6199" s="2">
        <v>0</v>
      </c>
      <c r="J6199" s="1">
        <v>46007.34547453704</v>
      </c>
    </row>
    <row r="6200" spans="1:10" x14ac:dyDescent="0.2">
      <c r="A6200" s="4" t="s">
        <v>1</v>
      </c>
      <c r="B6200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00" s="3" t="str">
        <f>HYPERLINK("https://otsuka-europe-crm.veevavault.com/ui/#object/sent_email__v/VBL000000011163", "SE-001396870")</f>
        <v>SE-001396870</v>
      </c>
      <c r="D6200" s="1">
        <v>46008.922835648147</v>
      </c>
      <c r="E6200" s="2">
        <v>1</v>
      </c>
      <c r="F6200" s="2">
        <v>1</v>
      </c>
      <c r="G6200" s="2">
        <v>0</v>
      </c>
      <c r="H6200" s="1" t="s">
        <v>0</v>
      </c>
      <c r="I6200" s="2">
        <v>0</v>
      </c>
      <c r="J6200" s="1">
        <v>46007.345520833333</v>
      </c>
    </row>
    <row r="6201" spans="1:10" x14ac:dyDescent="0.2">
      <c r="A6201" s="4" t="s">
        <v>1</v>
      </c>
      <c r="B6201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01" s="3" t="str">
        <f>HYPERLINK("https://otsuka-europe-crm.veevavault.com/ui/#object/sent_email__v/VBL000000011164", "SE-001396871")</f>
        <v>SE-001396871</v>
      </c>
      <c r="D6201" s="1">
        <v>46007.442615740743</v>
      </c>
      <c r="E6201" s="2">
        <v>1</v>
      </c>
      <c r="F6201" s="2">
        <v>1</v>
      </c>
      <c r="G6201" s="2">
        <v>0</v>
      </c>
      <c r="H6201" s="1" t="s">
        <v>0</v>
      </c>
      <c r="I6201" s="2">
        <v>0</v>
      </c>
      <c r="J6201" s="1">
        <v>46007.345543981479</v>
      </c>
    </row>
    <row r="6202" spans="1:10" x14ac:dyDescent="0.2">
      <c r="A6202" s="4" t="s">
        <v>1</v>
      </c>
      <c r="B6202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02" s="3" t="str">
        <f>HYPERLINK("https://otsuka-europe-crm.veevavault.com/ui/#object/sent_email__v/VBL000000011165", "SE-001396872")</f>
        <v>SE-001396872</v>
      </c>
      <c r="D6202" s="1" t="s">
        <v>0</v>
      </c>
      <c r="E6202" s="2">
        <v>0</v>
      </c>
      <c r="F6202" s="2">
        <v>0</v>
      </c>
      <c r="G6202" s="2">
        <v>0</v>
      </c>
      <c r="H6202" s="1" t="s">
        <v>0</v>
      </c>
      <c r="I6202" s="2">
        <v>0</v>
      </c>
      <c r="J6202" s="1">
        <v>46007.345590277779</v>
      </c>
    </row>
    <row r="6203" spans="1:10" x14ac:dyDescent="0.2">
      <c r="A6203" s="4" t="s">
        <v>1</v>
      </c>
      <c r="B6203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03" s="3" t="str">
        <f>HYPERLINK("https://otsuka-europe-crm.veevavault.com/ui/#object/sent_email__v/VBL000000011166", "SE-001396873")</f>
        <v>SE-001396873</v>
      </c>
      <c r="D6203" s="1" t="s">
        <v>0</v>
      </c>
      <c r="E6203" s="2">
        <v>0</v>
      </c>
      <c r="F6203" s="2">
        <v>0</v>
      </c>
      <c r="G6203" s="2">
        <v>0</v>
      </c>
      <c r="H6203" s="1" t="s">
        <v>0</v>
      </c>
      <c r="I6203" s="2">
        <v>0</v>
      </c>
      <c r="J6203" s="1">
        <v>46007.345636574071</v>
      </c>
    </row>
    <row r="6204" spans="1:10" x14ac:dyDescent="0.2">
      <c r="A6204" s="4" t="s">
        <v>1</v>
      </c>
      <c r="B6204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04" s="3" t="str">
        <f>HYPERLINK("https://otsuka-europe-crm.veevavault.com/ui/#object/sent_email__v/VBL000000011167", "SE-001396874")</f>
        <v>SE-001396874</v>
      </c>
      <c r="D6204" s="1">
        <v>46007.569432870368</v>
      </c>
      <c r="E6204" s="2">
        <v>1</v>
      </c>
      <c r="F6204" s="2">
        <v>2</v>
      </c>
      <c r="G6204" s="2">
        <v>0</v>
      </c>
      <c r="H6204" s="1" t="s">
        <v>0</v>
      </c>
      <c r="I6204" s="2">
        <v>0</v>
      </c>
      <c r="J6204" s="1">
        <v>46007.345682870371</v>
      </c>
    </row>
    <row r="6205" spans="1:10" x14ac:dyDescent="0.2">
      <c r="A6205" s="4" t="s">
        <v>1</v>
      </c>
      <c r="B6205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05" s="3" t="str">
        <f>HYPERLINK("https://otsuka-europe-crm.veevavault.com/ui/#object/sent_email__v/VBL000000011168", "SE-001396875")</f>
        <v>SE-001396875</v>
      </c>
      <c r="D6205" s="1">
        <v>46010.951539351852</v>
      </c>
      <c r="E6205" s="2">
        <v>1</v>
      </c>
      <c r="F6205" s="2">
        <v>3</v>
      </c>
      <c r="G6205" s="2">
        <v>0</v>
      </c>
      <c r="H6205" s="1" t="s">
        <v>0</v>
      </c>
      <c r="I6205" s="2">
        <v>0</v>
      </c>
      <c r="J6205" s="1">
        <v>46007.345717592594</v>
      </c>
    </row>
    <row r="6206" spans="1:10" x14ac:dyDescent="0.2">
      <c r="A6206" s="4" t="s">
        <v>1</v>
      </c>
      <c r="B6206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06" s="3" t="str">
        <f>HYPERLINK("https://otsuka-europe-crm.veevavault.com/ui/#object/sent_email__v/VBL000000011169", "SE-001396876")</f>
        <v>SE-001396876</v>
      </c>
      <c r="D6206" s="1">
        <v>46007.410486111112</v>
      </c>
      <c r="E6206" s="2">
        <v>1</v>
      </c>
      <c r="F6206" s="2">
        <v>1</v>
      </c>
      <c r="G6206" s="2">
        <v>0</v>
      </c>
      <c r="H6206" s="1" t="s">
        <v>0</v>
      </c>
      <c r="I6206" s="2">
        <v>0</v>
      </c>
      <c r="J6206" s="1">
        <v>46007.345752314817</v>
      </c>
    </row>
    <row r="6207" spans="1:10" x14ac:dyDescent="0.2">
      <c r="A6207" s="4" t="s">
        <v>1</v>
      </c>
      <c r="B6207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07" s="3" t="str">
        <f>HYPERLINK("https://otsuka-europe-crm.veevavault.com/ui/#object/sent_email__v/VBL000000011170", "SE-001396877")</f>
        <v>SE-001396877</v>
      </c>
      <c r="D6207" s="1" t="s">
        <v>0</v>
      </c>
      <c r="E6207" s="2">
        <v>0</v>
      </c>
      <c r="F6207" s="2">
        <v>0</v>
      </c>
      <c r="G6207" s="2">
        <v>0</v>
      </c>
      <c r="H6207" s="1" t="s">
        <v>0</v>
      </c>
      <c r="I6207" s="2">
        <v>0</v>
      </c>
      <c r="J6207" s="1">
        <v>46007.34579861111</v>
      </c>
    </row>
    <row r="6208" spans="1:10" x14ac:dyDescent="0.2">
      <c r="A6208" s="4" t="s">
        <v>1</v>
      </c>
      <c r="B6208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08" s="3" t="str">
        <f>HYPERLINK("https://otsuka-europe-crm.veevavault.com/ui/#object/sent_email__v/VBL000000011171", "SE-001396878")</f>
        <v>SE-001396878</v>
      </c>
      <c r="D6208" s="1">
        <v>46007.381076388891</v>
      </c>
      <c r="E6208" s="2">
        <v>1</v>
      </c>
      <c r="F6208" s="2">
        <v>3</v>
      </c>
      <c r="G6208" s="2">
        <v>0</v>
      </c>
      <c r="H6208" s="1" t="s">
        <v>0</v>
      </c>
      <c r="I6208" s="2">
        <v>0</v>
      </c>
      <c r="J6208" s="1">
        <v>46007.345833333333</v>
      </c>
    </row>
    <row r="6209" spans="1:10" x14ac:dyDescent="0.2">
      <c r="A6209" s="4" t="s">
        <v>1</v>
      </c>
      <c r="B6209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09" s="3" t="str">
        <f>HYPERLINK("https://otsuka-europe-crm.veevavault.com/ui/#object/sent_email__v/VBL000000011172", "SE-001396879")</f>
        <v>SE-001396879</v>
      </c>
      <c r="D6209" s="1" t="s">
        <v>0</v>
      </c>
      <c r="E6209" s="2">
        <v>0</v>
      </c>
      <c r="F6209" s="2">
        <v>0</v>
      </c>
      <c r="G6209" s="2">
        <v>0</v>
      </c>
      <c r="H6209" s="1" t="s">
        <v>0</v>
      </c>
      <c r="I6209" s="2">
        <v>0</v>
      </c>
      <c r="J6209" s="1">
        <v>46007.345891203702</v>
      </c>
    </row>
    <row r="6210" spans="1:10" x14ac:dyDescent="0.2">
      <c r="A6210" s="4" t="s">
        <v>1</v>
      </c>
      <c r="B6210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10" s="3" t="str">
        <f>HYPERLINK("https://otsuka-europe-crm.veevavault.com/ui/#object/sent_email__v/VBL000000011173", "SE-001396880")</f>
        <v>SE-001396880</v>
      </c>
      <c r="D6210" s="1">
        <v>46007.886643518519</v>
      </c>
      <c r="E6210" s="2">
        <v>1</v>
      </c>
      <c r="F6210" s="2">
        <v>1</v>
      </c>
      <c r="G6210" s="2">
        <v>0</v>
      </c>
      <c r="H6210" s="1" t="s">
        <v>0</v>
      </c>
      <c r="I6210" s="2">
        <v>0</v>
      </c>
      <c r="J6210" s="1">
        <v>46007.345914351848</v>
      </c>
    </row>
    <row r="6211" spans="1:10" x14ac:dyDescent="0.2">
      <c r="A6211" s="4" t="s">
        <v>1</v>
      </c>
      <c r="B6211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11" s="3" t="str">
        <f>HYPERLINK("https://otsuka-europe-crm.veevavault.com/ui/#object/sent_email__v/VBL000000011174", "SE-001396881")</f>
        <v>SE-001396881</v>
      </c>
      <c r="D6211" s="1">
        <v>46077.476226851853</v>
      </c>
      <c r="E6211" s="2">
        <v>1</v>
      </c>
      <c r="F6211" s="2">
        <v>2</v>
      </c>
      <c r="G6211" s="2">
        <v>0</v>
      </c>
      <c r="H6211" s="1" t="s">
        <v>0</v>
      </c>
      <c r="I6211" s="2">
        <v>0</v>
      </c>
      <c r="J6211" s="1">
        <v>46007.345949074072</v>
      </c>
    </row>
    <row r="6212" spans="1:10" x14ac:dyDescent="0.2">
      <c r="A6212" s="4" t="s">
        <v>1</v>
      </c>
      <c r="B6212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12" s="3" t="str">
        <f>HYPERLINK("https://otsuka-europe-crm.veevavault.com/ui/#object/sent_email__v/VBL000000011175", "SE-001396882")</f>
        <v>SE-001396882</v>
      </c>
      <c r="D6212" s="1">
        <v>46007.359085648146</v>
      </c>
      <c r="E6212" s="2">
        <v>1</v>
      </c>
      <c r="F6212" s="2">
        <v>2</v>
      </c>
      <c r="G6212" s="2">
        <v>0</v>
      </c>
      <c r="H6212" s="1" t="s">
        <v>0</v>
      </c>
      <c r="I6212" s="2">
        <v>0</v>
      </c>
      <c r="J6212" s="1">
        <v>46007.345983796295</v>
      </c>
    </row>
    <row r="6213" spans="1:10" x14ac:dyDescent="0.2">
      <c r="A6213" s="4" t="s">
        <v>1</v>
      </c>
      <c r="B6213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13" s="3" t="str">
        <f>HYPERLINK("https://otsuka-europe-crm.veevavault.com/ui/#object/sent_email__v/VBL000000011176", "SE-001396883")</f>
        <v>SE-001396883</v>
      </c>
      <c r="D6213" s="1" t="s">
        <v>0</v>
      </c>
      <c r="E6213" s="2">
        <v>0</v>
      </c>
      <c r="F6213" s="2">
        <v>0</v>
      </c>
      <c r="G6213" s="2">
        <v>0</v>
      </c>
      <c r="H6213" s="1" t="s">
        <v>0</v>
      </c>
      <c r="I6213" s="2">
        <v>0</v>
      </c>
      <c r="J6213" s="1">
        <v>46007.346030092594</v>
      </c>
    </row>
    <row r="6214" spans="1:10" x14ac:dyDescent="0.2">
      <c r="A6214" s="4" t="s">
        <v>1</v>
      </c>
      <c r="B6214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14" s="3" t="str">
        <f>HYPERLINK("https://otsuka-europe-crm.veevavault.com/ui/#object/sent_email__v/VBL000000011177", "SE-001396884")</f>
        <v>SE-001396884</v>
      </c>
      <c r="D6214" s="1">
        <v>46007.776516203703</v>
      </c>
      <c r="E6214" s="2">
        <v>1</v>
      </c>
      <c r="F6214" s="2">
        <v>1</v>
      </c>
      <c r="G6214" s="2">
        <v>0</v>
      </c>
      <c r="H6214" s="1" t="s">
        <v>0</v>
      </c>
      <c r="I6214" s="2">
        <v>0</v>
      </c>
      <c r="J6214" s="1">
        <v>46007.346377314818</v>
      </c>
    </row>
    <row r="6215" spans="1:10" x14ac:dyDescent="0.2">
      <c r="A6215" s="4" t="s">
        <v>1</v>
      </c>
      <c r="B6215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15" s="3" t="str">
        <f>HYPERLINK("https://otsuka-europe-crm.veevavault.com/ui/#object/sent_email__v/VBL000000011178", "SE-001396885")</f>
        <v>SE-001396885</v>
      </c>
      <c r="D6215" s="1" t="s">
        <v>0</v>
      </c>
      <c r="E6215" s="2">
        <v>0</v>
      </c>
      <c r="F6215" s="2">
        <v>0</v>
      </c>
      <c r="G6215" s="2">
        <v>0</v>
      </c>
      <c r="H6215" s="1" t="s">
        <v>0</v>
      </c>
      <c r="I6215" s="2">
        <v>0</v>
      </c>
      <c r="J6215" s="1">
        <v>46007.346458333333</v>
      </c>
    </row>
    <row r="6216" spans="1:10" x14ac:dyDescent="0.2">
      <c r="A6216" s="4" t="s">
        <v>1</v>
      </c>
      <c r="B6216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16" s="3" t="str">
        <f>HYPERLINK("https://otsuka-europe-crm.veevavault.com/ui/#object/sent_email__v/VBL000000011179", "SE-001396886")</f>
        <v>SE-001396886</v>
      </c>
      <c r="D6216" s="1">
        <v>46007.348981481482</v>
      </c>
      <c r="E6216" s="2">
        <v>1</v>
      </c>
      <c r="F6216" s="2">
        <v>1</v>
      </c>
      <c r="G6216" s="2">
        <v>0</v>
      </c>
      <c r="H6216" s="1" t="s">
        <v>0</v>
      </c>
      <c r="I6216" s="2">
        <v>0</v>
      </c>
      <c r="J6216" s="1">
        <v>46007.34652777778</v>
      </c>
    </row>
    <row r="6217" spans="1:10" x14ac:dyDescent="0.2">
      <c r="A6217" s="4" t="s">
        <v>1</v>
      </c>
      <c r="B6217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17" s="3" t="str">
        <f>HYPERLINK("https://otsuka-europe-crm.veevavault.com/ui/#object/sent_email__v/VBL000000011180", "SE-001396887")</f>
        <v>SE-001396887</v>
      </c>
      <c r="D6217" s="1" t="s">
        <v>0</v>
      </c>
      <c r="E6217" s="2">
        <v>0</v>
      </c>
      <c r="F6217" s="2">
        <v>0</v>
      </c>
      <c r="G6217" s="2">
        <v>0</v>
      </c>
      <c r="H6217" s="1" t="s">
        <v>0</v>
      </c>
      <c r="I6217" s="2">
        <v>0</v>
      </c>
      <c r="J6217" s="1">
        <v>46007.346574074072</v>
      </c>
    </row>
    <row r="6218" spans="1:10" x14ac:dyDescent="0.2">
      <c r="A6218" s="4" t="s">
        <v>1</v>
      </c>
      <c r="B6218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18" s="3" t="str">
        <f>HYPERLINK("https://otsuka-europe-crm.veevavault.com/ui/#object/sent_email__v/VBL000000011181", "SE-001396888")</f>
        <v>SE-001396888</v>
      </c>
      <c r="D6218" s="1">
        <v>46022.672349537039</v>
      </c>
      <c r="E6218" s="2">
        <v>1</v>
      </c>
      <c r="F6218" s="2">
        <v>2</v>
      </c>
      <c r="G6218" s="2">
        <v>0</v>
      </c>
      <c r="H6218" s="1" t="s">
        <v>0</v>
      </c>
      <c r="I6218" s="2">
        <v>0</v>
      </c>
      <c r="J6218" s="1">
        <v>46007.346597222226</v>
      </c>
    </row>
    <row r="6219" spans="1:10" x14ac:dyDescent="0.2">
      <c r="A6219" s="4" t="s">
        <v>1</v>
      </c>
      <c r="B6219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19" s="3" t="str">
        <f>HYPERLINK("https://otsuka-europe-crm.veevavault.com/ui/#object/sent_email__v/VBL000000011182", "SE-001396889")</f>
        <v>SE-001396889</v>
      </c>
      <c r="D6219" s="1" t="s">
        <v>0</v>
      </c>
      <c r="E6219" s="2">
        <v>0</v>
      </c>
      <c r="F6219" s="2">
        <v>0</v>
      </c>
      <c r="G6219" s="2">
        <v>0</v>
      </c>
      <c r="H6219" s="1" t="s">
        <v>0</v>
      </c>
      <c r="I6219" s="2">
        <v>0</v>
      </c>
      <c r="J6219" s="1">
        <v>46007.346412037034</v>
      </c>
    </row>
    <row r="6220" spans="1:10" x14ac:dyDescent="0.2">
      <c r="A6220" s="4" t="s">
        <v>1</v>
      </c>
      <c r="B6220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20" s="3" t="str">
        <f>HYPERLINK("https://otsuka-europe-crm.veevavault.com/ui/#object/sent_email__v/VBL000000011183", "SE-001396890")</f>
        <v>SE-001396890</v>
      </c>
      <c r="D6220" s="1">
        <v>46009.099444444444</v>
      </c>
      <c r="E6220" s="2">
        <v>1</v>
      </c>
      <c r="F6220" s="2">
        <v>2</v>
      </c>
      <c r="G6220" s="2">
        <v>0</v>
      </c>
      <c r="H6220" s="1" t="s">
        <v>0</v>
      </c>
      <c r="I6220" s="2">
        <v>0</v>
      </c>
      <c r="J6220" s="1">
        <v>46007.346435185187</v>
      </c>
    </row>
    <row r="6221" spans="1:10" x14ac:dyDescent="0.2">
      <c r="A6221" s="4" t="s">
        <v>1</v>
      </c>
      <c r="B6221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21" s="3" t="str">
        <f>HYPERLINK("https://otsuka-europe-crm.veevavault.com/ui/#object/sent_email__v/VBL000000011184", "SE-001396891")</f>
        <v>SE-001396891</v>
      </c>
      <c r="D6221" s="1">
        <v>46007.51866898148</v>
      </c>
      <c r="E6221" s="2">
        <v>1</v>
      </c>
      <c r="F6221" s="2">
        <v>1</v>
      </c>
      <c r="G6221" s="2">
        <v>1</v>
      </c>
      <c r="H6221" s="1">
        <v>46007.519745370373</v>
      </c>
      <c r="I6221" s="2">
        <v>1</v>
      </c>
      <c r="J6221" s="1">
        <v>46007.34648148148</v>
      </c>
    </row>
    <row r="6222" spans="1:10" x14ac:dyDescent="0.2">
      <c r="A6222" s="4" t="s">
        <v>1</v>
      </c>
      <c r="B6222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22" s="3" t="str">
        <f>HYPERLINK("https://otsuka-europe-crm.veevavault.com/ui/#object/sent_email__v/VBL000000011185", "SE-001396892")</f>
        <v>SE-001396892</v>
      </c>
      <c r="D6222" s="1" t="s">
        <v>0</v>
      </c>
      <c r="E6222" s="2">
        <v>0</v>
      </c>
      <c r="F6222" s="2">
        <v>0</v>
      </c>
      <c r="G6222" s="2">
        <v>0</v>
      </c>
      <c r="H6222" s="1" t="s">
        <v>0</v>
      </c>
      <c r="I6222" s="2">
        <v>0</v>
      </c>
      <c r="J6222" s="1">
        <v>46007.346516203703</v>
      </c>
    </row>
    <row r="6223" spans="1:10" x14ac:dyDescent="0.2">
      <c r="A6223" s="4" t="s">
        <v>1</v>
      </c>
      <c r="B6223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23" s="3" t="str">
        <f>HYPERLINK("https://otsuka-europe-crm.veevavault.com/ui/#object/sent_email__v/VBL000000011186", "SE-001396893")</f>
        <v>SE-001396893</v>
      </c>
      <c r="D6223" s="1" t="s">
        <v>0</v>
      </c>
      <c r="E6223" s="2">
        <v>0</v>
      </c>
      <c r="F6223" s="2">
        <v>0</v>
      </c>
      <c r="G6223" s="2">
        <v>0</v>
      </c>
      <c r="H6223" s="1" t="s">
        <v>0</v>
      </c>
      <c r="I6223" s="2">
        <v>0</v>
      </c>
      <c r="J6223" s="1">
        <v>46007.346562500003</v>
      </c>
    </row>
    <row r="6224" spans="1:10" x14ac:dyDescent="0.2">
      <c r="A6224" s="4" t="s">
        <v>1</v>
      </c>
      <c r="B6224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24" s="3" t="str">
        <f>HYPERLINK("https://otsuka-europe-crm.veevavault.com/ui/#object/sent_email__v/VBL000000011187", "SE-001396894")</f>
        <v>SE-001396894</v>
      </c>
      <c r="D6224" s="1">
        <v>46007.657812500001</v>
      </c>
      <c r="E6224" s="2">
        <v>1</v>
      </c>
      <c r="F6224" s="2">
        <v>1</v>
      </c>
      <c r="G6224" s="2">
        <v>0</v>
      </c>
      <c r="H6224" s="1" t="s">
        <v>0</v>
      </c>
      <c r="I6224" s="2">
        <v>0</v>
      </c>
      <c r="J6224" s="1">
        <v>46007.346597222226</v>
      </c>
    </row>
    <row r="6225" spans="1:10" x14ac:dyDescent="0.2">
      <c r="A6225" s="4" t="s">
        <v>1</v>
      </c>
      <c r="B6225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25" s="3" t="str">
        <f>HYPERLINK("https://otsuka-europe-crm.veevavault.com/ui/#object/sent_email__v/VBL000000011188", "SE-001396895")</f>
        <v>SE-001396895</v>
      </c>
      <c r="D6225" s="1" t="s">
        <v>0</v>
      </c>
      <c r="E6225" s="2">
        <v>0</v>
      </c>
      <c r="F6225" s="2">
        <v>0</v>
      </c>
      <c r="G6225" s="2">
        <v>0</v>
      </c>
      <c r="H6225" s="1" t="s">
        <v>0</v>
      </c>
      <c r="I6225" s="2">
        <v>0</v>
      </c>
      <c r="J6225" s="1">
        <v>46007.346643518518</v>
      </c>
    </row>
    <row r="6226" spans="1:10" x14ac:dyDescent="0.2">
      <c r="A6226" s="4" t="s">
        <v>1</v>
      </c>
      <c r="B6226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26" s="3" t="str">
        <f>HYPERLINK("https://otsuka-europe-crm.veevavault.com/ui/#object/sent_email__v/VBL000000011189", "SE-001396896")</f>
        <v>SE-001396896</v>
      </c>
      <c r="D6226" s="1">
        <v>46049.815266203703</v>
      </c>
      <c r="E6226" s="2">
        <v>1</v>
      </c>
      <c r="F6226" s="2">
        <v>2</v>
      </c>
      <c r="G6226" s="2">
        <v>0</v>
      </c>
      <c r="H6226" s="1" t="s">
        <v>0</v>
      </c>
      <c r="I6226" s="2">
        <v>0</v>
      </c>
      <c r="J6226" s="1">
        <v>46007.346678240741</v>
      </c>
    </row>
    <row r="6227" spans="1:10" x14ac:dyDescent="0.2">
      <c r="A6227" s="4" t="s">
        <v>1</v>
      </c>
      <c r="B6227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27" s="3" t="str">
        <f>HYPERLINK("https://otsuka-europe-crm.veevavault.com/ui/#object/sent_email__v/VBL000000011190", "SE-001396897")</f>
        <v>SE-001396897</v>
      </c>
      <c r="D6227" s="1" t="s">
        <v>0</v>
      </c>
      <c r="E6227" s="2">
        <v>0</v>
      </c>
      <c r="F6227" s="2">
        <v>0</v>
      </c>
      <c r="G6227" s="2">
        <v>0</v>
      </c>
      <c r="H6227" s="1" t="s">
        <v>0</v>
      </c>
      <c r="I6227" s="2">
        <v>0</v>
      </c>
      <c r="J6227" s="1">
        <v>46007.346724537034</v>
      </c>
    </row>
    <row r="6228" spans="1:10" x14ac:dyDescent="0.2">
      <c r="A6228" s="4" t="s">
        <v>1</v>
      </c>
      <c r="B6228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28" s="3" t="str">
        <f>HYPERLINK("https://otsuka-europe-crm.veevavault.com/ui/#object/sent_email__v/VBL000000011191", "SE-001396898")</f>
        <v>SE-001396898</v>
      </c>
      <c r="D6228" s="1">
        <v>46007.608518518522</v>
      </c>
      <c r="E6228" s="2">
        <v>1</v>
      </c>
      <c r="F6228" s="2">
        <v>2</v>
      </c>
      <c r="G6228" s="2">
        <v>1</v>
      </c>
      <c r="H6228" s="1">
        <v>46007.608900462961</v>
      </c>
      <c r="I6228" s="2">
        <v>1</v>
      </c>
      <c r="J6228" s="1">
        <v>46007.346759259257</v>
      </c>
    </row>
    <row r="6229" spans="1:10" x14ac:dyDescent="0.2">
      <c r="A6229" s="4" t="s">
        <v>1</v>
      </c>
      <c r="B6229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29" s="3" t="str">
        <f>HYPERLINK("https://otsuka-europe-crm.veevavault.com/ui/#object/sent_email__v/VBL000000011192", "SE-001396899")</f>
        <v>SE-001396899</v>
      </c>
      <c r="D6229" s="1" t="s">
        <v>0</v>
      </c>
      <c r="E6229" s="2">
        <v>0</v>
      </c>
      <c r="F6229" s="2">
        <v>0</v>
      </c>
      <c r="G6229" s="2">
        <v>0</v>
      </c>
      <c r="H6229" s="1" t="s">
        <v>0</v>
      </c>
      <c r="I6229" s="2">
        <v>0</v>
      </c>
      <c r="J6229" s="1">
        <v>46007.34679398148</v>
      </c>
    </row>
    <row r="6230" spans="1:10" x14ac:dyDescent="0.2">
      <c r="A6230" s="4" t="s">
        <v>1</v>
      </c>
      <c r="B6230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30" s="3" t="str">
        <f>HYPERLINK("https://otsuka-europe-crm.veevavault.com/ui/#object/sent_email__v/VBL000000011193", "SE-001396900")</f>
        <v>SE-001396900</v>
      </c>
      <c r="D6230" s="1">
        <v>46008.226666666669</v>
      </c>
      <c r="E6230" s="2">
        <v>1</v>
      </c>
      <c r="F6230" s="2">
        <v>7</v>
      </c>
      <c r="G6230" s="2">
        <v>0</v>
      </c>
      <c r="H6230" s="1" t="s">
        <v>0</v>
      </c>
      <c r="I6230" s="2">
        <v>0</v>
      </c>
      <c r="J6230" s="1">
        <v>46007.346828703703</v>
      </c>
    </row>
    <row r="6231" spans="1:10" x14ac:dyDescent="0.2">
      <c r="A6231" s="4" t="s">
        <v>1</v>
      </c>
      <c r="B6231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31" s="3" t="str">
        <f>HYPERLINK("https://otsuka-europe-crm.veevavault.com/ui/#object/sent_email__v/VBL000000011194", "SE-001396901")</f>
        <v>SE-001396901</v>
      </c>
      <c r="D6231" s="1">
        <v>46008.803101851852</v>
      </c>
      <c r="E6231" s="2">
        <v>1</v>
      </c>
      <c r="F6231" s="2">
        <v>2</v>
      </c>
      <c r="G6231" s="2">
        <v>1</v>
      </c>
      <c r="H6231" s="1">
        <v>46008.802951388891</v>
      </c>
      <c r="I6231" s="2">
        <v>1</v>
      </c>
      <c r="J6231" s="1">
        <v>46007.346863425926</v>
      </c>
    </row>
    <row r="6232" spans="1:10" x14ac:dyDescent="0.2">
      <c r="A6232" s="4" t="s">
        <v>1</v>
      </c>
      <c r="B6232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32" s="3" t="str">
        <f>HYPERLINK("https://otsuka-europe-crm.veevavault.com/ui/#object/sent_email__v/VBL000000011195", "SE-001396902")</f>
        <v>SE-001396902</v>
      </c>
      <c r="D6232" s="1">
        <v>46019.61204861111</v>
      </c>
      <c r="E6232" s="2">
        <v>1</v>
      </c>
      <c r="F6232" s="2">
        <v>2</v>
      </c>
      <c r="G6232" s="2">
        <v>0</v>
      </c>
      <c r="H6232" s="1" t="s">
        <v>0</v>
      </c>
      <c r="I6232" s="2">
        <v>0</v>
      </c>
      <c r="J6232" s="1">
        <v>46007.346909722219</v>
      </c>
    </row>
    <row r="6233" spans="1:10" x14ac:dyDescent="0.2">
      <c r="A6233" s="4" t="s">
        <v>1</v>
      </c>
      <c r="B6233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33" s="3" t="str">
        <f>HYPERLINK("https://otsuka-europe-crm.veevavault.com/ui/#object/sent_email__v/VBL000000011196", "SE-001396903")</f>
        <v>SE-001396903</v>
      </c>
      <c r="D6233" s="1">
        <v>46007.773831018516</v>
      </c>
      <c r="E6233" s="2">
        <v>1</v>
      </c>
      <c r="F6233" s="2">
        <v>1</v>
      </c>
      <c r="G6233" s="2">
        <v>0</v>
      </c>
      <c r="H6233" s="1" t="s">
        <v>0</v>
      </c>
      <c r="I6233" s="2">
        <v>0</v>
      </c>
      <c r="J6233" s="1">
        <v>46007.346944444442</v>
      </c>
    </row>
    <row r="6234" spans="1:10" x14ac:dyDescent="0.2">
      <c r="A6234" s="4" t="s">
        <v>1</v>
      </c>
      <c r="B6234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34" s="3" t="str">
        <f>HYPERLINK("https://otsuka-europe-crm.veevavault.com/ui/#object/sent_email__v/VBL000000011197", "SE-001396904")</f>
        <v>SE-001396904</v>
      </c>
      <c r="D6234" s="1">
        <v>46007.34983796296</v>
      </c>
      <c r="E6234" s="2">
        <v>1</v>
      </c>
      <c r="F6234" s="2">
        <v>2</v>
      </c>
      <c r="G6234" s="2">
        <v>0</v>
      </c>
      <c r="H6234" s="1" t="s">
        <v>0</v>
      </c>
      <c r="I6234" s="2">
        <v>0</v>
      </c>
      <c r="J6234" s="1">
        <v>46007.346979166665</v>
      </c>
    </row>
    <row r="6235" spans="1:10" x14ac:dyDescent="0.2">
      <c r="A6235" s="4" t="s">
        <v>1</v>
      </c>
      <c r="B6235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35" s="3" t="str">
        <f>HYPERLINK("https://otsuka-europe-crm.veevavault.com/ui/#object/sent_email__v/VBL000000011198", "SE-001396905")</f>
        <v>SE-001396905</v>
      </c>
      <c r="D6235" s="1" t="s">
        <v>0</v>
      </c>
      <c r="E6235" s="2">
        <v>0</v>
      </c>
      <c r="F6235" s="2">
        <v>0</v>
      </c>
      <c r="G6235" s="2">
        <v>0</v>
      </c>
      <c r="H6235" s="1" t="s">
        <v>0</v>
      </c>
      <c r="I6235" s="2">
        <v>0</v>
      </c>
      <c r="J6235" s="1">
        <v>46007.347025462965</v>
      </c>
    </row>
    <row r="6236" spans="1:10" x14ac:dyDescent="0.2">
      <c r="A6236" s="4" t="s">
        <v>1</v>
      </c>
      <c r="B6236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36" s="3" t="str">
        <f>HYPERLINK("https://otsuka-europe-crm.veevavault.com/ui/#object/sent_email__v/VBL000000011199", "SE-001396906")</f>
        <v>SE-001396906</v>
      </c>
      <c r="D6236" s="1">
        <v>46007.407256944447</v>
      </c>
      <c r="E6236" s="2">
        <v>1</v>
      </c>
      <c r="F6236" s="2">
        <v>1</v>
      </c>
      <c r="G6236" s="2">
        <v>0</v>
      </c>
      <c r="H6236" s="1" t="s">
        <v>0</v>
      </c>
      <c r="I6236" s="2">
        <v>0</v>
      </c>
      <c r="J6236" s="1">
        <v>46007.347060185188</v>
      </c>
    </row>
    <row r="6237" spans="1:10" x14ac:dyDescent="0.2">
      <c r="A6237" s="4" t="s">
        <v>1</v>
      </c>
      <c r="B6237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37" s="3" t="str">
        <f>HYPERLINK("https://otsuka-europe-crm.veevavault.com/ui/#object/sent_email__v/VBL000000011200", "SE-001396907")</f>
        <v>SE-001396907</v>
      </c>
      <c r="D6237" s="1" t="s">
        <v>0</v>
      </c>
      <c r="E6237" s="2">
        <v>0</v>
      </c>
      <c r="F6237" s="2">
        <v>0</v>
      </c>
      <c r="G6237" s="2">
        <v>0</v>
      </c>
      <c r="H6237" s="1" t="s">
        <v>0</v>
      </c>
      <c r="I6237" s="2">
        <v>0</v>
      </c>
      <c r="J6237" s="1">
        <v>46007.347094907411</v>
      </c>
    </row>
    <row r="6238" spans="1:10" x14ac:dyDescent="0.2">
      <c r="A6238" s="4" t="s">
        <v>1</v>
      </c>
      <c r="B6238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38" s="3" t="str">
        <f>HYPERLINK("https://otsuka-europe-crm.veevavault.com/ui/#object/sent_email__v/VBL000000011201", "SE-001396908")</f>
        <v>SE-001396908</v>
      </c>
      <c r="D6238" s="1">
        <v>46007.52244212963</v>
      </c>
      <c r="E6238" s="2">
        <v>1</v>
      </c>
      <c r="F6238" s="2">
        <v>2</v>
      </c>
      <c r="G6238" s="2">
        <v>0</v>
      </c>
      <c r="H6238" s="1" t="s">
        <v>0</v>
      </c>
      <c r="I6238" s="2">
        <v>0</v>
      </c>
      <c r="J6238" s="1">
        <v>46007.347129629627</v>
      </c>
    </row>
    <row r="6239" spans="1:10" x14ac:dyDescent="0.2">
      <c r="A6239" s="4" t="s">
        <v>1</v>
      </c>
      <c r="B6239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39" s="3" t="str">
        <f>HYPERLINK("https://otsuka-europe-crm.veevavault.com/ui/#object/sent_email__v/VBL000000011202", "SE-001396909")</f>
        <v>SE-001396909</v>
      </c>
      <c r="D6239" s="1">
        <v>46007.936990740738</v>
      </c>
      <c r="E6239" s="2">
        <v>1</v>
      </c>
      <c r="F6239" s="2">
        <v>1</v>
      </c>
      <c r="G6239" s="2">
        <v>0</v>
      </c>
      <c r="H6239" s="1" t="s">
        <v>0</v>
      </c>
      <c r="I6239" s="2">
        <v>0</v>
      </c>
      <c r="J6239" s="1">
        <v>46007.347175925926</v>
      </c>
    </row>
    <row r="6240" spans="1:10" x14ac:dyDescent="0.2">
      <c r="A6240" s="4" t="s">
        <v>1</v>
      </c>
      <c r="B6240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40" s="3" t="str">
        <f>HYPERLINK("https://otsuka-europe-crm.veevavault.com/ui/#object/sent_email__v/VBL000000011203", "SE-001396910")</f>
        <v>SE-001396910</v>
      </c>
      <c r="D6240" s="1">
        <v>46007.397974537038</v>
      </c>
      <c r="E6240" s="2">
        <v>1</v>
      </c>
      <c r="F6240" s="2">
        <v>1</v>
      </c>
      <c r="G6240" s="2">
        <v>0</v>
      </c>
      <c r="H6240" s="1" t="s">
        <v>0</v>
      </c>
      <c r="I6240" s="2">
        <v>0</v>
      </c>
      <c r="J6240" s="1">
        <v>46007.347199074073</v>
      </c>
    </row>
    <row r="6241" spans="1:10" x14ac:dyDescent="0.2">
      <c r="A6241" s="4" t="s">
        <v>1</v>
      </c>
      <c r="B6241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41" s="3" t="str">
        <f>HYPERLINK("https://otsuka-europe-crm.veevavault.com/ui/#object/sent_email__v/VBL000000011204", "SE-001396911")</f>
        <v>SE-001396911</v>
      </c>
      <c r="D6241" s="1">
        <v>46011.994247685187</v>
      </c>
      <c r="E6241" s="2">
        <v>1</v>
      </c>
      <c r="F6241" s="2">
        <v>1</v>
      </c>
      <c r="G6241" s="2">
        <v>0</v>
      </c>
      <c r="H6241" s="1" t="s">
        <v>0</v>
      </c>
      <c r="I6241" s="2">
        <v>0</v>
      </c>
      <c r="J6241" s="1">
        <v>46007.347245370373</v>
      </c>
    </row>
    <row r="6242" spans="1:10" x14ac:dyDescent="0.2">
      <c r="A6242" s="4" t="s">
        <v>1</v>
      </c>
      <c r="B6242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42" s="3" t="str">
        <f>HYPERLINK("https://otsuka-europe-crm.veevavault.com/ui/#object/sent_email__v/VBL000000011205", "SE-001396912")</f>
        <v>SE-001396912</v>
      </c>
      <c r="D6242" s="1">
        <v>46007.595266203702</v>
      </c>
      <c r="E6242" s="2">
        <v>1</v>
      </c>
      <c r="F6242" s="2">
        <v>1</v>
      </c>
      <c r="G6242" s="2">
        <v>0</v>
      </c>
      <c r="H6242" s="1" t="s">
        <v>0</v>
      </c>
      <c r="I6242" s="2">
        <v>0</v>
      </c>
      <c r="J6242" s="1">
        <v>46007.347280092596</v>
      </c>
    </row>
    <row r="6243" spans="1:10" x14ac:dyDescent="0.2">
      <c r="A6243" s="4" t="s">
        <v>1</v>
      </c>
      <c r="B6243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43" s="3" t="str">
        <f>HYPERLINK("https://otsuka-europe-crm.veevavault.com/ui/#object/sent_email__v/VBL000000011206", "SE-001396913")</f>
        <v>SE-001396913</v>
      </c>
      <c r="D6243" s="1" t="s">
        <v>0</v>
      </c>
      <c r="E6243" s="2">
        <v>0</v>
      </c>
      <c r="F6243" s="2">
        <v>0</v>
      </c>
      <c r="G6243" s="2">
        <v>0</v>
      </c>
      <c r="H6243" s="1" t="s">
        <v>0</v>
      </c>
      <c r="I6243" s="2">
        <v>0</v>
      </c>
      <c r="J6243" s="1">
        <v>46007.347314814811</v>
      </c>
    </row>
    <row r="6244" spans="1:10" x14ac:dyDescent="0.2">
      <c r="A6244" s="4" t="s">
        <v>1</v>
      </c>
      <c r="B6244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44" s="3" t="str">
        <f>HYPERLINK("https://otsuka-europe-crm.veevavault.com/ui/#object/sent_email__v/VBL000000011207", "SE-001396914")</f>
        <v>SE-001396914</v>
      </c>
      <c r="D6244" s="1">
        <v>46009.716481481482</v>
      </c>
      <c r="E6244" s="2">
        <v>1</v>
      </c>
      <c r="F6244" s="2">
        <v>1</v>
      </c>
      <c r="G6244" s="2">
        <v>0</v>
      </c>
      <c r="H6244" s="1" t="s">
        <v>0</v>
      </c>
      <c r="I6244" s="2">
        <v>0</v>
      </c>
      <c r="J6244" s="1">
        <v>46007.347361111111</v>
      </c>
    </row>
    <row r="6245" spans="1:10" x14ac:dyDescent="0.2">
      <c r="A6245" s="4" t="s">
        <v>1</v>
      </c>
      <c r="B6245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45" s="3" t="str">
        <f>HYPERLINK("https://otsuka-europe-crm.veevavault.com/ui/#object/sent_email__v/VBL000000011208", "SE-001396915")</f>
        <v>SE-001396915</v>
      </c>
      <c r="D6245" s="1">
        <v>46013.038761574076</v>
      </c>
      <c r="E6245" s="2">
        <v>1</v>
      </c>
      <c r="F6245" s="2">
        <v>2</v>
      </c>
      <c r="G6245" s="2">
        <v>0</v>
      </c>
      <c r="H6245" s="1" t="s">
        <v>0</v>
      </c>
      <c r="I6245" s="2">
        <v>0</v>
      </c>
      <c r="J6245" s="1">
        <v>46007.347395833334</v>
      </c>
    </row>
    <row r="6246" spans="1:10" x14ac:dyDescent="0.2">
      <c r="A6246" s="4" t="s">
        <v>1</v>
      </c>
      <c r="B6246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46" s="3" t="str">
        <f>HYPERLINK("https://otsuka-europe-crm.veevavault.com/ui/#object/sent_email__v/VBL000000011209", "SE-001396916")</f>
        <v>SE-001396916</v>
      </c>
      <c r="D6246" s="1" t="s">
        <v>0</v>
      </c>
      <c r="E6246" s="2">
        <v>0</v>
      </c>
      <c r="F6246" s="2">
        <v>0</v>
      </c>
      <c r="G6246" s="2">
        <v>0</v>
      </c>
      <c r="H6246" s="1" t="s">
        <v>0</v>
      </c>
      <c r="I6246" s="2">
        <v>0</v>
      </c>
      <c r="J6246" s="1">
        <v>46007.347430555557</v>
      </c>
    </row>
    <row r="6247" spans="1:10" x14ac:dyDescent="0.2">
      <c r="A6247" s="4" t="s">
        <v>1</v>
      </c>
      <c r="B6247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47" s="3" t="str">
        <f>HYPERLINK("https://otsuka-europe-crm.veevavault.com/ui/#object/sent_email__v/VBL000000011210", "SE-001396917")</f>
        <v>SE-001396917</v>
      </c>
      <c r="D6247" s="1">
        <v>46007.368460648147</v>
      </c>
      <c r="E6247" s="2">
        <v>1</v>
      </c>
      <c r="F6247" s="2">
        <v>1</v>
      </c>
      <c r="G6247" s="2">
        <v>0</v>
      </c>
      <c r="H6247" s="1" t="s">
        <v>0</v>
      </c>
      <c r="I6247" s="2">
        <v>0</v>
      </c>
      <c r="J6247" s="1">
        <v>46007.34746527778</v>
      </c>
    </row>
    <row r="6248" spans="1:10" x14ac:dyDescent="0.2">
      <c r="A6248" s="4" t="s">
        <v>1</v>
      </c>
      <c r="B6248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48" s="3" t="str">
        <f>HYPERLINK("https://otsuka-europe-crm.veevavault.com/ui/#object/sent_email__v/VBL000000011211", "SE-001396918")</f>
        <v>SE-001396918</v>
      </c>
      <c r="D6248" s="1">
        <v>46013.984652777777</v>
      </c>
      <c r="E6248" s="2">
        <v>1</v>
      </c>
      <c r="F6248" s="2">
        <v>2</v>
      </c>
      <c r="G6248" s="2">
        <v>0</v>
      </c>
      <c r="H6248" s="1" t="s">
        <v>0</v>
      </c>
      <c r="I6248" s="2">
        <v>0</v>
      </c>
      <c r="J6248" s="1">
        <v>46007.347500000003</v>
      </c>
    </row>
    <row r="6249" spans="1:10" x14ac:dyDescent="0.2">
      <c r="A6249" s="4" t="s">
        <v>1</v>
      </c>
      <c r="B6249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49" s="3" t="str">
        <f>HYPERLINK("https://otsuka-europe-crm.veevavault.com/ui/#object/sent_email__v/VBL000000011212", "SE-001396919")</f>
        <v>SE-001396919</v>
      </c>
      <c r="D6249" s="1">
        <v>46007.347615740742</v>
      </c>
      <c r="E6249" s="2">
        <v>1</v>
      </c>
      <c r="F6249" s="2">
        <v>1</v>
      </c>
      <c r="G6249" s="2">
        <v>0</v>
      </c>
      <c r="H6249" s="1" t="s">
        <v>0</v>
      </c>
      <c r="I6249" s="2">
        <v>0</v>
      </c>
      <c r="J6249" s="1">
        <v>46007.347534722219</v>
      </c>
    </row>
    <row r="6250" spans="1:10" x14ac:dyDescent="0.2">
      <c r="A6250" s="4" t="s">
        <v>1</v>
      </c>
      <c r="B6250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50" s="3" t="str">
        <f>HYPERLINK("https://otsuka-europe-crm.veevavault.com/ui/#object/sent_email__v/VBL000000011213", "SE-001396920")</f>
        <v>SE-001396920</v>
      </c>
      <c r="D6250" s="1" t="s">
        <v>0</v>
      </c>
      <c r="E6250" s="2">
        <v>0</v>
      </c>
      <c r="F6250" s="2">
        <v>0</v>
      </c>
      <c r="G6250" s="2">
        <v>0</v>
      </c>
      <c r="H6250" s="1" t="s">
        <v>0</v>
      </c>
      <c r="I6250" s="2">
        <v>0</v>
      </c>
      <c r="J6250" s="1">
        <v>46007.347581018519</v>
      </c>
    </row>
    <row r="6251" spans="1:10" x14ac:dyDescent="0.2">
      <c r="A6251" s="4" t="s">
        <v>1</v>
      </c>
      <c r="B6251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51" s="3" t="str">
        <f>HYPERLINK("https://otsuka-europe-crm.veevavault.com/ui/#object/sent_email__v/VBL000000011214", "SE-001396921")</f>
        <v>SE-001396921</v>
      </c>
      <c r="D6251" s="1">
        <v>46042.8049537037</v>
      </c>
      <c r="E6251" s="2">
        <v>1</v>
      </c>
      <c r="F6251" s="2">
        <v>5</v>
      </c>
      <c r="G6251" s="2">
        <v>0</v>
      </c>
      <c r="H6251" s="1" t="s">
        <v>0</v>
      </c>
      <c r="I6251" s="2">
        <v>0</v>
      </c>
      <c r="J6251" s="1">
        <v>46007.347615740742</v>
      </c>
    </row>
    <row r="6252" spans="1:10" x14ac:dyDescent="0.2">
      <c r="A6252" s="4" t="s">
        <v>1</v>
      </c>
      <c r="B6252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52" s="3" t="str">
        <f>HYPERLINK("https://otsuka-europe-crm.veevavault.com/ui/#object/sent_email__v/VBL000000011215", "SE-001396922")</f>
        <v>SE-001396922</v>
      </c>
      <c r="D6252" s="1">
        <v>46007.369328703702</v>
      </c>
      <c r="E6252" s="2">
        <v>1</v>
      </c>
      <c r="F6252" s="2">
        <v>1</v>
      </c>
      <c r="G6252" s="2">
        <v>0</v>
      </c>
      <c r="H6252" s="1" t="s">
        <v>0</v>
      </c>
      <c r="I6252" s="2">
        <v>0</v>
      </c>
      <c r="J6252" s="1">
        <v>46007.347650462965</v>
      </c>
    </row>
    <row r="6253" spans="1:10" x14ac:dyDescent="0.2">
      <c r="A6253" s="4" t="s">
        <v>1</v>
      </c>
      <c r="B6253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53" s="3" t="str">
        <f>HYPERLINK("https://otsuka-europe-crm.veevavault.com/ui/#object/sent_email__v/VBL000000011216", "SE-001396923")</f>
        <v>SE-001396923</v>
      </c>
      <c r="D6253" s="1" t="s">
        <v>0</v>
      </c>
      <c r="E6253" s="2">
        <v>0</v>
      </c>
      <c r="F6253" s="2">
        <v>0</v>
      </c>
      <c r="G6253" s="2">
        <v>0</v>
      </c>
      <c r="H6253" s="1" t="s">
        <v>0</v>
      </c>
      <c r="I6253" s="2">
        <v>0</v>
      </c>
      <c r="J6253" s="1">
        <v>46007.347708333335</v>
      </c>
    </row>
    <row r="6254" spans="1:10" x14ac:dyDescent="0.2">
      <c r="A6254" s="4" t="s">
        <v>1</v>
      </c>
      <c r="B6254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54" s="3" t="str">
        <f>HYPERLINK("https://otsuka-europe-crm.veevavault.com/ui/#object/sent_email__v/VBL000000011217", "SE-001396924")</f>
        <v>SE-001396924</v>
      </c>
      <c r="D6254" s="1" t="s">
        <v>0</v>
      </c>
      <c r="E6254" s="2">
        <v>0</v>
      </c>
      <c r="F6254" s="2">
        <v>0</v>
      </c>
      <c r="G6254" s="2">
        <v>0</v>
      </c>
      <c r="H6254" s="1" t="s">
        <v>0</v>
      </c>
      <c r="I6254" s="2">
        <v>0</v>
      </c>
      <c r="J6254" s="1">
        <v>46007.347731481481</v>
      </c>
    </row>
    <row r="6255" spans="1:10" x14ac:dyDescent="0.2">
      <c r="A6255" s="4" t="s">
        <v>1</v>
      </c>
      <c r="B6255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55" s="3" t="str">
        <f>HYPERLINK("https://otsuka-europe-crm.veevavault.com/ui/#object/sent_email__v/VBL000000011218", "SE-001396925")</f>
        <v>SE-001396925</v>
      </c>
      <c r="D6255" s="1">
        <v>46007.553888888891</v>
      </c>
      <c r="E6255" s="2">
        <v>1</v>
      </c>
      <c r="F6255" s="2">
        <v>1</v>
      </c>
      <c r="G6255" s="2">
        <v>0</v>
      </c>
      <c r="H6255" s="1" t="s">
        <v>0</v>
      </c>
      <c r="I6255" s="2">
        <v>0</v>
      </c>
      <c r="J6255" s="1">
        <v>46007.347766203704</v>
      </c>
    </row>
    <row r="6256" spans="1:10" x14ac:dyDescent="0.2">
      <c r="A6256" s="4" t="s">
        <v>1</v>
      </c>
      <c r="B6256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56" s="3" t="str">
        <f>HYPERLINK("https://otsuka-europe-crm.veevavault.com/ui/#object/sent_email__v/VBL000000011219", "SE-001396926")</f>
        <v>SE-001396926</v>
      </c>
      <c r="D6256" s="1" t="s">
        <v>0</v>
      </c>
      <c r="E6256" s="2">
        <v>0</v>
      </c>
      <c r="F6256" s="2">
        <v>0</v>
      </c>
      <c r="G6256" s="2">
        <v>0</v>
      </c>
      <c r="H6256" s="1" t="s">
        <v>0</v>
      </c>
      <c r="I6256" s="2">
        <v>0</v>
      </c>
      <c r="J6256" s="1">
        <v>46007.347800925927</v>
      </c>
    </row>
    <row r="6257" spans="1:10" x14ac:dyDescent="0.2">
      <c r="A6257" s="4" t="s">
        <v>1</v>
      </c>
      <c r="B6257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57" s="3" t="str">
        <f>HYPERLINK("https://otsuka-europe-crm.veevavault.com/ui/#object/sent_email__v/VBL000000011220", "SE-001396927")</f>
        <v>SE-001396927</v>
      </c>
      <c r="D6257" s="1" t="s">
        <v>0</v>
      </c>
      <c r="E6257" s="2">
        <v>0</v>
      </c>
      <c r="F6257" s="2">
        <v>0</v>
      </c>
      <c r="G6257" s="2">
        <v>0</v>
      </c>
      <c r="H6257" s="1" t="s">
        <v>0</v>
      </c>
      <c r="I6257" s="2">
        <v>0</v>
      </c>
      <c r="J6257" s="1">
        <v>46007.34784722222</v>
      </c>
    </row>
    <row r="6258" spans="1:10" x14ac:dyDescent="0.2">
      <c r="A6258" s="4" t="s">
        <v>1</v>
      </c>
      <c r="B6258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58" s="3" t="str">
        <f>HYPERLINK("https://otsuka-europe-crm.veevavault.com/ui/#object/sent_email__v/VBL000000011221", "SE-001396928")</f>
        <v>SE-001396928</v>
      </c>
      <c r="D6258" s="1">
        <v>46007.946562500001</v>
      </c>
      <c r="E6258" s="2">
        <v>1</v>
      </c>
      <c r="F6258" s="2">
        <v>1</v>
      </c>
      <c r="G6258" s="2">
        <v>0</v>
      </c>
      <c r="H6258" s="1" t="s">
        <v>0</v>
      </c>
      <c r="I6258" s="2">
        <v>0</v>
      </c>
      <c r="J6258" s="1">
        <v>46007.347893518519</v>
      </c>
    </row>
    <row r="6259" spans="1:10" x14ac:dyDescent="0.2">
      <c r="A6259" s="4" t="s">
        <v>1</v>
      </c>
      <c r="B6259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59" s="3" t="str">
        <f>HYPERLINK("https://otsuka-europe-crm.veevavault.com/ui/#object/sent_email__v/VBL000000011222", "SE-001396929")</f>
        <v>SE-001396929</v>
      </c>
      <c r="D6259" s="1" t="s">
        <v>0</v>
      </c>
      <c r="E6259" s="2">
        <v>0</v>
      </c>
      <c r="F6259" s="2">
        <v>0</v>
      </c>
      <c r="G6259" s="2">
        <v>0</v>
      </c>
      <c r="H6259" s="1" t="s">
        <v>0</v>
      </c>
      <c r="I6259" s="2">
        <v>0</v>
      </c>
      <c r="J6259" s="1">
        <v>46007.347916666666</v>
      </c>
    </row>
    <row r="6260" spans="1:10" x14ac:dyDescent="0.2">
      <c r="A6260" s="4" t="s">
        <v>1</v>
      </c>
      <c r="B6260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60" s="3" t="str">
        <f>HYPERLINK("https://otsuka-europe-crm.veevavault.com/ui/#object/sent_email__v/VBL000000011223", "SE-001396930")</f>
        <v>SE-001396930</v>
      </c>
      <c r="D6260" s="1">
        <v>46007.457685185182</v>
      </c>
      <c r="E6260" s="2">
        <v>1</v>
      </c>
      <c r="F6260" s="2">
        <v>1</v>
      </c>
      <c r="G6260" s="2">
        <v>0</v>
      </c>
      <c r="H6260" s="1" t="s">
        <v>0</v>
      </c>
      <c r="I6260" s="2">
        <v>0</v>
      </c>
      <c r="J6260" s="1">
        <v>46007.347962962966</v>
      </c>
    </row>
    <row r="6261" spans="1:10" x14ac:dyDescent="0.2">
      <c r="A6261" s="4" t="s">
        <v>1</v>
      </c>
      <c r="B6261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61" s="3" t="str">
        <f>HYPERLINK("https://otsuka-europe-crm.veevavault.com/ui/#object/sent_email__v/VBL000000011224", "SE-001396931")</f>
        <v>SE-001396931</v>
      </c>
      <c r="D6261" s="1">
        <v>46007.35597222222</v>
      </c>
      <c r="E6261" s="2">
        <v>1</v>
      </c>
      <c r="F6261" s="2">
        <v>1</v>
      </c>
      <c r="G6261" s="2">
        <v>0</v>
      </c>
      <c r="H6261" s="1" t="s">
        <v>0</v>
      </c>
      <c r="I6261" s="2">
        <v>0</v>
      </c>
      <c r="J6261" s="1">
        <v>46007.347997685189</v>
      </c>
    </row>
    <row r="6262" spans="1:10" x14ac:dyDescent="0.2">
      <c r="A6262" s="4" t="s">
        <v>1</v>
      </c>
      <c r="B6262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62" s="3" t="str">
        <f>HYPERLINK("https://otsuka-europe-crm.veevavault.com/ui/#object/sent_email__v/VBL000000011225", "SE-001396932")</f>
        <v>SE-001396932</v>
      </c>
      <c r="D6262" s="1" t="s">
        <v>0</v>
      </c>
      <c r="E6262" s="2">
        <v>0</v>
      </c>
      <c r="F6262" s="2">
        <v>0</v>
      </c>
      <c r="G6262" s="2">
        <v>0</v>
      </c>
      <c r="H6262" s="1" t="s">
        <v>0</v>
      </c>
      <c r="I6262" s="2">
        <v>0</v>
      </c>
      <c r="J6262" s="1">
        <v>46007.348032407404</v>
      </c>
    </row>
    <row r="6263" spans="1:10" x14ac:dyDescent="0.2">
      <c r="A6263" s="4" t="s">
        <v>1</v>
      </c>
      <c r="B6263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63" s="3" t="str">
        <f>HYPERLINK("https://otsuka-europe-crm.veevavault.com/ui/#object/sent_email__v/VBL000000011226", "SE-001396933")</f>
        <v>SE-001396933</v>
      </c>
      <c r="D6263" s="1">
        <v>46007.975868055553</v>
      </c>
      <c r="E6263" s="2">
        <v>1</v>
      </c>
      <c r="F6263" s="2">
        <v>1</v>
      </c>
      <c r="G6263" s="2">
        <v>0</v>
      </c>
      <c r="H6263" s="1" t="s">
        <v>0</v>
      </c>
      <c r="I6263" s="2">
        <v>0</v>
      </c>
      <c r="J6263" s="1">
        <v>46007.348078703704</v>
      </c>
    </row>
    <row r="6264" spans="1:10" x14ac:dyDescent="0.2">
      <c r="A6264" s="4" t="s">
        <v>1</v>
      </c>
      <c r="B6264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64" s="3" t="str">
        <f>HYPERLINK("https://otsuka-europe-crm.veevavault.com/ui/#object/sent_email__v/VBL000000011227", "SE-001396934")</f>
        <v>SE-001396934</v>
      </c>
      <c r="D6264" s="1" t="s">
        <v>0</v>
      </c>
      <c r="E6264" s="2">
        <v>0</v>
      </c>
      <c r="F6264" s="2">
        <v>0</v>
      </c>
      <c r="G6264" s="2">
        <v>0</v>
      </c>
      <c r="H6264" s="1" t="s">
        <v>0</v>
      </c>
      <c r="I6264" s="2">
        <v>0</v>
      </c>
      <c r="J6264" s="1">
        <v>46007.348113425927</v>
      </c>
    </row>
    <row r="6265" spans="1:10" x14ac:dyDescent="0.2">
      <c r="A6265" s="4" t="s">
        <v>1</v>
      </c>
      <c r="B6265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65" s="3" t="str">
        <f>HYPERLINK("https://otsuka-europe-crm.veevavault.com/ui/#object/sent_email__v/VBL000000011228", "SE-001396935")</f>
        <v>SE-001396935</v>
      </c>
      <c r="D6265" s="1" t="s">
        <v>0</v>
      </c>
      <c r="E6265" s="2">
        <v>0</v>
      </c>
      <c r="F6265" s="2">
        <v>0</v>
      </c>
      <c r="G6265" s="2">
        <v>0</v>
      </c>
      <c r="H6265" s="1" t="s">
        <v>0</v>
      </c>
      <c r="I6265" s="2">
        <v>0</v>
      </c>
      <c r="J6265" s="1">
        <v>46007.34814814815</v>
      </c>
    </row>
    <row r="6266" spans="1:10" x14ac:dyDescent="0.2">
      <c r="A6266" s="4" t="s">
        <v>1</v>
      </c>
      <c r="B6266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66" s="3" t="str">
        <f>HYPERLINK("https://otsuka-europe-crm.veevavault.com/ui/#object/sent_email__v/VBL000000011229", "SE-001396936")</f>
        <v>SE-001396936</v>
      </c>
      <c r="D6266" s="1" t="s">
        <v>0</v>
      </c>
      <c r="E6266" s="2">
        <v>0</v>
      </c>
      <c r="F6266" s="2">
        <v>0</v>
      </c>
      <c r="G6266" s="2">
        <v>0</v>
      </c>
      <c r="H6266" s="1" t="s">
        <v>0</v>
      </c>
      <c r="I6266" s="2">
        <v>0</v>
      </c>
      <c r="J6266" s="1">
        <v>46007.348182870373</v>
      </c>
    </row>
    <row r="6267" spans="1:10" x14ac:dyDescent="0.2">
      <c r="A6267" s="4" t="s">
        <v>1</v>
      </c>
      <c r="B6267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67" s="3" t="str">
        <f>HYPERLINK("https://otsuka-europe-crm.veevavault.com/ui/#object/sent_email__v/VBL000000011230", "SE-001396937")</f>
        <v>SE-001396937</v>
      </c>
      <c r="D6267" s="1" t="s">
        <v>0</v>
      </c>
      <c r="E6267" s="2">
        <v>0</v>
      </c>
      <c r="F6267" s="2">
        <v>0</v>
      </c>
      <c r="G6267" s="2">
        <v>0</v>
      </c>
      <c r="H6267" s="1" t="s">
        <v>0</v>
      </c>
      <c r="I6267" s="2">
        <v>0</v>
      </c>
      <c r="J6267" s="1">
        <v>46007.348217592589</v>
      </c>
    </row>
    <row r="6268" spans="1:10" x14ac:dyDescent="0.2">
      <c r="A6268" s="4" t="s">
        <v>1</v>
      </c>
      <c r="B6268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68" s="3" t="str">
        <f>HYPERLINK("https://otsuka-europe-crm.veevavault.com/ui/#object/sent_email__v/VBL000000011231", "SE-001396938")</f>
        <v>SE-001396938</v>
      </c>
      <c r="D6268" s="1" t="s">
        <v>0</v>
      </c>
      <c r="E6268" s="2">
        <v>0</v>
      </c>
      <c r="F6268" s="2">
        <v>0</v>
      </c>
      <c r="G6268" s="2">
        <v>0</v>
      </c>
      <c r="H6268" s="1" t="s">
        <v>0</v>
      </c>
      <c r="I6268" s="2">
        <v>0</v>
      </c>
      <c r="J6268" s="1">
        <v>46007.348252314812</v>
      </c>
    </row>
    <row r="6269" spans="1:10" x14ac:dyDescent="0.2">
      <c r="A6269" s="4" t="s">
        <v>1</v>
      </c>
      <c r="B6269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69" s="3" t="str">
        <f>HYPERLINK("https://otsuka-europe-crm.veevavault.com/ui/#object/sent_email__v/VBL000000011232", "SE-001396939")</f>
        <v>SE-001396939</v>
      </c>
      <c r="D6269" s="1" t="s">
        <v>0</v>
      </c>
      <c r="E6269" s="2">
        <v>0</v>
      </c>
      <c r="F6269" s="2">
        <v>0</v>
      </c>
      <c r="G6269" s="2">
        <v>0</v>
      </c>
      <c r="H6269" s="1" t="s">
        <v>0</v>
      </c>
      <c r="I6269" s="2">
        <v>0</v>
      </c>
      <c r="J6269" s="1">
        <v>46007.348298611112</v>
      </c>
    </row>
    <row r="6270" spans="1:10" x14ac:dyDescent="0.2">
      <c r="A6270" s="4" t="s">
        <v>1</v>
      </c>
      <c r="B6270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70" s="3" t="str">
        <f>HYPERLINK("https://otsuka-europe-crm.veevavault.com/ui/#object/sent_email__v/VBL000000011233", "SE-001396940")</f>
        <v>SE-001396940</v>
      </c>
      <c r="D6270" s="1">
        <v>46007.443784722222</v>
      </c>
      <c r="E6270" s="2">
        <v>1</v>
      </c>
      <c r="F6270" s="2">
        <v>1</v>
      </c>
      <c r="G6270" s="2">
        <v>0</v>
      </c>
      <c r="H6270" s="1" t="s">
        <v>0</v>
      </c>
      <c r="I6270" s="2">
        <v>0</v>
      </c>
      <c r="J6270" s="1">
        <v>46007.348333333335</v>
      </c>
    </row>
    <row r="6271" spans="1:10" x14ac:dyDescent="0.2">
      <c r="A6271" s="4" t="s">
        <v>1</v>
      </c>
      <c r="B6271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71" s="3" t="str">
        <f>HYPERLINK("https://otsuka-europe-crm.veevavault.com/ui/#object/sent_email__v/VBL000000011234", "SE-001396941")</f>
        <v>SE-001396941</v>
      </c>
      <c r="D6271" s="1" t="s">
        <v>0</v>
      </c>
      <c r="E6271" s="2">
        <v>0</v>
      </c>
      <c r="F6271" s="2">
        <v>0</v>
      </c>
      <c r="G6271" s="2">
        <v>0</v>
      </c>
      <c r="H6271" s="1" t="s">
        <v>0</v>
      </c>
      <c r="I6271" s="2">
        <v>0</v>
      </c>
      <c r="J6271" s="1">
        <v>46007.348379629628</v>
      </c>
    </row>
    <row r="6272" spans="1:10" x14ac:dyDescent="0.2">
      <c r="A6272" s="4" t="s">
        <v>1</v>
      </c>
      <c r="B6272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72" s="3" t="str">
        <f>HYPERLINK("https://otsuka-europe-crm.veevavault.com/ui/#object/sent_email__v/VBL000000011235", "SE-001396942")</f>
        <v>SE-001396942</v>
      </c>
      <c r="D6272" s="1" t="s">
        <v>0</v>
      </c>
      <c r="E6272" s="2">
        <v>0</v>
      </c>
      <c r="F6272" s="2">
        <v>0</v>
      </c>
      <c r="G6272" s="2">
        <v>0</v>
      </c>
      <c r="H6272" s="1" t="s">
        <v>0</v>
      </c>
      <c r="I6272" s="2">
        <v>0</v>
      </c>
      <c r="J6272" s="1">
        <v>46007.348402777781</v>
      </c>
    </row>
    <row r="6273" spans="1:10" x14ac:dyDescent="0.2">
      <c r="A6273" s="4" t="s">
        <v>1</v>
      </c>
      <c r="B6273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73" s="3" t="str">
        <f>HYPERLINK("https://otsuka-europe-crm.veevavault.com/ui/#object/sent_email__v/VBL000000011236", "SE-001396943")</f>
        <v>SE-001396943</v>
      </c>
      <c r="D6273" s="1" t="s">
        <v>0</v>
      </c>
      <c r="E6273" s="2">
        <v>0</v>
      </c>
      <c r="F6273" s="2">
        <v>0</v>
      </c>
      <c r="G6273" s="2">
        <v>0</v>
      </c>
      <c r="H6273" s="1" t="s">
        <v>0</v>
      </c>
      <c r="I6273" s="2">
        <v>0</v>
      </c>
      <c r="J6273" s="1">
        <v>46007.348449074074</v>
      </c>
    </row>
    <row r="6274" spans="1:10" x14ac:dyDescent="0.2">
      <c r="A6274" s="4" t="s">
        <v>1</v>
      </c>
      <c r="B6274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74" s="3" t="str">
        <f>HYPERLINK("https://otsuka-europe-crm.veevavault.com/ui/#object/sent_email__v/VBL000000011237", "SE-001396944")</f>
        <v>SE-001396944</v>
      </c>
      <c r="D6274" s="1" t="s">
        <v>0</v>
      </c>
      <c r="E6274" s="2">
        <v>0</v>
      </c>
      <c r="F6274" s="2">
        <v>0</v>
      </c>
      <c r="G6274" s="2">
        <v>0</v>
      </c>
      <c r="H6274" s="1" t="s">
        <v>0</v>
      </c>
      <c r="I6274" s="2">
        <v>0</v>
      </c>
      <c r="J6274" s="1">
        <v>46007.348483796297</v>
      </c>
    </row>
    <row r="6275" spans="1:10" x14ac:dyDescent="0.2">
      <c r="A6275" s="4" t="s">
        <v>1</v>
      </c>
      <c r="B6275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75" s="3" t="str">
        <f>HYPERLINK("https://otsuka-europe-crm.veevavault.com/ui/#object/sent_email__v/VBL000000011238", "SE-001396945")</f>
        <v>SE-001396945</v>
      </c>
      <c r="D6275" s="1">
        <v>46007.366944444446</v>
      </c>
      <c r="E6275" s="2">
        <v>1</v>
      </c>
      <c r="F6275" s="2">
        <v>2</v>
      </c>
      <c r="G6275" s="2">
        <v>0</v>
      </c>
      <c r="H6275" s="1" t="s">
        <v>0</v>
      </c>
      <c r="I6275" s="2">
        <v>0</v>
      </c>
      <c r="J6275" s="1">
        <v>46007.34851851852</v>
      </c>
    </row>
    <row r="6276" spans="1:10" x14ac:dyDescent="0.2">
      <c r="A6276" s="4" t="s">
        <v>1</v>
      </c>
      <c r="B6276" s="3" t="str">
        <f>HYPERLINK("https://otsuka-europe-crm.veevavault.com/ui/#object/approved_document__v/V5OZ025E82UXXXH", "AM2M - PSIQUIATRÍA - Eficacia desde el primer día (Fagiolini)")</f>
        <v>AM2M - PSIQUIATRÍA - Eficacia desde el primer día (Fagiolini)</v>
      </c>
      <c r="C6276" s="3" t="str">
        <f>HYPERLINK("https://otsuka-europe-crm.veevavault.com/ui/#object/sent_email__v/VBL000000011239", "SE-001396946")</f>
        <v>SE-001396946</v>
      </c>
      <c r="D6276" s="1" t="s">
        <v>0</v>
      </c>
      <c r="E6276" s="2">
        <v>0</v>
      </c>
      <c r="F6276" s="2">
        <v>0</v>
      </c>
      <c r="G6276" s="2">
        <v>0</v>
      </c>
      <c r="H6276" s="1" t="s">
        <v>0</v>
      </c>
      <c r="I6276" s="2">
        <v>0</v>
      </c>
      <c r="J6276" s="1">
        <v>46007.348553240743</v>
      </c>
    </row>
    <row r="6277" spans="1:10" x14ac:dyDescent="0.2">
      <c r="A6277" s="4" t="s">
        <v>1</v>
      </c>
      <c r="B6277" s="3" t="str">
        <f>HYPERLINK("https://otsuka-europe-crm.veevavault.com/ui/#object/approved_document__v/V5O00000000R009", "AM2M - PSIQUIATRIA - Guía manejo práctico AM2M")</f>
        <v>AM2M - PSIQUIATRIA - Guía manejo práctico AM2M</v>
      </c>
      <c r="C6277" s="3" t="str">
        <f>HYPERLINK("https://otsuka-europe-crm.veevavault.com/ui/#object/sent_email__v/VBL00000001G030", "SE-001405198")</f>
        <v>SE-001405198</v>
      </c>
      <c r="D6277" s="1" t="s">
        <v>0</v>
      </c>
      <c r="E6277" s="2">
        <v>0</v>
      </c>
      <c r="F6277" s="2">
        <v>0</v>
      </c>
      <c r="G6277" s="2">
        <v>0</v>
      </c>
      <c r="H6277" s="1" t="s">
        <v>0</v>
      </c>
      <c r="I6277" s="2">
        <v>0</v>
      </c>
      <c r="J6277" s="1">
        <v>46073.451863425929</v>
      </c>
    </row>
    <row r="6278" spans="1:10" x14ac:dyDescent="0.2">
      <c r="A6278" s="4" t="s">
        <v>1</v>
      </c>
      <c r="B6278" s="3" t="str">
        <f>HYPERLINK("https://otsuka-europe-crm.veevavault.com/ui/#object/approved_document__v/V5O00000000R009", "AM2M - PSIQUIATRIA - Guía manejo práctico AM2M")</f>
        <v>AM2M - PSIQUIATRIA - Guía manejo práctico AM2M</v>
      </c>
      <c r="C6278" s="3" t="str">
        <f>HYPERLINK("https://otsuka-europe-crm.veevavault.com/ui/#object/sent_email__v/VBL00000001G034", "SE-001405203")</f>
        <v>SE-001405203</v>
      </c>
      <c r="D6278" s="1" t="s">
        <v>0</v>
      </c>
      <c r="E6278" s="2">
        <v>0</v>
      </c>
      <c r="F6278" s="2">
        <v>0</v>
      </c>
      <c r="G6278" s="2">
        <v>0</v>
      </c>
      <c r="H6278" s="1" t="s">
        <v>0</v>
      </c>
      <c r="I6278" s="2">
        <v>0</v>
      </c>
      <c r="J6278" s="1">
        <v>46073.455046296294</v>
      </c>
    </row>
    <row r="6279" spans="1:10" x14ac:dyDescent="0.2">
      <c r="A6279" s="4" t="s">
        <v>1</v>
      </c>
      <c r="B6279" s="3" t="str">
        <f>HYPERLINK("https://otsuka-europe-crm.veevavault.com/ui/#object/approved_document__v/V5O00000000R009", "AM2M - PSIQUIATRIA - Guía manejo práctico AM2M")</f>
        <v>AM2M - PSIQUIATRIA - Guía manejo práctico AM2M</v>
      </c>
      <c r="C6279" s="3" t="str">
        <f>HYPERLINK("https://otsuka-europe-crm.veevavault.com/ui/#object/sent_email__v/VBL00000001F039", "SE-001405428")</f>
        <v>SE-001405428</v>
      </c>
      <c r="D6279" s="1" t="s">
        <v>0</v>
      </c>
      <c r="E6279" s="2">
        <v>0</v>
      </c>
      <c r="F6279" s="2">
        <v>0</v>
      </c>
      <c r="G6279" s="2">
        <v>0</v>
      </c>
      <c r="H6279" s="1" t="s">
        <v>0</v>
      </c>
      <c r="I6279" s="2">
        <v>0</v>
      </c>
      <c r="J6279" s="1">
        <v>46073.6012962963</v>
      </c>
    </row>
    <row r="6280" spans="1:10" x14ac:dyDescent="0.2">
      <c r="A6280" s="4" t="s">
        <v>1</v>
      </c>
      <c r="B6280" s="3" t="str">
        <f>HYPERLINK("https://otsuka-europe-crm.veevavault.com/ui/#object/approved_document__v/V5O00000000R009", "AM2M - PSIQUIATRIA - Guía manejo práctico AM2M")</f>
        <v>AM2M - PSIQUIATRIA - Guía manejo práctico AM2M</v>
      </c>
      <c r="C6280" s="3" t="str">
        <f>HYPERLINK("https://otsuka-europe-crm.veevavault.com/ui/#object/sent_email__v/VBL00000001G305", "SE-001405574")</f>
        <v>SE-001405574</v>
      </c>
      <c r="D6280" s="1" t="s">
        <v>0</v>
      </c>
      <c r="E6280" s="2">
        <v>0</v>
      </c>
      <c r="F6280" s="2">
        <v>0</v>
      </c>
      <c r="G6280" s="2">
        <v>0</v>
      </c>
      <c r="H6280" s="1" t="s">
        <v>0</v>
      </c>
      <c r="I6280" s="2">
        <v>0</v>
      </c>
      <c r="J6280" s="1">
        <v>46076.524594907409</v>
      </c>
    </row>
    <row r="6281" spans="1:10" x14ac:dyDescent="0.2">
      <c r="A6281" s="4" t="s">
        <v>1</v>
      </c>
      <c r="B6281" s="3" t="str">
        <f>HYPERLINK("https://otsuka-europe-crm.veevavault.com/ui/#object/approved_document__v/V5O00000000R009", "AM2M - PSIQUIATRIA - Guía manejo práctico AM2M")</f>
        <v>AM2M - PSIQUIATRIA - Guía manejo práctico AM2M</v>
      </c>
      <c r="C6281" s="3" t="str">
        <f>HYPERLINK("https://otsuka-europe-crm.veevavault.com/ui/#object/sent_email__v/VBL00000001G468", "SE-001405906")</f>
        <v>SE-001405906</v>
      </c>
      <c r="D6281" s="1">
        <v>46076.844074074077</v>
      </c>
      <c r="E6281" s="2">
        <v>1</v>
      </c>
      <c r="F6281" s="2">
        <v>1</v>
      </c>
      <c r="G6281" s="2">
        <v>0</v>
      </c>
      <c r="H6281" s="1" t="s">
        <v>0</v>
      </c>
      <c r="I6281" s="2">
        <v>0</v>
      </c>
      <c r="J6281" s="1">
        <v>46076.73164351852</v>
      </c>
    </row>
    <row r="6282" spans="1:10" x14ac:dyDescent="0.2">
      <c r="A6282" s="4" t="s">
        <v>1</v>
      </c>
      <c r="B6282" s="3" t="str">
        <f>HYPERLINK("https://otsuka-europe-crm.veevavault.com/ui/#object/approved_document__v/V5O00000000R009", "AM2M - PSIQUIATRIA - Guía manejo práctico AM2M")</f>
        <v>AM2M - PSIQUIATRIA - Guía manejo práctico AM2M</v>
      </c>
      <c r="C6282" s="3" t="str">
        <f>HYPERLINK("https://otsuka-europe-crm.veevavault.com/ui/#object/sent_email__v/VBL00000001F609", "SE-001406637")</f>
        <v>SE-001406637</v>
      </c>
      <c r="D6282" s="1" t="s">
        <v>0</v>
      </c>
      <c r="E6282" s="2">
        <v>0</v>
      </c>
      <c r="F6282" s="2">
        <v>0</v>
      </c>
      <c r="G6282" s="2">
        <v>0</v>
      </c>
      <c r="H6282" s="1" t="s">
        <v>0</v>
      </c>
      <c r="I6282" s="2">
        <v>0</v>
      </c>
      <c r="J6282" s="1">
        <v>46079.445613425924</v>
      </c>
    </row>
    <row r="6283" spans="1:10" x14ac:dyDescent="0.2">
      <c r="A6283" s="4" t="s">
        <v>1</v>
      </c>
      <c r="B6283" s="3" t="str">
        <f>HYPERLINK("https://otsuka-europe-crm.veevavault.com/ui/#object/approved_document__v/V5O000000001001", "AM2M - PSIQUIATRÍA - Guía preguntas pacientes")</f>
        <v>AM2M - PSIQUIATRÍA - Guía preguntas pacientes</v>
      </c>
      <c r="C6283" s="3" t="str">
        <f>HYPERLINK("https://otsuka-europe-crm.veevavault.com/ui/#object/sent_email__v/VBL000000001915", "SE-001378916")</f>
        <v>SE-001378916</v>
      </c>
      <c r="D6283" s="1" t="s">
        <v>0</v>
      </c>
      <c r="E6283" s="2">
        <v>0</v>
      </c>
      <c r="F6283" s="2">
        <v>0</v>
      </c>
      <c r="G6283" s="2">
        <v>0</v>
      </c>
      <c r="H6283" s="1" t="s">
        <v>0</v>
      </c>
      <c r="I6283" s="2">
        <v>0</v>
      </c>
      <c r="J6283" s="1">
        <v>45958.453252314815</v>
      </c>
    </row>
    <row r="6284" spans="1:10" x14ac:dyDescent="0.2">
      <c r="A6284" s="4" t="s">
        <v>1</v>
      </c>
      <c r="B6284" s="3" t="str">
        <f>HYPERLINK("https://otsuka-europe-crm.veevavault.com/ui/#object/approved_document__v/V5O000000001001", "AM2M - PSIQUIATRÍA - Guía preguntas pacientes")</f>
        <v>AM2M - PSIQUIATRÍA - Guía preguntas pacientes</v>
      </c>
      <c r="C6284" s="3" t="str">
        <f>HYPERLINK("https://otsuka-europe-crm.veevavault.com/ui/#object/sent_email__v/VBL00000000R476", "SE-001392115")</f>
        <v>SE-001392115</v>
      </c>
      <c r="D6284" s="1">
        <v>45990.031400462962</v>
      </c>
      <c r="E6284" s="2">
        <v>1</v>
      </c>
      <c r="F6284" s="2">
        <v>1</v>
      </c>
      <c r="G6284" s="2">
        <v>0</v>
      </c>
      <c r="H6284" s="1" t="s">
        <v>0</v>
      </c>
      <c r="I6284" s="2">
        <v>0</v>
      </c>
      <c r="J6284" s="1">
        <v>45989.638495370367</v>
      </c>
    </row>
    <row r="6285" spans="1:10" x14ac:dyDescent="0.2">
      <c r="A6285" s="4" t="s">
        <v>1</v>
      </c>
      <c r="B6285" s="3" t="str">
        <f>HYPERLINK("https://otsuka-europe-crm.veevavault.com/ui/#object/approved_document__v/V5O000000001001", "AM2M - PSIQUIATRÍA - Guía preguntas pacientes")</f>
        <v>AM2M - PSIQUIATRÍA - Guía preguntas pacientes</v>
      </c>
      <c r="C6285" s="3" t="str">
        <f>HYPERLINK("https://otsuka-europe-crm.veevavault.com/ui/#object/sent_email__v/VBL00000000U260", "SE-001394670")</f>
        <v>SE-001394670</v>
      </c>
      <c r="D6285" s="1" t="s">
        <v>0</v>
      </c>
      <c r="E6285" s="2">
        <v>0</v>
      </c>
      <c r="F6285" s="2">
        <v>0</v>
      </c>
      <c r="G6285" s="2">
        <v>0</v>
      </c>
      <c r="H6285" s="1" t="s">
        <v>0</v>
      </c>
      <c r="I6285" s="2">
        <v>0</v>
      </c>
      <c r="J6285" s="1">
        <v>45993.555011574077</v>
      </c>
    </row>
    <row r="6286" spans="1:10" x14ac:dyDescent="0.2">
      <c r="A6286" s="4" t="s">
        <v>1</v>
      </c>
      <c r="B6286" s="3" t="str">
        <f>HYPERLINK("https://otsuka-europe-crm.veevavault.com/ui/#object/approved_document__v/V5O000000001001", "AM2M - PSIQUIATRÍA - Guía preguntas pacientes")</f>
        <v>AM2M - PSIQUIATRÍA - Guía preguntas pacientes</v>
      </c>
      <c r="C6286" s="3" t="str">
        <f>HYPERLINK("https://otsuka-europe-crm.veevavault.com/ui/#object/sent_email__v/VBL00000000U261", "SE-001394671")</f>
        <v>SE-001394671</v>
      </c>
      <c r="D6286" s="1">
        <v>45993.647870370369</v>
      </c>
      <c r="E6286" s="2">
        <v>1</v>
      </c>
      <c r="F6286" s="2">
        <v>1</v>
      </c>
      <c r="G6286" s="2">
        <v>0</v>
      </c>
      <c r="H6286" s="1" t="s">
        <v>0</v>
      </c>
      <c r="I6286" s="2">
        <v>0</v>
      </c>
      <c r="J6286" s="1">
        <v>45993.555046296293</v>
      </c>
    </row>
    <row r="6287" spans="1:10" x14ac:dyDescent="0.2">
      <c r="A6287" s="4" t="s">
        <v>1</v>
      </c>
      <c r="B6287" s="3" t="str">
        <f>HYPERLINK("https://otsuka-europe-crm.veevavault.com/ui/#object/approved_document__v/V5O000000001001", "AM2M - PSIQUIATRÍA - Guía preguntas pacientes")</f>
        <v>AM2M - PSIQUIATRÍA - Guía preguntas pacientes</v>
      </c>
      <c r="C6287" s="3" t="str">
        <f>HYPERLINK("https://otsuka-europe-crm.veevavault.com/ui/#object/sent_email__v/VBL00000000U262", "SE-001394672")</f>
        <v>SE-001394672</v>
      </c>
      <c r="D6287" s="1" t="s">
        <v>0</v>
      </c>
      <c r="E6287" s="2">
        <v>0</v>
      </c>
      <c r="F6287" s="2">
        <v>0</v>
      </c>
      <c r="G6287" s="2">
        <v>0</v>
      </c>
      <c r="H6287" s="1" t="s">
        <v>0</v>
      </c>
      <c r="I6287" s="2">
        <v>0</v>
      </c>
      <c r="J6287" s="1">
        <v>45993.555081018516</v>
      </c>
    </row>
    <row r="6288" spans="1:10" x14ac:dyDescent="0.2">
      <c r="A6288" s="4" t="s">
        <v>1</v>
      </c>
      <c r="B6288" s="3" t="str">
        <f>HYPERLINK("https://otsuka-europe-crm.veevavault.com/ui/#object/approved_document__v/V5O000000001001", "AM2M - PSIQUIATRÍA - Guía preguntas pacientes")</f>
        <v>AM2M - PSIQUIATRÍA - Guía preguntas pacientes</v>
      </c>
      <c r="C6288" s="3" t="str">
        <f>HYPERLINK("https://otsuka-europe-crm.veevavault.com/ui/#object/sent_email__v/VBL00000000U263", "SE-001394673")</f>
        <v>SE-001394673</v>
      </c>
      <c r="D6288" s="1" t="s">
        <v>0</v>
      </c>
      <c r="E6288" s="2">
        <v>0</v>
      </c>
      <c r="F6288" s="2">
        <v>0</v>
      </c>
      <c r="G6288" s="2">
        <v>0</v>
      </c>
      <c r="H6288" s="1" t="s">
        <v>0</v>
      </c>
      <c r="I6288" s="2">
        <v>0</v>
      </c>
      <c r="J6288" s="1">
        <v>45993.555115740739</v>
      </c>
    </row>
    <row r="6289" spans="1:10" x14ac:dyDescent="0.2">
      <c r="A6289" s="4" t="s">
        <v>1</v>
      </c>
      <c r="B6289" s="3" t="str">
        <f>HYPERLINK("https://otsuka-europe-crm.veevavault.com/ui/#object/approved_document__v/V5O000000001001", "AM2M - PSIQUIATRÍA - Guía preguntas pacientes")</f>
        <v>AM2M - PSIQUIATRÍA - Guía preguntas pacientes</v>
      </c>
      <c r="C6289" s="3" t="str">
        <f>HYPERLINK("https://otsuka-europe-crm.veevavault.com/ui/#object/sent_email__v/VBL00000000U264", "SE-001394674")</f>
        <v>SE-001394674</v>
      </c>
      <c r="D6289" s="1">
        <v>45995.415520833332</v>
      </c>
      <c r="E6289" s="2">
        <v>1</v>
      </c>
      <c r="F6289" s="2">
        <v>1</v>
      </c>
      <c r="G6289" s="2">
        <v>0</v>
      </c>
      <c r="H6289" s="1" t="s">
        <v>0</v>
      </c>
      <c r="I6289" s="2">
        <v>0</v>
      </c>
      <c r="J6289" s="1">
        <v>45993.555162037039</v>
      </c>
    </row>
    <row r="6290" spans="1:10" x14ac:dyDescent="0.2">
      <c r="A6290" s="4" t="s">
        <v>1</v>
      </c>
      <c r="B6290" s="3" t="str">
        <f>HYPERLINK("https://otsuka-europe-crm.veevavault.com/ui/#object/approved_document__v/V5O000000001001", "AM2M - PSIQUIATRÍA - Guía preguntas pacientes")</f>
        <v>AM2M - PSIQUIATRÍA - Guía preguntas pacientes</v>
      </c>
      <c r="C6290" s="3" t="str">
        <f>HYPERLINK("https://otsuka-europe-crm.veevavault.com/ui/#object/sent_email__v/VBL00000000U265", "SE-001394675")</f>
        <v>SE-001394675</v>
      </c>
      <c r="D6290" s="1" t="s">
        <v>0</v>
      </c>
      <c r="E6290" s="2">
        <v>0</v>
      </c>
      <c r="F6290" s="2">
        <v>0</v>
      </c>
      <c r="G6290" s="2">
        <v>0</v>
      </c>
      <c r="H6290" s="1" t="s">
        <v>0</v>
      </c>
      <c r="I6290" s="2">
        <v>0</v>
      </c>
      <c r="J6290" s="1">
        <v>45993.555196759262</v>
      </c>
    </row>
    <row r="6291" spans="1:10" x14ac:dyDescent="0.2">
      <c r="A6291" s="4" t="s">
        <v>1</v>
      </c>
      <c r="B6291" s="3" t="str">
        <f>HYPERLINK("https://otsuka-europe-crm.veevavault.com/ui/#object/approved_document__v/V5O000000001001", "AM2M - PSIQUIATRÍA - Guía preguntas pacientes")</f>
        <v>AM2M - PSIQUIATRÍA - Guía preguntas pacientes</v>
      </c>
      <c r="C6291" s="3" t="str">
        <f>HYPERLINK("https://otsuka-europe-crm.veevavault.com/ui/#object/sent_email__v/VBL00000000U266", "SE-001394676")</f>
        <v>SE-001394676</v>
      </c>
      <c r="D6291" s="1">
        <v>45993.583182870374</v>
      </c>
      <c r="E6291" s="2">
        <v>1</v>
      </c>
      <c r="F6291" s="2">
        <v>1</v>
      </c>
      <c r="G6291" s="2">
        <v>0</v>
      </c>
      <c r="H6291" s="1" t="s">
        <v>0</v>
      </c>
      <c r="I6291" s="2">
        <v>0</v>
      </c>
      <c r="J6291" s="1">
        <v>45993.555231481485</v>
      </c>
    </row>
    <row r="6292" spans="1:10" x14ac:dyDescent="0.2">
      <c r="A6292" s="4" t="s">
        <v>1</v>
      </c>
      <c r="B6292" s="3" t="str">
        <f>HYPERLINK("https://otsuka-europe-crm.veevavault.com/ui/#object/approved_document__v/V5O000000001001", "AM2M - PSIQUIATRÍA - Guía preguntas pacientes")</f>
        <v>AM2M - PSIQUIATRÍA - Guía preguntas pacientes</v>
      </c>
      <c r="C6292" s="3" t="str">
        <f>HYPERLINK("https://otsuka-europe-crm.veevavault.com/ui/#object/sent_email__v/VBL00000000U267", "SE-001394677")</f>
        <v>SE-001394677</v>
      </c>
      <c r="D6292" s="1">
        <v>45994.350312499999</v>
      </c>
      <c r="E6292" s="2">
        <v>1</v>
      </c>
      <c r="F6292" s="2">
        <v>2</v>
      </c>
      <c r="G6292" s="2">
        <v>0</v>
      </c>
      <c r="H6292" s="1" t="s">
        <v>0</v>
      </c>
      <c r="I6292" s="2">
        <v>0</v>
      </c>
      <c r="J6292" s="1">
        <v>45993.555277777778</v>
      </c>
    </row>
    <row r="6293" spans="1:10" x14ac:dyDescent="0.2">
      <c r="A6293" s="4" t="s">
        <v>1</v>
      </c>
      <c r="B6293" s="3" t="str">
        <f>HYPERLINK("https://otsuka-europe-crm.veevavault.com/ui/#object/approved_document__v/V5O000000001001", "AM2M - PSIQUIATRÍA - Guía preguntas pacientes")</f>
        <v>AM2M - PSIQUIATRÍA - Guía preguntas pacientes</v>
      </c>
      <c r="C6293" s="3" t="str">
        <f>HYPERLINK("https://otsuka-europe-crm.veevavault.com/ui/#object/sent_email__v/VBL00000000U268", "SE-001394678")</f>
        <v>SE-001394678</v>
      </c>
      <c r="D6293" s="1">
        <v>45994.00953703704</v>
      </c>
      <c r="E6293" s="2">
        <v>1</v>
      </c>
      <c r="F6293" s="2">
        <v>2</v>
      </c>
      <c r="G6293" s="2">
        <v>0</v>
      </c>
      <c r="H6293" s="1" t="s">
        <v>0</v>
      </c>
      <c r="I6293" s="2">
        <v>0</v>
      </c>
      <c r="J6293" s="1">
        <v>45993.555324074077</v>
      </c>
    </row>
    <row r="6294" spans="1:10" x14ac:dyDescent="0.2">
      <c r="A6294" s="4" t="s">
        <v>1</v>
      </c>
      <c r="B6294" s="3" t="str">
        <f>HYPERLINK("https://otsuka-europe-crm.veevavault.com/ui/#object/approved_document__v/V5O000000001001", "AM2M - PSIQUIATRÍA - Guía preguntas pacientes")</f>
        <v>AM2M - PSIQUIATRÍA - Guía preguntas pacientes</v>
      </c>
      <c r="C6294" s="3" t="str">
        <f>HYPERLINK("https://otsuka-europe-crm.veevavault.com/ui/#object/sent_email__v/VBL00000000U269", "SE-001394679")</f>
        <v>SE-001394679</v>
      </c>
      <c r="D6294" s="1" t="s">
        <v>0</v>
      </c>
      <c r="E6294" s="2">
        <v>0</v>
      </c>
      <c r="F6294" s="2">
        <v>0</v>
      </c>
      <c r="G6294" s="2">
        <v>0</v>
      </c>
      <c r="H6294" s="1" t="s">
        <v>0</v>
      </c>
      <c r="I6294" s="2">
        <v>0</v>
      </c>
      <c r="J6294" s="1">
        <v>45993.555358796293</v>
      </c>
    </row>
    <row r="6295" spans="1:10" x14ac:dyDescent="0.2">
      <c r="A6295" s="4" t="s">
        <v>1</v>
      </c>
      <c r="B6295" s="3" t="str">
        <f>HYPERLINK("https://otsuka-europe-crm.veevavault.com/ui/#object/approved_document__v/V5O000000001001", "AM2M - PSIQUIATRÍA - Guía preguntas pacientes")</f>
        <v>AM2M - PSIQUIATRÍA - Guía preguntas pacientes</v>
      </c>
      <c r="C6295" s="3" t="str">
        <f>HYPERLINK("https://otsuka-europe-crm.veevavault.com/ui/#object/sent_email__v/VBL00000000U270", "SE-001394680")</f>
        <v>SE-001394680</v>
      </c>
      <c r="D6295" s="1" t="s">
        <v>0</v>
      </c>
      <c r="E6295" s="2">
        <v>0</v>
      </c>
      <c r="F6295" s="2">
        <v>0</v>
      </c>
      <c r="G6295" s="2">
        <v>0</v>
      </c>
      <c r="H6295" s="1" t="s">
        <v>0</v>
      </c>
      <c r="I6295" s="2">
        <v>0</v>
      </c>
      <c r="J6295" s="1">
        <v>45993.555393518516</v>
      </c>
    </row>
    <row r="6296" spans="1:10" x14ac:dyDescent="0.2">
      <c r="A6296" s="4" t="s">
        <v>1</v>
      </c>
      <c r="B6296" s="3" t="str">
        <f>HYPERLINK("https://otsuka-europe-crm.veevavault.com/ui/#object/approved_document__v/V5O000000001001", "AM2M - PSIQUIATRÍA - Guía preguntas pacientes")</f>
        <v>AM2M - PSIQUIATRÍA - Guía preguntas pacientes</v>
      </c>
      <c r="C6296" s="3" t="str">
        <f>HYPERLINK("https://otsuka-europe-crm.veevavault.com/ui/#object/sent_email__v/VBL00000000U271", "SE-001394681")</f>
        <v>SE-001394681</v>
      </c>
      <c r="D6296" s="1">
        <v>45993.929189814815</v>
      </c>
      <c r="E6296" s="2">
        <v>1</v>
      </c>
      <c r="F6296" s="2">
        <v>1</v>
      </c>
      <c r="G6296" s="2">
        <v>0</v>
      </c>
      <c r="H6296" s="1" t="s">
        <v>0</v>
      </c>
      <c r="I6296" s="2">
        <v>0</v>
      </c>
      <c r="J6296" s="1">
        <v>45993.555439814816</v>
      </c>
    </row>
    <row r="6297" spans="1:10" x14ac:dyDescent="0.2">
      <c r="A6297" s="4" t="s">
        <v>1</v>
      </c>
      <c r="B6297" s="3" t="str">
        <f>HYPERLINK("https://otsuka-europe-crm.veevavault.com/ui/#object/approved_document__v/V5O000000001001", "AM2M - PSIQUIATRÍA - Guía preguntas pacientes")</f>
        <v>AM2M - PSIQUIATRÍA - Guía preguntas pacientes</v>
      </c>
      <c r="C6297" s="3" t="str">
        <f>HYPERLINK("https://otsuka-europe-crm.veevavault.com/ui/#object/sent_email__v/VBL00000000U272", "SE-001394682")</f>
        <v>SE-001394682</v>
      </c>
      <c r="D6297" s="1" t="s">
        <v>0</v>
      </c>
      <c r="E6297" s="2">
        <v>0</v>
      </c>
      <c r="F6297" s="2">
        <v>0</v>
      </c>
      <c r="G6297" s="2">
        <v>0</v>
      </c>
      <c r="H6297" s="1" t="s">
        <v>0</v>
      </c>
      <c r="I6297" s="2">
        <v>0</v>
      </c>
      <c r="J6297" s="1">
        <v>45993.555486111109</v>
      </c>
    </row>
    <row r="6298" spans="1:10" x14ac:dyDescent="0.2">
      <c r="A6298" s="4" t="s">
        <v>1</v>
      </c>
      <c r="B6298" s="3" t="str">
        <f>HYPERLINK("https://otsuka-europe-crm.veevavault.com/ui/#object/approved_document__v/V5O000000001001", "AM2M - PSIQUIATRÍA - Guía preguntas pacientes")</f>
        <v>AM2M - PSIQUIATRÍA - Guía preguntas pacientes</v>
      </c>
      <c r="C6298" s="3" t="str">
        <f>HYPERLINK("https://otsuka-europe-crm.veevavault.com/ui/#object/sent_email__v/VBL00000000U273", "SE-001394683")</f>
        <v>SE-001394683</v>
      </c>
      <c r="D6298" s="1">
        <v>45993.648506944446</v>
      </c>
      <c r="E6298" s="2">
        <v>1</v>
      </c>
      <c r="F6298" s="2">
        <v>1</v>
      </c>
      <c r="G6298" s="2">
        <v>0</v>
      </c>
      <c r="H6298" s="1" t="s">
        <v>0</v>
      </c>
      <c r="I6298" s="2">
        <v>0</v>
      </c>
      <c r="J6298" s="1">
        <v>45993.555520833332</v>
      </c>
    </row>
    <row r="6299" spans="1:10" x14ac:dyDescent="0.2">
      <c r="A6299" s="4" t="s">
        <v>1</v>
      </c>
      <c r="B6299" s="3" t="str">
        <f>HYPERLINK("https://otsuka-europe-crm.veevavault.com/ui/#object/approved_document__v/V5O000000001001", "AM2M - PSIQUIATRÍA - Guía preguntas pacientes")</f>
        <v>AM2M - PSIQUIATRÍA - Guía preguntas pacientes</v>
      </c>
      <c r="C6299" s="3" t="str">
        <f>HYPERLINK("https://otsuka-europe-crm.veevavault.com/ui/#object/sent_email__v/VBL00000000U274", "SE-001394684")</f>
        <v>SE-001394684</v>
      </c>
      <c r="D6299" s="1">
        <v>46020.795648148145</v>
      </c>
      <c r="E6299" s="2">
        <v>1</v>
      </c>
      <c r="F6299" s="2">
        <v>7</v>
      </c>
      <c r="G6299" s="2">
        <v>0</v>
      </c>
      <c r="H6299" s="1" t="s">
        <v>0</v>
      </c>
      <c r="I6299" s="2">
        <v>0</v>
      </c>
      <c r="J6299" s="1">
        <v>45993.555555555555</v>
      </c>
    </row>
    <row r="6300" spans="1:10" x14ac:dyDescent="0.2">
      <c r="A6300" s="4" t="s">
        <v>1</v>
      </c>
      <c r="B6300" s="3" t="str">
        <f>HYPERLINK("https://otsuka-europe-crm.veevavault.com/ui/#object/approved_document__v/V5O000000001001", "AM2M - PSIQUIATRÍA - Guía preguntas pacientes")</f>
        <v>AM2M - PSIQUIATRÍA - Guía preguntas pacientes</v>
      </c>
      <c r="C6300" s="3" t="str">
        <f>HYPERLINK("https://otsuka-europe-crm.veevavault.com/ui/#object/sent_email__v/VBL00000000U275", "SE-001394685")</f>
        <v>SE-001394685</v>
      </c>
      <c r="D6300" s="1">
        <v>46002.829085648147</v>
      </c>
      <c r="E6300" s="2">
        <v>1</v>
      </c>
      <c r="F6300" s="2">
        <v>3</v>
      </c>
      <c r="G6300" s="2">
        <v>0</v>
      </c>
      <c r="H6300" s="1" t="s">
        <v>0</v>
      </c>
      <c r="I6300" s="2">
        <v>0</v>
      </c>
      <c r="J6300" s="1">
        <v>45993.555601851855</v>
      </c>
    </row>
    <row r="6301" spans="1:10" x14ac:dyDescent="0.2">
      <c r="A6301" s="4" t="s">
        <v>1</v>
      </c>
      <c r="B6301" s="3" t="str">
        <f>HYPERLINK("https://otsuka-europe-crm.veevavault.com/ui/#object/approved_document__v/V5O000000001001", "AM2M - PSIQUIATRÍA - Guía preguntas pacientes")</f>
        <v>AM2M - PSIQUIATRÍA - Guía preguntas pacientes</v>
      </c>
      <c r="C6301" s="3" t="str">
        <f>HYPERLINK("https://otsuka-europe-crm.veevavault.com/ui/#object/sent_email__v/VBL00000000U276", "SE-001394686")</f>
        <v>SE-001394686</v>
      </c>
      <c r="D6301" s="1" t="s">
        <v>0</v>
      </c>
      <c r="E6301" s="2">
        <v>0</v>
      </c>
      <c r="F6301" s="2">
        <v>0</v>
      </c>
      <c r="G6301" s="2">
        <v>0</v>
      </c>
      <c r="H6301" s="1" t="s">
        <v>0</v>
      </c>
      <c r="I6301" s="2">
        <v>0</v>
      </c>
      <c r="J6301" s="1">
        <v>45993.555636574078</v>
      </c>
    </row>
    <row r="6302" spans="1:10" x14ac:dyDescent="0.2">
      <c r="A6302" s="4" t="s">
        <v>1</v>
      </c>
      <c r="B6302" s="3" t="str">
        <f>HYPERLINK("https://otsuka-europe-crm.veevavault.com/ui/#object/approved_document__v/V5O000000001001", "AM2M - PSIQUIATRÍA - Guía preguntas pacientes")</f>
        <v>AM2M - PSIQUIATRÍA - Guía preguntas pacientes</v>
      </c>
      <c r="C6302" s="3" t="str">
        <f>HYPERLINK("https://otsuka-europe-crm.veevavault.com/ui/#object/sent_email__v/VBL00000000U277", "SE-001394687")</f>
        <v>SE-001394687</v>
      </c>
      <c r="D6302" s="1">
        <v>45993.574988425928</v>
      </c>
      <c r="E6302" s="2">
        <v>1</v>
      </c>
      <c r="F6302" s="2">
        <v>1</v>
      </c>
      <c r="G6302" s="2">
        <v>0</v>
      </c>
      <c r="H6302" s="1" t="s">
        <v>0</v>
      </c>
      <c r="I6302" s="2">
        <v>0</v>
      </c>
      <c r="J6302" s="1">
        <v>45993.55568287037</v>
      </c>
    </row>
    <row r="6303" spans="1:10" x14ac:dyDescent="0.2">
      <c r="A6303" s="4" t="s">
        <v>1</v>
      </c>
      <c r="B6303" s="3" t="str">
        <f>HYPERLINK("https://otsuka-europe-crm.veevavault.com/ui/#object/approved_document__v/V5O000000001001", "AM2M - PSIQUIATRÍA - Guía preguntas pacientes")</f>
        <v>AM2M - PSIQUIATRÍA - Guía preguntas pacientes</v>
      </c>
      <c r="C6303" s="3" t="str">
        <f>HYPERLINK("https://otsuka-europe-crm.veevavault.com/ui/#object/sent_email__v/VBL00000000U278", "SE-001394688")</f>
        <v>SE-001394688</v>
      </c>
      <c r="D6303" s="1" t="s">
        <v>0</v>
      </c>
      <c r="E6303" s="2">
        <v>0</v>
      </c>
      <c r="F6303" s="2">
        <v>0</v>
      </c>
      <c r="G6303" s="2">
        <v>0</v>
      </c>
      <c r="H6303" s="1" t="s">
        <v>0</v>
      </c>
      <c r="I6303" s="2">
        <v>0</v>
      </c>
      <c r="J6303" s="1">
        <v>45993.55572916667</v>
      </c>
    </row>
    <row r="6304" spans="1:10" x14ac:dyDescent="0.2">
      <c r="A6304" s="4" t="s">
        <v>1</v>
      </c>
      <c r="B6304" s="3" t="str">
        <f>HYPERLINK("https://otsuka-europe-crm.veevavault.com/ui/#object/approved_document__v/V5O000000001001", "AM2M - PSIQUIATRÍA - Guía preguntas pacientes")</f>
        <v>AM2M - PSIQUIATRÍA - Guía preguntas pacientes</v>
      </c>
      <c r="C6304" s="3" t="str">
        <f>HYPERLINK("https://otsuka-europe-crm.veevavault.com/ui/#object/sent_email__v/VBL00000000U279", "SE-001394689")</f>
        <v>SE-001394689</v>
      </c>
      <c r="D6304" s="1" t="s">
        <v>0</v>
      </c>
      <c r="E6304" s="2">
        <v>0</v>
      </c>
      <c r="F6304" s="2">
        <v>0</v>
      </c>
      <c r="G6304" s="2">
        <v>0</v>
      </c>
      <c r="H6304" s="1" t="s">
        <v>0</v>
      </c>
      <c r="I6304" s="2">
        <v>0</v>
      </c>
      <c r="J6304" s="1">
        <v>45993.555763888886</v>
      </c>
    </row>
    <row r="6305" spans="1:10" x14ac:dyDescent="0.2">
      <c r="A6305" s="4" t="s">
        <v>1</v>
      </c>
      <c r="B6305" s="3" t="str">
        <f>HYPERLINK("https://otsuka-europe-crm.veevavault.com/ui/#object/approved_document__v/V5O000000001001", "AM2M - PSIQUIATRÍA - Guía preguntas pacientes")</f>
        <v>AM2M - PSIQUIATRÍA - Guía preguntas pacientes</v>
      </c>
      <c r="C6305" s="3" t="str">
        <f>HYPERLINK("https://otsuka-europe-crm.veevavault.com/ui/#object/sent_email__v/VBL00000000U280", "SE-001394690")</f>
        <v>SE-001394690</v>
      </c>
      <c r="D6305" s="1">
        <v>45993.810636574075</v>
      </c>
      <c r="E6305" s="2">
        <v>1</v>
      </c>
      <c r="F6305" s="2">
        <v>2</v>
      </c>
      <c r="G6305" s="2">
        <v>0</v>
      </c>
      <c r="H6305" s="1" t="s">
        <v>0</v>
      </c>
      <c r="I6305" s="2">
        <v>0</v>
      </c>
      <c r="J6305" s="1">
        <v>45993.555821759262</v>
      </c>
    </row>
    <row r="6306" spans="1:10" x14ac:dyDescent="0.2">
      <c r="A6306" s="4" t="s">
        <v>1</v>
      </c>
      <c r="B6306" s="3" t="str">
        <f>HYPERLINK("https://otsuka-europe-crm.veevavault.com/ui/#object/approved_document__v/V5O000000001001", "AM2M - PSIQUIATRÍA - Guía preguntas pacientes")</f>
        <v>AM2M - PSIQUIATRÍA - Guía preguntas pacientes</v>
      </c>
      <c r="C6306" s="3" t="str">
        <f>HYPERLINK("https://otsuka-europe-crm.veevavault.com/ui/#object/sent_email__v/VBL00000000U281", "SE-001394691")</f>
        <v>SE-001394691</v>
      </c>
      <c r="D6306" s="1">
        <v>46004.366215277776</v>
      </c>
      <c r="E6306" s="2">
        <v>1</v>
      </c>
      <c r="F6306" s="2">
        <v>4</v>
      </c>
      <c r="G6306" s="2">
        <v>0</v>
      </c>
      <c r="H6306" s="1" t="s">
        <v>0</v>
      </c>
      <c r="I6306" s="2">
        <v>0</v>
      </c>
      <c r="J6306" s="1">
        <v>45993.555856481478</v>
      </c>
    </row>
    <row r="6307" spans="1:10" x14ac:dyDescent="0.2">
      <c r="A6307" s="4" t="s">
        <v>1</v>
      </c>
      <c r="B6307" s="3" t="str">
        <f>HYPERLINK("https://otsuka-europe-crm.veevavault.com/ui/#object/approved_document__v/V5O000000001001", "AM2M - PSIQUIATRÍA - Guía preguntas pacientes")</f>
        <v>AM2M - PSIQUIATRÍA - Guía preguntas pacientes</v>
      </c>
      <c r="C6307" s="3" t="str">
        <f>HYPERLINK("https://otsuka-europe-crm.veevavault.com/ui/#object/sent_email__v/VBL00000000U282", "SE-001394692")</f>
        <v>SE-001394692</v>
      </c>
      <c r="D6307" s="1">
        <v>45993.987071759257</v>
      </c>
      <c r="E6307" s="2">
        <v>1</v>
      </c>
      <c r="F6307" s="2">
        <v>1</v>
      </c>
      <c r="G6307" s="2">
        <v>0</v>
      </c>
      <c r="H6307" s="1" t="s">
        <v>0</v>
      </c>
      <c r="I6307" s="2">
        <v>0</v>
      </c>
      <c r="J6307" s="1">
        <v>45993.555925925924</v>
      </c>
    </row>
    <row r="6308" spans="1:10" x14ac:dyDescent="0.2">
      <c r="A6308" s="4" t="s">
        <v>1</v>
      </c>
      <c r="B6308" s="3" t="str">
        <f>HYPERLINK("https://otsuka-europe-crm.veevavault.com/ui/#object/approved_document__v/V5O000000001001", "AM2M - PSIQUIATRÍA - Guía preguntas pacientes")</f>
        <v>AM2M - PSIQUIATRÍA - Guía preguntas pacientes</v>
      </c>
      <c r="C6308" s="3" t="str">
        <f>HYPERLINK("https://otsuka-europe-crm.veevavault.com/ui/#object/sent_email__v/VBL00000000U283", "SE-001394693")</f>
        <v>SE-001394693</v>
      </c>
      <c r="D6308" s="1">
        <v>45994.817164351851</v>
      </c>
      <c r="E6308" s="2">
        <v>1</v>
      </c>
      <c r="F6308" s="2">
        <v>1</v>
      </c>
      <c r="G6308" s="2">
        <v>0</v>
      </c>
      <c r="H6308" s="1" t="s">
        <v>0</v>
      </c>
      <c r="I6308" s="2">
        <v>0</v>
      </c>
      <c r="J6308" s="1">
        <v>45993.555960648147</v>
      </c>
    </row>
    <row r="6309" spans="1:10" x14ac:dyDescent="0.2">
      <c r="A6309" s="4" t="s">
        <v>1</v>
      </c>
      <c r="B6309" s="3" t="str">
        <f>HYPERLINK("https://otsuka-europe-crm.veevavault.com/ui/#object/approved_document__v/V5O000000001001", "AM2M - PSIQUIATRÍA - Guía preguntas pacientes")</f>
        <v>AM2M - PSIQUIATRÍA - Guía preguntas pacientes</v>
      </c>
      <c r="C6309" s="3" t="str">
        <f>HYPERLINK("https://otsuka-europe-crm.veevavault.com/ui/#object/sent_email__v/VBL00000000U284", "SE-001394694")</f>
        <v>SE-001394694</v>
      </c>
      <c r="D6309" s="1">
        <v>45993.556284722225</v>
      </c>
      <c r="E6309" s="2">
        <v>1</v>
      </c>
      <c r="F6309" s="2">
        <v>1</v>
      </c>
      <c r="G6309" s="2">
        <v>0</v>
      </c>
      <c r="H6309" s="1" t="s">
        <v>0</v>
      </c>
      <c r="I6309" s="2">
        <v>0</v>
      </c>
      <c r="J6309" s="1">
        <v>45993.556006944447</v>
      </c>
    </row>
    <row r="6310" spans="1:10" x14ac:dyDescent="0.2">
      <c r="A6310" s="4" t="s">
        <v>1</v>
      </c>
      <c r="B6310" s="3" t="str">
        <f>HYPERLINK("https://otsuka-europe-crm.veevavault.com/ui/#object/approved_document__v/V5O000000001001", "AM2M - PSIQUIATRÍA - Guía preguntas pacientes")</f>
        <v>AM2M - PSIQUIATRÍA - Guía preguntas pacientes</v>
      </c>
      <c r="C6310" s="3" t="str">
        <f>HYPERLINK("https://otsuka-europe-crm.veevavault.com/ui/#object/sent_email__v/VBL00000000U285", "SE-001394695")</f>
        <v>SE-001394695</v>
      </c>
      <c r="D6310" s="1">
        <v>45993.828113425923</v>
      </c>
      <c r="E6310" s="2">
        <v>1</v>
      </c>
      <c r="F6310" s="2">
        <v>1</v>
      </c>
      <c r="G6310" s="2">
        <v>0</v>
      </c>
      <c r="H6310" s="1" t="s">
        <v>0</v>
      </c>
      <c r="I6310" s="2">
        <v>0</v>
      </c>
      <c r="J6310" s="1">
        <v>45993.556064814817</v>
      </c>
    </row>
    <row r="6311" spans="1:10" x14ac:dyDescent="0.2">
      <c r="A6311" s="4" t="s">
        <v>1</v>
      </c>
      <c r="B6311" s="3" t="str">
        <f>HYPERLINK("https://otsuka-europe-crm.veevavault.com/ui/#object/approved_document__v/V5O000000001001", "AM2M - PSIQUIATRÍA - Guía preguntas pacientes")</f>
        <v>AM2M - PSIQUIATRÍA - Guía preguntas pacientes</v>
      </c>
      <c r="C6311" s="3" t="str">
        <f>HYPERLINK("https://otsuka-europe-crm.veevavault.com/ui/#object/sent_email__v/VBL00000000U286", "SE-001394696")</f>
        <v>SE-001394696</v>
      </c>
      <c r="D6311" s="1">
        <v>45993.665497685186</v>
      </c>
      <c r="E6311" s="2">
        <v>1</v>
      </c>
      <c r="F6311" s="2">
        <v>1</v>
      </c>
      <c r="G6311" s="2">
        <v>0</v>
      </c>
      <c r="H6311" s="1" t="s">
        <v>0</v>
      </c>
      <c r="I6311" s="2">
        <v>0</v>
      </c>
      <c r="J6311" s="1">
        <v>45993.556087962963</v>
      </c>
    </row>
    <row r="6312" spans="1:10" x14ac:dyDescent="0.2">
      <c r="A6312" s="4" t="s">
        <v>1</v>
      </c>
      <c r="B6312" s="3" t="str">
        <f>HYPERLINK("https://otsuka-europe-crm.veevavault.com/ui/#object/approved_document__v/V5O000000001001", "AM2M - PSIQUIATRÍA - Guía preguntas pacientes")</f>
        <v>AM2M - PSIQUIATRÍA - Guía preguntas pacientes</v>
      </c>
      <c r="C6312" s="3" t="str">
        <f>HYPERLINK("https://otsuka-europe-crm.veevavault.com/ui/#object/sent_email__v/VBL00000000U287", "SE-001394697")</f>
        <v>SE-001394697</v>
      </c>
      <c r="D6312" s="1" t="s">
        <v>0</v>
      </c>
      <c r="E6312" s="2">
        <v>0</v>
      </c>
      <c r="F6312" s="2">
        <v>0</v>
      </c>
      <c r="G6312" s="2">
        <v>0</v>
      </c>
      <c r="H6312" s="1" t="s">
        <v>0</v>
      </c>
      <c r="I6312" s="2">
        <v>0</v>
      </c>
      <c r="J6312" s="1">
        <v>45993.556134259263</v>
      </c>
    </row>
    <row r="6313" spans="1:10" x14ac:dyDescent="0.2">
      <c r="A6313" s="4" t="s">
        <v>1</v>
      </c>
      <c r="B6313" s="3" t="str">
        <f>HYPERLINK("https://otsuka-europe-crm.veevavault.com/ui/#object/approved_document__v/V5O000000001001", "AM2M - PSIQUIATRÍA - Guía preguntas pacientes")</f>
        <v>AM2M - PSIQUIATRÍA - Guía preguntas pacientes</v>
      </c>
      <c r="C6313" s="3" t="str">
        <f>HYPERLINK("https://otsuka-europe-crm.veevavault.com/ui/#object/sent_email__v/VBL00000000U288", "SE-001394698")</f>
        <v>SE-001394698</v>
      </c>
      <c r="D6313" s="1">
        <v>45993.568182870367</v>
      </c>
      <c r="E6313" s="2">
        <v>1</v>
      </c>
      <c r="F6313" s="2">
        <v>1</v>
      </c>
      <c r="G6313" s="2">
        <v>0</v>
      </c>
      <c r="H6313" s="1" t="s">
        <v>0</v>
      </c>
      <c r="I6313" s="2">
        <v>0</v>
      </c>
      <c r="J6313" s="1">
        <v>45993.556168981479</v>
      </c>
    </row>
    <row r="6314" spans="1:10" x14ac:dyDescent="0.2">
      <c r="A6314" s="4" t="s">
        <v>1</v>
      </c>
      <c r="B6314" s="3" t="str">
        <f>HYPERLINK("https://otsuka-europe-crm.veevavault.com/ui/#object/approved_document__v/V5O000000001001", "AM2M - PSIQUIATRÍA - Guía preguntas pacientes")</f>
        <v>AM2M - PSIQUIATRÍA - Guía preguntas pacientes</v>
      </c>
      <c r="C6314" s="3" t="str">
        <f>HYPERLINK("https://otsuka-europe-crm.veevavault.com/ui/#object/sent_email__v/VBL00000000U289", "SE-001394699")</f>
        <v>SE-001394699</v>
      </c>
      <c r="D6314" s="1">
        <v>45993.557592592595</v>
      </c>
      <c r="E6314" s="2">
        <v>1</v>
      </c>
      <c r="F6314" s="2">
        <v>1</v>
      </c>
      <c r="G6314" s="2">
        <v>0</v>
      </c>
      <c r="H6314" s="1" t="s">
        <v>0</v>
      </c>
      <c r="I6314" s="2">
        <v>0</v>
      </c>
      <c r="J6314" s="1">
        <v>45993.556307870371</v>
      </c>
    </row>
    <row r="6315" spans="1:10" x14ac:dyDescent="0.2">
      <c r="A6315" s="4" t="s">
        <v>1</v>
      </c>
      <c r="B6315" s="3" t="str">
        <f>HYPERLINK("https://otsuka-europe-crm.veevavault.com/ui/#object/approved_document__v/V5O000000001001", "AM2M - PSIQUIATRÍA - Guía preguntas pacientes")</f>
        <v>AM2M - PSIQUIATRÍA - Guía preguntas pacientes</v>
      </c>
      <c r="C6315" s="3" t="str">
        <f>HYPERLINK("https://otsuka-europe-crm.veevavault.com/ui/#object/sent_email__v/VBL00000000U290", "SE-001394700")</f>
        <v>SE-001394700</v>
      </c>
      <c r="D6315" s="1">
        <v>45995.946666666663</v>
      </c>
      <c r="E6315" s="2">
        <v>1</v>
      </c>
      <c r="F6315" s="2">
        <v>2</v>
      </c>
      <c r="G6315" s="2">
        <v>0</v>
      </c>
      <c r="H6315" s="1" t="s">
        <v>0</v>
      </c>
      <c r="I6315" s="2">
        <v>0</v>
      </c>
      <c r="J6315" s="1">
        <v>45993.556388888886</v>
      </c>
    </row>
    <row r="6316" spans="1:10" x14ac:dyDescent="0.2">
      <c r="A6316" s="4" t="s">
        <v>1</v>
      </c>
      <c r="B6316" s="3" t="str">
        <f>HYPERLINK("https://otsuka-europe-crm.veevavault.com/ui/#object/approved_document__v/V5O000000001001", "AM2M - PSIQUIATRÍA - Guía preguntas pacientes")</f>
        <v>AM2M - PSIQUIATRÍA - Guía preguntas pacientes</v>
      </c>
      <c r="C6316" s="3" t="str">
        <f>HYPERLINK("https://otsuka-europe-crm.veevavault.com/ui/#object/sent_email__v/VBL00000000U291", "SE-001394701")</f>
        <v>SE-001394701</v>
      </c>
      <c r="D6316" s="1">
        <v>45993.558518518519</v>
      </c>
      <c r="E6316" s="2">
        <v>1</v>
      </c>
      <c r="F6316" s="2">
        <v>1</v>
      </c>
      <c r="G6316" s="2">
        <v>0</v>
      </c>
      <c r="H6316" s="1" t="s">
        <v>0</v>
      </c>
      <c r="I6316" s="2">
        <v>0</v>
      </c>
      <c r="J6316" s="1">
        <v>45993.55636574074</v>
      </c>
    </row>
    <row r="6317" spans="1:10" x14ac:dyDescent="0.2">
      <c r="A6317" s="4" t="s">
        <v>1</v>
      </c>
      <c r="B6317" s="3" t="str">
        <f>HYPERLINK("https://otsuka-europe-crm.veevavault.com/ui/#object/approved_document__v/V5O000000001001", "AM2M - PSIQUIATRÍA - Guía preguntas pacientes")</f>
        <v>AM2M - PSIQUIATRÍA - Guía preguntas pacientes</v>
      </c>
      <c r="C6317" s="3" t="str">
        <f>HYPERLINK("https://otsuka-europe-crm.veevavault.com/ui/#object/sent_email__v/VBL00000000U292", "SE-001394702")</f>
        <v>SE-001394702</v>
      </c>
      <c r="D6317" s="1" t="s">
        <v>0</v>
      </c>
      <c r="E6317" s="2">
        <v>0</v>
      </c>
      <c r="F6317" s="2">
        <v>0</v>
      </c>
      <c r="G6317" s="2">
        <v>0</v>
      </c>
      <c r="H6317" s="1" t="s">
        <v>0</v>
      </c>
      <c r="I6317" s="2">
        <v>0</v>
      </c>
      <c r="J6317" s="1">
        <v>45993.55641203704</v>
      </c>
    </row>
    <row r="6318" spans="1:10" x14ac:dyDescent="0.2">
      <c r="A6318" s="4" t="s">
        <v>1</v>
      </c>
      <c r="B6318" s="3" t="str">
        <f>HYPERLINK("https://otsuka-europe-crm.veevavault.com/ui/#object/approved_document__v/V5O000000001001", "AM2M - PSIQUIATRÍA - Guía preguntas pacientes")</f>
        <v>AM2M - PSIQUIATRÍA - Guía preguntas pacientes</v>
      </c>
      <c r="C6318" s="3" t="str">
        <f>HYPERLINK("https://otsuka-europe-crm.veevavault.com/ui/#object/sent_email__v/VBL00000000U293", "SE-001394703")</f>
        <v>SE-001394703</v>
      </c>
      <c r="D6318" s="1">
        <v>45993.663773148146</v>
      </c>
      <c r="E6318" s="2">
        <v>1</v>
      </c>
      <c r="F6318" s="2">
        <v>2</v>
      </c>
      <c r="G6318" s="2">
        <v>0</v>
      </c>
      <c r="H6318" s="1" t="s">
        <v>0</v>
      </c>
      <c r="I6318" s="2">
        <v>0</v>
      </c>
      <c r="J6318" s="1">
        <v>45993.556458333333</v>
      </c>
    </row>
    <row r="6319" spans="1:10" x14ac:dyDescent="0.2">
      <c r="A6319" s="4" t="s">
        <v>1</v>
      </c>
      <c r="B6319" s="3" t="str">
        <f>HYPERLINK("https://otsuka-europe-crm.veevavault.com/ui/#object/approved_document__v/V5O000000001001", "AM2M - PSIQUIATRÍA - Guía preguntas pacientes")</f>
        <v>AM2M - PSIQUIATRÍA - Guía preguntas pacientes</v>
      </c>
      <c r="C6319" s="3" t="str">
        <f>HYPERLINK("https://otsuka-europe-crm.veevavault.com/ui/#object/sent_email__v/VBL00000000U294", "SE-001394704")</f>
        <v>SE-001394704</v>
      </c>
      <c r="D6319" s="1">
        <v>45999.089108796295</v>
      </c>
      <c r="E6319" s="2">
        <v>1</v>
      </c>
      <c r="F6319" s="2">
        <v>1</v>
      </c>
      <c r="G6319" s="2">
        <v>0</v>
      </c>
      <c r="H6319" s="1" t="s">
        <v>0</v>
      </c>
      <c r="I6319" s="2">
        <v>0</v>
      </c>
      <c r="J6319" s="1">
        <v>45993.556481481479</v>
      </c>
    </row>
    <row r="6320" spans="1:10" x14ac:dyDescent="0.2">
      <c r="A6320" s="4" t="s">
        <v>1</v>
      </c>
      <c r="B6320" s="3" t="str">
        <f>HYPERLINK("https://otsuka-europe-crm.veevavault.com/ui/#object/approved_document__v/V5O000000001001", "AM2M - PSIQUIATRÍA - Guía preguntas pacientes")</f>
        <v>AM2M - PSIQUIATRÍA - Guía preguntas pacientes</v>
      </c>
      <c r="C6320" s="3" t="str">
        <f>HYPERLINK("https://otsuka-europe-crm.veevavault.com/ui/#object/sent_email__v/VBL00000000U295", "SE-001394705")</f>
        <v>SE-001394705</v>
      </c>
      <c r="D6320" s="1" t="s">
        <v>0</v>
      </c>
      <c r="E6320" s="2">
        <v>0</v>
      </c>
      <c r="F6320" s="2">
        <v>0</v>
      </c>
      <c r="G6320" s="2">
        <v>0</v>
      </c>
      <c r="H6320" s="1" t="s">
        <v>0</v>
      </c>
      <c r="I6320" s="2">
        <v>0</v>
      </c>
      <c r="J6320" s="1">
        <v>45993.556527777779</v>
      </c>
    </row>
    <row r="6321" spans="1:10" x14ac:dyDescent="0.2">
      <c r="A6321" s="4" t="s">
        <v>1</v>
      </c>
      <c r="B6321" s="3" t="str">
        <f>HYPERLINK("https://otsuka-europe-crm.veevavault.com/ui/#object/approved_document__v/V5O000000001001", "AM2M - PSIQUIATRÍA - Guía preguntas pacientes")</f>
        <v>AM2M - PSIQUIATRÍA - Guía preguntas pacientes</v>
      </c>
      <c r="C6321" s="3" t="str">
        <f>HYPERLINK("https://otsuka-europe-crm.veevavault.com/ui/#object/sent_email__v/VBL00000000U296", "SE-001394706")</f>
        <v>SE-001394706</v>
      </c>
      <c r="D6321" s="1" t="s">
        <v>0</v>
      </c>
      <c r="E6321" s="2">
        <v>0</v>
      </c>
      <c r="F6321" s="2">
        <v>0</v>
      </c>
      <c r="G6321" s="2">
        <v>0</v>
      </c>
      <c r="H6321" s="1" t="s">
        <v>0</v>
      </c>
      <c r="I6321" s="2">
        <v>0</v>
      </c>
      <c r="J6321" s="1">
        <v>45993.556574074071</v>
      </c>
    </row>
    <row r="6322" spans="1:10" x14ac:dyDescent="0.2">
      <c r="A6322" s="4" t="s">
        <v>1</v>
      </c>
      <c r="B6322" s="3" t="str">
        <f>HYPERLINK("https://otsuka-europe-crm.veevavault.com/ui/#object/approved_document__v/V5O000000001001", "AM2M - PSIQUIATRÍA - Guía preguntas pacientes")</f>
        <v>AM2M - PSIQUIATRÍA - Guía preguntas pacientes</v>
      </c>
      <c r="C6322" s="3" t="str">
        <f>HYPERLINK("https://otsuka-europe-crm.veevavault.com/ui/#object/sent_email__v/VBL00000000U297", "SE-001394707")</f>
        <v>SE-001394707</v>
      </c>
      <c r="D6322" s="1" t="s">
        <v>0</v>
      </c>
      <c r="E6322" s="2">
        <v>0</v>
      </c>
      <c r="F6322" s="2">
        <v>0</v>
      </c>
      <c r="G6322" s="2">
        <v>0</v>
      </c>
      <c r="H6322" s="1" t="s">
        <v>0</v>
      </c>
      <c r="I6322" s="2">
        <v>0</v>
      </c>
      <c r="J6322" s="1">
        <v>45993.556620370371</v>
      </c>
    </row>
    <row r="6323" spans="1:10" x14ac:dyDescent="0.2">
      <c r="A6323" s="4" t="s">
        <v>1</v>
      </c>
      <c r="B6323" s="3" t="str">
        <f>HYPERLINK("https://otsuka-europe-crm.veevavault.com/ui/#object/approved_document__v/V5O000000001001", "AM2M - PSIQUIATRÍA - Guía preguntas pacientes")</f>
        <v>AM2M - PSIQUIATRÍA - Guía preguntas pacientes</v>
      </c>
      <c r="C6323" s="3" t="str">
        <f>HYPERLINK("https://otsuka-europe-crm.veevavault.com/ui/#object/sent_email__v/VBL00000000U298", "SE-001394708")</f>
        <v>SE-001394708</v>
      </c>
      <c r="D6323" s="1">
        <v>45993.896053240744</v>
      </c>
      <c r="E6323" s="2">
        <v>1</v>
      </c>
      <c r="F6323" s="2">
        <v>2</v>
      </c>
      <c r="G6323" s="2">
        <v>0</v>
      </c>
      <c r="H6323" s="1" t="s">
        <v>0</v>
      </c>
      <c r="I6323" s="2">
        <v>0</v>
      </c>
      <c r="J6323" s="1">
        <v>45993.556655092594</v>
      </c>
    </row>
    <row r="6324" spans="1:10" x14ac:dyDescent="0.2">
      <c r="A6324" s="4" t="s">
        <v>1</v>
      </c>
      <c r="B6324" s="3" t="str">
        <f>HYPERLINK("https://otsuka-europe-crm.veevavault.com/ui/#object/approved_document__v/V5O000000001001", "AM2M - PSIQUIATRÍA - Guía preguntas pacientes")</f>
        <v>AM2M - PSIQUIATRÍA - Guía preguntas pacientes</v>
      </c>
      <c r="C6324" s="3" t="str">
        <f>HYPERLINK("https://otsuka-europe-crm.veevavault.com/ui/#object/sent_email__v/VBL00000000U299", "SE-001394709")</f>
        <v>SE-001394709</v>
      </c>
      <c r="D6324" s="1">
        <v>45993.681921296295</v>
      </c>
      <c r="E6324" s="2">
        <v>1</v>
      </c>
      <c r="F6324" s="2">
        <v>1</v>
      </c>
      <c r="G6324" s="2">
        <v>0</v>
      </c>
      <c r="H6324" s="1" t="s">
        <v>0</v>
      </c>
      <c r="I6324" s="2">
        <v>0</v>
      </c>
      <c r="J6324" s="1">
        <v>45993.556689814817</v>
      </c>
    </row>
    <row r="6325" spans="1:10" x14ac:dyDescent="0.2">
      <c r="A6325" s="4" t="s">
        <v>1</v>
      </c>
      <c r="B6325" s="3" t="str">
        <f>HYPERLINK("https://otsuka-europe-crm.veevavault.com/ui/#object/approved_document__v/V5O000000001001", "AM2M - PSIQUIATRÍA - Guía preguntas pacientes")</f>
        <v>AM2M - PSIQUIATRÍA - Guía preguntas pacientes</v>
      </c>
      <c r="C6325" s="3" t="str">
        <f>HYPERLINK("https://otsuka-europe-crm.veevavault.com/ui/#object/sent_email__v/VBL00000000U300", "SE-001394710")</f>
        <v>SE-001394710</v>
      </c>
      <c r="D6325" s="1">
        <v>46028.581678240742</v>
      </c>
      <c r="E6325" s="2">
        <v>1</v>
      </c>
      <c r="F6325" s="2">
        <v>3</v>
      </c>
      <c r="G6325" s="2">
        <v>0</v>
      </c>
      <c r="H6325" s="1" t="s">
        <v>0</v>
      </c>
      <c r="I6325" s="2">
        <v>0</v>
      </c>
      <c r="J6325" s="1">
        <v>45993.55673611111</v>
      </c>
    </row>
    <row r="6326" spans="1:10" x14ac:dyDescent="0.2">
      <c r="A6326" s="4" t="s">
        <v>1</v>
      </c>
      <c r="B6326" s="3" t="str">
        <f>HYPERLINK("https://otsuka-europe-crm.veevavault.com/ui/#object/approved_document__v/V5O000000001001", "AM2M - PSIQUIATRÍA - Guía preguntas pacientes")</f>
        <v>AM2M - PSIQUIATRÍA - Guía preguntas pacientes</v>
      </c>
      <c r="C6326" s="3" t="str">
        <f>HYPERLINK("https://otsuka-europe-crm.veevavault.com/ui/#object/sent_email__v/VBL00000000U301", "SE-001394711")</f>
        <v>SE-001394711</v>
      </c>
      <c r="D6326" s="1" t="s">
        <v>0</v>
      </c>
      <c r="E6326" s="2">
        <v>0</v>
      </c>
      <c r="F6326" s="2">
        <v>0</v>
      </c>
      <c r="G6326" s="2">
        <v>0</v>
      </c>
      <c r="H6326" s="1" t="s">
        <v>0</v>
      </c>
      <c r="I6326" s="2">
        <v>0</v>
      </c>
      <c r="J6326" s="1">
        <v>45993.55678240741</v>
      </c>
    </row>
    <row r="6327" spans="1:10" x14ac:dyDescent="0.2">
      <c r="A6327" s="4" t="s">
        <v>1</v>
      </c>
      <c r="B6327" s="3" t="str">
        <f>HYPERLINK("https://otsuka-europe-crm.veevavault.com/ui/#object/approved_document__v/V5O000000001001", "AM2M - PSIQUIATRÍA - Guía preguntas pacientes")</f>
        <v>AM2M - PSIQUIATRÍA - Guía preguntas pacientes</v>
      </c>
      <c r="C6327" s="3" t="str">
        <f>HYPERLINK("https://otsuka-europe-crm.veevavault.com/ui/#object/sent_email__v/VBL00000000U302", "SE-001394712")</f>
        <v>SE-001394712</v>
      </c>
      <c r="D6327" s="1">
        <v>45993.556921296295</v>
      </c>
      <c r="E6327" s="2">
        <v>1</v>
      </c>
      <c r="F6327" s="2">
        <v>1</v>
      </c>
      <c r="G6327" s="2">
        <v>0</v>
      </c>
      <c r="H6327" s="1" t="s">
        <v>0</v>
      </c>
      <c r="I6327" s="2">
        <v>0</v>
      </c>
      <c r="J6327" s="1">
        <v>45993.556817129633</v>
      </c>
    </row>
    <row r="6328" spans="1:10" x14ac:dyDescent="0.2">
      <c r="A6328" s="4" t="s">
        <v>1</v>
      </c>
      <c r="B6328" s="3" t="str">
        <f>HYPERLINK("https://otsuka-europe-crm.veevavault.com/ui/#object/approved_document__v/V5O000000001001", "AM2M - PSIQUIATRÍA - Guía preguntas pacientes")</f>
        <v>AM2M - PSIQUIATRÍA - Guía preguntas pacientes</v>
      </c>
      <c r="C6328" s="3" t="str">
        <f>HYPERLINK("https://otsuka-europe-crm.veevavault.com/ui/#object/sent_email__v/VBL00000000U303", "SE-001394713")</f>
        <v>SE-001394713</v>
      </c>
      <c r="D6328" s="1">
        <v>45993.584444444445</v>
      </c>
      <c r="E6328" s="2">
        <v>1</v>
      </c>
      <c r="F6328" s="2">
        <v>1</v>
      </c>
      <c r="G6328" s="2">
        <v>0</v>
      </c>
      <c r="H6328" s="1" t="s">
        <v>0</v>
      </c>
      <c r="I6328" s="2">
        <v>0</v>
      </c>
      <c r="J6328" s="1">
        <v>45993.556863425925</v>
      </c>
    </row>
    <row r="6329" spans="1:10" x14ac:dyDescent="0.2">
      <c r="A6329" s="4" t="s">
        <v>1</v>
      </c>
      <c r="B6329" s="3" t="str">
        <f>HYPERLINK("https://otsuka-europe-crm.veevavault.com/ui/#object/approved_document__v/V5O000000001001", "AM2M - PSIQUIATRÍA - Guía preguntas pacientes")</f>
        <v>AM2M - PSIQUIATRÍA - Guía preguntas pacientes</v>
      </c>
      <c r="C6329" s="3" t="str">
        <f>HYPERLINK("https://otsuka-europe-crm.veevavault.com/ui/#object/sent_email__v/VBL00000000U304", "SE-001394714")</f>
        <v>SE-001394714</v>
      </c>
      <c r="D6329" s="1" t="s">
        <v>0</v>
      </c>
      <c r="E6329" s="2">
        <v>0</v>
      </c>
      <c r="F6329" s="2">
        <v>0</v>
      </c>
      <c r="G6329" s="2">
        <v>0</v>
      </c>
      <c r="H6329" s="1" t="s">
        <v>0</v>
      </c>
      <c r="I6329" s="2">
        <v>0</v>
      </c>
      <c r="J6329" s="1">
        <v>45993.556898148148</v>
      </c>
    </row>
    <row r="6330" spans="1:10" x14ac:dyDescent="0.2">
      <c r="A6330" s="4" t="s">
        <v>1</v>
      </c>
      <c r="B6330" s="3" t="str">
        <f>HYPERLINK("https://otsuka-europe-crm.veevavault.com/ui/#object/approved_document__v/V5O000000001001", "AM2M - PSIQUIATRÍA - Guía preguntas pacientes")</f>
        <v>AM2M - PSIQUIATRÍA - Guía preguntas pacientes</v>
      </c>
      <c r="C6330" s="3" t="str">
        <f>HYPERLINK("https://otsuka-europe-crm.veevavault.com/ui/#object/sent_email__v/VBL00000000U305", "SE-001394715")</f>
        <v>SE-001394715</v>
      </c>
      <c r="D6330" s="1" t="s">
        <v>0</v>
      </c>
      <c r="E6330" s="2">
        <v>0</v>
      </c>
      <c r="F6330" s="2">
        <v>0</v>
      </c>
      <c r="G6330" s="2">
        <v>0</v>
      </c>
      <c r="H6330" s="1" t="s">
        <v>0</v>
      </c>
      <c r="I6330" s="2">
        <v>0</v>
      </c>
      <c r="J6330" s="1">
        <v>45993.556932870371</v>
      </c>
    </row>
    <row r="6331" spans="1:10" x14ac:dyDescent="0.2">
      <c r="A6331" s="4" t="s">
        <v>1</v>
      </c>
      <c r="B6331" s="3" t="str">
        <f>HYPERLINK("https://otsuka-europe-crm.veevavault.com/ui/#object/approved_document__v/V5O000000001001", "AM2M - PSIQUIATRÍA - Guía preguntas pacientes")</f>
        <v>AM2M - PSIQUIATRÍA - Guía preguntas pacientes</v>
      </c>
      <c r="C6331" s="3" t="str">
        <f>HYPERLINK("https://otsuka-europe-crm.veevavault.com/ui/#object/sent_email__v/VBL00000000U306", "SE-001394716")</f>
        <v>SE-001394716</v>
      </c>
      <c r="D6331" s="1" t="s">
        <v>0</v>
      </c>
      <c r="E6331" s="2">
        <v>0</v>
      </c>
      <c r="F6331" s="2">
        <v>0</v>
      </c>
      <c r="G6331" s="2">
        <v>0</v>
      </c>
      <c r="H6331" s="1" t="s">
        <v>0</v>
      </c>
      <c r="I6331" s="2">
        <v>0</v>
      </c>
      <c r="J6331" s="1">
        <v>45993.556979166664</v>
      </c>
    </row>
    <row r="6332" spans="1:10" x14ac:dyDescent="0.2">
      <c r="A6332" s="4" t="s">
        <v>1</v>
      </c>
      <c r="B6332" s="3" t="str">
        <f>HYPERLINK("https://otsuka-europe-crm.veevavault.com/ui/#object/approved_document__v/V5O000000001001", "AM2M - PSIQUIATRÍA - Guía preguntas pacientes")</f>
        <v>AM2M - PSIQUIATRÍA - Guía preguntas pacientes</v>
      </c>
      <c r="C6332" s="3" t="str">
        <f>HYPERLINK("https://otsuka-europe-crm.veevavault.com/ui/#object/sent_email__v/VBL00000000U307", "SE-001394717")</f>
        <v>SE-001394717</v>
      </c>
      <c r="D6332" s="1">
        <v>45993.830451388887</v>
      </c>
      <c r="E6332" s="2">
        <v>1</v>
      </c>
      <c r="F6332" s="2">
        <v>1</v>
      </c>
      <c r="G6332" s="2">
        <v>0</v>
      </c>
      <c r="H6332" s="1" t="s">
        <v>0</v>
      </c>
      <c r="I6332" s="2">
        <v>0</v>
      </c>
      <c r="J6332" s="1">
        <v>45993.557013888887</v>
      </c>
    </row>
    <row r="6333" spans="1:10" x14ac:dyDescent="0.2">
      <c r="A6333" s="4" t="s">
        <v>1</v>
      </c>
      <c r="B6333" s="3" t="str">
        <f>HYPERLINK("https://otsuka-europe-crm.veevavault.com/ui/#object/approved_document__v/V5O000000001001", "AM2M - PSIQUIATRÍA - Guía preguntas pacientes")</f>
        <v>AM2M - PSIQUIATRÍA - Guía preguntas pacientes</v>
      </c>
      <c r="C6333" s="3" t="str">
        <f>HYPERLINK("https://otsuka-europe-crm.veevavault.com/ui/#object/sent_email__v/VBL00000000U308", "SE-001394718")</f>
        <v>SE-001394718</v>
      </c>
      <c r="D6333" s="1" t="s">
        <v>0</v>
      </c>
      <c r="E6333" s="2">
        <v>0</v>
      </c>
      <c r="F6333" s="2">
        <v>0</v>
      </c>
      <c r="G6333" s="2">
        <v>0</v>
      </c>
      <c r="H6333" s="1" t="s">
        <v>0</v>
      </c>
      <c r="I6333" s="2">
        <v>0</v>
      </c>
      <c r="J6333" s="1">
        <v>45993.557060185187</v>
      </c>
    </row>
    <row r="6334" spans="1:10" x14ac:dyDescent="0.2">
      <c r="A6334" s="4" t="s">
        <v>1</v>
      </c>
      <c r="B6334" s="3" t="str">
        <f>HYPERLINK("https://otsuka-europe-crm.veevavault.com/ui/#object/approved_document__v/V5O000000001001", "AM2M - PSIQUIATRÍA - Guía preguntas pacientes")</f>
        <v>AM2M - PSIQUIATRÍA - Guía preguntas pacientes</v>
      </c>
      <c r="C6334" s="3" t="str">
        <f>HYPERLINK("https://otsuka-europe-crm.veevavault.com/ui/#object/sent_email__v/VBL00000000U309", "SE-001394719")</f>
        <v>SE-001394719</v>
      </c>
      <c r="D6334" s="1">
        <v>45993.669652777775</v>
      </c>
      <c r="E6334" s="2">
        <v>1</v>
      </c>
      <c r="F6334" s="2">
        <v>1</v>
      </c>
      <c r="G6334" s="2">
        <v>0</v>
      </c>
      <c r="H6334" s="1" t="s">
        <v>0</v>
      </c>
      <c r="I6334" s="2">
        <v>0</v>
      </c>
      <c r="J6334" s="1">
        <v>45993.557118055556</v>
      </c>
    </row>
    <row r="6335" spans="1:10" x14ac:dyDescent="0.2">
      <c r="A6335" s="4" t="s">
        <v>1</v>
      </c>
      <c r="B6335" s="3" t="str">
        <f>HYPERLINK("https://otsuka-europe-crm.veevavault.com/ui/#object/approved_document__v/V5O000000001001", "AM2M - PSIQUIATRÍA - Guía preguntas pacientes")</f>
        <v>AM2M - PSIQUIATRÍA - Guía preguntas pacientes</v>
      </c>
      <c r="C6335" s="3" t="str">
        <f>HYPERLINK("https://otsuka-europe-crm.veevavault.com/ui/#object/sent_email__v/VBL00000000U310", "SE-001394720")</f>
        <v>SE-001394720</v>
      </c>
      <c r="D6335" s="1">
        <v>45994.282754629632</v>
      </c>
      <c r="E6335" s="2">
        <v>1</v>
      </c>
      <c r="F6335" s="2">
        <v>2</v>
      </c>
      <c r="G6335" s="2">
        <v>0</v>
      </c>
      <c r="H6335" s="1" t="s">
        <v>0</v>
      </c>
      <c r="I6335" s="2">
        <v>0</v>
      </c>
      <c r="J6335" s="1">
        <v>45993.557152777779</v>
      </c>
    </row>
    <row r="6336" spans="1:10" x14ac:dyDescent="0.2">
      <c r="A6336" s="4" t="s">
        <v>1</v>
      </c>
      <c r="B6336" s="3" t="str">
        <f>HYPERLINK("https://otsuka-europe-crm.veevavault.com/ui/#object/approved_document__v/V5O000000001001", "AM2M - PSIQUIATRÍA - Guía preguntas pacientes")</f>
        <v>AM2M - PSIQUIATRÍA - Guía preguntas pacientes</v>
      </c>
      <c r="C6336" s="3" t="str">
        <f>HYPERLINK("https://otsuka-europe-crm.veevavault.com/ui/#object/sent_email__v/VBL00000000U311", "SE-001394721")</f>
        <v>SE-001394721</v>
      </c>
      <c r="D6336" s="1">
        <v>45993.567187499997</v>
      </c>
      <c r="E6336" s="2">
        <v>1</v>
      </c>
      <c r="F6336" s="2">
        <v>1</v>
      </c>
      <c r="G6336" s="2">
        <v>0</v>
      </c>
      <c r="H6336" s="1" t="s">
        <v>0</v>
      </c>
      <c r="I6336" s="2">
        <v>0</v>
      </c>
      <c r="J6336" s="1">
        <v>45993.557210648149</v>
      </c>
    </row>
    <row r="6337" spans="1:10" x14ac:dyDescent="0.2">
      <c r="A6337" s="4" t="s">
        <v>1</v>
      </c>
      <c r="B6337" s="3" t="str">
        <f>HYPERLINK("https://otsuka-europe-crm.veevavault.com/ui/#object/approved_document__v/V5O000000001001", "AM2M - PSIQUIATRÍA - Guía preguntas pacientes")</f>
        <v>AM2M - PSIQUIATRÍA - Guía preguntas pacientes</v>
      </c>
      <c r="C6337" s="3" t="str">
        <f>HYPERLINK("https://otsuka-europe-crm.veevavault.com/ui/#object/sent_email__v/VBL00000000U312", "SE-001394722")</f>
        <v>SE-001394722</v>
      </c>
      <c r="D6337" s="1" t="s">
        <v>0</v>
      </c>
      <c r="E6337" s="2">
        <v>0</v>
      </c>
      <c r="F6337" s="2">
        <v>0</v>
      </c>
      <c r="G6337" s="2">
        <v>0</v>
      </c>
      <c r="H6337" s="1" t="s">
        <v>0</v>
      </c>
      <c r="I6337" s="2">
        <v>0</v>
      </c>
      <c r="J6337" s="1">
        <v>45993.557233796295</v>
      </c>
    </row>
    <row r="6338" spans="1:10" x14ac:dyDescent="0.2">
      <c r="A6338" s="4" t="s">
        <v>1</v>
      </c>
      <c r="B6338" s="3" t="str">
        <f>HYPERLINK("https://otsuka-europe-crm.veevavault.com/ui/#object/approved_document__v/V5O000000001001", "AM2M - PSIQUIATRÍA - Guía preguntas pacientes")</f>
        <v>AM2M - PSIQUIATRÍA - Guía preguntas pacientes</v>
      </c>
      <c r="C6338" s="3" t="str">
        <f>HYPERLINK("https://otsuka-europe-crm.veevavault.com/ui/#object/sent_email__v/VBL00000000U313", "SE-001394723")</f>
        <v>SE-001394723</v>
      </c>
      <c r="D6338" s="1">
        <v>45998.920798611114</v>
      </c>
      <c r="E6338" s="2">
        <v>1</v>
      </c>
      <c r="F6338" s="2">
        <v>1</v>
      </c>
      <c r="G6338" s="2">
        <v>0</v>
      </c>
      <c r="H6338" s="1" t="s">
        <v>0</v>
      </c>
      <c r="I6338" s="2">
        <v>0</v>
      </c>
      <c r="J6338" s="1">
        <v>45993.557280092595</v>
      </c>
    </row>
    <row r="6339" spans="1:10" x14ac:dyDescent="0.2">
      <c r="A6339" s="4" t="s">
        <v>1</v>
      </c>
      <c r="B6339" s="3" t="str">
        <f>HYPERLINK("https://otsuka-europe-crm.veevavault.com/ui/#object/approved_document__v/V5O000000001001", "AM2M - PSIQUIATRÍA - Guía preguntas pacientes")</f>
        <v>AM2M - PSIQUIATRÍA - Guía preguntas pacientes</v>
      </c>
      <c r="C6339" s="3" t="str">
        <f>HYPERLINK("https://otsuka-europe-crm.veevavault.com/ui/#object/sent_email__v/VBL00000000U314", "SE-001394724")</f>
        <v>SE-001394724</v>
      </c>
      <c r="D6339" s="1">
        <v>45993.840949074074</v>
      </c>
      <c r="E6339" s="2">
        <v>1</v>
      </c>
      <c r="F6339" s="2">
        <v>2</v>
      </c>
      <c r="G6339" s="2">
        <v>0</v>
      </c>
      <c r="H6339" s="1" t="s">
        <v>0</v>
      </c>
      <c r="I6339" s="2">
        <v>0</v>
      </c>
      <c r="J6339" s="1">
        <v>45993.557314814818</v>
      </c>
    </row>
    <row r="6340" spans="1:10" x14ac:dyDescent="0.2">
      <c r="A6340" s="4" t="s">
        <v>1</v>
      </c>
      <c r="B6340" s="3" t="str">
        <f>HYPERLINK("https://otsuka-europe-crm.veevavault.com/ui/#object/approved_document__v/V5O000000001001", "AM2M - PSIQUIATRÍA - Guía preguntas pacientes")</f>
        <v>AM2M - PSIQUIATRÍA - Guía preguntas pacientes</v>
      </c>
      <c r="C6340" s="3" t="str">
        <f>HYPERLINK("https://otsuka-europe-crm.veevavault.com/ui/#object/sent_email__v/VBL00000000U315", "SE-001394725")</f>
        <v>SE-001394725</v>
      </c>
      <c r="D6340" s="1">
        <v>45993.634641203702</v>
      </c>
      <c r="E6340" s="2">
        <v>1</v>
      </c>
      <c r="F6340" s="2">
        <v>2</v>
      </c>
      <c r="G6340" s="2">
        <v>0</v>
      </c>
      <c r="H6340" s="1" t="s">
        <v>0</v>
      </c>
      <c r="I6340" s="2">
        <v>0</v>
      </c>
      <c r="J6340" s="1">
        <v>45993.557372685187</v>
      </c>
    </row>
    <row r="6341" spans="1:10" x14ac:dyDescent="0.2">
      <c r="A6341" s="4" t="s">
        <v>1</v>
      </c>
      <c r="B6341" s="3" t="str">
        <f>HYPERLINK("https://otsuka-europe-crm.veevavault.com/ui/#object/approved_document__v/V5O000000001001", "AM2M - PSIQUIATRÍA - Guía preguntas pacientes")</f>
        <v>AM2M - PSIQUIATRÍA - Guía preguntas pacientes</v>
      </c>
      <c r="C6341" s="3" t="str">
        <f>HYPERLINK("https://otsuka-europe-crm.veevavault.com/ui/#object/sent_email__v/VBL00000000U316", "SE-001394726")</f>
        <v>SE-001394726</v>
      </c>
      <c r="D6341" s="1">
        <v>45993.557476851849</v>
      </c>
      <c r="E6341" s="2">
        <v>1</v>
      </c>
      <c r="F6341" s="2">
        <v>1</v>
      </c>
      <c r="G6341" s="2">
        <v>0</v>
      </c>
      <c r="H6341" s="1" t="s">
        <v>0</v>
      </c>
      <c r="I6341" s="2">
        <v>0</v>
      </c>
      <c r="J6341" s="1">
        <v>45993.55740740741</v>
      </c>
    </row>
    <row r="6342" spans="1:10" x14ac:dyDescent="0.2">
      <c r="A6342" s="4" t="s">
        <v>1</v>
      </c>
      <c r="B6342" s="3" t="str">
        <f>HYPERLINK("https://otsuka-europe-crm.veevavault.com/ui/#object/approved_document__v/V5O000000001001", "AM2M - PSIQUIATRÍA - Guía preguntas pacientes")</f>
        <v>AM2M - PSIQUIATRÍA - Guía preguntas pacientes</v>
      </c>
      <c r="C6342" s="3" t="str">
        <f>HYPERLINK("https://otsuka-europe-crm.veevavault.com/ui/#object/sent_email__v/VBL00000000U317", "SE-001394727")</f>
        <v>SE-001394727</v>
      </c>
      <c r="D6342" s="1" t="s">
        <v>0</v>
      </c>
      <c r="E6342" s="2">
        <v>0</v>
      </c>
      <c r="F6342" s="2">
        <v>0</v>
      </c>
      <c r="G6342" s="2">
        <v>0</v>
      </c>
      <c r="H6342" s="1" t="s">
        <v>0</v>
      </c>
      <c r="I6342" s="2">
        <v>0</v>
      </c>
      <c r="J6342" s="1">
        <v>45993.557442129626</v>
      </c>
    </row>
    <row r="6343" spans="1:10" x14ac:dyDescent="0.2">
      <c r="A6343" s="4" t="s">
        <v>1</v>
      </c>
      <c r="B6343" s="3" t="str">
        <f>HYPERLINK("https://otsuka-europe-crm.veevavault.com/ui/#object/approved_document__v/V5O000000001001", "AM2M - PSIQUIATRÍA - Guía preguntas pacientes")</f>
        <v>AM2M - PSIQUIATRÍA - Guía preguntas pacientes</v>
      </c>
      <c r="C6343" s="3" t="str">
        <f>HYPERLINK("https://otsuka-europe-crm.veevavault.com/ui/#object/sent_email__v/VBL00000000U318", "SE-001394728")</f>
        <v>SE-001394728</v>
      </c>
      <c r="D6343" s="1">
        <v>45993.681307870371</v>
      </c>
      <c r="E6343" s="2">
        <v>1</v>
      </c>
      <c r="F6343" s="2">
        <v>3</v>
      </c>
      <c r="G6343" s="2">
        <v>0</v>
      </c>
      <c r="H6343" s="1" t="s">
        <v>0</v>
      </c>
      <c r="I6343" s="2">
        <v>0</v>
      </c>
      <c r="J6343" s="1">
        <v>45993.557488425926</v>
      </c>
    </row>
    <row r="6344" spans="1:10" x14ac:dyDescent="0.2">
      <c r="A6344" s="4" t="s">
        <v>1</v>
      </c>
      <c r="B6344" s="3" t="str">
        <f>HYPERLINK("https://otsuka-europe-crm.veevavault.com/ui/#object/approved_document__v/V5O000000001001", "AM2M - PSIQUIATRÍA - Guía preguntas pacientes")</f>
        <v>AM2M - PSIQUIATRÍA - Guía preguntas pacientes</v>
      </c>
      <c r="C6344" s="3" t="str">
        <f>HYPERLINK("https://otsuka-europe-crm.veevavault.com/ui/#object/sent_email__v/VBL00000000U319", "SE-001394729")</f>
        <v>SE-001394729</v>
      </c>
      <c r="D6344" s="1">
        <v>45993.623344907406</v>
      </c>
      <c r="E6344" s="2">
        <v>1</v>
      </c>
      <c r="F6344" s="2">
        <v>1</v>
      </c>
      <c r="G6344" s="2">
        <v>0</v>
      </c>
      <c r="H6344" s="1" t="s">
        <v>0</v>
      </c>
      <c r="I6344" s="2">
        <v>0</v>
      </c>
      <c r="J6344" s="1">
        <v>45993.557523148149</v>
      </c>
    </row>
    <row r="6345" spans="1:10" x14ac:dyDescent="0.2">
      <c r="A6345" s="4" t="s">
        <v>1</v>
      </c>
      <c r="B6345" s="3" t="str">
        <f>HYPERLINK("https://otsuka-europe-crm.veevavault.com/ui/#object/approved_document__v/V5O000000001001", "AM2M - PSIQUIATRÍA - Guía preguntas pacientes")</f>
        <v>AM2M - PSIQUIATRÍA - Guía preguntas pacientes</v>
      </c>
      <c r="C6345" s="3" t="str">
        <f>HYPERLINK("https://otsuka-europe-crm.veevavault.com/ui/#object/sent_email__v/VBL00000000U320", "SE-001394730")</f>
        <v>SE-001394730</v>
      </c>
      <c r="D6345" s="1" t="s">
        <v>0</v>
      </c>
      <c r="E6345" s="2">
        <v>0</v>
      </c>
      <c r="F6345" s="2">
        <v>0</v>
      </c>
      <c r="G6345" s="2">
        <v>0</v>
      </c>
      <c r="H6345" s="1" t="s">
        <v>0</v>
      </c>
      <c r="I6345" s="2">
        <v>0</v>
      </c>
      <c r="J6345" s="1">
        <v>45993.557569444441</v>
      </c>
    </row>
    <row r="6346" spans="1:10" x14ac:dyDescent="0.2">
      <c r="A6346" s="4" t="s">
        <v>1</v>
      </c>
      <c r="B6346" s="3" t="str">
        <f>HYPERLINK("https://otsuka-europe-crm.veevavault.com/ui/#object/approved_document__v/V5O000000001001", "AM2M - PSIQUIATRÍA - Guía preguntas pacientes")</f>
        <v>AM2M - PSIQUIATRÍA - Guía preguntas pacientes</v>
      </c>
      <c r="C6346" s="3" t="str">
        <f>HYPERLINK("https://otsuka-europe-crm.veevavault.com/ui/#object/sent_email__v/VBL00000000U321", "SE-001394731")</f>
        <v>SE-001394731</v>
      </c>
      <c r="D6346" s="1">
        <v>45993.575023148151</v>
      </c>
      <c r="E6346" s="2">
        <v>1</v>
      </c>
      <c r="F6346" s="2">
        <v>1</v>
      </c>
      <c r="G6346" s="2">
        <v>0</v>
      </c>
      <c r="H6346" s="1" t="s">
        <v>0</v>
      </c>
      <c r="I6346" s="2">
        <v>0</v>
      </c>
      <c r="J6346" s="1">
        <v>45993.557604166665</v>
      </c>
    </row>
    <row r="6347" spans="1:10" x14ac:dyDescent="0.2">
      <c r="A6347" s="4" t="s">
        <v>1</v>
      </c>
      <c r="B6347" s="3" t="str">
        <f>HYPERLINK("https://otsuka-europe-crm.veevavault.com/ui/#object/approved_document__v/V5O000000001001", "AM2M - PSIQUIATRÍA - Guía preguntas pacientes")</f>
        <v>AM2M - PSIQUIATRÍA - Guía preguntas pacientes</v>
      </c>
      <c r="C6347" s="3" t="str">
        <f>HYPERLINK("https://otsuka-europe-crm.veevavault.com/ui/#object/sent_email__v/VBL00000000U322", "SE-001394732")</f>
        <v>SE-001394732</v>
      </c>
      <c r="D6347" s="1" t="s">
        <v>0</v>
      </c>
      <c r="E6347" s="2">
        <v>0</v>
      </c>
      <c r="F6347" s="2">
        <v>0</v>
      </c>
      <c r="G6347" s="2">
        <v>0</v>
      </c>
      <c r="H6347" s="1" t="s">
        <v>0</v>
      </c>
      <c r="I6347" s="2">
        <v>0</v>
      </c>
      <c r="J6347" s="1">
        <v>45993.557650462964</v>
      </c>
    </row>
    <row r="6348" spans="1:10" x14ac:dyDescent="0.2">
      <c r="A6348" s="4" t="s">
        <v>1</v>
      </c>
      <c r="B6348" s="3" t="str">
        <f>HYPERLINK("https://otsuka-europe-crm.veevavault.com/ui/#object/approved_document__v/V5O000000001001", "AM2M - PSIQUIATRÍA - Guía preguntas pacientes")</f>
        <v>AM2M - PSIQUIATRÍA - Guía preguntas pacientes</v>
      </c>
      <c r="C6348" s="3" t="str">
        <f>HYPERLINK("https://otsuka-europe-crm.veevavault.com/ui/#object/sent_email__v/VBL00000000U323", "SE-001394733")</f>
        <v>SE-001394733</v>
      </c>
      <c r="D6348" s="1">
        <v>45996.891932870371</v>
      </c>
      <c r="E6348" s="2">
        <v>1</v>
      </c>
      <c r="F6348" s="2">
        <v>1</v>
      </c>
      <c r="G6348" s="2">
        <v>0</v>
      </c>
      <c r="H6348" s="1" t="s">
        <v>0</v>
      </c>
      <c r="I6348" s="2">
        <v>0</v>
      </c>
      <c r="J6348" s="1">
        <v>45993.557696759257</v>
      </c>
    </row>
    <row r="6349" spans="1:10" x14ac:dyDescent="0.2">
      <c r="A6349" s="4" t="s">
        <v>1</v>
      </c>
      <c r="B6349" s="3" t="str">
        <f>HYPERLINK("https://otsuka-europe-crm.veevavault.com/ui/#object/approved_document__v/V5O000000001001", "AM2M - PSIQUIATRÍA - Guía preguntas pacientes")</f>
        <v>AM2M - PSIQUIATRÍA - Guía preguntas pacientes</v>
      </c>
      <c r="C6349" s="3" t="str">
        <f>HYPERLINK("https://otsuka-europe-crm.veevavault.com/ui/#object/sent_email__v/VBL00000000U324", "SE-001394734")</f>
        <v>SE-001394734</v>
      </c>
      <c r="D6349" s="1" t="s">
        <v>0</v>
      </c>
      <c r="E6349" s="2">
        <v>0</v>
      </c>
      <c r="F6349" s="2">
        <v>0</v>
      </c>
      <c r="G6349" s="2">
        <v>0</v>
      </c>
      <c r="H6349" s="1" t="s">
        <v>0</v>
      </c>
      <c r="I6349" s="2">
        <v>0</v>
      </c>
      <c r="J6349" s="1">
        <v>45993.55773148148</v>
      </c>
    </row>
    <row r="6350" spans="1:10" x14ac:dyDescent="0.2">
      <c r="A6350" s="4" t="s">
        <v>1</v>
      </c>
      <c r="B6350" s="3" t="str">
        <f>HYPERLINK("https://otsuka-europe-crm.veevavault.com/ui/#object/approved_document__v/V5O000000001001", "AM2M - PSIQUIATRÍA - Guía preguntas pacientes")</f>
        <v>AM2M - PSIQUIATRÍA - Guía preguntas pacientes</v>
      </c>
      <c r="C6350" s="3" t="str">
        <f>HYPERLINK("https://otsuka-europe-crm.veevavault.com/ui/#object/sent_email__v/VBL00000000U325", "SE-001394735")</f>
        <v>SE-001394735</v>
      </c>
      <c r="D6350" s="1" t="s">
        <v>0</v>
      </c>
      <c r="E6350" s="2">
        <v>0</v>
      </c>
      <c r="F6350" s="2">
        <v>0</v>
      </c>
      <c r="G6350" s="2">
        <v>0</v>
      </c>
      <c r="H6350" s="1" t="s">
        <v>0</v>
      </c>
      <c r="I6350" s="2">
        <v>0</v>
      </c>
      <c r="J6350" s="1">
        <v>45993.55777777778</v>
      </c>
    </row>
    <row r="6351" spans="1:10" x14ac:dyDescent="0.2">
      <c r="A6351" s="4" t="s">
        <v>1</v>
      </c>
      <c r="B6351" s="3" t="str">
        <f>HYPERLINK("https://otsuka-europe-crm.veevavault.com/ui/#object/approved_document__v/V5O000000001001", "AM2M - PSIQUIATRÍA - Guía preguntas pacientes")</f>
        <v>AM2M - PSIQUIATRÍA - Guía preguntas pacientes</v>
      </c>
      <c r="C6351" s="3" t="str">
        <f>HYPERLINK("https://otsuka-europe-crm.veevavault.com/ui/#object/sent_email__v/VBL00000000U326", "SE-001394736")</f>
        <v>SE-001394736</v>
      </c>
      <c r="D6351" s="1">
        <v>46013.052499999998</v>
      </c>
      <c r="E6351" s="2">
        <v>1</v>
      </c>
      <c r="F6351" s="2">
        <v>2</v>
      </c>
      <c r="G6351" s="2">
        <v>0</v>
      </c>
      <c r="H6351" s="1" t="s">
        <v>0</v>
      </c>
      <c r="I6351" s="2">
        <v>0</v>
      </c>
      <c r="J6351" s="1">
        <v>45993.557812500003</v>
      </c>
    </row>
    <row r="6352" spans="1:10" x14ac:dyDescent="0.2">
      <c r="A6352" s="4" t="s">
        <v>1</v>
      </c>
      <c r="B6352" s="3" t="str">
        <f>HYPERLINK("https://otsuka-europe-crm.veevavault.com/ui/#object/approved_document__v/V5O000000001001", "AM2M - PSIQUIATRÍA - Guía preguntas pacientes")</f>
        <v>AM2M - PSIQUIATRÍA - Guía preguntas pacientes</v>
      </c>
      <c r="C6352" s="3" t="str">
        <f>HYPERLINK("https://otsuka-europe-crm.veevavault.com/ui/#object/sent_email__v/VBL00000000U327", "SE-001394737")</f>
        <v>SE-001394737</v>
      </c>
      <c r="D6352" s="1">
        <v>45993.557951388888</v>
      </c>
      <c r="E6352" s="2">
        <v>1</v>
      </c>
      <c r="F6352" s="2">
        <v>1</v>
      </c>
      <c r="G6352" s="2">
        <v>0</v>
      </c>
      <c r="H6352" s="1" t="s">
        <v>0</v>
      </c>
      <c r="I6352" s="2">
        <v>0</v>
      </c>
      <c r="J6352" s="1">
        <v>45993.557870370372</v>
      </c>
    </row>
    <row r="6353" spans="1:10" x14ac:dyDescent="0.2">
      <c r="A6353" s="4" t="s">
        <v>1</v>
      </c>
      <c r="B6353" s="3" t="str">
        <f>HYPERLINK("https://otsuka-europe-crm.veevavault.com/ui/#object/approved_document__v/V5O000000001001", "AM2M - PSIQUIATRÍA - Guía preguntas pacientes")</f>
        <v>AM2M - PSIQUIATRÍA - Guía preguntas pacientes</v>
      </c>
      <c r="C6353" s="3" t="str">
        <f>HYPERLINK("https://otsuka-europe-crm.veevavault.com/ui/#object/sent_email__v/VBL00000000U328", "SE-001394738")</f>
        <v>SE-001394738</v>
      </c>
      <c r="D6353" s="1">
        <v>45993.567673611113</v>
      </c>
      <c r="E6353" s="2">
        <v>1</v>
      </c>
      <c r="F6353" s="2">
        <v>1</v>
      </c>
      <c r="G6353" s="2">
        <v>0</v>
      </c>
      <c r="H6353" s="1" t="s">
        <v>0</v>
      </c>
      <c r="I6353" s="2">
        <v>0</v>
      </c>
      <c r="J6353" s="1">
        <v>45993.557905092595</v>
      </c>
    </row>
    <row r="6354" spans="1:10" x14ac:dyDescent="0.2">
      <c r="A6354" s="4" t="s">
        <v>1</v>
      </c>
      <c r="B6354" s="3" t="str">
        <f>HYPERLINK("https://otsuka-europe-crm.veevavault.com/ui/#object/approved_document__v/V5O000000001001", "AM2M - PSIQUIATRÍA - Guía preguntas pacientes")</f>
        <v>AM2M - PSIQUIATRÍA - Guía preguntas pacientes</v>
      </c>
      <c r="C6354" s="3" t="str">
        <f>HYPERLINK("https://otsuka-europe-crm.veevavault.com/ui/#object/sent_email__v/VBL00000000U329", "SE-001394739")</f>
        <v>SE-001394739</v>
      </c>
      <c r="D6354" s="1" t="s">
        <v>0</v>
      </c>
      <c r="E6354" s="2">
        <v>0</v>
      </c>
      <c r="F6354" s="2">
        <v>0</v>
      </c>
      <c r="G6354" s="2">
        <v>0</v>
      </c>
      <c r="H6354" s="1" t="s">
        <v>0</v>
      </c>
      <c r="I6354" s="2">
        <v>0</v>
      </c>
      <c r="J6354" s="1">
        <v>45993.557951388888</v>
      </c>
    </row>
    <row r="6355" spans="1:10" x14ac:dyDescent="0.2">
      <c r="A6355" s="4" t="s">
        <v>1</v>
      </c>
      <c r="B6355" s="3" t="str">
        <f>HYPERLINK("https://otsuka-europe-crm.veevavault.com/ui/#object/approved_document__v/V5O000000001001", "AM2M - PSIQUIATRÍA - Guía preguntas pacientes")</f>
        <v>AM2M - PSIQUIATRÍA - Guía preguntas pacientes</v>
      </c>
      <c r="C6355" s="3" t="str">
        <f>HYPERLINK("https://otsuka-europe-crm.veevavault.com/ui/#object/sent_email__v/VBL00000000U330", "SE-001394740")</f>
        <v>SE-001394740</v>
      </c>
      <c r="D6355" s="1" t="s">
        <v>0</v>
      </c>
      <c r="E6355" s="2">
        <v>0</v>
      </c>
      <c r="F6355" s="2">
        <v>0</v>
      </c>
      <c r="G6355" s="2">
        <v>0</v>
      </c>
      <c r="H6355" s="1" t="s">
        <v>0</v>
      </c>
      <c r="I6355" s="2">
        <v>0</v>
      </c>
      <c r="J6355" s="1">
        <v>45993.557986111111</v>
      </c>
    </row>
    <row r="6356" spans="1:10" x14ac:dyDescent="0.2">
      <c r="A6356" s="4" t="s">
        <v>1</v>
      </c>
      <c r="B6356" s="3" t="str">
        <f>HYPERLINK("https://otsuka-europe-crm.veevavault.com/ui/#object/approved_document__v/V5O000000001001", "AM2M - PSIQUIATRÍA - Guía preguntas pacientes")</f>
        <v>AM2M - PSIQUIATRÍA - Guía preguntas pacientes</v>
      </c>
      <c r="C6356" s="3" t="str">
        <f>HYPERLINK("https://otsuka-europe-crm.veevavault.com/ui/#object/sent_email__v/VBL00000000U331", "SE-001394741")</f>
        <v>SE-001394741</v>
      </c>
      <c r="D6356" s="1">
        <v>45993.888541666667</v>
      </c>
      <c r="E6356" s="2">
        <v>1</v>
      </c>
      <c r="F6356" s="2">
        <v>1</v>
      </c>
      <c r="G6356" s="2">
        <v>0</v>
      </c>
      <c r="H6356" s="1" t="s">
        <v>0</v>
      </c>
      <c r="I6356" s="2">
        <v>0</v>
      </c>
      <c r="J6356" s="1">
        <v>45993.558020833334</v>
      </c>
    </row>
    <row r="6357" spans="1:10" x14ac:dyDescent="0.2">
      <c r="A6357" s="4" t="s">
        <v>1</v>
      </c>
      <c r="B6357" s="3" t="str">
        <f>HYPERLINK("https://otsuka-europe-crm.veevavault.com/ui/#object/approved_document__v/V5O000000001001", "AM2M - PSIQUIATRÍA - Guía preguntas pacientes")</f>
        <v>AM2M - PSIQUIATRÍA - Guía preguntas pacientes</v>
      </c>
      <c r="C6357" s="3" t="str">
        <f>HYPERLINK("https://otsuka-europe-crm.veevavault.com/ui/#object/sent_email__v/VBL00000000U332", "SE-001394742")</f>
        <v>SE-001394742</v>
      </c>
      <c r="D6357" s="1" t="s">
        <v>0</v>
      </c>
      <c r="E6357" s="2">
        <v>0</v>
      </c>
      <c r="F6357" s="2">
        <v>0</v>
      </c>
      <c r="G6357" s="2">
        <v>0</v>
      </c>
      <c r="H6357" s="1" t="s">
        <v>0</v>
      </c>
      <c r="I6357" s="2">
        <v>0</v>
      </c>
      <c r="J6357" s="1">
        <v>45993.558067129627</v>
      </c>
    </row>
    <row r="6358" spans="1:10" x14ac:dyDescent="0.2">
      <c r="A6358" s="4" t="s">
        <v>1</v>
      </c>
      <c r="B6358" s="3" t="str">
        <f>HYPERLINK("https://otsuka-europe-crm.veevavault.com/ui/#object/approved_document__v/V5O000000001001", "AM2M - PSIQUIATRÍA - Guía preguntas pacientes")</f>
        <v>AM2M - PSIQUIATRÍA - Guía preguntas pacientes</v>
      </c>
      <c r="C6358" s="3" t="str">
        <f>HYPERLINK("https://otsuka-europe-crm.veevavault.com/ui/#object/sent_email__v/VBL00000000U333", "SE-001394743")</f>
        <v>SE-001394743</v>
      </c>
      <c r="D6358" s="1" t="s">
        <v>0</v>
      </c>
      <c r="E6358" s="2">
        <v>0</v>
      </c>
      <c r="F6358" s="2">
        <v>0</v>
      </c>
      <c r="G6358" s="2">
        <v>0</v>
      </c>
      <c r="H6358" s="1" t="s">
        <v>0</v>
      </c>
      <c r="I6358" s="2">
        <v>0</v>
      </c>
      <c r="J6358" s="1">
        <v>45993.558113425926</v>
      </c>
    </row>
    <row r="6359" spans="1:10" x14ac:dyDescent="0.2">
      <c r="A6359" s="4" t="s">
        <v>1</v>
      </c>
      <c r="B6359" s="3" t="str">
        <f>HYPERLINK("https://otsuka-europe-crm.veevavault.com/ui/#object/approved_document__v/V5O000000001001", "AM2M - PSIQUIATRÍA - Guía preguntas pacientes")</f>
        <v>AM2M - PSIQUIATRÍA - Guía preguntas pacientes</v>
      </c>
      <c r="C6359" s="3" t="str">
        <f>HYPERLINK("https://otsuka-europe-crm.veevavault.com/ui/#object/sent_email__v/VBL00000000U334", "SE-001394744")</f>
        <v>SE-001394744</v>
      </c>
      <c r="D6359" s="1" t="s">
        <v>0</v>
      </c>
      <c r="E6359" s="2">
        <v>0</v>
      </c>
      <c r="F6359" s="2">
        <v>0</v>
      </c>
      <c r="G6359" s="2">
        <v>0</v>
      </c>
      <c r="H6359" s="1" t="s">
        <v>0</v>
      </c>
      <c r="I6359" s="2">
        <v>0</v>
      </c>
      <c r="J6359" s="1">
        <v>45993.558148148149</v>
      </c>
    </row>
    <row r="6360" spans="1:10" x14ac:dyDescent="0.2">
      <c r="A6360" s="4" t="s">
        <v>1</v>
      </c>
      <c r="B6360" s="3" t="str">
        <f>HYPERLINK("https://otsuka-europe-crm.veevavault.com/ui/#object/approved_document__v/V5O000000001001", "AM2M - PSIQUIATRÍA - Guía preguntas pacientes")</f>
        <v>AM2M - PSIQUIATRÍA - Guía preguntas pacientes</v>
      </c>
      <c r="C6360" s="3" t="str">
        <f>HYPERLINK("https://otsuka-europe-crm.veevavault.com/ui/#object/sent_email__v/VBL00000000U335", "SE-001394745")</f>
        <v>SE-001394745</v>
      </c>
      <c r="D6360" s="1">
        <v>46049.803460648145</v>
      </c>
      <c r="E6360" s="2">
        <v>1</v>
      </c>
      <c r="F6360" s="2">
        <v>2</v>
      </c>
      <c r="G6360" s="2">
        <v>0</v>
      </c>
      <c r="H6360" s="1" t="s">
        <v>0</v>
      </c>
      <c r="I6360" s="2">
        <v>0</v>
      </c>
      <c r="J6360" s="1">
        <v>45993.558194444442</v>
      </c>
    </row>
    <row r="6361" spans="1:10" x14ac:dyDescent="0.2">
      <c r="A6361" s="4" t="s">
        <v>1</v>
      </c>
      <c r="B6361" s="3" t="str">
        <f>HYPERLINK("https://otsuka-europe-crm.veevavault.com/ui/#object/approved_document__v/V5O000000001001", "AM2M - PSIQUIATRÍA - Guía preguntas pacientes")</f>
        <v>AM2M - PSIQUIATRÍA - Guía preguntas pacientes</v>
      </c>
      <c r="C6361" s="3" t="str">
        <f>HYPERLINK("https://otsuka-europe-crm.veevavault.com/ui/#object/sent_email__v/VBL00000000U336", "SE-001394746")</f>
        <v>SE-001394746</v>
      </c>
      <c r="D6361" s="1" t="s">
        <v>0</v>
      </c>
      <c r="E6361" s="2">
        <v>0</v>
      </c>
      <c r="F6361" s="2">
        <v>0</v>
      </c>
      <c r="G6361" s="2">
        <v>0</v>
      </c>
      <c r="H6361" s="1" t="s">
        <v>0</v>
      </c>
      <c r="I6361" s="2">
        <v>0</v>
      </c>
      <c r="J6361" s="1">
        <v>45993.558240740742</v>
      </c>
    </row>
    <row r="6362" spans="1:10" x14ac:dyDescent="0.2">
      <c r="A6362" s="4" t="s">
        <v>1</v>
      </c>
      <c r="B6362" s="3" t="str">
        <f>HYPERLINK("https://otsuka-europe-crm.veevavault.com/ui/#object/approved_document__v/V5O000000001001", "AM2M - PSIQUIATRÍA - Guía preguntas pacientes")</f>
        <v>AM2M - PSIQUIATRÍA - Guía preguntas pacientes</v>
      </c>
      <c r="C6362" s="3" t="str">
        <f>HYPERLINK("https://otsuka-europe-crm.veevavault.com/ui/#object/sent_email__v/VBL00000000U337", "SE-001394747")</f>
        <v>SE-001394747</v>
      </c>
      <c r="D6362" s="1">
        <v>46010.477719907409</v>
      </c>
      <c r="E6362" s="2">
        <v>1</v>
      </c>
      <c r="F6362" s="2">
        <v>4</v>
      </c>
      <c r="G6362" s="2">
        <v>0</v>
      </c>
      <c r="H6362" s="1" t="s">
        <v>0</v>
      </c>
      <c r="I6362" s="2">
        <v>0</v>
      </c>
      <c r="J6362" s="1">
        <v>45993.558275462965</v>
      </c>
    </row>
    <row r="6363" spans="1:10" x14ac:dyDescent="0.2">
      <c r="A6363" s="4" t="s">
        <v>1</v>
      </c>
      <c r="B6363" s="3" t="str">
        <f>HYPERLINK("https://otsuka-europe-crm.veevavault.com/ui/#object/approved_document__v/V5O000000001001", "AM2M - PSIQUIATRÍA - Guía preguntas pacientes")</f>
        <v>AM2M - PSIQUIATRÍA - Guía preguntas pacientes</v>
      </c>
      <c r="C6363" s="3" t="str">
        <f>HYPERLINK("https://otsuka-europe-crm.veevavault.com/ui/#object/sent_email__v/VBL00000000U338", "SE-001394748")</f>
        <v>SE-001394748</v>
      </c>
      <c r="D6363" s="1" t="s">
        <v>0</v>
      </c>
      <c r="E6363" s="2">
        <v>0</v>
      </c>
      <c r="F6363" s="2">
        <v>0</v>
      </c>
      <c r="G6363" s="2">
        <v>0</v>
      </c>
      <c r="H6363" s="1" t="s">
        <v>0</v>
      </c>
      <c r="I6363" s="2">
        <v>0</v>
      </c>
      <c r="J6363" s="1">
        <v>45993.558310185188</v>
      </c>
    </row>
    <row r="6364" spans="1:10" x14ac:dyDescent="0.2">
      <c r="A6364" s="4" t="s">
        <v>1</v>
      </c>
      <c r="B6364" s="3" t="str">
        <f>HYPERLINK("https://otsuka-europe-crm.veevavault.com/ui/#object/approved_document__v/V5O000000001001", "AM2M - PSIQUIATRÍA - Guía preguntas pacientes")</f>
        <v>AM2M - PSIQUIATRÍA - Guía preguntas pacientes</v>
      </c>
      <c r="C6364" s="3" t="str">
        <f>HYPERLINK("https://otsuka-europe-crm.veevavault.com/ui/#object/sent_email__v/VBL00000000U339", "SE-001394749")</f>
        <v>SE-001394749</v>
      </c>
      <c r="D6364" s="1">
        <v>45993.587939814817</v>
      </c>
      <c r="E6364" s="2">
        <v>1</v>
      </c>
      <c r="F6364" s="2">
        <v>1</v>
      </c>
      <c r="G6364" s="2">
        <v>0</v>
      </c>
      <c r="H6364" s="1" t="s">
        <v>0</v>
      </c>
      <c r="I6364" s="2">
        <v>0</v>
      </c>
      <c r="J6364" s="1">
        <v>45993.558356481481</v>
      </c>
    </row>
    <row r="6365" spans="1:10" x14ac:dyDescent="0.2">
      <c r="A6365" s="4" t="s">
        <v>1</v>
      </c>
      <c r="B6365" s="3" t="str">
        <f>HYPERLINK("https://otsuka-europe-crm.veevavault.com/ui/#object/approved_document__v/V5O000000001001", "AM2M - PSIQUIATRÍA - Guía preguntas pacientes")</f>
        <v>AM2M - PSIQUIATRÍA - Guía preguntas pacientes</v>
      </c>
      <c r="C6365" s="3" t="str">
        <f>HYPERLINK("https://otsuka-europe-crm.veevavault.com/ui/#object/sent_email__v/VBL00000000U340", "SE-001394750")</f>
        <v>SE-001394750</v>
      </c>
      <c r="D6365" s="1">
        <v>45993.983101851853</v>
      </c>
      <c r="E6365" s="2">
        <v>1</v>
      </c>
      <c r="F6365" s="2">
        <v>2</v>
      </c>
      <c r="G6365" s="2">
        <v>0</v>
      </c>
      <c r="H6365" s="1" t="s">
        <v>0</v>
      </c>
      <c r="I6365" s="2">
        <v>0</v>
      </c>
      <c r="J6365" s="1">
        <v>45993.558391203704</v>
      </c>
    </row>
    <row r="6366" spans="1:10" x14ac:dyDescent="0.2">
      <c r="A6366" s="4" t="s">
        <v>1</v>
      </c>
      <c r="B6366" s="3" t="str">
        <f>HYPERLINK("https://otsuka-europe-crm.veevavault.com/ui/#object/approved_document__v/V5O000000001001", "AM2M - PSIQUIATRÍA - Guía preguntas pacientes")</f>
        <v>AM2M - PSIQUIATRÍA - Guía preguntas pacientes</v>
      </c>
      <c r="C6366" s="3" t="str">
        <f>HYPERLINK("https://otsuka-europe-crm.veevavault.com/ui/#object/sent_email__v/VBL00000000U341", "SE-001394751")</f>
        <v>SE-001394751</v>
      </c>
      <c r="D6366" s="1" t="s">
        <v>0</v>
      </c>
      <c r="E6366" s="2">
        <v>0</v>
      </c>
      <c r="F6366" s="2">
        <v>0</v>
      </c>
      <c r="G6366" s="2">
        <v>0</v>
      </c>
      <c r="H6366" s="1" t="s">
        <v>0</v>
      </c>
      <c r="I6366" s="2">
        <v>0</v>
      </c>
      <c r="J6366" s="1">
        <v>45993.558437500003</v>
      </c>
    </row>
    <row r="6367" spans="1:10" x14ac:dyDescent="0.2">
      <c r="A6367" s="4" t="s">
        <v>1</v>
      </c>
      <c r="B6367" s="3" t="str">
        <f>HYPERLINK("https://otsuka-europe-crm.veevavault.com/ui/#object/approved_document__v/V5O000000001001", "AM2M - PSIQUIATRÍA - Guía preguntas pacientes")</f>
        <v>AM2M - PSIQUIATRÍA - Guía preguntas pacientes</v>
      </c>
      <c r="C6367" s="3" t="str">
        <f>HYPERLINK("https://otsuka-europe-crm.veevavault.com/ui/#object/sent_email__v/VBL00000000U342", "SE-001394752")</f>
        <v>SE-001394752</v>
      </c>
      <c r="D6367" s="1">
        <v>45993.654363425929</v>
      </c>
      <c r="E6367" s="2">
        <v>1</v>
      </c>
      <c r="F6367" s="2">
        <v>4</v>
      </c>
      <c r="G6367" s="2">
        <v>0</v>
      </c>
      <c r="H6367" s="1" t="s">
        <v>0</v>
      </c>
      <c r="I6367" s="2">
        <v>0</v>
      </c>
      <c r="J6367" s="1">
        <v>45993.558483796296</v>
      </c>
    </row>
    <row r="6368" spans="1:10" x14ac:dyDescent="0.2">
      <c r="A6368" s="4" t="s">
        <v>1</v>
      </c>
      <c r="B6368" s="3" t="str">
        <f>HYPERLINK("https://otsuka-europe-crm.veevavault.com/ui/#object/approved_document__v/V5O000000001001", "AM2M - PSIQUIATRÍA - Guía preguntas pacientes")</f>
        <v>AM2M - PSIQUIATRÍA - Guía preguntas pacientes</v>
      </c>
      <c r="C6368" s="3" t="str">
        <f>HYPERLINK("https://otsuka-europe-crm.veevavault.com/ui/#object/sent_email__v/VBL00000000U343", "SE-001394753")</f>
        <v>SE-001394753</v>
      </c>
      <c r="D6368" s="1">
        <v>45993.59752314815</v>
      </c>
      <c r="E6368" s="2">
        <v>1</v>
      </c>
      <c r="F6368" s="2">
        <v>1</v>
      </c>
      <c r="G6368" s="2">
        <v>0</v>
      </c>
      <c r="H6368" s="1" t="s">
        <v>0</v>
      </c>
      <c r="I6368" s="2">
        <v>0</v>
      </c>
      <c r="J6368" s="1">
        <v>45993.558518518519</v>
      </c>
    </row>
    <row r="6369" spans="1:10" x14ac:dyDescent="0.2">
      <c r="A6369" s="4" t="s">
        <v>1</v>
      </c>
      <c r="B6369" s="3" t="str">
        <f>HYPERLINK("https://otsuka-europe-crm.veevavault.com/ui/#object/approved_document__v/V5O000000001001", "AM2M - PSIQUIATRÍA - Guía preguntas pacientes")</f>
        <v>AM2M - PSIQUIATRÍA - Guía preguntas pacientes</v>
      </c>
      <c r="C6369" s="3" t="str">
        <f>HYPERLINK("https://otsuka-europe-crm.veevavault.com/ui/#object/sent_email__v/VBL00000000U344", "SE-001394754")</f>
        <v>SE-001394754</v>
      </c>
      <c r="D6369" s="1">
        <v>45993.729143518518</v>
      </c>
      <c r="E6369" s="2">
        <v>1</v>
      </c>
      <c r="F6369" s="2">
        <v>1</v>
      </c>
      <c r="G6369" s="2">
        <v>0</v>
      </c>
      <c r="H6369" s="1" t="s">
        <v>0</v>
      </c>
      <c r="I6369" s="2">
        <v>0</v>
      </c>
      <c r="J6369" s="1">
        <v>45993.558564814812</v>
      </c>
    </row>
    <row r="6370" spans="1:10" x14ac:dyDescent="0.2">
      <c r="A6370" s="4" t="s">
        <v>1</v>
      </c>
      <c r="B6370" s="3" t="str">
        <f>HYPERLINK("https://otsuka-europe-crm.veevavault.com/ui/#object/approved_document__v/V5O000000001001", "AM2M - PSIQUIATRÍA - Guía preguntas pacientes")</f>
        <v>AM2M - PSIQUIATRÍA - Guía preguntas pacientes</v>
      </c>
      <c r="C6370" s="3" t="str">
        <f>HYPERLINK("https://otsuka-europe-crm.veevavault.com/ui/#object/sent_email__v/VBL00000000U345", "SE-001394755")</f>
        <v>SE-001394755</v>
      </c>
      <c r="D6370" s="1">
        <v>45994.493541666663</v>
      </c>
      <c r="E6370" s="2">
        <v>1</v>
      </c>
      <c r="F6370" s="2">
        <v>1</v>
      </c>
      <c r="G6370" s="2">
        <v>0</v>
      </c>
      <c r="H6370" s="1" t="s">
        <v>0</v>
      </c>
      <c r="I6370" s="2">
        <v>0</v>
      </c>
      <c r="J6370" s="1">
        <v>45993.558599537035</v>
      </c>
    </row>
    <row r="6371" spans="1:10" x14ac:dyDescent="0.2">
      <c r="A6371" s="4" t="s">
        <v>1</v>
      </c>
      <c r="B6371" s="3" t="str">
        <f>HYPERLINK("https://otsuka-europe-crm.veevavault.com/ui/#object/approved_document__v/V5O000000001001", "AM2M - PSIQUIATRÍA - Guía preguntas pacientes")</f>
        <v>AM2M - PSIQUIATRÍA - Guía preguntas pacientes</v>
      </c>
      <c r="C6371" s="3" t="str">
        <f>HYPERLINK("https://otsuka-europe-crm.veevavault.com/ui/#object/sent_email__v/VBL00000000U346", "SE-001394756")</f>
        <v>SE-001394756</v>
      </c>
      <c r="D6371" s="1">
        <v>45993.974479166667</v>
      </c>
      <c r="E6371" s="2">
        <v>1</v>
      </c>
      <c r="F6371" s="2">
        <v>1</v>
      </c>
      <c r="G6371" s="2">
        <v>0</v>
      </c>
      <c r="H6371" s="1" t="s">
        <v>0</v>
      </c>
      <c r="I6371" s="2">
        <v>0</v>
      </c>
      <c r="J6371" s="1">
        <v>45993.558657407404</v>
      </c>
    </row>
    <row r="6372" spans="1:10" x14ac:dyDescent="0.2">
      <c r="A6372" s="4" t="s">
        <v>1</v>
      </c>
      <c r="B6372" s="3" t="str">
        <f>HYPERLINK("https://otsuka-europe-crm.veevavault.com/ui/#object/approved_document__v/V5O000000001001", "AM2M - PSIQUIATRÍA - Guía preguntas pacientes")</f>
        <v>AM2M - PSIQUIATRÍA - Guía preguntas pacientes</v>
      </c>
      <c r="C6372" s="3" t="str">
        <f>HYPERLINK("https://otsuka-europe-crm.veevavault.com/ui/#object/sent_email__v/VBL00000000U347", "SE-001394757")</f>
        <v>SE-001394757</v>
      </c>
      <c r="D6372" s="1" t="s">
        <v>0</v>
      </c>
      <c r="E6372" s="2">
        <v>0</v>
      </c>
      <c r="F6372" s="2">
        <v>0</v>
      </c>
      <c r="G6372" s="2">
        <v>0</v>
      </c>
      <c r="H6372" s="1" t="s">
        <v>0</v>
      </c>
      <c r="I6372" s="2">
        <v>0</v>
      </c>
      <c r="J6372" s="1">
        <v>45993.558692129627</v>
      </c>
    </row>
    <row r="6373" spans="1:10" x14ac:dyDescent="0.2">
      <c r="A6373" s="4" t="s">
        <v>1</v>
      </c>
      <c r="B6373" s="3" t="str">
        <f>HYPERLINK("https://otsuka-europe-crm.veevavault.com/ui/#object/approved_document__v/V5O000000001001", "AM2M - PSIQUIATRÍA - Guía preguntas pacientes")</f>
        <v>AM2M - PSIQUIATRÍA - Guía preguntas pacientes</v>
      </c>
      <c r="C6373" s="3" t="str">
        <f>HYPERLINK("https://otsuka-europe-crm.veevavault.com/ui/#object/sent_email__v/VBL00000000U348", "SE-001394758")</f>
        <v>SE-001394758</v>
      </c>
      <c r="D6373" s="1" t="s">
        <v>0</v>
      </c>
      <c r="E6373" s="2">
        <v>0</v>
      </c>
      <c r="F6373" s="2">
        <v>0</v>
      </c>
      <c r="G6373" s="2">
        <v>0</v>
      </c>
      <c r="H6373" s="1" t="s">
        <v>0</v>
      </c>
      <c r="I6373" s="2">
        <v>0</v>
      </c>
      <c r="J6373" s="1">
        <v>45993.55872685185</v>
      </c>
    </row>
    <row r="6374" spans="1:10" x14ac:dyDescent="0.2">
      <c r="A6374" s="4" t="s">
        <v>1</v>
      </c>
      <c r="B6374" s="3" t="str">
        <f>HYPERLINK("https://otsuka-europe-crm.veevavault.com/ui/#object/approved_document__v/V5O000000001001", "AM2M - PSIQUIATRÍA - Guía preguntas pacientes")</f>
        <v>AM2M - PSIQUIATRÍA - Guía preguntas pacientes</v>
      </c>
      <c r="C6374" s="3" t="str">
        <f>HYPERLINK("https://otsuka-europe-crm.veevavault.com/ui/#object/sent_email__v/VBL00000000U349", "SE-001394759")</f>
        <v>SE-001394759</v>
      </c>
      <c r="D6374" s="1">
        <v>45993.572199074071</v>
      </c>
      <c r="E6374" s="2">
        <v>1</v>
      </c>
      <c r="F6374" s="2">
        <v>1</v>
      </c>
      <c r="G6374" s="2">
        <v>0</v>
      </c>
      <c r="H6374" s="1" t="s">
        <v>0</v>
      </c>
      <c r="I6374" s="2">
        <v>0</v>
      </c>
      <c r="J6374" s="1">
        <v>45993.55877314815</v>
      </c>
    </row>
    <row r="6375" spans="1:10" x14ac:dyDescent="0.2">
      <c r="A6375" s="4" t="s">
        <v>1</v>
      </c>
      <c r="B6375" s="3" t="str">
        <f>HYPERLINK("https://otsuka-europe-crm.veevavault.com/ui/#object/approved_document__v/V5O000000001001", "AM2M - PSIQUIATRÍA - Guía preguntas pacientes")</f>
        <v>AM2M - PSIQUIATRÍA - Guía preguntas pacientes</v>
      </c>
      <c r="C6375" s="3" t="str">
        <f>HYPERLINK("https://otsuka-europe-crm.veevavault.com/ui/#object/sent_email__v/VBL00000000U350", "SE-001394760")</f>
        <v>SE-001394760</v>
      </c>
      <c r="D6375" s="1" t="s">
        <v>0</v>
      </c>
      <c r="E6375" s="2">
        <v>0</v>
      </c>
      <c r="F6375" s="2">
        <v>0</v>
      </c>
      <c r="G6375" s="2">
        <v>0</v>
      </c>
      <c r="H6375" s="1" t="s">
        <v>0</v>
      </c>
      <c r="I6375" s="2">
        <v>0</v>
      </c>
      <c r="J6375" s="1">
        <v>45993.558807870373</v>
      </c>
    </row>
    <row r="6376" spans="1:10" x14ac:dyDescent="0.2">
      <c r="A6376" s="4" t="s">
        <v>1</v>
      </c>
      <c r="B6376" s="3" t="str">
        <f>HYPERLINK("https://otsuka-europe-crm.veevavault.com/ui/#object/approved_document__v/V5O000000001001", "AM2M - PSIQUIATRÍA - Guía preguntas pacientes")</f>
        <v>AM2M - PSIQUIATRÍA - Guía preguntas pacientes</v>
      </c>
      <c r="C6376" s="3" t="str">
        <f>HYPERLINK("https://otsuka-europe-crm.veevavault.com/ui/#object/sent_email__v/VBL00000000U351", "SE-001394761")</f>
        <v>SE-001394761</v>
      </c>
      <c r="D6376" s="1">
        <v>45993.567916666667</v>
      </c>
      <c r="E6376" s="2">
        <v>1</v>
      </c>
      <c r="F6376" s="2">
        <v>1</v>
      </c>
      <c r="G6376" s="2">
        <v>0</v>
      </c>
      <c r="H6376" s="1" t="s">
        <v>0</v>
      </c>
      <c r="I6376" s="2">
        <v>0</v>
      </c>
      <c r="J6376" s="1">
        <v>45993.558854166666</v>
      </c>
    </row>
    <row r="6377" spans="1:10" x14ac:dyDescent="0.2">
      <c r="A6377" s="4" t="s">
        <v>1</v>
      </c>
      <c r="B6377" s="3" t="str">
        <f>HYPERLINK("https://otsuka-europe-crm.veevavault.com/ui/#object/approved_document__v/V5O000000001001", "AM2M - PSIQUIATRÍA - Guía preguntas pacientes")</f>
        <v>AM2M - PSIQUIATRÍA - Guía preguntas pacientes</v>
      </c>
      <c r="C6377" s="3" t="str">
        <f>HYPERLINK("https://otsuka-europe-crm.veevavault.com/ui/#object/sent_email__v/VBL00000000U352", "SE-001394762")</f>
        <v>SE-001394762</v>
      </c>
      <c r="D6377" s="1">
        <v>45994.862291666665</v>
      </c>
      <c r="E6377" s="2">
        <v>1</v>
      </c>
      <c r="F6377" s="2">
        <v>1</v>
      </c>
      <c r="G6377" s="2">
        <v>0</v>
      </c>
      <c r="H6377" s="1" t="s">
        <v>0</v>
      </c>
      <c r="I6377" s="2">
        <v>0</v>
      </c>
      <c r="J6377" s="1">
        <v>45993.558888888889</v>
      </c>
    </row>
    <row r="6378" spans="1:10" x14ac:dyDescent="0.2">
      <c r="A6378" s="4" t="s">
        <v>1</v>
      </c>
      <c r="B6378" s="3" t="str">
        <f>HYPERLINK("https://otsuka-europe-crm.veevavault.com/ui/#object/approved_document__v/V5O000000001001", "AM2M - PSIQUIATRÍA - Guía preguntas pacientes")</f>
        <v>AM2M - PSIQUIATRÍA - Guía preguntas pacientes</v>
      </c>
      <c r="C6378" s="3" t="str">
        <f>HYPERLINK("https://otsuka-europe-crm.veevavault.com/ui/#object/sent_email__v/VBL00000000U353", "SE-001394763")</f>
        <v>SE-001394763</v>
      </c>
      <c r="D6378" s="1" t="s">
        <v>0</v>
      </c>
      <c r="E6378" s="2">
        <v>0</v>
      </c>
      <c r="F6378" s="2">
        <v>0</v>
      </c>
      <c r="G6378" s="2">
        <v>0</v>
      </c>
      <c r="H6378" s="1" t="s">
        <v>0</v>
      </c>
      <c r="I6378" s="2">
        <v>0</v>
      </c>
      <c r="J6378" s="1">
        <v>45993.558923611112</v>
      </c>
    </row>
    <row r="6379" spans="1:10" x14ac:dyDescent="0.2">
      <c r="A6379" s="4" t="s">
        <v>1</v>
      </c>
      <c r="B6379" s="3" t="str">
        <f>HYPERLINK("https://otsuka-europe-crm.veevavault.com/ui/#object/approved_document__v/V5O000000001001", "AM2M - PSIQUIATRÍA - Guía preguntas pacientes")</f>
        <v>AM2M - PSIQUIATRÍA - Guía preguntas pacientes</v>
      </c>
      <c r="C6379" s="3" t="str">
        <f>HYPERLINK("https://otsuka-europe-crm.veevavault.com/ui/#object/sent_email__v/VBL00000000U354", "SE-001394764")</f>
        <v>SE-001394764</v>
      </c>
      <c r="D6379" s="1">
        <v>45993.560219907406</v>
      </c>
      <c r="E6379" s="2">
        <v>1</v>
      </c>
      <c r="F6379" s="2">
        <v>1</v>
      </c>
      <c r="G6379" s="2">
        <v>0</v>
      </c>
      <c r="H6379" s="1" t="s">
        <v>0</v>
      </c>
      <c r="I6379" s="2">
        <v>0</v>
      </c>
      <c r="J6379" s="1">
        <v>45993.558981481481</v>
      </c>
    </row>
    <row r="6380" spans="1:10" x14ac:dyDescent="0.2">
      <c r="A6380" s="4" t="s">
        <v>1</v>
      </c>
      <c r="B6380" s="3" t="str">
        <f>HYPERLINK("https://otsuka-europe-crm.veevavault.com/ui/#object/approved_document__v/V5O000000001001", "AM2M - PSIQUIATRÍA - Guía preguntas pacientes")</f>
        <v>AM2M - PSIQUIATRÍA - Guía preguntas pacientes</v>
      </c>
      <c r="C6380" s="3" t="str">
        <f>HYPERLINK("https://otsuka-europe-crm.veevavault.com/ui/#object/sent_email__v/VBL00000000U355", "SE-001394765")</f>
        <v>SE-001394765</v>
      </c>
      <c r="D6380" s="1">
        <v>45993.823240740741</v>
      </c>
      <c r="E6380" s="2">
        <v>1</v>
      </c>
      <c r="F6380" s="2">
        <v>1</v>
      </c>
      <c r="G6380" s="2">
        <v>0</v>
      </c>
      <c r="H6380" s="1" t="s">
        <v>0</v>
      </c>
      <c r="I6380" s="2">
        <v>0</v>
      </c>
      <c r="J6380" s="1">
        <v>45993.559016203704</v>
      </c>
    </row>
    <row r="6381" spans="1:10" x14ac:dyDescent="0.2">
      <c r="A6381" s="4" t="s">
        <v>1</v>
      </c>
      <c r="B6381" s="3" t="str">
        <f>HYPERLINK("https://otsuka-europe-crm.veevavault.com/ui/#object/approved_document__v/V5O000000001001", "AM2M - PSIQUIATRÍA - Guía preguntas pacientes")</f>
        <v>AM2M - PSIQUIATRÍA - Guía preguntas pacientes</v>
      </c>
      <c r="C6381" s="3" t="str">
        <f>HYPERLINK("https://otsuka-europe-crm.veevavault.com/ui/#object/sent_email__v/VBL00000000U356", "SE-001394766")</f>
        <v>SE-001394766</v>
      </c>
      <c r="D6381" s="1" t="s">
        <v>0</v>
      </c>
      <c r="E6381" s="2">
        <v>0</v>
      </c>
      <c r="F6381" s="2">
        <v>0</v>
      </c>
      <c r="G6381" s="2">
        <v>0</v>
      </c>
      <c r="H6381" s="1" t="s">
        <v>0</v>
      </c>
      <c r="I6381" s="2">
        <v>0</v>
      </c>
      <c r="J6381" s="1">
        <v>45993.559062499997</v>
      </c>
    </row>
    <row r="6382" spans="1:10" x14ac:dyDescent="0.2">
      <c r="A6382" s="4" t="s">
        <v>1</v>
      </c>
      <c r="B6382" s="3" t="str">
        <f>HYPERLINK("https://otsuka-europe-crm.veevavault.com/ui/#object/approved_document__v/V5O000000001001", "AM2M - PSIQUIATRÍA - Guía preguntas pacientes")</f>
        <v>AM2M - PSIQUIATRÍA - Guía preguntas pacientes</v>
      </c>
      <c r="C6382" s="3" t="str">
        <f>HYPERLINK("https://otsuka-europe-crm.veevavault.com/ui/#object/sent_email__v/VBL00000000U357", "SE-001394767")</f>
        <v>SE-001394767</v>
      </c>
      <c r="D6382" s="1">
        <v>45993.559363425928</v>
      </c>
      <c r="E6382" s="2">
        <v>1</v>
      </c>
      <c r="F6382" s="2">
        <v>1</v>
      </c>
      <c r="G6382" s="2">
        <v>0</v>
      </c>
      <c r="H6382" s="1" t="s">
        <v>0</v>
      </c>
      <c r="I6382" s="2">
        <v>0</v>
      </c>
      <c r="J6382" s="1">
        <v>45993.55909722222</v>
      </c>
    </row>
    <row r="6383" spans="1:10" x14ac:dyDescent="0.2">
      <c r="A6383" s="4" t="s">
        <v>1</v>
      </c>
      <c r="B6383" s="3" t="str">
        <f>HYPERLINK("https://otsuka-europe-crm.veevavault.com/ui/#object/approved_document__v/V5O000000001001", "AM2M - PSIQUIATRÍA - Guía preguntas pacientes")</f>
        <v>AM2M - PSIQUIATRÍA - Guía preguntas pacientes</v>
      </c>
      <c r="C6383" s="3" t="str">
        <f>HYPERLINK("https://otsuka-europe-crm.veevavault.com/ui/#object/sent_email__v/VBL00000000U358", "SE-001394768")</f>
        <v>SE-001394768</v>
      </c>
      <c r="D6383" s="1" t="s">
        <v>0</v>
      </c>
      <c r="E6383" s="2">
        <v>0</v>
      </c>
      <c r="F6383" s="2">
        <v>0</v>
      </c>
      <c r="G6383" s="2">
        <v>0</v>
      </c>
      <c r="H6383" s="1" t="s">
        <v>0</v>
      </c>
      <c r="I6383" s="2">
        <v>0</v>
      </c>
      <c r="J6383" s="1">
        <v>45993.55914351852</v>
      </c>
    </row>
    <row r="6384" spans="1:10" x14ac:dyDescent="0.2">
      <c r="A6384" s="4" t="s">
        <v>1</v>
      </c>
      <c r="B6384" s="3" t="str">
        <f>HYPERLINK("https://otsuka-europe-crm.veevavault.com/ui/#object/approved_document__v/V5O000000001001", "AM2M - PSIQUIATRÍA - Guía preguntas pacientes")</f>
        <v>AM2M - PSIQUIATRÍA - Guía preguntas pacientes</v>
      </c>
      <c r="C6384" s="3" t="str">
        <f>HYPERLINK("https://otsuka-europe-crm.veevavault.com/ui/#object/sent_email__v/VBL00000000U359", "SE-001394769")</f>
        <v>SE-001394769</v>
      </c>
      <c r="D6384" s="1">
        <v>46077.481157407405</v>
      </c>
      <c r="E6384" s="2">
        <v>1</v>
      </c>
      <c r="F6384" s="2">
        <v>1</v>
      </c>
      <c r="G6384" s="2">
        <v>0</v>
      </c>
      <c r="H6384" s="1" t="s">
        <v>0</v>
      </c>
      <c r="I6384" s="2">
        <v>0</v>
      </c>
      <c r="J6384" s="1">
        <v>45993.559189814812</v>
      </c>
    </row>
    <row r="6385" spans="1:10" x14ac:dyDescent="0.2">
      <c r="A6385" s="4" t="s">
        <v>1</v>
      </c>
      <c r="B6385" s="3" t="str">
        <f>HYPERLINK("https://otsuka-europe-crm.veevavault.com/ui/#object/approved_document__v/V5O000000001001", "AM2M - PSIQUIATRÍA - Guía preguntas pacientes")</f>
        <v>AM2M - PSIQUIATRÍA - Guía preguntas pacientes</v>
      </c>
      <c r="C6385" s="3" t="str">
        <f>HYPERLINK("https://otsuka-europe-crm.veevavault.com/ui/#object/sent_email__v/VBL00000000U360", "SE-001394770")</f>
        <v>SE-001394770</v>
      </c>
      <c r="D6385" s="1" t="s">
        <v>0</v>
      </c>
      <c r="E6385" s="2">
        <v>0</v>
      </c>
      <c r="F6385" s="2">
        <v>0</v>
      </c>
      <c r="G6385" s="2">
        <v>0</v>
      </c>
      <c r="H6385" s="1" t="s">
        <v>0</v>
      </c>
      <c r="I6385" s="2">
        <v>0</v>
      </c>
      <c r="J6385" s="1">
        <v>45993.559224537035</v>
      </c>
    </row>
    <row r="6386" spans="1:10" x14ac:dyDescent="0.2">
      <c r="A6386" s="4" t="s">
        <v>1</v>
      </c>
      <c r="B6386" s="3" t="str">
        <f>HYPERLINK("https://otsuka-europe-crm.veevavault.com/ui/#object/approved_document__v/V5O000000001001", "AM2M - PSIQUIATRÍA - Guía preguntas pacientes")</f>
        <v>AM2M - PSIQUIATRÍA - Guía preguntas pacientes</v>
      </c>
      <c r="C6386" s="3" t="str">
        <f>HYPERLINK("https://otsuka-europe-crm.veevavault.com/ui/#object/sent_email__v/VBL00000001D046", "SE-001404123")</f>
        <v>SE-001404123</v>
      </c>
      <c r="D6386" s="1" t="s">
        <v>0</v>
      </c>
      <c r="E6386" s="2">
        <v>0</v>
      </c>
      <c r="F6386" s="2">
        <v>0</v>
      </c>
      <c r="G6386" s="2">
        <v>0</v>
      </c>
      <c r="H6386" s="1" t="s">
        <v>0</v>
      </c>
      <c r="I6386" s="2">
        <v>0</v>
      </c>
      <c r="J6386" s="1">
        <v>46069.441087962965</v>
      </c>
    </row>
    <row r="6387" spans="1:10" x14ac:dyDescent="0.2">
      <c r="A6387" s="4" t="s">
        <v>1</v>
      </c>
      <c r="B6387" s="3" t="str">
        <f>HYPERLINK("https://otsuka-europe-crm.veevavault.com/ui/#object/approved_document__v/V5OZ025E82GC931", "AM2M - Valor clínico")</f>
        <v>AM2M - Valor clínico</v>
      </c>
      <c r="C6387" s="3" t="str">
        <f>HYPERLINK("https://otsuka-europe-crm.veevavault.com/ui/#object/sent_email__v/VBLZ025E82H4SPH", "SE-000281907")</f>
        <v>SE-000281907</v>
      </c>
      <c r="D6387" s="1" t="s">
        <v>0</v>
      </c>
      <c r="E6387" s="2">
        <v>0</v>
      </c>
      <c r="F6387" s="2">
        <v>0</v>
      </c>
      <c r="G6387" s="2">
        <v>0</v>
      </c>
      <c r="H6387" s="1" t="s">
        <v>0</v>
      </c>
      <c r="I6387" s="2">
        <v>0</v>
      </c>
      <c r="J6387" s="1">
        <v>45930.457175925927</v>
      </c>
    </row>
    <row r="6388" spans="1:10" x14ac:dyDescent="0.2">
      <c r="A6388" s="4" t="s">
        <v>1</v>
      </c>
      <c r="B6388" s="3" t="str">
        <f>HYPERLINK("https://otsuka-europe-crm.veevavault.com/ui/#object/approved_document__v/V5OZ025E82GC931", "AM2M - Valor clínico")</f>
        <v>AM2M - Valor clínico</v>
      </c>
      <c r="C6388" s="3" t="str">
        <f>HYPERLINK("https://otsuka-europe-crm.veevavault.com/ui/#object/sent_email__v/VBL00000000R478", "SE-001392117")</f>
        <v>SE-001392117</v>
      </c>
      <c r="D6388" s="1">
        <v>45990.0312962963</v>
      </c>
      <c r="E6388" s="2">
        <v>1</v>
      </c>
      <c r="F6388" s="2">
        <v>1</v>
      </c>
      <c r="G6388" s="2">
        <v>0</v>
      </c>
      <c r="H6388" s="1" t="s">
        <v>0</v>
      </c>
      <c r="I6388" s="2">
        <v>0</v>
      </c>
      <c r="J6388" s="1">
        <v>45989.638564814813</v>
      </c>
    </row>
    <row r="6389" spans="1:10" x14ac:dyDescent="0.2">
      <c r="A6389" s="4" t="s">
        <v>1</v>
      </c>
      <c r="B6389" s="3" t="str">
        <f>HYPERLINK("https://otsuka-europe-crm.veevavault.com/ui/#object/approved_document__v/V5OZ04ASG4FWKA8", "Approved Email Consent - 2")</f>
        <v>Approved Email Consent - 2</v>
      </c>
      <c r="C6389" s="3" t="str">
        <f>HYPERLINK("https://otsuka-europe-crm.veevavault.com/ui/#object/sent_email__v/VBLZ025E82GBFOQ", "SE-000254899")</f>
        <v>SE-000254899</v>
      </c>
      <c r="D6389" s="1" t="s">
        <v>0</v>
      </c>
      <c r="E6389" s="2">
        <v>0</v>
      </c>
      <c r="F6389" s="2">
        <v>0</v>
      </c>
      <c r="G6389" s="2">
        <v>0</v>
      </c>
      <c r="H6389" s="1" t="s">
        <v>0</v>
      </c>
      <c r="I6389" s="2">
        <v>0</v>
      </c>
      <c r="J6389" s="1">
        <v>45901.322523148148</v>
      </c>
    </row>
    <row r="6390" spans="1:10" x14ac:dyDescent="0.2">
      <c r="A6390" s="4" t="s">
        <v>1</v>
      </c>
      <c r="B6390" s="3" t="str">
        <f>HYPERLINK("https://otsuka-europe-crm.veevavault.com/ui/#object/approved_document__v/V5OZ04ASG4FWKA8", "Approved Email Consent - 2")</f>
        <v>Approved Email Consent - 2</v>
      </c>
      <c r="C6390" s="3" t="str">
        <f>HYPERLINK("https://otsuka-europe-crm.veevavault.com/ui/#object/sent_email__v/VBLZ025E82GCCMT", "SE-000254930")</f>
        <v>SE-000254930</v>
      </c>
      <c r="D6390" s="1">
        <v>45902.353182870371</v>
      </c>
      <c r="E6390" s="2">
        <v>1</v>
      </c>
      <c r="F6390" s="2">
        <v>1</v>
      </c>
      <c r="G6390" s="2">
        <v>1</v>
      </c>
      <c r="H6390" s="1">
        <v>45902.353182870371</v>
      </c>
      <c r="I6390" s="2">
        <v>1</v>
      </c>
      <c r="J6390" s="1">
        <v>45901.688530092593</v>
      </c>
    </row>
    <row r="6391" spans="1:10" x14ac:dyDescent="0.2">
      <c r="A6391" s="4" t="s">
        <v>1</v>
      </c>
      <c r="B6391" s="3" t="str">
        <f>HYPERLINK("https://otsuka-europe-crm.veevavault.com/ui/#object/approved_document__v/V5OZ04ASG4FWKA8", "Approved Email Consent - 2")</f>
        <v>Approved Email Consent - 2</v>
      </c>
      <c r="C6391" s="3" t="str">
        <f>HYPERLINK("https://otsuka-europe-crm.veevavault.com/ui/#object/sent_email__v/VBLZ025E82GCJ1D", "SE-000254939")</f>
        <v>SE-000254939</v>
      </c>
      <c r="D6391" s="1">
        <v>45904.609039351853</v>
      </c>
      <c r="E6391" s="2">
        <v>1</v>
      </c>
      <c r="F6391" s="2">
        <v>3</v>
      </c>
      <c r="G6391" s="2">
        <v>1</v>
      </c>
      <c r="H6391" s="1">
        <v>45904.609085648146</v>
      </c>
      <c r="I6391" s="2">
        <v>1</v>
      </c>
      <c r="J6391" s="1">
        <v>45902.34578703704</v>
      </c>
    </row>
    <row r="6392" spans="1:10" x14ac:dyDescent="0.2">
      <c r="A6392" s="4" t="s">
        <v>1</v>
      </c>
      <c r="B6392" s="3" t="str">
        <f>HYPERLINK("https://otsuka-europe-crm.veevavault.com/ui/#object/approved_document__v/V5OZ04ASG4FWKA8", "Approved Email Consent - 2")</f>
        <v>Approved Email Consent - 2</v>
      </c>
      <c r="C6392" s="3" t="str">
        <f>HYPERLINK("https://otsuka-europe-crm.veevavault.com/ui/#object/sent_email__v/VBLZ025E82GCVB1", "SE-000254963")</f>
        <v>SE-000254963</v>
      </c>
      <c r="D6392" s="1" t="s">
        <v>0</v>
      </c>
      <c r="E6392" s="2">
        <v>0</v>
      </c>
      <c r="F6392" s="2">
        <v>0</v>
      </c>
      <c r="G6392" s="2">
        <v>0</v>
      </c>
      <c r="H6392" s="1" t="s">
        <v>0</v>
      </c>
      <c r="I6392" s="2">
        <v>0</v>
      </c>
      <c r="J6392" s="1">
        <v>45902.475046296298</v>
      </c>
    </row>
    <row r="6393" spans="1:10" x14ac:dyDescent="0.2">
      <c r="A6393" s="4" t="s">
        <v>1</v>
      </c>
      <c r="B6393" s="3" t="str">
        <f>HYPERLINK("https://otsuka-europe-crm.veevavault.com/ui/#object/approved_document__v/V5OZ04ASG4FWKA8", "Approved Email Consent - 2")</f>
        <v>Approved Email Consent - 2</v>
      </c>
      <c r="C6393" s="3" t="str">
        <f>HYPERLINK("https://otsuka-europe-crm.veevavault.com/ui/#object/sent_email__v/VBLZ025E82GDANT", "SE-000255134")</f>
        <v>SE-000255134</v>
      </c>
      <c r="D6393" s="1">
        <v>45902.764988425923</v>
      </c>
      <c r="E6393" s="2">
        <v>1</v>
      </c>
      <c r="F6393" s="2">
        <v>2</v>
      </c>
      <c r="G6393" s="2">
        <v>1</v>
      </c>
      <c r="H6393" s="1">
        <v>45902.765231481484</v>
      </c>
      <c r="I6393" s="2">
        <v>1</v>
      </c>
      <c r="J6393" s="1">
        <v>45902.637291666666</v>
      </c>
    </row>
    <row r="6394" spans="1:10" x14ac:dyDescent="0.2">
      <c r="A6394" s="4" t="s">
        <v>1</v>
      </c>
      <c r="B6394" s="3" t="str">
        <f>HYPERLINK("https://otsuka-europe-crm.veevavault.com/ui/#object/approved_document__v/V5OZ04ASG4FWKA8", "Approved Email Consent - 2")</f>
        <v>Approved Email Consent - 2</v>
      </c>
      <c r="C6394" s="3" t="str">
        <f>HYPERLINK("https://otsuka-europe-crm.veevavault.com/ui/#object/sent_email__v/VBLZ025E82GDL5L", "SE-000255160")</f>
        <v>SE-000255160</v>
      </c>
      <c r="D6394" s="1">
        <v>45908.745208333334</v>
      </c>
      <c r="E6394" s="2">
        <v>1</v>
      </c>
      <c r="F6394" s="2">
        <v>6</v>
      </c>
      <c r="G6394" s="2">
        <v>1</v>
      </c>
      <c r="H6394" s="1">
        <v>45903.302430555559</v>
      </c>
      <c r="I6394" s="2">
        <v>2</v>
      </c>
      <c r="J6394" s="1">
        <v>45903.299768518518</v>
      </c>
    </row>
    <row r="6395" spans="1:10" x14ac:dyDescent="0.2">
      <c r="A6395" s="4" t="s">
        <v>1</v>
      </c>
      <c r="B6395" s="3" t="str">
        <f>HYPERLINK("https://otsuka-europe-crm.veevavault.com/ui/#object/approved_document__v/V5OZ04ASG4FWKA8", "Approved Email Consent - 2")</f>
        <v>Approved Email Consent - 2</v>
      </c>
      <c r="C6395" s="3" t="str">
        <f>HYPERLINK("https://otsuka-europe-crm.veevavault.com/ui/#object/sent_email__v/VBLZ025E82GDLB7", "SE-000255165")</f>
        <v>SE-000255165</v>
      </c>
      <c r="D6395" s="1">
        <v>45911.593171296299</v>
      </c>
      <c r="E6395" s="2">
        <v>1</v>
      </c>
      <c r="F6395" s="2">
        <v>5</v>
      </c>
      <c r="G6395" s="2">
        <v>1</v>
      </c>
      <c r="H6395" s="1">
        <v>45903.309444444443</v>
      </c>
      <c r="I6395" s="2">
        <v>2</v>
      </c>
      <c r="J6395" s="1">
        <v>45903.302939814814</v>
      </c>
    </row>
    <row r="6396" spans="1:10" x14ac:dyDescent="0.2">
      <c r="A6396" s="4" t="s">
        <v>1</v>
      </c>
      <c r="B6396" s="3" t="str">
        <f>HYPERLINK("https://otsuka-europe-crm.veevavault.com/ui/#object/approved_document__v/V5OZ04ASG4FWKA8", "Approved Email Consent - 2")</f>
        <v>Approved Email Consent - 2</v>
      </c>
      <c r="C6396" s="3" t="str">
        <f>HYPERLINK("https://otsuka-europe-crm.veevavault.com/ui/#object/sent_email__v/VBLZ025E82GDLMA", "SE-000255168")</f>
        <v>SE-000255168</v>
      </c>
      <c r="D6396" s="1">
        <v>45903.386006944442</v>
      </c>
      <c r="E6396" s="2">
        <v>1</v>
      </c>
      <c r="F6396" s="2">
        <v>1</v>
      </c>
      <c r="G6396" s="2">
        <v>1</v>
      </c>
      <c r="H6396" s="1">
        <v>45903.386006944442</v>
      </c>
      <c r="I6396" s="2">
        <v>1</v>
      </c>
      <c r="J6396" s="1">
        <v>45903.323680555557</v>
      </c>
    </row>
    <row r="6397" spans="1:10" x14ac:dyDescent="0.2">
      <c r="A6397" s="4" t="s">
        <v>1</v>
      </c>
      <c r="B6397" s="3" t="str">
        <f>HYPERLINK("https://otsuka-europe-crm.veevavault.com/ui/#object/approved_document__v/V5OZ04ASG4FWKA8", "Approved Email Consent - 2")</f>
        <v>Approved Email Consent - 2</v>
      </c>
      <c r="C6397" s="3" t="str">
        <f>HYPERLINK("https://otsuka-europe-crm.veevavault.com/ui/#object/sent_email__v/VBLZ025E82GDM2X", "SE-000255170")</f>
        <v>SE-000255170</v>
      </c>
      <c r="D6397" s="1" t="s">
        <v>0</v>
      </c>
      <c r="E6397" s="2">
        <v>0</v>
      </c>
      <c r="F6397" s="2">
        <v>0</v>
      </c>
      <c r="G6397" s="2">
        <v>0</v>
      </c>
      <c r="H6397" s="1" t="s">
        <v>0</v>
      </c>
      <c r="I6397" s="2">
        <v>0</v>
      </c>
      <c r="J6397" s="1">
        <v>45903.346354166664</v>
      </c>
    </row>
    <row r="6398" spans="1:10" x14ac:dyDescent="0.2">
      <c r="A6398" s="4" t="s">
        <v>1</v>
      </c>
      <c r="B6398" s="3" t="str">
        <f>HYPERLINK("https://otsuka-europe-crm.veevavault.com/ui/#object/approved_document__v/V5OZ04ASG4FWKA8", "Approved Email Consent - 2")</f>
        <v>Approved Email Consent - 2</v>
      </c>
      <c r="C6398" s="3" t="str">
        <f>HYPERLINK("https://otsuka-europe-crm.veevavault.com/ui/#object/sent_email__v/VBLZ025E82GEKYH", "SE-000255221")</f>
        <v>SE-000255221</v>
      </c>
      <c r="D6398" s="1">
        <v>45908.668402777781</v>
      </c>
      <c r="E6398" s="2">
        <v>1</v>
      </c>
      <c r="F6398" s="2">
        <v>5</v>
      </c>
      <c r="G6398" s="2">
        <v>1</v>
      </c>
      <c r="H6398" s="1">
        <v>45903.690381944441</v>
      </c>
      <c r="I6398" s="2">
        <v>1</v>
      </c>
      <c r="J6398" s="1">
        <v>45903.684629629628</v>
      </c>
    </row>
    <row r="6399" spans="1:10" x14ac:dyDescent="0.2">
      <c r="A6399" s="4" t="s">
        <v>1</v>
      </c>
      <c r="B6399" s="3" t="str">
        <f>HYPERLINK("https://otsuka-europe-crm.veevavault.com/ui/#object/approved_document__v/V5OZ04ASG4FWKA8", "Approved Email Consent - 2")</f>
        <v>Approved Email Consent - 2</v>
      </c>
      <c r="C6399" s="3" t="str">
        <f>HYPERLINK("https://otsuka-europe-crm.veevavault.com/ui/#object/sent_email__v/VBLZ025E82GF6BX", "SE-000255307")</f>
        <v>SE-000255307</v>
      </c>
      <c r="D6399" s="1">
        <v>45905.271435185183</v>
      </c>
      <c r="E6399" s="2">
        <v>1</v>
      </c>
      <c r="F6399" s="2">
        <v>3</v>
      </c>
      <c r="G6399" s="2">
        <v>0</v>
      </c>
      <c r="H6399" s="1" t="s">
        <v>0</v>
      </c>
      <c r="I6399" s="2">
        <v>0</v>
      </c>
      <c r="J6399" s="1">
        <v>45904.484791666669</v>
      </c>
    </row>
    <row r="6400" spans="1:10" x14ac:dyDescent="0.2">
      <c r="A6400" s="4" t="s">
        <v>1</v>
      </c>
      <c r="B6400" s="3" t="str">
        <f>HYPERLINK("https://otsuka-europe-crm.veevavault.com/ui/#object/approved_document__v/V5OZ04ASG4FWKA8", "Approved Email Consent - 2")</f>
        <v>Approved Email Consent - 2</v>
      </c>
      <c r="C6400" s="3" t="str">
        <f>HYPERLINK("https://otsuka-europe-crm.veevavault.com/ui/#object/sent_email__v/VBLZ025E82GFYVQ", "SE-000255435")</f>
        <v>SE-000255435</v>
      </c>
      <c r="D6400" s="1">
        <v>45905.421435185184</v>
      </c>
      <c r="E6400" s="2">
        <v>1</v>
      </c>
      <c r="F6400" s="2">
        <v>1</v>
      </c>
      <c r="G6400" s="2">
        <v>1</v>
      </c>
      <c r="H6400" s="1">
        <v>45905.44939814815</v>
      </c>
      <c r="I6400" s="2">
        <v>2</v>
      </c>
      <c r="J6400" s="1">
        <v>45905.349872685183</v>
      </c>
    </row>
    <row r="6401" spans="1:10" x14ac:dyDescent="0.2">
      <c r="A6401" s="4" t="s">
        <v>1</v>
      </c>
      <c r="B6401" s="3" t="str">
        <f>HYPERLINK("https://otsuka-europe-crm.veevavault.com/ui/#object/approved_document__v/V5OZ04ASG4FWKA8", "Approved Email Consent - 2")</f>
        <v>Approved Email Consent - 2</v>
      </c>
      <c r="C6401" s="3" t="str">
        <f>HYPERLINK("https://otsuka-europe-crm.veevavault.com/ui/#object/sent_email__v/VBLZ025E82GH2P1", "SE-000255516")</f>
        <v>SE-000255516</v>
      </c>
      <c r="D6401" s="1">
        <v>45908.061354166668</v>
      </c>
      <c r="E6401" s="2">
        <v>1</v>
      </c>
      <c r="F6401" s="2">
        <v>2</v>
      </c>
      <c r="G6401" s="2">
        <v>1</v>
      </c>
      <c r="H6401" s="1">
        <v>45908.417905092596</v>
      </c>
      <c r="I6401" s="2">
        <v>2</v>
      </c>
      <c r="J6401" s="1">
        <v>45907.638113425928</v>
      </c>
    </row>
    <row r="6402" spans="1:10" x14ac:dyDescent="0.2">
      <c r="A6402" s="4" t="s">
        <v>1</v>
      </c>
      <c r="B6402" s="3" t="str">
        <f>HYPERLINK("https://otsuka-europe-crm.veevavault.com/ui/#object/approved_document__v/V5OZ04ASG4FWKA8", "Approved Email Consent - 2")</f>
        <v>Approved Email Consent - 2</v>
      </c>
      <c r="C6402" s="3" t="str">
        <f>HYPERLINK("https://otsuka-europe-crm.veevavault.com/ui/#object/sent_email__v/VBLZ025E82GI1VP", "SE-000255548")</f>
        <v>SE-000255548</v>
      </c>
      <c r="D6402" s="1">
        <v>45908.725185185183</v>
      </c>
      <c r="E6402" s="2">
        <v>1</v>
      </c>
      <c r="F6402" s="2">
        <v>3</v>
      </c>
      <c r="G6402" s="2">
        <v>1</v>
      </c>
      <c r="H6402" s="1">
        <v>45908.708854166667</v>
      </c>
      <c r="I6402" s="2">
        <v>2</v>
      </c>
      <c r="J6402" s="1">
        <v>45908.684687499997</v>
      </c>
    </row>
    <row r="6403" spans="1:10" x14ac:dyDescent="0.2">
      <c r="A6403" s="4" t="s">
        <v>1</v>
      </c>
      <c r="B6403" s="3" t="str">
        <f>HYPERLINK("https://otsuka-europe-crm.veevavault.com/ui/#object/approved_document__v/V5OZ04ASG4FWKA8", "Approved Email Consent - 2")</f>
        <v>Approved Email Consent - 2</v>
      </c>
      <c r="C6403" s="3" t="str">
        <f>HYPERLINK("https://otsuka-europe-crm.veevavault.com/ui/#object/sent_email__v/VBLZ025E82GI31D", "SE-000255553")</f>
        <v>SE-000255553</v>
      </c>
      <c r="D6403" s="1">
        <v>45908.725127314814</v>
      </c>
      <c r="E6403" s="2">
        <v>1</v>
      </c>
      <c r="F6403" s="2">
        <v>3</v>
      </c>
      <c r="G6403" s="2">
        <v>0</v>
      </c>
      <c r="H6403" s="1" t="s">
        <v>0</v>
      </c>
      <c r="I6403" s="2">
        <v>0</v>
      </c>
      <c r="J6403" s="1">
        <v>45908.707569444443</v>
      </c>
    </row>
    <row r="6404" spans="1:10" x14ac:dyDescent="0.2">
      <c r="A6404" s="4" t="s">
        <v>1</v>
      </c>
      <c r="B6404" s="3" t="str">
        <f>HYPERLINK("https://otsuka-europe-crm.veevavault.com/ui/#object/approved_document__v/V5OZ04ASG4FWKA8", "Approved Email Consent - 2")</f>
        <v>Approved Email Consent - 2</v>
      </c>
      <c r="C6404" s="3" t="str">
        <f>HYPERLINK("https://otsuka-europe-crm.veevavault.com/ui/#object/sent_email__v/VBLZ025E82GKAFQ", "SE-000255751")</f>
        <v>SE-000255751</v>
      </c>
      <c r="D6404" s="1">
        <v>45918.80741898148</v>
      </c>
      <c r="E6404" s="2">
        <v>1</v>
      </c>
      <c r="F6404" s="2">
        <v>2</v>
      </c>
      <c r="G6404" s="2">
        <v>0</v>
      </c>
      <c r="H6404" s="1" t="s">
        <v>0</v>
      </c>
      <c r="I6404" s="2">
        <v>0</v>
      </c>
      <c r="J6404" s="1">
        <v>45910.774421296293</v>
      </c>
    </row>
    <row r="6405" spans="1:10" x14ac:dyDescent="0.2">
      <c r="A6405" s="4" t="s">
        <v>1</v>
      </c>
      <c r="B6405" s="3" t="str">
        <f>HYPERLINK("https://otsuka-europe-crm.veevavault.com/ui/#object/approved_document__v/V5OZ04ASG4FWKA8", "Approved Email Consent - 2")</f>
        <v>Approved Email Consent - 2</v>
      </c>
      <c r="C6405" s="3" t="str">
        <f>HYPERLINK("https://otsuka-europe-crm.veevavault.com/ui/#object/sent_email__v/VBLZ025E82GKAO1", "SE-000255753")</f>
        <v>SE-000255753</v>
      </c>
      <c r="D6405" s="1">
        <v>45910.831932870373</v>
      </c>
      <c r="E6405" s="2">
        <v>1</v>
      </c>
      <c r="F6405" s="2">
        <v>1</v>
      </c>
      <c r="G6405" s="2">
        <v>1</v>
      </c>
      <c r="H6405" s="1">
        <v>45910.831967592596</v>
      </c>
      <c r="I6405" s="2">
        <v>1</v>
      </c>
      <c r="J6405" s="1">
        <v>45910.784328703703</v>
      </c>
    </row>
    <row r="6406" spans="1:10" x14ac:dyDescent="0.2">
      <c r="A6406" s="4" t="s">
        <v>1</v>
      </c>
      <c r="B6406" s="3" t="str">
        <f>HYPERLINK("https://otsuka-europe-crm.veevavault.com/ui/#object/approved_document__v/V5OZ04ASG4FWKA8", "Approved Email Consent - 2")</f>
        <v>Approved Email Consent - 2</v>
      </c>
      <c r="C6406" s="3" t="str">
        <f>HYPERLINK("https://otsuka-europe-crm.veevavault.com/ui/#object/sent_email__v/VBLZ025E82GKGLX", "SE-000255761")</f>
        <v>SE-000255761</v>
      </c>
      <c r="D6406" s="1">
        <v>45918.80740740741</v>
      </c>
      <c r="E6406" s="2">
        <v>1</v>
      </c>
      <c r="F6406" s="2">
        <v>3</v>
      </c>
      <c r="G6406" s="2">
        <v>1</v>
      </c>
      <c r="H6406" s="1">
        <v>45911.439074074071</v>
      </c>
      <c r="I6406" s="2">
        <v>2</v>
      </c>
      <c r="J6406" s="1">
        <v>45911.372928240744</v>
      </c>
    </row>
    <row r="6407" spans="1:10" x14ac:dyDescent="0.2">
      <c r="A6407" s="4" t="s">
        <v>1</v>
      </c>
      <c r="B6407" s="3" t="str">
        <f>HYPERLINK("https://otsuka-europe-crm.veevavault.com/ui/#object/approved_document__v/V5OZ04ASG4FWKA8", "Approved Email Consent - 2")</f>
        <v>Approved Email Consent - 2</v>
      </c>
      <c r="C6407" s="3" t="str">
        <f>HYPERLINK("https://otsuka-europe-crm.veevavault.com/ui/#object/sent_email__v/VBLZ025E82GKO3D", "SE-000255788")</f>
        <v>SE-000255788</v>
      </c>
      <c r="D6407" s="1">
        <v>45912.936898148146</v>
      </c>
      <c r="E6407" s="2">
        <v>1</v>
      </c>
      <c r="F6407" s="2">
        <v>2</v>
      </c>
      <c r="G6407" s="2">
        <v>1</v>
      </c>
      <c r="H6407" s="1">
        <v>45911.567777777775</v>
      </c>
      <c r="I6407" s="2">
        <v>2</v>
      </c>
      <c r="J6407" s="1">
        <v>45911.433159722219</v>
      </c>
    </row>
    <row r="6408" spans="1:10" x14ac:dyDescent="0.2">
      <c r="A6408" s="4" t="s">
        <v>1</v>
      </c>
      <c r="B6408" s="3" t="str">
        <f>HYPERLINK("https://otsuka-europe-crm.veevavault.com/ui/#object/approved_document__v/V5OZ04ASG4FWKA8", "Approved Email Consent - 2")</f>
        <v>Approved Email Consent - 2</v>
      </c>
      <c r="C6408" s="3" t="str">
        <f>HYPERLINK("https://otsuka-europe-crm.veevavault.com/ui/#object/sent_email__v/VBLZ025E82GKVF9", "SE-000255834")</f>
        <v>SE-000255834</v>
      </c>
      <c r="D6408" s="1">
        <v>45911.579097222224</v>
      </c>
      <c r="E6408" s="2">
        <v>1</v>
      </c>
      <c r="F6408" s="2">
        <v>1</v>
      </c>
      <c r="G6408" s="2">
        <v>1</v>
      </c>
      <c r="H6408" s="1">
        <v>45911.58</v>
      </c>
      <c r="I6408" s="2">
        <v>1</v>
      </c>
      <c r="J6408" s="1">
        <v>45911.477916666663</v>
      </c>
    </row>
    <row r="6409" spans="1:10" x14ac:dyDescent="0.2">
      <c r="A6409" s="4" t="s">
        <v>1</v>
      </c>
      <c r="B6409" s="3" t="str">
        <f>HYPERLINK("https://otsuka-europe-crm.veevavault.com/ui/#object/approved_document__v/V5OZ04ASG4FWKA8", "Approved Email Consent - 2")</f>
        <v>Approved Email Consent - 2</v>
      </c>
      <c r="C6409" s="3" t="str">
        <f>HYPERLINK("https://otsuka-europe-crm.veevavault.com/ui/#object/sent_email__v/VBLZ025E82GKVNL", "SE-000255837")</f>
        <v>SE-000255837</v>
      </c>
      <c r="D6409" s="1">
        <v>45911.579675925925</v>
      </c>
      <c r="E6409" s="2">
        <v>1</v>
      </c>
      <c r="F6409" s="2">
        <v>1</v>
      </c>
      <c r="G6409" s="2">
        <v>1</v>
      </c>
      <c r="H6409" s="1">
        <v>45911.580208333333</v>
      </c>
      <c r="I6409" s="2">
        <v>1</v>
      </c>
      <c r="J6409" s="1">
        <v>45911.47828703704</v>
      </c>
    </row>
    <row r="6410" spans="1:10" x14ac:dyDescent="0.2">
      <c r="A6410" s="4" t="s">
        <v>1</v>
      </c>
      <c r="B6410" s="3" t="str">
        <f>HYPERLINK("https://otsuka-europe-crm.veevavault.com/ui/#object/approved_document__v/V5OZ04ASG4FWKA8", "Approved Email Consent - 2")</f>
        <v>Approved Email Consent - 2</v>
      </c>
      <c r="C6410" s="3" t="str">
        <f>HYPERLINK("https://otsuka-europe-crm.veevavault.com/ui/#object/sent_email__v/VBLZ025E82GLOWD", "SE-000258504")</f>
        <v>SE-000258504</v>
      </c>
      <c r="D6410" s="1">
        <v>45922.700671296298</v>
      </c>
      <c r="E6410" s="2">
        <v>1</v>
      </c>
      <c r="F6410" s="2">
        <v>2</v>
      </c>
      <c r="G6410" s="2">
        <v>0</v>
      </c>
      <c r="H6410" s="1" t="s">
        <v>0</v>
      </c>
      <c r="I6410" s="2">
        <v>0</v>
      </c>
      <c r="J6410" s="1">
        <v>45912.387094907404</v>
      </c>
    </row>
    <row r="6411" spans="1:10" x14ac:dyDescent="0.2">
      <c r="A6411" s="4" t="s">
        <v>1</v>
      </c>
      <c r="B6411" s="3" t="str">
        <f>HYPERLINK("https://otsuka-europe-crm.veevavault.com/ui/#object/approved_document__v/V5OZ04ASG4FWKA8", "Approved Email Consent - 2")</f>
        <v>Approved Email Consent - 2</v>
      </c>
      <c r="C6411" s="3" t="str">
        <f>HYPERLINK("https://otsuka-europe-crm.veevavault.com/ui/#object/sent_email__v/VBLZ025E82GNZJD", "SE-000275492")</f>
        <v>SE-000275492</v>
      </c>
      <c r="D6411" s="1">
        <v>45920.305277777778</v>
      </c>
      <c r="E6411" s="2">
        <v>1</v>
      </c>
      <c r="F6411" s="2">
        <v>2</v>
      </c>
      <c r="G6411" s="2">
        <v>1</v>
      </c>
      <c r="H6411" s="1">
        <v>45915.489548611113</v>
      </c>
      <c r="I6411" s="2">
        <v>1</v>
      </c>
      <c r="J6411" s="1">
        <v>45915.469548611109</v>
      </c>
    </row>
    <row r="6412" spans="1:10" x14ac:dyDescent="0.2">
      <c r="A6412" s="4" t="s">
        <v>1</v>
      </c>
      <c r="B6412" s="3" t="str">
        <f>HYPERLINK("https://otsuka-europe-crm.veevavault.com/ui/#object/approved_document__v/V5OZ04ASG4FWKA8", "Approved Email Consent - 2")</f>
        <v>Approved Email Consent - 2</v>
      </c>
      <c r="C6412" s="3" t="str">
        <f>HYPERLINK("https://otsuka-europe-crm.veevavault.com/ui/#object/sent_email__v/VBLZ025E82GO35X", "SE-000275515")</f>
        <v>SE-000275515</v>
      </c>
      <c r="D6412" s="1" t="s">
        <v>0</v>
      </c>
      <c r="E6412" s="2">
        <v>0</v>
      </c>
      <c r="F6412" s="2">
        <v>0</v>
      </c>
      <c r="G6412" s="2">
        <v>0</v>
      </c>
      <c r="H6412" s="1" t="s">
        <v>0</v>
      </c>
      <c r="I6412" s="2">
        <v>0</v>
      </c>
      <c r="J6412" s="1">
        <v>45915.495555555557</v>
      </c>
    </row>
    <row r="6413" spans="1:10" x14ac:dyDescent="0.2">
      <c r="A6413" s="4" t="s">
        <v>1</v>
      </c>
      <c r="B6413" s="3" t="str">
        <f>HYPERLINK("https://otsuka-europe-crm.veevavault.com/ui/#object/approved_document__v/V5OZ04ASG4FWKA8", "Approved Email Consent - 2")</f>
        <v>Approved Email Consent - 2</v>
      </c>
      <c r="C6413" s="3" t="str">
        <f>HYPERLINK("https://otsuka-europe-crm.veevavault.com/ui/#object/sent_email__v/VBLZ025E82GO3E9", "SE-000275516")</f>
        <v>SE-000275516</v>
      </c>
      <c r="D6413" s="1">
        <v>45957.813356481478</v>
      </c>
      <c r="E6413" s="2">
        <v>1</v>
      </c>
      <c r="F6413" s="2">
        <v>1</v>
      </c>
      <c r="G6413" s="2">
        <v>0</v>
      </c>
      <c r="H6413" s="1" t="s">
        <v>0</v>
      </c>
      <c r="I6413" s="2">
        <v>0</v>
      </c>
      <c r="J6413" s="1">
        <v>45915.496874999997</v>
      </c>
    </row>
    <row r="6414" spans="1:10" x14ac:dyDescent="0.2">
      <c r="A6414" s="4" t="s">
        <v>1</v>
      </c>
      <c r="B6414" s="3" t="str">
        <f>HYPERLINK("https://otsuka-europe-crm.veevavault.com/ui/#object/approved_document__v/V5OZ04ASG4FWKA8", "Approved Email Consent - 2")</f>
        <v>Approved Email Consent - 2</v>
      </c>
      <c r="C6414" s="3" t="str">
        <f>HYPERLINK("https://otsuka-europe-crm.veevavault.com/ui/#object/sent_email__v/VBLZ025E82GQB6I", "SE-000275737")</f>
        <v>SE-000275737</v>
      </c>
      <c r="D6414" s="1" t="s">
        <v>0</v>
      </c>
      <c r="E6414" s="2">
        <v>0</v>
      </c>
      <c r="F6414" s="2">
        <v>0</v>
      </c>
      <c r="G6414" s="2">
        <v>0</v>
      </c>
      <c r="H6414" s="1" t="s">
        <v>0</v>
      </c>
      <c r="I6414" s="2">
        <v>0</v>
      </c>
      <c r="J6414" s="1">
        <v>45916.710798611108</v>
      </c>
    </row>
    <row r="6415" spans="1:10" x14ac:dyDescent="0.2">
      <c r="A6415" s="4" t="s">
        <v>1</v>
      </c>
      <c r="B6415" s="3" t="str">
        <f>HYPERLINK("https://otsuka-europe-crm.veevavault.com/ui/#object/approved_document__v/V5OZ04ASG4FWKA8", "Approved Email Consent - 2")</f>
        <v>Approved Email Consent - 2</v>
      </c>
      <c r="C6415" s="3" t="str">
        <f>HYPERLINK("https://otsuka-europe-crm.veevavault.com/ui/#object/sent_email__v/VBLZ025E82GQN2A", "SE-000275744")</f>
        <v>SE-000275744</v>
      </c>
      <c r="D6415" s="1">
        <v>45917.316041666665</v>
      </c>
      <c r="E6415" s="2">
        <v>1</v>
      </c>
      <c r="F6415" s="2">
        <v>1</v>
      </c>
      <c r="G6415" s="2">
        <v>1</v>
      </c>
      <c r="H6415" s="1">
        <v>45917.316770833335</v>
      </c>
      <c r="I6415" s="2">
        <v>2</v>
      </c>
      <c r="J6415" s="1">
        <v>45917.309918981482</v>
      </c>
    </row>
    <row r="6416" spans="1:10" x14ac:dyDescent="0.2">
      <c r="A6416" s="4" t="s">
        <v>1</v>
      </c>
      <c r="B6416" s="3" t="str">
        <f>HYPERLINK("https://otsuka-europe-crm.veevavault.com/ui/#object/approved_document__v/V5OZ04ASG4FWKA8", "Approved Email Consent - 2")</f>
        <v>Approved Email Consent - 2</v>
      </c>
      <c r="C6416" s="3" t="str">
        <f>HYPERLINK("https://otsuka-europe-crm.veevavault.com/ui/#object/sent_email__v/VBLZ025E82GQNAN", "SE-000275749")</f>
        <v>SE-000275749</v>
      </c>
      <c r="D6416" s="1">
        <v>45917.554814814815</v>
      </c>
      <c r="E6416" s="2">
        <v>1</v>
      </c>
      <c r="F6416" s="2">
        <v>1</v>
      </c>
      <c r="G6416" s="2">
        <v>1</v>
      </c>
      <c r="H6416" s="1">
        <v>45917.554814814815</v>
      </c>
      <c r="I6416" s="2">
        <v>1</v>
      </c>
      <c r="J6416" s="1">
        <v>45917.312071759261</v>
      </c>
    </row>
    <row r="6417" spans="1:10" x14ac:dyDescent="0.2">
      <c r="A6417" s="4" t="s">
        <v>1</v>
      </c>
      <c r="B6417" s="3" t="str">
        <f>HYPERLINK("https://otsuka-europe-crm.veevavault.com/ui/#object/approved_document__v/V5OZ04ASG4FWKA8", "Approved Email Consent - 2")</f>
        <v>Approved Email Consent - 2</v>
      </c>
      <c r="C6417" s="3" t="str">
        <f>HYPERLINK("https://otsuka-europe-crm.veevavault.com/ui/#object/sent_email__v/VBLZ025E82GRWQQ", "SE-000275975")</f>
        <v>SE-000275975</v>
      </c>
      <c r="D6417" s="1">
        <v>46067.468321759261</v>
      </c>
      <c r="E6417" s="2">
        <v>1</v>
      </c>
      <c r="F6417" s="2">
        <v>5</v>
      </c>
      <c r="G6417" s="2">
        <v>1</v>
      </c>
      <c r="H6417" s="1">
        <v>45917.783935185187</v>
      </c>
      <c r="I6417" s="2">
        <v>1</v>
      </c>
      <c r="J6417" s="1">
        <v>45917.703252314815</v>
      </c>
    </row>
    <row r="6418" spans="1:10" x14ac:dyDescent="0.2">
      <c r="A6418" s="4" t="s">
        <v>1</v>
      </c>
      <c r="B6418" s="3" t="str">
        <f>HYPERLINK("https://otsuka-europe-crm.veevavault.com/ui/#object/approved_document__v/V5OZ04ASG4FWKA8", "Approved Email Consent - 2")</f>
        <v>Approved Email Consent - 2</v>
      </c>
      <c r="C6418" s="3" t="str">
        <f>HYPERLINK("https://otsuka-europe-crm.veevavault.com/ui/#object/sent_email__v/VBLZ025E82GTDFX", "SE-000276675")</f>
        <v>SE-000276675</v>
      </c>
      <c r="D6418" s="1">
        <v>45918.622986111113</v>
      </c>
      <c r="E6418" s="2">
        <v>1</v>
      </c>
      <c r="F6418" s="2">
        <v>1</v>
      </c>
      <c r="G6418" s="2">
        <v>1</v>
      </c>
      <c r="H6418" s="1">
        <v>45918.623043981483</v>
      </c>
      <c r="I6418" s="2">
        <v>1</v>
      </c>
      <c r="J6418" s="1">
        <v>45918.622754629629</v>
      </c>
    </row>
    <row r="6419" spans="1:10" x14ac:dyDescent="0.2">
      <c r="A6419" s="4" t="s">
        <v>1</v>
      </c>
      <c r="B6419" s="3" t="str">
        <f>HYPERLINK("https://otsuka-europe-crm.veevavault.com/ui/#object/approved_document__v/V5OZ04ASG4FWKA8", "Approved Email Consent - 2")</f>
        <v>Approved Email Consent - 2</v>
      </c>
      <c r="C6419" s="3" t="str">
        <f>HYPERLINK("https://otsuka-europe-crm.veevavault.com/ui/#object/sent_email__v/VBLZ025E82GTMGX", "SE-000276694")</f>
        <v>SE-000276694</v>
      </c>
      <c r="D6419" s="1">
        <v>45918.716817129629</v>
      </c>
      <c r="E6419" s="2">
        <v>1</v>
      </c>
      <c r="F6419" s="2">
        <v>1</v>
      </c>
      <c r="G6419" s="2">
        <v>1</v>
      </c>
      <c r="H6419" s="1">
        <v>45918.716990740744</v>
      </c>
      <c r="I6419" s="2">
        <v>1</v>
      </c>
      <c r="J6419" s="1">
        <v>45918.713159722225</v>
      </c>
    </row>
    <row r="6420" spans="1:10" x14ac:dyDescent="0.2">
      <c r="A6420" s="4" t="s">
        <v>1</v>
      </c>
      <c r="B6420" s="3" t="str">
        <f>HYPERLINK("https://otsuka-europe-crm.veevavault.com/ui/#object/approved_document__v/V5OZ04ASG4FWKA8", "Approved Email Consent - 2")</f>
        <v>Approved Email Consent - 2</v>
      </c>
      <c r="C6420" s="3" t="str">
        <f>HYPERLINK("https://otsuka-europe-crm.veevavault.com/ui/#object/sent_email__v/VBLZ025E82GTU15", "SE-000276711")</f>
        <v>SE-000276711</v>
      </c>
      <c r="D6420" s="1">
        <v>45923.305868055555</v>
      </c>
      <c r="E6420" s="2">
        <v>1</v>
      </c>
      <c r="F6420" s="2">
        <v>3</v>
      </c>
      <c r="G6420" s="2">
        <v>1</v>
      </c>
      <c r="H6420" s="1">
        <v>45919.331111111111</v>
      </c>
      <c r="I6420" s="2">
        <v>1</v>
      </c>
      <c r="J6420" s="1">
        <v>45919.322962962964</v>
      </c>
    </row>
    <row r="6421" spans="1:10" x14ac:dyDescent="0.2">
      <c r="A6421" s="4" t="s">
        <v>1</v>
      </c>
      <c r="B6421" s="3" t="str">
        <f>HYPERLINK("https://otsuka-europe-crm.veevavault.com/ui/#object/approved_document__v/V5OZ04ASG4FWKA8", "Approved Email Consent - 2")</f>
        <v>Approved Email Consent - 2</v>
      </c>
      <c r="C6421" s="3" t="str">
        <f>HYPERLINK("https://otsuka-europe-crm.veevavault.com/ui/#object/sent_email__v/VBLZ025E82GUEK1", "SE-000277187")</f>
        <v>SE-000277187</v>
      </c>
      <c r="D6421" s="1">
        <v>45919.48510416667</v>
      </c>
      <c r="E6421" s="2">
        <v>1</v>
      </c>
      <c r="F6421" s="2">
        <v>3</v>
      </c>
      <c r="G6421" s="2">
        <v>1</v>
      </c>
      <c r="H6421" s="1">
        <v>45919.489293981482</v>
      </c>
      <c r="I6421" s="2">
        <v>2</v>
      </c>
      <c r="J6421" s="1">
        <v>45919.484351851854</v>
      </c>
    </row>
    <row r="6422" spans="1:10" x14ac:dyDescent="0.2">
      <c r="A6422" s="4" t="s">
        <v>1</v>
      </c>
      <c r="B6422" s="3" t="str">
        <f>HYPERLINK("https://otsuka-europe-crm.veevavault.com/ui/#object/approved_document__v/V5OZ04ASG4FWKA8", "Approved Email Consent - 2")</f>
        <v>Approved Email Consent - 2</v>
      </c>
      <c r="C6422" s="3" t="str">
        <f>HYPERLINK("https://otsuka-europe-crm.veevavault.com/ui/#object/sent_email__v/VBLZ025E82GUJHU", "SE-000277217")</f>
        <v>SE-000277217</v>
      </c>
      <c r="D6422" s="1">
        <v>45920.864988425928</v>
      </c>
      <c r="E6422" s="2">
        <v>1</v>
      </c>
      <c r="F6422" s="2">
        <v>1</v>
      </c>
      <c r="G6422" s="2">
        <v>1</v>
      </c>
      <c r="H6422" s="1">
        <v>45920.864988425928</v>
      </c>
      <c r="I6422" s="2">
        <v>1</v>
      </c>
      <c r="J6422" s="1">
        <v>45919.553888888891</v>
      </c>
    </row>
    <row r="6423" spans="1:10" x14ac:dyDescent="0.2">
      <c r="A6423" s="4" t="s">
        <v>1</v>
      </c>
      <c r="B6423" s="3" t="str">
        <f>HYPERLINK("https://otsuka-europe-crm.veevavault.com/ui/#object/approved_document__v/V5OZ04ASG4FWKA8", "Approved Email Consent - 2")</f>
        <v>Approved Email Consent - 2</v>
      </c>
      <c r="C6423" s="3" t="str">
        <f>HYPERLINK("https://otsuka-europe-crm.veevavault.com/ui/#object/sent_email__v/VBLZ025E82GUJKL", "SE-000277218")</f>
        <v>SE-000277218</v>
      </c>
      <c r="D6423" s="1">
        <v>45919.555023148147</v>
      </c>
      <c r="E6423" s="2">
        <v>1</v>
      </c>
      <c r="F6423" s="2">
        <v>2</v>
      </c>
      <c r="G6423" s="2">
        <v>1</v>
      </c>
      <c r="H6423" s="1">
        <v>45919.555046296293</v>
      </c>
      <c r="I6423" s="2">
        <v>1</v>
      </c>
      <c r="J6423" s="1">
        <v>45919.554328703707</v>
      </c>
    </row>
    <row r="6424" spans="1:10" x14ac:dyDescent="0.2">
      <c r="A6424" s="4" t="s">
        <v>1</v>
      </c>
      <c r="B6424" s="3" t="str">
        <f>HYPERLINK("https://otsuka-europe-crm.veevavault.com/ui/#object/approved_document__v/V5OZ04ASG4FWKA8", "Approved Email Consent - 2")</f>
        <v>Approved Email Consent - 2</v>
      </c>
      <c r="C6424" s="3" t="str">
        <f>HYPERLINK("https://otsuka-europe-crm.veevavault.com/ui/#object/sent_email__v/VBLZ025E82GVI7T", "SE-000279469")</f>
        <v>SE-000279469</v>
      </c>
      <c r="D6424" s="1">
        <v>45951.272291666668</v>
      </c>
      <c r="E6424" s="2">
        <v>1</v>
      </c>
      <c r="F6424" s="2">
        <v>4</v>
      </c>
      <c r="G6424" s="2">
        <v>1</v>
      </c>
      <c r="H6424" s="1">
        <v>45922.931307870371</v>
      </c>
      <c r="I6424" s="2">
        <v>1</v>
      </c>
      <c r="J6424" s="1">
        <v>45922.318298611113</v>
      </c>
    </row>
    <row r="6425" spans="1:10" x14ac:dyDescent="0.2">
      <c r="A6425" s="4" t="s">
        <v>1</v>
      </c>
      <c r="B6425" s="3" t="str">
        <f>HYPERLINK("https://otsuka-europe-crm.veevavault.com/ui/#object/approved_document__v/V5OZ04ASG4FWKA8", "Approved Email Consent - 2")</f>
        <v>Approved Email Consent - 2</v>
      </c>
      <c r="C6425" s="3" t="str">
        <f>HYPERLINK("https://otsuka-europe-crm.veevavault.com/ui/#object/sent_email__v/VBLZ025E82GVJOL", "SE-000279472")</f>
        <v>SE-000279472</v>
      </c>
      <c r="D6425" s="1">
        <v>45924.32671296296</v>
      </c>
      <c r="E6425" s="2">
        <v>1</v>
      </c>
      <c r="F6425" s="2">
        <v>1</v>
      </c>
      <c r="G6425" s="2">
        <v>1</v>
      </c>
      <c r="H6425" s="1">
        <v>45924.343611111108</v>
      </c>
      <c r="I6425" s="2">
        <v>2</v>
      </c>
      <c r="J6425" s="1">
        <v>45922.354571759257</v>
      </c>
    </row>
    <row r="6426" spans="1:10" x14ac:dyDescent="0.2">
      <c r="A6426" s="4" t="s">
        <v>1</v>
      </c>
      <c r="B6426" s="3" t="str">
        <f>HYPERLINK("https://otsuka-europe-crm.veevavault.com/ui/#object/approved_document__v/V5OZ04ASG4FWKA8", "Approved Email Consent - 2")</f>
        <v>Approved Email Consent - 2</v>
      </c>
      <c r="C6426" s="3" t="str">
        <f>HYPERLINK("https://otsuka-europe-crm.veevavault.com/ui/#object/sent_email__v/VBLZ025E82GVY9L", "SE-000279488")</f>
        <v>SE-000279488</v>
      </c>
      <c r="D6426" s="1">
        <v>45922.583379629628</v>
      </c>
      <c r="E6426" s="2">
        <v>1</v>
      </c>
      <c r="F6426" s="2">
        <v>2</v>
      </c>
      <c r="G6426" s="2">
        <v>1</v>
      </c>
      <c r="H6426" s="1">
        <v>45922.583634259259</v>
      </c>
      <c r="I6426" s="2">
        <v>1</v>
      </c>
      <c r="J6426" s="1">
        <v>45922.492465277777</v>
      </c>
    </row>
    <row r="6427" spans="1:10" x14ac:dyDescent="0.2">
      <c r="A6427" s="4" t="s">
        <v>1</v>
      </c>
      <c r="B6427" s="3" t="str">
        <f>HYPERLINK("https://otsuka-europe-crm.veevavault.com/ui/#object/approved_document__v/V5OZ04ASG4FWKA8", "Approved Email Consent - 2")</f>
        <v>Approved Email Consent - 2</v>
      </c>
      <c r="C6427" s="3" t="str">
        <f>HYPERLINK("https://otsuka-europe-crm.veevavault.com/ui/#object/sent_email__v/VBLZ025E82GXE1H", "SE-000280175")</f>
        <v>SE-000280175</v>
      </c>
      <c r="D6427" s="1">
        <v>45923.529918981483</v>
      </c>
      <c r="E6427" s="2">
        <v>1</v>
      </c>
      <c r="F6427" s="2">
        <v>1</v>
      </c>
      <c r="G6427" s="2">
        <v>1</v>
      </c>
      <c r="H6427" s="1">
        <v>45923.529918981483</v>
      </c>
      <c r="I6427" s="2">
        <v>1</v>
      </c>
      <c r="J6427" s="1">
        <v>45923.522627314815</v>
      </c>
    </row>
    <row r="6428" spans="1:10" x14ac:dyDescent="0.2">
      <c r="A6428" s="4" t="s">
        <v>1</v>
      </c>
      <c r="B6428" s="3" t="str">
        <f>HYPERLINK("https://otsuka-europe-crm.veevavault.com/ui/#object/approved_document__v/V5OZ04ASG4FWKA8", "Approved Email Consent - 2")</f>
        <v>Approved Email Consent - 2</v>
      </c>
      <c r="C6428" s="3" t="str">
        <f>HYPERLINK("https://otsuka-europe-crm.veevavault.com/ui/#object/sent_email__v/VBLZ025E82GXE73", "SE-000280180")</f>
        <v>SE-000280180</v>
      </c>
      <c r="D6428" s="1">
        <v>45923.553831018522</v>
      </c>
      <c r="E6428" s="2">
        <v>1</v>
      </c>
      <c r="F6428" s="2">
        <v>1</v>
      </c>
      <c r="G6428" s="2">
        <v>1</v>
      </c>
      <c r="H6428" s="1">
        <v>45923.553888888891</v>
      </c>
      <c r="I6428" s="2">
        <v>1</v>
      </c>
      <c r="J6428" s="1">
        <v>45923.524826388886</v>
      </c>
    </row>
    <row r="6429" spans="1:10" x14ac:dyDescent="0.2">
      <c r="A6429" s="4" t="s">
        <v>1</v>
      </c>
      <c r="B6429" s="3" t="str">
        <f>HYPERLINK("https://otsuka-europe-crm.veevavault.com/ui/#object/approved_document__v/V5OZ04ASG4FWKA8", "Approved Email Consent - 2")</f>
        <v>Approved Email Consent - 2</v>
      </c>
      <c r="C6429" s="3" t="str">
        <f>HYPERLINK("https://otsuka-europe-crm.veevavault.com/ui/#object/sent_email__v/VBLZ025E82GXZ6L", "SE-000280259")</f>
        <v>SE-000280259</v>
      </c>
      <c r="D6429" s="1">
        <v>45923.70689814815</v>
      </c>
      <c r="E6429" s="2">
        <v>1</v>
      </c>
      <c r="F6429" s="2">
        <v>1</v>
      </c>
      <c r="G6429" s="2">
        <v>1</v>
      </c>
      <c r="H6429" s="1">
        <v>45923.70689814815</v>
      </c>
      <c r="I6429" s="2">
        <v>1</v>
      </c>
      <c r="J6429" s="1">
        <v>45923.6796412037</v>
      </c>
    </row>
    <row r="6430" spans="1:10" x14ac:dyDescent="0.2">
      <c r="A6430" s="4" t="s">
        <v>1</v>
      </c>
      <c r="B6430" s="3" t="str">
        <f>HYPERLINK("https://otsuka-europe-crm.veevavault.com/ui/#object/approved_document__v/V5OZ04ASG4FWKA8", "Approved Email Consent - 2")</f>
        <v>Approved Email Consent - 2</v>
      </c>
      <c r="C6430" s="3" t="str">
        <f>HYPERLINK("https://otsuka-europe-crm.veevavault.com/ui/#object/sent_email__v/VBLZ025E82GYO9E", "SE-000280441")</f>
        <v>SE-000280441</v>
      </c>
      <c r="D6430" s="1">
        <v>45924.550763888888</v>
      </c>
      <c r="E6430" s="2">
        <v>1</v>
      </c>
      <c r="F6430" s="2">
        <v>1</v>
      </c>
      <c r="G6430" s="2">
        <v>1</v>
      </c>
      <c r="H6430" s="1">
        <v>45924.550763888888</v>
      </c>
      <c r="I6430" s="2">
        <v>1</v>
      </c>
      <c r="J6430" s="1">
        <v>45924.549444444441</v>
      </c>
    </row>
    <row r="6431" spans="1:10" x14ac:dyDescent="0.2">
      <c r="A6431" s="4" t="s">
        <v>1</v>
      </c>
      <c r="B6431" s="3" t="str">
        <f>HYPERLINK("https://otsuka-europe-crm.veevavault.com/ui/#object/approved_document__v/V5OZ04ASG4FWKA8", "Approved Email Consent - 2")</f>
        <v>Approved Email Consent - 2</v>
      </c>
      <c r="C6431" s="3" t="str">
        <f>HYPERLINK("https://otsuka-europe-crm.veevavault.com/ui/#object/sent_email__v/VBLZ025E82GZWBI", "SE-000280781")</f>
        <v>SE-000280781</v>
      </c>
      <c r="D6431" s="1" t="s">
        <v>0</v>
      </c>
      <c r="E6431" s="2">
        <v>0</v>
      </c>
      <c r="F6431" s="2">
        <v>0</v>
      </c>
      <c r="G6431" s="2">
        <v>0</v>
      </c>
      <c r="H6431" s="1" t="s">
        <v>0</v>
      </c>
      <c r="I6431" s="2">
        <v>0</v>
      </c>
      <c r="J6431" s="1">
        <v>45925.460497685184</v>
      </c>
    </row>
    <row r="6432" spans="1:10" x14ac:dyDescent="0.2">
      <c r="A6432" s="4" t="s">
        <v>1</v>
      </c>
      <c r="B6432" s="3" t="str">
        <f>HYPERLINK("https://otsuka-europe-crm.veevavault.com/ui/#object/approved_document__v/V5OZ04ASG4FWKA8", "Approved Email Consent - 2")</f>
        <v>Approved Email Consent - 2</v>
      </c>
      <c r="C6432" s="3" t="str">
        <f>HYPERLINK("https://otsuka-europe-crm.veevavault.com/ui/#object/sent_email__v/VBLZ025E82GZXXU", "SE-000280798")</f>
        <v>SE-000280798</v>
      </c>
      <c r="D6432" s="1">
        <v>45928.955995370372</v>
      </c>
      <c r="E6432" s="2">
        <v>1</v>
      </c>
      <c r="F6432" s="2">
        <v>2</v>
      </c>
      <c r="G6432" s="2">
        <v>1</v>
      </c>
      <c r="H6432" s="1">
        <v>45925.534641203703</v>
      </c>
      <c r="I6432" s="2">
        <v>1</v>
      </c>
      <c r="J6432" s="1">
        <v>45925.46634259259</v>
      </c>
    </row>
    <row r="6433" spans="1:10" x14ac:dyDescent="0.2">
      <c r="A6433" s="4" t="s">
        <v>1</v>
      </c>
      <c r="B6433" s="3" t="str">
        <f>HYPERLINK("https://otsuka-europe-crm.veevavault.com/ui/#object/approved_document__v/V5OZ04ASG4FWKA8", "Approved Email Consent - 2")</f>
        <v>Approved Email Consent - 2</v>
      </c>
      <c r="C6433" s="3" t="str">
        <f>HYPERLINK("https://otsuka-europe-crm.veevavault.com/ui/#object/sent_email__v/VBLZ025E82H069T", "SE-000280824")</f>
        <v>SE-000280824</v>
      </c>
      <c r="D6433" s="1">
        <v>45928.649386574078</v>
      </c>
      <c r="E6433" s="2">
        <v>1</v>
      </c>
      <c r="F6433" s="2">
        <v>4</v>
      </c>
      <c r="G6433" s="2">
        <v>1</v>
      </c>
      <c r="H6433" s="1">
        <v>45925.520069444443</v>
      </c>
      <c r="I6433" s="2">
        <v>1</v>
      </c>
      <c r="J6433" s="1">
        <v>45925.517962962964</v>
      </c>
    </row>
    <row r="6434" spans="1:10" x14ac:dyDescent="0.2">
      <c r="A6434" s="4" t="s">
        <v>1</v>
      </c>
      <c r="B6434" s="3" t="str">
        <f>HYPERLINK("https://otsuka-europe-crm.veevavault.com/ui/#object/approved_document__v/V5OZ04ASG4FWKA8", "Approved Email Consent - 2")</f>
        <v>Approved Email Consent - 2</v>
      </c>
      <c r="C6434" s="3" t="str">
        <f>HYPERLINK("https://otsuka-europe-crm.veevavault.com/ui/#object/sent_email__v/VBLZ025E82H0VNP", "SE-000280943")</f>
        <v>SE-000280943</v>
      </c>
      <c r="D6434" s="1">
        <v>45948.41710648148</v>
      </c>
      <c r="E6434" s="2">
        <v>1</v>
      </c>
      <c r="F6434" s="2">
        <v>5</v>
      </c>
      <c r="G6434" s="2">
        <v>0</v>
      </c>
      <c r="H6434" s="1" t="s">
        <v>0</v>
      </c>
      <c r="I6434" s="2">
        <v>0</v>
      </c>
      <c r="J6434" s="1">
        <v>45925.812962962962</v>
      </c>
    </row>
    <row r="6435" spans="1:10" x14ac:dyDescent="0.2">
      <c r="A6435" s="4" t="s">
        <v>1</v>
      </c>
      <c r="B6435" s="3" t="str">
        <f>HYPERLINK("https://otsuka-europe-crm.veevavault.com/ui/#object/approved_document__v/V5OZ04ASG4FWKA8", "Approved Email Consent - 2")</f>
        <v>Approved Email Consent - 2</v>
      </c>
      <c r="C6435" s="3" t="str">
        <f>HYPERLINK("https://otsuka-europe-crm.veevavault.com/ui/#object/sent_email__v/VBLZ025E82H1SAP", "SE-000281420")</f>
        <v>SE-000281420</v>
      </c>
      <c r="D6435" s="1">
        <v>45931.347141203703</v>
      </c>
      <c r="E6435" s="2">
        <v>1</v>
      </c>
      <c r="F6435" s="2">
        <v>5</v>
      </c>
      <c r="G6435" s="2">
        <v>1</v>
      </c>
      <c r="H6435" s="1">
        <v>45931.34747685185</v>
      </c>
      <c r="I6435" s="2">
        <v>3</v>
      </c>
      <c r="J6435" s="1">
        <v>45926.562407407408</v>
      </c>
    </row>
    <row r="6436" spans="1:10" x14ac:dyDescent="0.2">
      <c r="A6436" s="4" t="s">
        <v>1</v>
      </c>
      <c r="B6436" s="3" t="str">
        <f>HYPERLINK("https://otsuka-europe-crm.veevavault.com/ui/#object/approved_document__v/V5OZ04ASG4FWKA8", "Approved Email Consent - 2")</f>
        <v>Approved Email Consent - 2</v>
      </c>
      <c r="C6436" s="3" t="str">
        <f>HYPERLINK("https://otsuka-europe-crm.veevavault.com/ui/#object/sent_email__v/VBLZ025E82H1VGN", "SE-000281428")</f>
        <v>SE-000281428</v>
      </c>
      <c r="D6436" s="1">
        <v>45929.753761574073</v>
      </c>
      <c r="E6436" s="2">
        <v>1</v>
      </c>
      <c r="F6436" s="2">
        <v>2</v>
      </c>
      <c r="G6436" s="2">
        <v>1</v>
      </c>
      <c r="H6436" s="1">
        <v>45927.38962962963</v>
      </c>
      <c r="I6436" s="2">
        <v>2</v>
      </c>
      <c r="J6436" s="1">
        <v>45926.599421296298</v>
      </c>
    </row>
    <row r="6437" spans="1:10" x14ac:dyDescent="0.2">
      <c r="A6437" s="4" t="s">
        <v>1</v>
      </c>
      <c r="B6437" s="3" t="str">
        <f>HYPERLINK("https://otsuka-europe-crm.veevavault.com/ui/#object/approved_document__v/V5OZ04ASG4FWKA8", "Approved Email Consent - 2")</f>
        <v>Approved Email Consent - 2</v>
      </c>
      <c r="C6437" s="3" t="str">
        <f>HYPERLINK("https://otsuka-europe-crm.veevavault.com/ui/#object/sent_email__v/VBLZ025E82H3529", "SE-000281546")</f>
        <v>SE-000281546</v>
      </c>
      <c r="D6437" s="1">
        <v>45929.485613425924</v>
      </c>
      <c r="E6437" s="2">
        <v>1</v>
      </c>
      <c r="F6437" s="2">
        <v>1</v>
      </c>
      <c r="G6437" s="2">
        <v>1</v>
      </c>
      <c r="H6437" s="1">
        <v>45929.485613425924</v>
      </c>
      <c r="I6437" s="2">
        <v>1</v>
      </c>
      <c r="J6437" s="1">
        <v>45929.484953703701</v>
      </c>
    </row>
    <row r="6438" spans="1:10" x14ac:dyDescent="0.2">
      <c r="A6438" s="4" t="s">
        <v>1</v>
      </c>
      <c r="B6438" s="3" t="str">
        <f>HYPERLINK("https://otsuka-europe-crm.veevavault.com/ui/#object/approved_document__v/V5OZ04ASG4FWKA8", "Approved Email Consent - 2")</f>
        <v>Approved Email Consent - 2</v>
      </c>
      <c r="C6438" s="3" t="str">
        <f>HYPERLINK("https://otsuka-europe-crm.veevavault.com/ui/#object/sent_email__v/VBLZ025E82H3B8I", "SE-000281563")</f>
        <v>SE-000281563</v>
      </c>
      <c r="D6438" s="1">
        <v>45929.559652777774</v>
      </c>
      <c r="E6438" s="2">
        <v>1</v>
      </c>
      <c r="F6438" s="2">
        <v>1</v>
      </c>
      <c r="G6438" s="2">
        <v>1</v>
      </c>
      <c r="H6438" s="1">
        <v>45929.559872685182</v>
      </c>
      <c r="I6438" s="2">
        <v>1</v>
      </c>
      <c r="J6438" s="1">
        <v>45929.54583333333</v>
      </c>
    </row>
    <row r="6439" spans="1:10" x14ac:dyDescent="0.2">
      <c r="A6439" s="4" t="s">
        <v>1</v>
      </c>
      <c r="B6439" s="3" t="str">
        <f>HYPERLINK("https://otsuka-europe-crm.veevavault.com/ui/#object/approved_document__v/V5OZ04ASG4FWKA8", "Approved Email Consent - 2")</f>
        <v>Approved Email Consent - 2</v>
      </c>
      <c r="C6439" s="3" t="str">
        <f>HYPERLINK("https://otsuka-europe-crm.veevavault.com/ui/#object/sent_email__v/VBLZ025E82H3GPQ", "SE-000281571")</f>
        <v>SE-000281571</v>
      </c>
      <c r="D6439" s="1">
        <v>45942.324074074073</v>
      </c>
      <c r="E6439" s="2">
        <v>1</v>
      </c>
      <c r="F6439" s="2">
        <v>4</v>
      </c>
      <c r="G6439" s="2">
        <v>1</v>
      </c>
      <c r="H6439" s="1">
        <v>45929.613703703704</v>
      </c>
      <c r="I6439" s="2">
        <v>1</v>
      </c>
      <c r="J6439" s="1">
        <v>45929.613368055558</v>
      </c>
    </row>
    <row r="6440" spans="1:10" x14ac:dyDescent="0.2">
      <c r="A6440" s="4" t="s">
        <v>1</v>
      </c>
      <c r="B6440" s="3" t="str">
        <f>HYPERLINK("https://otsuka-europe-crm.veevavault.com/ui/#object/approved_document__v/V5OZ04ASG4FWKA8", "Approved Email Consent - 2")</f>
        <v>Approved Email Consent - 2</v>
      </c>
      <c r="C6440" s="3" t="str">
        <f>HYPERLINK("https://otsuka-europe-crm.veevavault.com/ui/#object/sent_email__v/VBLZ025E82H473Q", "SE-000281646")</f>
        <v>SE-000281646</v>
      </c>
      <c r="D6440" s="1">
        <v>45931.405555555553</v>
      </c>
      <c r="E6440" s="2">
        <v>1</v>
      </c>
      <c r="F6440" s="2">
        <v>3</v>
      </c>
      <c r="G6440" s="2">
        <v>1</v>
      </c>
      <c r="H6440" s="1">
        <v>45931.405798611115</v>
      </c>
      <c r="I6440" s="2">
        <v>3</v>
      </c>
      <c r="J6440" s="1">
        <v>45930.279861111114</v>
      </c>
    </row>
    <row r="6441" spans="1:10" x14ac:dyDescent="0.2">
      <c r="A6441" s="4" t="s">
        <v>1</v>
      </c>
      <c r="B6441" s="3" t="str">
        <f>HYPERLINK("https://otsuka-europe-crm.veevavault.com/ui/#object/approved_document__v/V5OZ04ASG4FWKA8", "Approved Email Consent - 2")</f>
        <v>Approved Email Consent - 2</v>
      </c>
      <c r="C6441" s="3" t="str">
        <f>HYPERLINK("https://otsuka-europe-crm.veevavault.com/ui/#object/sent_email__v/VBLZ025E82H4LJ7", "SE-000281808")</f>
        <v>SE-000281808</v>
      </c>
      <c r="D6441" s="1">
        <v>45930.489351851851</v>
      </c>
      <c r="E6441" s="2">
        <v>1</v>
      </c>
      <c r="F6441" s="2">
        <v>2</v>
      </c>
      <c r="G6441" s="2">
        <v>1</v>
      </c>
      <c r="H6441" s="1">
        <v>45930.489479166667</v>
      </c>
      <c r="I6441" s="2">
        <v>1</v>
      </c>
      <c r="J6441" s="1">
        <v>45930.390983796293</v>
      </c>
    </row>
    <row r="6442" spans="1:10" x14ac:dyDescent="0.2">
      <c r="A6442" s="4" t="s">
        <v>1</v>
      </c>
      <c r="B6442" s="3" t="str">
        <f>HYPERLINK("https://otsuka-europe-crm.veevavault.com/ui/#object/approved_document__v/V5OZ04ASG4FWKA8", "Approved Email Consent - 2")</f>
        <v>Approved Email Consent - 2</v>
      </c>
      <c r="C6442" s="3" t="str">
        <f>HYPERLINK("https://otsuka-europe-crm.veevavault.com/ui/#object/sent_email__v/VBLZ025E82H54A5", "SE-000282247")</f>
        <v>SE-000282247</v>
      </c>
      <c r="D6442" s="1">
        <v>45930.754444444443</v>
      </c>
      <c r="E6442" s="2">
        <v>1</v>
      </c>
      <c r="F6442" s="2">
        <v>3</v>
      </c>
      <c r="G6442" s="2">
        <v>1</v>
      </c>
      <c r="H6442" s="1">
        <v>45930.755127314813</v>
      </c>
      <c r="I6442" s="2">
        <v>3</v>
      </c>
      <c r="J6442" s="1">
        <v>45930.565300925926</v>
      </c>
    </row>
    <row r="6443" spans="1:10" x14ac:dyDescent="0.2">
      <c r="A6443" s="4" t="s">
        <v>1</v>
      </c>
      <c r="B6443" s="3" t="str">
        <f>HYPERLINK("https://otsuka-europe-crm.veevavault.com/ui/#object/approved_document__v/V5OZ04ASG4FWKA8", "Approved Email Consent - 2")</f>
        <v>Approved Email Consent - 2</v>
      </c>
      <c r="C6443" s="3" t="str">
        <f>HYPERLINK("https://otsuka-europe-crm.veevavault.com/ui/#object/sent_email__v/VBLZ025E82H5LEU", "SE-000282304")</f>
        <v>SE-000282304</v>
      </c>
      <c r="D6443" s="1" t="s">
        <v>0</v>
      </c>
      <c r="E6443" s="2">
        <v>0</v>
      </c>
      <c r="F6443" s="2">
        <v>0</v>
      </c>
      <c r="G6443" s="2">
        <v>0</v>
      </c>
      <c r="H6443" s="1" t="s">
        <v>0</v>
      </c>
      <c r="I6443" s="2">
        <v>0</v>
      </c>
      <c r="J6443" s="1">
        <v>45930.69321759259</v>
      </c>
    </row>
    <row r="6444" spans="1:10" x14ac:dyDescent="0.2">
      <c r="A6444" s="4" t="s">
        <v>1</v>
      </c>
      <c r="B6444" s="3" t="str">
        <f>HYPERLINK("https://otsuka-europe-crm.veevavault.com/ui/#object/approved_document__v/V5OZ04ASG4FWKA8", "Approved Email Consent - 2")</f>
        <v>Approved Email Consent - 2</v>
      </c>
      <c r="C6444" s="3" t="str">
        <f>HYPERLINK("https://otsuka-europe-crm.veevavault.com/ui/#object/sent_email__v/VBLZ025E82H5YLV", "SE-000282561")</f>
        <v>SE-000282561</v>
      </c>
      <c r="D6444" s="1">
        <v>45931.807141203702</v>
      </c>
      <c r="E6444" s="2">
        <v>1</v>
      </c>
      <c r="F6444" s="2">
        <v>2</v>
      </c>
      <c r="G6444" s="2">
        <v>1</v>
      </c>
      <c r="H6444" s="1">
        <v>45931.806921296295</v>
      </c>
      <c r="I6444" s="2">
        <v>1</v>
      </c>
      <c r="J6444" s="1">
        <v>45931.325520833336</v>
      </c>
    </row>
    <row r="6445" spans="1:10" x14ac:dyDescent="0.2">
      <c r="A6445" s="4" t="s">
        <v>1</v>
      </c>
      <c r="B6445" s="3" t="str">
        <f>HYPERLINK("https://otsuka-europe-crm.veevavault.com/ui/#object/approved_document__v/V5OZ04ASG4FWKA8", "Approved Email Consent - 2")</f>
        <v>Approved Email Consent - 2</v>
      </c>
      <c r="C6445" s="3" t="str">
        <f>HYPERLINK("https://otsuka-europe-crm.veevavault.com/ui/#object/sent_email__v/VBLZ025E82H71F1", "SE-000282735")</f>
        <v>SE-000282735</v>
      </c>
      <c r="D6445" s="1">
        <v>45931.696458333332</v>
      </c>
      <c r="E6445" s="2">
        <v>1</v>
      </c>
      <c r="F6445" s="2">
        <v>1</v>
      </c>
      <c r="G6445" s="2">
        <v>1</v>
      </c>
      <c r="H6445" s="1">
        <v>45931.696585648147</v>
      </c>
      <c r="I6445" s="2">
        <v>1</v>
      </c>
      <c r="J6445" s="1">
        <v>45931.671516203707</v>
      </c>
    </row>
    <row r="6446" spans="1:10" x14ac:dyDescent="0.2">
      <c r="A6446" s="4" t="s">
        <v>1</v>
      </c>
      <c r="B6446" s="3" t="str">
        <f>HYPERLINK("https://otsuka-europe-crm.veevavault.com/ui/#object/approved_document__v/V5OZ04ASG4FWKA8", "Approved Email Consent - 2")</f>
        <v>Approved Email Consent - 2</v>
      </c>
      <c r="C6446" s="3" t="str">
        <f>HYPERLINK("https://otsuka-europe-crm.veevavault.com/ui/#object/sent_email__v/VBLZ025E82H7575", "SE-000282741")</f>
        <v>SE-000282741</v>
      </c>
      <c r="D6446" s="1">
        <v>45931.794374999998</v>
      </c>
      <c r="E6446" s="2">
        <v>1</v>
      </c>
      <c r="F6446" s="2">
        <v>2</v>
      </c>
      <c r="G6446" s="2">
        <v>1</v>
      </c>
      <c r="H6446" s="1">
        <v>45932.583275462966</v>
      </c>
      <c r="I6446" s="2">
        <v>8</v>
      </c>
      <c r="J6446" s="1">
        <v>45931.793993055559</v>
      </c>
    </row>
    <row r="6447" spans="1:10" x14ac:dyDescent="0.2">
      <c r="A6447" s="4" t="s">
        <v>1</v>
      </c>
      <c r="B6447" s="3" t="str">
        <f>HYPERLINK("https://otsuka-europe-crm.veevavault.com/ui/#object/approved_document__v/V5OZ04ASG4FWKA8", "Approved Email Consent - 2")</f>
        <v>Approved Email Consent - 2</v>
      </c>
      <c r="C6447" s="3" t="str">
        <f>HYPERLINK("https://otsuka-europe-crm.veevavault.com/ui/#object/sent_email__v/VBLZ025E82H8ZHB", "SE-000283061")</f>
        <v>SE-000283061</v>
      </c>
      <c r="D6447" s="1">
        <v>45933.545636574076</v>
      </c>
      <c r="E6447" s="2">
        <v>1</v>
      </c>
      <c r="F6447" s="2">
        <v>2</v>
      </c>
      <c r="G6447" s="2">
        <v>1</v>
      </c>
      <c r="H6447" s="1">
        <v>45933.397372685184</v>
      </c>
      <c r="I6447" s="2">
        <v>1</v>
      </c>
      <c r="J6447" s="1">
        <v>45933.331284722219</v>
      </c>
    </row>
    <row r="6448" spans="1:10" x14ac:dyDescent="0.2">
      <c r="A6448" s="4" t="s">
        <v>1</v>
      </c>
      <c r="B6448" s="3" t="str">
        <f>HYPERLINK("https://otsuka-europe-crm.veevavault.com/ui/#object/approved_document__v/V5OZ04ASG4FWKA8", "Approved Email Consent - 2")</f>
        <v>Approved Email Consent - 2</v>
      </c>
      <c r="C6448" s="3" t="str">
        <f>HYPERLINK("https://otsuka-europe-crm.veevavault.com/ui/#object/sent_email__v/VBLZ025E82H90SJ", "SE-000283072")</f>
        <v>SE-000283072</v>
      </c>
      <c r="D6448" s="1">
        <v>45995.59578703704</v>
      </c>
      <c r="E6448" s="2">
        <v>1</v>
      </c>
      <c r="F6448" s="2">
        <v>2</v>
      </c>
      <c r="G6448" s="2">
        <v>1</v>
      </c>
      <c r="H6448" s="1">
        <v>45933.520729166667</v>
      </c>
      <c r="I6448" s="2">
        <v>1</v>
      </c>
      <c r="J6448" s="1">
        <v>45933.352916666663</v>
      </c>
    </row>
    <row r="6449" spans="1:10" x14ac:dyDescent="0.2">
      <c r="A6449" s="4" t="s">
        <v>1</v>
      </c>
      <c r="B6449" s="3" t="str">
        <f>HYPERLINK("https://otsuka-europe-crm.veevavault.com/ui/#object/approved_document__v/V5OZ04ASG4FWKA8", "Approved Email Consent - 2")</f>
        <v>Approved Email Consent - 2</v>
      </c>
      <c r="C6449" s="3" t="str">
        <f>HYPERLINK("https://otsuka-europe-crm.veevavault.com/ui/#object/sent_email__v/VBLZ025E82HASR9", "SE-000283357")</f>
        <v>SE-000283357</v>
      </c>
      <c r="D6449" s="1">
        <v>45935.912291666667</v>
      </c>
      <c r="E6449" s="2">
        <v>1</v>
      </c>
      <c r="F6449" s="2">
        <v>1</v>
      </c>
      <c r="G6449" s="2">
        <v>1</v>
      </c>
      <c r="H6449" s="1">
        <v>45935.912361111114</v>
      </c>
      <c r="I6449" s="2">
        <v>1</v>
      </c>
      <c r="J6449" s="1">
        <v>45935.834965277776</v>
      </c>
    </row>
    <row r="6450" spans="1:10" x14ac:dyDescent="0.2">
      <c r="A6450" s="4" t="s">
        <v>1</v>
      </c>
      <c r="B6450" s="3" t="str">
        <f>HYPERLINK("https://otsuka-europe-crm.veevavault.com/ui/#object/approved_document__v/V5OZ04ASG4FWKA8", "Approved Email Consent - 2")</f>
        <v>Approved Email Consent - 2</v>
      </c>
      <c r="C6450" s="3" t="str">
        <f>HYPERLINK("https://otsuka-europe-crm.veevavault.com/ui/#object/sent_email__v/VBLZ025E82HASU1", "SE-000283359")</f>
        <v>SE-000283359</v>
      </c>
      <c r="D6450" s="1">
        <v>45936.264328703706</v>
      </c>
      <c r="E6450" s="2">
        <v>1</v>
      </c>
      <c r="F6450" s="2">
        <v>3</v>
      </c>
      <c r="G6450" s="2">
        <v>1</v>
      </c>
      <c r="H6450" s="1">
        <v>45936.263912037037</v>
      </c>
      <c r="I6450" s="2">
        <v>1</v>
      </c>
      <c r="J6450" s="1">
        <v>45935.84207175926</v>
      </c>
    </row>
    <row r="6451" spans="1:10" x14ac:dyDescent="0.2">
      <c r="A6451" s="4" t="s">
        <v>1</v>
      </c>
      <c r="B6451" s="3" t="str">
        <f>HYPERLINK("https://otsuka-europe-crm.veevavault.com/ui/#object/approved_document__v/V5OZ04ASG4FWKA8", "Approved Email Consent - 2")</f>
        <v>Approved Email Consent - 2</v>
      </c>
      <c r="C6451" s="3" t="str">
        <f>HYPERLINK("https://otsuka-europe-crm.veevavault.com/ui/#object/sent_email__v/VBLZ025E82HAT2D", "SE-000283363")</f>
        <v>SE-000283363</v>
      </c>
      <c r="D6451" s="1">
        <v>45937.908437500002</v>
      </c>
      <c r="E6451" s="2">
        <v>1</v>
      </c>
      <c r="F6451" s="2">
        <v>3</v>
      </c>
      <c r="G6451" s="2">
        <v>0</v>
      </c>
      <c r="H6451" s="1" t="s">
        <v>0</v>
      </c>
      <c r="I6451" s="2">
        <v>0</v>
      </c>
      <c r="J6451" s="1">
        <v>45935.843773148146</v>
      </c>
    </row>
    <row r="6452" spans="1:10" x14ac:dyDescent="0.2">
      <c r="A6452" s="4" t="s">
        <v>1</v>
      </c>
      <c r="B6452" s="3" t="str">
        <f>HYPERLINK("https://otsuka-europe-crm.veevavault.com/ui/#object/approved_document__v/V5OZ04ASG4FWKA8", "Approved Email Consent - 2")</f>
        <v>Approved Email Consent - 2</v>
      </c>
      <c r="C6452" s="3" t="str">
        <f>HYPERLINK("https://otsuka-europe-crm.veevavault.com/ui/#object/sent_email__v/VBLZ025E82HBDIH", "SE-000283545")</f>
        <v>SE-000283545</v>
      </c>
      <c r="D6452" s="1">
        <v>45936.959687499999</v>
      </c>
      <c r="E6452" s="2">
        <v>1</v>
      </c>
      <c r="F6452" s="2">
        <v>2</v>
      </c>
      <c r="G6452" s="2">
        <v>1</v>
      </c>
      <c r="H6452" s="1">
        <v>45936.497361111113</v>
      </c>
      <c r="I6452" s="2">
        <v>1</v>
      </c>
      <c r="J6452" s="1">
        <v>45936.45548611111</v>
      </c>
    </row>
    <row r="6453" spans="1:10" x14ac:dyDescent="0.2">
      <c r="A6453" s="4" t="s">
        <v>1</v>
      </c>
      <c r="B6453" s="3" t="str">
        <f>HYPERLINK("https://otsuka-europe-crm.veevavault.com/ui/#object/approved_document__v/V5OZ04ASG4FWKA8", "Approved Email Consent - 2")</f>
        <v>Approved Email Consent - 2</v>
      </c>
      <c r="C6453" s="3" t="str">
        <f>HYPERLINK("https://otsuka-europe-crm.veevavault.com/ui/#object/sent_email__v/VBLZ025E82HCAX9", "SE-000283650")</f>
        <v>SE-000283650</v>
      </c>
      <c r="D6453" s="1">
        <v>45936.897858796299</v>
      </c>
      <c r="E6453" s="2">
        <v>1</v>
      </c>
      <c r="F6453" s="2">
        <v>2</v>
      </c>
      <c r="G6453" s="2">
        <v>1</v>
      </c>
      <c r="H6453" s="1">
        <v>45936.897881944446</v>
      </c>
      <c r="I6453" s="2">
        <v>1</v>
      </c>
      <c r="J6453" s="1">
        <v>45936.767106481479</v>
      </c>
    </row>
    <row r="6454" spans="1:10" x14ac:dyDescent="0.2">
      <c r="A6454" s="4" t="s">
        <v>1</v>
      </c>
      <c r="B6454" s="3" t="str">
        <f>HYPERLINK("https://otsuka-europe-crm.veevavault.com/ui/#object/approved_document__v/V5OZ04ASG4FWKA8", "Approved Email Consent - 2")</f>
        <v>Approved Email Consent - 2</v>
      </c>
      <c r="C6454" s="3" t="str">
        <f>HYPERLINK("https://otsuka-europe-crm.veevavault.com/ui/#object/sent_email__v/VBLZ025E82HCIPT", "SE-000283712")</f>
        <v>SE-000283712</v>
      </c>
      <c r="D6454" s="1" t="s">
        <v>0</v>
      </c>
      <c r="E6454" s="2">
        <v>0</v>
      </c>
      <c r="F6454" s="2">
        <v>0</v>
      </c>
      <c r="G6454" s="2">
        <v>0</v>
      </c>
      <c r="H6454" s="1" t="s">
        <v>0</v>
      </c>
      <c r="I6454" s="2">
        <v>0</v>
      </c>
      <c r="J6454" s="1">
        <v>45937.332766203705</v>
      </c>
    </row>
    <row r="6455" spans="1:10" x14ac:dyDescent="0.2">
      <c r="A6455" s="4" t="s">
        <v>1</v>
      </c>
      <c r="B6455" s="3" t="str">
        <f>HYPERLINK("https://otsuka-europe-crm.veevavault.com/ui/#object/approved_document__v/V5OZ04ASG4FWKA8", "Approved Email Consent - 2")</f>
        <v>Approved Email Consent - 2</v>
      </c>
      <c r="C6455" s="3" t="str">
        <f>HYPERLINK("https://otsuka-europe-crm.veevavault.com/ui/#object/sent_email__v/VBLZ025E82HCQ1Q", "SE-000283991")</f>
        <v>SE-000283991</v>
      </c>
      <c r="D6455" s="1">
        <v>45961.53266203704</v>
      </c>
      <c r="E6455" s="2">
        <v>1</v>
      </c>
      <c r="F6455" s="2">
        <v>5</v>
      </c>
      <c r="G6455" s="2">
        <v>1</v>
      </c>
      <c r="H6455" s="1">
        <v>45961.533113425925</v>
      </c>
      <c r="I6455" s="2">
        <v>3</v>
      </c>
      <c r="J6455" s="1">
        <v>45937.383240740739</v>
      </c>
    </row>
    <row r="6456" spans="1:10" x14ac:dyDescent="0.2">
      <c r="A6456" s="4" t="s">
        <v>1</v>
      </c>
      <c r="B6456" s="3" t="str">
        <f>HYPERLINK("https://otsuka-europe-crm.veevavault.com/ui/#object/approved_document__v/V5OZ04ASG4FWKA8", "Approved Email Consent - 2")</f>
        <v>Approved Email Consent - 2</v>
      </c>
      <c r="C6456" s="3" t="str">
        <f>HYPERLINK("https://otsuka-europe-crm.veevavault.com/ui/#object/sent_email__v/VBLZ025E82HCSD1", "SE-000284025")</f>
        <v>SE-000284025</v>
      </c>
      <c r="D6456" s="1">
        <v>45937.946805555555</v>
      </c>
      <c r="E6456" s="2">
        <v>1</v>
      </c>
      <c r="F6456" s="2">
        <v>4</v>
      </c>
      <c r="G6456" s="2">
        <v>1</v>
      </c>
      <c r="H6456" s="1">
        <v>45937.517326388886</v>
      </c>
      <c r="I6456" s="2">
        <v>6</v>
      </c>
      <c r="J6456" s="1">
        <v>45937.403425925928</v>
      </c>
    </row>
    <row r="6457" spans="1:10" x14ac:dyDescent="0.2">
      <c r="A6457" s="4" t="s">
        <v>1</v>
      </c>
      <c r="B6457" s="3" t="str">
        <f>HYPERLINK("https://otsuka-europe-crm.veevavault.com/ui/#object/approved_document__v/V5OZ04ASG4FWKA8", "Approved Email Consent - 2")</f>
        <v>Approved Email Consent - 2</v>
      </c>
      <c r="C6457" s="3" t="str">
        <f>HYPERLINK("https://otsuka-europe-crm.veevavault.com/ui/#object/sent_email__v/VBLZ025E82HDBCD", "SE-000284299")</f>
        <v>SE-000284299</v>
      </c>
      <c r="D6457" s="1">
        <v>45937.641284722224</v>
      </c>
      <c r="E6457" s="2">
        <v>1</v>
      </c>
      <c r="F6457" s="2">
        <v>3</v>
      </c>
      <c r="G6457" s="2">
        <v>1</v>
      </c>
      <c r="H6457" s="1">
        <v>45937.640856481485</v>
      </c>
      <c r="I6457" s="2">
        <v>1</v>
      </c>
      <c r="J6457" s="1">
        <v>45937.517627314817</v>
      </c>
    </row>
    <row r="6458" spans="1:10" x14ac:dyDescent="0.2">
      <c r="A6458" s="4" t="s">
        <v>1</v>
      </c>
      <c r="B6458" s="3" t="str">
        <f>HYPERLINK("https://otsuka-europe-crm.veevavault.com/ui/#object/approved_document__v/V5OZ04ASG4FWKA8", "Approved Email Consent - 2")</f>
        <v>Approved Email Consent - 2</v>
      </c>
      <c r="C6458" s="3" t="str">
        <f>HYPERLINK("https://otsuka-europe-crm.veevavault.com/ui/#object/sent_email__v/VBLZ025E82HDBKQ", "SE-000284304")</f>
        <v>SE-000284304</v>
      </c>
      <c r="D6458" s="1">
        <v>45939.578923611109</v>
      </c>
      <c r="E6458" s="2">
        <v>1</v>
      </c>
      <c r="F6458" s="2">
        <v>2</v>
      </c>
      <c r="G6458" s="2">
        <v>1</v>
      </c>
      <c r="H6458" s="1">
        <v>45937.867731481485</v>
      </c>
      <c r="I6458" s="2">
        <v>1</v>
      </c>
      <c r="J6458" s="1">
        <v>45937.518159722225</v>
      </c>
    </row>
    <row r="6459" spans="1:10" x14ac:dyDescent="0.2">
      <c r="A6459" s="4" t="s">
        <v>1</v>
      </c>
      <c r="B6459" s="3" t="str">
        <f>HYPERLINK("https://otsuka-europe-crm.veevavault.com/ui/#object/approved_document__v/V5OZ04ASG4FWKA8", "Approved Email Consent - 2")</f>
        <v>Approved Email Consent - 2</v>
      </c>
      <c r="C6459" s="3" t="str">
        <f>HYPERLINK("https://otsuka-europe-crm.veevavault.com/ui/#object/sent_email__v/VBLZ025E82HERI6", "SE-000284956")</f>
        <v>SE-000284956</v>
      </c>
      <c r="D6459" s="1">
        <v>45944.944837962961</v>
      </c>
      <c r="E6459" s="2">
        <v>1</v>
      </c>
      <c r="F6459" s="2">
        <v>4</v>
      </c>
      <c r="G6459" s="2">
        <v>1</v>
      </c>
      <c r="H6459" s="1">
        <v>45938.659282407411</v>
      </c>
      <c r="I6459" s="2">
        <v>1</v>
      </c>
      <c r="J6459" s="1">
        <v>45938.512604166666</v>
      </c>
    </row>
    <row r="6460" spans="1:10" x14ac:dyDescent="0.2">
      <c r="A6460" s="4" t="s">
        <v>1</v>
      </c>
      <c r="B6460" s="3" t="str">
        <f>HYPERLINK("https://otsuka-europe-crm.veevavault.com/ui/#object/approved_document__v/V5OZ04ASG4FWKA8", "Approved Email Consent - 2")</f>
        <v>Approved Email Consent - 2</v>
      </c>
      <c r="C6460" s="3" t="str">
        <f>HYPERLINK("https://otsuka-europe-crm.veevavault.com/ui/#object/sent_email__v/VBLZ025E82HERNR", "SE-000284960")</f>
        <v>SE-000284960</v>
      </c>
      <c r="D6460" s="1">
        <v>45938.546134259261</v>
      </c>
      <c r="E6460" s="2">
        <v>1</v>
      </c>
      <c r="F6460" s="2">
        <v>1</v>
      </c>
      <c r="G6460" s="2">
        <v>1</v>
      </c>
      <c r="H6460" s="1">
        <v>45938.546134259261</v>
      </c>
      <c r="I6460" s="2">
        <v>1</v>
      </c>
      <c r="J6460" s="1">
        <v>45938.5159375</v>
      </c>
    </row>
    <row r="6461" spans="1:10" x14ac:dyDescent="0.2">
      <c r="A6461" s="4" t="s">
        <v>1</v>
      </c>
      <c r="B6461" s="3" t="str">
        <f>HYPERLINK("https://otsuka-europe-crm.veevavault.com/ui/#object/approved_document__v/V5OZ04ASG4FWKA8", "Approved Email Consent - 2")</f>
        <v>Approved Email Consent - 2</v>
      </c>
      <c r="C6461" s="3" t="str">
        <f>HYPERLINK("https://otsuka-europe-crm.veevavault.com/ui/#object/sent_email__v/VBLZ025E82HERYT", "SE-000284975")</f>
        <v>SE-000284975</v>
      </c>
      <c r="D6461" s="1">
        <v>45938.941111111111</v>
      </c>
      <c r="E6461" s="2">
        <v>1</v>
      </c>
      <c r="F6461" s="2">
        <v>4</v>
      </c>
      <c r="G6461" s="2">
        <v>1</v>
      </c>
      <c r="H6461" s="1">
        <v>45938.590289351851</v>
      </c>
      <c r="I6461" s="2">
        <v>1</v>
      </c>
      <c r="J6461" s="1">
        <v>45938.521932870368</v>
      </c>
    </row>
    <row r="6462" spans="1:10" x14ac:dyDescent="0.2">
      <c r="A6462" s="4" t="s">
        <v>1</v>
      </c>
      <c r="B6462" s="3" t="str">
        <f>HYPERLINK("https://otsuka-europe-crm.veevavault.com/ui/#object/approved_document__v/V5OZ04ASG4FWKA8", "Approved Email Consent - 2")</f>
        <v>Approved Email Consent - 2</v>
      </c>
      <c r="C6462" s="3" t="str">
        <f>HYPERLINK("https://otsuka-europe-crm.veevavault.com/ui/#object/sent_email__v/VBLZ025E82HEU4M", "SE-000284979")</f>
        <v>SE-000284979</v>
      </c>
      <c r="D6462" s="1" t="s">
        <v>0</v>
      </c>
      <c r="E6462" s="2">
        <v>0</v>
      </c>
      <c r="F6462" s="2">
        <v>0</v>
      </c>
      <c r="G6462" s="2">
        <v>0</v>
      </c>
      <c r="H6462" s="1" t="s">
        <v>0</v>
      </c>
      <c r="I6462" s="2">
        <v>0</v>
      </c>
      <c r="J6462" s="1">
        <v>45938.55060185185</v>
      </c>
    </row>
    <row r="6463" spans="1:10" x14ac:dyDescent="0.2">
      <c r="A6463" s="4" t="s">
        <v>1</v>
      </c>
      <c r="B6463" s="3" t="str">
        <f>HYPERLINK("https://otsuka-europe-crm.veevavault.com/ui/#object/approved_document__v/V5OZ04ASG4FWKA8", "Approved Email Consent - 2")</f>
        <v>Approved Email Consent - 2</v>
      </c>
      <c r="C6463" s="3" t="str">
        <f>HYPERLINK("https://otsuka-europe-crm.veevavault.com/ui/#object/sent_email__v/VBLZ025E82HFHYX", "SE-000285032")</f>
        <v>SE-000285032</v>
      </c>
      <c r="D6463" s="1">
        <v>45938.788645833331</v>
      </c>
      <c r="E6463" s="2">
        <v>1</v>
      </c>
      <c r="F6463" s="2">
        <v>1</v>
      </c>
      <c r="G6463" s="2">
        <v>1</v>
      </c>
      <c r="H6463" s="1">
        <v>45938.7890625</v>
      </c>
      <c r="I6463" s="2">
        <v>2</v>
      </c>
      <c r="J6463" s="1">
        <v>45938.784039351849</v>
      </c>
    </row>
    <row r="6464" spans="1:10" x14ac:dyDescent="0.2">
      <c r="A6464" s="4" t="s">
        <v>1</v>
      </c>
      <c r="B6464" s="3" t="str">
        <f>HYPERLINK("https://otsuka-europe-crm.veevavault.com/ui/#object/approved_document__v/V5OZ04ASG4FWKA8", "Approved Email Consent - 2")</f>
        <v>Approved Email Consent - 2</v>
      </c>
      <c r="C6464" s="3" t="str">
        <f>HYPERLINK("https://otsuka-europe-crm.veevavault.com/ui/#object/sent_email__v/VBLZ025E82HG7Z1", "SE-000285383")</f>
        <v>SE-000285383</v>
      </c>
      <c r="D6464" s="1">
        <v>45943.73746527778</v>
      </c>
      <c r="E6464" s="2">
        <v>1</v>
      </c>
      <c r="F6464" s="2">
        <v>2</v>
      </c>
      <c r="G6464" s="2">
        <v>0</v>
      </c>
      <c r="H6464" s="1" t="s">
        <v>0</v>
      </c>
      <c r="I6464" s="2">
        <v>0</v>
      </c>
      <c r="J6464" s="1">
        <v>45939.49355324074</v>
      </c>
    </row>
    <row r="6465" spans="1:10" x14ac:dyDescent="0.2">
      <c r="A6465" s="4" t="s">
        <v>1</v>
      </c>
      <c r="B6465" s="3" t="str">
        <f>HYPERLINK("https://otsuka-europe-crm.veevavault.com/ui/#object/approved_document__v/V5OZ04ASG4FWKA8", "Approved Email Consent - 2")</f>
        <v>Approved Email Consent - 2</v>
      </c>
      <c r="C6465" s="3" t="str">
        <f>HYPERLINK("https://otsuka-europe-crm.veevavault.com/ui/#object/sent_email__v/VBLZ025E82HHC6A", "SE-000286513")</f>
        <v>SE-000286513</v>
      </c>
      <c r="D6465" s="1">
        <v>45946.957858796297</v>
      </c>
      <c r="E6465" s="2">
        <v>1</v>
      </c>
      <c r="F6465" s="2">
        <v>1</v>
      </c>
      <c r="G6465" s="2">
        <v>0</v>
      </c>
      <c r="H6465" s="1" t="s">
        <v>0</v>
      </c>
      <c r="I6465" s="2">
        <v>0</v>
      </c>
      <c r="J6465" s="1">
        <v>45940.483078703706</v>
      </c>
    </row>
    <row r="6466" spans="1:10" x14ac:dyDescent="0.2">
      <c r="A6466" s="4" t="s">
        <v>1</v>
      </c>
      <c r="B6466" s="3" t="str">
        <f>HYPERLINK("https://otsuka-europe-crm.veevavault.com/ui/#object/approved_document__v/V5OZ04ASG4FWKA8", "Approved Email Consent - 2")</f>
        <v>Approved Email Consent - 2</v>
      </c>
      <c r="C6466" s="3" t="str">
        <f>HYPERLINK("https://otsuka-europe-crm.veevavault.com/ui/#object/sent_email__v/VBLZ025E82HHHHX", "SE-000286515")</f>
        <v>SE-000286515</v>
      </c>
      <c r="D6466" s="1">
        <v>45940.499513888892</v>
      </c>
      <c r="E6466" s="2">
        <v>1</v>
      </c>
      <c r="F6466" s="2">
        <v>1</v>
      </c>
      <c r="G6466" s="2">
        <v>1</v>
      </c>
      <c r="H6466" s="1">
        <v>45940.499618055554</v>
      </c>
      <c r="I6466" s="2">
        <v>2</v>
      </c>
      <c r="J6466" s="1">
        <v>45940.498472222222</v>
      </c>
    </row>
    <row r="6467" spans="1:10" x14ac:dyDescent="0.2">
      <c r="A6467" s="4" t="s">
        <v>1</v>
      </c>
      <c r="B6467" s="3" t="str">
        <f>HYPERLINK("https://otsuka-europe-crm.veevavault.com/ui/#object/approved_document__v/V5OZ04ASG4FWKA8", "Approved Email Consent - 2")</f>
        <v>Approved Email Consent - 2</v>
      </c>
      <c r="C6467" s="3" t="str">
        <f>HYPERLINK("https://otsuka-europe-crm.veevavault.com/ui/#object/sent_email__v/VBLZ025E82HIEZH", "SE-000286777")</f>
        <v>SE-000286777</v>
      </c>
      <c r="D6467" s="1">
        <v>45943.860243055555</v>
      </c>
      <c r="E6467" s="2">
        <v>1</v>
      </c>
      <c r="F6467" s="2">
        <v>2</v>
      </c>
      <c r="G6467" s="2">
        <v>1</v>
      </c>
      <c r="H6467" s="1">
        <v>45943.394907407404</v>
      </c>
      <c r="I6467" s="2">
        <v>1</v>
      </c>
      <c r="J6467" s="1">
        <v>45943.382523148146</v>
      </c>
    </row>
    <row r="6468" spans="1:10" x14ac:dyDescent="0.2">
      <c r="A6468" s="4" t="s">
        <v>1</v>
      </c>
      <c r="B6468" s="3" t="str">
        <f>HYPERLINK("https://otsuka-europe-crm.veevavault.com/ui/#object/approved_document__v/V5OZ04ASG4FWKA8", "Approved Email Consent - 2")</f>
        <v>Approved Email Consent - 2</v>
      </c>
      <c r="C6468" s="3" t="str">
        <f>HYPERLINK("https://otsuka-europe-crm.veevavault.com/ui/#object/sent_email__v/VBLZ025E82HJJVQ", "SE-000286864")</f>
        <v>SE-000286864</v>
      </c>
      <c r="D6468" s="1" t="s">
        <v>0</v>
      </c>
      <c r="E6468" s="2">
        <v>0</v>
      </c>
      <c r="F6468" s="2">
        <v>0</v>
      </c>
      <c r="G6468" s="2">
        <v>0</v>
      </c>
      <c r="H6468" s="1" t="s">
        <v>0</v>
      </c>
      <c r="I6468" s="2">
        <v>0</v>
      </c>
      <c r="J6468" s="1">
        <v>45944.325925925928</v>
      </c>
    </row>
    <row r="6469" spans="1:10" x14ac:dyDescent="0.2">
      <c r="A6469" s="4" t="s">
        <v>1</v>
      </c>
      <c r="B6469" s="3" t="str">
        <f>HYPERLINK("https://otsuka-europe-crm.veevavault.com/ui/#object/approved_document__v/V5OZ04ASG4FWKA8", "Approved Email Consent - 2")</f>
        <v>Approved Email Consent - 2</v>
      </c>
      <c r="C6469" s="3" t="str">
        <f>HYPERLINK("https://otsuka-europe-crm.veevavault.com/ui/#object/sent_email__v/VBLZ025E82HJKHX", "SE-000286867")</f>
        <v>SE-000286867</v>
      </c>
      <c r="D6469" s="1">
        <v>45945.399780092594</v>
      </c>
      <c r="E6469" s="2">
        <v>1</v>
      </c>
      <c r="F6469" s="2">
        <v>1</v>
      </c>
      <c r="G6469" s="2">
        <v>1</v>
      </c>
      <c r="H6469" s="1">
        <v>45945.400127314817</v>
      </c>
      <c r="I6469" s="2">
        <v>9</v>
      </c>
      <c r="J6469" s="1">
        <v>45944.350474537037</v>
      </c>
    </row>
    <row r="6470" spans="1:10" x14ac:dyDescent="0.2">
      <c r="A6470" s="4" t="s">
        <v>1</v>
      </c>
      <c r="B6470" s="3" t="str">
        <f>HYPERLINK("https://otsuka-europe-crm.veevavault.com/ui/#object/approved_document__v/V5OZ04ASG4FWKA8", "Approved Email Consent - 2")</f>
        <v>Approved Email Consent - 2</v>
      </c>
      <c r="C6470" s="3" t="str">
        <f>HYPERLINK("https://otsuka-europe-crm.veevavault.com/ui/#object/sent_email__v/VBLZ025E82HJM71", "SE-000286874")</f>
        <v>SE-000286874</v>
      </c>
      <c r="D6470" s="1">
        <v>45944.382175925923</v>
      </c>
      <c r="E6470" s="2">
        <v>1</v>
      </c>
      <c r="F6470" s="2">
        <v>1</v>
      </c>
      <c r="G6470" s="2">
        <v>1</v>
      </c>
      <c r="H6470" s="1">
        <v>45944.382175925923</v>
      </c>
      <c r="I6470" s="2">
        <v>1</v>
      </c>
      <c r="J6470" s="1">
        <v>45944.370833333334</v>
      </c>
    </row>
    <row r="6471" spans="1:10" x14ac:dyDescent="0.2">
      <c r="A6471" s="4" t="s">
        <v>1</v>
      </c>
      <c r="B6471" s="3" t="str">
        <f>HYPERLINK("https://otsuka-europe-crm.veevavault.com/ui/#object/approved_document__v/V5OZ04ASG4FWKA8", "Approved Email Consent - 2")</f>
        <v>Approved Email Consent - 2</v>
      </c>
      <c r="C6471" s="3" t="str">
        <f>HYPERLINK("https://otsuka-europe-crm.veevavault.com/ui/#object/sent_email__v/VBLZ025E82HJP4L", "SE-000286903")</f>
        <v>SE-000286903</v>
      </c>
      <c r="D6471" s="1">
        <v>45944.791504629633</v>
      </c>
      <c r="E6471" s="2">
        <v>1</v>
      </c>
      <c r="F6471" s="2">
        <v>1</v>
      </c>
      <c r="G6471" s="2">
        <v>1</v>
      </c>
      <c r="H6471" s="1">
        <v>45944.791504629633</v>
      </c>
      <c r="I6471" s="2">
        <v>1</v>
      </c>
      <c r="J6471" s="1">
        <v>45944.389120370368</v>
      </c>
    </row>
    <row r="6472" spans="1:10" x14ac:dyDescent="0.2">
      <c r="A6472" s="4" t="s">
        <v>1</v>
      </c>
      <c r="B6472" s="3" t="str">
        <f>HYPERLINK("https://otsuka-europe-crm.veevavault.com/ui/#object/approved_document__v/V5OZ04ASG4FWKA8", "Approved Email Consent - 2")</f>
        <v>Approved Email Consent - 2</v>
      </c>
      <c r="C6472" s="3" t="str">
        <f>HYPERLINK("https://otsuka-europe-crm.veevavault.com/ui/#object/sent_email__v/VBLZ025E82HJPLA", "SE-000286908")</f>
        <v>SE-000286908</v>
      </c>
      <c r="D6472" s="1">
        <v>45945.529988425929</v>
      </c>
      <c r="E6472" s="2">
        <v>1</v>
      </c>
      <c r="F6472" s="2">
        <v>2</v>
      </c>
      <c r="G6472" s="2">
        <v>1</v>
      </c>
      <c r="H6472" s="1">
        <v>45945.530034722222</v>
      </c>
      <c r="I6472" s="2">
        <v>1</v>
      </c>
      <c r="J6472" s="1">
        <v>45944.393819444442</v>
      </c>
    </row>
    <row r="6473" spans="1:10" x14ac:dyDescent="0.2">
      <c r="A6473" s="4" t="s">
        <v>1</v>
      </c>
      <c r="B6473" s="3" t="str">
        <f>HYPERLINK("https://otsuka-europe-crm.veevavault.com/ui/#object/approved_document__v/V5OZ04ASG4FWKA8", "Approved Email Consent - 2")</f>
        <v>Approved Email Consent - 2</v>
      </c>
      <c r="C6473" s="3" t="str">
        <f>HYPERLINK("https://otsuka-europe-crm.veevavault.com/ui/#object/sent_email__v/VBLZ025E82HKLX5", "SE-000287551")</f>
        <v>SE-000287551</v>
      </c>
      <c r="D6473" s="1">
        <v>45944.951689814814</v>
      </c>
      <c r="E6473" s="2">
        <v>1</v>
      </c>
      <c r="F6473" s="2">
        <v>7</v>
      </c>
      <c r="G6473" s="2">
        <v>1</v>
      </c>
      <c r="H6473" s="1">
        <v>45944.728425925925</v>
      </c>
      <c r="I6473" s="2">
        <v>1</v>
      </c>
      <c r="J6473" s="1">
        <v>45944.718854166669</v>
      </c>
    </row>
    <row r="6474" spans="1:10" x14ac:dyDescent="0.2">
      <c r="A6474" s="4" t="s">
        <v>1</v>
      </c>
      <c r="B6474" s="3" t="str">
        <f>HYPERLINK("https://otsuka-europe-crm.veevavault.com/ui/#object/approved_document__v/V5OZ04ASG4FWKA8", "Approved Email Consent - 2")</f>
        <v>Approved Email Consent - 2</v>
      </c>
      <c r="C6474" s="3" t="str">
        <f>HYPERLINK("https://otsuka-europe-crm.veevavault.com/ui/#object/sent_email__v/VBLZ025E82HKMJD", "SE-000287553")</f>
        <v>SE-000287553</v>
      </c>
      <c r="D6474" s="1">
        <v>45959.929166666669</v>
      </c>
      <c r="E6474" s="2">
        <v>1</v>
      </c>
      <c r="F6474" s="2">
        <v>3</v>
      </c>
      <c r="G6474" s="2">
        <v>1</v>
      </c>
      <c r="H6474" s="1">
        <v>45957.630057870374</v>
      </c>
      <c r="I6474" s="2">
        <v>1</v>
      </c>
      <c r="J6474" s="1">
        <v>45944.778240740743</v>
      </c>
    </row>
    <row r="6475" spans="1:10" x14ac:dyDescent="0.2">
      <c r="A6475" s="4" t="s">
        <v>1</v>
      </c>
      <c r="B6475" s="3" t="str">
        <f>HYPERLINK("https://otsuka-europe-crm.veevavault.com/ui/#object/approved_document__v/V5OZ04ASG4FWKA8", "Approved Email Consent - 2")</f>
        <v>Approved Email Consent - 2</v>
      </c>
      <c r="C6475" s="3" t="str">
        <f>HYPERLINK("https://otsuka-europe-crm.veevavault.com/ui/#object/sent_email__v/VBLZ025E82HKMOX", "SE-000287555")</f>
        <v>SE-000287555</v>
      </c>
      <c r="D6475" s="1">
        <v>45945.304224537038</v>
      </c>
      <c r="E6475" s="2">
        <v>1</v>
      </c>
      <c r="F6475" s="2">
        <v>2</v>
      </c>
      <c r="G6475" s="2">
        <v>1</v>
      </c>
      <c r="H6475" s="1">
        <v>45945.304270833331</v>
      </c>
      <c r="I6475" s="2">
        <v>2</v>
      </c>
      <c r="J6475" s="1">
        <v>45944.782337962963</v>
      </c>
    </row>
    <row r="6476" spans="1:10" x14ac:dyDescent="0.2">
      <c r="A6476" s="4" t="s">
        <v>1</v>
      </c>
      <c r="B6476" s="3" t="str">
        <f>HYPERLINK("https://otsuka-europe-crm.veevavault.com/ui/#object/approved_document__v/V5OZ04ASG4FWKA8", "Approved Email Consent - 2")</f>
        <v>Approved Email Consent - 2</v>
      </c>
      <c r="C6476" s="3" t="str">
        <f>HYPERLINK("https://otsuka-europe-crm.veevavault.com/ui/#object/sent_email__v/VBLZ025E82HL92H", "SE-000287813")</f>
        <v>SE-000287813</v>
      </c>
      <c r="D6476" s="1" t="s">
        <v>0</v>
      </c>
      <c r="E6476" s="2">
        <v>0</v>
      </c>
      <c r="F6476" s="2">
        <v>0</v>
      </c>
      <c r="G6476" s="2">
        <v>0</v>
      </c>
      <c r="H6476" s="1" t="s">
        <v>0</v>
      </c>
      <c r="I6476" s="2">
        <v>0</v>
      </c>
      <c r="J6476" s="1">
        <v>45945.510810185187</v>
      </c>
    </row>
    <row r="6477" spans="1:10" x14ac:dyDescent="0.2">
      <c r="A6477" s="4" t="s">
        <v>1</v>
      </c>
      <c r="B6477" s="3" t="str">
        <f>HYPERLINK("https://otsuka-europe-crm.veevavault.com/ui/#object/approved_document__v/V5OZ04ASG4FWKA8", "Approved Email Consent - 2")</f>
        <v>Approved Email Consent - 2</v>
      </c>
      <c r="C6477" s="3" t="str">
        <f>HYPERLINK("https://otsuka-europe-crm.veevavault.com/ui/#object/sent_email__v/VBLZ025E82HLJSL", "SE-000287840")</f>
        <v>SE-000287840</v>
      </c>
      <c r="D6477" s="1">
        <v>45945.712557870371</v>
      </c>
      <c r="E6477" s="2">
        <v>1</v>
      </c>
      <c r="F6477" s="2">
        <v>1</v>
      </c>
      <c r="G6477" s="2">
        <v>1</v>
      </c>
      <c r="H6477" s="1">
        <v>45945.712557870371</v>
      </c>
      <c r="I6477" s="2">
        <v>1</v>
      </c>
      <c r="J6477" s="1">
        <v>45945.644571759258</v>
      </c>
    </row>
    <row r="6478" spans="1:10" x14ac:dyDescent="0.2">
      <c r="A6478" s="4" t="s">
        <v>1</v>
      </c>
      <c r="B6478" s="3" t="str">
        <f>HYPERLINK("https://otsuka-europe-crm.veevavault.com/ui/#object/approved_document__v/V5OZ04ASG4FWKA8", "Approved Email Consent - 2")</f>
        <v>Approved Email Consent - 2</v>
      </c>
      <c r="C6478" s="3" t="str">
        <f>HYPERLINK("https://otsuka-europe-crm.veevavault.com/ui/#object/sent_email__v/VBLZ025E82HLK0X", "SE-000287843")</f>
        <v>SE-000287843</v>
      </c>
      <c r="D6478" s="1">
        <v>45945.665543981479</v>
      </c>
      <c r="E6478" s="2">
        <v>1</v>
      </c>
      <c r="F6478" s="2">
        <v>1</v>
      </c>
      <c r="G6478" s="2">
        <v>1</v>
      </c>
      <c r="H6478" s="1">
        <v>45945.665543981479</v>
      </c>
      <c r="I6478" s="2">
        <v>1</v>
      </c>
      <c r="J6478" s="1">
        <v>45945.646064814813</v>
      </c>
    </row>
    <row r="6479" spans="1:10" x14ac:dyDescent="0.2">
      <c r="A6479" s="4" t="s">
        <v>1</v>
      </c>
      <c r="B6479" s="3" t="str">
        <f>HYPERLINK("https://otsuka-europe-crm.veevavault.com/ui/#object/approved_document__v/V5OZ04ASG4FWKA8", "Approved Email Consent - 2")</f>
        <v>Approved Email Consent - 2</v>
      </c>
      <c r="C6479" s="3" t="str">
        <f>HYPERLINK("https://otsuka-europe-crm.veevavault.com/ui/#object/sent_email__v/VBLZ025E82HMUSB", "SE-000287940")</f>
        <v>SE-000287940</v>
      </c>
      <c r="D6479" s="1">
        <v>45949.398993055554</v>
      </c>
      <c r="E6479" s="2">
        <v>1</v>
      </c>
      <c r="F6479" s="2">
        <v>3</v>
      </c>
      <c r="G6479" s="2">
        <v>1</v>
      </c>
      <c r="H6479" s="1">
        <v>45946.722719907404</v>
      </c>
      <c r="I6479" s="2">
        <v>1</v>
      </c>
      <c r="J6479" s="1">
        <v>45946.676087962966</v>
      </c>
    </row>
    <row r="6480" spans="1:10" x14ac:dyDescent="0.2">
      <c r="A6480" s="4" t="s">
        <v>1</v>
      </c>
      <c r="B6480" s="3" t="str">
        <f>HYPERLINK("https://otsuka-europe-crm.veevavault.com/ui/#object/approved_document__v/V5OZ04ASG4FWKA8", "Approved Email Consent - 2")</f>
        <v>Approved Email Consent - 2</v>
      </c>
      <c r="C6480" s="3" t="str">
        <f>HYPERLINK("https://otsuka-europe-crm.veevavault.com/ui/#object/sent_email__v/VBLZ025E82HN7O5", "SE-000287983")</f>
        <v>SE-000287983</v>
      </c>
      <c r="D6480" s="1">
        <v>45950.887418981481</v>
      </c>
      <c r="E6480" s="2">
        <v>1</v>
      </c>
      <c r="F6480" s="2">
        <v>1</v>
      </c>
      <c r="G6480" s="2">
        <v>0</v>
      </c>
      <c r="H6480" s="1" t="s">
        <v>0</v>
      </c>
      <c r="I6480" s="2">
        <v>0</v>
      </c>
      <c r="J6480" s="1">
        <v>45947.4</v>
      </c>
    </row>
    <row r="6481" spans="1:10" x14ac:dyDescent="0.2">
      <c r="A6481" s="4" t="s">
        <v>1</v>
      </c>
      <c r="B6481" s="3" t="str">
        <f>HYPERLINK("https://otsuka-europe-crm.veevavault.com/ui/#object/approved_document__v/V5OZ04ASG4FWKA8", "Approved Email Consent - 2")</f>
        <v>Approved Email Consent - 2</v>
      </c>
      <c r="C6481" s="3" t="str">
        <f>HYPERLINK("https://otsuka-europe-crm.veevavault.com/ui/#object/sent_email__v/VBLZ025E82HN87M", "SE-000287988")</f>
        <v>SE-000287988</v>
      </c>
      <c r="D6481" s="1">
        <v>45947.57849537037</v>
      </c>
      <c r="E6481" s="2">
        <v>1</v>
      </c>
      <c r="F6481" s="2">
        <v>1</v>
      </c>
      <c r="G6481" s="2">
        <v>1</v>
      </c>
      <c r="H6481" s="1">
        <v>45947.57849537037</v>
      </c>
      <c r="I6481" s="2">
        <v>1</v>
      </c>
      <c r="J6481" s="1">
        <v>45947.404409722221</v>
      </c>
    </row>
    <row r="6482" spans="1:10" x14ac:dyDescent="0.2">
      <c r="A6482" s="4" t="s">
        <v>1</v>
      </c>
      <c r="B6482" s="3" t="str">
        <f>HYPERLINK("https://otsuka-europe-crm.veevavault.com/ui/#object/approved_document__v/V5OZ04ASG4FWKA8", "Approved Email Consent - 2")</f>
        <v>Approved Email Consent - 2</v>
      </c>
      <c r="C6482" s="3" t="str">
        <f>HYPERLINK("https://otsuka-europe-crm.veevavault.com/ui/#object/sent_email__v/VBLZ025E82HNPF1", "SE-000288025")</f>
        <v>SE-000288025</v>
      </c>
      <c r="D6482" s="1">
        <v>45949.796759259261</v>
      </c>
      <c r="E6482" s="2">
        <v>1</v>
      </c>
      <c r="F6482" s="2">
        <v>1</v>
      </c>
      <c r="G6482" s="2">
        <v>1</v>
      </c>
      <c r="H6482" s="1">
        <v>45949.796759259261</v>
      </c>
      <c r="I6482" s="2">
        <v>1</v>
      </c>
      <c r="J6482" s="1">
        <v>45947.562581018516</v>
      </c>
    </row>
    <row r="6483" spans="1:10" x14ac:dyDescent="0.2">
      <c r="A6483" s="4" t="s">
        <v>1</v>
      </c>
      <c r="B6483" s="3" t="str">
        <f>HYPERLINK("https://otsuka-europe-crm.veevavault.com/ui/#object/approved_document__v/V5OZ04ASG4FWKA8", "Approved Email Consent - 2")</f>
        <v>Approved Email Consent - 2</v>
      </c>
      <c r="C6483" s="3" t="str">
        <f>HYPERLINK("https://otsuka-europe-crm.veevavault.com/ui/#object/sent_email__v/VBLZ025E82HNSNR", "SE-000288037")</f>
        <v>SE-000288037</v>
      </c>
      <c r="D6483" s="1">
        <v>45947.596828703703</v>
      </c>
      <c r="E6483" s="2">
        <v>1</v>
      </c>
      <c r="F6483" s="2">
        <v>1</v>
      </c>
      <c r="G6483" s="2">
        <v>1</v>
      </c>
      <c r="H6483" s="1">
        <v>45947.596944444442</v>
      </c>
      <c r="I6483" s="2">
        <v>2</v>
      </c>
      <c r="J6483" s="1">
        <v>45947.593229166669</v>
      </c>
    </row>
    <row r="6484" spans="1:10" x14ac:dyDescent="0.2">
      <c r="A6484" s="4" t="s">
        <v>1</v>
      </c>
      <c r="B6484" s="3" t="str">
        <f>HYPERLINK("https://otsuka-europe-crm.veevavault.com/ui/#object/approved_document__v/V5OZ04ASG4FWKA8", "Approved Email Consent - 2")</f>
        <v>Approved Email Consent - 2</v>
      </c>
      <c r="C6484" s="3" t="str">
        <f>HYPERLINK("https://otsuka-europe-crm.veevavault.com/ui/#object/sent_email__v/VBLZ025E82HO057", "SE-000288044")</f>
        <v>SE-000288044</v>
      </c>
      <c r="D6484" s="1">
        <v>45947.805208333331</v>
      </c>
      <c r="E6484" s="2">
        <v>1</v>
      </c>
      <c r="F6484" s="2">
        <v>4</v>
      </c>
      <c r="G6484" s="2">
        <v>1</v>
      </c>
      <c r="H6484" s="1">
        <v>45947.804976851854</v>
      </c>
      <c r="I6484" s="2">
        <v>1</v>
      </c>
      <c r="J6484" s="1">
        <v>45947.681979166664</v>
      </c>
    </row>
    <row r="6485" spans="1:10" x14ac:dyDescent="0.2">
      <c r="A6485" s="4" t="s">
        <v>1</v>
      </c>
      <c r="B6485" s="3" t="str">
        <f>HYPERLINK("https://otsuka-europe-crm.veevavault.com/ui/#object/approved_document__v/V5OZ04ASG4FWKA8", "Approved Email Consent - 2")</f>
        <v>Approved Email Consent - 2</v>
      </c>
      <c r="C6485" s="3" t="str">
        <f>HYPERLINK("https://otsuka-europe-crm.veevavault.com/ui/#object/sent_email__v/VBLZ025E82HOIYX", "SE-000288136")</f>
        <v>SE-000288136</v>
      </c>
      <c r="D6485" s="1">
        <v>45950.378368055557</v>
      </c>
      <c r="E6485" s="2">
        <v>1</v>
      </c>
      <c r="F6485" s="2">
        <v>2</v>
      </c>
      <c r="G6485" s="2">
        <v>1</v>
      </c>
      <c r="H6485" s="1">
        <v>45950.378472222219</v>
      </c>
      <c r="I6485" s="2">
        <v>1</v>
      </c>
      <c r="J6485" s="1">
        <v>45950.377662037034</v>
      </c>
    </row>
    <row r="6486" spans="1:10" x14ac:dyDescent="0.2">
      <c r="A6486" s="4" t="s">
        <v>1</v>
      </c>
      <c r="B6486" s="3" t="str">
        <f>HYPERLINK("https://otsuka-europe-crm.veevavault.com/ui/#object/approved_document__v/V5OZ04ASG4FWKA8", "Approved Email Consent - 2")</f>
        <v>Approved Email Consent - 2</v>
      </c>
      <c r="C6486" s="3" t="str">
        <f>HYPERLINK("https://otsuka-europe-crm.veevavault.com/ui/#object/sent_email__v/VBLZ025E82HONIU", "SE-000288391")</f>
        <v>SE-000288391</v>
      </c>
      <c r="D6486" s="1">
        <v>45950.454224537039</v>
      </c>
      <c r="E6486" s="2">
        <v>1</v>
      </c>
      <c r="F6486" s="2">
        <v>1</v>
      </c>
      <c r="G6486" s="2">
        <v>1</v>
      </c>
      <c r="H6486" s="1">
        <v>45950.454247685186</v>
      </c>
      <c r="I6486" s="2">
        <v>1</v>
      </c>
      <c r="J6486" s="1">
        <v>45950.412951388891</v>
      </c>
    </row>
    <row r="6487" spans="1:10" x14ac:dyDescent="0.2">
      <c r="A6487" s="4" t="s">
        <v>1</v>
      </c>
      <c r="B6487" s="3" t="str">
        <f>HYPERLINK("https://otsuka-europe-crm.veevavault.com/ui/#object/approved_document__v/V5OZ04ASG4FWKA8", "Approved Email Consent - 2")</f>
        <v>Approved Email Consent - 2</v>
      </c>
      <c r="C6487" s="3" t="str">
        <f>HYPERLINK("https://otsuka-europe-crm.veevavault.com/ui/#object/sent_email__v/VBLZ025E82HPV1H", "SE-000288837")</f>
        <v>SE-000288837</v>
      </c>
      <c r="D6487" s="1">
        <v>45951.315347222226</v>
      </c>
      <c r="E6487" s="2">
        <v>1</v>
      </c>
      <c r="F6487" s="2">
        <v>1</v>
      </c>
      <c r="G6487" s="2">
        <v>1</v>
      </c>
      <c r="H6487" s="1">
        <v>45951.315347222226</v>
      </c>
      <c r="I6487" s="2">
        <v>1</v>
      </c>
      <c r="J6487" s="1">
        <v>45951.312962962962</v>
      </c>
    </row>
    <row r="6488" spans="1:10" x14ac:dyDescent="0.2">
      <c r="A6488" s="4" t="s">
        <v>1</v>
      </c>
      <c r="B6488" s="3" t="str">
        <f>HYPERLINK("https://otsuka-europe-crm.veevavault.com/ui/#object/approved_document__v/V5OZ04ASG4FWKA8", "Approved Email Consent - 2")</f>
        <v>Approved Email Consent - 2</v>
      </c>
      <c r="C6488" s="3" t="str">
        <f>HYPERLINK("https://otsuka-europe-crm.veevavault.com/ui/#object/sent_email__v/VBLZ025E82HQ5DP", "SE-000288876")</f>
        <v>SE-000288876</v>
      </c>
      <c r="D6488" s="1" t="s">
        <v>0</v>
      </c>
      <c r="E6488" s="2">
        <v>0</v>
      </c>
      <c r="F6488" s="2">
        <v>0</v>
      </c>
      <c r="G6488" s="2">
        <v>0</v>
      </c>
      <c r="H6488" s="1" t="s">
        <v>0</v>
      </c>
      <c r="I6488" s="2">
        <v>0</v>
      </c>
      <c r="J6488" s="1">
        <v>45951.432430555556</v>
      </c>
    </row>
    <row r="6489" spans="1:10" x14ac:dyDescent="0.2">
      <c r="A6489" s="4" t="s">
        <v>1</v>
      </c>
      <c r="B6489" s="3" t="str">
        <f>HYPERLINK("https://otsuka-europe-crm.veevavault.com/ui/#object/approved_document__v/V5OZ04ASG4FWKA8", "Approved Email Consent - 2")</f>
        <v>Approved Email Consent - 2</v>
      </c>
      <c r="C6489" s="3" t="str">
        <f>HYPERLINK("https://otsuka-europe-crm.veevavault.com/ui/#object/sent_email__v/VBLZ025E82HQJ9P", "SE-000289363")</f>
        <v>SE-000289363</v>
      </c>
      <c r="D6489" s="1">
        <v>45971.529050925928</v>
      </c>
      <c r="E6489" s="2">
        <v>1</v>
      </c>
      <c r="F6489" s="2">
        <v>2</v>
      </c>
      <c r="G6489" s="2">
        <v>1</v>
      </c>
      <c r="H6489" s="1">
        <v>45951.621550925927</v>
      </c>
      <c r="I6489" s="2">
        <v>1</v>
      </c>
      <c r="J6489" s="1">
        <v>45951.615185185183</v>
      </c>
    </row>
    <row r="6490" spans="1:10" x14ac:dyDescent="0.2">
      <c r="A6490" s="4" t="s">
        <v>1</v>
      </c>
      <c r="B6490" s="3" t="str">
        <f>HYPERLINK("https://otsuka-europe-crm.veevavault.com/ui/#object/approved_document__v/V5OZ04ASG4FWKA8", "Approved Email Consent - 2")</f>
        <v>Approved Email Consent - 2</v>
      </c>
      <c r="C6490" s="3" t="str">
        <f>HYPERLINK("https://otsuka-europe-crm.veevavault.com/ui/#object/sent_email__v/VBLZ025E82HRBA1", "SE-000290043")</f>
        <v>SE-000290043</v>
      </c>
      <c r="D6490" s="1">
        <v>45958.307951388888</v>
      </c>
      <c r="E6490" s="2">
        <v>1</v>
      </c>
      <c r="F6490" s="2">
        <v>1</v>
      </c>
      <c r="G6490" s="2">
        <v>1</v>
      </c>
      <c r="H6490" s="1">
        <v>45958.308518518519</v>
      </c>
      <c r="I6490" s="2">
        <v>1</v>
      </c>
      <c r="J6490" s="1">
        <v>45952.497916666667</v>
      </c>
    </row>
    <row r="6491" spans="1:10" x14ac:dyDescent="0.2">
      <c r="A6491" s="4" t="s">
        <v>1</v>
      </c>
      <c r="B6491" s="3" t="str">
        <f>HYPERLINK("https://otsuka-europe-crm.veevavault.com/ui/#object/approved_document__v/V5OZ04ASG4FWKA8", "Approved Email Consent - 2")</f>
        <v>Approved Email Consent - 2</v>
      </c>
      <c r="C6491" s="3" t="str">
        <f>HYPERLINK("https://otsuka-europe-crm.veevavault.com/ui/#object/sent_email__v/VBLZ025E82HRETT", "SE-000290073")</f>
        <v>SE-000290073</v>
      </c>
      <c r="D6491" s="1">
        <v>45952.686759259261</v>
      </c>
      <c r="E6491" s="2">
        <v>1</v>
      </c>
      <c r="F6491" s="2">
        <v>1</v>
      </c>
      <c r="G6491" s="2">
        <v>1</v>
      </c>
      <c r="H6491" s="1">
        <v>45952.686759259261</v>
      </c>
      <c r="I6491" s="2">
        <v>1</v>
      </c>
      <c r="J6491" s="1">
        <v>45952.551493055558</v>
      </c>
    </row>
    <row r="6492" spans="1:10" x14ac:dyDescent="0.2">
      <c r="A6492" s="4" t="s">
        <v>1</v>
      </c>
      <c r="B6492" s="3" t="str">
        <f>HYPERLINK("https://otsuka-europe-crm.veevavault.com/ui/#object/approved_document__v/V5OZ04ASG4FWKA8", "Approved Email Consent - 2")</f>
        <v>Approved Email Consent - 2</v>
      </c>
      <c r="C6492" s="3" t="str">
        <f>HYPERLINK("https://otsuka-europe-crm.veevavault.com/ui/#object/sent_email__v/VBLZ025E82HRF4Z", "SE-000290077")</f>
        <v>SE-000290077</v>
      </c>
      <c r="D6492" s="1">
        <v>45952.719710648147</v>
      </c>
      <c r="E6492" s="2">
        <v>1</v>
      </c>
      <c r="F6492" s="2">
        <v>2</v>
      </c>
      <c r="G6492" s="2">
        <v>1</v>
      </c>
      <c r="H6492" s="1">
        <v>45952.719756944447</v>
      </c>
      <c r="I6492" s="2">
        <v>1</v>
      </c>
      <c r="J6492" s="1">
        <v>45952.557106481479</v>
      </c>
    </row>
    <row r="6493" spans="1:10" x14ac:dyDescent="0.2">
      <c r="A6493" s="4" t="s">
        <v>1</v>
      </c>
      <c r="B6493" s="3" t="str">
        <f>HYPERLINK("https://otsuka-europe-crm.veevavault.com/ui/#object/approved_document__v/V5OZ04ASG4FWKA8", "Approved Email Consent - 2")</f>
        <v>Approved Email Consent - 2</v>
      </c>
      <c r="C6493" s="3" t="str">
        <f>HYPERLINK("https://otsuka-europe-crm.veevavault.com/ui/#object/sent_email__v/VBLZ025E82HS82N", "SE-000290307")</f>
        <v>SE-000290307</v>
      </c>
      <c r="D6493" s="1">
        <v>45953.570636574077</v>
      </c>
      <c r="E6493" s="2">
        <v>1</v>
      </c>
      <c r="F6493" s="2">
        <v>3</v>
      </c>
      <c r="G6493" s="2">
        <v>1</v>
      </c>
      <c r="H6493" s="1">
        <v>45953.582349537035</v>
      </c>
      <c r="I6493" s="2">
        <v>2</v>
      </c>
      <c r="J6493" s="1">
        <v>45953.433113425926</v>
      </c>
    </row>
    <row r="6494" spans="1:10" x14ac:dyDescent="0.2">
      <c r="A6494" s="4" t="s">
        <v>1</v>
      </c>
      <c r="B6494" s="3" t="str">
        <f>HYPERLINK("https://otsuka-europe-crm.veevavault.com/ui/#object/approved_document__v/V5OZ04ASG4FWKA8", "Approved Email Consent - 2")</f>
        <v>Approved Email Consent - 2</v>
      </c>
      <c r="C6494" s="3" t="str">
        <f>HYPERLINK("https://otsuka-europe-crm.veevavault.com/ui/#object/sent_email__v/VBLZ025E82HS8OV", "SE-000290311")</f>
        <v>SE-000290311</v>
      </c>
      <c r="D6494" s="1" t="s">
        <v>0</v>
      </c>
      <c r="E6494" s="2">
        <v>0</v>
      </c>
      <c r="F6494" s="2">
        <v>0</v>
      </c>
      <c r="G6494" s="2">
        <v>0</v>
      </c>
      <c r="H6494" s="1" t="s">
        <v>0</v>
      </c>
      <c r="I6494" s="2">
        <v>0</v>
      </c>
      <c r="J6494" s="1">
        <v>45953.437789351854</v>
      </c>
    </row>
    <row r="6495" spans="1:10" x14ac:dyDescent="0.2">
      <c r="A6495" s="4" t="s">
        <v>1</v>
      </c>
      <c r="B6495" s="3" t="str">
        <f>HYPERLINK("https://otsuka-europe-crm.veevavault.com/ui/#object/approved_document__v/V5OZ04ASG4FWKA8", "Approved Email Consent - 2")</f>
        <v>Approved Email Consent - 2</v>
      </c>
      <c r="C6495" s="3" t="str">
        <f>HYPERLINK("https://otsuka-europe-crm.veevavault.com/ui/#object/sent_email__v/VBLZ025E82HS8RL", "SE-000290312")</f>
        <v>SE-000290312</v>
      </c>
      <c r="D6495" s="1" t="s">
        <v>0</v>
      </c>
      <c r="E6495" s="2">
        <v>0</v>
      </c>
      <c r="F6495" s="2">
        <v>0</v>
      </c>
      <c r="G6495" s="2">
        <v>0</v>
      </c>
      <c r="H6495" s="1" t="s">
        <v>0</v>
      </c>
      <c r="I6495" s="2">
        <v>0</v>
      </c>
      <c r="J6495" s="1">
        <v>45953.43922453704</v>
      </c>
    </row>
    <row r="6496" spans="1:10" x14ac:dyDescent="0.2">
      <c r="A6496" s="4" t="s">
        <v>1</v>
      </c>
      <c r="B6496" s="3" t="str">
        <f>HYPERLINK("https://otsuka-europe-crm.veevavault.com/ui/#object/approved_document__v/V5OZ04ASG4FWKA8", "Approved Email Consent - 2")</f>
        <v>Approved Email Consent - 2</v>
      </c>
      <c r="C6496" s="3" t="str">
        <f>HYPERLINK("https://otsuka-europe-crm.veevavault.com/ui/#object/sent_email__v/VBLZ025E82HSD37", "SE-000290319")</f>
        <v>SE-000290319</v>
      </c>
      <c r="D6496" s="1" t="s">
        <v>0</v>
      </c>
      <c r="E6496" s="2">
        <v>0</v>
      </c>
      <c r="F6496" s="2">
        <v>0</v>
      </c>
      <c r="G6496" s="2">
        <v>0</v>
      </c>
      <c r="H6496" s="1" t="s">
        <v>0</v>
      </c>
      <c r="I6496" s="2">
        <v>0</v>
      </c>
      <c r="J6496" s="1">
        <v>45953.481377314813</v>
      </c>
    </row>
    <row r="6497" spans="1:10" x14ac:dyDescent="0.2">
      <c r="A6497" s="4" t="s">
        <v>1</v>
      </c>
      <c r="B6497" s="3" t="str">
        <f>HYPERLINK("https://otsuka-europe-crm.veevavault.com/ui/#object/approved_document__v/V5OZ04ASG4FWKA8", "Approved Email Consent - 2")</f>
        <v>Approved Email Consent - 2</v>
      </c>
      <c r="C6497" s="3" t="str">
        <f>HYPERLINK("https://otsuka-europe-crm.veevavault.com/ui/#object/sent_email__v/VBL000000001924", "SE-001378932")</f>
        <v>SE-001378932</v>
      </c>
      <c r="D6497" s="1">
        <v>45958.602083333331</v>
      </c>
      <c r="E6497" s="2">
        <v>1</v>
      </c>
      <c r="F6497" s="2">
        <v>1</v>
      </c>
      <c r="G6497" s="2">
        <v>1</v>
      </c>
      <c r="H6497" s="1">
        <v>45958.602523148147</v>
      </c>
      <c r="I6497" s="2">
        <v>2</v>
      </c>
      <c r="J6497" s="1">
        <v>45958.542488425926</v>
      </c>
    </row>
    <row r="6498" spans="1:10" x14ac:dyDescent="0.2">
      <c r="A6498" s="4" t="s">
        <v>1</v>
      </c>
      <c r="B6498" s="3" t="str">
        <f>HYPERLINK("https://otsuka-europe-crm.veevavault.com/ui/#object/approved_document__v/V5OZ04ASG4FWKA8", "Approved Email Consent - 2")</f>
        <v>Approved Email Consent - 2</v>
      </c>
      <c r="C6498" s="3" t="str">
        <f>HYPERLINK("https://otsuka-europe-crm.veevavault.com/ui/#object/sent_email__v/VBL000000002559", "SE-001379620")</f>
        <v>SE-001379620</v>
      </c>
      <c r="D6498" s="1">
        <v>45960.466736111113</v>
      </c>
      <c r="E6498" s="2">
        <v>1</v>
      </c>
      <c r="F6498" s="2">
        <v>1</v>
      </c>
      <c r="G6498" s="2">
        <v>1</v>
      </c>
      <c r="H6498" s="1">
        <v>45960.498645833337</v>
      </c>
      <c r="I6498" s="2">
        <v>3</v>
      </c>
      <c r="J6498" s="1">
        <v>45960.435844907406</v>
      </c>
    </row>
    <row r="6499" spans="1:10" x14ac:dyDescent="0.2">
      <c r="A6499" s="4" t="s">
        <v>1</v>
      </c>
      <c r="B6499" s="3" t="str">
        <f>HYPERLINK("https://otsuka-europe-crm.veevavault.com/ui/#object/approved_document__v/V5OZ04ASG4FWKA8", "Approved Email Consent - 2")</f>
        <v>Approved Email Consent - 2</v>
      </c>
      <c r="C6499" s="3" t="str">
        <f>HYPERLINK("https://otsuka-europe-crm.veevavault.com/ui/#object/sent_email__v/VBL000000003596", "SE-001379791")</f>
        <v>SE-001379791</v>
      </c>
      <c r="D6499" s="1">
        <v>45960.665567129632</v>
      </c>
      <c r="E6499" s="2">
        <v>1</v>
      </c>
      <c r="F6499" s="2">
        <v>1</v>
      </c>
      <c r="G6499" s="2">
        <v>1</v>
      </c>
      <c r="H6499" s="1">
        <v>45960.827268518522</v>
      </c>
      <c r="I6499" s="2">
        <v>2</v>
      </c>
      <c r="J6499" s="1">
        <v>45960.63653935185</v>
      </c>
    </row>
    <row r="6500" spans="1:10" x14ac:dyDescent="0.2">
      <c r="A6500" s="4" t="s">
        <v>1</v>
      </c>
      <c r="B6500" s="3" t="str">
        <f>HYPERLINK("https://otsuka-europe-crm.veevavault.com/ui/#object/approved_document__v/V5OZ04ASG4FWKA8", "Approved Email Consent - 2")</f>
        <v>Approved Email Consent - 2</v>
      </c>
      <c r="C6500" s="3" t="str">
        <f>HYPERLINK("https://otsuka-europe-crm.veevavault.com/ui/#object/sent_email__v/VBL000000005385", "SE-001380266")</f>
        <v>SE-001380266</v>
      </c>
      <c r="D6500" s="1">
        <v>45974.284131944441</v>
      </c>
      <c r="E6500" s="2">
        <v>1</v>
      </c>
      <c r="F6500" s="2">
        <v>4</v>
      </c>
      <c r="G6500" s="2">
        <v>1</v>
      </c>
      <c r="H6500" s="1">
        <v>45965.846273148149</v>
      </c>
      <c r="I6500" s="2">
        <v>4</v>
      </c>
      <c r="J6500" s="1">
        <v>45964.377546296295</v>
      </c>
    </row>
    <row r="6501" spans="1:10" x14ac:dyDescent="0.2">
      <c r="A6501" s="4" t="s">
        <v>1</v>
      </c>
      <c r="B6501" s="3" t="str">
        <f>HYPERLINK("https://otsuka-europe-crm.veevavault.com/ui/#object/approved_document__v/V5OZ04ASG4FWKA8", "Approved Email Consent - 2")</f>
        <v>Approved Email Consent - 2</v>
      </c>
      <c r="C6501" s="3" t="str">
        <f>HYPERLINK("https://otsuka-europe-crm.veevavault.com/ui/#object/sent_email__v/VBL000000004229", "SE-001380439")</f>
        <v>SE-001380439</v>
      </c>
      <c r="D6501" s="1">
        <v>45993.327893518515</v>
      </c>
      <c r="E6501" s="2">
        <v>1</v>
      </c>
      <c r="F6501" s="2">
        <v>3</v>
      </c>
      <c r="G6501" s="2">
        <v>1</v>
      </c>
      <c r="H6501" s="1">
        <v>45974.357314814813</v>
      </c>
      <c r="I6501" s="2">
        <v>2</v>
      </c>
      <c r="J6501" s="1">
        <v>45964.451504629629</v>
      </c>
    </row>
    <row r="6502" spans="1:10" x14ac:dyDescent="0.2">
      <c r="A6502" s="4" t="s">
        <v>1</v>
      </c>
      <c r="B6502" s="3" t="str">
        <f>HYPERLINK("https://otsuka-europe-crm.veevavault.com/ui/#object/approved_document__v/V5OZ04ASG4FWKA8", "Approved Email Consent - 2")</f>
        <v>Approved Email Consent - 2</v>
      </c>
      <c r="C6502" s="3" t="str">
        <f>HYPERLINK("https://otsuka-europe-crm.veevavault.com/ui/#object/sent_email__v/VBL000000004743", "SE-001381206")</f>
        <v>SE-001381206</v>
      </c>
      <c r="D6502" s="1">
        <v>45967.481377314813</v>
      </c>
      <c r="E6502" s="2">
        <v>1</v>
      </c>
      <c r="F6502" s="2">
        <v>2</v>
      </c>
      <c r="G6502" s="2">
        <v>1</v>
      </c>
      <c r="H6502" s="1">
        <v>45967.482754629629</v>
      </c>
      <c r="I6502" s="2">
        <v>2</v>
      </c>
      <c r="J6502" s="1">
        <v>45967.47996527778</v>
      </c>
    </row>
    <row r="6503" spans="1:10" x14ac:dyDescent="0.2">
      <c r="A6503" s="4" t="s">
        <v>1</v>
      </c>
      <c r="B6503" s="3" t="str">
        <f>HYPERLINK("https://otsuka-europe-crm.veevavault.com/ui/#object/approved_document__v/V5OZ04ASG4FWKA8", "Approved Email Consent - 2")</f>
        <v>Approved Email Consent - 2</v>
      </c>
      <c r="C6503" s="3" t="str">
        <f>HYPERLINK("https://otsuka-europe-crm.veevavault.com/ui/#object/sent_email__v/VBL000000008593", "SE-001381873")</f>
        <v>SE-001381873</v>
      </c>
      <c r="D6503" s="1">
        <v>45968.557847222219</v>
      </c>
      <c r="E6503" s="2">
        <v>1</v>
      </c>
      <c r="F6503" s="2">
        <v>1</v>
      </c>
      <c r="G6503" s="2">
        <v>0</v>
      </c>
      <c r="H6503" s="1" t="s">
        <v>0</v>
      </c>
      <c r="I6503" s="2">
        <v>0</v>
      </c>
      <c r="J6503" s="1">
        <v>45968.485173611109</v>
      </c>
    </row>
    <row r="6504" spans="1:10" x14ac:dyDescent="0.2">
      <c r="A6504" s="4" t="s">
        <v>1</v>
      </c>
      <c r="B6504" s="3" t="str">
        <f>HYPERLINK("https://otsuka-europe-crm.veevavault.com/ui/#object/approved_document__v/V5OZ04ASG4FWKA8", "Approved Email Consent - 2")</f>
        <v>Approved Email Consent - 2</v>
      </c>
      <c r="C6504" s="3" t="str">
        <f>HYPERLINK("https://otsuka-europe-crm.veevavault.com/ui/#object/sent_email__v/VBL000000008594", "SE-001381874")</f>
        <v>SE-001381874</v>
      </c>
      <c r="D6504" s="1">
        <v>45968.943333333336</v>
      </c>
      <c r="E6504" s="2">
        <v>1</v>
      </c>
      <c r="F6504" s="2">
        <v>1</v>
      </c>
      <c r="G6504" s="2">
        <v>1</v>
      </c>
      <c r="H6504" s="1">
        <v>45968.943333333336</v>
      </c>
      <c r="I6504" s="2">
        <v>1</v>
      </c>
      <c r="J6504" s="1">
        <v>45968.485497685186</v>
      </c>
    </row>
    <row r="6505" spans="1:10" x14ac:dyDescent="0.2">
      <c r="A6505" s="4" t="s">
        <v>1</v>
      </c>
      <c r="B6505" s="3" t="str">
        <f>HYPERLINK("https://otsuka-europe-crm.veevavault.com/ui/#object/approved_document__v/V5OZ04ASG4FWKA8", "Approved Email Consent - 2")</f>
        <v>Approved Email Consent - 2</v>
      </c>
      <c r="C6505" s="3" t="str">
        <f>HYPERLINK("https://otsuka-europe-crm.veevavault.com/ui/#object/sent_email__v/VBL000000008596", "SE-001381876")</f>
        <v>SE-001381876</v>
      </c>
      <c r="D6505" s="1">
        <v>45968.506469907406</v>
      </c>
      <c r="E6505" s="2">
        <v>1</v>
      </c>
      <c r="F6505" s="2">
        <v>1</v>
      </c>
      <c r="G6505" s="2">
        <v>1</v>
      </c>
      <c r="H6505" s="1">
        <v>45968.506585648145</v>
      </c>
      <c r="I6505" s="2">
        <v>1</v>
      </c>
      <c r="J6505" s="1">
        <v>45968.486134259256</v>
      </c>
    </row>
    <row r="6506" spans="1:10" x14ac:dyDescent="0.2">
      <c r="A6506" s="4" t="s">
        <v>1</v>
      </c>
      <c r="B6506" s="3" t="str">
        <f>HYPERLINK("https://otsuka-europe-crm.veevavault.com/ui/#object/approved_document__v/V5OZ04ASG4FWKA8", "Approved Email Consent - 2")</f>
        <v>Approved Email Consent - 2</v>
      </c>
      <c r="C6506" s="3" t="str">
        <f>HYPERLINK("https://otsuka-europe-crm.veevavault.com/ui/#object/sent_email__v/VBL000000008599", "SE-001381879")</f>
        <v>SE-001381879</v>
      </c>
      <c r="D6506" s="1">
        <v>45968.81517361111</v>
      </c>
      <c r="E6506" s="2">
        <v>1</v>
      </c>
      <c r="F6506" s="2">
        <v>1</v>
      </c>
      <c r="G6506" s="2">
        <v>1</v>
      </c>
      <c r="H6506" s="1">
        <v>45968.81517361111</v>
      </c>
      <c r="I6506" s="2">
        <v>1</v>
      </c>
      <c r="J6506" s="1">
        <v>45968.486516203702</v>
      </c>
    </row>
    <row r="6507" spans="1:10" x14ac:dyDescent="0.2">
      <c r="A6507" s="4" t="s">
        <v>1</v>
      </c>
      <c r="B6507" s="3" t="str">
        <f>HYPERLINK("https://otsuka-europe-crm.veevavault.com/ui/#object/approved_document__v/V5OZ04ASG4FWKA8", "Approved Email Consent - 2")</f>
        <v>Approved Email Consent - 2</v>
      </c>
      <c r="C6507" s="3" t="str">
        <f>HYPERLINK("https://otsuka-europe-crm.veevavault.com/ui/#object/sent_email__v/VBL00000000E606", "SE-001384232")</f>
        <v>SE-001384232</v>
      </c>
      <c r="D6507" s="1">
        <v>45979.39266203704</v>
      </c>
      <c r="E6507" s="2">
        <v>1</v>
      </c>
      <c r="F6507" s="2">
        <v>5</v>
      </c>
      <c r="G6507" s="2">
        <v>1</v>
      </c>
      <c r="H6507" s="1">
        <v>45979.393206018518</v>
      </c>
      <c r="I6507" s="2">
        <v>14</v>
      </c>
      <c r="J6507" s="1">
        <v>45971.517245370371</v>
      </c>
    </row>
    <row r="6508" spans="1:10" x14ac:dyDescent="0.2">
      <c r="A6508" s="4" t="s">
        <v>1</v>
      </c>
      <c r="B6508" s="3" t="str">
        <f>HYPERLINK("https://otsuka-europe-crm.veevavault.com/ui/#object/approved_document__v/V5OZ04ASG4FWKA8", "Approved Email Consent - 2")</f>
        <v>Approved Email Consent - 2</v>
      </c>
      <c r="C6508" s="3" t="str">
        <f>HYPERLINK("https://otsuka-europe-crm.veevavault.com/ui/#object/sent_email__v/VBL00000000G727", "SE-001386119")</f>
        <v>SE-001386119</v>
      </c>
      <c r="D6508" s="1" t="s">
        <v>0</v>
      </c>
      <c r="E6508" s="2">
        <v>0</v>
      </c>
      <c r="F6508" s="2">
        <v>0</v>
      </c>
      <c r="G6508" s="2">
        <v>0</v>
      </c>
      <c r="H6508" s="1" t="s">
        <v>0</v>
      </c>
      <c r="I6508" s="2">
        <v>0</v>
      </c>
      <c r="J6508" s="1">
        <v>45971.647951388892</v>
      </c>
    </row>
    <row r="6509" spans="1:10" x14ac:dyDescent="0.2">
      <c r="A6509" s="4" t="s">
        <v>1</v>
      </c>
      <c r="B6509" s="3" t="str">
        <f>HYPERLINK("https://otsuka-europe-crm.veevavault.com/ui/#object/approved_document__v/V5OZ04ASG4FWKA8", "Approved Email Consent - 2")</f>
        <v>Approved Email Consent - 2</v>
      </c>
      <c r="C6509" s="3" t="str">
        <f>HYPERLINK("https://otsuka-europe-crm.veevavault.com/ui/#object/sent_email__v/VBL00000000H070", "SE-001386461")</f>
        <v>SE-001386461</v>
      </c>
      <c r="D6509" s="1" t="s">
        <v>0</v>
      </c>
      <c r="E6509" s="2">
        <v>0</v>
      </c>
      <c r="F6509" s="2">
        <v>0</v>
      </c>
      <c r="G6509" s="2">
        <v>0</v>
      </c>
      <c r="H6509" s="1" t="s">
        <v>0</v>
      </c>
      <c r="I6509" s="2">
        <v>0</v>
      </c>
      <c r="J6509" s="1">
        <v>45971.662037037036</v>
      </c>
    </row>
    <row r="6510" spans="1:10" x14ac:dyDescent="0.2">
      <c r="A6510" s="4" t="s">
        <v>1</v>
      </c>
      <c r="B6510" s="3" t="str">
        <f>HYPERLINK("https://otsuka-europe-crm.veevavault.com/ui/#object/approved_document__v/V5OZ04ASG4FWKA8", "Approved Email Consent - 2")</f>
        <v>Approved Email Consent - 2</v>
      </c>
      <c r="C6510" s="3" t="str">
        <f>HYPERLINK("https://otsuka-europe-crm.veevavault.com/ui/#object/sent_email__v/VBL00000000F226", "SE-001386625")</f>
        <v>SE-001386625</v>
      </c>
      <c r="D6510" s="1">
        <v>45971.787743055553</v>
      </c>
      <c r="E6510" s="2">
        <v>1</v>
      </c>
      <c r="F6510" s="2">
        <v>2</v>
      </c>
      <c r="G6510" s="2">
        <v>1</v>
      </c>
      <c r="H6510" s="1">
        <v>45971.823321759257</v>
      </c>
      <c r="I6510" s="2">
        <v>2</v>
      </c>
      <c r="J6510" s="1">
        <v>45971.702233796299</v>
      </c>
    </row>
    <row r="6511" spans="1:10" x14ac:dyDescent="0.2">
      <c r="A6511" s="4" t="s">
        <v>1</v>
      </c>
      <c r="B6511" s="3" t="str">
        <f>HYPERLINK("https://otsuka-europe-crm.veevavault.com/ui/#object/approved_document__v/V5OZ04ASG4FWKA8", "Approved Email Consent - 2")</f>
        <v>Approved Email Consent - 2</v>
      </c>
      <c r="C6511" s="3" t="str">
        <f>HYPERLINK("https://otsuka-europe-crm.veevavault.com/ui/#object/sent_email__v/VBL00000000J956", "SE-001389498")</f>
        <v>SE-001389498</v>
      </c>
      <c r="D6511" s="1">
        <v>45973.485185185185</v>
      </c>
      <c r="E6511" s="2">
        <v>1</v>
      </c>
      <c r="F6511" s="2">
        <v>1</v>
      </c>
      <c r="G6511" s="2">
        <v>1</v>
      </c>
      <c r="H6511" s="1">
        <v>45973.485219907408</v>
      </c>
      <c r="I6511" s="2">
        <v>1</v>
      </c>
      <c r="J6511" s="1">
        <v>45973.442893518521</v>
      </c>
    </row>
    <row r="6512" spans="1:10" x14ac:dyDescent="0.2">
      <c r="A6512" s="4" t="s">
        <v>1</v>
      </c>
      <c r="B6512" s="3" t="str">
        <f>HYPERLINK("https://otsuka-europe-crm.veevavault.com/ui/#object/approved_document__v/V5OZ04ASG4FWKA8", "Approved Email Consent - 2")</f>
        <v>Approved Email Consent - 2</v>
      </c>
      <c r="C6512" s="3" t="str">
        <f>HYPERLINK("https://otsuka-europe-crm.veevavault.com/ui/#object/sent_email__v/VBL00000000N011", "SE-001389813")</f>
        <v>SE-001389813</v>
      </c>
      <c r="D6512" s="1" t="s">
        <v>0</v>
      </c>
      <c r="E6512" s="2">
        <v>0</v>
      </c>
      <c r="F6512" s="2">
        <v>0</v>
      </c>
      <c r="G6512" s="2">
        <v>0</v>
      </c>
      <c r="H6512" s="1" t="s">
        <v>0</v>
      </c>
      <c r="I6512" s="2">
        <v>0</v>
      </c>
      <c r="J6512" s="1">
        <v>45973.697812500002</v>
      </c>
    </row>
    <row r="6513" spans="1:10" x14ac:dyDescent="0.2">
      <c r="A6513" s="4" t="s">
        <v>1</v>
      </c>
      <c r="B6513" s="3" t="str">
        <f>HYPERLINK("https://otsuka-europe-crm.veevavault.com/ui/#object/approved_document__v/V5OZ04ASG4FWKA8", "Approved Email Consent - 2")</f>
        <v>Approved Email Consent - 2</v>
      </c>
      <c r="C6513" s="3" t="str">
        <f>HYPERLINK("https://otsuka-europe-crm.veevavault.com/ui/#object/sent_email__v/VBL00000000M936", "SE-001390228")</f>
        <v>SE-001390228</v>
      </c>
      <c r="D6513" s="1" t="s">
        <v>0</v>
      </c>
      <c r="E6513" s="2">
        <v>0</v>
      </c>
      <c r="F6513" s="2">
        <v>0</v>
      </c>
      <c r="G6513" s="2">
        <v>0</v>
      </c>
      <c r="H6513" s="1" t="s">
        <v>0</v>
      </c>
      <c r="I6513" s="2">
        <v>0</v>
      </c>
      <c r="J6513" s="1">
        <v>45974.71974537037</v>
      </c>
    </row>
    <row r="6514" spans="1:10" x14ac:dyDescent="0.2">
      <c r="A6514" s="4" t="s">
        <v>1</v>
      </c>
      <c r="B6514" s="3" t="str">
        <f>HYPERLINK("https://otsuka-europe-crm.veevavault.com/ui/#object/approved_document__v/V5OZ04ASG4FWKA8", "Approved Email Consent - 2")</f>
        <v>Approved Email Consent - 2</v>
      </c>
      <c r="C6514" s="3" t="str">
        <f>HYPERLINK("https://otsuka-europe-crm.veevavault.com/ui/#object/sent_email__v/VBL00000000O273", "SE-001390767")</f>
        <v>SE-001390767</v>
      </c>
      <c r="D6514" s="1" t="s">
        <v>0</v>
      </c>
      <c r="E6514" s="2">
        <v>0</v>
      </c>
      <c r="F6514" s="2">
        <v>0</v>
      </c>
      <c r="G6514" s="2">
        <v>0</v>
      </c>
      <c r="H6514" s="1" t="s">
        <v>0</v>
      </c>
      <c r="I6514" s="2">
        <v>0</v>
      </c>
      <c r="J6514" s="1">
        <v>45978.519386574073</v>
      </c>
    </row>
    <row r="6515" spans="1:10" x14ac:dyDescent="0.2">
      <c r="A6515" s="4" t="s">
        <v>1</v>
      </c>
      <c r="B6515" s="3" t="str">
        <f>HYPERLINK("https://otsuka-europe-crm.veevavault.com/ui/#object/approved_document__v/V5OZ04ASG4FWKA8", "Approved Email Consent - 2")</f>
        <v>Approved Email Consent - 2</v>
      </c>
      <c r="C6515" s="3" t="str">
        <f>HYPERLINK("https://otsuka-europe-crm.veevavault.com/ui/#object/sent_email__v/VBL00000000O274", "SE-001390769")</f>
        <v>SE-001390769</v>
      </c>
      <c r="D6515" s="1" t="s">
        <v>0</v>
      </c>
      <c r="E6515" s="2">
        <v>0</v>
      </c>
      <c r="F6515" s="2">
        <v>0</v>
      </c>
      <c r="G6515" s="2">
        <v>0</v>
      </c>
      <c r="H6515" s="1" t="s">
        <v>0</v>
      </c>
      <c r="I6515" s="2">
        <v>0</v>
      </c>
      <c r="J6515" s="1">
        <v>45978.519293981481</v>
      </c>
    </row>
    <row r="6516" spans="1:10" x14ac:dyDescent="0.2">
      <c r="A6516" s="4" t="s">
        <v>1</v>
      </c>
      <c r="B6516" s="3" t="str">
        <f>HYPERLINK("https://otsuka-europe-crm.veevavault.com/ui/#object/approved_document__v/V5OZ04ASG4FWKA8", "Approved Email Consent - 2")</f>
        <v>Approved Email Consent - 2</v>
      </c>
      <c r="C6516" s="3" t="str">
        <f>HYPERLINK("https://otsuka-europe-crm.veevavault.com/ui/#object/sent_email__v/VBL00000000O297", "SE-001390809")</f>
        <v>SE-001390809</v>
      </c>
      <c r="D6516" s="1">
        <v>45979.686192129629</v>
      </c>
      <c r="E6516" s="2">
        <v>1</v>
      </c>
      <c r="F6516" s="2">
        <v>1</v>
      </c>
      <c r="G6516" s="2">
        <v>0</v>
      </c>
      <c r="H6516" s="1" t="s">
        <v>0</v>
      </c>
      <c r="I6516" s="2">
        <v>0</v>
      </c>
      <c r="J6516" s="1">
        <v>45979.427523148152</v>
      </c>
    </row>
    <row r="6517" spans="1:10" x14ac:dyDescent="0.2">
      <c r="A6517" s="4" t="s">
        <v>1</v>
      </c>
      <c r="B6517" s="3" t="str">
        <f>HYPERLINK("https://otsuka-europe-crm.veevavault.com/ui/#object/approved_document__v/V5OZ04ASG4FWKA8", "Approved Email Consent - 2")</f>
        <v>Approved Email Consent - 2</v>
      </c>
      <c r="C6517" s="3" t="str">
        <f>HYPERLINK("https://otsuka-europe-crm.veevavault.com/ui/#object/sent_email__v/VBL00000000N545", "SE-001391039")</f>
        <v>SE-001391039</v>
      </c>
      <c r="D6517" s="1" t="s">
        <v>0</v>
      </c>
      <c r="E6517" s="2">
        <v>0</v>
      </c>
      <c r="F6517" s="2">
        <v>0</v>
      </c>
      <c r="G6517" s="2">
        <v>0</v>
      </c>
      <c r="H6517" s="1" t="s">
        <v>0</v>
      </c>
      <c r="I6517" s="2">
        <v>0</v>
      </c>
      <c r="J6517" s="1">
        <v>45979.584189814814</v>
      </c>
    </row>
    <row r="6518" spans="1:10" x14ac:dyDescent="0.2">
      <c r="A6518" s="4" t="s">
        <v>1</v>
      </c>
      <c r="B6518" s="3" t="str">
        <f>HYPERLINK("https://otsuka-europe-crm.veevavault.com/ui/#object/approved_document__v/V5OZ04ASG4FWKA8", "Approved Email Consent - 2")</f>
        <v>Approved Email Consent - 2</v>
      </c>
      <c r="C6518" s="3" t="str">
        <f>HYPERLINK("https://otsuka-europe-crm.veevavault.com/ui/#object/sent_email__v/VBL00000000N547", "SE-001391041")</f>
        <v>SE-001391041</v>
      </c>
      <c r="D6518" s="1">
        <v>45979.596817129626</v>
      </c>
      <c r="E6518" s="2">
        <v>1</v>
      </c>
      <c r="F6518" s="2">
        <v>1</v>
      </c>
      <c r="G6518" s="2">
        <v>1</v>
      </c>
      <c r="H6518" s="1">
        <v>45979.596817129626</v>
      </c>
      <c r="I6518" s="2">
        <v>1</v>
      </c>
      <c r="J6518" s="1">
        <v>45979.595000000001</v>
      </c>
    </row>
    <row r="6519" spans="1:10" x14ac:dyDescent="0.2">
      <c r="A6519" s="4" t="s">
        <v>1</v>
      </c>
      <c r="B6519" s="3" t="str">
        <f>HYPERLINK("https://otsuka-europe-crm.veevavault.com/ui/#object/approved_document__v/V5OZ04ASG4FWKA8", "Approved Email Consent - 2")</f>
        <v>Approved Email Consent - 2</v>
      </c>
      <c r="C6519" s="3" t="str">
        <f>HYPERLINK("https://otsuka-europe-crm.veevavault.com/ui/#object/sent_email__v/VBL00000000P083", "SE-001391299")</f>
        <v>SE-001391299</v>
      </c>
      <c r="D6519" s="1" t="s">
        <v>0</v>
      </c>
      <c r="E6519" s="2">
        <v>0</v>
      </c>
      <c r="F6519" s="2">
        <v>0</v>
      </c>
      <c r="G6519" s="2">
        <v>0</v>
      </c>
      <c r="H6519" s="1" t="s">
        <v>0</v>
      </c>
      <c r="I6519" s="2">
        <v>0</v>
      </c>
      <c r="J6519" s="1">
        <v>45980.64261574074</v>
      </c>
    </row>
    <row r="6520" spans="1:10" x14ac:dyDescent="0.2">
      <c r="A6520" s="4" t="s">
        <v>1</v>
      </c>
      <c r="B6520" s="3" t="str">
        <f>HYPERLINK("https://otsuka-europe-crm.veevavault.com/ui/#object/approved_document__v/V5OZ04ASG4FWKA8", "Approved Email Consent - 2")</f>
        <v>Approved Email Consent - 2</v>
      </c>
      <c r="C6520" s="3" t="str">
        <f>HYPERLINK("https://otsuka-europe-crm.veevavault.com/ui/#object/sent_email__v/VBL00000000P085", "SE-001391301")</f>
        <v>SE-001391301</v>
      </c>
      <c r="D6520" s="1" t="s">
        <v>0</v>
      </c>
      <c r="E6520" s="2">
        <v>0</v>
      </c>
      <c r="F6520" s="2">
        <v>0</v>
      </c>
      <c r="G6520" s="2">
        <v>0</v>
      </c>
      <c r="H6520" s="1" t="s">
        <v>0</v>
      </c>
      <c r="I6520" s="2">
        <v>0</v>
      </c>
      <c r="J6520" s="1">
        <v>45980.650937500002</v>
      </c>
    </row>
    <row r="6521" spans="1:10" x14ac:dyDescent="0.2">
      <c r="A6521" s="4" t="s">
        <v>1</v>
      </c>
      <c r="B6521" s="3" t="str">
        <f>HYPERLINK("https://otsuka-europe-crm.veevavault.com/ui/#object/approved_document__v/V5OZ04ASG4FWKA8", "Approved Email Consent - 2")</f>
        <v>Approved Email Consent - 2</v>
      </c>
      <c r="C6521" s="3" t="str">
        <f>HYPERLINK("https://otsuka-europe-crm.veevavault.com/ui/#object/sent_email__v/VBL00000000Q206", "SE-001391394")</f>
        <v>SE-001391394</v>
      </c>
      <c r="D6521" s="1">
        <v>45981.357824074075</v>
      </c>
      <c r="E6521" s="2">
        <v>1</v>
      </c>
      <c r="F6521" s="2">
        <v>1</v>
      </c>
      <c r="G6521" s="2">
        <v>1</v>
      </c>
      <c r="H6521" s="1">
        <v>45981.357835648145</v>
      </c>
      <c r="I6521" s="2">
        <v>2</v>
      </c>
      <c r="J6521" s="1">
        <v>45981.348194444443</v>
      </c>
    </row>
    <row r="6522" spans="1:10" x14ac:dyDescent="0.2">
      <c r="A6522" s="4" t="s">
        <v>1</v>
      </c>
      <c r="B6522" s="3" t="str">
        <f>HYPERLINK("https://otsuka-europe-crm.veevavault.com/ui/#object/approved_document__v/V5OZ04ASG4FWKA8", "Approved Email Consent - 2")</f>
        <v>Approved Email Consent - 2</v>
      </c>
      <c r="C6522" s="3" t="str">
        <f>HYPERLINK("https://otsuka-europe-crm.veevavault.com/ui/#object/sent_email__v/VBL00000000Q208", "SE-001391397")</f>
        <v>SE-001391397</v>
      </c>
      <c r="D6522" s="1">
        <v>46078.256863425922</v>
      </c>
      <c r="E6522" s="2">
        <v>1</v>
      </c>
      <c r="F6522" s="2">
        <v>4</v>
      </c>
      <c r="G6522" s="2">
        <v>1</v>
      </c>
      <c r="H6522" s="1">
        <v>45981.384618055556</v>
      </c>
      <c r="I6522" s="2">
        <v>2</v>
      </c>
      <c r="J6522" s="1">
        <v>45981.35056712963</v>
      </c>
    </row>
    <row r="6523" spans="1:10" x14ac:dyDescent="0.2">
      <c r="A6523" s="4" t="s">
        <v>1</v>
      </c>
      <c r="B6523" s="3" t="str">
        <f>HYPERLINK("https://otsuka-europe-crm.veevavault.com/ui/#object/approved_document__v/V5OZ04ASG4FWKA8", "Approved Email Consent - 2")</f>
        <v>Approved Email Consent - 2</v>
      </c>
      <c r="C6523" s="3" t="str">
        <f>HYPERLINK("https://otsuka-europe-crm.veevavault.com/ui/#object/sent_email__v/VBL00000000P124", "SE-001391435")</f>
        <v>SE-001391435</v>
      </c>
      <c r="D6523" s="1">
        <v>45988.44253472222</v>
      </c>
      <c r="E6523" s="2">
        <v>1</v>
      </c>
      <c r="F6523" s="2">
        <v>2</v>
      </c>
      <c r="G6523" s="2">
        <v>0</v>
      </c>
      <c r="H6523" s="1" t="s">
        <v>0</v>
      </c>
      <c r="I6523" s="2">
        <v>0</v>
      </c>
      <c r="J6523" s="1">
        <v>45981.674097222225</v>
      </c>
    </row>
    <row r="6524" spans="1:10" x14ac:dyDescent="0.2">
      <c r="A6524" s="4" t="s">
        <v>1</v>
      </c>
      <c r="B6524" s="3" t="str">
        <f>HYPERLINK("https://otsuka-europe-crm.veevavault.com/ui/#object/approved_document__v/V5OZ04ASG4FWKA8", "Approved Email Consent - 2")</f>
        <v>Approved Email Consent - 2</v>
      </c>
      <c r="C6524" s="3" t="str">
        <f>HYPERLINK("https://otsuka-europe-crm.veevavault.com/ui/#object/sent_email__v/VBL00000000Q249", "SE-001391476")</f>
        <v>SE-001391476</v>
      </c>
      <c r="D6524" s="1">
        <v>45982.442893518521</v>
      </c>
      <c r="E6524" s="2">
        <v>1</v>
      </c>
      <c r="F6524" s="2">
        <v>2</v>
      </c>
      <c r="G6524" s="2">
        <v>1</v>
      </c>
      <c r="H6524" s="1">
        <v>45982.443402777775</v>
      </c>
      <c r="I6524" s="2">
        <v>2</v>
      </c>
      <c r="J6524" s="1">
        <v>45982.325219907405</v>
      </c>
    </row>
    <row r="6525" spans="1:10" x14ac:dyDescent="0.2">
      <c r="A6525" s="4" t="s">
        <v>1</v>
      </c>
      <c r="B6525" s="3" t="str">
        <f>HYPERLINK("https://otsuka-europe-crm.veevavault.com/ui/#object/approved_document__v/V5OZ04ASG4FWKA8", "Approved Email Consent - 2")</f>
        <v>Approved Email Consent - 2</v>
      </c>
      <c r="C6525" s="3" t="str">
        <f>HYPERLINK("https://otsuka-europe-crm.veevavault.com/ui/#object/sent_email__v/VBL00000000S015", "SE-001391580")</f>
        <v>SE-001391580</v>
      </c>
      <c r="D6525" s="1">
        <v>45984.794930555552</v>
      </c>
      <c r="E6525" s="2">
        <v>1</v>
      </c>
      <c r="F6525" s="2">
        <v>2</v>
      </c>
      <c r="G6525" s="2">
        <v>1</v>
      </c>
      <c r="H6525" s="1">
        <v>45984.795057870368</v>
      </c>
      <c r="I6525" s="2">
        <v>1</v>
      </c>
      <c r="J6525" s="1">
        <v>45984.789201388892</v>
      </c>
    </row>
    <row r="6526" spans="1:10" x14ac:dyDescent="0.2">
      <c r="A6526" s="4" t="s">
        <v>1</v>
      </c>
      <c r="B6526" s="3" t="str">
        <f>HYPERLINK("https://otsuka-europe-crm.veevavault.com/ui/#object/approved_document__v/V5OZ04ASG4FWKA8", "Approved Email Consent - 2")</f>
        <v>Approved Email Consent - 2</v>
      </c>
      <c r="C6526" s="3" t="str">
        <f>HYPERLINK("https://otsuka-europe-crm.veevavault.com/ui/#object/sent_email__v/VBL00000000R126", "SE-001391694")</f>
        <v>SE-001391694</v>
      </c>
      <c r="D6526" s="1">
        <v>46012.908159722225</v>
      </c>
      <c r="E6526" s="2">
        <v>1</v>
      </c>
      <c r="F6526" s="2">
        <v>6</v>
      </c>
      <c r="G6526" s="2">
        <v>1</v>
      </c>
      <c r="H6526" s="1">
        <v>45985.52270833333</v>
      </c>
      <c r="I6526" s="2">
        <v>1</v>
      </c>
      <c r="J6526" s="1">
        <v>45985.428263888891</v>
      </c>
    </row>
    <row r="6527" spans="1:10" x14ac:dyDescent="0.2">
      <c r="A6527" s="4" t="s">
        <v>1</v>
      </c>
      <c r="B6527" s="3" t="str">
        <f>HYPERLINK("https://otsuka-europe-crm.veevavault.com/ui/#object/approved_document__v/V5OZ04ASG4FWKA8", "Approved Email Consent - 2")</f>
        <v>Approved Email Consent - 2</v>
      </c>
      <c r="C6527" s="3" t="str">
        <f>HYPERLINK("https://otsuka-europe-crm.veevavault.com/ui/#object/sent_email__v/VBL00000000R136", "SE-001391707")</f>
        <v>SE-001391707</v>
      </c>
      <c r="D6527" s="1" t="s">
        <v>0</v>
      </c>
      <c r="E6527" s="2">
        <v>0</v>
      </c>
      <c r="F6527" s="2">
        <v>0</v>
      </c>
      <c r="G6527" s="2">
        <v>0</v>
      </c>
      <c r="H6527" s="1" t="s">
        <v>0</v>
      </c>
      <c r="I6527" s="2">
        <v>0</v>
      </c>
      <c r="J6527" s="1">
        <v>45985.441979166666</v>
      </c>
    </row>
    <row r="6528" spans="1:10" x14ac:dyDescent="0.2">
      <c r="A6528" s="4" t="s">
        <v>1</v>
      </c>
      <c r="B6528" s="3" t="str">
        <f>HYPERLINK("https://otsuka-europe-crm.veevavault.com/ui/#object/approved_document__v/V5OZ04ASG4FWKA8", "Approved Email Consent - 2")</f>
        <v>Approved Email Consent - 2</v>
      </c>
      <c r="C6528" s="3" t="str">
        <f>HYPERLINK("https://otsuka-europe-crm.veevavault.com/ui/#object/sent_email__v/VBL00000000S060", "SE-001391778")</f>
        <v>SE-001391778</v>
      </c>
      <c r="D6528" s="1">
        <v>45986.61278935185</v>
      </c>
      <c r="E6528" s="2">
        <v>1</v>
      </c>
      <c r="F6528" s="2">
        <v>4</v>
      </c>
      <c r="G6528" s="2">
        <v>1</v>
      </c>
      <c r="H6528" s="1">
        <v>45986.612199074072</v>
      </c>
      <c r="I6528" s="2">
        <v>3</v>
      </c>
      <c r="J6528" s="1">
        <v>45985.541250000002</v>
      </c>
    </row>
    <row r="6529" spans="1:10" x14ac:dyDescent="0.2">
      <c r="A6529" s="4" t="s">
        <v>1</v>
      </c>
      <c r="B6529" s="3" t="str">
        <f>HYPERLINK("https://otsuka-europe-crm.veevavault.com/ui/#object/approved_document__v/V5OZ04ASG4FWKA8", "Approved Email Consent - 2")</f>
        <v>Approved Email Consent - 2</v>
      </c>
      <c r="C6529" s="3" t="str">
        <f>HYPERLINK("https://otsuka-europe-crm.veevavault.com/ui/#object/sent_email__v/VBL00000000S135", "SE-001391930")</f>
        <v>SE-001391930</v>
      </c>
      <c r="D6529" s="1">
        <v>45988.039479166669</v>
      </c>
      <c r="E6529" s="2">
        <v>1</v>
      </c>
      <c r="F6529" s="2">
        <v>2</v>
      </c>
      <c r="G6529" s="2">
        <v>1</v>
      </c>
      <c r="H6529" s="1">
        <v>45988.039305555554</v>
      </c>
      <c r="I6529" s="2">
        <v>1</v>
      </c>
      <c r="J6529" s="1">
        <v>45987.429826388892</v>
      </c>
    </row>
    <row r="6530" spans="1:10" x14ac:dyDescent="0.2">
      <c r="A6530" s="4" t="s">
        <v>1</v>
      </c>
      <c r="B6530" s="3" t="str">
        <f>HYPERLINK("https://otsuka-europe-crm.veevavault.com/ui/#object/approved_document__v/V5OZ04ASG4FWKA8", "Approved Email Consent - 2")</f>
        <v>Approved Email Consent - 2</v>
      </c>
      <c r="C6530" s="3" t="str">
        <f>HYPERLINK("https://otsuka-europe-crm.veevavault.com/ui/#object/sent_email__v/VBL00000000S192", "SE-001391995")</f>
        <v>SE-001391995</v>
      </c>
      <c r="D6530" s="1">
        <v>45991.762638888889</v>
      </c>
      <c r="E6530" s="2">
        <v>1</v>
      </c>
      <c r="F6530" s="2">
        <v>2</v>
      </c>
      <c r="G6530" s="2">
        <v>0</v>
      </c>
      <c r="H6530" s="1" t="s">
        <v>0</v>
      </c>
      <c r="I6530" s="2">
        <v>0</v>
      </c>
      <c r="J6530" s="1">
        <v>45988.432476851849</v>
      </c>
    </row>
    <row r="6531" spans="1:10" x14ac:dyDescent="0.2">
      <c r="A6531" s="4" t="s">
        <v>1</v>
      </c>
      <c r="B6531" s="3" t="str">
        <f>HYPERLINK("https://otsuka-europe-crm.veevavault.com/ui/#object/approved_document__v/V5OZ04ASG4FWKA8", "Approved Email Consent - 2")</f>
        <v>Approved Email Consent - 2</v>
      </c>
      <c r="C6531" s="3" t="str">
        <f>HYPERLINK("https://otsuka-europe-crm.veevavault.com/ui/#object/sent_email__v/VBL00000000S210", "SE-001392029")</f>
        <v>SE-001392029</v>
      </c>
      <c r="D6531" s="1">
        <v>45996.782407407409</v>
      </c>
      <c r="E6531" s="2">
        <v>1</v>
      </c>
      <c r="F6531" s="2">
        <v>2</v>
      </c>
      <c r="G6531" s="2">
        <v>0</v>
      </c>
      <c r="H6531" s="1" t="s">
        <v>0</v>
      </c>
      <c r="I6531" s="2">
        <v>0</v>
      </c>
      <c r="J6531" s="1">
        <v>45988.802476851852</v>
      </c>
    </row>
    <row r="6532" spans="1:10" x14ac:dyDescent="0.2">
      <c r="A6532" s="4" t="s">
        <v>1</v>
      </c>
      <c r="B6532" s="3" t="str">
        <f>HYPERLINK("https://otsuka-europe-crm.veevavault.com/ui/#object/approved_document__v/V5OZ04ASG4FWKA8", "Approved Email Consent - 2")</f>
        <v>Approved Email Consent - 2</v>
      </c>
      <c r="C6532" s="3" t="str">
        <f>HYPERLINK("https://otsuka-europe-crm.veevavault.com/ui/#object/sent_email__v/VBL00000000U212", "SE-001394622")</f>
        <v>SE-001394622</v>
      </c>
      <c r="D6532" s="1" t="s">
        <v>0</v>
      </c>
      <c r="E6532" s="2">
        <v>0</v>
      </c>
      <c r="F6532" s="2">
        <v>0</v>
      </c>
      <c r="G6532" s="2">
        <v>0</v>
      </c>
      <c r="H6532" s="1" t="s">
        <v>0</v>
      </c>
      <c r="I6532" s="2">
        <v>0</v>
      </c>
      <c r="J6532" s="1">
        <v>45993.536122685182</v>
      </c>
    </row>
    <row r="6533" spans="1:10" x14ac:dyDescent="0.2">
      <c r="A6533" s="4" t="s">
        <v>1</v>
      </c>
      <c r="B6533" s="3" t="str">
        <f>HYPERLINK("https://otsuka-europe-crm.veevavault.com/ui/#object/approved_document__v/V5OZ04ASG4FWKA8", "Approved Email Consent - 2")</f>
        <v>Approved Email Consent - 2</v>
      </c>
      <c r="C6533" s="3" t="str">
        <f>HYPERLINK("https://otsuka-europe-crm.veevavault.com/ui/#object/sent_email__v/VBL00000000V084", "SE-001394863")</f>
        <v>SE-001394863</v>
      </c>
      <c r="D6533" s="1" t="s">
        <v>0</v>
      </c>
      <c r="E6533" s="2">
        <v>0</v>
      </c>
      <c r="F6533" s="2">
        <v>0</v>
      </c>
      <c r="G6533" s="2">
        <v>0</v>
      </c>
      <c r="H6533" s="1" t="s">
        <v>0</v>
      </c>
      <c r="I6533" s="2">
        <v>0</v>
      </c>
      <c r="J6533" s="1">
        <v>45994.617812500001</v>
      </c>
    </row>
    <row r="6534" spans="1:10" x14ac:dyDescent="0.2">
      <c r="A6534" s="4" t="s">
        <v>1</v>
      </c>
      <c r="B6534" s="3" t="str">
        <f>HYPERLINK("https://otsuka-europe-crm.veevavault.com/ui/#object/approved_document__v/V5OZ04ASG4FWKA8", "Approved Email Consent - 2")</f>
        <v>Approved Email Consent - 2</v>
      </c>
      <c r="C6534" s="3" t="str">
        <f>HYPERLINK("https://otsuka-europe-crm.veevavault.com/ui/#object/sent_email__v/VBL00000000X109", "SE-001395600")</f>
        <v>SE-001395600</v>
      </c>
      <c r="D6534" s="1">
        <v>45996.520509259259</v>
      </c>
      <c r="E6534" s="2">
        <v>1</v>
      </c>
      <c r="F6534" s="2">
        <v>1</v>
      </c>
      <c r="G6534" s="2">
        <v>1</v>
      </c>
      <c r="H6534" s="1">
        <v>45996.520509259259</v>
      </c>
      <c r="I6534" s="2">
        <v>1</v>
      </c>
      <c r="J6534" s="1">
        <v>45996.436030092591</v>
      </c>
    </row>
    <row r="6535" spans="1:10" x14ac:dyDescent="0.2">
      <c r="A6535" s="4" t="s">
        <v>1</v>
      </c>
      <c r="B6535" s="3" t="str">
        <f>HYPERLINK("https://otsuka-europe-crm.veevavault.com/ui/#object/approved_document__v/V5OZ04ASG4FWKA8", "Approved Email Consent - 2")</f>
        <v>Approved Email Consent - 2</v>
      </c>
      <c r="C6535" s="3" t="str">
        <f>HYPERLINK("https://otsuka-europe-crm.veevavault.com/ui/#object/sent_email__v/VBL00000000X280", "SE-001395954")</f>
        <v>SE-001395954</v>
      </c>
      <c r="D6535" s="1" t="s">
        <v>0</v>
      </c>
      <c r="E6535" s="2">
        <v>0</v>
      </c>
      <c r="F6535" s="2">
        <v>0</v>
      </c>
      <c r="G6535" s="2">
        <v>0</v>
      </c>
      <c r="H6535" s="1" t="s">
        <v>0</v>
      </c>
      <c r="I6535" s="2">
        <v>0</v>
      </c>
      <c r="J6535" s="1">
        <v>46000.49664351852</v>
      </c>
    </row>
    <row r="6536" spans="1:10" x14ac:dyDescent="0.2">
      <c r="A6536" s="4" t="s">
        <v>1</v>
      </c>
      <c r="B6536" s="3" t="str">
        <f>HYPERLINK("https://otsuka-europe-crm.veevavault.com/ui/#object/approved_document__v/V5OZ04ASG4FWKA8", "Approved Email Consent - 2")</f>
        <v>Approved Email Consent - 2</v>
      </c>
      <c r="C6536" s="3" t="str">
        <f>HYPERLINK("https://otsuka-europe-crm.veevavault.com/ui/#object/sent_email__v/VBL00000000X281", "SE-001395955")</f>
        <v>SE-001395955</v>
      </c>
      <c r="D6536" s="1" t="s">
        <v>0</v>
      </c>
      <c r="E6536" s="2">
        <v>0</v>
      </c>
      <c r="F6536" s="2">
        <v>0</v>
      </c>
      <c r="G6536" s="2">
        <v>0</v>
      </c>
      <c r="H6536" s="1" t="s">
        <v>0</v>
      </c>
      <c r="I6536" s="2">
        <v>0</v>
      </c>
      <c r="J6536" s="1">
        <v>46000.496828703705</v>
      </c>
    </row>
    <row r="6537" spans="1:10" x14ac:dyDescent="0.2">
      <c r="A6537" s="4" t="s">
        <v>1</v>
      </c>
      <c r="B6537" s="3" t="str">
        <f>HYPERLINK("https://otsuka-europe-crm.veevavault.com/ui/#object/approved_document__v/V5OZ04ASG4FWKA8", "Approved Email Consent - 2")</f>
        <v>Approved Email Consent - 2</v>
      </c>
      <c r="C6537" s="3" t="str">
        <f>HYPERLINK("https://otsuka-europe-crm.veevavault.com/ui/#object/sent_email__v/VBL00000000X282", "SE-001395956")</f>
        <v>SE-001395956</v>
      </c>
      <c r="D6537" s="1">
        <v>46037.548159722224</v>
      </c>
      <c r="E6537" s="2">
        <v>1</v>
      </c>
      <c r="F6537" s="2">
        <v>11</v>
      </c>
      <c r="G6537" s="2">
        <v>1</v>
      </c>
      <c r="H6537" s="1">
        <v>46000.499259259261</v>
      </c>
      <c r="I6537" s="2">
        <v>1</v>
      </c>
      <c r="J6537" s="1">
        <v>46000.496979166666</v>
      </c>
    </row>
    <row r="6538" spans="1:10" x14ac:dyDescent="0.2">
      <c r="A6538" s="4" t="s">
        <v>1</v>
      </c>
      <c r="B6538" s="3" t="str">
        <f>HYPERLINK("https://otsuka-europe-crm.veevavault.com/ui/#object/approved_document__v/V5OZ04ASG4FWKA8", "Approved Email Consent - 2")</f>
        <v>Approved Email Consent - 2</v>
      </c>
      <c r="C6538" s="3" t="str">
        <f>HYPERLINK("https://otsuka-europe-crm.veevavault.com/ui/#object/sent_email__v/VBL00000000W209", "SE-001395957")</f>
        <v>SE-001395957</v>
      </c>
      <c r="D6538" s="1" t="s">
        <v>0</v>
      </c>
      <c r="E6538" s="2">
        <v>0</v>
      </c>
      <c r="F6538" s="2">
        <v>0</v>
      </c>
      <c r="G6538" s="2">
        <v>0</v>
      </c>
      <c r="H6538" s="1" t="s">
        <v>0</v>
      </c>
      <c r="I6538" s="2">
        <v>0</v>
      </c>
      <c r="J6538" s="1">
        <v>46000.499791666669</v>
      </c>
    </row>
    <row r="6539" spans="1:10" x14ac:dyDescent="0.2">
      <c r="A6539" s="4" t="s">
        <v>1</v>
      </c>
      <c r="B6539" s="3" t="str">
        <f>HYPERLINK("https://otsuka-europe-crm.veevavault.com/ui/#object/approved_document__v/V5OZ04ASG4FWKA8", "Approved Email Consent - 2")</f>
        <v>Approved Email Consent - 2</v>
      </c>
      <c r="C6539" s="3" t="str">
        <f>HYPERLINK("https://otsuka-europe-crm.veevavault.com/ui/#object/sent_email__v/VBL00000000X284", "SE-001395959")</f>
        <v>SE-001395959</v>
      </c>
      <c r="D6539" s="1">
        <v>46024.030023148145</v>
      </c>
      <c r="E6539" s="2">
        <v>1</v>
      </c>
      <c r="F6539" s="2">
        <v>4</v>
      </c>
      <c r="G6539" s="2">
        <v>1</v>
      </c>
      <c r="H6539" s="1">
        <v>46000.630648148152</v>
      </c>
      <c r="I6539" s="2">
        <v>1</v>
      </c>
      <c r="J6539" s="1">
        <v>46000.501087962963</v>
      </c>
    </row>
    <row r="6540" spans="1:10" x14ac:dyDescent="0.2">
      <c r="A6540" s="4" t="s">
        <v>1</v>
      </c>
      <c r="B6540" s="3" t="str">
        <f>HYPERLINK("https://otsuka-europe-crm.veevavault.com/ui/#object/approved_document__v/V5OZ04ASG4FWKA8", "Approved Email Consent - 2")</f>
        <v>Approved Email Consent - 2</v>
      </c>
      <c r="C6540" s="3" t="str">
        <f>HYPERLINK("https://otsuka-europe-crm.veevavault.com/ui/#object/sent_email__v/VBL000000010015", "SE-001396623")</f>
        <v>SE-001396623</v>
      </c>
      <c r="D6540" s="1" t="s">
        <v>0</v>
      </c>
      <c r="E6540" s="2">
        <v>0</v>
      </c>
      <c r="F6540" s="2">
        <v>0</v>
      </c>
      <c r="G6540" s="2">
        <v>0</v>
      </c>
      <c r="H6540" s="1" t="s">
        <v>0</v>
      </c>
      <c r="I6540" s="2">
        <v>0</v>
      </c>
      <c r="J6540" s="1">
        <v>46006.300798611112</v>
      </c>
    </row>
    <row r="6541" spans="1:10" x14ac:dyDescent="0.2">
      <c r="A6541" s="4" t="s">
        <v>1</v>
      </c>
      <c r="B6541" s="3" t="str">
        <f>HYPERLINK("https://otsuka-europe-crm.veevavault.com/ui/#object/approved_document__v/V5OZ04ASG4FWKA8", "Approved Email Consent - 2")</f>
        <v>Approved Email Consent - 2</v>
      </c>
      <c r="C6541" s="3" t="str">
        <f>HYPERLINK("https://otsuka-europe-crm.veevavault.com/ui/#object/sent_email__v/VBL000000011014", "SE-001396626")</f>
        <v>SE-001396626</v>
      </c>
      <c r="D6541" s="1" t="s">
        <v>0</v>
      </c>
      <c r="E6541" s="2">
        <v>0</v>
      </c>
      <c r="F6541" s="2">
        <v>0</v>
      </c>
      <c r="G6541" s="2">
        <v>0</v>
      </c>
      <c r="H6541" s="1" t="s">
        <v>0</v>
      </c>
      <c r="I6541" s="2">
        <v>0</v>
      </c>
      <c r="J6541" s="1">
        <v>46006.302025462966</v>
      </c>
    </row>
    <row r="6542" spans="1:10" x14ac:dyDescent="0.2">
      <c r="A6542" s="4" t="s">
        <v>1</v>
      </c>
      <c r="B6542" s="3" t="str">
        <f>HYPERLINK("https://otsuka-europe-crm.veevavault.com/ui/#object/approved_document__v/V5O00000000T001", "CNS - Porfolio Otsuka")</f>
        <v>CNS - Porfolio Otsuka</v>
      </c>
      <c r="C6542" s="3" t="str">
        <f>HYPERLINK("https://otsuka-europe-crm.veevavault.com/ui/#object/sent_email__v/VBL00000001G099", "SE-001405268")</f>
        <v>SE-001405268</v>
      </c>
      <c r="D6542" s="1" t="s">
        <v>0</v>
      </c>
      <c r="E6542" s="2">
        <v>0</v>
      </c>
      <c r="F6542" s="2">
        <v>0</v>
      </c>
      <c r="G6542" s="2">
        <v>0</v>
      </c>
      <c r="H6542" s="1" t="s">
        <v>0</v>
      </c>
      <c r="I6542" s="2">
        <v>0</v>
      </c>
      <c r="J6542" s="1">
        <v>46073.455462962964</v>
      </c>
    </row>
    <row r="6543" spans="1:10" x14ac:dyDescent="0.2">
      <c r="A6543" s="4" t="s">
        <v>1</v>
      </c>
      <c r="B6543" s="3" t="str">
        <f>HYPERLINK("https://otsuka-europe-crm.veevavault.com/ui/#object/approved_document__v/V5O00000000T001", "CNS - Porfolio Otsuka")</f>
        <v>CNS - Porfolio Otsuka</v>
      </c>
      <c r="C6543" s="3" t="str">
        <f>HYPERLINK("https://otsuka-europe-crm.veevavault.com/ui/#object/sent_email__v/VBL00000001G459", "SE-001405741")</f>
        <v>SE-001405741</v>
      </c>
      <c r="D6543" s="1" t="s">
        <v>0</v>
      </c>
      <c r="E6543" s="2">
        <v>0</v>
      </c>
      <c r="F6543" s="2">
        <v>0</v>
      </c>
      <c r="G6543" s="2">
        <v>0</v>
      </c>
      <c r="H6543" s="1" t="s">
        <v>0</v>
      </c>
      <c r="I6543" s="2">
        <v>0</v>
      </c>
      <c r="J6543" s="1">
        <v>46076.643692129626</v>
      </c>
    </row>
    <row r="6544" spans="1:10" x14ac:dyDescent="0.2">
      <c r="A6544" s="4" t="s">
        <v>1</v>
      </c>
      <c r="B6544" s="3" t="str">
        <f>HYPERLINK("https://otsuka-europe-crm.veevavault.com/ui/#object/approved_document__v/V5O00000000T001", "CNS - Porfolio Otsuka")</f>
        <v>CNS - Porfolio Otsuka</v>
      </c>
      <c r="C6544" s="3" t="str">
        <f>HYPERLINK("https://otsuka-europe-crm.veevavault.com/ui/#object/sent_email__v/VBL00000001G460", "SE-001405742")</f>
        <v>SE-001405742</v>
      </c>
      <c r="D6544" s="1">
        <v>46076.766423611109</v>
      </c>
      <c r="E6544" s="2">
        <v>1</v>
      </c>
      <c r="F6544" s="2">
        <v>2</v>
      </c>
      <c r="G6544" s="2">
        <v>0</v>
      </c>
      <c r="H6544" s="1" t="s">
        <v>0</v>
      </c>
      <c r="I6544" s="2">
        <v>0</v>
      </c>
      <c r="J6544" s="1">
        <v>46076.643912037034</v>
      </c>
    </row>
    <row r="6545" spans="1:10" x14ac:dyDescent="0.2">
      <c r="A6545" s="4" t="s">
        <v>1</v>
      </c>
      <c r="B6545" s="3" t="str">
        <f>HYPERLINK("https://otsuka-europe-crm.veevavault.com/ui/#object/approved_document__v/V5O00000000T001", "CNS - Porfolio Otsuka")</f>
        <v>CNS - Porfolio Otsuka</v>
      </c>
      <c r="C6545" s="3" t="str">
        <f>HYPERLINK("https://otsuka-europe-crm.veevavault.com/ui/#object/sent_email__v/VBL00000001G461", "SE-001405744")</f>
        <v>SE-001405744</v>
      </c>
      <c r="D6545" s="1">
        <v>46078.085914351854</v>
      </c>
      <c r="E6545" s="2">
        <v>1</v>
      </c>
      <c r="F6545" s="2">
        <v>2</v>
      </c>
      <c r="G6545" s="2">
        <v>0</v>
      </c>
      <c r="H6545" s="1" t="s">
        <v>0</v>
      </c>
      <c r="I6545" s="2">
        <v>0</v>
      </c>
      <c r="J6545" s="1">
        <v>46076.64434027778</v>
      </c>
    </row>
    <row r="6546" spans="1:10" x14ac:dyDescent="0.2">
      <c r="A6546" s="4" t="s">
        <v>1</v>
      </c>
      <c r="B6546" s="3" t="str">
        <f>HYPERLINK("https://otsuka-europe-crm.veevavault.com/ui/#object/approved_document__v/V5OZ04ASG4FWKA9", "Documento Autorizaciขn Centro Empleador")</f>
        <v>Documento Autorizaciขn Centro Empleador</v>
      </c>
      <c r="C6546" s="3" t="str">
        <f>HYPERLINK("https://otsuka-europe-crm.veevavault.com/ui/#object/sent_email__v/VBLZ025E82GBFOP", "SE-000254898")</f>
        <v>SE-000254898</v>
      </c>
      <c r="D6546" s="1" t="s">
        <v>0</v>
      </c>
      <c r="E6546" s="2">
        <v>0</v>
      </c>
      <c r="F6546" s="2">
        <v>0</v>
      </c>
      <c r="G6546" s="2">
        <v>0</v>
      </c>
      <c r="H6546" s="1" t="s">
        <v>0</v>
      </c>
      <c r="I6546" s="2">
        <v>0</v>
      </c>
      <c r="J6546" s="1">
        <v>45901.322511574072</v>
      </c>
    </row>
    <row r="6547" spans="1:10" x14ac:dyDescent="0.2">
      <c r="A6547" s="4" t="s">
        <v>1</v>
      </c>
      <c r="B6547" s="3" t="str">
        <f>HYPERLINK("https://otsuka-europe-crm.veevavault.com/ui/#object/approved_document__v/V5OZ04ASG4FWKA9", "Documento Autorizaciขn Centro Empleador")</f>
        <v>Documento Autorizaciขn Centro Empleador</v>
      </c>
      <c r="C6547" s="3" t="str">
        <f>HYPERLINK("https://otsuka-europe-crm.veevavault.com/ui/#object/sent_email__v/VBLZ025E82GBL0D", "SE-000254903")</f>
        <v>SE-000254903</v>
      </c>
      <c r="D6547" s="1">
        <v>45902.567037037035</v>
      </c>
      <c r="E6547" s="2">
        <v>1</v>
      </c>
      <c r="F6547" s="2">
        <v>3</v>
      </c>
      <c r="G6547" s="2">
        <v>0</v>
      </c>
      <c r="H6547" s="1" t="s">
        <v>0</v>
      </c>
      <c r="I6547" s="2">
        <v>0</v>
      </c>
      <c r="J6547" s="1">
        <v>45901.417997685188</v>
      </c>
    </row>
    <row r="6548" spans="1:10" x14ac:dyDescent="0.2">
      <c r="A6548" s="4" t="s">
        <v>1</v>
      </c>
      <c r="B6548" s="3" t="str">
        <f>HYPERLINK("https://otsuka-europe-crm.veevavault.com/ui/#object/approved_document__v/V5OZ04ASG4FWKA9", "Documento Autorizaciขn Centro Empleador")</f>
        <v>Documento Autorizaciขn Centro Empleador</v>
      </c>
      <c r="C6548" s="3" t="str">
        <f>HYPERLINK("https://otsuka-europe-crm.veevavault.com/ui/#object/sent_email__v/VBLZ025E82GDANV", "SE-000255136")</f>
        <v>SE-000255136</v>
      </c>
      <c r="D6548" s="1">
        <v>45902.764791666668</v>
      </c>
      <c r="E6548" s="2">
        <v>1</v>
      </c>
      <c r="F6548" s="2">
        <v>2</v>
      </c>
      <c r="G6548" s="2">
        <v>1</v>
      </c>
      <c r="H6548" s="1">
        <v>45902.764537037037</v>
      </c>
      <c r="I6548" s="2">
        <v>3</v>
      </c>
      <c r="J6548" s="1">
        <v>45902.637349537035</v>
      </c>
    </row>
    <row r="6549" spans="1:10" x14ac:dyDescent="0.2">
      <c r="A6549" s="4" t="s">
        <v>1</v>
      </c>
      <c r="B6549" s="3" t="str">
        <f>HYPERLINK("https://otsuka-europe-crm.veevavault.com/ui/#object/approved_document__v/V5OZ04ASG4FWKA9", "Documento Autorizaciขn Centro Empleador")</f>
        <v>Documento Autorizaciขn Centro Empleador</v>
      </c>
      <c r="C6549" s="3" t="str">
        <f>HYPERLINK("https://otsuka-europe-crm.veevavault.com/ui/#object/sent_email__v/VBLZ025E82GDF25", "SE-000255141")</f>
        <v>SE-000255141</v>
      </c>
      <c r="D6549" s="1">
        <v>45917.800104166665</v>
      </c>
      <c r="E6549" s="2">
        <v>1</v>
      </c>
      <c r="F6549" s="2">
        <v>5</v>
      </c>
      <c r="G6549" s="2">
        <v>1</v>
      </c>
      <c r="H6549" s="1">
        <v>45917.803749999999</v>
      </c>
      <c r="I6549" s="2">
        <v>4</v>
      </c>
      <c r="J6549" s="1">
        <v>45902.673518518517</v>
      </c>
    </row>
    <row r="6550" spans="1:10" x14ac:dyDescent="0.2">
      <c r="A6550" s="4" t="s">
        <v>1</v>
      </c>
      <c r="B6550" s="3" t="str">
        <f>HYPERLINK("https://otsuka-europe-crm.veevavault.com/ui/#object/approved_document__v/V5OZ04ASG4FWKA9", "Documento Autorizaciขn Centro Empleador")</f>
        <v>Documento Autorizaciขn Centro Empleador</v>
      </c>
      <c r="C6550" s="3" t="str">
        <f>HYPERLINK("https://otsuka-europe-crm.veevavault.com/ui/#object/sent_email__v/VBLZ025E82GDKUH", "SE-000255157")</f>
        <v>SE-000255157</v>
      </c>
      <c r="D6550" s="1">
        <v>45934.701064814813</v>
      </c>
      <c r="E6550" s="2">
        <v>1</v>
      </c>
      <c r="F6550" s="2">
        <v>6</v>
      </c>
      <c r="G6550" s="2">
        <v>1</v>
      </c>
      <c r="H6550" s="1">
        <v>45903.299247685187</v>
      </c>
      <c r="I6550" s="2">
        <v>1</v>
      </c>
      <c r="J6550" s="1">
        <v>45903.286874999998</v>
      </c>
    </row>
    <row r="6551" spans="1:10" x14ac:dyDescent="0.2">
      <c r="A6551" s="4" t="s">
        <v>1</v>
      </c>
      <c r="B6551" s="3" t="str">
        <f>HYPERLINK("https://otsuka-europe-crm.veevavault.com/ui/#object/approved_document__v/V5OZ04ASG4FWKA9", "Documento Autorizaciขn Centro Empleador")</f>
        <v>Documento Autorizaciขn Centro Empleador</v>
      </c>
      <c r="C6551" s="3" t="str">
        <f>HYPERLINK("https://otsuka-europe-crm.veevavault.com/ui/#object/sent_email__v/VBLZ025E82GDKX9", "SE-000255158")</f>
        <v>SE-000255158</v>
      </c>
      <c r="D6551" s="1">
        <v>45903.318402777775</v>
      </c>
      <c r="E6551" s="2">
        <v>1</v>
      </c>
      <c r="F6551" s="2">
        <v>2</v>
      </c>
      <c r="G6551" s="2">
        <v>1</v>
      </c>
      <c r="H6551" s="1">
        <v>45903.318518518521</v>
      </c>
      <c r="I6551" s="2">
        <v>1</v>
      </c>
      <c r="J6551" s="1">
        <v>45903.287326388891</v>
      </c>
    </row>
    <row r="6552" spans="1:10" x14ac:dyDescent="0.2">
      <c r="A6552" s="4" t="s">
        <v>1</v>
      </c>
      <c r="B6552" s="3" t="str">
        <f>HYPERLINK("https://otsuka-europe-crm.veevavault.com/ui/#object/approved_document__v/V5OZ04ASG4FWKA9", "Documento Autorizaciขn Centro Empleador")</f>
        <v>Documento Autorizaciขn Centro Empleador</v>
      </c>
      <c r="C6552" s="3" t="str">
        <f>HYPERLINK("https://otsuka-europe-crm.veevavault.com/ui/#object/sent_email__v/VBLZ025E82GDL01", "SE-000255159")</f>
        <v>SE-000255159</v>
      </c>
      <c r="D6552" s="1">
        <v>45903.372488425928</v>
      </c>
      <c r="E6552" s="2">
        <v>1</v>
      </c>
      <c r="F6552" s="2">
        <v>3</v>
      </c>
      <c r="G6552" s="2">
        <v>1</v>
      </c>
      <c r="H6552" s="1">
        <v>45903.372604166667</v>
      </c>
      <c r="I6552" s="2">
        <v>1</v>
      </c>
      <c r="J6552" s="1">
        <v>45903.292511574073</v>
      </c>
    </row>
    <row r="6553" spans="1:10" x14ac:dyDescent="0.2">
      <c r="A6553" s="4" t="s">
        <v>1</v>
      </c>
      <c r="B6553" s="3" t="str">
        <f>HYPERLINK("https://otsuka-europe-crm.veevavault.com/ui/#object/approved_document__v/V5OZ04ASG4FWKA9", "Documento Autorizaciขn Centro Empleador")</f>
        <v>Documento Autorizaciขn Centro Empleador</v>
      </c>
      <c r="C6553" s="3" t="str">
        <f>HYPERLINK("https://otsuka-europe-crm.veevavault.com/ui/#object/sent_email__v/VBLZ025E82GDL5M", "SE-000255161")</f>
        <v>SE-000255161</v>
      </c>
      <c r="D6553" s="1">
        <v>45903.303379629629</v>
      </c>
      <c r="E6553" s="2">
        <v>1</v>
      </c>
      <c r="F6553" s="2">
        <v>5</v>
      </c>
      <c r="G6553" s="2">
        <v>1</v>
      </c>
      <c r="H6553" s="1">
        <v>45903.302222222221</v>
      </c>
      <c r="I6553" s="2">
        <v>1</v>
      </c>
      <c r="J6553" s="1">
        <v>45903.299791666665</v>
      </c>
    </row>
    <row r="6554" spans="1:10" x14ac:dyDescent="0.2">
      <c r="A6554" s="4" t="s">
        <v>1</v>
      </c>
      <c r="B6554" s="3" t="str">
        <f>HYPERLINK("https://otsuka-europe-crm.veevavault.com/ui/#object/approved_document__v/V5OZ04ASG4FWKA9", "Documento Autorizaciขn Centro Empleador")</f>
        <v>Documento Autorizaciขn Centro Empleador</v>
      </c>
      <c r="C6554" s="3" t="str">
        <f>HYPERLINK("https://otsuka-europe-crm.veevavault.com/ui/#object/sent_email__v/VBLZ025E82GDLB5", "SE-000255163")</f>
        <v>SE-000255163</v>
      </c>
      <c r="D6554" s="1">
        <v>45911.593171296299</v>
      </c>
      <c r="E6554" s="2">
        <v>1</v>
      </c>
      <c r="F6554" s="2">
        <v>3</v>
      </c>
      <c r="G6554" s="2">
        <v>1</v>
      </c>
      <c r="H6554" s="1">
        <v>45903.309560185182</v>
      </c>
      <c r="I6554" s="2">
        <v>1</v>
      </c>
      <c r="J6554" s="1">
        <v>45903.302916666667</v>
      </c>
    </row>
    <row r="6555" spans="1:10" x14ac:dyDescent="0.2">
      <c r="A6555" s="4" t="s">
        <v>1</v>
      </c>
      <c r="B6555" s="3" t="str">
        <f>HYPERLINK("https://otsuka-europe-crm.veevavault.com/ui/#object/approved_document__v/V5OZ04ASG4FWKA9", "Documento Autorizaciขn Centro Empleador")</f>
        <v>Documento Autorizaciขn Centro Empleador</v>
      </c>
      <c r="C6555" s="3" t="str">
        <f>HYPERLINK("https://otsuka-europe-crm.veevavault.com/ui/#object/sent_email__v/VBLZ025E82GDLM9", "SE-000255167")</f>
        <v>SE-000255167</v>
      </c>
      <c r="D6555" s="1">
        <v>45903.385567129626</v>
      </c>
      <c r="E6555" s="2">
        <v>1</v>
      </c>
      <c r="F6555" s="2">
        <v>1</v>
      </c>
      <c r="G6555" s="2">
        <v>1</v>
      </c>
      <c r="H6555" s="1">
        <v>45903.385567129626</v>
      </c>
      <c r="I6555" s="2">
        <v>1</v>
      </c>
      <c r="J6555" s="1">
        <v>45903.323680555557</v>
      </c>
    </row>
    <row r="6556" spans="1:10" x14ac:dyDescent="0.2">
      <c r="A6556" s="4" t="s">
        <v>1</v>
      </c>
      <c r="B6556" s="3" t="str">
        <f>HYPERLINK("https://otsuka-europe-crm.veevavault.com/ui/#object/approved_document__v/V5OZ04ASG4FWKA9", "Documento Autorizaciขn Centro Empleador")</f>
        <v>Documento Autorizaciขn Centro Empleador</v>
      </c>
      <c r="C6556" s="3" t="str">
        <f>HYPERLINK("https://otsuka-europe-crm.veevavault.com/ui/#object/sent_email__v/VBLZ025E82GDM8H", "SE-000255172")</f>
        <v>SE-000255172</v>
      </c>
      <c r="D6556" s="1" t="s">
        <v>0</v>
      </c>
      <c r="E6556" s="2">
        <v>0</v>
      </c>
      <c r="F6556" s="2">
        <v>0</v>
      </c>
      <c r="G6556" s="2">
        <v>0</v>
      </c>
      <c r="H6556" s="1" t="s">
        <v>0</v>
      </c>
      <c r="I6556" s="2">
        <v>0</v>
      </c>
      <c r="J6556" s="1">
        <v>45903.346736111111</v>
      </c>
    </row>
    <row r="6557" spans="1:10" x14ac:dyDescent="0.2">
      <c r="A6557" s="4" t="s">
        <v>1</v>
      </c>
      <c r="B6557" s="3" t="str">
        <f>HYPERLINK("https://otsuka-europe-crm.veevavault.com/ui/#object/approved_document__v/V5OZ04ASG4FWKA9", "Documento Autorizaciขn Centro Empleador")</f>
        <v>Documento Autorizaciขn Centro Empleador</v>
      </c>
      <c r="C6557" s="3" t="str">
        <f>HYPERLINK("https://otsuka-europe-crm.veevavault.com/ui/#object/sent_email__v/VBLZ025E82GE5IX", "SE-000255214")</f>
        <v>SE-000255214</v>
      </c>
      <c r="D6557" s="1">
        <v>45903.710115740738</v>
      </c>
      <c r="E6557" s="2">
        <v>1</v>
      </c>
      <c r="F6557" s="2">
        <v>1</v>
      </c>
      <c r="G6557" s="2">
        <v>1</v>
      </c>
      <c r="H6557" s="1">
        <v>45903.710439814815</v>
      </c>
      <c r="I6557" s="2">
        <v>4</v>
      </c>
      <c r="J6557" s="1">
        <v>45903.549571759257</v>
      </c>
    </row>
    <row r="6558" spans="1:10" x14ac:dyDescent="0.2">
      <c r="A6558" s="4" t="s">
        <v>1</v>
      </c>
      <c r="B6558" s="3" t="str">
        <f>HYPERLINK("https://otsuka-europe-crm.veevavault.com/ui/#object/approved_document__v/V5OZ04ASG4FWKA9", "Documento Autorizaciขn Centro Empleador")</f>
        <v>Documento Autorizaciขn Centro Empleador</v>
      </c>
      <c r="C6558" s="3" t="str">
        <f>HYPERLINK("https://otsuka-europe-crm.veevavault.com/ui/#object/sent_email__v/VBLZ025E82GEL6T", "SE-000255223")</f>
        <v>SE-000255223</v>
      </c>
      <c r="D6558" s="1">
        <v>46038.348958333336</v>
      </c>
      <c r="E6558" s="2">
        <v>1</v>
      </c>
      <c r="F6558" s="2">
        <v>6</v>
      </c>
      <c r="G6558" s="2">
        <v>1</v>
      </c>
      <c r="H6558" s="1">
        <v>45903.690844907411</v>
      </c>
      <c r="I6558" s="2">
        <v>1</v>
      </c>
      <c r="J6558" s="1">
        <v>45903.684976851851</v>
      </c>
    </row>
    <row r="6559" spans="1:10" x14ac:dyDescent="0.2">
      <c r="A6559" s="4" t="s">
        <v>1</v>
      </c>
      <c r="B6559" s="3" t="str">
        <f>HYPERLINK("https://otsuka-europe-crm.veevavault.com/ui/#object/approved_document__v/V5OZ04ASG4FWKA9", "Documento Autorizaciขn Centro Empleador")</f>
        <v>Documento Autorizaciขn Centro Empleador</v>
      </c>
      <c r="C6559" s="3" t="str">
        <f>HYPERLINK("https://otsuka-europe-crm.veevavault.com/ui/#object/sent_email__v/VBLZ025E82GESTT", "SE-000255242")</f>
        <v>SE-000255242</v>
      </c>
      <c r="D6559" s="1">
        <v>45925.85361111111</v>
      </c>
      <c r="E6559" s="2">
        <v>1</v>
      </c>
      <c r="F6559" s="2">
        <v>4</v>
      </c>
      <c r="G6559" s="2">
        <v>1</v>
      </c>
      <c r="H6559" s="1">
        <v>45904.729444444441</v>
      </c>
      <c r="I6559" s="2">
        <v>3</v>
      </c>
      <c r="J6559" s="1">
        <v>45904.328761574077</v>
      </c>
    </row>
    <row r="6560" spans="1:10" x14ac:dyDescent="0.2">
      <c r="A6560" s="4" t="s">
        <v>1</v>
      </c>
      <c r="B6560" s="3" t="str">
        <f>HYPERLINK("https://otsuka-europe-crm.veevavault.com/ui/#object/approved_document__v/V5OZ04ASG4FWKA9", "Documento Autorizaciขn Centro Empleador")</f>
        <v>Documento Autorizaciขn Centro Empleador</v>
      </c>
      <c r="C6560" s="3" t="str">
        <f>HYPERLINK("https://otsuka-europe-crm.veevavault.com/ui/#object/sent_email__v/VBLZ025E82GESWL", "SE-000255243")</f>
        <v>SE-000255243</v>
      </c>
      <c r="D6560" s="1" t="s">
        <v>0</v>
      </c>
      <c r="E6560" s="2">
        <v>0</v>
      </c>
      <c r="F6560" s="2">
        <v>0</v>
      </c>
      <c r="G6560" s="2">
        <v>0</v>
      </c>
      <c r="H6560" s="1" t="s">
        <v>0</v>
      </c>
      <c r="I6560" s="2">
        <v>0</v>
      </c>
      <c r="J6560" s="1">
        <v>45904.328969907408</v>
      </c>
    </row>
    <row r="6561" spans="1:10" x14ac:dyDescent="0.2">
      <c r="A6561" s="4" t="s">
        <v>1</v>
      </c>
      <c r="B6561" s="3" t="str">
        <f>HYPERLINK("https://otsuka-europe-crm.veevavault.com/ui/#object/approved_document__v/V5OZ04ASG4FWKA9", "Documento Autorizaciขn Centro Empleador")</f>
        <v>Documento Autorizaciขn Centro Empleador</v>
      </c>
      <c r="C6561" s="3" t="str">
        <f>HYPERLINK("https://otsuka-europe-crm.veevavault.com/ui/#object/sent_email__v/VBLZ025E82GESZD", "SE-000255244")</f>
        <v>SE-000255244</v>
      </c>
      <c r="D6561" s="1">
        <v>45904.693067129629</v>
      </c>
      <c r="E6561" s="2">
        <v>1</v>
      </c>
      <c r="F6561" s="2">
        <v>1</v>
      </c>
      <c r="G6561" s="2">
        <v>0</v>
      </c>
      <c r="H6561" s="1" t="s">
        <v>0</v>
      </c>
      <c r="I6561" s="2">
        <v>0</v>
      </c>
      <c r="J6561" s="1">
        <v>45904.330034722225</v>
      </c>
    </row>
    <row r="6562" spans="1:10" x14ac:dyDescent="0.2">
      <c r="A6562" s="4" t="s">
        <v>1</v>
      </c>
      <c r="B6562" s="3" t="str">
        <f>HYPERLINK("https://otsuka-europe-crm.veevavault.com/ui/#object/approved_document__v/V5OZ04ASG4FWKA9", "Documento Autorizaciขn Centro Empleador")</f>
        <v>Documento Autorizaciขn Centro Empleador</v>
      </c>
      <c r="C6562" s="3" t="str">
        <f>HYPERLINK("https://otsuka-europe-crm.veevavault.com/ui/#object/sent_email__v/VBLZ025E82GET25", "SE-000255245")</f>
        <v>SE-000255245</v>
      </c>
      <c r="D6562" s="1" t="s">
        <v>0</v>
      </c>
      <c r="E6562" s="2">
        <v>0</v>
      </c>
      <c r="F6562" s="2">
        <v>0</v>
      </c>
      <c r="G6562" s="2">
        <v>0</v>
      </c>
      <c r="H6562" s="1" t="s">
        <v>0</v>
      </c>
      <c r="I6562" s="2">
        <v>0</v>
      </c>
      <c r="J6562" s="1">
        <v>45904.331226851849</v>
      </c>
    </row>
    <row r="6563" spans="1:10" x14ac:dyDescent="0.2">
      <c r="A6563" s="4" t="s">
        <v>1</v>
      </c>
      <c r="B6563" s="3" t="str">
        <f>HYPERLINK("https://otsuka-europe-crm.veevavault.com/ui/#object/approved_document__v/V5OZ04ASG4FWKA9", "Documento Autorizaciขn Centro Empleador")</f>
        <v>Documento Autorizaciขn Centro Empleador</v>
      </c>
      <c r="C6563" s="3" t="str">
        <f>HYPERLINK("https://otsuka-europe-crm.veevavault.com/ui/#object/sent_email__v/VBLZ025E82GET4X", "SE-000255246")</f>
        <v>SE-000255246</v>
      </c>
      <c r="D6563" s="1">
        <v>45904.414490740739</v>
      </c>
      <c r="E6563" s="2">
        <v>1</v>
      </c>
      <c r="F6563" s="2">
        <v>2</v>
      </c>
      <c r="G6563" s="2">
        <v>1</v>
      </c>
      <c r="H6563" s="1">
        <v>45904.414849537039</v>
      </c>
      <c r="I6563" s="2">
        <v>1</v>
      </c>
      <c r="J6563" s="1">
        <v>45904.331747685188</v>
      </c>
    </row>
    <row r="6564" spans="1:10" x14ac:dyDescent="0.2">
      <c r="A6564" s="4" t="s">
        <v>1</v>
      </c>
      <c r="B6564" s="3" t="str">
        <f>HYPERLINK("https://otsuka-europe-crm.veevavault.com/ui/#object/approved_document__v/V5OZ04ASG4FWKA9", "Documento Autorizaciขn Centro Empleador")</f>
        <v>Documento Autorizaciขn Centro Empleador</v>
      </c>
      <c r="C6564" s="3" t="str">
        <f>HYPERLINK("https://otsuka-europe-crm.veevavault.com/ui/#object/sent_email__v/VBLZ025E82GETIT", "SE-000255247")</f>
        <v>SE-000255247</v>
      </c>
      <c r="D6564" s="1">
        <v>45958.66673611111</v>
      </c>
      <c r="E6564" s="2">
        <v>1</v>
      </c>
      <c r="F6564" s="2">
        <v>4</v>
      </c>
      <c r="G6564" s="2">
        <v>1</v>
      </c>
      <c r="H6564" s="1">
        <v>45905.827615740738</v>
      </c>
      <c r="I6564" s="2">
        <v>1</v>
      </c>
      <c r="J6564" s="1">
        <v>45904.359027777777</v>
      </c>
    </row>
    <row r="6565" spans="1:10" x14ac:dyDescent="0.2">
      <c r="A6565" s="4" t="s">
        <v>1</v>
      </c>
      <c r="B6565" s="3" t="str">
        <f>HYPERLINK("https://otsuka-europe-crm.veevavault.com/ui/#object/approved_document__v/V5OZ04ASG4FWKA9", "Documento Autorizaciขn Centro Empleador")</f>
        <v>Documento Autorizaciขn Centro Empleador</v>
      </c>
      <c r="C6565" s="3" t="str">
        <f>HYPERLINK("https://otsuka-europe-crm.veevavault.com/ui/#object/sent_email__v/VBLZ025E82GF5Y1", "SE-000255283")</f>
        <v>SE-000255283</v>
      </c>
      <c r="D6565" s="1">
        <v>45940.55164351852</v>
      </c>
      <c r="E6565" s="2">
        <v>1</v>
      </c>
      <c r="F6565" s="2">
        <v>4</v>
      </c>
      <c r="G6565" s="2">
        <v>1</v>
      </c>
      <c r="H6565" s="1">
        <v>45904.481493055559</v>
      </c>
      <c r="I6565" s="2">
        <v>1</v>
      </c>
      <c r="J6565" s="1">
        <v>45904.480891203704</v>
      </c>
    </row>
    <row r="6566" spans="1:10" x14ac:dyDescent="0.2">
      <c r="A6566" s="4" t="s">
        <v>1</v>
      </c>
      <c r="B6566" s="3" t="str">
        <f>HYPERLINK("https://otsuka-europe-crm.veevavault.com/ui/#object/approved_document__v/V5OZ04ASG4FWKA9", "Documento Autorizaciขn Centro Empleador")</f>
        <v>Documento Autorizaciขn Centro Empleador</v>
      </c>
      <c r="C6566" s="3" t="str">
        <f>HYPERLINK("https://otsuka-europe-crm.veevavault.com/ui/#object/sent_email__v/VBLZ025E82GFYVP", "SE-000255434")</f>
        <v>SE-000255434</v>
      </c>
      <c r="D6566" s="1">
        <v>45905.421284722222</v>
      </c>
      <c r="E6566" s="2">
        <v>1</v>
      </c>
      <c r="F6566" s="2">
        <v>1</v>
      </c>
      <c r="G6566" s="2">
        <v>1</v>
      </c>
      <c r="H6566" s="1">
        <v>45905.449178240742</v>
      </c>
      <c r="I6566" s="2">
        <v>4</v>
      </c>
      <c r="J6566" s="1">
        <v>45905.349849537037</v>
      </c>
    </row>
    <row r="6567" spans="1:10" x14ac:dyDescent="0.2">
      <c r="A6567" s="4" t="s">
        <v>1</v>
      </c>
      <c r="B6567" s="3" t="str">
        <f>HYPERLINK("https://otsuka-europe-crm.veevavault.com/ui/#object/approved_document__v/V5OZ04ASG4FWKA9", "Documento Autorizaciขn Centro Empleador")</f>
        <v>Documento Autorizaciขn Centro Empleador</v>
      </c>
      <c r="C6567" s="3" t="str">
        <f>HYPERLINK("https://otsuka-europe-crm.veevavault.com/ui/#object/sent_email__v/VBLZ025E82GG3QP", "SE-000255439")</f>
        <v>SE-000255439</v>
      </c>
      <c r="D6567" s="1">
        <v>45924.758784722224</v>
      </c>
      <c r="E6567" s="2">
        <v>1</v>
      </c>
      <c r="F6567" s="2">
        <v>2</v>
      </c>
      <c r="G6567" s="2">
        <v>1</v>
      </c>
      <c r="H6567" s="1">
        <v>45905.410104166665</v>
      </c>
      <c r="I6567" s="2">
        <v>1</v>
      </c>
      <c r="J6567" s="1">
        <v>45905.405023148145</v>
      </c>
    </row>
    <row r="6568" spans="1:10" x14ac:dyDescent="0.2">
      <c r="A6568" s="4" t="s">
        <v>1</v>
      </c>
      <c r="B6568" s="3" t="str">
        <f>HYPERLINK("https://otsuka-europe-crm.veevavault.com/ui/#object/approved_document__v/V5OZ04ASG4FWKA9", "Documento Autorizaciขn Centro Empleador")</f>
        <v>Documento Autorizaciขn Centro Empleador</v>
      </c>
      <c r="C6568" s="3" t="str">
        <f>HYPERLINK("https://otsuka-europe-crm.veevavault.com/ui/#object/sent_email__v/VBLZ025E82GH2P2", "SE-000255517")</f>
        <v>SE-000255517</v>
      </c>
      <c r="D6568" s="1">
        <v>45929.503159722219</v>
      </c>
      <c r="E6568" s="2">
        <v>1</v>
      </c>
      <c r="F6568" s="2">
        <v>2</v>
      </c>
      <c r="G6568" s="2">
        <v>0</v>
      </c>
      <c r="H6568" s="1" t="s">
        <v>0</v>
      </c>
      <c r="I6568" s="2">
        <v>0</v>
      </c>
      <c r="J6568" s="1">
        <v>45907.638113425928</v>
      </c>
    </row>
    <row r="6569" spans="1:10" x14ac:dyDescent="0.2">
      <c r="A6569" s="4" t="s">
        <v>1</v>
      </c>
      <c r="B6569" s="3" t="str">
        <f>HYPERLINK("https://otsuka-europe-crm.veevavault.com/ui/#object/approved_document__v/V5OZ04ASG4FWKA9", "Documento Autorizaciขn Centro Empleador")</f>
        <v>Documento Autorizaciขn Centro Empleador</v>
      </c>
      <c r="C6569" s="3" t="str">
        <f>HYPERLINK("https://otsuka-europe-crm.veevavault.com/ui/#object/sent_email__v/VBLZ025E82GH5S5", "SE-000255518")</f>
        <v>SE-000255518</v>
      </c>
      <c r="D6569" s="1">
        <v>45908.418645833335</v>
      </c>
      <c r="E6569" s="2">
        <v>1</v>
      </c>
      <c r="F6569" s="2">
        <v>1</v>
      </c>
      <c r="G6569" s="2">
        <v>1</v>
      </c>
      <c r="H6569" s="1">
        <v>45908.418692129628</v>
      </c>
      <c r="I6569" s="2">
        <v>1</v>
      </c>
      <c r="J6569" s="1">
        <v>45908.303657407407</v>
      </c>
    </row>
    <row r="6570" spans="1:10" x14ac:dyDescent="0.2">
      <c r="A6570" s="4" t="s">
        <v>1</v>
      </c>
      <c r="B6570" s="3" t="str">
        <f>HYPERLINK("https://otsuka-europe-crm.veevavault.com/ui/#object/approved_document__v/V5OZ04ASG4FWKA9", "Documento Autorizaciขn Centro Empleador")</f>
        <v>Documento Autorizaciขn Centro Empleador</v>
      </c>
      <c r="C6570" s="3" t="str">
        <f>HYPERLINK("https://otsuka-europe-crm.veevavault.com/ui/#object/sent_email__v/VBLZ025E82GHBYD", "SE-000255523")</f>
        <v>SE-000255523</v>
      </c>
      <c r="D6570" s="1">
        <v>45908.810011574074</v>
      </c>
      <c r="E6570" s="2">
        <v>1</v>
      </c>
      <c r="F6570" s="2">
        <v>2</v>
      </c>
      <c r="G6570" s="2">
        <v>1</v>
      </c>
      <c r="H6570" s="1">
        <v>45908.678969907407</v>
      </c>
      <c r="I6570" s="2">
        <v>2</v>
      </c>
      <c r="J6570" s="1">
        <v>45908.436840277776</v>
      </c>
    </row>
    <row r="6571" spans="1:10" x14ac:dyDescent="0.2">
      <c r="A6571" s="4" t="s">
        <v>1</v>
      </c>
      <c r="B6571" s="3" t="str">
        <f>HYPERLINK("https://otsuka-europe-crm.veevavault.com/ui/#object/approved_document__v/V5OZ04ASG4FWKA9", "Documento Autorizaciขn Centro Empleador")</f>
        <v>Documento Autorizaciขn Centro Empleador</v>
      </c>
      <c r="C6571" s="3" t="str">
        <f>HYPERLINK("https://otsuka-europe-crm.veevavault.com/ui/#object/sent_email__v/VBLZ025E82GHC9H", "SE-000255524")</f>
        <v>SE-000255524</v>
      </c>
      <c r="D6571" s="1">
        <v>45909.38113425926</v>
      </c>
      <c r="E6571" s="2">
        <v>1</v>
      </c>
      <c r="F6571" s="2">
        <v>1</v>
      </c>
      <c r="G6571" s="2">
        <v>1</v>
      </c>
      <c r="H6571" s="1">
        <v>45909.38113425926</v>
      </c>
      <c r="I6571" s="2">
        <v>1</v>
      </c>
      <c r="J6571" s="1">
        <v>45908.437523148146</v>
      </c>
    </row>
    <row r="6572" spans="1:10" x14ac:dyDescent="0.2">
      <c r="A6572" s="4" t="s">
        <v>1</v>
      </c>
      <c r="B6572" s="3" t="str">
        <f>HYPERLINK("https://otsuka-europe-crm.veevavault.com/ui/#object/approved_document__v/V5OZ04ASG4FWKA9", "Documento Autorizaciขn Centro Empleador")</f>
        <v>Documento Autorizaciขn Centro Empleador</v>
      </c>
      <c r="C6572" s="3" t="str">
        <f>HYPERLINK("https://otsuka-europe-crm.veevavault.com/ui/#object/sent_email__v/VBLZ025E82GHCHT", "SE-000255525")</f>
        <v>SE-000255525</v>
      </c>
      <c r="D6572" s="1">
        <v>45916.351550925923</v>
      </c>
      <c r="E6572" s="2">
        <v>1</v>
      </c>
      <c r="F6572" s="2">
        <v>1</v>
      </c>
      <c r="G6572" s="2">
        <v>1</v>
      </c>
      <c r="H6572" s="1">
        <v>45916.351689814815</v>
      </c>
      <c r="I6572" s="2">
        <v>2</v>
      </c>
      <c r="J6572" s="1">
        <v>45908.438020833331</v>
      </c>
    </row>
    <row r="6573" spans="1:10" x14ac:dyDescent="0.2">
      <c r="A6573" s="4" t="s">
        <v>1</v>
      </c>
      <c r="B6573" s="3" t="str">
        <f>HYPERLINK("https://otsuka-europe-crm.veevavault.com/ui/#object/approved_document__v/V5OZ04ASG4FWKA9", "Documento Autorizaciขn Centro Empleador")</f>
        <v>Documento Autorizaciขn Centro Empleador</v>
      </c>
      <c r="C6573" s="3" t="str">
        <f>HYPERLINK("https://otsuka-europe-crm.veevavault.com/ui/#object/sent_email__v/VBLZ025E82GHCND", "SE-000255527")</f>
        <v>SE-000255527</v>
      </c>
      <c r="D6573" s="1">
        <v>45908.46702546296</v>
      </c>
      <c r="E6573" s="2">
        <v>1</v>
      </c>
      <c r="F6573" s="2">
        <v>1</v>
      </c>
      <c r="G6573" s="2">
        <v>1</v>
      </c>
      <c r="H6573" s="1">
        <v>45908.469629629632</v>
      </c>
      <c r="I6573" s="2">
        <v>1</v>
      </c>
      <c r="J6573" s="1">
        <v>45908.439444444448</v>
      </c>
    </row>
    <row r="6574" spans="1:10" x14ac:dyDescent="0.2">
      <c r="A6574" s="4" t="s">
        <v>1</v>
      </c>
      <c r="B6574" s="3" t="str">
        <f>HYPERLINK("https://otsuka-europe-crm.veevavault.com/ui/#object/approved_document__v/V5OZ04ASG4FWKA9", "Documento Autorizaciขn Centro Empleador")</f>
        <v>Documento Autorizaciขn Centro Empleador</v>
      </c>
      <c r="C6574" s="3" t="str">
        <f>HYPERLINK("https://otsuka-europe-crm.veevavault.com/ui/#object/sent_email__v/VBLZ025E82GHSXH", "SE-000255539")</f>
        <v>SE-000255539</v>
      </c>
      <c r="D6574" s="1">
        <v>45925.911770833336</v>
      </c>
      <c r="E6574" s="2">
        <v>1</v>
      </c>
      <c r="F6574" s="2">
        <v>2</v>
      </c>
      <c r="G6574" s="2">
        <v>1</v>
      </c>
      <c r="H6574" s="1">
        <v>45908.636041666665</v>
      </c>
      <c r="I6574" s="2">
        <v>1</v>
      </c>
      <c r="J6574" s="1">
        <v>45908.635312500002</v>
      </c>
    </row>
    <row r="6575" spans="1:10" x14ac:dyDescent="0.2">
      <c r="A6575" s="4" t="s">
        <v>1</v>
      </c>
      <c r="B6575" s="3" t="str">
        <f>HYPERLINK("https://otsuka-europe-crm.veevavault.com/ui/#object/approved_document__v/V5OZ04ASG4FWKA9", "Documento Autorizaciขn Centro Empleador")</f>
        <v>Documento Autorizaciขn Centro Empleador</v>
      </c>
      <c r="C6575" s="3" t="str">
        <f>HYPERLINK("https://otsuka-europe-crm.veevavault.com/ui/#object/sent_email__v/VBLZ025E82GI241", "SE-000255549")</f>
        <v>SE-000255549</v>
      </c>
      <c r="D6575" s="1">
        <v>45912.358310185184</v>
      </c>
      <c r="E6575" s="2">
        <v>1</v>
      </c>
      <c r="F6575" s="2">
        <v>27</v>
      </c>
      <c r="G6575" s="2">
        <v>1</v>
      </c>
      <c r="H6575" s="1">
        <v>45908.697291666664</v>
      </c>
      <c r="I6575" s="2">
        <v>2</v>
      </c>
      <c r="J6575" s="1">
        <v>45908.685150462959</v>
      </c>
    </row>
    <row r="6576" spans="1:10" x14ac:dyDescent="0.2">
      <c r="A6576" s="4" t="s">
        <v>1</v>
      </c>
      <c r="B6576" s="3" t="str">
        <f>HYPERLINK("https://otsuka-europe-crm.veevavault.com/ui/#object/approved_document__v/V5OZ04ASG4FWKA9", "Documento Autorizaciขn Centro Empleador")</f>
        <v>Documento Autorizaciขn Centro Empleador</v>
      </c>
      <c r="C6576" s="3" t="str">
        <f>HYPERLINK("https://otsuka-europe-crm.veevavault.com/ui/#object/sent_email__v/VBLZ025E82GII5T", "SE-000255602")</f>
        <v>SE-000255602</v>
      </c>
      <c r="D6576" s="1">
        <v>45922.762303240743</v>
      </c>
      <c r="E6576" s="2">
        <v>1</v>
      </c>
      <c r="F6576" s="2">
        <v>4</v>
      </c>
      <c r="G6576" s="2">
        <v>1</v>
      </c>
      <c r="H6576" s="1">
        <v>45909.50267361111</v>
      </c>
      <c r="I6576" s="2">
        <v>1</v>
      </c>
      <c r="J6576" s="1">
        <v>45909.431747685187</v>
      </c>
    </row>
    <row r="6577" spans="1:10" x14ac:dyDescent="0.2">
      <c r="A6577" s="4" t="s">
        <v>1</v>
      </c>
      <c r="B6577" s="3" t="str">
        <f>HYPERLINK("https://otsuka-europe-crm.veevavault.com/ui/#object/approved_document__v/V5OZ04ASG4FWKA9", "Documento Autorizaciขn Centro Empleador")</f>
        <v>Documento Autorizaciขn Centro Empleador</v>
      </c>
      <c r="C6577" s="3" t="str">
        <f>HYPERLINK("https://otsuka-europe-crm.veevavault.com/ui/#object/sent_email__v/VBLZ025E82GIJJT", "SE-000255604")</f>
        <v>SE-000255604</v>
      </c>
      <c r="D6577" s="1">
        <v>45909.974166666667</v>
      </c>
      <c r="E6577" s="2">
        <v>1</v>
      </c>
      <c r="F6577" s="2">
        <v>2</v>
      </c>
      <c r="G6577" s="2">
        <v>1</v>
      </c>
      <c r="H6577" s="1">
        <v>45909.48128472222</v>
      </c>
      <c r="I6577" s="2">
        <v>1</v>
      </c>
      <c r="J6577" s="1">
        <v>45909.456550925926</v>
      </c>
    </row>
    <row r="6578" spans="1:10" x14ac:dyDescent="0.2">
      <c r="A6578" s="4" t="s">
        <v>1</v>
      </c>
      <c r="B6578" s="3" t="str">
        <f>HYPERLINK("https://otsuka-europe-crm.veevavault.com/ui/#object/approved_document__v/V5OZ04ASG4FWKA9", "Documento Autorizaciขn Centro Empleador")</f>
        <v>Documento Autorizaciขn Centro Empleador</v>
      </c>
      <c r="C6578" s="3" t="str">
        <f>HYPERLINK("https://otsuka-europe-crm.veevavault.com/ui/#object/sent_email__v/VBLZ025E82GJAPL", "SE-000255640")</f>
        <v>SE-000255640</v>
      </c>
      <c r="D6578" s="1">
        <v>45936.589490740742</v>
      </c>
      <c r="E6578" s="2">
        <v>1</v>
      </c>
      <c r="F6578" s="2">
        <v>4</v>
      </c>
      <c r="G6578" s="2">
        <v>1</v>
      </c>
      <c r="H6578" s="1">
        <v>45909.77449074074</v>
      </c>
      <c r="I6578" s="2">
        <v>4</v>
      </c>
      <c r="J6578" s="1">
        <v>45909.718946759262</v>
      </c>
    </row>
    <row r="6579" spans="1:10" x14ac:dyDescent="0.2">
      <c r="A6579" s="4" t="s">
        <v>1</v>
      </c>
      <c r="B6579" s="3" t="str">
        <f>HYPERLINK("https://otsuka-europe-crm.veevavault.com/ui/#object/approved_document__v/V5OZ04ASG4FWKA9", "Documento Autorizaciขn Centro Empleador")</f>
        <v>Documento Autorizaciขn Centro Empleador</v>
      </c>
      <c r="C6579" s="3" t="str">
        <f>HYPERLINK("https://otsuka-europe-crm.veevavault.com/ui/#object/sent_email__v/VBLZ025E82GJH45", "SE-000255669")</f>
        <v>SE-000255669</v>
      </c>
      <c r="D6579" s="1">
        <v>45913.446666666663</v>
      </c>
      <c r="E6579" s="2">
        <v>1</v>
      </c>
      <c r="F6579" s="2">
        <v>2</v>
      </c>
      <c r="G6579" s="2">
        <v>1</v>
      </c>
      <c r="H6579" s="1">
        <v>45913.446736111109</v>
      </c>
      <c r="I6579" s="2">
        <v>1</v>
      </c>
      <c r="J6579" s="1">
        <v>45910.350173611114</v>
      </c>
    </row>
    <row r="6580" spans="1:10" x14ac:dyDescent="0.2">
      <c r="A6580" s="4" t="s">
        <v>1</v>
      </c>
      <c r="B6580" s="3" t="str">
        <f>HYPERLINK("https://otsuka-europe-crm.veevavault.com/ui/#object/approved_document__v/V5OZ04ASG4FWKA9", "Documento Autorizaciขn Centro Empleador")</f>
        <v>Documento Autorizaciขn Centro Empleador</v>
      </c>
      <c r="C6580" s="3" t="str">
        <f>HYPERLINK("https://otsuka-europe-crm.veevavault.com/ui/#object/sent_email__v/VBLZ025E82GJH6X", "SE-000255670")</f>
        <v>SE-000255670</v>
      </c>
      <c r="D6580" s="1">
        <v>45911.949317129627</v>
      </c>
      <c r="E6580" s="2">
        <v>1</v>
      </c>
      <c r="F6580" s="2">
        <v>2</v>
      </c>
      <c r="G6580" s="2">
        <v>1</v>
      </c>
      <c r="H6580" s="1">
        <v>45910.568692129629</v>
      </c>
      <c r="I6580" s="2">
        <v>4</v>
      </c>
      <c r="J6580" s="1">
        <v>45910.351469907408</v>
      </c>
    </row>
    <row r="6581" spans="1:10" x14ac:dyDescent="0.2">
      <c r="A6581" s="4" t="s">
        <v>1</v>
      </c>
      <c r="B6581" s="3" t="str">
        <f>HYPERLINK("https://otsuka-europe-crm.veevavault.com/ui/#object/approved_document__v/V5OZ04ASG4FWKA9", "Documento Autorizaciขn Centro Empleador")</f>
        <v>Documento Autorizaciขn Centro Empleador</v>
      </c>
      <c r="C6581" s="3" t="str">
        <f>HYPERLINK("https://otsuka-europe-crm.veevavault.com/ui/#object/sent_email__v/VBLZ025E82GJP51", "SE-000255687")</f>
        <v>SE-000255687</v>
      </c>
      <c r="D6581" s="1">
        <v>45910.445983796293</v>
      </c>
      <c r="E6581" s="2">
        <v>1</v>
      </c>
      <c r="F6581" s="2">
        <v>1</v>
      </c>
      <c r="G6581" s="2">
        <v>1</v>
      </c>
      <c r="H6581" s="1">
        <v>45910.446053240739</v>
      </c>
      <c r="I6581" s="2">
        <v>1</v>
      </c>
      <c r="J6581" s="1">
        <v>45910.445474537039</v>
      </c>
    </row>
    <row r="6582" spans="1:10" x14ac:dyDescent="0.2">
      <c r="A6582" s="4" t="s">
        <v>1</v>
      </c>
      <c r="B6582" s="3" t="str">
        <f>HYPERLINK("https://otsuka-europe-crm.veevavault.com/ui/#object/approved_document__v/V5OZ04ASG4FWKA9", "Documento Autorizaciขn Centro Empleador")</f>
        <v>Documento Autorizaciขn Centro Empleador</v>
      </c>
      <c r="C6582" s="3" t="str">
        <f>HYPERLINK("https://otsuka-europe-crm.veevavault.com/ui/#object/sent_email__v/VBLZ025E82GKAFP", "SE-000255750")</f>
        <v>SE-000255750</v>
      </c>
      <c r="D6582" s="1">
        <v>45918.80740740741</v>
      </c>
      <c r="E6582" s="2">
        <v>1</v>
      </c>
      <c r="F6582" s="2">
        <v>2</v>
      </c>
      <c r="G6582" s="2">
        <v>0</v>
      </c>
      <c r="H6582" s="1" t="s">
        <v>0</v>
      </c>
      <c r="I6582" s="2">
        <v>0</v>
      </c>
      <c r="J6582" s="1">
        <v>45910.774421296293</v>
      </c>
    </row>
    <row r="6583" spans="1:10" x14ac:dyDescent="0.2">
      <c r="A6583" s="4" t="s">
        <v>1</v>
      </c>
      <c r="B6583" s="3" t="str">
        <f>HYPERLINK("https://otsuka-europe-crm.veevavault.com/ui/#object/approved_document__v/V5OZ04ASG4FWKA9", "Documento Autorizaciขn Centro Empleador")</f>
        <v>Documento Autorizaciขn Centro Empleador</v>
      </c>
      <c r="C6583" s="3" t="str">
        <f>HYPERLINK("https://otsuka-europe-crm.veevavault.com/ui/#object/sent_email__v/VBLZ025E82GKAO2", "SE-000255754")</f>
        <v>SE-000255754</v>
      </c>
      <c r="D6583" s="1">
        <v>45910.831608796296</v>
      </c>
      <c r="E6583" s="2">
        <v>1</v>
      </c>
      <c r="F6583" s="2">
        <v>1</v>
      </c>
      <c r="G6583" s="2">
        <v>1</v>
      </c>
      <c r="H6583" s="1">
        <v>45910.831828703704</v>
      </c>
      <c r="I6583" s="2">
        <v>2</v>
      </c>
      <c r="J6583" s="1">
        <v>45910.784328703703</v>
      </c>
    </row>
    <row r="6584" spans="1:10" x14ac:dyDescent="0.2">
      <c r="A6584" s="4" t="s">
        <v>1</v>
      </c>
      <c r="B6584" s="3" t="str">
        <f>HYPERLINK("https://otsuka-europe-crm.veevavault.com/ui/#object/approved_document__v/V5OZ04ASG4FWKA9", "Documento Autorizaciขn Centro Empleador")</f>
        <v>Documento Autorizaciขn Centro Empleador</v>
      </c>
      <c r="C6584" s="3" t="str">
        <f>HYPERLINK("https://otsuka-europe-crm.veevavault.com/ui/#object/sent_email__v/VBLZ025E82GKBA9", "SE-000255756")</f>
        <v>SE-000255756</v>
      </c>
      <c r="D6584" s="1">
        <v>45911.423958333333</v>
      </c>
      <c r="E6584" s="2">
        <v>1</v>
      </c>
      <c r="F6584" s="2">
        <v>5</v>
      </c>
      <c r="G6584" s="2">
        <v>1</v>
      </c>
      <c r="H6584" s="1">
        <v>45910.851712962962</v>
      </c>
      <c r="I6584" s="2">
        <v>2</v>
      </c>
      <c r="J6584" s="1">
        <v>45910.838738425926</v>
      </c>
    </row>
    <row r="6585" spans="1:10" x14ac:dyDescent="0.2">
      <c r="A6585" s="4" t="s">
        <v>1</v>
      </c>
      <c r="B6585" s="3" t="str">
        <f>HYPERLINK("https://otsuka-europe-crm.veevavault.com/ui/#object/approved_document__v/V5OZ04ASG4FWKA9", "Documento Autorizaciขn Centro Empleador")</f>
        <v>Documento Autorizaciขn Centro Empleador</v>
      </c>
      <c r="C6585" s="3" t="str">
        <f>HYPERLINK("https://otsuka-europe-crm.veevavault.com/ui/#object/sent_email__v/VBLZ025E82GKGOP", "SE-000255762")</f>
        <v>SE-000255762</v>
      </c>
      <c r="D6585" s="1">
        <v>45918.80740740741</v>
      </c>
      <c r="E6585" s="2">
        <v>1</v>
      </c>
      <c r="F6585" s="2">
        <v>3</v>
      </c>
      <c r="G6585" s="2">
        <v>1</v>
      </c>
      <c r="H6585" s="1">
        <v>45911.439328703702</v>
      </c>
      <c r="I6585" s="2">
        <v>1</v>
      </c>
      <c r="J6585" s="1">
        <v>45911.372974537036</v>
      </c>
    </row>
    <row r="6586" spans="1:10" x14ac:dyDescent="0.2">
      <c r="A6586" s="4" t="s">
        <v>1</v>
      </c>
      <c r="B6586" s="3" t="str">
        <f>HYPERLINK("https://otsuka-europe-crm.veevavault.com/ui/#object/approved_document__v/V5OZ04ASG4FWKA9", "Documento Autorizaciขn Centro Empleador")</f>
        <v>Documento Autorizaciขn Centro Empleador</v>
      </c>
      <c r="C6586" s="3" t="str">
        <f>HYPERLINK("https://otsuka-europe-crm.veevavault.com/ui/#object/sent_email__v/VBLZ025E82GKO3E", "SE-000255789")</f>
        <v>SE-000255789</v>
      </c>
      <c r="D6586" s="1">
        <v>45974.338969907411</v>
      </c>
      <c r="E6586" s="2">
        <v>1</v>
      </c>
      <c r="F6586" s="2">
        <v>3</v>
      </c>
      <c r="G6586" s="2">
        <v>1</v>
      </c>
      <c r="H6586" s="1">
        <v>45936.652905092589</v>
      </c>
      <c r="I6586" s="2">
        <v>2</v>
      </c>
      <c r="J6586" s="1">
        <v>45911.433159722219</v>
      </c>
    </row>
    <row r="6587" spans="1:10" x14ac:dyDescent="0.2">
      <c r="A6587" s="4" t="s">
        <v>1</v>
      </c>
      <c r="B6587" s="3" t="str">
        <f>HYPERLINK("https://otsuka-europe-crm.veevavault.com/ui/#object/approved_document__v/V5OZ04ASG4FWKA9", "Documento Autorizaciขn Centro Empleador")</f>
        <v>Documento Autorizaciขn Centro Empleador</v>
      </c>
      <c r="C6587" s="3" t="str">
        <f>HYPERLINK("https://otsuka-europe-crm.veevavault.com/ui/#object/sent_email__v/VBLZ025E82GKVFA", "SE-000255835")</f>
        <v>SE-000255835</v>
      </c>
      <c r="D6587" s="1">
        <v>45911.57849537037</v>
      </c>
      <c r="E6587" s="2">
        <v>1</v>
      </c>
      <c r="F6587" s="2">
        <v>1</v>
      </c>
      <c r="G6587" s="2">
        <v>1</v>
      </c>
      <c r="H6587" s="1">
        <v>45911.579861111109</v>
      </c>
      <c r="I6587" s="2">
        <v>1</v>
      </c>
      <c r="J6587" s="1">
        <v>45911.477916666663</v>
      </c>
    </row>
    <row r="6588" spans="1:10" x14ac:dyDescent="0.2">
      <c r="A6588" s="4" t="s">
        <v>1</v>
      </c>
      <c r="B6588" s="3" t="str">
        <f>HYPERLINK("https://otsuka-europe-crm.veevavault.com/ui/#object/approved_document__v/V5OZ04ASG4FWKA9", "Documento Autorizaciขn Centro Empleador")</f>
        <v>Documento Autorizaciขn Centro Empleador</v>
      </c>
      <c r="C6588" s="3" t="str">
        <f>HYPERLINK("https://otsuka-europe-crm.veevavault.com/ui/#object/sent_email__v/VBLZ025E82GKVKT", "SE-000255836")</f>
        <v>SE-000255836</v>
      </c>
      <c r="D6588" s="1">
        <v>45923.440868055557</v>
      </c>
      <c r="E6588" s="2">
        <v>1</v>
      </c>
      <c r="F6588" s="2">
        <v>2</v>
      </c>
      <c r="G6588" s="2">
        <v>1</v>
      </c>
      <c r="H6588" s="1">
        <v>45911.58011574074</v>
      </c>
      <c r="I6588" s="2">
        <v>1</v>
      </c>
      <c r="J6588" s="1">
        <v>45911.478217592594</v>
      </c>
    </row>
    <row r="6589" spans="1:10" x14ac:dyDescent="0.2">
      <c r="A6589" s="4" t="s">
        <v>1</v>
      </c>
      <c r="B6589" s="3" t="str">
        <f>HYPERLINK("https://otsuka-europe-crm.veevavault.com/ui/#object/approved_document__v/V5OZ04ASG4FWKA9", "Documento Autorizaciขn Centro Empleador")</f>
        <v>Documento Autorizaciขn Centro Empleador</v>
      </c>
      <c r="C6589" s="3" t="str">
        <f>HYPERLINK("https://otsuka-europe-crm.veevavault.com/ui/#object/sent_email__v/VBLZ025E82GKY79", "SE-000255838")</f>
        <v>SE-000255838</v>
      </c>
      <c r="D6589" s="1">
        <v>45947.946655092594</v>
      </c>
      <c r="E6589" s="2">
        <v>1</v>
      </c>
      <c r="F6589" s="2">
        <v>11</v>
      </c>
      <c r="G6589" s="2">
        <v>1</v>
      </c>
      <c r="H6589" s="1">
        <v>45914.0937037037</v>
      </c>
      <c r="I6589" s="2">
        <v>7</v>
      </c>
      <c r="J6589" s="1">
        <v>45911.49795138889</v>
      </c>
    </row>
    <row r="6590" spans="1:10" x14ac:dyDescent="0.2">
      <c r="A6590" s="4" t="s">
        <v>1</v>
      </c>
      <c r="B6590" s="3" t="str">
        <f>HYPERLINK("https://otsuka-europe-crm.veevavault.com/ui/#object/approved_document__v/V5OZ04ASG4FWKA9", "Documento Autorizaciขn Centro Empleador")</f>
        <v>Documento Autorizaciขn Centro Empleador</v>
      </c>
      <c r="C6590" s="3" t="str">
        <f>HYPERLINK("https://otsuka-europe-crm.veevavault.com/ui/#object/sent_email__v/VBLZ025E82GLHEX", "SE-000256004")</f>
        <v>SE-000256004</v>
      </c>
      <c r="D6590" s="1">
        <v>45911.792893518519</v>
      </c>
      <c r="E6590" s="2">
        <v>1</v>
      </c>
      <c r="F6590" s="2">
        <v>1</v>
      </c>
      <c r="G6590" s="2">
        <v>1</v>
      </c>
      <c r="H6590" s="1">
        <v>45911.793368055558</v>
      </c>
      <c r="I6590" s="2">
        <v>2</v>
      </c>
      <c r="J6590" s="1">
        <v>45911.777002314811</v>
      </c>
    </row>
    <row r="6591" spans="1:10" x14ac:dyDescent="0.2">
      <c r="A6591" s="4" t="s">
        <v>1</v>
      </c>
      <c r="B6591" s="3" t="str">
        <f>HYPERLINK("https://otsuka-europe-crm.veevavault.com/ui/#object/approved_document__v/V5OZ04ASG4FWKA9", "Documento Autorizaciขn Centro Empleador")</f>
        <v>Documento Autorizaciขn Centro Empleador</v>
      </c>
      <c r="C6591" s="3" t="str">
        <f>HYPERLINK("https://otsuka-europe-crm.veevavault.com/ui/#object/sent_email__v/VBLZ025E82GLLFD", "SE-000256010")</f>
        <v>SE-000256010</v>
      </c>
      <c r="D6591" s="1">
        <v>45912.643495370372</v>
      </c>
      <c r="E6591" s="2">
        <v>1</v>
      </c>
      <c r="F6591" s="2">
        <v>2</v>
      </c>
      <c r="G6591" s="2">
        <v>1</v>
      </c>
      <c r="H6591" s="1">
        <v>45912.496516203704</v>
      </c>
      <c r="I6591" s="2">
        <v>1</v>
      </c>
      <c r="J6591" s="1">
        <v>45912.354618055557</v>
      </c>
    </row>
    <row r="6592" spans="1:10" x14ac:dyDescent="0.2">
      <c r="A6592" s="4" t="s">
        <v>1</v>
      </c>
      <c r="B6592" s="3" t="str">
        <f>HYPERLINK("https://otsuka-europe-crm.veevavault.com/ui/#object/approved_document__v/V5OZ04ASG4FWKA9", "Documento Autorizaciขn Centro Empleador")</f>
        <v>Documento Autorizaciขn Centro Empleador</v>
      </c>
      <c r="C6592" s="3" t="str">
        <f>HYPERLINK("https://otsuka-europe-crm.veevavault.com/ui/#object/sent_email__v/VBLZ025E82GLOWE", "SE-000258505")</f>
        <v>SE-000258505</v>
      </c>
      <c r="D6592" s="1">
        <v>45922.700462962966</v>
      </c>
      <c r="E6592" s="2">
        <v>1</v>
      </c>
      <c r="F6592" s="2">
        <v>3</v>
      </c>
      <c r="G6592" s="2">
        <v>1</v>
      </c>
      <c r="H6592" s="1">
        <v>45922.700624999998</v>
      </c>
      <c r="I6592" s="2">
        <v>1</v>
      </c>
      <c r="J6592" s="1">
        <v>45912.387083333335</v>
      </c>
    </row>
    <row r="6593" spans="1:10" x14ac:dyDescent="0.2">
      <c r="A6593" s="4" t="s">
        <v>1</v>
      </c>
      <c r="B6593" s="3" t="str">
        <f>HYPERLINK("https://otsuka-europe-crm.veevavault.com/ui/#object/approved_document__v/V5OZ04ASG4FWKA9", "Documento Autorizaciขn Centro Empleador")</f>
        <v>Documento Autorizaciขn Centro Empleador</v>
      </c>
      <c r="C6593" s="3" t="str">
        <f>HYPERLINK("https://otsuka-europe-crm.veevavault.com/ui/#object/sent_email__v/VBLZ025E82GM89L", "SE-000266645")</f>
        <v>SE-000266645</v>
      </c>
      <c r="D6593" s="1">
        <v>45913.32613425926</v>
      </c>
      <c r="E6593" s="2">
        <v>1</v>
      </c>
      <c r="F6593" s="2">
        <v>3</v>
      </c>
      <c r="G6593" s="2">
        <v>1</v>
      </c>
      <c r="H6593" s="1">
        <v>45912.503148148149</v>
      </c>
      <c r="I6593" s="2">
        <v>1</v>
      </c>
      <c r="J6593" s="1">
        <v>45912.497708333336</v>
      </c>
    </row>
    <row r="6594" spans="1:10" x14ac:dyDescent="0.2">
      <c r="A6594" s="4" t="s">
        <v>1</v>
      </c>
      <c r="B6594" s="3" t="str">
        <f>HYPERLINK("https://otsuka-europe-crm.veevavault.com/ui/#object/approved_document__v/V5OZ04ASG4FWKA9", "Documento Autorizaciขn Centro Empleador")</f>
        <v>Documento Autorizaciขn Centro Empleador</v>
      </c>
      <c r="C6594" s="3" t="str">
        <f>HYPERLINK("https://otsuka-europe-crm.veevavault.com/ui/#object/sent_email__v/VBLZ025E82GNZOX", "SE-000275494")</f>
        <v>SE-000275494</v>
      </c>
      <c r="D6594" s="1">
        <v>45920.305277777778</v>
      </c>
      <c r="E6594" s="2">
        <v>1</v>
      </c>
      <c r="F6594" s="2">
        <v>2</v>
      </c>
      <c r="G6594" s="2">
        <v>1</v>
      </c>
      <c r="H6594" s="1">
        <v>45915.490185185183</v>
      </c>
      <c r="I6594" s="2">
        <v>1</v>
      </c>
      <c r="J6594" s="1">
        <v>45915.46980324074</v>
      </c>
    </row>
    <row r="6595" spans="1:10" x14ac:dyDescent="0.2">
      <c r="A6595" s="4" t="s">
        <v>1</v>
      </c>
      <c r="B6595" s="3" t="str">
        <f>HYPERLINK("https://otsuka-europe-crm.veevavault.com/ui/#object/approved_document__v/V5OZ04ASG4FWKA9", "Documento Autorizaciขn Centro Empleador")</f>
        <v>Documento Autorizaciขn Centro Empleador</v>
      </c>
      <c r="C6595" s="3" t="str">
        <f>HYPERLINK("https://otsuka-europe-crm.veevavault.com/ui/#object/sent_email__v/VBLZ025E82GNWZQ", "SE-000275522")</f>
        <v>SE-000275522</v>
      </c>
      <c r="D6595" s="1" t="s">
        <v>0</v>
      </c>
      <c r="E6595" s="2">
        <v>0</v>
      </c>
      <c r="F6595" s="2">
        <v>0</v>
      </c>
      <c r="G6595" s="2">
        <v>0</v>
      </c>
      <c r="H6595" s="1" t="s">
        <v>0</v>
      </c>
      <c r="I6595" s="2">
        <v>0</v>
      </c>
      <c r="J6595" s="1">
        <v>45915.502303240741</v>
      </c>
    </row>
    <row r="6596" spans="1:10" x14ac:dyDescent="0.2">
      <c r="A6596" s="4" t="s">
        <v>1</v>
      </c>
      <c r="B6596" s="3" t="str">
        <f>HYPERLINK("https://otsuka-europe-crm.veevavault.com/ui/#object/approved_document__v/V5OZ04ASG4FWKA9", "Documento Autorizaciขn Centro Empleador")</f>
        <v>Documento Autorizaciขn Centro Empleador</v>
      </c>
      <c r="C6596" s="3" t="str">
        <f>HYPERLINK("https://otsuka-europe-crm.veevavault.com/ui/#object/sent_email__v/VBLZ025E82GOLJ1", "SE-000275603")</f>
        <v>SE-000275603</v>
      </c>
      <c r="D6596" s="1">
        <v>45916.35765046296</v>
      </c>
      <c r="E6596" s="2">
        <v>1</v>
      </c>
      <c r="F6596" s="2">
        <v>1</v>
      </c>
      <c r="G6596" s="2">
        <v>1</v>
      </c>
      <c r="H6596" s="1">
        <v>45916.365983796299</v>
      </c>
      <c r="I6596" s="2">
        <v>2</v>
      </c>
      <c r="J6596" s="1">
        <v>45915.642291666663</v>
      </c>
    </row>
    <row r="6597" spans="1:10" x14ac:dyDescent="0.2">
      <c r="A6597" s="4" t="s">
        <v>1</v>
      </c>
      <c r="B6597" s="3" t="str">
        <f>HYPERLINK("https://otsuka-europe-crm.veevavault.com/ui/#object/approved_document__v/V5OZ04ASG4FWKA9", "Documento Autorizaciขn Centro Empleador")</f>
        <v>Documento Autorizaciขn Centro Empleador</v>
      </c>
      <c r="C6597" s="3" t="str">
        <f>HYPERLINK("https://otsuka-europe-crm.veevavault.com/ui/#object/sent_email__v/VBLZ025E82GP145", "SE-000275648")</f>
        <v>SE-000275648</v>
      </c>
      <c r="D6597" s="1">
        <v>45916.354270833333</v>
      </c>
      <c r="E6597" s="2">
        <v>1</v>
      </c>
      <c r="F6597" s="2">
        <v>1</v>
      </c>
      <c r="G6597" s="2">
        <v>1</v>
      </c>
      <c r="H6597" s="1">
        <v>45916.357604166667</v>
      </c>
      <c r="I6597" s="2">
        <v>2</v>
      </c>
      <c r="J6597" s="1">
        <v>45916.350335648145</v>
      </c>
    </row>
    <row r="6598" spans="1:10" x14ac:dyDescent="0.2">
      <c r="A6598" s="4" t="s">
        <v>1</v>
      </c>
      <c r="B6598" s="3" t="str">
        <f>HYPERLINK("https://otsuka-europe-crm.veevavault.com/ui/#object/approved_document__v/V5OZ04ASG4FWKA9", "Documento Autorizaciขn Centro Empleador")</f>
        <v>Documento Autorizaciขn Centro Empleador</v>
      </c>
      <c r="C6598" s="3" t="str">
        <f>HYPERLINK("https://otsuka-europe-crm.veevavault.com/ui/#object/sent_email__v/VBLZ025E82GP379", "SE-000275651")</f>
        <v>SE-000275651</v>
      </c>
      <c r="D6598" s="1">
        <v>45916.428819444445</v>
      </c>
      <c r="E6598" s="2">
        <v>1</v>
      </c>
      <c r="F6598" s="2">
        <v>1</v>
      </c>
      <c r="G6598" s="2">
        <v>1</v>
      </c>
      <c r="H6598" s="1">
        <v>45916.429097222222</v>
      </c>
      <c r="I6598" s="2">
        <v>2</v>
      </c>
      <c r="J6598" s="1">
        <v>45916.397430555553</v>
      </c>
    </row>
    <row r="6599" spans="1:10" x14ac:dyDescent="0.2">
      <c r="A6599" s="4" t="s">
        <v>1</v>
      </c>
      <c r="B6599" s="3" t="str">
        <f>HYPERLINK("https://otsuka-europe-crm.veevavault.com/ui/#object/approved_document__v/V5OZ04ASG4FWKA9", "Documento Autorizaciขn Centro Empleador")</f>
        <v>Documento Autorizaciขn Centro Empleador</v>
      </c>
      <c r="C6599" s="3" t="str">
        <f>HYPERLINK("https://otsuka-europe-crm.veevavault.com/ui/#object/sent_email__v/VBLZ025E82GQB6H", "SE-000275736")</f>
        <v>SE-000275736</v>
      </c>
      <c r="D6599" s="1" t="s">
        <v>0</v>
      </c>
      <c r="E6599" s="2">
        <v>0</v>
      </c>
      <c r="F6599" s="2">
        <v>0</v>
      </c>
      <c r="G6599" s="2">
        <v>0</v>
      </c>
      <c r="H6599" s="1" t="s">
        <v>0</v>
      </c>
      <c r="I6599" s="2">
        <v>0</v>
      </c>
      <c r="J6599" s="1">
        <v>45916.710798611108</v>
      </c>
    </row>
    <row r="6600" spans="1:10" x14ac:dyDescent="0.2">
      <c r="A6600" s="4" t="s">
        <v>1</v>
      </c>
      <c r="B6600" s="3" t="str">
        <f>HYPERLINK("https://otsuka-europe-crm.veevavault.com/ui/#object/approved_document__v/V5OZ04ASG4FWKA9", "Documento Autorizaciขn Centro Empleador")</f>
        <v>Documento Autorizaciขn Centro Empleador</v>
      </c>
      <c r="C6600" s="3" t="str">
        <f>HYPERLINK("https://otsuka-europe-crm.veevavault.com/ui/#object/sent_email__v/VBLZ025E82GQN2B", "SE-000275745")</f>
        <v>SE-000275745</v>
      </c>
      <c r="D6600" s="1">
        <v>45917.316678240742</v>
      </c>
      <c r="E6600" s="2">
        <v>1</v>
      </c>
      <c r="F6600" s="2">
        <v>1</v>
      </c>
      <c r="G6600" s="2">
        <v>1</v>
      </c>
      <c r="H6600" s="1">
        <v>45917.317372685182</v>
      </c>
      <c r="I6600" s="2">
        <v>2</v>
      </c>
      <c r="J6600" s="1">
        <v>45917.309930555559</v>
      </c>
    </row>
    <row r="6601" spans="1:10" x14ac:dyDescent="0.2">
      <c r="A6601" s="4" t="s">
        <v>1</v>
      </c>
      <c r="B6601" s="3" t="str">
        <f>HYPERLINK("https://otsuka-europe-crm.veevavault.com/ui/#object/approved_document__v/V5OZ04ASG4FWKA9", "Documento Autorizaciขn Centro Empleador")</f>
        <v>Documento Autorizaciขn Centro Empleador</v>
      </c>
      <c r="C6601" s="3" t="str">
        <f>HYPERLINK("https://otsuka-europe-crm.veevavault.com/ui/#object/sent_email__v/VBLZ025E82GQNAL", "SE-000275747")</f>
        <v>SE-000275747</v>
      </c>
      <c r="D6601" s="1">
        <v>45917.554513888892</v>
      </c>
      <c r="E6601" s="2">
        <v>1</v>
      </c>
      <c r="F6601" s="2">
        <v>1</v>
      </c>
      <c r="G6601" s="2">
        <v>1</v>
      </c>
      <c r="H6601" s="1">
        <v>45917.554513888892</v>
      </c>
      <c r="I6601" s="2">
        <v>1</v>
      </c>
      <c r="J6601" s="1">
        <v>45917.312013888892</v>
      </c>
    </row>
    <row r="6602" spans="1:10" x14ac:dyDescent="0.2">
      <c r="A6602" s="4" t="s">
        <v>1</v>
      </c>
      <c r="B6602" s="3" t="str">
        <f>HYPERLINK("https://otsuka-europe-crm.veevavault.com/ui/#object/approved_document__v/V5OZ04ASG4FWKA9", "Documento Autorizaciขn Centro Empleador")</f>
        <v>Documento Autorizaciขn Centro Empleador</v>
      </c>
      <c r="C6602" s="3" t="str">
        <f>HYPERLINK("https://otsuka-europe-crm.veevavault.com/ui/#object/sent_email__v/VBLZ025E82GQORD", "SE-000275753")</f>
        <v>SE-000275753</v>
      </c>
      <c r="D6602" s="1">
        <v>45926.844884259262</v>
      </c>
      <c r="E6602" s="2">
        <v>1</v>
      </c>
      <c r="F6602" s="2">
        <v>6</v>
      </c>
      <c r="G6602" s="2">
        <v>1</v>
      </c>
      <c r="H6602" s="1">
        <v>45917.422893518517</v>
      </c>
      <c r="I6602" s="2">
        <v>2</v>
      </c>
      <c r="J6602" s="1">
        <v>45917.368530092594</v>
      </c>
    </row>
    <row r="6603" spans="1:10" x14ac:dyDescent="0.2">
      <c r="A6603" s="4" t="s">
        <v>1</v>
      </c>
      <c r="B6603" s="3" t="str">
        <f>HYPERLINK("https://otsuka-europe-crm.veevavault.com/ui/#object/approved_document__v/V5OZ04ASG4FWKA9", "Documento Autorizaciขn Centro Empleador")</f>
        <v>Documento Autorizaciขn Centro Empleador</v>
      </c>
      <c r="C6603" s="3" t="str">
        <f>HYPERLINK("https://otsuka-europe-crm.veevavault.com/ui/#object/sent_email__v/VBLZ025E82GRKXP", "SE-000275948")</f>
        <v>SE-000275948</v>
      </c>
      <c r="D6603" s="1">
        <v>45917.670069444444</v>
      </c>
      <c r="E6603" s="2">
        <v>1</v>
      </c>
      <c r="F6603" s="2">
        <v>2</v>
      </c>
      <c r="G6603" s="2">
        <v>1</v>
      </c>
      <c r="H6603" s="1">
        <v>45917.670092592591</v>
      </c>
      <c r="I6603" s="2">
        <v>2</v>
      </c>
      <c r="J6603" s="1">
        <v>45917.581134259257</v>
      </c>
    </row>
    <row r="6604" spans="1:10" x14ac:dyDescent="0.2">
      <c r="A6604" s="4" t="s">
        <v>1</v>
      </c>
      <c r="B6604" s="3" t="str">
        <f>HYPERLINK("https://otsuka-europe-crm.veevavault.com/ui/#object/approved_document__v/V5OZ04ASG4FWKA9", "Documento Autorizaciขn Centro Empleador")</f>
        <v>Documento Autorizaciขn Centro Empleador</v>
      </c>
      <c r="C6604" s="3" t="str">
        <f>HYPERLINK("https://otsuka-europe-crm.veevavault.com/ui/#object/sent_email__v/VBLZ025E82GRW1P", "SE-000275973")</f>
        <v>SE-000275973</v>
      </c>
      <c r="D6604" s="1">
        <v>45918.180706018517</v>
      </c>
      <c r="E6604" s="2">
        <v>1</v>
      </c>
      <c r="F6604" s="2">
        <v>1</v>
      </c>
      <c r="G6604" s="2">
        <v>1</v>
      </c>
      <c r="H6604" s="1">
        <v>45918.180868055555</v>
      </c>
      <c r="I6604" s="2">
        <v>1</v>
      </c>
      <c r="J6604" s="1">
        <v>45917.690312500003</v>
      </c>
    </row>
    <row r="6605" spans="1:10" x14ac:dyDescent="0.2">
      <c r="A6605" s="4" t="s">
        <v>1</v>
      </c>
      <c r="B6605" s="3" t="str">
        <f>HYPERLINK("https://otsuka-europe-crm.veevavault.com/ui/#object/approved_document__v/V5OZ04ASG4FWKA9", "Documento Autorizaciขn Centro Empleador")</f>
        <v>Documento Autorizaciขn Centro Empleador</v>
      </c>
      <c r="C6605" s="3" t="str">
        <f>HYPERLINK("https://otsuka-europe-crm.veevavault.com/ui/#object/sent_email__v/VBLZ025E82GRWQP", "SE-000275974")</f>
        <v>SE-000275974</v>
      </c>
      <c r="D6605" s="1">
        <v>46067.468321759261</v>
      </c>
      <c r="E6605" s="2">
        <v>1</v>
      </c>
      <c r="F6605" s="2">
        <v>5</v>
      </c>
      <c r="G6605" s="2">
        <v>1</v>
      </c>
      <c r="H6605" s="1">
        <v>45917.783726851849</v>
      </c>
      <c r="I6605" s="2">
        <v>1</v>
      </c>
      <c r="J6605" s="1">
        <v>45917.703252314815</v>
      </c>
    </row>
    <row r="6606" spans="1:10" x14ac:dyDescent="0.2">
      <c r="A6606" s="4" t="s">
        <v>1</v>
      </c>
      <c r="B6606" s="3" t="str">
        <f>HYPERLINK("https://otsuka-europe-crm.veevavault.com/ui/#object/approved_document__v/V5OZ04ASG4FWKA9", "Documento Autorizaciขn Centro Empleador")</f>
        <v>Documento Autorizaciขn Centro Empleador</v>
      </c>
      <c r="C6606" s="3" t="str">
        <f>HYPERLINK("https://otsuka-europe-crm.veevavault.com/ui/#object/sent_email__v/VBLZ025E82GS5B1", "SE-000275996")</f>
        <v>SE-000275996</v>
      </c>
      <c r="D6606" s="1">
        <v>45920.394143518519</v>
      </c>
      <c r="E6606" s="2">
        <v>1</v>
      </c>
      <c r="F6606" s="2">
        <v>4</v>
      </c>
      <c r="G6606" s="2">
        <v>1</v>
      </c>
      <c r="H6606" s="1">
        <v>45918.406840277778</v>
      </c>
      <c r="I6606" s="2">
        <v>1</v>
      </c>
      <c r="J6606" s="1">
        <v>45918.314664351848</v>
      </c>
    </row>
    <row r="6607" spans="1:10" x14ac:dyDescent="0.2">
      <c r="A6607" s="4" t="s">
        <v>1</v>
      </c>
      <c r="B6607" s="3" t="str">
        <f>HYPERLINK("https://otsuka-europe-crm.veevavault.com/ui/#object/approved_document__v/V5OZ04ASG4FWKA9", "Documento Autorizaciขn Centro Empleador")</f>
        <v>Documento Autorizaciขn Centro Empleador</v>
      </c>
      <c r="C6607" s="3" t="str">
        <f>HYPERLINK("https://otsuka-europe-crm.veevavault.com/ui/#object/sent_email__v/VBLZ025E82GT81H", "SE-000276674")</f>
        <v>SE-000276674</v>
      </c>
      <c r="D6607" s="1">
        <v>45918.622395833336</v>
      </c>
      <c r="E6607" s="2">
        <v>1</v>
      </c>
      <c r="F6607" s="2">
        <v>2</v>
      </c>
      <c r="G6607" s="2">
        <v>1</v>
      </c>
      <c r="H6607" s="1">
        <v>45918.622511574074</v>
      </c>
      <c r="I6607" s="2">
        <v>3</v>
      </c>
      <c r="J6607" s="1">
        <v>45918.572071759256</v>
      </c>
    </row>
    <row r="6608" spans="1:10" x14ac:dyDescent="0.2">
      <c r="A6608" s="4" t="s">
        <v>1</v>
      </c>
      <c r="B6608" s="3" t="str">
        <f>HYPERLINK("https://otsuka-europe-crm.veevavault.com/ui/#object/approved_document__v/V5OZ04ASG4FWKA9", "Documento Autorizaciขn Centro Empleador")</f>
        <v>Documento Autorizaciขn Centro Empleador</v>
      </c>
      <c r="C6608" s="3" t="str">
        <f>HYPERLINK("https://otsuka-europe-crm.veevavault.com/ui/#object/sent_email__v/VBLZ025E82GTC4Q", "SE-000276677")</f>
        <v>SE-000276677</v>
      </c>
      <c r="D6608" s="1">
        <v>45942.805798611109</v>
      </c>
      <c r="E6608" s="2">
        <v>1</v>
      </c>
      <c r="F6608" s="2">
        <v>2</v>
      </c>
      <c r="G6608" s="2">
        <v>1</v>
      </c>
      <c r="H6608" s="1">
        <v>45918.623240740744</v>
      </c>
      <c r="I6608" s="2">
        <v>1</v>
      </c>
      <c r="J6608" s="1">
        <v>45918.622986111113</v>
      </c>
    </row>
    <row r="6609" spans="1:10" x14ac:dyDescent="0.2">
      <c r="A6609" s="4" t="s">
        <v>1</v>
      </c>
      <c r="B6609" s="3" t="str">
        <f>HYPERLINK("https://otsuka-europe-crm.veevavault.com/ui/#object/approved_document__v/V5OZ04ASG4FWKA9", "Documento Autorizaciขn Centro Empleador")</f>
        <v>Documento Autorizaciขn Centro Empleador</v>
      </c>
      <c r="C6609" s="3" t="str">
        <f>HYPERLINK("https://otsuka-europe-crm.veevavault.com/ui/#object/sent_email__v/VBLZ025E82GTMMH", "SE-000276696")</f>
        <v>SE-000276696</v>
      </c>
      <c r="D6609" s="1">
        <v>45918.717395833337</v>
      </c>
      <c r="E6609" s="2">
        <v>1</v>
      </c>
      <c r="F6609" s="2">
        <v>2</v>
      </c>
      <c r="G6609" s="2">
        <v>1</v>
      </c>
      <c r="H6609" s="1">
        <v>45918.717488425929</v>
      </c>
      <c r="I6609" s="2">
        <v>1</v>
      </c>
      <c r="J6609" s="1">
        <v>45918.713518518518</v>
      </c>
    </row>
    <row r="6610" spans="1:10" x14ac:dyDescent="0.2">
      <c r="A6610" s="4" t="s">
        <v>1</v>
      </c>
      <c r="B6610" s="3" t="str">
        <f>HYPERLINK("https://otsuka-europe-crm.veevavault.com/ui/#object/approved_document__v/V5OZ04ASG4FWKA9", "Documento Autorizaciขn Centro Empleador")</f>
        <v>Documento Autorizaciขn Centro Empleador</v>
      </c>
      <c r="C6610" s="3" t="str">
        <f>HYPERLINK("https://otsuka-europe-crm.veevavault.com/ui/#object/sent_email__v/VBLZ025E82GTPBP", "SE-000276705")</f>
        <v>SE-000276705</v>
      </c>
      <c r="D6610" s="1">
        <v>45918.771944444445</v>
      </c>
      <c r="E6610" s="2">
        <v>1</v>
      </c>
      <c r="F6610" s="2">
        <v>2</v>
      </c>
      <c r="G6610" s="2">
        <v>1</v>
      </c>
      <c r="H6610" s="1">
        <v>45918.77202546296</v>
      </c>
      <c r="I6610" s="2">
        <v>1</v>
      </c>
      <c r="J6610" s="1">
        <v>45918.771458333336</v>
      </c>
    </row>
    <row r="6611" spans="1:10" x14ac:dyDescent="0.2">
      <c r="A6611" s="4" t="s">
        <v>1</v>
      </c>
      <c r="B6611" s="3" t="str">
        <f>HYPERLINK("https://otsuka-europe-crm.veevavault.com/ui/#object/approved_document__v/V5OZ04ASG4FWKA9", "Documento Autorizaciขn Centro Empleador")</f>
        <v>Documento Autorizaciขn Centro Empleador</v>
      </c>
      <c r="C6611" s="3" t="str">
        <f>HYPERLINK("https://otsuka-europe-crm.veevavault.com/ui/#object/sent_email__v/VBLZ025E82GTPSD", "SE-000276706")</f>
        <v>SE-000276706</v>
      </c>
      <c r="D6611" s="1">
        <v>45918.827337962961</v>
      </c>
      <c r="E6611" s="2">
        <v>1</v>
      </c>
      <c r="F6611" s="2">
        <v>1</v>
      </c>
      <c r="G6611" s="2">
        <v>1</v>
      </c>
      <c r="H6611" s="1">
        <v>45918.827337962961</v>
      </c>
      <c r="I6611" s="2">
        <v>1</v>
      </c>
      <c r="J6611" s="1">
        <v>45918.827060185184</v>
      </c>
    </row>
    <row r="6612" spans="1:10" x14ac:dyDescent="0.2">
      <c r="A6612" s="4" t="s">
        <v>1</v>
      </c>
      <c r="B6612" s="3" t="str">
        <f>HYPERLINK("https://otsuka-europe-crm.veevavault.com/ui/#object/approved_document__v/V5OZ04ASG4FWKA9", "Documento Autorizaciขn Centro Empleador")</f>
        <v>Documento Autorizaciขn Centro Empleador</v>
      </c>
      <c r="C6612" s="3" t="str">
        <f>HYPERLINK("https://otsuka-europe-crm.veevavault.com/ui/#object/sent_email__v/VBLZ025E82GTTQ1", "SE-000276707")</f>
        <v>SE-000276707</v>
      </c>
      <c r="D6612" s="1">
        <v>45919.325648148151</v>
      </c>
      <c r="E6612" s="2">
        <v>1</v>
      </c>
      <c r="F6612" s="2">
        <v>1</v>
      </c>
      <c r="G6612" s="2">
        <v>1</v>
      </c>
      <c r="H6612" s="1">
        <v>45919.568020833336</v>
      </c>
      <c r="I6612" s="2">
        <v>1</v>
      </c>
      <c r="J6612" s="1">
        <v>45919.317928240744</v>
      </c>
    </row>
    <row r="6613" spans="1:10" x14ac:dyDescent="0.2">
      <c r="A6613" s="4" t="s">
        <v>1</v>
      </c>
      <c r="B6613" s="3" t="str">
        <f>HYPERLINK("https://otsuka-europe-crm.veevavault.com/ui/#object/approved_document__v/V5OZ04ASG4FWKA9", "Documento Autorizaciขn Centro Empleador")</f>
        <v>Documento Autorizaciขn Centro Empleador</v>
      </c>
      <c r="C6613" s="3" t="str">
        <f>HYPERLINK("https://otsuka-europe-crm.veevavault.com/ui/#object/sent_email__v/VBLZ025E82GTW1D", "SE-000276715")</f>
        <v>SE-000276715</v>
      </c>
      <c r="D6613" s="1">
        <v>45919.528425925928</v>
      </c>
      <c r="E6613" s="2">
        <v>1</v>
      </c>
      <c r="F6613" s="2">
        <v>2</v>
      </c>
      <c r="G6613" s="2">
        <v>1</v>
      </c>
      <c r="H6613" s="1">
        <v>45919.373182870368</v>
      </c>
      <c r="I6613" s="2">
        <v>1</v>
      </c>
      <c r="J6613" s="1">
        <v>45919.371828703705</v>
      </c>
    </row>
    <row r="6614" spans="1:10" x14ac:dyDescent="0.2">
      <c r="A6614" s="4" t="s">
        <v>1</v>
      </c>
      <c r="B6614" s="3" t="str">
        <f>HYPERLINK("https://otsuka-europe-crm.veevavault.com/ui/#object/approved_document__v/V5OZ04ASG4FWKA9", "Documento Autorizaciขn Centro Empleador")</f>
        <v>Documento Autorizaciขn Centro Empleador</v>
      </c>
      <c r="C6614" s="3" t="str">
        <f>HYPERLINK("https://otsuka-europe-crm.veevavault.com/ui/#object/sent_email__v/VBLZ025E82GUEK3", "SE-000277189")</f>
        <v>SE-000277189</v>
      </c>
      <c r="D6614" s="1">
        <v>45922.521423611113</v>
      </c>
      <c r="E6614" s="2">
        <v>1</v>
      </c>
      <c r="F6614" s="2">
        <v>5</v>
      </c>
      <c r="G6614" s="2">
        <v>1</v>
      </c>
      <c r="H6614" s="1">
        <v>45919.485520833332</v>
      </c>
      <c r="I6614" s="2">
        <v>2</v>
      </c>
      <c r="J6614" s="1">
        <v>45919.484340277777</v>
      </c>
    </row>
    <row r="6615" spans="1:10" x14ac:dyDescent="0.2">
      <c r="A6615" s="4" t="s">
        <v>1</v>
      </c>
      <c r="B6615" s="3" t="str">
        <f>HYPERLINK("https://otsuka-europe-crm.veevavault.com/ui/#object/approved_document__v/V5OZ04ASG4FWKA9", "Documento Autorizaciขn Centro Empleador")</f>
        <v>Documento Autorizaciขn Centro Empleador</v>
      </c>
      <c r="C6615" s="3" t="str">
        <f>HYPERLINK("https://otsuka-europe-crm.veevavault.com/ui/#object/sent_email__v/VBLZ025E82GVIAL", "SE-000279470")</f>
        <v>SE-000279470</v>
      </c>
      <c r="D6615" s="1">
        <v>45951.2734837963</v>
      </c>
      <c r="E6615" s="2">
        <v>1</v>
      </c>
      <c r="F6615" s="2">
        <v>7</v>
      </c>
      <c r="G6615" s="2">
        <v>1</v>
      </c>
      <c r="H6615" s="1">
        <v>45922.930567129632</v>
      </c>
      <c r="I6615" s="2">
        <v>1</v>
      </c>
      <c r="J6615" s="1">
        <v>45922.318460648145</v>
      </c>
    </row>
    <row r="6616" spans="1:10" x14ac:dyDescent="0.2">
      <c r="A6616" s="4" t="s">
        <v>1</v>
      </c>
      <c r="B6616" s="3" t="str">
        <f>HYPERLINK("https://otsuka-europe-crm.veevavault.com/ui/#object/approved_document__v/V5OZ04ASG4FWKA9", "Documento Autorizaciขn Centro Empleador")</f>
        <v>Documento Autorizaciขn Centro Empleador</v>
      </c>
      <c r="C6616" s="3" t="str">
        <f>HYPERLINK("https://otsuka-europe-crm.veevavault.com/ui/#object/sent_email__v/VBLZ025E82GVYHX", "SE-000279490")</f>
        <v>SE-000279490</v>
      </c>
      <c r="D6616" s="1">
        <v>45922.58457175926</v>
      </c>
      <c r="E6616" s="2">
        <v>1</v>
      </c>
      <c r="F6616" s="2">
        <v>2</v>
      </c>
      <c r="G6616" s="2">
        <v>1</v>
      </c>
      <c r="H6616" s="1">
        <v>45922.584710648145</v>
      </c>
      <c r="I6616" s="2">
        <v>1</v>
      </c>
      <c r="J6616" s="1">
        <v>45922.493148148147</v>
      </c>
    </row>
    <row r="6617" spans="1:10" x14ac:dyDescent="0.2">
      <c r="A6617" s="4" t="s">
        <v>1</v>
      </c>
      <c r="B6617" s="3" t="str">
        <f>HYPERLINK("https://otsuka-europe-crm.veevavault.com/ui/#object/approved_document__v/V5OZ04ASG4FWKA9", "Documento Autorizaciขn Centro Empleador")</f>
        <v>Documento Autorizaciขn Centro Empleador</v>
      </c>
      <c r="C6617" s="3" t="str">
        <f>HYPERLINK("https://otsuka-europe-crm.veevavault.com/ui/#object/sent_email__v/VBLZ025E82GW0NP", "SE-000279614")</f>
        <v>SE-000279614</v>
      </c>
      <c r="D6617" s="1">
        <v>45930.718055555553</v>
      </c>
      <c r="E6617" s="2">
        <v>1</v>
      </c>
      <c r="F6617" s="2">
        <v>2</v>
      </c>
      <c r="G6617" s="2">
        <v>1</v>
      </c>
      <c r="H6617" s="1">
        <v>45922.634837962964</v>
      </c>
      <c r="I6617" s="2">
        <v>1</v>
      </c>
      <c r="J6617" s="1">
        <v>45922.507013888891</v>
      </c>
    </row>
    <row r="6618" spans="1:10" x14ac:dyDescent="0.2">
      <c r="A6618" s="4" t="s">
        <v>1</v>
      </c>
      <c r="B6618" s="3" t="str">
        <f>HYPERLINK("https://otsuka-europe-crm.veevavault.com/ui/#object/approved_document__v/V5OZ04ASG4FWKA9", "Documento Autorizaciขn Centro Empleador")</f>
        <v>Documento Autorizaciขn Centro Empleador</v>
      </c>
      <c r="C6618" s="3" t="str">
        <f>HYPERLINK("https://otsuka-europe-crm.veevavault.com/ui/#object/sent_email__v/VBLZ025E82GWTFT", "SE-000280108")</f>
        <v>SE-000280108</v>
      </c>
      <c r="D6618" s="1">
        <v>45937.462696759256</v>
      </c>
      <c r="E6618" s="2">
        <v>1</v>
      </c>
      <c r="F6618" s="2">
        <v>5</v>
      </c>
      <c r="G6618" s="2">
        <v>1</v>
      </c>
      <c r="H6618" s="1">
        <v>45923.325185185182</v>
      </c>
      <c r="I6618" s="2">
        <v>2</v>
      </c>
      <c r="J6618" s="1">
        <v>45923.316076388888</v>
      </c>
    </row>
    <row r="6619" spans="1:10" x14ac:dyDescent="0.2">
      <c r="A6619" s="4" t="s">
        <v>1</v>
      </c>
      <c r="B6619" s="3" t="str">
        <f>HYPERLINK("https://otsuka-europe-crm.veevavault.com/ui/#object/approved_document__v/V5OZ04ASG4FWKA9", "Documento Autorizaciขn Centro Empleador")</f>
        <v>Documento Autorizaciขn Centro Empleador</v>
      </c>
      <c r="C6619" s="3" t="str">
        <f>HYPERLINK("https://otsuka-europe-crm.veevavault.com/ui/#object/sent_email__v/VBLZ025E82GX96H", "SE-000280163")</f>
        <v>SE-000280163</v>
      </c>
      <c r="D6619" s="1">
        <v>45924.9608912037</v>
      </c>
      <c r="E6619" s="2">
        <v>1</v>
      </c>
      <c r="F6619" s="2">
        <v>7</v>
      </c>
      <c r="G6619" s="2">
        <v>1</v>
      </c>
      <c r="H6619" s="1">
        <v>45923.531782407408</v>
      </c>
      <c r="I6619" s="2">
        <v>4</v>
      </c>
      <c r="J6619" s="1">
        <v>45923.489398148151</v>
      </c>
    </row>
    <row r="6620" spans="1:10" x14ac:dyDescent="0.2">
      <c r="A6620" s="4" t="s">
        <v>1</v>
      </c>
      <c r="B6620" s="3" t="str">
        <f>HYPERLINK("https://otsuka-europe-crm.veevavault.com/ui/#object/approved_document__v/V5OZ04ASG4FWKA9", "Documento Autorizaciขn Centro Empleador")</f>
        <v>Documento Autorizaciขn Centro Empleador</v>
      </c>
      <c r="C6620" s="3" t="str">
        <f>HYPERLINK("https://otsuka-europe-crm.veevavault.com/ui/#object/sent_email__v/VBLZ025E82GXE1J", "SE-000280177")</f>
        <v>SE-000280177</v>
      </c>
      <c r="D6620" s="1">
        <v>45923.530115740738</v>
      </c>
      <c r="E6620" s="2">
        <v>1</v>
      </c>
      <c r="F6620" s="2">
        <v>1</v>
      </c>
      <c r="G6620" s="2">
        <v>1</v>
      </c>
      <c r="H6620" s="1">
        <v>45923.530115740738</v>
      </c>
      <c r="I6620" s="2">
        <v>1</v>
      </c>
      <c r="J6620" s="1">
        <v>45923.522650462961</v>
      </c>
    </row>
    <row r="6621" spans="1:10" x14ac:dyDescent="0.2">
      <c r="A6621" s="4" t="s">
        <v>1</v>
      </c>
      <c r="B6621" s="3" t="str">
        <f>HYPERLINK("https://otsuka-europe-crm.veevavault.com/ui/#object/approved_document__v/V5OZ04ASG4FWKA9", "Documento Autorizaciขn Centro Empleador")</f>
        <v>Documento Autorizaciขn Centro Empleador</v>
      </c>
      <c r="C6621" s="3" t="str">
        <f>HYPERLINK("https://otsuka-europe-crm.veevavault.com/ui/#object/sent_email__v/VBLZ025E82GXE72", "SE-000280179")</f>
        <v>SE-000280179</v>
      </c>
      <c r="D6621" s="1">
        <v>45923.554155092592</v>
      </c>
      <c r="E6621" s="2">
        <v>1</v>
      </c>
      <c r="F6621" s="2">
        <v>1</v>
      </c>
      <c r="G6621" s="2">
        <v>1</v>
      </c>
      <c r="H6621" s="1">
        <v>45923.554236111115</v>
      </c>
      <c r="I6621" s="2">
        <v>1</v>
      </c>
      <c r="J6621" s="1">
        <v>45923.524826388886</v>
      </c>
    </row>
    <row r="6622" spans="1:10" x14ac:dyDescent="0.2">
      <c r="A6622" s="4" t="s">
        <v>1</v>
      </c>
      <c r="B6622" s="3" t="str">
        <f>HYPERLINK("https://otsuka-europe-crm.veevavault.com/ui/#object/approved_document__v/V5OZ04ASG4FWKA9", "Documento Autorizaciขn Centro Empleador")</f>
        <v>Documento Autorizaciขn Centro Empleador</v>
      </c>
      <c r="C6622" s="3" t="str">
        <f>HYPERLINK("https://otsuka-europe-crm.veevavault.com/ui/#object/sent_email__v/VBLZ025E82GXZYD", "SE-000280267")</f>
        <v>SE-000280267</v>
      </c>
      <c r="D6622" s="1">
        <v>45923.707719907405</v>
      </c>
      <c r="E6622" s="2">
        <v>1</v>
      </c>
      <c r="F6622" s="2">
        <v>1</v>
      </c>
      <c r="G6622" s="2">
        <v>1</v>
      </c>
      <c r="H6622" s="1">
        <v>45923.707719907405</v>
      </c>
      <c r="I6622" s="2">
        <v>1</v>
      </c>
      <c r="J6622" s="1">
        <v>45923.681666666664</v>
      </c>
    </row>
    <row r="6623" spans="1:10" x14ac:dyDescent="0.2">
      <c r="A6623" s="4" t="s">
        <v>1</v>
      </c>
      <c r="B6623" s="3" t="str">
        <f>HYPERLINK("https://otsuka-europe-crm.veevavault.com/ui/#object/approved_document__v/V5OZ04ASG4FWKA9", "Documento Autorizaciขn Centro Empleador")</f>
        <v>Documento Autorizaciขn Centro Empleador</v>
      </c>
      <c r="C6623" s="3" t="str">
        <f>HYPERLINK("https://otsuka-europe-crm.veevavault.com/ui/#object/sent_email__v/VBLZ025E82GYDOT", "SE-000280392")</f>
        <v>SE-000280392</v>
      </c>
      <c r="D6623" s="1">
        <v>45924.503321759257</v>
      </c>
      <c r="E6623" s="2">
        <v>1</v>
      </c>
      <c r="F6623" s="2">
        <v>1</v>
      </c>
      <c r="G6623" s="2">
        <v>1</v>
      </c>
      <c r="H6623" s="1">
        <v>45924.51599537037</v>
      </c>
      <c r="I6623" s="2">
        <v>2</v>
      </c>
      <c r="J6623" s="1">
        <v>45924.456562500003</v>
      </c>
    </row>
    <row r="6624" spans="1:10" x14ac:dyDescent="0.2">
      <c r="A6624" s="4" t="s">
        <v>1</v>
      </c>
      <c r="B6624" s="3" t="str">
        <f>HYPERLINK("https://otsuka-europe-crm.veevavault.com/ui/#object/approved_document__v/V5OZ04ASG4FWKA9", "Documento Autorizaciขn Centro Empleador")</f>
        <v>Documento Autorizaciขn Centro Empleador</v>
      </c>
      <c r="C6624" s="3" t="str">
        <f>HYPERLINK("https://otsuka-europe-crm.veevavault.com/ui/#object/sent_email__v/VBLZ025E82GYO9F", "SE-000280442")</f>
        <v>SE-000280442</v>
      </c>
      <c r="D6624" s="1" t="s">
        <v>0</v>
      </c>
      <c r="E6624" s="2">
        <v>0</v>
      </c>
      <c r="F6624" s="2">
        <v>0</v>
      </c>
      <c r="G6624" s="2">
        <v>0</v>
      </c>
      <c r="H6624" s="1" t="s">
        <v>0</v>
      </c>
      <c r="I6624" s="2">
        <v>0</v>
      </c>
      <c r="J6624" s="1">
        <v>45924.549444444441</v>
      </c>
    </row>
    <row r="6625" spans="1:10" x14ac:dyDescent="0.2">
      <c r="A6625" s="4" t="s">
        <v>1</v>
      </c>
      <c r="B6625" s="3" t="str">
        <f>HYPERLINK("https://otsuka-europe-crm.veevavault.com/ui/#object/approved_document__v/V5OZ04ASG4FWKA9", "Documento Autorizaciขn Centro Empleador")</f>
        <v>Documento Autorizaciขn Centro Empleador</v>
      </c>
      <c r="C6625" s="3" t="str">
        <f>HYPERLINK("https://otsuka-europe-crm.veevavault.com/ui/#object/sent_email__v/VBLZ025E82GZCET", "SE-000280614")</f>
        <v>SE-000280614</v>
      </c>
      <c r="D6625" s="1">
        <v>45939.777349537035</v>
      </c>
      <c r="E6625" s="2">
        <v>1</v>
      </c>
      <c r="F6625" s="2">
        <v>3</v>
      </c>
      <c r="G6625" s="2">
        <v>1</v>
      </c>
      <c r="H6625" s="1">
        <v>45939.777395833335</v>
      </c>
      <c r="I6625" s="2">
        <v>2</v>
      </c>
      <c r="J6625" s="1">
        <v>45925.291481481479</v>
      </c>
    </row>
    <row r="6626" spans="1:10" x14ac:dyDescent="0.2">
      <c r="A6626" s="4" t="s">
        <v>1</v>
      </c>
      <c r="B6626" s="3" t="str">
        <f>HYPERLINK("https://otsuka-europe-crm.veevavault.com/ui/#object/approved_document__v/V5OZ04ASG4FWKA9", "Documento Autorizaciขn Centro Empleador")</f>
        <v>Documento Autorizaciขn Centro Empleador</v>
      </c>
      <c r="C6626" s="3" t="str">
        <f>HYPERLINK("https://otsuka-europe-crm.veevavault.com/ui/#object/sent_email__v/VBLZ025E82GZCHL", "SE-000280615")</f>
        <v>SE-000280615</v>
      </c>
      <c r="D6626" s="1">
        <v>45948.272569444445</v>
      </c>
      <c r="E6626" s="2">
        <v>1</v>
      </c>
      <c r="F6626" s="2">
        <v>3</v>
      </c>
      <c r="G6626" s="2">
        <v>1</v>
      </c>
      <c r="H6626" s="1">
        <v>45925.329907407409</v>
      </c>
      <c r="I6626" s="2">
        <v>1</v>
      </c>
      <c r="J6626" s="1">
        <v>45925.291967592595</v>
      </c>
    </row>
    <row r="6627" spans="1:10" x14ac:dyDescent="0.2">
      <c r="A6627" s="4" t="s">
        <v>1</v>
      </c>
      <c r="B6627" s="3" t="str">
        <f>HYPERLINK("https://otsuka-europe-crm.veevavault.com/ui/#object/approved_document__v/V5OZ04ASG4FWKA9", "Documento Autorizaciขn Centro Empleador")</f>
        <v>Documento Autorizaciขn Centro Empleador</v>
      </c>
      <c r="C6627" s="3" t="str">
        <f>HYPERLINK("https://otsuka-europe-crm.veevavault.com/ui/#object/sent_email__v/VBLZ025E82GZCKD", "SE-000280616")</f>
        <v>SE-000280616</v>
      </c>
      <c r="D6627" s="1">
        <v>45952.887233796297</v>
      </c>
      <c r="E6627" s="2">
        <v>1</v>
      </c>
      <c r="F6627" s="2">
        <v>3</v>
      </c>
      <c r="G6627" s="2">
        <v>1</v>
      </c>
      <c r="H6627" s="1">
        <v>45925.371134259258</v>
      </c>
      <c r="I6627" s="2">
        <v>1</v>
      </c>
      <c r="J6627" s="1">
        <v>45925.297962962963</v>
      </c>
    </row>
    <row r="6628" spans="1:10" x14ac:dyDescent="0.2">
      <c r="A6628" s="4" t="s">
        <v>1</v>
      </c>
      <c r="B6628" s="3" t="str">
        <f>HYPERLINK("https://otsuka-europe-crm.veevavault.com/ui/#object/approved_document__v/V5OZ04ASG4FWKA9", "Documento Autorizaciขn Centro Empleador")</f>
        <v>Documento Autorizaciขn Centro Empleador</v>
      </c>
      <c r="C6628" s="3" t="str">
        <f>HYPERLINK("https://otsuka-europe-crm.veevavault.com/ui/#object/sent_email__v/VBLZ025E82GZCVH", "SE-000280617")</f>
        <v>SE-000280617</v>
      </c>
      <c r="D6628" s="1">
        <v>45931.840520833335</v>
      </c>
      <c r="E6628" s="2">
        <v>1</v>
      </c>
      <c r="F6628" s="2">
        <v>2</v>
      </c>
      <c r="G6628" s="2">
        <v>1</v>
      </c>
      <c r="H6628" s="1">
        <v>45946.663726851853</v>
      </c>
      <c r="I6628" s="2">
        <v>2</v>
      </c>
      <c r="J6628" s="1">
        <v>45925.307118055556</v>
      </c>
    </row>
    <row r="6629" spans="1:10" x14ac:dyDescent="0.2">
      <c r="A6629" s="4" t="s">
        <v>1</v>
      </c>
      <c r="B6629" s="3" t="str">
        <f>HYPERLINK("https://otsuka-europe-crm.veevavault.com/ui/#object/approved_document__v/V5OZ04ASG4FWKA9", "Documento Autorizaciขn Centro Empleador")</f>
        <v>Documento Autorizaciขn Centro Empleador</v>
      </c>
      <c r="C6629" s="3" t="str">
        <f>HYPERLINK("https://otsuka-europe-crm.veevavault.com/ui/#object/sent_email__v/VBLZ025E82H0VNQ", "SE-000280944")</f>
        <v>SE-000280944</v>
      </c>
      <c r="D6629" s="1">
        <v>45948.417118055557</v>
      </c>
      <c r="E6629" s="2">
        <v>1</v>
      </c>
      <c r="F6629" s="2">
        <v>6</v>
      </c>
      <c r="G6629" s="2">
        <v>1</v>
      </c>
      <c r="H6629" s="1">
        <v>45925.840856481482</v>
      </c>
      <c r="I6629" s="2">
        <v>1</v>
      </c>
      <c r="J6629" s="1">
        <v>45925.812962962962</v>
      </c>
    </row>
    <row r="6630" spans="1:10" x14ac:dyDescent="0.2">
      <c r="A6630" s="4" t="s">
        <v>1</v>
      </c>
      <c r="B6630" s="3" t="str">
        <f>HYPERLINK("https://otsuka-europe-crm.veevavault.com/ui/#object/approved_document__v/V5OZ04ASG4FWKA9", "Documento Autorizaciขn Centro Empleador")</f>
        <v>Documento Autorizaciขn Centro Empleador</v>
      </c>
      <c r="C6630" s="3" t="str">
        <f>HYPERLINK("https://otsuka-europe-crm.veevavault.com/ui/#object/sent_email__v/VBLZ025E82H17GQ", "SE-000281036")</f>
        <v>SE-000281036</v>
      </c>
      <c r="D6630" s="1">
        <v>45926.423935185187</v>
      </c>
      <c r="E6630" s="2">
        <v>1</v>
      </c>
      <c r="F6630" s="2">
        <v>2</v>
      </c>
      <c r="G6630" s="2">
        <v>0</v>
      </c>
      <c r="H6630" s="1" t="s">
        <v>0</v>
      </c>
      <c r="I6630" s="2">
        <v>0</v>
      </c>
      <c r="J6630" s="1">
        <v>45926.420775462961</v>
      </c>
    </row>
    <row r="6631" spans="1:10" x14ac:dyDescent="0.2">
      <c r="A6631" s="4" t="s">
        <v>1</v>
      </c>
      <c r="B6631" s="3" t="str">
        <f>HYPERLINK("https://otsuka-europe-crm.veevavault.com/ui/#object/approved_document__v/V5OZ04ASG4FWKA9", "Documento Autorizaciขn Centro Empleador")</f>
        <v>Documento Autorizaciขn Centro Empleador</v>
      </c>
      <c r="C6631" s="3" t="str">
        <f>HYPERLINK("https://otsuka-europe-crm.veevavault.com/ui/#object/sent_email__v/VBLZ025E82H1PR1", "SE-000281356")</f>
        <v>SE-000281356</v>
      </c>
      <c r="D6631" s="1">
        <v>45980.625937500001</v>
      </c>
      <c r="E6631" s="2">
        <v>1</v>
      </c>
      <c r="F6631" s="2">
        <v>2</v>
      </c>
      <c r="G6631" s="2">
        <v>1</v>
      </c>
      <c r="H6631" s="1">
        <v>45926.529548611114</v>
      </c>
      <c r="I6631" s="2">
        <v>1</v>
      </c>
      <c r="J6631" s="1">
        <v>45926.525393518517</v>
      </c>
    </row>
    <row r="6632" spans="1:10" x14ac:dyDescent="0.2">
      <c r="A6632" s="4" t="s">
        <v>1</v>
      </c>
      <c r="B6632" s="3" t="str">
        <f>HYPERLINK("https://otsuka-europe-crm.veevavault.com/ui/#object/approved_document__v/V5OZ04ASG4FWKA9", "Documento Autorizaciขn Centro Empleador")</f>
        <v>Documento Autorizaciขn Centro Empleador</v>
      </c>
      <c r="C6632" s="3" t="str">
        <f>HYPERLINK("https://otsuka-europe-crm.veevavault.com/ui/#object/sent_email__v/VBLZ025E82H1Q7P", "SE-000281357")</f>
        <v>SE-000281357</v>
      </c>
      <c r="D6632" s="1">
        <v>45926.695034722223</v>
      </c>
      <c r="E6632" s="2">
        <v>1</v>
      </c>
      <c r="F6632" s="2">
        <v>4</v>
      </c>
      <c r="G6632" s="2">
        <v>1</v>
      </c>
      <c r="H6632" s="1">
        <v>45926.694513888891</v>
      </c>
      <c r="I6632" s="2">
        <v>2</v>
      </c>
      <c r="J6632" s="1">
        <v>45926.530613425923</v>
      </c>
    </row>
    <row r="6633" spans="1:10" x14ac:dyDescent="0.2">
      <c r="A6633" s="4" t="s">
        <v>1</v>
      </c>
      <c r="B6633" s="3" t="str">
        <f>HYPERLINK("https://otsuka-europe-crm.veevavault.com/ui/#object/approved_document__v/V5OZ04ASG4FWKA9", "Documento Autorizaciขn Centro Empleador")</f>
        <v>Documento Autorizaciขn Centro Empleador</v>
      </c>
      <c r="C6633" s="3" t="str">
        <f>HYPERLINK("https://otsuka-europe-crm.veevavault.com/ui/#object/sent_email__v/VBLZ025E82H1RZL", "SE-000281418")</f>
        <v>SE-000281418</v>
      </c>
      <c r="D6633" s="1">
        <v>45926.599814814814</v>
      </c>
      <c r="E6633" s="2">
        <v>1</v>
      </c>
      <c r="F6633" s="2">
        <v>3</v>
      </c>
      <c r="G6633" s="2">
        <v>1</v>
      </c>
      <c r="H6633" s="1">
        <v>45930.478379629632</v>
      </c>
      <c r="I6633" s="2">
        <v>1</v>
      </c>
      <c r="J6633" s="1">
        <v>45926.558622685188</v>
      </c>
    </row>
    <row r="6634" spans="1:10" x14ac:dyDescent="0.2">
      <c r="A6634" s="4" t="s">
        <v>1</v>
      </c>
      <c r="B6634" s="3" t="str">
        <f>HYPERLINK("https://otsuka-europe-crm.veevavault.com/ui/#object/approved_document__v/V5OZ04ASG4FWKA9", "Documento Autorizaciขn Centro Empleador")</f>
        <v>Documento Autorizaciขn Centro Empleador</v>
      </c>
      <c r="C6634" s="3" t="str">
        <f>HYPERLINK("https://otsuka-europe-crm.veevavault.com/ui/#object/sent_email__v/VBLZ025E82H1SAQ", "SE-000281421")</f>
        <v>SE-000281421</v>
      </c>
      <c r="D6634" s="1">
        <v>45931.347500000003</v>
      </c>
      <c r="E6634" s="2">
        <v>1</v>
      </c>
      <c r="F6634" s="2">
        <v>9</v>
      </c>
      <c r="G6634" s="2">
        <v>1</v>
      </c>
      <c r="H6634" s="1">
        <v>45931.34752314815</v>
      </c>
      <c r="I6634" s="2">
        <v>4</v>
      </c>
      <c r="J6634" s="1">
        <v>45926.562418981484</v>
      </c>
    </row>
    <row r="6635" spans="1:10" x14ac:dyDescent="0.2">
      <c r="A6635" s="4" t="s">
        <v>1</v>
      </c>
      <c r="B6635" s="3" t="str">
        <f>HYPERLINK("https://otsuka-europe-crm.veevavault.com/ui/#object/approved_document__v/V5OZ04ASG4FWKA9", "Documento Autorizaciขn Centro Empleador")</f>
        <v>Documento Autorizaciขn Centro Empleador</v>
      </c>
      <c r="C6635" s="3" t="str">
        <f>HYPERLINK("https://otsuka-europe-crm.veevavault.com/ui/#object/sent_email__v/VBLZ025E82H1SZP", "SE-000281423")</f>
        <v>SE-000281423</v>
      </c>
      <c r="D6635" s="1">
        <v>45926.576701388891</v>
      </c>
      <c r="E6635" s="2">
        <v>1</v>
      </c>
      <c r="F6635" s="2">
        <v>1</v>
      </c>
      <c r="G6635" s="2">
        <v>1</v>
      </c>
      <c r="H6635" s="1">
        <v>45926.576701388891</v>
      </c>
      <c r="I6635" s="2">
        <v>1</v>
      </c>
      <c r="J6635" s="1">
        <v>45926.574259259258</v>
      </c>
    </row>
    <row r="6636" spans="1:10" x14ac:dyDescent="0.2">
      <c r="A6636" s="4" t="s">
        <v>1</v>
      </c>
      <c r="B6636" s="3" t="str">
        <f>HYPERLINK("https://otsuka-europe-crm.veevavault.com/ui/#object/approved_document__v/V5OZ04ASG4FWKA9", "Documento Autorizaciขn Centro Empleador")</f>
        <v>Documento Autorizaciขn Centro Empleador</v>
      </c>
      <c r="C6636" s="3" t="str">
        <f>HYPERLINK("https://otsuka-europe-crm.veevavault.com/ui/#object/sent_email__v/VBLZ025E82H1VGL", "SE-000281426")</f>
        <v>SE-000281426</v>
      </c>
      <c r="D6636" s="1">
        <v>45929.753761574073</v>
      </c>
      <c r="E6636" s="2">
        <v>1</v>
      </c>
      <c r="F6636" s="2">
        <v>2</v>
      </c>
      <c r="G6636" s="2">
        <v>1</v>
      </c>
      <c r="H6636" s="1">
        <v>45927.389849537038</v>
      </c>
      <c r="I6636" s="2">
        <v>1</v>
      </c>
      <c r="J6636" s="1">
        <v>45926.599398148152</v>
      </c>
    </row>
    <row r="6637" spans="1:10" x14ac:dyDescent="0.2">
      <c r="A6637" s="4" t="s">
        <v>1</v>
      </c>
      <c r="B6637" s="3" t="str">
        <f>HYPERLINK("https://otsuka-europe-crm.veevavault.com/ui/#object/approved_document__v/V5OZ04ASG4FWKA9", "Documento Autorizaciขn Centro Empleador")</f>
        <v>Documento Autorizaciขn Centro Empleador</v>
      </c>
      <c r="C6637" s="3" t="str">
        <f>HYPERLINK("https://otsuka-europe-crm.veevavault.com/ui/#object/sent_email__v/VBLZ025E82H352A", "SE-000281547")</f>
        <v>SE-000281547</v>
      </c>
      <c r="D6637" s="1">
        <v>45929.485833333332</v>
      </c>
      <c r="E6637" s="2">
        <v>1</v>
      </c>
      <c r="F6637" s="2">
        <v>1</v>
      </c>
      <c r="G6637" s="2">
        <v>1</v>
      </c>
      <c r="H6637" s="1">
        <v>45929.485833333332</v>
      </c>
      <c r="I6637" s="2">
        <v>1</v>
      </c>
      <c r="J6637" s="1">
        <v>45929.484965277778</v>
      </c>
    </row>
    <row r="6638" spans="1:10" x14ac:dyDescent="0.2">
      <c r="A6638" s="4" t="s">
        <v>1</v>
      </c>
      <c r="B6638" s="3" t="str">
        <f>HYPERLINK("https://otsuka-europe-crm.veevavault.com/ui/#object/approved_document__v/V5OZ04ASG4FWKA9", "Documento Autorizaciขn Centro Empleador")</f>
        <v>Documento Autorizaciขn Centro Empleador</v>
      </c>
      <c r="C6638" s="3" t="str">
        <f>HYPERLINK("https://otsuka-europe-crm.veevavault.com/ui/#object/sent_email__v/VBLZ025E82H3B8H", "SE-000281562")</f>
        <v>SE-000281562</v>
      </c>
      <c r="D6638" s="1">
        <v>45929.560011574074</v>
      </c>
      <c r="E6638" s="2">
        <v>1</v>
      </c>
      <c r="F6638" s="2">
        <v>1</v>
      </c>
      <c r="G6638" s="2">
        <v>1</v>
      </c>
      <c r="H6638" s="1">
        <v>45929.560115740744</v>
      </c>
      <c r="I6638" s="2">
        <v>1</v>
      </c>
      <c r="J6638" s="1">
        <v>45929.546168981484</v>
      </c>
    </row>
    <row r="6639" spans="1:10" x14ac:dyDescent="0.2">
      <c r="A6639" s="4" t="s">
        <v>1</v>
      </c>
      <c r="B6639" s="3" t="str">
        <f>HYPERLINK("https://otsuka-europe-crm.veevavault.com/ui/#object/approved_document__v/V5OZ04ASG4FWKA9", "Documento Autorizaciขn Centro Empleador")</f>
        <v>Documento Autorizaciขn Centro Empleador</v>
      </c>
      <c r="C6639" s="3" t="str">
        <f>HYPERLINK("https://otsuka-europe-crm.veevavault.com/ui/#object/sent_email__v/VBLZ025E82H3GPR", "SE-000281572")</f>
        <v>SE-000281572</v>
      </c>
      <c r="D6639" s="1">
        <v>45942.32403935185</v>
      </c>
      <c r="E6639" s="2">
        <v>1</v>
      </c>
      <c r="F6639" s="2">
        <v>4</v>
      </c>
      <c r="G6639" s="2">
        <v>1</v>
      </c>
      <c r="H6639" s="1">
        <v>45929.614641203705</v>
      </c>
      <c r="I6639" s="2">
        <v>1</v>
      </c>
      <c r="J6639" s="1">
        <v>45929.613379629627</v>
      </c>
    </row>
    <row r="6640" spans="1:10" x14ac:dyDescent="0.2">
      <c r="A6640" s="4" t="s">
        <v>1</v>
      </c>
      <c r="B6640" s="3" t="str">
        <f>HYPERLINK("https://otsuka-europe-crm.veevavault.com/ui/#object/approved_document__v/V5OZ04ASG4FWKA9", "Documento Autorizaciขn Centro Empleador")</f>
        <v>Documento Autorizaciขn Centro Empleador</v>
      </c>
      <c r="C6640" s="3" t="str">
        <f>HYPERLINK("https://otsuka-europe-crm.veevavault.com/ui/#object/sent_email__v/VBLZ025E82H4109", "SE-000281592")</f>
        <v>SE-000281592</v>
      </c>
      <c r="D6640" s="1">
        <v>45930.643287037034</v>
      </c>
      <c r="E6640" s="2">
        <v>1</v>
      </c>
      <c r="F6640" s="2">
        <v>2</v>
      </c>
      <c r="G6640" s="2">
        <v>1</v>
      </c>
      <c r="H6640" s="1">
        <v>45929.811724537038</v>
      </c>
      <c r="I6640" s="2">
        <v>1</v>
      </c>
      <c r="J6640" s="1">
        <v>45929.802546296298</v>
      </c>
    </row>
    <row r="6641" spans="1:10" x14ac:dyDescent="0.2">
      <c r="A6641" s="4" t="s">
        <v>1</v>
      </c>
      <c r="B6641" s="3" t="str">
        <f>HYPERLINK("https://otsuka-europe-crm.veevavault.com/ui/#object/approved_document__v/V5OZ04ASG4FWKA9", "Documento Autorizaciขn Centro Empleador")</f>
        <v>Documento Autorizaciขn Centro Empleador</v>
      </c>
      <c r="C6641" s="3" t="str">
        <f>HYPERLINK("https://otsuka-europe-crm.veevavault.com/ui/#object/sent_email__v/VBLZ025E82H473R", "SE-000281647")</f>
        <v>SE-000281647</v>
      </c>
      <c r="D6641" s="1" t="s">
        <v>0</v>
      </c>
      <c r="E6641" s="2">
        <v>0</v>
      </c>
      <c r="F6641" s="2">
        <v>0</v>
      </c>
      <c r="G6641" s="2">
        <v>0</v>
      </c>
      <c r="H6641" s="1" t="s">
        <v>0</v>
      </c>
      <c r="I6641" s="2">
        <v>0</v>
      </c>
      <c r="J6641" s="1">
        <v>45930.279861111114</v>
      </c>
    </row>
    <row r="6642" spans="1:10" x14ac:dyDescent="0.2">
      <c r="A6642" s="4" t="s">
        <v>1</v>
      </c>
      <c r="B6642" s="3" t="str">
        <f>HYPERLINK("https://otsuka-europe-crm.veevavault.com/ui/#object/approved_document__v/V5OZ04ASG4FWKA9", "Documento Autorizaciขn Centro Empleador")</f>
        <v>Documento Autorizaciขn Centro Empleador</v>
      </c>
      <c r="C6642" s="3" t="str">
        <f>HYPERLINK("https://otsuka-europe-crm.veevavault.com/ui/#object/sent_email__v/VBLZ025E82H4LJ5", "SE-000281806")</f>
        <v>SE-000281806</v>
      </c>
      <c r="D6642" s="1">
        <v>45930.48982638889</v>
      </c>
      <c r="E6642" s="2">
        <v>1</v>
      </c>
      <c r="F6642" s="2">
        <v>1</v>
      </c>
      <c r="G6642" s="2">
        <v>1</v>
      </c>
      <c r="H6642" s="1">
        <v>45930.48982638889</v>
      </c>
      <c r="I6642" s="2">
        <v>1</v>
      </c>
      <c r="J6642" s="1">
        <v>45930.390983796293</v>
      </c>
    </row>
    <row r="6643" spans="1:10" x14ac:dyDescent="0.2">
      <c r="A6643" s="4" t="s">
        <v>1</v>
      </c>
      <c r="B6643" s="3" t="str">
        <f>HYPERLINK("https://otsuka-europe-crm.veevavault.com/ui/#object/approved_document__v/V5OZ04ASG4FWKA9", "Documento Autorizaciขn Centro Empleador")</f>
        <v>Documento Autorizaciขn Centro Empleador</v>
      </c>
      <c r="C6643" s="3" t="str">
        <f>HYPERLINK("https://otsuka-europe-crm.veevavault.com/ui/#object/sent_email__v/VBLZ025E82H4P05", "SE-000281812")</f>
        <v>SE-000281812</v>
      </c>
      <c r="D6643" s="1">
        <v>45930.629791666666</v>
      </c>
      <c r="E6643" s="2">
        <v>1</v>
      </c>
      <c r="F6643" s="2">
        <v>1</v>
      </c>
      <c r="G6643" s="2">
        <v>0</v>
      </c>
      <c r="H6643" s="1" t="s">
        <v>0</v>
      </c>
      <c r="I6643" s="2">
        <v>0</v>
      </c>
      <c r="J6643" s="1">
        <v>45930.431111111109</v>
      </c>
    </row>
    <row r="6644" spans="1:10" x14ac:dyDescent="0.2">
      <c r="A6644" s="4" t="s">
        <v>1</v>
      </c>
      <c r="B6644" s="3" t="str">
        <f>HYPERLINK("https://otsuka-europe-crm.veevavault.com/ui/#object/approved_document__v/V5OZ04ASG4FWKA9", "Documento Autorizaciขn Centro Empleador")</f>
        <v>Documento Autorizaciขn Centro Empleador</v>
      </c>
      <c r="C6644" s="3" t="str">
        <f>HYPERLINK("https://otsuka-europe-crm.veevavault.com/ui/#object/sent_email__v/VBLZ025E82H4WY9", "SE-000281957")</f>
        <v>SE-000281957</v>
      </c>
      <c r="D6644" s="1">
        <v>45930.492534722223</v>
      </c>
      <c r="E6644" s="2">
        <v>1</v>
      </c>
      <c r="F6644" s="2">
        <v>1</v>
      </c>
      <c r="G6644" s="2">
        <v>1</v>
      </c>
      <c r="H6644" s="1">
        <v>45930.492534722223</v>
      </c>
      <c r="I6644" s="2">
        <v>1</v>
      </c>
      <c r="J6644" s="1">
        <v>45930.491643518515</v>
      </c>
    </row>
    <row r="6645" spans="1:10" x14ac:dyDescent="0.2">
      <c r="A6645" s="4" t="s">
        <v>1</v>
      </c>
      <c r="B6645" s="3" t="str">
        <f>HYPERLINK("https://otsuka-europe-crm.veevavault.com/ui/#object/approved_document__v/V5OZ04ASG4FWKA9", "Documento Autorizaciขn Centro Empleador")</f>
        <v>Documento Autorizaciขn Centro Empleador</v>
      </c>
      <c r="C6645" s="3" t="str">
        <f>HYPERLINK("https://otsuka-europe-crm.veevavault.com/ui/#object/sent_email__v/VBLZ025E82H54A6", "SE-000282248")</f>
        <v>SE-000282248</v>
      </c>
      <c r="D6645" s="1">
        <v>45930.755752314813</v>
      </c>
      <c r="E6645" s="2">
        <v>1</v>
      </c>
      <c r="F6645" s="2">
        <v>2</v>
      </c>
      <c r="G6645" s="2">
        <v>1</v>
      </c>
      <c r="H6645" s="1">
        <v>45930.755798611113</v>
      </c>
      <c r="I6645" s="2">
        <v>1</v>
      </c>
      <c r="J6645" s="1">
        <v>45930.56527777778</v>
      </c>
    </row>
    <row r="6646" spans="1:10" x14ac:dyDescent="0.2">
      <c r="A6646" s="4" t="s">
        <v>1</v>
      </c>
      <c r="B6646" s="3" t="str">
        <f>HYPERLINK("https://otsuka-europe-crm.veevavault.com/ui/#object/approved_document__v/V5OZ04ASG4FWKA9", "Documento Autorizaciขn Centro Empleador")</f>
        <v>Documento Autorizaciขn Centro Empleador</v>
      </c>
      <c r="C6646" s="3" t="str">
        <f>HYPERLINK("https://otsuka-europe-crm.veevavault.com/ui/#object/sent_email__v/VBLZ025E82H5HBL", "SE-000282294")</f>
        <v>SE-000282294</v>
      </c>
      <c r="D6646" s="1">
        <v>45930.658067129632</v>
      </c>
      <c r="E6646" s="2">
        <v>1</v>
      </c>
      <c r="F6646" s="2">
        <v>1</v>
      </c>
      <c r="G6646" s="2">
        <v>1</v>
      </c>
      <c r="H6646" s="1">
        <v>45930.658113425925</v>
      </c>
      <c r="I6646" s="2">
        <v>1</v>
      </c>
      <c r="J6646" s="1">
        <v>45930.654942129629</v>
      </c>
    </row>
    <row r="6647" spans="1:10" x14ac:dyDescent="0.2">
      <c r="A6647" s="4" t="s">
        <v>1</v>
      </c>
      <c r="B6647" s="3" t="str">
        <f>HYPERLINK("https://otsuka-europe-crm.veevavault.com/ui/#object/approved_document__v/V5OZ04ASG4FWKA9", "Documento Autorizaciขn Centro Empleador")</f>
        <v>Documento Autorizaciขn Centro Empleador</v>
      </c>
      <c r="C6647" s="3" t="str">
        <f>HYPERLINK("https://otsuka-europe-crm.veevavault.com/ui/#object/sent_email__v/VBLZ025E82H5LEV", "SE-000282305")</f>
        <v>SE-000282305</v>
      </c>
      <c r="D6647" s="1">
        <v>45931.699502314812</v>
      </c>
      <c r="E6647" s="2">
        <v>1</v>
      </c>
      <c r="F6647" s="2">
        <v>1</v>
      </c>
      <c r="G6647" s="2">
        <v>0</v>
      </c>
      <c r="H6647" s="1" t="s">
        <v>0</v>
      </c>
      <c r="I6647" s="2">
        <v>0</v>
      </c>
      <c r="J6647" s="1">
        <v>45930.693240740744</v>
      </c>
    </row>
    <row r="6648" spans="1:10" x14ac:dyDescent="0.2">
      <c r="A6648" s="4" t="s">
        <v>1</v>
      </c>
      <c r="B6648" s="3" t="str">
        <f>HYPERLINK("https://otsuka-europe-crm.veevavault.com/ui/#object/approved_document__v/V5OZ04ASG4FWKA9", "Documento Autorizaciขn Centro Empleador")</f>
        <v>Documento Autorizaciขn Centro Empleador</v>
      </c>
      <c r="C6648" s="3" t="str">
        <f>HYPERLINK("https://otsuka-europe-crm.veevavault.com/ui/#object/sent_email__v/VBLZ025E82H5YLU", "SE-000282560")</f>
        <v>SE-000282560</v>
      </c>
      <c r="D6648" s="1">
        <v>45939.786886574075</v>
      </c>
      <c r="E6648" s="2">
        <v>1</v>
      </c>
      <c r="F6648" s="2">
        <v>3</v>
      </c>
      <c r="G6648" s="2">
        <v>1</v>
      </c>
      <c r="H6648" s="1">
        <v>45931.807766203703</v>
      </c>
      <c r="I6648" s="2">
        <v>1</v>
      </c>
      <c r="J6648" s="1">
        <v>45931.325509259259</v>
      </c>
    </row>
    <row r="6649" spans="1:10" x14ac:dyDescent="0.2">
      <c r="A6649" s="4" t="s">
        <v>1</v>
      </c>
      <c r="B6649" s="3" t="str">
        <f>HYPERLINK("https://otsuka-europe-crm.veevavault.com/ui/#object/approved_document__v/V5OZ04ASG4FWKA9", "Documento Autorizaciขn Centro Empleador")</f>
        <v>Documento Autorizaciขn Centro Empleador</v>
      </c>
      <c r="C6649" s="3" t="str">
        <f>HYPERLINK("https://otsuka-europe-crm.veevavault.com/ui/#object/sent_email__v/VBLZ025E82H5YU5", "SE-000282563")</f>
        <v>SE-000282563</v>
      </c>
      <c r="D6649" s="1">
        <v>45931.377754629626</v>
      </c>
      <c r="E6649" s="2">
        <v>1</v>
      </c>
      <c r="F6649" s="2">
        <v>1</v>
      </c>
      <c r="G6649" s="2">
        <v>1</v>
      </c>
      <c r="H6649" s="1">
        <v>45931.378321759257</v>
      </c>
      <c r="I6649" s="2">
        <v>1</v>
      </c>
      <c r="J6649" s="1">
        <v>45931.335196759261</v>
      </c>
    </row>
    <row r="6650" spans="1:10" x14ac:dyDescent="0.2">
      <c r="A6650" s="4" t="s">
        <v>1</v>
      </c>
      <c r="B6650" s="3" t="str">
        <f>HYPERLINK("https://otsuka-europe-crm.veevavault.com/ui/#object/approved_document__v/V5OZ04ASG4FWKA9", "Documento Autorizaciขn Centro Empleador")</f>
        <v>Documento Autorizaciขn Centro Empleador</v>
      </c>
      <c r="C6650" s="3" t="str">
        <f>HYPERLINK("https://otsuka-europe-crm.veevavault.com/ui/#object/sent_email__v/VBLZ025E82H6F1H", "SE-000282636")</f>
        <v>SE-000282636</v>
      </c>
      <c r="D6650" s="1">
        <v>45931.49009259259</v>
      </c>
      <c r="E6650" s="2">
        <v>1</v>
      </c>
      <c r="F6650" s="2">
        <v>1</v>
      </c>
      <c r="G6650" s="2">
        <v>1</v>
      </c>
      <c r="H6650" s="1">
        <v>45931.490208333336</v>
      </c>
      <c r="I6650" s="2">
        <v>1</v>
      </c>
      <c r="J6650" s="1">
        <v>45931.47</v>
      </c>
    </row>
    <row r="6651" spans="1:10" x14ac:dyDescent="0.2">
      <c r="A6651" s="4" t="s">
        <v>1</v>
      </c>
      <c r="B6651" s="3" t="str">
        <f>HYPERLINK("https://otsuka-europe-crm.veevavault.com/ui/#object/approved_document__v/V5OZ04ASG4FWKA9", "Documento Autorizaciขn Centro Empleador")</f>
        <v>Documento Autorizaciขn Centro Empleador</v>
      </c>
      <c r="C6651" s="3" t="str">
        <f>HYPERLINK("https://otsuka-europe-crm.veevavault.com/ui/#object/sent_email__v/VBLZ025E82H6FT9", "SE-000282643")</f>
        <v>SE-000282643</v>
      </c>
      <c r="D6651" s="1">
        <v>45932.407592592594</v>
      </c>
      <c r="E6651" s="2">
        <v>1</v>
      </c>
      <c r="F6651" s="2">
        <v>11</v>
      </c>
      <c r="G6651" s="2">
        <v>1</v>
      </c>
      <c r="H6651" s="1">
        <v>45932.397094907406</v>
      </c>
      <c r="I6651" s="2">
        <v>17</v>
      </c>
      <c r="J6651" s="1">
        <v>45931.472766203704</v>
      </c>
    </row>
    <row r="6652" spans="1:10" x14ac:dyDescent="0.2">
      <c r="A6652" s="4" t="s">
        <v>1</v>
      </c>
      <c r="B6652" s="3" t="str">
        <f>HYPERLINK("https://otsuka-europe-crm.veevavault.com/ui/#object/approved_document__v/V5OZ04ASG4FWKA9", "Documento Autorizaciขn Centro Empleador")</f>
        <v>Documento Autorizaciขn Centro Empleador</v>
      </c>
      <c r="C6652" s="3" t="str">
        <f>HYPERLINK("https://otsuka-europe-crm.veevavault.com/ui/#object/sent_email__v/VBLZ025E82H71F3", "SE-000282737")</f>
        <v>SE-000282737</v>
      </c>
      <c r="D6652" s="1">
        <v>45931.696967592594</v>
      </c>
      <c r="E6652" s="2">
        <v>1</v>
      </c>
      <c r="F6652" s="2">
        <v>1</v>
      </c>
      <c r="G6652" s="2">
        <v>1</v>
      </c>
      <c r="H6652" s="1">
        <v>45931.696979166663</v>
      </c>
      <c r="I6652" s="2">
        <v>1</v>
      </c>
      <c r="J6652" s="1">
        <v>45931.6715625</v>
      </c>
    </row>
    <row r="6653" spans="1:10" x14ac:dyDescent="0.2">
      <c r="A6653" s="4" t="s">
        <v>1</v>
      </c>
      <c r="B6653" s="3" t="str">
        <f>HYPERLINK("https://otsuka-europe-crm.veevavault.com/ui/#object/approved_document__v/V5OZ04ASG4FWKA9", "Documento Autorizaciขn Centro Empleador")</f>
        <v>Documento Autorizaciขn Centro Empleador</v>
      </c>
      <c r="C6653" s="3" t="str">
        <f>HYPERLINK("https://otsuka-europe-crm.veevavault.com/ui/#object/sent_email__v/VBLZ025E82H8ZHA", "SE-000283060")</f>
        <v>SE-000283060</v>
      </c>
      <c r="D6653" s="1">
        <v>45933.545636574076</v>
      </c>
      <c r="E6653" s="2">
        <v>1</v>
      </c>
      <c r="F6653" s="2">
        <v>2</v>
      </c>
      <c r="G6653" s="2">
        <v>1</v>
      </c>
      <c r="H6653" s="1">
        <v>45933.397245370368</v>
      </c>
      <c r="I6653" s="2">
        <v>1</v>
      </c>
      <c r="J6653" s="1">
        <v>45933.331284722219</v>
      </c>
    </row>
    <row r="6654" spans="1:10" x14ac:dyDescent="0.2">
      <c r="A6654" s="4" t="s">
        <v>1</v>
      </c>
      <c r="B6654" s="3" t="str">
        <f>HYPERLINK("https://otsuka-europe-crm.veevavault.com/ui/#object/approved_document__v/V5OZ04ASG4FWKA9", "Documento Autorizaciขn Centro Empleador")</f>
        <v>Documento Autorizaciขn Centro Empleador</v>
      </c>
      <c r="C6654" s="3" t="str">
        <f>HYPERLINK("https://otsuka-europe-crm.veevavault.com/ui/#object/sent_email__v/VBLZ025E82H90SH", "SE-000283070")</f>
        <v>SE-000283070</v>
      </c>
      <c r="D6654" s="1">
        <v>45995.595775462964</v>
      </c>
      <c r="E6654" s="2">
        <v>1</v>
      </c>
      <c r="F6654" s="2">
        <v>2</v>
      </c>
      <c r="G6654" s="2">
        <v>1</v>
      </c>
      <c r="H6654" s="1">
        <v>45933.520474537036</v>
      </c>
      <c r="I6654" s="2">
        <v>1</v>
      </c>
      <c r="J6654" s="1">
        <v>45933.352870370371</v>
      </c>
    </row>
    <row r="6655" spans="1:10" x14ac:dyDescent="0.2">
      <c r="A6655" s="4" t="s">
        <v>1</v>
      </c>
      <c r="B6655" s="3" t="str">
        <f>HYPERLINK("https://otsuka-europe-crm.veevavault.com/ui/#object/approved_document__v/V5OZ04ASG4FWKA9", "Documento Autorizaciขn Centro Empleador")</f>
        <v>Documento Autorizaciขn Centro Empleador</v>
      </c>
      <c r="C6655" s="3" t="str">
        <f>HYPERLINK("https://otsuka-europe-crm.veevavault.com/ui/#object/sent_email__v/VBLZ025E82HBB4D", "SE-000283544")</f>
        <v>SE-000283544</v>
      </c>
      <c r="D6655" s="1">
        <v>45936.685671296298</v>
      </c>
      <c r="E6655" s="2">
        <v>1</v>
      </c>
      <c r="F6655" s="2">
        <v>4</v>
      </c>
      <c r="G6655" s="2">
        <v>1</v>
      </c>
      <c r="H6655" s="1">
        <v>45936.685729166667</v>
      </c>
      <c r="I6655" s="2">
        <v>1</v>
      </c>
      <c r="J6655" s="1">
        <v>45936.44258101852</v>
      </c>
    </row>
    <row r="6656" spans="1:10" x14ac:dyDescent="0.2">
      <c r="A6656" s="4" t="s">
        <v>1</v>
      </c>
      <c r="B6656" s="3" t="str">
        <f>HYPERLINK("https://otsuka-europe-crm.veevavault.com/ui/#object/approved_document__v/V5OZ04ASG4FWKA9", "Documento Autorizaciขn Centro Empleador")</f>
        <v>Documento Autorizaciขn Centro Empleador</v>
      </c>
      <c r="C6656" s="3" t="str">
        <f>HYPERLINK("https://otsuka-europe-crm.veevavault.com/ui/#object/sent_email__v/VBLZ025E82HCI95", "SE-000283657")</f>
        <v>SE-000283657</v>
      </c>
      <c r="D6656" s="1" t="s">
        <v>0</v>
      </c>
      <c r="E6656" s="2">
        <v>0</v>
      </c>
      <c r="F6656" s="2">
        <v>0</v>
      </c>
      <c r="G6656" s="2">
        <v>0</v>
      </c>
      <c r="H6656" s="1" t="s">
        <v>0</v>
      </c>
      <c r="I6656" s="2">
        <v>0</v>
      </c>
      <c r="J6656" s="1">
        <v>45937.325879629629</v>
      </c>
    </row>
    <row r="6657" spans="1:10" x14ac:dyDescent="0.2">
      <c r="A6657" s="4" t="s">
        <v>1</v>
      </c>
      <c r="B6657" s="3" t="str">
        <f>HYPERLINK("https://otsuka-europe-crm.veevavault.com/ui/#object/approved_document__v/V5OZ04ASG4FWKA9", "Documento Autorizaciขn Centro Empleador")</f>
        <v>Documento Autorizaciขn Centro Empleador</v>
      </c>
      <c r="C6657" s="3" t="str">
        <f>HYPERLINK("https://otsuka-europe-crm.veevavault.com/ui/#object/sent_email__v/VBLZ025E82HCIPU", "SE-000283713")</f>
        <v>SE-000283713</v>
      </c>
      <c r="D6657" s="1" t="s">
        <v>0</v>
      </c>
      <c r="E6657" s="2">
        <v>0</v>
      </c>
      <c r="F6657" s="2">
        <v>0</v>
      </c>
      <c r="G6657" s="2">
        <v>0</v>
      </c>
      <c r="H6657" s="1" t="s">
        <v>0</v>
      </c>
      <c r="I6657" s="2">
        <v>0</v>
      </c>
      <c r="J6657" s="1">
        <v>45937.332777777781</v>
      </c>
    </row>
    <row r="6658" spans="1:10" x14ac:dyDescent="0.2">
      <c r="A6658" s="4" t="s">
        <v>1</v>
      </c>
      <c r="B6658" s="3" t="str">
        <f>HYPERLINK("https://otsuka-europe-crm.veevavault.com/ui/#object/approved_document__v/V5OZ04ASG4FWKA9", "Documento Autorizaciขn Centro Empleador")</f>
        <v>Documento Autorizaciขn Centro Empleador</v>
      </c>
      <c r="C6658" s="3" t="str">
        <f>HYPERLINK("https://otsuka-europe-crm.veevavault.com/ui/#object/sent_email__v/VBLZ025E82HCQ1R", "SE-000283992")</f>
        <v>SE-000283992</v>
      </c>
      <c r="D6658" s="1">
        <v>45961.53224537037</v>
      </c>
      <c r="E6658" s="2">
        <v>1</v>
      </c>
      <c r="F6658" s="2">
        <v>5</v>
      </c>
      <c r="G6658" s="2">
        <v>1</v>
      </c>
      <c r="H6658" s="1">
        <v>45961.532951388886</v>
      </c>
      <c r="I6658" s="2">
        <v>3</v>
      </c>
      <c r="J6658" s="1">
        <v>45937.383263888885</v>
      </c>
    </row>
    <row r="6659" spans="1:10" x14ac:dyDescent="0.2">
      <c r="A6659" s="4" t="s">
        <v>1</v>
      </c>
      <c r="B6659" s="3" t="str">
        <f>HYPERLINK("https://otsuka-europe-crm.veevavault.com/ui/#object/approved_document__v/V5OZ04ASG4FWKA9", "Documento Autorizaciขn Centro Empleador")</f>
        <v>Documento Autorizaciขn Centro Empleador</v>
      </c>
      <c r="C6659" s="3" t="str">
        <f>HYPERLINK("https://otsuka-europe-crm.veevavault.com/ui/#object/sent_email__v/VBLZ025E82HCSD2", "SE-000284026")</f>
        <v>SE-000284026</v>
      </c>
      <c r="D6659" s="1">
        <v>45937.946805555555</v>
      </c>
      <c r="E6659" s="2">
        <v>1</v>
      </c>
      <c r="F6659" s="2">
        <v>2</v>
      </c>
      <c r="G6659" s="2">
        <v>1</v>
      </c>
      <c r="H6659" s="1">
        <v>45937.516967592594</v>
      </c>
      <c r="I6659" s="2">
        <v>3</v>
      </c>
      <c r="J6659" s="1">
        <v>45937.403437499997</v>
      </c>
    </row>
    <row r="6660" spans="1:10" x14ac:dyDescent="0.2">
      <c r="A6660" s="4" t="s">
        <v>1</v>
      </c>
      <c r="B6660" s="3" t="str">
        <f>HYPERLINK("https://otsuka-europe-crm.veevavault.com/ui/#object/approved_document__v/V5OZ04ASG4FWKA9", "Documento Autorizaciขn Centro Empleador")</f>
        <v>Documento Autorizaciขn Centro Empleador</v>
      </c>
      <c r="C6660" s="3" t="str">
        <f>HYPERLINK("https://otsuka-europe-crm.veevavault.com/ui/#object/sent_email__v/VBLZ025E82HDBCE", "SE-000284300")</f>
        <v>SE-000284300</v>
      </c>
      <c r="D6660" s="1">
        <v>45937.641261574077</v>
      </c>
      <c r="E6660" s="2">
        <v>1</v>
      </c>
      <c r="F6660" s="2">
        <v>3</v>
      </c>
      <c r="G6660" s="2">
        <v>1</v>
      </c>
      <c r="H6660" s="1">
        <v>45937.641018518516</v>
      </c>
      <c r="I6660" s="2">
        <v>1</v>
      </c>
      <c r="J6660" s="1">
        <v>45937.517650462964</v>
      </c>
    </row>
    <row r="6661" spans="1:10" x14ac:dyDescent="0.2">
      <c r="A6661" s="4" t="s">
        <v>1</v>
      </c>
      <c r="B6661" s="3" t="str">
        <f>HYPERLINK("https://otsuka-europe-crm.veevavault.com/ui/#object/approved_document__v/V5OZ04ASG4FWKA9", "Documento Autorizaciขn Centro Empleador")</f>
        <v>Documento Autorizaciขn Centro Empleador</v>
      </c>
      <c r="C6661" s="3" t="str">
        <f>HYPERLINK("https://otsuka-europe-crm.veevavault.com/ui/#object/sent_email__v/VBLZ025E82HDBKR", "SE-000284305")</f>
        <v>SE-000284305</v>
      </c>
      <c r="D6661" s="1">
        <v>45939.578923611109</v>
      </c>
      <c r="E6661" s="2">
        <v>1</v>
      </c>
      <c r="F6661" s="2">
        <v>3</v>
      </c>
      <c r="G6661" s="2">
        <v>1</v>
      </c>
      <c r="H6661" s="1">
        <v>45937.86787037037</v>
      </c>
      <c r="I6661" s="2">
        <v>1</v>
      </c>
      <c r="J6661" s="1">
        <v>45937.518182870372</v>
      </c>
    </row>
    <row r="6662" spans="1:10" x14ac:dyDescent="0.2">
      <c r="A6662" s="4" t="s">
        <v>1</v>
      </c>
      <c r="B6662" s="3" t="str">
        <f>HYPERLINK("https://otsuka-europe-crm.veevavault.com/ui/#object/approved_document__v/V5OZ04ASG4FWKA9", "Documento Autorizaciขn Centro Empleador")</f>
        <v>Documento Autorizaciขn Centro Empleador</v>
      </c>
      <c r="C6662" s="3" t="str">
        <f>HYPERLINK("https://otsuka-europe-crm.veevavault.com/ui/#object/sent_email__v/VBLZ025E82HDIAD", "SE-000284379")</f>
        <v>SE-000284379</v>
      </c>
      <c r="D6662" s="1">
        <v>45939.582986111112</v>
      </c>
      <c r="E6662" s="2">
        <v>1</v>
      </c>
      <c r="F6662" s="2">
        <v>4</v>
      </c>
      <c r="G6662" s="2">
        <v>1</v>
      </c>
      <c r="H6662" s="1">
        <v>45937.563321759262</v>
      </c>
      <c r="I6662" s="2">
        <v>1</v>
      </c>
      <c r="J6662" s="1">
        <v>45937.55872685185</v>
      </c>
    </row>
    <row r="6663" spans="1:10" x14ac:dyDescent="0.2">
      <c r="A6663" s="4" t="s">
        <v>1</v>
      </c>
      <c r="B6663" s="3" t="str">
        <f>HYPERLINK("https://otsuka-europe-crm.veevavault.com/ui/#object/approved_document__v/V5OZ04ASG4FWKA9", "Documento Autorizaciขn Centro Empleador")</f>
        <v>Documento Autorizaciขn Centro Empleador</v>
      </c>
      <c r="C6663" s="3" t="str">
        <f>HYPERLINK("https://otsuka-europe-crm.veevavault.com/ui/#object/sent_email__v/VBLZ025E82HDKAL", "SE-000284386")</f>
        <v>SE-000284386</v>
      </c>
      <c r="D6663" s="1">
        <v>45938.314722222225</v>
      </c>
      <c r="E6663" s="2">
        <v>1</v>
      </c>
      <c r="F6663" s="2">
        <v>4</v>
      </c>
      <c r="G6663" s="2">
        <v>1</v>
      </c>
      <c r="H6663" s="1">
        <v>45938.314826388887</v>
      </c>
      <c r="I6663" s="2">
        <v>3</v>
      </c>
      <c r="J6663" s="1">
        <v>45937.588287037041</v>
      </c>
    </row>
    <row r="6664" spans="1:10" x14ac:dyDescent="0.2">
      <c r="A6664" s="4" t="s">
        <v>1</v>
      </c>
      <c r="B6664" s="3" t="str">
        <f>HYPERLINK("https://otsuka-europe-crm.veevavault.com/ui/#object/approved_document__v/V5OZ04ASG4FWKA9", "Documento Autorizaciขn Centro Empleador")</f>
        <v>Documento Autorizaciขn Centro Empleador</v>
      </c>
      <c r="C6664" s="3" t="str">
        <f>HYPERLINK("https://otsuka-europe-crm.veevavault.com/ui/#object/sent_email__v/VBLZ025E82HDLDH", "SE-000284391")</f>
        <v>SE-000284391</v>
      </c>
      <c r="D6664" s="1">
        <v>45953.650729166664</v>
      </c>
      <c r="E6664" s="2">
        <v>1</v>
      </c>
      <c r="F6664" s="2">
        <v>2</v>
      </c>
      <c r="G6664" s="2">
        <v>1</v>
      </c>
      <c r="H6664" s="1">
        <v>45953.650914351849</v>
      </c>
      <c r="I6664" s="2">
        <v>2</v>
      </c>
      <c r="J6664" s="1">
        <v>45937.598067129627</v>
      </c>
    </row>
    <row r="6665" spans="1:10" x14ac:dyDescent="0.2">
      <c r="A6665" s="4" t="s">
        <v>1</v>
      </c>
      <c r="B6665" s="3" t="str">
        <f>HYPERLINK("https://otsuka-europe-crm.veevavault.com/ui/#object/approved_document__v/V5OZ04ASG4FWKA9", "Documento Autorizaciขn Centro Empleador")</f>
        <v>Documento Autorizaciขn Centro Empleador</v>
      </c>
      <c r="C6665" s="3" t="str">
        <f>HYPERLINK("https://otsuka-europe-crm.veevavault.com/ui/#object/sent_email__v/VBLZ025E82HERI7", "SE-000284957")</f>
        <v>SE-000284957</v>
      </c>
      <c r="D6665" s="1">
        <v>45939.030370370368</v>
      </c>
      <c r="E6665" s="2">
        <v>1</v>
      </c>
      <c r="F6665" s="2">
        <v>3</v>
      </c>
      <c r="G6665" s="2">
        <v>1</v>
      </c>
      <c r="H6665" s="1">
        <v>45938.659108796295</v>
      </c>
      <c r="I6665" s="2">
        <v>1</v>
      </c>
      <c r="J6665" s="1">
        <v>45938.512604166666</v>
      </c>
    </row>
    <row r="6666" spans="1:10" x14ac:dyDescent="0.2">
      <c r="A6666" s="4" t="s">
        <v>1</v>
      </c>
      <c r="B6666" s="3" t="str">
        <f>HYPERLINK("https://otsuka-europe-crm.veevavault.com/ui/#object/approved_document__v/V5OZ04ASG4FWKA9", "Documento Autorizaciขn Centro Empleador")</f>
        <v>Documento Autorizaciขn Centro Empleador</v>
      </c>
      <c r="C6666" s="3" t="str">
        <f>HYPERLINK("https://otsuka-europe-crm.veevavault.com/ui/#object/sent_email__v/VBLZ025E82HERNP", "SE-000284958")</f>
        <v>SE-000284958</v>
      </c>
      <c r="D6666" s="1" t="s">
        <v>0</v>
      </c>
      <c r="E6666" s="2">
        <v>0</v>
      </c>
      <c r="F6666" s="2">
        <v>0</v>
      </c>
      <c r="G6666" s="2">
        <v>0</v>
      </c>
      <c r="H6666" s="1" t="s">
        <v>0</v>
      </c>
      <c r="I6666" s="2">
        <v>0</v>
      </c>
      <c r="J6666" s="1">
        <v>45938.515925925924</v>
      </c>
    </row>
    <row r="6667" spans="1:10" x14ac:dyDescent="0.2">
      <c r="A6667" s="4" t="s">
        <v>1</v>
      </c>
      <c r="B6667" s="3" t="str">
        <f>HYPERLINK("https://otsuka-europe-crm.veevavault.com/ui/#object/approved_document__v/V5OZ04ASG4FWKA9", "Documento Autorizaciขn Centro Empleador")</f>
        <v>Documento Autorizaciขn Centro Empleador</v>
      </c>
      <c r="C6667" s="3" t="str">
        <f>HYPERLINK("https://otsuka-europe-crm.veevavault.com/ui/#object/sent_email__v/VBLZ025E82HEU4L", "SE-000284978")</f>
        <v>SE-000284978</v>
      </c>
      <c r="D6667" s="1">
        <v>45944.333807870367</v>
      </c>
      <c r="E6667" s="2">
        <v>1</v>
      </c>
      <c r="F6667" s="2">
        <v>1</v>
      </c>
      <c r="G6667" s="2">
        <v>1</v>
      </c>
      <c r="H6667" s="1">
        <v>45944.333807870367</v>
      </c>
      <c r="I6667" s="2">
        <v>1</v>
      </c>
      <c r="J6667" s="1">
        <v>45938.55060185185</v>
      </c>
    </row>
    <row r="6668" spans="1:10" x14ac:dyDescent="0.2">
      <c r="A6668" s="4" t="s">
        <v>1</v>
      </c>
      <c r="B6668" s="3" t="str">
        <f>HYPERLINK("https://otsuka-europe-crm.veevavault.com/ui/#object/approved_document__v/V5OZ04ASG4FWKA9", "Documento Autorizaciขn Centro Empleador")</f>
        <v>Documento Autorizaciขn Centro Empleador</v>
      </c>
      <c r="C6668" s="3" t="str">
        <f>HYPERLINK("https://otsuka-europe-crm.veevavault.com/ui/#object/sent_email__v/VBLZ025E82HF02H", "SE-000284988")</f>
        <v>SE-000284988</v>
      </c>
      <c r="D6668" s="1">
        <v>45993.475243055553</v>
      </c>
      <c r="E6668" s="2">
        <v>1</v>
      </c>
      <c r="F6668" s="2">
        <v>6</v>
      </c>
      <c r="G6668" s="2">
        <v>1</v>
      </c>
      <c r="H6668" s="1">
        <v>45938.622928240744</v>
      </c>
      <c r="I6668" s="2">
        <v>1</v>
      </c>
      <c r="J6668" s="1">
        <v>45938.606076388889</v>
      </c>
    </row>
    <row r="6669" spans="1:10" x14ac:dyDescent="0.2">
      <c r="A6669" s="4" t="s">
        <v>1</v>
      </c>
      <c r="B6669" s="3" t="str">
        <f>HYPERLINK("https://otsuka-europe-crm.veevavault.com/ui/#object/approved_document__v/V5OZ04ASG4FWKA9", "Documento Autorizaciขn Centro Empleador")</f>
        <v>Documento Autorizaciขn Centro Empleador</v>
      </c>
      <c r="C6669" s="3" t="str">
        <f>HYPERLINK("https://otsuka-europe-crm.veevavault.com/ui/#object/sent_email__v/VBLZ025E82HF059", "SE-000284989")</f>
        <v>SE-000284989</v>
      </c>
      <c r="D6669" s="1">
        <v>45938.619201388887</v>
      </c>
      <c r="E6669" s="2">
        <v>1</v>
      </c>
      <c r="F6669" s="2">
        <v>2</v>
      </c>
      <c r="G6669" s="2">
        <v>1</v>
      </c>
      <c r="H6669" s="1">
        <v>45938.619050925925</v>
      </c>
      <c r="I6669" s="2">
        <v>1</v>
      </c>
      <c r="J6669" s="1">
        <v>45938.606273148151</v>
      </c>
    </row>
    <row r="6670" spans="1:10" x14ac:dyDescent="0.2">
      <c r="A6670" s="4" t="s">
        <v>1</v>
      </c>
      <c r="B6670" s="3" t="str">
        <f>HYPERLINK("https://otsuka-europe-crm.veevavault.com/ui/#object/approved_document__v/V5OZ04ASG4FWKA9", "Documento Autorizaciขn Centro Empleador")</f>
        <v>Documento Autorizaciขn Centro Empleador</v>
      </c>
      <c r="C6670" s="3" t="str">
        <f>HYPERLINK("https://otsuka-europe-crm.veevavault.com/ui/#object/sent_email__v/VBLZ025E82HF081", "SE-000284990")</f>
        <v>SE-000284990</v>
      </c>
      <c r="D6670" s="1">
        <v>45940.724849537037</v>
      </c>
      <c r="E6670" s="2">
        <v>1</v>
      </c>
      <c r="F6670" s="2">
        <v>2</v>
      </c>
      <c r="G6670" s="2">
        <v>1</v>
      </c>
      <c r="H6670" s="1">
        <v>45938.666203703702</v>
      </c>
      <c r="I6670" s="2">
        <v>1</v>
      </c>
      <c r="J6670" s="1">
        <v>45938.606504629628</v>
      </c>
    </row>
    <row r="6671" spans="1:10" x14ac:dyDescent="0.2">
      <c r="A6671" s="4" t="s">
        <v>1</v>
      </c>
      <c r="B6671" s="3" t="str">
        <f>HYPERLINK("https://otsuka-europe-crm.veevavault.com/ui/#object/approved_document__v/V5OZ04ASG4FWKA9", "Documento Autorizaciขn Centro Empleador")</f>
        <v>Documento Autorizaciขn Centro Empleador</v>
      </c>
      <c r="C6671" s="3" t="str">
        <f>HYPERLINK("https://otsuka-europe-crm.veevavault.com/ui/#object/sent_email__v/VBLZ025E82HFT2X", "SE-000285092")</f>
        <v>SE-000285092</v>
      </c>
      <c r="D6671" s="1">
        <v>45939.562442129631</v>
      </c>
      <c r="E6671" s="2">
        <v>1</v>
      </c>
      <c r="F6671" s="2">
        <v>2</v>
      </c>
      <c r="G6671" s="2">
        <v>1</v>
      </c>
      <c r="H6671" s="1">
        <v>45939.515277777777</v>
      </c>
      <c r="I6671" s="2">
        <v>1</v>
      </c>
      <c r="J6671" s="1">
        <v>45939.411527777775</v>
      </c>
    </row>
    <row r="6672" spans="1:10" x14ac:dyDescent="0.2">
      <c r="A6672" s="4" t="s">
        <v>1</v>
      </c>
      <c r="B6672" s="3" t="str">
        <f>HYPERLINK("https://otsuka-europe-crm.veevavault.com/ui/#object/approved_document__v/V5OZ04ASG4FWKA9", "Documento Autorizaciขn Centro Empleador")</f>
        <v>Documento Autorizaciขn Centro Empleador</v>
      </c>
      <c r="C6672" s="3" t="str">
        <f>HYPERLINK("https://otsuka-europe-crm.veevavault.com/ui/#object/sent_email__v/VBLZ025E82HGVYX", "SE-000286224")</f>
        <v>SE-000286224</v>
      </c>
      <c r="D6672" s="1">
        <v>45939.84847222222</v>
      </c>
      <c r="E6672" s="2">
        <v>1</v>
      </c>
      <c r="F6672" s="2">
        <v>1</v>
      </c>
      <c r="G6672" s="2">
        <v>1</v>
      </c>
      <c r="H6672" s="1">
        <v>45939.84847222222</v>
      </c>
      <c r="I6672" s="2">
        <v>1</v>
      </c>
      <c r="J6672" s="1">
        <v>45939.798819444448</v>
      </c>
    </row>
    <row r="6673" spans="1:10" x14ac:dyDescent="0.2">
      <c r="A6673" s="4" t="s">
        <v>1</v>
      </c>
      <c r="B6673" s="3" t="str">
        <f>HYPERLINK("https://otsuka-europe-crm.veevavault.com/ui/#object/approved_document__v/V5OZ04ASG4FWKA9", "Documento Autorizaciขn Centro Empleador")</f>
        <v>Documento Autorizaciขn Centro Empleador</v>
      </c>
      <c r="C6673" s="3" t="str">
        <f>HYPERLINK("https://otsuka-europe-crm.veevavault.com/ui/#object/sent_email__v/VBLZ025E82HJ4OH", "SE-000286811")</f>
        <v>SE-000286811</v>
      </c>
      <c r="D6673" s="1" t="s">
        <v>0</v>
      </c>
      <c r="E6673" s="2">
        <v>0</v>
      </c>
      <c r="F6673" s="2">
        <v>0</v>
      </c>
      <c r="G6673" s="2">
        <v>0</v>
      </c>
      <c r="H6673" s="1" t="s">
        <v>0</v>
      </c>
      <c r="I6673" s="2">
        <v>0</v>
      </c>
      <c r="J6673" s="1">
        <v>45943.643599537034</v>
      </c>
    </row>
    <row r="6674" spans="1:10" x14ac:dyDescent="0.2">
      <c r="A6674" s="4" t="s">
        <v>1</v>
      </c>
      <c r="B6674" s="3" t="str">
        <f>HYPERLINK("https://otsuka-europe-crm.veevavault.com/ui/#object/approved_document__v/V5OZ04ASG4FWKA9", "Documento Autorizaciขn Centro Empleador")</f>
        <v>Documento Autorizaciขn Centro Empleador</v>
      </c>
      <c r="C6674" s="3" t="str">
        <f>HYPERLINK("https://otsuka-europe-crm.veevavault.com/ui/#object/sent_email__v/VBLZ025E82HJ4WT", "SE-000286812")</f>
        <v>SE-000286812</v>
      </c>
      <c r="D6674" s="1" t="s">
        <v>0</v>
      </c>
      <c r="E6674" s="2">
        <v>0</v>
      </c>
      <c r="F6674" s="2">
        <v>0</v>
      </c>
      <c r="G6674" s="2">
        <v>0</v>
      </c>
      <c r="H6674" s="1" t="s">
        <v>0</v>
      </c>
      <c r="I6674" s="2">
        <v>0</v>
      </c>
      <c r="J6674" s="1">
        <v>45943.64471064815</v>
      </c>
    </row>
    <row r="6675" spans="1:10" x14ac:dyDescent="0.2">
      <c r="A6675" s="4" t="s">
        <v>1</v>
      </c>
      <c r="B6675" s="3" t="str">
        <f>HYPERLINK("https://otsuka-europe-crm.veevavault.com/ui/#object/approved_document__v/V5OZ04ASG4FWKA9", "Documento Autorizaciขn Centro Empleador")</f>
        <v>Documento Autorizaciขn Centro Empleador</v>
      </c>
      <c r="C6675" s="3" t="str">
        <f>HYPERLINK("https://otsuka-europe-crm.veevavault.com/ui/#object/sent_email__v/VBLZ025E82HJ1D2", "SE-000286813")</f>
        <v>SE-000286813</v>
      </c>
      <c r="D6675" s="1">
        <v>45972.488969907405</v>
      </c>
      <c r="E6675" s="2">
        <v>1</v>
      </c>
      <c r="F6675" s="2">
        <v>112</v>
      </c>
      <c r="G6675" s="2">
        <v>0</v>
      </c>
      <c r="H6675" s="1" t="s">
        <v>0</v>
      </c>
      <c r="I6675" s="2">
        <v>0</v>
      </c>
      <c r="J6675" s="1">
        <v>45943.645208333335</v>
      </c>
    </row>
    <row r="6676" spans="1:10" x14ac:dyDescent="0.2">
      <c r="A6676" s="4" t="s">
        <v>1</v>
      </c>
      <c r="B6676" s="3" t="str">
        <f>HYPERLINK("https://otsuka-europe-crm.veevavault.com/ui/#object/approved_document__v/V5OZ04ASG4FWKA9", "Documento Autorizaciขn Centro Empleador")</f>
        <v>Documento Autorizaciขn Centro Empleador</v>
      </c>
      <c r="C6676" s="3" t="str">
        <f>HYPERLINK("https://otsuka-europe-crm.veevavault.com/ui/#object/sent_email__v/VBLZ025E82HJM72", "SE-000286875")</f>
        <v>SE-000286875</v>
      </c>
      <c r="D6676" s="1">
        <v>45944.382638888892</v>
      </c>
      <c r="E6676" s="2">
        <v>1</v>
      </c>
      <c r="F6676" s="2">
        <v>1</v>
      </c>
      <c r="G6676" s="2">
        <v>1</v>
      </c>
      <c r="H6676" s="1">
        <v>45944.382638888892</v>
      </c>
      <c r="I6676" s="2">
        <v>1</v>
      </c>
      <c r="J6676" s="1">
        <v>45944.370856481481</v>
      </c>
    </row>
    <row r="6677" spans="1:10" x14ac:dyDescent="0.2">
      <c r="A6677" s="4" t="s">
        <v>1</v>
      </c>
      <c r="B6677" s="3" t="str">
        <f>HYPERLINK("https://otsuka-europe-crm.veevavault.com/ui/#object/approved_document__v/V5OZ04ASG4FWKA9", "Documento Autorizaciขn Centro Empleador")</f>
        <v>Documento Autorizaciขn Centro Empleador</v>
      </c>
      <c r="C6677" s="3" t="str">
        <f>HYPERLINK("https://otsuka-europe-crm.veevavault.com/ui/#object/sent_email__v/VBLZ025E82HJPL9", "SE-000286907")</f>
        <v>SE-000286907</v>
      </c>
      <c r="D6677" s="1">
        <v>45945.530162037037</v>
      </c>
      <c r="E6677" s="2">
        <v>1</v>
      </c>
      <c r="F6677" s="2">
        <v>2</v>
      </c>
      <c r="G6677" s="2">
        <v>1</v>
      </c>
      <c r="H6677" s="1">
        <v>45945.530277777776</v>
      </c>
      <c r="I6677" s="2">
        <v>1</v>
      </c>
      <c r="J6677" s="1">
        <v>45944.393819444442</v>
      </c>
    </row>
    <row r="6678" spans="1:10" x14ac:dyDescent="0.2">
      <c r="A6678" s="4" t="s">
        <v>1</v>
      </c>
      <c r="B6678" s="3" t="str">
        <f>HYPERLINK("https://otsuka-europe-crm.veevavault.com/ui/#object/approved_document__v/V5OZ04ASG4FWKA9", "Documento Autorizaciขn Centro Empleador")</f>
        <v>Documento Autorizaciขn Centro Empleador</v>
      </c>
      <c r="C6678" s="3" t="str">
        <f>HYPERLINK("https://otsuka-europe-crm.veevavault.com/ui/#object/sent_email__v/VBLZ025E82HKLZX", "SE-000287552")</f>
        <v>SE-000287552</v>
      </c>
      <c r="D6678" s="1">
        <v>45944.951689814814</v>
      </c>
      <c r="E6678" s="2">
        <v>1</v>
      </c>
      <c r="F6678" s="2">
        <v>5</v>
      </c>
      <c r="G6678" s="2">
        <v>1</v>
      </c>
      <c r="H6678" s="1">
        <v>45944.728622685187</v>
      </c>
      <c r="I6678" s="2">
        <v>1</v>
      </c>
      <c r="J6678" s="1">
        <v>45944.719039351854</v>
      </c>
    </row>
    <row r="6679" spans="1:10" x14ac:dyDescent="0.2">
      <c r="A6679" s="4" t="s">
        <v>1</v>
      </c>
      <c r="B6679" s="3" t="str">
        <f>HYPERLINK("https://otsuka-europe-crm.veevavault.com/ui/#object/approved_document__v/V5OZ04ASG4FWKA9", "Documento Autorizaciขn Centro Empleador")</f>
        <v>Documento Autorizaciขn Centro Empleador</v>
      </c>
      <c r="C6679" s="3" t="str">
        <f>HYPERLINK("https://otsuka-europe-crm.veevavault.com/ui/#object/sent_email__v/VBLZ025E82HKW3T", "SE-000287775")</f>
        <v>SE-000287775</v>
      </c>
      <c r="D6679" s="1">
        <v>45965.314687500002</v>
      </c>
      <c r="E6679" s="2">
        <v>1</v>
      </c>
      <c r="F6679" s="2">
        <v>2</v>
      </c>
      <c r="G6679" s="2">
        <v>1</v>
      </c>
      <c r="H6679" s="1">
        <v>45965.314872685187</v>
      </c>
      <c r="I6679" s="2">
        <v>2</v>
      </c>
      <c r="J6679" s="1">
        <v>45945.405092592591</v>
      </c>
    </row>
    <row r="6680" spans="1:10" x14ac:dyDescent="0.2">
      <c r="A6680" s="4" t="s">
        <v>1</v>
      </c>
      <c r="B6680" s="3" t="str">
        <f>HYPERLINK("https://otsuka-europe-crm.veevavault.com/ui/#object/approved_document__v/V5OZ04ASG4FWKA9", "Documento Autorizaciขn Centro Empleador")</f>
        <v>Documento Autorizaciขn Centro Empleador</v>
      </c>
      <c r="C6680" s="3" t="str">
        <f>HYPERLINK("https://otsuka-europe-crm.veevavault.com/ui/#object/sent_email__v/VBLZ025E82HL2FL", "SE-000287793")</f>
        <v>SE-000287793</v>
      </c>
      <c r="D6680" s="1">
        <v>45963.683993055558</v>
      </c>
      <c r="E6680" s="2">
        <v>1</v>
      </c>
      <c r="F6680" s="2">
        <v>4</v>
      </c>
      <c r="G6680" s="2">
        <v>1</v>
      </c>
      <c r="H6680" s="1">
        <v>45945.926377314812</v>
      </c>
      <c r="I6680" s="2">
        <v>2</v>
      </c>
      <c r="J6680" s="1">
        <v>45945.445486111108</v>
      </c>
    </row>
    <row r="6681" spans="1:10" x14ac:dyDescent="0.2">
      <c r="A6681" s="4" t="s">
        <v>1</v>
      </c>
      <c r="B6681" s="3" t="str">
        <f>HYPERLINK("https://otsuka-europe-crm.veevavault.com/ui/#object/approved_document__v/V5OZ04ASG4FWKA9", "Documento Autorizaciขn Centro Empleador")</f>
        <v>Documento Autorizaciขn Centro Empleador</v>
      </c>
      <c r="C6681" s="3" t="str">
        <f>HYPERLINK("https://otsuka-europe-crm.veevavault.com/ui/#object/sent_email__v/VBLZ025E82HLJY5", "SE-000287842")</f>
        <v>SE-000287842</v>
      </c>
      <c r="D6681" s="1">
        <v>45945.71298611111</v>
      </c>
      <c r="E6681" s="2">
        <v>1</v>
      </c>
      <c r="F6681" s="2">
        <v>1</v>
      </c>
      <c r="G6681" s="2">
        <v>1</v>
      </c>
      <c r="H6681" s="1">
        <v>45947.670300925929</v>
      </c>
      <c r="I6681" s="2">
        <v>2</v>
      </c>
      <c r="J6681" s="1">
        <v>45945.644803240742</v>
      </c>
    </row>
    <row r="6682" spans="1:10" x14ac:dyDescent="0.2">
      <c r="A6682" s="4" t="s">
        <v>1</v>
      </c>
      <c r="B6682" s="3" t="str">
        <f>HYPERLINK("https://otsuka-europe-crm.veevavault.com/ui/#object/approved_document__v/V5OZ04ASG4FWKA9", "Documento Autorizaciขn Centro Empleador")</f>
        <v>Documento Autorizaciขn Centro Empleador</v>
      </c>
      <c r="C6682" s="3" t="str">
        <f>HYPERLINK("https://otsuka-europe-crm.veevavault.com/ui/#object/sent_email__v/VBLZ025E82HLK6H", "SE-000287845")</f>
        <v>SE-000287845</v>
      </c>
      <c r="D6682" s="1">
        <v>45945.66578703704</v>
      </c>
      <c r="E6682" s="2">
        <v>1</v>
      </c>
      <c r="F6682" s="2">
        <v>1</v>
      </c>
      <c r="G6682" s="2">
        <v>1</v>
      </c>
      <c r="H6682" s="1">
        <v>45946.519247685188</v>
      </c>
      <c r="I6682" s="2">
        <v>2</v>
      </c>
      <c r="J6682" s="1">
        <v>45945.646273148152</v>
      </c>
    </row>
    <row r="6683" spans="1:10" x14ac:dyDescent="0.2">
      <c r="A6683" s="4" t="s">
        <v>1</v>
      </c>
      <c r="B6683" s="3" t="str">
        <f>HYPERLINK("https://otsuka-europe-crm.veevavault.com/ui/#object/approved_document__v/V5OZ04ASG4FWKA9", "Documento Autorizaciขn Centro Empleador")</f>
        <v>Documento Autorizaciขn Centro Empleador</v>
      </c>
      <c r="C6683" s="3" t="str">
        <f>HYPERLINK("https://otsuka-europe-crm.veevavault.com/ui/#object/sent_email__v/VBLZ025E82HLWWT", "SE-000287861")</f>
        <v>SE-000287861</v>
      </c>
      <c r="D6683" s="1">
        <v>45946.907893518517</v>
      </c>
      <c r="E6683" s="2">
        <v>1</v>
      </c>
      <c r="F6683" s="2">
        <v>3</v>
      </c>
      <c r="G6683" s="2">
        <v>1</v>
      </c>
      <c r="H6683" s="1">
        <v>45946.61341435185</v>
      </c>
      <c r="I6683" s="2">
        <v>1</v>
      </c>
      <c r="J6683" s="1">
        <v>45946.315185185187</v>
      </c>
    </row>
    <row r="6684" spans="1:10" x14ac:dyDescent="0.2">
      <c r="A6684" s="4" t="s">
        <v>1</v>
      </c>
      <c r="B6684" s="3" t="str">
        <f>HYPERLINK("https://otsuka-europe-crm.veevavault.com/ui/#object/approved_document__v/V5OZ04ASG4FWKA9", "Documento Autorizaciขn Centro Empleador")</f>
        <v>Documento Autorizaciขn Centro Empleador</v>
      </c>
      <c r="C6684" s="3" t="str">
        <f>HYPERLINK("https://otsuka-europe-crm.veevavault.com/ui/#object/sent_email__v/VBLZ025E82HMUSA", "SE-000287939")</f>
        <v>SE-000287939</v>
      </c>
      <c r="D6684" s="1">
        <v>45949.373807870368</v>
      </c>
      <c r="E6684" s="2">
        <v>1</v>
      </c>
      <c r="F6684" s="2">
        <v>3</v>
      </c>
      <c r="G6684" s="2">
        <v>1</v>
      </c>
      <c r="H6684" s="1">
        <v>45946.723587962966</v>
      </c>
      <c r="I6684" s="2">
        <v>1</v>
      </c>
      <c r="J6684" s="1">
        <v>45946.676087962966</v>
      </c>
    </row>
    <row r="6685" spans="1:10" x14ac:dyDescent="0.2">
      <c r="A6685" s="4" t="s">
        <v>1</v>
      </c>
      <c r="B6685" s="3" t="str">
        <f>HYPERLINK("https://otsuka-europe-crm.veevavault.com/ui/#object/approved_document__v/V5OZ04ASG4FWKA9", "Documento Autorizaciขn Centro Empleador")</f>
        <v>Documento Autorizaciขn Centro Empleador</v>
      </c>
      <c r="C6685" s="3" t="str">
        <f>HYPERLINK("https://otsuka-europe-crm.veevavault.com/ui/#object/sent_email__v/VBLZ025E82HN5A1", "SE-000287980")</f>
        <v>SE-000287980</v>
      </c>
      <c r="D6685" s="1">
        <v>45947.796493055554</v>
      </c>
      <c r="E6685" s="2">
        <v>1</v>
      </c>
      <c r="F6685" s="2">
        <v>4</v>
      </c>
      <c r="G6685" s="2">
        <v>1</v>
      </c>
      <c r="H6685" s="1">
        <v>45947.796585648146</v>
      </c>
      <c r="I6685" s="2">
        <v>1</v>
      </c>
      <c r="J6685" s="1">
        <v>45947.381203703706</v>
      </c>
    </row>
    <row r="6686" spans="1:10" x14ac:dyDescent="0.2">
      <c r="A6686" s="4" t="s">
        <v>1</v>
      </c>
      <c r="B6686" s="3" t="str">
        <f>HYPERLINK("https://otsuka-europe-crm.veevavault.com/ui/#object/approved_document__v/V5OZ04ASG4FWKA9", "Documento Autorizaciขn Centro Empleador")</f>
        <v>Documento Autorizaciขn Centro Empleador</v>
      </c>
      <c r="C6686" s="3" t="str">
        <f>HYPERLINK("https://otsuka-europe-crm.veevavault.com/ui/#object/sent_email__v/VBLZ025E82HN7O6", "SE-000287984")</f>
        <v>SE-000287984</v>
      </c>
      <c r="D6686" s="1">
        <v>45950.887418981481</v>
      </c>
      <c r="E6686" s="2">
        <v>1</v>
      </c>
      <c r="F6686" s="2">
        <v>1</v>
      </c>
      <c r="G6686" s="2">
        <v>0</v>
      </c>
      <c r="H6686" s="1" t="s">
        <v>0</v>
      </c>
      <c r="I6686" s="2">
        <v>0</v>
      </c>
      <c r="J6686" s="1">
        <v>45947.4</v>
      </c>
    </row>
    <row r="6687" spans="1:10" x14ac:dyDescent="0.2">
      <c r="A6687" s="4" t="s">
        <v>1</v>
      </c>
      <c r="B6687" s="3" t="str">
        <f>HYPERLINK("https://otsuka-europe-crm.veevavault.com/ui/#object/approved_document__v/V5OZ04ASG4FWKA9", "Documento Autorizaciขn Centro Empleador")</f>
        <v>Documento Autorizaciขn Centro Empleador</v>
      </c>
      <c r="C6687" s="3" t="str">
        <f>HYPERLINK("https://otsuka-europe-crm.veevavault.com/ui/#object/sent_email__v/VBLZ025E82HN87L", "SE-000287987")</f>
        <v>SE-000287987</v>
      </c>
      <c r="D6687" s="1" t="s">
        <v>0</v>
      </c>
      <c r="E6687" s="2">
        <v>0</v>
      </c>
      <c r="F6687" s="2">
        <v>0</v>
      </c>
      <c r="G6687" s="2">
        <v>0</v>
      </c>
      <c r="H6687" s="1" t="s">
        <v>0</v>
      </c>
      <c r="I6687" s="2">
        <v>0</v>
      </c>
      <c r="J6687" s="1">
        <v>45947.404409722221</v>
      </c>
    </row>
    <row r="6688" spans="1:10" x14ac:dyDescent="0.2">
      <c r="A6688" s="4" t="s">
        <v>1</v>
      </c>
      <c r="B6688" s="3" t="str">
        <f>HYPERLINK("https://otsuka-europe-crm.veevavault.com/ui/#object/approved_document__v/V5OZ04ASG4FWKA9", "Documento Autorizaciขn Centro Empleador")</f>
        <v>Documento Autorizaciขn Centro Empleador</v>
      </c>
      <c r="C6688" s="3" t="str">
        <f>HYPERLINK("https://otsuka-europe-crm.veevavault.com/ui/#object/sent_email__v/VBLZ025E82HN8LH", "SE-000287989")</f>
        <v>SE-000287989</v>
      </c>
      <c r="D6688" s="1">
        <v>45947.439837962964</v>
      </c>
      <c r="E6688" s="2">
        <v>1</v>
      </c>
      <c r="F6688" s="2">
        <v>1</v>
      </c>
      <c r="G6688" s="2">
        <v>1</v>
      </c>
      <c r="H6688" s="1">
        <v>45947.439837962964</v>
      </c>
      <c r="I6688" s="2">
        <v>1</v>
      </c>
      <c r="J6688" s="1">
        <v>45947.409074074072</v>
      </c>
    </row>
    <row r="6689" spans="1:10" x14ac:dyDescent="0.2">
      <c r="A6689" s="4" t="s">
        <v>1</v>
      </c>
      <c r="B6689" s="3" t="str">
        <f>HYPERLINK("https://otsuka-europe-crm.veevavault.com/ui/#object/approved_document__v/V5OZ04ASG4FWKA9", "Documento Autorizaciขn Centro Empleador")</f>
        <v>Documento Autorizaciขn Centro Empleador</v>
      </c>
      <c r="C6689" s="3" t="str">
        <f>HYPERLINK("https://otsuka-europe-crm.veevavault.com/ui/#object/sent_email__v/VBLZ025E82HNP9H", "SE-000288024")</f>
        <v>SE-000288024</v>
      </c>
      <c r="D6689" s="1">
        <v>45947.607638888891</v>
      </c>
      <c r="E6689" s="2">
        <v>1</v>
      </c>
      <c r="F6689" s="2">
        <v>3</v>
      </c>
      <c r="G6689" s="2">
        <v>1</v>
      </c>
      <c r="H6689" s="1">
        <v>45947.574583333335</v>
      </c>
      <c r="I6689" s="2">
        <v>1</v>
      </c>
      <c r="J6689" s="1">
        <v>45947.558981481481</v>
      </c>
    </row>
    <row r="6690" spans="1:10" x14ac:dyDescent="0.2">
      <c r="A6690" s="4" t="s">
        <v>1</v>
      </c>
      <c r="B6690" s="3" t="str">
        <f>HYPERLINK("https://otsuka-europe-crm.veevavault.com/ui/#object/approved_document__v/V5OZ04ASG4FWKA9", "Documento Autorizaciขn Centro Empleador")</f>
        <v>Documento Autorizaciขn Centro Empleador</v>
      </c>
      <c r="C6690" s="3" t="str">
        <f>HYPERLINK("https://otsuka-europe-crm.veevavault.com/ui/#object/sent_email__v/VBLZ025E82HNPHU", "SE-000288027")</f>
        <v>SE-000288027</v>
      </c>
      <c r="D6690" s="1">
        <v>45949.797337962962</v>
      </c>
      <c r="E6690" s="2">
        <v>1</v>
      </c>
      <c r="F6690" s="2">
        <v>1</v>
      </c>
      <c r="G6690" s="2">
        <v>1</v>
      </c>
      <c r="H6690" s="1">
        <v>45949.797337962962</v>
      </c>
      <c r="I6690" s="2">
        <v>1</v>
      </c>
      <c r="J6690" s="1">
        <v>45947.563321759262</v>
      </c>
    </row>
    <row r="6691" spans="1:10" x14ac:dyDescent="0.2">
      <c r="A6691" s="4" t="s">
        <v>1</v>
      </c>
      <c r="B6691" s="3" t="str">
        <f>HYPERLINK("https://otsuka-europe-crm.veevavault.com/ui/#object/approved_document__v/V5OZ04ASG4FWKA9", "Documento Autorizaciขn Centro Empleador")</f>
        <v>Documento Autorizaciขn Centro Empleador</v>
      </c>
      <c r="C6691" s="3" t="str">
        <f>HYPERLINK("https://otsuka-europe-crm.veevavault.com/ui/#object/sent_email__v/VBLZ025E82HNSNQ", "SE-000288036")</f>
        <v>SE-000288036</v>
      </c>
      <c r="D6691" s="1">
        <v>45947.596516203703</v>
      </c>
      <c r="E6691" s="2">
        <v>1</v>
      </c>
      <c r="F6691" s="2">
        <v>1</v>
      </c>
      <c r="G6691" s="2">
        <v>1</v>
      </c>
      <c r="H6691" s="1">
        <v>45947.597083333334</v>
      </c>
      <c r="I6691" s="2">
        <v>3</v>
      </c>
      <c r="J6691" s="1">
        <v>45947.593217592592</v>
      </c>
    </row>
    <row r="6692" spans="1:10" x14ac:dyDescent="0.2">
      <c r="A6692" s="4" t="s">
        <v>1</v>
      </c>
      <c r="B6692" s="3" t="str">
        <f>HYPERLINK("https://otsuka-europe-crm.veevavault.com/ui/#object/approved_document__v/V5OZ04ASG4FWKA9", "Documento Autorizaciขn Centro Empleador")</f>
        <v>Documento Autorizaciขn Centro Empleador</v>
      </c>
      <c r="C6692" s="3" t="str">
        <f>HYPERLINK("https://otsuka-europe-crm.veevavault.com/ui/#object/sent_email__v/VBLZ025E82HO056", "SE-000288043")</f>
        <v>SE-000288043</v>
      </c>
      <c r="D6692" s="1">
        <v>45947.788055555553</v>
      </c>
      <c r="E6692" s="2">
        <v>1</v>
      </c>
      <c r="F6692" s="2">
        <v>1</v>
      </c>
      <c r="G6692" s="2">
        <v>0</v>
      </c>
      <c r="H6692" s="1" t="s">
        <v>0</v>
      </c>
      <c r="I6692" s="2">
        <v>0</v>
      </c>
      <c r="J6692" s="1">
        <v>45947.681979166664</v>
      </c>
    </row>
    <row r="6693" spans="1:10" x14ac:dyDescent="0.2">
      <c r="A6693" s="4" t="s">
        <v>1</v>
      </c>
      <c r="B6693" s="3" t="str">
        <f>HYPERLINK("https://otsuka-europe-crm.veevavault.com/ui/#object/approved_document__v/V5OZ04ASG4FWKA9", "Documento Autorizaciขn Centro Empleador")</f>
        <v>Documento Autorizaciขn Centro Empleador</v>
      </c>
      <c r="C6693" s="3" t="str">
        <f>HYPERLINK("https://otsuka-europe-crm.veevavault.com/ui/#object/sent_email__v/VBLZ025E82HOEQ5", "SE-000288057")</f>
        <v>SE-000288057</v>
      </c>
      <c r="D6693" s="1">
        <v>45978.444664351853</v>
      </c>
      <c r="E6693" s="2">
        <v>1</v>
      </c>
      <c r="F6693" s="2">
        <v>7</v>
      </c>
      <c r="G6693" s="2">
        <v>1</v>
      </c>
      <c r="H6693" s="1">
        <v>45950.357141203705</v>
      </c>
      <c r="I6693" s="2">
        <v>1</v>
      </c>
      <c r="J6693" s="1">
        <v>45950.325416666667</v>
      </c>
    </row>
    <row r="6694" spans="1:10" x14ac:dyDescent="0.2">
      <c r="A6694" s="4" t="s">
        <v>1</v>
      </c>
      <c r="B6694" s="3" t="str">
        <f>HYPERLINK("https://otsuka-europe-crm.veevavault.com/ui/#object/approved_document__v/V5OZ04ASG4FWKA9", "Documento Autorizaciขn Centro Empleador")</f>
        <v>Documento Autorizaciขn Centro Empleador</v>
      </c>
      <c r="C6694" s="3" t="str">
        <f>HYPERLINK("https://otsuka-europe-crm.veevavault.com/ui/#object/sent_email__v/VBLZ025E82HOHCL", "SE-000288133")</f>
        <v>SE-000288133</v>
      </c>
      <c r="D6694" s="1">
        <v>45950.897581018522</v>
      </c>
      <c r="E6694" s="2">
        <v>1</v>
      </c>
      <c r="F6694" s="2">
        <v>2</v>
      </c>
      <c r="G6694" s="2">
        <v>0</v>
      </c>
      <c r="H6694" s="1" t="s">
        <v>0</v>
      </c>
      <c r="I6694" s="2">
        <v>0</v>
      </c>
      <c r="J6694" s="1">
        <v>45950.363634259258</v>
      </c>
    </row>
    <row r="6695" spans="1:10" x14ac:dyDescent="0.2">
      <c r="A6695" s="4" t="s">
        <v>1</v>
      </c>
      <c r="B6695" s="3" t="str">
        <f>HYPERLINK("https://otsuka-europe-crm.veevavault.com/ui/#object/approved_document__v/V5OZ04ASG4FWKA9", "Documento Autorizaciขn Centro Empleador")</f>
        <v>Documento Autorizaciขn Centro Empleador</v>
      </c>
      <c r="C6695" s="3" t="str">
        <f>HYPERLINK("https://otsuka-europe-crm.veevavault.com/ui/#object/sent_email__v/VBLZ025E82HOIYY", "SE-000288137")</f>
        <v>SE-000288137</v>
      </c>
      <c r="D6695" s="1">
        <v>45950.378796296296</v>
      </c>
      <c r="E6695" s="2">
        <v>1</v>
      </c>
      <c r="F6695" s="2">
        <v>2</v>
      </c>
      <c r="G6695" s="2">
        <v>1</v>
      </c>
      <c r="H6695" s="1">
        <v>45950.378865740742</v>
      </c>
      <c r="I6695" s="2">
        <v>1</v>
      </c>
      <c r="J6695" s="1">
        <v>45950.377696759257</v>
      </c>
    </row>
    <row r="6696" spans="1:10" x14ac:dyDescent="0.2">
      <c r="A6696" s="4" t="s">
        <v>1</v>
      </c>
      <c r="B6696" s="3" t="str">
        <f>HYPERLINK("https://otsuka-europe-crm.veevavault.com/ui/#object/approved_document__v/V5OZ04ASG4FWKA9", "Documento Autorizaciขn Centro Empleador")</f>
        <v>Documento Autorizaciขn Centro Empleador</v>
      </c>
      <c r="C6696" s="3" t="str">
        <f>HYPERLINK("https://otsuka-europe-crm.veevavault.com/ui/#object/sent_email__v/VBLZ025E82HOKO1", "SE-000288146")</f>
        <v>SE-000288146</v>
      </c>
      <c r="D6696" s="1">
        <v>45950.417453703703</v>
      </c>
      <c r="E6696" s="2">
        <v>1</v>
      </c>
      <c r="F6696" s="2">
        <v>1</v>
      </c>
      <c r="G6696" s="2">
        <v>1</v>
      </c>
      <c r="H6696" s="1">
        <v>45950.417557870373</v>
      </c>
      <c r="I6696" s="2">
        <v>1</v>
      </c>
      <c r="J6696" s="1">
        <v>45950.38789351852</v>
      </c>
    </row>
    <row r="6697" spans="1:10" x14ac:dyDescent="0.2">
      <c r="A6697" s="4" t="s">
        <v>1</v>
      </c>
      <c r="B6697" s="3" t="str">
        <f>HYPERLINK("https://otsuka-europe-crm.veevavault.com/ui/#object/approved_document__v/V5OZ04ASG4FWKA9", "Documento Autorizaciขn Centro Empleador")</f>
        <v>Documento Autorizaciขn Centro Empleador</v>
      </c>
      <c r="C6697" s="3" t="str">
        <f>HYPERLINK("https://otsuka-europe-crm.veevavault.com/ui/#object/sent_email__v/VBLZ025E82HOMAD", "SE-000288319")</f>
        <v>SE-000288319</v>
      </c>
      <c r="D6697" s="1">
        <v>45950.490046296298</v>
      </c>
      <c r="E6697" s="2">
        <v>1</v>
      </c>
      <c r="F6697" s="2">
        <v>1</v>
      </c>
      <c r="G6697" s="2">
        <v>1</v>
      </c>
      <c r="H6697" s="1">
        <v>45950.490752314814</v>
      </c>
      <c r="I6697" s="2">
        <v>3</v>
      </c>
      <c r="J6697" s="1">
        <v>45950.399664351855</v>
      </c>
    </row>
    <row r="6698" spans="1:10" x14ac:dyDescent="0.2">
      <c r="A6698" s="4" t="s">
        <v>1</v>
      </c>
      <c r="B6698" s="3" t="str">
        <f>HYPERLINK("https://otsuka-europe-crm.veevavault.com/ui/#object/approved_document__v/V5OZ04ASG4FWKA9", "Documento Autorizaciขn Centro Empleador")</f>
        <v>Documento Autorizaciขn Centro Empleador</v>
      </c>
      <c r="C6698" s="3" t="str">
        <f>HYPERLINK("https://otsuka-europe-crm.veevavault.com/ui/#object/sent_email__v/VBLZ025E82HOMIP", "SE-000288321")</f>
        <v>SE-000288321</v>
      </c>
      <c r="D6698" s="1">
        <v>45950.402465277781</v>
      </c>
      <c r="E6698" s="2">
        <v>1</v>
      </c>
      <c r="F6698" s="2">
        <v>1</v>
      </c>
      <c r="G6698" s="2">
        <v>1</v>
      </c>
      <c r="H6698" s="1">
        <v>45950.402604166666</v>
      </c>
      <c r="I6698" s="2">
        <v>1</v>
      </c>
      <c r="J6698" s="1">
        <v>45950.400405092594</v>
      </c>
    </row>
    <row r="6699" spans="1:10" x14ac:dyDescent="0.2">
      <c r="A6699" s="4" t="s">
        <v>1</v>
      </c>
      <c r="B6699" s="3" t="str">
        <f>HYPERLINK("https://otsuka-europe-crm.veevavault.com/ui/#object/approved_document__v/V5OZ04ASG4FWKA9", "Documento Autorizaciขn Centro Empleador")</f>
        <v>Documento Autorizaciขn Centro Empleador</v>
      </c>
      <c r="C6699" s="3" t="str">
        <f>HYPERLINK("https://otsuka-europe-crm.veevavault.com/ui/#object/sent_email__v/VBLZ025E82HONIV", "SE-000288392")</f>
        <v>SE-000288392</v>
      </c>
      <c r="D6699" s="1">
        <v>45950.454085648147</v>
      </c>
      <c r="E6699" s="2">
        <v>1</v>
      </c>
      <c r="F6699" s="2">
        <v>1</v>
      </c>
      <c r="G6699" s="2">
        <v>1</v>
      </c>
      <c r="H6699" s="1">
        <v>45950.454108796293</v>
      </c>
      <c r="I6699" s="2">
        <v>1</v>
      </c>
      <c r="J6699" s="1">
        <v>45950.412962962961</v>
      </c>
    </row>
    <row r="6700" spans="1:10" x14ac:dyDescent="0.2">
      <c r="A6700" s="4" t="s">
        <v>1</v>
      </c>
      <c r="B6700" s="3" t="str">
        <f>HYPERLINK("https://otsuka-europe-crm.veevavault.com/ui/#object/approved_document__v/V5OZ04ASG4FWKA9", "Documento Autorizaciขn Centro Empleador")</f>
        <v>Documento Autorizaciขn Centro Empleador</v>
      </c>
      <c r="C6700" s="3" t="str">
        <f>HYPERLINK("https://otsuka-europe-crm.veevavault.com/ui/#object/sent_email__v/VBLZ025E82HORAX", "SE-000288472")</f>
        <v>SE-000288472</v>
      </c>
      <c r="D6700" s="1">
        <v>45950.506192129629</v>
      </c>
      <c r="E6700" s="2">
        <v>1</v>
      </c>
      <c r="F6700" s="2">
        <v>1</v>
      </c>
      <c r="G6700" s="2">
        <v>0</v>
      </c>
      <c r="H6700" s="1" t="s">
        <v>0</v>
      </c>
      <c r="I6700" s="2">
        <v>0</v>
      </c>
      <c r="J6700" s="1">
        <v>45950.429074074076</v>
      </c>
    </row>
    <row r="6701" spans="1:10" x14ac:dyDescent="0.2">
      <c r="A6701" s="4" t="s">
        <v>1</v>
      </c>
      <c r="B6701" s="3" t="str">
        <f>HYPERLINK("https://otsuka-europe-crm.veevavault.com/ui/#object/approved_document__v/V5OZ04ASG4FWKA9", "Documento Autorizaciขn Centro Empleador")</f>
        <v>Documento Autorizaciขn Centro Empleador</v>
      </c>
      <c r="C6701" s="3" t="str">
        <f>HYPERLINK("https://otsuka-europe-crm.veevavault.com/ui/#object/sent_email__v/VBLZ025E82HP2ST", "SE-000288534")</f>
        <v>SE-000288534</v>
      </c>
      <c r="D6701" s="1">
        <v>45950.53943287037</v>
      </c>
      <c r="E6701" s="2">
        <v>1</v>
      </c>
      <c r="F6701" s="2">
        <v>2</v>
      </c>
      <c r="G6701" s="2">
        <v>1</v>
      </c>
      <c r="H6701" s="1">
        <v>45950.539502314816</v>
      </c>
      <c r="I6701" s="2">
        <v>1</v>
      </c>
      <c r="J6701" s="1">
        <v>45950.498993055553</v>
      </c>
    </row>
    <row r="6702" spans="1:10" x14ac:dyDescent="0.2">
      <c r="A6702" s="4" t="s">
        <v>1</v>
      </c>
      <c r="B6702" s="3" t="str">
        <f>HYPERLINK("https://otsuka-europe-crm.veevavault.com/ui/#object/approved_document__v/V5OZ04ASG4FWKA9", "Documento Autorizaciขn Centro Empleador")</f>
        <v>Documento Autorizaciขn Centro Empleador</v>
      </c>
      <c r="C6702" s="3" t="str">
        <f>HYPERLINK("https://otsuka-europe-crm.veevavault.com/ui/#object/sent_email__v/VBLZ025E82HP4NI", "SE-000288550")</f>
        <v>SE-000288550</v>
      </c>
      <c r="D6702" s="1">
        <v>45950.53638888889</v>
      </c>
      <c r="E6702" s="2">
        <v>1</v>
      </c>
      <c r="F6702" s="2">
        <v>1</v>
      </c>
      <c r="G6702" s="2">
        <v>1</v>
      </c>
      <c r="H6702" s="1">
        <v>45950.536759259259</v>
      </c>
      <c r="I6702" s="2">
        <v>1</v>
      </c>
      <c r="J6702" s="1">
        <v>45950.515300925923</v>
      </c>
    </row>
    <row r="6703" spans="1:10" x14ac:dyDescent="0.2">
      <c r="A6703" s="4" t="s">
        <v>1</v>
      </c>
      <c r="B6703" s="3" t="str">
        <f>HYPERLINK("https://otsuka-europe-crm.veevavault.com/ui/#object/approved_document__v/V5OZ04ASG4FWKA9", "Documento Autorizaciขn Centro Empleador")</f>
        <v>Documento Autorizaciขn Centro Empleador</v>
      </c>
      <c r="C6703" s="3" t="str">
        <f>HYPERLINK("https://otsuka-europe-crm.veevavault.com/ui/#object/sent_email__v/VBLZ025E82HPUVX", "SE-000288835")</f>
        <v>SE-000288835</v>
      </c>
      <c r="D6703" s="1">
        <v>45952.411064814813</v>
      </c>
      <c r="E6703" s="2">
        <v>1</v>
      </c>
      <c r="F6703" s="2">
        <v>2</v>
      </c>
      <c r="G6703" s="2">
        <v>1</v>
      </c>
      <c r="H6703" s="1">
        <v>45951.310532407406</v>
      </c>
      <c r="I6703" s="2">
        <v>1</v>
      </c>
      <c r="J6703" s="1">
        <v>45951.307974537034</v>
      </c>
    </row>
    <row r="6704" spans="1:10" x14ac:dyDescent="0.2">
      <c r="A6704" s="4" t="s">
        <v>1</v>
      </c>
      <c r="B6704" s="3" t="str">
        <f>HYPERLINK("https://otsuka-europe-crm.veevavault.com/ui/#object/approved_document__v/V5OZ04ASG4FWKA9", "Documento Autorizaciขn Centro Empleador")</f>
        <v>Documento Autorizaciขn Centro Empleador</v>
      </c>
      <c r="C6704" s="3" t="str">
        <f>HYPERLINK("https://otsuka-europe-crm.veevavault.com/ui/#object/sent_email__v/VBLZ025E82HPV1I", "SE-000288838")</f>
        <v>SE-000288838</v>
      </c>
      <c r="D6704" s="1">
        <v>45951.315011574072</v>
      </c>
      <c r="E6704" s="2">
        <v>1</v>
      </c>
      <c r="F6704" s="2">
        <v>1</v>
      </c>
      <c r="G6704" s="2">
        <v>1</v>
      </c>
      <c r="H6704" s="1">
        <v>45957.740636574075</v>
      </c>
      <c r="I6704" s="2">
        <v>2</v>
      </c>
      <c r="J6704" s="1">
        <v>45951.312916666669</v>
      </c>
    </row>
    <row r="6705" spans="1:10" x14ac:dyDescent="0.2">
      <c r="A6705" s="4" t="s">
        <v>1</v>
      </c>
      <c r="B6705" s="3" t="str">
        <f>HYPERLINK("https://otsuka-europe-crm.veevavault.com/ui/#object/approved_document__v/V5OZ04ASG4FWKA9", "Documento Autorizaciขn Centro Empleador")</f>
        <v>Documento Autorizaciขn Centro Empleador</v>
      </c>
      <c r="C6705" s="3" t="str">
        <f>HYPERLINK("https://otsuka-europe-crm.veevavault.com/ui/#object/sent_email__v/VBLZ025E82HPVFD", "SE-000288840")</f>
        <v>SE-000288840</v>
      </c>
      <c r="D6705" s="1">
        <v>45951.342083333337</v>
      </c>
      <c r="E6705" s="2">
        <v>1</v>
      </c>
      <c r="F6705" s="2">
        <v>1</v>
      </c>
      <c r="G6705" s="2">
        <v>0</v>
      </c>
      <c r="H6705" s="1" t="s">
        <v>0</v>
      </c>
      <c r="I6705" s="2">
        <v>0</v>
      </c>
      <c r="J6705" s="1">
        <v>45951.341990740744</v>
      </c>
    </row>
    <row r="6706" spans="1:10" x14ac:dyDescent="0.2">
      <c r="A6706" s="4" t="s">
        <v>1</v>
      </c>
      <c r="B6706" s="3" t="str">
        <f>HYPERLINK("https://otsuka-europe-crm.veevavault.com/ui/#object/approved_document__v/V5OZ04ASG4FWKA9", "Documento Autorizaciขn Centro Empleador")</f>
        <v>Documento Autorizaciขn Centro Empleador</v>
      </c>
      <c r="C6706" s="3" t="str">
        <f>HYPERLINK("https://otsuka-europe-crm.veevavault.com/ui/#object/sent_email__v/VBLZ025E82HPVKX", "SE-000288842")</f>
        <v>SE-000288842</v>
      </c>
      <c r="D6706" s="1" t="s">
        <v>0</v>
      </c>
      <c r="E6706" s="2">
        <v>0</v>
      </c>
      <c r="F6706" s="2">
        <v>0</v>
      </c>
      <c r="G6706" s="2">
        <v>0</v>
      </c>
      <c r="H6706" s="1" t="s">
        <v>0</v>
      </c>
      <c r="I6706" s="2">
        <v>0</v>
      </c>
      <c r="J6706" s="1">
        <v>45951.342361111114</v>
      </c>
    </row>
    <row r="6707" spans="1:10" x14ac:dyDescent="0.2">
      <c r="A6707" s="4" t="s">
        <v>1</v>
      </c>
      <c r="B6707" s="3" t="str">
        <f>HYPERLINK("https://otsuka-europe-crm.veevavault.com/ui/#object/approved_document__v/V5OZ04ASG4FWKA9", "Documento Autorizaciขn Centro Empleador")</f>
        <v>Documento Autorizaciขn Centro Empleador</v>
      </c>
      <c r="C6707" s="3" t="str">
        <f>HYPERLINK("https://otsuka-europe-crm.veevavault.com/ui/#object/sent_email__v/VBLZ025E82HPXW9", "SE-000288845")</f>
        <v>SE-000288845</v>
      </c>
      <c r="D6707" s="1">
        <v>45951.389525462961</v>
      </c>
      <c r="E6707" s="2">
        <v>1</v>
      </c>
      <c r="F6707" s="2">
        <v>5</v>
      </c>
      <c r="G6707" s="2">
        <v>1</v>
      </c>
      <c r="H6707" s="1">
        <v>45951.382638888892</v>
      </c>
      <c r="I6707" s="2">
        <v>2</v>
      </c>
      <c r="J6707" s="1">
        <v>45951.379050925927</v>
      </c>
    </row>
    <row r="6708" spans="1:10" x14ac:dyDescent="0.2">
      <c r="A6708" s="4" t="s">
        <v>1</v>
      </c>
      <c r="B6708" s="3" t="str">
        <f>HYPERLINK("https://otsuka-europe-crm.veevavault.com/ui/#object/approved_document__v/V5OZ04ASG4FWKA9", "Documento Autorizaciขn Centro Empleador")</f>
        <v>Documento Autorizaciขn Centro Empleador</v>
      </c>
      <c r="C6708" s="3" t="str">
        <f>HYPERLINK("https://otsuka-europe-crm.veevavault.com/ui/#object/sent_email__v/VBLZ025E82HQ6DT", "SE-000288935")</f>
        <v>SE-000288935</v>
      </c>
      <c r="D6708" s="1">
        <v>45952.592349537037</v>
      </c>
      <c r="E6708" s="2">
        <v>1</v>
      </c>
      <c r="F6708" s="2">
        <v>1</v>
      </c>
      <c r="G6708" s="2">
        <v>1</v>
      </c>
      <c r="H6708" s="1">
        <v>45952.592349537037</v>
      </c>
      <c r="I6708" s="2">
        <v>1</v>
      </c>
      <c r="J6708" s="1">
        <v>45951.444571759261</v>
      </c>
    </row>
    <row r="6709" spans="1:10" x14ac:dyDescent="0.2">
      <c r="A6709" s="4" t="s">
        <v>1</v>
      </c>
      <c r="B6709" s="3" t="str">
        <f>HYPERLINK("https://otsuka-europe-crm.veevavault.com/ui/#object/approved_document__v/V5OZ04ASG4FWKA9", "Documento Autorizaciขn Centro Empleador")</f>
        <v>Documento Autorizaciขn Centro Empleador</v>
      </c>
      <c r="C6709" s="3" t="str">
        <f>HYPERLINK("https://otsuka-europe-crm.veevavault.com/ui/#object/sent_email__v/VBLZ025E82HQK9T", "SE-000289366")</f>
        <v>SE-000289366</v>
      </c>
      <c r="D6709" s="1">
        <v>45984.456770833334</v>
      </c>
      <c r="E6709" s="2">
        <v>1</v>
      </c>
      <c r="F6709" s="2">
        <v>3</v>
      </c>
      <c r="G6709" s="2">
        <v>1</v>
      </c>
      <c r="H6709" s="1">
        <v>45951.634421296294</v>
      </c>
      <c r="I6709" s="2">
        <v>1</v>
      </c>
      <c r="J6709" s="1">
        <v>45951.633993055555</v>
      </c>
    </row>
    <row r="6710" spans="1:10" x14ac:dyDescent="0.2">
      <c r="A6710" s="4" t="s">
        <v>1</v>
      </c>
      <c r="B6710" s="3" t="str">
        <f>HYPERLINK("https://otsuka-europe-crm.veevavault.com/ui/#object/approved_document__v/V5OZ04ASG4FWKA9", "Documento Autorizaciขn Centro Empleador")</f>
        <v>Documento Autorizaciขn Centro Empleador</v>
      </c>
      <c r="C6710" s="3" t="str">
        <f>HYPERLINK("https://otsuka-europe-crm.veevavault.com/ui/#object/sent_email__v/VBLZ025E82HREWL", "SE-000290074")</f>
        <v>SE-000290074</v>
      </c>
      <c r="D6710" s="1">
        <v>45952.686203703706</v>
      </c>
      <c r="E6710" s="2">
        <v>1</v>
      </c>
      <c r="F6710" s="2">
        <v>1</v>
      </c>
      <c r="G6710" s="2">
        <v>1</v>
      </c>
      <c r="H6710" s="1">
        <v>45952.686203703706</v>
      </c>
      <c r="I6710" s="2">
        <v>1</v>
      </c>
      <c r="J6710" s="1">
        <v>45952.551805555559</v>
      </c>
    </row>
    <row r="6711" spans="1:10" x14ac:dyDescent="0.2">
      <c r="A6711" s="4" t="s">
        <v>1</v>
      </c>
      <c r="B6711" s="3" t="str">
        <f>HYPERLINK("https://otsuka-europe-crm.veevavault.com/ui/#object/approved_document__v/V5OZ04ASG4FWKA9", "Documento Autorizaciขn Centro Empleador")</f>
        <v>Documento Autorizaciขn Centro Empleador</v>
      </c>
      <c r="C6711" s="3" t="str">
        <f>HYPERLINK("https://otsuka-europe-crm.veevavault.com/ui/#object/sent_email__v/VBLZ025E82HRF4X", "SE-000290075")</f>
        <v>SE-000290075</v>
      </c>
      <c r="D6711" s="1">
        <v>45952.814305555556</v>
      </c>
      <c r="E6711" s="2">
        <v>1</v>
      </c>
      <c r="F6711" s="2">
        <v>3</v>
      </c>
      <c r="G6711" s="2">
        <v>1</v>
      </c>
      <c r="H6711" s="1">
        <v>45952.719282407408</v>
      </c>
      <c r="I6711" s="2">
        <v>3</v>
      </c>
      <c r="J6711" s="1">
        <v>45952.557060185187</v>
      </c>
    </row>
    <row r="6712" spans="1:10" x14ac:dyDescent="0.2">
      <c r="A6712" s="4" t="s">
        <v>1</v>
      </c>
      <c r="B6712" s="3" t="str">
        <f>HYPERLINK("https://otsuka-europe-crm.veevavault.com/ui/#object/approved_document__v/V5OZ04ASG4FWKA9", "Documento Autorizaciขn Centro Empleador")</f>
        <v>Documento Autorizaciขn Centro Empleador</v>
      </c>
      <c r="C6712" s="3" t="str">
        <f>HYPERLINK("https://otsuka-europe-crm.veevavault.com/ui/#object/sent_email__v/VBLZ025E82HS82M", "SE-000290306")</f>
        <v>SE-000290306</v>
      </c>
      <c r="D6712" s="1">
        <v>45953.570763888885</v>
      </c>
      <c r="E6712" s="2">
        <v>1</v>
      </c>
      <c r="F6712" s="2">
        <v>5</v>
      </c>
      <c r="G6712" s="2">
        <v>1</v>
      </c>
      <c r="H6712" s="1">
        <v>45953.574583333335</v>
      </c>
      <c r="I6712" s="2">
        <v>2</v>
      </c>
      <c r="J6712" s="1">
        <v>45953.433113425926</v>
      </c>
    </row>
    <row r="6713" spans="1:10" x14ac:dyDescent="0.2">
      <c r="A6713" s="4" t="s">
        <v>1</v>
      </c>
      <c r="B6713" s="3" t="str">
        <f>HYPERLINK("https://otsuka-europe-crm.veevavault.com/ui/#object/approved_document__v/V5OZ04ASG4FWKA9", "Documento Autorizaciขn Centro Empleador")</f>
        <v>Documento Autorizaciขn Centro Empleador</v>
      </c>
      <c r="C6713" s="3" t="str">
        <f>HYPERLINK("https://otsuka-europe-crm.veevavault.com/ui/#object/sent_email__v/VBLZ025E82HS8OT", "SE-000290309")</f>
        <v>SE-000290309</v>
      </c>
      <c r="D6713" s="1" t="s">
        <v>0</v>
      </c>
      <c r="E6713" s="2">
        <v>0</v>
      </c>
      <c r="F6713" s="2">
        <v>0</v>
      </c>
      <c r="G6713" s="2">
        <v>0</v>
      </c>
      <c r="H6713" s="1" t="s">
        <v>0</v>
      </c>
      <c r="I6713" s="2">
        <v>0</v>
      </c>
      <c r="J6713" s="1">
        <v>45953.437777777777</v>
      </c>
    </row>
    <row r="6714" spans="1:10" x14ac:dyDescent="0.2">
      <c r="A6714" s="4" t="s">
        <v>1</v>
      </c>
      <c r="B6714" s="3" t="str">
        <f>HYPERLINK("https://otsuka-europe-crm.veevavault.com/ui/#object/approved_document__v/V5OZ04ASG4FWKA9", "Documento Autorizaciขn Centro Empleador")</f>
        <v>Documento Autorizaciขn Centro Empleador</v>
      </c>
      <c r="C6714" s="3" t="str">
        <f>HYPERLINK("https://otsuka-europe-crm.veevavault.com/ui/#object/sent_email__v/VBLZ025E82HSBP6", "SE-000290315")</f>
        <v>SE-000290315</v>
      </c>
      <c r="D6714" s="1">
        <v>45953.486504629633</v>
      </c>
      <c r="E6714" s="2">
        <v>1</v>
      </c>
      <c r="F6714" s="2">
        <v>1</v>
      </c>
      <c r="G6714" s="2">
        <v>1</v>
      </c>
      <c r="H6714" s="1">
        <v>45953.486539351848</v>
      </c>
      <c r="I6714" s="2">
        <v>1</v>
      </c>
      <c r="J6714" s="1">
        <v>45953.467939814815</v>
      </c>
    </row>
    <row r="6715" spans="1:10" x14ac:dyDescent="0.2">
      <c r="A6715" s="4" t="s">
        <v>1</v>
      </c>
      <c r="B6715" s="3" t="str">
        <f>HYPERLINK("https://otsuka-europe-crm.veevavault.com/ui/#object/approved_document__v/V5OZ04ASG4FWKA9", "Documento Autorizaciขn Centro Empleador")</f>
        <v>Documento Autorizaciขn Centro Empleador</v>
      </c>
      <c r="C6715" s="3" t="str">
        <f>HYPERLINK("https://otsuka-europe-crm.veevavault.com/ui/#object/sent_email__v/VBLZ025E82HSD36", "SE-000290318")</f>
        <v>SE-000290318</v>
      </c>
      <c r="D6715" s="1" t="s">
        <v>0</v>
      </c>
      <c r="E6715" s="2">
        <v>0</v>
      </c>
      <c r="F6715" s="2">
        <v>0</v>
      </c>
      <c r="G6715" s="2">
        <v>0</v>
      </c>
      <c r="H6715" s="1" t="s">
        <v>0</v>
      </c>
      <c r="I6715" s="2">
        <v>0</v>
      </c>
      <c r="J6715" s="1">
        <v>45953.481365740743</v>
      </c>
    </row>
    <row r="6716" spans="1:10" x14ac:dyDescent="0.2">
      <c r="A6716" s="4" t="s">
        <v>1</v>
      </c>
      <c r="B6716" s="3" t="str">
        <f>HYPERLINK("https://otsuka-europe-crm.veevavault.com/ui/#object/approved_document__v/V5OZ04ASG4FWKA9", "Documento Autorizaciขn Centro Empleador")</f>
        <v>Documento Autorizaciขn Centro Empleador</v>
      </c>
      <c r="C6716" s="3" t="str">
        <f>HYPERLINK("https://otsuka-europe-crm.veevavault.com/ui/#object/sent_email__v/VBL000000001925", "SE-001378933")</f>
        <v>SE-001378933</v>
      </c>
      <c r="D6716" s="1">
        <v>45958.602858796294</v>
      </c>
      <c r="E6716" s="2">
        <v>1</v>
      </c>
      <c r="F6716" s="2">
        <v>1</v>
      </c>
      <c r="G6716" s="2">
        <v>1</v>
      </c>
      <c r="H6716" s="1">
        <v>45958.602905092594</v>
      </c>
      <c r="I6716" s="2">
        <v>1</v>
      </c>
      <c r="J6716" s="1">
        <v>45958.542847222219</v>
      </c>
    </row>
    <row r="6717" spans="1:10" x14ac:dyDescent="0.2">
      <c r="A6717" s="4" t="s">
        <v>1</v>
      </c>
      <c r="B6717" s="3" t="str">
        <f>HYPERLINK("https://otsuka-europe-crm.veevavault.com/ui/#object/approved_document__v/V5OZ04ASG4FWKA9", "Documento Autorizaciขn Centro Empleador")</f>
        <v>Documento Autorizaciขn Centro Empleador</v>
      </c>
      <c r="C6717" s="3" t="str">
        <f>HYPERLINK("https://otsuka-europe-crm.veevavault.com/ui/#object/sent_email__v/VBL000000004102", "SE-001380179")</f>
        <v>SE-001380179</v>
      </c>
      <c r="D6717" s="1">
        <v>45961.551249999997</v>
      </c>
      <c r="E6717" s="2">
        <v>1</v>
      </c>
      <c r="F6717" s="2">
        <v>1</v>
      </c>
      <c r="G6717" s="2">
        <v>1</v>
      </c>
      <c r="H6717" s="1">
        <v>45961.551249999997</v>
      </c>
      <c r="I6717" s="2">
        <v>1</v>
      </c>
      <c r="J6717" s="1">
        <v>45961.550393518519</v>
      </c>
    </row>
    <row r="6718" spans="1:10" x14ac:dyDescent="0.2">
      <c r="A6718" s="4" t="s">
        <v>1</v>
      </c>
      <c r="B6718" s="3" t="str">
        <f>HYPERLINK("https://otsuka-europe-crm.veevavault.com/ui/#object/approved_document__v/V5OZ04ASG4FWKA9", "Documento Autorizaciขn Centro Empleador")</f>
        <v>Documento Autorizaciขn Centro Empleador</v>
      </c>
      <c r="C6718" s="3" t="str">
        <f>HYPERLINK("https://otsuka-europe-crm.veevavault.com/ui/#object/sent_email__v/VBL000000004231", "SE-001380441")</f>
        <v>SE-001380441</v>
      </c>
      <c r="D6718" s="1">
        <v>45993.327928240738</v>
      </c>
      <c r="E6718" s="2">
        <v>1</v>
      </c>
      <c r="F6718" s="2">
        <v>3</v>
      </c>
      <c r="G6718" s="2">
        <v>1</v>
      </c>
      <c r="H6718" s="1">
        <v>45974.357430555552</v>
      </c>
      <c r="I6718" s="2">
        <v>1</v>
      </c>
      <c r="J6718" s="1">
        <v>45964.451562499999</v>
      </c>
    </row>
    <row r="6719" spans="1:10" x14ac:dyDescent="0.2">
      <c r="A6719" s="4" t="s">
        <v>1</v>
      </c>
      <c r="B6719" s="3" t="str">
        <f>HYPERLINK("https://otsuka-europe-crm.veevavault.com/ui/#object/approved_document__v/V5OZ04ASG4FWKA9", "Documento Autorizaciขn Centro Empleador")</f>
        <v>Documento Autorizaciขn Centro Empleador</v>
      </c>
      <c r="C6719" s="3" t="str">
        <f>HYPERLINK("https://otsuka-europe-crm.veevavault.com/ui/#object/sent_email__v/VBL000000004243", "SE-001380454")</f>
        <v>SE-001380454</v>
      </c>
      <c r="D6719" s="1">
        <v>45965.431087962963</v>
      </c>
      <c r="E6719" s="2">
        <v>1</v>
      </c>
      <c r="F6719" s="2">
        <v>1</v>
      </c>
      <c r="G6719" s="2">
        <v>1</v>
      </c>
      <c r="H6719" s="1">
        <v>45965.431087962963</v>
      </c>
      <c r="I6719" s="2">
        <v>1</v>
      </c>
      <c r="J6719" s="1">
        <v>45964.481944444444</v>
      </c>
    </row>
    <row r="6720" spans="1:10" x14ac:dyDescent="0.2">
      <c r="A6720" s="4" t="s">
        <v>1</v>
      </c>
      <c r="B6720" s="3" t="str">
        <f>HYPERLINK("https://otsuka-europe-crm.veevavault.com/ui/#object/approved_document__v/V5OZ04ASG4FWKA9", "Documento Autorizaciขn Centro Empleador")</f>
        <v>Documento Autorizaciขn Centro Empleador</v>
      </c>
      <c r="C6720" s="3" t="str">
        <f>HYPERLINK("https://otsuka-europe-crm.veevavault.com/ui/#object/sent_email__v/VBL000000005647", "SE-001380539")</f>
        <v>SE-001380539</v>
      </c>
      <c r="D6720" s="1">
        <v>45965.341215277775</v>
      </c>
      <c r="E6720" s="2">
        <v>1</v>
      </c>
      <c r="F6720" s="2">
        <v>1</v>
      </c>
      <c r="G6720" s="2">
        <v>1</v>
      </c>
      <c r="H6720" s="1">
        <v>45965.352546296293</v>
      </c>
      <c r="I6720" s="2">
        <v>2</v>
      </c>
      <c r="J6720" s="1">
        <v>45965.338171296295</v>
      </c>
    </row>
    <row r="6721" spans="1:10" x14ac:dyDescent="0.2">
      <c r="A6721" s="4" t="s">
        <v>1</v>
      </c>
      <c r="B6721" s="3" t="str">
        <f>HYPERLINK("https://otsuka-europe-crm.veevavault.com/ui/#object/approved_document__v/V5OZ04ASG4FWKA9", "Documento Autorizaciขn Centro Empleador")</f>
        <v>Documento Autorizaciขn Centro Empleador</v>
      </c>
      <c r="C6721" s="3" t="str">
        <f>HYPERLINK("https://otsuka-europe-crm.veevavault.com/ui/#object/sent_email__v/VBL000000005833", "SE-001380765")</f>
        <v>SE-001380765</v>
      </c>
      <c r="D6721" s="1">
        <v>45965.878634259258</v>
      </c>
      <c r="E6721" s="2">
        <v>1</v>
      </c>
      <c r="F6721" s="2">
        <v>4</v>
      </c>
      <c r="G6721" s="2">
        <v>1</v>
      </c>
      <c r="H6721" s="1">
        <v>45965.879062499997</v>
      </c>
      <c r="I6721" s="2">
        <v>4</v>
      </c>
      <c r="J6721" s="1">
        <v>45965.661932870367</v>
      </c>
    </row>
    <row r="6722" spans="1:10" x14ac:dyDescent="0.2">
      <c r="A6722" s="4" t="s">
        <v>1</v>
      </c>
      <c r="B6722" s="3" t="str">
        <f>HYPERLINK("https://otsuka-europe-crm.veevavault.com/ui/#object/approved_document__v/V5OZ04ASG4FWKA9", "Documento Autorizaciขn Centro Empleador")</f>
        <v>Documento Autorizaciขn Centro Empleador</v>
      </c>
      <c r="C6722" s="3" t="str">
        <f>HYPERLINK("https://otsuka-europe-crm.veevavault.com/ui/#object/sent_email__v/VBL000000004451", "SE-001380766")</f>
        <v>SE-001380766</v>
      </c>
      <c r="D6722" s="1">
        <v>45965.70113425926</v>
      </c>
      <c r="E6722" s="2">
        <v>1</v>
      </c>
      <c r="F6722" s="2">
        <v>1</v>
      </c>
      <c r="G6722" s="2">
        <v>0</v>
      </c>
      <c r="H6722" s="1" t="s">
        <v>0</v>
      </c>
      <c r="I6722" s="2">
        <v>0</v>
      </c>
      <c r="J6722" s="1">
        <v>45965.694143518522</v>
      </c>
    </row>
    <row r="6723" spans="1:10" x14ac:dyDescent="0.2">
      <c r="A6723" s="4" t="s">
        <v>1</v>
      </c>
      <c r="B6723" s="3" t="str">
        <f>HYPERLINK("https://otsuka-europe-crm.veevavault.com/ui/#object/approved_document__v/V5OZ04ASG4FWKA9", "Documento Autorizaciขn Centro Empleador")</f>
        <v>Documento Autorizaciขn Centro Empleador</v>
      </c>
      <c r="C6723" s="3" t="str">
        <f>HYPERLINK("https://otsuka-europe-crm.veevavault.com/ui/#object/sent_email__v/VBL000000006005", "SE-001380887")</f>
        <v>SE-001380887</v>
      </c>
      <c r="D6723" s="1">
        <v>45966.62777777778</v>
      </c>
      <c r="E6723" s="2">
        <v>1</v>
      </c>
      <c r="F6723" s="2">
        <v>2</v>
      </c>
      <c r="G6723" s="2">
        <v>1</v>
      </c>
      <c r="H6723" s="1">
        <v>45966.627858796295</v>
      </c>
      <c r="I6723" s="2">
        <v>1</v>
      </c>
      <c r="J6723" s="1">
        <v>45966.57980324074</v>
      </c>
    </row>
    <row r="6724" spans="1:10" x14ac:dyDescent="0.2">
      <c r="A6724" s="4" t="s">
        <v>1</v>
      </c>
      <c r="B6724" s="3" t="str">
        <f>HYPERLINK("https://otsuka-europe-crm.veevavault.com/ui/#object/approved_document__v/V5OZ04ASG4FWKA9", "Documento Autorizaciขn Centro Empleador")</f>
        <v>Documento Autorizaciขn Centro Empleador</v>
      </c>
      <c r="C6724" s="3" t="str">
        <f>HYPERLINK("https://otsuka-europe-crm.veevavault.com/ui/#object/sent_email__v/VBL000000006006", "SE-001380888")</f>
        <v>SE-001380888</v>
      </c>
      <c r="D6724" s="1">
        <v>45970.529907407406</v>
      </c>
      <c r="E6724" s="2">
        <v>1</v>
      </c>
      <c r="F6724" s="2">
        <v>6</v>
      </c>
      <c r="G6724" s="2">
        <v>1</v>
      </c>
      <c r="H6724" s="1">
        <v>45968.559525462966</v>
      </c>
      <c r="I6724" s="2">
        <v>12</v>
      </c>
      <c r="J6724" s="1">
        <v>45966.580462962964</v>
      </c>
    </row>
    <row r="6725" spans="1:10" x14ac:dyDescent="0.2">
      <c r="A6725" s="4" t="s">
        <v>1</v>
      </c>
      <c r="B6725" s="3" t="str">
        <f>HYPERLINK("https://otsuka-europe-crm.veevavault.com/ui/#object/approved_document__v/V5OZ04ASG4FWKA9", "Documento Autorizaciขn Centro Empleador")</f>
        <v>Documento Autorizaciขn Centro Empleador</v>
      </c>
      <c r="C6725" s="3" t="str">
        <f>HYPERLINK("https://otsuka-europe-crm.veevavault.com/ui/#object/sent_email__v/VBL000000004560", "SE-001380927")</f>
        <v>SE-001380927</v>
      </c>
      <c r="D6725" s="1">
        <v>45966.932719907411</v>
      </c>
      <c r="E6725" s="2">
        <v>1</v>
      </c>
      <c r="F6725" s="2">
        <v>1</v>
      </c>
      <c r="G6725" s="2">
        <v>1</v>
      </c>
      <c r="H6725" s="1">
        <v>45966.933437500003</v>
      </c>
      <c r="I6725" s="2">
        <v>2</v>
      </c>
      <c r="J6725" s="1">
        <v>45966.926793981482</v>
      </c>
    </row>
    <row r="6726" spans="1:10" x14ac:dyDescent="0.2">
      <c r="A6726" s="4" t="s">
        <v>1</v>
      </c>
      <c r="B6726" s="3" t="str">
        <f>HYPERLINK("https://otsuka-europe-crm.veevavault.com/ui/#object/approved_document__v/V5OZ04ASG4FWKA9", "Documento Autorizaciขn Centro Empleador")</f>
        <v>Documento Autorizaciขn Centro Empleador</v>
      </c>
      <c r="C6726" s="3" t="str">
        <f>HYPERLINK("https://otsuka-europe-crm.veevavault.com/ui/#object/sent_email__v/VBL000000006268", "SE-001381208")</f>
        <v>SE-001381208</v>
      </c>
      <c r="D6726" s="1">
        <v>45989.583055555559</v>
      </c>
      <c r="E6726" s="2">
        <v>1</v>
      </c>
      <c r="F6726" s="2">
        <v>5</v>
      </c>
      <c r="G6726" s="2">
        <v>1</v>
      </c>
      <c r="H6726" s="1">
        <v>45967.639097222222</v>
      </c>
      <c r="I6726" s="2">
        <v>2</v>
      </c>
      <c r="J6726" s="1">
        <v>45967.494537037041</v>
      </c>
    </row>
    <row r="6727" spans="1:10" x14ac:dyDescent="0.2">
      <c r="A6727" s="4" t="s">
        <v>1</v>
      </c>
      <c r="B6727" s="3" t="str">
        <f>HYPERLINK("https://otsuka-europe-crm.veevavault.com/ui/#object/approved_document__v/V5OZ04ASG4FWKA9", "Documento Autorizaciขn Centro Empleador")</f>
        <v>Documento Autorizaciขn Centro Empleador</v>
      </c>
      <c r="C6727" s="3" t="str">
        <f>HYPERLINK("https://otsuka-europe-crm.veevavault.com/ui/#object/sent_email__v/VBL000000006359", "SE-001381327")</f>
        <v>SE-001381327</v>
      </c>
      <c r="D6727" s="1">
        <v>45989.583067129628</v>
      </c>
      <c r="E6727" s="2">
        <v>1</v>
      </c>
      <c r="F6727" s="2">
        <v>5</v>
      </c>
      <c r="G6727" s="2">
        <v>0</v>
      </c>
      <c r="H6727" s="1" t="s">
        <v>0</v>
      </c>
      <c r="I6727" s="2">
        <v>0</v>
      </c>
      <c r="J6727" s="1">
        <v>45967.55263888889</v>
      </c>
    </row>
    <row r="6728" spans="1:10" x14ac:dyDescent="0.2">
      <c r="A6728" s="4" t="s">
        <v>1</v>
      </c>
      <c r="B6728" s="3" t="str">
        <f>HYPERLINK("https://otsuka-europe-crm.veevavault.com/ui/#object/approved_document__v/V5OZ04ASG4FWKA9", "Documento Autorizaciขn Centro Empleador")</f>
        <v>Documento Autorizaciขn Centro Empleador</v>
      </c>
      <c r="C6728" s="3" t="str">
        <f>HYPERLINK("https://otsuka-europe-crm.veevavault.com/ui/#object/sent_email__v/VBL000000006514", "SE-001381669")</f>
        <v>SE-001381669</v>
      </c>
      <c r="D6728" s="1">
        <v>45967.732187499998</v>
      </c>
      <c r="E6728" s="2">
        <v>1</v>
      </c>
      <c r="F6728" s="2">
        <v>1</v>
      </c>
      <c r="G6728" s="2">
        <v>1</v>
      </c>
      <c r="H6728" s="1">
        <v>45969.493217592593</v>
      </c>
      <c r="I6728" s="2">
        <v>4</v>
      </c>
      <c r="J6728" s="1">
        <v>45967.728680555556</v>
      </c>
    </row>
    <row r="6729" spans="1:10" x14ac:dyDescent="0.2">
      <c r="A6729" s="4" t="s">
        <v>1</v>
      </c>
      <c r="B6729" s="3" t="str">
        <f>HYPERLINK("https://otsuka-europe-crm.veevavault.com/ui/#object/approved_document__v/V5OZ04ASG4FWKA9", "Documento Autorizaciขn Centro Empleador")</f>
        <v>Documento Autorizaciขn Centro Empleador</v>
      </c>
      <c r="C6729" s="3" t="str">
        <f>HYPERLINK("https://otsuka-europe-crm.veevavault.com/ui/#object/sent_email__v/VBL00000000E376", "SE-001384030")</f>
        <v>SE-001384030</v>
      </c>
      <c r="D6729" s="1" t="s">
        <v>0</v>
      </c>
      <c r="E6729" s="2">
        <v>0</v>
      </c>
      <c r="F6729" s="2">
        <v>0</v>
      </c>
      <c r="G6729" s="2">
        <v>0</v>
      </c>
      <c r="H6729" s="1" t="s">
        <v>0</v>
      </c>
      <c r="I6729" s="2">
        <v>0</v>
      </c>
      <c r="J6729" s="1">
        <v>45971.392442129632</v>
      </c>
    </row>
    <row r="6730" spans="1:10" x14ac:dyDescent="0.2">
      <c r="A6730" s="4" t="s">
        <v>1</v>
      </c>
      <c r="B6730" s="3" t="str">
        <f>HYPERLINK("https://otsuka-europe-crm.veevavault.com/ui/#object/approved_document__v/V5OZ04ASG4FWKA9", "Documento Autorizaciขn Centro Empleador")</f>
        <v>Documento Autorizaciขn Centro Empleador</v>
      </c>
      <c r="C6730" s="3" t="str">
        <f>HYPERLINK("https://otsuka-europe-crm.veevavault.com/ui/#object/sent_email__v/VBL00000000D375", "SE-001384236")</f>
        <v>SE-001384236</v>
      </c>
      <c r="D6730" s="1">
        <v>45972.352870370371</v>
      </c>
      <c r="E6730" s="2">
        <v>1</v>
      </c>
      <c r="F6730" s="2">
        <v>1</v>
      </c>
      <c r="G6730" s="2">
        <v>1</v>
      </c>
      <c r="H6730" s="1">
        <v>45972.35355324074</v>
      </c>
      <c r="I6730" s="2">
        <v>6</v>
      </c>
      <c r="J6730" s="1">
        <v>45971.557835648149</v>
      </c>
    </row>
    <row r="6731" spans="1:10" x14ac:dyDescent="0.2">
      <c r="A6731" s="4" t="s">
        <v>1</v>
      </c>
      <c r="B6731" s="3" t="str">
        <f>HYPERLINK("https://otsuka-europe-crm.veevavault.com/ui/#object/approved_document__v/V5OZ04ASG4FWKA9", "Documento Autorizaciขn Centro Empleador")</f>
        <v>Documento Autorizaciขn Centro Empleador</v>
      </c>
      <c r="C6731" s="3" t="str">
        <f>HYPERLINK("https://otsuka-europe-crm.veevavault.com/ui/#object/sent_email__v/VBL00000000G728", "SE-001386120")</f>
        <v>SE-001386120</v>
      </c>
      <c r="D6731" s="1" t="s">
        <v>0</v>
      </c>
      <c r="E6731" s="2">
        <v>0</v>
      </c>
      <c r="F6731" s="2">
        <v>0</v>
      </c>
      <c r="G6731" s="2">
        <v>0</v>
      </c>
      <c r="H6731" s="1" t="s">
        <v>0</v>
      </c>
      <c r="I6731" s="2">
        <v>0</v>
      </c>
      <c r="J6731" s="1">
        <v>45971.648136574076</v>
      </c>
    </row>
    <row r="6732" spans="1:10" x14ac:dyDescent="0.2">
      <c r="A6732" s="4" t="s">
        <v>1</v>
      </c>
      <c r="B6732" s="3" t="str">
        <f>HYPERLINK("https://otsuka-europe-crm.veevavault.com/ui/#object/approved_document__v/V5OZ04ASG4FWKA9", "Documento Autorizaciขn Centro Empleador")</f>
        <v>Documento Autorizaciขn Centro Empleador</v>
      </c>
      <c r="C6732" s="3" t="str">
        <f>HYPERLINK("https://otsuka-europe-crm.veevavault.com/ui/#object/sent_email__v/VBL00000000H069", "SE-001386460")</f>
        <v>SE-001386460</v>
      </c>
      <c r="D6732" s="1" t="s">
        <v>0</v>
      </c>
      <c r="E6732" s="2">
        <v>0</v>
      </c>
      <c r="F6732" s="2">
        <v>0</v>
      </c>
      <c r="G6732" s="2">
        <v>0</v>
      </c>
      <c r="H6732" s="1" t="s">
        <v>0</v>
      </c>
      <c r="I6732" s="2">
        <v>0</v>
      </c>
      <c r="J6732" s="1">
        <v>45971.661886574075</v>
      </c>
    </row>
    <row r="6733" spans="1:10" x14ac:dyDescent="0.2">
      <c r="A6733" s="4" t="s">
        <v>1</v>
      </c>
      <c r="B6733" s="3" t="str">
        <f>HYPERLINK("https://otsuka-europe-crm.veevavault.com/ui/#object/approved_document__v/V5OZ04ASG4FWKA9", "Documento Autorizaciขn Centro Empleador")</f>
        <v>Documento Autorizaciขn Centro Empleador</v>
      </c>
      <c r="C6733" s="3" t="str">
        <f>HYPERLINK("https://otsuka-europe-crm.veevavault.com/ui/#object/sent_email__v/VBL00000000J952", "SE-001389493")</f>
        <v>SE-001389493</v>
      </c>
      <c r="D6733" s="1">
        <v>45988.761446759258</v>
      </c>
      <c r="E6733" s="2">
        <v>1</v>
      </c>
      <c r="F6733" s="2">
        <v>2</v>
      </c>
      <c r="G6733" s="2">
        <v>1</v>
      </c>
      <c r="H6733" s="1">
        <v>45973.429351851853</v>
      </c>
      <c r="I6733" s="2">
        <v>2</v>
      </c>
      <c r="J6733" s="1">
        <v>45973.423657407409</v>
      </c>
    </row>
    <row r="6734" spans="1:10" x14ac:dyDescent="0.2">
      <c r="A6734" s="4" t="s">
        <v>1</v>
      </c>
      <c r="B6734" s="3" t="str">
        <f>HYPERLINK("https://otsuka-europe-crm.veevavault.com/ui/#object/approved_document__v/V5OZ04ASG4FWKA9", "Documento Autorizaciขn Centro Empleador")</f>
        <v>Documento Autorizaciขn Centro Empleador</v>
      </c>
      <c r="C6734" s="3" t="str">
        <f>HYPERLINK("https://otsuka-europe-crm.veevavault.com/ui/#object/sent_email__v/VBL00000000J954", "SE-001389496")</f>
        <v>SE-001389496</v>
      </c>
      <c r="D6734" s="1">
        <v>45977.511620370373</v>
      </c>
      <c r="E6734" s="2">
        <v>1</v>
      </c>
      <c r="F6734" s="2">
        <v>2</v>
      </c>
      <c r="G6734" s="2">
        <v>1</v>
      </c>
      <c r="H6734" s="1">
        <v>45973.484675925924</v>
      </c>
      <c r="I6734" s="2">
        <v>2</v>
      </c>
      <c r="J6734" s="1">
        <v>45973.442569444444</v>
      </c>
    </row>
    <row r="6735" spans="1:10" x14ac:dyDescent="0.2">
      <c r="A6735" s="4" t="s">
        <v>1</v>
      </c>
      <c r="B6735" s="3" t="str">
        <f>HYPERLINK("https://otsuka-europe-crm.veevavault.com/ui/#object/approved_document__v/V5OZ04ASG4FWKA9", "Documento Autorizaciขn Centro Empleador")</f>
        <v>Documento Autorizaciขn Centro Empleador</v>
      </c>
      <c r="C6735" s="3" t="str">
        <f>HYPERLINK("https://otsuka-europe-crm.veevavault.com/ui/#object/sent_email__v/VBL00000000J965", "SE-001389507")</f>
        <v>SE-001389507</v>
      </c>
      <c r="D6735" s="1">
        <v>45985.882118055553</v>
      </c>
      <c r="E6735" s="2">
        <v>1</v>
      </c>
      <c r="F6735" s="2">
        <v>7</v>
      </c>
      <c r="G6735" s="2">
        <v>1</v>
      </c>
      <c r="H6735" s="1">
        <v>45985.882164351853</v>
      </c>
      <c r="I6735" s="2">
        <v>2</v>
      </c>
      <c r="J6735" s="1">
        <v>45973.487442129626</v>
      </c>
    </row>
    <row r="6736" spans="1:10" x14ac:dyDescent="0.2">
      <c r="A6736" s="4" t="s">
        <v>1</v>
      </c>
      <c r="B6736" s="3" t="str">
        <f>HYPERLINK("https://otsuka-europe-crm.veevavault.com/ui/#object/approved_document__v/V5OZ04ASG4FWKA9", "Documento Autorizaciขn Centro Empleador")</f>
        <v>Documento Autorizaciขn Centro Empleador</v>
      </c>
      <c r="C6736" s="3" t="str">
        <f>HYPERLINK("https://otsuka-europe-crm.veevavault.com/ui/#object/sent_email__v/VBL00000000N012", "SE-001389814")</f>
        <v>SE-001389814</v>
      </c>
      <c r="D6736" s="1" t="s">
        <v>0</v>
      </c>
      <c r="E6736" s="2">
        <v>0</v>
      </c>
      <c r="F6736" s="2">
        <v>0</v>
      </c>
      <c r="G6736" s="2">
        <v>0</v>
      </c>
      <c r="H6736" s="1" t="s">
        <v>0</v>
      </c>
      <c r="I6736" s="2">
        <v>0</v>
      </c>
      <c r="J6736" s="1">
        <v>45973.697847222225</v>
      </c>
    </row>
    <row r="6737" spans="1:10" x14ac:dyDescent="0.2">
      <c r="A6737" s="4" t="s">
        <v>1</v>
      </c>
      <c r="B6737" s="3" t="str">
        <f>HYPERLINK("https://otsuka-europe-crm.veevavault.com/ui/#object/approved_document__v/V5OZ04ASG4FWKA9", "Documento Autorizaciขn Centro Empleador")</f>
        <v>Documento Autorizaciขn Centro Empleador</v>
      </c>
      <c r="C6737" s="3" t="str">
        <f>HYPERLINK("https://otsuka-europe-crm.veevavault.com/ui/#object/sent_email__v/VBL00000000N235", "SE-001390227")</f>
        <v>SE-001390227</v>
      </c>
      <c r="D6737" s="1" t="s">
        <v>0</v>
      </c>
      <c r="E6737" s="2">
        <v>0</v>
      </c>
      <c r="F6737" s="2">
        <v>0</v>
      </c>
      <c r="G6737" s="2">
        <v>0</v>
      </c>
      <c r="H6737" s="1" t="s">
        <v>0</v>
      </c>
      <c r="I6737" s="2">
        <v>0</v>
      </c>
      <c r="J6737" s="1">
        <v>45974.719733796293</v>
      </c>
    </row>
    <row r="6738" spans="1:10" x14ac:dyDescent="0.2">
      <c r="A6738" s="4" t="s">
        <v>1</v>
      </c>
      <c r="B6738" s="3" t="str">
        <f>HYPERLINK("https://otsuka-europe-crm.veevavault.com/ui/#object/approved_document__v/V5OZ04ASG4FWKA9", "Documento Autorizaciขn Centro Empleador")</f>
        <v>Documento Autorizaciขn Centro Empleador</v>
      </c>
      <c r="C6738" s="3" t="str">
        <f>HYPERLINK("https://otsuka-europe-crm.veevavault.com/ui/#object/sent_email__v/VBL00000000N459", "SE-001390768")</f>
        <v>SE-001390768</v>
      </c>
      <c r="D6738" s="1" t="s">
        <v>0</v>
      </c>
      <c r="E6738" s="2">
        <v>0</v>
      </c>
      <c r="F6738" s="2">
        <v>0</v>
      </c>
      <c r="G6738" s="2">
        <v>0</v>
      </c>
      <c r="H6738" s="1" t="s">
        <v>0</v>
      </c>
      <c r="I6738" s="2">
        <v>0</v>
      </c>
      <c r="J6738" s="1">
        <v>45978.519386574073</v>
      </c>
    </row>
    <row r="6739" spans="1:10" x14ac:dyDescent="0.2">
      <c r="A6739" s="4" t="s">
        <v>1</v>
      </c>
      <c r="B6739" s="3" t="str">
        <f>HYPERLINK("https://otsuka-europe-crm.veevavault.com/ui/#object/approved_document__v/V5OZ04ASG4FWKA9", "Documento Autorizaciขn Centro Empleador")</f>
        <v>Documento Autorizaciขn Centro Empleador</v>
      </c>
      <c r="C6739" s="3" t="str">
        <f>HYPERLINK("https://otsuka-europe-crm.veevavault.com/ui/#object/sent_email__v/VBL00000000N486", "SE-001390805")</f>
        <v>SE-001390805</v>
      </c>
      <c r="D6739" s="1">
        <v>45981.610162037039</v>
      </c>
      <c r="E6739" s="2">
        <v>1</v>
      </c>
      <c r="F6739" s="2">
        <v>3</v>
      </c>
      <c r="G6739" s="2">
        <v>1</v>
      </c>
      <c r="H6739" s="1">
        <v>45979.442280092589</v>
      </c>
      <c r="I6739" s="2">
        <v>3</v>
      </c>
      <c r="J6739" s="1">
        <v>45979.415682870371</v>
      </c>
    </row>
    <row r="6740" spans="1:10" x14ac:dyDescent="0.2">
      <c r="A6740" s="4" t="s">
        <v>1</v>
      </c>
      <c r="B6740" s="3" t="str">
        <f>HYPERLINK("https://otsuka-europe-crm.veevavault.com/ui/#object/approved_document__v/V5OZ04ASG4FWKA9", "Documento Autorizaciขn Centro Empleador")</f>
        <v>Documento Autorizaciขn Centro Empleador</v>
      </c>
      <c r="C6740" s="3" t="str">
        <f>HYPERLINK("https://otsuka-europe-crm.veevavault.com/ui/#object/sent_email__v/VBL00000000O296", "SE-001390808")</f>
        <v>SE-001390808</v>
      </c>
      <c r="D6740" s="1">
        <v>45979.686203703706</v>
      </c>
      <c r="E6740" s="2">
        <v>1</v>
      </c>
      <c r="F6740" s="2">
        <v>1</v>
      </c>
      <c r="G6740" s="2">
        <v>0</v>
      </c>
      <c r="H6740" s="1" t="s">
        <v>0</v>
      </c>
      <c r="I6740" s="2">
        <v>0</v>
      </c>
      <c r="J6740" s="1">
        <v>45979.427337962959</v>
      </c>
    </row>
    <row r="6741" spans="1:10" x14ac:dyDescent="0.2">
      <c r="A6741" s="4" t="s">
        <v>1</v>
      </c>
      <c r="B6741" s="3" t="str">
        <f>HYPERLINK("https://otsuka-europe-crm.veevavault.com/ui/#object/approved_document__v/V5OZ04ASG4FWKA9", "Documento Autorizaciขn Centro Empleador")</f>
        <v>Documento Autorizaciขn Centro Empleador</v>
      </c>
      <c r="C6741" s="3" t="str">
        <f>HYPERLINK("https://otsuka-europe-crm.veevavault.com/ui/#object/sent_email__v/VBL00000000N541", "SE-001391032")</f>
        <v>SE-001391032</v>
      </c>
      <c r="D6741" s="1">
        <v>45979.5387962963</v>
      </c>
      <c r="E6741" s="2">
        <v>1</v>
      </c>
      <c r="F6741" s="2">
        <v>1</v>
      </c>
      <c r="G6741" s="2">
        <v>1</v>
      </c>
      <c r="H6741" s="1">
        <v>45979.674710648149</v>
      </c>
      <c r="I6741" s="2">
        <v>3</v>
      </c>
      <c r="J6741" s="1">
        <v>45979.536180555559</v>
      </c>
    </row>
    <row r="6742" spans="1:10" x14ac:dyDescent="0.2">
      <c r="A6742" s="4" t="s">
        <v>1</v>
      </c>
      <c r="B6742" s="3" t="str">
        <f>HYPERLINK("https://otsuka-europe-crm.veevavault.com/ui/#object/approved_document__v/V5OZ04ASG4FWKA9", "Documento Autorizaciขn Centro Empleador")</f>
        <v>Documento Autorizaciขn Centro Empleador</v>
      </c>
      <c r="C6742" s="3" t="str">
        <f>HYPERLINK("https://otsuka-europe-crm.veevavault.com/ui/#object/sent_email__v/VBL00000000N546", "SE-001391040")</f>
        <v>SE-001391040</v>
      </c>
      <c r="D6742" s="1" t="s">
        <v>0</v>
      </c>
      <c r="E6742" s="2">
        <v>0</v>
      </c>
      <c r="F6742" s="2">
        <v>0</v>
      </c>
      <c r="G6742" s="2">
        <v>0</v>
      </c>
      <c r="H6742" s="1" t="s">
        <v>0</v>
      </c>
      <c r="I6742" s="2">
        <v>0</v>
      </c>
      <c r="J6742" s="1">
        <v>45979.584328703706</v>
      </c>
    </row>
    <row r="6743" spans="1:10" x14ac:dyDescent="0.2">
      <c r="A6743" s="4" t="s">
        <v>1</v>
      </c>
      <c r="B6743" s="3" t="str">
        <f>HYPERLINK("https://otsuka-europe-crm.veevavault.com/ui/#object/approved_document__v/V5OZ04ASG4FWKA9", "Documento Autorizaciขn Centro Empleador")</f>
        <v>Documento Autorizaciขn Centro Empleador</v>
      </c>
      <c r="C6743" s="3" t="str">
        <f>HYPERLINK("https://otsuka-europe-crm.veevavault.com/ui/#object/sent_email__v/VBL00000000N548", "SE-001391042")</f>
        <v>SE-001391042</v>
      </c>
      <c r="D6743" s="1">
        <v>45979.597118055557</v>
      </c>
      <c r="E6743" s="2">
        <v>1</v>
      </c>
      <c r="F6743" s="2">
        <v>1</v>
      </c>
      <c r="G6743" s="2">
        <v>1</v>
      </c>
      <c r="H6743" s="1">
        <v>45979.597118055557</v>
      </c>
      <c r="I6743" s="2">
        <v>1</v>
      </c>
      <c r="J6743" s="1">
        <v>45979.595312500001</v>
      </c>
    </row>
    <row r="6744" spans="1:10" x14ac:dyDescent="0.2">
      <c r="A6744" s="4" t="s">
        <v>1</v>
      </c>
      <c r="B6744" s="3" t="str">
        <f>HYPERLINK("https://otsuka-europe-crm.veevavault.com/ui/#object/approved_document__v/V5OZ04ASG4FWKA9", "Documento Autorizaciขn Centro Empleador")</f>
        <v>Documento Autorizaciขn Centro Empleador</v>
      </c>
      <c r="C6744" s="3" t="str">
        <f>HYPERLINK("https://otsuka-europe-crm.veevavault.com/ui/#object/sent_email__v/VBL00000000Q096", "SE-001391246")</f>
        <v>SE-001391246</v>
      </c>
      <c r="D6744" s="1">
        <v>45980.827962962961</v>
      </c>
      <c r="E6744" s="2">
        <v>1</v>
      </c>
      <c r="F6744" s="2">
        <v>1</v>
      </c>
      <c r="G6744" s="2">
        <v>0</v>
      </c>
      <c r="H6744" s="1" t="s">
        <v>0</v>
      </c>
      <c r="I6744" s="2">
        <v>0</v>
      </c>
      <c r="J6744" s="1">
        <v>45980.403229166666</v>
      </c>
    </row>
    <row r="6745" spans="1:10" x14ac:dyDescent="0.2">
      <c r="A6745" s="4" t="s">
        <v>1</v>
      </c>
      <c r="B6745" s="3" t="str">
        <f>HYPERLINK("https://otsuka-europe-crm.veevavault.com/ui/#object/approved_document__v/V5OZ04ASG4FWKA9", "Documento Autorizaciขn Centro Empleador")</f>
        <v>Documento Autorizaciขn Centro Empleador</v>
      </c>
      <c r="C6745" s="3" t="str">
        <f>HYPERLINK("https://otsuka-europe-crm.veevavault.com/ui/#object/sent_email__v/VBL00000000P084", "SE-001391300")</f>
        <v>SE-001391300</v>
      </c>
      <c r="D6745" s="1" t="s">
        <v>0</v>
      </c>
      <c r="E6745" s="2">
        <v>0</v>
      </c>
      <c r="F6745" s="2">
        <v>0</v>
      </c>
      <c r="G6745" s="2">
        <v>0</v>
      </c>
      <c r="H6745" s="1" t="s">
        <v>0</v>
      </c>
      <c r="I6745" s="2">
        <v>0</v>
      </c>
      <c r="J6745" s="1">
        <v>45980.642812500002</v>
      </c>
    </row>
    <row r="6746" spans="1:10" x14ac:dyDescent="0.2">
      <c r="A6746" s="4" t="s">
        <v>1</v>
      </c>
      <c r="B6746" s="3" t="str">
        <f>HYPERLINK("https://otsuka-europe-crm.veevavault.com/ui/#object/approved_document__v/V5OZ04ASG4FWKA9", "Documento Autorizaciขn Centro Empleador")</f>
        <v>Documento Autorizaciขn Centro Empleador</v>
      </c>
      <c r="C6746" s="3" t="str">
        <f>HYPERLINK("https://otsuka-europe-crm.veevavault.com/ui/#object/sent_email__v/VBL00000000P086", "SE-001391302")</f>
        <v>SE-001391302</v>
      </c>
      <c r="D6746" s="1" t="s">
        <v>0</v>
      </c>
      <c r="E6746" s="2">
        <v>0</v>
      </c>
      <c r="F6746" s="2">
        <v>0</v>
      </c>
      <c r="G6746" s="2">
        <v>0</v>
      </c>
      <c r="H6746" s="1" t="s">
        <v>0</v>
      </c>
      <c r="I6746" s="2">
        <v>0</v>
      </c>
      <c r="J6746" s="1">
        <v>45980.651134259257</v>
      </c>
    </row>
    <row r="6747" spans="1:10" x14ac:dyDescent="0.2">
      <c r="A6747" s="4" t="s">
        <v>1</v>
      </c>
      <c r="B6747" s="3" t="str">
        <f>HYPERLINK("https://otsuka-europe-crm.veevavault.com/ui/#object/approved_document__v/V5OZ04ASG4FWKA9", "Documento Autorizaciขn Centro Empleador")</f>
        <v>Documento Autorizaciขn Centro Empleador</v>
      </c>
      <c r="C6747" s="3" t="str">
        <f>HYPERLINK("https://otsuka-europe-crm.veevavault.com/ui/#object/sent_email__v/VBL00000000P123", "SE-001391434")</f>
        <v>SE-001391434</v>
      </c>
      <c r="D6747" s="1">
        <v>45988.44253472222</v>
      </c>
      <c r="E6747" s="2">
        <v>1</v>
      </c>
      <c r="F6747" s="2">
        <v>2</v>
      </c>
      <c r="G6747" s="2">
        <v>1</v>
      </c>
      <c r="H6747" s="1">
        <v>45981.711296296293</v>
      </c>
      <c r="I6747" s="2">
        <v>1</v>
      </c>
      <c r="J6747" s="1">
        <v>45981.673935185187</v>
      </c>
    </row>
    <row r="6748" spans="1:10" x14ac:dyDescent="0.2">
      <c r="A6748" s="4" t="s">
        <v>1</v>
      </c>
      <c r="B6748" s="3" t="str">
        <f>HYPERLINK("https://otsuka-europe-crm.veevavault.com/ui/#object/approved_document__v/V5OZ04ASG4FWKA9", "Documento Autorizaciขn Centro Empleador")</f>
        <v>Documento Autorizaciขn Centro Empleador</v>
      </c>
      <c r="C6748" s="3" t="str">
        <f>HYPERLINK("https://otsuka-europe-crm.veevavault.com/ui/#object/sent_email__v/VBL00000000S061", "SE-001391779")</f>
        <v>SE-001391779</v>
      </c>
      <c r="D6748" s="1">
        <v>45986.612199074072</v>
      </c>
      <c r="E6748" s="2">
        <v>1</v>
      </c>
      <c r="F6748" s="2">
        <v>3</v>
      </c>
      <c r="G6748" s="2">
        <v>1</v>
      </c>
      <c r="H6748" s="1">
        <v>45986.612534722219</v>
      </c>
      <c r="I6748" s="2">
        <v>2</v>
      </c>
      <c r="J6748" s="1">
        <v>45985.541273148148</v>
      </c>
    </row>
    <row r="6749" spans="1:10" x14ac:dyDescent="0.2">
      <c r="A6749" s="4" t="s">
        <v>1</v>
      </c>
      <c r="B6749" s="3" t="str">
        <f>HYPERLINK("https://otsuka-europe-crm.veevavault.com/ui/#object/approved_document__v/V5OZ04ASG4FWKA9", "Documento Autorizaciขn Centro Empleador")</f>
        <v>Documento Autorizaciขn Centro Empleador</v>
      </c>
      <c r="C6749" s="3" t="str">
        <f>HYPERLINK("https://otsuka-europe-crm.veevavault.com/ui/#object/sent_email__v/VBL00000000S134", "SE-001391929")</f>
        <v>SE-001391929</v>
      </c>
      <c r="D6749" s="1">
        <v>46056.422407407408</v>
      </c>
      <c r="E6749" s="2">
        <v>1</v>
      </c>
      <c r="F6749" s="2">
        <v>7</v>
      </c>
      <c r="G6749" s="2">
        <v>1</v>
      </c>
      <c r="H6749" s="1">
        <v>45987.411747685182</v>
      </c>
      <c r="I6749" s="2">
        <v>1</v>
      </c>
      <c r="J6749" s="1">
        <v>45987.378831018519</v>
      </c>
    </row>
    <row r="6750" spans="1:10" x14ac:dyDescent="0.2">
      <c r="A6750" s="4" t="s">
        <v>1</v>
      </c>
      <c r="B6750" s="3" t="str">
        <f>HYPERLINK("https://otsuka-europe-crm.veevavault.com/ui/#object/approved_document__v/V5OZ04ASG4FWKA9", "Documento Autorizaciขn Centro Empleador")</f>
        <v>Documento Autorizaciขn Centro Empleador</v>
      </c>
      <c r="C6750" s="3" t="str">
        <f>HYPERLINK("https://otsuka-europe-crm.veevavault.com/ui/#object/sent_email__v/VBL00000000U211", "SE-001394621")</f>
        <v>SE-001394621</v>
      </c>
      <c r="D6750" s="1" t="s">
        <v>0</v>
      </c>
      <c r="E6750" s="2">
        <v>0</v>
      </c>
      <c r="F6750" s="2">
        <v>0</v>
      </c>
      <c r="G6750" s="2">
        <v>0</v>
      </c>
      <c r="H6750" s="1" t="s">
        <v>0</v>
      </c>
      <c r="I6750" s="2">
        <v>0</v>
      </c>
      <c r="J6750" s="1">
        <v>45993.535960648151</v>
      </c>
    </row>
    <row r="6751" spans="1:10" x14ac:dyDescent="0.2">
      <c r="A6751" s="4" t="s">
        <v>1</v>
      </c>
      <c r="B6751" s="3" t="str">
        <f>HYPERLINK("https://otsuka-europe-crm.veevavault.com/ui/#object/approved_document__v/V5OZ04ASG4FWKA9", "Documento Autorizaciขn Centro Empleador")</f>
        <v>Documento Autorizaciขn Centro Empleador</v>
      </c>
      <c r="C6751" s="3" t="str">
        <f>HYPERLINK("https://otsuka-europe-crm.veevavault.com/ui/#object/sent_email__v/VBL00000000V083", "SE-001394862")</f>
        <v>SE-001394862</v>
      </c>
      <c r="D6751" s="1" t="s">
        <v>0</v>
      </c>
      <c r="E6751" s="2">
        <v>0</v>
      </c>
      <c r="F6751" s="2">
        <v>0</v>
      </c>
      <c r="G6751" s="2">
        <v>0</v>
      </c>
      <c r="H6751" s="1" t="s">
        <v>0</v>
      </c>
      <c r="I6751" s="2">
        <v>0</v>
      </c>
      <c r="J6751" s="1">
        <v>45994.617627314816</v>
      </c>
    </row>
    <row r="6752" spans="1:10" x14ac:dyDescent="0.2">
      <c r="A6752" s="4" t="s">
        <v>1</v>
      </c>
      <c r="B6752" s="3" t="str">
        <f>HYPERLINK("https://otsuka-europe-crm.veevavault.com/ui/#object/approved_document__v/V5OZ04ASG4FWKA9", "Documento Autorizaciขn Centro Empleador")</f>
        <v>Documento Autorizaciขn Centro Empleador</v>
      </c>
      <c r="C6752" s="3" t="str">
        <f>HYPERLINK("https://otsuka-europe-crm.veevavault.com/ui/#object/sent_email__v/VBL00000000W343", "SE-001396182")</f>
        <v>SE-001396182</v>
      </c>
      <c r="D6752" s="1">
        <v>46002.48982638889</v>
      </c>
      <c r="E6752" s="2">
        <v>1</v>
      </c>
      <c r="F6752" s="2">
        <v>1</v>
      </c>
      <c r="G6752" s="2">
        <v>1</v>
      </c>
      <c r="H6752" s="1">
        <v>46002.490474537037</v>
      </c>
      <c r="I6752" s="2">
        <v>2</v>
      </c>
      <c r="J6752" s="1">
        <v>46002.452962962961</v>
      </c>
    </row>
    <row r="6753" spans="1:10" x14ac:dyDescent="0.2">
      <c r="A6753" s="4" t="s">
        <v>1</v>
      </c>
      <c r="B6753" s="3" t="str">
        <f>HYPERLINK("https://otsuka-europe-crm.veevavault.com/ui/#object/approved_document__v/V5OZ04ASG4FWKA9", "Documento Autorizaciขn Centro Empleador")</f>
        <v>Documento Autorizaciขn Centro Empleador</v>
      </c>
      <c r="C6753" s="3" t="str">
        <f>HYPERLINK("https://otsuka-europe-crm.veevavault.com/ui/#object/sent_email__v/VBL00000000Y004", "SE-001396528")</f>
        <v>SE-001396528</v>
      </c>
      <c r="D6753" s="1">
        <v>46005.341400462959</v>
      </c>
      <c r="E6753" s="2">
        <v>1</v>
      </c>
      <c r="F6753" s="2">
        <v>4</v>
      </c>
      <c r="G6753" s="2">
        <v>1</v>
      </c>
      <c r="H6753" s="1">
        <v>46002.789479166669</v>
      </c>
      <c r="I6753" s="2">
        <v>1</v>
      </c>
      <c r="J6753" s="1">
        <v>46002.773402777777</v>
      </c>
    </row>
    <row r="6754" spans="1:10" x14ac:dyDescent="0.2">
      <c r="A6754" s="4" t="s">
        <v>1</v>
      </c>
      <c r="B6754" s="3" t="str">
        <f>HYPERLINK("https://otsuka-europe-crm.veevavault.com/ui/#object/approved_document__v/V5OZ04ASG4FWKA9", "Documento Autorizaciขn Centro Empleador")</f>
        <v>Documento Autorizaciขn Centro Empleador</v>
      </c>
      <c r="C6754" s="3" t="str">
        <f>HYPERLINK("https://otsuka-europe-crm.veevavault.com/ui/#object/sent_email__v/VBL00000000Y005", "SE-001396529")</f>
        <v>SE-001396529</v>
      </c>
      <c r="D6754" s="1">
        <v>46002.777013888888</v>
      </c>
      <c r="E6754" s="2">
        <v>1</v>
      </c>
      <c r="F6754" s="2">
        <v>1</v>
      </c>
      <c r="G6754" s="2">
        <v>1</v>
      </c>
      <c r="H6754" s="1">
        <v>46002.777013888888</v>
      </c>
      <c r="I6754" s="2">
        <v>1</v>
      </c>
      <c r="J6754" s="1">
        <v>46002.773680555554</v>
      </c>
    </row>
    <row r="6755" spans="1:10" x14ac:dyDescent="0.2">
      <c r="A6755" s="4" t="s">
        <v>1</v>
      </c>
      <c r="B6755" s="3" t="str">
        <f>HYPERLINK("https://otsuka-europe-crm.veevavault.com/ui/#object/approved_document__v/V5OZ04ASG4FWKA9", "Documento Autorizaciขn Centro Empleador")</f>
        <v>Documento Autorizaciขn Centro Empleador</v>
      </c>
      <c r="C6755" s="3" t="str">
        <f>HYPERLINK("https://otsuka-europe-crm.veevavault.com/ui/#object/sent_email__v/VBL00000000Y006", "SE-001396530")</f>
        <v>SE-001396530</v>
      </c>
      <c r="D6755" s="1">
        <v>46006.414872685185</v>
      </c>
      <c r="E6755" s="2">
        <v>1</v>
      </c>
      <c r="F6755" s="2">
        <v>2</v>
      </c>
      <c r="G6755" s="2">
        <v>1</v>
      </c>
      <c r="H6755" s="1">
        <v>46002.778738425928</v>
      </c>
      <c r="I6755" s="2">
        <v>1</v>
      </c>
      <c r="J6755" s="1">
        <v>46002.774016203701</v>
      </c>
    </row>
    <row r="6756" spans="1:10" x14ac:dyDescent="0.2">
      <c r="A6756" s="4" t="s">
        <v>1</v>
      </c>
      <c r="B6756" s="3" t="str">
        <f>HYPERLINK("https://otsuka-europe-crm.veevavault.com/ui/#object/approved_document__v/V5OZ04ASG4FWKA9", "Documento Autorizaciขn Centro Empleador")</f>
        <v>Documento Autorizaciขn Centro Empleador</v>
      </c>
      <c r="C6756" s="3" t="str">
        <f>HYPERLINK("https://otsuka-europe-crm.veevavault.com/ui/#object/sent_email__v/VBL00000000Z001", "SE-001396531")</f>
        <v>SE-001396531</v>
      </c>
      <c r="D6756" s="1">
        <v>46074.817083333335</v>
      </c>
      <c r="E6756" s="2">
        <v>1</v>
      </c>
      <c r="F6756" s="2">
        <v>9</v>
      </c>
      <c r="G6756" s="2">
        <v>1</v>
      </c>
      <c r="H6756" s="1">
        <v>46002.833611111113</v>
      </c>
      <c r="I6756" s="2">
        <v>4</v>
      </c>
      <c r="J6756" s="1">
        <v>46002.774421296293</v>
      </c>
    </row>
    <row r="6757" spans="1:10" x14ac:dyDescent="0.2">
      <c r="A6757" s="4" t="s">
        <v>1</v>
      </c>
      <c r="B6757" s="3" t="str">
        <f>HYPERLINK("https://otsuka-europe-crm.veevavault.com/ui/#object/approved_document__v/V5OZ04ASG4FWKA9", "Documento Autorizaciขn Centro Empleador")</f>
        <v>Documento Autorizaciขn Centro Empleador</v>
      </c>
      <c r="C6757" s="3" t="str">
        <f>HYPERLINK("https://otsuka-europe-crm.veevavault.com/ui/#object/sent_email__v/VBL00000000Z002", "SE-001396532")</f>
        <v>SE-001396532</v>
      </c>
      <c r="D6757" s="1">
        <v>46002.803472222222</v>
      </c>
      <c r="E6757" s="2">
        <v>1</v>
      </c>
      <c r="F6757" s="2">
        <v>1</v>
      </c>
      <c r="G6757" s="2">
        <v>1</v>
      </c>
      <c r="H6757" s="1">
        <v>46002.803668981483</v>
      </c>
      <c r="I6757" s="2">
        <v>1</v>
      </c>
      <c r="J6757" s="1">
        <v>46002.775081018517</v>
      </c>
    </row>
    <row r="6758" spans="1:10" x14ac:dyDescent="0.2">
      <c r="A6758" s="4" t="s">
        <v>1</v>
      </c>
      <c r="B6758" s="3" t="str">
        <f>HYPERLINK("https://otsuka-europe-crm.veevavault.com/ui/#object/approved_document__v/V5OZ04ASG4FWKA9", "Documento Autorizaciขn Centro Empleador")</f>
        <v>Documento Autorizaciขn Centro Empleador</v>
      </c>
      <c r="C6758" s="3" t="str">
        <f>HYPERLINK("https://otsuka-europe-crm.veevavault.com/ui/#object/sent_email__v/VBL00000000Y025", "SE-001396565")</f>
        <v>SE-001396565</v>
      </c>
      <c r="D6758" s="1">
        <v>46070.464166666665</v>
      </c>
      <c r="E6758" s="2">
        <v>1</v>
      </c>
      <c r="F6758" s="2">
        <v>6</v>
      </c>
      <c r="G6758" s="2">
        <v>1</v>
      </c>
      <c r="H6758" s="1">
        <v>46003.360983796294</v>
      </c>
      <c r="I6758" s="2">
        <v>1</v>
      </c>
      <c r="J6758" s="1">
        <v>46003.34034722222</v>
      </c>
    </row>
    <row r="6759" spans="1:10" x14ac:dyDescent="0.2">
      <c r="A6759" s="4" t="s">
        <v>1</v>
      </c>
      <c r="B6759" s="3" t="str">
        <f>HYPERLINK("https://otsuka-europe-crm.veevavault.com/ui/#object/approved_document__v/V5OZ04ASG4FWKA9", "Documento Autorizaciขn Centro Empleador")</f>
        <v>Documento Autorizaciขn Centro Empleador</v>
      </c>
      <c r="C6759" s="3" t="str">
        <f>HYPERLINK("https://otsuka-europe-crm.veevavault.com/ui/#object/sent_email__v/VBL000000011032", "SE-001396659")</f>
        <v>SE-001396659</v>
      </c>
      <c r="D6759" s="1">
        <v>46006.634108796294</v>
      </c>
      <c r="E6759" s="2">
        <v>1</v>
      </c>
      <c r="F6759" s="2">
        <v>3</v>
      </c>
      <c r="G6759" s="2">
        <v>1</v>
      </c>
      <c r="H6759" s="1">
        <v>46006.571643518517</v>
      </c>
      <c r="I6759" s="2">
        <v>1</v>
      </c>
      <c r="J6759" s="1">
        <v>46006.498761574076</v>
      </c>
    </row>
    <row r="6760" spans="1:10" x14ac:dyDescent="0.2">
      <c r="A6760" s="4" t="s">
        <v>1</v>
      </c>
      <c r="B6760" s="3" t="str">
        <f>HYPERLINK("https://otsuka-europe-crm.veevavault.com/ui/#object/approved_document__v/V5OZ04ASG4FWKA9", "Documento Autorizaciขn Centro Empleador")</f>
        <v>Documento Autorizaciขn Centro Empleador</v>
      </c>
      <c r="C6760" s="3" t="str">
        <f>HYPERLINK("https://otsuka-europe-crm.veevavault.com/ui/#object/sent_email__v/VBL000000011039", "SE-001396667")</f>
        <v>SE-001396667</v>
      </c>
      <c r="D6760" s="1">
        <v>46006.554652777777</v>
      </c>
      <c r="E6760" s="2">
        <v>1</v>
      </c>
      <c r="F6760" s="2">
        <v>2</v>
      </c>
      <c r="G6760" s="2">
        <v>1</v>
      </c>
      <c r="H6760" s="1">
        <v>46006.5546875</v>
      </c>
      <c r="I6760" s="2">
        <v>2</v>
      </c>
      <c r="J6760" s="1">
        <v>46006.500740740739</v>
      </c>
    </row>
    <row r="6761" spans="1:10" x14ac:dyDescent="0.2">
      <c r="A6761" s="4" t="s">
        <v>1</v>
      </c>
      <c r="B6761" s="3" t="str">
        <f>HYPERLINK("https://otsuka-europe-crm.veevavault.com/ui/#object/approved_document__v/V5OZ04ASG4FWKA9", "Documento Autorizaciขn Centro Empleador")</f>
        <v>Documento Autorizaciขn Centro Empleador</v>
      </c>
      <c r="C6761" s="3" t="str">
        <f>HYPERLINK("https://otsuka-europe-crm.veevavault.com/ui/#object/sent_email__v/VBL000000011043", "SE-001396671")</f>
        <v>SE-001396671</v>
      </c>
      <c r="D6761" s="1">
        <v>46006.640925925924</v>
      </c>
      <c r="E6761" s="2">
        <v>1</v>
      </c>
      <c r="F6761" s="2">
        <v>2</v>
      </c>
      <c r="G6761" s="2">
        <v>1</v>
      </c>
      <c r="H6761" s="1">
        <v>46006.640960648147</v>
      </c>
      <c r="I6761" s="2">
        <v>2</v>
      </c>
      <c r="J6761" s="1">
        <v>46006.503379629627</v>
      </c>
    </row>
    <row r="6762" spans="1:10" x14ac:dyDescent="0.2">
      <c r="A6762" s="4" t="s">
        <v>1</v>
      </c>
      <c r="B6762" s="3" t="str">
        <f>HYPERLINK("https://otsuka-europe-crm.veevavault.com/ui/#object/approved_document__v/V5OZ04ASG4FWKA9", "Documento Autorizaciขn Centro Empleador")</f>
        <v>Documento Autorizaciขn Centro Empleador</v>
      </c>
      <c r="C6762" s="3" t="str">
        <f>HYPERLINK("https://otsuka-europe-crm.veevavault.com/ui/#object/sent_email__v/VBL000000011048", "SE-001396679")</f>
        <v>SE-001396679</v>
      </c>
      <c r="D6762" s="1">
        <v>46012.477766203701</v>
      </c>
      <c r="E6762" s="2">
        <v>1</v>
      </c>
      <c r="F6762" s="2">
        <v>1</v>
      </c>
      <c r="G6762" s="2">
        <v>1</v>
      </c>
      <c r="H6762" s="1">
        <v>46012.477766203701</v>
      </c>
      <c r="I6762" s="2">
        <v>1</v>
      </c>
      <c r="J6762" s="1">
        <v>46006.509259259263</v>
      </c>
    </row>
    <row r="6763" spans="1:10" x14ac:dyDescent="0.2">
      <c r="A6763" s="4" t="s">
        <v>1</v>
      </c>
      <c r="B6763" s="3" t="str">
        <f>HYPERLINK("https://otsuka-europe-crm.veevavault.com/ui/#object/approved_document__v/V5OZ04ASG4FWKA9", "Documento Autorizaciขn Centro Empleador")</f>
        <v>Documento Autorizaciขn Centro Empleador</v>
      </c>
      <c r="C6763" s="3" t="str">
        <f>HYPERLINK("https://otsuka-europe-crm.veevavault.com/ui/#object/sent_email__v/VBL000000011050", "SE-001396683")</f>
        <v>SE-001396683</v>
      </c>
      <c r="D6763" s="1">
        <v>46007.478159722225</v>
      </c>
      <c r="E6763" s="2">
        <v>1</v>
      </c>
      <c r="F6763" s="2">
        <v>6</v>
      </c>
      <c r="G6763" s="2">
        <v>1</v>
      </c>
      <c r="H6763" s="1">
        <v>46007.215486111112</v>
      </c>
      <c r="I6763" s="2">
        <v>2</v>
      </c>
      <c r="J6763" s="1">
        <v>46006.511481481481</v>
      </c>
    </row>
    <row r="6764" spans="1:10" x14ac:dyDescent="0.2">
      <c r="A6764" s="4" t="s">
        <v>1</v>
      </c>
      <c r="B6764" s="3" t="str">
        <f>HYPERLINK("https://otsuka-europe-crm.veevavault.com/ui/#object/approved_document__v/V5OZ04ASG4FWKA9", "Documento Autorizaciขn Centro Empleador")</f>
        <v>Documento Autorizaciขn Centro Empleador</v>
      </c>
      <c r="C6764" s="3" t="str">
        <f>HYPERLINK("https://otsuka-europe-crm.veevavault.com/ui/#object/sent_email__v/VBL000000010038", "SE-001396686")</f>
        <v>SE-001396686</v>
      </c>
      <c r="D6764" s="1">
        <v>46007.241863425923</v>
      </c>
      <c r="E6764" s="2">
        <v>1</v>
      </c>
      <c r="F6764" s="2">
        <v>3</v>
      </c>
      <c r="G6764" s="2">
        <v>1</v>
      </c>
      <c r="H6764" s="1">
        <v>46006.571400462963</v>
      </c>
      <c r="I6764" s="2">
        <v>1</v>
      </c>
      <c r="J6764" s="1">
        <v>46006.513668981483</v>
      </c>
    </row>
    <row r="6765" spans="1:10" x14ac:dyDescent="0.2">
      <c r="A6765" s="4" t="s">
        <v>1</v>
      </c>
      <c r="B6765" s="3" t="str">
        <f>HYPERLINK("https://otsuka-europe-crm.veevavault.com/ui/#object/approved_document__v/V5OZ04ASG4FWKA9", "Documento Autorizaciขn Centro Empleador")</f>
        <v>Documento Autorizaciขn Centro Empleador</v>
      </c>
      <c r="C6765" s="3" t="str">
        <f>HYPERLINK("https://otsuka-europe-crm.veevavault.com/ui/#object/sent_email__v/VBL000000011255", "SE-001396980")</f>
        <v>SE-001396980</v>
      </c>
      <c r="D6765" s="1">
        <v>46007.743402777778</v>
      </c>
      <c r="E6765" s="2">
        <v>1</v>
      </c>
      <c r="F6765" s="2">
        <v>2</v>
      </c>
      <c r="G6765" s="2">
        <v>1</v>
      </c>
      <c r="H6765" s="1">
        <v>46007.743703703702</v>
      </c>
      <c r="I6765" s="2">
        <v>1</v>
      </c>
      <c r="J6765" s="1">
        <v>46007.735671296294</v>
      </c>
    </row>
    <row r="6766" spans="1:10" x14ac:dyDescent="0.2">
      <c r="A6766" s="4" t="s">
        <v>1</v>
      </c>
      <c r="B6766" s="3" t="str">
        <f>HYPERLINK("https://otsuka-europe-crm.veevavault.com/ui/#object/approved_document__v/V5OZ04ASG4FWKA9", "Documento Autorizaciขn Centro Empleador")</f>
        <v>Documento Autorizaciขn Centro Empleador</v>
      </c>
      <c r="C6766" s="3" t="str">
        <f>HYPERLINK("https://otsuka-europe-crm.veevavault.com/ui/#object/sent_email__v/VBL000000011282", "SE-001397036")</f>
        <v>SE-001397036</v>
      </c>
      <c r="D6766" s="1">
        <v>46033.766585648147</v>
      </c>
      <c r="E6766" s="2">
        <v>1</v>
      </c>
      <c r="F6766" s="2">
        <v>3</v>
      </c>
      <c r="G6766" s="2">
        <v>1</v>
      </c>
      <c r="H6766" s="1">
        <v>46008.362372685187</v>
      </c>
      <c r="I6766" s="2">
        <v>1</v>
      </c>
      <c r="J6766" s="1">
        <v>46008.313067129631</v>
      </c>
    </row>
    <row r="6767" spans="1:10" x14ac:dyDescent="0.2">
      <c r="A6767" s="4" t="s">
        <v>1</v>
      </c>
      <c r="B6767" s="3" t="str">
        <f>HYPERLINK("https://otsuka-europe-crm.veevavault.com/ui/#object/approved_document__v/V5OZ04ASG4FWKA9", "Documento Autorizaciขn Centro Empleador")</f>
        <v>Documento Autorizaciขn Centro Empleador</v>
      </c>
      <c r="C6767" s="3" t="str">
        <f>HYPERLINK("https://otsuka-europe-crm.veevavault.com/ui/#object/sent_email__v/VBL000000010160", "SE-001397043")</f>
        <v>SE-001397043</v>
      </c>
      <c r="D6767" s="1">
        <v>46009.938078703701</v>
      </c>
      <c r="E6767" s="2">
        <v>1</v>
      </c>
      <c r="F6767" s="2">
        <v>3</v>
      </c>
      <c r="G6767" s="2">
        <v>1</v>
      </c>
      <c r="H6767" s="1">
        <v>46008.357986111114</v>
      </c>
      <c r="I6767" s="2">
        <v>1</v>
      </c>
      <c r="J6767" s="1">
        <v>46008.348622685182</v>
      </c>
    </row>
    <row r="6768" spans="1:10" x14ac:dyDescent="0.2">
      <c r="A6768" s="4" t="s">
        <v>1</v>
      </c>
      <c r="B6768" s="3" t="str">
        <f>HYPERLINK("https://otsuka-europe-crm.veevavault.com/ui/#object/approved_document__v/V5OZ04ASG4FWKA9", "Documento Autorizaciขn Centro Empleador")</f>
        <v>Documento Autorizaciขn Centro Empleador</v>
      </c>
      <c r="C6768" s="3" t="str">
        <f>HYPERLINK("https://otsuka-europe-crm.veevavault.com/ui/#object/sent_email__v/VBL000000011288", "SE-001397044")</f>
        <v>SE-001397044</v>
      </c>
      <c r="D6768" s="1">
        <v>46033.766585648147</v>
      </c>
      <c r="E6768" s="2">
        <v>1</v>
      </c>
      <c r="F6768" s="2">
        <v>2</v>
      </c>
      <c r="G6768" s="2">
        <v>1</v>
      </c>
      <c r="H6768" s="1">
        <v>46008.362696759257</v>
      </c>
      <c r="I6768" s="2">
        <v>1</v>
      </c>
      <c r="J6768" s="1">
        <v>46008.359571759262</v>
      </c>
    </row>
    <row r="6769" spans="1:10" x14ac:dyDescent="0.2">
      <c r="A6769" s="4" t="s">
        <v>1</v>
      </c>
      <c r="B6769" s="3" t="str">
        <f>HYPERLINK("https://otsuka-europe-crm.veevavault.com/ui/#object/approved_document__v/V5OZ04ASG4FWKA9", "Documento Autorizaciขn Centro Empleador")</f>
        <v>Documento Autorizaciขn Centro Empleador</v>
      </c>
      <c r="C6769" s="3" t="str">
        <f>HYPERLINK("https://otsuka-europe-crm.veevavault.com/ui/#object/sent_email__v/VBL000000011294", "SE-001397054")</f>
        <v>SE-001397054</v>
      </c>
      <c r="D6769" s="1">
        <v>46008.422488425924</v>
      </c>
      <c r="E6769" s="2">
        <v>1</v>
      </c>
      <c r="F6769" s="2">
        <v>1</v>
      </c>
      <c r="G6769" s="2">
        <v>1</v>
      </c>
      <c r="H6769" s="1">
        <v>46008.423692129632</v>
      </c>
      <c r="I6769" s="2">
        <v>1</v>
      </c>
      <c r="J6769" s="1">
        <v>46008.421053240738</v>
      </c>
    </row>
    <row r="6770" spans="1:10" x14ac:dyDescent="0.2">
      <c r="A6770" s="4" t="s">
        <v>1</v>
      </c>
      <c r="B6770" s="3" t="str">
        <f>HYPERLINK("https://otsuka-europe-crm.veevavault.com/ui/#object/approved_document__v/V5OZ04ASG4FWKA9", "Documento Autorizaciขn Centro Empleador")</f>
        <v>Documento Autorizaciขn Centro Empleador</v>
      </c>
      <c r="C6770" s="3" t="str">
        <f>HYPERLINK("https://otsuka-europe-crm.veevavault.com/ui/#object/sent_email__v/VBL000000010222", "SE-001397548")</f>
        <v>SE-001397548</v>
      </c>
      <c r="D6770" s="1">
        <v>46010.318749999999</v>
      </c>
      <c r="E6770" s="2">
        <v>1</v>
      </c>
      <c r="F6770" s="2">
        <v>2</v>
      </c>
      <c r="G6770" s="2">
        <v>1</v>
      </c>
      <c r="H6770" s="1">
        <v>46009.403692129628</v>
      </c>
      <c r="I6770" s="2">
        <v>1</v>
      </c>
      <c r="J6770" s="1">
        <v>46009.396423611113</v>
      </c>
    </row>
    <row r="6771" spans="1:10" x14ac:dyDescent="0.2">
      <c r="A6771" s="4" t="s">
        <v>1</v>
      </c>
      <c r="B6771" s="3" t="str">
        <f>HYPERLINK("https://otsuka-europe-crm.veevavault.com/ui/#object/approved_document__v/V5OZ04ASG4FWKA9", "Documento Autorizaciขn Centro Empleador")</f>
        <v>Documento Autorizaciขn Centro Empleador</v>
      </c>
      <c r="C6771" s="3" t="str">
        <f>HYPERLINK("https://otsuka-europe-crm.veevavault.com/ui/#object/sent_email__v/VBL000000012035", "SE-001397893")</f>
        <v>SE-001397893</v>
      </c>
      <c r="D6771" s="1">
        <v>46011.528136574074</v>
      </c>
      <c r="E6771" s="2">
        <v>1</v>
      </c>
      <c r="F6771" s="2">
        <v>4</v>
      </c>
      <c r="G6771" s="2">
        <v>1</v>
      </c>
      <c r="H6771" s="1">
        <v>46011.527916666666</v>
      </c>
      <c r="I6771" s="2">
        <v>2</v>
      </c>
      <c r="J6771" s="1">
        <v>46010.418645833335</v>
      </c>
    </row>
    <row r="6772" spans="1:10" x14ac:dyDescent="0.2">
      <c r="A6772" s="4" t="s">
        <v>1</v>
      </c>
      <c r="B6772" s="3" t="str">
        <f>HYPERLINK("https://otsuka-europe-crm.veevavault.com/ui/#object/approved_document__v/V5OZ04ASG4FWKA9", "Documento Autorizaciขn Centro Empleador")</f>
        <v>Documento Autorizaciขn Centro Empleador</v>
      </c>
      <c r="C6772" s="3" t="str">
        <f>HYPERLINK("https://otsuka-europe-crm.veevavault.com/ui/#object/sent_email__v/VBL000000013380", "SE-001398460")</f>
        <v>SE-001398460</v>
      </c>
      <c r="D6772" s="1" t="s">
        <v>0</v>
      </c>
      <c r="E6772" s="2">
        <v>0</v>
      </c>
      <c r="F6772" s="2">
        <v>0</v>
      </c>
      <c r="G6772" s="2">
        <v>0</v>
      </c>
      <c r="H6772" s="1" t="s">
        <v>0</v>
      </c>
      <c r="I6772" s="2">
        <v>0</v>
      </c>
      <c r="J6772" s="1">
        <v>46013.347881944443</v>
      </c>
    </row>
    <row r="6773" spans="1:10" x14ac:dyDescent="0.2">
      <c r="A6773" s="4" t="s">
        <v>1</v>
      </c>
      <c r="B6773" s="3" t="str">
        <f>HYPERLINK("https://otsuka-europe-crm.veevavault.com/ui/#object/approved_document__v/V5OZ04ASG4FWKA9", "Documento Autorizaciขn Centro Empleador")</f>
        <v>Documento Autorizaciขn Centro Empleador</v>
      </c>
      <c r="C6773" s="3" t="str">
        <f>HYPERLINK("https://otsuka-europe-crm.veevavault.com/ui/#object/sent_email__v/VBL000000013808", "SE-001399363")</f>
        <v>SE-001399363</v>
      </c>
      <c r="D6773" s="1">
        <v>46040.633634259262</v>
      </c>
      <c r="E6773" s="2">
        <v>1</v>
      </c>
      <c r="F6773" s="2">
        <v>2</v>
      </c>
      <c r="G6773" s="2">
        <v>1</v>
      </c>
      <c r="H6773" s="1">
        <v>46040.632881944446</v>
      </c>
      <c r="I6773" s="2">
        <v>1</v>
      </c>
      <c r="J6773" s="1">
        <v>46029.600821759261</v>
      </c>
    </row>
    <row r="6774" spans="1:10" x14ac:dyDescent="0.2">
      <c r="A6774" s="4" t="s">
        <v>1</v>
      </c>
      <c r="B6774" s="3" t="str">
        <f>HYPERLINK("https://otsuka-europe-crm.veevavault.com/ui/#object/approved_document__v/V5OZ04ASG4FWKA9", "Documento Autorizaciขn Centro Empleador")</f>
        <v>Documento Autorizaciขn Centro Empleador</v>
      </c>
      <c r="C6774" s="3" t="str">
        <f>HYPERLINK("https://otsuka-europe-crm.veevavault.com/ui/#object/sent_email__v/VBL000000012755", "SE-001399408")</f>
        <v>SE-001399408</v>
      </c>
      <c r="D6774" s="1">
        <v>46030.3674537037</v>
      </c>
      <c r="E6774" s="2">
        <v>1</v>
      </c>
      <c r="F6774" s="2">
        <v>1</v>
      </c>
      <c r="G6774" s="2">
        <v>1</v>
      </c>
      <c r="H6774" s="1">
        <v>46030.36755787037</v>
      </c>
      <c r="I6774" s="2">
        <v>1</v>
      </c>
      <c r="J6774" s="1">
        <v>46030.354537037034</v>
      </c>
    </row>
    <row r="6775" spans="1:10" x14ac:dyDescent="0.2">
      <c r="A6775" s="4" t="s">
        <v>1</v>
      </c>
      <c r="B6775" s="3" t="str">
        <f>HYPERLINK("https://otsuka-europe-crm.veevavault.com/ui/#object/approved_document__v/V5OZ04ASG4FWKA9", "Documento Autorizaciขn Centro Empleador")</f>
        <v>Documento Autorizaciขn Centro Empleador</v>
      </c>
      <c r="C6775" s="3" t="str">
        <f>HYPERLINK("https://otsuka-europe-crm.veevavault.com/ui/#object/sent_email__v/VBL000000012760", "SE-001399413")</f>
        <v>SE-001399413</v>
      </c>
      <c r="D6775" s="1">
        <v>46030.559259259258</v>
      </c>
      <c r="E6775" s="2">
        <v>1</v>
      </c>
      <c r="F6775" s="2">
        <v>3</v>
      </c>
      <c r="G6775" s="2">
        <v>1</v>
      </c>
      <c r="H6775" s="1">
        <v>46030.507337962961</v>
      </c>
      <c r="I6775" s="2">
        <v>1</v>
      </c>
      <c r="J6775" s="1">
        <v>46030.395439814813</v>
      </c>
    </row>
    <row r="6776" spans="1:10" x14ac:dyDescent="0.2">
      <c r="A6776" s="4" t="s">
        <v>1</v>
      </c>
      <c r="B6776" s="3" t="str">
        <f>HYPERLINK("https://otsuka-europe-crm.veevavault.com/ui/#object/approved_document__v/V5OZ04ASG4FWKA9", "Documento Autorizaciขn Centro Empleador")</f>
        <v>Documento Autorizaciขn Centro Empleador</v>
      </c>
      <c r="C6776" s="3" t="str">
        <f>HYPERLINK("https://otsuka-europe-crm.veevavault.com/ui/#object/sent_email__v/VBL000000012761", "SE-001399414")</f>
        <v>SE-001399414</v>
      </c>
      <c r="D6776" s="1">
        <v>46030.416134259256</v>
      </c>
      <c r="E6776" s="2">
        <v>1</v>
      </c>
      <c r="F6776" s="2">
        <v>2</v>
      </c>
      <c r="G6776" s="2">
        <v>1</v>
      </c>
      <c r="H6776" s="1">
        <v>46030.41646990741</v>
      </c>
      <c r="I6776" s="2">
        <v>2</v>
      </c>
      <c r="J6776" s="1">
        <v>46030.396597222221</v>
      </c>
    </row>
    <row r="6777" spans="1:10" x14ac:dyDescent="0.2">
      <c r="A6777" s="4" t="s">
        <v>1</v>
      </c>
      <c r="B6777" s="3" t="str">
        <f>HYPERLINK("https://otsuka-europe-crm.veevavault.com/ui/#object/approved_document__v/V5OZ04ASG4FWKA9", "Documento Autorizaciขn Centro Empleador")</f>
        <v>Documento Autorizaciขn Centro Empleador</v>
      </c>
      <c r="C6777" s="3" t="str">
        <f>HYPERLINK("https://otsuka-europe-crm.veevavault.com/ui/#object/sent_email__v/VBL000000013826", "SE-001399415")</f>
        <v>SE-001399415</v>
      </c>
      <c r="D6777" s="1">
        <v>46030.417199074072</v>
      </c>
      <c r="E6777" s="2">
        <v>1</v>
      </c>
      <c r="F6777" s="2">
        <v>2</v>
      </c>
      <c r="G6777" s="2">
        <v>1</v>
      </c>
      <c r="H6777" s="1">
        <v>46030.417002314818</v>
      </c>
      <c r="I6777" s="2">
        <v>1</v>
      </c>
      <c r="J6777" s="1">
        <v>46030.397037037037</v>
      </c>
    </row>
    <row r="6778" spans="1:10" x14ac:dyDescent="0.2">
      <c r="A6778" s="4" t="s">
        <v>1</v>
      </c>
      <c r="B6778" s="3" t="str">
        <f>HYPERLINK("https://otsuka-europe-crm.veevavault.com/ui/#object/approved_document__v/V5OZ04ASG4FWKA9", "Documento Autorizaciขn Centro Empleador")</f>
        <v>Documento Autorizaciขn Centro Empleador</v>
      </c>
      <c r="C6778" s="3" t="str">
        <f>HYPERLINK("https://otsuka-europe-crm.veevavault.com/ui/#object/sent_email__v/VBL000000012765", "SE-001399420")</f>
        <v>SE-001399420</v>
      </c>
      <c r="D6778" s="1" t="s">
        <v>0</v>
      </c>
      <c r="E6778" s="2">
        <v>0</v>
      </c>
      <c r="F6778" s="2">
        <v>0</v>
      </c>
      <c r="G6778" s="2">
        <v>0</v>
      </c>
      <c r="H6778" s="1" t="s">
        <v>0</v>
      </c>
      <c r="I6778" s="2">
        <v>0</v>
      </c>
      <c r="J6778" s="1">
        <v>46030.431342592594</v>
      </c>
    </row>
    <row r="6779" spans="1:10" x14ac:dyDescent="0.2">
      <c r="A6779" s="4" t="s">
        <v>1</v>
      </c>
      <c r="B6779" s="3" t="str">
        <f>HYPERLINK("https://otsuka-europe-crm.veevavault.com/ui/#object/approved_document__v/V5OZ04ASG4FWKA9", "Documento Autorizaciขn Centro Empleador")</f>
        <v>Documento Autorizaciขn Centro Empleador</v>
      </c>
      <c r="C6779" s="3" t="str">
        <f>HYPERLINK("https://otsuka-europe-crm.veevavault.com/ui/#object/sent_email__v/VBL000000013830", "SE-001399423")</f>
        <v>SE-001399423</v>
      </c>
      <c r="D6779" s="1">
        <v>46034.792361111111</v>
      </c>
      <c r="E6779" s="2">
        <v>1</v>
      </c>
      <c r="F6779" s="2">
        <v>3</v>
      </c>
      <c r="G6779" s="2">
        <v>0</v>
      </c>
      <c r="H6779" s="1" t="s">
        <v>0</v>
      </c>
      <c r="I6779" s="2">
        <v>0</v>
      </c>
      <c r="J6779" s="1">
        <v>46030.432453703703</v>
      </c>
    </row>
    <row r="6780" spans="1:10" x14ac:dyDescent="0.2">
      <c r="A6780" s="4" t="s">
        <v>1</v>
      </c>
      <c r="B6780" s="3" t="str">
        <f>HYPERLINK("https://otsuka-europe-crm.veevavault.com/ui/#object/approved_document__v/V5OZ04ASG4FWKA9", "Documento Autorizaciขn Centro Empleador")</f>
        <v>Documento Autorizaciขn Centro Empleador</v>
      </c>
      <c r="C6780" s="3" t="str">
        <f>HYPERLINK("https://otsuka-europe-crm.veevavault.com/ui/#object/sent_email__v/VBL000000013835", "SE-001399429")</f>
        <v>SE-001399429</v>
      </c>
      <c r="D6780" s="1">
        <v>46031.349814814814</v>
      </c>
      <c r="E6780" s="2">
        <v>1</v>
      </c>
      <c r="F6780" s="2">
        <v>3</v>
      </c>
      <c r="G6780" s="2">
        <v>1</v>
      </c>
      <c r="H6780" s="1">
        <v>46031.349548611113</v>
      </c>
      <c r="I6780" s="2">
        <v>2</v>
      </c>
      <c r="J6780" s="1">
        <v>46030.487511574072</v>
      </c>
    </row>
    <row r="6781" spans="1:10" x14ac:dyDescent="0.2">
      <c r="A6781" s="4" t="s">
        <v>1</v>
      </c>
      <c r="B6781" s="3" t="str">
        <f>HYPERLINK("https://otsuka-europe-crm.veevavault.com/ui/#object/approved_document__v/V5OZ04ASG4FWKA9", "Documento Autorizaciขn Centro Empleador")</f>
        <v>Documento Autorizaciขn Centro Empleador</v>
      </c>
      <c r="C6781" s="3" t="str">
        <f>HYPERLINK("https://otsuka-europe-crm.veevavault.com/ui/#object/sent_email__v/VBL000000013836", "SE-001399430")</f>
        <v>SE-001399430</v>
      </c>
      <c r="D6781" s="1">
        <v>46032.321585648147</v>
      </c>
      <c r="E6781" s="2">
        <v>1</v>
      </c>
      <c r="F6781" s="2">
        <v>1</v>
      </c>
      <c r="G6781" s="2">
        <v>1</v>
      </c>
      <c r="H6781" s="1">
        <v>46037.480624999997</v>
      </c>
      <c r="I6781" s="2">
        <v>1</v>
      </c>
      <c r="J6781" s="1">
        <v>46030.488136574073</v>
      </c>
    </row>
    <row r="6782" spans="1:10" x14ac:dyDescent="0.2">
      <c r="A6782" s="4" t="s">
        <v>1</v>
      </c>
      <c r="B6782" s="3" t="str">
        <f>HYPERLINK("https://otsuka-europe-crm.veevavault.com/ui/#object/approved_document__v/V5OZ04ASG4FWKA9", "Documento Autorizaciขn Centro Empleador")</f>
        <v>Documento Autorizaciขn Centro Empleador</v>
      </c>
      <c r="C6782" s="3" t="str">
        <f>HYPERLINK("https://otsuka-europe-crm.veevavault.com/ui/#object/sent_email__v/VBL000000012818", "SE-001399560")</f>
        <v>SE-001399560</v>
      </c>
      <c r="D6782" s="1">
        <v>46033.626527777778</v>
      </c>
      <c r="E6782" s="2">
        <v>1</v>
      </c>
      <c r="F6782" s="2">
        <v>1</v>
      </c>
      <c r="G6782" s="2">
        <v>1</v>
      </c>
      <c r="H6782" s="1">
        <v>46033.626909722225</v>
      </c>
      <c r="I6782" s="2">
        <v>3</v>
      </c>
      <c r="J6782" s="1">
        <v>46033.620555555557</v>
      </c>
    </row>
    <row r="6783" spans="1:10" x14ac:dyDescent="0.2">
      <c r="A6783" s="4" t="s">
        <v>1</v>
      </c>
      <c r="B6783" s="3" t="str">
        <f>HYPERLINK("https://otsuka-europe-crm.veevavault.com/ui/#object/approved_document__v/V5OZ04ASG4FWKA9", "Documento Autorizaciขn Centro Empleador")</f>
        <v>Documento Autorizaciขn Centro Empleador</v>
      </c>
      <c r="C6783" s="3" t="str">
        <f>HYPERLINK("https://otsuka-europe-crm.veevavault.com/ui/#object/sent_email__v/VBL000000014032", "SE-001399705")</f>
        <v>SE-001399705</v>
      </c>
      <c r="D6783" s="1">
        <v>46051.774282407408</v>
      </c>
      <c r="E6783" s="2">
        <v>1</v>
      </c>
      <c r="F6783" s="2">
        <v>2</v>
      </c>
      <c r="G6783" s="2">
        <v>1</v>
      </c>
      <c r="H6783" s="1">
        <v>46051.774363425924</v>
      </c>
      <c r="I6783" s="2">
        <v>2</v>
      </c>
      <c r="J6783" s="1">
        <v>46034.414513888885</v>
      </c>
    </row>
    <row r="6784" spans="1:10" x14ac:dyDescent="0.2">
      <c r="A6784" s="4" t="s">
        <v>1</v>
      </c>
      <c r="B6784" s="3" t="str">
        <f>HYPERLINK("https://otsuka-europe-crm.veevavault.com/ui/#object/approved_document__v/V5OZ04ASG4FWKA9", "Documento Autorizaciขn Centro Empleador")</f>
        <v>Documento Autorizaciขn Centro Empleador</v>
      </c>
      <c r="C6784" s="3" t="str">
        <f>HYPERLINK("https://otsuka-europe-crm.veevavault.com/ui/#object/sent_email__v/VBL000000014033", "SE-001399706")</f>
        <v>SE-001399706</v>
      </c>
      <c r="D6784" s="1">
        <v>46034.423981481479</v>
      </c>
      <c r="E6784" s="2">
        <v>1</v>
      </c>
      <c r="F6784" s="2">
        <v>1</v>
      </c>
      <c r="G6784" s="2">
        <v>1</v>
      </c>
      <c r="H6784" s="1">
        <v>46034.424085648148</v>
      </c>
      <c r="I6784" s="2">
        <v>1</v>
      </c>
      <c r="J6784" s="1">
        <v>46034.415451388886</v>
      </c>
    </row>
    <row r="6785" spans="1:10" x14ac:dyDescent="0.2">
      <c r="A6785" s="4" t="s">
        <v>1</v>
      </c>
      <c r="B6785" s="3" t="str">
        <f>HYPERLINK("https://otsuka-europe-crm.veevavault.com/ui/#object/approved_document__v/V5OZ04ASG4FWKA9", "Documento Autorizaciขn Centro Empleador")</f>
        <v>Documento Autorizaciขn Centro Empleador</v>
      </c>
      <c r="C6785" s="3" t="str">
        <f>HYPERLINK("https://otsuka-europe-crm.veevavault.com/ui/#object/sent_email__v/VBL000000012859", "SE-001399755")</f>
        <v>SE-001399755</v>
      </c>
      <c r="D6785" s="1">
        <v>46034.53634259259</v>
      </c>
      <c r="E6785" s="2">
        <v>1</v>
      </c>
      <c r="F6785" s="2">
        <v>2</v>
      </c>
      <c r="G6785" s="2">
        <v>1</v>
      </c>
      <c r="H6785" s="1">
        <v>46034.538391203707</v>
      </c>
      <c r="I6785" s="2">
        <v>2</v>
      </c>
      <c r="J6785" s="1">
        <v>46034.503692129627</v>
      </c>
    </row>
    <row r="6786" spans="1:10" x14ac:dyDescent="0.2">
      <c r="A6786" s="4" t="s">
        <v>1</v>
      </c>
      <c r="B6786" s="3" t="str">
        <f>HYPERLINK("https://otsuka-europe-crm.veevavault.com/ui/#object/approved_document__v/V5OZ04ASG4FWKA9", "Documento Autorizaciขn Centro Empleador")</f>
        <v>Documento Autorizaciขn Centro Empleador</v>
      </c>
      <c r="C6786" s="3" t="str">
        <f>HYPERLINK("https://otsuka-europe-crm.veevavault.com/ui/#object/sent_email__v/VBL000000012892", "SE-001399805")</f>
        <v>SE-001399805</v>
      </c>
      <c r="D6786" s="1">
        <v>46034.67628472222</v>
      </c>
      <c r="E6786" s="2">
        <v>1</v>
      </c>
      <c r="F6786" s="2">
        <v>3</v>
      </c>
      <c r="G6786" s="2">
        <v>1</v>
      </c>
      <c r="H6786" s="1">
        <v>46034.676747685182</v>
      </c>
      <c r="I6786" s="2">
        <v>2</v>
      </c>
      <c r="J6786" s="1">
        <v>46034.672638888886</v>
      </c>
    </row>
    <row r="6787" spans="1:10" x14ac:dyDescent="0.2">
      <c r="A6787" s="4" t="s">
        <v>1</v>
      </c>
      <c r="B6787" s="3" t="str">
        <f>HYPERLINK("https://otsuka-europe-crm.veevavault.com/ui/#object/approved_document__v/V5OZ04ASG4FWKA9", "Documento Autorizaciขn Centro Empleador")</f>
        <v>Documento Autorizaciขn Centro Empleador</v>
      </c>
      <c r="C6787" s="3" t="str">
        <f>HYPERLINK("https://otsuka-europe-crm.veevavault.com/ui/#object/sent_email__v/VBL000000014105", "SE-001399820")</f>
        <v>SE-001399820</v>
      </c>
      <c r="D6787" s="1" t="s">
        <v>0</v>
      </c>
      <c r="E6787" s="2">
        <v>0</v>
      </c>
      <c r="F6787" s="2">
        <v>0</v>
      </c>
      <c r="G6787" s="2">
        <v>0</v>
      </c>
      <c r="H6787" s="1" t="s">
        <v>0</v>
      </c>
      <c r="I6787" s="2">
        <v>0</v>
      </c>
      <c r="J6787" s="1">
        <v>46034.964467592596</v>
      </c>
    </row>
    <row r="6788" spans="1:10" x14ac:dyDescent="0.2">
      <c r="A6788" s="4" t="s">
        <v>1</v>
      </c>
      <c r="B6788" s="3" t="str">
        <f>HYPERLINK("https://otsuka-europe-crm.veevavault.com/ui/#object/approved_document__v/V5OZ04ASG4FWKA9", "Documento Autorizaciขn Centro Empleador")</f>
        <v>Documento Autorizaciขn Centro Empleador</v>
      </c>
      <c r="C6788" s="3" t="str">
        <f>HYPERLINK("https://otsuka-europe-crm.veevavault.com/ui/#object/sent_email__v/VBL000000012904", "SE-001399821")</f>
        <v>SE-001399821</v>
      </c>
      <c r="D6788" s="1">
        <v>46035.394317129627</v>
      </c>
      <c r="E6788" s="2">
        <v>1</v>
      </c>
      <c r="F6788" s="2">
        <v>3</v>
      </c>
      <c r="G6788" s="2">
        <v>1</v>
      </c>
      <c r="H6788" s="1">
        <v>46035.394409722219</v>
      </c>
      <c r="I6788" s="2">
        <v>3</v>
      </c>
      <c r="J6788" s="1">
        <v>46034.965266203704</v>
      </c>
    </row>
    <row r="6789" spans="1:10" x14ac:dyDescent="0.2">
      <c r="A6789" s="4" t="s">
        <v>1</v>
      </c>
      <c r="B6789" s="3" t="str">
        <f>HYPERLINK("https://otsuka-europe-crm.veevavault.com/ui/#object/approved_document__v/V5OZ04ASG4FWKA9", "Documento Autorizaciขn Centro Empleador")</f>
        <v>Documento Autorizaciขn Centro Empleador</v>
      </c>
      <c r="C6789" s="3" t="str">
        <f>HYPERLINK("https://otsuka-europe-crm.veevavault.com/ui/#object/sent_email__v/VBL000000014108", "SE-001399824")</f>
        <v>SE-001399824</v>
      </c>
      <c r="D6789" s="1">
        <v>46045.368310185186</v>
      </c>
      <c r="E6789" s="2">
        <v>1</v>
      </c>
      <c r="F6789" s="2">
        <v>8</v>
      </c>
      <c r="G6789" s="2">
        <v>1</v>
      </c>
      <c r="H6789" s="1">
        <v>46035.404074074075</v>
      </c>
      <c r="I6789" s="2">
        <v>6</v>
      </c>
      <c r="J6789" s="1">
        <v>46035.342210648145</v>
      </c>
    </row>
    <row r="6790" spans="1:10" x14ac:dyDescent="0.2">
      <c r="A6790" s="4" t="s">
        <v>1</v>
      </c>
      <c r="B6790" s="3" t="str">
        <f>HYPERLINK("https://otsuka-europe-crm.veevavault.com/ui/#object/approved_document__v/V5OZ04ASG4FWKA9", "Documento Autorizaciขn Centro Empleador")</f>
        <v>Documento Autorizaciขn Centro Empleador</v>
      </c>
      <c r="C6790" s="3" t="str">
        <f>HYPERLINK("https://otsuka-europe-crm.veevavault.com/ui/#object/sent_email__v/VBL000000012907", "SE-001399828")</f>
        <v>SE-001399828</v>
      </c>
      <c r="D6790" s="1">
        <v>46035.733807870369</v>
      </c>
      <c r="E6790" s="2">
        <v>1</v>
      </c>
      <c r="F6790" s="2">
        <v>4</v>
      </c>
      <c r="G6790" s="2">
        <v>1</v>
      </c>
      <c r="H6790" s="1">
        <v>46035.407743055555</v>
      </c>
      <c r="I6790" s="2">
        <v>2</v>
      </c>
      <c r="J6790" s="1">
        <v>46035.396064814813</v>
      </c>
    </row>
    <row r="6791" spans="1:10" x14ac:dyDescent="0.2">
      <c r="A6791" s="4" t="s">
        <v>1</v>
      </c>
      <c r="B6791" s="3" t="str">
        <f>HYPERLINK("https://otsuka-europe-crm.veevavault.com/ui/#object/approved_document__v/V5OZ04ASG4FWKA9", "Documento Autorizaciขn Centro Empleador")</f>
        <v>Documento Autorizaciขn Centro Empleador</v>
      </c>
      <c r="C6791" s="3" t="str">
        <f>HYPERLINK("https://otsuka-europe-crm.veevavault.com/ui/#object/sent_email__v/VBL000000012912", "SE-001399840")</f>
        <v>SE-001399840</v>
      </c>
      <c r="D6791" s="1">
        <v>46035.631435185183</v>
      </c>
      <c r="E6791" s="2">
        <v>1</v>
      </c>
      <c r="F6791" s="2">
        <v>2</v>
      </c>
      <c r="G6791" s="2">
        <v>0</v>
      </c>
      <c r="H6791" s="1" t="s">
        <v>0</v>
      </c>
      <c r="I6791" s="2">
        <v>0</v>
      </c>
      <c r="J6791" s="1">
        <v>46035.489652777775</v>
      </c>
    </row>
    <row r="6792" spans="1:10" x14ac:dyDescent="0.2">
      <c r="A6792" s="4" t="s">
        <v>1</v>
      </c>
      <c r="B6792" s="3" t="str">
        <f>HYPERLINK("https://otsuka-europe-crm.veevavault.com/ui/#object/approved_document__v/V5OZ04ASG4FWKA9", "Documento Autorizaciขn Centro Empleador")</f>
        <v>Documento Autorizaciขn Centro Empleador</v>
      </c>
      <c r="C6792" s="3" t="str">
        <f>HYPERLINK("https://otsuka-europe-crm.veevavault.com/ui/#object/sent_email__v/VBL000000012913", "SE-001399841")</f>
        <v>SE-001399841</v>
      </c>
      <c r="D6792" s="1">
        <v>46035.668958333335</v>
      </c>
      <c r="E6792" s="2">
        <v>1</v>
      </c>
      <c r="F6792" s="2">
        <v>2</v>
      </c>
      <c r="G6792" s="2">
        <v>1</v>
      </c>
      <c r="H6792" s="1">
        <v>46035.669270833336</v>
      </c>
      <c r="I6792" s="2">
        <v>2</v>
      </c>
      <c r="J6792" s="1">
        <v>46035.490833333337</v>
      </c>
    </row>
    <row r="6793" spans="1:10" x14ac:dyDescent="0.2">
      <c r="A6793" s="4" t="s">
        <v>1</v>
      </c>
      <c r="B6793" s="3" t="str">
        <f>HYPERLINK("https://otsuka-europe-crm.veevavault.com/ui/#object/approved_document__v/V5OZ04ASG4FWKA9", "Documento Autorizaciขn Centro Empleador")</f>
        <v>Documento Autorizaciขn Centro Empleador</v>
      </c>
      <c r="C6793" s="3" t="str">
        <f>HYPERLINK("https://otsuka-europe-crm.veevavault.com/ui/#object/sent_email__v/VBL000000012914", "SE-001399842")</f>
        <v>SE-001399842</v>
      </c>
      <c r="D6793" s="1">
        <v>46036.365335648145</v>
      </c>
      <c r="E6793" s="2">
        <v>1</v>
      </c>
      <c r="F6793" s="2">
        <v>1</v>
      </c>
      <c r="G6793" s="2">
        <v>1</v>
      </c>
      <c r="H6793" s="1">
        <v>46036.365428240744</v>
      </c>
      <c r="I6793" s="2">
        <v>3</v>
      </c>
      <c r="J6793" s="1">
        <v>46035.492847222224</v>
      </c>
    </row>
    <row r="6794" spans="1:10" x14ac:dyDescent="0.2">
      <c r="A6794" s="4" t="s">
        <v>1</v>
      </c>
      <c r="B6794" s="3" t="str">
        <f>HYPERLINK("https://otsuka-europe-crm.veevavault.com/ui/#object/approved_document__v/V5OZ04ASG4FWKA9", "Documento Autorizaciขn Centro Empleador")</f>
        <v>Documento Autorizaciขn Centro Empleador</v>
      </c>
      <c r="C6794" s="3" t="str">
        <f>HYPERLINK("https://otsuka-europe-crm.veevavault.com/ui/#object/sent_email__v/VBL000000012915", "SE-001399843")</f>
        <v>SE-001399843</v>
      </c>
      <c r="D6794" s="1">
        <v>46036.40016203704</v>
      </c>
      <c r="E6794" s="2">
        <v>1</v>
      </c>
      <c r="F6794" s="2">
        <v>3</v>
      </c>
      <c r="G6794" s="2">
        <v>1</v>
      </c>
      <c r="H6794" s="1">
        <v>46036.295543981483</v>
      </c>
      <c r="I6794" s="2">
        <v>1</v>
      </c>
      <c r="J6794" s="1">
        <v>46035.493009259262</v>
      </c>
    </row>
    <row r="6795" spans="1:10" x14ac:dyDescent="0.2">
      <c r="A6795" s="4" t="s">
        <v>1</v>
      </c>
      <c r="B6795" s="3" t="str">
        <f>HYPERLINK("https://otsuka-europe-crm.veevavault.com/ui/#object/approved_document__v/V5OZ04ASG4FWKA9", "Documento Autorizaciขn Centro Empleador")</f>
        <v>Documento Autorizaciขn Centro Empleador</v>
      </c>
      <c r="C6795" s="3" t="str">
        <f>HYPERLINK("https://otsuka-europe-crm.veevavault.com/ui/#object/sent_email__v/VBL000000012916", "SE-001399844")</f>
        <v>SE-001399844</v>
      </c>
      <c r="D6795" s="1" t="s">
        <v>0</v>
      </c>
      <c r="E6795" s="2">
        <v>0</v>
      </c>
      <c r="F6795" s="2">
        <v>0</v>
      </c>
      <c r="G6795" s="2">
        <v>0</v>
      </c>
      <c r="H6795" s="1" t="s">
        <v>0</v>
      </c>
      <c r="I6795" s="2">
        <v>0</v>
      </c>
      <c r="J6795" s="1">
        <v>46035.493333333332</v>
      </c>
    </row>
    <row r="6796" spans="1:10" x14ac:dyDescent="0.2">
      <c r="A6796" s="4" t="s">
        <v>1</v>
      </c>
      <c r="B6796" s="3" t="str">
        <f>HYPERLINK("https://otsuka-europe-crm.veevavault.com/ui/#object/approved_document__v/V5OZ04ASG4FWKA9", "Documento Autorizaciขn Centro Empleador")</f>
        <v>Documento Autorizaciขn Centro Empleador</v>
      </c>
      <c r="C6796" s="3" t="str">
        <f>HYPERLINK("https://otsuka-europe-crm.veevavault.com/ui/#object/sent_email__v/VBL000000012926", "SE-001399856")</f>
        <v>SE-001399856</v>
      </c>
      <c r="D6796" s="1">
        <v>46036.467673611114</v>
      </c>
      <c r="E6796" s="2">
        <v>1</v>
      </c>
      <c r="F6796" s="2">
        <v>4</v>
      </c>
      <c r="G6796" s="2">
        <v>1</v>
      </c>
      <c r="H6796" s="1">
        <v>46036.467719907407</v>
      </c>
      <c r="I6796" s="2">
        <v>3</v>
      </c>
      <c r="J6796" s="1">
        <v>46036.375439814816</v>
      </c>
    </row>
    <row r="6797" spans="1:10" x14ac:dyDescent="0.2">
      <c r="A6797" s="4" t="s">
        <v>1</v>
      </c>
      <c r="B6797" s="3" t="str">
        <f>HYPERLINK("https://otsuka-europe-crm.veevavault.com/ui/#object/approved_document__v/V5OZ04ASG4FWKA9", "Documento Autorizaciขn Centro Empleador")</f>
        <v>Documento Autorizaciขn Centro Empleador</v>
      </c>
      <c r="C6797" s="3" t="str">
        <f>HYPERLINK("https://otsuka-europe-crm.veevavault.com/ui/#object/sent_email__v/VBL000000014125", "SE-001399858")</f>
        <v>SE-001399858</v>
      </c>
      <c r="D6797" s="1">
        <v>46037.385636574072</v>
      </c>
      <c r="E6797" s="2">
        <v>1</v>
      </c>
      <c r="F6797" s="2">
        <v>8</v>
      </c>
      <c r="G6797" s="2">
        <v>1</v>
      </c>
      <c r="H6797" s="1">
        <v>46036.451053240744</v>
      </c>
      <c r="I6797" s="2">
        <v>1</v>
      </c>
      <c r="J6797" s="1">
        <v>46036.394814814812</v>
      </c>
    </row>
    <row r="6798" spans="1:10" x14ac:dyDescent="0.2">
      <c r="A6798" s="4" t="s">
        <v>1</v>
      </c>
      <c r="B6798" s="3" t="str">
        <f>HYPERLINK("https://otsuka-europe-crm.veevavault.com/ui/#object/approved_document__v/V5OZ04ASG4FWKA9", "Documento Autorizaciขn Centro Empleador")</f>
        <v>Documento Autorizaciขn Centro Empleador</v>
      </c>
      <c r="C6798" s="3" t="str">
        <f>HYPERLINK("https://otsuka-europe-crm.veevavault.com/ui/#object/sent_email__v/VBL000000014126", "SE-001399859")</f>
        <v>SE-001399859</v>
      </c>
      <c r="D6798" s="1">
        <v>46036.845659722225</v>
      </c>
      <c r="E6798" s="2">
        <v>1</v>
      </c>
      <c r="F6798" s="2">
        <v>5</v>
      </c>
      <c r="G6798" s="2">
        <v>1</v>
      </c>
      <c r="H6798" s="1">
        <v>46036.432835648149</v>
      </c>
      <c r="I6798" s="2">
        <v>2</v>
      </c>
      <c r="J6798" s="1">
        <v>46036.429456018515</v>
      </c>
    </row>
    <row r="6799" spans="1:10" x14ac:dyDescent="0.2">
      <c r="A6799" s="4" t="s">
        <v>1</v>
      </c>
      <c r="B6799" s="3" t="str">
        <f>HYPERLINK("https://otsuka-europe-crm.veevavault.com/ui/#object/approved_document__v/V5OZ04ASG4FWKA9", "Documento Autorizaciขn Centro Empleador")</f>
        <v>Documento Autorizaciขn Centro Empleador</v>
      </c>
      <c r="C6799" s="3" t="str">
        <f>HYPERLINK("https://otsuka-europe-crm.veevavault.com/ui/#object/sent_email__v/VBL000000014129", "SE-001399862")</f>
        <v>SE-001399862</v>
      </c>
      <c r="D6799" s="1">
        <v>46036.481516203705</v>
      </c>
      <c r="E6799" s="2">
        <v>1</v>
      </c>
      <c r="F6799" s="2">
        <v>1</v>
      </c>
      <c r="G6799" s="2">
        <v>1</v>
      </c>
      <c r="H6799" s="1">
        <v>46036.533055555556</v>
      </c>
      <c r="I6799" s="2">
        <v>2</v>
      </c>
      <c r="J6799" s="1">
        <v>46036.439340277779</v>
      </c>
    </row>
    <row r="6800" spans="1:10" x14ac:dyDescent="0.2">
      <c r="A6800" s="4" t="s">
        <v>1</v>
      </c>
      <c r="B6800" s="3" t="str">
        <f>HYPERLINK("https://otsuka-europe-crm.veevavault.com/ui/#object/approved_document__v/V5OZ04ASG4FWKA9", "Documento Autorizaciขn Centro Empleador")</f>
        <v>Documento Autorizaciขn Centro Empleador</v>
      </c>
      <c r="C6800" s="3" t="str">
        <f>HYPERLINK("https://otsuka-europe-crm.veevavault.com/ui/#object/sent_email__v/VBL000000012928", "SE-001399863")</f>
        <v>SE-001399863</v>
      </c>
      <c r="D6800" s="1">
        <v>46036.533217592594</v>
      </c>
      <c r="E6800" s="2">
        <v>1</v>
      </c>
      <c r="F6800" s="2">
        <v>1</v>
      </c>
      <c r="G6800" s="2">
        <v>1</v>
      </c>
      <c r="H6800" s="1">
        <v>46036.533217592594</v>
      </c>
      <c r="I6800" s="2">
        <v>1</v>
      </c>
      <c r="J6800" s="1">
        <v>46036.445</v>
      </c>
    </row>
    <row r="6801" spans="1:10" x14ac:dyDescent="0.2">
      <c r="A6801" s="4" t="s">
        <v>1</v>
      </c>
      <c r="B6801" s="3" t="str">
        <f>HYPERLINK("https://otsuka-europe-crm.veevavault.com/ui/#object/approved_document__v/V5OZ04ASG4FWKA9", "Documento Autorizaciขn Centro Empleador")</f>
        <v>Documento Autorizaciขn Centro Empleador</v>
      </c>
      <c r="C6801" s="3" t="str">
        <f>HYPERLINK("https://otsuka-europe-crm.veevavault.com/ui/#object/sent_email__v/VBL000000014130", "SE-001399864")</f>
        <v>SE-001399864</v>
      </c>
      <c r="D6801" s="1">
        <v>46036.448969907404</v>
      </c>
      <c r="E6801" s="2">
        <v>1</v>
      </c>
      <c r="F6801" s="2">
        <v>2</v>
      </c>
      <c r="G6801" s="2">
        <v>1</v>
      </c>
      <c r="H6801" s="1">
        <v>46036.44903935185</v>
      </c>
      <c r="I6801" s="2">
        <v>1</v>
      </c>
      <c r="J6801" s="1">
        <v>46036.448159722226</v>
      </c>
    </row>
    <row r="6802" spans="1:10" x14ac:dyDescent="0.2">
      <c r="A6802" s="4" t="s">
        <v>1</v>
      </c>
      <c r="B6802" s="3" t="str">
        <f>HYPERLINK("https://otsuka-europe-crm.veevavault.com/ui/#object/approved_document__v/V5OZ04ASG4FWKA9", "Documento Autorizaciขn Centro Empleador")</f>
        <v>Documento Autorizaciขn Centro Empleador</v>
      </c>
      <c r="C6802" s="3" t="str">
        <f>HYPERLINK("https://otsuka-europe-crm.veevavault.com/ui/#object/sent_email__v/VBL000000014131", "SE-001399865")</f>
        <v>SE-001399865</v>
      </c>
      <c r="D6802" s="1">
        <v>46036.457233796296</v>
      </c>
      <c r="E6802" s="2">
        <v>1</v>
      </c>
      <c r="F6802" s="2">
        <v>1</v>
      </c>
      <c r="G6802" s="2">
        <v>1</v>
      </c>
      <c r="H6802" s="1">
        <v>46036.457303240742</v>
      </c>
      <c r="I6802" s="2">
        <v>1</v>
      </c>
      <c r="J6802" s="1">
        <v>46036.45579861111</v>
      </c>
    </row>
    <row r="6803" spans="1:10" x14ac:dyDescent="0.2">
      <c r="A6803" s="4" t="s">
        <v>1</v>
      </c>
      <c r="B6803" s="3" t="str">
        <f>HYPERLINK("https://otsuka-europe-crm.veevavault.com/ui/#object/approved_document__v/V5OZ04ASG4FWKA9", "Documento Autorizaciขn Centro Empleador")</f>
        <v>Documento Autorizaciขn Centro Empleador</v>
      </c>
      <c r="C6803" s="3" t="str">
        <f>HYPERLINK("https://otsuka-europe-crm.veevavault.com/ui/#object/sent_email__v/VBL000000014143", "SE-001399876")</f>
        <v>SE-001399876</v>
      </c>
      <c r="D6803" s="1">
        <v>46037.557870370372</v>
      </c>
      <c r="E6803" s="2">
        <v>1</v>
      </c>
      <c r="F6803" s="2">
        <v>1</v>
      </c>
      <c r="G6803" s="2">
        <v>1</v>
      </c>
      <c r="H6803" s="1">
        <v>46037.557870370372</v>
      </c>
      <c r="I6803" s="2">
        <v>1</v>
      </c>
      <c r="J6803" s="1">
        <v>46036.550810185188</v>
      </c>
    </row>
    <row r="6804" spans="1:10" x14ac:dyDescent="0.2">
      <c r="A6804" s="4" t="s">
        <v>1</v>
      </c>
      <c r="B6804" s="3" t="str">
        <f>HYPERLINK("https://otsuka-europe-crm.veevavault.com/ui/#object/approved_document__v/V5OZ04ASG4FWKA9", "Documento Autorizaciขn Centro Empleador")</f>
        <v>Documento Autorizaciขn Centro Empleador</v>
      </c>
      <c r="C6804" s="3" t="str">
        <f>HYPERLINK("https://otsuka-europe-crm.veevavault.com/ui/#object/sent_email__v/VBL000000016062", "SE-001400140")</f>
        <v>SE-001400140</v>
      </c>
      <c r="D6804" s="1" t="s">
        <v>0</v>
      </c>
      <c r="E6804" s="2">
        <v>0</v>
      </c>
      <c r="F6804" s="2">
        <v>0</v>
      </c>
      <c r="G6804" s="2">
        <v>0</v>
      </c>
      <c r="H6804" s="1" t="s">
        <v>0</v>
      </c>
      <c r="I6804" s="2">
        <v>0</v>
      </c>
      <c r="J6804" s="1">
        <v>46038.47011574074</v>
      </c>
    </row>
    <row r="6805" spans="1:10" x14ac:dyDescent="0.2">
      <c r="A6805" s="4" t="s">
        <v>1</v>
      </c>
      <c r="B6805" s="3" t="str">
        <f>HYPERLINK("https://otsuka-europe-crm.veevavault.com/ui/#object/approved_document__v/V5OZ04ASG4FWKA9", "Documento Autorizaciขn Centro Empleador")</f>
        <v>Documento Autorizaciขn Centro Empleador</v>
      </c>
      <c r="C6805" s="3" t="str">
        <f>HYPERLINK("https://otsuka-europe-crm.veevavault.com/ui/#object/sent_email__v/VBL000000015065", "SE-001400141")</f>
        <v>SE-001400141</v>
      </c>
      <c r="D6805" s="1">
        <v>46065.605474537035</v>
      </c>
      <c r="E6805" s="2">
        <v>1</v>
      </c>
      <c r="F6805" s="2">
        <v>1</v>
      </c>
      <c r="G6805" s="2">
        <v>0</v>
      </c>
      <c r="H6805" s="1" t="s">
        <v>0</v>
      </c>
      <c r="I6805" s="2">
        <v>0</v>
      </c>
      <c r="J6805" s="1">
        <v>46038.47011574074</v>
      </c>
    </row>
    <row r="6806" spans="1:10" x14ac:dyDescent="0.2">
      <c r="A6806" s="4" t="s">
        <v>1</v>
      </c>
      <c r="B6806" s="3" t="str">
        <f>HYPERLINK("https://otsuka-europe-crm.veevavault.com/ui/#object/approved_document__v/V5OZ04ASG4FWKA9", "Documento Autorizaciขn Centro Empleador")</f>
        <v>Documento Autorizaciขn Centro Empleador</v>
      </c>
      <c r="C6806" s="3" t="str">
        <f>HYPERLINK("https://otsuka-europe-crm.veevavault.com/ui/#object/sent_email__v/VBL000000016063", "SE-001400142")</f>
        <v>SE-001400142</v>
      </c>
      <c r="D6806" s="1">
        <v>46038.565671296295</v>
      </c>
      <c r="E6806" s="2">
        <v>1</v>
      </c>
      <c r="F6806" s="2">
        <v>3</v>
      </c>
      <c r="G6806" s="2">
        <v>1</v>
      </c>
      <c r="H6806" s="1">
        <v>46038.565798611111</v>
      </c>
      <c r="I6806" s="2">
        <v>1</v>
      </c>
      <c r="J6806" s="1">
        <v>46038.47011574074</v>
      </c>
    </row>
    <row r="6807" spans="1:10" x14ac:dyDescent="0.2">
      <c r="A6807" s="4" t="s">
        <v>1</v>
      </c>
      <c r="B6807" s="3" t="str">
        <f>HYPERLINK("https://otsuka-europe-crm.veevavault.com/ui/#object/approved_document__v/V5OZ04ASG4FWKA9", "Documento Autorizaciขn Centro Empleador")</f>
        <v>Documento Autorizaciขn Centro Empleador</v>
      </c>
      <c r="C6807" s="3" t="str">
        <f>HYPERLINK("https://otsuka-europe-crm.veevavault.com/ui/#object/sent_email__v/VBL000000015093", "SE-001400187")</f>
        <v>SE-001400187</v>
      </c>
      <c r="D6807" s="1">
        <v>46041.349409722221</v>
      </c>
      <c r="E6807" s="2">
        <v>1</v>
      </c>
      <c r="F6807" s="2">
        <v>1</v>
      </c>
      <c r="G6807" s="2">
        <v>1</v>
      </c>
      <c r="H6807" s="1">
        <v>46041.349953703706</v>
      </c>
      <c r="I6807" s="2">
        <v>4</v>
      </c>
      <c r="J6807" s="1">
        <v>46040.868148148147</v>
      </c>
    </row>
    <row r="6808" spans="1:10" x14ac:dyDescent="0.2">
      <c r="A6808" s="4" t="s">
        <v>1</v>
      </c>
      <c r="B6808" s="3" t="str">
        <f>HYPERLINK("https://otsuka-europe-crm.veevavault.com/ui/#object/approved_document__v/V5OZ04ASG4FWKA9", "Documento Autorizaciขn Centro Empleador")</f>
        <v>Documento Autorizaciขn Centro Empleador</v>
      </c>
      <c r="C6808" s="3" t="str">
        <f>HYPERLINK("https://otsuka-europe-crm.veevavault.com/ui/#object/sent_email__v/VBL000000015107", "SE-001400208")</f>
        <v>SE-001400208</v>
      </c>
      <c r="D6808" s="1">
        <v>46056.357939814814</v>
      </c>
      <c r="E6808" s="2">
        <v>1</v>
      </c>
      <c r="F6808" s="2">
        <v>18</v>
      </c>
      <c r="G6808" s="2">
        <v>1</v>
      </c>
      <c r="H6808" s="1">
        <v>46043.337534722225</v>
      </c>
      <c r="I6808" s="2">
        <v>2</v>
      </c>
      <c r="J6808" s="1">
        <v>46042.540335648147</v>
      </c>
    </row>
    <row r="6809" spans="1:10" x14ac:dyDescent="0.2">
      <c r="A6809" s="4" t="s">
        <v>1</v>
      </c>
      <c r="B6809" s="3" t="str">
        <f>HYPERLINK("https://otsuka-europe-crm.veevavault.com/ui/#object/approved_document__v/V5OZ04ASG4FWKA9", "Documento Autorizaciขn Centro Empleador")</f>
        <v>Documento Autorizaciขn Centro Empleador</v>
      </c>
      <c r="C6809" s="3" t="str">
        <f>HYPERLINK("https://otsuka-europe-crm.veevavault.com/ui/#object/sent_email__v/VBL000000016094", "SE-001400209")</f>
        <v>SE-001400209</v>
      </c>
      <c r="D6809" s="1">
        <v>46042.700358796297</v>
      </c>
      <c r="E6809" s="2">
        <v>1</v>
      </c>
      <c r="F6809" s="2">
        <v>2</v>
      </c>
      <c r="G6809" s="2">
        <v>1</v>
      </c>
      <c r="H6809" s="1">
        <v>46042.70040509259</v>
      </c>
      <c r="I6809" s="2">
        <v>2</v>
      </c>
      <c r="J6809" s="1">
        <v>46042.542557870373</v>
      </c>
    </row>
    <row r="6810" spans="1:10" x14ac:dyDescent="0.2">
      <c r="A6810" s="4" t="s">
        <v>1</v>
      </c>
      <c r="B6810" s="3" t="str">
        <f>HYPERLINK("https://otsuka-europe-crm.veevavault.com/ui/#object/approved_document__v/V5OZ04ASG4FWKA9", "Documento Autorizaciขn Centro Empleador")</f>
        <v>Documento Autorizaciขn Centro Empleador</v>
      </c>
      <c r="C6810" s="3" t="str">
        <f>HYPERLINK("https://otsuka-europe-crm.veevavault.com/ui/#object/sent_email__v/VBL000000016095", "SE-001400210")</f>
        <v>SE-001400210</v>
      </c>
      <c r="D6810" s="1">
        <v>46042.855578703704</v>
      </c>
      <c r="E6810" s="2">
        <v>1</v>
      </c>
      <c r="F6810" s="2">
        <v>1</v>
      </c>
      <c r="G6810" s="2">
        <v>1</v>
      </c>
      <c r="H6810" s="1">
        <v>46042.856099537035</v>
      </c>
      <c r="I6810" s="2">
        <v>6</v>
      </c>
      <c r="J6810" s="1">
        <v>46042.542997685188</v>
      </c>
    </row>
    <row r="6811" spans="1:10" x14ac:dyDescent="0.2">
      <c r="A6811" s="4" t="s">
        <v>1</v>
      </c>
      <c r="B6811" s="3" t="str">
        <f>HYPERLINK("https://otsuka-europe-crm.veevavault.com/ui/#object/approved_document__v/V5OZ04ASG4FWKA9", "Documento Autorizaciขn Centro Empleador")</f>
        <v>Documento Autorizaciขn Centro Empleador</v>
      </c>
      <c r="C6811" s="3" t="str">
        <f>HYPERLINK("https://otsuka-europe-crm.veevavault.com/ui/#object/sent_email__v/VBL000000016096", "SE-001400211")</f>
        <v>SE-001400211</v>
      </c>
      <c r="D6811" s="1">
        <v>46042.546111111114</v>
      </c>
      <c r="E6811" s="2">
        <v>1</v>
      </c>
      <c r="F6811" s="2">
        <v>1</v>
      </c>
      <c r="G6811" s="2">
        <v>1</v>
      </c>
      <c r="H6811" s="1">
        <v>46042.546273148146</v>
      </c>
      <c r="I6811" s="2">
        <v>3</v>
      </c>
      <c r="J6811" s="1">
        <v>46042.543449074074</v>
      </c>
    </row>
    <row r="6812" spans="1:10" x14ac:dyDescent="0.2">
      <c r="A6812" s="4" t="s">
        <v>1</v>
      </c>
      <c r="B6812" s="3" t="str">
        <f>HYPERLINK("https://otsuka-europe-crm.veevavault.com/ui/#object/approved_document__v/V5OZ04ASG4FWKA9", "Documento Autorizaciขn Centro Empleador")</f>
        <v>Documento Autorizaciขn Centro Empleador</v>
      </c>
      <c r="C6812" s="3" t="str">
        <f>HYPERLINK("https://otsuka-europe-crm.veevavault.com/ui/#object/sent_email__v/VBL000000016099", "SE-001400230")</f>
        <v>SE-001400230</v>
      </c>
      <c r="D6812" s="1" t="s">
        <v>0</v>
      </c>
      <c r="E6812" s="2">
        <v>0</v>
      </c>
      <c r="F6812" s="2">
        <v>0</v>
      </c>
      <c r="G6812" s="2">
        <v>0</v>
      </c>
      <c r="H6812" s="1" t="s">
        <v>0</v>
      </c>
      <c r="I6812" s="2">
        <v>0</v>
      </c>
      <c r="J6812" s="1">
        <v>46042.543888888889</v>
      </c>
    </row>
    <row r="6813" spans="1:10" x14ac:dyDescent="0.2">
      <c r="A6813" s="4" t="s">
        <v>1</v>
      </c>
      <c r="B6813" s="3" t="str">
        <f>HYPERLINK("https://otsuka-europe-crm.veevavault.com/ui/#object/approved_document__v/V5OZ04ASG4FWKA9", "Documento Autorizaciขn Centro Empleador")</f>
        <v>Documento Autorizaciขn Centro Empleador</v>
      </c>
      <c r="C6813" s="3" t="str">
        <f>HYPERLINK("https://otsuka-europe-crm.veevavault.com/ui/#object/sent_email__v/VBL000000015126", "SE-001400236")</f>
        <v>SE-001400236</v>
      </c>
      <c r="D6813" s="1">
        <v>46042.546307870369</v>
      </c>
      <c r="E6813" s="2">
        <v>1</v>
      </c>
      <c r="F6813" s="2">
        <v>1</v>
      </c>
      <c r="G6813" s="2">
        <v>1</v>
      </c>
      <c r="H6813" s="1">
        <v>46043.373287037037</v>
      </c>
      <c r="I6813" s="2">
        <v>4</v>
      </c>
      <c r="J6813" s="1">
        <v>46042.54078703704</v>
      </c>
    </row>
    <row r="6814" spans="1:10" x14ac:dyDescent="0.2">
      <c r="A6814" s="4" t="s">
        <v>1</v>
      </c>
      <c r="B6814" s="3" t="str">
        <f>HYPERLINK("https://otsuka-europe-crm.veevavault.com/ui/#object/approved_document__v/V5OZ04ASG4FWKA9", "Documento Autorizaciขn Centro Empleador")</f>
        <v>Documento Autorizaciขn Centro Empleador</v>
      </c>
      <c r="C6814" s="3" t="str">
        <f>HYPERLINK("https://otsuka-europe-crm.veevavault.com/ui/#object/sent_email__v/VBL000000015128", "SE-001400238")</f>
        <v>SE-001400238</v>
      </c>
      <c r="D6814" s="1">
        <v>46043.589965277781</v>
      </c>
      <c r="E6814" s="2">
        <v>1</v>
      </c>
      <c r="F6814" s="2">
        <v>1</v>
      </c>
      <c r="G6814" s="2">
        <v>1</v>
      </c>
      <c r="H6814" s="1">
        <v>46043.589965277781</v>
      </c>
      <c r="I6814" s="2">
        <v>1</v>
      </c>
      <c r="J6814" s="1">
        <v>46042.541203703702</v>
      </c>
    </row>
    <row r="6815" spans="1:10" x14ac:dyDescent="0.2">
      <c r="A6815" s="4" t="s">
        <v>1</v>
      </c>
      <c r="B6815" s="3" t="str">
        <f>HYPERLINK("https://otsuka-europe-crm.veevavault.com/ui/#object/approved_document__v/V5OZ04ASG4FWKA9", "Documento Autorizaciขn Centro Empleador")</f>
        <v>Documento Autorizaciขn Centro Empleador</v>
      </c>
      <c r="C6815" s="3" t="str">
        <f>HYPERLINK("https://otsuka-europe-crm.veevavault.com/ui/#object/sent_email__v/VBL000000016112", "SE-001400252")</f>
        <v>SE-001400252</v>
      </c>
      <c r="D6815" s="1">
        <v>46042.700520833336</v>
      </c>
      <c r="E6815" s="2">
        <v>1</v>
      </c>
      <c r="F6815" s="2">
        <v>2</v>
      </c>
      <c r="G6815" s="2">
        <v>1</v>
      </c>
      <c r="H6815" s="1">
        <v>46043.617418981485</v>
      </c>
      <c r="I6815" s="2">
        <v>3</v>
      </c>
      <c r="J6815" s="1">
        <v>46042.544328703705</v>
      </c>
    </row>
    <row r="6816" spans="1:10" x14ac:dyDescent="0.2">
      <c r="A6816" s="4" t="s">
        <v>1</v>
      </c>
      <c r="B6816" s="3" t="str">
        <f>HYPERLINK("https://otsuka-europe-crm.veevavault.com/ui/#object/approved_document__v/V5OZ04ASG4FWKA9", "Documento Autorizaciขn Centro Empleador")</f>
        <v>Documento Autorizaciขn Centro Empleador</v>
      </c>
      <c r="C6816" s="3" t="str">
        <f>HYPERLINK("https://otsuka-europe-crm.veevavault.com/ui/#object/sent_email__v/VBL000000016113", "SE-001400253")</f>
        <v>SE-001400253</v>
      </c>
      <c r="D6816" s="1" t="s">
        <v>0</v>
      </c>
      <c r="E6816" s="2">
        <v>0</v>
      </c>
      <c r="F6816" s="2">
        <v>0</v>
      </c>
      <c r="G6816" s="2">
        <v>0</v>
      </c>
      <c r="H6816" s="1" t="s">
        <v>0</v>
      </c>
      <c r="I6816" s="2">
        <v>0</v>
      </c>
      <c r="J6816" s="1">
        <v>46042.544791666667</v>
      </c>
    </row>
    <row r="6817" spans="1:10" x14ac:dyDescent="0.2">
      <c r="A6817" s="4" t="s">
        <v>1</v>
      </c>
      <c r="B6817" s="3" t="str">
        <f>HYPERLINK("https://otsuka-europe-crm.veevavault.com/ui/#object/approved_document__v/V5OZ04ASG4FWKA9", "Documento Autorizaciขn Centro Empleador")</f>
        <v>Documento Autorizaciขn Centro Empleador</v>
      </c>
      <c r="C6817" s="3" t="str">
        <f>HYPERLINK("https://otsuka-europe-crm.veevavault.com/ui/#object/sent_email__v/VBL000000016114", "SE-001400254")</f>
        <v>SE-001400254</v>
      </c>
      <c r="D6817" s="1" t="s">
        <v>0</v>
      </c>
      <c r="E6817" s="2">
        <v>0</v>
      </c>
      <c r="F6817" s="2">
        <v>0</v>
      </c>
      <c r="G6817" s="2">
        <v>0</v>
      </c>
      <c r="H6817" s="1" t="s">
        <v>0</v>
      </c>
      <c r="I6817" s="2">
        <v>0</v>
      </c>
      <c r="J6817" s="1">
        <v>46042.545185185183</v>
      </c>
    </row>
    <row r="6818" spans="1:10" x14ac:dyDescent="0.2">
      <c r="A6818" s="4" t="s">
        <v>1</v>
      </c>
      <c r="B6818" s="3" t="str">
        <f>HYPERLINK("https://otsuka-europe-crm.veevavault.com/ui/#object/approved_document__v/V5OZ04ASG4FWKA9", "Documento Autorizaciขn Centro Empleador")</f>
        <v>Documento Autorizaciขn Centro Empleador</v>
      </c>
      <c r="C6818" s="3" t="str">
        <f>HYPERLINK("https://otsuka-europe-crm.veevavault.com/ui/#object/sent_email__v/VBL000000015216", "SE-001400423")</f>
        <v>SE-001400423</v>
      </c>
      <c r="D6818" s="1">
        <v>46042.7</v>
      </c>
      <c r="E6818" s="2">
        <v>1</v>
      </c>
      <c r="F6818" s="2">
        <v>2</v>
      </c>
      <c r="G6818" s="2">
        <v>1</v>
      </c>
      <c r="H6818" s="1">
        <v>46043.668229166666</v>
      </c>
      <c r="I6818" s="2">
        <v>3</v>
      </c>
      <c r="J6818" s="1">
        <v>46042.541643518518</v>
      </c>
    </row>
    <row r="6819" spans="1:10" x14ac:dyDescent="0.2">
      <c r="A6819" s="4" t="s">
        <v>1</v>
      </c>
      <c r="B6819" s="3" t="str">
        <f>HYPERLINK("https://otsuka-europe-crm.veevavault.com/ui/#object/approved_document__v/V5OZ04ASG4FWKA9", "Documento Autorizaciขn Centro Empleador")</f>
        <v>Documento Autorizaciขn Centro Empleador</v>
      </c>
      <c r="C6819" s="3" t="str">
        <f>HYPERLINK("https://otsuka-europe-crm.veevavault.com/ui/#object/sent_email__v/VBL000000015217", "SE-001400424")</f>
        <v>SE-001400424</v>
      </c>
      <c r="D6819" s="1">
        <v>46043.420231481483</v>
      </c>
      <c r="E6819" s="2">
        <v>1</v>
      </c>
      <c r="F6819" s="2">
        <v>3</v>
      </c>
      <c r="G6819" s="2">
        <v>1</v>
      </c>
      <c r="H6819" s="1">
        <v>46043.420300925929</v>
      </c>
      <c r="I6819" s="2">
        <v>3</v>
      </c>
      <c r="J6819" s="1">
        <v>46042.542083333334</v>
      </c>
    </row>
    <row r="6820" spans="1:10" x14ac:dyDescent="0.2">
      <c r="A6820" s="4" t="s">
        <v>1</v>
      </c>
      <c r="B6820" s="3" t="str">
        <f>HYPERLINK("https://otsuka-europe-crm.veevavault.com/ui/#object/approved_document__v/V5OZ04ASG4FWKA9", "Documento Autorizaciขn Centro Empleador")</f>
        <v>Documento Autorizaciขn Centro Empleador</v>
      </c>
      <c r="C6820" s="3" t="str">
        <f>HYPERLINK("https://otsuka-europe-crm.veevavault.com/ui/#object/sent_email__v/VBL000000016209", "SE-001400425")</f>
        <v>SE-001400425</v>
      </c>
      <c r="D6820" s="1">
        <v>46043.459409722222</v>
      </c>
      <c r="E6820" s="2">
        <v>1</v>
      </c>
      <c r="F6820" s="2">
        <v>4</v>
      </c>
      <c r="G6820" s="2">
        <v>1</v>
      </c>
      <c r="H6820" s="1">
        <v>46043.459467592591</v>
      </c>
      <c r="I6820" s="2">
        <v>7</v>
      </c>
      <c r="J6820" s="1">
        <v>46042.545636574076</v>
      </c>
    </row>
    <row r="6821" spans="1:10" x14ac:dyDescent="0.2">
      <c r="A6821" s="4" t="s">
        <v>1</v>
      </c>
      <c r="B6821" s="3" t="str">
        <f>HYPERLINK("https://otsuka-europe-crm.veevavault.com/ui/#object/approved_document__v/V5OZ04ASG4FWKA9", "Documento Autorizaciขn Centro Empleador")</f>
        <v>Documento Autorizaciขn Centro Empleador</v>
      </c>
      <c r="C6821" s="3" t="str">
        <f>HYPERLINK("https://otsuka-europe-crm.veevavault.com/ui/#object/sent_email__v/VBL000000016213", "SE-001400432")</f>
        <v>SE-001400432</v>
      </c>
      <c r="D6821" s="1">
        <v>46075.79855324074</v>
      </c>
      <c r="E6821" s="2">
        <v>1</v>
      </c>
      <c r="F6821" s="2">
        <v>5</v>
      </c>
      <c r="G6821" s="2">
        <v>1</v>
      </c>
      <c r="H6821" s="1">
        <v>46043.762395833335</v>
      </c>
      <c r="I6821" s="2">
        <v>2</v>
      </c>
      <c r="J6821" s="1">
        <v>46043.425925925927</v>
      </c>
    </row>
    <row r="6822" spans="1:10" x14ac:dyDescent="0.2">
      <c r="A6822" s="4" t="s">
        <v>1</v>
      </c>
      <c r="B6822" s="3" t="str">
        <f>HYPERLINK("https://otsuka-europe-crm.veevavault.com/ui/#object/approved_document__v/V5OZ04ASG4FWKA9", "Documento Autorizaciขn Centro Empleador")</f>
        <v>Documento Autorizaciขn Centro Empleador</v>
      </c>
      <c r="C6822" s="3" t="str">
        <f>HYPERLINK("https://otsuka-europe-crm.veevavault.com/ui/#object/sent_email__v/VBL000000015227", "SE-001400441")</f>
        <v>SE-001400441</v>
      </c>
      <c r="D6822" s="1">
        <v>46071.759317129632</v>
      </c>
      <c r="E6822" s="2">
        <v>1</v>
      </c>
      <c r="F6822" s="2">
        <v>4</v>
      </c>
      <c r="G6822" s="2">
        <v>1</v>
      </c>
      <c r="H6822" s="1">
        <v>46043.459687499999</v>
      </c>
      <c r="I6822" s="2">
        <v>2</v>
      </c>
      <c r="J6822" s="1">
        <v>46043.42465277778</v>
      </c>
    </row>
    <row r="6823" spans="1:10" x14ac:dyDescent="0.2">
      <c r="A6823" s="4" t="s">
        <v>1</v>
      </c>
      <c r="B6823" s="3" t="str">
        <f>HYPERLINK("https://otsuka-europe-crm.veevavault.com/ui/#object/approved_document__v/V5OZ04ASG4FWKA9", "Documento Autorizaciขn Centro Empleador")</f>
        <v>Documento Autorizaciขn Centro Empleador</v>
      </c>
      <c r="C6823" s="3" t="str">
        <f>HYPERLINK("https://otsuka-europe-crm.veevavault.com/ui/#object/sent_email__v/VBL000000015228", "SE-001400442")</f>
        <v>SE-001400442</v>
      </c>
      <c r="D6823" s="1">
        <v>46043.496307870373</v>
      </c>
      <c r="E6823" s="2">
        <v>1</v>
      </c>
      <c r="F6823" s="2">
        <v>2</v>
      </c>
      <c r="G6823" s="2">
        <v>1</v>
      </c>
      <c r="H6823" s="1">
        <v>46043.496354166666</v>
      </c>
      <c r="I6823" s="2">
        <v>1</v>
      </c>
      <c r="J6823" s="1">
        <v>46043.425057870372</v>
      </c>
    </row>
    <row r="6824" spans="1:10" x14ac:dyDescent="0.2">
      <c r="A6824" s="4" t="s">
        <v>1</v>
      </c>
      <c r="B6824" s="3" t="str">
        <f>HYPERLINK("https://otsuka-europe-crm.veevavault.com/ui/#object/approved_document__v/V5OZ04ASG4FWKA9", "Documento Autorizaciขn Centro Empleador")</f>
        <v>Documento Autorizaciขn Centro Empleador</v>
      </c>
      <c r="C6824" s="3" t="str">
        <f>HYPERLINK("https://otsuka-europe-crm.veevavault.com/ui/#object/sent_email__v/VBL000000016344", "SE-001400571")</f>
        <v>SE-001400571</v>
      </c>
      <c r="D6824" s="1">
        <v>46043.474120370367</v>
      </c>
      <c r="E6824" s="2">
        <v>1</v>
      </c>
      <c r="F6824" s="2">
        <v>1</v>
      </c>
      <c r="G6824" s="2">
        <v>1</v>
      </c>
      <c r="H6824" s="1">
        <v>46043.48678240741</v>
      </c>
      <c r="I6824" s="2">
        <v>4</v>
      </c>
      <c r="J6824" s="1">
        <v>46043.426354166666</v>
      </c>
    </row>
    <row r="6825" spans="1:10" x14ac:dyDescent="0.2">
      <c r="A6825" s="4" t="s">
        <v>1</v>
      </c>
      <c r="B6825" s="3" t="str">
        <f>HYPERLINK("https://otsuka-europe-crm.veevavault.com/ui/#object/approved_document__v/V5OZ04ASG4FWKA9", "Documento Autorizaciขn Centro Empleador")</f>
        <v>Documento Autorizaciขn Centro Empleador</v>
      </c>
      <c r="C6825" s="3" t="str">
        <f>HYPERLINK("https://otsuka-europe-crm.veevavault.com/ui/#object/sent_email__v/VBL000000016352", "SE-001400587")</f>
        <v>SE-001400587</v>
      </c>
      <c r="D6825" s="1">
        <v>46043.512314814812</v>
      </c>
      <c r="E6825" s="2">
        <v>1</v>
      </c>
      <c r="F6825" s="2">
        <v>6</v>
      </c>
      <c r="G6825" s="2">
        <v>1</v>
      </c>
      <c r="H6825" s="1">
        <v>46043.48673611111</v>
      </c>
      <c r="I6825" s="2">
        <v>1</v>
      </c>
      <c r="J6825" s="1">
        <v>46043.426840277774</v>
      </c>
    </row>
    <row r="6826" spans="1:10" x14ac:dyDescent="0.2">
      <c r="A6826" s="4" t="s">
        <v>1</v>
      </c>
      <c r="B6826" s="3" t="str">
        <f>HYPERLINK("https://otsuka-europe-crm.veevavault.com/ui/#object/approved_document__v/V5OZ04ASG4FWKA9", "Documento Autorizaciขn Centro Empleador")</f>
        <v>Documento Autorizaciขn Centro Empleador</v>
      </c>
      <c r="C6826" s="3" t="str">
        <f>HYPERLINK("https://otsuka-europe-crm.veevavault.com/ui/#object/sent_email__v/VBL000000015240", "SE-001400588")</f>
        <v>SE-001400588</v>
      </c>
      <c r="D6826" s="1">
        <v>46043.506851851853</v>
      </c>
      <c r="E6826" s="2">
        <v>1</v>
      </c>
      <c r="F6826" s="2">
        <v>2</v>
      </c>
      <c r="G6826" s="2">
        <v>1</v>
      </c>
      <c r="H6826" s="1">
        <v>46043.506180555552</v>
      </c>
      <c r="I6826" s="2">
        <v>1</v>
      </c>
      <c r="J6826" s="1">
        <v>46043.425486111111</v>
      </c>
    </row>
    <row r="6827" spans="1:10" x14ac:dyDescent="0.2">
      <c r="A6827" s="4" t="s">
        <v>1</v>
      </c>
      <c r="B6827" s="3" t="str">
        <f>HYPERLINK("https://otsuka-europe-crm.veevavault.com/ui/#object/approved_document__v/V5OZ04ASG4FWKA9", "Documento Autorizaciขn Centro Empleador")</f>
        <v>Documento Autorizaciขn Centro Empleador</v>
      </c>
      <c r="C6827" s="3" t="str">
        <f>HYPERLINK("https://otsuka-europe-crm.veevavault.com/ui/#object/sent_email__v/VBL000000016354", "SE-001400594")</f>
        <v>SE-001400594</v>
      </c>
      <c r="D6827" s="1">
        <v>46048.296863425923</v>
      </c>
      <c r="E6827" s="2">
        <v>1</v>
      </c>
      <c r="F6827" s="2">
        <v>9</v>
      </c>
      <c r="G6827" s="2">
        <v>1</v>
      </c>
      <c r="H6827" s="1">
        <v>46043.450821759259</v>
      </c>
      <c r="I6827" s="2">
        <v>1</v>
      </c>
      <c r="J6827" s="1">
        <v>46043.427361111113</v>
      </c>
    </row>
    <row r="6828" spans="1:10" x14ac:dyDescent="0.2">
      <c r="A6828" s="4" t="s">
        <v>1</v>
      </c>
      <c r="B6828" s="3" t="str">
        <f>HYPERLINK("https://otsuka-europe-crm.veevavault.com/ui/#object/approved_document__v/V5OZ04ASG4FWKA9", "Documento Autorizaciขn Centro Empleador")</f>
        <v>Documento Autorizaciขn Centro Empleador</v>
      </c>
      <c r="C6828" s="3" t="str">
        <f>HYPERLINK("https://otsuka-europe-crm.veevavault.com/ui/#object/sent_email__v/VBL000000015249", "SE-001400604")</f>
        <v>SE-001400604</v>
      </c>
      <c r="D6828" s="1">
        <v>46065.87158564815</v>
      </c>
      <c r="E6828" s="2">
        <v>1</v>
      </c>
      <c r="F6828" s="2">
        <v>2</v>
      </c>
      <c r="G6828" s="2">
        <v>1</v>
      </c>
      <c r="H6828" s="1">
        <v>46043.534583333334</v>
      </c>
      <c r="I6828" s="2">
        <v>1</v>
      </c>
      <c r="J6828" s="1">
        <v>46043.508009259262</v>
      </c>
    </row>
    <row r="6829" spans="1:10" x14ac:dyDescent="0.2">
      <c r="A6829" s="4" t="s">
        <v>1</v>
      </c>
      <c r="B6829" s="3" t="str">
        <f>HYPERLINK("https://otsuka-europe-crm.veevavault.com/ui/#object/approved_document__v/V5OZ04ASG4FWKA9", "Documento Autorizaciขn Centro Empleador")</f>
        <v>Documento Autorizaciขn Centro Empleador</v>
      </c>
      <c r="C6829" s="3" t="str">
        <f>HYPERLINK("https://otsuka-europe-crm.veevavault.com/ui/#object/sent_email__v/VBL000000015250", "SE-001400605")</f>
        <v>SE-001400605</v>
      </c>
      <c r="D6829" s="1">
        <v>46044.450624999998</v>
      </c>
      <c r="E6829" s="2">
        <v>1</v>
      </c>
      <c r="F6829" s="2">
        <v>7</v>
      </c>
      <c r="G6829" s="2">
        <v>1</v>
      </c>
      <c r="H6829" s="1">
        <v>46043.511076388888</v>
      </c>
      <c r="I6829" s="2">
        <v>2</v>
      </c>
      <c r="J6829" s="1">
        <v>46043.508425925924</v>
      </c>
    </row>
    <row r="6830" spans="1:10" x14ac:dyDescent="0.2">
      <c r="A6830" s="4" t="s">
        <v>1</v>
      </c>
      <c r="B6830" s="3" t="str">
        <f>HYPERLINK("https://otsuka-europe-crm.veevavault.com/ui/#object/approved_document__v/V5OZ04ASG4FWKA9", "Documento Autorizaciขn Centro Empleador")</f>
        <v>Documento Autorizaciขn Centro Empleador</v>
      </c>
      <c r="C6830" s="3" t="str">
        <f>HYPERLINK("https://otsuka-europe-crm.veevavault.com/ui/#object/sent_email__v/VBL000000015251", "SE-001400608")</f>
        <v>SE-001400608</v>
      </c>
      <c r="D6830" s="1">
        <v>46043.5465625</v>
      </c>
      <c r="E6830" s="2">
        <v>1</v>
      </c>
      <c r="F6830" s="2">
        <v>1</v>
      </c>
      <c r="G6830" s="2">
        <v>1</v>
      </c>
      <c r="H6830" s="1">
        <v>46043.546631944446</v>
      </c>
      <c r="I6830" s="2">
        <v>1</v>
      </c>
      <c r="J6830" s="1">
        <v>46043.50886574074</v>
      </c>
    </row>
    <row r="6831" spans="1:10" x14ac:dyDescent="0.2">
      <c r="A6831" s="4" t="s">
        <v>1</v>
      </c>
      <c r="B6831" s="3" t="str">
        <f>HYPERLINK("https://otsuka-europe-crm.veevavault.com/ui/#object/approved_document__v/V5OZ04ASG4FWKA9", "Documento Autorizaciขn Centro Empleador")</f>
        <v>Documento Autorizaciขn Centro Empleador</v>
      </c>
      <c r="C6831" s="3" t="str">
        <f>HYPERLINK("https://otsuka-europe-crm.veevavault.com/ui/#object/sent_email__v/VBL000000015252", "SE-001400609")</f>
        <v>SE-001400609</v>
      </c>
      <c r="D6831" s="1">
        <v>46044.688784722224</v>
      </c>
      <c r="E6831" s="2">
        <v>1</v>
      </c>
      <c r="F6831" s="2">
        <v>2</v>
      </c>
      <c r="G6831" s="2">
        <v>1</v>
      </c>
      <c r="H6831" s="1">
        <v>46044.689074074071</v>
      </c>
      <c r="I6831" s="2">
        <v>2</v>
      </c>
      <c r="J6831" s="1">
        <v>46043.509282407409</v>
      </c>
    </row>
    <row r="6832" spans="1:10" x14ac:dyDescent="0.2">
      <c r="A6832" s="4" t="s">
        <v>1</v>
      </c>
      <c r="B6832" s="3" t="str">
        <f>HYPERLINK("https://otsuka-europe-crm.veevavault.com/ui/#object/approved_document__v/V5OZ04ASG4FWKA9", "Documento Autorizaciขn Centro Empleador")</f>
        <v>Documento Autorizaciขn Centro Empleador</v>
      </c>
      <c r="C6832" s="3" t="str">
        <f>HYPERLINK("https://otsuka-europe-crm.veevavault.com/ui/#object/sent_email__v/VBL000000015253", "SE-001400610")</f>
        <v>SE-001400610</v>
      </c>
      <c r="D6832" s="1">
        <v>46043.540208333332</v>
      </c>
      <c r="E6832" s="2">
        <v>1</v>
      </c>
      <c r="F6832" s="2">
        <v>1</v>
      </c>
      <c r="G6832" s="2">
        <v>1</v>
      </c>
      <c r="H6832" s="1">
        <v>46043.540509259263</v>
      </c>
      <c r="I6832" s="2">
        <v>2</v>
      </c>
      <c r="J6832" s="1">
        <v>46043.509687500002</v>
      </c>
    </row>
    <row r="6833" spans="1:10" x14ac:dyDescent="0.2">
      <c r="A6833" s="4" t="s">
        <v>1</v>
      </c>
      <c r="B6833" s="3" t="str">
        <f>HYPERLINK("https://otsuka-europe-crm.veevavault.com/ui/#object/approved_document__v/V5OZ04ASG4FWKA9", "Documento Autorizaciขn Centro Empleador")</f>
        <v>Documento Autorizaciขn Centro Empleador</v>
      </c>
      <c r="C6833" s="3" t="str">
        <f>HYPERLINK("https://otsuka-europe-crm.veevavault.com/ui/#object/sent_email__v/VBL000000015254", "SE-001400612")</f>
        <v>SE-001400612</v>
      </c>
      <c r="D6833" s="1">
        <v>46058.255995370368</v>
      </c>
      <c r="E6833" s="2">
        <v>1</v>
      </c>
      <c r="F6833" s="2">
        <v>3</v>
      </c>
      <c r="G6833" s="2">
        <v>1</v>
      </c>
      <c r="H6833" s="1">
        <v>46043.51054398148</v>
      </c>
      <c r="I6833" s="2">
        <v>1</v>
      </c>
      <c r="J6833" s="1">
        <v>46043.510208333333</v>
      </c>
    </row>
    <row r="6834" spans="1:10" x14ac:dyDescent="0.2">
      <c r="A6834" s="4" t="s">
        <v>1</v>
      </c>
      <c r="B6834" s="3" t="str">
        <f>HYPERLINK("https://otsuka-europe-crm.veevavault.com/ui/#object/approved_document__v/V5OZ04ASG4FWKA9", "Documento Autorizaciขn Centro Empleador")</f>
        <v>Documento Autorizaciขn Centro Empleador</v>
      </c>
      <c r="C6834" s="3" t="str">
        <f>HYPERLINK("https://otsuka-europe-crm.veevavault.com/ui/#object/sent_email__v/VBL000000015256", "SE-001400614")</f>
        <v>SE-001400614</v>
      </c>
      <c r="D6834" s="1">
        <v>46051.990266203706</v>
      </c>
      <c r="E6834" s="2">
        <v>1</v>
      </c>
      <c r="F6834" s="2">
        <v>4</v>
      </c>
      <c r="G6834" s="2">
        <v>1</v>
      </c>
      <c r="H6834" s="1">
        <v>46044.021863425929</v>
      </c>
      <c r="I6834" s="2">
        <v>1</v>
      </c>
      <c r="J6834" s="1">
        <v>46043.510706018518</v>
      </c>
    </row>
    <row r="6835" spans="1:10" x14ac:dyDescent="0.2">
      <c r="A6835" s="4" t="s">
        <v>1</v>
      </c>
      <c r="B6835" s="3" t="str">
        <f>HYPERLINK("https://otsuka-europe-crm.veevavault.com/ui/#object/approved_document__v/V5OZ04ASG4FWKA9", "Documento Autorizaciขn Centro Empleador")</f>
        <v>Documento Autorizaciขn Centro Empleador</v>
      </c>
      <c r="C6835" s="3" t="str">
        <f>HYPERLINK("https://otsuka-europe-crm.veevavault.com/ui/#object/sent_email__v/VBL000000015261", "SE-001400619")</f>
        <v>SE-001400619</v>
      </c>
      <c r="D6835" s="1">
        <v>46043.511400462965</v>
      </c>
      <c r="E6835" s="2">
        <v>1</v>
      </c>
      <c r="F6835" s="2">
        <v>1</v>
      </c>
      <c r="G6835" s="2">
        <v>1</v>
      </c>
      <c r="H6835" s="1">
        <v>46043.511620370373</v>
      </c>
      <c r="I6835" s="2">
        <v>1</v>
      </c>
      <c r="J6835" s="1">
        <v>46043.511134259257</v>
      </c>
    </row>
    <row r="6836" spans="1:10" x14ac:dyDescent="0.2">
      <c r="A6836" s="4" t="s">
        <v>1</v>
      </c>
      <c r="B6836" s="3" t="str">
        <f>HYPERLINK("https://otsuka-europe-crm.veevavault.com/ui/#object/approved_document__v/V5OZ04ASG4FWKA9", "Documento Autorizaciขn Centro Empleador")</f>
        <v>Documento Autorizaciขn Centro Empleador</v>
      </c>
      <c r="C6836" s="3" t="str">
        <f>HYPERLINK("https://otsuka-europe-crm.veevavault.com/ui/#object/sent_email__v/VBL000000016366", "SE-001400623")</f>
        <v>SE-001400623</v>
      </c>
      <c r="D6836" s="1">
        <v>46043.580300925925</v>
      </c>
      <c r="E6836" s="2">
        <v>1</v>
      </c>
      <c r="F6836" s="2">
        <v>3</v>
      </c>
      <c r="G6836" s="2">
        <v>1</v>
      </c>
      <c r="H6836" s="1">
        <v>46043.58090277778</v>
      </c>
      <c r="I6836" s="2">
        <v>2</v>
      </c>
      <c r="J6836" s="1">
        <v>46043.420798611114</v>
      </c>
    </row>
    <row r="6837" spans="1:10" x14ac:dyDescent="0.2">
      <c r="A6837" s="4" t="s">
        <v>1</v>
      </c>
      <c r="B6837" s="3" t="str">
        <f>HYPERLINK("https://otsuka-europe-crm.veevavault.com/ui/#object/approved_document__v/V5OZ04ASG4FWKA9", "Documento Autorizaciขn Centro Empleador")</f>
        <v>Documento Autorizaciขn Centro Empleador</v>
      </c>
      <c r="C6837" s="3" t="str">
        <f>HYPERLINK("https://otsuka-europe-crm.veevavault.com/ui/#object/sent_email__v/VBL000000016368", "SE-001400625")</f>
        <v>SE-001400625</v>
      </c>
      <c r="D6837" s="1">
        <v>46057.641493055555</v>
      </c>
      <c r="E6837" s="2">
        <v>1</v>
      </c>
      <c r="F6837" s="2">
        <v>5</v>
      </c>
      <c r="G6837" s="2">
        <v>1</v>
      </c>
      <c r="H6837" s="1">
        <v>46043.958935185183</v>
      </c>
      <c r="I6837" s="2">
        <v>2</v>
      </c>
      <c r="J6837" s="1">
        <v>46043.421446759261</v>
      </c>
    </row>
    <row r="6838" spans="1:10" x14ac:dyDescent="0.2">
      <c r="A6838" s="4" t="s">
        <v>1</v>
      </c>
      <c r="B6838" s="3" t="str">
        <f>HYPERLINK("https://otsuka-europe-crm.veevavault.com/ui/#object/approved_document__v/V5OZ04ASG4FWKA9", "Documento Autorizaciขn Centro Empleador")</f>
        <v>Documento Autorizaciขn Centro Empleador</v>
      </c>
      <c r="C6838" s="3" t="str">
        <f>HYPERLINK("https://otsuka-europe-crm.veevavault.com/ui/#object/sent_email__v/VBL000000015262", "SE-001400627")</f>
        <v>SE-001400627</v>
      </c>
      <c r="D6838" s="1">
        <v>46043.466261574074</v>
      </c>
      <c r="E6838" s="2">
        <v>1</v>
      </c>
      <c r="F6838" s="2">
        <v>1</v>
      </c>
      <c r="G6838" s="2">
        <v>0</v>
      </c>
      <c r="H6838" s="1" t="s">
        <v>0</v>
      </c>
      <c r="I6838" s="2">
        <v>0</v>
      </c>
      <c r="J6838" s="1">
        <v>46043.423032407409</v>
      </c>
    </row>
    <row r="6839" spans="1:10" x14ac:dyDescent="0.2">
      <c r="A6839" s="4" t="s">
        <v>1</v>
      </c>
      <c r="B6839" s="3" t="str">
        <f>HYPERLINK("https://otsuka-europe-crm.veevavault.com/ui/#object/approved_document__v/V5OZ04ASG4FWKA9", "Documento Autorizaciขn Centro Empleador")</f>
        <v>Documento Autorizaciขn Centro Empleador</v>
      </c>
      <c r="C6839" s="3" t="str">
        <f>HYPERLINK("https://otsuka-europe-crm.veevavault.com/ui/#object/sent_email__v/VBL000000015263", "SE-001400629")</f>
        <v>SE-001400629</v>
      </c>
      <c r="D6839" s="1" t="s">
        <v>0</v>
      </c>
      <c r="E6839" s="2">
        <v>0</v>
      </c>
      <c r="F6839" s="2">
        <v>0</v>
      </c>
      <c r="G6839" s="2">
        <v>0</v>
      </c>
      <c r="H6839" s="1" t="s">
        <v>0</v>
      </c>
      <c r="I6839" s="2">
        <v>0</v>
      </c>
      <c r="J6839" s="1">
        <v>46043.424050925925</v>
      </c>
    </row>
    <row r="6840" spans="1:10" x14ac:dyDescent="0.2">
      <c r="A6840" s="4" t="s">
        <v>1</v>
      </c>
      <c r="B6840" s="3" t="str">
        <f>HYPERLINK("https://otsuka-europe-crm.veevavault.com/ui/#object/approved_document__v/V5OZ04ASG4FWKA9", "Documento Autorizaciขn Centro Empleador")</f>
        <v>Documento Autorizaciขn Centro Empleador</v>
      </c>
      <c r="C6840" s="3" t="str">
        <f>HYPERLINK("https://otsuka-europe-crm.veevavault.com/ui/#object/sent_email__v/VBL000000015266", "SE-001400632")</f>
        <v>SE-001400632</v>
      </c>
      <c r="D6840" s="1">
        <v>46061.387754629628</v>
      </c>
      <c r="E6840" s="2">
        <v>1</v>
      </c>
      <c r="F6840" s="2">
        <v>2</v>
      </c>
      <c r="G6840" s="2">
        <v>1</v>
      </c>
      <c r="H6840" s="1">
        <v>46043.433854166666</v>
      </c>
      <c r="I6840" s="2">
        <v>1</v>
      </c>
      <c r="J6840" s="1">
        <v>46043.42869212963</v>
      </c>
    </row>
    <row r="6841" spans="1:10" x14ac:dyDescent="0.2">
      <c r="A6841" s="4" t="s">
        <v>1</v>
      </c>
      <c r="B6841" s="3" t="str">
        <f>HYPERLINK("https://otsuka-europe-crm.veevavault.com/ui/#object/approved_document__v/V5OZ04ASG4FWKA9", "Documento Autorizaciขn Centro Empleador")</f>
        <v>Documento Autorizaciขn Centro Empleador</v>
      </c>
      <c r="C6841" s="3" t="str">
        <f>HYPERLINK("https://otsuka-europe-crm.veevavault.com/ui/#object/sent_email__v/VBL000000015267", "SE-001400638")</f>
        <v>SE-001400638</v>
      </c>
      <c r="D6841" s="1">
        <v>46043.549155092594</v>
      </c>
      <c r="E6841" s="2">
        <v>1</v>
      </c>
      <c r="F6841" s="2">
        <v>3</v>
      </c>
      <c r="G6841" s="2">
        <v>1</v>
      </c>
      <c r="H6841" s="1">
        <v>46043.448807870373</v>
      </c>
      <c r="I6841" s="2">
        <v>1</v>
      </c>
      <c r="J6841" s="1">
        <v>46043.445775462962</v>
      </c>
    </row>
    <row r="6842" spans="1:10" x14ac:dyDescent="0.2">
      <c r="A6842" s="4" t="s">
        <v>1</v>
      </c>
      <c r="B6842" s="3" t="str">
        <f>HYPERLINK("https://otsuka-europe-crm.veevavault.com/ui/#object/approved_document__v/V5OZ04ASG4FWKA9", "Documento Autorizaciขn Centro Empleador")</f>
        <v>Documento Autorizaciขn Centro Empleador</v>
      </c>
      <c r="C6842" s="3" t="str">
        <f>HYPERLINK("https://otsuka-europe-crm.veevavault.com/ui/#object/sent_email__v/VBL000000015270", "SE-001400643")</f>
        <v>SE-001400643</v>
      </c>
      <c r="D6842" s="1">
        <v>46044.472129629627</v>
      </c>
      <c r="E6842" s="2">
        <v>1</v>
      </c>
      <c r="F6842" s="2">
        <v>3</v>
      </c>
      <c r="G6842" s="2">
        <v>1</v>
      </c>
      <c r="H6842" s="1">
        <v>46043.754444444443</v>
      </c>
      <c r="I6842" s="2">
        <v>4</v>
      </c>
      <c r="J6842" s="1">
        <v>46043.47078703704</v>
      </c>
    </row>
    <row r="6843" spans="1:10" x14ac:dyDescent="0.2">
      <c r="A6843" s="4" t="s">
        <v>1</v>
      </c>
      <c r="B6843" s="3" t="str">
        <f>HYPERLINK("https://otsuka-europe-crm.veevavault.com/ui/#object/approved_document__v/V5OZ04ASG4FWKA9", "Documento Autorizaciขn Centro Empleador")</f>
        <v>Documento Autorizaciขn Centro Empleador</v>
      </c>
      <c r="C6843" s="3" t="str">
        <f>HYPERLINK("https://otsuka-europe-crm.veevavault.com/ui/#object/sent_email__v/VBL000000016378", "SE-001400644")</f>
        <v>SE-001400644</v>
      </c>
      <c r="D6843" s="1">
        <v>46044.689629629633</v>
      </c>
      <c r="E6843" s="2">
        <v>1</v>
      </c>
      <c r="F6843" s="2">
        <v>2</v>
      </c>
      <c r="G6843" s="2">
        <v>1</v>
      </c>
      <c r="H6843" s="1">
        <v>46044.689675925925</v>
      </c>
      <c r="I6843" s="2">
        <v>5</v>
      </c>
      <c r="J6843" s="1">
        <v>46043.475706018522</v>
      </c>
    </row>
    <row r="6844" spans="1:10" x14ac:dyDescent="0.2">
      <c r="A6844" s="4" t="s">
        <v>1</v>
      </c>
      <c r="B6844" s="3" t="str">
        <f>HYPERLINK("https://otsuka-europe-crm.veevavault.com/ui/#object/approved_document__v/V5OZ04ASG4FWKA9", "Documento Autorizaciขn Centro Empleador")</f>
        <v>Documento Autorizaciขn Centro Empleador</v>
      </c>
      <c r="C6844" s="3" t="str">
        <f>HYPERLINK("https://otsuka-europe-crm.veevavault.com/ui/#object/sent_email__v/VBL000000015274", "SE-001400653")</f>
        <v>SE-001400653</v>
      </c>
      <c r="D6844" s="1">
        <v>46043.901226851849</v>
      </c>
      <c r="E6844" s="2">
        <v>1</v>
      </c>
      <c r="F6844" s="2">
        <v>4</v>
      </c>
      <c r="G6844" s="2">
        <v>1</v>
      </c>
      <c r="H6844" s="1">
        <v>46043.753298611111</v>
      </c>
      <c r="I6844" s="2">
        <v>4</v>
      </c>
      <c r="J6844" s="1">
        <v>46043.515532407408</v>
      </c>
    </row>
    <row r="6845" spans="1:10" x14ac:dyDescent="0.2">
      <c r="A6845" s="4" t="s">
        <v>1</v>
      </c>
      <c r="B6845" s="3" t="str">
        <f>HYPERLINK("https://otsuka-europe-crm.veevavault.com/ui/#object/approved_document__v/V5OZ04ASG4FWKA9", "Documento Autorizaciขn Centro Empleador")</f>
        <v>Documento Autorizaciขn Centro Empleador</v>
      </c>
      <c r="C6845" s="3" t="str">
        <f>HYPERLINK("https://otsuka-europe-crm.veevavault.com/ui/#object/sent_email__v/VBL000000015276", "SE-001400655")</f>
        <v>SE-001400655</v>
      </c>
      <c r="D6845" s="1">
        <v>46044.990266203706</v>
      </c>
      <c r="E6845" s="2">
        <v>1</v>
      </c>
      <c r="F6845" s="2">
        <v>1</v>
      </c>
      <c r="G6845" s="2">
        <v>1</v>
      </c>
      <c r="H6845" s="1">
        <v>46044.990567129629</v>
      </c>
      <c r="I6845" s="2">
        <v>2</v>
      </c>
      <c r="J6845" s="1">
        <v>46043.516712962963</v>
      </c>
    </row>
    <row r="6846" spans="1:10" x14ac:dyDescent="0.2">
      <c r="A6846" s="4" t="s">
        <v>1</v>
      </c>
      <c r="B6846" s="3" t="str">
        <f>HYPERLINK("https://otsuka-europe-crm.veevavault.com/ui/#object/approved_document__v/V5OZ04ASG4FWKA9", "Documento Autorizaciขn Centro Empleador")</f>
        <v>Documento Autorizaciขn Centro Empleador</v>
      </c>
      <c r="C6846" s="3" t="str">
        <f>HYPERLINK("https://otsuka-europe-crm.veevavault.com/ui/#object/sent_email__v/VBL000000015278", "SE-001400657")</f>
        <v>SE-001400657</v>
      </c>
      <c r="D6846" s="1">
        <v>46045.357893518521</v>
      </c>
      <c r="E6846" s="2">
        <v>1</v>
      </c>
      <c r="F6846" s="2">
        <v>3</v>
      </c>
      <c r="G6846" s="2">
        <v>1</v>
      </c>
      <c r="H6846" s="1">
        <v>46043.592662037037</v>
      </c>
      <c r="I6846" s="2">
        <v>1</v>
      </c>
      <c r="J6846" s="1">
        <v>46043.516608796293</v>
      </c>
    </row>
    <row r="6847" spans="1:10" x14ac:dyDescent="0.2">
      <c r="A6847" s="4" t="s">
        <v>1</v>
      </c>
      <c r="B6847" s="3" t="str">
        <f>HYPERLINK("https://otsuka-europe-crm.veevavault.com/ui/#object/approved_document__v/V5OZ04ASG4FWKA9", "Documento Autorizaciขn Centro Empleador")</f>
        <v>Documento Autorizaciขn Centro Empleador</v>
      </c>
      <c r="C6847" s="3" t="str">
        <f>HYPERLINK("https://otsuka-europe-crm.veevavault.com/ui/#object/sent_email__v/VBL000000015280", "SE-001400659")</f>
        <v>SE-001400659</v>
      </c>
      <c r="D6847" s="1">
        <v>46076.736932870372</v>
      </c>
      <c r="E6847" s="2">
        <v>1</v>
      </c>
      <c r="F6847" s="2">
        <v>2</v>
      </c>
      <c r="G6847" s="2">
        <v>0</v>
      </c>
      <c r="H6847" s="1" t="s">
        <v>0</v>
      </c>
      <c r="I6847" s="2">
        <v>0</v>
      </c>
      <c r="J6847" s="1">
        <v>46043.517118055555</v>
      </c>
    </row>
    <row r="6848" spans="1:10" x14ac:dyDescent="0.2">
      <c r="A6848" s="4" t="s">
        <v>1</v>
      </c>
      <c r="B6848" s="3" t="str">
        <f>HYPERLINK("https://otsuka-europe-crm.veevavault.com/ui/#object/approved_document__v/V5OZ04ASG4FWKA9", "Documento Autorizaciขn Centro Empleador")</f>
        <v>Documento Autorizaciขn Centro Empleador</v>
      </c>
      <c r="C6848" s="3" t="str">
        <f>HYPERLINK("https://otsuka-europe-crm.veevavault.com/ui/#object/sent_email__v/VBL000000015285", "SE-001400738")</f>
        <v>SE-001400738</v>
      </c>
      <c r="D6848" s="1">
        <v>46043.726886574077</v>
      </c>
      <c r="E6848" s="2">
        <v>1</v>
      </c>
      <c r="F6848" s="2">
        <v>2</v>
      </c>
      <c r="G6848" s="2">
        <v>1</v>
      </c>
      <c r="H6848" s="1">
        <v>46043.745625000003</v>
      </c>
      <c r="I6848" s="2">
        <v>2</v>
      </c>
      <c r="J6848" s="1">
        <v>46043.619490740741</v>
      </c>
    </row>
    <row r="6849" spans="1:10" x14ac:dyDescent="0.2">
      <c r="A6849" s="4" t="s">
        <v>1</v>
      </c>
      <c r="B6849" s="3" t="str">
        <f>HYPERLINK("https://otsuka-europe-crm.veevavault.com/ui/#object/approved_document__v/V5OZ04ASG4FWKA9", "Documento Autorizaciขn Centro Empleador")</f>
        <v>Documento Autorizaciขn Centro Empleador</v>
      </c>
      <c r="C6849" s="3" t="str">
        <f>HYPERLINK("https://otsuka-europe-crm.veevavault.com/ui/#object/sent_email__v/VBL000000016476", "SE-001400753")</f>
        <v>SE-001400753</v>
      </c>
      <c r="D6849" s="1">
        <v>46044.120057870372</v>
      </c>
      <c r="E6849" s="2">
        <v>1</v>
      </c>
      <c r="F6849" s="2">
        <v>3</v>
      </c>
      <c r="G6849" s="2">
        <v>0</v>
      </c>
      <c r="H6849" s="1" t="s">
        <v>0</v>
      </c>
      <c r="I6849" s="2">
        <v>0</v>
      </c>
      <c r="J6849" s="1">
        <v>46043.946585648147</v>
      </c>
    </row>
    <row r="6850" spans="1:10" x14ac:dyDescent="0.2">
      <c r="A6850" s="4" t="s">
        <v>1</v>
      </c>
      <c r="B6850" s="3" t="str">
        <f>HYPERLINK("https://otsuka-europe-crm.veevavault.com/ui/#object/approved_document__v/V5OZ04ASG4FWKA9", "Documento Autorizaciขn Centro Empleador")</f>
        <v>Documento Autorizaciขn Centro Empleador</v>
      </c>
      <c r="C6850" s="3" t="str">
        <f>HYPERLINK("https://otsuka-europe-crm.veevavault.com/ui/#object/sent_email__v/VBL000000016477", "SE-001400754")</f>
        <v>SE-001400754</v>
      </c>
      <c r="D6850" s="1">
        <v>46043.978067129632</v>
      </c>
      <c r="E6850" s="2">
        <v>1</v>
      </c>
      <c r="F6850" s="2">
        <v>1</v>
      </c>
      <c r="G6850" s="2">
        <v>1</v>
      </c>
      <c r="H6850" s="1">
        <v>46044.518229166664</v>
      </c>
      <c r="I6850" s="2">
        <v>4</v>
      </c>
      <c r="J6850" s="1">
        <v>46043.947534722225</v>
      </c>
    </row>
    <row r="6851" spans="1:10" x14ac:dyDescent="0.2">
      <c r="A6851" s="4" t="s">
        <v>1</v>
      </c>
      <c r="B6851" s="3" t="str">
        <f>HYPERLINK("https://otsuka-europe-crm.veevavault.com/ui/#object/approved_document__v/V5OZ04ASG4FWKA9", "Documento Autorizaciขn Centro Empleador")</f>
        <v>Documento Autorizaciขn Centro Empleador</v>
      </c>
      <c r="C6851" s="3" t="str">
        <f>HYPERLINK("https://otsuka-europe-crm.veevavault.com/ui/#object/sent_email__v/VBL000000016479", "SE-001400760")</f>
        <v>SE-001400760</v>
      </c>
      <c r="D6851" s="1">
        <v>46044.398680555554</v>
      </c>
      <c r="E6851" s="2">
        <v>1</v>
      </c>
      <c r="F6851" s="2">
        <v>1</v>
      </c>
      <c r="G6851" s="2">
        <v>1</v>
      </c>
      <c r="H6851" s="1">
        <v>46044.564340277779</v>
      </c>
      <c r="I6851" s="2">
        <v>3</v>
      </c>
      <c r="J6851" s="1">
        <v>46044.370162037034</v>
      </c>
    </row>
    <row r="6852" spans="1:10" x14ac:dyDescent="0.2">
      <c r="A6852" s="4" t="s">
        <v>1</v>
      </c>
      <c r="B6852" s="3" t="str">
        <f>HYPERLINK("https://otsuka-europe-crm.veevavault.com/ui/#object/approved_document__v/V5OZ04ASG4FWKA9", "Documento Autorizaciขn Centro Empleador")</f>
        <v>Documento Autorizaciขn Centro Empleador</v>
      </c>
      <c r="C6852" s="3" t="str">
        <f>HYPERLINK("https://otsuka-europe-crm.veevavault.com/ui/#object/sent_email__v/VBL000000016483", "SE-001400766")</f>
        <v>SE-001400766</v>
      </c>
      <c r="D6852" s="1">
        <v>46052.403402777774</v>
      </c>
      <c r="E6852" s="2">
        <v>1</v>
      </c>
      <c r="F6852" s="2">
        <v>2</v>
      </c>
      <c r="G6852" s="2">
        <v>0</v>
      </c>
      <c r="H6852" s="1" t="s">
        <v>0</v>
      </c>
      <c r="I6852" s="2">
        <v>0</v>
      </c>
      <c r="J6852" s="1">
        <v>46044.402696759258</v>
      </c>
    </row>
    <row r="6853" spans="1:10" x14ac:dyDescent="0.2">
      <c r="A6853" s="4" t="s">
        <v>1</v>
      </c>
      <c r="B6853" s="3" t="str">
        <f>HYPERLINK("https://otsuka-europe-crm.veevavault.com/ui/#object/approved_document__v/V5OZ04ASG4FWKA9", "Documento Autorizaciขn Centro Empleador")</f>
        <v>Documento Autorizaciขn Centro Empleador</v>
      </c>
      <c r="C6853" s="3" t="str">
        <f>HYPERLINK("https://otsuka-europe-crm.veevavault.com/ui/#object/sent_email__v/VBL000000016491", "SE-001400769")</f>
        <v>SE-001400769</v>
      </c>
      <c r="D6853" s="1">
        <v>46044.519189814811</v>
      </c>
      <c r="E6853" s="2">
        <v>1</v>
      </c>
      <c r="F6853" s="2">
        <v>2</v>
      </c>
      <c r="G6853" s="2">
        <v>1</v>
      </c>
      <c r="H6853" s="1">
        <v>46044.42459490741</v>
      </c>
      <c r="I6853" s="2">
        <v>1</v>
      </c>
      <c r="J6853" s="1">
        <v>46044.421979166669</v>
      </c>
    </row>
    <row r="6854" spans="1:10" x14ac:dyDescent="0.2">
      <c r="A6854" s="4" t="s">
        <v>1</v>
      </c>
      <c r="B6854" s="3" t="str">
        <f>HYPERLINK("https://otsuka-europe-crm.veevavault.com/ui/#object/approved_document__v/V5OZ04ASG4FWKA9", "Documento Autorizaciขn Centro Empleador")</f>
        <v>Documento Autorizaciขn Centro Empleador</v>
      </c>
      <c r="C6854" s="3" t="str">
        <f>HYPERLINK("https://otsuka-europe-crm.veevavault.com/ui/#object/sent_email__v/VBL000000016492", "SE-001400770")</f>
        <v>SE-001400770</v>
      </c>
      <c r="D6854" s="1">
        <v>46044.423414351855</v>
      </c>
      <c r="E6854" s="2">
        <v>1</v>
      </c>
      <c r="F6854" s="2">
        <v>1</v>
      </c>
      <c r="G6854" s="2">
        <v>1</v>
      </c>
      <c r="H6854" s="1">
        <v>46044.423692129632</v>
      </c>
      <c r="I6854" s="2">
        <v>1</v>
      </c>
      <c r="J6854" s="1">
        <v>46044.422546296293</v>
      </c>
    </row>
    <row r="6855" spans="1:10" x14ac:dyDescent="0.2">
      <c r="A6855" s="4" t="s">
        <v>1</v>
      </c>
      <c r="B6855" s="3" t="str">
        <f>HYPERLINK("https://otsuka-europe-crm.veevavault.com/ui/#object/approved_document__v/V5OZ04ASG4FWKA9", "Documento Autorizaciขn Centro Empleador")</f>
        <v>Documento Autorizaciขn Centro Empleador</v>
      </c>
      <c r="C6855" s="3" t="str">
        <f>HYPERLINK("https://otsuka-europe-crm.veevavault.com/ui/#object/sent_email__v/VBL000000016497", "SE-001400777")</f>
        <v>SE-001400777</v>
      </c>
      <c r="D6855" s="1">
        <v>46044.585231481484</v>
      </c>
      <c r="E6855" s="2">
        <v>1</v>
      </c>
      <c r="F6855" s="2">
        <v>2</v>
      </c>
      <c r="G6855" s="2">
        <v>1</v>
      </c>
      <c r="H6855" s="1">
        <v>46044.585277777776</v>
      </c>
      <c r="I6855" s="2">
        <v>1</v>
      </c>
      <c r="J6855" s="1">
        <v>46044.466631944444</v>
      </c>
    </row>
    <row r="6856" spans="1:10" x14ac:dyDescent="0.2">
      <c r="A6856" s="4" t="s">
        <v>1</v>
      </c>
      <c r="B6856" s="3" t="str">
        <f>HYPERLINK("https://otsuka-europe-crm.veevavault.com/ui/#object/approved_document__v/V5OZ04ASG4FWKA9", "Documento Autorizaciขn Centro Empleador")</f>
        <v>Documento Autorizaciขn Centro Empleador</v>
      </c>
      <c r="C6856" s="3" t="str">
        <f>HYPERLINK("https://otsuka-europe-crm.veevavault.com/ui/#object/sent_email__v/VBL000000016499", "SE-001400780")</f>
        <v>SE-001400780</v>
      </c>
      <c r="D6856" s="1" t="s">
        <v>0</v>
      </c>
      <c r="E6856" s="2">
        <v>0</v>
      </c>
      <c r="F6856" s="2">
        <v>0</v>
      </c>
      <c r="G6856" s="2">
        <v>0</v>
      </c>
      <c r="H6856" s="1" t="s">
        <v>0</v>
      </c>
      <c r="I6856" s="2">
        <v>0</v>
      </c>
      <c r="J6856" s="1">
        <v>46044.472326388888</v>
      </c>
    </row>
    <row r="6857" spans="1:10" x14ac:dyDescent="0.2">
      <c r="A6857" s="4" t="s">
        <v>1</v>
      </c>
      <c r="B6857" s="3" t="str">
        <f>HYPERLINK("https://otsuka-europe-crm.veevavault.com/ui/#object/approved_document__v/V5OZ04ASG4FWKA9", "Documento Autorizaciขn Centro Empleador")</f>
        <v>Documento Autorizaciขn Centro Empleador</v>
      </c>
      <c r="C6857" s="3" t="str">
        <f>HYPERLINK("https://otsuka-europe-crm.veevavault.com/ui/#object/sent_email__v/VBL000000015298", "SE-001400781")</f>
        <v>SE-001400781</v>
      </c>
      <c r="D6857" s="1">
        <v>46045.717233796298</v>
      </c>
      <c r="E6857" s="2">
        <v>1</v>
      </c>
      <c r="F6857" s="2">
        <v>1</v>
      </c>
      <c r="G6857" s="2">
        <v>1</v>
      </c>
      <c r="H6857" s="1">
        <v>46045.717361111114</v>
      </c>
      <c r="I6857" s="2">
        <v>3</v>
      </c>
      <c r="J6857" s="1">
        <v>46044.477511574078</v>
      </c>
    </row>
    <row r="6858" spans="1:10" x14ac:dyDescent="0.2">
      <c r="A6858" s="4" t="s">
        <v>1</v>
      </c>
      <c r="B6858" s="3" t="str">
        <f>HYPERLINK("https://otsuka-europe-crm.veevavault.com/ui/#object/approved_document__v/V5OZ04ASG4FWKA9", "Documento Autorizaciขn Centro Empleador")</f>
        <v>Documento Autorizaciขn Centro Empleador</v>
      </c>
      <c r="C6858" s="3" t="str">
        <f>HYPERLINK("https://otsuka-europe-crm.veevavault.com/ui/#object/sent_email__v/VBL000000015300", "SE-001400784")</f>
        <v>SE-001400784</v>
      </c>
      <c r="D6858" s="1">
        <v>46044.499583333331</v>
      </c>
      <c r="E6858" s="2">
        <v>1</v>
      </c>
      <c r="F6858" s="2">
        <v>1</v>
      </c>
      <c r="G6858" s="2">
        <v>1</v>
      </c>
      <c r="H6858" s="1">
        <v>46068.877939814818</v>
      </c>
      <c r="I6858" s="2">
        <v>8</v>
      </c>
      <c r="J6858" s="1">
        <v>46044.498518518521</v>
      </c>
    </row>
    <row r="6859" spans="1:10" x14ac:dyDescent="0.2">
      <c r="A6859" s="4" t="s">
        <v>1</v>
      </c>
      <c r="B6859" s="3" t="str">
        <f>HYPERLINK("https://otsuka-europe-crm.veevavault.com/ui/#object/approved_document__v/V5OZ04ASG4FWKA9", "Documento Autorizaciขn Centro Empleador")</f>
        <v>Documento Autorizaciขn Centro Empleador</v>
      </c>
      <c r="C6859" s="3" t="str">
        <f>HYPERLINK("https://otsuka-europe-crm.veevavault.com/ui/#object/sent_email__v/VBL000000016503", "SE-001400787")</f>
        <v>SE-001400787</v>
      </c>
      <c r="D6859" s="1">
        <v>46044.759479166663</v>
      </c>
      <c r="E6859" s="2">
        <v>1</v>
      </c>
      <c r="F6859" s="2">
        <v>2</v>
      </c>
      <c r="G6859" s="2">
        <v>0</v>
      </c>
      <c r="H6859" s="1" t="s">
        <v>0</v>
      </c>
      <c r="I6859" s="2">
        <v>0</v>
      </c>
      <c r="J6859" s="1">
        <v>46044.505370370367</v>
      </c>
    </row>
    <row r="6860" spans="1:10" x14ac:dyDescent="0.2">
      <c r="A6860" s="4" t="s">
        <v>1</v>
      </c>
      <c r="B6860" s="3" t="str">
        <f>HYPERLINK("https://otsuka-europe-crm.veevavault.com/ui/#object/approved_document__v/V5OZ04ASG4FWKA9", "Documento Autorizaciขn Centro Empleador")</f>
        <v>Documento Autorizaciขn Centro Empleador</v>
      </c>
      <c r="C6860" s="3" t="str">
        <f>HYPERLINK("https://otsuka-europe-crm.veevavault.com/ui/#object/sent_email__v/VBL000000016505", "SE-001400789")</f>
        <v>SE-001400789</v>
      </c>
      <c r="D6860" s="1">
        <v>46044.716423611113</v>
      </c>
      <c r="E6860" s="2">
        <v>1</v>
      </c>
      <c r="F6860" s="2">
        <v>2</v>
      </c>
      <c r="G6860" s="2">
        <v>1</v>
      </c>
      <c r="H6860" s="1">
        <v>46044.716585648152</v>
      </c>
      <c r="I6860" s="2">
        <v>1</v>
      </c>
      <c r="J6860" s="1">
        <v>46044.506168981483</v>
      </c>
    </row>
    <row r="6861" spans="1:10" x14ac:dyDescent="0.2">
      <c r="A6861" s="4" t="s">
        <v>1</v>
      </c>
      <c r="B6861" s="3" t="str">
        <f>HYPERLINK("https://otsuka-europe-crm.veevavault.com/ui/#object/approved_document__v/V5OZ04ASG4FWKA9", "Documento Autorizaciขn Centro Empleador")</f>
        <v>Documento Autorizaciขn Centro Empleador</v>
      </c>
      <c r="C6861" s="3" t="str">
        <f>HYPERLINK("https://otsuka-europe-crm.veevavault.com/ui/#object/sent_email__v/VBL000000016506", "SE-001400790")</f>
        <v>SE-001400790</v>
      </c>
      <c r="D6861" s="1">
        <v>46046.337326388886</v>
      </c>
      <c r="E6861" s="2">
        <v>1</v>
      </c>
      <c r="F6861" s="2">
        <v>2</v>
      </c>
      <c r="G6861" s="2">
        <v>1</v>
      </c>
      <c r="H6861" s="1">
        <v>46044.522141203706</v>
      </c>
      <c r="I6861" s="2">
        <v>1</v>
      </c>
      <c r="J6861" s="1">
        <v>46044.506712962961</v>
      </c>
    </row>
    <row r="6862" spans="1:10" x14ac:dyDescent="0.2">
      <c r="A6862" s="4" t="s">
        <v>1</v>
      </c>
      <c r="B6862" s="3" t="str">
        <f>HYPERLINK("https://otsuka-europe-crm.veevavault.com/ui/#object/approved_document__v/V5OZ04ASG4FWKA9", "Documento Autorizaciขn Centro Empleador")</f>
        <v>Documento Autorizaciขn Centro Empleador</v>
      </c>
      <c r="C6862" s="3" t="str">
        <f>HYPERLINK("https://otsuka-europe-crm.veevavault.com/ui/#object/sent_email__v/VBL000000016507", "SE-001400791")</f>
        <v>SE-001400791</v>
      </c>
      <c r="D6862" s="1">
        <v>46044.705300925925</v>
      </c>
      <c r="E6862" s="2">
        <v>1</v>
      </c>
      <c r="F6862" s="2">
        <v>1</v>
      </c>
      <c r="G6862" s="2">
        <v>1</v>
      </c>
      <c r="H6862" s="1">
        <v>46044.705960648149</v>
      </c>
      <c r="I6862" s="2">
        <v>2</v>
      </c>
      <c r="J6862" s="1">
        <v>46044.507372685184</v>
      </c>
    </row>
    <row r="6863" spans="1:10" x14ac:dyDescent="0.2">
      <c r="A6863" s="4" t="s">
        <v>1</v>
      </c>
      <c r="B6863" s="3" t="str">
        <f>HYPERLINK("https://otsuka-europe-crm.veevavault.com/ui/#object/approved_document__v/V5OZ04ASG4FWKA9", "Documento Autorizaciขn Centro Empleador")</f>
        <v>Documento Autorizaciขn Centro Empleador</v>
      </c>
      <c r="C6863" s="3" t="str">
        <f>HYPERLINK("https://otsuka-europe-crm.veevavault.com/ui/#object/sent_email__v/VBL000000016508", "SE-001400792")</f>
        <v>SE-001400792</v>
      </c>
      <c r="D6863" s="1">
        <v>46045.800254629627</v>
      </c>
      <c r="E6863" s="2">
        <v>1</v>
      </c>
      <c r="F6863" s="2">
        <v>4</v>
      </c>
      <c r="G6863" s="2">
        <v>1</v>
      </c>
      <c r="H6863" s="1">
        <v>46044.832627314812</v>
      </c>
      <c r="I6863" s="2">
        <v>3</v>
      </c>
      <c r="J6863" s="1">
        <v>46044.507939814815</v>
      </c>
    </row>
    <row r="6864" spans="1:10" x14ac:dyDescent="0.2">
      <c r="A6864" s="4" t="s">
        <v>1</v>
      </c>
      <c r="B6864" s="3" t="str">
        <f>HYPERLINK("https://otsuka-europe-crm.veevavault.com/ui/#object/approved_document__v/V5OZ04ASG4FWKA9", "Documento Autorizaciขn Centro Empleador")</f>
        <v>Documento Autorizaciขn Centro Empleador</v>
      </c>
      <c r="C6864" s="3" t="str">
        <f>HYPERLINK("https://otsuka-europe-crm.veevavault.com/ui/#object/sent_email__v/VBL000000016511", "SE-001400795")</f>
        <v>SE-001400795</v>
      </c>
      <c r="D6864" s="1">
        <v>46044.509513888886</v>
      </c>
      <c r="E6864" s="2">
        <v>1</v>
      </c>
      <c r="F6864" s="2">
        <v>2</v>
      </c>
      <c r="G6864" s="2">
        <v>1</v>
      </c>
      <c r="H6864" s="1">
        <v>46044.509618055556</v>
      </c>
      <c r="I6864" s="2">
        <v>1</v>
      </c>
      <c r="J6864" s="1">
        <v>46044.508750000001</v>
      </c>
    </row>
    <row r="6865" spans="1:10" x14ac:dyDescent="0.2">
      <c r="A6865" s="4" t="s">
        <v>1</v>
      </c>
      <c r="B6865" s="3" t="str">
        <f>HYPERLINK("https://otsuka-europe-crm.veevavault.com/ui/#object/approved_document__v/V5OZ04ASG4FWKA9", "Documento Autorizaciขn Centro Empleador")</f>
        <v>Documento Autorizaciขn Centro Empleador</v>
      </c>
      <c r="C6865" s="3" t="str">
        <f>HYPERLINK("https://otsuka-europe-crm.veevavault.com/ui/#object/sent_email__v/VBL000000015303", "SE-001400800")</f>
        <v>SE-001400800</v>
      </c>
      <c r="D6865" s="1">
        <v>46047.783518518518</v>
      </c>
      <c r="E6865" s="2">
        <v>1</v>
      </c>
      <c r="F6865" s="2">
        <v>1</v>
      </c>
      <c r="G6865" s="2">
        <v>1</v>
      </c>
      <c r="H6865" s="1">
        <v>46047.783518518518</v>
      </c>
      <c r="I6865" s="2">
        <v>1</v>
      </c>
      <c r="J6865" s="1">
        <v>46044.535104166665</v>
      </c>
    </row>
    <row r="6866" spans="1:10" x14ac:dyDescent="0.2">
      <c r="A6866" s="4" t="s">
        <v>1</v>
      </c>
      <c r="B6866" s="3" t="str">
        <f>HYPERLINK("https://otsuka-europe-crm.veevavault.com/ui/#object/approved_document__v/V5OZ04ASG4FWKA9", "Documento Autorizaciขn Centro Empleador")</f>
        <v>Documento Autorizaciขn Centro Empleador</v>
      </c>
      <c r="C6866" s="3" t="str">
        <f>HYPERLINK("https://otsuka-europe-crm.veevavault.com/ui/#object/sent_email__v/VBL000000015305", "SE-001400804")</f>
        <v>SE-001400804</v>
      </c>
      <c r="D6866" s="1">
        <v>46045.47792824074</v>
      </c>
      <c r="E6866" s="2">
        <v>1</v>
      </c>
      <c r="F6866" s="2">
        <v>1</v>
      </c>
      <c r="G6866" s="2">
        <v>1</v>
      </c>
      <c r="H6866" s="1">
        <v>46045.47792824074</v>
      </c>
      <c r="I6866" s="2">
        <v>1</v>
      </c>
      <c r="J6866" s="1">
        <v>46044.535879629628</v>
      </c>
    </row>
    <row r="6867" spans="1:10" x14ac:dyDescent="0.2">
      <c r="A6867" s="4" t="s">
        <v>1</v>
      </c>
      <c r="B6867" s="3" t="str">
        <f>HYPERLINK("https://otsuka-europe-crm.veevavault.com/ui/#object/approved_document__v/V5OZ04ASG4FWKA9", "Documento Autorizaciขn Centro Empleador")</f>
        <v>Documento Autorizaciขn Centro Empleador</v>
      </c>
      <c r="C6867" s="3" t="str">
        <f>HYPERLINK("https://otsuka-europe-crm.veevavault.com/ui/#object/sent_email__v/VBL000000015306", "SE-001400806")</f>
        <v>SE-001400806</v>
      </c>
      <c r="D6867" s="1">
        <v>46044.675335648149</v>
      </c>
      <c r="E6867" s="2">
        <v>1</v>
      </c>
      <c r="F6867" s="2">
        <v>1</v>
      </c>
      <c r="G6867" s="2">
        <v>1</v>
      </c>
      <c r="H6867" s="1">
        <v>46044.676122685189</v>
      </c>
      <c r="I6867" s="2">
        <v>2</v>
      </c>
      <c r="J6867" s="1">
        <v>46044.536550925928</v>
      </c>
    </row>
    <row r="6868" spans="1:10" x14ac:dyDescent="0.2">
      <c r="A6868" s="4" t="s">
        <v>1</v>
      </c>
      <c r="B6868" s="3" t="str">
        <f>HYPERLINK("https://otsuka-europe-crm.veevavault.com/ui/#object/approved_document__v/V5OZ04ASG4FWKA9", "Documento Autorizaciขn Centro Empleador")</f>
        <v>Documento Autorizaciขn Centro Empleador</v>
      </c>
      <c r="C6868" s="3" t="str">
        <f>HYPERLINK("https://otsuka-europe-crm.veevavault.com/ui/#object/sent_email__v/VBL000000016518", "SE-001400810")</f>
        <v>SE-001400810</v>
      </c>
      <c r="D6868" s="1">
        <v>46067.517847222225</v>
      </c>
      <c r="E6868" s="2">
        <v>1</v>
      </c>
      <c r="F6868" s="2">
        <v>5</v>
      </c>
      <c r="G6868" s="2">
        <v>1</v>
      </c>
      <c r="H6868" s="1">
        <v>46044.605428240742</v>
      </c>
      <c r="I6868" s="2">
        <v>3</v>
      </c>
      <c r="J6868" s="1">
        <v>46044.554780092592</v>
      </c>
    </row>
    <row r="6869" spans="1:10" x14ac:dyDescent="0.2">
      <c r="A6869" s="4" t="s">
        <v>1</v>
      </c>
      <c r="B6869" s="3" t="str">
        <f>HYPERLINK("https://otsuka-europe-crm.veevavault.com/ui/#object/approved_document__v/V5OZ04ASG4FWKA9", "Documento Autorizaciขn Centro Empleador")</f>
        <v>Documento Autorizaciขn Centro Empleador</v>
      </c>
      <c r="C6869" s="3" t="str">
        <f>HYPERLINK("https://otsuka-europe-crm.veevavault.com/ui/#object/sent_email__v/VBL000000016523", "SE-001400817")</f>
        <v>SE-001400817</v>
      </c>
      <c r="D6869" s="1">
        <v>46048.318923611114</v>
      </c>
      <c r="E6869" s="2">
        <v>1</v>
      </c>
      <c r="F6869" s="2">
        <v>2</v>
      </c>
      <c r="G6869" s="2">
        <v>1</v>
      </c>
      <c r="H6869" s="1">
        <v>46048.31863425926</v>
      </c>
      <c r="I6869" s="2">
        <v>1</v>
      </c>
      <c r="J6869" s="1">
        <v>46044.592280092591</v>
      </c>
    </row>
    <row r="6870" spans="1:10" x14ac:dyDescent="0.2">
      <c r="A6870" s="4" t="s">
        <v>1</v>
      </c>
      <c r="B6870" s="3" t="str">
        <f>HYPERLINK("https://otsuka-europe-crm.veevavault.com/ui/#object/approved_document__v/V5OZ04ASG4FWKA9", "Documento Autorizaciขn Centro Empleador")</f>
        <v>Documento Autorizaciขn Centro Empleador</v>
      </c>
      <c r="C6870" s="3" t="str">
        <f>HYPERLINK("https://otsuka-europe-crm.veevavault.com/ui/#object/sent_email__v/VBL000000015313", "SE-001400823")</f>
        <v>SE-001400823</v>
      </c>
      <c r="D6870" s="1">
        <v>46066.562118055554</v>
      </c>
      <c r="E6870" s="2">
        <v>1</v>
      </c>
      <c r="F6870" s="2">
        <v>2</v>
      </c>
      <c r="G6870" s="2">
        <v>0</v>
      </c>
      <c r="H6870" s="1" t="s">
        <v>0</v>
      </c>
      <c r="I6870" s="2">
        <v>0</v>
      </c>
      <c r="J6870" s="1">
        <v>46044.662187499998</v>
      </c>
    </row>
    <row r="6871" spans="1:10" x14ac:dyDescent="0.2">
      <c r="A6871" s="4" t="s">
        <v>1</v>
      </c>
      <c r="B6871" s="3" t="str">
        <f>HYPERLINK("https://otsuka-europe-crm.veevavault.com/ui/#object/approved_document__v/V5OZ04ASG4FWKA9", "Documento Autorizaciขn Centro Empleador")</f>
        <v>Documento Autorizaciขn Centro Empleador</v>
      </c>
      <c r="C6871" s="3" t="str">
        <f>HYPERLINK("https://otsuka-europe-crm.veevavault.com/ui/#object/sent_email__v/VBL000000016529", "SE-001400828")</f>
        <v>SE-001400828</v>
      </c>
      <c r="D6871" s="1">
        <v>46044.668124999997</v>
      </c>
      <c r="E6871" s="2">
        <v>1</v>
      </c>
      <c r="F6871" s="2">
        <v>1</v>
      </c>
      <c r="G6871" s="2">
        <v>0</v>
      </c>
      <c r="H6871" s="1" t="s">
        <v>0</v>
      </c>
      <c r="I6871" s="2">
        <v>0</v>
      </c>
      <c r="J6871" s="1">
        <v>46044.666087962964</v>
      </c>
    </row>
    <row r="6872" spans="1:10" x14ac:dyDescent="0.2">
      <c r="A6872" s="4" t="s">
        <v>1</v>
      </c>
      <c r="B6872" s="3" t="str">
        <f>HYPERLINK("https://otsuka-europe-crm.veevavault.com/ui/#object/approved_document__v/V5OZ04ASG4FWKA9", "Documento Autorizaciขn Centro Empleador")</f>
        <v>Documento Autorizaciขn Centro Empleador</v>
      </c>
      <c r="C6872" s="3" t="str">
        <f>HYPERLINK("https://otsuka-europe-crm.veevavault.com/ui/#object/sent_email__v/VBL000000016535", "SE-001400836")</f>
        <v>SE-001400836</v>
      </c>
      <c r="D6872" s="1">
        <v>46045.019733796296</v>
      </c>
      <c r="E6872" s="2">
        <v>1</v>
      </c>
      <c r="F6872" s="2">
        <v>2</v>
      </c>
      <c r="G6872" s="2">
        <v>1</v>
      </c>
      <c r="H6872" s="1">
        <v>46044.904398148145</v>
      </c>
      <c r="I6872" s="2">
        <v>1</v>
      </c>
      <c r="J6872" s="1">
        <v>46044.903402777774</v>
      </c>
    </row>
    <row r="6873" spans="1:10" x14ac:dyDescent="0.2">
      <c r="A6873" s="4" t="s">
        <v>1</v>
      </c>
      <c r="B6873" s="3" t="str">
        <f>HYPERLINK("https://otsuka-europe-crm.veevavault.com/ui/#object/approved_document__v/V5OZ04ASG4FWKA9", "Documento Autorizaciขn Centro Empleador")</f>
        <v>Documento Autorizaciขn Centro Empleador</v>
      </c>
      <c r="C6873" s="3" t="str">
        <f>HYPERLINK("https://otsuka-europe-crm.veevavault.com/ui/#object/sent_email__v/VBL000000016537", "SE-001400840")</f>
        <v>SE-001400840</v>
      </c>
      <c r="D6873" s="1" t="s">
        <v>0</v>
      </c>
      <c r="E6873" s="2">
        <v>0</v>
      </c>
      <c r="F6873" s="2">
        <v>0</v>
      </c>
      <c r="G6873" s="2">
        <v>0</v>
      </c>
      <c r="H6873" s="1" t="s">
        <v>0</v>
      </c>
      <c r="I6873" s="2">
        <v>0</v>
      </c>
      <c r="J6873" s="1">
        <v>46045.344537037039</v>
      </c>
    </row>
    <row r="6874" spans="1:10" x14ac:dyDescent="0.2">
      <c r="A6874" s="4" t="s">
        <v>1</v>
      </c>
      <c r="B6874" s="3" t="str">
        <f>HYPERLINK("https://otsuka-europe-crm.veevavault.com/ui/#object/approved_document__v/V5OZ04ASG4FWKA9", "Documento Autorizaciขn Centro Empleador")</f>
        <v>Documento Autorizaciขn Centro Empleador</v>
      </c>
      <c r="C6874" s="3" t="str">
        <f>HYPERLINK("https://otsuka-europe-crm.veevavault.com/ui/#object/sent_email__v/VBL000000016543", "SE-001400850")</f>
        <v>SE-001400850</v>
      </c>
      <c r="D6874" s="1">
        <v>46047.859166666669</v>
      </c>
      <c r="E6874" s="2">
        <v>1</v>
      </c>
      <c r="F6874" s="2">
        <v>2</v>
      </c>
      <c r="G6874" s="2">
        <v>1</v>
      </c>
      <c r="H6874" s="1">
        <v>46045.414236111108</v>
      </c>
      <c r="I6874" s="2">
        <v>1</v>
      </c>
      <c r="J6874" s="1">
        <v>46045.40693287037</v>
      </c>
    </row>
    <row r="6875" spans="1:10" x14ac:dyDescent="0.2">
      <c r="A6875" s="4" t="s">
        <v>1</v>
      </c>
      <c r="B6875" s="3" t="str">
        <f>HYPERLINK("https://otsuka-europe-crm.veevavault.com/ui/#object/approved_document__v/V5OZ04ASG4FWKA9", "Documento Autorizaciขn Centro Empleador")</f>
        <v>Documento Autorizaciขn Centro Empleador</v>
      </c>
      <c r="C6875" s="3" t="str">
        <f>HYPERLINK("https://otsuka-europe-crm.veevavault.com/ui/#object/sent_email__v/VBL000000016544", "SE-001400851")</f>
        <v>SE-001400851</v>
      </c>
      <c r="D6875" s="1">
        <v>46045.43273148148</v>
      </c>
      <c r="E6875" s="2">
        <v>1</v>
      </c>
      <c r="F6875" s="2">
        <v>2</v>
      </c>
      <c r="G6875" s="2">
        <v>1</v>
      </c>
      <c r="H6875" s="1">
        <v>46045.43273148148</v>
      </c>
      <c r="I6875" s="2">
        <v>1</v>
      </c>
      <c r="J6875" s="1">
        <v>46045.417951388888</v>
      </c>
    </row>
    <row r="6876" spans="1:10" x14ac:dyDescent="0.2">
      <c r="A6876" s="4" t="s">
        <v>1</v>
      </c>
      <c r="B6876" s="3" t="str">
        <f>HYPERLINK("https://otsuka-europe-crm.veevavault.com/ui/#object/approved_document__v/V5OZ04ASG4FWKA9", "Documento Autorizaciขn Centro Empleador")</f>
        <v>Documento Autorizaciขn Centro Empleador</v>
      </c>
      <c r="C6876" s="3" t="str">
        <f>HYPERLINK("https://otsuka-europe-crm.veevavault.com/ui/#object/sent_email__v/VBL000000016595", "SE-001400912")</f>
        <v>SE-001400912</v>
      </c>
      <c r="D6876" s="1">
        <v>46065.605474537035</v>
      </c>
      <c r="E6876" s="2">
        <v>1</v>
      </c>
      <c r="F6876" s="2">
        <v>1</v>
      </c>
      <c r="G6876" s="2">
        <v>0</v>
      </c>
      <c r="H6876" s="1" t="s">
        <v>0</v>
      </c>
      <c r="I6876" s="2">
        <v>0</v>
      </c>
      <c r="J6876" s="1">
        <v>46048.384027777778</v>
      </c>
    </row>
    <row r="6877" spans="1:10" x14ac:dyDescent="0.2">
      <c r="A6877" s="4" t="s">
        <v>1</v>
      </c>
      <c r="B6877" s="3" t="str">
        <f>HYPERLINK("https://otsuka-europe-crm.veevavault.com/ui/#object/approved_document__v/V5OZ04ASG4FWKA9", "Documento Autorizaciขn Centro Empleador")</f>
        <v>Documento Autorizaciขn Centro Empleador</v>
      </c>
      <c r="C6877" s="3" t="str">
        <f>HYPERLINK("https://otsuka-europe-crm.veevavault.com/ui/#object/sent_email__v/VBL000000015345", "SE-001400916")</f>
        <v>SE-001400916</v>
      </c>
      <c r="D6877" s="1">
        <v>46048.857291666667</v>
      </c>
      <c r="E6877" s="2">
        <v>1</v>
      </c>
      <c r="F6877" s="2">
        <v>2</v>
      </c>
      <c r="G6877" s="2">
        <v>1</v>
      </c>
      <c r="H6877" s="1">
        <v>46048.857453703706</v>
      </c>
      <c r="I6877" s="2">
        <v>2</v>
      </c>
      <c r="J6877" s="1">
        <v>46048.394583333335</v>
      </c>
    </row>
    <row r="6878" spans="1:10" x14ac:dyDescent="0.2">
      <c r="A6878" s="4" t="s">
        <v>1</v>
      </c>
      <c r="B6878" s="3" t="str">
        <f>HYPERLINK("https://otsuka-europe-crm.veevavault.com/ui/#object/approved_document__v/V5OZ04ASG4FWKA9", "Documento Autorizaciขn Centro Empleador")</f>
        <v>Documento Autorizaciขn Centro Empleador</v>
      </c>
      <c r="C6878" s="3" t="str">
        <f>HYPERLINK("https://otsuka-europe-crm.veevavault.com/ui/#object/sent_email__v/VBL000000015347", "SE-001400926")</f>
        <v>SE-001400926</v>
      </c>
      <c r="D6878" s="1">
        <v>46074.360879629632</v>
      </c>
      <c r="E6878" s="2">
        <v>1</v>
      </c>
      <c r="F6878" s="2">
        <v>6</v>
      </c>
      <c r="G6878" s="2">
        <v>1</v>
      </c>
      <c r="H6878" s="1">
        <v>46048.458344907405</v>
      </c>
      <c r="I6878" s="2">
        <v>12</v>
      </c>
      <c r="J6878" s="1">
        <v>46048.430289351854</v>
      </c>
    </row>
    <row r="6879" spans="1:10" x14ac:dyDescent="0.2">
      <c r="A6879" s="4" t="s">
        <v>1</v>
      </c>
      <c r="B6879" s="3" t="str">
        <f>HYPERLINK("https://otsuka-europe-crm.veevavault.com/ui/#object/approved_document__v/V5OZ04ASG4FWKA9", "Documento Autorizaciขn Centro Empleador")</f>
        <v>Documento Autorizaciขn Centro Empleador</v>
      </c>
      <c r="C6879" s="3" t="str">
        <f>HYPERLINK("https://otsuka-europe-crm.veevavault.com/ui/#object/sent_email__v/VBL000000015359", "SE-001400942")</f>
        <v>SE-001400942</v>
      </c>
      <c r="D6879" s="1" t="s">
        <v>0</v>
      </c>
      <c r="E6879" s="2">
        <v>0</v>
      </c>
      <c r="F6879" s="2">
        <v>0</v>
      </c>
      <c r="G6879" s="2">
        <v>0</v>
      </c>
      <c r="H6879" s="1" t="s">
        <v>0</v>
      </c>
      <c r="I6879" s="2">
        <v>0</v>
      </c>
      <c r="J6879" s="1">
        <v>46048.503333333334</v>
      </c>
    </row>
    <row r="6880" spans="1:10" x14ac:dyDescent="0.2">
      <c r="A6880" s="4" t="s">
        <v>1</v>
      </c>
      <c r="B6880" s="3" t="str">
        <f>HYPERLINK("https://otsuka-europe-crm.veevavault.com/ui/#object/approved_document__v/V5OZ04ASG4FWKA9", "Documento Autorizaciขn Centro Empleador")</f>
        <v>Documento Autorizaciขn Centro Empleador</v>
      </c>
      <c r="C6880" s="3" t="str">
        <f>HYPERLINK("https://otsuka-europe-crm.veevavault.com/ui/#object/sent_email__v/VBL000000015365", "SE-001400951")</f>
        <v>SE-001400951</v>
      </c>
      <c r="D6880" s="1" t="s">
        <v>0</v>
      </c>
      <c r="E6880" s="2">
        <v>0</v>
      </c>
      <c r="F6880" s="2">
        <v>0</v>
      </c>
      <c r="G6880" s="2">
        <v>0</v>
      </c>
      <c r="H6880" s="1" t="s">
        <v>0</v>
      </c>
      <c r="I6880" s="2">
        <v>0</v>
      </c>
      <c r="J6880" s="1">
        <v>46048.560370370367</v>
      </c>
    </row>
    <row r="6881" spans="1:10" x14ac:dyDescent="0.2">
      <c r="A6881" s="4" t="s">
        <v>1</v>
      </c>
      <c r="B6881" s="3" t="str">
        <f>HYPERLINK("https://otsuka-europe-crm.veevavault.com/ui/#object/approved_document__v/V5OZ04ASG4FWKA9", "Documento Autorizaciขn Centro Empleador")</f>
        <v>Documento Autorizaciขn Centro Empleador</v>
      </c>
      <c r="C6881" s="3" t="str">
        <f>HYPERLINK("https://otsuka-europe-crm.veevavault.com/ui/#object/sent_email__v/VBL000000015393", "SE-001401097")</f>
        <v>SE-001401097</v>
      </c>
      <c r="D6881" s="1">
        <v>46050.330671296295</v>
      </c>
      <c r="E6881" s="2">
        <v>1</v>
      </c>
      <c r="F6881" s="2">
        <v>5</v>
      </c>
      <c r="G6881" s="2">
        <v>1</v>
      </c>
      <c r="H6881" s="1">
        <v>46048.717951388891</v>
      </c>
      <c r="I6881" s="2">
        <v>2</v>
      </c>
      <c r="J6881" s="1">
        <v>46048.674861111111</v>
      </c>
    </row>
    <row r="6882" spans="1:10" x14ac:dyDescent="0.2">
      <c r="A6882" s="4" t="s">
        <v>1</v>
      </c>
      <c r="B6882" s="3" t="str">
        <f>HYPERLINK("https://otsuka-europe-crm.veevavault.com/ui/#object/approved_document__v/V5OZ04ASG4FWKA9", "Documento Autorizaciขn Centro Empleador")</f>
        <v>Documento Autorizaciขn Centro Empleador</v>
      </c>
      <c r="C6882" s="3" t="str">
        <f>HYPERLINK("https://otsuka-europe-crm.veevavault.com/ui/#object/sent_email__v/VBL000000016811", "SE-001401297")</f>
        <v>SE-001401297</v>
      </c>
      <c r="D6882" s="1">
        <v>46048.731585648151</v>
      </c>
      <c r="E6882" s="2">
        <v>1</v>
      </c>
      <c r="F6882" s="2">
        <v>2</v>
      </c>
      <c r="G6882" s="2">
        <v>1</v>
      </c>
      <c r="H6882" s="1">
        <v>46048.732071759259</v>
      </c>
      <c r="I6882" s="2">
        <v>1</v>
      </c>
      <c r="J6882" s="1">
        <v>46048.707071759258</v>
      </c>
    </row>
    <row r="6883" spans="1:10" x14ac:dyDescent="0.2">
      <c r="A6883" s="4" t="s">
        <v>1</v>
      </c>
      <c r="B6883" s="3" t="str">
        <f>HYPERLINK("https://otsuka-europe-crm.veevavault.com/ui/#object/approved_document__v/V5OZ04ASG4FWKA9", "Documento Autorizaciขn Centro Empleador")</f>
        <v>Documento Autorizaciขn Centro Empleador</v>
      </c>
      <c r="C6883" s="3" t="str">
        <f>HYPERLINK("https://otsuka-europe-crm.veevavault.com/ui/#object/sent_email__v/VBL000000016813", "SE-001401299")</f>
        <v>SE-001401299</v>
      </c>
      <c r="D6883" s="1">
        <v>46048.835474537038</v>
      </c>
      <c r="E6883" s="2">
        <v>1</v>
      </c>
      <c r="F6883" s="2">
        <v>3</v>
      </c>
      <c r="G6883" s="2">
        <v>1</v>
      </c>
      <c r="H6883" s="1">
        <v>46048.831597222219</v>
      </c>
      <c r="I6883" s="2">
        <v>1</v>
      </c>
      <c r="J6883" s="1">
        <v>46048.707303240742</v>
      </c>
    </row>
    <row r="6884" spans="1:10" x14ac:dyDescent="0.2">
      <c r="A6884" s="4" t="s">
        <v>1</v>
      </c>
      <c r="B6884" s="3" t="str">
        <f>HYPERLINK("https://otsuka-europe-crm.veevavault.com/ui/#object/approved_document__v/V5OZ04ASG4FWKA9", "Documento Autorizaciขn Centro Empleador")</f>
        <v>Documento Autorizaciขn Centro Empleador</v>
      </c>
      <c r="C6884" s="3" t="str">
        <f>HYPERLINK("https://otsuka-europe-crm.veevavault.com/ui/#object/sent_email__v/VBL000000015861", "SE-001401764")</f>
        <v>SE-001401764</v>
      </c>
      <c r="D6884" s="1">
        <v>46049.487534722219</v>
      </c>
      <c r="E6884" s="2">
        <v>1</v>
      </c>
      <c r="F6884" s="2">
        <v>1</v>
      </c>
      <c r="G6884" s="2">
        <v>1</v>
      </c>
      <c r="H6884" s="1">
        <v>46049.487534722219</v>
      </c>
      <c r="I6884" s="2">
        <v>1</v>
      </c>
      <c r="J6884" s="1">
        <v>46049.445694444446</v>
      </c>
    </row>
    <row r="6885" spans="1:10" x14ac:dyDescent="0.2">
      <c r="A6885" s="4" t="s">
        <v>1</v>
      </c>
      <c r="B6885" s="3" t="str">
        <f>HYPERLINK("https://otsuka-europe-crm.veevavault.com/ui/#object/approved_document__v/V5OZ04ASG4FWKA9", "Documento Autorizaciขn Centro Empleador")</f>
        <v>Documento Autorizaciขn Centro Empleador</v>
      </c>
      <c r="C6885" s="3" t="str">
        <f>HYPERLINK("https://otsuka-europe-crm.veevavault.com/ui/#object/sent_email__v/VBL000000015877", "SE-001401780")</f>
        <v>SE-001401780</v>
      </c>
      <c r="D6885" s="1">
        <v>46050.015115740738</v>
      </c>
      <c r="E6885" s="2">
        <v>1</v>
      </c>
      <c r="F6885" s="2">
        <v>3</v>
      </c>
      <c r="G6885" s="2">
        <v>1</v>
      </c>
      <c r="H6885" s="1">
        <v>46049.452141203707</v>
      </c>
      <c r="I6885" s="2">
        <v>3</v>
      </c>
      <c r="J6885" s="1">
        <v>46049.450370370374</v>
      </c>
    </row>
    <row r="6886" spans="1:10" x14ac:dyDescent="0.2">
      <c r="A6886" s="4" t="s">
        <v>1</v>
      </c>
      <c r="B6886" s="3" t="str">
        <f>HYPERLINK("https://otsuka-europe-crm.veevavault.com/ui/#object/approved_document__v/V5OZ04ASG4FWKA9", "Documento Autorizaciขn Centro Empleador")</f>
        <v>Documento Autorizaciขn Centro Empleador</v>
      </c>
      <c r="C6886" s="3" t="str">
        <f>HYPERLINK("https://otsuka-europe-crm.veevavault.com/ui/#object/sent_email__v/VBL000000017042", "SE-001401999")</f>
        <v>SE-001401999</v>
      </c>
      <c r="D6886" s="1">
        <v>46049.618587962963</v>
      </c>
      <c r="E6886" s="2">
        <v>1</v>
      </c>
      <c r="F6886" s="2">
        <v>6</v>
      </c>
      <c r="G6886" s="2">
        <v>1</v>
      </c>
      <c r="H6886" s="1">
        <v>46049.618969907409</v>
      </c>
      <c r="I6886" s="2">
        <v>7</v>
      </c>
      <c r="J6886" s="1">
        <v>46049.562372685185</v>
      </c>
    </row>
    <row r="6887" spans="1:10" x14ac:dyDescent="0.2">
      <c r="A6887" s="4" t="s">
        <v>1</v>
      </c>
      <c r="B6887" s="3" t="str">
        <f>HYPERLINK("https://otsuka-europe-crm.veevavault.com/ui/#object/approved_document__v/V5OZ04ASG4FWKA9", "Documento Autorizaciขn Centro Empleador")</f>
        <v>Documento Autorizaciขn Centro Empleador</v>
      </c>
      <c r="C6887" s="3" t="str">
        <f>HYPERLINK("https://otsuka-europe-crm.veevavault.com/ui/#object/sent_email__v/VBL000000018004", "SE-001402007")</f>
        <v>SE-001402007</v>
      </c>
      <c r="D6887" s="1">
        <v>46049.884837962964</v>
      </c>
      <c r="E6887" s="2">
        <v>1</v>
      </c>
      <c r="F6887" s="2">
        <v>4</v>
      </c>
      <c r="G6887" s="2">
        <v>1</v>
      </c>
      <c r="H6887" s="1">
        <v>46049.885000000002</v>
      </c>
      <c r="I6887" s="2">
        <v>4</v>
      </c>
      <c r="J6887" s="1">
        <v>46049.639618055553</v>
      </c>
    </row>
    <row r="6888" spans="1:10" x14ac:dyDescent="0.2">
      <c r="A6888" s="4" t="s">
        <v>1</v>
      </c>
      <c r="B6888" s="3" t="str">
        <f>HYPERLINK("https://otsuka-europe-crm.veevavault.com/ui/#object/approved_document__v/V5OZ04ASG4FWKA9", "Documento Autorizaciขn Centro Empleador")</f>
        <v>Documento Autorizaciขn Centro Empleador</v>
      </c>
      <c r="C6888" s="3" t="str">
        <f>HYPERLINK("https://otsuka-europe-crm.veevavault.com/ui/#object/sent_email__v/VBL000000018008", "SE-001402012")</f>
        <v>SE-001402012</v>
      </c>
      <c r="D6888" s="1">
        <v>46055.834305555552</v>
      </c>
      <c r="E6888" s="2">
        <v>1</v>
      </c>
      <c r="F6888" s="2">
        <v>2</v>
      </c>
      <c r="G6888" s="2">
        <v>1</v>
      </c>
      <c r="H6888" s="1">
        <v>46049.794942129629</v>
      </c>
      <c r="I6888" s="2">
        <v>2</v>
      </c>
      <c r="J6888" s="1">
        <v>46049.67701388889</v>
      </c>
    </row>
    <row r="6889" spans="1:10" x14ac:dyDescent="0.2">
      <c r="A6889" s="4" t="s">
        <v>1</v>
      </c>
      <c r="B6889" s="3" t="str">
        <f>HYPERLINK("https://otsuka-europe-crm.veevavault.com/ui/#object/approved_document__v/V5OZ04ASG4FWKA9", "Documento Autorizaciขn Centro Empleador")</f>
        <v>Documento Autorizaciขn Centro Empleador</v>
      </c>
      <c r="C6889" s="3" t="str">
        <f>HYPERLINK("https://otsuka-europe-crm.veevavault.com/ui/#object/sent_email__v/VBL000000017050", "SE-001402013")</f>
        <v>SE-001402013</v>
      </c>
      <c r="D6889" s="1">
        <v>46065.389155092591</v>
      </c>
      <c r="E6889" s="2">
        <v>1</v>
      </c>
      <c r="F6889" s="2">
        <v>8</v>
      </c>
      <c r="G6889" s="2">
        <v>1</v>
      </c>
      <c r="H6889" s="1">
        <v>46049.683969907404</v>
      </c>
      <c r="I6889" s="2">
        <v>1</v>
      </c>
      <c r="J6889" s="1">
        <v>46049.676863425928</v>
      </c>
    </row>
    <row r="6890" spans="1:10" x14ac:dyDescent="0.2">
      <c r="A6890" s="4" t="s">
        <v>1</v>
      </c>
      <c r="B6890" s="3" t="str">
        <f>HYPERLINK("https://otsuka-europe-crm.veevavault.com/ui/#object/approved_document__v/V5OZ04ASG4FWKA9", "Documento Autorizaciขn Centro Empleador")</f>
        <v>Documento Autorizaciขn Centro Empleador</v>
      </c>
      <c r="C6890" s="3" t="str">
        <f>HYPERLINK("https://otsuka-europe-crm.veevavault.com/ui/#object/sent_email__v/VBL000000018009", "SE-001402014")</f>
        <v>SE-001402014</v>
      </c>
      <c r="D6890" s="1">
        <v>46049.918298611112</v>
      </c>
      <c r="E6890" s="2">
        <v>1</v>
      </c>
      <c r="F6890" s="2">
        <v>4</v>
      </c>
      <c r="G6890" s="2">
        <v>1</v>
      </c>
      <c r="H6890" s="1">
        <v>46049.692314814813</v>
      </c>
      <c r="I6890" s="2">
        <v>2</v>
      </c>
      <c r="J6890" s="1">
        <v>46049.676979166667</v>
      </c>
    </row>
    <row r="6891" spans="1:10" x14ac:dyDescent="0.2">
      <c r="A6891" s="4" t="s">
        <v>1</v>
      </c>
      <c r="B6891" s="3" t="str">
        <f>HYPERLINK("https://otsuka-europe-crm.veevavault.com/ui/#object/approved_document__v/V5OZ04ASG4FWKA9", "Documento Autorizaciขn Centro Empleador")</f>
        <v>Documento Autorizaciขn Centro Empleador</v>
      </c>
      <c r="C6891" s="3" t="str">
        <f>HYPERLINK("https://otsuka-europe-crm.veevavault.com/ui/#object/sent_email__v/VBL000000017051", "SE-001402015")</f>
        <v>SE-001402015</v>
      </c>
      <c r="D6891" s="1">
        <v>46056.525914351849</v>
      </c>
      <c r="E6891" s="2">
        <v>1</v>
      </c>
      <c r="F6891" s="2">
        <v>3</v>
      </c>
      <c r="G6891" s="2">
        <v>1</v>
      </c>
      <c r="H6891" s="1">
        <v>46049.717106481483</v>
      </c>
      <c r="I6891" s="2">
        <v>1</v>
      </c>
      <c r="J6891" s="1">
        <v>46049.679664351854</v>
      </c>
    </row>
    <row r="6892" spans="1:10" x14ac:dyDescent="0.2">
      <c r="A6892" s="4" t="s">
        <v>1</v>
      </c>
      <c r="B6892" s="3" t="str">
        <f>HYPERLINK("https://otsuka-europe-crm.veevavault.com/ui/#object/approved_document__v/V5OZ04ASG4FWKA9", "Documento Autorizaciขn Centro Empleador")</f>
        <v>Documento Autorizaciขn Centro Empleador</v>
      </c>
      <c r="C6892" s="3" t="str">
        <f>HYPERLINK("https://otsuka-europe-crm.veevavault.com/ui/#object/sent_email__v/VBL000000018011", "SE-001402022")</f>
        <v>SE-001402022</v>
      </c>
      <c r="D6892" s="1">
        <v>46050.703668981485</v>
      </c>
      <c r="E6892" s="2">
        <v>1</v>
      </c>
      <c r="F6892" s="2">
        <v>3</v>
      </c>
      <c r="G6892" s="2">
        <v>1</v>
      </c>
      <c r="H6892" s="1">
        <v>46050.595694444448</v>
      </c>
      <c r="I6892" s="2">
        <v>1</v>
      </c>
      <c r="J6892" s="1">
        <v>46050.323969907404</v>
      </c>
    </row>
    <row r="6893" spans="1:10" x14ac:dyDescent="0.2">
      <c r="A6893" s="4" t="s">
        <v>1</v>
      </c>
      <c r="B6893" s="3" t="str">
        <f>HYPERLINK("https://otsuka-europe-crm.veevavault.com/ui/#object/approved_document__v/V5OZ04ASG4FWKA9", "Documento Autorizaciขn Centro Empleador")</f>
        <v>Documento Autorizaciขn Centro Empleador</v>
      </c>
      <c r="C6893" s="3" t="str">
        <f>HYPERLINK("https://otsuka-europe-crm.veevavault.com/ui/#object/sent_email__v/VBL000000018067", "SE-001402137")</f>
        <v>SE-001402137</v>
      </c>
      <c r="D6893" s="1">
        <v>46050.527708333335</v>
      </c>
      <c r="E6893" s="2">
        <v>1</v>
      </c>
      <c r="F6893" s="2">
        <v>1</v>
      </c>
      <c r="G6893" s="2">
        <v>1</v>
      </c>
      <c r="H6893" s="1">
        <v>46050.527789351851</v>
      </c>
      <c r="I6893" s="2">
        <v>1</v>
      </c>
      <c r="J6893" s="1">
        <v>46050.526944444442</v>
      </c>
    </row>
    <row r="6894" spans="1:10" x14ac:dyDescent="0.2">
      <c r="A6894" s="4" t="s">
        <v>1</v>
      </c>
      <c r="B6894" s="3" t="str">
        <f>HYPERLINK("https://otsuka-europe-crm.veevavault.com/ui/#object/approved_document__v/V5OZ04ASG4FWKA9", "Documento Autorizaciขn Centro Empleador")</f>
        <v>Documento Autorizaciขn Centro Empleador</v>
      </c>
      <c r="C6894" s="3" t="str">
        <f>HYPERLINK("https://otsuka-europe-crm.veevavault.com/ui/#object/sent_email__v/VBL000000017119", "SE-001402139")</f>
        <v>SE-001402139</v>
      </c>
      <c r="D6894" s="1">
        <v>46050.592233796298</v>
      </c>
      <c r="E6894" s="2">
        <v>1</v>
      </c>
      <c r="F6894" s="2">
        <v>1</v>
      </c>
      <c r="G6894" s="2">
        <v>1</v>
      </c>
      <c r="H6894" s="1">
        <v>46050.592291666668</v>
      </c>
      <c r="I6894" s="2">
        <v>1</v>
      </c>
      <c r="J6894" s="1">
        <v>46050.534791666665</v>
      </c>
    </row>
    <row r="6895" spans="1:10" x14ac:dyDescent="0.2">
      <c r="A6895" s="4" t="s">
        <v>1</v>
      </c>
      <c r="B6895" s="3" t="str">
        <f>HYPERLINK("https://otsuka-europe-crm.veevavault.com/ui/#object/approved_document__v/V5OZ04ASG4FWKA9", "Documento Autorizaciขn Centro Empleador")</f>
        <v>Documento Autorizaciขn Centro Empleador</v>
      </c>
      <c r="C6895" s="3" t="str">
        <f>HYPERLINK("https://otsuka-europe-crm.veevavault.com/ui/#object/sent_email__v/VBL000000017121", "SE-001402142")</f>
        <v>SE-001402142</v>
      </c>
      <c r="D6895" s="1">
        <v>46076.834409722222</v>
      </c>
      <c r="E6895" s="2">
        <v>1</v>
      </c>
      <c r="F6895" s="2">
        <v>2</v>
      </c>
      <c r="G6895" s="2">
        <v>1</v>
      </c>
      <c r="H6895" s="1">
        <v>46050.545081018521</v>
      </c>
      <c r="I6895" s="2">
        <v>1</v>
      </c>
      <c r="J6895" s="1">
        <v>46050.542638888888</v>
      </c>
    </row>
    <row r="6896" spans="1:10" x14ac:dyDescent="0.2">
      <c r="A6896" s="4" t="s">
        <v>1</v>
      </c>
      <c r="B6896" s="3" t="str">
        <f>HYPERLINK("https://otsuka-europe-crm.veevavault.com/ui/#object/approved_document__v/V5OZ04ASG4FWKA9", "Documento Autorizaciขn Centro Empleador")</f>
        <v>Documento Autorizaciขn Centro Empleador</v>
      </c>
      <c r="C6896" s="3" t="str">
        <f>HYPERLINK("https://otsuka-europe-crm.veevavault.com/ui/#object/sent_email__v/VBL000000017125", "SE-001402146")</f>
        <v>SE-001402146</v>
      </c>
      <c r="D6896" s="1">
        <v>46051.335150462961</v>
      </c>
      <c r="E6896" s="2">
        <v>1</v>
      </c>
      <c r="F6896" s="2">
        <v>3</v>
      </c>
      <c r="G6896" s="2">
        <v>1</v>
      </c>
      <c r="H6896" s="1">
        <v>46050.552303240744</v>
      </c>
      <c r="I6896" s="2">
        <v>1</v>
      </c>
      <c r="J6896" s="1">
        <v>46050.551076388889</v>
      </c>
    </row>
    <row r="6897" spans="1:10" x14ac:dyDescent="0.2">
      <c r="A6897" s="4" t="s">
        <v>1</v>
      </c>
      <c r="B6897" s="3" t="str">
        <f>HYPERLINK("https://otsuka-europe-crm.veevavault.com/ui/#object/approved_document__v/V5OZ04ASG4FWKA9", "Documento Autorizaciขn Centro Empleador")</f>
        <v>Documento Autorizaciขn Centro Empleador</v>
      </c>
      <c r="C6897" s="3" t="str">
        <f>HYPERLINK("https://otsuka-europe-crm.veevavault.com/ui/#object/sent_email__v/VBL000000018070", "SE-001402147")</f>
        <v>SE-001402147</v>
      </c>
      <c r="D6897" s="1">
        <v>46050.624826388892</v>
      </c>
      <c r="E6897" s="2">
        <v>1</v>
      </c>
      <c r="F6897" s="2">
        <v>2</v>
      </c>
      <c r="G6897" s="2">
        <v>1</v>
      </c>
      <c r="H6897" s="1">
        <v>46050.793078703704</v>
      </c>
      <c r="I6897" s="2">
        <v>2</v>
      </c>
      <c r="J6897" s="1">
        <v>46050.554826388892</v>
      </c>
    </row>
    <row r="6898" spans="1:10" x14ac:dyDescent="0.2">
      <c r="A6898" s="4" t="s">
        <v>1</v>
      </c>
      <c r="B6898" s="3" t="str">
        <f>HYPERLINK("https://otsuka-europe-crm.veevavault.com/ui/#object/approved_document__v/V5OZ04ASG4FWKA9", "Documento Autorizaciขn Centro Empleador")</f>
        <v>Documento Autorizaciขn Centro Empleador</v>
      </c>
      <c r="C6898" s="3" t="str">
        <f>HYPERLINK("https://otsuka-europe-crm.veevavault.com/ui/#object/sent_email__v/VBL000000018077", "SE-001402158")</f>
        <v>SE-001402158</v>
      </c>
      <c r="D6898" s="1">
        <v>46050.992638888885</v>
      </c>
      <c r="E6898" s="2">
        <v>1</v>
      </c>
      <c r="F6898" s="2">
        <v>2</v>
      </c>
      <c r="G6898" s="2">
        <v>1</v>
      </c>
      <c r="H6898" s="1">
        <v>46050.806666666664</v>
      </c>
      <c r="I6898" s="2">
        <v>2</v>
      </c>
      <c r="J6898" s="1">
        <v>46050.663449074076</v>
      </c>
    </row>
    <row r="6899" spans="1:10" x14ac:dyDescent="0.2">
      <c r="A6899" s="4" t="s">
        <v>1</v>
      </c>
      <c r="B6899" s="3" t="str">
        <f>HYPERLINK("https://otsuka-europe-crm.veevavault.com/ui/#object/approved_document__v/V5OZ04ASG4FWKA9", "Documento Autorizaciขn Centro Empleador")</f>
        <v>Documento Autorizaciขn Centro Empleador</v>
      </c>
      <c r="C6899" s="3" t="str">
        <f>HYPERLINK("https://otsuka-europe-crm.veevavault.com/ui/#object/sent_email__v/VBL000000018106", "SE-001402205")</f>
        <v>SE-001402205</v>
      </c>
      <c r="D6899" s="1">
        <v>46051.629560185182</v>
      </c>
      <c r="E6899" s="2">
        <v>1</v>
      </c>
      <c r="F6899" s="2">
        <v>1</v>
      </c>
      <c r="G6899" s="2">
        <v>1</v>
      </c>
      <c r="H6899" s="1">
        <v>46051.629826388889</v>
      </c>
      <c r="I6899" s="2">
        <v>1</v>
      </c>
      <c r="J6899" s="1">
        <v>46051.615243055552</v>
      </c>
    </row>
    <row r="6900" spans="1:10" x14ac:dyDescent="0.2">
      <c r="A6900" s="4" t="s">
        <v>1</v>
      </c>
      <c r="B6900" s="3" t="str">
        <f>HYPERLINK("https://otsuka-europe-crm.veevavault.com/ui/#object/approved_document__v/V5OZ04ASG4FWKA9", "Documento Autorizaciขn Centro Empleador")</f>
        <v>Documento Autorizaciขn Centro Empleador</v>
      </c>
      <c r="C6900" s="3" t="str">
        <f>HYPERLINK("https://otsuka-europe-crm.veevavault.com/ui/#object/sent_email__v/VBL000000017157", "SE-001402209")</f>
        <v>SE-001402209</v>
      </c>
      <c r="D6900" s="1">
        <v>46051.639791666668</v>
      </c>
      <c r="E6900" s="2">
        <v>1</v>
      </c>
      <c r="F6900" s="2">
        <v>2</v>
      </c>
      <c r="G6900" s="2">
        <v>1</v>
      </c>
      <c r="H6900" s="1">
        <v>46051.639849537038</v>
      </c>
      <c r="I6900" s="2">
        <v>1</v>
      </c>
      <c r="J6900" s="1">
        <v>46051.620509259257</v>
      </c>
    </row>
    <row r="6901" spans="1:10" x14ac:dyDescent="0.2">
      <c r="A6901" s="4" t="s">
        <v>1</v>
      </c>
      <c r="B6901" s="3" t="str">
        <f>HYPERLINK("https://otsuka-europe-crm.veevavault.com/ui/#object/approved_document__v/V5OZ04ASG4FWKA9", "Documento Autorizaciขn Centro Empleador")</f>
        <v>Documento Autorizaciขn Centro Empleador</v>
      </c>
      <c r="C6901" s="3" t="str">
        <f>HYPERLINK("https://otsuka-europe-crm.veevavault.com/ui/#object/sent_email__v/VBL000000017168", "SE-001402225")</f>
        <v>SE-001402225</v>
      </c>
      <c r="D6901" s="1" t="s">
        <v>0</v>
      </c>
      <c r="E6901" s="2">
        <v>0</v>
      </c>
      <c r="F6901" s="2">
        <v>0</v>
      </c>
      <c r="G6901" s="2">
        <v>0</v>
      </c>
      <c r="H6901" s="1" t="s">
        <v>0</v>
      </c>
      <c r="I6901" s="2">
        <v>0</v>
      </c>
      <c r="J6901" s="1">
        <v>46051.636365740742</v>
      </c>
    </row>
    <row r="6902" spans="1:10" x14ac:dyDescent="0.2">
      <c r="A6902" s="4" t="s">
        <v>1</v>
      </c>
      <c r="B6902" s="3" t="str">
        <f>HYPERLINK("https://otsuka-europe-crm.veevavault.com/ui/#object/approved_document__v/V5OZ04ASG4FWKA9", "Documento Autorizaciขn Centro Empleador")</f>
        <v>Documento Autorizaciขn Centro Empleador</v>
      </c>
      <c r="C6902" s="3" t="str">
        <f>HYPERLINK("https://otsuka-europe-crm.veevavault.com/ui/#object/sent_email__v/VBL000000017169", "SE-001402226")</f>
        <v>SE-001402226</v>
      </c>
      <c r="D6902" s="1">
        <v>46052.456469907411</v>
      </c>
      <c r="E6902" s="2">
        <v>1</v>
      </c>
      <c r="F6902" s="2">
        <v>1</v>
      </c>
      <c r="G6902" s="2">
        <v>1</v>
      </c>
      <c r="H6902" s="1">
        <v>46052.45653935185</v>
      </c>
      <c r="I6902" s="2">
        <v>1</v>
      </c>
      <c r="J6902" s="1">
        <v>46051.638738425929</v>
      </c>
    </row>
    <row r="6903" spans="1:10" x14ac:dyDescent="0.2">
      <c r="A6903" s="4" t="s">
        <v>1</v>
      </c>
      <c r="B6903" s="3" t="str">
        <f>HYPERLINK("https://otsuka-europe-crm.veevavault.com/ui/#object/approved_document__v/V5OZ04ASG4FWKA9", "Documento Autorizaciขn Centro Empleador")</f>
        <v>Documento Autorizaciขn Centro Empleador</v>
      </c>
      <c r="C6903" s="3" t="str">
        <f>HYPERLINK("https://otsuka-europe-crm.veevavault.com/ui/#object/sent_email__v/VBL000000018112", "SE-001402227")</f>
        <v>SE-001402227</v>
      </c>
      <c r="D6903" s="1">
        <v>46051.807916666665</v>
      </c>
      <c r="E6903" s="2">
        <v>1</v>
      </c>
      <c r="F6903" s="2">
        <v>6</v>
      </c>
      <c r="G6903" s="2">
        <v>1</v>
      </c>
      <c r="H6903" s="1">
        <v>46051.808564814812</v>
      </c>
      <c r="I6903" s="2">
        <v>6</v>
      </c>
      <c r="J6903" s="1">
        <v>46051.639745370368</v>
      </c>
    </row>
    <row r="6904" spans="1:10" x14ac:dyDescent="0.2">
      <c r="A6904" s="4" t="s">
        <v>1</v>
      </c>
      <c r="B6904" s="3" t="str">
        <f>HYPERLINK("https://otsuka-europe-crm.veevavault.com/ui/#object/approved_document__v/V5OZ04ASG4FWKA9", "Documento Autorizaciขn Centro Empleador")</f>
        <v>Documento Autorizaciขn Centro Empleador</v>
      </c>
      <c r="C6904" s="3" t="str">
        <f>HYPERLINK("https://otsuka-europe-crm.veevavault.com/ui/#object/sent_email__v/VBL000000017171", "SE-001402230")</f>
        <v>SE-001402230</v>
      </c>
      <c r="D6904" s="1">
        <v>46052.595381944448</v>
      </c>
      <c r="E6904" s="2">
        <v>1</v>
      </c>
      <c r="F6904" s="2">
        <v>4</v>
      </c>
      <c r="G6904" s="2">
        <v>1</v>
      </c>
      <c r="H6904" s="1">
        <v>46051.673993055556</v>
      </c>
      <c r="I6904" s="2">
        <v>2</v>
      </c>
      <c r="J6904" s="1">
        <v>46051.65253472222</v>
      </c>
    </row>
    <row r="6905" spans="1:10" x14ac:dyDescent="0.2">
      <c r="A6905" s="4" t="s">
        <v>1</v>
      </c>
      <c r="B6905" s="3" t="str">
        <f>HYPERLINK("https://otsuka-europe-crm.veevavault.com/ui/#object/approved_document__v/V5OZ04ASG4FWKA9", "Documento Autorizaciขn Centro Empleador")</f>
        <v>Documento Autorizaciขn Centro Empleador</v>
      </c>
      <c r="C6905" s="3" t="str">
        <f>HYPERLINK("https://otsuka-europe-crm.veevavault.com/ui/#object/sent_email__v/VBL000000017176", "SE-001402244")</f>
        <v>SE-001402244</v>
      </c>
      <c r="D6905" s="1">
        <v>46059.352002314816</v>
      </c>
      <c r="E6905" s="2">
        <v>1</v>
      </c>
      <c r="F6905" s="2">
        <v>6</v>
      </c>
      <c r="G6905" s="2">
        <v>0</v>
      </c>
      <c r="H6905" s="1" t="s">
        <v>0</v>
      </c>
      <c r="I6905" s="2">
        <v>0</v>
      </c>
      <c r="J6905" s="1">
        <v>46051.695601851854</v>
      </c>
    </row>
    <row r="6906" spans="1:10" x14ac:dyDescent="0.2">
      <c r="A6906" s="4" t="s">
        <v>1</v>
      </c>
      <c r="B6906" s="3" t="str">
        <f>HYPERLINK("https://otsuka-europe-crm.veevavault.com/ui/#object/approved_document__v/V5OZ04ASG4FWKA9", "Documento Autorizaciขn Centro Empleador")</f>
        <v>Documento Autorizaciขn Centro Empleador</v>
      </c>
      <c r="C6906" s="3" t="str">
        <f>HYPERLINK("https://otsuka-europe-crm.veevavault.com/ui/#object/sent_email__v/VBL00000001A016", "SE-001402289")</f>
        <v>SE-001402289</v>
      </c>
      <c r="D6906" s="1" t="s">
        <v>0</v>
      </c>
      <c r="E6906" s="2">
        <v>0</v>
      </c>
      <c r="F6906" s="2">
        <v>0</v>
      </c>
      <c r="G6906" s="2">
        <v>0</v>
      </c>
      <c r="H6906" s="1" t="s">
        <v>0</v>
      </c>
      <c r="I6906" s="2">
        <v>0</v>
      </c>
      <c r="J6906" s="1">
        <v>46052.412060185183</v>
      </c>
    </row>
    <row r="6907" spans="1:10" x14ac:dyDescent="0.2">
      <c r="A6907" s="4" t="s">
        <v>1</v>
      </c>
      <c r="B6907" s="3" t="str">
        <f>HYPERLINK("https://otsuka-europe-crm.veevavault.com/ui/#object/approved_document__v/V5OZ04ASG4FWKA9", "Documento Autorizaciขn Centro Empleador")</f>
        <v>Documento Autorizaciขn Centro Empleador</v>
      </c>
      <c r="C6907" s="3" t="str">
        <f>HYPERLINK("https://otsuka-europe-crm.veevavault.com/ui/#object/sent_email__v/VBL00000001A017", "SE-001402290")</f>
        <v>SE-001402290</v>
      </c>
      <c r="D6907" s="1">
        <v>46062.507662037038</v>
      </c>
      <c r="E6907" s="2">
        <v>1</v>
      </c>
      <c r="F6907" s="2">
        <v>2</v>
      </c>
      <c r="G6907" s="2">
        <v>1</v>
      </c>
      <c r="H6907" s="1">
        <v>46062.507789351854</v>
      </c>
      <c r="I6907" s="2">
        <v>1</v>
      </c>
      <c r="J6907" s="1">
        <v>46052.412858796299</v>
      </c>
    </row>
    <row r="6908" spans="1:10" x14ac:dyDescent="0.2">
      <c r="A6908" s="4" t="s">
        <v>1</v>
      </c>
      <c r="B6908" s="3" t="str">
        <f>HYPERLINK("https://otsuka-europe-crm.veevavault.com/ui/#object/approved_document__v/V5OZ04ASG4FWKA9", "Documento Autorizaciขn Centro Empleador")</f>
        <v>Documento Autorizaciขn Centro Empleador</v>
      </c>
      <c r="C6908" s="3" t="str">
        <f>HYPERLINK("https://otsuka-europe-crm.veevavault.com/ui/#object/sent_email__v/VBL00000001A020", "SE-001402294")</f>
        <v>SE-001402294</v>
      </c>
      <c r="D6908" s="1">
        <v>46058.212164351855</v>
      </c>
      <c r="E6908" s="2">
        <v>1</v>
      </c>
      <c r="F6908" s="2">
        <v>5</v>
      </c>
      <c r="G6908" s="2">
        <v>1</v>
      </c>
      <c r="H6908" s="1">
        <v>46052.487685185188</v>
      </c>
      <c r="I6908" s="2">
        <v>2</v>
      </c>
      <c r="J6908" s="1">
        <v>46052.430393518516</v>
      </c>
    </row>
    <row r="6909" spans="1:10" x14ac:dyDescent="0.2">
      <c r="A6909" s="4" t="s">
        <v>1</v>
      </c>
      <c r="B6909" s="3" t="str">
        <f>HYPERLINK("https://otsuka-europe-crm.veevavault.com/ui/#object/approved_document__v/V5OZ04ASG4FWKA9", "Documento Autorizaciขn Centro Empleador")</f>
        <v>Documento Autorizaciขn Centro Empleador</v>
      </c>
      <c r="C6909" s="3" t="str">
        <f>HYPERLINK("https://otsuka-europe-crm.veevavault.com/ui/#object/sent_email__v/VBL00000001A021", "SE-001402295")</f>
        <v>SE-001402295</v>
      </c>
      <c r="D6909" s="1" t="s">
        <v>0</v>
      </c>
      <c r="E6909" s="2">
        <v>0</v>
      </c>
      <c r="F6909" s="2">
        <v>0</v>
      </c>
      <c r="G6909" s="2">
        <v>0</v>
      </c>
      <c r="H6909" s="1" t="s">
        <v>0</v>
      </c>
      <c r="I6909" s="2">
        <v>0</v>
      </c>
      <c r="J6909" s="1">
        <v>46052.431145833332</v>
      </c>
    </row>
    <row r="6910" spans="1:10" x14ac:dyDescent="0.2">
      <c r="A6910" s="4" t="s">
        <v>1</v>
      </c>
      <c r="B6910" s="3" t="str">
        <f>HYPERLINK("https://otsuka-europe-crm.veevavault.com/ui/#object/approved_document__v/V5OZ04ASG4FWKA9", "Documento Autorizaciขn Centro Empleador")</f>
        <v>Documento Autorizaciขn Centro Empleador</v>
      </c>
      <c r="C6910" s="3" t="str">
        <f>HYPERLINK("https://otsuka-europe-crm.veevavault.com/ui/#object/sent_email__v/VBL000000019056", "SE-001402345")</f>
        <v>SE-001402345</v>
      </c>
      <c r="D6910" s="1">
        <v>46056.029918981483</v>
      </c>
      <c r="E6910" s="2">
        <v>1</v>
      </c>
      <c r="F6910" s="2">
        <v>1</v>
      </c>
      <c r="G6910" s="2">
        <v>1</v>
      </c>
      <c r="H6910" s="1">
        <v>46056.029918981483</v>
      </c>
      <c r="I6910" s="2">
        <v>1</v>
      </c>
      <c r="J6910" s="1">
        <v>46055.362511574072</v>
      </c>
    </row>
    <row r="6911" spans="1:10" x14ac:dyDescent="0.2">
      <c r="A6911" s="4" t="s">
        <v>1</v>
      </c>
      <c r="B6911" s="3" t="str">
        <f>HYPERLINK("https://otsuka-europe-crm.veevavault.com/ui/#object/approved_document__v/V5OZ04ASG4FWKA9", "Documento Autorizaciขn Centro Empleador")</f>
        <v>Documento Autorizaciขn Centro Empleador</v>
      </c>
      <c r="C6911" s="3" t="str">
        <f>HYPERLINK("https://otsuka-europe-crm.veevavault.com/ui/#object/sent_email__v/VBL00000001A055", "SE-001402352")</f>
        <v>SE-001402352</v>
      </c>
      <c r="D6911" s="1">
        <v>46062.842037037037</v>
      </c>
      <c r="E6911" s="2">
        <v>1</v>
      </c>
      <c r="F6911" s="2">
        <v>7</v>
      </c>
      <c r="G6911" s="2">
        <v>1</v>
      </c>
      <c r="H6911" s="1">
        <v>46055.391250000001</v>
      </c>
      <c r="I6911" s="2">
        <v>1</v>
      </c>
      <c r="J6911" s="1">
        <v>46055.390347222223</v>
      </c>
    </row>
    <row r="6912" spans="1:10" x14ac:dyDescent="0.2">
      <c r="A6912" s="4" t="s">
        <v>1</v>
      </c>
      <c r="B6912" s="3" t="str">
        <f>HYPERLINK("https://otsuka-europe-crm.veevavault.com/ui/#object/approved_document__v/V5OZ04ASG4FWKA9", "Documento Autorizaciขn Centro Empleador")</f>
        <v>Documento Autorizaciขn Centro Empleador</v>
      </c>
      <c r="C6912" s="3" t="str">
        <f>HYPERLINK("https://otsuka-europe-crm.veevavault.com/ui/#object/sent_email__v/VBL000000019061", "SE-001402355")</f>
        <v>SE-001402355</v>
      </c>
      <c r="D6912" s="1">
        <v>46055.610856481479</v>
      </c>
      <c r="E6912" s="2">
        <v>1</v>
      </c>
      <c r="F6912" s="2">
        <v>3</v>
      </c>
      <c r="G6912" s="2">
        <v>1</v>
      </c>
      <c r="H6912" s="1">
        <v>46055.610995370371</v>
      </c>
      <c r="I6912" s="2">
        <v>1</v>
      </c>
      <c r="J6912" s="1">
        <v>46055.417048611111</v>
      </c>
    </row>
    <row r="6913" spans="1:10" x14ac:dyDescent="0.2">
      <c r="A6913" s="4" t="s">
        <v>1</v>
      </c>
      <c r="B6913" s="3" t="str">
        <f>HYPERLINK("https://otsuka-europe-crm.veevavault.com/ui/#object/approved_document__v/V5OZ04ASG4FWKA9", "Documento Autorizaciขn Centro Empleador")</f>
        <v>Documento Autorizaciขn Centro Empleador</v>
      </c>
      <c r="C6913" s="3" t="str">
        <f>HYPERLINK("https://otsuka-europe-crm.veevavault.com/ui/#object/sent_email__v/VBL00000001A057", "SE-001402360")</f>
        <v>SE-001402360</v>
      </c>
      <c r="D6913" s="1">
        <v>46055.470914351848</v>
      </c>
      <c r="E6913" s="2">
        <v>1</v>
      </c>
      <c r="F6913" s="2">
        <v>1</v>
      </c>
      <c r="G6913" s="2">
        <v>1</v>
      </c>
      <c r="H6913" s="1">
        <v>46055.471006944441</v>
      </c>
      <c r="I6913" s="2">
        <v>1</v>
      </c>
      <c r="J6913" s="1">
        <v>46055.467152777775</v>
      </c>
    </row>
    <row r="6914" spans="1:10" x14ac:dyDescent="0.2">
      <c r="A6914" s="4" t="s">
        <v>1</v>
      </c>
      <c r="B6914" s="3" t="str">
        <f>HYPERLINK("https://otsuka-europe-crm.veevavault.com/ui/#object/approved_document__v/V5OZ04ASG4FWKA9", "Documento Autorizaciขn Centro Empleador")</f>
        <v>Documento Autorizaciขn Centro Empleador</v>
      </c>
      <c r="C6914" s="3" t="str">
        <f>HYPERLINK("https://otsuka-europe-crm.veevavault.com/ui/#object/sent_email__v/VBL00000001A061", "SE-001402369")</f>
        <v>SE-001402369</v>
      </c>
      <c r="D6914" s="1">
        <v>46055.552268518521</v>
      </c>
      <c r="E6914" s="2">
        <v>1</v>
      </c>
      <c r="F6914" s="2">
        <v>2</v>
      </c>
      <c r="G6914" s="2">
        <v>0</v>
      </c>
      <c r="H6914" s="1" t="s">
        <v>0</v>
      </c>
      <c r="I6914" s="2">
        <v>0</v>
      </c>
      <c r="J6914" s="1">
        <v>46055.546747685185</v>
      </c>
    </row>
    <row r="6915" spans="1:10" x14ac:dyDescent="0.2">
      <c r="A6915" s="4" t="s">
        <v>1</v>
      </c>
      <c r="B6915" s="3" t="str">
        <f>HYPERLINK("https://otsuka-europe-crm.veevavault.com/ui/#object/approved_document__v/V5OZ04ASG4FWKA9", "Documento Autorizaciขn Centro Empleador")</f>
        <v>Documento Autorizaciขn Centro Empleador</v>
      </c>
      <c r="C6915" s="3" t="str">
        <f>HYPERLINK("https://otsuka-europe-crm.veevavault.com/ui/#object/sent_email__v/VBL000000019078", "SE-001402379")</f>
        <v>SE-001402379</v>
      </c>
      <c r="D6915" s="1">
        <v>46056.452187499999</v>
      </c>
      <c r="E6915" s="2">
        <v>1</v>
      </c>
      <c r="F6915" s="2">
        <v>2</v>
      </c>
      <c r="G6915" s="2">
        <v>1</v>
      </c>
      <c r="H6915" s="1">
        <v>46055.698460648149</v>
      </c>
      <c r="I6915" s="2">
        <v>1</v>
      </c>
      <c r="J6915" s="1">
        <v>46055.646817129629</v>
      </c>
    </row>
    <row r="6916" spans="1:10" x14ac:dyDescent="0.2">
      <c r="A6916" s="4" t="s">
        <v>1</v>
      </c>
      <c r="B6916" s="3" t="str">
        <f>HYPERLINK("https://otsuka-europe-crm.veevavault.com/ui/#object/approved_document__v/V5OZ04ASG4FWKA9", "Documento Autorizaciขn Centro Empleador")</f>
        <v>Documento Autorizaciขn Centro Empleador</v>
      </c>
      <c r="C6916" s="3" t="str">
        <f>HYPERLINK("https://otsuka-europe-crm.veevavault.com/ui/#object/sent_email__v/VBL000000019079", "SE-001402380")</f>
        <v>SE-001402380</v>
      </c>
      <c r="D6916" s="1">
        <v>46055.830150462964</v>
      </c>
      <c r="E6916" s="2">
        <v>1</v>
      </c>
      <c r="F6916" s="2">
        <v>2</v>
      </c>
      <c r="G6916" s="2">
        <v>1</v>
      </c>
      <c r="H6916" s="1">
        <v>46055.830231481479</v>
      </c>
      <c r="I6916" s="2">
        <v>1</v>
      </c>
      <c r="J6916" s="1">
        <v>46055.653287037036</v>
      </c>
    </row>
    <row r="6917" spans="1:10" x14ac:dyDescent="0.2">
      <c r="A6917" s="4" t="s">
        <v>1</v>
      </c>
      <c r="B6917" s="3" t="str">
        <f>HYPERLINK("https://otsuka-europe-crm.veevavault.com/ui/#object/approved_document__v/V5OZ04ASG4FWKA9", "Documento Autorizaciขn Centro Empleador")</f>
        <v>Documento Autorizaciขn Centro Empleador</v>
      </c>
      <c r="C6917" s="3" t="str">
        <f>HYPERLINK("https://otsuka-europe-crm.veevavault.com/ui/#object/sent_email__v/VBL000000019082", "SE-001402383")</f>
        <v>SE-001402383</v>
      </c>
      <c r="D6917" s="1">
        <v>46055.710358796299</v>
      </c>
      <c r="E6917" s="2">
        <v>1</v>
      </c>
      <c r="F6917" s="2">
        <v>1</v>
      </c>
      <c r="G6917" s="2">
        <v>1</v>
      </c>
      <c r="H6917" s="1">
        <v>46055.710358796299</v>
      </c>
      <c r="I6917" s="2">
        <v>1</v>
      </c>
      <c r="J6917" s="1">
        <v>46055.659166666665</v>
      </c>
    </row>
    <row r="6918" spans="1:10" x14ac:dyDescent="0.2">
      <c r="A6918" s="4" t="s">
        <v>1</v>
      </c>
      <c r="B6918" s="3" t="str">
        <f>HYPERLINK("https://otsuka-europe-crm.veevavault.com/ui/#object/approved_document__v/V5OZ04ASG4FWKA9", "Documento Autorizaciขn Centro Empleador")</f>
        <v>Documento Autorizaciขn Centro Empleador</v>
      </c>
      <c r="C6918" s="3" t="str">
        <f>HYPERLINK("https://otsuka-europe-crm.veevavault.com/ui/#object/sent_email__v/VBL000000019083", "SE-001402384")</f>
        <v>SE-001402384</v>
      </c>
      <c r="D6918" s="1">
        <v>46056.934710648151</v>
      </c>
      <c r="E6918" s="2">
        <v>1</v>
      </c>
      <c r="F6918" s="2">
        <v>2</v>
      </c>
      <c r="G6918" s="2">
        <v>1</v>
      </c>
      <c r="H6918" s="1">
        <v>46055.674467592595</v>
      </c>
      <c r="I6918" s="2">
        <v>1</v>
      </c>
      <c r="J6918" s="1">
        <v>46055.664421296293</v>
      </c>
    </row>
    <row r="6919" spans="1:10" x14ac:dyDescent="0.2">
      <c r="A6919" s="4" t="s">
        <v>1</v>
      </c>
      <c r="B6919" s="3" t="str">
        <f>HYPERLINK("https://otsuka-europe-crm.veevavault.com/ui/#object/approved_document__v/V5OZ04ASG4FWKA9", "Documento Autorizaciขn Centro Empleador")</f>
        <v>Documento Autorizaciขn Centro Empleador</v>
      </c>
      <c r="C6919" s="3" t="str">
        <f>HYPERLINK("https://otsuka-europe-crm.veevavault.com/ui/#object/sent_email__v/VBL000000019237", "SE-001402552")</f>
        <v>SE-001402552</v>
      </c>
      <c r="D6919" s="1">
        <v>46056.806747685187</v>
      </c>
      <c r="E6919" s="2">
        <v>1</v>
      </c>
      <c r="F6919" s="2">
        <v>3</v>
      </c>
      <c r="G6919" s="2">
        <v>1</v>
      </c>
      <c r="H6919" s="1">
        <v>46056.807141203702</v>
      </c>
      <c r="I6919" s="2">
        <v>2</v>
      </c>
      <c r="J6919" s="1">
        <v>46056.352870370371</v>
      </c>
    </row>
    <row r="6920" spans="1:10" x14ac:dyDescent="0.2">
      <c r="A6920" s="4" t="s">
        <v>1</v>
      </c>
      <c r="B6920" s="3" t="str">
        <f>HYPERLINK("https://otsuka-europe-crm.veevavault.com/ui/#object/approved_document__v/V5OZ04ASG4FWKA9", "Documento Autorizaciขn Centro Empleador")</f>
        <v>Documento Autorizaciขn Centro Empleador</v>
      </c>
      <c r="C6920" s="3" t="str">
        <f>HYPERLINK("https://otsuka-europe-crm.veevavault.com/ui/#object/sent_email__v/VBL00000001A077", "SE-001402553")</f>
        <v>SE-001402553</v>
      </c>
      <c r="D6920" s="1">
        <v>46056.476226851853</v>
      </c>
      <c r="E6920" s="2">
        <v>1</v>
      </c>
      <c r="F6920" s="2">
        <v>2</v>
      </c>
      <c r="G6920" s="2">
        <v>1</v>
      </c>
      <c r="H6920" s="1">
        <v>46056.476226851853</v>
      </c>
      <c r="I6920" s="2">
        <v>1</v>
      </c>
      <c r="J6920" s="1">
        <v>46056.371967592589</v>
      </c>
    </row>
    <row r="6921" spans="1:10" x14ac:dyDescent="0.2">
      <c r="A6921" s="4" t="s">
        <v>1</v>
      </c>
      <c r="B6921" s="3" t="str">
        <f>HYPERLINK("https://otsuka-europe-crm.veevavault.com/ui/#object/approved_document__v/V5OZ04ASG4FWKA9", "Documento Autorizaciขn Centro Empleador")</f>
        <v>Documento Autorizaciขn Centro Empleador</v>
      </c>
      <c r="C6921" s="3" t="str">
        <f>HYPERLINK("https://otsuka-europe-crm.veevavault.com/ui/#object/sent_email__v/VBL000000019239", "SE-001402558")</f>
        <v>SE-001402558</v>
      </c>
      <c r="D6921" s="1">
        <v>46056.387569444443</v>
      </c>
      <c r="E6921" s="2">
        <v>1</v>
      </c>
      <c r="F6921" s="2">
        <v>1</v>
      </c>
      <c r="G6921" s="2">
        <v>1</v>
      </c>
      <c r="H6921" s="1">
        <v>46056.387569444443</v>
      </c>
      <c r="I6921" s="2">
        <v>1</v>
      </c>
      <c r="J6921" s="1">
        <v>46056.381828703707</v>
      </c>
    </row>
    <row r="6922" spans="1:10" x14ac:dyDescent="0.2">
      <c r="A6922" s="4" t="s">
        <v>1</v>
      </c>
      <c r="B6922" s="3" t="str">
        <f>HYPERLINK("https://otsuka-europe-crm.veevavault.com/ui/#object/approved_document__v/V5OZ04ASG4FWKA9", "Documento Autorizaciขn Centro Empleador")</f>
        <v>Documento Autorizaciขn Centro Empleador</v>
      </c>
      <c r="C6922" s="3" t="str">
        <f>HYPERLINK("https://otsuka-europe-crm.veevavault.com/ui/#object/sent_email__v/VBL00000001A088", "SE-001402572")</f>
        <v>SE-001402572</v>
      </c>
      <c r="D6922" s="1">
        <v>46056.482349537036</v>
      </c>
      <c r="E6922" s="2">
        <v>1</v>
      </c>
      <c r="F6922" s="2">
        <v>1</v>
      </c>
      <c r="G6922" s="2">
        <v>1</v>
      </c>
      <c r="H6922" s="1">
        <v>46056.482592592591</v>
      </c>
      <c r="I6922" s="2">
        <v>2</v>
      </c>
      <c r="J6922" s="1">
        <v>46056.431944444441</v>
      </c>
    </row>
    <row r="6923" spans="1:10" x14ac:dyDescent="0.2">
      <c r="A6923" s="4" t="s">
        <v>1</v>
      </c>
      <c r="B6923" s="3" t="str">
        <f>HYPERLINK("https://otsuka-europe-crm.veevavault.com/ui/#object/approved_document__v/V5OZ04ASG4FWKA9", "Documento Autorizaciขn Centro Empleador")</f>
        <v>Documento Autorizaciขn Centro Empleador</v>
      </c>
      <c r="C6923" s="3" t="str">
        <f>HYPERLINK("https://otsuka-europe-crm.veevavault.com/ui/#object/sent_email__v/VBL00000001A092", "SE-001402576")</f>
        <v>SE-001402576</v>
      </c>
      <c r="D6923" s="1" t="s">
        <v>0</v>
      </c>
      <c r="E6923" s="2">
        <v>0</v>
      </c>
      <c r="F6923" s="2">
        <v>0</v>
      </c>
      <c r="G6923" s="2">
        <v>0</v>
      </c>
      <c r="H6923" s="1" t="s">
        <v>0</v>
      </c>
      <c r="I6923" s="2">
        <v>0</v>
      </c>
      <c r="J6923" s="1">
        <v>46056.433298611111</v>
      </c>
    </row>
    <row r="6924" spans="1:10" x14ac:dyDescent="0.2">
      <c r="A6924" s="4" t="s">
        <v>1</v>
      </c>
      <c r="B6924" s="3" t="str">
        <f>HYPERLINK("https://otsuka-europe-crm.veevavault.com/ui/#object/approved_document__v/V5OZ04ASG4FWKA9", "Documento Autorizaciขn Centro Empleador")</f>
        <v>Documento Autorizaciขn Centro Empleador</v>
      </c>
      <c r="C6924" s="3" t="str">
        <f>HYPERLINK("https://otsuka-europe-crm.veevavault.com/ui/#object/sent_email__v/VBL000000019246", "SE-001402577")</f>
        <v>SE-001402577</v>
      </c>
      <c r="D6924" s="1">
        <v>46056.449606481481</v>
      </c>
      <c r="E6924" s="2">
        <v>1</v>
      </c>
      <c r="F6924" s="2">
        <v>1</v>
      </c>
      <c r="G6924" s="2">
        <v>1</v>
      </c>
      <c r="H6924" s="1">
        <v>46056.449675925927</v>
      </c>
      <c r="I6924" s="2">
        <v>1</v>
      </c>
      <c r="J6924" s="1">
        <v>46056.43377314815</v>
      </c>
    </row>
    <row r="6925" spans="1:10" x14ac:dyDescent="0.2">
      <c r="A6925" s="4" t="s">
        <v>1</v>
      </c>
      <c r="B6925" s="3" t="str">
        <f>HYPERLINK("https://otsuka-europe-crm.veevavault.com/ui/#object/approved_document__v/V5OZ04ASG4FWKA9", "Documento Autorizaciขn Centro Empleador")</f>
        <v>Documento Autorizaciขn Centro Empleador</v>
      </c>
      <c r="C6925" s="3" t="str">
        <f>HYPERLINK("https://otsuka-europe-crm.veevavault.com/ui/#object/sent_email__v/VBL00000001A093", "SE-001402578")</f>
        <v>SE-001402578</v>
      </c>
      <c r="D6925" s="1">
        <v>46056.499108796299</v>
      </c>
      <c r="E6925" s="2">
        <v>1</v>
      </c>
      <c r="F6925" s="2">
        <v>2</v>
      </c>
      <c r="G6925" s="2">
        <v>1</v>
      </c>
      <c r="H6925" s="1">
        <v>46056.499143518522</v>
      </c>
      <c r="I6925" s="2">
        <v>1</v>
      </c>
      <c r="J6925" s="1">
        <v>46056.449479166666</v>
      </c>
    </row>
    <row r="6926" spans="1:10" x14ac:dyDescent="0.2">
      <c r="A6926" s="4" t="s">
        <v>1</v>
      </c>
      <c r="B6926" s="3" t="str">
        <f>HYPERLINK("https://otsuka-europe-crm.veevavault.com/ui/#object/approved_document__v/V5OZ04ASG4FWKA9", "Documento Autorizaciขn Centro Empleador")</f>
        <v>Documento Autorizaciขn Centro Empleador</v>
      </c>
      <c r="C6926" s="3" t="str">
        <f>HYPERLINK("https://otsuka-europe-crm.veevavault.com/ui/#object/sent_email__v/VBL000000019255", "SE-001402597")</f>
        <v>SE-001402597</v>
      </c>
      <c r="D6926" s="1">
        <v>46057.772326388891</v>
      </c>
      <c r="E6926" s="2">
        <v>1</v>
      </c>
      <c r="F6926" s="2">
        <v>4</v>
      </c>
      <c r="G6926" s="2">
        <v>1</v>
      </c>
      <c r="H6926" s="1">
        <v>46057.772986111115</v>
      </c>
      <c r="I6926" s="2">
        <v>4</v>
      </c>
      <c r="J6926" s="1">
        <v>46056.502939814818</v>
      </c>
    </row>
    <row r="6927" spans="1:10" x14ac:dyDescent="0.2">
      <c r="A6927" s="4" t="s">
        <v>1</v>
      </c>
      <c r="B6927" s="3" t="str">
        <f>HYPERLINK("https://otsuka-europe-crm.veevavault.com/ui/#object/approved_document__v/V5OZ04ASG4FWKA9", "Documento Autorizaciขn Centro Empleador")</f>
        <v>Documento Autorizaciขn Centro Empleador</v>
      </c>
      <c r="C6927" s="3" t="str">
        <f>HYPERLINK("https://otsuka-europe-crm.veevavault.com/ui/#object/sent_email__v/VBL00000001A110", "SE-001402606")</f>
        <v>SE-001402606</v>
      </c>
      <c r="D6927" s="1">
        <v>46056.736319444448</v>
      </c>
      <c r="E6927" s="2">
        <v>1</v>
      </c>
      <c r="F6927" s="2">
        <v>1</v>
      </c>
      <c r="G6927" s="2">
        <v>1</v>
      </c>
      <c r="H6927" s="1">
        <v>46056.736319444448</v>
      </c>
      <c r="I6927" s="2">
        <v>1</v>
      </c>
      <c r="J6927" s="1">
        <v>46056.733032407406</v>
      </c>
    </row>
    <row r="6928" spans="1:10" x14ac:dyDescent="0.2">
      <c r="A6928" s="4" t="s">
        <v>1</v>
      </c>
      <c r="B6928" s="3" t="str">
        <f>HYPERLINK("https://otsuka-europe-crm.veevavault.com/ui/#object/approved_document__v/V5OZ04ASG4FWKA9", "Documento Autorizaciขn Centro Empleador")</f>
        <v>Documento Autorizaciขn Centro Empleador</v>
      </c>
      <c r="C6928" s="3" t="str">
        <f>HYPERLINK("https://otsuka-europe-crm.veevavault.com/ui/#object/sent_email__v/VBL00000001A111", "SE-001402607")</f>
        <v>SE-001402607</v>
      </c>
      <c r="D6928" s="1">
        <v>46057.346284722225</v>
      </c>
      <c r="E6928" s="2">
        <v>1</v>
      </c>
      <c r="F6928" s="2">
        <v>2</v>
      </c>
      <c r="G6928" s="2">
        <v>1</v>
      </c>
      <c r="H6928" s="1">
        <v>46057.347673611112</v>
      </c>
      <c r="I6928" s="2">
        <v>5</v>
      </c>
      <c r="J6928" s="1">
        <v>46056.746481481481</v>
      </c>
    </row>
    <row r="6929" spans="1:10" x14ac:dyDescent="0.2">
      <c r="A6929" s="4" t="s">
        <v>1</v>
      </c>
      <c r="B6929" s="3" t="str">
        <f>HYPERLINK("https://otsuka-europe-crm.veevavault.com/ui/#object/approved_document__v/V5OZ04ASG4FWKA9", "Documento Autorizaciขn Centro Empleador")</f>
        <v>Documento Autorizaciขn Centro Empleador</v>
      </c>
      <c r="C6929" s="3" t="str">
        <f>HYPERLINK("https://otsuka-europe-crm.veevavault.com/ui/#object/sent_email__v/VBL000000019264", "SE-001402609")</f>
        <v>SE-001402609</v>
      </c>
      <c r="D6929" s="1">
        <v>46056.780185185184</v>
      </c>
      <c r="E6929" s="2">
        <v>1</v>
      </c>
      <c r="F6929" s="2">
        <v>1</v>
      </c>
      <c r="G6929" s="2">
        <v>1</v>
      </c>
      <c r="H6929" s="1">
        <v>46056.780243055553</v>
      </c>
      <c r="I6929" s="2">
        <v>1</v>
      </c>
      <c r="J6929" s="1">
        <v>46056.775219907409</v>
      </c>
    </row>
    <row r="6930" spans="1:10" x14ac:dyDescent="0.2">
      <c r="A6930" s="4" t="s">
        <v>1</v>
      </c>
      <c r="B6930" s="3" t="str">
        <f>HYPERLINK("https://otsuka-europe-crm.veevavault.com/ui/#object/approved_document__v/V5OZ04ASG4FWKA9", "Documento Autorizaciขn Centro Empleador")</f>
        <v>Documento Autorizaciขn Centro Empleador</v>
      </c>
      <c r="C6930" s="3" t="str">
        <f>HYPERLINK("https://otsuka-europe-crm.veevavault.com/ui/#object/sent_email__v/VBL00000001A115", "SE-001402613")</f>
        <v>SE-001402613</v>
      </c>
      <c r="D6930" s="1">
        <v>46057.145682870374</v>
      </c>
      <c r="E6930" s="2">
        <v>1</v>
      </c>
      <c r="F6930" s="2">
        <v>2</v>
      </c>
      <c r="G6930" s="2">
        <v>1</v>
      </c>
      <c r="H6930" s="1">
        <v>46056.787893518522</v>
      </c>
      <c r="I6930" s="2">
        <v>5</v>
      </c>
      <c r="J6930" s="1">
        <v>46056.780034722222</v>
      </c>
    </row>
    <row r="6931" spans="1:10" x14ac:dyDescent="0.2">
      <c r="A6931" s="4" t="s">
        <v>1</v>
      </c>
      <c r="B6931" s="3" t="str">
        <f>HYPERLINK("https://otsuka-europe-crm.veevavault.com/ui/#object/approved_document__v/V5OZ04ASG4FWKA9", "Documento Autorizaciขn Centro Empleador")</f>
        <v>Documento Autorizaciขn Centro Empleador</v>
      </c>
      <c r="C6931" s="3" t="str">
        <f>HYPERLINK("https://otsuka-europe-crm.veevavault.com/ui/#object/sent_email__v/VBL000000019270", "SE-001402628")</f>
        <v>SE-001402628</v>
      </c>
      <c r="D6931" s="1">
        <v>46057.59039351852</v>
      </c>
      <c r="E6931" s="2">
        <v>1</v>
      </c>
      <c r="F6931" s="2">
        <v>1</v>
      </c>
      <c r="G6931" s="2">
        <v>1</v>
      </c>
      <c r="H6931" s="1">
        <v>46076.618020833332</v>
      </c>
      <c r="I6931" s="2">
        <v>6</v>
      </c>
      <c r="J6931" s="1">
        <v>46057.391157407408</v>
      </c>
    </row>
    <row r="6932" spans="1:10" x14ac:dyDescent="0.2">
      <c r="A6932" s="4" t="s">
        <v>1</v>
      </c>
      <c r="B6932" s="3" t="str">
        <f>HYPERLINK("https://otsuka-europe-crm.veevavault.com/ui/#object/approved_document__v/V5OZ04ASG4FWKA9", "Documento Autorizaciขn Centro Empleador")</f>
        <v>Documento Autorizaciขn Centro Empleador</v>
      </c>
      <c r="C6932" s="3" t="str">
        <f>HYPERLINK("https://otsuka-europe-crm.veevavault.com/ui/#object/sent_email__v/VBL000000019330", "SE-001402732")</f>
        <v>SE-001402732</v>
      </c>
      <c r="D6932" s="1">
        <v>46058.904479166667</v>
      </c>
      <c r="E6932" s="2">
        <v>1</v>
      </c>
      <c r="F6932" s="2">
        <v>1</v>
      </c>
      <c r="G6932" s="2">
        <v>1</v>
      </c>
      <c r="H6932" s="1">
        <v>46058.904479166667</v>
      </c>
      <c r="I6932" s="2">
        <v>1</v>
      </c>
      <c r="J6932" s="1">
        <v>46058.414606481485</v>
      </c>
    </row>
    <row r="6933" spans="1:10" x14ac:dyDescent="0.2">
      <c r="A6933" s="4" t="s">
        <v>1</v>
      </c>
      <c r="B6933" s="3" t="str">
        <f>HYPERLINK("https://otsuka-europe-crm.veevavault.com/ui/#object/approved_document__v/V5OZ04ASG4FWKA9", "Documento Autorizaciขn Centro Empleador")</f>
        <v>Documento Autorizaciขn Centro Empleador</v>
      </c>
      <c r="C6933" s="3" t="str">
        <f>HYPERLINK("https://otsuka-europe-crm.veevavault.com/ui/#object/sent_email__v/VBL00000001A180", "SE-001402753")</f>
        <v>SE-001402753</v>
      </c>
      <c r="D6933" s="1">
        <v>46058.494363425925</v>
      </c>
      <c r="E6933" s="2">
        <v>1</v>
      </c>
      <c r="F6933" s="2">
        <v>1</v>
      </c>
      <c r="G6933" s="2">
        <v>1</v>
      </c>
      <c r="H6933" s="1">
        <v>46058.494363425925</v>
      </c>
      <c r="I6933" s="2">
        <v>1</v>
      </c>
      <c r="J6933" s="1">
        <v>46058.491365740738</v>
      </c>
    </row>
    <row r="6934" spans="1:10" x14ac:dyDescent="0.2">
      <c r="A6934" s="4" t="s">
        <v>1</v>
      </c>
      <c r="B6934" s="3" t="str">
        <f>HYPERLINK("https://otsuka-europe-crm.veevavault.com/ui/#object/approved_document__v/V5OZ04ASG4FWKA9", "Documento Autorizaciขn Centro Empleador")</f>
        <v>Documento Autorizaciขn Centro Empleador</v>
      </c>
      <c r="C6934" s="3" t="str">
        <f>HYPERLINK("https://otsuka-europe-crm.veevavault.com/ui/#object/sent_email__v/VBL00000001A181", "SE-001402755")</f>
        <v>SE-001402755</v>
      </c>
      <c r="D6934" s="1">
        <v>46058.616064814814</v>
      </c>
      <c r="E6934" s="2">
        <v>1</v>
      </c>
      <c r="F6934" s="2">
        <v>2</v>
      </c>
      <c r="G6934" s="2">
        <v>1</v>
      </c>
      <c r="H6934" s="1">
        <v>46059.539340277777</v>
      </c>
      <c r="I6934" s="2">
        <v>14</v>
      </c>
      <c r="J6934" s="1">
        <v>46058.492662037039</v>
      </c>
    </row>
    <row r="6935" spans="1:10" x14ac:dyDescent="0.2">
      <c r="A6935" s="4" t="s">
        <v>1</v>
      </c>
      <c r="B6935" s="3" t="str">
        <f>HYPERLINK("https://otsuka-europe-crm.veevavault.com/ui/#object/approved_document__v/V5OZ04ASG4FWKA9", "Documento Autorizaciขn Centro Empleador")</f>
        <v>Documento Autorizaciขn Centro Empleador</v>
      </c>
      <c r="C6935" s="3" t="str">
        <f>HYPERLINK("https://otsuka-europe-crm.veevavault.com/ui/#object/sent_email__v/VBL00000001A182", "SE-001402756")</f>
        <v>SE-001402756</v>
      </c>
      <c r="D6935" s="1">
        <v>46061.26871527778</v>
      </c>
      <c r="E6935" s="2">
        <v>1</v>
      </c>
      <c r="F6935" s="2">
        <v>2</v>
      </c>
      <c r="G6935" s="2">
        <v>0</v>
      </c>
      <c r="H6935" s="1" t="s">
        <v>0</v>
      </c>
      <c r="I6935" s="2">
        <v>0</v>
      </c>
      <c r="J6935" s="1">
        <v>46058.493252314816</v>
      </c>
    </row>
    <row r="6936" spans="1:10" x14ac:dyDescent="0.2">
      <c r="A6936" s="4" t="s">
        <v>1</v>
      </c>
      <c r="B6936" s="3" t="str">
        <f>HYPERLINK("https://otsuka-europe-crm.veevavault.com/ui/#object/approved_document__v/V5OZ04ASG4FWKA9", "Documento Autorizaciขn Centro Empleador")</f>
        <v>Documento Autorizaciขn Centro Empleador</v>
      </c>
      <c r="C6936" s="3" t="str">
        <f>HYPERLINK("https://otsuka-europe-crm.veevavault.com/ui/#object/sent_email__v/VBL00000001A184", "SE-001402760")</f>
        <v>SE-001402760</v>
      </c>
      <c r="D6936" s="1">
        <v>46077.767962962964</v>
      </c>
      <c r="E6936" s="2">
        <v>1</v>
      </c>
      <c r="F6936" s="2">
        <v>4</v>
      </c>
      <c r="G6936" s="2">
        <v>1</v>
      </c>
      <c r="H6936" s="1">
        <v>46077.768055555556</v>
      </c>
      <c r="I6936" s="2">
        <v>2</v>
      </c>
      <c r="J6936" s="1">
        <v>46058.501458333332</v>
      </c>
    </row>
    <row r="6937" spans="1:10" x14ac:dyDescent="0.2">
      <c r="A6937" s="4" t="s">
        <v>1</v>
      </c>
      <c r="B6937" s="3" t="str">
        <f>HYPERLINK("https://otsuka-europe-crm.veevavault.com/ui/#object/approved_document__v/V5OZ04ASG4FWKA9", "Documento Autorizaciขn Centro Empleador")</f>
        <v>Documento Autorizaciขn Centro Empleador</v>
      </c>
      <c r="C6937" s="3" t="str">
        <f>HYPERLINK("https://otsuka-europe-crm.veevavault.com/ui/#object/sent_email__v/VBL00000001A185", "SE-001402761")</f>
        <v>SE-001402761</v>
      </c>
      <c r="D6937" s="1">
        <v>46058.796354166669</v>
      </c>
      <c r="E6937" s="2">
        <v>1</v>
      </c>
      <c r="F6937" s="2">
        <v>2</v>
      </c>
      <c r="G6937" s="2">
        <v>1</v>
      </c>
      <c r="H6937" s="1">
        <v>46058.796400462961</v>
      </c>
      <c r="I6937" s="2">
        <v>2</v>
      </c>
      <c r="J6937" s="1">
        <v>46058.502268518518</v>
      </c>
    </row>
    <row r="6938" spans="1:10" x14ac:dyDescent="0.2">
      <c r="A6938" s="4" t="s">
        <v>1</v>
      </c>
      <c r="B6938" s="3" t="str">
        <f>HYPERLINK("https://otsuka-europe-crm.veevavault.com/ui/#object/approved_document__v/V5OZ04ASG4FWKA9", "Documento Autorizaciขn Centro Empleador")</f>
        <v>Documento Autorizaciขn Centro Empleador</v>
      </c>
      <c r="C6938" s="3" t="str">
        <f>HYPERLINK("https://otsuka-europe-crm.veevavault.com/ui/#object/sent_email__v/VBL00000001A186", "SE-001402762")</f>
        <v>SE-001402762</v>
      </c>
      <c r="D6938" s="1">
        <v>46058.549421296295</v>
      </c>
      <c r="E6938" s="2">
        <v>1</v>
      </c>
      <c r="F6938" s="2">
        <v>1</v>
      </c>
      <c r="G6938" s="2">
        <v>1</v>
      </c>
      <c r="H6938" s="1">
        <v>46058.549537037034</v>
      </c>
      <c r="I6938" s="2">
        <v>1</v>
      </c>
      <c r="J6938" s="1">
        <v>46058.502893518518</v>
      </c>
    </row>
    <row r="6939" spans="1:10" x14ac:dyDescent="0.2">
      <c r="A6939" s="4" t="s">
        <v>1</v>
      </c>
      <c r="B6939" s="3" t="str">
        <f>HYPERLINK("https://otsuka-europe-crm.veevavault.com/ui/#object/approved_document__v/V5OZ04ASG4FWKA9", "Documento Autorizaciขn Centro Empleador")</f>
        <v>Documento Autorizaciขn Centro Empleador</v>
      </c>
      <c r="C6939" s="3" t="str">
        <f>HYPERLINK("https://otsuka-europe-crm.veevavault.com/ui/#object/sent_email__v/VBL00000001A195", "SE-001402773")</f>
        <v>SE-001402773</v>
      </c>
      <c r="D6939" s="1">
        <v>46058.614178240743</v>
      </c>
      <c r="E6939" s="2">
        <v>1</v>
      </c>
      <c r="F6939" s="2">
        <v>1</v>
      </c>
      <c r="G6939" s="2">
        <v>1</v>
      </c>
      <c r="H6939" s="1">
        <v>46058.614178240743</v>
      </c>
      <c r="I6939" s="2">
        <v>1</v>
      </c>
      <c r="J6939" s="1">
        <v>46058.526284722226</v>
      </c>
    </row>
    <row r="6940" spans="1:10" x14ac:dyDescent="0.2">
      <c r="A6940" s="4" t="s">
        <v>1</v>
      </c>
      <c r="B6940" s="3" t="str">
        <f>HYPERLINK("https://otsuka-europe-crm.veevavault.com/ui/#object/approved_document__v/V5OZ04ASG4FWKA9", "Documento Autorizaciขn Centro Empleador")</f>
        <v>Documento Autorizaciขn Centro Empleador</v>
      </c>
      <c r="C6940" s="3" t="str">
        <f>HYPERLINK("https://otsuka-europe-crm.veevavault.com/ui/#object/sent_email__v/VBL000000019364", "SE-001402789")</f>
        <v>SE-001402789</v>
      </c>
      <c r="D6940" s="1">
        <v>46058.579085648147</v>
      </c>
      <c r="E6940" s="2">
        <v>1</v>
      </c>
      <c r="F6940" s="2">
        <v>1</v>
      </c>
      <c r="G6940" s="2">
        <v>1</v>
      </c>
      <c r="H6940" s="1">
        <v>46058.647962962961</v>
      </c>
      <c r="I6940" s="2">
        <v>2</v>
      </c>
      <c r="J6940" s="1">
        <v>46058.574502314812</v>
      </c>
    </row>
    <row r="6941" spans="1:10" x14ac:dyDescent="0.2">
      <c r="A6941" s="4" t="s">
        <v>1</v>
      </c>
      <c r="B6941" s="3" t="str">
        <f>HYPERLINK("https://otsuka-europe-crm.veevavault.com/ui/#object/approved_document__v/V5OZ04ASG4FWKA9", "Documento Autorizaciขn Centro Empleador")</f>
        <v>Documento Autorizaciขn Centro Empleador</v>
      </c>
      <c r="C6941" s="3" t="str">
        <f>HYPERLINK("https://otsuka-europe-crm.veevavault.com/ui/#object/sent_email__v/VBL00000001A226", "SE-001402844")</f>
        <v>SE-001402844</v>
      </c>
      <c r="D6941" s="1">
        <v>46058.646863425929</v>
      </c>
      <c r="E6941" s="2">
        <v>1</v>
      </c>
      <c r="F6941" s="2">
        <v>2</v>
      </c>
      <c r="G6941" s="2">
        <v>1</v>
      </c>
      <c r="H6941" s="1">
        <v>46058.650763888887</v>
      </c>
      <c r="I6941" s="2">
        <v>2</v>
      </c>
      <c r="J6941" s="1">
        <v>46058.646192129629</v>
      </c>
    </row>
    <row r="6942" spans="1:10" x14ac:dyDescent="0.2">
      <c r="A6942" s="4" t="s">
        <v>1</v>
      </c>
      <c r="B6942" s="3" t="str">
        <f>HYPERLINK("https://otsuka-europe-crm.veevavault.com/ui/#object/approved_document__v/V5OZ04ASG4FWKA9", "Documento Autorizaciขn Centro Empleador")</f>
        <v>Documento Autorizaciขn Centro Empleador</v>
      </c>
      <c r="C6942" s="3" t="str">
        <f>HYPERLINK("https://otsuka-europe-crm.veevavault.com/ui/#object/sent_email__v/VBL000000019453", "SE-001402930")</f>
        <v>SE-001402930</v>
      </c>
      <c r="D6942" s="1" t="s">
        <v>0</v>
      </c>
      <c r="E6942" s="2">
        <v>0</v>
      </c>
      <c r="F6942" s="2">
        <v>0</v>
      </c>
      <c r="G6942" s="2">
        <v>0</v>
      </c>
      <c r="H6942" s="1" t="s">
        <v>0</v>
      </c>
      <c r="I6942" s="2">
        <v>0</v>
      </c>
      <c r="J6942" s="1">
        <v>46058.712222222224</v>
      </c>
    </row>
    <row r="6943" spans="1:10" x14ac:dyDescent="0.2">
      <c r="A6943" s="4" t="s">
        <v>1</v>
      </c>
      <c r="B6943" s="3" t="str">
        <f>HYPERLINK("https://otsuka-europe-crm.veevavault.com/ui/#object/approved_document__v/V5OZ04ASG4FWKA9", "Documento Autorizaciขn Centro Empleador")</f>
        <v>Documento Autorizaciขn Centro Empleador</v>
      </c>
      <c r="C6943" s="3" t="str">
        <f>HYPERLINK("https://otsuka-europe-crm.veevavault.com/ui/#object/sent_email__v/VBL00000001A259", "SE-001402931")</f>
        <v>SE-001402931</v>
      </c>
      <c r="D6943" s="1">
        <v>46058.73333333333</v>
      </c>
      <c r="E6943" s="2">
        <v>1</v>
      </c>
      <c r="F6943" s="2">
        <v>3</v>
      </c>
      <c r="G6943" s="2">
        <v>1</v>
      </c>
      <c r="H6943" s="1">
        <v>46058.733356481483</v>
      </c>
      <c r="I6943" s="2">
        <v>5</v>
      </c>
      <c r="J6943" s="1">
        <v>46058.726782407408</v>
      </c>
    </row>
    <row r="6944" spans="1:10" x14ac:dyDescent="0.2">
      <c r="A6944" s="4" t="s">
        <v>1</v>
      </c>
      <c r="B6944" s="3" t="str">
        <f>HYPERLINK("https://otsuka-europe-crm.veevavault.com/ui/#object/approved_document__v/V5OZ04ASG4FWKA9", "Documento Autorizaciขn Centro Empleador")</f>
        <v>Documento Autorizaciขn Centro Empleador</v>
      </c>
      <c r="C6944" s="3" t="str">
        <f>HYPERLINK("https://otsuka-europe-crm.veevavault.com/ui/#object/sent_email__v/VBL00000001A260", "SE-001402932")</f>
        <v>SE-001402932</v>
      </c>
      <c r="D6944" s="1">
        <v>46074.13244212963</v>
      </c>
      <c r="E6944" s="2">
        <v>1</v>
      </c>
      <c r="F6944" s="2">
        <v>2</v>
      </c>
      <c r="G6944" s="2">
        <v>1</v>
      </c>
      <c r="H6944" s="1">
        <v>46058.728576388887</v>
      </c>
      <c r="I6944" s="2">
        <v>1</v>
      </c>
      <c r="J6944" s="1">
        <v>46058.72729166667</v>
      </c>
    </row>
    <row r="6945" spans="1:10" x14ac:dyDescent="0.2">
      <c r="A6945" s="4" t="s">
        <v>1</v>
      </c>
      <c r="B6945" s="3" t="str">
        <f>HYPERLINK("https://otsuka-europe-crm.veevavault.com/ui/#object/approved_document__v/V5OZ04ASG4FWKA9", "Documento Autorizaciขn Centro Empleador")</f>
        <v>Documento Autorizaciขn Centro Empleador</v>
      </c>
      <c r="C6945" s="3" t="str">
        <f>HYPERLINK("https://otsuka-europe-crm.veevavault.com/ui/#object/sent_email__v/VBL000000019454", "SE-001402933")</f>
        <v>SE-001402933</v>
      </c>
      <c r="D6945" s="1">
        <v>46059.393807870372</v>
      </c>
      <c r="E6945" s="2">
        <v>1</v>
      </c>
      <c r="F6945" s="2">
        <v>2</v>
      </c>
      <c r="G6945" s="2">
        <v>1</v>
      </c>
      <c r="H6945" s="1">
        <v>46058.73914351852</v>
      </c>
      <c r="I6945" s="2">
        <v>1</v>
      </c>
      <c r="J6945" s="1">
        <v>46058.738715277781</v>
      </c>
    </row>
    <row r="6946" spans="1:10" x14ac:dyDescent="0.2">
      <c r="A6946" s="4" t="s">
        <v>1</v>
      </c>
      <c r="B6946" s="3" t="str">
        <f>HYPERLINK("https://otsuka-europe-crm.veevavault.com/ui/#object/approved_document__v/V5OZ04ASG4FWKA9", "Documento Autorizaciขn Centro Empleador")</f>
        <v>Documento Autorizaciขn Centro Empleador</v>
      </c>
      <c r="C6946" s="3" t="str">
        <f>HYPERLINK("https://otsuka-europe-crm.veevavault.com/ui/#object/sent_email__v/VBL00000001B003", "SE-001402936")</f>
        <v>SE-001402936</v>
      </c>
      <c r="D6946" s="1">
        <v>46070.444409722222</v>
      </c>
      <c r="E6946" s="2">
        <v>1</v>
      </c>
      <c r="F6946" s="2">
        <v>4</v>
      </c>
      <c r="G6946" s="2">
        <v>1</v>
      </c>
      <c r="H6946" s="1">
        <v>46058.827037037037</v>
      </c>
      <c r="I6946" s="2">
        <v>1</v>
      </c>
      <c r="J6946" s="1">
        <v>46058.807893518519</v>
      </c>
    </row>
    <row r="6947" spans="1:10" x14ac:dyDescent="0.2">
      <c r="A6947" s="4" t="s">
        <v>1</v>
      </c>
      <c r="B6947" s="3" t="str">
        <f>HYPERLINK("https://otsuka-europe-crm.veevavault.com/ui/#object/approved_document__v/V5OZ04ASG4FWKA9", "Documento Autorizaciขn Centro Empleador")</f>
        <v>Documento Autorizaciขn Centro Empleador</v>
      </c>
      <c r="C6947" s="3" t="str">
        <f>HYPERLINK("https://otsuka-europe-crm.veevavault.com/ui/#object/sent_email__v/VBL00000001C033", "SE-001402980")</f>
        <v>SE-001402980</v>
      </c>
      <c r="D6947" s="1">
        <v>46059.570983796293</v>
      </c>
      <c r="E6947" s="2">
        <v>1</v>
      </c>
      <c r="F6947" s="2">
        <v>3</v>
      </c>
      <c r="G6947" s="2">
        <v>1</v>
      </c>
      <c r="H6947" s="1">
        <v>46059.424733796295</v>
      </c>
      <c r="I6947" s="2">
        <v>2</v>
      </c>
      <c r="J6947" s="1">
        <v>46059.404513888891</v>
      </c>
    </row>
    <row r="6948" spans="1:10" x14ac:dyDescent="0.2">
      <c r="A6948" s="4" t="s">
        <v>1</v>
      </c>
      <c r="B6948" s="3" t="str">
        <f>HYPERLINK("https://otsuka-europe-crm.veevavault.com/ui/#object/approved_document__v/V5OZ04ASG4FWKA9", "Documento Autorizaciขn Centro Empleador")</f>
        <v>Documento Autorizaciขn Centro Empleador</v>
      </c>
      <c r="C6948" s="3" t="str">
        <f>HYPERLINK("https://otsuka-europe-crm.veevavault.com/ui/#object/sent_email__v/VBL00000001C034", "SE-001402981")</f>
        <v>SE-001402981</v>
      </c>
      <c r="D6948" s="1">
        <v>46059.590601851851</v>
      </c>
      <c r="E6948" s="2">
        <v>1</v>
      </c>
      <c r="F6948" s="2">
        <v>2</v>
      </c>
      <c r="G6948" s="2">
        <v>1</v>
      </c>
      <c r="H6948" s="1">
        <v>46059.511145833334</v>
      </c>
      <c r="I6948" s="2">
        <v>4</v>
      </c>
      <c r="J6948" s="1">
        <v>46059.406574074077</v>
      </c>
    </row>
    <row r="6949" spans="1:10" x14ac:dyDescent="0.2">
      <c r="A6949" s="4" t="s">
        <v>1</v>
      </c>
      <c r="B6949" s="3" t="str">
        <f>HYPERLINK("https://otsuka-europe-crm.veevavault.com/ui/#object/approved_document__v/V5OZ04ASG4FWKA9", "Documento Autorizaciขn Centro Empleador")</f>
        <v>Documento Autorizaciขn Centro Empleador</v>
      </c>
      <c r="C6949" s="3" t="str">
        <f>HYPERLINK("https://otsuka-europe-crm.veevavault.com/ui/#object/sent_email__v/VBL00000001C035", "SE-001402982")</f>
        <v>SE-001402982</v>
      </c>
      <c r="D6949" s="1">
        <v>46059.442673611113</v>
      </c>
      <c r="E6949" s="2">
        <v>1</v>
      </c>
      <c r="F6949" s="2">
        <v>2</v>
      </c>
      <c r="G6949" s="2">
        <v>1</v>
      </c>
      <c r="H6949" s="1">
        <v>46059.443252314813</v>
      </c>
      <c r="I6949" s="2">
        <v>2</v>
      </c>
      <c r="J6949" s="1">
        <v>46059.40724537037</v>
      </c>
    </row>
    <row r="6950" spans="1:10" x14ac:dyDescent="0.2">
      <c r="A6950" s="4" t="s">
        <v>1</v>
      </c>
      <c r="B6950" s="3" t="str">
        <f>HYPERLINK("https://otsuka-europe-crm.veevavault.com/ui/#object/approved_document__v/V5OZ04ASG4FWKA9", "Documento Autorizaciขn Centro Empleador")</f>
        <v>Documento Autorizaciขn Centro Empleador</v>
      </c>
      <c r="C6950" s="3" t="str">
        <f>HYPERLINK("https://otsuka-europe-crm.veevavault.com/ui/#object/sent_email__v/VBL00000001B025", "SE-001402987")</f>
        <v>SE-001402987</v>
      </c>
      <c r="D6950" s="1">
        <v>46061.704918981479</v>
      </c>
      <c r="E6950" s="2">
        <v>1</v>
      </c>
      <c r="F6950" s="2">
        <v>3</v>
      </c>
      <c r="G6950" s="2">
        <v>1</v>
      </c>
      <c r="H6950" s="1">
        <v>46059.458958333336</v>
      </c>
      <c r="I6950" s="2">
        <v>2</v>
      </c>
      <c r="J6950" s="1">
        <v>46059.408009259256</v>
      </c>
    </row>
    <row r="6951" spans="1:10" x14ac:dyDescent="0.2">
      <c r="A6951" s="4" t="s">
        <v>1</v>
      </c>
      <c r="B6951" s="3" t="str">
        <f>HYPERLINK("https://otsuka-europe-crm.veevavault.com/ui/#object/approved_document__v/V5OZ04ASG4FWKA9", "Documento Autorizaciขn Centro Empleador")</f>
        <v>Documento Autorizaciขn Centro Empleador</v>
      </c>
      <c r="C6951" s="3" t="str">
        <f>HYPERLINK("https://otsuka-europe-crm.veevavault.com/ui/#object/sent_email__v/VBL00000001B026", "SE-001402988")</f>
        <v>SE-001402988</v>
      </c>
      <c r="D6951" s="1">
        <v>46069.019513888888</v>
      </c>
      <c r="E6951" s="2">
        <v>1</v>
      </c>
      <c r="F6951" s="2">
        <v>6</v>
      </c>
      <c r="G6951" s="2">
        <v>1</v>
      </c>
      <c r="H6951" s="1">
        <v>46061.477002314816</v>
      </c>
      <c r="I6951" s="2">
        <v>2</v>
      </c>
      <c r="J6951" s="1">
        <v>46059.409467592595</v>
      </c>
    </row>
    <row r="6952" spans="1:10" x14ac:dyDescent="0.2">
      <c r="A6952" s="4" t="s">
        <v>1</v>
      </c>
      <c r="B6952" s="3" t="str">
        <f>HYPERLINK("https://otsuka-europe-crm.veevavault.com/ui/#object/approved_document__v/V5OZ04ASG4FWKA9", "Documento Autorizaciขn Centro Empleador")</f>
        <v>Documento Autorizaciขn Centro Empleador</v>
      </c>
      <c r="C6952" s="3" t="str">
        <f>HYPERLINK("https://otsuka-europe-crm.veevavault.com/ui/#object/sent_email__v/VBL00000001B036", "SE-001402998")</f>
        <v>SE-001402998</v>
      </c>
      <c r="D6952" s="1">
        <v>46059.573796296296</v>
      </c>
      <c r="E6952" s="2">
        <v>1</v>
      </c>
      <c r="F6952" s="2">
        <v>2</v>
      </c>
      <c r="G6952" s="2">
        <v>1</v>
      </c>
      <c r="H6952" s="1">
        <v>46059.415081018517</v>
      </c>
      <c r="I6952" s="2">
        <v>1</v>
      </c>
      <c r="J6952" s="1">
        <v>46059.410034722219</v>
      </c>
    </row>
    <row r="6953" spans="1:10" x14ac:dyDescent="0.2">
      <c r="A6953" s="4" t="s">
        <v>1</v>
      </c>
      <c r="B6953" s="3" t="str">
        <f>HYPERLINK("https://otsuka-europe-crm.veevavault.com/ui/#object/approved_document__v/V5OZ04ASG4FWKA9", "Documento Autorizaciขn Centro Empleador")</f>
        <v>Documento Autorizaciขn Centro Empleador</v>
      </c>
      <c r="C6953" s="3" t="str">
        <f>HYPERLINK("https://otsuka-europe-crm.veevavault.com/ui/#object/sent_email__v/VBL00000001B037", "SE-001402999")</f>
        <v>SE-001402999</v>
      </c>
      <c r="D6953" s="1">
        <v>46060.784710648149</v>
      </c>
      <c r="E6953" s="2">
        <v>1</v>
      </c>
      <c r="F6953" s="2">
        <v>2</v>
      </c>
      <c r="G6953" s="2">
        <v>1</v>
      </c>
      <c r="H6953" s="1">
        <v>46060.746469907404</v>
      </c>
      <c r="I6953" s="2">
        <v>2</v>
      </c>
      <c r="J6953" s="1">
        <v>46059.411006944443</v>
      </c>
    </row>
    <row r="6954" spans="1:10" x14ac:dyDescent="0.2">
      <c r="A6954" s="4" t="s">
        <v>1</v>
      </c>
      <c r="B6954" s="3" t="str">
        <f>HYPERLINK("https://otsuka-europe-crm.veevavault.com/ui/#object/approved_document__v/V5OZ04ASG4FWKA9", "Documento Autorizaciขn Centro Empleador")</f>
        <v>Documento Autorizaciขn Centro Empleador</v>
      </c>
      <c r="C6954" s="3" t="str">
        <f>HYPERLINK("https://otsuka-europe-crm.veevavault.com/ui/#object/sent_email__v/VBL00000001B045", "SE-001403007")</f>
        <v>SE-001403007</v>
      </c>
      <c r="D6954" s="1">
        <v>46073.73773148148</v>
      </c>
      <c r="E6954" s="2">
        <v>1</v>
      </c>
      <c r="F6954" s="2">
        <v>2</v>
      </c>
      <c r="G6954" s="2">
        <v>1</v>
      </c>
      <c r="H6954" s="1">
        <v>46073.31449074074</v>
      </c>
      <c r="I6954" s="2">
        <v>2</v>
      </c>
      <c r="J6954" s="1">
        <v>46059.413460648146</v>
      </c>
    </row>
    <row r="6955" spans="1:10" x14ac:dyDescent="0.2">
      <c r="A6955" s="4" t="s">
        <v>1</v>
      </c>
      <c r="B6955" s="3" t="str">
        <f>HYPERLINK("https://otsuka-europe-crm.veevavault.com/ui/#object/approved_document__v/V5OZ04ASG4FWKA9", "Documento Autorizaciขn Centro Empleador")</f>
        <v>Documento Autorizaciขn Centro Empleador</v>
      </c>
      <c r="C6955" s="3" t="str">
        <f>HYPERLINK("https://otsuka-europe-crm.veevavault.com/ui/#object/sent_email__v/VBL00000001C071", "SE-001403061")</f>
        <v>SE-001403061</v>
      </c>
      <c r="D6955" s="1">
        <v>46059.579918981479</v>
      </c>
      <c r="E6955" s="2">
        <v>1</v>
      </c>
      <c r="F6955" s="2">
        <v>2</v>
      </c>
      <c r="G6955" s="2">
        <v>1</v>
      </c>
      <c r="H6955" s="1">
        <v>46059.46539351852</v>
      </c>
      <c r="I6955" s="2">
        <v>1</v>
      </c>
      <c r="J6955" s="1">
        <v>46059.461261574077</v>
      </c>
    </row>
    <row r="6956" spans="1:10" x14ac:dyDescent="0.2">
      <c r="A6956" s="4" t="s">
        <v>1</v>
      </c>
      <c r="B6956" s="3" t="str">
        <f>HYPERLINK("https://otsuka-europe-crm.veevavault.com/ui/#object/approved_document__v/V5OZ04ASG4FWKA9", "Documento Autorizaciขn Centro Empleador")</f>
        <v>Documento Autorizaciขn Centro Empleador</v>
      </c>
      <c r="C6956" s="3" t="str">
        <f>HYPERLINK("https://otsuka-europe-crm.veevavault.com/ui/#object/sent_email__v/VBL00000001B070", "SE-001403064")</f>
        <v>SE-001403064</v>
      </c>
      <c r="D6956" s="1" t="s">
        <v>0</v>
      </c>
      <c r="E6956" s="2">
        <v>0</v>
      </c>
      <c r="F6956" s="2">
        <v>0</v>
      </c>
      <c r="G6956" s="2">
        <v>0</v>
      </c>
      <c r="H6956" s="1" t="s">
        <v>0</v>
      </c>
      <c r="I6956" s="2">
        <v>0</v>
      </c>
      <c r="J6956" s="1">
        <v>46059.467013888891</v>
      </c>
    </row>
    <row r="6957" spans="1:10" x14ac:dyDescent="0.2">
      <c r="A6957" s="4" t="s">
        <v>1</v>
      </c>
      <c r="B6957" s="3" t="str">
        <f>HYPERLINK("https://otsuka-europe-crm.veevavault.com/ui/#object/approved_document__v/V5OZ04ASG4FWKA9", "Documento Autorizaciขn Centro Empleador")</f>
        <v>Documento Autorizaciขn Centro Empleador</v>
      </c>
      <c r="C6957" s="3" t="str">
        <f>HYPERLINK("https://otsuka-europe-crm.veevavault.com/ui/#object/sent_email__v/VBL00000001C078", "SE-001403078")</f>
        <v>SE-001403078</v>
      </c>
      <c r="D6957" s="1">
        <v>46059.535671296297</v>
      </c>
      <c r="E6957" s="2">
        <v>1</v>
      </c>
      <c r="F6957" s="2">
        <v>1</v>
      </c>
      <c r="G6957" s="2">
        <v>1</v>
      </c>
      <c r="H6957" s="1">
        <v>46059.535671296297</v>
      </c>
      <c r="I6957" s="2">
        <v>1</v>
      </c>
      <c r="J6957" s="1">
        <v>46059.533564814818</v>
      </c>
    </row>
    <row r="6958" spans="1:10" x14ac:dyDescent="0.2">
      <c r="A6958" s="4" t="s">
        <v>1</v>
      </c>
      <c r="B6958" s="3" t="str">
        <f>HYPERLINK("https://otsuka-europe-crm.veevavault.com/ui/#object/approved_document__v/V5OZ04ASG4FWKA9", "Documento Autorizaciขn Centro Empleador")</f>
        <v>Documento Autorizaciขn Centro Empleador</v>
      </c>
      <c r="C6958" s="3" t="str">
        <f>HYPERLINK("https://otsuka-europe-crm.veevavault.com/ui/#object/sent_email__v/VBL00000001C085", "SE-001403089")</f>
        <v>SE-001403089</v>
      </c>
      <c r="D6958" s="1">
        <v>46061.719733796293</v>
      </c>
      <c r="E6958" s="2">
        <v>1</v>
      </c>
      <c r="F6958" s="2">
        <v>2</v>
      </c>
      <c r="G6958" s="2">
        <v>1</v>
      </c>
      <c r="H6958" s="1">
        <v>46061.737662037034</v>
      </c>
      <c r="I6958" s="2">
        <v>2</v>
      </c>
      <c r="J6958" s="1">
        <v>46059.606145833335</v>
      </c>
    </row>
    <row r="6959" spans="1:10" x14ac:dyDescent="0.2">
      <c r="A6959" s="4" t="s">
        <v>1</v>
      </c>
      <c r="B6959" s="3" t="str">
        <f>HYPERLINK("https://otsuka-europe-crm.veevavault.com/ui/#object/approved_document__v/V5OZ04ASG4FWKA9", "Documento Autorizaciขn Centro Empleador")</f>
        <v>Documento Autorizaciขn Centro Empleador</v>
      </c>
      <c r="C6959" s="3" t="str">
        <f>HYPERLINK("https://otsuka-europe-crm.veevavault.com/ui/#object/sent_email__v/VBL00000001C086", "SE-001403090")</f>
        <v>SE-001403090</v>
      </c>
      <c r="D6959" s="1" t="s">
        <v>0</v>
      </c>
      <c r="E6959" s="2">
        <v>0</v>
      </c>
      <c r="F6959" s="2">
        <v>0</v>
      </c>
      <c r="G6959" s="2">
        <v>0</v>
      </c>
      <c r="H6959" s="1" t="s">
        <v>0</v>
      </c>
      <c r="I6959" s="2">
        <v>0</v>
      </c>
      <c r="J6959" s="1">
        <v>46059.608969907407</v>
      </c>
    </row>
    <row r="6960" spans="1:10" x14ac:dyDescent="0.2">
      <c r="A6960" s="4" t="s">
        <v>1</v>
      </c>
      <c r="B6960" s="3" t="str">
        <f>HYPERLINK("https://otsuka-europe-crm.veevavault.com/ui/#object/approved_document__v/V5OZ04ASG4FWKA9", "Documento Autorizaciขn Centro Empleador")</f>
        <v>Documento Autorizaciขn Centro Empleador</v>
      </c>
      <c r="C6960" s="3" t="str">
        <f>HYPERLINK("https://otsuka-europe-crm.veevavault.com/ui/#object/sent_email__v/VBL00000001C087", "SE-001403091")</f>
        <v>SE-001403091</v>
      </c>
      <c r="D6960" s="1">
        <v>46059.65</v>
      </c>
      <c r="E6960" s="2">
        <v>1</v>
      </c>
      <c r="F6960" s="2">
        <v>1</v>
      </c>
      <c r="G6960" s="2">
        <v>1</v>
      </c>
      <c r="H6960" s="1">
        <v>46059.650231481479</v>
      </c>
      <c r="I6960" s="2">
        <v>1</v>
      </c>
      <c r="J6960" s="1">
        <v>46059.62431712963</v>
      </c>
    </row>
    <row r="6961" spans="1:10" x14ac:dyDescent="0.2">
      <c r="A6961" s="4" t="s">
        <v>1</v>
      </c>
      <c r="B6961" s="3" t="str">
        <f>HYPERLINK("https://otsuka-europe-crm.veevavault.com/ui/#object/approved_document__v/V5OZ04ASG4FWKA9", "Documento Autorizaciขn Centro Empleador")</f>
        <v>Documento Autorizaciขn Centro Empleador</v>
      </c>
      <c r="C6961" s="3" t="str">
        <f>HYPERLINK("https://otsuka-europe-crm.veevavault.com/ui/#object/sent_email__v/VBL00000001C093", "SE-001403099")</f>
        <v>SE-001403099</v>
      </c>
      <c r="D6961" s="1">
        <v>46062.306458333333</v>
      </c>
      <c r="E6961" s="2">
        <v>1</v>
      </c>
      <c r="F6961" s="2">
        <v>1</v>
      </c>
      <c r="G6961" s="2">
        <v>1</v>
      </c>
      <c r="H6961" s="1">
        <v>46062.306851851848</v>
      </c>
      <c r="I6961" s="2">
        <v>2</v>
      </c>
      <c r="J6961" s="1">
        <v>46059.740185185183</v>
      </c>
    </row>
    <row r="6962" spans="1:10" x14ac:dyDescent="0.2">
      <c r="A6962" s="4" t="s">
        <v>1</v>
      </c>
      <c r="B6962" s="3" t="str">
        <f>HYPERLINK("https://otsuka-europe-crm.veevavault.com/ui/#object/approved_document__v/V5OZ04ASG4FWKA9", "Documento Autorizaciขn Centro Empleador")</f>
        <v>Documento Autorizaciขn Centro Empleador</v>
      </c>
      <c r="C6962" s="3" t="str">
        <f>HYPERLINK("https://otsuka-europe-crm.veevavault.com/ui/#object/sent_email__v/VBL00000001B107", "SE-001403122")</f>
        <v>SE-001403122</v>
      </c>
      <c r="D6962" s="1">
        <v>46063.943136574075</v>
      </c>
      <c r="E6962" s="2">
        <v>1</v>
      </c>
      <c r="F6962" s="2">
        <v>1</v>
      </c>
      <c r="G6962" s="2">
        <v>0</v>
      </c>
      <c r="H6962" s="1" t="s">
        <v>0</v>
      </c>
      <c r="I6962" s="2">
        <v>0</v>
      </c>
      <c r="J6962" s="1">
        <v>46062.368819444448</v>
      </c>
    </row>
    <row r="6963" spans="1:10" x14ac:dyDescent="0.2">
      <c r="A6963" s="4" t="s">
        <v>1</v>
      </c>
      <c r="B6963" s="3" t="str">
        <f>HYPERLINK("https://otsuka-europe-crm.veevavault.com/ui/#object/approved_document__v/V5OZ04ASG4FWKA9", "Documento Autorizaciขn Centro Empleador")</f>
        <v>Documento Autorizaciขn Centro Empleador</v>
      </c>
      <c r="C6963" s="3" t="str">
        <f>HYPERLINK("https://otsuka-europe-crm.veevavault.com/ui/#object/sent_email__v/VBL00000001C116", "SE-001403304")</f>
        <v>SE-001403304</v>
      </c>
      <c r="D6963" s="1">
        <v>46078.656886574077</v>
      </c>
      <c r="E6963" s="2">
        <v>1</v>
      </c>
      <c r="F6963" s="2">
        <v>3</v>
      </c>
      <c r="G6963" s="2">
        <v>1</v>
      </c>
      <c r="H6963" s="1">
        <v>46062.453958333332</v>
      </c>
      <c r="I6963" s="2">
        <v>1</v>
      </c>
      <c r="J6963" s="1">
        <v>46062.450219907405</v>
      </c>
    </row>
    <row r="6964" spans="1:10" x14ac:dyDescent="0.2">
      <c r="A6964" s="4" t="s">
        <v>1</v>
      </c>
      <c r="B6964" s="3" t="str">
        <f>HYPERLINK("https://otsuka-europe-crm.veevavault.com/ui/#object/approved_document__v/V5OZ04ASG4FWKA9", "Documento Autorizaciขn Centro Empleador")</f>
        <v>Documento Autorizaciขn Centro Empleador</v>
      </c>
      <c r="C6964" s="3" t="str">
        <f>HYPERLINK("https://otsuka-europe-crm.veevavault.com/ui/#object/sent_email__v/VBL00000001B284", "SE-001403308")</f>
        <v>SE-001403308</v>
      </c>
      <c r="D6964" s="1">
        <v>46063.469652777778</v>
      </c>
      <c r="E6964" s="2">
        <v>1</v>
      </c>
      <c r="F6964" s="2">
        <v>3</v>
      </c>
      <c r="G6964" s="2">
        <v>0</v>
      </c>
      <c r="H6964" s="1" t="s">
        <v>0</v>
      </c>
      <c r="I6964" s="2">
        <v>0</v>
      </c>
      <c r="J6964" s="1">
        <v>46062.455416666664</v>
      </c>
    </row>
    <row r="6965" spans="1:10" x14ac:dyDescent="0.2">
      <c r="A6965" s="4" t="s">
        <v>1</v>
      </c>
      <c r="B6965" s="3" t="str">
        <f>HYPERLINK("https://otsuka-europe-crm.veevavault.com/ui/#object/approved_document__v/V5OZ04ASG4FWKA9", "Documento Autorizaciขn Centro Empleador")</f>
        <v>Documento Autorizaciขn Centro Empleador</v>
      </c>
      <c r="C6965" s="3" t="str">
        <f>HYPERLINK("https://otsuka-europe-crm.veevavault.com/ui/#object/sent_email__v/VBL00000001B288", "SE-001403312")</f>
        <v>SE-001403312</v>
      </c>
      <c r="D6965" s="1">
        <v>46070.821134259262</v>
      </c>
      <c r="E6965" s="2">
        <v>1</v>
      </c>
      <c r="F6965" s="2">
        <v>6</v>
      </c>
      <c r="G6965" s="2">
        <v>1</v>
      </c>
      <c r="H6965" s="1">
        <v>46062.529224537036</v>
      </c>
      <c r="I6965" s="2">
        <v>1</v>
      </c>
      <c r="J6965" s="1">
        <v>46062.458715277775</v>
      </c>
    </row>
    <row r="6966" spans="1:10" x14ac:dyDescent="0.2">
      <c r="A6966" s="4" t="s">
        <v>1</v>
      </c>
      <c r="B6966" s="3" t="str">
        <f>HYPERLINK("https://otsuka-europe-crm.veevavault.com/ui/#object/approved_document__v/V5OZ04ASG4FWKA9", "Documento Autorizaciขn Centro Empleador")</f>
        <v>Documento Autorizaciขn Centro Empleador</v>
      </c>
      <c r="C6966" s="3" t="str">
        <f>HYPERLINK("https://otsuka-europe-crm.veevavault.com/ui/#object/sent_email__v/VBL00000001C117", "SE-001403313")</f>
        <v>SE-001403313</v>
      </c>
      <c r="D6966" s="1">
        <v>46062.903611111113</v>
      </c>
      <c r="E6966" s="2">
        <v>1</v>
      </c>
      <c r="F6966" s="2">
        <v>6</v>
      </c>
      <c r="G6966" s="2">
        <v>1</v>
      </c>
      <c r="H6966" s="1">
        <v>46062.808819444443</v>
      </c>
      <c r="I6966" s="2">
        <v>1</v>
      </c>
      <c r="J6966" s="1">
        <v>46062.462337962963</v>
      </c>
    </row>
    <row r="6967" spans="1:10" x14ac:dyDescent="0.2">
      <c r="A6967" s="4" t="s">
        <v>1</v>
      </c>
      <c r="B6967" s="3" t="str">
        <f>HYPERLINK("https://otsuka-europe-crm.veevavault.com/ui/#object/approved_document__v/V5OZ04ASG4FWKA9", "Documento Autorizaciขn Centro Empleador")</f>
        <v>Documento Autorizaciขn Centro Empleador</v>
      </c>
      <c r="C6967" s="3" t="str">
        <f>HYPERLINK("https://otsuka-europe-crm.veevavault.com/ui/#object/sent_email__v/VBL00000001C118", "SE-001403314")</f>
        <v>SE-001403314</v>
      </c>
      <c r="D6967" s="1">
        <v>46064.489641203705</v>
      </c>
      <c r="E6967" s="2">
        <v>1</v>
      </c>
      <c r="F6967" s="2">
        <v>2</v>
      </c>
      <c r="G6967" s="2">
        <v>1</v>
      </c>
      <c r="H6967" s="1">
        <v>46062.521666666667</v>
      </c>
      <c r="I6967" s="2">
        <v>3</v>
      </c>
      <c r="J6967" s="1">
        <v>46062.464537037034</v>
      </c>
    </row>
    <row r="6968" spans="1:10" x14ac:dyDescent="0.2">
      <c r="A6968" s="4" t="s">
        <v>1</v>
      </c>
      <c r="B6968" s="3" t="str">
        <f>HYPERLINK("https://otsuka-europe-crm.veevavault.com/ui/#object/approved_document__v/V5OZ04ASG4FWKA9", "Documento Autorizaciขn Centro Empleador")</f>
        <v>Documento Autorizaciขn Centro Empleador</v>
      </c>
      <c r="C6968" s="3" t="str">
        <f>HYPERLINK("https://otsuka-europe-crm.veevavault.com/ui/#object/sent_email__v/VBL00000001C259", "SE-001403491")</f>
        <v>SE-001403491</v>
      </c>
      <c r="D6968" s="1">
        <v>46070.410763888889</v>
      </c>
      <c r="E6968" s="2">
        <v>1</v>
      </c>
      <c r="F6968" s="2">
        <v>5</v>
      </c>
      <c r="G6968" s="2">
        <v>1</v>
      </c>
      <c r="H6968" s="1">
        <v>46070.410821759258</v>
      </c>
      <c r="I6968" s="2">
        <v>2</v>
      </c>
      <c r="J6968" s="1">
        <v>46062.498067129629</v>
      </c>
    </row>
    <row r="6969" spans="1:10" x14ac:dyDescent="0.2">
      <c r="A6969" s="4" t="s">
        <v>1</v>
      </c>
      <c r="B6969" s="3" t="str">
        <f>HYPERLINK("https://otsuka-europe-crm.veevavault.com/ui/#object/approved_document__v/V5OZ04ASG4FWKA9", "Documento Autorizaciขn Centro Empleador")</f>
        <v>Documento Autorizaciขn Centro Empleador</v>
      </c>
      <c r="C6969" s="3" t="str">
        <f>HYPERLINK("https://otsuka-europe-crm.veevavault.com/ui/#object/sent_email__v/VBL00000001C261", "SE-001403493")</f>
        <v>SE-001403493</v>
      </c>
      <c r="D6969" s="1">
        <v>46062.501805555556</v>
      </c>
      <c r="E6969" s="2">
        <v>1</v>
      </c>
      <c r="F6969" s="2">
        <v>2</v>
      </c>
      <c r="G6969" s="2">
        <v>1</v>
      </c>
      <c r="H6969" s="1">
        <v>46062.505046296297</v>
      </c>
      <c r="I6969" s="2">
        <v>4</v>
      </c>
      <c r="J6969" s="1">
        <v>46062.499594907407</v>
      </c>
    </row>
    <row r="6970" spans="1:10" x14ac:dyDescent="0.2">
      <c r="A6970" s="4" t="s">
        <v>1</v>
      </c>
      <c r="B6970" s="3" t="str">
        <f>HYPERLINK("https://otsuka-europe-crm.veevavault.com/ui/#object/approved_document__v/V5OZ04ASG4FWKA9", "Documento Autorizaciขn Centro Empleador")</f>
        <v>Documento Autorizaciขn Centro Empleador</v>
      </c>
      <c r="C6970" s="3" t="str">
        <f>HYPERLINK("https://otsuka-europe-crm.veevavault.com/ui/#object/sent_email__v/VBL00000001C262", "SE-001403494")</f>
        <v>SE-001403494</v>
      </c>
      <c r="D6970" s="1">
        <v>46077.716990740744</v>
      </c>
      <c r="E6970" s="2">
        <v>1</v>
      </c>
      <c r="F6970" s="2">
        <v>21</v>
      </c>
      <c r="G6970" s="2">
        <v>1</v>
      </c>
      <c r="H6970" s="1">
        <v>46062.547430555554</v>
      </c>
      <c r="I6970" s="2">
        <v>8</v>
      </c>
      <c r="J6970" s="1">
        <v>46062.499652777777</v>
      </c>
    </row>
    <row r="6971" spans="1:10" x14ac:dyDescent="0.2">
      <c r="A6971" s="4" t="s">
        <v>1</v>
      </c>
      <c r="B6971" s="3" t="str">
        <f>HYPERLINK("https://otsuka-europe-crm.veevavault.com/ui/#object/approved_document__v/V5OZ04ASG4FWKA9", "Documento Autorizaciขn Centro Empleador")</f>
        <v>Documento Autorizaciขn Centro Empleador</v>
      </c>
      <c r="C6971" s="3" t="str">
        <f>HYPERLINK("https://otsuka-europe-crm.veevavault.com/ui/#object/sent_email__v/VBL00000001C263", "SE-001403495")</f>
        <v>SE-001403495</v>
      </c>
      <c r="D6971" s="1">
        <v>46062.903356481482</v>
      </c>
      <c r="E6971" s="2">
        <v>1</v>
      </c>
      <c r="F6971" s="2">
        <v>3</v>
      </c>
      <c r="G6971" s="2">
        <v>1</v>
      </c>
      <c r="H6971" s="1">
        <v>46062.510879629626</v>
      </c>
      <c r="I6971" s="2">
        <v>1</v>
      </c>
      <c r="J6971" s="1">
        <v>46062.500844907408</v>
      </c>
    </row>
    <row r="6972" spans="1:10" x14ac:dyDescent="0.2">
      <c r="A6972" s="4" t="s">
        <v>1</v>
      </c>
      <c r="B6972" s="3" t="str">
        <f>HYPERLINK("https://otsuka-europe-crm.veevavault.com/ui/#object/approved_document__v/V5OZ04ASG4FWKA9", "Documento Autorizaciขn Centro Empleador")</f>
        <v>Documento Autorizaciขn Centro Empleador</v>
      </c>
      <c r="C6972" s="3" t="str">
        <f>HYPERLINK("https://otsuka-europe-crm.veevavault.com/ui/#object/sent_email__v/VBL00000001C265", "SE-001403497")</f>
        <v>SE-001403497</v>
      </c>
      <c r="D6972" s="1">
        <v>46062.687268518515</v>
      </c>
      <c r="E6972" s="2">
        <v>1</v>
      </c>
      <c r="F6972" s="2">
        <v>1</v>
      </c>
      <c r="G6972" s="2">
        <v>1</v>
      </c>
      <c r="H6972" s="1">
        <v>46062.687372685185</v>
      </c>
      <c r="I6972" s="2">
        <v>2</v>
      </c>
      <c r="J6972" s="1">
        <v>46062.502175925925</v>
      </c>
    </row>
    <row r="6973" spans="1:10" x14ac:dyDescent="0.2">
      <c r="A6973" s="4" t="s">
        <v>1</v>
      </c>
      <c r="B6973" s="3" t="str">
        <f>HYPERLINK("https://otsuka-europe-crm.veevavault.com/ui/#object/approved_document__v/V5OZ04ASG4FWKA9", "Documento Autorizaciขn Centro Empleador")</f>
        <v>Documento Autorizaciขn Centro Empleador</v>
      </c>
      <c r="C6973" s="3" t="str">
        <f>HYPERLINK("https://otsuka-europe-crm.veevavault.com/ui/#object/sent_email__v/VBL00000001B329", "SE-001403506")</f>
        <v>SE-001403506</v>
      </c>
      <c r="D6973" s="1">
        <v>46062.538715277777</v>
      </c>
      <c r="E6973" s="2">
        <v>1</v>
      </c>
      <c r="F6973" s="2">
        <v>2</v>
      </c>
      <c r="G6973" s="2">
        <v>1</v>
      </c>
      <c r="H6973" s="1">
        <v>46062.538784722223</v>
      </c>
      <c r="I6973" s="2">
        <v>1</v>
      </c>
      <c r="J6973" s="1">
        <v>46062.50677083333</v>
      </c>
    </row>
    <row r="6974" spans="1:10" x14ac:dyDescent="0.2">
      <c r="A6974" s="4" t="s">
        <v>1</v>
      </c>
      <c r="B6974" s="3" t="str">
        <f>HYPERLINK("https://otsuka-europe-crm.veevavault.com/ui/#object/approved_document__v/V5OZ04ASG4FWKA9", "Documento Autorizaciขn Centro Empleador")</f>
        <v>Documento Autorizaciขn Centro Empleador</v>
      </c>
      <c r="C6974" s="3" t="str">
        <f>HYPERLINK("https://otsuka-europe-crm.veevavault.com/ui/#object/sent_email__v/VBL00000001B331", "SE-001403509")</f>
        <v>SE-001403509</v>
      </c>
      <c r="D6974" s="1" t="s">
        <v>0</v>
      </c>
      <c r="E6974" s="2">
        <v>0</v>
      </c>
      <c r="F6974" s="2">
        <v>0</v>
      </c>
      <c r="G6974" s="2">
        <v>0</v>
      </c>
      <c r="H6974" s="1" t="s">
        <v>0</v>
      </c>
      <c r="I6974" s="2">
        <v>0</v>
      </c>
      <c r="J6974" s="1">
        <v>46062.522928240738</v>
      </c>
    </row>
    <row r="6975" spans="1:10" x14ac:dyDescent="0.2">
      <c r="A6975" s="4" t="s">
        <v>1</v>
      </c>
      <c r="B6975" s="3" t="str">
        <f>HYPERLINK("https://otsuka-europe-crm.veevavault.com/ui/#object/approved_document__v/V5OZ04ASG4FWKA9", "Documento Autorizaciขn Centro Empleador")</f>
        <v>Documento Autorizaciขn Centro Empleador</v>
      </c>
      <c r="C6975" s="3" t="str">
        <f>HYPERLINK("https://otsuka-europe-crm.veevavault.com/ui/#object/sent_email__v/VBL00000001B411", "SE-001403652")</f>
        <v>SE-001403652</v>
      </c>
      <c r="D6975" s="1">
        <v>46076.50540509259</v>
      </c>
      <c r="E6975" s="2">
        <v>1</v>
      </c>
      <c r="F6975" s="2">
        <v>7</v>
      </c>
      <c r="G6975" s="2">
        <v>1</v>
      </c>
      <c r="H6975" s="1">
        <v>46076.50508101852</v>
      </c>
      <c r="I6975" s="2">
        <v>4</v>
      </c>
      <c r="J6975" s="1">
        <v>46063.647951388892</v>
      </c>
    </row>
    <row r="6976" spans="1:10" x14ac:dyDescent="0.2">
      <c r="A6976" s="4" t="s">
        <v>1</v>
      </c>
      <c r="B6976" s="3" t="str">
        <f>HYPERLINK("https://otsuka-europe-crm.veevavault.com/ui/#object/approved_document__v/V5OZ04ASG4FWKA9", "Documento Autorizaciขn Centro Empleador")</f>
        <v>Documento Autorizaciขn Centro Empleador</v>
      </c>
      <c r="C6976" s="3" t="str">
        <f>HYPERLINK("https://otsuka-europe-crm.veevavault.com/ui/#object/sent_email__v/VBL00000001B412", "SE-001403653")</f>
        <v>SE-001403653</v>
      </c>
      <c r="D6976" s="1">
        <v>46065.785081018519</v>
      </c>
      <c r="E6976" s="2">
        <v>1</v>
      </c>
      <c r="F6976" s="2">
        <v>2</v>
      </c>
      <c r="G6976" s="2">
        <v>1</v>
      </c>
      <c r="H6976" s="1">
        <v>46063.765532407408</v>
      </c>
      <c r="I6976" s="2">
        <v>1</v>
      </c>
      <c r="J6976" s="1">
        <v>46063.661990740744</v>
      </c>
    </row>
    <row r="6977" spans="1:10" x14ac:dyDescent="0.2">
      <c r="A6977" s="4" t="s">
        <v>1</v>
      </c>
      <c r="B6977" s="3" t="str">
        <f>HYPERLINK("https://otsuka-europe-crm.veevavault.com/ui/#object/approved_document__v/V5OZ04ASG4FWKA9", "Documento Autorizaciขn Centro Empleador")</f>
        <v>Documento Autorizaciขn Centro Empleador</v>
      </c>
      <c r="C6977" s="3" t="str">
        <f>HYPERLINK("https://otsuka-europe-crm.veevavault.com/ui/#object/sent_email__v/VBL00000001C367", "SE-001403683")</f>
        <v>SE-001403683</v>
      </c>
      <c r="D6977" s="1">
        <v>46065.409756944442</v>
      </c>
      <c r="E6977" s="2">
        <v>1</v>
      </c>
      <c r="F6977" s="2">
        <v>1</v>
      </c>
      <c r="G6977" s="2">
        <v>1</v>
      </c>
      <c r="H6977" s="1">
        <v>46065.409803240742</v>
      </c>
      <c r="I6977" s="2">
        <v>1</v>
      </c>
      <c r="J6977" s="1">
        <v>46064.319016203706</v>
      </c>
    </row>
    <row r="6978" spans="1:10" x14ac:dyDescent="0.2">
      <c r="A6978" s="4" t="s">
        <v>1</v>
      </c>
      <c r="B6978" s="3" t="str">
        <f>HYPERLINK("https://otsuka-europe-crm.veevavault.com/ui/#object/approved_document__v/V5OZ04ASG4FWKA9", "Documento Autorizaciขn Centro Empleador")</f>
        <v>Documento Autorizaciขn Centro Empleador</v>
      </c>
      <c r="C6978" s="3" t="str">
        <f>HYPERLINK("https://otsuka-europe-crm.veevavault.com/ui/#object/sent_email__v/VBL00000001C369", "SE-001403686")</f>
        <v>SE-001403686</v>
      </c>
      <c r="D6978" s="1">
        <v>46065.348124999997</v>
      </c>
      <c r="E6978" s="2">
        <v>1</v>
      </c>
      <c r="F6978" s="2">
        <v>3</v>
      </c>
      <c r="G6978" s="2">
        <v>1</v>
      </c>
      <c r="H6978" s="1">
        <v>46064.354178240741</v>
      </c>
      <c r="I6978" s="2">
        <v>2</v>
      </c>
      <c r="J6978" s="1">
        <v>46064.353020833332</v>
      </c>
    </row>
    <row r="6979" spans="1:10" x14ac:dyDescent="0.2">
      <c r="A6979" s="4" t="s">
        <v>1</v>
      </c>
      <c r="B6979" s="3" t="str">
        <f>HYPERLINK("https://otsuka-europe-crm.veevavault.com/ui/#object/approved_document__v/V5OZ04ASG4FWKA9", "Documento Autorizaciขn Centro Empleador")</f>
        <v>Documento Autorizaciขn Centro Empleador</v>
      </c>
      <c r="C6979" s="3" t="str">
        <f>HYPERLINK("https://otsuka-europe-crm.veevavault.com/ui/#object/sent_email__v/VBL00000001B425", "SE-001403692")</f>
        <v>SE-001403692</v>
      </c>
      <c r="D6979" s="1">
        <v>46064.94425925926</v>
      </c>
      <c r="E6979" s="2">
        <v>1</v>
      </c>
      <c r="F6979" s="2">
        <v>3</v>
      </c>
      <c r="G6979" s="2">
        <v>1</v>
      </c>
      <c r="H6979" s="1">
        <v>46064.472361111111</v>
      </c>
      <c r="I6979" s="2">
        <v>2</v>
      </c>
      <c r="J6979" s="1">
        <v>46064.402025462965</v>
      </c>
    </row>
    <row r="6980" spans="1:10" x14ac:dyDescent="0.2">
      <c r="A6980" s="4" t="s">
        <v>1</v>
      </c>
      <c r="B6980" s="3" t="str">
        <f>HYPERLINK("https://otsuka-europe-crm.veevavault.com/ui/#object/approved_document__v/V5OZ04ASG4FWKA9", "Documento Autorizaciขn Centro Empleador")</f>
        <v>Documento Autorizaciขn Centro Empleador</v>
      </c>
      <c r="C6980" s="3" t="str">
        <f>HYPERLINK("https://otsuka-europe-crm.veevavault.com/ui/#object/sent_email__v/VBL00000001B426", "SE-001403693")</f>
        <v>SE-001403693</v>
      </c>
      <c r="D6980" s="1">
        <v>46064.413472222222</v>
      </c>
      <c r="E6980" s="2">
        <v>1</v>
      </c>
      <c r="F6980" s="2">
        <v>3</v>
      </c>
      <c r="G6980" s="2">
        <v>1</v>
      </c>
      <c r="H6980" s="1">
        <v>46066.257372685184</v>
      </c>
      <c r="I6980" s="2">
        <v>2</v>
      </c>
      <c r="J6980" s="1">
        <v>46064.402581018519</v>
      </c>
    </row>
    <row r="6981" spans="1:10" x14ac:dyDescent="0.2">
      <c r="A6981" s="4" t="s">
        <v>1</v>
      </c>
      <c r="B6981" s="3" t="str">
        <f>HYPERLINK("https://otsuka-europe-crm.veevavault.com/ui/#object/approved_document__v/V5OZ04ASG4FWKA9", "Documento Autorizaciขn Centro Empleador")</f>
        <v>Documento Autorizaciขn Centro Empleador</v>
      </c>
      <c r="C6981" s="3" t="str">
        <f>HYPERLINK("https://otsuka-europe-crm.veevavault.com/ui/#object/sent_email__v/VBL00000001B428", "SE-001403695")</f>
        <v>SE-001403695</v>
      </c>
      <c r="D6981" s="1">
        <v>46064.456180555557</v>
      </c>
      <c r="E6981" s="2">
        <v>1</v>
      </c>
      <c r="F6981" s="2">
        <v>1</v>
      </c>
      <c r="G6981" s="2">
        <v>1</v>
      </c>
      <c r="H6981" s="1">
        <v>46064.456793981481</v>
      </c>
      <c r="I6981" s="2">
        <v>4</v>
      </c>
      <c r="J6981" s="1">
        <v>46064.440254629626</v>
      </c>
    </row>
    <row r="6982" spans="1:10" x14ac:dyDescent="0.2">
      <c r="A6982" s="4" t="s">
        <v>1</v>
      </c>
      <c r="B6982" s="3" t="str">
        <f>HYPERLINK("https://otsuka-europe-crm.veevavault.com/ui/#object/approved_document__v/V5OZ04ASG4FWKA9", "Documento Autorizaciขn Centro Empleador")</f>
        <v>Documento Autorizaciขn Centro Empleador</v>
      </c>
      <c r="C6982" s="3" t="str">
        <f>HYPERLINK("https://otsuka-europe-crm.veevavault.com/ui/#object/sent_email__v/VBL00000001C376", "SE-001403697")</f>
        <v>SE-001403697</v>
      </c>
      <c r="D6982" s="1">
        <v>46064.94425925926</v>
      </c>
      <c r="E6982" s="2">
        <v>1</v>
      </c>
      <c r="F6982" s="2">
        <v>1</v>
      </c>
      <c r="G6982" s="2">
        <v>0</v>
      </c>
      <c r="H6982" s="1" t="s">
        <v>0</v>
      </c>
      <c r="I6982" s="2">
        <v>0</v>
      </c>
      <c r="J6982" s="1">
        <v>46064.445150462961</v>
      </c>
    </row>
    <row r="6983" spans="1:10" x14ac:dyDescent="0.2">
      <c r="A6983" s="4" t="s">
        <v>1</v>
      </c>
      <c r="B6983" s="3" t="str">
        <f>HYPERLINK("https://otsuka-europe-crm.veevavault.com/ui/#object/approved_document__v/V5OZ04ASG4FWKA9", "Documento Autorizaciขn Centro Empleador")</f>
        <v>Documento Autorizaciขn Centro Empleador</v>
      </c>
      <c r="C6983" s="3" t="str">
        <f>HYPERLINK("https://otsuka-europe-crm.veevavault.com/ui/#object/sent_email__v/VBL00000001B459", "SE-001403763")</f>
        <v>SE-001403763</v>
      </c>
      <c r="D6983" s="1">
        <v>46073.950995370367</v>
      </c>
      <c r="E6983" s="2">
        <v>1</v>
      </c>
      <c r="F6983" s="2">
        <v>2</v>
      </c>
      <c r="G6983" s="2">
        <v>1</v>
      </c>
      <c r="H6983" s="1">
        <v>46064.632939814815</v>
      </c>
      <c r="I6983" s="2">
        <v>1</v>
      </c>
      <c r="J6983" s="1">
        <v>46064.552407407406</v>
      </c>
    </row>
    <row r="6984" spans="1:10" x14ac:dyDescent="0.2">
      <c r="A6984" s="4" t="s">
        <v>1</v>
      </c>
      <c r="B6984" s="3" t="str">
        <f>HYPERLINK("https://otsuka-europe-crm.veevavault.com/ui/#object/approved_document__v/V5OZ04ASG4FWKA9", "Documento Autorizaciขn Centro Empleador")</f>
        <v>Documento Autorizaciขn Centro Empleador</v>
      </c>
      <c r="C6984" s="3" t="str">
        <f>HYPERLINK("https://otsuka-europe-crm.veevavault.com/ui/#object/sent_email__v/VBL00000001B460", "SE-001403764")</f>
        <v>SE-001403764</v>
      </c>
      <c r="D6984" s="1">
        <v>46064.584074074075</v>
      </c>
      <c r="E6984" s="2">
        <v>1</v>
      </c>
      <c r="F6984" s="2">
        <v>7</v>
      </c>
      <c r="G6984" s="2">
        <v>1</v>
      </c>
      <c r="H6984" s="1">
        <v>46064.584120370368</v>
      </c>
      <c r="I6984" s="2">
        <v>1</v>
      </c>
      <c r="J6984" s="1">
        <v>46064.577731481484</v>
      </c>
    </row>
    <row r="6985" spans="1:10" x14ac:dyDescent="0.2">
      <c r="A6985" s="4" t="s">
        <v>1</v>
      </c>
      <c r="B6985" s="3" t="str">
        <f>HYPERLINK("https://otsuka-europe-crm.veevavault.com/ui/#object/approved_document__v/V5OZ04ASG4FWKA9", "Documento Autorizaciขn Centro Empleador")</f>
        <v>Documento Autorizaciขn Centro Empleador</v>
      </c>
      <c r="C6985" s="3" t="str">
        <f>HYPERLINK("https://otsuka-europe-crm.veevavault.com/ui/#object/sent_email__v/VBL00000001C418", "SE-001403769")</f>
        <v>SE-001403769</v>
      </c>
      <c r="D6985" s="1">
        <v>46064.584074074075</v>
      </c>
      <c r="E6985" s="2">
        <v>1</v>
      </c>
      <c r="F6985" s="2">
        <v>4</v>
      </c>
      <c r="G6985" s="2">
        <v>1</v>
      </c>
      <c r="H6985" s="1">
        <v>46064.583425925928</v>
      </c>
      <c r="I6985" s="2">
        <v>1</v>
      </c>
      <c r="J6985" s="1">
        <v>46064.581793981481</v>
      </c>
    </row>
    <row r="6986" spans="1:10" x14ac:dyDescent="0.2">
      <c r="A6986" s="4" t="s">
        <v>1</v>
      </c>
      <c r="B6986" s="3" t="str">
        <f>HYPERLINK("https://otsuka-europe-crm.veevavault.com/ui/#object/approved_document__v/V5OZ04ASG4FWKA9", "Documento Autorizaciขn Centro Empleador")</f>
        <v>Documento Autorizaciขn Centro Empleador</v>
      </c>
      <c r="C6986" s="3" t="str">
        <f>HYPERLINK("https://otsuka-europe-crm.veevavault.com/ui/#object/sent_email__v/VBL00000001C420", "SE-001403771")</f>
        <v>SE-001403771</v>
      </c>
      <c r="D6986" s="1">
        <v>46064.653611111113</v>
      </c>
      <c r="E6986" s="2">
        <v>1</v>
      </c>
      <c r="F6986" s="2">
        <v>1</v>
      </c>
      <c r="G6986" s="2">
        <v>0</v>
      </c>
      <c r="H6986" s="1" t="s">
        <v>0</v>
      </c>
      <c r="I6986" s="2">
        <v>0</v>
      </c>
      <c r="J6986" s="1">
        <v>46064.604201388887</v>
      </c>
    </row>
    <row r="6987" spans="1:10" x14ac:dyDescent="0.2">
      <c r="A6987" s="4" t="s">
        <v>1</v>
      </c>
      <c r="B6987" s="3" t="str">
        <f>HYPERLINK("https://otsuka-europe-crm.veevavault.com/ui/#object/approved_document__v/V5OZ04ASG4FWKA9", "Documento Autorizaciขn Centro Empleador")</f>
        <v>Documento Autorizaciขn Centro Empleador</v>
      </c>
      <c r="C6987" s="3" t="str">
        <f>HYPERLINK("https://otsuka-europe-crm.veevavault.com/ui/#object/sent_email__v/VBL00000001C423", "SE-001403776")</f>
        <v>SE-001403776</v>
      </c>
      <c r="D6987" s="1">
        <v>46064.679722222223</v>
      </c>
      <c r="E6987" s="2">
        <v>1</v>
      </c>
      <c r="F6987" s="2">
        <v>3</v>
      </c>
      <c r="G6987" s="2">
        <v>1</v>
      </c>
      <c r="H6987" s="1">
        <v>46064.633229166669</v>
      </c>
      <c r="I6987" s="2">
        <v>1</v>
      </c>
      <c r="J6987" s="1">
        <v>46064.632222222222</v>
      </c>
    </row>
    <row r="6988" spans="1:10" x14ac:dyDescent="0.2">
      <c r="A6988" s="4" t="s">
        <v>1</v>
      </c>
      <c r="B6988" s="3" t="str">
        <f>HYPERLINK("https://otsuka-europe-crm.veevavault.com/ui/#object/approved_document__v/V5OZ04ASG4FWKA9", "Documento Autorizaciขn Centro Empleador")</f>
        <v>Documento Autorizaciขn Centro Empleador</v>
      </c>
      <c r="C6988" s="3" t="str">
        <f>HYPERLINK("https://otsuka-europe-crm.veevavault.com/ui/#object/sent_email__v/VBL00000001C424", "SE-001403777")</f>
        <v>SE-001403777</v>
      </c>
      <c r="D6988" s="1">
        <v>46064.652708333335</v>
      </c>
      <c r="E6988" s="2">
        <v>1</v>
      </c>
      <c r="F6988" s="2">
        <v>1</v>
      </c>
      <c r="G6988" s="2">
        <v>1</v>
      </c>
      <c r="H6988" s="1">
        <v>46064.652777777781</v>
      </c>
      <c r="I6988" s="2">
        <v>1</v>
      </c>
      <c r="J6988" s="1">
        <v>46064.633356481485</v>
      </c>
    </row>
    <row r="6989" spans="1:10" x14ac:dyDescent="0.2">
      <c r="A6989" s="4" t="s">
        <v>1</v>
      </c>
      <c r="B6989" s="3" t="str">
        <f>HYPERLINK("https://otsuka-europe-crm.veevavault.com/ui/#object/approved_document__v/V5OZ04ASG4FWKA9", "Documento Autorizaciขn Centro Empleador")</f>
        <v>Documento Autorizaciขn Centro Empleador</v>
      </c>
      <c r="C6989" s="3" t="str">
        <f>HYPERLINK("https://otsuka-europe-crm.veevavault.com/ui/#object/sent_email__v/VBL00000001C425", "SE-001403778")</f>
        <v>SE-001403778</v>
      </c>
      <c r="D6989" s="1">
        <v>46064.91300925926</v>
      </c>
      <c r="E6989" s="2">
        <v>1</v>
      </c>
      <c r="F6989" s="2">
        <v>1</v>
      </c>
      <c r="G6989" s="2">
        <v>1</v>
      </c>
      <c r="H6989" s="1">
        <v>46064.923946759256</v>
      </c>
      <c r="I6989" s="2">
        <v>3</v>
      </c>
      <c r="J6989" s="1">
        <v>46064.634317129632</v>
      </c>
    </row>
    <row r="6990" spans="1:10" x14ac:dyDescent="0.2">
      <c r="A6990" s="4" t="s">
        <v>1</v>
      </c>
      <c r="B6990" s="3" t="str">
        <f>HYPERLINK("https://otsuka-europe-crm.veevavault.com/ui/#object/approved_document__v/V5OZ04ASG4FWKA9", "Documento Autorizaciขn Centro Empleador")</f>
        <v>Documento Autorizaciขn Centro Empleador</v>
      </c>
      <c r="C6990" s="3" t="str">
        <f>HYPERLINK("https://otsuka-europe-crm.veevavault.com/ui/#object/sent_email__v/VBL00000001C426", "SE-001403779")</f>
        <v>SE-001403779</v>
      </c>
      <c r="D6990" s="1">
        <v>46064.710034722222</v>
      </c>
      <c r="E6990" s="2">
        <v>1</v>
      </c>
      <c r="F6990" s="2">
        <v>2</v>
      </c>
      <c r="G6990" s="2">
        <v>1</v>
      </c>
      <c r="H6990" s="1">
        <v>46065.981192129628</v>
      </c>
      <c r="I6990" s="2">
        <v>2</v>
      </c>
      <c r="J6990" s="1">
        <v>46064.635185185187</v>
      </c>
    </row>
    <row r="6991" spans="1:10" x14ac:dyDescent="0.2">
      <c r="A6991" s="4" t="s">
        <v>1</v>
      </c>
      <c r="B6991" s="3" t="str">
        <f>HYPERLINK("https://otsuka-europe-crm.veevavault.com/ui/#object/approved_document__v/V5OZ04ASG4FWKA9", "Documento Autorizaciขn Centro Empleador")</f>
        <v>Documento Autorizaciขn Centro Empleador</v>
      </c>
      <c r="C6991" s="3" t="str">
        <f>HYPERLINK("https://otsuka-europe-crm.veevavault.com/ui/#object/sent_email__v/VBL00000001C427", "SE-001403780")</f>
        <v>SE-001403780</v>
      </c>
      <c r="D6991" s="1">
        <v>46064.667222222219</v>
      </c>
      <c r="E6991" s="2">
        <v>1</v>
      </c>
      <c r="F6991" s="2">
        <v>1</v>
      </c>
      <c r="G6991" s="2">
        <v>0</v>
      </c>
      <c r="H6991" s="1" t="s">
        <v>0</v>
      </c>
      <c r="I6991" s="2">
        <v>0</v>
      </c>
      <c r="J6991" s="1">
        <v>46064.636400462965</v>
      </c>
    </row>
    <row r="6992" spans="1:10" x14ac:dyDescent="0.2">
      <c r="A6992" s="4" t="s">
        <v>1</v>
      </c>
      <c r="B6992" s="3" t="str">
        <f>HYPERLINK("https://otsuka-europe-crm.veevavault.com/ui/#object/approved_document__v/V5OZ04ASG4FWKA9", "Documento Autorizaciขn Centro Empleador")</f>
        <v>Documento Autorizaciขn Centro Empleador</v>
      </c>
      <c r="C6992" s="3" t="str">
        <f>HYPERLINK("https://otsuka-europe-crm.veevavault.com/ui/#object/sent_email__v/VBL00000001B471", "SE-001403781")</f>
        <v>SE-001403781</v>
      </c>
      <c r="D6992" s="1">
        <v>46065.348055555558</v>
      </c>
      <c r="E6992" s="2">
        <v>1</v>
      </c>
      <c r="F6992" s="2">
        <v>2</v>
      </c>
      <c r="G6992" s="2">
        <v>0</v>
      </c>
      <c r="H6992" s="1" t="s">
        <v>0</v>
      </c>
      <c r="I6992" s="2">
        <v>0</v>
      </c>
      <c r="J6992" s="1">
        <v>46064.63789351852</v>
      </c>
    </row>
    <row r="6993" spans="1:10" x14ac:dyDescent="0.2">
      <c r="A6993" s="4" t="s">
        <v>1</v>
      </c>
      <c r="B6993" s="3" t="str">
        <f>HYPERLINK("https://otsuka-europe-crm.veevavault.com/ui/#object/approved_document__v/V5OZ04ASG4FWKA9", "Documento Autorizaciขn Centro Empleador")</f>
        <v>Documento Autorizaciขn Centro Empleador</v>
      </c>
      <c r="C6993" s="3" t="str">
        <f>HYPERLINK("https://otsuka-europe-crm.veevavault.com/ui/#object/sent_email__v/VBL00000001C428", "SE-001403786")</f>
        <v>SE-001403786</v>
      </c>
      <c r="D6993" s="1">
        <v>46064.655578703707</v>
      </c>
      <c r="E6993" s="2">
        <v>1</v>
      </c>
      <c r="F6993" s="2">
        <v>1</v>
      </c>
      <c r="G6993" s="2">
        <v>1</v>
      </c>
      <c r="H6993" s="1">
        <v>46064.656099537038</v>
      </c>
      <c r="I6993" s="2">
        <v>2</v>
      </c>
      <c r="J6993" s="1">
        <v>46064.654120370367</v>
      </c>
    </row>
    <row r="6994" spans="1:10" x14ac:dyDescent="0.2">
      <c r="A6994" s="4" t="s">
        <v>1</v>
      </c>
      <c r="B6994" s="3" t="str">
        <f>HYPERLINK("https://otsuka-europe-crm.veevavault.com/ui/#object/approved_document__v/V5OZ04ASG4FWKA9", "Documento Autorizaciขn Centro Empleador")</f>
        <v>Documento Autorizaciขn Centro Empleador</v>
      </c>
      <c r="C6994" s="3" t="str">
        <f>HYPERLINK("https://otsuka-europe-crm.veevavault.com/ui/#object/sent_email__v/VBL00000001C429", "SE-001403787")</f>
        <v>SE-001403787</v>
      </c>
      <c r="D6994" s="1">
        <v>46064.661747685182</v>
      </c>
      <c r="E6994" s="2">
        <v>1</v>
      </c>
      <c r="F6994" s="2">
        <v>2</v>
      </c>
      <c r="G6994" s="2">
        <v>1</v>
      </c>
      <c r="H6994" s="1">
        <v>46064.661747685182</v>
      </c>
      <c r="I6994" s="2">
        <v>1</v>
      </c>
      <c r="J6994" s="1">
        <v>46064.655324074076</v>
      </c>
    </row>
    <row r="6995" spans="1:10" x14ac:dyDescent="0.2">
      <c r="A6995" s="4" t="s">
        <v>1</v>
      </c>
      <c r="B6995" s="3" t="str">
        <f>HYPERLINK("https://otsuka-europe-crm.veevavault.com/ui/#object/approved_document__v/V5OZ04ASG4FWKA9", "Documento Autorizaciขn Centro Empleador")</f>
        <v>Documento Autorizaciขn Centro Empleador</v>
      </c>
      <c r="C6995" s="3" t="str">
        <f>HYPERLINK("https://otsuka-europe-crm.veevavault.com/ui/#object/sent_email__v/VBL00000001C430", "SE-001403788")</f>
        <v>SE-001403788</v>
      </c>
      <c r="D6995" s="1" t="s">
        <v>0</v>
      </c>
      <c r="E6995" s="2">
        <v>0</v>
      </c>
      <c r="F6995" s="2">
        <v>0</v>
      </c>
      <c r="G6995" s="2">
        <v>0</v>
      </c>
      <c r="H6995" s="1" t="s">
        <v>0</v>
      </c>
      <c r="I6995" s="2">
        <v>0</v>
      </c>
      <c r="J6995" s="1">
        <v>46064.655775462961</v>
      </c>
    </row>
    <row r="6996" spans="1:10" x14ac:dyDescent="0.2">
      <c r="A6996" s="4" t="s">
        <v>1</v>
      </c>
      <c r="B6996" s="3" t="str">
        <f>HYPERLINK("https://otsuka-europe-crm.veevavault.com/ui/#object/approved_document__v/V5OZ04ASG4FWKA9", "Documento Autorizaciขn Centro Empleador")</f>
        <v>Documento Autorizaciขn Centro Empleador</v>
      </c>
      <c r="C6996" s="3" t="str">
        <f>HYPERLINK("https://otsuka-europe-crm.veevavault.com/ui/#object/sent_email__v/VBL00000001C431", "SE-001403789")</f>
        <v>SE-001403789</v>
      </c>
      <c r="D6996" s="1">
        <v>46064.666655092595</v>
      </c>
      <c r="E6996" s="2">
        <v>1</v>
      </c>
      <c r="F6996" s="2">
        <v>1</v>
      </c>
      <c r="G6996" s="2">
        <v>1</v>
      </c>
      <c r="H6996" s="1">
        <v>46064.666724537034</v>
      </c>
      <c r="I6996" s="2">
        <v>1</v>
      </c>
      <c r="J6996" s="1">
        <v>46064.657766203702</v>
      </c>
    </row>
    <row r="6997" spans="1:10" x14ac:dyDescent="0.2">
      <c r="A6997" s="4" t="s">
        <v>1</v>
      </c>
      <c r="B6997" s="3" t="str">
        <f>HYPERLINK("https://otsuka-europe-crm.veevavault.com/ui/#object/approved_document__v/V5OZ04ASG4FWKA9", "Documento Autorizaciขn Centro Empleador")</f>
        <v>Documento Autorizaciขn Centro Empleador</v>
      </c>
      <c r="C6997" s="3" t="str">
        <f>HYPERLINK("https://otsuka-europe-crm.veevavault.com/ui/#object/sent_email__v/VBL00000001B476", "SE-001403790")</f>
        <v>SE-001403790</v>
      </c>
      <c r="D6997" s="1">
        <v>46064.699814814812</v>
      </c>
      <c r="E6997" s="2">
        <v>1</v>
      </c>
      <c r="F6997" s="2">
        <v>1</v>
      </c>
      <c r="G6997" s="2">
        <v>1</v>
      </c>
      <c r="H6997" s="1">
        <v>46064.700208333335</v>
      </c>
      <c r="I6997" s="2">
        <v>3</v>
      </c>
      <c r="J6997" s="1">
        <v>46064.692256944443</v>
      </c>
    </row>
    <row r="6998" spans="1:10" x14ac:dyDescent="0.2">
      <c r="A6998" s="4" t="s">
        <v>1</v>
      </c>
      <c r="B6998" s="3" t="str">
        <f>HYPERLINK("https://otsuka-europe-crm.veevavault.com/ui/#object/approved_document__v/V5OZ04ASG4FWKA9", "Documento Autorizaciขn Centro Empleador")</f>
        <v>Documento Autorizaciขn Centro Empleador</v>
      </c>
      <c r="C6998" s="3" t="str">
        <f>HYPERLINK("https://otsuka-europe-crm.veevavault.com/ui/#object/sent_email__v/VBL00000001B477", "SE-001403791")</f>
        <v>SE-001403791</v>
      </c>
      <c r="D6998" s="1">
        <v>46069.552245370367</v>
      </c>
      <c r="E6998" s="2">
        <v>1</v>
      </c>
      <c r="F6998" s="2">
        <v>5</v>
      </c>
      <c r="G6998" s="2">
        <v>1</v>
      </c>
      <c r="H6998" s="1">
        <v>46064.719270833331</v>
      </c>
      <c r="I6998" s="2">
        <v>1</v>
      </c>
      <c r="J6998" s="1">
        <v>46064.698368055557</v>
      </c>
    </row>
    <row r="6999" spans="1:10" x14ac:dyDescent="0.2">
      <c r="A6999" s="4" t="s">
        <v>1</v>
      </c>
      <c r="B6999" s="3" t="str">
        <f>HYPERLINK("https://otsuka-europe-crm.veevavault.com/ui/#object/approved_document__v/V5OZ04ASG4FWKA9", "Documento Autorizaciขn Centro Empleador")</f>
        <v>Documento Autorizaciขn Centro Empleador</v>
      </c>
      <c r="C6999" s="3" t="str">
        <f>HYPERLINK("https://otsuka-europe-crm.veevavault.com/ui/#object/sent_email__v/VBL00000001C433", "SE-001403793")</f>
        <v>SE-001403793</v>
      </c>
      <c r="D6999" s="1">
        <v>46064.704560185186</v>
      </c>
      <c r="E6999" s="2">
        <v>1</v>
      </c>
      <c r="F6999" s="2">
        <v>1</v>
      </c>
      <c r="G6999" s="2">
        <v>1</v>
      </c>
      <c r="H6999" s="1">
        <v>46064.704768518517</v>
      </c>
      <c r="I6999" s="2">
        <v>2</v>
      </c>
      <c r="J6999" s="1">
        <v>46064.699594907404</v>
      </c>
    </row>
    <row r="7000" spans="1:10" x14ac:dyDescent="0.2">
      <c r="A7000" s="4" t="s">
        <v>1</v>
      </c>
      <c r="B7000" s="3" t="str">
        <f>HYPERLINK("https://otsuka-europe-crm.veevavault.com/ui/#object/approved_document__v/V5OZ04ASG4FWKA9", "Documento Autorizaciขn Centro Empleador")</f>
        <v>Documento Autorizaciขn Centro Empleador</v>
      </c>
      <c r="C7000" s="3" t="str">
        <f>HYPERLINK("https://otsuka-europe-crm.veevavault.com/ui/#object/sent_email__v/VBL00000001C434", "SE-001403794")</f>
        <v>SE-001403794</v>
      </c>
      <c r="D7000" s="1">
        <v>46067.787245370368</v>
      </c>
      <c r="E7000" s="2">
        <v>1</v>
      </c>
      <c r="F7000" s="2">
        <v>5</v>
      </c>
      <c r="G7000" s="2">
        <v>1</v>
      </c>
      <c r="H7000" s="1">
        <v>46064.702233796299</v>
      </c>
      <c r="I7000" s="2">
        <v>1</v>
      </c>
      <c r="J7000" s="1">
        <v>46064.701180555552</v>
      </c>
    </row>
    <row r="7001" spans="1:10" x14ac:dyDescent="0.2">
      <c r="A7001" s="4" t="s">
        <v>1</v>
      </c>
      <c r="B7001" s="3" t="str">
        <f>HYPERLINK("https://otsuka-europe-crm.veevavault.com/ui/#object/approved_document__v/V5OZ04ASG4FWKA9", "Documento Autorizaciขn Centro Empleador")</f>
        <v>Documento Autorizaciขn Centro Empleador</v>
      </c>
      <c r="C7001" s="3" t="str">
        <f>HYPERLINK("https://otsuka-europe-crm.veevavault.com/ui/#object/sent_email__v/VBL00000001C493", "SE-001403931")</f>
        <v>SE-001403931</v>
      </c>
      <c r="D7001" s="1">
        <v>46067.708472222221</v>
      </c>
      <c r="E7001" s="2">
        <v>1</v>
      </c>
      <c r="F7001" s="2">
        <v>1</v>
      </c>
      <c r="G7001" s="2">
        <v>1</v>
      </c>
      <c r="H7001" s="1">
        <v>46067.708726851852</v>
      </c>
      <c r="I7001" s="2">
        <v>1</v>
      </c>
      <c r="J7001" s="1">
        <v>46065.505868055552</v>
      </c>
    </row>
    <row r="7002" spans="1:10" x14ac:dyDescent="0.2">
      <c r="A7002" s="4" t="s">
        <v>1</v>
      </c>
      <c r="B7002" s="3" t="str">
        <f>HYPERLINK("https://otsuka-europe-crm.veevavault.com/ui/#object/approved_document__v/V5OZ04ASG4FWKA9", "Documento Autorizaciขn Centro Empleador")</f>
        <v>Documento Autorizaciขn Centro Empleador</v>
      </c>
      <c r="C7002" s="3" t="str">
        <f>HYPERLINK("https://otsuka-europe-crm.veevavault.com/ui/#object/sent_email__v/VBL00000001B566", "SE-001403942")</f>
        <v>SE-001403942</v>
      </c>
      <c r="D7002" s="1">
        <v>46076.871608796297</v>
      </c>
      <c r="E7002" s="2">
        <v>1</v>
      </c>
      <c r="F7002" s="2">
        <v>5</v>
      </c>
      <c r="G7002" s="2">
        <v>1</v>
      </c>
      <c r="H7002" s="1">
        <v>46065.569212962961</v>
      </c>
      <c r="I7002" s="2">
        <v>1</v>
      </c>
      <c r="J7002" s="1">
        <v>46065.568958333337</v>
      </c>
    </row>
    <row r="7003" spans="1:10" x14ac:dyDescent="0.2">
      <c r="A7003" s="4" t="s">
        <v>1</v>
      </c>
      <c r="B7003" s="3" t="str">
        <f>HYPERLINK("https://otsuka-europe-crm.veevavault.com/ui/#object/approved_document__v/V5OZ04ASG4FWKA9", "Documento Autorizaciขn Centro Empleador")</f>
        <v>Documento Autorizaciขn Centro Empleador</v>
      </c>
      <c r="C7003" s="3" t="str">
        <f>HYPERLINK("https://otsuka-europe-crm.veevavault.com/ui/#object/sent_email__v/VBL00000001C505", "SE-001403970")</f>
        <v>SE-001403970</v>
      </c>
      <c r="D7003" s="1">
        <v>46065.874849537038</v>
      </c>
      <c r="E7003" s="2">
        <v>1</v>
      </c>
      <c r="F7003" s="2">
        <v>5</v>
      </c>
      <c r="G7003" s="2">
        <v>1</v>
      </c>
      <c r="H7003" s="1">
        <v>46065.866863425923</v>
      </c>
      <c r="I7003" s="2">
        <v>3</v>
      </c>
      <c r="J7003" s="1">
        <v>46065.752986111111</v>
      </c>
    </row>
    <row r="7004" spans="1:10" x14ac:dyDescent="0.2">
      <c r="A7004" s="4" t="s">
        <v>1</v>
      </c>
      <c r="B7004" s="3" t="str">
        <f>HYPERLINK("https://otsuka-europe-crm.veevavault.com/ui/#object/approved_document__v/V5OZ04ASG4FWKA9", "Documento Autorizaciขn Centro Empleador")</f>
        <v>Documento Autorizaciขn Centro Empleador</v>
      </c>
      <c r="C7004" s="3" t="str">
        <f>HYPERLINK("https://otsuka-europe-crm.veevavault.com/ui/#object/sent_email__v/VBL00000001B588", "SE-001403971")</f>
        <v>SE-001403971</v>
      </c>
      <c r="D7004" s="1">
        <v>46070.472604166665</v>
      </c>
      <c r="E7004" s="2">
        <v>1</v>
      </c>
      <c r="F7004" s="2">
        <v>5</v>
      </c>
      <c r="G7004" s="2">
        <v>1</v>
      </c>
      <c r="H7004" s="1">
        <v>46065.79583333333</v>
      </c>
      <c r="I7004" s="2">
        <v>5</v>
      </c>
      <c r="J7004" s="1">
        <v>46065.753495370373</v>
      </c>
    </row>
    <row r="7005" spans="1:10" x14ac:dyDescent="0.2">
      <c r="A7005" s="4" t="s">
        <v>1</v>
      </c>
      <c r="B7005" s="3" t="str">
        <f>HYPERLINK("https://otsuka-europe-crm.veevavault.com/ui/#object/approved_document__v/V5OZ04ASG4FWKA9", "Documento Autorizaciขn Centro Empleador")</f>
        <v>Documento Autorizaciขn Centro Empleador</v>
      </c>
      <c r="C7005" s="3" t="str">
        <f>HYPERLINK("https://otsuka-europe-crm.veevavault.com/ui/#object/sent_email__v/VBL00000001D001", "SE-001403972")</f>
        <v>SE-001403972</v>
      </c>
      <c r="D7005" s="1">
        <v>46065.830138888887</v>
      </c>
      <c r="E7005" s="2">
        <v>1</v>
      </c>
      <c r="F7005" s="2">
        <v>2</v>
      </c>
      <c r="G7005" s="2">
        <v>1</v>
      </c>
      <c r="H7005" s="1">
        <v>46065.806655092594</v>
      </c>
      <c r="I7005" s="2">
        <v>1</v>
      </c>
      <c r="J7005" s="1">
        <v>46065.798333333332</v>
      </c>
    </row>
    <row r="7006" spans="1:10" x14ac:dyDescent="0.2">
      <c r="A7006" s="4" t="s">
        <v>1</v>
      </c>
      <c r="B7006" s="3" t="str">
        <f>HYPERLINK("https://otsuka-europe-crm.veevavault.com/ui/#object/approved_document__v/V5OZ04ASG4FWKA9", "Documento Autorizaciขn Centro Empleador")</f>
        <v>Documento Autorizaciขn Centro Empleador</v>
      </c>
      <c r="C7006" s="3" t="str">
        <f>HYPERLINK("https://otsuka-europe-crm.veevavault.com/ui/#object/sent_email__v/VBL00000001E003", "SE-001403977")</f>
        <v>SE-001403977</v>
      </c>
      <c r="D7006" s="1">
        <v>46078.389374999999</v>
      </c>
      <c r="E7006" s="2">
        <v>1</v>
      </c>
      <c r="F7006" s="2">
        <v>15</v>
      </c>
      <c r="G7006" s="2">
        <v>1</v>
      </c>
      <c r="H7006" s="1">
        <v>46066.515532407408</v>
      </c>
      <c r="I7006" s="2">
        <v>3</v>
      </c>
      <c r="J7006" s="1">
        <v>46066.348749999997</v>
      </c>
    </row>
    <row r="7007" spans="1:10" x14ac:dyDescent="0.2">
      <c r="A7007" s="4" t="s">
        <v>1</v>
      </c>
      <c r="B7007" s="3" t="str">
        <f>HYPERLINK("https://otsuka-europe-crm.veevavault.com/ui/#object/approved_document__v/V5OZ04ASG4FWKA9", "Documento Autorizaciขn Centro Empleador")</f>
        <v>Documento Autorizaciขn Centro Empleador</v>
      </c>
      <c r="C7007" s="3" t="str">
        <f>HYPERLINK("https://otsuka-europe-crm.veevavault.com/ui/#object/sent_email__v/VBL00000001E004", "SE-001403978")</f>
        <v>SE-001403978</v>
      </c>
      <c r="D7007" s="1">
        <v>46079.376157407409</v>
      </c>
      <c r="E7007" s="2">
        <v>1</v>
      </c>
      <c r="F7007" s="2">
        <v>4</v>
      </c>
      <c r="G7007" s="2">
        <v>1</v>
      </c>
      <c r="H7007" s="1">
        <v>46066.350960648146</v>
      </c>
      <c r="I7007" s="2">
        <v>2</v>
      </c>
      <c r="J7007" s="1">
        <v>46066.34957175926</v>
      </c>
    </row>
    <row r="7008" spans="1:10" x14ac:dyDescent="0.2">
      <c r="A7008" s="4" t="s">
        <v>1</v>
      </c>
      <c r="B7008" s="3" t="str">
        <f>HYPERLINK("https://otsuka-europe-crm.veevavault.com/ui/#object/approved_document__v/V5OZ04ASG4FWKA9", "Documento Autorizaciขn Centro Empleador")</f>
        <v>Documento Autorizaciขn Centro Empleador</v>
      </c>
      <c r="C7008" s="3" t="str">
        <f>HYPERLINK("https://otsuka-europe-crm.veevavault.com/ui/#object/sent_email__v/VBL00000001E005", "SE-001403979")</f>
        <v>SE-001403979</v>
      </c>
      <c r="D7008" s="1">
        <v>46066.352951388886</v>
      </c>
      <c r="E7008" s="2">
        <v>1</v>
      </c>
      <c r="F7008" s="2">
        <v>1</v>
      </c>
      <c r="G7008" s="2">
        <v>1</v>
      </c>
      <c r="H7008" s="1">
        <v>46066.362557870372</v>
      </c>
      <c r="I7008" s="2">
        <v>8</v>
      </c>
      <c r="J7008" s="1">
        <v>46066.35052083333</v>
      </c>
    </row>
    <row r="7009" spans="1:10" x14ac:dyDescent="0.2">
      <c r="A7009" s="4" t="s">
        <v>1</v>
      </c>
      <c r="B7009" s="3" t="str">
        <f>HYPERLINK("https://otsuka-europe-crm.veevavault.com/ui/#object/approved_document__v/V5OZ04ASG4FWKA9", "Documento Autorizaciขn Centro Empleador")</f>
        <v>Documento Autorizaciขn Centro Empleador</v>
      </c>
      <c r="C7009" s="3" t="str">
        <f>HYPERLINK("https://otsuka-europe-crm.veevavault.com/ui/#object/sent_email__v/VBL00000001D026", "SE-001404072")</f>
        <v>SE-001404072</v>
      </c>
      <c r="D7009" s="1">
        <v>46066.55574074074</v>
      </c>
      <c r="E7009" s="2">
        <v>1</v>
      </c>
      <c r="F7009" s="2">
        <v>1</v>
      </c>
      <c r="G7009" s="2">
        <v>1</v>
      </c>
      <c r="H7009" s="1">
        <v>46066.555787037039</v>
      </c>
      <c r="I7009" s="2">
        <v>1</v>
      </c>
      <c r="J7009" s="1">
        <v>46066.5387962963</v>
      </c>
    </row>
    <row r="7010" spans="1:10" x14ac:dyDescent="0.2">
      <c r="A7010" s="4" t="s">
        <v>1</v>
      </c>
      <c r="B7010" s="3" t="str">
        <f>HYPERLINK("https://otsuka-europe-crm.veevavault.com/ui/#object/approved_document__v/V5OZ04ASG4FWKA9", "Documento Autorizaciขn Centro Empleador")</f>
        <v>Documento Autorizaciขn Centro Empleador</v>
      </c>
      <c r="C7010" s="3" t="str">
        <f>HYPERLINK("https://otsuka-europe-crm.veevavault.com/ui/#object/sent_email__v/VBL00000001D048", "SE-001404126")</f>
        <v>SE-001404126</v>
      </c>
      <c r="D7010" s="1">
        <v>46076.63076388889</v>
      </c>
      <c r="E7010" s="2">
        <v>1</v>
      </c>
      <c r="F7010" s="2">
        <v>40</v>
      </c>
      <c r="G7010" s="2">
        <v>0</v>
      </c>
      <c r="H7010" s="1" t="s">
        <v>0</v>
      </c>
      <c r="I7010" s="2">
        <v>0</v>
      </c>
      <c r="J7010" s="1">
        <v>46069.448611111111</v>
      </c>
    </row>
    <row r="7011" spans="1:10" x14ac:dyDescent="0.2">
      <c r="A7011" s="4" t="s">
        <v>1</v>
      </c>
      <c r="B7011" s="3" t="str">
        <f>HYPERLINK("https://otsuka-europe-crm.veevavault.com/ui/#object/approved_document__v/V5OZ04ASG4FWKA9", "Documento Autorizaciขn Centro Empleador")</f>
        <v>Documento Autorizaciขn Centro Empleador</v>
      </c>
      <c r="C7011" s="3" t="str">
        <f>HYPERLINK("https://otsuka-europe-crm.veevavault.com/ui/#object/sent_email__v/VBL00000001D050", "SE-001404128")</f>
        <v>SE-001404128</v>
      </c>
      <c r="D7011" s="1">
        <v>46069.457743055558</v>
      </c>
      <c r="E7011" s="2">
        <v>1</v>
      </c>
      <c r="F7011" s="2">
        <v>1</v>
      </c>
      <c r="G7011" s="2">
        <v>1</v>
      </c>
      <c r="H7011" s="1">
        <v>46069.457743055558</v>
      </c>
      <c r="I7011" s="2">
        <v>1</v>
      </c>
      <c r="J7011" s="1">
        <v>46069.455717592595</v>
      </c>
    </row>
    <row r="7012" spans="1:10" x14ac:dyDescent="0.2">
      <c r="A7012" s="4" t="s">
        <v>1</v>
      </c>
      <c r="B7012" s="3" t="str">
        <f>HYPERLINK("https://otsuka-europe-crm.veevavault.com/ui/#object/approved_document__v/V5OZ04ASG4FWKA9", "Documento Autorizaciขn Centro Empleador")</f>
        <v>Documento Autorizaciขn Centro Empleador</v>
      </c>
      <c r="C7012" s="3" t="str">
        <f>HYPERLINK("https://otsuka-europe-crm.veevavault.com/ui/#object/sent_email__v/VBL00000001D060", "SE-001404138")</f>
        <v>SE-001404138</v>
      </c>
      <c r="D7012" s="1">
        <v>46071.697291666664</v>
      </c>
      <c r="E7012" s="2">
        <v>1</v>
      </c>
      <c r="F7012" s="2">
        <v>1</v>
      </c>
      <c r="G7012" s="2">
        <v>1</v>
      </c>
      <c r="H7012" s="1">
        <v>46071.697291666664</v>
      </c>
      <c r="I7012" s="2">
        <v>1</v>
      </c>
      <c r="J7012" s="1">
        <v>46069.464108796295</v>
      </c>
    </row>
    <row r="7013" spans="1:10" x14ac:dyDescent="0.2">
      <c r="A7013" s="4" t="s">
        <v>1</v>
      </c>
      <c r="B7013" s="3" t="str">
        <f>HYPERLINK("https://otsuka-europe-crm.veevavault.com/ui/#object/approved_document__v/V5OZ04ASG4FWKA9", "Documento Autorizaciขn Centro Empleador")</f>
        <v>Documento Autorizaciขn Centro Empleador</v>
      </c>
      <c r="C7013" s="3" t="str">
        <f>HYPERLINK("https://otsuka-europe-crm.veevavault.com/ui/#object/sent_email__v/VBL00000001E124", "SE-001404146")</f>
        <v>SE-001404146</v>
      </c>
      <c r="D7013" s="1">
        <v>46069.473715277774</v>
      </c>
      <c r="E7013" s="2">
        <v>1</v>
      </c>
      <c r="F7013" s="2">
        <v>1</v>
      </c>
      <c r="G7013" s="2">
        <v>0</v>
      </c>
      <c r="H7013" s="1" t="s">
        <v>0</v>
      </c>
      <c r="I7013" s="2">
        <v>0</v>
      </c>
      <c r="J7013" s="1">
        <v>46069.473611111112</v>
      </c>
    </row>
    <row r="7014" spans="1:10" x14ac:dyDescent="0.2">
      <c r="A7014" s="4" t="s">
        <v>1</v>
      </c>
      <c r="B7014" s="3" t="str">
        <f>HYPERLINK("https://otsuka-europe-crm.veevavault.com/ui/#object/approved_document__v/V5OZ04ASG4FWKA9", "Documento Autorizaciขn Centro Empleador")</f>
        <v>Documento Autorizaciขn Centro Empleador</v>
      </c>
      <c r="C7014" s="3" t="str">
        <f>HYPERLINK("https://otsuka-europe-crm.veevavault.com/ui/#object/sent_email__v/VBL00000001E148", "SE-001404181")</f>
        <v>SE-001404181</v>
      </c>
      <c r="D7014" s="1">
        <v>46069.605729166666</v>
      </c>
      <c r="E7014" s="2">
        <v>1</v>
      </c>
      <c r="F7014" s="2">
        <v>1</v>
      </c>
      <c r="G7014" s="2">
        <v>0</v>
      </c>
      <c r="H7014" s="1" t="s">
        <v>0</v>
      </c>
      <c r="I7014" s="2">
        <v>0</v>
      </c>
      <c r="J7014" s="1">
        <v>46069.605150462965</v>
      </c>
    </row>
    <row r="7015" spans="1:10" x14ac:dyDescent="0.2">
      <c r="A7015" s="4" t="s">
        <v>1</v>
      </c>
      <c r="B7015" s="3" t="str">
        <f>HYPERLINK("https://otsuka-europe-crm.veevavault.com/ui/#object/approved_document__v/V5OZ04ASG4FWKA9", "Documento Autorizaciขn Centro Empleador")</f>
        <v>Documento Autorizaciขn Centro Empleador</v>
      </c>
      <c r="C7015" s="3" t="str">
        <f>HYPERLINK("https://otsuka-europe-crm.veevavault.com/ui/#object/sent_email__v/VBL00000001D078", "SE-001404182")</f>
        <v>SE-001404182</v>
      </c>
      <c r="D7015" s="1">
        <v>46070.755706018521</v>
      </c>
      <c r="E7015" s="2">
        <v>1</v>
      </c>
      <c r="F7015" s="2">
        <v>8</v>
      </c>
      <c r="G7015" s="2">
        <v>1</v>
      </c>
      <c r="H7015" s="1">
        <v>46070.749120370368</v>
      </c>
      <c r="I7015" s="2">
        <v>2</v>
      </c>
      <c r="J7015" s="1">
        <v>46069.608946759261</v>
      </c>
    </row>
    <row r="7016" spans="1:10" x14ac:dyDescent="0.2">
      <c r="A7016" s="4" t="s">
        <v>1</v>
      </c>
      <c r="B7016" s="3" t="str">
        <f>HYPERLINK("https://otsuka-europe-crm.veevavault.com/ui/#object/approved_document__v/V5OZ04ASG4FWKA9", "Documento Autorizaciขn Centro Empleador")</f>
        <v>Documento Autorizaciขn Centro Empleador</v>
      </c>
      <c r="C7016" s="3" t="str">
        <f>HYPERLINK("https://otsuka-europe-crm.veevavault.com/ui/#object/sent_email__v/VBL00000001D079", "SE-001404183")</f>
        <v>SE-001404183</v>
      </c>
      <c r="D7016" s="1">
        <v>46069.631076388891</v>
      </c>
      <c r="E7016" s="2">
        <v>1</v>
      </c>
      <c r="F7016" s="2">
        <v>2</v>
      </c>
      <c r="G7016" s="2">
        <v>1</v>
      </c>
      <c r="H7016" s="1">
        <v>46069.631273148145</v>
      </c>
      <c r="I7016" s="2">
        <v>1</v>
      </c>
      <c r="J7016" s="1">
        <v>46069.611006944448</v>
      </c>
    </row>
    <row r="7017" spans="1:10" x14ac:dyDescent="0.2">
      <c r="A7017" s="4" t="s">
        <v>1</v>
      </c>
      <c r="B7017" s="3" t="str">
        <f>HYPERLINK("https://otsuka-europe-crm.veevavault.com/ui/#object/approved_document__v/V5OZ04ASG4FWKA9", "Documento Autorizaciขn Centro Empleador")</f>
        <v>Documento Autorizaciขn Centro Empleador</v>
      </c>
      <c r="C7017" s="3" t="str">
        <f>HYPERLINK("https://otsuka-europe-crm.veevavault.com/ui/#object/sent_email__v/VBL00000001E149", "SE-001404184")</f>
        <v>SE-001404184</v>
      </c>
      <c r="D7017" s="1">
        <v>46069.616099537037</v>
      </c>
      <c r="E7017" s="2">
        <v>1</v>
      </c>
      <c r="F7017" s="2">
        <v>1</v>
      </c>
      <c r="G7017" s="2">
        <v>1</v>
      </c>
      <c r="H7017" s="1">
        <v>46069.616099537037</v>
      </c>
      <c r="I7017" s="2">
        <v>1</v>
      </c>
      <c r="J7017" s="1">
        <v>46069.613310185188</v>
      </c>
    </row>
    <row r="7018" spans="1:10" x14ac:dyDescent="0.2">
      <c r="A7018" s="4" t="s">
        <v>1</v>
      </c>
      <c r="B7018" s="3" t="str">
        <f>HYPERLINK("https://otsuka-europe-crm.veevavault.com/ui/#object/approved_document__v/V5OZ04ASG4FWKA9", "Documento Autorizaciขn Centro Empleador")</f>
        <v>Documento Autorizaciขn Centro Empleador</v>
      </c>
      <c r="C7018" s="3" t="str">
        <f>HYPERLINK("https://otsuka-europe-crm.veevavault.com/ui/#object/sent_email__v/VBL00000001D102", "SE-001404219")</f>
        <v>SE-001404219</v>
      </c>
      <c r="D7018" s="1">
        <v>46070.672662037039</v>
      </c>
      <c r="E7018" s="2">
        <v>1</v>
      </c>
      <c r="F7018" s="2">
        <v>3</v>
      </c>
      <c r="G7018" s="2">
        <v>1</v>
      </c>
      <c r="H7018" s="1">
        <v>46070.672696759262</v>
      </c>
      <c r="I7018" s="2">
        <v>14</v>
      </c>
      <c r="J7018" s="1">
        <v>46070.439768518518</v>
      </c>
    </row>
    <row r="7019" spans="1:10" x14ac:dyDescent="0.2">
      <c r="A7019" s="4" t="s">
        <v>1</v>
      </c>
      <c r="B7019" s="3" t="str">
        <f>HYPERLINK("https://otsuka-europe-crm.veevavault.com/ui/#object/approved_document__v/V5OZ04ASG4FWKA9", "Documento Autorizaciขn Centro Empleador")</f>
        <v>Documento Autorizaciขn Centro Empleador</v>
      </c>
      <c r="C7019" s="3" t="str">
        <f>HYPERLINK("https://otsuka-europe-crm.veevavault.com/ui/#object/sent_email__v/VBL00000001D107", "SE-001404228")</f>
        <v>SE-001404228</v>
      </c>
      <c r="D7019" s="1">
        <v>46071.251087962963</v>
      </c>
      <c r="E7019" s="2">
        <v>1</v>
      </c>
      <c r="F7019" s="2">
        <v>2</v>
      </c>
      <c r="G7019" s="2">
        <v>1</v>
      </c>
      <c r="H7019" s="1">
        <v>46071.251134259262</v>
      </c>
      <c r="I7019" s="2">
        <v>3</v>
      </c>
      <c r="J7019" s="1">
        <v>46070.464884259258</v>
      </c>
    </row>
    <row r="7020" spans="1:10" x14ac:dyDescent="0.2">
      <c r="A7020" s="4" t="s">
        <v>1</v>
      </c>
      <c r="B7020" s="3" t="str">
        <f>HYPERLINK("https://otsuka-europe-crm.veevavault.com/ui/#object/approved_document__v/V5OZ04ASG4FWKA9", "Documento Autorizaciขn Centro Empleador")</f>
        <v>Documento Autorizaciขn Centro Empleador</v>
      </c>
      <c r="C7020" s="3" t="str">
        <f>HYPERLINK("https://otsuka-europe-crm.veevavault.com/ui/#object/sent_email__v/VBL00000001E285", "SE-001404394")</f>
        <v>SE-001404394</v>
      </c>
      <c r="D7020" s="1">
        <v>46070.657569444447</v>
      </c>
      <c r="E7020" s="2">
        <v>1</v>
      </c>
      <c r="F7020" s="2">
        <v>1</v>
      </c>
      <c r="G7020" s="2">
        <v>1</v>
      </c>
      <c r="H7020" s="1">
        <v>46070.657881944448</v>
      </c>
      <c r="I7020" s="2">
        <v>2</v>
      </c>
      <c r="J7020" s="1">
        <v>46070.521574074075</v>
      </c>
    </row>
    <row r="7021" spans="1:10" x14ac:dyDescent="0.2">
      <c r="A7021" s="4" t="s">
        <v>1</v>
      </c>
      <c r="B7021" s="3" t="str">
        <f>HYPERLINK("https://otsuka-europe-crm.veevavault.com/ui/#object/approved_document__v/V5OZ04ASG4FWKA9", "Documento Autorizaciขn Centro Empleador")</f>
        <v>Documento Autorizaciขn Centro Empleador</v>
      </c>
      <c r="C7021" s="3" t="str">
        <f>HYPERLINK("https://otsuka-europe-crm.veevavault.com/ui/#object/sent_email__v/VBL00000001D187", "SE-001404453")</f>
        <v>SE-001404453</v>
      </c>
      <c r="D7021" s="1">
        <v>46070.664872685185</v>
      </c>
      <c r="E7021" s="2">
        <v>1</v>
      </c>
      <c r="F7021" s="2">
        <v>2</v>
      </c>
      <c r="G7021" s="2">
        <v>1</v>
      </c>
      <c r="H7021" s="1">
        <v>46070.664965277778</v>
      </c>
      <c r="I7021" s="2">
        <v>1</v>
      </c>
      <c r="J7021" s="1">
        <v>46070.66065972222</v>
      </c>
    </row>
    <row r="7022" spans="1:10" x14ac:dyDescent="0.2">
      <c r="A7022" s="4" t="s">
        <v>1</v>
      </c>
      <c r="B7022" s="3" t="str">
        <f>HYPERLINK("https://otsuka-europe-crm.veevavault.com/ui/#object/approved_document__v/V5OZ04ASG4FWKA9", "Documento Autorizaciขn Centro Empleador")</f>
        <v>Documento Autorizaciขn Centro Empleador</v>
      </c>
      <c r="C7022" s="3" t="str">
        <f>HYPERLINK("https://otsuka-europe-crm.veevavault.com/ui/#object/sent_email__v/VBL00000001D201", "SE-001404483")</f>
        <v>SE-001404483</v>
      </c>
      <c r="D7022" s="1">
        <v>46071.623831018522</v>
      </c>
      <c r="E7022" s="2">
        <v>1</v>
      </c>
      <c r="F7022" s="2">
        <v>2</v>
      </c>
      <c r="G7022" s="2">
        <v>1</v>
      </c>
      <c r="H7022" s="1">
        <v>46071.417361111111</v>
      </c>
      <c r="I7022" s="2">
        <v>1</v>
      </c>
      <c r="J7022" s="1">
        <v>46071.328449074077</v>
      </c>
    </row>
    <row r="7023" spans="1:10" x14ac:dyDescent="0.2">
      <c r="A7023" s="4" t="s">
        <v>1</v>
      </c>
      <c r="B7023" s="3" t="str">
        <f>HYPERLINK("https://otsuka-europe-crm.veevavault.com/ui/#object/approved_document__v/V5OZ04ASG4FWKA9", "Documento Autorizaciขn Centro Empleador")</f>
        <v>Documento Autorizaciขn Centro Empleador</v>
      </c>
      <c r="C7023" s="3" t="str">
        <f>HYPERLINK("https://otsuka-europe-crm.veevavault.com/ui/#object/sent_email__v/VBL00000001E377", "SE-001404883")</f>
        <v>SE-001404883</v>
      </c>
      <c r="D7023" s="1">
        <v>46071.762384259258</v>
      </c>
      <c r="E7023" s="2">
        <v>1</v>
      </c>
      <c r="F7023" s="2">
        <v>1</v>
      </c>
      <c r="G7023" s="2">
        <v>1</v>
      </c>
      <c r="H7023" s="1">
        <v>46071.762384259258</v>
      </c>
      <c r="I7023" s="2">
        <v>1</v>
      </c>
      <c r="J7023" s="1">
        <v>46071.698229166665</v>
      </c>
    </row>
    <row r="7024" spans="1:10" x14ac:dyDescent="0.2">
      <c r="A7024" s="4" t="s">
        <v>1</v>
      </c>
      <c r="B7024" s="3" t="str">
        <f>HYPERLINK("https://otsuka-europe-crm.veevavault.com/ui/#object/approved_document__v/V5OZ04ASG4FWKA9", "Documento Autorizaciขn Centro Empleador")</f>
        <v>Documento Autorizaciขn Centro Empleador</v>
      </c>
      <c r="C7024" s="3" t="str">
        <f>HYPERLINK("https://otsuka-europe-crm.veevavault.com/ui/#object/sent_email__v/VBL00000001E400", "SE-001404913")</f>
        <v>SE-001404913</v>
      </c>
      <c r="D7024" s="1">
        <v>46072.429722222223</v>
      </c>
      <c r="E7024" s="2">
        <v>1</v>
      </c>
      <c r="F7024" s="2">
        <v>2</v>
      </c>
      <c r="G7024" s="2">
        <v>1</v>
      </c>
      <c r="H7024" s="1">
        <v>46072.429722222223</v>
      </c>
      <c r="I7024" s="2">
        <v>1</v>
      </c>
      <c r="J7024" s="1">
        <v>46072.31287037037</v>
      </c>
    </row>
    <row r="7025" spans="1:10" x14ac:dyDescent="0.2">
      <c r="A7025" s="4" t="s">
        <v>1</v>
      </c>
      <c r="B7025" s="3" t="str">
        <f>HYPERLINK("https://otsuka-europe-crm.veevavault.com/ui/#object/approved_document__v/V5OZ04ASG4FWKA9", "Documento Autorizaciขn Centro Empleador")</f>
        <v>Documento Autorizaciขn Centro Empleador</v>
      </c>
      <c r="C7025" s="3" t="str">
        <f>HYPERLINK("https://otsuka-europe-crm.veevavault.com/ui/#object/sent_email__v/VBL00000001E401", "SE-001404914")</f>
        <v>SE-001404914</v>
      </c>
      <c r="D7025" s="1">
        <v>46077.654664351852</v>
      </c>
      <c r="E7025" s="2">
        <v>1</v>
      </c>
      <c r="F7025" s="2">
        <v>3</v>
      </c>
      <c r="G7025" s="2">
        <v>0</v>
      </c>
      <c r="H7025" s="1" t="s">
        <v>0</v>
      </c>
      <c r="I7025" s="2">
        <v>0</v>
      </c>
      <c r="J7025" s="1">
        <v>46072.349050925928</v>
      </c>
    </row>
    <row r="7026" spans="1:10" x14ac:dyDescent="0.2">
      <c r="A7026" s="4" t="s">
        <v>1</v>
      </c>
      <c r="B7026" s="3" t="str">
        <f>HYPERLINK("https://otsuka-europe-crm.veevavault.com/ui/#object/approved_document__v/V5OZ04ASG4FWKA9", "Documento Autorizaciขn Centro Empleador")</f>
        <v>Documento Autorizaciขn Centro Empleador</v>
      </c>
      <c r="C7026" s="3" t="str">
        <f>HYPERLINK("https://otsuka-europe-crm.veevavault.com/ui/#object/sent_email__v/VBL00000001E402", "SE-001404915")</f>
        <v>SE-001404915</v>
      </c>
      <c r="D7026" s="1">
        <v>46073.01363425926</v>
      </c>
      <c r="E7026" s="2">
        <v>1</v>
      </c>
      <c r="F7026" s="2">
        <v>2</v>
      </c>
      <c r="G7026" s="2">
        <v>1</v>
      </c>
      <c r="H7026" s="1">
        <v>46072.76021990741</v>
      </c>
      <c r="I7026" s="2">
        <v>2</v>
      </c>
      <c r="J7026" s="1">
        <v>46072.350162037037</v>
      </c>
    </row>
    <row r="7027" spans="1:10" x14ac:dyDescent="0.2">
      <c r="A7027" s="4" t="s">
        <v>1</v>
      </c>
      <c r="B7027" s="3" t="str">
        <f>HYPERLINK("https://otsuka-europe-crm.veevavault.com/ui/#object/approved_document__v/V5OZ04ASG4FWKA9", "Documento Autorizaciขn Centro Empleador")</f>
        <v>Documento Autorizaciขn Centro Empleador</v>
      </c>
      <c r="C7027" s="3" t="str">
        <f>HYPERLINK("https://otsuka-europe-crm.veevavault.com/ui/#object/sent_email__v/VBL00000001D601", "SE-001405006")</f>
        <v>SE-001405006</v>
      </c>
      <c r="D7027" s="1">
        <v>46072.48159722222</v>
      </c>
      <c r="E7027" s="2">
        <v>1</v>
      </c>
      <c r="F7027" s="2">
        <v>2</v>
      </c>
      <c r="G7027" s="2">
        <v>1</v>
      </c>
      <c r="H7027" s="1">
        <v>46072.48164351852</v>
      </c>
      <c r="I7027" s="2">
        <v>1</v>
      </c>
      <c r="J7027" s="1">
        <v>46072.459826388891</v>
      </c>
    </row>
    <row r="7028" spans="1:10" x14ac:dyDescent="0.2">
      <c r="A7028" s="4" t="s">
        <v>1</v>
      </c>
      <c r="B7028" s="3" t="str">
        <f>HYPERLINK("https://otsuka-europe-crm.veevavault.com/ui/#object/approved_document__v/V5OZ04ASG4FWKA9", "Documento Autorizaciขn Centro Empleador")</f>
        <v>Documento Autorizaciขn Centro Empleador</v>
      </c>
      <c r="C7028" s="3" t="str">
        <f>HYPERLINK("https://otsuka-europe-crm.veevavault.com/ui/#object/sent_email__v/VBL00000001D603", "SE-001405008")</f>
        <v>SE-001405008</v>
      </c>
      <c r="D7028" s="1">
        <v>46072.47378472222</v>
      </c>
      <c r="E7028" s="2">
        <v>1</v>
      </c>
      <c r="F7028" s="2">
        <v>1</v>
      </c>
      <c r="G7028" s="2">
        <v>1</v>
      </c>
      <c r="H7028" s="1">
        <v>46072.474317129629</v>
      </c>
      <c r="I7028" s="2">
        <v>2</v>
      </c>
      <c r="J7028" s="1">
        <v>46072.473067129627</v>
      </c>
    </row>
    <row r="7029" spans="1:10" x14ac:dyDescent="0.2">
      <c r="A7029" s="4" t="s">
        <v>1</v>
      </c>
      <c r="B7029" s="3" t="str">
        <f>HYPERLINK("https://otsuka-europe-crm.veevavault.com/ui/#object/approved_document__v/V5OZ04ASG4FWKA9", "Documento Autorizaciขn Centro Empleador")</f>
        <v>Documento Autorizaciขn Centro Empleador</v>
      </c>
      <c r="C7029" s="3" t="str">
        <f>HYPERLINK("https://otsuka-europe-crm.veevavault.com/ui/#object/sent_email__v/VBL00000001E500", "SE-001405120")</f>
        <v>SE-001405120</v>
      </c>
      <c r="D7029" s="1">
        <v>46072.572824074072</v>
      </c>
      <c r="E7029" s="2">
        <v>1</v>
      </c>
      <c r="F7029" s="2">
        <v>2</v>
      </c>
      <c r="G7029" s="2">
        <v>1</v>
      </c>
      <c r="H7029" s="1">
        <v>46072.572847222225</v>
      </c>
      <c r="I7029" s="2">
        <v>1</v>
      </c>
      <c r="J7029" s="1">
        <v>46072.548657407409</v>
      </c>
    </row>
    <row r="7030" spans="1:10" x14ac:dyDescent="0.2">
      <c r="A7030" s="4" t="s">
        <v>1</v>
      </c>
      <c r="B7030" s="3" t="str">
        <f>HYPERLINK("https://otsuka-europe-crm.veevavault.com/ui/#object/approved_document__v/V5OZ04ASG4FWKA9", "Documento Autorizaciขn Centro Empleador")</f>
        <v>Documento Autorizaciขn Centro Empleador</v>
      </c>
      <c r="C7030" s="3" t="str">
        <f>HYPERLINK("https://otsuka-europe-crm.veevavault.com/ui/#object/sent_email__v/VBL00000001D701", "SE-001405162")</f>
        <v>SE-001405162</v>
      </c>
      <c r="D7030" s="1">
        <v>46072.905231481483</v>
      </c>
      <c r="E7030" s="2">
        <v>1</v>
      </c>
      <c r="F7030" s="2">
        <v>3</v>
      </c>
      <c r="G7030" s="2">
        <v>1</v>
      </c>
      <c r="H7030" s="1">
        <v>46072.788171296299</v>
      </c>
      <c r="I7030" s="2">
        <v>2</v>
      </c>
      <c r="J7030" s="1">
        <v>46072.765856481485</v>
      </c>
    </row>
    <row r="7031" spans="1:10" x14ac:dyDescent="0.2">
      <c r="A7031" s="4" t="s">
        <v>1</v>
      </c>
      <c r="B7031" s="3" t="str">
        <f>HYPERLINK("https://otsuka-europe-crm.veevavault.com/ui/#object/approved_document__v/V5OZ04ASG4FWKA9", "Documento Autorizaciขn Centro Empleador")</f>
        <v>Documento Autorizaciขn Centro Empleador</v>
      </c>
      <c r="C7031" s="3" t="str">
        <f>HYPERLINK("https://otsuka-europe-crm.veevavault.com/ui/#object/sent_email__v/VBL00000001F017", "SE-001405341")</f>
        <v>SE-001405341</v>
      </c>
      <c r="D7031" s="1">
        <v>46077.429386574076</v>
      </c>
      <c r="E7031" s="2">
        <v>1</v>
      </c>
      <c r="F7031" s="2">
        <v>3</v>
      </c>
      <c r="G7031" s="2">
        <v>1</v>
      </c>
      <c r="H7031" s="1">
        <v>46073.466666666667</v>
      </c>
      <c r="I7031" s="2">
        <v>1</v>
      </c>
      <c r="J7031" s="1">
        <v>46073.465567129628</v>
      </c>
    </row>
    <row r="7032" spans="1:10" x14ac:dyDescent="0.2">
      <c r="A7032" s="4" t="s">
        <v>1</v>
      </c>
      <c r="B7032" s="3" t="str">
        <f>HYPERLINK("https://otsuka-europe-crm.veevavault.com/ui/#object/approved_document__v/V5OZ04ASG4FWKA9", "Documento Autorizaciขn Centro Empleador")</f>
        <v>Documento Autorizaciขn Centro Empleador</v>
      </c>
      <c r="C7032" s="3" t="str">
        <f>HYPERLINK("https://otsuka-europe-crm.veevavault.com/ui/#object/sent_email__v/VBL00000001F022", "SE-001405351")</f>
        <v>SE-001405351</v>
      </c>
      <c r="D7032" s="1" t="s">
        <v>0</v>
      </c>
      <c r="E7032" s="2">
        <v>0</v>
      </c>
      <c r="F7032" s="2">
        <v>0</v>
      </c>
      <c r="G7032" s="2">
        <v>0</v>
      </c>
      <c r="H7032" s="1" t="s">
        <v>0</v>
      </c>
      <c r="I7032" s="2">
        <v>0</v>
      </c>
      <c r="J7032" s="1">
        <v>46073.48704861111</v>
      </c>
    </row>
    <row r="7033" spans="1:10" x14ac:dyDescent="0.2">
      <c r="A7033" s="4" t="s">
        <v>1</v>
      </c>
      <c r="B7033" s="3" t="str">
        <f>HYPERLINK("https://otsuka-europe-crm.veevavault.com/ui/#object/approved_document__v/V5OZ04ASG4FWKA9", "Documento Autorizaciขn Centro Empleador")</f>
        <v>Documento Autorizaciขn Centro Empleador</v>
      </c>
      <c r="C7033" s="3" t="str">
        <f>HYPERLINK("https://otsuka-europe-crm.veevavault.com/ui/#object/sent_email__v/VBL00000001F037", "SE-001405424")</f>
        <v>SE-001405424</v>
      </c>
      <c r="D7033" s="1">
        <v>46073.679513888892</v>
      </c>
      <c r="E7033" s="2">
        <v>1</v>
      </c>
      <c r="F7033" s="2">
        <v>1</v>
      </c>
      <c r="G7033" s="2">
        <v>1</v>
      </c>
      <c r="H7033" s="1">
        <v>46073.679513888892</v>
      </c>
      <c r="I7033" s="2">
        <v>1</v>
      </c>
      <c r="J7033" s="1">
        <v>46073.587534722225</v>
      </c>
    </row>
    <row r="7034" spans="1:10" x14ac:dyDescent="0.2">
      <c r="A7034" s="4" t="s">
        <v>1</v>
      </c>
      <c r="B7034" s="3" t="str">
        <f>HYPERLINK("https://otsuka-europe-crm.veevavault.com/ui/#object/approved_document__v/V5OZ04ASG4FWKA9", "Documento Autorizaciขn Centro Empleador")</f>
        <v>Documento Autorizaciขn Centro Empleador</v>
      </c>
      <c r="C7034" s="3" t="str">
        <f>HYPERLINK("https://otsuka-europe-crm.veevavault.com/ui/#object/sent_email__v/VBL00000001F038", "SE-001405425")</f>
        <v>SE-001405425</v>
      </c>
      <c r="D7034" s="1">
        <v>46073.680034722223</v>
      </c>
      <c r="E7034" s="2">
        <v>1</v>
      </c>
      <c r="F7034" s="2">
        <v>1</v>
      </c>
      <c r="G7034" s="2">
        <v>1</v>
      </c>
      <c r="H7034" s="1">
        <v>46073.680034722223</v>
      </c>
      <c r="I7034" s="2">
        <v>1</v>
      </c>
      <c r="J7034" s="1">
        <v>46073.588576388887</v>
      </c>
    </row>
    <row r="7035" spans="1:10" x14ac:dyDescent="0.2">
      <c r="A7035" s="4" t="s">
        <v>1</v>
      </c>
      <c r="B7035" s="3" t="str">
        <f>HYPERLINK("https://otsuka-europe-crm.veevavault.com/ui/#object/approved_document__v/V5OZ04ASG4FWKA9", "Documento Autorizaciขn Centro Empleador")</f>
        <v>Documento Autorizaciขn Centro Empleador</v>
      </c>
      <c r="C7035" s="3" t="str">
        <f>HYPERLINK("https://otsuka-europe-crm.veevavault.com/ui/#object/sent_email__v/VBL00000001G302", "SE-001405567")</f>
        <v>SE-001405567</v>
      </c>
      <c r="D7035" s="1">
        <v>46077.530335648145</v>
      </c>
      <c r="E7035" s="2">
        <v>1</v>
      </c>
      <c r="F7035" s="2">
        <v>1</v>
      </c>
      <c r="G7035" s="2">
        <v>1</v>
      </c>
      <c r="H7035" s="1">
        <v>46077.530335648145</v>
      </c>
      <c r="I7035" s="2">
        <v>1</v>
      </c>
      <c r="J7035" s="1">
        <v>46076.493275462963</v>
      </c>
    </row>
    <row r="7036" spans="1:10" x14ac:dyDescent="0.2">
      <c r="A7036" s="4" t="s">
        <v>1</v>
      </c>
      <c r="B7036" s="3" t="str">
        <f>HYPERLINK("https://otsuka-europe-crm.veevavault.com/ui/#object/approved_document__v/V5OZ04ASG4FWKA9", "Documento Autorizaciขn Centro Empleador")</f>
        <v>Documento Autorizaciขn Centro Empleador</v>
      </c>
      <c r="C7036" s="3" t="str">
        <f>HYPERLINK("https://otsuka-europe-crm.veevavault.com/ui/#object/sent_email__v/VBL00000001F111", "SE-001405568")</f>
        <v>SE-001405568</v>
      </c>
      <c r="D7036" s="1">
        <v>46076.573101851849</v>
      </c>
      <c r="E7036" s="2">
        <v>1</v>
      </c>
      <c r="F7036" s="2">
        <v>1</v>
      </c>
      <c r="G7036" s="2">
        <v>1</v>
      </c>
      <c r="H7036" s="1">
        <v>46076.573252314818</v>
      </c>
      <c r="I7036" s="2">
        <v>1</v>
      </c>
      <c r="J7036" s="1">
        <v>46076.496793981481</v>
      </c>
    </row>
    <row r="7037" spans="1:10" x14ac:dyDescent="0.2">
      <c r="A7037" s="4" t="s">
        <v>1</v>
      </c>
      <c r="B7037" s="3" t="str">
        <f>HYPERLINK("https://otsuka-europe-crm.veevavault.com/ui/#object/approved_document__v/V5OZ04ASG4FWKA9", "Documento Autorizaciขn Centro Empleador")</f>
        <v>Documento Autorizaciขn Centro Empleador</v>
      </c>
      <c r="C7037" s="3" t="str">
        <f>HYPERLINK("https://otsuka-europe-crm.veevavault.com/ui/#object/sent_email__v/VBL00000001F112", "SE-001405569")</f>
        <v>SE-001405569</v>
      </c>
      <c r="D7037" s="1">
        <v>46076.505486111113</v>
      </c>
      <c r="E7037" s="2">
        <v>1</v>
      </c>
      <c r="F7037" s="2">
        <v>1</v>
      </c>
      <c r="G7037" s="2">
        <v>1</v>
      </c>
      <c r="H7037" s="1">
        <v>46076.505601851852</v>
      </c>
      <c r="I7037" s="2">
        <v>1</v>
      </c>
      <c r="J7037" s="1">
        <v>46076.498414351852</v>
      </c>
    </row>
    <row r="7038" spans="1:10" x14ac:dyDescent="0.2">
      <c r="A7038" s="4" t="s">
        <v>1</v>
      </c>
      <c r="B7038" s="3" t="str">
        <f>HYPERLINK("https://otsuka-europe-crm.veevavault.com/ui/#object/approved_document__v/V5OZ04ASG4FWKA9", "Documento Autorizaciขn Centro Empleador")</f>
        <v>Documento Autorizaciขn Centro Empleador</v>
      </c>
      <c r="C7038" s="3" t="str">
        <f>HYPERLINK("https://otsuka-europe-crm.veevavault.com/ui/#object/sent_email__v/VBL00000001F114", "SE-001405571")</f>
        <v>SE-001405571</v>
      </c>
      <c r="D7038" s="1">
        <v>46077.530925925923</v>
      </c>
      <c r="E7038" s="2">
        <v>1</v>
      </c>
      <c r="F7038" s="2">
        <v>1</v>
      </c>
      <c r="G7038" s="2">
        <v>0</v>
      </c>
      <c r="H7038" s="1" t="s">
        <v>0</v>
      </c>
      <c r="I7038" s="2">
        <v>0</v>
      </c>
      <c r="J7038" s="1">
        <v>46076.511655092596</v>
      </c>
    </row>
    <row r="7039" spans="1:10" x14ac:dyDescent="0.2">
      <c r="A7039" s="4" t="s">
        <v>1</v>
      </c>
      <c r="B7039" s="3" t="str">
        <f>HYPERLINK("https://otsuka-europe-crm.veevavault.com/ui/#object/approved_document__v/V5OZ04ASG4FWKA9", "Documento Autorizaciขn Centro Empleador")</f>
        <v>Documento Autorizaciขn Centro Empleador</v>
      </c>
      <c r="C7039" s="3" t="str">
        <f>HYPERLINK("https://otsuka-europe-crm.veevavault.com/ui/#object/sent_email__v/VBL00000001F282", "SE-001405902")</f>
        <v>SE-001405902</v>
      </c>
      <c r="D7039" s="1">
        <v>46077.370868055557</v>
      </c>
      <c r="E7039" s="2">
        <v>1</v>
      </c>
      <c r="F7039" s="2">
        <v>2</v>
      </c>
      <c r="G7039" s="2">
        <v>1</v>
      </c>
      <c r="H7039" s="1">
        <v>46077.372349537036</v>
      </c>
      <c r="I7039" s="2">
        <v>2</v>
      </c>
      <c r="J7039" s="1">
        <v>46076.678761574076</v>
      </c>
    </row>
    <row r="7040" spans="1:10" x14ac:dyDescent="0.2">
      <c r="A7040" s="4" t="s">
        <v>1</v>
      </c>
      <c r="B7040" s="3" t="str">
        <f>HYPERLINK("https://otsuka-europe-crm.veevavault.com/ui/#object/approved_document__v/V5OZ04ASG4FWKA9", "Documento Autorizaciขn Centro Empleador")</f>
        <v>Documento Autorizaciขn Centro Empleador</v>
      </c>
      <c r="C7040" s="3" t="str">
        <f>HYPERLINK("https://otsuka-europe-crm.veevavault.com/ui/#object/sent_email__v/VBL00000001F304", "SE-001405950")</f>
        <v>SE-001405950</v>
      </c>
      <c r="D7040" s="1">
        <v>46077.458819444444</v>
      </c>
      <c r="E7040" s="2">
        <v>1</v>
      </c>
      <c r="F7040" s="2">
        <v>1</v>
      </c>
      <c r="G7040" s="2">
        <v>1</v>
      </c>
      <c r="H7040" s="1">
        <v>46077.459155092591</v>
      </c>
      <c r="I7040" s="2">
        <v>1</v>
      </c>
      <c r="J7040" s="1">
        <v>46076.8987037037</v>
      </c>
    </row>
    <row r="7041" spans="1:10" x14ac:dyDescent="0.2">
      <c r="A7041" s="4" t="s">
        <v>1</v>
      </c>
      <c r="B7041" s="3" t="str">
        <f>HYPERLINK("https://otsuka-europe-crm.veevavault.com/ui/#object/approved_document__v/V5OZ04ASG4FWKA9", "Documento Autorizaciขn Centro Empleador")</f>
        <v>Documento Autorizaciขn Centro Empleador</v>
      </c>
      <c r="C7041" s="3" t="str">
        <f>HYPERLINK("https://otsuka-europe-crm.veevavault.com/ui/#object/sent_email__v/VBL00000001F308", "SE-001405954")</f>
        <v>SE-001405954</v>
      </c>
      <c r="D7041" s="1">
        <v>46077.305578703701</v>
      </c>
      <c r="E7041" s="2">
        <v>1</v>
      </c>
      <c r="F7041" s="2">
        <v>1</v>
      </c>
      <c r="G7041" s="2">
        <v>0</v>
      </c>
      <c r="H7041" s="1" t="s">
        <v>0</v>
      </c>
      <c r="I7041" s="2">
        <v>0</v>
      </c>
      <c r="J7041" s="1">
        <v>46076.902372685188</v>
      </c>
    </row>
    <row r="7042" spans="1:10" x14ac:dyDescent="0.2">
      <c r="A7042" s="4" t="s">
        <v>1</v>
      </c>
      <c r="B7042" s="3" t="str">
        <f>HYPERLINK("https://otsuka-europe-crm.veevavault.com/ui/#object/approved_document__v/V5OZ04ASG4FWKA9", "Documento Autorizaciขn Centro Empleador")</f>
        <v>Documento Autorizaciขn Centro Empleador</v>
      </c>
      <c r="C7042" s="3" t="str">
        <f>HYPERLINK("https://otsuka-europe-crm.veevavault.com/ui/#object/sent_email__v/VBL00000001F320", "SE-001405990")</f>
        <v>SE-001405990</v>
      </c>
      <c r="D7042" s="1">
        <v>46077.522002314814</v>
      </c>
      <c r="E7042" s="2">
        <v>1</v>
      </c>
      <c r="F7042" s="2">
        <v>1</v>
      </c>
      <c r="G7042" s="2">
        <v>1</v>
      </c>
      <c r="H7042" s="1">
        <v>46077.522002314814</v>
      </c>
      <c r="I7042" s="2">
        <v>1</v>
      </c>
      <c r="J7042" s="1">
        <v>46077.518460648149</v>
      </c>
    </row>
    <row r="7043" spans="1:10" x14ac:dyDescent="0.2">
      <c r="A7043" s="4" t="s">
        <v>1</v>
      </c>
      <c r="B7043" s="3" t="str">
        <f>HYPERLINK("https://otsuka-europe-crm.veevavault.com/ui/#object/approved_document__v/V5OZ04ASG4FWKA9", "Documento Autorizaciขn Centro Empleador")</f>
        <v>Documento Autorizaciขn Centro Empleador</v>
      </c>
      <c r="C7043" s="3" t="str">
        <f>HYPERLINK("https://otsuka-europe-crm.veevavault.com/ui/#object/sent_email__v/VBL00000001F346", "SE-001406024")</f>
        <v>SE-001406024</v>
      </c>
      <c r="D7043" s="1">
        <v>46077.620370370372</v>
      </c>
      <c r="E7043" s="2">
        <v>1</v>
      </c>
      <c r="F7043" s="2">
        <v>1</v>
      </c>
      <c r="G7043" s="2">
        <v>1</v>
      </c>
      <c r="H7043" s="1">
        <v>46077.621053240742</v>
      </c>
      <c r="I7043" s="2">
        <v>4</v>
      </c>
      <c r="J7043" s="1">
        <v>46077.612407407411</v>
      </c>
    </row>
    <row r="7044" spans="1:10" x14ac:dyDescent="0.2">
      <c r="A7044" s="4" t="s">
        <v>1</v>
      </c>
      <c r="B7044" s="3" t="str">
        <f>HYPERLINK("https://otsuka-europe-crm.veevavault.com/ui/#object/approved_document__v/V5OZ04ASG4FWKA9", "Documento Autorizaciขn Centro Empleador")</f>
        <v>Documento Autorizaciขn Centro Empleador</v>
      </c>
      <c r="C7044" s="3" t="str">
        <f>HYPERLINK("https://otsuka-europe-crm.veevavault.com/ui/#object/sent_email__v/VBL00000001G538", "SE-001406184")</f>
        <v>SE-001406184</v>
      </c>
      <c r="D7044" s="1">
        <v>46077.691469907404</v>
      </c>
      <c r="E7044" s="2">
        <v>1</v>
      </c>
      <c r="F7044" s="2">
        <v>3</v>
      </c>
      <c r="G7044" s="2">
        <v>1</v>
      </c>
      <c r="H7044" s="1">
        <v>46077.691319444442</v>
      </c>
      <c r="I7044" s="2">
        <v>1</v>
      </c>
      <c r="J7044" s="1">
        <v>46077.660162037035</v>
      </c>
    </row>
    <row r="7045" spans="1:10" x14ac:dyDescent="0.2">
      <c r="A7045" s="4" t="s">
        <v>1</v>
      </c>
      <c r="B7045" s="3" t="str">
        <f>HYPERLINK("https://otsuka-europe-crm.veevavault.com/ui/#object/approved_document__v/V5OZ04ASG4FWKA9", "Documento Autorizaciขn Centro Empleador")</f>
        <v>Documento Autorizaciขn Centro Empleador</v>
      </c>
      <c r="C7045" s="3" t="str">
        <f>HYPERLINK("https://otsuka-europe-crm.veevavault.com/ui/#object/sent_email__v/VBL00000001F493", "SE-001406186")</f>
        <v>SE-001406186</v>
      </c>
      <c r="D7045" s="1">
        <v>46078.376469907409</v>
      </c>
      <c r="E7045" s="2">
        <v>1</v>
      </c>
      <c r="F7045" s="2">
        <v>3</v>
      </c>
      <c r="G7045" s="2">
        <v>1</v>
      </c>
      <c r="H7045" s="1">
        <v>46078.376643518517</v>
      </c>
      <c r="I7045" s="2">
        <v>1</v>
      </c>
      <c r="J7045" s="1">
        <v>46077.663240740738</v>
      </c>
    </row>
    <row r="7046" spans="1:10" x14ac:dyDescent="0.2">
      <c r="A7046" s="4" t="s">
        <v>1</v>
      </c>
      <c r="B7046" s="3" t="str">
        <f>HYPERLINK("https://otsuka-europe-crm.veevavault.com/ui/#object/approved_document__v/V5OZ04ASG4FWKA9", "Documento Autorizaciขn Centro Empleador")</f>
        <v>Documento Autorizaciขn Centro Empleador</v>
      </c>
      <c r="C7046" s="3" t="str">
        <f>HYPERLINK("https://otsuka-europe-crm.veevavault.com/ui/#object/sent_email__v/VBL00000001G540", "SE-001406188")</f>
        <v>SE-001406188</v>
      </c>
      <c r="D7046" s="1">
        <v>46078.416608796295</v>
      </c>
      <c r="E7046" s="2">
        <v>1</v>
      </c>
      <c r="F7046" s="2">
        <v>3</v>
      </c>
      <c r="G7046" s="2">
        <v>1</v>
      </c>
      <c r="H7046" s="1">
        <v>46078.416655092595</v>
      </c>
      <c r="I7046" s="2">
        <v>1</v>
      </c>
      <c r="J7046" s="1">
        <v>46077.666655092595</v>
      </c>
    </row>
    <row r="7047" spans="1:10" x14ac:dyDescent="0.2">
      <c r="A7047" s="4" t="s">
        <v>1</v>
      </c>
      <c r="B7047" s="3" t="str">
        <f>HYPERLINK("https://otsuka-europe-crm.veevavault.com/ui/#object/approved_document__v/V5OZ04ASG4FWKA9", "Documento Autorizaciขn Centro Empleador")</f>
        <v>Documento Autorizaciขn Centro Empleador</v>
      </c>
      <c r="C7047" s="3" t="str">
        <f>HYPERLINK("https://otsuka-europe-crm.veevavault.com/ui/#object/sent_email__v/VBL00000001F495", "SE-001406190")</f>
        <v>SE-001406190</v>
      </c>
      <c r="D7047" s="1" t="s">
        <v>0</v>
      </c>
      <c r="E7047" s="2">
        <v>0</v>
      </c>
      <c r="F7047" s="2">
        <v>0</v>
      </c>
      <c r="G7047" s="2">
        <v>0</v>
      </c>
      <c r="H7047" s="1" t="s">
        <v>0</v>
      </c>
      <c r="I7047" s="2">
        <v>0</v>
      </c>
      <c r="J7047" s="1">
        <v>46077.670671296299</v>
      </c>
    </row>
    <row r="7048" spans="1:10" x14ac:dyDescent="0.2">
      <c r="A7048" s="4" t="s">
        <v>1</v>
      </c>
      <c r="B7048" s="3" t="str">
        <f>HYPERLINK("https://otsuka-europe-crm.veevavault.com/ui/#object/approved_document__v/V5OZ04ASG4FWKA9", "Documento Autorizaciขn Centro Empleador")</f>
        <v>Documento Autorizaciขn Centro Empleador</v>
      </c>
      <c r="C7048" s="3" t="str">
        <f>HYPERLINK("https://otsuka-europe-crm.veevavault.com/ui/#object/sent_email__v/VBL00000001G542", "SE-001406192")</f>
        <v>SE-001406192</v>
      </c>
      <c r="D7048" s="1">
        <v>46078.363657407404</v>
      </c>
      <c r="E7048" s="2">
        <v>1</v>
      </c>
      <c r="F7048" s="2">
        <v>1</v>
      </c>
      <c r="G7048" s="2">
        <v>1</v>
      </c>
      <c r="H7048" s="1">
        <v>46078.363657407404</v>
      </c>
      <c r="I7048" s="2">
        <v>1</v>
      </c>
      <c r="J7048" s="1">
        <v>46077.673356481479</v>
      </c>
    </row>
    <row r="7049" spans="1:10" x14ac:dyDescent="0.2">
      <c r="A7049" s="4" t="s">
        <v>1</v>
      </c>
      <c r="B7049" s="3" t="str">
        <f>HYPERLINK("https://otsuka-europe-crm.veevavault.com/ui/#object/approved_document__v/V5OZ04ASG4FWKA9", "Documento Autorizaciขn Centro Empleador")</f>
        <v>Documento Autorizaciขn Centro Empleador</v>
      </c>
      <c r="C7049" s="3" t="str">
        <f>HYPERLINK("https://otsuka-europe-crm.veevavault.com/ui/#object/sent_email__v/VBL00000001F497", "SE-001406409")</f>
        <v>SE-001406409</v>
      </c>
      <c r="D7049" s="1">
        <v>46077.905868055554</v>
      </c>
      <c r="E7049" s="2">
        <v>1</v>
      </c>
      <c r="F7049" s="2">
        <v>6</v>
      </c>
      <c r="G7049" s="2">
        <v>1</v>
      </c>
      <c r="H7049" s="1">
        <v>46077.759560185186</v>
      </c>
      <c r="I7049" s="2">
        <v>3</v>
      </c>
      <c r="J7049" s="1">
        <v>46077.72415509259</v>
      </c>
    </row>
    <row r="7050" spans="1:10" x14ac:dyDescent="0.2">
      <c r="A7050" s="4" t="s">
        <v>1</v>
      </c>
      <c r="B7050" s="3" t="str">
        <f>HYPERLINK("https://otsuka-europe-crm.veevavault.com/ui/#object/approved_document__v/V5OZ04ASG4FWKA9", "Documento Autorizaciขn Centro Empleador")</f>
        <v>Documento Autorizaciขn Centro Empleador</v>
      </c>
      <c r="C7050" s="3" t="str">
        <f>HYPERLINK("https://otsuka-europe-crm.veevavault.com/ui/#object/sent_email__v/VBL00000001G758", "SE-001406410")</f>
        <v>SE-001406410</v>
      </c>
      <c r="D7050" s="1">
        <v>46077.81144675926</v>
      </c>
      <c r="E7050" s="2">
        <v>1</v>
      </c>
      <c r="F7050" s="2">
        <v>5</v>
      </c>
      <c r="G7050" s="2">
        <v>1</v>
      </c>
      <c r="H7050" s="1">
        <v>46079.316469907404</v>
      </c>
      <c r="I7050" s="2">
        <v>7</v>
      </c>
      <c r="J7050" s="1">
        <v>46077.729710648149</v>
      </c>
    </row>
    <row r="7051" spans="1:10" x14ac:dyDescent="0.2">
      <c r="A7051" s="4" t="s">
        <v>1</v>
      </c>
      <c r="B7051" s="3" t="str">
        <f>HYPERLINK("https://otsuka-europe-crm.veevavault.com/ui/#object/approved_document__v/V5OZ04ASG4FWKA9", "Documento Autorizaciขn Centro Empleador")</f>
        <v>Documento Autorizaciขn Centro Empleador</v>
      </c>
      <c r="C7051" s="3" t="str">
        <f>HYPERLINK("https://otsuka-europe-crm.veevavault.com/ui/#object/sent_email__v/VBL00000001G759", "SE-001406411")</f>
        <v>SE-001406411</v>
      </c>
      <c r="D7051" s="1">
        <v>46078.309398148151</v>
      </c>
      <c r="E7051" s="2">
        <v>1</v>
      </c>
      <c r="F7051" s="2">
        <v>3</v>
      </c>
      <c r="G7051" s="2">
        <v>1</v>
      </c>
      <c r="H7051" s="1">
        <v>46077.814166666663</v>
      </c>
      <c r="I7051" s="2">
        <v>1</v>
      </c>
      <c r="J7051" s="1">
        <v>46077.730300925927</v>
      </c>
    </row>
    <row r="7052" spans="1:10" x14ac:dyDescent="0.2">
      <c r="A7052" s="4" t="s">
        <v>1</v>
      </c>
      <c r="B7052" s="3" t="str">
        <f>HYPERLINK("https://otsuka-europe-crm.veevavault.com/ui/#object/approved_document__v/V5OZ04ASG4FWKA9", "Documento Autorizaciขn Centro Empleador")</f>
        <v>Documento Autorizaciขn Centro Empleador</v>
      </c>
      <c r="C7052" s="3" t="str">
        <f>HYPERLINK("https://otsuka-europe-crm.veevavault.com/ui/#object/sent_email__v/VBL00000001G760", "SE-001406412")</f>
        <v>SE-001406412</v>
      </c>
      <c r="D7052" s="1">
        <v>46077.93540509259</v>
      </c>
      <c r="E7052" s="2">
        <v>1</v>
      </c>
      <c r="F7052" s="2">
        <v>1</v>
      </c>
      <c r="G7052" s="2">
        <v>1</v>
      </c>
      <c r="H7052" s="1">
        <v>46077.935694444444</v>
      </c>
      <c r="I7052" s="2">
        <v>2</v>
      </c>
      <c r="J7052" s="1">
        <v>46077.730914351851</v>
      </c>
    </row>
    <row r="7053" spans="1:10" x14ac:dyDescent="0.2">
      <c r="A7053" s="4" t="s">
        <v>1</v>
      </c>
      <c r="B7053" s="3" t="str">
        <f>HYPERLINK("https://otsuka-europe-crm.veevavault.com/ui/#object/approved_document__v/V5OZ04ASG4FWKA9", "Documento Autorizaciขn Centro Empleador")</f>
        <v>Documento Autorizaciขn Centro Empleador</v>
      </c>
      <c r="C7053" s="3" t="str">
        <f>HYPERLINK("https://otsuka-europe-crm.veevavault.com/ui/#object/sent_email__v/VBL00000001F551", "SE-001406554")</f>
        <v>SE-001406554</v>
      </c>
      <c r="D7053" s="1">
        <v>46078.571944444448</v>
      </c>
      <c r="E7053" s="2">
        <v>1</v>
      </c>
      <c r="F7053" s="2">
        <v>1</v>
      </c>
      <c r="G7053" s="2">
        <v>1</v>
      </c>
      <c r="H7053" s="1">
        <v>46078.571944444448</v>
      </c>
      <c r="I7053" s="2">
        <v>1</v>
      </c>
      <c r="J7053" s="1">
        <v>46078.556747685187</v>
      </c>
    </row>
    <row r="7054" spans="1:10" x14ac:dyDescent="0.2">
      <c r="A7054" s="4" t="s">
        <v>1</v>
      </c>
      <c r="B7054" s="3" t="str">
        <f>HYPERLINK("https://otsuka-europe-crm.veevavault.com/ui/#object/approved_document__v/V5OZ025E82Q05P5", "ENFERMERÍA - Casos clínicos AM2M Revista Peplau")</f>
        <v>ENFERMERÍA - Casos clínicos AM2M Revista Peplau</v>
      </c>
      <c r="C7054" s="3" t="str">
        <f>HYPERLINK("https://otsuka-europe-crm.veevavault.com/ui/#object/sent_email__v/VBL00000000M804", "SE-001389972")</f>
        <v>SE-001389972</v>
      </c>
      <c r="D7054" s="1" t="s">
        <v>0</v>
      </c>
      <c r="E7054" s="2">
        <v>0</v>
      </c>
      <c r="F7054" s="2">
        <v>0</v>
      </c>
      <c r="G7054" s="2">
        <v>0</v>
      </c>
      <c r="H7054" s="1" t="s">
        <v>0</v>
      </c>
      <c r="I7054" s="2">
        <v>0</v>
      </c>
      <c r="J7054" s="1">
        <v>46000.422222222223</v>
      </c>
    </row>
    <row r="7055" spans="1:10" x14ac:dyDescent="0.2">
      <c r="A7055" s="4" t="s">
        <v>1</v>
      </c>
      <c r="B7055" s="3" t="str">
        <f>HYPERLINK("https://otsuka-europe-crm.veevavault.com/ui/#object/approved_document__v/V5OZ025E82Q05P5", "ENFERMERÍA - Casos clínicos AM2M Revista Peplau")</f>
        <v>ENFERMERÍA - Casos clínicos AM2M Revista Peplau</v>
      </c>
      <c r="C7055" s="3" t="str">
        <f>HYPERLINK("https://otsuka-europe-crm.veevavault.com/ui/#object/sent_email__v/VBL00000000M805", "SE-001389973")</f>
        <v>SE-001389973</v>
      </c>
      <c r="D7055" s="1" t="s">
        <v>0</v>
      </c>
      <c r="E7055" s="2">
        <v>0</v>
      </c>
      <c r="F7055" s="2">
        <v>0</v>
      </c>
      <c r="G7055" s="2">
        <v>0</v>
      </c>
      <c r="H7055" s="1" t="s">
        <v>0</v>
      </c>
      <c r="I7055" s="2">
        <v>0</v>
      </c>
      <c r="J7055" s="1">
        <v>46000.422222222223</v>
      </c>
    </row>
    <row r="7056" spans="1:10" x14ac:dyDescent="0.2">
      <c r="A7056" s="4" t="s">
        <v>1</v>
      </c>
      <c r="B7056" s="3" t="str">
        <f>HYPERLINK("https://otsuka-europe-crm.veevavault.com/ui/#object/approved_document__v/V5OZ025E82Q05P5", "ENFERMERÍA - Casos clínicos AM2M Revista Peplau")</f>
        <v>ENFERMERÍA - Casos clínicos AM2M Revista Peplau</v>
      </c>
      <c r="C7056" s="3" t="str">
        <f>HYPERLINK("https://otsuka-europe-crm.veevavault.com/ui/#object/sent_email__v/VBL00000000M806", "SE-001389974")</f>
        <v>SE-001389974</v>
      </c>
      <c r="D7056" s="1">
        <v>46000.497349537036</v>
      </c>
      <c r="E7056" s="2">
        <v>1</v>
      </c>
      <c r="F7056" s="2">
        <v>1</v>
      </c>
      <c r="G7056" s="2">
        <v>0</v>
      </c>
      <c r="H7056" s="1" t="s">
        <v>0</v>
      </c>
      <c r="I7056" s="2">
        <v>0</v>
      </c>
      <c r="J7056" s="1">
        <v>46000.422233796293</v>
      </c>
    </row>
    <row r="7057" spans="1:10" x14ac:dyDescent="0.2">
      <c r="A7057" s="4" t="s">
        <v>1</v>
      </c>
      <c r="B7057" s="3" t="str">
        <f>HYPERLINK("https://otsuka-europe-crm.veevavault.com/ui/#object/approved_document__v/V5OZ025E82Q05P5", "ENFERMERÍA - Casos clínicos AM2M Revista Peplau")</f>
        <v>ENFERMERÍA - Casos clínicos AM2M Revista Peplau</v>
      </c>
      <c r="C7057" s="3" t="str">
        <f>HYPERLINK("https://otsuka-europe-crm.veevavault.com/ui/#object/sent_email__v/VBL00000000M807", "SE-001389975")</f>
        <v>SE-001389975</v>
      </c>
      <c r="D7057" s="1">
        <v>46019.598969907405</v>
      </c>
      <c r="E7057" s="2">
        <v>1</v>
      </c>
      <c r="F7057" s="2">
        <v>3</v>
      </c>
      <c r="G7057" s="2">
        <v>0</v>
      </c>
      <c r="H7057" s="1" t="s">
        <v>0</v>
      </c>
      <c r="I7057" s="2">
        <v>0</v>
      </c>
      <c r="J7057" s="1">
        <v>46000.422222222223</v>
      </c>
    </row>
    <row r="7058" spans="1:10" x14ac:dyDescent="0.2">
      <c r="A7058" s="4" t="s">
        <v>1</v>
      </c>
      <c r="B7058" s="3" t="str">
        <f>HYPERLINK("https://otsuka-europe-crm.veevavault.com/ui/#object/approved_document__v/V5OZ025E82Q05P5", "ENFERMERÍA - Casos clínicos AM2M Revista Peplau")</f>
        <v>ENFERMERÍA - Casos clínicos AM2M Revista Peplau</v>
      </c>
      <c r="C7058" s="3" t="str">
        <f>HYPERLINK("https://otsuka-europe-crm.veevavault.com/ui/#object/sent_email__v/VBL00000000M808", "SE-001389976")</f>
        <v>SE-001389976</v>
      </c>
      <c r="D7058" s="1">
        <v>46000.645069444443</v>
      </c>
      <c r="E7058" s="2">
        <v>1</v>
      </c>
      <c r="F7058" s="2">
        <v>1</v>
      </c>
      <c r="G7058" s="2">
        <v>0</v>
      </c>
      <c r="H7058" s="1" t="s">
        <v>0</v>
      </c>
      <c r="I7058" s="2">
        <v>0</v>
      </c>
      <c r="J7058" s="1">
        <v>46000.422222222223</v>
      </c>
    </row>
    <row r="7059" spans="1:10" x14ac:dyDescent="0.2">
      <c r="A7059" s="4" t="s">
        <v>1</v>
      </c>
      <c r="B7059" s="3" t="str">
        <f>HYPERLINK("https://otsuka-europe-crm.veevavault.com/ui/#object/approved_document__v/V5OZ025E82Q05P5", "ENFERMERÍA - Casos clínicos AM2M Revista Peplau")</f>
        <v>ENFERMERÍA - Casos clínicos AM2M Revista Peplau</v>
      </c>
      <c r="C7059" s="3" t="str">
        <f>HYPERLINK("https://otsuka-europe-crm.veevavault.com/ui/#object/sent_email__v/VBL00000000M809", "SE-001389977")</f>
        <v>SE-001389977</v>
      </c>
      <c r="D7059" s="1">
        <v>46001.69699074074</v>
      </c>
      <c r="E7059" s="2">
        <v>1</v>
      </c>
      <c r="F7059" s="2">
        <v>1</v>
      </c>
      <c r="G7059" s="2">
        <v>0</v>
      </c>
      <c r="H7059" s="1" t="s">
        <v>0</v>
      </c>
      <c r="I7059" s="2">
        <v>0</v>
      </c>
      <c r="J7059" s="1">
        <v>46000.422233796293</v>
      </c>
    </row>
    <row r="7060" spans="1:10" x14ac:dyDescent="0.2">
      <c r="A7060" s="4" t="s">
        <v>1</v>
      </c>
      <c r="B7060" s="3" t="str">
        <f>HYPERLINK("https://otsuka-europe-crm.veevavault.com/ui/#object/approved_document__v/V5OZ025E82Q05P5", "ENFERMERÍA - Casos clínicos AM2M Revista Peplau")</f>
        <v>ENFERMERÍA - Casos clínicos AM2M Revista Peplau</v>
      </c>
      <c r="C7060" s="3" t="str">
        <f>HYPERLINK("https://otsuka-europe-crm.veevavault.com/ui/#object/sent_email__v/VBL00000000M810", "SE-001389978")</f>
        <v>SE-001389978</v>
      </c>
      <c r="D7060" s="1">
        <v>46000.818032407406</v>
      </c>
      <c r="E7060" s="2">
        <v>1</v>
      </c>
      <c r="F7060" s="2">
        <v>1</v>
      </c>
      <c r="G7060" s="2">
        <v>0</v>
      </c>
      <c r="H7060" s="1" t="s">
        <v>0</v>
      </c>
      <c r="I7060" s="2">
        <v>0</v>
      </c>
      <c r="J7060" s="1">
        <v>46000.422222222223</v>
      </c>
    </row>
    <row r="7061" spans="1:10" x14ac:dyDescent="0.2">
      <c r="A7061" s="4" t="s">
        <v>1</v>
      </c>
      <c r="B7061" s="3" t="str">
        <f>HYPERLINK("https://otsuka-europe-crm.veevavault.com/ui/#object/approved_document__v/V5OZ025E82Q05P5", "ENFERMERÍA - Casos clínicos AM2M Revista Peplau")</f>
        <v>ENFERMERÍA - Casos clínicos AM2M Revista Peplau</v>
      </c>
      <c r="C7061" s="3" t="str">
        <f>HYPERLINK("https://otsuka-europe-crm.veevavault.com/ui/#object/sent_email__v/VBL00000000M811", "SE-001389979")</f>
        <v>SE-001389979</v>
      </c>
      <c r="D7061" s="1" t="s">
        <v>0</v>
      </c>
      <c r="E7061" s="2">
        <v>0</v>
      </c>
      <c r="F7061" s="2">
        <v>0</v>
      </c>
      <c r="G7061" s="2">
        <v>0</v>
      </c>
      <c r="H7061" s="1" t="s">
        <v>0</v>
      </c>
      <c r="I7061" s="2">
        <v>0</v>
      </c>
      <c r="J7061" s="1">
        <v>46000.422222222223</v>
      </c>
    </row>
    <row r="7062" spans="1:10" x14ac:dyDescent="0.2">
      <c r="A7062" s="4" t="s">
        <v>1</v>
      </c>
      <c r="B7062" s="3" t="str">
        <f>HYPERLINK("https://otsuka-europe-crm.veevavault.com/ui/#object/approved_document__v/V5OZ025E82Q05P5", "ENFERMERÍA - Casos clínicos AM2M Revista Peplau")</f>
        <v>ENFERMERÍA - Casos clínicos AM2M Revista Peplau</v>
      </c>
      <c r="C7062" s="3" t="str">
        <f>HYPERLINK("https://otsuka-europe-crm.veevavault.com/ui/#object/sent_email__v/VBL00000000M812", "SE-001389980")</f>
        <v>SE-001389980</v>
      </c>
      <c r="D7062" s="1">
        <v>46005.891250000001</v>
      </c>
      <c r="E7062" s="2">
        <v>1</v>
      </c>
      <c r="F7062" s="2">
        <v>2</v>
      </c>
      <c r="G7062" s="2">
        <v>0</v>
      </c>
      <c r="H7062" s="1" t="s">
        <v>0</v>
      </c>
      <c r="I7062" s="2">
        <v>0</v>
      </c>
      <c r="J7062" s="1">
        <v>46000.422222222223</v>
      </c>
    </row>
    <row r="7063" spans="1:10" x14ac:dyDescent="0.2">
      <c r="A7063" s="4" t="s">
        <v>1</v>
      </c>
      <c r="B7063" s="3" t="str">
        <f>HYPERLINK("https://otsuka-europe-crm.veevavault.com/ui/#object/approved_document__v/V5OZ025E82Q05P5", "ENFERMERÍA - Casos clínicos AM2M Revista Peplau")</f>
        <v>ENFERMERÍA - Casos clínicos AM2M Revista Peplau</v>
      </c>
      <c r="C7063" s="3" t="str">
        <f>HYPERLINK("https://otsuka-europe-crm.veevavault.com/ui/#object/sent_email__v/VBL00000000M813", "SE-001389981")</f>
        <v>SE-001389981</v>
      </c>
      <c r="D7063" s="1" t="s">
        <v>0</v>
      </c>
      <c r="E7063" s="2">
        <v>0</v>
      </c>
      <c r="F7063" s="2">
        <v>0</v>
      </c>
      <c r="G7063" s="2">
        <v>0</v>
      </c>
      <c r="H7063" s="1" t="s">
        <v>0</v>
      </c>
      <c r="I7063" s="2">
        <v>0</v>
      </c>
      <c r="J7063" s="1">
        <v>46000.422222222223</v>
      </c>
    </row>
    <row r="7064" spans="1:10" x14ac:dyDescent="0.2">
      <c r="A7064" s="4" t="s">
        <v>1</v>
      </c>
      <c r="B7064" s="3" t="str">
        <f>HYPERLINK("https://otsuka-europe-crm.veevavault.com/ui/#object/approved_document__v/V5OZ025E82Q05P5", "ENFERMERÍA - Casos clínicos AM2M Revista Peplau")</f>
        <v>ENFERMERÍA - Casos clínicos AM2M Revista Peplau</v>
      </c>
      <c r="C7064" s="3" t="str">
        <f>HYPERLINK("https://otsuka-europe-crm.veevavault.com/ui/#object/sent_email__v/VBL00000000M814", "SE-001389982")</f>
        <v>SE-001389982</v>
      </c>
      <c r="D7064" s="1">
        <v>46011.943356481483</v>
      </c>
      <c r="E7064" s="2">
        <v>1</v>
      </c>
      <c r="F7064" s="2">
        <v>5</v>
      </c>
      <c r="G7064" s="2">
        <v>0</v>
      </c>
      <c r="H7064" s="1" t="s">
        <v>0</v>
      </c>
      <c r="I7064" s="2">
        <v>0</v>
      </c>
      <c r="J7064" s="1">
        <v>46000.422314814816</v>
      </c>
    </row>
    <row r="7065" spans="1:10" x14ac:dyDescent="0.2">
      <c r="A7065" s="4" t="s">
        <v>1</v>
      </c>
      <c r="B7065" s="3" t="str">
        <f>HYPERLINK("https://otsuka-europe-crm.veevavault.com/ui/#object/approved_document__v/V5OZ025E82Q05P5", "ENFERMERÍA - Casos clínicos AM2M Revista Peplau")</f>
        <v>ENFERMERÍA - Casos clínicos AM2M Revista Peplau</v>
      </c>
      <c r="C7065" s="3" t="str">
        <f>HYPERLINK("https://otsuka-europe-crm.veevavault.com/ui/#object/sent_email__v/VBL00000000M815", "SE-001389983")</f>
        <v>SE-001389983</v>
      </c>
      <c r="D7065" s="1" t="s">
        <v>0</v>
      </c>
      <c r="E7065" s="2">
        <v>0</v>
      </c>
      <c r="F7065" s="2">
        <v>0</v>
      </c>
      <c r="G7065" s="2">
        <v>0</v>
      </c>
      <c r="H7065" s="1" t="s">
        <v>0</v>
      </c>
      <c r="I7065" s="2">
        <v>0</v>
      </c>
      <c r="J7065" s="1">
        <v>46000.422222222223</v>
      </c>
    </row>
    <row r="7066" spans="1:10" x14ac:dyDescent="0.2">
      <c r="A7066" s="4" t="s">
        <v>1</v>
      </c>
      <c r="B7066" s="3" t="str">
        <f>HYPERLINK("https://otsuka-europe-crm.veevavault.com/ui/#object/approved_document__v/V5OZ025E82Q05P5", "ENFERMERÍA - Casos clínicos AM2M Revista Peplau")</f>
        <v>ENFERMERÍA - Casos clínicos AM2M Revista Peplau</v>
      </c>
      <c r="C7066" s="3" t="str">
        <f>HYPERLINK("https://otsuka-europe-crm.veevavault.com/ui/#object/sent_email__v/VBL00000000M816", "SE-001389984")</f>
        <v>SE-001389984</v>
      </c>
      <c r="D7066" s="1">
        <v>46000.908310185187</v>
      </c>
      <c r="E7066" s="2">
        <v>1</v>
      </c>
      <c r="F7066" s="2">
        <v>1</v>
      </c>
      <c r="G7066" s="2">
        <v>0</v>
      </c>
      <c r="H7066" s="1" t="s">
        <v>0</v>
      </c>
      <c r="I7066" s="2">
        <v>0</v>
      </c>
      <c r="J7066" s="1">
        <v>46000.422222222223</v>
      </c>
    </row>
    <row r="7067" spans="1:10" x14ac:dyDescent="0.2">
      <c r="A7067" s="4" t="s">
        <v>1</v>
      </c>
      <c r="B7067" s="3" t="str">
        <f>HYPERLINK("https://otsuka-europe-crm.veevavault.com/ui/#object/approved_document__v/V5OZ025E82Q05P5", "ENFERMERÍA - Casos clínicos AM2M Revista Peplau")</f>
        <v>ENFERMERÍA - Casos clínicos AM2M Revista Peplau</v>
      </c>
      <c r="C7067" s="3" t="str">
        <f>HYPERLINK("https://otsuka-europe-crm.veevavault.com/ui/#object/sent_email__v/VBL00000000M817", "SE-001389985")</f>
        <v>SE-001389985</v>
      </c>
      <c r="D7067" s="1">
        <v>46007.938993055555</v>
      </c>
      <c r="E7067" s="2">
        <v>1</v>
      </c>
      <c r="F7067" s="2">
        <v>1</v>
      </c>
      <c r="G7067" s="2">
        <v>0</v>
      </c>
      <c r="H7067" s="1" t="s">
        <v>0</v>
      </c>
      <c r="I7067" s="2">
        <v>0</v>
      </c>
      <c r="J7067" s="1">
        <v>46000.422349537039</v>
      </c>
    </row>
    <row r="7068" spans="1:10" x14ac:dyDescent="0.2">
      <c r="A7068" s="4" t="s">
        <v>1</v>
      </c>
      <c r="B7068" s="3" t="str">
        <f>HYPERLINK("https://otsuka-europe-crm.veevavault.com/ui/#object/approved_document__v/V5OZ025E82Q05P5", "ENFERMERÍA - Casos clínicos AM2M Revista Peplau")</f>
        <v>ENFERMERÍA - Casos clínicos AM2M Revista Peplau</v>
      </c>
      <c r="C7068" s="3" t="str">
        <f>HYPERLINK("https://otsuka-europe-crm.veevavault.com/ui/#object/sent_email__v/VBL00000000M818", "SE-001389986")</f>
        <v>SE-001389986</v>
      </c>
      <c r="D7068" s="1">
        <v>46000.591874999998</v>
      </c>
      <c r="E7068" s="2">
        <v>1</v>
      </c>
      <c r="F7068" s="2">
        <v>1</v>
      </c>
      <c r="G7068" s="2">
        <v>0</v>
      </c>
      <c r="H7068" s="1" t="s">
        <v>0</v>
      </c>
      <c r="I7068" s="2">
        <v>0</v>
      </c>
      <c r="J7068" s="1">
        <v>46000.422222222223</v>
      </c>
    </row>
    <row r="7069" spans="1:10" x14ac:dyDescent="0.2">
      <c r="A7069" s="4" t="s">
        <v>1</v>
      </c>
      <c r="B7069" s="3" t="str">
        <f>HYPERLINK("https://otsuka-europe-crm.veevavault.com/ui/#object/approved_document__v/V5OZ025E82Q05P5", "ENFERMERÍA - Casos clínicos AM2M Revista Peplau")</f>
        <v>ENFERMERÍA - Casos clínicos AM2M Revista Peplau</v>
      </c>
      <c r="C7069" s="3" t="str">
        <f>HYPERLINK("https://otsuka-europe-crm.veevavault.com/ui/#object/sent_email__v/VBL00000000M819", "SE-001389987")</f>
        <v>SE-001389987</v>
      </c>
      <c r="D7069" s="1">
        <v>46000.456956018519</v>
      </c>
      <c r="E7069" s="2">
        <v>1</v>
      </c>
      <c r="F7069" s="2">
        <v>1</v>
      </c>
      <c r="G7069" s="2">
        <v>0</v>
      </c>
      <c r="H7069" s="1" t="s">
        <v>0</v>
      </c>
      <c r="I7069" s="2">
        <v>0</v>
      </c>
      <c r="J7069" s="1">
        <v>46000.422222222223</v>
      </c>
    </row>
    <row r="7070" spans="1:10" x14ac:dyDescent="0.2">
      <c r="A7070" s="4" t="s">
        <v>1</v>
      </c>
      <c r="B7070" s="3" t="str">
        <f>HYPERLINK("https://otsuka-europe-crm.veevavault.com/ui/#object/approved_document__v/V5OZ025E82Q05P5", "ENFERMERÍA - Casos clínicos AM2M Revista Peplau")</f>
        <v>ENFERMERÍA - Casos clínicos AM2M Revista Peplau</v>
      </c>
      <c r="C7070" s="3" t="str">
        <f>HYPERLINK("https://otsuka-europe-crm.veevavault.com/ui/#object/sent_email__v/VBL00000000M820", "SE-001389988")</f>
        <v>SE-001389988</v>
      </c>
      <c r="D7070" s="1">
        <v>46000.459131944444</v>
      </c>
      <c r="E7070" s="2">
        <v>1</v>
      </c>
      <c r="F7070" s="2">
        <v>1</v>
      </c>
      <c r="G7070" s="2">
        <v>0</v>
      </c>
      <c r="H7070" s="1" t="s">
        <v>0</v>
      </c>
      <c r="I7070" s="2">
        <v>0</v>
      </c>
      <c r="J7070" s="1">
        <v>46000.422280092593</v>
      </c>
    </row>
    <row r="7071" spans="1:10" x14ac:dyDescent="0.2">
      <c r="A7071" s="4" t="s">
        <v>1</v>
      </c>
      <c r="B7071" s="3" t="str">
        <f>HYPERLINK("https://otsuka-europe-crm.veevavault.com/ui/#object/approved_document__v/V5OZ025E82Q05P5", "ENFERMERÍA - Casos clínicos AM2M Revista Peplau")</f>
        <v>ENFERMERÍA - Casos clínicos AM2M Revista Peplau</v>
      </c>
      <c r="C7071" s="3" t="str">
        <f>HYPERLINK("https://otsuka-europe-crm.veevavault.com/ui/#object/sent_email__v/VBL00000000M821", "SE-001389989")</f>
        <v>SE-001389989</v>
      </c>
      <c r="D7071" s="1" t="s">
        <v>0</v>
      </c>
      <c r="E7071" s="2">
        <v>0</v>
      </c>
      <c r="F7071" s="2">
        <v>0</v>
      </c>
      <c r="G7071" s="2">
        <v>0</v>
      </c>
      <c r="H7071" s="1" t="s">
        <v>0</v>
      </c>
      <c r="I7071" s="2">
        <v>0</v>
      </c>
      <c r="J7071" s="1">
        <v>46000.422337962962</v>
      </c>
    </row>
    <row r="7072" spans="1:10" x14ac:dyDescent="0.2">
      <c r="A7072" s="4" t="s">
        <v>1</v>
      </c>
      <c r="B7072" s="3" t="str">
        <f>HYPERLINK("https://otsuka-europe-crm.veevavault.com/ui/#object/approved_document__v/V5OZ025E82Q05P5", "ENFERMERÍA - Casos clínicos AM2M Revista Peplau")</f>
        <v>ENFERMERÍA - Casos clínicos AM2M Revista Peplau</v>
      </c>
      <c r="C7072" s="3" t="str">
        <f>HYPERLINK("https://otsuka-europe-crm.veevavault.com/ui/#object/sent_email__v/VBL00000000M822", "SE-001389990")</f>
        <v>SE-001389990</v>
      </c>
      <c r="D7072" s="1">
        <v>46064.793506944443</v>
      </c>
      <c r="E7072" s="2">
        <v>1</v>
      </c>
      <c r="F7072" s="2">
        <v>1</v>
      </c>
      <c r="G7072" s="2">
        <v>0</v>
      </c>
      <c r="H7072" s="1" t="s">
        <v>0</v>
      </c>
      <c r="I7072" s="2">
        <v>0</v>
      </c>
      <c r="J7072" s="1">
        <v>46000.422199074077</v>
      </c>
    </row>
    <row r="7073" spans="1:10" x14ac:dyDescent="0.2">
      <c r="A7073" s="4" t="s">
        <v>1</v>
      </c>
      <c r="B7073" s="3" t="str">
        <f>HYPERLINK("https://otsuka-europe-crm.veevavault.com/ui/#object/approved_document__v/V5OZ025E82Q05P5", "ENFERMERÍA - Casos clínicos AM2M Revista Peplau")</f>
        <v>ENFERMERÍA - Casos clínicos AM2M Revista Peplau</v>
      </c>
      <c r="C7073" s="3" t="str">
        <f>HYPERLINK("https://otsuka-europe-crm.veevavault.com/ui/#object/sent_email__v/VBL00000000M823", "SE-001389991")</f>
        <v>SE-001389991</v>
      </c>
      <c r="D7073" s="1">
        <v>46000.974861111114</v>
      </c>
      <c r="E7073" s="2">
        <v>1</v>
      </c>
      <c r="F7073" s="2">
        <v>1</v>
      </c>
      <c r="G7073" s="2">
        <v>0</v>
      </c>
      <c r="H7073" s="1" t="s">
        <v>0</v>
      </c>
      <c r="I7073" s="2">
        <v>0</v>
      </c>
      <c r="J7073" s="1">
        <v>46000.422349537039</v>
      </c>
    </row>
    <row r="7074" spans="1:10" x14ac:dyDescent="0.2">
      <c r="A7074" s="4" t="s">
        <v>1</v>
      </c>
      <c r="B7074" s="3" t="str">
        <f>HYPERLINK("https://otsuka-europe-crm.veevavault.com/ui/#object/approved_document__v/V5OZ025E82Q05P5", "ENFERMERÍA - Casos clínicos AM2M Revista Peplau")</f>
        <v>ENFERMERÍA - Casos clínicos AM2M Revista Peplau</v>
      </c>
      <c r="C7074" s="3" t="str">
        <f>HYPERLINK("https://otsuka-europe-crm.veevavault.com/ui/#object/sent_email__v/VBL00000000M824", "SE-001389992")</f>
        <v>SE-001389992</v>
      </c>
      <c r="D7074" s="1" t="s">
        <v>0</v>
      </c>
      <c r="E7074" s="2">
        <v>0</v>
      </c>
      <c r="F7074" s="2">
        <v>0</v>
      </c>
      <c r="G7074" s="2">
        <v>0</v>
      </c>
      <c r="H7074" s="1" t="s">
        <v>0</v>
      </c>
      <c r="I7074" s="2">
        <v>0</v>
      </c>
      <c r="J7074" s="1">
        <v>46000.422337962962</v>
      </c>
    </row>
    <row r="7075" spans="1:10" x14ac:dyDescent="0.2">
      <c r="A7075" s="4" t="s">
        <v>1</v>
      </c>
      <c r="B7075" s="3" t="str">
        <f>HYPERLINK("https://otsuka-europe-crm.veevavault.com/ui/#object/approved_document__v/V5OZ025E82Q05P5", "ENFERMERÍA - Casos clínicos AM2M Revista Peplau")</f>
        <v>ENFERMERÍA - Casos clínicos AM2M Revista Peplau</v>
      </c>
      <c r="C7075" s="3" t="str">
        <f>HYPERLINK("https://otsuka-europe-crm.veevavault.com/ui/#object/sent_email__v/VBL00000000M825", "SE-001389993")</f>
        <v>SE-001389993</v>
      </c>
      <c r="D7075" s="1" t="s">
        <v>0</v>
      </c>
      <c r="E7075" s="2">
        <v>0</v>
      </c>
      <c r="F7075" s="2">
        <v>0</v>
      </c>
      <c r="G7075" s="2">
        <v>0</v>
      </c>
      <c r="H7075" s="1" t="s">
        <v>0</v>
      </c>
      <c r="I7075" s="2">
        <v>0</v>
      </c>
      <c r="J7075" s="1">
        <v>46000.422222222223</v>
      </c>
    </row>
    <row r="7076" spans="1:10" x14ac:dyDescent="0.2">
      <c r="A7076" s="4" t="s">
        <v>1</v>
      </c>
      <c r="B7076" s="3" t="str">
        <f>HYPERLINK("https://otsuka-europe-crm.veevavault.com/ui/#object/approved_document__v/V5OZ025E82Q05P5", "ENFERMERÍA - Casos clínicos AM2M Revista Peplau")</f>
        <v>ENFERMERÍA - Casos clínicos AM2M Revista Peplau</v>
      </c>
      <c r="C7076" s="3" t="str">
        <f>HYPERLINK("https://otsuka-europe-crm.veevavault.com/ui/#object/sent_email__v/VBL00000000M826", "SE-001389994")</f>
        <v>SE-001389994</v>
      </c>
      <c r="D7076" s="1">
        <v>46000.449212962965</v>
      </c>
      <c r="E7076" s="2">
        <v>1</v>
      </c>
      <c r="F7076" s="2">
        <v>2</v>
      </c>
      <c r="G7076" s="2">
        <v>0</v>
      </c>
      <c r="H7076" s="1" t="s">
        <v>0</v>
      </c>
      <c r="I7076" s="2">
        <v>0</v>
      </c>
      <c r="J7076" s="1">
        <v>46000.422199074077</v>
      </c>
    </row>
    <row r="7077" spans="1:10" x14ac:dyDescent="0.2">
      <c r="A7077" s="4" t="s">
        <v>1</v>
      </c>
      <c r="B7077" s="3" t="str">
        <f>HYPERLINK("https://otsuka-europe-crm.veevavault.com/ui/#object/approved_document__v/V5OZ025E82Q05P5", "ENFERMERÍA - Casos clínicos AM2M Revista Peplau")</f>
        <v>ENFERMERÍA - Casos clínicos AM2M Revista Peplau</v>
      </c>
      <c r="C7077" s="3" t="str">
        <f>HYPERLINK("https://otsuka-europe-crm.veevavault.com/ui/#object/sent_email__v/VBL00000000M827", "SE-001389995")</f>
        <v>SE-001389995</v>
      </c>
      <c r="D7077" s="1">
        <v>46001.30840277778</v>
      </c>
      <c r="E7077" s="2">
        <v>1</v>
      </c>
      <c r="F7077" s="2">
        <v>1</v>
      </c>
      <c r="G7077" s="2">
        <v>0</v>
      </c>
      <c r="H7077" s="1" t="s">
        <v>0</v>
      </c>
      <c r="I7077" s="2">
        <v>0</v>
      </c>
      <c r="J7077" s="1">
        <v>46000.42224537037</v>
      </c>
    </row>
    <row r="7078" spans="1:10" x14ac:dyDescent="0.2">
      <c r="A7078" s="4" t="s">
        <v>1</v>
      </c>
      <c r="B7078" s="3" t="str">
        <f>HYPERLINK("https://otsuka-europe-crm.veevavault.com/ui/#object/approved_document__v/V5OZ025E82Q05P5", "ENFERMERÍA - Casos clínicos AM2M Revista Peplau")</f>
        <v>ENFERMERÍA - Casos clínicos AM2M Revista Peplau</v>
      </c>
      <c r="C7078" s="3" t="str">
        <f>HYPERLINK("https://otsuka-europe-crm.veevavault.com/ui/#object/sent_email__v/VBL00000000M828", "SE-001389996")</f>
        <v>SE-001389996</v>
      </c>
      <c r="D7078" s="1" t="s">
        <v>0</v>
      </c>
      <c r="E7078" s="2">
        <v>0</v>
      </c>
      <c r="F7078" s="2">
        <v>0</v>
      </c>
      <c r="G7078" s="2">
        <v>0</v>
      </c>
      <c r="H7078" s="1" t="s">
        <v>0</v>
      </c>
      <c r="I7078" s="2">
        <v>0</v>
      </c>
      <c r="J7078" s="1">
        <v>46000.422222222223</v>
      </c>
    </row>
    <row r="7079" spans="1:10" x14ac:dyDescent="0.2">
      <c r="A7079" s="4" t="s">
        <v>1</v>
      </c>
      <c r="B7079" s="3" t="str">
        <f>HYPERLINK("https://otsuka-europe-crm.veevavault.com/ui/#object/approved_document__v/V5OZ025E82Q05P5", "ENFERMERÍA - Casos clínicos AM2M Revista Peplau")</f>
        <v>ENFERMERÍA - Casos clínicos AM2M Revista Peplau</v>
      </c>
      <c r="C7079" s="3" t="str">
        <f>HYPERLINK("https://otsuka-europe-crm.veevavault.com/ui/#object/sent_email__v/VBL00000000M829", "SE-001389997")</f>
        <v>SE-001389997</v>
      </c>
      <c r="D7079" s="1" t="s">
        <v>0</v>
      </c>
      <c r="E7079" s="2">
        <v>0</v>
      </c>
      <c r="F7079" s="2">
        <v>0</v>
      </c>
      <c r="G7079" s="2">
        <v>0</v>
      </c>
      <c r="H7079" s="1" t="s">
        <v>0</v>
      </c>
      <c r="I7079" s="2">
        <v>0</v>
      </c>
      <c r="J7079" s="1">
        <v>46000.422349537039</v>
      </c>
    </row>
    <row r="7080" spans="1:10" x14ac:dyDescent="0.2">
      <c r="A7080" s="4" t="s">
        <v>1</v>
      </c>
      <c r="B7080" s="3" t="str">
        <f>HYPERLINK("https://otsuka-europe-crm.veevavault.com/ui/#object/approved_document__v/V5OZ025E82Q05P5", "ENFERMERÍA - Casos clínicos AM2M Revista Peplau")</f>
        <v>ENFERMERÍA - Casos clínicos AM2M Revista Peplau</v>
      </c>
      <c r="C7080" s="3" t="str">
        <f>HYPERLINK("https://otsuka-europe-crm.veevavault.com/ui/#object/sent_email__v/VBL00000000M830", "SE-001389998")</f>
        <v>SE-001389998</v>
      </c>
      <c r="D7080" s="1" t="s">
        <v>0</v>
      </c>
      <c r="E7080" s="2">
        <v>0</v>
      </c>
      <c r="F7080" s="2">
        <v>0</v>
      </c>
      <c r="G7080" s="2">
        <v>0</v>
      </c>
      <c r="H7080" s="1" t="s">
        <v>0</v>
      </c>
      <c r="I7080" s="2">
        <v>0</v>
      </c>
      <c r="J7080" s="1">
        <v>46000.422222222223</v>
      </c>
    </row>
    <row r="7081" spans="1:10" x14ac:dyDescent="0.2">
      <c r="A7081" s="4" t="s">
        <v>1</v>
      </c>
      <c r="B7081" s="3" t="str">
        <f>HYPERLINK("https://otsuka-europe-crm.veevavault.com/ui/#object/approved_document__v/V5OZ025E82Q05P5", "ENFERMERÍA - Casos clínicos AM2M Revista Peplau")</f>
        <v>ENFERMERÍA - Casos clínicos AM2M Revista Peplau</v>
      </c>
      <c r="C7081" s="3" t="str">
        <f>HYPERLINK("https://otsuka-europe-crm.veevavault.com/ui/#object/sent_email__v/VBL00000000M831", "SE-001389999")</f>
        <v>SE-001389999</v>
      </c>
      <c r="D7081" s="1">
        <v>46058.318993055553</v>
      </c>
      <c r="E7081" s="2">
        <v>1</v>
      </c>
      <c r="F7081" s="2">
        <v>4</v>
      </c>
      <c r="G7081" s="2">
        <v>0</v>
      </c>
      <c r="H7081" s="1" t="s">
        <v>0</v>
      </c>
      <c r="I7081" s="2">
        <v>0</v>
      </c>
      <c r="J7081" s="1">
        <v>46000.422222222223</v>
      </c>
    </row>
    <row r="7082" spans="1:10" x14ac:dyDescent="0.2">
      <c r="A7082" s="4" t="s">
        <v>1</v>
      </c>
      <c r="B7082" s="3" t="str">
        <f>HYPERLINK("https://otsuka-europe-crm.veevavault.com/ui/#object/approved_document__v/V5OZ025E82Q05P5", "ENFERMERÍA - Casos clínicos AM2M Revista Peplau")</f>
        <v>ENFERMERÍA - Casos clínicos AM2M Revista Peplau</v>
      </c>
      <c r="C7082" s="3" t="str">
        <f>HYPERLINK("https://otsuka-europe-crm.veevavault.com/ui/#object/sent_email__v/VBL00000000M832", "SE-001390000")</f>
        <v>SE-001390000</v>
      </c>
      <c r="D7082" s="1">
        <v>46000.978159722225</v>
      </c>
      <c r="E7082" s="2">
        <v>1</v>
      </c>
      <c r="F7082" s="2">
        <v>3</v>
      </c>
      <c r="G7082" s="2">
        <v>0</v>
      </c>
      <c r="H7082" s="1" t="s">
        <v>0</v>
      </c>
      <c r="I7082" s="2">
        <v>0</v>
      </c>
      <c r="J7082" s="1">
        <v>46000.422199074077</v>
      </c>
    </row>
    <row r="7083" spans="1:10" x14ac:dyDescent="0.2">
      <c r="A7083" s="4" t="s">
        <v>1</v>
      </c>
      <c r="B7083" s="3" t="str">
        <f>HYPERLINK("https://otsuka-europe-crm.veevavault.com/ui/#object/approved_document__v/V5OZ025E82Q05P5", "ENFERMERÍA - Casos clínicos AM2M Revista Peplau")</f>
        <v>ENFERMERÍA - Casos clínicos AM2M Revista Peplau</v>
      </c>
      <c r="C7083" s="3" t="str">
        <f>HYPERLINK("https://otsuka-europe-crm.veevavault.com/ui/#object/sent_email__v/VBL00000000M833", "SE-001390001")</f>
        <v>SE-001390001</v>
      </c>
      <c r="D7083" s="1" t="s">
        <v>0</v>
      </c>
      <c r="E7083" s="2">
        <v>0</v>
      </c>
      <c r="F7083" s="2">
        <v>0</v>
      </c>
      <c r="G7083" s="2">
        <v>0</v>
      </c>
      <c r="H7083" s="1" t="s">
        <v>0</v>
      </c>
      <c r="I7083" s="2">
        <v>0</v>
      </c>
      <c r="J7083" s="1">
        <v>46000.422222222223</v>
      </c>
    </row>
    <row r="7084" spans="1:10" x14ac:dyDescent="0.2">
      <c r="A7084" s="4" t="s">
        <v>1</v>
      </c>
      <c r="B7084" s="3" t="str">
        <f>HYPERLINK("https://otsuka-europe-crm.veevavault.com/ui/#object/approved_document__v/V5OZ025E82Q05P5", "ENFERMERÍA - Casos clínicos AM2M Revista Peplau")</f>
        <v>ENFERMERÍA - Casos clínicos AM2M Revista Peplau</v>
      </c>
      <c r="C7084" s="3" t="str">
        <f>HYPERLINK("https://otsuka-europe-crm.veevavault.com/ui/#object/sent_email__v/VBL00000000M834", "SE-001390002")</f>
        <v>SE-001390002</v>
      </c>
      <c r="D7084" s="1">
        <v>46001.271435185183</v>
      </c>
      <c r="E7084" s="2">
        <v>1</v>
      </c>
      <c r="F7084" s="2">
        <v>2</v>
      </c>
      <c r="G7084" s="2">
        <v>0</v>
      </c>
      <c r="H7084" s="1" t="s">
        <v>0</v>
      </c>
      <c r="I7084" s="2">
        <v>0</v>
      </c>
      <c r="J7084" s="1">
        <v>46000.422222222223</v>
      </c>
    </row>
    <row r="7085" spans="1:10" x14ac:dyDescent="0.2">
      <c r="A7085" s="4" t="s">
        <v>1</v>
      </c>
      <c r="B7085" s="3" t="str">
        <f>HYPERLINK("https://otsuka-europe-crm.veevavault.com/ui/#object/approved_document__v/V5OZ025E82Q05P5", "ENFERMERÍA - Casos clínicos AM2M Revista Peplau")</f>
        <v>ENFERMERÍA - Casos clínicos AM2M Revista Peplau</v>
      </c>
      <c r="C7085" s="3" t="str">
        <f>HYPERLINK("https://otsuka-europe-crm.veevavault.com/ui/#object/sent_email__v/VBL00000000M835", "SE-001390003")</f>
        <v>SE-001390003</v>
      </c>
      <c r="D7085" s="1" t="s">
        <v>0</v>
      </c>
      <c r="E7085" s="2">
        <v>0</v>
      </c>
      <c r="F7085" s="2">
        <v>0</v>
      </c>
      <c r="G7085" s="2">
        <v>0</v>
      </c>
      <c r="H7085" s="1" t="s">
        <v>0</v>
      </c>
      <c r="I7085" s="2">
        <v>0</v>
      </c>
      <c r="J7085" s="1">
        <v>46000.422256944446</v>
      </c>
    </row>
    <row r="7086" spans="1:10" x14ac:dyDescent="0.2">
      <c r="A7086" s="4" t="s">
        <v>1</v>
      </c>
      <c r="B7086" s="3" t="str">
        <f>HYPERLINK("https://otsuka-europe-crm.veevavault.com/ui/#object/approved_document__v/V5OZ025E82Q05P5", "ENFERMERÍA - Casos clínicos AM2M Revista Peplau")</f>
        <v>ENFERMERÍA - Casos clínicos AM2M Revista Peplau</v>
      </c>
      <c r="C7086" s="3" t="str">
        <f>HYPERLINK("https://otsuka-europe-crm.veevavault.com/ui/#object/sent_email__v/VBL00000000M836", "SE-001390004")</f>
        <v>SE-001390004</v>
      </c>
      <c r="D7086" s="1">
        <v>46043.015474537038</v>
      </c>
      <c r="E7086" s="2">
        <v>1</v>
      </c>
      <c r="F7086" s="2">
        <v>10</v>
      </c>
      <c r="G7086" s="2">
        <v>0</v>
      </c>
      <c r="H7086" s="1" t="s">
        <v>0</v>
      </c>
      <c r="I7086" s="2">
        <v>0</v>
      </c>
      <c r="J7086" s="1">
        <v>46000.422222222223</v>
      </c>
    </row>
    <row r="7087" spans="1:10" x14ac:dyDescent="0.2">
      <c r="A7087" s="4" t="s">
        <v>1</v>
      </c>
      <c r="B7087" s="3" t="str">
        <f>HYPERLINK("https://otsuka-europe-crm.veevavault.com/ui/#object/approved_document__v/V5OZ025E82Q05P5", "ENFERMERÍA - Casos clínicos AM2M Revista Peplau")</f>
        <v>ENFERMERÍA - Casos clínicos AM2M Revista Peplau</v>
      </c>
      <c r="C7087" s="3" t="str">
        <f>HYPERLINK("https://otsuka-europe-crm.veevavault.com/ui/#object/sent_email__v/VBL00000000M837", "SE-001390005")</f>
        <v>SE-001390005</v>
      </c>
      <c r="D7087" s="1" t="s">
        <v>0</v>
      </c>
      <c r="E7087" s="2">
        <v>0</v>
      </c>
      <c r="F7087" s="2">
        <v>0</v>
      </c>
      <c r="G7087" s="2">
        <v>0</v>
      </c>
      <c r="H7087" s="1" t="s">
        <v>0</v>
      </c>
      <c r="I7087" s="2">
        <v>0</v>
      </c>
      <c r="J7087" s="1">
        <v>46000.422210648147</v>
      </c>
    </row>
    <row r="7088" spans="1:10" x14ac:dyDescent="0.2">
      <c r="A7088" s="4" t="s">
        <v>1</v>
      </c>
      <c r="B7088" s="3" t="str">
        <f>HYPERLINK("https://otsuka-europe-crm.veevavault.com/ui/#object/approved_document__v/V5OZ025E82Q05P5", "ENFERMERÍA - Casos clínicos AM2M Revista Peplau")</f>
        <v>ENFERMERÍA - Casos clínicos AM2M Revista Peplau</v>
      </c>
      <c r="C7088" s="3" t="str">
        <f>HYPERLINK("https://otsuka-europe-crm.veevavault.com/ui/#object/sent_email__v/VBL00000000M838", "SE-001390006")</f>
        <v>SE-001390006</v>
      </c>
      <c r="D7088" s="1">
        <v>46003.78392361111</v>
      </c>
      <c r="E7088" s="2">
        <v>1</v>
      </c>
      <c r="F7088" s="2">
        <v>3</v>
      </c>
      <c r="G7088" s="2">
        <v>0</v>
      </c>
      <c r="H7088" s="1" t="s">
        <v>0</v>
      </c>
      <c r="I7088" s="2">
        <v>0</v>
      </c>
      <c r="J7088" s="1">
        <v>46000.422326388885</v>
      </c>
    </row>
    <row r="7089" spans="1:10" x14ac:dyDescent="0.2">
      <c r="A7089" s="4" t="s">
        <v>1</v>
      </c>
      <c r="B7089" s="3" t="str">
        <f>HYPERLINK("https://otsuka-europe-crm.veevavault.com/ui/#object/approved_document__v/V5OZ025E82Q05P5", "ENFERMERÍA - Casos clínicos AM2M Revista Peplau")</f>
        <v>ENFERMERÍA - Casos clínicos AM2M Revista Peplau</v>
      </c>
      <c r="C7089" s="3" t="str">
        <f>HYPERLINK("https://otsuka-europe-crm.veevavault.com/ui/#object/sent_email__v/VBL00000000M839", "SE-001390007")</f>
        <v>SE-001390007</v>
      </c>
      <c r="D7089" s="1">
        <v>46047.758518518516</v>
      </c>
      <c r="E7089" s="2">
        <v>1</v>
      </c>
      <c r="F7089" s="2">
        <v>2</v>
      </c>
      <c r="G7089" s="2">
        <v>0</v>
      </c>
      <c r="H7089" s="1" t="s">
        <v>0</v>
      </c>
      <c r="I7089" s="2">
        <v>0</v>
      </c>
      <c r="J7089" s="1">
        <v>46000.422199074077</v>
      </c>
    </row>
    <row r="7090" spans="1:10" x14ac:dyDescent="0.2">
      <c r="A7090" s="4" t="s">
        <v>1</v>
      </c>
      <c r="B7090" s="3" t="str">
        <f>HYPERLINK("https://otsuka-europe-crm.veevavault.com/ui/#object/approved_document__v/V5OZ025E82Q05P5", "ENFERMERÍA - Casos clínicos AM2M Revista Peplau")</f>
        <v>ENFERMERÍA - Casos clínicos AM2M Revista Peplau</v>
      </c>
      <c r="C7090" s="3" t="str">
        <f>HYPERLINK("https://otsuka-europe-crm.veevavault.com/ui/#object/sent_email__v/VBL00000000M840", "SE-001390008")</f>
        <v>SE-001390008</v>
      </c>
      <c r="D7090" s="1">
        <v>46001.264340277776</v>
      </c>
      <c r="E7090" s="2">
        <v>1</v>
      </c>
      <c r="F7090" s="2">
        <v>7</v>
      </c>
      <c r="G7090" s="2">
        <v>0</v>
      </c>
      <c r="H7090" s="1" t="s">
        <v>0</v>
      </c>
      <c r="I7090" s="2">
        <v>0</v>
      </c>
      <c r="J7090" s="1">
        <v>46000.422199074077</v>
      </c>
    </row>
    <row r="7091" spans="1:10" x14ac:dyDescent="0.2">
      <c r="A7091" s="4" t="s">
        <v>1</v>
      </c>
      <c r="B7091" s="3" t="str">
        <f>HYPERLINK("https://otsuka-europe-crm.veevavault.com/ui/#object/approved_document__v/V5OZ025E82Q05P5", "ENFERMERÍA - Casos clínicos AM2M Revista Peplau")</f>
        <v>ENFERMERÍA - Casos clínicos AM2M Revista Peplau</v>
      </c>
      <c r="C7091" s="3" t="str">
        <f>HYPERLINK("https://otsuka-europe-crm.veevavault.com/ui/#object/sent_email__v/VBL00000000M841", "SE-001390009")</f>
        <v>SE-001390009</v>
      </c>
      <c r="D7091" s="1">
        <v>46000.422314814816</v>
      </c>
      <c r="E7091" s="2">
        <v>1</v>
      </c>
      <c r="F7091" s="2">
        <v>1</v>
      </c>
      <c r="G7091" s="2">
        <v>0</v>
      </c>
      <c r="H7091" s="1" t="s">
        <v>0</v>
      </c>
      <c r="I7091" s="2">
        <v>0</v>
      </c>
      <c r="J7091" s="1">
        <v>46000.422222222223</v>
      </c>
    </row>
    <row r="7092" spans="1:10" x14ac:dyDescent="0.2">
      <c r="A7092" s="4" t="s">
        <v>1</v>
      </c>
      <c r="B7092" s="3" t="str">
        <f>HYPERLINK("https://otsuka-europe-crm.veevavault.com/ui/#object/approved_document__v/V5OZ025E82Q05P5", "ENFERMERÍA - Casos clínicos AM2M Revista Peplau")</f>
        <v>ENFERMERÍA - Casos clínicos AM2M Revista Peplau</v>
      </c>
      <c r="C7092" s="3" t="str">
        <f>HYPERLINK("https://otsuka-europe-crm.veevavault.com/ui/#object/sent_email__v/VBL00000000M842", "SE-001390010")</f>
        <v>SE-001390010</v>
      </c>
      <c r="D7092" s="1">
        <v>46000.437060185184</v>
      </c>
      <c r="E7092" s="2">
        <v>1</v>
      </c>
      <c r="F7092" s="2">
        <v>1</v>
      </c>
      <c r="G7092" s="2">
        <v>0</v>
      </c>
      <c r="H7092" s="1" t="s">
        <v>0</v>
      </c>
      <c r="I7092" s="2">
        <v>0</v>
      </c>
      <c r="J7092" s="1">
        <v>46000.422222222223</v>
      </c>
    </row>
    <row r="7093" spans="1:10" x14ac:dyDescent="0.2">
      <c r="A7093" s="4" t="s">
        <v>1</v>
      </c>
      <c r="B7093" s="3" t="str">
        <f>HYPERLINK("https://otsuka-europe-crm.veevavault.com/ui/#object/approved_document__v/V5OZ025E82Q05P5", "ENFERMERÍA - Casos clínicos AM2M Revista Peplau")</f>
        <v>ENFERMERÍA - Casos clínicos AM2M Revista Peplau</v>
      </c>
      <c r="C7093" s="3" t="str">
        <f>HYPERLINK("https://otsuka-europe-crm.veevavault.com/ui/#object/sent_email__v/VBL00000000M843", "SE-001390011")</f>
        <v>SE-001390011</v>
      </c>
      <c r="D7093" s="1">
        <v>46000.947500000002</v>
      </c>
      <c r="E7093" s="2">
        <v>1</v>
      </c>
      <c r="F7093" s="2">
        <v>3</v>
      </c>
      <c r="G7093" s="2">
        <v>0</v>
      </c>
      <c r="H7093" s="1" t="s">
        <v>0</v>
      </c>
      <c r="I7093" s="2">
        <v>0</v>
      </c>
      <c r="J7093" s="1">
        <v>46000.422199074077</v>
      </c>
    </row>
    <row r="7094" spans="1:10" x14ac:dyDescent="0.2">
      <c r="A7094" s="4" t="s">
        <v>1</v>
      </c>
      <c r="B7094" s="3" t="str">
        <f>HYPERLINK("https://otsuka-europe-crm.veevavault.com/ui/#object/approved_document__v/V5OZ025E82Q05P5", "ENFERMERÍA - Casos clínicos AM2M Revista Peplau")</f>
        <v>ENFERMERÍA - Casos clínicos AM2M Revista Peplau</v>
      </c>
      <c r="C7094" s="3" t="str">
        <f>HYPERLINK("https://otsuka-europe-crm.veevavault.com/ui/#object/sent_email__v/VBL00000000M844", "SE-001390012")</f>
        <v>SE-001390012</v>
      </c>
      <c r="D7094" s="1">
        <v>46000.760729166665</v>
      </c>
      <c r="E7094" s="2">
        <v>1</v>
      </c>
      <c r="F7094" s="2">
        <v>2</v>
      </c>
      <c r="G7094" s="2">
        <v>1</v>
      </c>
      <c r="H7094" s="1">
        <v>46000.450682870367</v>
      </c>
      <c r="I7094" s="2">
        <v>1</v>
      </c>
      <c r="J7094" s="1">
        <v>46000.422199074077</v>
      </c>
    </row>
    <row r="7095" spans="1:10" x14ac:dyDescent="0.2">
      <c r="A7095" s="4" t="s">
        <v>1</v>
      </c>
      <c r="B7095" s="3" t="str">
        <f>HYPERLINK("https://otsuka-europe-crm.veevavault.com/ui/#object/approved_document__v/V5OZ025E82Q05P5", "ENFERMERÍA - Casos clínicos AM2M Revista Peplau")</f>
        <v>ENFERMERÍA - Casos clínicos AM2M Revista Peplau</v>
      </c>
      <c r="C7095" s="3" t="str">
        <f>HYPERLINK("https://otsuka-europe-crm.veevavault.com/ui/#object/sent_email__v/VBL00000000M845", "SE-001390013")</f>
        <v>SE-001390013</v>
      </c>
      <c r="D7095" s="1">
        <v>46010.968692129631</v>
      </c>
      <c r="E7095" s="2">
        <v>1</v>
      </c>
      <c r="F7095" s="2">
        <v>3</v>
      </c>
      <c r="G7095" s="2">
        <v>0</v>
      </c>
      <c r="H7095" s="1" t="s">
        <v>0</v>
      </c>
      <c r="I7095" s="2">
        <v>0</v>
      </c>
      <c r="J7095" s="1">
        <v>46000.422222222223</v>
      </c>
    </row>
    <row r="7096" spans="1:10" x14ac:dyDescent="0.2">
      <c r="A7096" s="4" t="s">
        <v>1</v>
      </c>
      <c r="B7096" s="3" t="str">
        <f>HYPERLINK("https://otsuka-europe-crm.veevavault.com/ui/#object/approved_document__v/V5OZ025E82Q05P5", "ENFERMERÍA - Casos clínicos AM2M Revista Peplau")</f>
        <v>ENFERMERÍA - Casos clínicos AM2M Revista Peplau</v>
      </c>
      <c r="C7096" s="3" t="str">
        <f>HYPERLINK("https://otsuka-europe-crm.veevavault.com/ui/#object/sent_email__v/VBL00000000M846", "SE-001390014")</f>
        <v>SE-001390014</v>
      </c>
      <c r="D7096" s="1" t="s">
        <v>0</v>
      </c>
      <c r="E7096" s="2">
        <v>0</v>
      </c>
      <c r="F7096" s="2">
        <v>0</v>
      </c>
      <c r="G7096" s="2">
        <v>0</v>
      </c>
      <c r="H7096" s="1" t="s">
        <v>0</v>
      </c>
      <c r="I7096" s="2">
        <v>0</v>
      </c>
      <c r="J7096" s="1">
        <v>46000.422222222223</v>
      </c>
    </row>
    <row r="7097" spans="1:10" x14ac:dyDescent="0.2">
      <c r="A7097" s="4" t="s">
        <v>1</v>
      </c>
      <c r="B7097" s="3" t="str">
        <f>HYPERLINK("https://otsuka-europe-crm.veevavault.com/ui/#object/approved_document__v/V5OZ025E82Q05P5", "ENFERMERÍA - Casos clínicos AM2M Revista Peplau")</f>
        <v>ENFERMERÍA - Casos clínicos AM2M Revista Peplau</v>
      </c>
      <c r="C7097" s="3" t="str">
        <f>HYPERLINK("https://otsuka-europe-crm.veevavault.com/ui/#object/sent_email__v/VBL00000000M847", "SE-001390015")</f>
        <v>SE-001390015</v>
      </c>
      <c r="D7097" s="1">
        <v>46024.778078703705</v>
      </c>
      <c r="E7097" s="2">
        <v>1</v>
      </c>
      <c r="F7097" s="2">
        <v>1</v>
      </c>
      <c r="G7097" s="2">
        <v>0</v>
      </c>
      <c r="H7097" s="1" t="s">
        <v>0</v>
      </c>
      <c r="I7097" s="2">
        <v>0</v>
      </c>
      <c r="J7097" s="1">
        <v>46000.422210648147</v>
      </c>
    </row>
    <row r="7098" spans="1:10" x14ac:dyDescent="0.2">
      <c r="A7098" s="4" t="s">
        <v>1</v>
      </c>
      <c r="B7098" s="3" t="str">
        <f>HYPERLINK("https://otsuka-europe-crm.veevavault.com/ui/#object/approved_document__v/V5OZ025E82Q05P5", "ENFERMERÍA - Casos clínicos AM2M Revista Peplau")</f>
        <v>ENFERMERÍA - Casos clínicos AM2M Revista Peplau</v>
      </c>
      <c r="C7098" s="3" t="str">
        <f>HYPERLINK("https://otsuka-europe-crm.veevavault.com/ui/#object/sent_email__v/VBL00000000M848", "SE-001390016")</f>
        <v>SE-001390016</v>
      </c>
      <c r="D7098" s="1">
        <v>46001.047638888886</v>
      </c>
      <c r="E7098" s="2">
        <v>1</v>
      </c>
      <c r="F7098" s="2">
        <v>1</v>
      </c>
      <c r="G7098" s="2">
        <v>1</v>
      </c>
      <c r="H7098" s="1">
        <v>46001.047824074078</v>
      </c>
      <c r="I7098" s="2">
        <v>1</v>
      </c>
      <c r="J7098" s="1">
        <v>46000.422199074077</v>
      </c>
    </row>
    <row r="7099" spans="1:10" x14ac:dyDescent="0.2">
      <c r="A7099" s="4" t="s">
        <v>1</v>
      </c>
      <c r="B7099" s="3" t="str">
        <f>HYPERLINK("https://otsuka-europe-crm.veevavault.com/ui/#object/approved_document__v/V5OZ025E82Q05P5", "ENFERMERÍA - Casos clínicos AM2M Revista Peplau")</f>
        <v>ENFERMERÍA - Casos clínicos AM2M Revista Peplau</v>
      </c>
      <c r="C7099" s="3" t="str">
        <f>HYPERLINK("https://otsuka-europe-crm.veevavault.com/ui/#object/sent_email__v/VBL00000000M849", "SE-001390017")</f>
        <v>SE-001390017</v>
      </c>
      <c r="D7099" s="1">
        <v>46000.865439814814</v>
      </c>
      <c r="E7099" s="2">
        <v>1</v>
      </c>
      <c r="F7099" s="2">
        <v>2</v>
      </c>
      <c r="G7099" s="2">
        <v>0</v>
      </c>
      <c r="H7099" s="1" t="s">
        <v>0</v>
      </c>
      <c r="I7099" s="2">
        <v>0</v>
      </c>
      <c r="J7099" s="1">
        <v>46000.422233796293</v>
      </c>
    </row>
    <row r="7100" spans="1:10" x14ac:dyDescent="0.2">
      <c r="A7100" s="4" t="s">
        <v>1</v>
      </c>
      <c r="B7100" s="3" t="str">
        <f>HYPERLINK("https://otsuka-europe-crm.veevavault.com/ui/#object/approved_document__v/V5OZ025E82Q05P5", "ENFERMERÍA - Casos clínicos AM2M Revista Peplau")</f>
        <v>ENFERMERÍA - Casos clínicos AM2M Revista Peplau</v>
      </c>
      <c r="C7100" s="3" t="str">
        <f>HYPERLINK("https://otsuka-europe-crm.veevavault.com/ui/#object/sent_email__v/VBL00000000M850", "SE-001390018")</f>
        <v>SE-001390018</v>
      </c>
      <c r="D7100" s="1" t="s">
        <v>0</v>
      </c>
      <c r="E7100" s="2">
        <v>0</v>
      </c>
      <c r="F7100" s="2">
        <v>0</v>
      </c>
      <c r="G7100" s="2">
        <v>0</v>
      </c>
      <c r="H7100" s="1" t="s">
        <v>0</v>
      </c>
      <c r="I7100" s="2">
        <v>0</v>
      </c>
      <c r="J7100" s="1">
        <v>46000.422337962962</v>
      </c>
    </row>
    <row r="7101" spans="1:10" x14ac:dyDescent="0.2">
      <c r="A7101" s="4" t="s">
        <v>1</v>
      </c>
      <c r="B7101" s="3" t="str">
        <f>HYPERLINK("https://otsuka-europe-crm.veevavault.com/ui/#object/approved_document__v/V5OZ025E82Q05P5", "ENFERMERÍA - Casos clínicos AM2M Revista Peplau")</f>
        <v>ENFERMERÍA - Casos clínicos AM2M Revista Peplau</v>
      </c>
      <c r="C7101" s="3" t="str">
        <f>HYPERLINK("https://otsuka-europe-crm.veevavault.com/ui/#object/sent_email__v/VBL00000000M851", "SE-001390019")</f>
        <v>SE-001390019</v>
      </c>
      <c r="D7101" s="1" t="s">
        <v>0</v>
      </c>
      <c r="E7101" s="2">
        <v>0</v>
      </c>
      <c r="F7101" s="2">
        <v>0</v>
      </c>
      <c r="G7101" s="2">
        <v>0</v>
      </c>
      <c r="H7101" s="1" t="s">
        <v>0</v>
      </c>
      <c r="I7101" s="2">
        <v>0</v>
      </c>
      <c r="J7101" s="1">
        <v>46000.422222222223</v>
      </c>
    </row>
    <row r="7102" spans="1:10" x14ac:dyDescent="0.2">
      <c r="A7102" s="4" t="s">
        <v>1</v>
      </c>
      <c r="B7102" s="3" t="str">
        <f>HYPERLINK("https://otsuka-europe-crm.veevavault.com/ui/#object/approved_document__v/V5OZ025E82Q05P5", "ENFERMERÍA - Casos clínicos AM2M Revista Peplau")</f>
        <v>ENFERMERÍA - Casos clínicos AM2M Revista Peplau</v>
      </c>
      <c r="C7102" s="3" t="str">
        <f>HYPERLINK("https://otsuka-europe-crm.veevavault.com/ui/#object/sent_email__v/VBL00000000M852", "SE-001390020")</f>
        <v>SE-001390020</v>
      </c>
      <c r="D7102" s="1" t="s">
        <v>0</v>
      </c>
      <c r="E7102" s="2">
        <v>0</v>
      </c>
      <c r="F7102" s="2">
        <v>0</v>
      </c>
      <c r="G7102" s="2">
        <v>0</v>
      </c>
      <c r="H7102" s="1" t="s">
        <v>0</v>
      </c>
      <c r="I7102" s="2">
        <v>0</v>
      </c>
      <c r="J7102" s="1">
        <v>46000.422222222223</v>
      </c>
    </row>
    <row r="7103" spans="1:10" x14ac:dyDescent="0.2">
      <c r="A7103" s="4" t="s">
        <v>1</v>
      </c>
      <c r="B7103" s="3" t="str">
        <f>HYPERLINK("https://otsuka-europe-crm.veevavault.com/ui/#object/approved_document__v/V5OZ025E82Q05P5", "ENFERMERÍA - Casos clínicos AM2M Revista Peplau")</f>
        <v>ENFERMERÍA - Casos clínicos AM2M Revista Peplau</v>
      </c>
      <c r="C7103" s="3" t="str">
        <f>HYPERLINK("https://otsuka-europe-crm.veevavault.com/ui/#object/sent_email__v/VBL00000000M853", "SE-001390021")</f>
        <v>SE-001390021</v>
      </c>
      <c r="D7103" s="1">
        <v>46001.885613425926</v>
      </c>
      <c r="E7103" s="2">
        <v>1</v>
      </c>
      <c r="F7103" s="2">
        <v>1</v>
      </c>
      <c r="G7103" s="2">
        <v>0</v>
      </c>
      <c r="H7103" s="1" t="s">
        <v>0</v>
      </c>
      <c r="I7103" s="2">
        <v>0</v>
      </c>
      <c r="J7103" s="1">
        <v>46000.422199074077</v>
      </c>
    </row>
    <row r="7104" spans="1:10" x14ac:dyDescent="0.2">
      <c r="A7104" s="4" t="s">
        <v>1</v>
      </c>
      <c r="B7104" s="3" t="str">
        <f>HYPERLINK("https://otsuka-europe-crm.veevavault.com/ui/#object/approved_document__v/V5OZ025E82Q05P5", "ENFERMERÍA - Casos clínicos AM2M Revista Peplau")</f>
        <v>ENFERMERÍA - Casos clínicos AM2M Revista Peplau</v>
      </c>
      <c r="C7104" s="3" t="str">
        <f>HYPERLINK("https://otsuka-europe-crm.veevavault.com/ui/#object/sent_email__v/VBL00000000M854", "SE-001390022")</f>
        <v>SE-001390022</v>
      </c>
      <c r="D7104" s="1" t="s">
        <v>0</v>
      </c>
      <c r="E7104" s="2">
        <v>0</v>
      </c>
      <c r="F7104" s="2">
        <v>0</v>
      </c>
      <c r="G7104" s="2">
        <v>0</v>
      </c>
      <c r="H7104" s="1" t="s">
        <v>0</v>
      </c>
      <c r="I7104" s="2">
        <v>0</v>
      </c>
      <c r="J7104" s="1">
        <v>46000.422326388885</v>
      </c>
    </row>
    <row r="7105" spans="1:10" x14ac:dyDescent="0.2">
      <c r="A7105" s="4" t="s">
        <v>1</v>
      </c>
      <c r="B7105" s="3" t="str">
        <f>HYPERLINK("https://otsuka-europe-crm.veevavault.com/ui/#object/approved_document__v/V5OZ025E82Q05P5", "ENFERMERÍA - Casos clínicos AM2M Revista Peplau")</f>
        <v>ENFERMERÍA - Casos clínicos AM2M Revista Peplau</v>
      </c>
      <c r="C7105" s="3" t="str">
        <f>HYPERLINK("https://otsuka-europe-crm.veevavault.com/ui/#object/sent_email__v/VBL00000000M855", "SE-001390023")</f>
        <v>SE-001390023</v>
      </c>
      <c r="D7105" s="1">
        <v>46003.996736111112</v>
      </c>
      <c r="E7105" s="2">
        <v>1</v>
      </c>
      <c r="F7105" s="2">
        <v>1</v>
      </c>
      <c r="G7105" s="2">
        <v>0</v>
      </c>
      <c r="H7105" s="1" t="s">
        <v>0</v>
      </c>
      <c r="I7105" s="2">
        <v>0</v>
      </c>
      <c r="J7105" s="1">
        <v>46000.422291666669</v>
      </c>
    </row>
    <row r="7106" spans="1:10" x14ac:dyDescent="0.2">
      <c r="A7106" s="4" t="s">
        <v>1</v>
      </c>
      <c r="B7106" s="3" t="str">
        <f>HYPERLINK("https://otsuka-europe-crm.veevavault.com/ui/#object/approved_document__v/V5OZ025E82Q05P5", "ENFERMERÍA - Casos clínicos AM2M Revista Peplau")</f>
        <v>ENFERMERÍA - Casos clínicos AM2M Revista Peplau</v>
      </c>
      <c r="C7106" s="3" t="str">
        <f>HYPERLINK("https://otsuka-europe-crm.veevavault.com/ui/#object/sent_email__v/VBL00000000M856", "SE-001390024")</f>
        <v>SE-001390024</v>
      </c>
      <c r="D7106" s="1">
        <v>46000.980717592596</v>
      </c>
      <c r="E7106" s="2">
        <v>1</v>
      </c>
      <c r="F7106" s="2">
        <v>1</v>
      </c>
      <c r="G7106" s="2">
        <v>0</v>
      </c>
      <c r="H7106" s="1" t="s">
        <v>0</v>
      </c>
      <c r="I7106" s="2">
        <v>0</v>
      </c>
      <c r="J7106" s="1">
        <v>46000.422222222223</v>
      </c>
    </row>
    <row r="7107" spans="1:10" x14ac:dyDescent="0.2">
      <c r="A7107" s="4" t="s">
        <v>1</v>
      </c>
      <c r="B7107" s="3" t="str">
        <f>HYPERLINK("https://otsuka-europe-crm.veevavault.com/ui/#object/approved_document__v/V5OZ025E82Q05P5", "ENFERMERÍA - Casos clínicos AM2M Revista Peplau")</f>
        <v>ENFERMERÍA - Casos clínicos AM2M Revista Peplau</v>
      </c>
      <c r="C7107" s="3" t="str">
        <f>HYPERLINK("https://otsuka-europe-crm.veevavault.com/ui/#object/sent_email__v/VBL00000000M857", "SE-001390025")</f>
        <v>SE-001390025</v>
      </c>
      <c r="D7107" s="1" t="s">
        <v>0</v>
      </c>
      <c r="E7107" s="2">
        <v>0</v>
      </c>
      <c r="F7107" s="2">
        <v>0</v>
      </c>
      <c r="G7107" s="2">
        <v>0</v>
      </c>
      <c r="H7107" s="1" t="s">
        <v>0</v>
      </c>
      <c r="I7107" s="2">
        <v>0</v>
      </c>
      <c r="J7107" s="1">
        <v>46000.422199074077</v>
      </c>
    </row>
    <row r="7108" spans="1:10" x14ac:dyDescent="0.2">
      <c r="A7108" s="4" t="s">
        <v>1</v>
      </c>
      <c r="B7108" s="3" t="str">
        <f>HYPERLINK("https://otsuka-europe-crm.veevavault.com/ui/#object/approved_document__v/V5OZ025E82Q05P5", "ENFERMERÍA - Casos clínicos AM2M Revista Peplau")</f>
        <v>ENFERMERÍA - Casos clínicos AM2M Revista Peplau</v>
      </c>
      <c r="C7108" s="3" t="str">
        <f>HYPERLINK("https://otsuka-europe-crm.veevavault.com/ui/#object/sent_email__v/VBL00000000M858", "SE-001390026")</f>
        <v>SE-001390026</v>
      </c>
      <c r="D7108" s="1">
        <v>46000.4296875</v>
      </c>
      <c r="E7108" s="2">
        <v>1</v>
      </c>
      <c r="F7108" s="2">
        <v>1</v>
      </c>
      <c r="G7108" s="2">
        <v>1</v>
      </c>
      <c r="H7108" s="1">
        <v>46000.431689814817</v>
      </c>
      <c r="I7108" s="2">
        <v>2</v>
      </c>
      <c r="J7108" s="1">
        <v>46000.422222222223</v>
      </c>
    </row>
    <row r="7109" spans="1:10" x14ac:dyDescent="0.2">
      <c r="A7109" s="4" t="s">
        <v>1</v>
      </c>
      <c r="B7109" s="3" t="str">
        <f>HYPERLINK("https://otsuka-europe-crm.veevavault.com/ui/#object/approved_document__v/V5OZ025E82Q05P5", "ENFERMERÍA - Casos clínicos AM2M Revista Peplau")</f>
        <v>ENFERMERÍA - Casos clínicos AM2M Revista Peplau</v>
      </c>
      <c r="C7109" s="3" t="str">
        <f>HYPERLINK("https://otsuka-europe-crm.veevavault.com/ui/#object/sent_email__v/VBL00000000M859", "SE-001390027")</f>
        <v>SE-001390027</v>
      </c>
      <c r="D7109" s="1">
        <v>46000.446319444447</v>
      </c>
      <c r="E7109" s="2">
        <v>1</v>
      </c>
      <c r="F7109" s="2">
        <v>1</v>
      </c>
      <c r="G7109" s="2">
        <v>0</v>
      </c>
      <c r="H7109" s="1" t="s">
        <v>0</v>
      </c>
      <c r="I7109" s="2">
        <v>0</v>
      </c>
      <c r="J7109" s="1">
        <v>46000.422222222223</v>
      </c>
    </row>
    <row r="7110" spans="1:10" x14ac:dyDescent="0.2">
      <c r="A7110" s="4" t="s">
        <v>1</v>
      </c>
      <c r="B7110" s="3" t="str">
        <f>HYPERLINK("https://otsuka-europe-crm.veevavault.com/ui/#object/approved_document__v/V5OZ025E82Q05P5", "ENFERMERÍA - Casos clínicos AM2M Revista Peplau")</f>
        <v>ENFERMERÍA - Casos clínicos AM2M Revista Peplau</v>
      </c>
      <c r="C7110" s="3" t="str">
        <f>HYPERLINK("https://otsuka-europe-crm.veevavault.com/ui/#object/sent_email__v/VBL00000000M860", "SE-001390028")</f>
        <v>SE-001390028</v>
      </c>
      <c r="D7110" s="1">
        <v>46000.579780092594</v>
      </c>
      <c r="E7110" s="2">
        <v>1</v>
      </c>
      <c r="F7110" s="2">
        <v>11</v>
      </c>
      <c r="G7110" s="2">
        <v>0</v>
      </c>
      <c r="H7110" s="1" t="s">
        <v>0</v>
      </c>
      <c r="I7110" s="2">
        <v>0</v>
      </c>
      <c r="J7110" s="1">
        <v>46000.422222222223</v>
      </c>
    </row>
    <row r="7111" spans="1:10" x14ac:dyDescent="0.2">
      <c r="A7111" s="4" t="s">
        <v>1</v>
      </c>
      <c r="B7111" s="3" t="str">
        <f>HYPERLINK("https://otsuka-europe-crm.veevavault.com/ui/#object/approved_document__v/V5OZ025E82Q05P5", "ENFERMERÍA - Casos clínicos AM2M Revista Peplau")</f>
        <v>ENFERMERÍA - Casos clínicos AM2M Revista Peplau</v>
      </c>
      <c r="C7111" s="3" t="str">
        <f>HYPERLINK("https://otsuka-europe-crm.veevavault.com/ui/#object/sent_email__v/VBL00000000M861", "SE-001390029")</f>
        <v>SE-001390029</v>
      </c>
      <c r="D7111" s="1" t="s">
        <v>0</v>
      </c>
      <c r="E7111" s="2">
        <v>0</v>
      </c>
      <c r="F7111" s="2">
        <v>0</v>
      </c>
      <c r="G7111" s="2">
        <v>0</v>
      </c>
      <c r="H7111" s="1" t="s">
        <v>0</v>
      </c>
      <c r="I7111" s="2">
        <v>0</v>
      </c>
      <c r="J7111" s="1">
        <v>46000.422222222223</v>
      </c>
    </row>
    <row r="7112" spans="1:10" x14ac:dyDescent="0.2">
      <c r="A7112" s="4" t="s">
        <v>1</v>
      </c>
      <c r="B7112" s="3" t="str">
        <f>HYPERLINK("https://otsuka-europe-crm.veevavault.com/ui/#object/approved_document__v/V5OZ025E82Q05P5", "ENFERMERÍA - Casos clínicos AM2M Revista Peplau")</f>
        <v>ENFERMERÍA - Casos clínicos AM2M Revista Peplau</v>
      </c>
      <c r="C7112" s="3" t="str">
        <f>HYPERLINK("https://otsuka-europe-crm.veevavault.com/ui/#object/sent_email__v/VBL00000000M862", "SE-001390030")</f>
        <v>SE-001390030</v>
      </c>
      <c r="D7112" s="1">
        <v>46000.745763888888</v>
      </c>
      <c r="E7112" s="2">
        <v>1</v>
      </c>
      <c r="F7112" s="2">
        <v>1</v>
      </c>
      <c r="G7112" s="2">
        <v>0</v>
      </c>
      <c r="H7112" s="1" t="s">
        <v>0</v>
      </c>
      <c r="I7112" s="2">
        <v>0</v>
      </c>
      <c r="J7112" s="1">
        <v>46000.422326388885</v>
      </c>
    </row>
    <row r="7113" spans="1:10" x14ac:dyDescent="0.2">
      <c r="A7113" s="4" t="s">
        <v>1</v>
      </c>
      <c r="B7113" s="3" t="str">
        <f>HYPERLINK("https://otsuka-europe-crm.veevavault.com/ui/#object/approved_document__v/V5OZ025E82Q05P5", "ENFERMERÍA - Casos clínicos AM2M Revista Peplau")</f>
        <v>ENFERMERÍA - Casos clínicos AM2M Revista Peplau</v>
      </c>
      <c r="C7113" s="3" t="str">
        <f>HYPERLINK("https://otsuka-europe-crm.veevavault.com/ui/#object/sent_email__v/VBL00000000M863", "SE-001390031")</f>
        <v>SE-001390031</v>
      </c>
      <c r="D7113" s="1" t="s">
        <v>0</v>
      </c>
      <c r="E7113" s="2">
        <v>0</v>
      </c>
      <c r="F7113" s="2">
        <v>0</v>
      </c>
      <c r="G7113" s="2">
        <v>0</v>
      </c>
      <c r="H7113" s="1" t="s">
        <v>0</v>
      </c>
      <c r="I7113" s="2">
        <v>0</v>
      </c>
      <c r="J7113" s="1">
        <v>46000.422222222223</v>
      </c>
    </row>
    <row r="7114" spans="1:10" x14ac:dyDescent="0.2">
      <c r="A7114" s="4" t="s">
        <v>1</v>
      </c>
      <c r="B7114" s="3" t="str">
        <f>HYPERLINK("https://otsuka-europe-crm.veevavault.com/ui/#object/approved_document__v/V5OZ025E82Q05P5", "ENFERMERÍA - Casos clínicos AM2M Revista Peplau")</f>
        <v>ENFERMERÍA - Casos clínicos AM2M Revista Peplau</v>
      </c>
      <c r="C7114" s="3" t="str">
        <f>HYPERLINK("https://otsuka-europe-crm.veevavault.com/ui/#object/sent_email__v/VBL00000000M864", "SE-001390032")</f>
        <v>SE-001390032</v>
      </c>
      <c r="D7114" s="1" t="s">
        <v>0</v>
      </c>
      <c r="E7114" s="2">
        <v>0</v>
      </c>
      <c r="F7114" s="2">
        <v>0</v>
      </c>
      <c r="G7114" s="2">
        <v>0</v>
      </c>
      <c r="H7114" s="1" t="s">
        <v>0</v>
      </c>
      <c r="I7114" s="2">
        <v>0</v>
      </c>
      <c r="J7114" s="1">
        <v>46000.422326388885</v>
      </c>
    </row>
    <row r="7115" spans="1:10" x14ac:dyDescent="0.2">
      <c r="A7115" s="4" t="s">
        <v>1</v>
      </c>
      <c r="B7115" s="3" t="str">
        <f>HYPERLINK("https://otsuka-europe-crm.veevavault.com/ui/#object/approved_document__v/V5OZ025E82Q05P5", "ENFERMERÍA - Casos clínicos AM2M Revista Peplau")</f>
        <v>ENFERMERÍA - Casos clínicos AM2M Revista Peplau</v>
      </c>
      <c r="C7115" s="3" t="str">
        <f>HYPERLINK("https://otsuka-europe-crm.veevavault.com/ui/#object/sent_email__v/VBL00000000M865", "SE-001390033")</f>
        <v>SE-001390033</v>
      </c>
      <c r="D7115" s="1">
        <v>46000.962546296294</v>
      </c>
      <c r="E7115" s="2">
        <v>1</v>
      </c>
      <c r="F7115" s="2">
        <v>1</v>
      </c>
      <c r="G7115" s="2">
        <v>0</v>
      </c>
      <c r="H7115" s="1" t="s">
        <v>0</v>
      </c>
      <c r="I7115" s="2">
        <v>0</v>
      </c>
      <c r="J7115" s="1">
        <v>46000.422326388885</v>
      </c>
    </row>
    <row r="7116" spans="1:10" x14ac:dyDescent="0.2">
      <c r="A7116" s="4" t="s">
        <v>1</v>
      </c>
      <c r="B7116" s="3" t="str">
        <f>HYPERLINK("https://otsuka-europe-crm.veevavault.com/ui/#object/approved_document__v/V5OZ025E82Q05P5", "ENFERMERÍA - Casos clínicos AM2M Revista Peplau")</f>
        <v>ENFERMERÍA - Casos clínicos AM2M Revista Peplau</v>
      </c>
      <c r="C7116" s="3" t="str">
        <f>HYPERLINK("https://otsuka-europe-crm.veevavault.com/ui/#object/sent_email__v/VBL00000000M866", "SE-001390034")</f>
        <v>SE-001390034</v>
      </c>
      <c r="D7116" s="1">
        <v>46000.76771990741</v>
      </c>
      <c r="E7116" s="2">
        <v>1</v>
      </c>
      <c r="F7116" s="2">
        <v>2</v>
      </c>
      <c r="G7116" s="2">
        <v>0</v>
      </c>
      <c r="H7116" s="1" t="s">
        <v>0</v>
      </c>
      <c r="I7116" s="2">
        <v>0</v>
      </c>
      <c r="J7116" s="1">
        <v>46000.422222222223</v>
      </c>
    </row>
    <row r="7117" spans="1:10" x14ac:dyDescent="0.2">
      <c r="A7117" s="4" t="s">
        <v>1</v>
      </c>
      <c r="B7117" s="3" t="str">
        <f>HYPERLINK("https://otsuka-europe-crm.veevavault.com/ui/#object/approved_document__v/V5OZ025E82Q05P5", "ENFERMERÍA - Casos clínicos AM2M Revista Peplau")</f>
        <v>ENFERMERÍA - Casos clínicos AM2M Revista Peplau</v>
      </c>
      <c r="C7117" s="3" t="str">
        <f>HYPERLINK("https://otsuka-europe-crm.veevavault.com/ui/#object/sent_email__v/VBL00000000M867", "SE-001390035")</f>
        <v>SE-001390035</v>
      </c>
      <c r="D7117" s="1" t="s">
        <v>0</v>
      </c>
      <c r="E7117" s="2">
        <v>0</v>
      </c>
      <c r="F7117" s="2">
        <v>0</v>
      </c>
      <c r="G7117" s="2">
        <v>0</v>
      </c>
      <c r="H7117" s="1" t="s">
        <v>0</v>
      </c>
      <c r="I7117" s="2">
        <v>0</v>
      </c>
      <c r="J7117" s="1">
        <v>46000.422291666669</v>
      </c>
    </row>
    <row r="7118" spans="1:10" x14ac:dyDescent="0.2">
      <c r="A7118" s="4" t="s">
        <v>1</v>
      </c>
      <c r="B7118" s="3" t="str">
        <f>HYPERLINK("https://otsuka-europe-crm.veevavault.com/ui/#object/approved_document__v/V5OZ025E82Q05P5", "ENFERMERÍA - Casos clínicos AM2M Revista Peplau")</f>
        <v>ENFERMERÍA - Casos clínicos AM2M Revista Peplau</v>
      </c>
      <c r="C7118" s="3" t="str">
        <f>HYPERLINK("https://otsuka-europe-crm.veevavault.com/ui/#object/sent_email__v/VBL00000000M868", "SE-001390036")</f>
        <v>SE-001390036</v>
      </c>
      <c r="D7118" s="1">
        <v>46000.714467592596</v>
      </c>
      <c r="E7118" s="2">
        <v>1</v>
      </c>
      <c r="F7118" s="2">
        <v>1</v>
      </c>
      <c r="G7118" s="2">
        <v>0</v>
      </c>
      <c r="H7118" s="1" t="s">
        <v>0</v>
      </c>
      <c r="I7118" s="2">
        <v>0</v>
      </c>
      <c r="J7118" s="1">
        <v>46000.422326388885</v>
      </c>
    </row>
    <row r="7119" spans="1:10" x14ac:dyDescent="0.2">
      <c r="A7119" s="4" t="s">
        <v>1</v>
      </c>
      <c r="B7119" s="3" t="str">
        <f>HYPERLINK("https://otsuka-europe-crm.veevavault.com/ui/#object/approved_document__v/V5OZ025E82Q05P5", "ENFERMERÍA - Casos clínicos AM2M Revista Peplau")</f>
        <v>ENFERMERÍA - Casos clínicos AM2M Revista Peplau</v>
      </c>
      <c r="C7119" s="3" t="str">
        <f>HYPERLINK("https://otsuka-europe-crm.veevavault.com/ui/#object/sent_email__v/VBL00000000M869", "SE-001390037")</f>
        <v>SE-001390037</v>
      </c>
      <c r="D7119" s="1" t="s">
        <v>0</v>
      </c>
      <c r="E7119" s="2">
        <v>0</v>
      </c>
      <c r="F7119" s="2">
        <v>0</v>
      </c>
      <c r="G7119" s="2">
        <v>0</v>
      </c>
      <c r="H7119" s="1" t="s">
        <v>0</v>
      </c>
      <c r="I7119" s="2">
        <v>0</v>
      </c>
      <c r="J7119" s="1">
        <v>46000.422222222223</v>
      </c>
    </row>
    <row r="7120" spans="1:10" x14ac:dyDescent="0.2">
      <c r="A7120" s="4" t="s">
        <v>1</v>
      </c>
      <c r="B7120" s="3" t="str">
        <f>HYPERLINK("https://otsuka-europe-crm.veevavault.com/ui/#object/approved_document__v/V5OZ025E82Q05P5", "ENFERMERÍA - Casos clínicos AM2M Revista Peplau")</f>
        <v>ENFERMERÍA - Casos clínicos AM2M Revista Peplau</v>
      </c>
      <c r="C7120" s="3" t="str">
        <f>HYPERLINK("https://otsuka-europe-crm.veevavault.com/ui/#object/sent_email__v/VBL00000000M870", "SE-001390038")</f>
        <v>SE-001390038</v>
      </c>
      <c r="D7120" s="1">
        <v>46026.762696759259</v>
      </c>
      <c r="E7120" s="2">
        <v>1</v>
      </c>
      <c r="F7120" s="2">
        <v>3</v>
      </c>
      <c r="G7120" s="2">
        <v>0</v>
      </c>
      <c r="H7120" s="1" t="s">
        <v>0</v>
      </c>
      <c r="I7120" s="2">
        <v>0</v>
      </c>
      <c r="J7120" s="1">
        <v>46000.422222222223</v>
      </c>
    </row>
    <row r="7121" spans="1:10" x14ac:dyDescent="0.2">
      <c r="A7121" s="4" t="s">
        <v>1</v>
      </c>
      <c r="B7121" s="3" t="str">
        <f>HYPERLINK("https://otsuka-europe-crm.veevavault.com/ui/#object/approved_document__v/V5OZ025E82Q05P5", "ENFERMERÍA - Casos clínicos AM2M Revista Peplau")</f>
        <v>ENFERMERÍA - Casos clínicos AM2M Revista Peplau</v>
      </c>
      <c r="C7121" s="3" t="str">
        <f>HYPERLINK("https://otsuka-europe-crm.veevavault.com/ui/#object/sent_email__v/VBL00000000M871", "SE-001390039")</f>
        <v>SE-001390039</v>
      </c>
      <c r="D7121" s="1" t="s">
        <v>0</v>
      </c>
      <c r="E7121" s="2">
        <v>0</v>
      </c>
      <c r="F7121" s="2">
        <v>0</v>
      </c>
      <c r="G7121" s="2">
        <v>0</v>
      </c>
      <c r="H7121" s="1" t="s">
        <v>0</v>
      </c>
      <c r="I7121" s="2">
        <v>0</v>
      </c>
      <c r="J7121" s="1">
        <v>46000.422222222223</v>
      </c>
    </row>
    <row r="7122" spans="1:10" x14ac:dyDescent="0.2">
      <c r="A7122" s="4" t="s">
        <v>1</v>
      </c>
      <c r="B7122" s="3" t="str">
        <f>HYPERLINK("https://otsuka-europe-crm.veevavault.com/ui/#object/approved_document__v/V5OZ025E82Q05P5", "ENFERMERÍA - Casos clínicos AM2M Revista Peplau")</f>
        <v>ENFERMERÍA - Casos clínicos AM2M Revista Peplau</v>
      </c>
      <c r="C7122" s="3" t="str">
        <f>HYPERLINK("https://otsuka-europe-crm.veevavault.com/ui/#object/sent_email__v/VBL00000000M872", "SE-001390040")</f>
        <v>SE-001390040</v>
      </c>
      <c r="D7122" s="1" t="s">
        <v>0</v>
      </c>
      <c r="E7122" s="2">
        <v>0</v>
      </c>
      <c r="F7122" s="2">
        <v>0</v>
      </c>
      <c r="G7122" s="2">
        <v>0</v>
      </c>
      <c r="H7122" s="1" t="s">
        <v>0</v>
      </c>
      <c r="I7122" s="2">
        <v>0</v>
      </c>
      <c r="J7122" s="1">
        <v>46000.422222222223</v>
      </c>
    </row>
    <row r="7123" spans="1:10" x14ac:dyDescent="0.2">
      <c r="A7123" s="4" t="s">
        <v>1</v>
      </c>
      <c r="B7123" s="3" t="str">
        <f>HYPERLINK("https://otsuka-europe-crm.veevavault.com/ui/#object/approved_document__v/V5OZ025E82Q05P5", "ENFERMERÍA - Casos clínicos AM2M Revista Peplau")</f>
        <v>ENFERMERÍA - Casos clínicos AM2M Revista Peplau</v>
      </c>
      <c r="C7123" s="3" t="str">
        <f>HYPERLINK("https://otsuka-europe-crm.veevavault.com/ui/#object/sent_email__v/VBL00000001A058", "SE-001402362")</f>
        <v>SE-001402362</v>
      </c>
      <c r="D7123" s="1">
        <v>46055.583090277774</v>
      </c>
      <c r="E7123" s="2">
        <v>1</v>
      </c>
      <c r="F7123" s="2">
        <v>4</v>
      </c>
      <c r="G7123" s="2">
        <v>0</v>
      </c>
      <c r="H7123" s="1" t="s">
        <v>0</v>
      </c>
      <c r="I7123" s="2">
        <v>0</v>
      </c>
      <c r="J7123" s="1">
        <v>46055.502662037034</v>
      </c>
    </row>
    <row r="7124" spans="1:10" x14ac:dyDescent="0.2">
      <c r="A7124" s="4" t="s">
        <v>1</v>
      </c>
      <c r="B7124" s="3" t="str">
        <f>HYPERLINK("https://otsuka-europe-crm.veevavault.com/ui/#object/approved_document__v/V5OZ025E82Q05P5", "ENFERMERÍA - Casos clínicos AM2M Revista Peplau")</f>
        <v>ENFERMERÍA - Casos clínicos AM2M Revista Peplau</v>
      </c>
      <c r="C7124" s="3" t="str">
        <f>HYPERLINK("https://otsuka-europe-crm.veevavault.com/ui/#object/sent_email__v/VBL00000001D596", "SE-001404996")</f>
        <v>SE-001404996</v>
      </c>
      <c r="D7124" s="1">
        <v>46072.484826388885</v>
      </c>
      <c r="E7124" s="2">
        <v>1</v>
      </c>
      <c r="F7124" s="2">
        <v>1</v>
      </c>
      <c r="G7124" s="2">
        <v>1</v>
      </c>
      <c r="H7124" s="1">
        <v>46072.484826388885</v>
      </c>
      <c r="I7124" s="2">
        <v>1</v>
      </c>
      <c r="J7124" s="1">
        <v>46072.427048611113</v>
      </c>
    </row>
    <row r="7125" spans="1:10" x14ac:dyDescent="0.2">
      <c r="A7125" s="4" t="s">
        <v>1</v>
      </c>
      <c r="B7125" s="3" t="str">
        <f>HYPERLINK("https://otsuka-europe-crm.veevavault.com/ui/#object/approved_document__v/V5OZ025E82Q05P5", "ENFERMERÍA - Casos clínicos AM2M Revista Peplau")</f>
        <v>ENFERMERÍA - Casos clínicos AM2M Revista Peplau</v>
      </c>
      <c r="C7125" s="3" t="str">
        <f>HYPERLINK("https://otsuka-europe-crm.veevavault.com/ui/#object/sent_email__v/VBL00000001E473", "SE-001405005")</f>
        <v>SE-001405005</v>
      </c>
      <c r="D7125" s="1">
        <v>46077.552025462966</v>
      </c>
      <c r="E7125" s="2">
        <v>1</v>
      </c>
      <c r="F7125" s="2">
        <v>4</v>
      </c>
      <c r="G7125" s="2">
        <v>1</v>
      </c>
      <c r="H7125" s="1">
        <v>46072.53193287037</v>
      </c>
      <c r="I7125" s="2">
        <v>3</v>
      </c>
      <c r="J7125" s="1">
        <v>46072.456990740742</v>
      </c>
    </row>
    <row r="7126" spans="1:10" x14ac:dyDescent="0.2">
      <c r="A7126" s="4" t="s">
        <v>1</v>
      </c>
      <c r="B7126" s="3" t="str">
        <f>HYPERLINK("https://otsuka-europe-crm.veevavault.com/ui/#object/approved_document__v/V5OZ025E82N7CDL", "ENFERMERÍA - Curso acreditado RETO TMG")</f>
        <v>ENFERMERÍA - Curso acreditado RETO TMG</v>
      </c>
      <c r="C7126" s="3" t="str">
        <f>HYPERLINK("https://otsuka-europe-crm.veevavault.com/ui/#object/sent_email__v/VBLZ025E82GHP5E", "SE-000255541")</f>
        <v>SE-000255541</v>
      </c>
      <c r="D7126" s="1">
        <v>45908.798518518517</v>
      </c>
      <c r="E7126" s="2">
        <v>1</v>
      </c>
      <c r="F7126" s="2">
        <v>1</v>
      </c>
      <c r="G7126" s="2">
        <v>1</v>
      </c>
      <c r="H7126" s="1">
        <v>45908.798668981479</v>
      </c>
      <c r="I7126" s="2">
        <v>1</v>
      </c>
      <c r="J7126" s="1">
        <v>45908.646805555552</v>
      </c>
    </row>
    <row r="7127" spans="1:10" x14ac:dyDescent="0.2">
      <c r="A7127" s="4" t="s">
        <v>1</v>
      </c>
      <c r="B7127" s="3" t="str">
        <f>HYPERLINK("https://otsuka-europe-crm.veevavault.com/ui/#object/approved_document__v/V5OZ025E82N7CDL", "ENFERMERÍA - Curso acreditado RETO TMG")</f>
        <v>ENFERMERÍA - Curso acreditado RETO TMG</v>
      </c>
      <c r="C7127" s="3" t="str">
        <f>HYPERLINK("https://otsuka-europe-crm.veevavault.com/ui/#object/sent_email__v/VBLZ025E82H4QMH", "SE-000281881")</f>
        <v>SE-000281881</v>
      </c>
      <c r="D7127" s="1" t="s">
        <v>0</v>
      </c>
      <c r="E7127" s="2">
        <v>0</v>
      </c>
      <c r="F7127" s="2">
        <v>0</v>
      </c>
      <c r="G7127" s="2">
        <v>0</v>
      </c>
      <c r="H7127" s="1" t="s">
        <v>0</v>
      </c>
      <c r="I7127" s="2">
        <v>0</v>
      </c>
      <c r="J7127" s="1">
        <v>45930.440451388888</v>
      </c>
    </row>
    <row r="7128" spans="1:10" x14ac:dyDescent="0.2">
      <c r="A7128" s="4" t="s">
        <v>1</v>
      </c>
      <c r="B7128" s="3" t="str">
        <f>HYPERLINK("https://otsuka-europe-crm.veevavault.com/ui/#object/approved_document__v/V5OZ025E82N7CDL", "ENFERMERÍA - Curso acreditado RETO TMG")</f>
        <v>ENFERMERÍA - Curso acreditado RETO TMG</v>
      </c>
      <c r="C7128" s="3" t="str">
        <f>HYPERLINK("https://otsuka-europe-crm.veevavault.com/ui/#object/sent_email__v/VBLZ025E82H916D", "SE-000283074")</f>
        <v>SE-000283074</v>
      </c>
      <c r="D7128" s="1">
        <v>45946.841898148145</v>
      </c>
      <c r="E7128" s="2">
        <v>1</v>
      </c>
      <c r="F7128" s="2">
        <v>3</v>
      </c>
      <c r="G7128" s="2">
        <v>0</v>
      </c>
      <c r="H7128" s="1" t="s">
        <v>0</v>
      </c>
      <c r="I7128" s="2">
        <v>0</v>
      </c>
      <c r="J7128" s="1">
        <v>45933.361493055556</v>
      </c>
    </row>
    <row r="7129" spans="1:10" x14ac:dyDescent="0.2">
      <c r="A7129" s="4" t="s">
        <v>1</v>
      </c>
      <c r="B7129" s="3" t="str">
        <f>HYPERLINK("https://otsuka-europe-crm.veevavault.com/ui/#object/approved_document__v/V5OZ025E82TP0C5", "ENFERMERÍA - Guía de Manejo Psicoterapéutico")</f>
        <v>ENFERMERÍA - Guía de Manejo Psicoterapéutico</v>
      </c>
      <c r="C7129" s="3" t="str">
        <f>HYPERLINK("https://otsuka-europe-crm.veevavault.com/ui/#object/sent_email__v/VBLZ025E82GQZPT", "SE-000275836")</f>
        <v>SE-000275836</v>
      </c>
      <c r="D7129" s="1">
        <v>45920.807233796295</v>
      </c>
      <c r="E7129" s="2">
        <v>1</v>
      </c>
      <c r="F7129" s="2">
        <v>5</v>
      </c>
      <c r="G7129" s="2">
        <v>1</v>
      </c>
      <c r="H7129" s="1">
        <v>45917.415671296294</v>
      </c>
      <c r="I7129" s="2">
        <v>5</v>
      </c>
      <c r="J7129" s="1">
        <v>45917.414224537039</v>
      </c>
    </row>
    <row r="7130" spans="1:10" x14ac:dyDescent="0.2">
      <c r="A7130" s="4" t="s">
        <v>1</v>
      </c>
      <c r="B7130" s="3" t="str">
        <f>HYPERLINK("https://otsuka-europe-crm.veevavault.com/ui/#object/approved_document__v/V5OZ025E82TP0C5", "ENFERMERÍA - Guía de Manejo Psicoterapéutico")</f>
        <v>ENFERMERÍA - Guía de Manejo Psicoterapéutico</v>
      </c>
      <c r="C7130" s="3" t="str">
        <f>HYPERLINK("https://otsuka-europe-crm.veevavault.com/ui/#object/sent_email__v/VBLZ025E82GWSL9", "SE-000280029")</f>
        <v>SE-000280029</v>
      </c>
      <c r="D7130" s="1" t="s">
        <v>0</v>
      </c>
      <c r="E7130" s="2">
        <v>0</v>
      </c>
      <c r="F7130" s="2">
        <v>0</v>
      </c>
      <c r="G7130" s="2">
        <v>0</v>
      </c>
      <c r="H7130" s="1" t="s">
        <v>0</v>
      </c>
      <c r="I7130" s="2">
        <v>0</v>
      </c>
      <c r="J7130" s="1">
        <v>45930.377129629633</v>
      </c>
    </row>
    <row r="7131" spans="1:10" x14ac:dyDescent="0.2">
      <c r="A7131" s="4" t="s">
        <v>1</v>
      </c>
      <c r="B7131" s="3" t="str">
        <f>HYPERLINK("https://otsuka-europe-crm.veevavault.com/ui/#object/approved_document__v/V5OZ025E82TP0C5", "ENFERMERÍA - Guía de Manejo Psicoterapéutico")</f>
        <v>ENFERMERÍA - Guía de Manejo Psicoterapéutico</v>
      </c>
      <c r="C7131" s="3" t="str">
        <f>HYPERLINK("https://otsuka-europe-crm.veevavault.com/ui/#object/sent_email__v/VBLZ025E82GWSLA", "SE-000280030")</f>
        <v>SE-000280030</v>
      </c>
      <c r="D7131" s="1">
        <v>45933.442291666666</v>
      </c>
      <c r="E7131" s="2">
        <v>1</v>
      </c>
      <c r="F7131" s="2">
        <v>4</v>
      </c>
      <c r="G7131" s="2">
        <v>1</v>
      </c>
      <c r="H7131" s="1">
        <v>45931.797997685186</v>
      </c>
      <c r="I7131" s="2">
        <v>1</v>
      </c>
      <c r="J7131" s="1">
        <v>45930.37736111111</v>
      </c>
    </row>
    <row r="7132" spans="1:10" x14ac:dyDescent="0.2">
      <c r="A7132" s="4" t="s">
        <v>1</v>
      </c>
      <c r="B7132" s="3" t="str">
        <f>HYPERLINK("https://otsuka-europe-crm.veevavault.com/ui/#object/approved_document__v/V5OZ025E82TP0C5", "ENFERMERÍA - Guía de Manejo Psicoterapéutico")</f>
        <v>ENFERMERÍA - Guía de Manejo Psicoterapéutico</v>
      </c>
      <c r="C7132" s="3" t="str">
        <f>HYPERLINK("https://otsuka-europe-crm.veevavault.com/ui/#object/sent_email__v/VBLZ025E82GWSLB", "SE-000280031")</f>
        <v>SE-000280031</v>
      </c>
      <c r="D7132" s="1">
        <v>46049.703229166669</v>
      </c>
      <c r="E7132" s="2">
        <v>1</v>
      </c>
      <c r="F7132" s="2">
        <v>5</v>
      </c>
      <c r="G7132" s="2">
        <v>1</v>
      </c>
      <c r="H7132" s="1">
        <v>45930.533425925925</v>
      </c>
      <c r="I7132" s="2">
        <v>1</v>
      </c>
      <c r="J7132" s="1">
        <v>45930.377083333333</v>
      </c>
    </row>
    <row r="7133" spans="1:10" x14ac:dyDescent="0.2">
      <c r="A7133" s="4" t="s">
        <v>1</v>
      </c>
      <c r="B7133" s="3" t="str">
        <f>HYPERLINK("https://otsuka-europe-crm.veevavault.com/ui/#object/approved_document__v/V5OZ025E82TP0C5", "ENFERMERÍA - Guía de Manejo Psicoterapéutico")</f>
        <v>ENFERMERÍA - Guía de Manejo Psicoterapéutico</v>
      </c>
      <c r="C7133" s="3" t="str">
        <f>HYPERLINK("https://otsuka-europe-crm.veevavault.com/ui/#object/sent_email__v/VBLZ025E82GWSLC", "SE-000280032")</f>
        <v>SE-000280032</v>
      </c>
      <c r="D7133" s="1">
        <v>45930.468009259261</v>
      </c>
      <c r="E7133" s="2">
        <v>1</v>
      </c>
      <c r="F7133" s="2">
        <v>1</v>
      </c>
      <c r="G7133" s="2">
        <v>0</v>
      </c>
      <c r="H7133" s="1" t="s">
        <v>0</v>
      </c>
      <c r="I7133" s="2">
        <v>0</v>
      </c>
      <c r="J7133" s="1">
        <v>45930.377164351848</v>
      </c>
    </row>
    <row r="7134" spans="1:10" x14ac:dyDescent="0.2">
      <c r="A7134" s="4" t="s">
        <v>1</v>
      </c>
      <c r="B7134" s="3" t="str">
        <f>HYPERLINK("https://otsuka-europe-crm.veevavault.com/ui/#object/approved_document__v/V5OZ025E82TP0C5", "ENFERMERÍA - Guía de Manejo Psicoterapéutico")</f>
        <v>ENFERMERÍA - Guía de Manejo Psicoterapéutico</v>
      </c>
      <c r="C7134" s="3" t="str">
        <f>HYPERLINK("https://otsuka-europe-crm.veevavault.com/ui/#object/sent_email__v/VBLZ025E82GWSLD", "SE-000280033")</f>
        <v>SE-000280033</v>
      </c>
      <c r="D7134" s="1" t="s">
        <v>0</v>
      </c>
      <c r="E7134" s="2">
        <v>0</v>
      </c>
      <c r="F7134" s="2">
        <v>0</v>
      </c>
      <c r="G7134" s="2">
        <v>0</v>
      </c>
      <c r="H7134" s="1" t="s">
        <v>0</v>
      </c>
      <c r="I7134" s="2">
        <v>0</v>
      </c>
      <c r="J7134" s="1">
        <v>45930.377118055556</v>
      </c>
    </row>
    <row r="7135" spans="1:10" x14ac:dyDescent="0.2">
      <c r="A7135" s="4" t="s">
        <v>1</v>
      </c>
      <c r="B7135" s="3" t="str">
        <f>HYPERLINK("https://otsuka-europe-crm.veevavault.com/ui/#object/approved_document__v/V5OZ025E82TP0C5", "ENFERMERÍA - Guía de Manejo Psicoterapéutico")</f>
        <v>ENFERMERÍA - Guía de Manejo Psicoterapéutico</v>
      </c>
      <c r="C7135" s="3" t="str">
        <f>HYPERLINK("https://otsuka-europe-crm.veevavault.com/ui/#object/sent_email__v/VBLZ025E82GWSLE", "SE-000280034")</f>
        <v>SE-000280034</v>
      </c>
      <c r="D7135" s="1" t="s">
        <v>0</v>
      </c>
      <c r="E7135" s="2">
        <v>0</v>
      </c>
      <c r="F7135" s="2">
        <v>0</v>
      </c>
      <c r="G7135" s="2">
        <v>0</v>
      </c>
      <c r="H7135" s="1" t="s">
        <v>0</v>
      </c>
      <c r="I7135" s="2">
        <v>0</v>
      </c>
      <c r="J7135" s="1">
        <v>45930.377199074072</v>
      </c>
    </row>
    <row r="7136" spans="1:10" x14ac:dyDescent="0.2">
      <c r="A7136" s="4" t="s">
        <v>1</v>
      </c>
      <c r="B7136" s="3" t="str">
        <f>HYPERLINK("https://otsuka-europe-crm.veevavault.com/ui/#object/approved_document__v/V5OZ025E82TP0C5", "ENFERMERÍA - Guía de Manejo Psicoterapéutico")</f>
        <v>ENFERMERÍA - Guía de Manejo Psicoterapéutico</v>
      </c>
      <c r="C7136" s="3" t="str">
        <f>HYPERLINK("https://otsuka-europe-crm.veevavault.com/ui/#object/sent_email__v/VBLZ025E82GWSLF", "SE-000280035")</f>
        <v>SE-000280035</v>
      </c>
      <c r="D7136" s="1">
        <v>45936.737384259257</v>
      </c>
      <c r="E7136" s="2">
        <v>1</v>
      </c>
      <c r="F7136" s="2">
        <v>2</v>
      </c>
      <c r="G7136" s="2">
        <v>0</v>
      </c>
      <c r="H7136" s="1" t="s">
        <v>0</v>
      </c>
      <c r="I7136" s="2">
        <v>0</v>
      </c>
      <c r="J7136" s="1">
        <v>45930.377222222225</v>
      </c>
    </row>
    <row r="7137" spans="1:10" x14ac:dyDescent="0.2">
      <c r="A7137" s="4" t="s">
        <v>1</v>
      </c>
      <c r="B7137" s="3" t="str">
        <f>HYPERLINK("https://otsuka-europe-crm.veevavault.com/ui/#object/approved_document__v/V5OZ025E82TP0C5", "ENFERMERÍA - Guía de Manejo Psicoterapéutico")</f>
        <v>ENFERMERÍA - Guía de Manejo Psicoterapéutico</v>
      </c>
      <c r="C7137" s="3" t="str">
        <f>HYPERLINK("https://otsuka-europe-crm.veevavault.com/ui/#object/sent_email__v/VBLZ025E82GWSLG", "SE-000280036")</f>
        <v>SE-000280036</v>
      </c>
      <c r="D7137" s="1" t="s">
        <v>0</v>
      </c>
      <c r="E7137" s="2">
        <v>0</v>
      </c>
      <c r="F7137" s="2">
        <v>0</v>
      </c>
      <c r="G7137" s="2">
        <v>0</v>
      </c>
      <c r="H7137" s="1" t="s">
        <v>0</v>
      </c>
      <c r="I7137" s="2">
        <v>0</v>
      </c>
      <c r="J7137" s="1">
        <v>45930.37703703704</v>
      </c>
    </row>
    <row r="7138" spans="1:10" x14ac:dyDescent="0.2">
      <c r="A7138" s="4" t="s">
        <v>1</v>
      </c>
      <c r="B7138" s="3" t="str">
        <f>HYPERLINK("https://otsuka-europe-crm.veevavault.com/ui/#object/approved_document__v/V5OZ025E82TP0C5", "ENFERMERÍA - Guía de Manejo Psicoterapéutico")</f>
        <v>ENFERMERÍA - Guía de Manejo Psicoterapéutico</v>
      </c>
      <c r="C7138" s="3" t="str">
        <f>HYPERLINK("https://otsuka-europe-crm.veevavault.com/ui/#object/sent_email__v/VBLZ025E82GWSLH", "SE-000280037")</f>
        <v>SE-000280037</v>
      </c>
      <c r="D7138" s="1">
        <v>45930.56144675926</v>
      </c>
      <c r="E7138" s="2">
        <v>1</v>
      </c>
      <c r="F7138" s="2">
        <v>1</v>
      </c>
      <c r="G7138" s="2">
        <v>0</v>
      </c>
      <c r="H7138" s="1" t="s">
        <v>0</v>
      </c>
      <c r="I7138" s="2">
        <v>0</v>
      </c>
      <c r="J7138" s="1">
        <v>45930.377164351848</v>
      </c>
    </row>
    <row r="7139" spans="1:10" x14ac:dyDescent="0.2">
      <c r="A7139" s="4" t="s">
        <v>1</v>
      </c>
      <c r="B7139" s="3" t="str">
        <f>HYPERLINK("https://otsuka-europe-crm.veevavault.com/ui/#object/approved_document__v/V5OZ025E82TP0C5", "ENFERMERÍA - Guía de Manejo Psicoterapéutico")</f>
        <v>ENFERMERÍA - Guía de Manejo Psicoterapéutico</v>
      </c>
      <c r="C7139" s="3" t="str">
        <f>HYPERLINK("https://otsuka-europe-crm.veevavault.com/ui/#object/sent_email__v/VBLZ025E82GWSLI", "SE-000280038")</f>
        <v>SE-000280038</v>
      </c>
      <c r="D7139" s="1">
        <v>45930.38685185185</v>
      </c>
      <c r="E7139" s="2">
        <v>1</v>
      </c>
      <c r="F7139" s="2">
        <v>1</v>
      </c>
      <c r="G7139" s="2">
        <v>0</v>
      </c>
      <c r="H7139" s="1" t="s">
        <v>0</v>
      </c>
      <c r="I7139" s="2">
        <v>0</v>
      </c>
      <c r="J7139" s="1">
        <v>45930.377233796295</v>
      </c>
    </row>
    <row r="7140" spans="1:10" x14ac:dyDescent="0.2">
      <c r="A7140" s="4" t="s">
        <v>1</v>
      </c>
      <c r="B7140" s="3" t="str">
        <f>HYPERLINK("https://otsuka-europe-crm.veevavault.com/ui/#object/approved_document__v/V5OZ025E82TP0C5", "ENFERMERÍA - Guía de Manejo Psicoterapéutico")</f>
        <v>ENFERMERÍA - Guía de Manejo Psicoterapéutico</v>
      </c>
      <c r="C7140" s="3" t="str">
        <f>HYPERLINK("https://otsuka-europe-crm.veevavault.com/ui/#object/sent_email__v/VBLZ025E82GWSLJ", "SE-000280039")</f>
        <v>SE-000280039</v>
      </c>
      <c r="D7140" s="1">
        <v>45930.455231481479</v>
      </c>
      <c r="E7140" s="2">
        <v>1</v>
      </c>
      <c r="F7140" s="2">
        <v>1</v>
      </c>
      <c r="G7140" s="2">
        <v>1</v>
      </c>
      <c r="H7140" s="1">
        <v>45930.456655092596</v>
      </c>
      <c r="I7140" s="2">
        <v>1</v>
      </c>
      <c r="J7140" s="1">
        <v>45930.377187500002</v>
      </c>
    </row>
    <row r="7141" spans="1:10" x14ac:dyDescent="0.2">
      <c r="A7141" s="4" t="s">
        <v>1</v>
      </c>
      <c r="B7141" s="3" t="str">
        <f>HYPERLINK("https://otsuka-europe-crm.veevavault.com/ui/#object/approved_document__v/V5OZ025E82TP0C5", "ENFERMERÍA - Guía de Manejo Psicoterapéutico")</f>
        <v>ENFERMERÍA - Guía de Manejo Psicoterapéutico</v>
      </c>
      <c r="C7141" s="3" t="str">
        <f>HYPERLINK("https://otsuka-europe-crm.veevavault.com/ui/#object/sent_email__v/VBLZ025E82GWSLK", "SE-000280040")</f>
        <v>SE-000280040</v>
      </c>
      <c r="D7141" s="1" t="s">
        <v>0</v>
      </c>
      <c r="E7141" s="2">
        <v>0</v>
      </c>
      <c r="F7141" s="2">
        <v>0</v>
      </c>
      <c r="G7141" s="2">
        <v>0</v>
      </c>
      <c r="H7141" s="1" t="s">
        <v>0</v>
      </c>
      <c r="I7141" s="2">
        <v>0</v>
      </c>
      <c r="J7141" s="1">
        <v>45930.37709490741</v>
      </c>
    </row>
    <row r="7142" spans="1:10" x14ac:dyDescent="0.2">
      <c r="A7142" s="4" t="s">
        <v>1</v>
      </c>
      <c r="B7142" s="3" t="str">
        <f>HYPERLINK("https://otsuka-europe-crm.veevavault.com/ui/#object/approved_document__v/V5OZ025E82TP0C5", "ENFERMERÍA - Guía de Manejo Psicoterapéutico")</f>
        <v>ENFERMERÍA - Guía de Manejo Psicoterapéutico</v>
      </c>
      <c r="C7142" s="3" t="str">
        <f>HYPERLINK("https://otsuka-europe-crm.veevavault.com/ui/#object/sent_email__v/VBLZ025E82GWSLL", "SE-000280041")</f>
        <v>SE-000280041</v>
      </c>
      <c r="D7142" s="1" t="s">
        <v>0</v>
      </c>
      <c r="E7142" s="2">
        <v>0</v>
      </c>
      <c r="F7142" s="2">
        <v>0</v>
      </c>
      <c r="G7142" s="2">
        <v>0</v>
      </c>
      <c r="H7142" s="1" t="s">
        <v>0</v>
      </c>
      <c r="I7142" s="2">
        <v>0</v>
      </c>
      <c r="J7142" s="1">
        <v>45930.377129629633</v>
      </c>
    </row>
    <row r="7143" spans="1:10" x14ac:dyDescent="0.2">
      <c r="A7143" s="4" t="s">
        <v>1</v>
      </c>
      <c r="B7143" s="3" t="str">
        <f>HYPERLINK("https://otsuka-europe-crm.veevavault.com/ui/#object/approved_document__v/V5OZ025E82TP0C5", "ENFERMERÍA - Guía de Manejo Psicoterapéutico")</f>
        <v>ENFERMERÍA - Guía de Manejo Psicoterapéutico</v>
      </c>
      <c r="C7143" s="3" t="str">
        <f>HYPERLINK("https://otsuka-europe-crm.veevavault.com/ui/#object/sent_email__v/VBLZ025E82GWSLM", "SE-000280042")</f>
        <v>SE-000280042</v>
      </c>
      <c r="D7143" s="1" t="s">
        <v>0</v>
      </c>
      <c r="E7143" s="2">
        <v>0</v>
      </c>
      <c r="F7143" s="2">
        <v>0</v>
      </c>
      <c r="G7143" s="2">
        <v>0</v>
      </c>
      <c r="H7143" s="1" t="s">
        <v>0</v>
      </c>
      <c r="I7143" s="2">
        <v>0</v>
      </c>
      <c r="J7143" s="1">
        <v>45930.37709490741</v>
      </c>
    </row>
    <row r="7144" spans="1:10" x14ac:dyDescent="0.2">
      <c r="A7144" s="4" t="s">
        <v>1</v>
      </c>
      <c r="B7144" s="3" t="str">
        <f>HYPERLINK("https://otsuka-europe-crm.veevavault.com/ui/#object/approved_document__v/V5OZ025E82TP0C5", "ENFERMERÍA - Guía de Manejo Psicoterapéutico")</f>
        <v>ENFERMERÍA - Guía de Manejo Psicoterapéutico</v>
      </c>
      <c r="C7144" s="3" t="str">
        <f>HYPERLINK("https://otsuka-europe-crm.veevavault.com/ui/#object/sent_email__v/VBLZ025E82GWSLN", "SE-000280043")</f>
        <v>SE-000280043</v>
      </c>
      <c r="D7144" s="1">
        <v>45930.79278935185</v>
      </c>
      <c r="E7144" s="2">
        <v>1</v>
      </c>
      <c r="F7144" s="2">
        <v>1</v>
      </c>
      <c r="G7144" s="2">
        <v>0</v>
      </c>
      <c r="H7144" s="1" t="s">
        <v>0</v>
      </c>
      <c r="I7144" s="2">
        <v>0</v>
      </c>
      <c r="J7144" s="1">
        <v>45930.377210648148</v>
      </c>
    </row>
    <row r="7145" spans="1:10" x14ac:dyDescent="0.2">
      <c r="A7145" s="4" t="s">
        <v>1</v>
      </c>
      <c r="B7145" s="3" t="str">
        <f>HYPERLINK("https://otsuka-europe-crm.veevavault.com/ui/#object/approved_document__v/V5OZ025E82TP0C5", "ENFERMERÍA - Guía de Manejo Psicoterapéutico")</f>
        <v>ENFERMERÍA - Guía de Manejo Psicoterapéutico</v>
      </c>
      <c r="C7145" s="3" t="str">
        <f>HYPERLINK("https://otsuka-europe-crm.veevavault.com/ui/#object/sent_email__v/VBLZ025E82GWSLO", "SE-000280044")</f>
        <v>SE-000280044</v>
      </c>
      <c r="D7145" s="1">
        <v>45930.394178240742</v>
      </c>
      <c r="E7145" s="2">
        <v>1</v>
      </c>
      <c r="F7145" s="2">
        <v>1</v>
      </c>
      <c r="G7145" s="2">
        <v>1</v>
      </c>
      <c r="H7145" s="1">
        <v>45930.394756944443</v>
      </c>
      <c r="I7145" s="2">
        <v>2</v>
      </c>
      <c r="J7145" s="1">
        <v>45930.377233796295</v>
      </c>
    </row>
    <row r="7146" spans="1:10" x14ac:dyDescent="0.2">
      <c r="A7146" s="4" t="s">
        <v>1</v>
      </c>
      <c r="B7146" s="3" t="str">
        <f>HYPERLINK("https://otsuka-europe-crm.veevavault.com/ui/#object/approved_document__v/V5OZ025E82TP0C5", "ENFERMERÍA - Guía de Manejo Psicoterapéutico")</f>
        <v>ENFERMERÍA - Guía de Manejo Psicoterapéutico</v>
      </c>
      <c r="C7146" s="3" t="str">
        <f>HYPERLINK("https://otsuka-europe-crm.veevavault.com/ui/#object/sent_email__v/VBLZ025E82GWSLP", "SE-000280045")</f>
        <v>SE-000280045</v>
      </c>
      <c r="D7146" s="1" t="s">
        <v>0</v>
      </c>
      <c r="E7146" s="2">
        <v>0</v>
      </c>
      <c r="F7146" s="2">
        <v>0</v>
      </c>
      <c r="G7146" s="2">
        <v>0</v>
      </c>
      <c r="H7146" s="1" t="s">
        <v>0</v>
      </c>
      <c r="I7146" s="2">
        <v>0</v>
      </c>
      <c r="J7146" s="1">
        <v>45930.377106481479</v>
      </c>
    </row>
    <row r="7147" spans="1:10" x14ac:dyDescent="0.2">
      <c r="A7147" s="4" t="s">
        <v>1</v>
      </c>
      <c r="B7147" s="3" t="str">
        <f>HYPERLINK("https://otsuka-europe-crm.veevavault.com/ui/#object/approved_document__v/V5OZ025E82TP0C5", "ENFERMERÍA - Guía de Manejo Psicoterapéutico")</f>
        <v>ENFERMERÍA - Guía de Manejo Psicoterapéutico</v>
      </c>
      <c r="C7147" s="3" t="str">
        <f>HYPERLINK("https://otsuka-europe-crm.veevavault.com/ui/#object/sent_email__v/VBLZ025E82GWSLQ", "SE-000280046")</f>
        <v>SE-000280046</v>
      </c>
      <c r="D7147" s="1">
        <v>45930.904062499998</v>
      </c>
      <c r="E7147" s="2">
        <v>1</v>
      </c>
      <c r="F7147" s="2">
        <v>1</v>
      </c>
      <c r="G7147" s="2">
        <v>0</v>
      </c>
      <c r="H7147" s="1" t="s">
        <v>0</v>
      </c>
      <c r="I7147" s="2">
        <v>0</v>
      </c>
      <c r="J7147" s="1">
        <v>45930.379259259258</v>
      </c>
    </row>
    <row r="7148" spans="1:10" x14ac:dyDescent="0.2">
      <c r="A7148" s="4" t="s">
        <v>1</v>
      </c>
      <c r="B7148" s="3" t="str">
        <f>HYPERLINK("https://otsuka-europe-crm.veevavault.com/ui/#object/approved_document__v/V5OZ025E82TP0C5", "ENFERMERÍA - Guía de Manejo Psicoterapéutico")</f>
        <v>ENFERMERÍA - Guía de Manejo Psicoterapéutico</v>
      </c>
      <c r="C7148" s="3" t="str">
        <f>HYPERLINK("https://otsuka-europe-crm.veevavault.com/ui/#object/sent_email__v/VBLZ025E82GWSLR", "SE-000280047")</f>
        <v>SE-000280047</v>
      </c>
      <c r="D7148" s="1" t="s">
        <v>0</v>
      </c>
      <c r="E7148" s="2">
        <v>0</v>
      </c>
      <c r="F7148" s="2">
        <v>0</v>
      </c>
      <c r="G7148" s="2">
        <v>0</v>
      </c>
      <c r="H7148" s="1" t="s">
        <v>0</v>
      </c>
      <c r="I7148" s="2">
        <v>0</v>
      </c>
      <c r="J7148" s="1">
        <v>45930.377129629633</v>
      </c>
    </row>
    <row r="7149" spans="1:10" x14ac:dyDescent="0.2">
      <c r="A7149" s="4" t="s">
        <v>1</v>
      </c>
      <c r="B7149" s="3" t="str">
        <f>HYPERLINK("https://otsuka-europe-crm.veevavault.com/ui/#object/approved_document__v/V5OZ025E82TP0C5", "ENFERMERÍA - Guía de Manejo Psicoterapéutico")</f>
        <v>ENFERMERÍA - Guía de Manejo Psicoterapéutico</v>
      </c>
      <c r="C7149" s="3" t="str">
        <f>HYPERLINK("https://otsuka-europe-crm.veevavault.com/ui/#object/sent_email__v/VBLZ025E82GWSLS", "SE-000280048")</f>
        <v>SE-000280048</v>
      </c>
      <c r="D7149" s="1" t="s">
        <v>0</v>
      </c>
      <c r="E7149" s="2">
        <v>0</v>
      </c>
      <c r="F7149" s="2">
        <v>0</v>
      </c>
      <c r="G7149" s="2">
        <v>0</v>
      </c>
      <c r="H7149" s="1" t="s">
        <v>0</v>
      </c>
      <c r="I7149" s="2">
        <v>0</v>
      </c>
      <c r="J7149" s="1">
        <v>45930.377106481479</v>
      </c>
    </row>
    <row r="7150" spans="1:10" x14ac:dyDescent="0.2">
      <c r="A7150" s="4" t="s">
        <v>1</v>
      </c>
      <c r="B7150" s="3" t="str">
        <f>HYPERLINK("https://otsuka-europe-crm.veevavault.com/ui/#object/approved_document__v/V5OZ025E82TP0C5", "ENFERMERÍA - Guía de Manejo Psicoterapéutico")</f>
        <v>ENFERMERÍA - Guía de Manejo Psicoterapéutico</v>
      </c>
      <c r="C7150" s="3" t="str">
        <f>HYPERLINK("https://otsuka-europe-crm.veevavault.com/ui/#object/sent_email__v/VBLZ025E82GWSLT", "SE-000280049")</f>
        <v>SE-000280049</v>
      </c>
      <c r="D7150" s="1" t="s">
        <v>0</v>
      </c>
      <c r="E7150" s="2">
        <v>0</v>
      </c>
      <c r="F7150" s="2">
        <v>0</v>
      </c>
      <c r="G7150" s="2">
        <v>0</v>
      </c>
      <c r="H7150" s="1" t="s">
        <v>0</v>
      </c>
      <c r="I7150" s="2">
        <v>0</v>
      </c>
      <c r="J7150" s="1">
        <v>45930.377314814818</v>
      </c>
    </row>
    <row r="7151" spans="1:10" x14ac:dyDescent="0.2">
      <c r="A7151" s="4" t="s">
        <v>1</v>
      </c>
      <c r="B7151" s="3" t="str">
        <f>HYPERLINK("https://otsuka-europe-crm.veevavault.com/ui/#object/approved_document__v/V5OZ025E82TP0C5", "ENFERMERÍA - Guía de Manejo Psicoterapéutico")</f>
        <v>ENFERMERÍA - Guía de Manejo Psicoterapéutico</v>
      </c>
      <c r="C7151" s="3" t="str">
        <f>HYPERLINK("https://otsuka-europe-crm.veevavault.com/ui/#object/sent_email__v/VBLZ025E82GWSLU", "SE-000280050")</f>
        <v>SE-000280050</v>
      </c>
      <c r="D7151" s="1">
        <v>45930.40253472222</v>
      </c>
      <c r="E7151" s="2">
        <v>1</v>
      </c>
      <c r="F7151" s="2">
        <v>1</v>
      </c>
      <c r="G7151" s="2">
        <v>1</v>
      </c>
      <c r="H7151" s="1">
        <v>45930.404189814813</v>
      </c>
      <c r="I7151" s="2">
        <v>1</v>
      </c>
      <c r="J7151" s="1">
        <v>45930.377129629633</v>
      </c>
    </row>
    <row r="7152" spans="1:10" x14ac:dyDescent="0.2">
      <c r="A7152" s="4" t="s">
        <v>1</v>
      </c>
      <c r="B7152" s="3" t="str">
        <f>HYPERLINK("https://otsuka-europe-crm.veevavault.com/ui/#object/approved_document__v/V5OZ025E82TP0C5", "ENFERMERÍA - Guía de Manejo Psicoterapéutico")</f>
        <v>ENFERMERÍA - Guía de Manejo Psicoterapéutico</v>
      </c>
      <c r="C7152" s="3" t="str">
        <f>HYPERLINK("https://otsuka-europe-crm.veevavault.com/ui/#object/sent_email__v/VBLZ025E82GWSLV", "SE-000280051")</f>
        <v>SE-000280051</v>
      </c>
      <c r="D7152" s="1">
        <v>45930.421979166669</v>
      </c>
      <c r="E7152" s="2">
        <v>1</v>
      </c>
      <c r="F7152" s="2">
        <v>1</v>
      </c>
      <c r="G7152" s="2">
        <v>1</v>
      </c>
      <c r="H7152" s="1">
        <v>45930.422071759262</v>
      </c>
      <c r="I7152" s="2">
        <v>1</v>
      </c>
      <c r="J7152" s="1">
        <v>45930.377187500002</v>
      </c>
    </row>
    <row r="7153" spans="1:10" x14ac:dyDescent="0.2">
      <c r="A7153" s="4" t="s">
        <v>1</v>
      </c>
      <c r="B7153" s="3" t="str">
        <f>HYPERLINK("https://otsuka-europe-crm.veevavault.com/ui/#object/approved_document__v/V5OZ025E82TP0C5", "ENFERMERÍA - Guía de Manejo Psicoterapéutico")</f>
        <v>ENFERMERÍA - Guía de Manejo Psicoterapéutico</v>
      </c>
      <c r="C7153" s="3" t="str">
        <f>HYPERLINK("https://otsuka-europe-crm.veevavault.com/ui/#object/sent_email__v/VBLZ025E82GWSLW", "SE-000280052")</f>
        <v>SE-000280052</v>
      </c>
      <c r="D7153" s="1" t="s">
        <v>0</v>
      </c>
      <c r="E7153" s="2">
        <v>0</v>
      </c>
      <c r="F7153" s="2">
        <v>0</v>
      </c>
      <c r="G7153" s="2">
        <v>0</v>
      </c>
      <c r="H7153" s="1" t="s">
        <v>0</v>
      </c>
      <c r="I7153" s="2">
        <v>0</v>
      </c>
      <c r="J7153" s="1">
        <v>45930.377129629633</v>
      </c>
    </row>
    <row r="7154" spans="1:10" x14ac:dyDescent="0.2">
      <c r="A7154" s="4" t="s">
        <v>1</v>
      </c>
      <c r="B7154" s="3" t="str">
        <f>HYPERLINK("https://otsuka-europe-crm.veevavault.com/ui/#object/approved_document__v/V5OZ025E82TP0C5", "ENFERMERÍA - Guía de Manejo Psicoterapéutico")</f>
        <v>ENFERMERÍA - Guía de Manejo Psicoterapéutico</v>
      </c>
      <c r="C7154" s="3" t="str">
        <f>HYPERLINK("https://otsuka-europe-crm.veevavault.com/ui/#object/sent_email__v/VBLZ025E82GWSLX", "SE-000280053")</f>
        <v>SE-000280053</v>
      </c>
      <c r="D7154" s="1">
        <v>45936.813333333332</v>
      </c>
      <c r="E7154" s="2">
        <v>1</v>
      </c>
      <c r="F7154" s="2">
        <v>1</v>
      </c>
      <c r="G7154" s="2">
        <v>0</v>
      </c>
      <c r="H7154" s="1" t="s">
        <v>0</v>
      </c>
      <c r="I7154" s="2">
        <v>0</v>
      </c>
      <c r="J7154" s="1">
        <v>45930.37703703704</v>
      </c>
    </row>
    <row r="7155" spans="1:10" x14ac:dyDescent="0.2">
      <c r="A7155" s="4" t="s">
        <v>1</v>
      </c>
      <c r="B7155" s="3" t="str">
        <f>HYPERLINK("https://otsuka-europe-crm.veevavault.com/ui/#object/approved_document__v/V5OZ025E82TP0C5", "ENFERMERÍA - Guía de Manejo Psicoterapéutico")</f>
        <v>ENFERMERÍA - Guía de Manejo Psicoterapéutico</v>
      </c>
      <c r="C7155" s="3" t="str">
        <f>HYPERLINK("https://otsuka-europe-crm.veevavault.com/ui/#object/sent_email__v/VBLZ025E82GWSLY", "SE-000280054")</f>
        <v>SE-000280054</v>
      </c>
      <c r="D7155" s="1" t="s">
        <v>0</v>
      </c>
      <c r="E7155" s="2">
        <v>0</v>
      </c>
      <c r="F7155" s="2">
        <v>0</v>
      </c>
      <c r="G7155" s="2">
        <v>0</v>
      </c>
      <c r="H7155" s="1" t="s">
        <v>0</v>
      </c>
      <c r="I7155" s="2">
        <v>0</v>
      </c>
      <c r="J7155" s="1">
        <v>45930.377106481479</v>
      </c>
    </row>
    <row r="7156" spans="1:10" x14ac:dyDescent="0.2">
      <c r="A7156" s="4" t="s">
        <v>1</v>
      </c>
      <c r="B7156" s="3" t="str">
        <f>HYPERLINK("https://otsuka-europe-crm.veevavault.com/ui/#object/approved_document__v/V5OZ025E82TP0C5", "ENFERMERÍA - Guía de Manejo Psicoterapéutico")</f>
        <v>ENFERMERÍA - Guía de Manejo Psicoterapéutico</v>
      </c>
      <c r="C7156" s="3" t="str">
        <f>HYPERLINK("https://otsuka-europe-crm.veevavault.com/ui/#object/sent_email__v/VBLZ025E82GWSLZ", "SE-000280055")</f>
        <v>SE-000280055</v>
      </c>
      <c r="D7156" s="1" t="s">
        <v>0</v>
      </c>
      <c r="E7156" s="2">
        <v>0</v>
      </c>
      <c r="F7156" s="2">
        <v>0</v>
      </c>
      <c r="G7156" s="2">
        <v>0</v>
      </c>
      <c r="H7156" s="1" t="s">
        <v>0</v>
      </c>
      <c r="I7156" s="2">
        <v>0</v>
      </c>
      <c r="J7156" s="1">
        <v>45930.377175925925</v>
      </c>
    </row>
    <row r="7157" spans="1:10" x14ac:dyDescent="0.2">
      <c r="A7157" s="4" t="s">
        <v>1</v>
      </c>
      <c r="B7157" s="3" t="str">
        <f>HYPERLINK("https://otsuka-europe-crm.veevavault.com/ui/#object/approved_document__v/V5OZ025E82TP0C5", "ENFERMERÍA - Guía de Manejo Psicoterapéutico")</f>
        <v>ENFERMERÍA - Guía de Manejo Psicoterapéutico</v>
      </c>
      <c r="C7157" s="3" t="str">
        <f>HYPERLINK("https://otsuka-europe-crm.veevavault.com/ui/#object/sent_email__v/VBLZ025E82GWSM0", "SE-000280056")</f>
        <v>SE-000280056</v>
      </c>
      <c r="D7157" s="1" t="s">
        <v>0</v>
      </c>
      <c r="E7157" s="2">
        <v>0</v>
      </c>
      <c r="F7157" s="2">
        <v>0</v>
      </c>
      <c r="G7157" s="2">
        <v>0</v>
      </c>
      <c r="H7157" s="1" t="s">
        <v>0</v>
      </c>
      <c r="I7157" s="2">
        <v>0</v>
      </c>
      <c r="J7157" s="1">
        <v>45930.377060185187</v>
      </c>
    </row>
    <row r="7158" spans="1:10" x14ac:dyDescent="0.2">
      <c r="A7158" s="4" t="s">
        <v>1</v>
      </c>
      <c r="B7158" s="3" t="str">
        <f>HYPERLINK("https://otsuka-europe-crm.veevavault.com/ui/#object/approved_document__v/V5OZ025E82TP0C5", "ENFERMERÍA - Guía de Manejo Psicoterapéutico")</f>
        <v>ENFERMERÍA - Guía de Manejo Psicoterapéutico</v>
      </c>
      <c r="C7158" s="3" t="str">
        <f>HYPERLINK("https://otsuka-europe-crm.veevavault.com/ui/#object/sent_email__v/VBLZ025E82GWSM1", "SE-000280057")</f>
        <v>SE-000280057</v>
      </c>
      <c r="D7158" s="1">
        <v>45930.411041666666</v>
      </c>
      <c r="E7158" s="2">
        <v>1</v>
      </c>
      <c r="F7158" s="2">
        <v>1</v>
      </c>
      <c r="G7158" s="2">
        <v>0</v>
      </c>
      <c r="H7158" s="1" t="s">
        <v>0</v>
      </c>
      <c r="I7158" s="2">
        <v>0</v>
      </c>
      <c r="J7158" s="1">
        <v>45930.37704861111</v>
      </c>
    </row>
    <row r="7159" spans="1:10" x14ac:dyDescent="0.2">
      <c r="A7159" s="4" t="s">
        <v>1</v>
      </c>
      <c r="B7159" s="3" t="str">
        <f>HYPERLINK("https://otsuka-europe-crm.veevavault.com/ui/#object/approved_document__v/V5OZ025E82TP0C5", "ENFERMERÍA - Guía de Manejo Psicoterapéutico")</f>
        <v>ENFERMERÍA - Guía de Manejo Psicoterapéutico</v>
      </c>
      <c r="C7159" s="3" t="str">
        <f>HYPERLINK("https://otsuka-europe-crm.veevavault.com/ui/#object/sent_email__v/VBLZ025E82GWSM2", "SE-000280058")</f>
        <v>SE-000280058</v>
      </c>
      <c r="D7159" s="1">
        <v>45940.434027777781</v>
      </c>
      <c r="E7159" s="2">
        <v>1</v>
      </c>
      <c r="F7159" s="2">
        <v>2</v>
      </c>
      <c r="G7159" s="2">
        <v>0</v>
      </c>
      <c r="H7159" s="1" t="s">
        <v>0</v>
      </c>
      <c r="I7159" s="2">
        <v>0</v>
      </c>
      <c r="J7159" s="1">
        <v>45930.377129629633</v>
      </c>
    </row>
    <row r="7160" spans="1:10" x14ac:dyDescent="0.2">
      <c r="A7160" s="4" t="s">
        <v>1</v>
      </c>
      <c r="B7160" s="3" t="str">
        <f>HYPERLINK("https://otsuka-europe-crm.veevavault.com/ui/#object/approved_document__v/V5OZ025E82TP0C5", "ENFERMERÍA - Guía de Manejo Psicoterapéutico")</f>
        <v>ENFERMERÍA - Guía de Manejo Psicoterapéutico</v>
      </c>
      <c r="C7160" s="3" t="str">
        <f>HYPERLINK("https://otsuka-europe-crm.veevavault.com/ui/#object/sent_email__v/VBLZ025E82GWSM3", "SE-000280059")</f>
        <v>SE-000280059</v>
      </c>
      <c r="D7160" s="1" t="s">
        <v>0</v>
      </c>
      <c r="E7160" s="2">
        <v>0</v>
      </c>
      <c r="F7160" s="2">
        <v>0</v>
      </c>
      <c r="G7160" s="2">
        <v>0</v>
      </c>
      <c r="H7160" s="1" t="s">
        <v>0</v>
      </c>
      <c r="I7160" s="2">
        <v>0</v>
      </c>
      <c r="J7160" s="1">
        <v>45930.377175925925</v>
      </c>
    </row>
    <row r="7161" spans="1:10" x14ac:dyDescent="0.2">
      <c r="A7161" s="4" t="s">
        <v>1</v>
      </c>
      <c r="B7161" s="3" t="str">
        <f>HYPERLINK("https://otsuka-europe-crm.veevavault.com/ui/#object/approved_document__v/V5OZ025E82TP0C5", "ENFERMERÍA - Guía de Manejo Psicoterapéutico")</f>
        <v>ENFERMERÍA - Guía de Manejo Psicoterapéutico</v>
      </c>
      <c r="C7161" s="3" t="str">
        <f>HYPERLINK("https://otsuka-europe-crm.veevavault.com/ui/#object/sent_email__v/VBLZ025E82GWSM4", "SE-000280060")</f>
        <v>SE-000280060</v>
      </c>
      <c r="D7161" s="1">
        <v>45931.25571759259</v>
      </c>
      <c r="E7161" s="2">
        <v>1</v>
      </c>
      <c r="F7161" s="2">
        <v>1</v>
      </c>
      <c r="G7161" s="2">
        <v>0</v>
      </c>
      <c r="H7161" s="1" t="s">
        <v>0</v>
      </c>
      <c r="I7161" s="2">
        <v>0</v>
      </c>
      <c r="J7161" s="1">
        <v>45930.377187500002</v>
      </c>
    </row>
    <row r="7162" spans="1:10" x14ac:dyDescent="0.2">
      <c r="A7162" s="4" t="s">
        <v>1</v>
      </c>
      <c r="B7162" s="3" t="str">
        <f>HYPERLINK("https://otsuka-europe-crm.veevavault.com/ui/#object/approved_document__v/V5OZ025E82TP0C5", "ENFERMERÍA - Guía de Manejo Psicoterapéutico")</f>
        <v>ENFERMERÍA - Guía de Manejo Psicoterapéutico</v>
      </c>
      <c r="C7162" s="3" t="str">
        <f>HYPERLINK("https://otsuka-europe-crm.veevavault.com/ui/#object/sent_email__v/VBLZ025E82GWSM5", "SE-000280061")</f>
        <v>SE-000280061</v>
      </c>
      <c r="D7162" s="1">
        <v>45932.454050925924</v>
      </c>
      <c r="E7162" s="2">
        <v>1</v>
      </c>
      <c r="F7162" s="2">
        <v>3</v>
      </c>
      <c r="G7162" s="2">
        <v>0</v>
      </c>
      <c r="H7162" s="1" t="s">
        <v>0</v>
      </c>
      <c r="I7162" s="2">
        <v>0</v>
      </c>
      <c r="J7162" s="1">
        <v>45930.377187500002</v>
      </c>
    </row>
    <row r="7163" spans="1:10" x14ac:dyDescent="0.2">
      <c r="A7163" s="4" t="s">
        <v>1</v>
      </c>
      <c r="B7163" s="3" t="str">
        <f>HYPERLINK("https://otsuka-europe-crm.veevavault.com/ui/#object/approved_document__v/V5OZ025E82TP0C5", "ENFERMERÍA - Guía de Manejo Psicoterapéutico")</f>
        <v>ENFERMERÍA - Guía de Manejo Psicoterapéutico</v>
      </c>
      <c r="C7163" s="3" t="str">
        <f>HYPERLINK("https://otsuka-europe-crm.veevavault.com/ui/#object/sent_email__v/VBLZ025E82GWSM6", "SE-000280062")</f>
        <v>SE-000280062</v>
      </c>
      <c r="D7163" s="1" t="s">
        <v>0</v>
      </c>
      <c r="E7163" s="2">
        <v>0</v>
      </c>
      <c r="F7163" s="2">
        <v>0</v>
      </c>
      <c r="G7163" s="2">
        <v>0</v>
      </c>
      <c r="H7163" s="1" t="s">
        <v>0</v>
      </c>
      <c r="I7163" s="2">
        <v>0</v>
      </c>
      <c r="J7163" s="1">
        <v>45930.377152777779</v>
      </c>
    </row>
    <row r="7164" spans="1:10" x14ac:dyDescent="0.2">
      <c r="A7164" s="4" t="s">
        <v>1</v>
      </c>
      <c r="B7164" s="3" t="str">
        <f>HYPERLINK("https://otsuka-europe-crm.veevavault.com/ui/#object/approved_document__v/V5OZ025E82TP0C5", "ENFERMERÍA - Guía de Manejo Psicoterapéutico")</f>
        <v>ENFERMERÍA - Guía de Manejo Psicoterapéutico</v>
      </c>
      <c r="C7164" s="3" t="str">
        <f>HYPERLINK("https://otsuka-europe-crm.veevavault.com/ui/#object/sent_email__v/VBLZ025E82GWSM7", "SE-000280063")</f>
        <v>SE-000280063</v>
      </c>
      <c r="D7164" s="1">
        <v>45934.366111111114</v>
      </c>
      <c r="E7164" s="2">
        <v>1</v>
      </c>
      <c r="F7164" s="2">
        <v>4</v>
      </c>
      <c r="G7164" s="2">
        <v>0</v>
      </c>
      <c r="H7164" s="1" t="s">
        <v>0</v>
      </c>
      <c r="I7164" s="2">
        <v>0</v>
      </c>
      <c r="J7164" s="1">
        <v>45930.377175925925</v>
      </c>
    </row>
    <row r="7165" spans="1:10" x14ac:dyDescent="0.2">
      <c r="A7165" s="4" t="s">
        <v>1</v>
      </c>
      <c r="B7165" s="3" t="str">
        <f>HYPERLINK("https://otsuka-europe-crm.veevavault.com/ui/#object/approved_document__v/V5OZ025E82TP0C5", "ENFERMERÍA - Guía de Manejo Psicoterapéutico")</f>
        <v>ENFERMERÍA - Guía de Manejo Psicoterapéutico</v>
      </c>
      <c r="C7165" s="3" t="str">
        <f>HYPERLINK("https://otsuka-europe-crm.veevavault.com/ui/#object/sent_email__v/VBLZ025E82GWSM8", "SE-000280064")</f>
        <v>SE-000280064</v>
      </c>
      <c r="D7165" s="1">
        <v>45931.614386574074</v>
      </c>
      <c r="E7165" s="2">
        <v>1</v>
      </c>
      <c r="F7165" s="2">
        <v>1</v>
      </c>
      <c r="G7165" s="2">
        <v>0</v>
      </c>
      <c r="H7165" s="1" t="s">
        <v>0</v>
      </c>
      <c r="I7165" s="2">
        <v>0</v>
      </c>
      <c r="J7165" s="1">
        <v>45930.377106481479</v>
      </c>
    </row>
    <row r="7166" spans="1:10" x14ac:dyDescent="0.2">
      <c r="A7166" s="4" t="s">
        <v>1</v>
      </c>
      <c r="B7166" s="3" t="str">
        <f>HYPERLINK("https://otsuka-europe-crm.veevavault.com/ui/#object/approved_document__v/V5OZ025E82TP0C5", "ENFERMERÍA - Guía de Manejo Psicoterapéutico")</f>
        <v>ENFERMERÍA - Guía de Manejo Psicoterapéutico</v>
      </c>
      <c r="C7166" s="3" t="str">
        <f>HYPERLINK("https://otsuka-europe-crm.veevavault.com/ui/#object/sent_email__v/VBLZ025E82GWSM9", "SE-000280065")</f>
        <v>SE-000280065</v>
      </c>
      <c r="D7166" s="1" t="s">
        <v>0</v>
      </c>
      <c r="E7166" s="2">
        <v>0</v>
      </c>
      <c r="F7166" s="2">
        <v>0</v>
      </c>
      <c r="G7166" s="2">
        <v>0</v>
      </c>
      <c r="H7166" s="1" t="s">
        <v>0</v>
      </c>
      <c r="I7166" s="2">
        <v>0</v>
      </c>
      <c r="J7166" s="1">
        <v>45930.379340277781</v>
      </c>
    </row>
    <row r="7167" spans="1:10" x14ac:dyDescent="0.2">
      <c r="A7167" s="4" t="s">
        <v>1</v>
      </c>
      <c r="B7167" s="3" t="str">
        <f>HYPERLINK("https://otsuka-europe-crm.veevavault.com/ui/#object/approved_document__v/V5OZ025E82TP0C5", "ENFERMERÍA - Guía de Manejo Psicoterapéutico")</f>
        <v>ENFERMERÍA - Guía de Manejo Psicoterapéutico</v>
      </c>
      <c r="C7167" s="3" t="str">
        <f>HYPERLINK("https://otsuka-europe-crm.veevavault.com/ui/#object/sent_email__v/VBLZ025E82GWSMA", "SE-000280066")</f>
        <v>SE-000280066</v>
      </c>
      <c r="D7167" s="1">
        <v>45930.801516203705</v>
      </c>
      <c r="E7167" s="2">
        <v>1</v>
      </c>
      <c r="F7167" s="2">
        <v>1</v>
      </c>
      <c r="G7167" s="2">
        <v>1</v>
      </c>
      <c r="H7167" s="1">
        <v>45930.801932870374</v>
      </c>
      <c r="I7167" s="2">
        <v>1</v>
      </c>
      <c r="J7167" s="1">
        <v>45930.377025462964</v>
      </c>
    </row>
    <row r="7168" spans="1:10" x14ac:dyDescent="0.2">
      <c r="A7168" s="4" t="s">
        <v>1</v>
      </c>
      <c r="B7168" s="3" t="str">
        <f>HYPERLINK("https://otsuka-europe-crm.veevavault.com/ui/#object/approved_document__v/V5OZ025E82TP0C5", "ENFERMERÍA - Guía de Manejo Psicoterapéutico")</f>
        <v>ENFERMERÍA - Guía de Manejo Psicoterapéutico</v>
      </c>
      <c r="C7168" s="3" t="str">
        <f>HYPERLINK("https://otsuka-europe-crm.veevavault.com/ui/#object/sent_email__v/VBLZ025E82GWSMB", "SE-000280067")</f>
        <v>SE-000280067</v>
      </c>
      <c r="D7168" s="1" t="s">
        <v>0</v>
      </c>
      <c r="E7168" s="2">
        <v>0</v>
      </c>
      <c r="F7168" s="2">
        <v>0</v>
      </c>
      <c r="G7168" s="2">
        <v>0</v>
      </c>
      <c r="H7168" s="1" t="s">
        <v>0</v>
      </c>
      <c r="I7168" s="2">
        <v>0</v>
      </c>
      <c r="J7168" s="1">
        <v>45930.377106481479</v>
      </c>
    </row>
    <row r="7169" spans="1:10" x14ac:dyDescent="0.2">
      <c r="A7169" s="4" t="s">
        <v>1</v>
      </c>
      <c r="B7169" s="3" t="str">
        <f>HYPERLINK("https://otsuka-europe-crm.veevavault.com/ui/#object/approved_document__v/V5OZ025E82TP0C5", "ENFERMERÍA - Guía de Manejo Psicoterapéutico")</f>
        <v>ENFERMERÍA - Guía de Manejo Psicoterapéutico</v>
      </c>
      <c r="C7169" s="3" t="str">
        <f>HYPERLINK("https://otsuka-europe-crm.veevavault.com/ui/#object/sent_email__v/VBLZ025E82GWSMC", "SE-000280068")</f>
        <v>SE-000280068</v>
      </c>
      <c r="D7169" s="1" t="s">
        <v>0</v>
      </c>
      <c r="E7169" s="2">
        <v>0</v>
      </c>
      <c r="F7169" s="2">
        <v>0</v>
      </c>
      <c r="G7169" s="2">
        <v>0</v>
      </c>
      <c r="H7169" s="1" t="s">
        <v>0</v>
      </c>
      <c r="I7169" s="2">
        <v>0</v>
      </c>
      <c r="J7169" s="1">
        <v>45930.377060185187</v>
      </c>
    </row>
    <row r="7170" spans="1:10" x14ac:dyDescent="0.2">
      <c r="A7170" s="4" t="s">
        <v>1</v>
      </c>
      <c r="B7170" s="3" t="str">
        <f>HYPERLINK("https://otsuka-europe-crm.veevavault.com/ui/#object/approved_document__v/V5OZ025E82TP0C5", "ENFERMERÍA - Guía de Manejo Psicoterapéutico")</f>
        <v>ENFERMERÍA - Guía de Manejo Psicoterapéutico</v>
      </c>
      <c r="C7170" s="3" t="str">
        <f>HYPERLINK("https://otsuka-europe-crm.veevavault.com/ui/#object/sent_email__v/VBLZ025E82GWSMD", "SE-000280069")</f>
        <v>SE-000280069</v>
      </c>
      <c r="D7170" s="1">
        <v>45930.380277777775</v>
      </c>
      <c r="E7170" s="2">
        <v>1</v>
      </c>
      <c r="F7170" s="2">
        <v>1</v>
      </c>
      <c r="G7170" s="2">
        <v>0</v>
      </c>
      <c r="H7170" s="1" t="s">
        <v>0</v>
      </c>
      <c r="I7170" s="2">
        <v>0</v>
      </c>
      <c r="J7170" s="1">
        <v>45930.377187500002</v>
      </c>
    </row>
    <row r="7171" spans="1:10" x14ac:dyDescent="0.2">
      <c r="A7171" s="4" t="s">
        <v>1</v>
      </c>
      <c r="B7171" s="3" t="str">
        <f>HYPERLINK("https://otsuka-europe-crm.veevavault.com/ui/#object/approved_document__v/V5OZ025E82TP0C5", "ENFERMERÍA - Guía de Manejo Psicoterapéutico")</f>
        <v>ENFERMERÍA - Guía de Manejo Psicoterapéutico</v>
      </c>
      <c r="C7171" s="3" t="str">
        <f>HYPERLINK("https://otsuka-europe-crm.veevavault.com/ui/#object/sent_email__v/VBLZ025E82GWSME", "SE-000280070")</f>
        <v>SE-000280070</v>
      </c>
      <c r="D7171" s="1">
        <v>45930.716203703705</v>
      </c>
      <c r="E7171" s="2">
        <v>1</v>
      </c>
      <c r="F7171" s="2">
        <v>1</v>
      </c>
      <c r="G7171" s="2">
        <v>1</v>
      </c>
      <c r="H7171" s="1">
        <v>45930.716203703705</v>
      </c>
      <c r="I7171" s="2">
        <v>1</v>
      </c>
      <c r="J7171" s="1">
        <v>45930.377233796295</v>
      </c>
    </row>
    <row r="7172" spans="1:10" x14ac:dyDescent="0.2">
      <c r="A7172" s="4" t="s">
        <v>1</v>
      </c>
      <c r="B7172" s="3" t="str">
        <f>HYPERLINK("https://otsuka-europe-crm.veevavault.com/ui/#object/approved_document__v/V5OZ025E82TP0C5", "ENFERMERÍA - Guía de Manejo Psicoterapéutico")</f>
        <v>ENFERMERÍA - Guía de Manejo Psicoterapéutico</v>
      </c>
      <c r="C7172" s="3" t="str">
        <f>HYPERLINK("https://otsuka-europe-crm.veevavault.com/ui/#object/sent_email__v/VBLZ025E82GWSMF", "SE-000280071")</f>
        <v>SE-000280071</v>
      </c>
      <c r="D7172" s="1">
        <v>45930.700196759259</v>
      </c>
      <c r="E7172" s="2">
        <v>1</v>
      </c>
      <c r="F7172" s="2">
        <v>3</v>
      </c>
      <c r="G7172" s="2">
        <v>0</v>
      </c>
      <c r="H7172" s="1" t="s">
        <v>0</v>
      </c>
      <c r="I7172" s="2">
        <v>0</v>
      </c>
      <c r="J7172" s="1">
        <v>45930.377233796295</v>
      </c>
    </row>
    <row r="7173" spans="1:10" x14ac:dyDescent="0.2">
      <c r="A7173" s="4" t="s">
        <v>1</v>
      </c>
      <c r="B7173" s="3" t="str">
        <f>HYPERLINK("https://otsuka-europe-crm.veevavault.com/ui/#object/approved_document__v/V5OZ025E82TP0C5", "ENFERMERÍA - Guía de Manejo Psicoterapéutico")</f>
        <v>ENFERMERÍA - Guía de Manejo Psicoterapéutico</v>
      </c>
      <c r="C7173" s="3" t="str">
        <f>HYPERLINK("https://otsuka-europe-crm.veevavault.com/ui/#object/sent_email__v/VBLZ025E82GWSO1", "SE-000280072")</f>
        <v>SE-000280072</v>
      </c>
      <c r="D7173" s="1">
        <v>45930.641493055555</v>
      </c>
      <c r="E7173" s="2">
        <v>1</v>
      </c>
      <c r="F7173" s="2">
        <v>1</v>
      </c>
      <c r="G7173" s="2">
        <v>0</v>
      </c>
      <c r="H7173" s="1" t="s">
        <v>0</v>
      </c>
      <c r="I7173" s="2">
        <v>0</v>
      </c>
      <c r="J7173" s="1">
        <v>45930.377106481479</v>
      </c>
    </row>
    <row r="7174" spans="1:10" x14ac:dyDescent="0.2">
      <c r="A7174" s="4" t="s">
        <v>1</v>
      </c>
      <c r="B7174" s="3" t="str">
        <f>HYPERLINK("https://otsuka-europe-crm.veevavault.com/ui/#object/approved_document__v/V5OZ025E82TP0C5", "ENFERMERÍA - Guía de Manejo Psicoterapéutico")</f>
        <v>ENFERMERÍA - Guía de Manejo Psicoterapéutico</v>
      </c>
      <c r="C7174" s="3" t="str">
        <f>HYPERLINK("https://otsuka-europe-crm.veevavault.com/ui/#object/sent_email__v/VBLZ025E82GWSO2", "SE-000280073")</f>
        <v>SE-000280073</v>
      </c>
      <c r="D7174" s="1">
        <v>45934.969756944447</v>
      </c>
      <c r="E7174" s="2">
        <v>1</v>
      </c>
      <c r="F7174" s="2">
        <v>1</v>
      </c>
      <c r="G7174" s="2">
        <v>0</v>
      </c>
      <c r="H7174" s="1" t="s">
        <v>0</v>
      </c>
      <c r="I7174" s="2">
        <v>0</v>
      </c>
      <c r="J7174" s="1">
        <v>45930.377164351848</v>
      </c>
    </row>
    <row r="7175" spans="1:10" x14ac:dyDescent="0.2">
      <c r="A7175" s="4" t="s">
        <v>1</v>
      </c>
      <c r="B7175" s="3" t="str">
        <f>HYPERLINK("https://otsuka-europe-crm.veevavault.com/ui/#object/approved_document__v/V5OZ025E82TP0C5", "ENFERMERÍA - Guía de Manejo Psicoterapéutico")</f>
        <v>ENFERMERÍA - Guía de Manejo Psicoterapéutico</v>
      </c>
      <c r="C7175" s="3" t="str">
        <f>HYPERLINK("https://otsuka-europe-crm.veevavault.com/ui/#object/sent_email__v/VBLZ025E82GWSO3", "SE-000280074")</f>
        <v>SE-000280074</v>
      </c>
      <c r="D7175" s="1" t="s">
        <v>0</v>
      </c>
      <c r="E7175" s="2">
        <v>0</v>
      </c>
      <c r="F7175" s="2">
        <v>0</v>
      </c>
      <c r="G7175" s="2">
        <v>0</v>
      </c>
      <c r="H7175" s="1" t="s">
        <v>0</v>
      </c>
      <c r="I7175" s="2">
        <v>0</v>
      </c>
      <c r="J7175" s="1">
        <v>45930.377129629633</v>
      </c>
    </row>
    <row r="7176" spans="1:10" x14ac:dyDescent="0.2">
      <c r="A7176" s="4" t="s">
        <v>1</v>
      </c>
      <c r="B7176" s="3" t="str">
        <f>HYPERLINK("https://otsuka-europe-crm.veevavault.com/ui/#object/approved_document__v/V5OZ025E82TP0C5", "ENFERMERÍA - Guía de Manejo Psicoterapéutico")</f>
        <v>ENFERMERÍA - Guía de Manejo Psicoterapéutico</v>
      </c>
      <c r="C7176" s="3" t="str">
        <f>HYPERLINK("https://otsuka-europe-crm.veevavault.com/ui/#object/sent_email__v/VBLZ025E82GWSO4", "SE-000280075")</f>
        <v>SE-000280075</v>
      </c>
      <c r="D7176" s="1">
        <v>45943.742546296293</v>
      </c>
      <c r="E7176" s="2">
        <v>1</v>
      </c>
      <c r="F7176" s="2">
        <v>1</v>
      </c>
      <c r="G7176" s="2">
        <v>1</v>
      </c>
      <c r="H7176" s="1">
        <v>45943.742766203701</v>
      </c>
      <c r="I7176" s="2">
        <v>1</v>
      </c>
      <c r="J7176" s="1">
        <v>45930.377025462964</v>
      </c>
    </row>
    <row r="7177" spans="1:10" x14ac:dyDescent="0.2">
      <c r="A7177" s="4" t="s">
        <v>1</v>
      </c>
      <c r="B7177" s="3" t="str">
        <f>HYPERLINK("https://otsuka-europe-crm.veevavault.com/ui/#object/approved_document__v/V5OZ025E82TP0C5", "ENFERMERÍA - Guía de Manejo Psicoterapéutico")</f>
        <v>ENFERMERÍA - Guía de Manejo Psicoterapéutico</v>
      </c>
      <c r="C7177" s="3" t="str">
        <f>HYPERLINK("https://otsuka-europe-crm.veevavault.com/ui/#object/sent_email__v/VBLZ025E82GWSO5", "SE-000280076")</f>
        <v>SE-000280076</v>
      </c>
      <c r="D7177" s="1">
        <v>45932.91510416667</v>
      </c>
      <c r="E7177" s="2">
        <v>1</v>
      </c>
      <c r="F7177" s="2">
        <v>1</v>
      </c>
      <c r="G7177" s="2">
        <v>1</v>
      </c>
      <c r="H7177" s="1">
        <v>45932.915370370371</v>
      </c>
      <c r="I7177" s="2">
        <v>1</v>
      </c>
      <c r="J7177" s="1">
        <v>45930.377025462964</v>
      </c>
    </row>
    <row r="7178" spans="1:10" x14ac:dyDescent="0.2">
      <c r="A7178" s="4" t="s">
        <v>1</v>
      </c>
      <c r="B7178" s="3" t="str">
        <f>HYPERLINK("https://otsuka-europe-crm.veevavault.com/ui/#object/approved_document__v/V5OZ025E82TP0C5", "ENFERMERÍA - Guía de Manejo Psicoterapéutico")</f>
        <v>ENFERMERÍA - Guía de Manejo Psicoterapéutico</v>
      </c>
      <c r="C7178" s="3" t="str">
        <f>HYPERLINK("https://otsuka-europe-crm.veevavault.com/ui/#object/sent_email__v/VBLZ025E82GWSO6", "SE-000280077")</f>
        <v>SE-000280077</v>
      </c>
      <c r="D7178" s="1">
        <v>45930.410416666666</v>
      </c>
      <c r="E7178" s="2">
        <v>1</v>
      </c>
      <c r="F7178" s="2">
        <v>1</v>
      </c>
      <c r="G7178" s="2">
        <v>0</v>
      </c>
      <c r="H7178" s="1" t="s">
        <v>0</v>
      </c>
      <c r="I7178" s="2">
        <v>0</v>
      </c>
      <c r="J7178" s="1">
        <v>45930.377233796295</v>
      </c>
    </row>
    <row r="7179" spans="1:10" x14ac:dyDescent="0.2">
      <c r="A7179" s="4" t="s">
        <v>1</v>
      </c>
      <c r="B7179" s="3" t="str">
        <f>HYPERLINK("https://otsuka-europe-crm.veevavault.com/ui/#object/approved_document__v/V5OZ025E82TP0C5", "ENFERMERÍA - Guía de Manejo Psicoterapéutico")</f>
        <v>ENFERMERÍA - Guía de Manejo Psicoterapéutico</v>
      </c>
      <c r="C7179" s="3" t="str">
        <f>HYPERLINK("https://otsuka-europe-crm.veevavault.com/ui/#object/sent_email__v/VBLZ025E82GWSO7", "SE-000280078")</f>
        <v>SE-000280078</v>
      </c>
      <c r="D7179" s="1">
        <v>45946.248761574076</v>
      </c>
      <c r="E7179" s="2">
        <v>1</v>
      </c>
      <c r="F7179" s="2">
        <v>3</v>
      </c>
      <c r="G7179" s="2">
        <v>0</v>
      </c>
      <c r="H7179" s="1" t="s">
        <v>0</v>
      </c>
      <c r="I7179" s="2">
        <v>0</v>
      </c>
      <c r="J7179" s="1">
        <v>45930.377199074072</v>
      </c>
    </row>
    <row r="7180" spans="1:10" x14ac:dyDescent="0.2">
      <c r="A7180" s="4" t="s">
        <v>1</v>
      </c>
      <c r="B7180" s="3" t="str">
        <f>HYPERLINK("https://otsuka-europe-crm.veevavault.com/ui/#object/approved_document__v/V5OZ025E82TP0C5", "ENFERMERÍA - Guía de Manejo Psicoterapéutico")</f>
        <v>ENFERMERÍA - Guía de Manejo Psicoterapéutico</v>
      </c>
      <c r="C7180" s="3" t="str">
        <f>HYPERLINK("https://otsuka-europe-crm.veevavault.com/ui/#object/sent_email__v/VBLZ025E82GWSO8", "SE-000280079")</f>
        <v>SE-000280079</v>
      </c>
      <c r="D7180" s="1">
        <v>45930.982002314813</v>
      </c>
      <c r="E7180" s="2">
        <v>1</v>
      </c>
      <c r="F7180" s="2">
        <v>2</v>
      </c>
      <c r="G7180" s="2">
        <v>0</v>
      </c>
      <c r="H7180" s="1" t="s">
        <v>0</v>
      </c>
      <c r="I7180" s="2">
        <v>0</v>
      </c>
      <c r="J7180" s="1">
        <v>45930.377164351848</v>
      </c>
    </row>
    <row r="7181" spans="1:10" x14ac:dyDescent="0.2">
      <c r="A7181" s="4" t="s">
        <v>1</v>
      </c>
      <c r="B7181" s="3" t="str">
        <f>HYPERLINK("https://otsuka-europe-crm.veevavault.com/ui/#object/approved_document__v/V5OZ025E82TP0C5", "ENFERMERÍA - Guía de Manejo Psicoterapéutico")</f>
        <v>ENFERMERÍA - Guía de Manejo Psicoterapéutico</v>
      </c>
      <c r="C7181" s="3" t="str">
        <f>HYPERLINK("https://otsuka-europe-crm.veevavault.com/ui/#object/sent_email__v/VBLZ025E82GWSO9", "SE-000280080")</f>
        <v>SE-000280080</v>
      </c>
      <c r="D7181" s="1" t="s">
        <v>0</v>
      </c>
      <c r="E7181" s="2">
        <v>0</v>
      </c>
      <c r="F7181" s="2">
        <v>0</v>
      </c>
      <c r="G7181" s="2">
        <v>0</v>
      </c>
      <c r="H7181" s="1" t="s">
        <v>0</v>
      </c>
      <c r="I7181" s="2">
        <v>0</v>
      </c>
      <c r="J7181" s="1">
        <v>45930.377002314817</v>
      </c>
    </row>
    <row r="7182" spans="1:10" x14ac:dyDescent="0.2">
      <c r="A7182" s="4" t="s">
        <v>1</v>
      </c>
      <c r="B7182" s="3" t="str">
        <f>HYPERLINK("https://otsuka-europe-crm.veevavault.com/ui/#object/approved_document__v/V5OZ025E82TP0C5", "ENFERMERÍA - Guía de Manejo Psicoterapéutico")</f>
        <v>ENFERMERÍA - Guía de Manejo Psicoterapéutico</v>
      </c>
      <c r="C7182" s="3" t="str">
        <f>HYPERLINK("https://otsuka-europe-crm.veevavault.com/ui/#object/sent_email__v/VBLZ025E82GWSOA", "SE-000280081")</f>
        <v>SE-000280081</v>
      </c>
      <c r="D7182" s="1" t="s">
        <v>0</v>
      </c>
      <c r="E7182" s="2">
        <v>0</v>
      </c>
      <c r="F7182" s="2">
        <v>0</v>
      </c>
      <c r="G7182" s="2">
        <v>0</v>
      </c>
      <c r="H7182" s="1" t="s">
        <v>0</v>
      </c>
      <c r="I7182" s="2">
        <v>0</v>
      </c>
      <c r="J7182" s="1">
        <v>45930.377199074072</v>
      </c>
    </row>
    <row r="7183" spans="1:10" x14ac:dyDescent="0.2">
      <c r="A7183" s="4" t="s">
        <v>1</v>
      </c>
      <c r="B7183" s="3" t="str">
        <f>HYPERLINK("https://otsuka-europe-crm.veevavault.com/ui/#object/approved_document__v/V5OZ025E82TP0C5", "ENFERMERÍA - Guía de Manejo Psicoterapéutico")</f>
        <v>ENFERMERÍA - Guía de Manejo Psicoterapéutico</v>
      </c>
      <c r="C7183" s="3" t="str">
        <f>HYPERLINK("https://otsuka-europe-crm.veevavault.com/ui/#object/sent_email__v/VBLZ025E82GWSOB", "SE-000280082")</f>
        <v>SE-000280082</v>
      </c>
      <c r="D7183" s="1">
        <v>45933.33090277778</v>
      </c>
      <c r="E7183" s="2">
        <v>1</v>
      </c>
      <c r="F7183" s="2">
        <v>3</v>
      </c>
      <c r="G7183" s="2">
        <v>1</v>
      </c>
      <c r="H7183" s="1">
        <v>45930.396898148145</v>
      </c>
      <c r="I7183" s="2">
        <v>1</v>
      </c>
      <c r="J7183" s="1">
        <v>45930.37699074074</v>
      </c>
    </row>
    <row r="7184" spans="1:10" x14ac:dyDescent="0.2">
      <c r="A7184" s="4" t="s">
        <v>1</v>
      </c>
      <c r="B7184" s="3" t="str">
        <f>HYPERLINK("https://otsuka-europe-crm.veevavault.com/ui/#object/approved_document__v/V5OZ025E82TP0C5", "ENFERMERÍA - Guía de Manejo Psicoterapéutico")</f>
        <v>ENFERMERÍA - Guía de Manejo Psicoterapéutico</v>
      </c>
      <c r="C7184" s="3" t="str">
        <f>HYPERLINK("https://otsuka-europe-crm.veevavault.com/ui/#object/sent_email__v/VBLZ025E82GWSOC", "SE-000280083")</f>
        <v>SE-000280083</v>
      </c>
      <c r="D7184" s="1" t="s">
        <v>0</v>
      </c>
      <c r="E7184" s="2">
        <v>0</v>
      </c>
      <c r="F7184" s="2">
        <v>0</v>
      </c>
      <c r="G7184" s="2">
        <v>0</v>
      </c>
      <c r="H7184" s="1" t="s">
        <v>0</v>
      </c>
      <c r="I7184" s="2">
        <v>0</v>
      </c>
      <c r="J7184" s="1">
        <v>45930.377083333333</v>
      </c>
    </row>
    <row r="7185" spans="1:10" x14ac:dyDescent="0.2">
      <c r="A7185" s="4" t="s">
        <v>1</v>
      </c>
      <c r="B7185" s="3" t="str">
        <f>HYPERLINK("https://otsuka-europe-crm.veevavault.com/ui/#object/approved_document__v/V5OZ025E82TP0C5", "ENFERMERÍA - Guía de Manejo Psicoterapéutico")</f>
        <v>ENFERMERÍA - Guía de Manejo Psicoterapéutico</v>
      </c>
      <c r="C7185" s="3" t="str">
        <f>HYPERLINK("https://otsuka-europe-crm.veevavault.com/ui/#object/sent_email__v/VBLZ025E82GWSOD", "SE-000280084")</f>
        <v>SE-000280084</v>
      </c>
      <c r="D7185" s="1">
        <v>45963.758437500001</v>
      </c>
      <c r="E7185" s="2">
        <v>1</v>
      </c>
      <c r="F7185" s="2">
        <v>4</v>
      </c>
      <c r="G7185" s="2">
        <v>1</v>
      </c>
      <c r="H7185" s="1">
        <v>45930.892245370371</v>
      </c>
      <c r="I7185" s="2">
        <v>2</v>
      </c>
      <c r="J7185" s="1">
        <v>45930.377233796295</v>
      </c>
    </row>
    <row r="7186" spans="1:10" x14ac:dyDescent="0.2">
      <c r="A7186" s="4" t="s">
        <v>1</v>
      </c>
      <c r="B7186" s="3" t="str">
        <f>HYPERLINK("https://otsuka-europe-crm.veevavault.com/ui/#object/approved_document__v/V5OZ025E82TP0C5", "ENFERMERÍA - Guía de Manejo Psicoterapéutico")</f>
        <v>ENFERMERÍA - Guía de Manejo Psicoterapéutico</v>
      </c>
      <c r="C7186" s="3" t="str">
        <f>HYPERLINK("https://otsuka-europe-crm.veevavault.com/ui/#object/sent_email__v/VBLZ025E82GWSOE", "SE-000280085")</f>
        <v>SE-000280085</v>
      </c>
      <c r="D7186" s="1" t="s">
        <v>0</v>
      </c>
      <c r="E7186" s="2">
        <v>0</v>
      </c>
      <c r="F7186" s="2">
        <v>0</v>
      </c>
      <c r="G7186" s="2">
        <v>0</v>
      </c>
      <c r="H7186" s="1" t="s">
        <v>0</v>
      </c>
      <c r="I7186" s="2">
        <v>0</v>
      </c>
      <c r="J7186" s="1">
        <v>45930.377118055556</v>
      </c>
    </row>
    <row r="7187" spans="1:10" x14ac:dyDescent="0.2">
      <c r="A7187" s="4" t="s">
        <v>1</v>
      </c>
      <c r="B7187" s="3" t="str">
        <f>HYPERLINK("https://otsuka-europe-crm.veevavault.com/ui/#object/approved_document__v/V5OZ025E82TP0C5", "ENFERMERÍA - Guía de Manejo Psicoterapéutico")</f>
        <v>ENFERMERÍA - Guía de Manejo Psicoterapéutico</v>
      </c>
      <c r="C7187" s="3" t="str">
        <f>HYPERLINK("https://otsuka-europe-crm.veevavault.com/ui/#object/sent_email__v/VBLZ025E82GWSOF", "SE-000280086")</f>
        <v>SE-000280086</v>
      </c>
      <c r="D7187" s="1">
        <v>45942.500462962962</v>
      </c>
      <c r="E7187" s="2">
        <v>1</v>
      </c>
      <c r="F7187" s="2">
        <v>3</v>
      </c>
      <c r="G7187" s="2">
        <v>0</v>
      </c>
      <c r="H7187" s="1" t="s">
        <v>0</v>
      </c>
      <c r="I7187" s="2">
        <v>0</v>
      </c>
      <c r="J7187" s="1">
        <v>45930.377106481479</v>
      </c>
    </row>
    <row r="7188" spans="1:10" x14ac:dyDescent="0.2">
      <c r="A7188" s="4" t="s">
        <v>1</v>
      </c>
      <c r="B7188" s="3" t="str">
        <f>HYPERLINK("https://otsuka-europe-crm.veevavault.com/ui/#object/approved_document__v/V5OZ025E82TP0C5", "ENFERMERÍA - Guía de Manejo Psicoterapéutico")</f>
        <v>ENFERMERÍA - Guía de Manejo Psicoterapéutico</v>
      </c>
      <c r="C7188" s="3" t="str">
        <f>HYPERLINK("https://otsuka-europe-crm.veevavault.com/ui/#object/sent_email__v/VBLZ025E82GWSOG", "SE-000280087")</f>
        <v>SE-000280087</v>
      </c>
      <c r="D7188" s="1">
        <v>46003.430462962962</v>
      </c>
      <c r="E7188" s="2">
        <v>1</v>
      </c>
      <c r="F7188" s="2">
        <v>4</v>
      </c>
      <c r="G7188" s="2">
        <v>0</v>
      </c>
      <c r="H7188" s="1" t="s">
        <v>0</v>
      </c>
      <c r="I7188" s="2">
        <v>0</v>
      </c>
      <c r="J7188" s="1">
        <v>45930.377222222225</v>
      </c>
    </row>
    <row r="7189" spans="1:10" x14ac:dyDescent="0.2">
      <c r="A7189" s="4" t="s">
        <v>1</v>
      </c>
      <c r="B7189" s="3" t="str">
        <f>HYPERLINK("https://otsuka-europe-crm.veevavault.com/ui/#object/approved_document__v/V5OZ025E82TP0C5", "ENFERMERÍA - Guía de Manejo Psicoterapéutico")</f>
        <v>ENFERMERÍA - Guía de Manejo Psicoterapéutico</v>
      </c>
      <c r="C7189" s="3" t="str">
        <f>HYPERLINK("https://otsuka-europe-crm.veevavault.com/ui/#object/sent_email__v/VBLZ025E82GWSOH", "SE-000280088")</f>
        <v>SE-000280088</v>
      </c>
      <c r="D7189" s="1" t="s">
        <v>0</v>
      </c>
      <c r="E7189" s="2">
        <v>0</v>
      </c>
      <c r="F7189" s="2">
        <v>0</v>
      </c>
      <c r="G7189" s="2">
        <v>0</v>
      </c>
      <c r="H7189" s="1" t="s">
        <v>0</v>
      </c>
      <c r="I7189" s="2">
        <v>0</v>
      </c>
      <c r="J7189" s="1">
        <v>45930.377175925925</v>
      </c>
    </row>
    <row r="7190" spans="1:10" x14ac:dyDescent="0.2">
      <c r="A7190" s="4" t="s">
        <v>1</v>
      </c>
      <c r="B7190" s="3" t="str">
        <f>HYPERLINK("https://otsuka-europe-crm.veevavault.com/ui/#object/approved_document__v/V5OZ025E82TP0C5", "ENFERMERÍA - Guía de Manejo Psicoterapéutico")</f>
        <v>ENFERMERÍA - Guía de Manejo Psicoterapéutico</v>
      </c>
      <c r="C7190" s="3" t="str">
        <f>HYPERLINK("https://otsuka-europe-crm.veevavault.com/ui/#object/sent_email__v/VBLZ025E82GWSOI", "SE-000280089")</f>
        <v>SE-000280089</v>
      </c>
      <c r="D7190" s="1">
        <v>45930.387766203705</v>
      </c>
      <c r="E7190" s="2">
        <v>1</v>
      </c>
      <c r="F7190" s="2">
        <v>1</v>
      </c>
      <c r="G7190" s="2">
        <v>0</v>
      </c>
      <c r="H7190" s="1" t="s">
        <v>0</v>
      </c>
      <c r="I7190" s="2">
        <v>0</v>
      </c>
      <c r="J7190" s="1">
        <v>45930.377256944441</v>
      </c>
    </row>
    <row r="7191" spans="1:10" x14ac:dyDescent="0.2">
      <c r="A7191" s="4" t="s">
        <v>1</v>
      </c>
      <c r="B7191" s="3" t="str">
        <f>HYPERLINK("https://otsuka-europe-crm.veevavault.com/ui/#object/approved_document__v/V5OZ025E82TP0C5", "ENFERMERÍA - Guía de Manejo Psicoterapéutico")</f>
        <v>ENFERMERÍA - Guía de Manejo Psicoterapéutico</v>
      </c>
      <c r="C7191" s="3" t="str">
        <f>HYPERLINK("https://otsuka-europe-crm.veevavault.com/ui/#object/sent_email__v/VBLZ025E82GWSOJ", "SE-000280090")</f>
        <v>SE-000280090</v>
      </c>
      <c r="D7191" s="1" t="s">
        <v>0</v>
      </c>
      <c r="E7191" s="2">
        <v>0</v>
      </c>
      <c r="F7191" s="2">
        <v>0</v>
      </c>
      <c r="G7191" s="2">
        <v>0</v>
      </c>
      <c r="H7191" s="1" t="s">
        <v>0</v>
      </c>
      <c r="I7191" s="2">
        <v>0</v>
      </c>
      <c r="J7191" s="1">
        <v>45930.377210648148</v>
      </c>
    </row>
    <row r="7192" spans="1:10" x14ac:dyDescent="0.2">
      <c r="A7192" s="4" t="s">
        <v>1</v>
      </c>
      <c r="B7192" s="3" t="str">
        <f>HYPERLINK("https://otsuka-europe-crm.veevavault.com/ui/#object/approved_document__v/V5OZ025E82TP0C5", "ENFERMERÍA - Guía de Manejo Psicoterapéutico")</f>
        <v>ENFERMERÍA - Guía de Manejo Psicoterapéutico</v>
      </c>
      <c r="C7192" s="3" t="str">
        <f>HYPERLINK("https://otsuka-europe-crm.veevavault.com/ui/#object/sent_email__v/VBLZ025E82GWSOK", "SE-000280091")</f>
        <v>SE-000280091</v>
      </c>
      <c r="D7192" s="1">
        <v>45930.938946759263</v>
      </c>
      <c r="E7192" s="2">
        <v>1</v>
      </c>
      <c r="F7192" s="2">
        <v>1</v>
      </c>
      <c r="G7192" s="2">
        <v>0</v>
      </c>
      <c r="H7192" s="1" t="s">
        <v>0</v>
      </c>
      <c r="I7192" s="2">
        <v>0</v>
      </c>
      <c r="J7192" s="1">
        <v>45930.377060185187</v>
      </c>
    </row>
    <row r="7193" spans="1:10" x14ac:dyDescent="0.2">
      <c r="A7193" s="4" t="s">
        <v>1</v>
      </c>
      <c r="B7193" s="3" t="str">
        <f>HYPERLINK("https://otsuka-europe-crm.veevavault.com/ui/#object/approved_document__v/V5OZ025E82TP0C5", "ENFERMERÍA - Guía de Manejo Psicoterapéutico")</f>
        <v>ENFERMERÍA - Guía de Manejo Psicoterapéutico</v>
      </c>
      <c r="C7193" s="3" t="str">
        <f>HYPERLINK("https://otsuka-europe-crm.veevavault.com/ui/#object/sent_email__v/VBLZ025E82GWSOL", "SE-000280092")</f>
        <v>SE-000280092</v>
      </c>
      <c r="D7193" s="1">
        <v>45976.490995370368</v>
      </c>
      <c r="E7193" s="2">
        <v>1</v>
      </c>
      <c r="F7193" s="2">
        <v>4</v>
      </c>
      <c r="G7193" s="2">
        <v>1</v>
      </c>
      <c r="H7193" s="1">
        <v>45930.637037037035</v>
      </c>
      <c r="I7193" s="2">
        <v>2</v>
      </c>
      <c r="J7193" s="1">
        <v>45930.377129629633</v>
      </c>
    </row>
    <row r="7194" spans="1:10" x14ac:dyDescent="0.2">
      <c r="A7194" s="4" t="s">
        <v>1</v>
      </c>
      <c r="B7194" s="3" t="str">
        <f>HYPERLINK("https://otsuka-europe-crm.veevavault.com/ui/#object/approved_document__v/V5OZ025E82TP0C5", "ENFERMERÍA - Guía de Manejo Psicoterapéutico")</f>
        <v>ENFERMERÍA - Guía de Manejo Psicoterapéutico</v>
      </c>
      <c r="C7194" s="3" t="str">
        <f>HYPERLINK("https://otsuka-europe-crm.veevavault.com/ui/#object/sent_email__v/VBLZ025E82GWSOM", "SE-000280093")</f>
        <v>SE-000280093</v>
      </c>
      <c r="D7194" s="1">
        <v>45930.488935185182</v>
      </c>
      <c r="E7194" s="2">
        <v>1</v>
      </c>
      <c r="F7194" s="2">
        <v>1</v>
      </c>
      <c r="G7194" s="2">
        <v>1</v>
      </c>
      <c r="H7194" s="1">
        <v>45930.954652777778</v>
      </c>
      <c r="I7194" s="2">
        <v>3</v>
      </c>
      <c r="J7194" s="1">
        <v>45930.377106481479</v>
      </c>
    </row>
    <row r="7195" spans="1:10" x14ac:dyDescent="0.2">
      <c r="A7195" s="4" t="s">
        <v>1</v>
      </c>
      <c r="B7195" s="3" t="str">
        <f>HYPERLINK("https://otsuka-europe-crm.veevavault.com/ui/#object/approved_document__v/V5OZ025E82TP0C5", "ENFERMERÍA - Guía de Manejo Psicoterapéutico")</f>
        <v>ENFERMERÍA - Guía de Manejo Psicoterapéutico</v>
      </c>
      <c r="C7195" s="3" t="str">
        <f>HYPERLINK("https://otsuka-europe-crm.veevavault.com/ui/#object/sent_email__v/VBLZ025E82GWSON", "SE-000280094")</f>
        <v>SE-000280094</v>
      </c>
      <c r="D7195" s="1">
        <v>45945.984583333331</v>
      </c>
      <c r="E7195" s="2">
        <v>1</v>
      </c>
      <c r="F7195" s="2">
        <v>3</v>
      </c>
      <c r="G7195" s="2">
        <v>0</v>
      </c>
      <c r="H7195" s="1" t="s">
        <v>0</v>
      </c>
      <c r="I7195" s="2">
        <v>0</v>
      </c>
      <c r="J7195" s="1">
        <v>45930.377129629633</v>
      </c>
    </row>
    <row r="7196" spans="1:10" x14ac:dyDescent="0.2">
      <c r="A7196" s="4" t="s">
        <v>1</v>
      </c>
      <c r="B7196" s="3" t="str">
        <f>HYPERLINK("https://otsuka-europe-crm.veevavault.com/ui/#object/approved_document__v/V5OZ025E82TP0C5", "ENFERMERÍA - Guía de Manejo Psicoterapéutico")</f>
        <v>ENFERMERÍA - Guía de Manejo Psicoterapéutico</v>
      </c>
      <c r="C7196" s="3" t="str">
        <f>HYPERLINK("https://otsuka-europe-crm.veevavault.com/ui/#object/sent_email__v/VBLZ025E82GWSOO", "SE-000280095")</f>
        <v>SE-000280095</v>
      </c>
      <c r="D7196" s="1" t="s">
        <v>0</v>
      </c>
      <c r="E7196" s="2">
        <v>0</v>
      </c>
      <c r="F7196" s="2">
        <v>0</v>
      </c>
      <c r="G7196" s="2">
        <v>0</v>
      </c>
      <c r="H7196" s="1" t="s">
        <v>0</v>
      </c>
      <c r="I7196" s="2">
        <v>0</v>
      </c>
      <c r="J7196" s="1">
        <v>45930.377222222225</v>
      </c>
    </row>
    <row r="7197" spans="1:10" x14ac:dyDescent="0.2">
      <c r="A7197" s="4" t="s">
        <v>1</v>
      </c>
      <c r="B7197" s="3" t="str">
        <f>HYPERLINK("https://otsuka-europe-crm.veevavault.com/ui/#object/approved_document__v/V5OZ025E82TP0C5", "ENFERMERÍA - Guía de Manejo Psicoterapéutico")</f>
        <v>ENFERMERÍA - Guía de Manejo Psicoterapéutico</v>
      </c>
      <c r="C7197" s="3" t="str">
        <f>HYPERLINK("https://otsuka-europe-crm.veevavault.com/ui/#object/sent_email__v/VBLZ025E82GWSOP", "SE-000280096")</f>
        <v>SE-000280096</v>
      </c>
      <c r="D7197" s="1">
        <v>45930.402430555558</v>
      </c>
      <c r="E7197" s="2">
        <v>1</v>
      </c>
      <c r="F7197" s="2">
        <v>1</v>
      </c>
      <c r="G7197" s="2">
        <v>0</v>
      </c>
      <c r="H7197" s="1" t="s">
        <v>0</v>
      </c>
      <c r="I7197" s="2">
        <v>0</v>
      </c>
      <c r="J7197" s="1">
        <v>45930.377256944441</v>
      </c>
    </row>
    <row r="7198" spans="1:10" x14ac:dyDescent="0.2">
      <c r="A7198" s="4" t="s">
        <v>1</v>
      </c>
      <c r="B7198" s="3" t="str">
        <f>HYPERLINK("https://otsuka-europe-crm.veevavault.com/ui/#object/approved_document__v/V5OZ025E82TP0C5", "ENFERMERÍA - Guía de Manejo Psicoterapéutico")</f>
        <v>ENFERMERÍA - Guía de Manejo Psicoterapéutico</v>
      </c>
      <c r="C7198" s="3" t="str">
        <f>HYPERLINK("https://otsuka-europe-crm.veevavault.com/ui/#object/sent_email__v/VBLZ025E82GWSOQ", "SE-000280097")</f>
        <v>SE-000280097</v>
      </c>
      <c r="D7198" s="1">
        <v>45931.3590625</v>
      </c>
      <c r="E7198" s="2">
        <v>1</v>
      </c>
      <c r="F7198" s="2">
        <v>1</v>
      </c>
      <c r="G7198" s="2">
        <v>0</v>
      </c>
      <c r="H7198" s="1" t="s">
        <v>0</v>
      </c>
      <c r="I7198" s="2">
        <v>0</v>
      </c>
      <c r="J7198" s="1">
        <v>45930.377129629633</v>
      </c>
    </row>
    <row r="7199" spans="1:10" x14ac:dyDescent="0.2">
      <c r="A7199" s="4" t="s">
        <v>1</v>
      </c>
      <c r="B7199" s="3" t="str">
        <f>HYPERLINK("https://otsuka-europe-crm.veevavault.com/ui/#object/approved_document__v/V5OZ025E82TP0C5", "ENFERMERÍA - Guía de Manejo Psicoterapéutico")</f>
        <v>ENFERMERÍA - Guía de Manejo Psicoterapéutico</v>
      </c>
      <c r="C7199" s="3" t="str">
        <f>HYPERLINK("https://otsuka-europe-crm.veevavault.com/ui/#object/sent_email__v/VBLZ025E82GWSOR", "SE-000280098")</f>
        <v>SE-000280098</v>
      </c>
      <c r="D7199" s="1" t="s">
        <v>0</v>
      </c>
      <c r="E7199" s="2">
        <v>0</v>
      </c>
      <c r="F7199" s="2">
        <v>0</v>
      </c>
      <c r="G7199" s="2">
        <v>0</v>
      </c>
      <c r="H7199" s="1" t="s">
        <v>0</v>
      </c>
      <c r="I7199" s="2">
        <v>0</v>
      </c>
      <c r="J7199" s="1">
        <v>45930.377071759256</v>
      </c>
    </row>
    <row r="7200" spans="1:10" x14ac:dyDescent="0.2">
      <c r="A7200" s="4" t="s">
        <v>1</v>
      </c>
      <c r="B7200" s="3" t="str">
        <f>HYPERLINK("https://otsuka-europe-crm.veevavault.com/ui/#object/approved_document__v/V5OZ025E82TP0C5", "ENFERMERÍA - Guía de Manejo Psicoterapéutico")</f>
        <v>ENFERMERÍA - Guía de Manejo Psicoterapéutico</v>
      </c>
      <c r="C7200" s="3" t="str">
        <f>HYPERLINK("https://otsuka-europe-crm.veevavault.com/ui/#object/sent_email__v/VBLZ025E82GWSOS", "SE-000280099")</f>
        <v>SE-000280099</v>
      </c>
      <c r="D7200" s="1" t="s">
        <v>0</v>
      </c>
      <c r="E7200" s="2">
        <v>0</v>
      </c>
      <c r="F7200" s="2">
        <v>0</v>
      </c>
      <c r="G7200" s="2">
        <v>0</v>
      </c>
      <c r="H7200" s="1" t="s">
        <v>0</v>
      </c>
      <c r="I7200" s="2">
        <v>0</v>
      </c>
      <c r="J7200" s="1">
        <v>45930.37709490741</v>
      </c>
    </row>
    <row r="7201" spans="1:10" x14ac:dyDescent="0.2">
      <c r="A7201" s="4" t="s">
        <v>1</v>
      </c>
      <c r="B7201" s="3" t="str">
        <f>HYPERLINK("https://otsuka-europe-crm.veevavault.com/ui/#object/approved_document__v/V5OZ025E82TP0C5", "ENFERMERÍA - Guía de Manejo Psicoterapéutico")</f>
        <v>ENFERMERÍA - Guía de Manejo Psicoterapéutico</v>
      </c>
      <c r="C7201" s="3" t="str">
        <f>HYPERLINK("https://otsuka-europe-crm.veevavault.com/ui/#object/sent_email__v/VBLZ025E82GWSOT", "SE-000280100")</f>
        <v>SE-000280100</v>
      </c>
      <c r="D7201" s="1">
        <v>45978.326122685183</v>
      </c>
      <c r="E7201" s="2">
        <v>1</v>
      </c>
      <c r="F7201" s="2">
        <v>3</v>
      </c>
      <c r="G7201" s="2">
        <v>0</v>
      </c>
      <c r="H7201" s="1" t="s">
        <v>0</v>
      </c>
      <c r="I7201" s="2">
        <v>0</v>
      </c>
      <c r="J7201" s="1">
        <v>45930.377013888887</v>
      </c>
    </row>
    <row r="7202" spans="1:10" x14ac:dyDescent="0.2">
      <c r="A7202" s="4" t="s">
        <v>1</v>
      </c>
      <c r="B7202" s="3" t="str">
        <f>HYPERLINK("https://otsuka-europe-crm.veevavault.com/ui/#object/approved_document__v/V5OZ025E82TP0C5", "ENFERMERÍA - Guía de Manejo Psicoterapéutico")</f>
        <v>ENFERMERÍA - Guía de Manejo Psicoterapéutico</v>
      </c>
      <c r="C7202" s="3" t="str">
        <f>HYPERLINK("https://otsuka-europe-crm.veevavault.com/ui/#object/sent_email__v/VBLZ025E82GWSOU", "SE-000280101")</f>
        <v>SE-000280101</v>
      </c>
      <c r="D7202" s="1">
        <v>45930.654652777775</v>
      </c>
      <c r="E7202" s="2">
        <v>1</v>
      </c>
      <c r="F7202" s="2">
        <v>2</v>
      </c>
      <c r="G7202" s="2">
        <v>1</v>
      </c>
      <c r="H7202" s="1">
        <v>45930.641400462962</v>
      </c>
      <c r="I7202" s="2">
        <v>2</v>
      </c>
      <c r="J7202" s="1">
        <v>45930.377222222225</v>
      </c>
    </row>
    <row r="7203" spans="1:10" x14ac:dyDescent="0.2">
      <c r="A7203" s="4" t="s">
        <v>1</v>
      </c>
      <c r="B7203" s="3" t="str">
        <f>HYPERLINK("https://otsuka-europe-crm.veevavault.com/ui/#object/approved_document__v/V5OZ025E82TP0C5", "ENFERMERÍA - Guía de Manejo Psicoterapéutico")</f>
        <v>ENFERMERÍA - Guía de Manejo Psicoterapéutico</v>
      </c>
      <c r="C7203" s="3" t="str">
        <f>HYPERLINK("https://otsuka-europe-crm.veevavault.com/ui/#object/sent_email__v/VBLZ025E82GWSOV", "SE-000280102")</f>
        <v>SE-000280102</v>
      </c>
      <c r="D7203" s="1" t="s">
        <v>0</v>
      </c>
      <c r="E7203" s="2">
        <v>0</v>
      </c>
      <c r="F7203" s="2">
        <v>0</v>
      </c>
      <c r="G7203" s="2">
        <v>0</v>
      </c>
      <c r="H7203" s="1" t="s">
        <v>0</v>
      </c>
      <c r="I7203" s="2">
        <v>0</v>
      </c>
      <c r="J7203" s="1">
        <v>45930.377256944441</v>
      </c>
    </row>
    <row r="7204" spans="1:10" x14ac:dyDescent="0.2">
      <c r="A7204" s="4" t="s">
        <v>1</v>
      </c>
      <c r="B7204" s="3" t="str">
        <f>HYPERLINK("https://otsuka-europe-crm.veevavault.com/ui/#object/approved_document__v/V5OZ025E82TP0C5", "ENFERMERÍA - Guía de Manejo Psicoterapéutico")</f>
        <v>ENFERMERÍA - Guía de Manejo Psicoterapéutico</v>
      </c>
      <c r="C7204" s="3" t="str">
        <f>HYPERLINK("https://otsuka-europe-crm.veevavault.com/ui/#object/sent_email__v/VBLZ025E82GWSOW", "SE-000280103")</f>
        <v>SE-000280103</v>
      </c>
      <c r="D7204" s="1" t="s">
        <v>0</v>
      </c>
      <c r="E7204" s="2">
        <v>0</v>
      </c>
      <c r="F7204" s="2">
        <v>0</v>
      </c>
      <c r="G7204" s="2">
        <v>0</v>
      </c>
      <c r="H7204" s="1" t="s">
        <v>0</v>
      </c>
      <c r="I7204" s="2">
        <v>0</v>
      </c>
      <c r="J7204" s="1">
        <v>45930.377152777779</v>
      </c>
    </row>
    <row r="7205" spans="1:10" x14ac:dyDescent="0.2">
      <c r="A7205" s="4" t="s">
        <v>1</v>
      </c>
      <c r="B7205" s="3" t="str">
        <f>HYPERLINK("https://otsuka-europe-crm.veevavault.com/ui/#object/approved_document__v/V5OZ025E82TP0C5", "ENFERMERÍA - Guía de Manejo Psicoterapéutico")</f>
        <v>ENFERMERÍA - Guía de Manejo Psicoterapéutico</v>
      </c>
      <c r="C7205" s="3" t="str">
        <f>HYPERLINK("https://otsuka-europe-crm.veevavault.com/ui/#object/sent_email__v/VBLZ025E82GWSOX", "SE-000280104")</f>
        <v>SE-000280104</v>
      </c>
      <c r="D7205" s="1">
        <v>45946.811423611114</v>
      </c>
      <c r="E7205" s="2">
        <v>1</v>
      </c>
      <c r="F7205" s="2">
        <v>1</v>
      </c>
      <c r="G7205" s="2">
        <v>0</v>
      </c>
      <c r="H7205" s="1" t="s">
        <v>0</v>
      </c>
      <c r="I7205" s="2">
        <v>0</v>
      </c>
      <c r="J7205" s="1">
        <v>45930.377210648148</v>
      </c>
    </row>
    <row r="7206" spans="1:10" x14ac:dyDescent="0.2">
      <c r="A7206" s="4" t="s">
        <v>1</v>
      </c>
      <c r="B7206" s="3" t="str">
        <f>HYPERLINK("https://otsuka-europe-crm.veevavault.com/ui/#object/approved_document__v/V5OZ025E82TP0C5", "ENFERMERÍA - Guía de Manejo Psicoterapéutico")</f>
        <v>ENFERMERÍA - Guía de Manejo Psicoterapéutico</v>
      </c>
      <c r="C7206" s="3" t="str">
        <f>HYPERLINK("https://otsuka-europe-crm.veevavault.com/ui/#object/sent_email__v/VBLZ025E82GWSOY", "SE-000280105")</f>
        <v>SE-000280105</v>
      </c>
      <c r="D7206" s="1">
        <v>46000.401863425926</v>
      </c>
      <c r="E7206" s="2">
        <v>1</v>
      </c>
      <c r="F7206" s="2">
        <v>1</v>
      </c>
      <c r="G7206" s="2">
        <v>0</v>
      </c>
      <c r="H7206" s="1" t="s">
        <v>0</v>
      </c>
      <c r="I7206" s="2">
        <v>0</v>
      </c>
      <c r="J7206" s="1">
        <v>45930.377256944441</v>
      </c>
    </row>
    <row r="7207" spans="1:10" x14ac:dyDescent="0.2">
      <c r="A7207" s="4" t="s">
        <v>1</v>
      </c>
      <c r="B7207" s="3" t="str">
        <f>HYPERLINK("https://otsuka-europe-crm.veevavault.com/ui/#object/approved_document__v/V5OZ025E82TP0C5", "ENFERMERÍA - Guía de Manejo Psicoterapéutico")</f>
        <v>ENFERMERÍA - Guía de Manejo Psicoterapéutico</v>
      </c>
      <c r="C7207" s="3" t="str">
        <f>HYPERLINK("https://otsuka-europe-crm.veevavault.com/ui/#object/sent_email__v/VBLZ025E82HCNQ2", "SE-000283893")</f>
        <v>SE-000283893</v>
      </c>
      <c r="D7207" s="1">
        <v>45942.96298611111</v>
      </c>
      <c r="E7207" s="2">
        <v>1</v>
      </c>
      <c r="F7207" s="2">
        <v>1</v>
      </c>
      <c r="G7207" s="2">
        <v>0</v>
      </c>
      <c r="H7207" s="1" t="s">
        <v>0</v>
      </c>
      <c r="I7207" s="2">
        <v>0</v>
      </c>
      <c r="J7207" s="1">
        <v>45937.350347222222</v>
      </c>
    </row>
    <row r="7208" spans="1:10" x14ac:dyDescent="0.2">
      <c r="A7208" s="4" t="s">
        <v>1</v>
      </c>
      <c r="B7208" s="3" t="str">
        <f>HYPERLINK("https://otsuka-europe-crm.veevavault.com/ui/#object/approved_document__v/V5OZ025E82TP0C5", "ENFERMERÍA - Guía de Manejo Psicoterapéutico")</f>
        <v>ENFERMERÍA - Guía de Manejo Psicoterapéutico</v>
      </c>
      <c r="C7208" s="3" t="str">
        <f>HYPERLINK("https://otsuka-europe-crm.veevavault.com/ui/#object/sent_email__v/VBLZ025E82HCNQ3", "SE-000283894")</f>
        <v>SE-000283894</v>
      </c>
      <c r="D7208" s="1">
        <v>45938.028287037036</v>
      </c>
      <c r="E7208" s="2">
        <v>1</v>
      </c>
      <c r="F7208" s="2">
        <v>1</v>
      </c>
      <c r="G7208" s="2">
        <v>1</v>
      </c>
      <c r="H7208" s="1">
        <v>45938.028391203705</v>
      </c>
      <c r="I7208" s="2">
        <v>1</v>
      </c>
      <c r="J7208" s="1">
        <v>45937.350358796299</v>
      </c>
    </row>
    <row r="7209" spans="1:10" x14ac:dyDescent="0.2">
      <c r="A7209" s="4" t="s">
        <v>1</v>
      </c>
      <c r="B7209" s="3" t="str">
        <f>HYPERLINK("https://otsuka-europe-crm.veevavault.com/ui/#object/approved_document__v/V5OZ025E82TP0C5", "ENFERMERÍA - Guía de Manejo Psicoterapéutico")</f>
        <v>ENFERMERÍA - Guía de Manejo Psicoterapéutico</v>
      </c>
      <c r="C7209" s="3" t="str">
        <f>HYPERLINK("https://otsuka-europe-crm.veevavault.com/ui/#object/sent_email__v/VBLZ025E82HCNQ4", "SE-000283895")</f>
        <v>SE-000283895</v>
      </c>
      <c r="D7209" s="1" t="s">
        <v>0</v>
      </c>
      <c r="E7209" s="2">
        <v>0</v>
      </c>
      <c r="F7209" s="2">
        <v>0</v>
      </c>
      <c r="G7209" s="2">
        <v>0</v>
      </c>
      <c r="H7209" s="1" t="s">
        <v>0</v>
      </c>
      <c r="I7209" s="2">
        <v>0</v>
      </c>
      <c r="J7209" s="1">
        <v>45937.350358796299</v>
      </c>
    </row>
    <row r="7210" spans="1:10" x14ac:dyDescent="0.2">
      <c r="A7210" s="4" t="s">
        <v>1</v>
      </c>
      <c r="B7210" s="3" t="str">
        <f>HYPERLINK("https://otsuka-europe-crm.veevavault.com/ui/#object/approved_document__v/V5OZ025E82TP0C5", "ENFERMERÍA - Guía de Manejo Psicoterapéutico")</f>
        <v>ENFERMERÍA - Guía de Manejo Psicoterapéutico</v>
      </c>
      <c r="C7210" s="3" t="str">
        <f>HYPERLINK("https://otsuka-europe-crm.veevavault.com/ui/#object/sent_email__v/VBLZ025E82HCNQ5", "SE-000283896")</f>
        <v>SE-000283896</v>
      </c>
      <c r="D7210" s="1" t="s">
        <v>0</v>
      </c>
      <c r="E7210" s="2">
        <v>0</v>
      </c>
      <c r="F7210" s="2">
        <v>0</v>
      </c>
      <c r="G7210" s="2">
        <v>0</v>
      </c>
      <c r="H7210" s="1" t="s">
        <v>0</v>
      </c>
      <c r="I7210" s="2">
        <v>0</v>
      </c>
      <c r="J7210" s="1">
        <v>45937.350381944445</v>
      </c>
    </row>
    <row r="7211" spans="1:10" x14ac:dyDescent="0.2">
      <c r="A7211" s="4" t="s">
        <v>1</v>
      </c>
      <c r="B7211" s="3" t="str">
        <f>HYPERLINK("https://otsuka-europe-crm.veevavault.com/ui/#object/approved_document__v/V5OZ025E82TP0C5", "ENFERMERÍA - Guía de Manejo Psicoterapéutico")</f>
        <v>ENFERMERÍA - Guía de Manejo Psicoterapéutico</v>
      </c>
      <c r="C7211" s="3" t="str">
        <f>HYPERLINK("https://otsuka-europe-crm.veevavault.com/ui/#object/sent_email__v/VBLZ025E82HCNQ6", "SE-000283897")</f>
        <v>SE-000283897</v>
      </c>
      <c r="D7211" s="1">
        <v>45937.387766203705</v>
      </c>
      <c r="E7211" s="2">
        <v>1</v>
      </c>
      <c r="F7211" s="2">
        <v>1</v>
      </c>
      <c r="G7211" s="2">
        <v>1</v>
      </c>
      <c r="H7211" s="1">
        <v>45937.38790509259</v>
      </c>
      <c r="I7211" s="2">
        <v>1</v>
      </c>
      <c r="J7211" s="1">
        <v>45937.350393518522</v>
      </c>
    </row>
    <row r="7212" spans="1:10" x14ac:dyDescent="0.2">
      <c r="A7212" s="4" t="s">
        <v>1</v>
      </c>
      <c r="B7212" s="3" t="str">
        <f>HYPERLINK("https://otsuka-europe-crm.veevavault.com/ui/#object/approved_document__v/V5OZ025E82TP0C5", "ENFERMERÍA - Guía de Manejo Psicoterapéutico")</f>
        <v>ENFERMERÍA - Guía de Manejo Psicoterapéutico</v>
      </c>
      <c r="C7212" s="3" t="str">
        <f>HYPERLINK("https://otsuka-europe-crm.veevavault.com/ui/#object/sent_email__v/VBLZ025E82HCNQ7", "SE-000283898")</f>
        <v>SE-000283898</v>
      </c>
      <c r="D7212" s="1" t="s">
        <v>0</v>
      </c>
      <c r="E7212" s="2">
        <v>0</v>
      </c>
      <c r="F7212" s="2">
        <v>0</v>
      </c>
      <c r="G7212" s="2">
        <v>0</v>
      </c>
      <c r="H7212" s="1" t="s">
        <v>0</v>
      </c>
      <c r="I7212" s="2">
        <v>0</v>
      </c>
      <c r="J7212" s="1">
        <v>45937.350416666668</v>
      </c>
    </row>
    <row r="7213" spans="1:10" x14ac:dyDescent="0.2">
      <c r="A7213" s="4" t="s">
        <v>1</v>
      </c>
      <c r="B7213" s="3" t="str">
        <f>HYPERLINK("https://otsuka-europe-crm.veevavault.com/ui/#object/approved_document__v/V5OZ025E82TP0C5", "ENFERMERÍA - Guía de Manejo Psicoterapéutico")</f>
        <v>ENFERMERÍA - Guía de Manejo Psicoterapéutico</v>
      </c>
      <c r="C7213" s="3" t="str">
        <f>HYPERLINK("https://otsuka-europe-crm.veevavault.com/ui/#object/sent_email__v/VBLZ025E82HCNQ8", "SE-000283899")</f>
        <v>SE-000283899</v>
      </c>
      <c r="D7213" s="1">
        <v>45937.862141203703</v>
      </c>
      <c r="E7213" s="2">
        <v>1</v>
      </c>
      <c r="F7213" s="2">
        <v>1</v>
      </c>
      <c r="G7213" s="2">
        <v>0</v>
      </c>
      <c r="H7213" s="1" t="s">
        <v>0</v>
      </c>
      <c r="I7213" s="2">
        <v>0</v>
      </c>
      <c r="J7213" s="1">
        <v>45937.350416666668</v>
      </c>
    </row>
    <row r="7214" spans="1:10" x14ac:dyDescent="0.2">
      <c r="A7214" s="4" t="s">
        <v>1</v>
      </c>
      <c r="B7214" s="3" t="str">
        <f>HYPERLINK("https://otsuka-europe-crm.veevavault.com/ui/#object/approved_document__v/V5OZ025E82TP0C5", "ENFERMERÍA - Guía de Manejo Psicoterapéutico")</f>
        <v>ENFERMERÍA - Guía de Manejo Psicoterapéutico</v>
      </c>
      <c r="C7214" s="3" t="str">
        <f>HYPERLINK("https://otsuka-europe-crm.veevavault.com/ui/#object/sent_email__v/VBLZ025E82HCNQ9", "SE-000283900")</f>
        <v>SE-000283900</v>
      </c>
      <c r="D7214" s="1">
        <v>45937.457743055558</v>
      </c>
      <c r="E7214" s="2">
        <v>1</v>
      </c>
      <c r="F7214" s="2">
        <v>1</v>
      </c>
      <c r="G7214" s="2">
        <v>0</v>
      </c>
      <c r="H7214" s="1" t="s">
        <v>0</v>
      </c>
      <c r="I7214" s="2">
        <v>0</v>
      </c>
      <c r="J7214" s="1">
        <v>45937.350428240738</v>
      </c>
    </row>
    <row r="7215" spans="1:10" x14ac:dyDescent="0.2">
      <c r="A7215" s="4" t="s">
        <v>1</v>
      </c>
      <c r="B7215" s="3" t="str">
        <f>HYPERLINK("https://otsuka-europe-crm.veevavault.com/ui/#object/approved_document__v/V5OZ025E82TP0C5", "ENFERMERÍA - Guía de Manejo Psicoterapéutico")</f>
        <v>ENFERMERÍA - Guía de Manejo Psicoterapéutico</v>
      </c>
      <c r="C7215" s="3" t="str">
        <f>HYPERLINK("https://otsuka-europe-crm.veevavault.com/ui/#object/sent_email__v/VBLZ025E82HCNQA", "SE-000283901")</f>
        <v>SE-000283901</v>
      </c>
      <c r="D7215" s="1" t="s">
        <v>0</v>
      </c>
      <c r="E7215" s="2">
        <v>0</v>
      </c>
      <c r="F7215" s="2">
        <v>0</v>
      </c>
      <c r="G7215" s="2">
        <v>0</v>
      </c>
      <c r="H7215" s="1" t="s">
        <v>0</v>
      </c>
      <c r="I7215" s="2">
        <v>0</v>
      </c>
      <c r="J7215" s="1">
        <v>45937.350451388891</v>
      </c>
    </row>
    <row r="7216" spans="1:10" x14ac:dyDescent="0.2">
      <c r="A7216" s="4" t="s">
        <v>1</v>
      </c>
      <c r="B7216" s="3" t="str">
        <f>HYPERLINK("https://otsuka-europe-crm.veevavault.com/ui/#object/approved_document__v/V5OZ025E82TP0C5", "ENFERMERÍA - Guía de Manejo Psicoterapéutico")</f>
        <v>ENFERMERÍA - Guía de Manejo Psicoterapéutico</v>
      </c>
      <c r="C7216" s="3" t="str">
        <f>HYPERLINK("https://otsuka-europe-crm.veevavault.com/ui/#object/sent_email__v/VBLZ025E82HCNQB", "SE-000283902")</f>
        <v>SE-000283902</v>
      </c>
      <c r="D7216" s="1" t="s">
        <v>0</v>
      </c>
      <c r="E7216" s="2">
        <v>0</v>
      </c>
      <c r="F7216" s="2">
        <v>0</v>
      </c>
      <c r="G7216" s="2">
        <v>0</v>
      </c>
      <c r="H7216" s="1" t="s">
        <v>0</v>
      </c>
      <c r="I7216" s="2">
        <v>0</v>
      </c>
      <c r="J7216" s="1">
        <v>45937.350451388891</v>
      </c>
    </row>
    <row r="7217" spans="1:10" x14ac:dyDescent="0.2">
      <c r="A7217" s="4" t="s">
        <v>1</v>
      </c>
      <c r="B7217" s="3" t="str">
        <f>HYPERLINK("https://otsuka-europe-crm.veevavault.com/ui/#object/approved_document__v/V5OZ025E82TP0C5", "ENFERMERÍA - Guía de Manejo Psicoterapéutico")</f>
        <v>ENFERMERÍA - Guía de Manejo Psicoterapéutico</v>
      </c>
      <c r="C7217" s="3" t="str">
        <f>HYPERLINK("https://otsuka-europe-crm.veevavault.com/ui/#object/sent_email__v/VBLZ025E82HCNQC", "SE-000283903")</f>
        <v>SE-000283903</v>
      </c>
      <c r="D7217" s="1" t="s">
        <v>0</v>
      </c>
      <c r="E7217" s="2">
        <v>0</v>
      </c>
      <c r="F7217" s="2">
        <v>0</v>
      </c>
      <c r="G7217" s="2">
        <v>0</v>
      </c>
      <c r="H7217" s="1" t="s">
        <v>0</v>
      </c>
      <c r="I7217" s="2">
        <v>0</v>
      </c>
      <c r="J7217" s="1">
        <v>45937.350462962961</v>
      </c>
    </row>
    <row r="7218" spans="1:10" x14ac:dyDescent="0.2">
      <c r="A7218" s="4" t="s">
        <v>1</v>
      </c>
      <c r="B7218" s="3" t="str">
        <f>HYPERLINK("https://otsuka-europe-crm.veevavault.com/ui/#object/approved_document__v/V5OZ025E82TP0C5", "ENFERMERÍA - Guía de Manejo Psicoterapéutico")</f>
        <v>ENFERMERÍA - Guía de Manejo Psicoterapéutico</v>
      </c>
      <c r="C7218" s="3" t="str">
        <f>HYPERLINK("https://otsuka-europe-crm.veevavault.com/ui/#object/sent_email__v/VBLZ025E82HCNQD", "SE-000283904")</f>
        <v>SE-000283904</v>
      </c>
      <c r="D7218" s="1">
        <v>45937.416990740741</v>
      </c>
      <c r="E7218" s="2">
        <v>1</v>
      </c>
      <c r="F7218" s="2">
        <v>1</v>
      </c>
      <c r="G7218" s="2">
        <v>0</v>
      </c>
      <c r="H7218" s="1" t="s">
        <v>0</v>
      </c>
      <c r="I7218" s="2">
        <v>0</v>
      </c>
      <c r="J7218" s="1">
        <v>45937.350474537037</v>
      </c>
    </row>
    <row r="7219" spans="1:10" x14ac:dyDescent="0.2">
      <c r="A7219" s="4" t="s">
        <v>1</v>
      </c>
      <c r="B7219" s="3" t="str">
        <f>HYPERLINK("https://otsuka-europe-crm.veevavault.com/ui/#object/approved_document__v/V5OZ025E82TP0C5", "ENFERMERÍA - Guía de Manejo Psicoterapéutico")</f>
        <v>ENFERMERÍA - Guía de Manejo Psicoterapéutico</v>
      </c>
      <c r="C7219" s="3" t="str">
        <f>HYPERLINK("https://otsuka-europe-crm.veevavault.com/ui/#object/sent_email__v/VBLZ025E82HCNQE", "SE-000283905")</f>
        <v>SE-000283905</v>
      </c>
      <c r="D7219" s="1">
        <v>45937.379675925928</v>
      </c>
      <c r="E7219" s="2">
        <v>1</v>
      </c>
      <c r="F7219" s="2">
        <v>2</v>
      </c>
      <c r="G7219" s="2">
        <v>0</v>
      </c>
      <c r="H7219" s="1" t="s">
        <v>0</v>
      </c>
      <c r="I7219" s="2">
        <v>0</v>
      </c>
      <c r="J7219" s="1">
        <v>45937.350497685184</v>
      </c>
    </row>
    <row r="7220" spans="1:10" x14ac:dyDescent="0.2">
      <c r="A7220" s="4" t="s">
        <v>1</v>
      </c>
      <c r="B7220" s="3" t="str">
        <f>HYPERLINK("https://otsuka-europe-crm.veevavault.com/ui/#object/approved_document__v/V5OZ025E82TP0C5", "ENFERMERÍA - Guía de Manejo Psicoterapéutico")</f>
        <v>ENFERMERÍA - Guía de Manejo Psicoterapéutico</v>
      </c>
      <c r="C7220" s="3" t="str">
        <f>HYPERLINK("https://otsuka-europe-crm.veevavault.com/ui/#object/sent_email__v/VBLZ025E82HCNQF", "SE-000283906")</f>
        <v>SE-000283906</v>
      </c>
      <c r="D7220" s="1" t="s">
        <v>0</v>
      </c>
      <c r="E7220" s="2">
        <v>0</v>
      </c>
      <c r="F7220" s="2">
        <v>0</v>
      </c>
      <c r="G7220" s="2">
        <v>0</v>
      </c>
      <c r="H7220" s="1" t="s">
        <v>0</v>
      </c>
      <c r="I7220" s="2">
        <v>0</v>
      </c>
      <c r="J7220" s="1">
        <v>45937.350497685184</v>
      </c>
    </row>
    <row r="7221" spans="1:10" x14ac:dyDescent="0.2">
      <c r="A7221" s="4" t="s">
        <v>1</v>
      </c>
      <c r="B7221" s="3" t="str">
        <f>HYPERLINK("https://otsuka-europe-crm.veevavault.com/ui/#object/approved_document__v/V5OZ025E82TP0C5", "ENFERMERÍA - Guía de Manejo Psicoterapéutico")</f>
        <v>ENFERMERÍA - Guía de Manejo Psicoterapéutico</v>
      </c>
      <c r="C7221" s="3" t="str">
        <f>HYPERLINK("https://otsuka-europe-crm.veevavault.com/ui/#object/sent_email__v/VBLZ025E82HCNQG", "SE-000283907")</f>
        <v>SE-000283907</v>
      </c>
      <c r="D7221" s="1">
        <v>45937.639953703707</v>
      </c>
      <c r="E7221" s="2">
        <v>1</v>
      </c>
      <c r="F7221" s="2">
        <v>1</v>
      </c>
      <c r="G7221" s="2">
        <v>0</v>
      </c>
      <c r="H7221" s="1" t="s">
        <v>0</v>
      </c>
      <c r="I7221" s="2">
        <v>0</v>
      </c>
      <c r="J7221" s="1">
        <v>45937.350497685184</v>
      </c>
    </row>
    <row r="7222" spans="1:10" x14ac:dyDescent="0.2">
      <c r="A7222" s="4" t="s">
        <v>1</v>
      </c>
      <c r="B7222" s="3" t="str">
        <f>HYPERLINK("https://otsuka-europe-crm.veevavault.com/ui/#object/approved_document__v/V5OZ025E82TP0C5", "ENFERMERÍA - Guía de Manejo Psicoterapéutico")</f>
        <v>ENFERMERÍA - Guía de Manejo Psicoterapéutico</v>
      </c>
      <c r="C7222" s="3" t="str">
        <f>HYPERLINK("https://otsuka-europe-crm.veevavault.com/ui/#object/sent_email__v/VBLZ025E82HCNQH", "SE-000283908")</f>
        <v>SE-000283908</v>
      </c>
      <c r="D7222" s="1" t="s">
        <v>0</v>
      </c>
      <c r="E7222" s="2">
        <v>0</v>
      </c>
      <c r="F7222" s="2">
        <v>0</v>
      </c>
      <c r="G7222" s="2">
        <v>0</v>
      </c>
      <c r="H7222" s="1" t="s">
        <v>0</v>
      </c>
      <c r="I7222" s="2">
        <v>0</v>
      </c>
      <c r="J7222" s="1">
        <v>45937.35052083333</v>
      </c>
    </row>
    <row r="7223" spans="1:10" x14ac:dyDescent="0.2">
      <c r="A7223" s="4" t="s">
        <v>1</v>
      </c>
      <c r="B7223" s="3" t="str">
        <f>HYPERLINK("https://otsuka-europe-crm.veevavault.com/ui/#object/approved_document__v/V5OZ025E82TP0C5", "ENFERMERÍA - Guía de Manejo Psicoterapéutico")</f>
        <v>ENFERMERÍA - Guía de Manejo Psicoterapéutico</v>
      </c>
      <c r="C7223" s="3" t="str">
        <f>HYPERLINK("https://otsuka-europe-crm.veevavault.com/ui/#object/sent_email__v/VBLZ025E82HCNQI", "SE-000283909")</f>
        <v>SE-000283909</v>
      </c>
      <c r="D7223" s="1">
        <v>45937.368437500001</v>
      </c>
      <c r="E7223" s="2">
        <v>1</v>
      </c>
      <c r="F7223" s="2">
        <v>1</v>
      </c>
      <c r="G7223" s="2">
        <v>0</v>
      </c>
      <c r="H7223" s="1" t="s">
        <v>0</v>
      </c>
      <c r="I7223" s="2">
        <v>0</v>
      </c>
      <c r="J7223" s="1">
        <v>45937.35052083333</v>
      </c>
    </row>
    <row r="7224" spans="1:10" x14ac:dyDescent="0.2">
      <c r="A7224" s="4" t="s">
        <v>1</v>
      </c>
      <c r="B7224" s="3" t="str">
        <f>HYPERLINK("https://otsuka-europe-crm.veevavault.com/ui/#object/approved_document__v/V5OZ025E82TP0C5", "ENFERMERÍA - Guía de Manejo Psicoterapéutico")</f>
        <v>ENFERMERÍA - Guía de Manejo Psicoterapéutico</v>
      </c>
      <c r="C7224" s="3" t="str">
        <f>HYPERLINK("https://otsuka-europe-crm.veevavault.com/ui/#object/sent_email__v/VBLZ025E82HCNQJ", "SE-000283910")</f>
        <v>SE-000283910</v>
      </c>
      <c r="D7224" s="1">
        <v>45937.624224537038</v>
      </c>
      <c r="E7224" s="2">
        <v>1</v>
      </c>
      <c r="F7224" s="2">
        <v>1</v>
      </c>
      <c r="G7224" s="2">
        <v>0</v>
      </c>
      <c r="H7224" s="1" t="s">
        <v>0</v>
      </c>
      <c r="I7224" s="2">
        <v>0</v>
      </c>
      <c r="J7224" s="1">
        <v>45937.350532407407</v>
      </c>
    </row>
    <row r="7225" spans="1:10" x14ac:dyDescent="0.2">
      <c r="A7225" s="4" t="s">
        <v>1</v>
      </c>
      <c r="B7225" s="3" t="str">
        <f>HYPERLINK("https://otsuka-europe-crm.veevavault.com/ui/#object/approved_document__v/V5OZ025E82TP0C5", "ENFERMERÍA - Guía de Manejo Psicoterapéutico")</f>
        <v>ENFERMERÍA - Guía de Manejo Psicoterapéutico</v>
      </c>
      <c r="C7225" s="3" t="str">
        <f>HYPERLINK("https://otsuka-europe-crm.veevavault.com/ui/#object/sent_email__v/VBLZ025E82HCNQK", "SE-000283911")</f>
        <v>SE-000283911</v>
      </c>
      <c r="D7225" s="1">
        <v>46059.497175925928</v>
      </c>
      <c r="E7225" s="2">
        <v>1</v>
      </c>
      <c r="F7225" s="2">
        <v>5</v>
      </c>
      <c r="G7225" s="2">
        <v>0</v>
      </c>
      <c r="H7225" s="1" t="s">
        <v>0</v>
      </c>
      <c r="I7225" s="2">
        <v>0</v>
      </c>
      <c r="J7225" s="1">
        <v>45937.350543981483</v>
      </c>
    </row>
    <row r="7226" spans="1:10" x14ac:dyDescent="0.2">
      <c r="A7226" s="4" t="s">
        <v>1</v>
      </c>
      <c r="B7226" s="3" t="str">
        <f>HYPERLINK("https://otsuka-europe-crm.veevavault.com/ui/#object/approved_document__v/V5OZ025E82TP0C5", "ENFERMERÍA - Guía de Manejo Psicoterapéutico")</f>
        <v>ENFERMERÍA - Guía de Manejo Psicoterapéutico</v>
      </c>
      <c r="C7226" s="3" t="str">
        <f>HYPERLINK("https://otsuka-europe-crm.veevavault.com/ui/#object/sent_email__v/VBLZ025E82HCNQL", "SE-000283912")</f>
        <v>SE-000283912</v>
      </c>
      <c r="D7226" s="1">
        <v>45938.679918981485</v>
      </c>
      <c r="E7226" s="2">
        <v>1</v>
      </c>
      <c r="F7226" s="2">
        <v>1</v>
      </c>
      <c r="G7226" s="2">
        <v>0</v>
      </c>
      <c r="H7226" s="1" t="s">
        <v>0</v>
      </c>
      <c r="I7226" s="2">
        <v>0</v>
      </c>
      <c r="J7226" s="1">
        <v>45937.350543981483</v>
      </c>
    </row>
    <row r="7227" spans="1:10" x14ac:dyDescent="0.2">
      <c r="A7227" s="4" t="s">
        <v>1</v>
      </c>
      <c r="B7227" s="3" t="str">
        <f>HYPERLINK("https://otsuka-europe-crm.veevavault.com/ui/#object/approved_document__v/V5OZ025E82TP0C5", "ENFERMERÍA - Guía de Manejo Psicoterapéutico")</f>
        <v>ENFERMERÍA - Guía de Manejo Psicoterapéutico</v>
      </c>
      <c r="C7227" s="3" t="str">
        <f>HYPERLINK("https://otsuka-europe-crm.veevavault.com/ui/#object/sent_email__v/VBLZ025E82HCNQM", "SE-000283913")</f>
        <v>SE-000283913</v>
      </c>
      <c r="D7227" s="1">
        <v>45951.737546296295</v>
      </c>
      <c r="E7227" s="2">
        <v>1</v>
      </c>
      <c r="F7227" s="2">
        <v>2</v>
      </c>
      <c r="G7227" s="2">
        <v>0</v>
      </c>
      <c r="H7227" s="1" t="s">
        <v>0</v>
      </c>
      <c r="I7227" s="2">
        <v>0</v>
      </c>
      <c r="J7227" s="1">
        <v>45937.350555555553</v>
      </c>
    </row>
    <row r="7228" spans="1:10" x14ac:dyDescent="0.2">
      <c r="A7228" s="4" t="s">
        <v>1</v>
      </c>
      <c r="B7228" s="3" t="str">
        <f>HYPERLINK("https://otsuka-europe-crm.veevavault.com/ui/#object/approved_document__v/V5OZ025E82TP0C5", "ENFERMERÍA - Guía de Manejo Psicoterapéutico")</f>
        <v>ENFERMERÍA - Guía de Manejo Psicoterapéutico</v>
      </c>
      <c r="C7228" s="3" t="str">
        <f>HYPERLINK("https://otsuka-europe-crm.veevavault.com/ui/#object/sent_email__v/VBLZ025E82HCNQN", "SE-000283914")</f>
        <v>SE-000283914</v>
      </c>
      <c r="D7228" s="1" t="s">
        <v>0</v>
      </c>
      <c r="E7228" s="2">
        <v>0</v>
      </c>
      <c r="F7228" s="2">
        <v>0</v>
      </c>
      <c r="G7228" s="2">
        <v>0</v>
      </c>
      <c r="H7228" s="1" t="s">
        <v>0</v>
      </c>
      <c r="I7228" s="2">
        <v>0</v>
      </c>
      <c r="J7228" s="1">
        <v>45937.35056712963</v>
      </c>
    </row>
    <row r="7229" spans="1:10" x14ac:dyDescent="0.2">
      <c r="A7229" s="4" t="s">
        <v>1</v>
      </c>
      <c r="B7229" s="3" t="str">
        <f>HYPERLINK("https://otsuka-europe-crm.veevavault.com/ui/#object/approved_document__v/V5OZ025E82TP0C5", "ENFERMERÍA - Guía de Manejo Psicoterapéutico")</f>
        <v>ENFERMERÍA - Guía de Manejo Psicoterapéutico</v>
      </c>
      <c r="C7229" s="3" t="str">
        <f>HYPERLINK("https://otsuka-europe-crm.veevavault.com/ui/#object/sent_email__v/VBLZ025E82HCNQO", "SE-000283915")</f>
        <v>SE-000283915</v>
      </c>
      <c r="D7229" s="1">
        <v>45937.450046296297</v>
      </c>
      <c r="E7229" s="2">
        <v>1</v>
      </c>
      <c r="F7229" s="2">
        <v>1</v>
      </c>
      <c r="G7229" s="2">
        <v>0</v>
      </c>
      <c r="H7229" s="1" t="s">
        <v>0</v>
      </c>
      <c r="I7229" s="2">
        <v>0</v>
      </c>
      <c r="J7229" s="1">
        <v>45937.350578703707</v>
      </c>
    </row>
    <row r="7230" spans="1:10" x14ac:dyDescent="0.2">
      <c r="A7230" s="4" t="s">
        <v>1</v>
      </c>
      <c r="B7230" s="3" t="str">
        <f>HYPERLINK("https://otsuka-europe-crm.veevavault.com/ui/#object/approved_document__v/V5OZ025E82TP0C5", "ENFERMERÍA - Guía de Manejo Psicoterapéutico")</f>
        <v>ENFERMERÍA - Guía de Manejo Psicoterapéutico</v>
      </c>
      <c r="C7230" s="3" t="str">
        <f>HYPERLINK("https://otsuka-europe-crm.veevavault.com/ui/#object/sent_email__v/VBLZ025E82HCNQP", "SE-000283916")</f>
        <v>SE-000283916</v>
      </c>
      <c r="D7230" s="1">
        <v>45937.37599537037</v>
      </c>
      <c r="E7230" s="2">
        <v>1</v>
      </c>
      <c r="F7230" s="2">
        <v>2</v>
      </c>
      <c r="G7230" s="2">
        <v>0</v>
      </c>
      <c r="H7230" s="1" t="s">
        <v>0</v>
      </c>
      <c r="I7230" s="2">
        <v>0</v>
      </c>
      <c r="J7230" s="1">
        <v>45937.350590277776</v>
      </c>
    </row>
    <row r="7231" spans="1:10" x14ac:dyDescent="0.2">
      <c r="A7231" s="4" t="s">
        <v>1</v>
      </c>
      <c r="B7231" s="3" t="str">
        <f>HYPERLINK("https://otsuka-europe-crm.veevavault.com/ui/#object/approved_document__v/V5OZ025E82TP0C5", "ENFERMERÍA - Guía de Manejo Psicoterapéutico")</f>
        <v>ENFERMERÍA - Guía de Manejo Psicoterapéutico</v>
      </c>
      <c r="C7231" s="3" t="str">
        <f>HYPERLINK("https://otsuka-europe-crm.veevavault.com/ui/#object/sent_email__v/VBLZ025E82HCNQQ", "SE-000283917")</f>
        <v>SE-000283917</v>
      </c>
      <c r="D7231" s="1" t="s">
        <v>0</v>
      </c>
      <c r="E7231" s="2">
        <v>0</v>
      </c>
      <c r="F7231" s="2">
        <v>0</v>
      </c>
      <c r="G7231" s="2">
        <v>0</v>
      </c>
      <c r="H7231" s="1" t="s">
        <v>0</v>
      </c>
      <c r="I7231" s="2">
        <v>0</v>
      </c>
      <c r="J7231" s="1">
        <v>45937.350601851853</v>
      </c>
    </row>
    <row r="7232" spans="1:10" x14ac:dyDescent="0.2">
      <c r="A7232" s="4" t="s">
        <v>1</v>
      </c>
      <c r="B7232" s="3" t="str">
        <f>HYPERLINK("https://otsuka-europe-crm.veevavault.com/ui/#object/approved_document__v/V5OZ025E82TP0C5", "ENFERMERÍA - Guía de Manejo Psicoterapéutico")</f>
        <v>ENFERMERÍA - Guía de Manejo Psicoterapéutico</v>
      </c>
      <c r="C7232" s="3" t="str">
        <f>HYPERLINK("https://otsuka-europe-crm.veevavault.com/ui/#object/sent_email__v/VBLZ025E82HCNQR", "SE-000283918")</f>
        <v>SE-000283918</v>
      </c>
      <c r="D7232" s="1" t="s">
        <v>0</v>
      </c>
      <c r="E7232" s="2">
        <v>0</v>
      </c>
      <c r="F7232" s="2">
        <v>0</v>
      </c>
      <c r="G7232" s="2">
        <v>0</v>
      </c>
      <c r="H7232" s="1" t="s">
        <v>0</v>
      </c>
      <c r="I7232" s="2">
        <v>0</v>
      </c>
      <c r="J7232" s="1">
        <v>45937.350601851853</v>
      </c>
    </row>
    <row r="7233" spans="1:10" x14ac:dyDescent="0.2">
      <c r="A7233" s="4" t="s">
        <v>1</v>
      </c>
      <c r="B7233" s="3" t="str">
        <f>HYPERLINK("https://otsuka-europe-crm.veevavault.com/ui/#object/approved_document__v/V5OZ025E82TP0C5", "ENFERMERÍA - Guía de Manejo Psicoterapéutico")</f>
        <v>ENFERMERÍA - Guía de Manejo Psicoterapéutico</v>
      </c>
      <c r="C7233" s="3" t="str">
        <f>HYPERLINK("https://otsuka-europe-crm.veevavault.com/ui/#object/sent_email__v/VBLZ025E82HCNQS", "SE-000283919")</f>
        <v>SE-000283919</v>
      </c>
      <c r="D7233" s="1" t="s">
        <v>0</v>
      </c>
      <c r="E7233" s="2">
        <v>0</v>
      </c>
      <c r="F7233" s="2">
        <v>0</v>
      </c>
      <c r="G7233" s="2">
        <v>0</v>
      </c>
      <c r="H7233" s="1" t="s">
        <v>0</v>
      </c>
      <c r="I7233" s="2">
        <v>0</v>
      </c>
      <c r="J7233" s="1">
        <v>45937.350613425922</v>
      </c>
    </row>
    <row r="7234" spans="1:10" x14ac:dyDescent="0.2">
      <c r="A7234" s="4" t="s">
        <v>1</v>
      </c>
      <c r="B7234" s="3" t="str">
        <f>HYPERLINK("https://otsuka-europe-crm.veevavault.com/ui/#object/approved_document__v/V5OZ025E82TP0C5", "ENFERMERÍA - Guía de Manejo Psicoterapéutico")</f>
        <v>ENFERMERÍA - Guía de Manejo Psicoterapéutico</v>
      </c>
      <c r="C7234" s="3" t="str">
        <f>HYPERLINK("https://otsuka-europe-crm.veevavault.com/ui/#object/sent_email__v/VBLZ025E82HCNQT", "SE-000283920")</f>
        <v>SE-000283920</v>
      </c>
      <c r="D7234" s="1" t="s">
        <v>0</v>
      </c>
      <c r="E7234" s="2">
        <v>0</v>
      </c>
      <c r="F7234" s="2">
        <v>0</v>
      </c>
      <c r="G7234" s="2">
        <v>0</v>
      </c>
      <c r="H7234" s="1" t="s">
        <v>0</v>
      </c>
      <c r="I7234" s="2">
        <v>0</v>
      </c>
      <c r="J7234" s="1">
        <v>45937.350624999999</v>
      </c>
    </row>
    <row r="7235" spans="1:10" x14ac:dyDescent="0.2">
      <c r="A7235" s="4" t="s">
        <v>1</v>
      </c>
      <c r="B7235" s="3" t="str">
        <f>HYPERLINK("https://otsuka-europe-crm.veevavault.com/ui/#object/approved_document__v/V5OZ025E82TP0C5", "ENFERMERÍA - Guía de Manejo Psicoterapéutico")</f>
        <v>ENFERMERÍA - Guía de Manejo Psicoterapéutico</v>
      </c>
      <c r="C7235" s="3" t="str">
        <f>HYPERLINK("https://otsuka-europe-crm.veevavault.com/ui/#object/sent_email__v/VBLZ025E82HCNQU", "SE-000283921")</f>
        <v>SE-000283921</v>
      </c>
      <c r="D7235" s="1">
        <v>45939.354467592595</v>
      </c>
      <c r="E7235" s="2">
        <v>1</v>
      </c>
      <c r="F7235" s="2">
        <v>9</v>
      </c>
      <c r="G7235" s="2">
        <v>1</v>
      </c>
      <c r="H7235" s="1">
        <v>45938.524560185186</v>
      </c>
      <c r="I7235" s="2">
        <v>5</v>
      </c>
      <c r="J7235" s="1">
        <v>45937.350636574076</v>
      </c>
    </row>
    <row r="7236" spans="1:10" x14ac:dyDescent="0.2">
      <c r="A7236" s="4" t="s">
        <v>1</v>
      </c>
      <c r="B7236" s="3" t="str">
        <f>HYPERLINK("https://otsuka-europe-crm.veevavault.com/ui/#object/approved_document__v/V5OZ025E82TP0C5", "ENFERMERÍA - Guía de Manejo Psicoterapéutico")</f>
        <v>ENFERMERÍA - Guía de Manejo Psicoterapéutico</v>
      </c>
      <c r="C7236" s="3" t="str">
        <f>HYPERLINK("https://otsuka-europe-crm.veevavault.com/ui/#object/sent_email__v/VBLZ025E82HCNQV", "SE-000283922")</f>
        <v>SE-000283922</v>
      </c>
      <c r="D7236" s="1" t="s">
        <v>0</v>
      </c>
      <c r="E7236" s="2">
        <v>0</v>
      </c>
      <c r="F7236" s="2">
        <v>0</v>
      </c>
      <c r="G7236" s="2">
        <v>0</v>
      </c>
      <c r="H7236" s="1" t="s">
        <v>0</v>
      </c>
      <c r="I7236" s="2">
        <v>0</v>
      </c>
      <c r="J7236" s="1">
        <v>45937.350648148145</v>
      </c>
    </row>
    <row r="7237" spans="1:10" x14ac:dyDescent="0.2">
      <c r="A7237" s="4" t="s">
        <v>1</v>
      </c>
      <c r="B7237" s="3" t="str">
        <f>HYPERLINK("https://otsuka-europe-crm.veevavault.com/ui/#object/approved_document__v/V5OZ025E82TP0C5", "ENFERMERÍA - Guía de Manejo Psicoterapéutico")</f>
        <v>ENFERMERÍA - Guía de Manejo Psicoterapéutico</v>
      </c>
      <c r="C7237" s="3" t="str">
        <f>HYPERLINK("https://otsuka-europe-crm.veevavault.com/ui/#object/sent_email__v/VBLZ025E82HCNQW", "SE-000283923")</f>
        <v>SE-000283923</v>
      </c>
      <c r="D7237" s="1" t="s">
        <v>0</v>
      </c>
      <c r="E7237" s="2">
        <v>0</v>
      </c>
      <c r="F7237" s="2">
        <v>0</v>
      </c>
      <c r="G7237" s="2">
        <v>0</v>
      </c>
      <c r="H7237" s="1" t="s">
        <v>0</v>
      </c>
      <c r="I7237" s="2">
        <v>0</v>
      </c>
      <c r="J7237" s="1">
        <v>45937.350648148145</v>
      </c>
    </row>
    <row r="7238" spans="1:10" x14ac:dyDescent="0.2">
      <c r="A7238" s="4" t="s">
        <v>1</v>
      </c>
      <c r="B7238" s="3" t="str">
        <f>HYPERLINK("https://otsuka-europe-crm.veevavault.com/ui/#object/approved_document__v/V5OZ025E82TP0C5", "ENFERMERÍA - Guía de Manejo Psicoterapéutico")</f>
        <v>ENFERMERÍA - Guía de Manejo Psicoterapéutico</v>
      </c>
      <c r="C7238" s="3" t="str">
        <f>HYPERLINK("https://otsuka-europe-crm.veevavault.com/ui/#object/sent_email__v/VBLZ025E82HCNQX", "SE-000283924")</f>
        <v>SE-000283924</v>
      </c>
      <c r="D7238" s="1" t="s">
        <v>0</v>
      </c>
      <c r="E7238" s="2">
        <v>0</v>
      </c>
      <c r="F7238" s="2">
        <v>0</v>
      </c>
      <c r="G7238" s="2">
        <v>0</v>
      </c>
      <c r="H7238" s="1" t="s">
        <v>0</v>
      </c>
      <c r="I7238" s="2">
        <v>0</v>
      </c>
      <c r="J7238" s="1">
        <v>45937.350659722222</v>
      </c>
    </row>
    <row r="7239" spans="1:10" x14ac:dyDescent="0.2">
      <c r="A7239" s="4" t="s">
        <v>1</v>
      </c>
      <c r="B7239" s="3" t="str">
        <f>HYPERLINK("https://otsuka-europe-crm.veevavault.com/ui/#object/approved_document__v/V5OZ025E82TP0C5", "ENFERMERÍA - Guía de Manejo Psicoterapéutico")</f>
        <v>ENFERMERÍA - Guía de Manejo Psicoterapéutico</v>
      </c>
      <c r="C7239" s="3" t="str">
        <f>HYPERLINK("https://otsuka-europe-crm.veevavault.com/ui/#object/sent_email__v/VBLZ025E82HCNQY", "SE-000283925")</f>
        <v>SE-000283925</v>
      </c>
      <c r="D7239" s="1">
        <v>45937.966192129628</v>
      </c>
      <c r="E7239" s="2">
        <v>1</v>
      </c>
      <c r="F7239" s="2">
        <v>1</v>
      </c>
      <c r="G7239" s="2">
        <v>0</v>
      </c>
      <c r="H7239" s="1" t="s">
        <v>0</v>
      </c>
      <c r="I7239" s="2">
        <v>0</v>
      </c>
      <c r="J7239" s="1">
        <v>45937.350671296299</v>
      </c>
    </row>
    <row r="7240" spans="1:10" x14ac:dyDescent="0.2">
      <c r="A7240" s="4" t="s">
        <v>1</v>
      </c>
      <c r="B7240" s="3" t="str">
        <f>HYPERLINK("https://otsuka-europe-crm.veevavault.com/ui/#object/approved_document__v/V5OZ025E82TP0C5", "ENFERMERÍA - Guía de Manejo Psicoterapéutico")</f>
        <v>ENFERMERÍA - Guía de Manejo Psicoterapéutico</v>
      </c>
      <c r="C7240" s="3" t="str">
        <f>HYPERLINK("https://otsuka-europe-crm.veevavault.com/ui/#object/sent_email__v/VBLZ025E82HCNQZ", "SE-000283926")</f>
        <v>SE-000283926</v>
      </c>
      <c r="D7240" s="1" t="s">
        <v>0</v>
      </c>
      <c r="E7240" s="2">
        <v>0</v>
      </c>
      <c r="F7240" s="2">
        <v>0</v>
      </c>
      <c r="G7240" s="2">
        <v>0</v>
      </c>
      <c r="H7240" s="1" t="s">
        <v>0</v>
      </c>
      <c r="I7240" s="2">
        <v>0</v>
      </c>
      <c r="J7240" s="1">
        <v>45937.350682870368</v>
      </c>
    </row>
    <row r="7241" spans="1:10" x14ac:dyDescent="0.2">
      <c r="A7241" s="4" t="s">
        <v>1</v>
      </c>
      <c r="B7241" s="3" t="str">
        <f>HYPERLINK("https://otsuka-europe-crm.veevavault.com/ui/#object/approved_document__v/V5OZ025E82TP0C5", "ENFERMERÍA - Guía de Manejo Psicoterapéutico")</f>
        <v>ENFERMERÍA - Guía de Manejo Psicoterapéutico</v>
      </c>
      <c r="C7241" s="3" t="str">
        <f>HYPERLINK("https://otsuka-europe-crm.veevavault.com/ui/#object/sent_email__v/VBLZ025E82HCNR0", "SE-000283927")</f>
        <v>SE-000283927</v>
      </c>
      <c r="D7241" s="1" t="s">
        <v>0</v>
      </c>
      <c r="E7241" s="2">
        <v>0</v>
      </c>
      <c r="F7241" s="2">
        <v>0</v>
      </c>
      <c r="G7241" s="2">
        <v>0</v>
      </c>
      <c r="H7241" s="1" t="s">
        <v>0</v>
      </c>
      <c r="I7241" s="2">
        <v>0</v>
      </c>
      <c r="J7241" s="1">
        <v>45937.350682870368</v>
      </c>
    </row>
    <row r="7242" spans="1:10" x14ac:dyDescent="0.2">
      <c r="A7242" s="4" t="s">
        <v>1</v>
      </c>
      <c r="B7242" s="3" t="str">
        <f>HYPERLINK("https://otsuka-europe-crm.veevavault.com/ui/#object/approved_document__v/V5OZ025E82TP0C5", "ENFERMERÍA - Guía de Manejo Psicoterapéutico")</f>
        <v>ENFERMERÍA - Guía de Manejo Psicoterapéutico</v>
      </c>
      <c r="C7242" s="3" t="str">
        <f>HYPERLINK("https://otsuka-europe-crm.veevavault.com/ui/#object/sent_email__v/VBLZ025E82HCNR1", "SE-000283928")</f>
        <v>SE-000283928</v>
      </c>
      <c r="D7242" s="1" t="s">
        <v>0</v>
      </c>
      <c r="E7242" s="2">
        <v>0</v>
      </c>
      <c r="F7242" s="2">
        <v>0</v>
      </c>
      <c r="G7242" s="2">
        <v>0</v>
      </c>
      <c r="H7242" s="1" t="s">
        <v>0</v>
      </c>
      <c r="I7242" s="2">
        <v>0</v>
      </c>
      <c r="J7242" s="1">
        <v>45937.350694444445</v>
      </c>
    </row>
    <row r="7243" spans="1:10" x14ac:dyDescent="0.2">
      <c r="A7243" s="4" t="s">
        <v>1</v>
      </c>
      <c r="B7243" s="3" t="str">
        <f>HYPERLINK("https://otsuka-europe-crm.veevavault.com/ui/#object/approved_document__v/V5OZ025E82TP0C5", "ENFERMERÍA - Guía de Manejo Psicoterapéutico")</f>
        <v>ENFERMERÍA - Guía de Manejo Psicoterapéutico</v>
      </c>
      <c r="C7243" s="3" t="str">
        <f>HYPERLINK("https://otsuka-europe-crm.veevavault.com/ui/#object/sent_email__v/VBLZ025E82HCNR2", "SE-000283929")</f>
        <v>SE-000283929</v>
      </c>
      <c r="D7243" s="1">
        <v>45950.463078703702</v>
      </c>
      <c r="E7243" s="2">
        <v>1</v>
      </c>
      <c r="F7243" s="2">
        <v>2</v>
      </c>
      <c r="G7243" s="2">
        <v>1</v>
      </c>
      <c r="H7243" s="1">
        <v>45950.463182870371</v>
      </c>
      <c r="I7243" s="2">
        <v>1</v>
      </c>
      <c r="J7243" s="1">
        <v>45937.350706018522</v>
      </c>
    </row>
    <row r="7244" spans="1:10" x14ac:dyDescent="0.2">
      <c r="A7244" s="4" t="s">
        <v>1</v>
      </c>
      <c r="B7244" s="3" t="str">
        <f>HYPERLINK("https://otsuka-europe-crm.veevavault.com/ui/#object/approved_document__v/V5OZ025E82TP0C5", "ENFERMERÍA - Guía de Manejo Psicoterapéutico")</f>
        <v>ENFERMERÍA - Guía de Manejo Psicoterapéutico</v>
      </c>
      <c r="C7244" s="3" t="str">
        <f>HYPERLINK("https://otsuka-europe-crm.veevavault.com/ui/#object/sent_email__v/VBLZ025E82HCNR3", "SE-000283930")</f>
        <v>SE-000283930</v>
      </c>
      <c r="D7244" s="1">
        <v>45939.666828703703</v>
      </c>
      <c r="E7244" s="2">
        <v>1</v>
      </c>
      <c r="F7244" s="2">
        <v>1</v>
      </c>
      <c r="G7244" s="2">
        <v>0</v>
      </c>
      <c r="H7244" s="1" t="s">
        <v>0</v>
      </c>
      <c r="I7244" s="2">
        <v>0</v>
      </c>
      <c r="J7244" s="1">
        <v>45937.350717592592</v>
      </c>
    </row>
    <row r="7245" spans="1:10" x14ac:dyDescent="0.2">
      <c r="A7245" s="4" t="s">
        <v>1</v>
      </c>
      <c r="B7245" s="3" t="str">
        <f>HYPERLINK("https://otsuka-europe-crm.veevavault.com/ui/#object/approved_document__v/V5OZ025E82TP0C5", "ENFERMERÍA - Guía de Manejo Psicoterapéutico")</f>
        <v>ENFERMERÍA - Guía de Manejo Psicoterapéutico</v>
      </c>
      <c r="C7245" s="3" t="str">
        <f>HYPERLINK("https://otsuka-europe-crm.veevavault.com/ui/#object/sent_email__v/VBLZ025E82HCNR4", "SE-000283931")</f>
        <v>SE-000283931</v>
      </c>
      <c r="D7245" s="1" t="s">
        <v>0</v>
      </c>
      <c r="E7245" s="2">
        <v>0</v>
      </c>
      <c r="F7245" s="2">
        <v>0</v>
      </c>
      <c r="G7245" s="2">
        <v>0</v>
      </c>
      <c r="H7245" s="1" t="s">
        <v>0</v>
      </c>
      <c r="I7245" s="2">
        <v>0</v>
      </c>
      <c r="J7245" s="1">
        <v>45937.350729166668</v>
      </c>
    </row>
    <row r="7246" spans="1:10" x14ac:dyDescent="0.2">
      <c r="A7246" s="4" t="s">
        <v>1</v>
      </c>
      <c r="B7246" s="3" t="str">
        <f>HYPERLINK("https://otsuka-europe-crm.veevavault.com/ui/#object/approved_document__v/V5OZ025E82TP0C5", "ENFERMERÍA - Guía de Manejo Psicoterapéutico")</f>
        <v>ENFERMERÍA - Guía de Manejo Psicoterapéutico</v>
      </c>
      <c r="C7246" s="3" t="str">
        <f>HYPERLINK("https://otsuka-europe-crm.veevavault.com/ui/#object/sent_email__v/VBLZ025E82HCNR5", "SE-000283932")</f>
        <v>SE-000283932</v>
      </c>
      <c r="D7246" s="1" t="s">
        <v>0</v>
      </c>
      <c r="E7246" s="2">
        <v>0</v>
      </c>
      <c r="F7246" s="2">
        <v>0</v>
      </c>
      <c r="G7246" s="2">
        <v>0</v>
      </c>
      <c r="H7246" s="1" t="s">
        <v>0</v>
      </c>
      <c r="I7246" s="2">
        <v>0</v>
      </c>
      <c r="J7246" s="1">
        <v>45937.350729166668</v>
      </c>
    </row>
    <row r="7247" spans="1:10" x14ac:dyDescent="0.2">
      <c r="A7247" s="4" t="s">
        <v>1</v>
      </c>
      <c r="B7247" s="3" t="str">
        <f>HYPERLINK("https://otsuka-europe-crm.veevavault.com/ui/#object/approved_document__v/V5OZ025E82TP0C5", "ENFERMERÍA - Guía de Manejo Psicoterapéutico")</f>
        <v>ENFERMERÍA - Guía de Manejo Psicoterapéutico</v>
      </c>
      <c r="C7247" s="3" t="str">
        <f>HYPERLINK("https://otsuka-europe-crm.veevavault.com/ui/#object/sent_email__v/VBLZ025E82HCNR6", "SE-000283933")</f>
        <v>SE-000283933</v>
      </c>
      <c r="D7247" s="1" t="s">
        <v>0</v>
      </c>
      <c r="E7247" s="2">
        <v>0</v>
      </c>
      <c r="F7247" s="2">
        <v>0</v>
      </c>
      <c r="G7247" s="2">
        <v>0</v>
      </c>
      <c r="H7247" s="1" t="s">
        <v>0</v>
      </c>
      <c r="I7247" s="2">
        <v>0</v>
      </c>
      <c r="J7247" s="1">
        <v>45937.350740740738</v>
      </c>
    </row>
    <row r="7248" spans="1:10" x14ac:dyDescent="0.2">
      <c r="A7248" s="4" t="s">
        <v>1</v>
      </c>
      <c r="B7248" s="3" t="str">
        <f>HYPERLINK("https://otsuka-europe-crm.veevavault.com/ui/#object/approved_document__v/V5OZ025E82TP0C5", "ENFERMERÍA - Guía de Manejo Psicoterapéutico")</f>
        <v>ENFERMERÍA - Guía de Manejo Psicoterapéutico</v>
      </c>
      <c r="C7248" s="3" t="str">
        <f>HYPERLINK("https://otsuka-europe-crm.veevavault.com/ui/#object/sent_email__v/VBLZ025E82HCNR7", "SE-000283934")</f>
        <v>SE-000283934</v>
      </c>
      <c r="D7248" s="1">
        <v>45937.351666666669</v>
      </c>
      <c r="E7248" s="2">
        <v>1</v>
      </c>
      <c r="F7248" s="2">
        <v>1</v>
      </c>
      <c r="G7248" s="2">
        <v>0</v>
      </c>
      <c r="H7248" s="1" t="s">
        <v>0</v>
      </c>
      <c r="I7248" s="2">
        <v>0</v>
      </c>
      <c r="J7248" s="1">
        <v>45937.350752314815</v>
      </c>
    </row>
    <row r="7249" spans="1:10" x14ac:dyDescent="0.2">
      <c r="A7249" s="4" t="s">
        <v>1</v>
      </c>
      <c r="B7249" s="3" t="str">
        <f>HYPERLINK("https://otsuka-europe-crm.veevavault.com/ui/#object/approved_document__v/V5OZ025E82TP0C5", "ENFERMERÍA - Guía de Manejo Psicoterapéutico")</f>
        <v>ENFERMERÍA - Guía de Manejo Psicoterapéutico</v>
      </c>
      <c r="C7249" s="3" t="str">
        <f>HYPERLINK("https://otsuka-europe-crm.veevavault.com/ui/#object/sent_email__v/VBLZ025E82HCNR8", "SE-000283935")</f>
        <v>SE-000283935</v>
      </c>
      <c r="D7249" s="1">
        <v>45937.566759259258</v>
      </c>
      <c r="E7249" s="2">
        <v>1</v>
      </c>
      <c r="F7249" s="2">
        <v>1</v>
      </c>
      <c r="G7249" s="2">
        <v>0</v>
      </c>
      <c r="H7249" s="1" t="s">
        <v>0</v>
      </c>
      <c r="I7249" s="2">
        <v>0</v>
      </c>
      <c r="J7249" s="1">
        <v>45937.350763888891</v>
      </c>
    </row>
    <row r="7250" spans="1:10" x14ac:dyDescent="0.2">
      <c r="A7250" s="4" t="s">
        <v>1</v>
      </c>
      <c r="B7250" s="3" t="str">
        <f>HYPERLINK("https://otsuka-europe-crm.veevavault.com/ui/#object/approved_document__v/V5OZ025E82TP0C5", "ENFERMERÍA - Guía de Manejo Psicoterapéutico")</f>
        <v>ENFERMERÍA - Guía de Manejo Psicoterapéutico</v>
      </c>
      <c r="C7250" s="3" t="str">
        <f>HYPERLINK("https://otsuka-europe-crm.veevavault.com/ui/#object/sent_email__v/VBLZ025E82HCNR9", "SE-000283936")</f>
        <v>SE-000283936</v>
      </c>
      <c r="D7250" s="1">
        <v>45952.872442129628</v>
      </c>
      <c r="E7250" s="2">
        <v>1</v>
      </c>
      <c r="F7250" s="2">
        <v>2</v>
      </c>
      <c r="G7250" s="2">
        <v>1</v>
      </c>
      <c r="H7250" s="1">
        <v>45937.477777777778</v>
      </c>
      <c r="I7250" s="2">
        <v>1</v>
      </c>
      <c r="J7250" s="1">
        <v>45937.350775462961</v>
      </c>
    </row>
    <row r="7251" spans="1:10" x14ac:dyDescent="0.2">
      <c r="A7251" s="4" t="s">
        <v>1</v>
      </c>
      <c r="B7251" s="3" t="str">
        <f>HYPERLINK("https://otsuka-europe-crm.veevavault.com/ui/#object/approved_document__v/V5OZ025E82TP0C5", "ENFERMERÍA - Guía de Manejo Psicoterapéutico")</f>
        <v>ENFERMERÍA - Guía de Manejo Psicoterapéutico</v>
      </c>
      <c r="C7251" s="3" t="str">
        <f>HYPERLINK("https://otsuka-europe-crm.veevavault.com/ui/#object/sent_email__v/VBLZ025E82HCNRA", "SE-000283937")</f>
        <v>SE-000283937</v>
      </c>
      <c r="D7251" s="1" t="s">
        <v>0</v>
      </c>
      <c r="E7251" s="2">
        <v>0</v>
      </c>
      <c r="F7251" s="2">
        <v>0</v>
      </c>
      <c r="G7251" s="2">
        <v>0</v>
      </c>
      <c r="H7251" s="1" t="s">
        <v>0</v>
      </c>
      <c r="I7251" s="2">
        <v>0</v>
      </c>
      <c r="J7251" s="1">
        <v>45937.350775462961</v>
      </c>
    </row>
    <row r="7252" spans="1:10" x14ac:dyDescent="0.2">
      <c r="A7252" s="4" t="s">
        <v>1</v>
      </c>
      <c r="B7252" s="3" t="str">
        <f>HYPERLINK("https://otsuka-europe-crm.veevavault.com/ui/#object/approved_document__v/V5OZ025E82TP0C5", "ENFERMERÍA - Guía de Manejo Psicoterapéutico")</f>
        <v>ENFERMERÍA - Guía de Manejo Psicoterapéutico</v>
      </c>
      <c r="C7252" s="3" t="str">
        <f>HYPERLINK("https://otsuka-europe-crm.veevavault.com/ui/#object/sent_email__v/VBLZ025E82HCNRB", "SE-000283938")</f>
        <v>SE-000283938</v>
      </c>
      <c r="D7252" s="1">
        <v>45937.376250000001</v>
      </c>
      <c r="E7252" s="2">
        <v>1</v>
      </c>
      <c r="F7252" s="2">
        <v>1</v>
      </c>
      <c r="G7252" s="2">
        <v>0</v>
      </c>
      <c r="H7252" s="1" t="s">
        <v>0</v>
      </c>
      <c r="I7252" s="2">
        <v>0</v>
      </c>
      <c r="J7252" s="1">
        <v>45937.350798611114</v>
      </c>
    </row>
    <row r="7253" spans="1:10" x14ac:dyDescent="0.2">
      <c r="A7253" s="4" t="s">
        <v>1</v>
      </c>
      <c r="B7253" s="3" t="str">
        <f>HYPERLINK("https://otsuka-europe-crm.veevavault.com/ui/#object/approved_document__v/V5OZ025E82TP0C5", "ENFERMERÍA - Guía de Manejo Psicoterapéutico")</f>
        <v>ENFERMERÍA - Guía de Manejo Psicoterapéutico</v>
      </c>
      <c r="C7253" s="3" t="str">
        <f>HYPERLINK("https://otsuka-europe-crm.veevavault.com/ui/#object/sent_email__v/VBLZ025E82HCNRC", "SE-000283939")</f>
        <v>SE-000283939</v>
      </c>
      <c r="D7253" s="1">
        <v>45937.617129629631</v>
      </c>
      <c r="E7253" s="2">
        <v>1</v>
      </c>
      <c r="F7253" s="2">
        <v>2</v>
      </c>
      <c r="G7253" s="2">
        <v>0</v>
      </c>
      <c r="H7253" s="1" t="s">
        <v>0</v>
      </c>
      <c r="I7253" s="2">
        <v>0</v>
      </c>
      <c r="J7253" s="1">
        <v>45937.350810185184</v>
      </c>
    </row>
    <row r="7254" spans="1:10" x14ac:dyDescent="0.2">
      <c r="A7254" s="4" t="s">
        <v>1</v>
      </c>
      <c r="B7254" s="3" t="str">
        <f>HYPERLINK("https://otsuka-europe-crm.veevavault.com/ui/#object/approved_document__v/V5OZ025E82TP0C5", "ENFERMERÍA - Guía de Manejo Psicoterapéutico")</f>
        <v>ENFERMERÍA - Guía de Manejo Psicoterapéutico</v>
      </c>
      <c r="C7254" s="3" t="str">
        <f>HYPERLINK("https://otsuka-europe-crm.veevavault.com/ui/#object/sent_email__v/VBLZ025E82HCNRD", "SE-000283940")</f>
        <v>SE-000283940</v>
      </c>
      <c r="D7254" s="1" t="s">
        <v>0</v>
      </c>
      <c r="E7254" s="2">
        <v>0</v>
      </c>
      <c r="F7254" s="2">
        <v>0</v>
      </c>
      <c r="G7254" s="2">
        <v>0</v>
      </c>
      <c r="H7254" s="1" t="s">
        <v>0</v>
      </c>
      <c r="I7254" s="2">
        <v>0</v>
      </c>
      <c r="J7254" s="1">
        <v>45937.350821759261</v>
      </c>
    </row>
    <row r="7255" spans="1:10" x14ac:dyDescent="0.2">
      <c r="A7255" s="4" t="s">
        <v>1</v>
      </c>
      <c r="B7255" s="3" t="str">
        <f>HYPERLINK("https://otsuka-europe-crm.veevavault.com/ui/#object/approved_document__v/V5OZ025E82TP0C5", "ENFERMERÍA - Guía de Manejo Psicoterapéutico")</f>
        <v>ENFERMERÍA - Guía de Manejo Psicoterapéutico</v>
      </c>
      <c r="C7255" s="3" t="str">
        <f>HYPERLINK("https://otsuka-europe-crm.veevavault.com/ui/#object/sent_email__v/VBLZ025E82HCNRE", "SE-000283941")</f>
        <v>SE-000283941</v>
      </c>
      <c r="D7255" s="1">
        <v>45937.621898148151</v>
      </c>
      <c r="E7255" s="2">
        <v>1</v>
      </c>
      <c r="F7255" s="2">
        <v>2</v>
      </c>
      <c r="G7255" s="2">
        <v>0</v>
      </c>
      <c r="H7255" s="1" t="s">
        <v>0</v>
      </c>
      <c r="I7255" s="2">
        <v>0</v>
      </c>
      <c r="J7255" s="1">
        <v>45937.35083333333</v>
      </c>
    </row>
    <row r="7256" spans="1:10" x14ac:dyDescent="0.2">
      <c r="A7256" s="4" t="s">
        <v>1</v>
      </c>
      <c r="B7256" s="3" t="str">
        <f>HYPERLINK("https://otsuka-europe-crm.veevavault.com/ui/#object/approved_document__v/V5OZ025E82TP0C5", "ENFERMERÍA - Guía de Manejo Psicoterapéutico")</f>
        <v>ENFERMERÍA - Guía de Manejo Psicoterapéutico</v>
      </c>
      <c r="C7256" s="3" t="str">
        <f>HYPERLINK("https://otsuka-europe-crm.veevavault.com/ui/#object/sent_email__v/VBLZ025E82HCNRF", "SE-000283942")</f>
        <v>SE-000283942</v>
      </c>
      <c r="D7256" s="1" t="s">
        <v>0</v>
      </c>
      <c r="E7256" s="2">
        <v>0</v>
      </c>
      <c r="F7256" s="2">
        <v>0</v>
      </c>
      <c r="G7256" s="2">
        <v>0</v>
      </c>
      <c r="H7256" s="1" t="s">
        <v>0</v>
      </c>
      <c r="I7256" s="2">
        <v>0</v>
      </c>
      <c r="J7256" s="1">
        <v>45937.350844907407</v>
      </c>
    </row>
    <row r="7257" spans="1:10" x14ac:dyDescent="0.2">
      <c r="A7257" s="4" t="s">
        <v>1</v>
      </c>
      <c r="B7257" s="3" t="str">
        <f>HYPERLINK("https://otsuka-europe-crm.veevavault.com/ui/#object/approved_document__v/V5OZ025E82TP0C5", "ENFERMERÍA - Guía de Manejo Psicoterapéutico")</f>
        <v>ENFERMERÍA - Guía de Manejo Psicoterapéutico</v>
      </c>
      <c r="C7257" s="3" t="str">
        <f>HYPERLINK("https://otsuka-europe-crm.veevavault.com/ui/#object/sent_email__v/VBLZ025E82HCNRG", "SE-000283943")</f>
        <v>SE-000283943</v>
      </c>
      <c r="D7257" s="1" t="s">
        <v>0</v>
      </c>
      <c r="E7257" s="2">
        <v>0</v>
      </c>
      <c r="F7257" s="2">
        <v>0</v>
      </c>
      <c r="G7257" s="2">
        <v>0</v>
      </c>
      <c r="H7257" s="1" t="s">
        <v>0</v>
      </c>
      <c r="I7257" s="2">
        <v>0</v>
      </c>
      <c r="J7257" s="1">
        <v>45937.350844907407</v>
      </c>
    </row>
    <row r="7258" spans="1:10" x14ac:dyDescent="0.2">
      <c r="A7258" s="4" t="s">
        <v>1</v>
      </c>
      <c r="B7258" s="3" t="str">
        <f>HYPERLINK("https://otsuka-europe-crm.veevavault.com/ui/#object/approved_document__v/V5OZ025E82TP0C5", "ENFERMERÍA - Guía de Manejo Psicoterapéutico")</f>
        <v>ENFERMERÍA - Guía de Manejo Psicoterapéutico</v>
      </c>
      <c r="C7258" s="3" t="str">
        <f>HYPERLINK("https://otsuka-europe-crm.veevavault.com/ui/#object/sent_email__v/VBLZ025E82HCNRH", "SE-000283944")</f>
        <v>SE-000283944</v>
      </c>
      <c r="D7258" s="1" t="s">
        <v>0</v>
      </c>
      <c r="E7258" s="2">
        <v>0</v>
      </c>
      <c r="F7258" s="2">
        <v>0</v>
      </c>
      <c r="G7258" s="2">
        <v>0</v>
      </c>
      <c r="H7258" s="1" t="s">
        <v>0</v>
      </c>
      <c r="I7258" s="2">
        <v>0</v>
      </c>
      <c r="J7258" s="1">
        <v>45937.350856481484</v>
      </c>
    </row>
    <row r="7259" spans="1:10" x14ac:dyDescent="0.2">
      <c r="A7259" s="4" t="s">
        <v>1</v>
      </c>
      <c r="B7259" s="3" t="str">
        <f>HYPERLINK("https://otsuka-europe-crm.veevavault.com/ui/#object/approved_document__v/V5OZ025E82TP0C5", "ENFERMERÍA - Guía de Manejo Psicoterapéutico")</f>
        <v>ENFERMERÍA - Guía de Manejo Psicoterapéutico</v>
      </c>
      <c r="C7259" s="3" t="str">
        <f>HYPERLINK("https://otsuka-europe-crm.veevavault.com/ui/#object/sent_email__v/VBLZ025E82HCNRI", "SE-000283945")</f>
        <v>SE-000283945</v>
      </c>
      <c r="D7259" s="1" t="s">
        <v>0</v>
      </c>
      <c r="E7259" s="2">
        <v>0</v>
      </c>
      <c r="F7259" s="2">
        <v>0</v>
      </c>
      <c r="G7259" s="2">
        <v>0</v>
      </c>
      <c r="H7259" s="1" t="s">
        <v>0</v>
      </c>
      <c r="I7259" s="2">
        <v>0</v>
      </c>
      <c r="J7259" s="1">
        <v>45937.350868055553</v>
      </c>
    </row>
    <row r="7260" spans="1:10" x14ac:dyDescent="0.2">
      <c r="A7260" s="4" t="s">
        <v>1</v>
      </c>
      <c r="B7260" s="3" t="str">
        <f>HYPERLINK("https://otsuka-europe-crm.veevavault.com/ui/#object/approved_document__v/V5OZ025E82TP0C5", "ENFERMERÍA - Guía de Manejo Psicoterapéutico")</f>
        <v>ENFERMERÍA - Guía de Manejo Psicoterapéutico</v>
      </c>
      <c r="C7260" s="3" t="str">
        <f>HYPERLINK("https://otsuka-europe-crm.veevavault.com/ui/#object/sent_email__v/VBLZ025E82HCNRJ", "SE-000283946")</f>
        <v>SE-000283946</v>
      </c>
      <c r="D7260" s="1" t="s">
        <v>0</v>
      </c>
      <c r="E7260" s="2">
        <v>0</v>
      </c>
      <c r="F7260" s="2">
        <v>0</v>
      </c>
      <c r="G7260" s="2">
        <v>0</v>
      </c>
      <c r="H7260" s="1" t="s">
        <v>0</v>
      </c>
      <c r="I7260" s="2">
        <v>0</v>
      </c>
      <c r="J7260" s="1">
        <v>45937.35087962963</v>
      </c>
    </row>
    <row r="7261" spans="1:10" x14ac:dyDescent="0.2">
      <c r="A7261" s="4" t="s">
        <v>1</v>
      </c>
      <c r="B7261" s="3" t="str">
        <f>HYPERLINK("https://otsuka-europe-crm.veevavault.com/ui/#object/approved_document__v/V5OZ025E82TP0C5", "ENFERMERÍA - Guía de Manejo Psicoterapéutico")</f>
        <v>ENFERMERÍA - Guía de Manejo Psicoterapéutico</v>
      </c>
      <c r="C7261" s="3" t="str">
        <f>HYPERLINK("https://otsuka-europe-crm.veevavault.com/ui/#object/sent_email__v/VBLZ025E82HCNRK", "SE-000283947")</f>
        <v>SE-000283947</v>
      </c>
      <c r="D7261" s="1" t="s">
        <v>0</v>
      </c>
      <c r="E7261" s="2">
        <v>0</v>
      </c>
      <c r="F7261" s="2">
        <v>0</v>
      </c>
      <c r="G7261" s="2">
        <v>0</v>
      </c>
      <c r="H7261" s="1" t="s">
        <v>0</v>
      </c>
      <c r="I7261" s="2">
        <v>0</v>
      </c>
      <c r="J7261" s="1">
        <v>45937.350891203707</v>
      </c>
    </row>
    <row r="7262" spans="1:10" x14ac:dyDescent="0.2">
      <c r="A7262" s="4" t="s">
        <v>1</v>
      </c>
      <c r="B7262" s="3" t="str">
        <f>HYPERLINK("https://otsuka-europe-crm.veevavault.com/ui/#object/approved_document__v/V5OZ025E82TP0C5", "ENFERMERÍA - Guía de Manejo Psicoterapéutico")</f>
        <v>ENFERMERÍA - Guía de Manejo Psicoterapéutico</v>
      </c>
      <c r="C7262" s="3" t="str">
        <f>HYPERLINK("https://otsuka-europe-crm.veevavault.com/ui/#object/sent_email__v/VBLZ025E82HCNRL", "SE-000283948")</f>
        <v>SE-000283948</v>
      </c>
      <c r="D7262" s="1">
        <v>45937.519386574073</v>
      </c>
      <c r="E7262" s="2">
        <v>1</v>
      </c>
      <c r="F7262" s="2">
        <v>1</v>
      </c>
      <c r="G7262" s="2">
        <v>1</v>
      </c>
      <c r="H7262" s="1">
        <v>45937.519606481481</v>
      </c>
      <c r="I7262" s="2">
        <v>1</v>
      </c>
      <c r="J7262" s="1">
        <v>45937.350902777776</v>
      </c>
    </row>
    <row r="7263" spans="1:10" x14ac:dyDescent="0.2">
      <c r="A7263" s="4" t="s">
        <v>1</v>
      </c>
      <c r="B7263" s="3" t="str">
        <f>HYPERLINK("https://otsuka-europe-crm.veevavault.com/ui/#object/approved_document__v/V5OZ025E82TP0C5", "ENFERMERÍA - Guía de Manejo Psicoterapéutico")</f>
        <v>ENFERMERÍA - Guía de Manejo Psicoterapéutico</v>
      </c>
      <c r="C7263" s="3" t="str">
        <f>HYPERLINK("https://otsuka-europe-crm.veevavault.com/ui/#object/sent_email__v/VBLZ025E82HCNRM", "SE-000283949")</f>
        <v>SE-000283949</v>
      </c>
      <c r="D7263" s="1">
        <v>45937.439421296294</v>
      </c>
      <c r="E7263" s="2">
        <v>1</v>
      </c>
      <c r="F7263" s="2">
        <v>1</v>
      </c>
      <c r="G7263" s="2">
        <v>0</v>
      </c>
      <c r="H7263" s="1" t="s">
        <v>0</v>
      </c>
      <c r="I7263" s="2">
        <v>0</v>
      </c>
      <c r="J7263" s="1">
        <v>45937.350902777776</v>
      </c>
    </row>
    <row r="7264" spans="1:10" x14ac:dyDescent="0.2">
      <c r="A7264" s="4" t="s">
        <v>1</v>
      </c>
      <c r="B7264" s="3" t="str">
        <f>HYPERLINK("https://otsuka-europe-crm.veevavault.com/ui/#object/approved_document__v/V5OZ025E82TP0C5", "ENFERMERÍA - Guía de Manejo Psicoterapéutico")</f>
        <v>ENFERMERÍA - Guía de Manejo Psicoterapéutico</v>
      </c>
      <c r="C7264" s="3" t="str">
        <f>HYPERLINK("https://otsuka-europe-crm.veevavault.com/ui/#object/sent_email__v/VBLZ025E82HCNRN", "SE-000283950")</f>
        <v>SE-000283950</v>
      </c>
      <c r="D7264" s="1" t="s">
        <v>0</v>
      </c>
      <c r="E7264" s="2">
        <v>0</v>
      </c>
      <c r="F7264" s="2">
        <v>0</v>
      </c>
      <c r="G7264" s="2">
        <v>0</v>
      </c>
      <c r="H7264" s="1" t="s">
        <v>0</v>
      </c>
      <c r="I7264" s="2">
        <v>0</v>
      </c>
      <c r="J7264" s="1">
        <v>45937.350914351853</v>
      </c>
    </row>
    <row r="7265" spans="1:10" x14ac:dyDescent="0.2">
      <c r="A7265" s="4" t="s">
        <v>1</v>
      </c>
      <c r="B7265" s="3" t="str">
        <f>HYPERLINK("https://otsuka-europe-crm.veevavault.com/ui/#object/approved_document__v/V5OZ025E82TP0C5", "ENFERMERÍA - Guía de Manejo Psicoterapéutico")</f>
        <v>ENFERMERÍA - Guía de Manejo Psicoterapéutico</v>
      </c>
      <c r="C7265" s="3" t="str">
        <f>HYPERLINK("https://otsuka-europe-crm.veevavault.com/ui/#object/sent_email__v/VBLZ025E82HCNRO", "SE-000283951")</f>
        <v>SE-000283951</v>
      </c>
      <c r="D7265" s="1">
        <v>45937.941423611112</v>
      </c>
      <c r="E7265" s="2">
        <v>1</v>
      </c>
      <c r="F7265" s="2">
        <v>1</v>
      </c>
      <c r="G7265" s="2">
        <v>0</v>
      </c>
      <c r="H7265" s="1" t="s">
        <v>0</v>
      </c>
      <c r="I7265" s="2">
        <v>0</v>
      </c>
      <c r="J7265" s="1">
        <v>45937.350925925923</v>
      </c>
    </row>
    <row r="7266" spans="1:10" x14ac:dyDescent="0.2">
      <c r="A7266" s="4" t="s">
        <v>1</v>
      </c>
      <c r="B7266" s="3" t="str">
        <f>HYPERLINK("https://otsuka-europe-crm.veevavault.com/ui/#object/approved_document__v/V5OZ025E82TP0C5", "ENFERMERÍA - Guía de Manejo Psicoterapéutico")</f>
        <v>ENFERMERÍA - Guía de Manejo Psicoterapéutico</v>
      </c>
      <c r="C7266" s="3" t="str">
        <f>HYPERLINK("https://otsuka-europe-crm.veevavault.com/ui/#object/sent_email__v/VBLZ025E82HCNRP", "SE-000283952")</f>
        <v>SE-000283952</v>
      </c>
      <c r="D7266" s="1">
        <v>45937.586770833332</v>
      </c>
      <c r="E7266" s="2">
        <v>1</v>
      </c>
      <c r="F7266" s="2">
        <v>2</v>
      </c>
      <c r="G7266" s="2">
        <v>0</v>
      </c>
      <c r="H7266" s="1" t="s">
        <v>0</v>
      </c>
      <c r="I7266" s="2">
        <v>0</v>
      </c>
      <c r="J7266" s="1">
        <v>45937.350937499999</v>
      </c>
    </row>
    <row r="7267" spans="1:10" x14ac:dyDescent="0.2">
      <c r="A7267" s="4" t="s">
        <v>1</v>
      </c>
      <c r="B7267" s="3" t="str">
        <f>HYPERLINK("https://otsuka-europe-crm.veevavault.com/ui/#object/approved_document__v/V5OZ025E82TP0C5", "ENFERMERÍA - Guía de Manejo Psicoterapéutico")</f>
        <v>ENFERMERÍA - Guía de Manejo Psicoterapéutico</v>
      </c>
      <c r="C7267" s="3" t="str">
        <f>HYPERLINK("https://otsuka-europe-crm.veevavault.com/ui/#object/sent_email__v/VBLZ025E82HCNRQ", "SE-000283953")</f>
        <v>SE-000283953</v>
      </c>
      <c r="D7267" s="1" t="s">
        <v>0</v>
      </c>
      <c r="E7267" s="2">
        <v>0</v>
      </c>
      <c r="F7267" s="2">
        <v>0</v>
      </c>
      <c r="G7267" s="2">
        <v>0</v>
      </c>
      <c r="H7267" s="1" t="s">
        <v>0</v>
      </c>
      <c r="I7267" s="2">
        <v>0</v>
      </c>
      <c r="J7267" s="1">
        <v>45937.350937499999</v>
      </c>
    </row>
    <row r="7268" spans="1:10" x14ac:dyDescent="0.2">
      <c r="A7268" s="4" t="s">
        <v>1</v>
      </c>
      <c r="B7268" s="3" t="str">
        <f>HYPERLINK("https://otsuka-europe-crm.veevavault.com/ui/#object/approved_document__v/V5OZ025E82TP0C5", "ENFERMERÍA - Guía de Manejo Psicoterapéutico")</f>
        <v>ENFERMERÍA - Guía de Manejo Psicoterapéutico</v>
      </c>
      <c r="C7268" s="3" t="str">
        <f>HYPERLINK("https://otsuka-europe-crm.veevavault.com/ui/#object/sent_email__v/VBLZ025E82HCNRR", "SE-000283954")</f>
        <v>SE-000283954</v>
      </c>
      <c r="D7268" s="1" t="s">
        <v>0</v>
      </c>
      <c r="E7268" s="2">
        <v>0</v>
      </c>
      <c r="F7268" s="2">
        <v>0</v>
      </c>
      <c r="G7268" s="2">
        <v>0</v>
      </c>
      <c r="H7268" s="1" t="s">
        <v>0</v>
      </c>
      <c r="I7268" s="2">
        <v>0</v>
      </c>
      <c r="J7268" s="1">
        <v>45937.350949074076</v>
      </c>
    </row>
    <row r="7269" spans="1:10" x14ac:dyDescent="0.2">
      <c r="A7269" s="4" t="s">
        <v>1</v>
      </c>
      <c r="B7269" s="3" t="str">
        <f>HYPERLINK("https://otsuka-europe-crm.veevavault.com/ui/#object/approved_document__v/V5OZ025E82TP0C5", "ENFERMERÍA - Guía de Manejo Psicoterapéutico")</f>
        <v>ENFERMERÍA - Guía de Manejo Psicoterapéutico</v>
      </c>
      <c r="C7269" s="3" t="str">
        <f>HYPERLINK("https://otsuka-europe-crm.veevavault.com/ui/#object/sent_email__v/VBLZ025E82HCNRS", "SE-000283955")</f>
        <v>SE-000283955</v>
      </c>
      <c r="D7269" s="1">
        <v>45937.881527777776</v>
      </c>
      <c r="E7269" s="2">
        <v>1</v>
      </c>
      <c r="F7269" s="2">
        <v>1</v>
      </c>
      <c r="G7269" s="2">
        <v>0</v>
      </c>
      <c r="H7269" s="1" t="s">
        <v>0</v>
      </c>
      <c r="I7269" s="2">
        <v>0</v>
      </c>
      <c r="J7269" s="1">
        <v>45937.350960648146</v>
      </c>
    </row>
    <row r="7270" spans="1:10" x14ac:dyDescent="0.2">
      <c r="A7270" s="4" t="s">
        <v>1</v>
      </c>
      <c r="B7270" s="3" t="str">
        <f>HYPERLINK("https://otsuka-europe-crm.veevavault.com/ui/#object/approved_document__v/V5OZ025E82TP0C5", "ENFERMERÍA - Guía de Manejo Psicoterapéutico")</f>
        <v>ENFERMERÍA - Guía de Manejo Psicoterapéutico</v>
      </c>
      <c r="C7270" s="3" t="str">
        <f>HYPERLINK("https://otsuka-europe-crm.veevavault.com/ui/#object/sent_email__v/VBLZ025E82HCNRT", "SE-000283956")</f>
        <v>SE-000283956</v>
      </c>
      <c r="D7270" s="1" t="s">
        <v>0</v>
      </c>
      <c r="E7270" s="2">
        <v>0</v>
      </c>
      <c r="F7270" s="2">
        <v>0</v>
      </c>
      <c r="G7270" s="2">
        <v>0</v>
      </c>
      <c r="H7270" s="1" t="s">
        <v>0</v>
      </c>
      <c r="I7270" s="2">
        <v>0</v>
      </c>
      <c r="J7270" s="1">
        <v>45937.350972222222</v>
      </c>
    </row>
    <row r="7271" spans="1:10" x14ac:dyDescent="0.2">
      <c r="A7271" s="4" t="s">
        <v>1</v>
      </c>
      <c r="B7271" s="3" t="str">
        <f>HYPERLINK("https://otsuka-europe-crm.veevavault.com/ui/#object/approved_document__v/V5OZ025E82TP0C5", "ENFERMERÍA - Guía de Manejo Psicoterapéutico")</f>
        <v>ENFERMERÍA - Guía de Manejo Psicoterapéutico</v>
      </c>
      <c r="C7271" s="3" t="str">
        <f>HYPERLINK("https://otsuka-europe-crm.veevavault.com/ui/#object/sent_email__v/VBLZ025E82HCNRU", "SE-000283957")</f>
        <v>SE-000283957</v>
      </c>
      <c r="D7271" s="1">
        <v>45937.504895833335</v>
      </c>
      <c r="E7271" s="2">
        <v>1</v>
      </c>
      <c r="F7271" s="2">
        <v>1</v>
      </c>
      <c r="G7271" s="2">
        <v>1</v>
      </c>
      <c r="H7271" s="1">
        <v>45937.514675925922</v>
      </c>
      <c r="I7271" s="2">
        <v>2</v>
      </c>
      <c r="J7271" s="1">
        <v>45937.350983796299</v>
      </c>
    </row>
    <row r="7272" spans="1:10" x14ac:dyDescent="0.2">
      <c r="A7272" s="4" t="s">
        <v>1</v>
      </c>
      <c r="B7272" s="3" t="str">
        <f>HYPERLINK("https://otsuka-europe-crm.veevavault.com/ui/#object/approved_document__v/V5OZ025E82TP0C5", "ENFERMERÍA - Guía de Manejo Psicoterapéutico")</f>
        <v>ENFERMERÍA - Guía de Manejo Psicoterapéutico</v>
      </c>
      <c r="C7272" s="3" t="str">
        <f>HYPERLINK("https://otsuka-europe-crm.veevavault.com/ui/#object/sent_email__v/VBLZ025E82HCNRV", "SE-000283958")</f>
        <v>SE-000283958</v>
      </c>
      <c r="D7272" s="1" t="s">
        <v>0</v>
      </c>
      <c r="E7272" s="2">
        <v>0</v>
      </c>
      <c r="F7272" s="2">
        <v>0</v>
      </c>
      <c r="G7272" s="2">
        <v>0</v>
      </c>
      <c r="H7272" s="1" t="s">
        <v>0</v>
      </c>
      <c r="I7272" s="2">
        <v>0</v>
      </c>
      <c r="J7272" s="1">
        <v>45937.350995370369</v>
      </c>
    </row>
    <row r="7273" spans="1:10" x14ac:dyDescent="0.2">
      <c r="A7273" s="4" t="s">
        <v>1</v>
      </c>
      <c r="B7273" s="3" t="str">
        <f>HYPERLINK("https://otsuka-europe-crm.veevavault.com/ui/#object/approved_document__v/V5OZ025E82TP0C5", "ENFERMERÍA - Guía de Manejo Psicoterapéutico")</f>
        <v>ENFERMERÍA - Guía de Manejo Psicoterapéutico</v>
      </c>
      <c r="C7273" s="3" t="str">
        <f>HYPERLINK("https://otsuka-europe-crm.veevavault.com/ui/#object/sent_email__v/VBLZ025E82HCNRW", "SE-000283959")</f>
        <v>SE-000283959</v>
      </c>
      <c r="D7273" s="1">
        <v>45937.362951388888</v>
      </c>
      <c r="E7273" s="2">
        <v>1</v>
      </c>
      <c r="F7273" s="2">
        <v>3</v>
      </c>
      <c r="G7273" s="2">
        <v>0</v>
      </c>
      <c r="H7273" s="1" t="s">
        <v>0</v>
      </c>
      <c r="I7273" s="2">
        <v>0</v>
      </c>
      <c r="J7273" s="1">
        <v>45937.350995370369</v>
      </c>
    </row>
    <row r="7274" spans="1:10" x14ac:dyDescent="0.2">
      <c r="A7274" s="4" t="s">
        <v>1</v>
      </c>
      <c r="B7274" s="3" t="str">
        <f>HYPERLINK("https://otsuka-europe-crm.veevavault.com/ui/#object/approved_document__v/V5OZ025E82TP0C5", "ENFERMERÍA - Guía de Manejo Psicoterapéutico")</f>
        <v>ENFERMERÍA - Guía de Manejo Psicoterapéutico</v>
      </c>
      <c r="C7274" s="3" t="str">
        <f>HYPERLINK("https://otsuka-europe-crm.veevavault.com/ui/#object/sent_email__v/VBLZ025E82HCNRX", "SE-000283960")</f>
        <v>SE-000283960</v>
      </c>
      <c r="D7274" s="1" t="s">
        <v>0</v>
      </c>
      <c r="E7274" s="2">
        <v>0</v>
      </c>
      <c r="F7274" s="2">
        <v>0</v>
      </c>
      <c r="G7274" s="2">
        <v>0</v>
      </c>
      <c r="H7274" s="1" t="s">
        <v>0</v>
      </c>
      <c r="I7274" s="2">
        <v>0</v>
      </c>
      <c r="J7274" s="1">
        <v>45937.351018518515</v>
      </c>
    </row>
    <row r="7275" spans="1:10" x14ac:dyDescent="0.2">
      <c r="A7275" s="4" t="s">
        <v>1</v>
      </c>
      <c r="B7275" s="3" t="str">
        <f>HYPERLINK("https://otsuka-europe-crm.veevavault.com/ui/#object/approved_document__v/V5OZ025E82TP0C5", "ENFERMERÍA - Guía de Manejo Psicoterapéutico")</f>
        <v>ENFERMERÍA - Guía de Manejo Psicoterapéutico</v>
      </c>
      <c r="C7275" s="3" t="str">
        <f>HYPERLINK("https://otsuka-europe-crm.veevavault.com/ui/#object/sent_email__v/VBLZ025E82HCNRY", "SE-000283961")</f>
        <v>SE-000283961</v>
      </c>
      <c r="D7275" s="1" t="s">
        <v>0</v>
      </c>
      <c r="E7275" s="2">
        <v>0</v>
      </c>
      <c r="F7275" s="2">
        <v>0</v>
      </c>
      <c r="G7275" s="2">
        <v>0</v>
      </c>
      <c r="H7275" s="1" t="s">
        <v>0</v>
      </c>
      <c r="I7275" s="2">
        <v>0</v>
      </c>
      <c r="J7275" s="1">
        <v>45937.351018518515</v>
      </c>
    </row>
    <row r="7276" spans="1:10" x14ac:dyDescent="0.2">
      <c r="A7276" s="4" t="s">
        <v>1</v>
      </c>
      <c r="B7276" s="3" t="str">
        <f>HYPERLINK("https://otsuka-europe-crm.veevavault.com/ui/#object/approved_document__v/V5OZ025E82TP0C5", "ENFERMERÍA - Guía de Manejo Psicoterapéutico")</f>
        <v>ENFERMERÍA - Guía de Manejo Psicoterapéutico</v>
      </c>
      <c r="C7276" s="3" t="str">
        <f>HYPERLINK("https://otsuka-europe-crm.veevavault.com/ui/#object/sent_email__v/VBLZ025E82HCNRZ", "SE-000283962")</f>
        <v>SE-000283962</v>
      </c>
      <c r="D7276" s="1">
        <v>45937.967615740738</v>
      </c>
      <c r="E7276" s="2">
        <v>1</v>
      </c>
      <c r="F7276" s="2">
        <v>1</v>
      </c>
      <c r="G7276" s="2">
        <v>1</v>
      </c>
      <c r="H7276" s="1">
        <v>45937.96775462963</v>
      </c>
      <c r="I7276" s="2">
        <v>1</v>
      </c>
      <c r="J7276" s="1">
        <v>45937.351030092592</v>
      </c>
    </row>
    <row r="7277" spans="1:10" x14ac:dyDescent="0.2">
      <c r="A7277" s="4" t="s">
        <v>1</v>
      </c>
      <c r="B7277" s="3" t="str">
        <f>HYPERLINK("https://otsuka-europe-crm.veevavault.com/ui/#object/approved_document__v/V5OZ025E82TP0C5", "ENFERMERÍA - Guía de Manejo Psicoterapéutico")</f>
        <v>ENFERMERÍA - Guía de Manejo Psicoterapéutico</v>
      </c>
      <c r="C7277" s="3" t="str">
        <f>HYPERLINK("https://otsuka-europe-crm.veevavault.com/ui/#object/sent_email__v/VBLZ025E82HCNS0", "SE-000283963")</f>
        <v>SE-000283963</v>
      </c>
      <c r="D7277" s="1" t="s">
        <v>0</v>
      </c>
      <c r="E7277" s="2">
        <v>0</v>
      </c>
      <c r="F7277" s="2">
        <v>0</v>
      </c>
      <c r="G7277" s="2">
        <v>0</v>
      </c>
      <c r="H7277" s="1" t="s">
        <v>0</v>
      </c>
      <c r="I7277" s="2">
        <v>0</v>
      </c>
      <c r="J7277" s="1">
        <v>45937.351030092592</v>
      </c>
    </row>
    <row r="7278" spans="1:10" x14ac:dyDescent="0.2">
      <c r="A7278" s="4" t="s">
        <v>1</v>
      </c>
      <c r="B7278" s="3" t="str">
        <f>HYPERLINK("https://otsuka-europe-crm.veevavault.com/ui/#object/approved_document__v/V5OZ025E82TP0C5", "ENFERMERÍA - Guía de Manejo Psicoterapéutico")</f>
        <v>ENFERMERÍA - Guía de Manejo Psicoterapéutico</v>
      </c>
      <c r="C7278" s="3" t="str">
        <f>HYPERLINK("https://otsuka-europe-crm.veevavault.com/ui/#object/sent_email__v/VBLZ025E82HCNS1", "SE-000283964")</f>
        <v>SE-000283964</v>
      </c>
      <c r="D7278" s="1" t="s">
        <v>0</v>
      </c>
      <c r="E7278" s="2">
        <v>0</v>
      </c>
      <c r="F7278" s="2">
        <v>0</v>
      </c>
      <c r="G7278" s="2">
        <v>0</v>
      </c>
      <c r="H7278" s="1" t="s">
        <v>0</v>
      </c>
      <c r="I7278" s="2">
        <v>0</v>
      </c>
      <c r="J7278" s="1">
        <v>45937.351053240738</v>
      </c>
    </row>
    <row r="7279" spans="1:10" x14ac:dyDescent="0.2">
      <c r="A7279" s="4" t="s">
        <v>1</v>
      </c>
      <c r="B7279" s="3" t="str">
        <f>HYPERLINK("https://otsuka-europe-crm.veevavault.com/ui/#object/approved_document__v/V5OZ025E82TP0C5", "ENFERMERÍA - Guía de Manejo Psicoterapéutico")</f>
        <v>ENFERMERÍA - Guía de Manejo Psicoterapéutico</v>
      </c>
      <c r="C7279" s="3" t="str">
        <f>HYPERLINK("https://otsuka-europe-crm.veevavault.com/ui/#object/sent_email__v/VBLZ025E82HCNS2", "SE-000283965")</f>
        <v>SE-000283965</v>
      </c>
      <c r="D7279" s="1" t="s">
        <v>0</v>
      </c>
      <c r="E7279" s="2">
        <v>0</v>
      </c>
      <c r="F7279" s="2">
        <v>0</v>
      </c>
      <c r="G7279" s="2">
        <v>0</v>
      </c>
      <c r="H7279" s="1" t="s">
        <v>0</v>
      </c>
      <c r="I7279" s="2">
        <v>0</v>
      </c>
      <c r="J7279" s="1">
        <v>45937.351064814815</v>
      </c>
    </row>
    <row r="7280" spans="1:10" x14ac:dyDescent="0.2">
      <c r="A7280" s="4" t="s">
        <v>1</v>
      </c>
      <c r="B7280" s="3" t="str">
        <f>HYPERLINK("https://otsuka-europe-crm.veevavault.com/ui/#object/approved_document__v/V5OZ025E82TP0C5", "ENFERMERÍA - Guía de Manejo Psicoterapéutico")</f>
        <v>ENFERMERÍA - Guía de Manejo Psicoterapéutico</v>
      </c>
      <c r="C7280" s="3" t="str">
        <f>HYPERLINK("https://otsuka-europe-crm.veevavault.com/ui/#object/sent_email__v/VBLZ025E82HCNS3", "SE-000283966")</f>
        <v>SE-000283966</v>
      </c>
      <c r="D7280" s="1">
        <v>45947.189293981479</v>
      </c>
      <c r="E7280" s="2">
        <v>1</v>
      </c>
      <c r="F7280" s="2">
        <v>2</v>
      </c>
      <c r="G7280" s="2">
        <v>0</v>
      </c>
      <c r="H7280" s="1" t="s">
        <v>0</v>
      </c>
      <c r="I7280" s="2">
        <v>0</v>
      </c>
      <c r="J7280" s="1">
        <v>45937.351076388892</v>
      </c>
    </row>
    <row r="7281" spans="1:10" x14ac:dyDescent="0.2">
      <c r="A7281" s="4" t="s">
        <v>1</v>
      </c>
      <c r="B7281" s="3" t="str">
        <f>HYPERLINK("https://otsuka-europe-crm.veevavault.com/ui/#object/approved_document__v/V5OZ025E82TP0C5", "ENFERMERÍA - Guía de Manejo Psicoterapéutico")</f>
        <v>ENFERMERÍA - Guía de Manejo Psicoterapéutico</v>
      </c>
      <c r="C7281" s="3" t="str">
        <f>HYPERLINK("https://otsuka-europe-crm.veevavault.com/ui/#object/sent_email__v/VBLZ025E82HCNS4", "SE-000283967")</f>
        <v>SE-000283967</v>
      </c>
      <c r="D7281" s="1" t="s">
        <v>0</v>
      </c>
      <c r="E7281" s="2">
        <v>0</v>
      </c>
      <c r="F7281" s="2">
        <v>0</v>
      </c>
      <c r="G7281" s="2">
        <v>0</v>
      </c>
      <c r="H7281" s="1" t="s">
        <v>0</v>
      </c>
      <c r="I7281" s="2">
        <v>0</v>
      </c>
      <c r="J7281" s="1">
        <v>45937.351076388892</v>
      </c>
    </row>
    <row r="7282" spans="1:10" x14ac:dyDescent="0.2">
      <c r="A7282" s="4" t="s">
        <v>1</v>
      </c>
      <c r="B7282" s="3" t="str">
        <f>HYPERLINK("https://otsuka-europe-crm.veevavault.com/ui/#object/approved_document__v/V5OZ025E82TP0C5", "ENFERMERÍA - Guía de Manejo Psicoterapéutico")</f>
        <v>ENFERMERÍA - Guía de Manejo Psicoterapéutico</v>
      </c>
      <c r="C7282" s="3" t="str">
        <f>HYPERLINK("https://otsuka-europe-crm.veevavault.com/ui/#object/sent_email__v/VBLZ025E82HCNS5", "SE-000283968")</f>
        <v>SE-000283968</v>
      </c>
      <c r="D7282" s="1">
        <v>45940.485636574071</v>
      </c>
      <c r="E7282" s="2">
        <v>1</v>
      </c>
      <c r="F7282" s="2">
        <v>2</v>
      </c>
      <c r="G7282" s="2">
        <v>0</v>
      </c>
      <c r="H7282" s="1" t="s">
        <v>0</v>
      </c>
      <c r="I7282" s="2">
        <v>0</v>
      </c>
      <c r="J7282" s="1">
        <v>45937.351087962961</v>
      </c>
    </row>
    <row r="7283" spans="1:10" x14ac:dyDescent="0.2">
      <c r="A7283" s="4" t="s">
        <v>1</v>
      </c>
      <c r="B7283" s="3" t="str">
        <f>HYPERLINK("https://otsuka-europe-crm.veevavault.com/ui/#object/approved_document__v/V5OZ025E82TP0C5", "ENFERMERÍA - Guía de Manejo Psicoterapéutico")</f>
        <v>ENFERMERÍA - Guía de Manejo Psicoterapéutico</v>
      </c>
      <c r="C7283" s="3" t="str">
        <f>HYPERLINK("https://otsuka-europe-crm.veevavault.com/ui/#object/sent_email__v/VBLZ025E82HCNS6", "SE-000283969")</f>
        <v>SE-000283969</v>
      </c>
      <c r="D7283" s="1" t="s">
        <v>0</v>
      </c>
      <c r="E7283" s="2">
        <v>0</v>
      </c>
      <c r="F7283" s="2">
        <v>0</v>
      </c>
      <c r="G7283" s="2">
        <v>0</v>
      </c>
      <c r="H7283" s="1" t="s">
        <v>0</v>
      </c>
      <c r="I7283" s="2">
        <v>0</v>
      </c>
      <c r="J7283" s="1">
        <v>45937.351099537038</v>
      </c>
    </row>
    <row r="7284" spans="1:10" x14ac:dyDescent="0.2">
      <c r="A7284" s="4" t="s">
        <v>1</v>
      </c>
      <c r="B7284" s="3" t="str">
        <f>HYPERLINK("https://otsuka-europe-crm.veevavault.com/ui/#object/approved_document__v/V5OZ025E82TP0C5", "ENFERMERÍA - Guía de Manejo Psicoterapéutico")</f>
        <v>ENFERMERÍA - Guía de Manejo Psicoterapéutico</v>
      </c>
      <c r="C7284" s="3" t="str">
        <f>HYPERLINK("https://otsuka-europe-crm.veevavault.com/ui/#object/sent_email__v/VBLZ025E82HCNS7", "SE-000283970")</f>
        <v>SE-000283970</v>
      </c>
      <c r="D7284" s="1">
        <v>45940.503923611112</v>
      </c>
      <c r="E7284" s="2">
        <v>1</v>
      </c>
      <c r="F7284" s="2">
        <v>1</v>
      </c>
      <c r="G7284" s="2">
        <v>1</v>
      </c>
      <c r="H7284" s="1">
        <v>45940.504004629627</v>
      </c>
      <c r="I7284" s="2">
        <v>1</v>
      </c>
      <c r="J7284" s="1">
        <v>45937.351111111115</v>
      </c>
    </row>
    <row r="7285" spans="1:10" x14ac:dyDescent="0.2">
      <c r="A7285" s="4" t="s">
        <v>1</v>
      </c>
      <c r="B7285" s="3" t="str">
        <f>HYPERLINK("https://otsuka-europe-crm.veevavault.com/ui/#object/approved_document__v/V5OZ025E82TP0C5", "ENFERMERÍA - Guía de Manejo Psicoterapéutico")</f>
        <v>ENFERMERÍA - Guía de Manejo Psicoterapéutico</v>
      </c>
      <c r="C7285" s="3" t="str">
        <f>HYPERLINK("https://otsuka-europe-crm.veevavault.com/ui/#object/sent_email__v/VBLZ025E82HCNS8", "SE-000283971")</f>
        <v>SE-000283971</v>
      </c>
      <c r="D7285" s="1" t="s">
        <v>0</v>
      </c>
      <c r="E7285" s="2">
        <v>0</v>
      </c>
      <c r="F7285" s="2">
        <v>0</v>
      </c>
      <c r="G7285" s="2">
        <v>0</v>
      </c>
      <c r="H7285" s="1" t="s">
        <v>0</v>
      </c>
      <c r="I7285" s="2">
        <v>0</v>
      </c>
      <c r="J7285" s="1">
        <v>45937.351122685184</v>
      </c>
    </row>
    <row r="7286" spans="1:10" x14ac:dyDescent="0.2">
      <c r="A7286" s="4" t="s">
        <v>1</v>
      </c>
      <c r="B7286" s="3" t="str">
        <f>HYPERLINK("https://otsuka-europe-crm.veevavault.com/ui/#object/approved_document__v/V5OZ025E82TP0C5", "ENFERMERÍA - Guía de Manejo Psicoterapéutico")</f>
        <v>ENFERMERÍA - Guía de Manejo Psicoterapéutico</v>
      </c>
      <c r="C7286" s="3" t="str">
        <f>HYPERLINK("https://otsuka-europe-crm.veevavault.com/ui/#object/sent_email__v/VBLZ025E82HCNS9", "SE-000283972")</f>
        <v>SE-000283972</v>
      </c>
      <c r="D7286" s="1">
        <v>45938.713414351849</v>
      </c>
      <c r="E7286" s="2">
        <v>1</v>
      </c>
      <c r="F7286" s="2">
        <v>1</v>
      </c>
      <c r="G7286" s="2">
        <v>0</v>
      </c>
      <c r="H7286" s="1" t="s">
        <v>0</v>
      </c>
      <c r="I7286" s="2">
        <v>0</v>
      </c>
      <c r="J7286" s="1">
        <v>45937.351134259261</v>
      </c>
    </row>
    <row r="7287" spans="1:10" x14ac:dyDescent="0.2">
      <c r="A7287" s="4" t="s">
        <v>1</v>
      </c>
      <c r="B7287" s="3" t="str">
        <f>HYPERLINK("https://otsuka-europe-crm.veevavault.com/ui/#object/approved_document__v/V5OZ025E82TP0C5", "ENFERMERÍA - Guía de Manejo Psicoterapéutico")</f>
        <v>ENFERMERÍA - Guía de Manejo Psicoterapéutico</v>
      </c>
      <c r="C7287" s="3" t="str">
        <f>HYPERLINK("https://otsuka-europe-crm.veevavault.com/ui/#object/sent_email__v/VBLZ025E82HCNSA", "SE-000283973")</f>
        <v>SE-000283973</v>
      </c>
      <c r="D7287" s="1" t="s">
        <v>0</v>
      </c>
      <c r="E7287" s="2">
        <v>0</v>
      </c>
      <c r="F7287" s="2">
        <v>0</v>
      </c>
      <c r="G7287" s="2">
        <v>0</v>
      </c>
      <c r="H7287" s="1" t="s">
        <v>0</v>
      </c>
      <c r="I7287" s="2">
        <v>0</v>
      </c>
      <c r="J7287" s="1">
        <v>45937.351134259261</v>
      </c>
    </row>
    <row r="7288" spans="1:10" x14ac:dyDescent="0.2">
      <c r="A7288" s="4" t="s">
        <v>1</v>
      </c>
      <c r="B7288" s="3" t="str">
        <f>HYPERLINK("https://otsuka-europe-crm.veevavault.com/ui/#object/approved_document__v/V5OZ025E82TP0C5", "ENFERMERÍA - Guía de Manejo Psicoterapéutico")</f>
        <v>ENFERMERÍA - Guía de Manejo Psicoterapéutico</v>
      </c>
      <c r="C7288" s="3" t="str">
        <f>HYPERLINK("https://otsuka-europe-crm.veevavault.com/ui/#object/sent_email__v/VBLZ025E82HCNSB", "SE-000283974")</f>
        <v>SE-000283974</v>
      </c>
      <c r="D7288" s="1">
        <v>45967.268414351849</v>
      </c>
      <c r="E7288" s="2">
        <v>1</v>
      </c>
      <c r="F7288" s="2">
        <v>2</v>
      </c>
      <c r="G7288" s="2">
        <v>0</v>
      </c>
      <c r="H7288" s="1" t="s">
        <v>0</v>
      </c>
      <c r="I7288" s="2">
        <v>0</v>
      </c>
      <c r="J7288" s="1">
        <v>45937.351157407407</v>
      </c>
    </row>
    <row r="7289" spans="1:10" x14ac:dyDescent="0.2">
      <c r="A7289" s="4" t="s">
        <v>1</v>
      </c>
      <c r="B7289" s="3" t="str">
        <f>HYPERLINK("https://otsuka-europe-crm.veevavault.com/ui/#object/approved_document__v/V5OZ025E82TP0C5", "ENFERMERÍA - Guía de Manejo Psicoterapéutico")</f>
        <v>ENFERMERÍA - Guía de Manejo Psicoterapéutico</v>
      </c>
      <c r="C7289" s="3" t="str">
        <f>HYPERLINK("https://otsuka-europe-crm.veevavault.com/ui/#object/sent_email__v/VBLZ025E82HCNSC", "SE-000283975")</f>
        <v>SE-000283975</v>
      </c>
      <c r="D7289" s="1">
        <v>45947.851793981485</v>
      </c>
      <c r="E7289" s="2">
        <v>1</v>
      </c>
      <c r="F7289" s="2">
        <v>2</v>
      </c>
      <c r="G7289" s="2">
        <v>0</v>
      </c>
      <c r="H7289" s="1" t="s">
        <v>0</v>
      </c>
      <c r="I7289" s="2">
        <v>0</v>
      </c>
      <c r="J7289" s="1">
        <v>45937.351157407407</v>
      </c>
    </row>
    <row r="7290" spans="1:10" x14ac:dyDescent="0.2">
      <c r="A7290" s="4" t="s">
        <v>1</v>
      </c>
      <c r="B7290" s="3" t="str">
        <f>HYPERLINK("https://otsuka-europe-crm.veevavault.com/ui/#object/approved_document__v/V5OZ025E82TP0C5", "ENFERMERÍA - Guía de Manejo Psicoterapéutico")</f>
        <v>ENFERMERÍA - Guía de Manejo Psicoterapéutico</v>
      </c>
      <c r="C7290" s="3" t="str">
        <f>HYPERLINK("https://otsuka-europe-crm.veevavault.com/ui/#object/sent_email__v/VBLZ025E82HCNSD", "SE-000283976")</f>
        <v>SE-000283976</v>
      </c>
      <c r="D7290" s="1" t="s">
        <v>0</v>
      </c>
      <c r="E7290" s="2">
        <v>0</v>
      </c>
      <c r="F7290" s="2">
        <v>0</v>
      </c>
      <c r="G7290" s="2">
        <v>0</v>
      </c>
      <c r="H7290" s="1" t="s">
        <v>0</v>
      </c>
      <c r="I7290" s="2">
        <v>0</v>
      </c>
      <c r="J7290" s="1">
        <v>45937.351168981484</v>
      </c>
    </row>
    <row r="7291" spans="1:10" x14ac:dyDescent="0.2">
      <c r="A7291" s="4" t="s">
        <v>1</v>
      </c>
      <c r="B7291" s="3" t="str">
        <f>HYPERLINK("https://otsuka-europe-crm.veevavault.com/ui/#object/approved_document__v/V5OZ025E82TP0C5", "ENFERMERÍA - Guía de Manejo Psicoterapéutico")</f>
        <v>ENFERMERÍA - Guía de Manejo Psicoterapéutico</v>
      </c>
      <c r="C7291" s="3" t="str">
        <f>HYPERLINK("https://otsuka-europe-crm.veevavault.com/ui/#object/sent_email__v/VBLZ025E82HCNSE", "SE-000283977")</f>
        <v>SE-000283977</v>
      </c>
      <c r="D7291" s="1" t="s">
        <v>0</v>
      </c>
      <c r="E7291" s="2">
        <v>0</v>
      </c>
      <c r="F7291" s="2">
        <v>0</v>
      </c>
      <c r="G7291" s="2">
        <v>0</v>
      </c>
      <c r="H7291" s="1" t="s">
        <v>0</v>
      </c>
      <c r="I7291" s="2">
        <v>0</v>
      </c>
      <c r="J7291" s="1">
        <v>45937.351180555554</v>
      </c>
    </row>
    <row r="7292" spans="1:10" x14ac:dyDescent="0.2">
      <c r="A7292" s="4" t="s">
        <v>1</v>
      </c>
      <c r="B7292" s="3" t="str">
        <f>HYPERLINK("https://otsuka-europe-crm.veevavault.com/ui/#object/approved_document__v/V5OZ025E82TP0C5", "ENFERMERÍA - Guía de Manejo Psicoterapéutico")</f>
        <v>ENFERMERÍA - Guía de Manejo Psicoterapéutico</v>
      </c>
      <c r="C7292" s="3" t="str">
        <f>HYPERLINK("https://otsuka-europe-crm.veevavault.com/ui/#object/sent_email__v/VBLZ025E82HCNSF", "SE-000283978")</f>
        <v>SE-000283978</v>
      </c>
      <c r="D7292" s="1" t="s">
        <v>0</v>
      </c>
      <c r="E7292" s="2">
        <v>0</v>
      </c>
      <c r="F7292" s="2">
        <v>0</v>
      </c>
      <c r="G7292" s="2">
        <v>0</v>
      </c>
      <c r="H7292" s="1" t="s">
        <v>0</v>
      </c>
      <c r="I7292" s="2">
        <v>0</v>
      </c>
      <c r="J7292" s="1">
        <v>45937.35119212963</v>
      </c>
    </row>
    <row r="7293" spans="1:10" x14ac:dyDescent="0.2">
      <c r="A7293" s="4" t="s">
        <v>1</v>
      </c>
      <c r="B7293" s="3" t="str">
        <f>HYPERLINK("https://otsuka-europe-crm.veevavault.com/ui/#object/approved_document__v/V5OZ025E82TP0C5", "ENFERMERÍA - Guía de Manejo Psicoterapéutico")</f>
        <v>ENFERMERÍA - Guía de Manejo Psicoterapéutico</v>
      </c>
      <c r="C7293" s="3" t="str">
        <f>HYPERLINK("https://otsuka-europe-crm.veevavault.com/ui/#object/sent_email__v/VBLZ025E82HCNSG", "SE-000283979")</f>
        <v>SE-000283979</v>
      </c>
      <c r="D7293" s="1" t="s">
        <v>0</v>
      </c>
      <c r="E7293" s="2">
        <v>0</v>
      </c>
      <c r="F7293" s="2">
        <v>0</v>
      </c>
      <c r="G7293" s="2">
        <v>0</v>
      </c>
      <c r="H7293" s="1" t="s">
        <v>0</v>
      </c>
      <c r="I7293" s="2">
        <v>0</v>
      </c>
      <c r="J7293" s="1">
        <v>45937.351203703707</v>
      </c>
    </row>
    <row r="7294" spans="1:10" x14ac:dyDescent="0.2">
      <c r="A7294" s="4" t="s">
        <v>1</v>
      </c>
      <c r="B7294" s="3" t="str">
        <f>HYPERLINK("https://otsuka-europe-crm.veevavault.com/ui/#object/approved_document__v/V5OZ025E82TP0C5", "ENFERMERÍA - Guía de Manejo Psicoterapéutico")</f>
        <v>ENFERMERÍA - Guía de Manejo Psicoterapéutico</v>
      </c>
      <c r="C7294" s="3" t="str">
        <f>HYPERLINK("https://otsuka-europe-crm.veevavault.com/ui/#object/sent_email__v/VBLZ025E82HCNSH", "SE-000283980")</f>
        <v>SE-000283980</v>
      </c>
      <c r="D7294" s="1">
        <v>45937.361817129633</v>
      </c>
      <c r="E7294" s="2">
        <v>1</v>
      </c>
      <c r="F7294" s="2">
        <v>2</v>
      </c>
      <c r="G7294" s="2">
        <v>0</v>
      </c>
      <c r="H7294" s="1" t="s">
        <v>0</v>
      </c>
      <c r="I7294" s="2">
        <v>0</v>
      </c>
      <c r="J7294" s="1">
        <v>45937.351215277777</v>
      </c>
    </row>
    <row r="7295" spans="1:10" x14ac:dyDescent="0.2">
      <c r="A7295" s="4" t="s">
        <v>1</v>
      </c>
      <c r="B7295" s="3" t="str">
        <f>HYPERLINK("https://otsuka-europe-crm.veevavault.com/ui/#object/approved_document__v/V5OZ025E82TP0C5", "ENFERMERÍA - Guía de Manejo Psicoterapéutico")</f>
        <v>ENFERMERÍA - Guía de Manejo Psicoterapéutico</v>
      </c>
      <c r="C7295" s="3" t="str">
        <f>HYPERLINK("https://otsuka-europe-crm.veevavault.com/ui/#object/sent_email__v/VBLZ025E82HCNSI", "SE-000283981")</f>
        <v>SE-000283981</v>
      </c>
      <c r="D7295" s="1" t="s">
        <v>0</v>
      </c>
      <c r="E7295" s="2">
        <v>0</v>
      </c>
      <c r="F7295" s="2">
        <v>0</v>
      </c>
      <c r="G7295" s="2">
        <v>0</v>
      </c>
      <c r="H7295" s="1" t="s">
        <v>0</v>
      </c>
      <c r="I7295" s="2">
        <v>0</v>
      </c>
      <c r="J7295" s="1">
        <v>45937.351226851853</v>
      </c>
    </row>
    <row r="7296" spans="1:10" x14ac:dyDescent="0.2">
      <c r="A7296" s="4" t="s">
        <v>1</v>
      </c>
      <c r="B7296" s="3" t="str">
        <f>HYPERLINK("https://otsuka-europe-crm.veevavault.com/ui/#object/approved_document__v/V5OZ025E82TP0C5", "ENFERMERÍA - Guía de Manejo Psicoterapéutico")</f>
        <v>ENFERMERÍA - Guía de Manejo Psicoterapéutico</v>
      </c>
      <c r="C7296" s="3" t="str">
        <f>HYPERLINK("https://otsuka-europe-crm.veevavault.com/ui/#object/sent_email__v/VBLZ025E82HCNT5", "SE-000283982")</f>
        <v>SE-000283982</v>
      </c>
      <c r="D7296" s="1" t="s">
        <v>0</v>
      </c>
      <c r="E7296" s="2">
        <v>0</v>
      </c>
      <c r="F7296" s="2">
        <v>0</v>
      </c>
      <c r="G7296" s="2">
        <v>0</v>
      </c>
      <c r="H7296" s="1" t="s">
        <v>0</v>
      </c>
      <c r="I7296" s="2">
        <v>0</v>
      </c>
      <c r="J7296" s="1">
        <v>45937.350370370368</v>
      </c>
    </row>
    <row r="7297" spans="1:10" x14ac:dyDescent="0.2">
      <c r="A7297" s="4" t="s">
        <v>1</v>
      </c>
      <c r="B7297" s="3" t="str">
        <f>HYPERLINK("https://otsuka-europe-crm.veevavault.com/ui/#object/approved_document__v/V5OZ025E82TP0C5", "ENFERMERÍA - Guía de Manejo Psicoterapéutico")</f>
        <v>ENFERMERÍA - Guía de Manejo Psicoterapéutico</v>
      </c>
      <c r="C7297" s="3" t="str">
        <f>HYPERLINK("https://otsuka-europe-crm.veevavault.com/ui/#object/sent_email__v/VBLZ025E82HCNT6", "SE-000283983")</f>
        <v>SE-000283983</v>
      </c>
      <c r="D7297" s="1">
        <v>45938.709976851853</v>
      </c>
      <c r="E7297" s="2">
        <v>1</v>
      </c>
      <c r="F7297" s="2">
        <v>2</v>
      </c>
      <c r="G7297" s="2">
        <v>0</v>
      </c>
      <c r="H7297" s="1" t="s">
        <v>0</v>
      </c>
      <c r="I7297" s="2">
        <v>0</v>
      </c>
      <c r="J7297" s="1">
        <v>45937.350381944445</v>
      </c>
    </row>
    <row r="7298" spans="1:10" x14ac:dyDescent="0.2">
      <c r="A7298" s="4" t="s">
        <v>1</v>
      </c>
      <c r="B7298" s="3" t="str">
        <f>HYPERLINK("https://otsuka-europe-crm.veevavault.com/ui/#object/approved_document__v/V5OZ025E82TP0C5", "ENFERMERÍA - Guía de Manejo Psicoterapéutico")</f>
        <v>ENFERMERÍA - Guía de Manejo Psicoterapéutico</v>
      </c>
      <c r="C7298" s="3" t="str">
        <f>HYPERLINK("https://otsuka-europe-crm.veevavault.com/ui/#object/sent_email__v/VBLZ025E82HCNT7", "SE-000283984")</f>
        <v>SE-000283984</v>
      </c>
      <c r="D7298" s="1">
        <v>45937.354143518518</v>
      </c>
      <c r="E7298" s="2">
        <v>1</v>
      </c>
      <c r="F7298" s="2">
        <v>1</v>
      </c>
      <c r="G7298" s="2">
        <v>0</v>
      </c>
      <c r="H7298" s="1" t="s">
        <v>0</v>
      </c>
      <c r="I7298" s="2">
        <v>0</v>
      </c>
      <c r="J7298" s="1">
        <v>45937.350787037038</v>
      </c>
    </row>
    <row r="7299" spans="1:10" x14ac:dyDescent="0.2">
      <c r="A7299" s="4" t="s">
        <v>1</v>
      </c>
      <c r="B7299" s="3" t="str">
        <f>HYPERLINK("https://otsuka-europe-crm.veevavault.com/ui/#object/approved_document__v/V5OZ025E82TP0C5", "ENFERMERÍA - Guía de Manejo Psicoterapéutico")</f>
        <v>ENFERMERÍA - Guía de Manejo Psicoterapéutico</v>
      </c>
      <c r="C7299" s="3" t="str">
        <f>HYPERLINK("https://otsuka-europe-crm.veevavault.com/ui/#object/sent_email__v/VBLZ025E82HCNT8", "SE-000283985")</f>
        <v>SE-000283985</v>
      </c>
      <c r="D7299" s="1">
        <v>45939.77789351852</v>
      </c>
      <c r="E7299" s="2">
        <v>1</v>
      </c>
      <c r="F7299" s="2">
        <v>2</v>
      </c>
      <c r="G7299" s="2">
        <v>0</v>
      </c>
      <c r="H7299" s="1" t="s">
        <v>0</v>
      </c>
      <c r="I7299" s="2">
        <v>0</v>
      </c>
      <c r="J7299" s="1">
        <v>45937.351053240738</v>
      </c>
    </row>
    <row r="7300" spans="1:10" x14ac:dyDescent="0.2">
      <c r="A7300" s="4" t="s">
        <v>1</v>
      </c>
      <c r="B7300" s="3" t="str">
        <f>HYPERLINK("https://otsuka-europe-crm.veevavault.com/ui/#object/approved_document__v/V5OZ025E82TP0C5", "ENFERMERÍA - Guía de Manejo Psicoterapéutico")</f>
        <v>ENFERMERÍA - Guía de Manejo Psicoterapéutico</v>
      </c>
      <c r="C7300" s="3" t="str">
        <f>HYPERLINK("https://otsuka-europe-crm.veevavault.com/ui/#object/sent_email__v/VBLZ025E82HKS8X", "SE-000287580")</f>
        <v>SE-000287580</v>
      </c>
      <c r="D7300" s="1" t="s">
        <v>0</v>
      </c>
      <c r="E7300" s="2">
        <v>0</v>
      </c>
      <c r="F7300" s="2">
        <v>0</v>
      </c>
      <c r="G7300" s="2">
        <v>0</v>
      </c>
      <c r="H7300" s="1" t="s">
        <v>0</v>
      </c>
      <c r="I7300" s="2">
        <v>0</v>
      </c>
      <c r="J7300" s="1">
        <v>45945.376203703701</v>
      </c>
    </row>
    <row r="7301" spans="1:10" x14ac:dyDescent="0.2">
      <c r="A7301" s="4" t="s">
        <v>1</v>
      </c>
      <c r="B7301" s="3" t="str">
        <f>HYPERLINK("https://otsuka-europe-crm.veevavault.com/ui/#object/approved_document__v/V5OZ025E82TP0C5", "ENFERMERÍA - Guía de Manejo Psicoterapéutico")</f>
        <v>ENFERMERÍA - Guía de Manejo Psicoterapéutico</v>
      </c>
      <c r="C7301" s="3" t="str">
        <f>HYPERLINK("https://otsuka-europe-crm.veevavault.com/ui/#object/sent_email__v/VBLZ025E82HKS8Y", "SE-000287581")</f>
        <v>SE-000287581</v>
      </c>
      <c r="D7301" s="1">
        <v>45945.391747685186</v>
      </c>
      <c r="E7301" s="2">
        <v>1</v>
      </c>
      <c r="F7301" s="2">
        <v>1</v>
      </c>
      <c r="G7301" s="2">
        <v>0</v>
      </c>
      <c r="H7301" s="1" t="s">
        <v>0</v>
      </c>
      <c r="I7301" s="2">
        <v>0</v>
      </c>
      <c r="J7301" s="1">
        <v>45945.376238425924</v>
      </c>
    </row>
    <row r="7302" spans="1:10" x14ac:dyDescent="0.2">
      <c r="A7302" s="4" t="s">
        <v>1</v>
      </c>
      <c r="B7302" s="3" t="str">
        <f>HYPERLINK("https://otsuka-europe-crm.veevavault.com/ui/#object/approved_document__v/V5OZ025E82TP0C5", "ENFERMERÍA - Guía de Manejo Psicoterapéutico")</f>
        <v>ENFERMERÍA - Guía de Manejo Psicoterapéutico</v>
      </c>
      <c r="C7302" s="3" t="str">
        <f>HYPERLINK("https://otsuka-europe-crm.veevavault.com/ui/#object/sent_email__v/VBLZ025E82HKS8Z", "SE-000287582")</f>
        <v>SE-000287582</v>
      </c>
      <c r="D7302" s="1" t="s">
        <v>0</v>
      </c>
      <c r="E7302" s="2">
        <v>0</v>
      </c>
      <c r="F7302" s="2">
        <v>0</v>
      </c>
      <c r="G7302" s="2">
        <v>0</v>
      </c>
      <c r="H7302" s="1" t="s">
        <v>0</v>
      </c>
      <c r="I7302" s="2">
        <v>0</v>
      </c>
      <c r="J7302" s="1">
        <v>45945.376238425924</v>
      </c>
    </row>
    <row r="7303" spans="1:10" x14ac:dyDescent="0.2">
      <c r="A7303" s="4" t="s">
        <v>1</v>
      </c>
      <c r="B7303" s="3" t="str">
        <f>HYPERLINK("https://otsuka-europe-crm.veevavault.com/ui/#object/approved_document__v/V5OZ025E82TP0C5", "ENFERMERÍA - Guía de Manejo Psicoterapéutico")</f>
        <v>ENFERMERÍA - Guía de Manejo Psicoterapéutico</v>
      </c>
      <c r="C7303" s="3" t="str">
        <f>HYPERLINK("https://otsuka-europe-crm.veevavault.com/ui/#object/sent_email__v/VBLZ025E82HKS90", "SE-000287583")</f>
        <v>SE-000287583</v>
      </c>
      <c r="D7303" s="1" t="s">
        <v>0</v>
      </c>
      <c r="E7303" s="2">
        <v>0</v>
      </c>
      <c r="F7303" s="2">
        <v>0</v>
      </c>
      <c r="G7303" s="2">
        <v>0</v>
      </c>
      <c r="H7303" s="1" t="s">
        <v>0</v>
      </c>
      <c r="I7303" s="2">
        <v>0</v>
      </c>
      <c r="J7303" s="1">
        <v>45945.376238425924</v>
      </c>
    </row>
    <row r="7304" spans="1:10" x14ac:dyDescent="0.2">
      <c r="A7304" s="4" t="s">
        <v>1</v>
      </c>
      <c r="B7304" s="3" t="str">
        <f>HYPERLINK("https://otsuka-europe-crm.veevavault.com/ui/#object/approved_document__v/V5OZ025E82TP0C5", "ENFERMERÍA - Guía de Manejo Psicoterapéutico")</f>
        <v>ENFERMERÍA - Guía de Manejo Psicoterapéutico</v>
      </c>
      <c r="C7304" s="3" t="str">
        <f>HYPERLINK("https://otsuka-europe-crm.veevavault.com/ui/#object/sent_email__v/VBLZ025E82HKS91", "SE-000287584")</f>
        <v>SE-000287584</v>
      </c>
      <c r="D7304" s="1">
        <v>45951.649699074071</v>
      </c>
      <c r="E7304" s="2">
        <v>1</v>
      </c>
      <c r="F7304" s="2">
        <v>1</v>
      </c>
      <c r="G7304" s="2">
        <v>0</v>
      </c>
      <c r="H7304" s="1" t="s">
        <v>0</v>
      </c>
      <c r="I7304" s="2">
        <v>0</v>
      </c>
      <c r="J7304" s="1">
        <v>45945.376261574071</v>
      </c>
    </row>
    <row r="7305" spans="1:10" x14ac:dyDescent="0.2">
      <c r="A7305" s="4" t="s">
        <v>1</v>
      </c>
      <c r="B7305" s="3" t="str">
        <f>HYPERLINK("https://otsuka-europe-crm.veevavault.com/ui/#object/approved_document__v/V5OZ025E82TP0C5", "ENFERMERÍA - Guía de Manejo Psicoterapéutico")</f>
        <v>ENFERMERÍA - Guía de Manejo Psicoterapéutico</v>
      </c>
      <c r="C7305" s="3" t="str">
        <f>HYPERLINK("https://otsuka-europe-crm.veevavault.com/ui/#object/sent_email__v/VBLZ025E82HKS92", "SE-000287585")</f>
        <v>SE-000287585</v>
      </c>
      <c r="D7305" s="1">
        <v>45952.666307870371</v>
      </c>
      <c r="E7305" s="2">
        <v>1</v>
      </c>
      <c r="F7305" s="2">
        <v>6</v>
      </c>
      <c r="G7305" s="2">
        <v>1</v>
      </c>
      <c r="H7305" s="1">
        <v>45945.707291666666</v>
      </c>
      <c r="I7305" s="2">
        <v>1</v>
      </c>
      <c r="J7305" s="1">
        <v>45945.376250000001</v>
      </c>
    </row>
    <row r="7306" spans="1:10" x14ac:dyDescent="0.2">
      <c r="A7306" s="4" t="s">
        <v>1</v>
      </c>
      <c r="B7306" s="3" t="str">
        <f>HYPERLINK("https://otsuka-europe-crm.veevavault.com/ui/#object/approved_document__v/V5OZ025E82TP0C5", "ENFERMERÍA - Guía de Manejo Psicoterapéutico")</f>
        <v>ENFERMERÍA - Guía de Manejo Psicoterapéutico</v>
      </c>
      <c r="C7306" s="3" t="str">
        <f>HYPERLINK("https://otsuka-europe-crm.veevavault.com/ui/#object/sent_email__v/VBLZ025E82HKS93", "SE-000287586")</f>
        <v>SE-000287586</v>
      </c>
      <c r="D7306" s="1">
        <v>45945.377256944441</v>
      </c>
      <c r="E7306" s="2">
        <v>1</v>
      </c>
      <c r="F7306" s="2">
        <v>1</v>
      </c>
      <c r="G7306" s="2">
        <v>0</v>
      </c>
      <c r="H7306" s="1" t="s">
        <v>0</v>
      </c>
      <c r="I7306" s="2">
        <v>0</v>
      </c>
      <c r="J7306" s="1">
        <v>45945.376273148147</v>
      </c>
    </row>
    <row r="7307" spans="1:10" x14ac:dyDescent="0.2">
      <c r="A7307" s="4" t="s">
        <v>1</v>
      </c>
      <c r="B7307" s="3" t="str">
        <f>HYPERLINK("https://otsuka-europe-crm.veevavault.com/ui/#object/approved_document__v/V5OZ025E82TP0C5", "ENFERMERÍA - Guía de Manejo Psicoterapéutico")</f>
        <v>ENFERMERÍA - Guía de Manejo Psicoterapéutico</v>
      </c>
      <c r="C7307" s="3" t="str">
        <f>HYPERLINK("https://otsuka-europe-crm.veevavault.com/ui/#object/sent_email__v/VBLZ025E82HKS94", "SE-000287587")</f>
        <v>SE-000287587</v>
      </c>
      <c r="D7307" s="1" t="s">
        <v>0</v>
      </c>
      <c r="E7307" s="2">
        <v>0</v>
      </c>
      <c r="F7307" s="2">
        <v>0</v>
      </c>
      <c r="G7307" s="2">
        <v>0</v>
      </c>
      <c r="H7307" s="1" t="s">
        <v>0</v>
      </c>
      <c r="I7307" s="2">
        <v>0</v>
      </c>
      <c r="J7307" s="1">
        <v>45945.376273148147</v>
      </c>
    </row>
    <row r="7308" spans="1:10" x14ac:dyDescent="0.2">
      <c r="A7308" s="4" t="s">
        <v>1</v>
      </c>
      <c r="B7308" s="3" t="str">
        <f>HYPERLINK("https://otsuka-europe-crm.veevavault.com/ui/#object/approved_document__v/V5OZ025E82TP0C5", "ENFERMERÍA - Guía de Manejo Psicoterapéutico")</f>
        <v>ENFERMERÍA - Guía de Manejo Psicoterapéutico</v>
      </c>
      <c r="C7308" s="3" t="str">
        <f>HYPERLINK("https://otsuka-europe-crm.veevavault.com/ui/#object/sent_email__v/VBLZ025E82HKS95", "SE-000287588")</f>
        <v>SE-000287588</v>
      </c>
      <c r="D7308" s="1" t="s">
        <v>0</v>
      </c>
      <c r="E7308" s="2">
        <v>0</v>
      </c>
      <c r="F7308" s="2">
        <v>0</v>
      </c>
      <c r="G7308" s="2">
        <v>0</v>
      </c>
      <c r="H7308" s="1" t="s">
        <v>0</v>
      </c>
      <c r="I7308" s="2">
        <v>0</v>
      </c>
      <c r="J7308" s="1">
        <v>45945.376284722224</v>
      </c>
    </row>
    <row r="7309" spans="1:10" x14ac:dyDescent="0.2">
      <c r="A7309" s="4" t="s">
        <v>1</v>
      </c>
      <c r="B7309" s="3" t="str">
        <f>HYPERLINK("https://otsuka-europe-crm.veevavault.com/ui/#object/approved_document__v/V5OZ025E82TP0C5", "ENFERMERÍA - Guía de Manejo Psicoterapéutico")</f>
        <v>ENFERMERÍA - Guía de Manejo Psicoterapéutico</v>
      </c>
      <c r="C7309" s="3" t="str">
        <f>HYPERLINK("https://otsuka-europe-crm.veevavault.com/ui/#object/sent_email__v/VBLZ025E82HKS96", "SE-000287589")</f>
        <v>SE-000287589</v>
      </c>
      <c r="D7309" s="1">
        <v>45945.501458333332</v>
      </c>
      <c r="E7309" s="2">
        <v>1</v>
      </c>
      <c r="F7309" s="2">
        <v>2</v>
      </c>
      <c r="G7309" s="2">
        <v>0</v>
      </c>
      <c r="H7309" s="1" t="s">
        <v>0</v>
      </c>
      <c r="I7309" s="2">
        <v>0</v>
      </c>
      <c r="J7309" s="1">
        <v>45945.376319444447</v>
      </c>
    </row>
    <row r="7310" spans="1:10" x14ac:dyDescent="0.2">
      <c r="A7310" s="4" t="s">
        <v>1</v>
      </c>
      <c r="B7310" s="3" t="str">
        <f>HYPERLINK("https://otsuka-europe-crm.veevavault.com/ui/#object/approved_document__v/V5OZ025E82TP0C5", "ENFERMERÍA - Guía de Manejo Psicoterapéutico")</f>
        <v>ENFERMERÍA - Guía de Manejo Psicoterapéutico</v>
      </c>
      <c r="C7310" s="3" t="str">
        <f>HYPERLINK("https://otsuka-europe-crm.veevavault.com/ui/#object/sent_email__v/VBLZ025E82HKS97", "SE-000287590")</f>
        <v>SE-000287590</v>
      </c>
      <c r="D7310" s="1">
        <v>45966.017175925925</v>
      </c>
      <c r="E7310" s="2">
        <v>1</v>
      </c>
      <c r="F7310" s="2">
        <v>4</v>
      </c>
      <c r="G7310" s="2">
        <v>1</v>
      </c>
      <c r="H7310" s="1">
        <v>45945.425925925927</v>
      </c>
      <c r="I7310" s="2">
        <v>1</v>
      </c>
      <c r="J7310" s="1">
        <v>45945.376296296294</v>
      </c>
    </row>
    <row r="7311" spans="1:10" x14ac:dyDescent="0.2">
      <c r="A7311" s="4" t="s">
        <v>1</v>
      </c>
      <c r="B7311" s="3" t="str">
        <f>HYPERLINK("https://otsuka-europe-crm.veevavault.com/ui/#object/approved_document__v/V5OZ025E82TP0C5", "ENFERMERÍA - Guía de Manejo Psicoterapéutico")</f>
        <v>ENFERMERÍA - Guía de Manejo Psicoterapéutico</v>
      </c>
      <c r="C7311" s="3" t="str">
        <f>HYPERLINK("https://otsuka-europe-crm.veevavault.com/ui/#object/sent_email__v/VBLZ025E82HKS98", "SE-000287591")</f>
        <v>SE-000287591</v>
      </c>
      <c r="D7311" s="1" t="s">
        <v>0</v>
      </c>
      <c r="E7311" s="2">
        <v>0</v>
      </c>
      <c r="F7311" s="2">
        <v>0</v>
      </c>
      <c r="G7311" s="2">
        <v>0</v>
      </c>
      <c r="H7311" s="1" t="s">
        <v>0</v>
      </c>
      <c r="I7311" s="2">
        <v>0</v>
      </c>
      <c r="J7311" s="1">
        <v>45945.376377314817</v>
      </c>
    </row>
    <row r="7312" spans="1:10" x14ac:dyDescent="0.2">
      <c r="A7312" s="4" t="s">
        <v>1</v>
      </c>
      <c r="B7312" s="3" t="str">
        <f>HYPERLINK("https://otsuka-europe-crm.veevavault.com/ui/#object/approved_document__v/V5OZ025E82TP0C5", "ENFERMERÍA - Guía de Manejo Psicoterapéutico")</f>
        <v>ENFERMERÍA - Guía de Manejo Psicoterapéutico</v>
      </c>
      <c r="C7312" s="3" t="str">
        <f>HYPERLINK("https://otsuka-europe-crm.veevavault.com/ui/#object/sent_email__v/VBLZ025E82HKS99", "SE-000287592")</f>
        <v>SE-000287592</v>
      </c>
      <c r="D7312" s="1" t="s">
        <v>0</v>
      </c>
      <c r="E7312" s="2">
        <v>0</v>
      </c>
      <c r="F7312" s="2">
        <v>0</v>
      </c>
      <c r="G7312" s="2">
        <v>0</v>
      </c>
      <c r="H7312" s="1" t="s">
        <v>0</v>
      </c>
      <c r="I7312" s="2">
        <v>0</v>
      </c>
      <c r="J7312" s="1">
        <v>45945.376319444447</v>
      </c>
    </row>
    <row r="7313" spans="1:10" x14ac:dyDescent="0.2">
      <c r="A7313" s="4" t="s">
        <v>1</v>
      </c>
      <c r="B7313" s="3" t="str">
        <f>HYPERLINK("https://otsuka-europe-crm.veevavault.com/ui/#object/approved_document__v/V5OZ025E82TP0C5", "ENFERMERÍA - Guía de Manejo Psicoterapéutico")</f>
        <v>ENFERMERÍA - Guía de Manejo Psicoterapéutico</v>
      </c>
      <c r="C7313" s="3" t="str">
        <f>HYPERLINK("https://otsuka-europe-crm.veevavault.com/ui/#object/sent_email__v/VBLZ025E82HKS9A", "SE-000287593")</f>
        <v>SE-000287593</v>
      </c>
      <c r="D7313" s="1">
        <v>45945.502418981479</v>
      </c>
      <c r="E7313" s="2">
        <v>1</v>
      </c>
      <c r="F7313" s="2">
        <v>1</v>
      </c>
      <c r="G7313" s="2">
        <v>0</v>
      </c>
      <c r="H7313" s="1" t="s">
        <v>0</v>
      </c>
      <c r="I7313" s="2">
        <v>0</v>
      </c>
      <c r="J7313" s="1">
        <v>45945.376331018517</v>
      </c>
    </row>
    <row r="7314" spans="1:10" x14ac:dyDescent="0.2">
      <c r="A7314" s="4" t="s">
        <v>1</v>
      </c>
      <c r="B7314" s="3" t="str">
        <f>HYPERLINK("https://otsuka-europe-crm.veevavault.com/ui/#object/approved_document__v/V5OZ025E82TP0C5", "ENFERMERÍA - Guía de Manejo Psicoterapéutico")</f>
        <v>ENFERMERÍA - Guía de Manejo Psicoterapéutico</v>
      </c>
      <c r="C7314" s="3" t="str">
        <f>HYPERLINK("https://otsuka-europe-crm.veevavault.com/ui/#object/sent_email__v/VBL000000004297", "SE-001380581")</f>
        <v>SE-001380581</v>
      </c>
      <c r="D7314" s="1">
        <v>45967.3983912037</v>
      </c>
      <c r="E7314" s="2">
        <v>1</v>
      </c>
      <c r="F7314" s="2">
        <v>1</v>
      </c>
      <c r="G7314" s="2">
        <v>1</v>
      </c>
      <c r="H7314" s="1">
        <v>45967.3983912037</v>
      </c>
      <c r="I7314" s="2">
        <v>1</v>
      </c>
      <c r="J7314" s="1">
        <v>45965.425497685188</v>
      </c>
    </row>
    <row r="7315" spans="1:10" x14ac:dyDescent="0.2">
      <c r="A7315" s="4" t="s">
        <v>1</v>
      </c>
      <c r="B7315" s="3" t="str">
        <f>HYPERLINK("https://otsuka-europe-crm.veevavault.com/ui/#object/approved_document__v/V5OZ025E82TP0C5", "ENFERMERÍA - Guía de Manejo Psicoterapéutico")</f>
        <v>ENFERMERÍA - Guía de Manejo Psicoterapéutico</v>
      </c>
      <c r="C7315" s="3" t="str">
        <f>HYPERLINK("https://otsuka-europe-crm.veevavault.com/ui/#object/sent_email__v/VBL000000004298", "SE-001380582")</f>
        <v>SE-001380582</v>
      </c>
      <c r="D7315" s="1" t="s">
        <v>0</v>
      </c>
      <c r="E7315" s="2">
        <v>0</v>
      </c>
      <c r="F7315" s="2">
        <v>0</v>
      </c>
      <c r="G7315" s="2">
        <v>0</v>
      </c>
      <c r="H7315" s="1" t="s">
        <v>0</v>
      </c>
      <c r="I7315" s="2">
        <v>0</v>
      </c>
      <c r="J7315" s="1">
        <v>45965.42559027778</v>
      </c>
    </row>
    <row r="7316" spans="1:10" x14ac:dyDescent="0.2">
      <c r="A7316" s="4" t="s">
        <v>1</v>
      </c>
      <c r="B7316" s="3" t="str">
        <f>HYPERLINK("https://otsuka-europe-crm.veevavault.com/ui/#object/approved_document__v/V5OZ025E82TP0C5", "ENFERMERÍA - Guía de Manejo Psicoterapéutico")</f>
        <v>ENFERMERÍA - Guía de Manejo Psicoterapéutico</v>
      </c>
      <c r="C7316" s="3" t="str">
        <f>HYPERLINK("https://otsuka-europe-crm.veevavault.com/ui/#object/sent_email__v/VBL000000004299", "SE-001380583")</f>
        <v>SE-001380583</v>
      </c>
      <c r="D7316" s="1" t="s">
        <v>0</v>
      </c>
      <c r="E7316" s="2">
        <v>0</v>
      </c>
      <c r="F7316" s="2">
        <v>0</v>
      </c>
      <c r="G7316" s="2">
        <v>0</v>
      </c>
      <c r="H7316" s="1" t="s">
        <v>0</v>
      </c>
      <c r="I7316" s="2">
        <v>0</v>
      </c>
      <c r="J7316" s="1">
        <v>45965.425659722219</v>
      </c>
    </row>
    <row r="7317" spans="1:10" x14ac:dyDescent="0.2">
      <c r="A7317" s="4" t="s">
        <v>1</v>
      </c>
      <c r="B7317" s="3" t="str">
        <f>HYPERLINK("https://otsuka-europe-crm.veevavault.com/ui/#object/approved_document__v/V5OZ025E82TP0C5", "ENFERMERÍA - Guía de Manejo Psicoterapéutico")</f>
        <v>ENFERMERÍA - Guía de Manejo Psicoterapéutico</v>
      </c>
      <c r="C7317" s="3" t="str">
        <f>HYPERLINK("https://otsuka-europe-crm.veevavault.com/ui/#object/sent_email__v/VBL000000004300", "SE-001380584")</f>
        <v>SE-001380584</v>
      </c>
      <c r="D7317" s="1">
        <v>45965.608182870368</v>
      </c>
      <c r="E7317" s="2">
        <v>1</v>
      </c>
      <c r="F7317" s="2">
        <v>1</v>
      </c>
      <c r="G7317" s="2">
        <v>0</v>
      </c>
      <c r="H7317" s="1" t="s">
        <v>0</v>
      </c>
      <c r="I7317" s="2">
        <v>0</v>
      </c>
      <c r="J7317" s="1">
        <v>45965.425729166665</v>
      </c>
    </row>
    <row r="7318" spans="1:10" x14ac:dyDescent="0.2">
      <c r="A7318" s="4" t="s">
        <v>1</v>
      </c>
      <c r="B7318" s="3" t="str">
        <f>HYPERLINK("https://otsuka-europe-crm.veevavault.com/ui/#object/approved_document__v/V5OZ025E82TP0C5", "ENFERMERÍA - Guía de Manejo Psicoterapéutico")</f>
        <v>ENFERMERÍA - Guía de Manejo Psicoterapéutico</v>
      </c>
      <c r="C7318" s="3" t="str">
        <f>HYPERLINK("https://otsuka-europe-crm.veevavault.com/ui/#object/sent_email__v/VBL000000004301", "SE-001380585")</f>
        <v>SE-001380585</v>
      </c>
      <c r="D7318" s="1">
        <v>45965.463888888888</v>
      </c>
      <c r="E7318" s="2">
        <v>1</v>
      </c>
      <c r="F7318" s="2">
        <v>1</v>
      </c>
      <c r="G7318" s="2">
        <v>1</v>
      </c>
      <c r="H7318" s="1">
        <v>45965.489560185182</v>
      </c>
      <c r="I7318" s="2">
        <v>2</v>
      </c>
      <c r="J7318" s="1">
        <v>45965.425798611112</v>
      </c>
    </row>
    <row r="7319" spans="1:10" x14ac:dyDescent="0.2">
      <c r="A7319" s="4" t="s">
        <v>1</v>
      </c>
      <c r="B7319" s="3" t="str">
        <f>HYPERLINK("https://otsuka-europe-crm.veevavault.com/ui/#object/approved_document__v/V5OZ025E82TP0C5", "ENFERMERÍA - Guía de Manejo Psicoterapéutico")</f>
        <v>ENFERMERÍA - Guía de Manejo Psicoterapéutico</v>
      </c>
      <c r="C7319" s="3" t="str">
        <f>HYPERLINK("https://otsuka-europe-crm.veevavault.com/ui/#object/sent_email__v/VBL000000004302", "SE-001380586")</f>
        <v>SE-001380586</v>
      </c>
      <c r="D7319" s="1" t="s">
        <v>0</v>
      </c>
      <c r="E7319" s="2">
        <v>0</v>
      </c>
      <c r="F7319" s="2">
        <v>0</v>
      </c>
      <c r="G7319" s="2">
        <v>0</v>
      </c>
      <c r="H7319" s="1" t="s">
        <v>0</v>
      </c>
      <c r="I7319" s="2">
        <v>0</v>
      </c>
      <c r="J7319" s="1">
        <v>45965.425868055558</v>
      </c>
    </row>
    <row r="7320" spans="1:10" x14ac:dyDescent="0.2">
      <c r="A7320" s="4" t="s">
        <v>1</v>
      </c>
      <c r="B7320" s="3" t="str">
        <f>HYPERLINK("https://otsuka-europe-crm.veevavault.com/ui/#object/approved_document__v/V5OZ025E82TP0C5", "ENFERMERÍA - Guía de Manejo Psicoterapéutico")</f>
        <v>ENFERMERÍA - Guía de Manejo Psicoterapéutico</v>
      </c>
      <c r="C7320" s="3" t="str">
        <f>HYPERLINK("https://otsuka-europe-crm.veevavault.com/ui/#object/sent_email__v/VBL000000004303", "SE-001380587")</f>
        <v>SE-001380587</v>
      </c>
      <c r="D7320" s="1" t="s">
        <v>0</v>
      </c>
      <c r="E7320" s="2">
        <v>0</v>
      </c>
      <c r="F7320" s="2">
        <v>0</v>
      </c>
      <c r="G7320" s="2">
        <v>0</v>
      </c>
      <c r="H7320" s="1" t="s">
        <v>0</v>
      </c>
      <c r="I7320" s="2">
        <v>0</v>
      </c>
      <c r="J7320" s="1">
        <v>45965.425937499997</v>
      </c>
    </row>
    <row r="7321" spans="1:10" x14ac:dyDescent="0.2">
      <c r="A7321" s="4" t="s">
        <v>1</v>
      </c>
      <c r="B7321" s="3" t="str">
        <f>HYPERLINK("https://otsuka-europe-crm.veevavault.com/ui/#object/approved_document__v/V5OZ025E82TP0C5", "ENFERMERÍA - Guía de Manejo Psicoterapéutico")</f>
        <v>ENFERMERÍA - Guía de Manejo Psicoterapéutico</v>
      </c>
      <c r="C7321" s="3" t="str">
        <f>HYPERLINK("https://otsuka-europe-crm.veevavault.com/ui/#object/sent_email__v/VBL000000004304", "SE-001380588")</f>
        <v>SE-001380588</v>
      </c>
      <c r="D7321" s="1" t="s">
        <v>0</v>
      </c>
      <c r="E7321" s="2">
        <v>0</v>
      </c>
      <c r="F7321" s="2">
        <v>0</v>
      </c>
      <c r="G7321" s="2">
        <v>0</v>
      </c>
      <c r="H7321" s="1" t="s">
        <v>0</v>
      </c>
      <c r="I7321" s="2">
        <v>0</v>
      </c>
      <c r="J7321" s="1">
        <v>45965.426018518519</v>
      </c>
    </row>
    <row r="7322" spans="1:10" x14ac:dyDescent="0.2">
      <c r="A7322" s="4" t="s">
        <v>1</v>
      </c>
      <c r="B7322" s="3" t="str">
        <f>HYPERLINK("https://otsuka-europe-crm.veevavault.com/ui/#object/approved_document__v/V5OZ025E82TP0C5", "ENFERMERÍA - Guía de Manejo Psicoterapéutico")</f>
        <v>ENFERMERÍA - Guía de Manejo Psicoterapéutico</v>
      </c>
      <c r="C7322" s="3" t="str">
        <f>HYPERLINK("https://otsuka-europe-crm.veevavault.com/ui/#object/sent_email__v/VBL000000004305", "SE-001380589")</f>
        <v>SE-001380589</v>
      </c>
      <c r="D7322" s="1" t="s">
        <v>0</v>
      </c>
      <c r="E7322" s="2">
        <v>0</v>
      </c>
      <c r="F7322" s="2">
        <v>0</v>
      </c>
      <c r="G7322" s="2">
        <v>0</v>
      </c>
      <c r="H7322" s="1" t="s">
        <v>0</v>
      </c>
      <c r="I7322" s="2">
        <v>0</v>
      </c>
      <c r="J7322" s="1">
        <v>45965.426076388889</v>
      </c>
    </row>
    <row r="7323" spans="1:10" x14ac:dyDescent="0.2">
      <c r="A7323" s="4" t="s">
        <v>1</v>
      </c>
      <c r="B7323" s="3" t="str">
        <f>HYPERLINK("https://otsuka-europe-crm.veevavault.com/ui/#object/approved_document__v/V5OZ025E82TP0C5", "ENFERMERÍA - Guía de Manejo Psicoterapéutico")</f>
        <v>ENFERMERÍA - Guía de Manejo Psicoterapéutico</v>
      </c>
      <c r="C7323" s="3" t="str">
        <f>HYPERLINK("https://otsuka-europe-crm.veevavault.com/ui/#object/sent_email__v/VBL000000004306", "SE-001380590")</f>
        <v>SE-001380590</v>
      </c>
      <c r="D7323" s="1" t="s">
        <v>0</v>
      </c>
      <c r="E7323" s="2">
        <v>0</v>
      </c>
      <c r="F7323" s="2">
        <v>0</v>
      </c>
      <c r="G7323" s="2">
        <v>0</v>
      </c>
      <c r="H7323" s="1" t="s">
        <v>0</v>
      </c>
      <c r="I7323" s="2">
        <v>0</v>
      </c>
      <c r="J7323" s="1">
        <v>45965.426145833335</v>
      </c>
    </row>
    <row r="7324" spans="1:10" x14ac:dyDescent="0.2">
      <c r="A7324" s="4" t="s">
        <v>1</v>
      </c>
      <c r="B7324" s="3" t="str">
        <f>HYPERLINK("https://otsuka-europe-crm.veevavault.com/ui/#object/approved_document__v/V5OZ025E82TP0C5", "ENFERMERÍA - Guía de Manejo Psicoterapéutico")</f>
        <v>ENFERMERÍA - Guía de Manejo Psicoterapéutico</v>
      </c>
      <c r="C7324" s="3" t="str">
        <f>HYPERLINK("https://otsuka-europe-crm.veevavault.com/ui/#object/sent_email__v/VBL000000004307", "SE-001380591")</f>
        <v>SE-001380591</v>
      </c>
      <c r="D7324" s="1" t="s">
        <v>0</v>
      </c>
      <c r="E7324" s="2">
        <v>0</v>
      </c>
      <c r="F7324" s="2">
        <v>0</v>
      </c>
      <c r="G7324" s="2">
        <v>0</v>
      </c>
      <c r="H7324" s="1" t="s">
        <v>0</v>
      </c>
      <c r="I7324" s="2">
        <v>0</v>
      </c>
      <c r="J7324" s="1">
        <v>45965.426215277781</v>
      </c>
    </row>
    <row r="7325" spans="1:10" x14ac:dyDescent="0.2">
      <c r="A7325" s="4" t="s">
        <v>1</v>
      </c>
      <c r="B7325" s="3" t="str">
        <f>HYPERLINK("https://otsuka-europe-crm.veevavault.com/ui/#object/approved_document__v/V5OZ025E82TP0C5", "ENFERMERÍA - Guía de Manejo Psicoterapéutico")</f>
        <v>ENFERMERÍA - Guía de Manejo Psicoterapéutico</v>
      </c>
      <c r="C7325" s="3" t="str">
        <f>HYPERLINK("https://otsuka-europe-crm.veevavault.com/ui/#object/sent_email__v/VBL000000004308", "SE-001380592")</f>
        <v>SE-001380592</v>
      </c>
      <c r="D7325" s="1" t="s">
        <v>0</v>
      </c>
      <c r="E7325" s="2">
        <v>0</v>
      </c>
      <c r="F7325" s="2">
        <v>0</v>
      </c>
      <c r="G7325" s="2">
        <v>0</v>
      </c>
      <c r="H7325" s="1" t="s">
        <v>0</v>
      </c>
      <c r="I7325" s="2">
        <v>0</v>
      </c>
      <c r="J7325" s="1">
        <v>45965.42628472222</v>
      </c>
    </row>
    <row r="7326" spans="1:10" x14ac:dyDescent="0.2">
      <c r="A7326" s="4" t="s">
        <v>1</v>
      </c>
      <c r="B7326" s="3" t="str">
        <f>HYPERLINK("https://otsuka-europe-crm.veevavault.com/ui/#object/approved_document__v/V5OZ025E82TP0C5", "ENFERMERÍA - Guía de Manejo Psicoterapéutico")</f>
        <v>ENFERMERÍA - Guía de Manejo Psicoterapéutico</v>
      </c>
      <c r="C7326" s="3" t="str">
        <f>HYPERLINK("https://otsuka-europe-crm.veevavault.com/ui/#object/sent_email__v/VBL000000004309", "SE-001380593")</f>
        <v>SE-001380593</v>
      </c>
      <c r="D7326" s="1" t="s">
        <v>0</v>
      </c>
      <c r="E7326" s="2">
        <v>0</v>
      </c>
      <c r="F7326" s="2">
        <v>0</v>
      </c>
      <c r="G7326" s="2">
        <v>0</v>
      </c>
      <c r="H7326" s="1" t="s">
        <v>0</v>
      </c>
      <c r="I7326" s="2">
        <v>0</v>
      </c>
      <c r="J7326" s="1">
        <v>45965.426354166666</v>
      </c>
    </row>
    <row r="7327" spans="1:10" x14ac:dyDescent="0.2">
      <c r="A7327" s="4" t="s">
        <v>1</v>
      </c>
      <c r="B7327" s="3" t="str">
        <f>HYPERLINK("https://otsuka-europe-crm.veevavault.com/ui/#object/approved_document__v/V5OZ025E82TP0C5", "ENFERMERÍA - Guía de Manejo Psicoterapéutico")</f>
        <v>ENFERMERÍA - Guía de Manejo Psicoterapéutico</v>
      </c>
      <c r="C7327" s="3" t="str">
        <f>HYPERLINK("https://otsuka-europe-crm.veevavault.com/ui/#object/sent_email__v/VBL000000004310", "SE-001380594")</f>
        <v>SE-001380594</v>
      </c>
      <c r="D7327" s="1" t="s">
        <v>0</v>
      </c>
      <c r="E7327" s="2">
        <v>0</v>
      </c>
      <c r="F7327" s="2">
        <v>0</v>
      </c>
      <c r="G7327" s="2">
        <v>0</v>
      </c>
      <c r="H7327" s="1" t="s">
        <v>0</v>
      </c>
      <c r="I7327" s="2">
        <v>0</v>
      </c>
      <c r="J7327" s="1">
        <v>45965.426423611112</v>
      </c>
    </row>
    <row r="7328" spans="1:10" x14ac:dyDescent="0.2">
      <c r="A7328" s="4" t="s">
        <v>1</v>
      </c>
      <c r="B7328" s="3" t="str">
        <f>HYPERLINK("https://otsuka-europe-crm.veevavault.com/ui/#object/approved_document__v/V5OZ025E82TP0C5", "ENFERMERÍA - Guía de Manejo Psicoterapéutico")</f>
        <v>ENFERMERÍA - Guía de Manejo Psicoterapéutico</v>
      </c>
      <c r="C7328" s="3" t="str">
        <f>HYPERLINK("https://otsuka-europe-crm.veevavault.com/ui/#object/sent_email__v/VBL000000004311", "SE-001380595")</f>
        <v>SE-001380595</v>
      </c>
      <c r="D7328" s="1" t="s">
        <v>0</v>
      </c>
      <c r="E7328" s="2">
        <v>0</v>
      </c>
      <c r="F7328" s="2">
        <v>0</v>
      </c>
      <c r="G7328" s="2">
        <v>0</v>
      </c>
      <c r="H7328" s="1" t="s">
        <v>0</v>
      </c>
      <c r="I7328" s="2">
        <v>0</v>
      </c>
      <c r="J7328" s="1">
        <v>45965.426504629628</v>
      </c>
    </row>
    <row r="7329" spans="1:10" x14ac:dyDescent="0.2">
      <c r="A7329" s="4" t="s">
        <v>1</v>
      </c>
      <c r="B7329" s="3" t="str">
        <f>HYPERLINK("https://otsuka-europe-crm.veevavault.com/ui/#object/approved_document__v/V5OZ025E82TP0C5", "ENFERMERÍA - Guía de Manejo Psicoterapéutico")</f>
        <v>ENFERMERÍA - Guía de Manejo Psicoterapéutico</v>
      </c>
      <c r="C7329" s="3" t="str">
        <f>HYPERLINK("https://otsuka-europe-crm.veevavault.com/ui/#object/sent_email__v/VBL000000004312", "SE-001380596")</f>
        <v>SE-001380596</v>
      </c>
      <c r="D7329" s="1">
        <v>45967.468564814815</v>
      </c>
      <c r="E7329" s="2">
        <v>1</v>
      </c>
      <c r="F7329" s="2">
        <v>3</v>
      </c>
      <c r="G7329" s="2">
        <v>1</v>
      </c>
      <c r="H7329" s="1">
        <v>45966.47934027778</v>
      </c>
      <c r="I7329" s="2">
        <v>1</v>
      </c>
      <c r="J7329" s="1">
        <v>45965.426562499997</v>
      </c>
    </row>
    <row r="7330" spans="1:10" x14ac:dyDescent="0.2">
      <c r="A7330" s="4" t="s">
        <v>1</v>
      </c>
      <c r="B7330" s="3" t="str">
        <f>HYPERLINK("https://otsuka-europe-crm.veevavault.com/ui/#object/approved_document__v/V5OZ025E82TP0C5", "ENFERMERÍA - Guía de Manejo Psicoterapéutico")</f>
        <v>ENFERMERÍA - Guía de Manejo Psicoterapéutico</v>
      </c>
      <c r="C7330" s="3" t="str">
        <f>HYPERLINK("https://otsuka-europe-crm.veevavault.com/ui/#object/sent_email__v/VBL000000004313", "SE-001380597")</f>
        <v>SE-001380597</v>
      </c>
      <c r="D7330" s="1">
        <v>45992.733587962961</v>
      </c>
      <c r="E7330" s="2">
        <v>1</v>
      </c>
      <c r="F7330" s="2">
        <v>1</v>
      </c>
      <c r="G7330" s="2">
        <v>0</v>
      </c>
      <c r="H7330" s="1" t="s">
        <v>0</v>
      </c>
      <c r="I7330" s="2">
        <v>0</v>
      </c>
      <c r="J7330" s="1">
        <v>45965.42664351852</v>
      </c>
    </row>
    <row r="7331" spans="1:10" x14ac:dyDescent="0.2">
      <c r="A7331" s="4" t="s">
        <v>1</v>
      </c>
      <c r="B7331" s="3" t="str">
        <f>HYPERLINK("https://otsuka-europe-crm.veevavault.com/ui/#object/approved_document__v/V5OZ025E82TP0C5", "ENFERMERÍA - Guía de Manejo Psicoterapéutico")</f>
        <v>ENFERMERÍA - Guía de Manejo Psicoterapéutico</v>
      </c>
      <c r="C7331" s="3" t="str">
        <f>HYPERLINK("https://otsuka-europe-crm.veevavault.com/ui/#object/sent_email__v/VBL000000004314", "SE-001380598")</f>
        <v>SE-001380598</v>
      </c>
      <c r="D7331" s="1">
        <v>46056.453252314815</v>
      </c>
      <c r="E7331" s="2">
        <v>1</v>
      </c>
      <c r="F7331" s="2">
        <v>1</v>
      </c>
      <c r="G7331" s="2">
        <v>1</v>
      </c>
      <c r="H7331" s="1">
        <v>46056.453252314815</v>
      </c>
      <c r="I7331" s="2">
        <v>1</v>
      </c>
      <c r="J7331" s="1">
        <v>45965.426701388889</v>
      </c>
    </row>
    <row r="7332" spans="1:10" x14ac:dyDescent="0.2">
      <c r="A7332" s="4" t="s">
        <v>1</v>
      </c>
      <c r="B7332" s="3" t="str">
        <f>HYPERLINK("https://otsuka-europe-crm.veevavault.com/ui/#object/approved_document__v/V5OZ025E82TP0C5", "ENFERMERÍA - Guía de Manejo Psicoterapéutico")</f>
        <v>ENFERMERÍA - Guía de Manejo Psicoterapéutico</v>
      </c>
      <c r="C7332" s="3" t="str">
        <f>HYPERLINK("https://otsuka-europe-crm.veevavault.com/ui/#object/sent_email__v/VBL000000004315", "SE-001380599")</f>
        <v>SE-001380599</v>
      </c>
      <c r="D7332" s="1">
        <v>45965.437662037039</v>
      </c>
      <c r="E7332" s="2">
        <v>1</v>
      </c>
      <c r="F7332" s="2">
        <v>1</v>
      </c>
      <c r="G7332" s="2">
        <v>1</v>
      </c>
      <c r="H7332" s="1">
        <v>45965.438993055555</v>
      </c>
      <c r="I7332" s="2">
        <v>2</v>
      </c>
      <c r="J7332" s="1">
        <v>45965.426770833335</v>
      </c>
    </row>
    <row r="7333" spans="1:10" x14ac:dyDescent="0.2">
      <c r="A7333" s="4" t="s">
        <v>1</v>
      </c>
      <c r="B7333" s="3" t="str">
        <f>HYPERLINK("https://otsuka-europe-crm.veevavault.com/ui/#object/approved_document__v/V5OZ025E82TP0C5", "ENFERMERÍA - Guía de Manejo Psicoterapéutico")</f>
        <v>ENFERMERÍA - Guía de Manejo Psicoterapéutico</v>
      </c>
      <c r="C7333" s="3" t="str">
        <f>HYPERLINK("https://otsuka-europe-crm.veevavault.com/ui/#object/sent_email__v/VBL000000004316", "SE-001380600")</f>
        <v>SE-001380600</v>
      </c>
      <c r="D7333" s="1">
        <v>45965.441608796296</v>
      </c>
      <c r="E7333" s="2">
        <v>1</v>
      </c>
      <c r="F7333" s="2">
        <v>3</v>
      </c>
      <c r="G7333" s="2">
        <v>0</v>
      </c>
      <c r="H7333" s="1" t="s">
        <v>0</v>
      </c>
      <c r="I7333" s="2">
        <v>0</v>
      </c>
      <c r="J7333" s="1">
        <v>45965.426851851851</v>
      </c>
    </row>
    <row r="7334" spans="1:10" x14ac:dyDescent="0.2">
      <c r="A7334" s="4" t="s">
        <v>1</v>
      </c>
      <c r="B7334" s="3" t="str">
        <f>HYPERLINK("https://otsuka-europe-crm.veevavault.com/ui/#object/approved_document__v/V5OZ025E82TP0C5", "ENFERMERÍA - Guía de Manejo Psicoterapéutico")</f>
        <v>ENFERMERÍA - Guía de Manejo Psicoterapéutico</v>
      </c>
      <c r="C7334" s="3" t="str">
        <f>HYPERLINK("https://otsuka-europe-crm.veevavault.com/ui/#object/sent_email__v/VBL000000004317", "SE-001380601")</f>
        <v>SE-001380601</v>
      </c>
      <c r="D7334" s="1">
        <v>45965.628391203703</v>
      </c>
      <c r="E7334" s="2">
        <v>1</v>
      </c>
      <c r="F7334" s="2">
        <v>1</v>
      </c>
      <c r="G7334" s="2">
        <v>0</v>
      </c>
      <c r="H7334" s="1" t="s">
        <v>0</v>
      </c>
      <c r="I7334" s="2">
        <v>0</v>
      </c>
      <c r="J7334" s="1">
        <v>45965.426921296297</v>
      </c>
    </row>
    <row r="7335" spans="1:10" x14ac:dyDescent="0.2">
      <c r="A7335" s="4" t="s">
        <v>1</v>
      </c>
      <c r="B7335" s="3" t="str">
        <f>HYPERLINK("https://otsuka-europe-crm.veevavault.com/ui/#object/approved_document__v/V5OZ025E82TP0C5", "ENFERMERÍA - Guía de Manejo Psicoterapéutico")</f>
        <v>ENFERMERÍA - Guía de Manejo Psicoterapéutico</v>
      </c>
      <c r="C7335" s="3" t="str">
        <f>HYPERLINK("https://otsuka-europe-crm.veevavault.com/ui/#object/sent_email__v/VBL000000004318", "SE-001380602")</f>
        <v>SE-001380602</v>
      </c>
      <c r="D7335" s="1" t="s">
        <v>0</v>
      </c>
      <c r="E7335" s="2">
        <v>0</v>
      </c>
      <c r="F7335" s="2">
        <v>0</v>
      </c>
      <c r="G7335" s="2">
        <v>0</v>
      </c>
      <c r="H7335" s="1" t="s">
        <v>0</v>
      </c>
      <c r="I7335" s="2">
        <v>0</v>
      </c>
      <c r="J7335" s="1">
        <v>45965.426990740743</v>
      </c>
    </row>
    <row r="7336" spans="1:10" x14ac:dyDescent="0.2">
      <c r="A7336" s="4" t="s">
        <v>1</v>
      </c>
      <c r="B7336" s="3" t="str">
        <f>HYPERLINK("https://otsuka-europe-crm.veevavault.com/ui/#object/approved_document__v/V5OZ025E82TP0C5", "ENFERMERÍA - Guía de Manejo Psicoterapéutico")</f>
        <v>ENFERMERÍA - Guía de Manejo Psicoterapéutico</v>
      </c>
      <c r="C7336" s="3" t="str">
        <f>HYPERLINK("https://otsuka-europe-crm.veevavault.com/ui/#object/sent_email__v/VBL000000004319", "SE-001380603")</f>
        <v>SE-001380603</v>
      </c>
      <c r="D7336" s="1" t="s">
        <v>0</v>
      </c>
      <c r="E7336" s="2">
        <v>0</v>
      </c>
      <c r="F7336" s="2">
        <v>0</v>
      </c>
      <c r="G7336" s="2">
        <v>0</v>
      </c>
      <c r="H7336" s="1" t="s">
        <v>0</v>
      </c>
      <c r="I7336" s="2">
        <v>0</v>
      </c>
      <c r="J7336" s="1">
        <v>45965.427060185182</v>
      </c>
    </row>
    <row r="7337" spans="1:10" x14ac:dyDescent="0.2">
      <c r="A7337" s="4" t="s">
        <v>1</v>
      </c>
      <c r="B7337" s="3" t="str">
        <f>HYPERLINK("https://otsuka-europe-crm.veevavault.com/ui/#object/approved_document__v/V5OZ025E82TP0C5", "ENFERMERÍA - Guía de Manejo Psicoterapéutico")</f>
        <v>ENFERMERÍA - Guía de Manejo Psicoterapéutico</v>
      </c>
      <c r="C7337" s="3" t="str">
        <f>HYPERLINK("https://otsuka-europe-crm.veevavault.com/ui/#object/sent_email__v/VBL000000004320", "SE-001380604")</f>
        <v>SE-001380604</v>
      </c>
      <c r="D7337" s="1" t="s">
        <v>0</v>
      </c>
      <c r="E7337" s="2">
        <v>0</v>
      </c>
      <c r="F7337" s="2">
        <v>0</v>
      </c>
      <c r="G7337" s="2">
        <v>0</v>
      </c>
      <c r="H7337" s="1" t="s">
        <v>0</v>
      </c>
      <c r="I7337" s="2">
        <v>0</v>
      </c>
      <c r="J7337" s="1">
        <v>45965.427094907405</v>
      </c>
    </row>
    <row r="7338" spans="1:10" x14ac:dyDescent="0.2">
      <c r="A7338" s="4" t="s">
        <v>1</v>
      </c>
      <c r="B7338" s="3" t="str">
        <f>HYPERLINK("https://otsuka-europe-crm.veevavault.com/ui/#object/approved_document__v/V5OZ025E82TP0C5", "ENFERMERÍA - Guía de Manejo Psicoterapéutico")</f>
        <v>ENFERMERÍA - Guía de Manejo Psicoterapéutico</v>
      </c>
      <c r="C7338" s="3" t="str">
        <f>HYPERLINK("https://otsuka-europe-crm.veevavault.com/ui/#object/sent_email__v/VBL000000004321", "SE-001380605")</f>
        <v>SE-001380605</v>
      </c>
      <c r="D7338" s="1" t="s">
        <v>0</v>
      </c>
      <c r="E7338" s="2">
        <v>0</v>
      </c>
      <c r="F7338" s="2">
        <v>0</v>
      </c>
      <c r="G7338" s="2">
        <v>0</v>
      </c>
      <c r="H7338" s="1" t="s">
        <v>0</v>
      </c>
      <c r="I7338" s="2">
        <v>0</v>
      </c>
      <c r="J7338" s="1">
        <v>45965.427152777775</v>
      </c>
    </row>
    <row r="7339" spans="1:10" x14ac:dyDescent="0.2">
      <c r="A7339" s="4" t="s">
        <v>1</v>
      </c>
      <c r="B7339" s="3" t="str">
        <f>HYPERLINK("https://otsuka-europe-crm.veevavault.com/ui/#object/approved_document__v/V5OZ025E82TP0C5", "ENFERMERÍA - Guía de Manejo Psicoterapéutico")</f>
        <v>ENFERMERÍA - Guía de Manejo Psicoterapéutico</v>
      </c>
      <c r="C7339" s="3" t="str">
        <f>HYPERLINK("https://otsuka-europe-crm.veevavault.com/ui/#object/sent_email__v/VBL000000004322", "SE-001380606")</f>
        <v>SE-001380606</v>
      </c>
      <c r="D7339" s="1" t="s">
        <v>0</v>
      </c>
      <c r="E7339" s="2">
        <v>0</v>
      </c>
      <c r="F7339" s="2">
        <v>0</v>
      </c>
      <c r="G7339" s="2">
        <v>0</v>
      </c>
      <c r="H7339" s="1" t="s">
        <v>0</v>
      </c>
      <c r="I7339" s="2">
        <v>0</v>
      </c>
      <c r="J7339" s="1">
        <v>45965.427199074074</v>
      </c>
    </row>
    <row r="7340" spans="1:10" x14ac:dyDescent="0.2">
      <c r="A7340" s="4" t="s">
        <v>1</v>
      </c>
      <c r="B7340" s="3" t="str">
        <f>HYPERLINK("https://otsuka-europe-crm.veevavault.com/ui/#object/approved_document__v/V5OZ025E82TP0C5", "ENFERMERÍA - Guía de Manejo Psicoterapéutico")</f>
        <v>ENFERMERÍA - Guía de Manejo Psicoterapéutico</v>
      </c>
      <c r="C7340" s="3" t="str">
        <f>HYPERLINK("https://otsuka-europe-crm.veevavault.com/ui/#object/sent_email__v/VBL00000001C486", "SE-001403918")</f>
        <v>SE-001403918</v>
      </c>
      <c r="D7340" s="1" t="s">
        <v>0</v>
      </c>
      <c r="E7340" s="2">
        <v>0</v>
      </c>
      <c r="F7340" s="2">
        <v>0</v>
      </c>
      <c r="G7340" s="2">
        <v>0</v>
      </c>
      <c r="H7340" s="1" t="s">
        <v>0</v>
      </c>
      <c r="I7340" s="2">
        <v>0</v>
      </c>
      <c r="J7340" s="1">
        <v>46065.477650462963</v>
      </c>
    </row>
    <row r="7341" spans="1:10" x14ac:dyDescent="0.2">
      <c r="A7341" s="4" t="s">
        <v>1</v>
      </c>
      <c r="B7341" s="3" t="str">
        <f>HYPERLINK("https://otsuka-europe-crm.veevavault.com/ui/#object/approved_document__v/V5O00000000I029", "ENFERMERíA - PODCAST Ep3 Alimentación")</f>
        <v>ENFERMERíA - PODCAST Ep3 Alimentación</v>
      </c>
      <c r="C7341" s="3" t="str">
        <f>HYPERLINK("https://otsuka-europe-crm.veevavault.com/ui/#object/sent_email__v/VBL000000014118", "SE-001399835")</f>
        <v>SE-001399835</v>
      </c>
      <c r="D7341" s="1" t="s">
        <v>0</v>
      </c>
      <c r="E7341" s="2">
        <v>0</v>
      </c>
      <c r="F7341" s="2">
        <v>0</v>
      </c>
      <c r="G7341" s="2">
        <v>0</v>
      </c>
      <c r="H7341" s="1" t="s">
        <v>0</v>
      </c>
      <c r="I7341" s="2">
        <v>0</v>
      </c>
      <c r="J7341" s="1">
        <v>46035.415046296293</v>
      </c>
    </row>
    <row r="7342" spans="1:10" x14ac:dyDescent="0.2">
      <c r="A7342" s="4" t="s">
        <v>1</v>
      </c>
      <c r="B7342" s="3" t="str">
        <f>HYPERLINK("https://otsuka-europe-crm.veevavault.com/ui/#object/approved_document__v/V5O00000000I029", "ENFERMERíA - PODCAST Ep3 Alimentación")</f>
        <v>ENFERMERíA - PODCAST Ep3 Alimentación</v>
      </c>
      <c r="C7342" s="3" t="str">
        <f>HYPERLINK("https://otsuka-europe-crm.veevavault.com/ui/#object/sent_email__v/VBL000000019351", "SE-001402776")</f>
        <v>SE-001402776</v>
      </c>
      <c r="D7342" s="1">
        <v>46069.560150462959</v>
      </c>
      <c r="E7342" s="2">
        <v>1</v>
      </c>
      <c r="F7342" s="2">
        <v>4</v>
      </c>
      <c r="G7342" s="2">
        <v>1</v>
      </c>
      <c r="H7342" s="1">
        <v>46069.523287037038</v>
      </c>
      <c r="I7342" s="2">
        <v>3</v>
      </c>
      <c r="J7342" s="1">
        <v>46058.552986111114</v>
      </c>
    </row>
    <row r="7343" spans="1:10" x14ac:dyDescent="0.2">
      <c r="A7343" s="4" t="s">
        <v>1</v>
      </c>
      <c r="B7343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43" s="3" t="str">
        <f>HYPERLINK("https://otsuka-europe-crm.veevavault.com/ui/#object/sent_email__v/VBLZ025E82H70YD", "SE-000282677")</f>
        <v>SE-000282677</v>
      </c>
      <c r="D7343" s="1">
        <v>45936.800856481481</v>
      </c>
      <c r="E7343" s="2">
        <v>1</v>
      </c>
      <c r="F7343" s="2">
        <v>2</v>
      </c>
      <c r="G7343" s="2">
        <v>0</v>
      </c>
      <c r="H7343" s="1" t="s">
        <v>0</v>
      </c>
      <c r="I7343" s="2">
        <v>0</v>
      </c>
      <c r="J7343" s="1">
        <v>45931.669374999998</v>
      </c>
    </row>
    <row r="7344" spans="1:10" x14ac:dyDescent="0.2">
      <c r="A7344" s="4" t="s">
        <v>1</v>
      </c>
      <c r="B7344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44" s="3" t="str">
        <f>HYPERLINK("https://otsuka-europe-crm.veevavault.com/ui/#object/sent_email__v/VBLZ025E82H70YE", "SE-000282678")</f>
        <v>SE-000282678</v>
      </c>
      <c r="D7344" s="1">
        <v>45952.553356481483</v>
      </c>
      <c r="E7344" s="2">
        <v>1</v>
      </c>
      <c r="F7344" s="2">
        <v>2</v>
      </c>
      <c r="G7344" s="2">
        <v>0</v>
      </c>
      <c r="H7344" s="1" t="s">
        <v>0</v>
      </c>
      <c r="I7344" s="2">
        <v>0</v>
      </c>
      <c r="J7344" s="1">
        <v>45931.669386574074</v>
      </c>
    </row>
    <row r="7345" spans="1:10" x14ac:dyDescent="0.2">
      <c r="A7345" s="4" t="s">
        <v>1</v>
      </c>
      <c r="B7345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45" s="3" t="str">
        <f>HYPERLINK("https://otsuka-europe-crm.veevavault.com/ui/#object/sent_email__v/VBLZ025E82H70YF", "SE-000282679")</f>
        <v>SE-000282679</v>
      </c>
      <c r="D7345" s="1" t="s">
        <v>0</v>
      </c>
      <c r="E7345" s="2">
        <v>0</v>
      </c>
      <c r="F7345" s="2">
        <v>0</v>
      </c>
      <c r="G7345" s="2">
        <v>0</v>
      </c>
      <c r="H7345" s="1" t="s">
        <v>0</v>
      </c>
      <c r="I7345" s="2">
        <v>0</v>
      </c>
      <c r="J7345" s="1">
        <v>45931.669398148151</v>
      </c>
    </row>
    <row r="7346" spans="1:10" x14ac:dyDescent="0.2">
      <c r="A7346" s="4" t="s">
        <v>1</v>
      </c>
      <c r="B7346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46" s="3" t="str">
        <f>HYPERLINK("https://otsuka-europe-crm.veevavault.com/ui/#object/sent_email__v/VBLZ025E82H70YG", "SE-000282680")</f>
        <v>SE-000282680</v>
      </c>
      <c r="D7346" s="1">
        <v>45931.674930555557</v>
      </c>
      <c r="E7346" s="2">
        <v>1</v>
      </c>
      <c r="F7346" s="2">
        <v>1</v>
      </c>
      <c r="G7346" s="2">
        <v>0</v>
      </c>
      <c r="H7346" s="1" t="s">
        <v>0</v>
      </c>
      <c r="I7346" s="2">
        <v>0</v>
      </c>
      <c r="J7346" s="1">
        <v>45931.669409722221</v>
      </c>
    </row>
    <row r="7347" spans="1:10" x14ac:dyDescent="0.2">
      <c r="A7347" s="4" t="s">
        <v>1</v>
      </c>
      <c r="B7347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47" s="3" t="str">
        <f>HYPERLINK("https://otsuka-europe-crm.veevavault.com/ui/#object/sent_email__v/VBLZ025E82H70YH", "SE-000282681")</f>
        <v>SE-000282681</v>
      </c>
      <c r="D7347" s="1" t="s">
        <v>0</v>
      </c>
      <c r="E7347" s="2">
        <v>0</v>
      </c>
      <c r="F7347" s="2">
        <v>0</v>
      </c>
      <c r="G7347" s="2">
        <v>0</v>
      </c>
      <c r="H7347" s="1" t="s">
        <v>0</v>
      </c>
      <c r="I7347" s="2">
        <v>0</v>
      </c>
      <c r="J7347" s="1">
        <v>45931.669432870367</v>
      </c>
    </row>
    <row r="7348" spans="1:10" x14ac:dyDescent="0.2">
      <c r="A7348" s="4" t="s">
        <v>1</v>
      </c>
      <c r="B7348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48" s="3" t="str">
        <f>HYPERLINK("https://otsuka-europe-crm.veevavault.com/ui/#object/sent_email__v/VBLZ025E82H70YI", "SE-000282682")</f>
        <v>SE-000282682</v>
      </c>
      <c r="D7348" s="1" t="s">
        <v>0</v>
      </c>
      <c r="E7348" s="2">
        <v>0</v>
      </c>
      <c r="F7348" s="2">
        <v>0</v>
      </c>
      <c r="G7348" s="2">
        <v>0</v>
      </c>
      <c r="H7348" s="1" t="s">
        <v>0</v>
      </c>
      <c r="I7348" s="2">
        <v>0</v>
      </c>
      <c r="J7348" s="1">
        <v>45931.669444444444</v>
      </c>
    </row>
    <row r="7349" spans="1:10" x14ac:dyDescent="0.2">
      <c r="A7349" s="4" t="s">
        <v>1</v>
      </c>
      <c r="B7349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49" s="3" t="str">
        <f>HYPERLINK("https://otsuka-europe-crm.veevavault.com/ui/#object/sent_email__v/VBLZ025E82H70YJ", "SE-000282683")</f>
        <v>SE-000282683</v>
      </c>
      <c r="D7349" s="1">
        <v>45932.278668981482</v>
      </c>
      <c r="E7349" s="2">
        <v>1</v>
      </c>
      <c r="F7349" s="2">
        <v>1</v>
      </c>
      <c r="G7349" s="2">
        <v>1</v>
      </c>
      <c r="H7349" s="1">
        <v>45932.278912037036</v>
      </c>
      <c r="I7349" s="2">
        <v>1</v>
      </c>
      <c r="J7349" s="1">
        <v>45931.669444444444</v>
      </c>
    </row>
    <row r="7350" spans="1:10" x14ac:dyDescent="0.2">
      <c r="A7350" s="4" t="s">
        <v>1</v>
      </c>
      <c r="B7350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50" s="3" t="str">
        <f>HYPERLINK("https://otsuka-europe-crm.veevavault.com/ui/#object/sent_email__v/VBLZ025E82H70YK", "SE-000282684")</f>
        <v>SE-000282684</v>
      </c>
      <c r="D7350" s="1" t="s">
        <v>0</v>
      </c>
      <c r="E7350" s="2">
        <v>0</v>
      </c>
      <c r="F7350" s="2">
        <v>0</v>
      </c>
      <c r="G7350" s="2">
        <v>0</v>
      </c>
      <c r="H7350" s="1" t="s">
        <v>0</v>
      </c>
      <c r="I7350" s="2">
        <v>0</v>
      </c>
      <c r="J7350" s="1">
        <v>45931.669456018521</v>
      </c>
    </row>
    <row r="7351" spans="1:10" x14ac:dyDescent="0.2">
      <c r="A7351" s="4" t="s">
        <v>1</v>
      </c>
      <c r="B7351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51" s="3" t="str">
        <f>HYPERLINK("https://otsuka-europe-crm.veevavault.com/ui/#object/sent_email__v/VBLZ025E82H70YL", "SE-000282685")</f>
        <v>SE-000282685</v>
      </c>
      <c r="D7351" s="1">
        <v>45931.75476851852</v>
      </c>
      <c r="E7351" s="2">
        <v>1</v>
      </c>
      <c r="F7351" s="2">
        <v>2</v>
      </c>
      <c r="G7351" s="2">
        <v>1</v>
      </c>
      <c r="H7351" s="1">
        <v>45931.681539351855</v>
      </c>
      <c r="I7351" s="2">
        <v>1</v>
      </c>
      <c r="J7351" s="1">
        <v>45931.66946759259</v>
      </c>
    </row>
    <row r="7352" spans="1:10" x14ac:dyDescent="0.2">
      <c r="A7352" s="4" t="s">
        <v>1</v>
      </c>
      <c r="B7352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52" s="3" t="str">
        <f>HYPERLINK("https://otsuka-europe-crm.veevavault.com/ui/#object/sent_email__v/VBLZ025E82H70YM", "SE-000282686")</f>
        <v>SE-000282686</v>
      </c>
      <c r="D7352" s="1" t="s">
        <v>0</v>
      </c>
      <c r="E7352" s="2">
        <v>0</v>
      </c>
      <c r="F7352" s="2">
        <v>0</v>
      </c>
      <c r="G7352" s="2">
        <v>0</v>
      </c>
      <c r="H7352" s="1" t="s">
        <v>0</v>
      </c>
      <c r="I7352" s="2">
        <v>0</v>
      </c>
      <c r="J7352" s="1">
        <v>45931.669479166667</v>
      </c>
    </row>
    <row r="7353" spans="1:10" x14ac:dyDescent="0.2">
      <c r="A7353" s="4" t="s">
        <v>1</v>
      </c>
      <c r="B7353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53" s="3" t="str">
        <f>HYPERLINK("https://otsuka-europe-crm.veevavault.com/ui/#object/sent_email__v/VBLZ025E82H70YN", "SE-000282687")</f>
        <v>SE-000282687</v>
      </c>
      <c r="D7353" s="1" t="s">
        <v>0</v>
      </c>
      <c r="E7353" s="2">
        <v>0</v>
      </c>
      <c r="F7353" s="2">
        <v>0</v>
      </c>
      <c r="G7353" s="2">
        <v>0</v>
      </c>
      <c r="H7353" s="1" t="s">
        <v>0</v>
      </c>
      <c r="I7353" s="2">
        <v>0</v>
      </c>
      <c r="J7353" s="1">
        <v>45931.669490740744</v>
      </c>
    </row>
    <row r="7354" spans="1:10" x14ac:dyDescent="0.2">
      <c r="A7354" s="4" t="s">
        <v>1</v>
      </c>
      <c r="B7354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54" s="3" t="str">
        <f>HYPERLINK("https://otsuka-europe-crm.veevavault.com/ui/#object/sent_email__v/VBLZ025E82H70YO", "SE-000282688")</f>
        <v>SE-000282688</v>
      </c>
      <c r="D7354" s="1" t="s">
        <v>0</v>
      </c>
      <c r="E7354" s="2">
        <v>0</v>
      </c>
      <c r="F7354" s="2">
        <v>0</v>
      </c>
      <c r="G7354" s="2">
        <v>0</v>
      </c>
      <c r="H7354" s="1" t="s">
        <v>0</v>
      </c>
      <c r="I7354" s="2">
        <v>0</v>
      </c>
      <c r="J7354" s="1">
        <v>45931.669490740744</v>
      </c>
    </row>
    <row r="7355" spans="1:10" x14ac:dyDescent="0.2">
      <c r="A7355" s="4" t="s">
        <v>1</v>
      </c>
      <c r="B7355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55" s="3" t="str">
        <f>HYPERLINK("https://otsuka-europe-crm.veevavault.com/ui/#object/sent_email__v/VBLZ025E82H70YP", "SE-000282689")</f>
        <v>SE-000282689</v>
      </c>
      <c r="D7355" s="1" t="s">
        <v>0</v>
      </c>
      <c r="E7355" s="2">
        <v>0</v>
      </c>
      <c r="F7355" s="2">
        <v>0</v>
      </c>
      <c r="G7355" s="2">
        <v>0</v>
      </c>
      <c r="H7355" s="1" t="s">
        <v>0</v>
      </c>
      <c r="I7355" s="2">
        <v>0</v>
      </c>
      <c r="J7355" s="1">
        <v>45931.669502314813</v>
      </c>
    </row>
    <row r="7356" spans="1:10" x14ac:dyDescent="0.2">
      <c r="A7356" s="4" t="s">
        <v>1</v>
      </c>
      <c r="B7356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56" s="3" t="str">
        <f>HYPERLINK("https://otsuka-europe-crm.veevavault.com/ui/#object/sent_email__v/VBLZ025E82H70YQ", "SE-000282690")</f>
        <v>SE-000282690</v>
      </c>
      <c r="D7356" s="1">
        <v>45936.357708333337</v>
      </c>
      <c r="E7356" s="2">
        <v>1</v>
      </c>
      <c r="F7356" s="2">
        <v>1</v>
      </c>
      <c r="G7356" s="2">
        <v>0</v>
      </c>
      <c r="H7356" s="1" t="s">
        <v>0</v>
      </c>
      <c r="I7356" s="2">
        <v>0</v>
      </c>
      <c r="J7356" s="1">
        <v>45931.66951388889</v>
      </c>
    </row>
    <row r="7357" spans="1:10" x14ac:dyDescent="0.2">
      <c r="A7357" s="4" t="s">
        <v>1</v>
      </c>
      <c r="B7357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57" s="3" t="str">
        <f>HYPERLINK("https://otsuka-europe-crm.veevavault.com/ui/#object/sent_email__v/VBLZ025E82H70YR", "SE-000282691")</f>
        <v>SE-000282691</v>
      </c>
      <c r="D7357" s="1" t="s">
        <v>0</v>
      </c>
      <c r="E7357" s="2">
        <v>0</v>
      </c>
      <c r="F7357" s="2">
        <v>0</v>
      </c>
      <c r="G7357" s="2">
        <v>0</v>
      </c>
      <c r="H7357" s="1" t="s">
        <v>0</v>
      </c>
      <c r="I7357" s="2">
        <v>0</v>
      </c>
      <c r="J7357" s="1">
        <v>45931.669525462959</v>
      </c>
    </row>
    <row r="7358" spans="1:10" x14ac:dyDescent="0.2">
      <c r="A7358" s="4" t="s">
        <v>1</v>
      </c>
      <c r="B7358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58" s="3" t="str">
        <f>HYPERLINK("https://otsuka-europe-crm.veevavault.com/ui/#object/sent_email__v/VBLZ025E82H70YS", "SE-000282692")</f>
        <v>SE-000282692</v>
      </c>
      <c r="D7358" s="1" t="s">
        <v>0</v>
      </c>
      <c r="E7358" s="2">
        <v>0</v>
      </c>
      <c r="F7358" s="2">
        <v>0</v>
      </c>
      <c r="G7358" s="2">
        <v>0</v>
      </c>
      <c r="H7358" s="1" t="s">
        <v>0</v>
      </c>
      <c r="I7358" s="2">
        <v>0</v>
      </c>
      <c r="J7358" s="1">
        <v>45931.669525462959</v>
      </c>
    </row>
    <row r="7359" spans="1:10" x14ac:dyDescent="0.2">
      <c r="A7359" s="4" t="s">
        <v>1</v>
      </c>
      <c r="B7359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59" s="3" t="str">
        <f>HYPERLINK("https://otsuka-europe-crm.veevavault.com/ui/#object/sent_email__v/VBLZ025E82H70YT", "SE-000282693")</f>
        <v>SE-000282693</v>
      </c>
      <c r="D7359" s="1" t="s">
        <v>0</v>
      </c>
      <c r="E7359" s="2">
        <v>0</v>
      </c>
      <c r="F7359" s="2">
        <v>0</v>
      </c>
      <c r="G7359" s="2">
        <v>0</v>
      </c>
      <c r="H7359" s="1" t="s">
        <v>0</v>
      </c>
      <c r="I7359" s="2">
        <v>0</v>
      </c>
      <c r="J7359" s="1">
        <v>45931.669548611113</v>
      </c>
    </row>
    <row r="7360" spans="1:10" x14ac:dyDescent="0.2">
      <c r="A7360" s="4" t="s">
        <v>1</v>
      </c>
      <c r="B7360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60" s="3" t="str">
        <f>HYPERLINK("https://otsuka-europe-crm.veevavault.com/ui/#object/sent_email__v/VBLZ025E82H70YU", "SE-000282694")</f>
        <v>SE-000282694</v>
      </c>
      <c r="D7360" s="1" t="s">
        <v>0</v>
      </c>
      <c r="E7360" s="2">
        <v>0</v>
      </c>
      <c r="F7360" s="2">
        <v>0</v>
      </c>
      <c r="G7360" s="2">
        <v>0</v>
      </c>
      <c r="H7360" s="1" t="s">
        <v>0</v>
      </c>
      <c r="I7360" s="2">
        <v>0</v>
      </c>
      <c r="J7360" s="1">
        <v>45931.669583333336</v>
      </c>
    </row>
    <row r="7361" spans="1:10" x14ac:dyDescent="0.2">
      <c r="A7361" s="4" t="s">
        <v>1</v>
      </c>
      <c r="B7361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61" s="3" t="str">
        <f>HYPERLINK("https://otsuka-europe-crm.veevavault.com/ui/#object/sent_email__v/VBLZ025E82H70YV", "SE-000282695")</f>
        <v>SE-000282695</v>
      </c>
      <c r="D7361" s="1">
        <v>45936.243587962963</v>
      </c>
      <c r="E7361" s="2">
        <v>1</v>
      </c>
      <c r="F7361" s="2">
        <v>3</v>
      </c>
      <c r="G7361" s="2">
        <v>0</v>
      </c>
      <c r="H7361" s="1" t="s">
        <v>0</v>
      </c>
      <c r="I7361" s="2">
        <v>0</v>
      </c>
      <c r="J7361" s="1">
        <v>45931.669594907406</v>
      </c>
    </row>
    <row r="7362" spans="1:10" x14ac:dyDescent="0.2">
      <c r="A7362" s="4" t="s">
        <v>1</v>
      </c>
      <c r="B7362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62" s="3" t="str">
        <f>HYPERLINK("https://otsuka-europe-crm.veevavault.com/ui/#object/sent_email__v/VBLZ025E82H70YW", "SE-000282696")</f>
        <v>SE-000282696</v>
      </c>
      <c r="D7362" s="1" t="s">
        <v>0</v>
      </c>
      <c r="E7362" s="2">
        <v>0</v>
      </c>
      <c r="F7362" s="2">
        <v>0</v>
      </c>
      <c r="G7362" s="2">
        <v>0</v>
      </c>
      <c r="H7362" s="1" t="s">
        <v>0</v>
      </c>
      <c r="I7362" s="2">
        <v>0</v>
      </c>
      <c r="J7362" s="1">
        <v>45931.669594907406</v>
      </c>
    </row>
    <row r="7363" spans="1:10" x14ac:dyDescent="0.2">
      <c r="A7363" s="4" t="s">
        <v>1</v>
      </c>
      <c r="B7363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63" s="3" t="str">
        <f>HYPERLINK("https://otsuka-europe-crm.veevavault.com/ui/#object/sent_email__v/VBLZ025E82H70YX", "SE-000282697")</f>
        <v>SE-000282697</v>
      </c>
      <c r="D7363" s="1" t="s">
        <v>0</v>
      </c>
      <c r="E7363" s="2">
        <v>0</v>
      </c>
      <c r="F7363" s="2">
        <v>0</v>
      </c>
      <c r="G7363" s="2">
        <v>0</v>
      </c>
      <c r="H7363" s="1" t="s">
        <v>0</v>
      </c>
      <c r="I7363" s="2">
        <v>0</v>
      </c>
      <c r="J7363" s="1">
        <v>45931.669629629629</v>
      </c>
    </row>
    <row r="7364" spans="1:10" x14ac:dyDescent="0.2">
      <c r="A7364" s="4" t="s">
        <v>1</v>
      </c>
      <c r="B7364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64" s="3" t="str">
        <f>HYPERLINK("https://otsuka-europe-crm.veevavault.com/ui/#object/sent_email__v/VBLZ025E82H70YY", "SE-000282698")</f>
        <v>SE-000282698</v>
      </c>
      <c r="D7364" s="1">
        <v>45931.726956018516</v>
      </c>
      <c r="E7364" s="2">
        <v>1</v>
      </c>
      <c r="F7364" s="2">
        <v>1</v>
      </c>
      <c r="G7364" s="2">
        <v>0</v>
      </c>
      <c r="H7364" s="1" t="s">
        <v>0</v>
      </c>
      <c r="I7364" s="2">
        <v>0</v>
      </c>
      <c r="J7364" s="1">
        <v>45931.669618055559</v>
      </c>
    </row>
    <row r="7365" spans="1:10" x14ac:dyDescent="0.2">
      <c r="A7365" s="4" t="s">
        <v>1</v>
      </c>
      <c r="B7365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65" s="3" t="str">
        <f>HYPERLINK("https://otsuka-europe-crm.veevavault.com/ui/#object/sent_email__v/VBLZ025E82H70YZ", "SE-000282699")</f>
        <v>SE-000282699</v>
      </c>
      <c r="D7365" s="1">
        <v>45931.974004629628</v>
      </c>
      <c r="E7365" s="2">
        <v>1</v>
      </c>
      <c r="F7365" s="2">
        <v>1</v>
      </c>
      <c r="G7365" s="2">
        <v>0</v>
      </c>
      <c r="H7365" s="1" t="s">
        <v>0</v>
      </c>
      <c r="I7365" s="2">
        <v>0</v>
      </c>
      <c r="J7365" s="1">
        <v>45931.669629629629</v>
      </c>
    </row>
    <row r="7366" spans="1:10" x14ac:dyDescent="0.2">
      <c r="A7366" s="4" t="s">
        <v>1</v>
      </c>
      <c r="B7366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66" s="3" t="str">
        <f>HYPERLINK("https://otsuka-europe-crm.veevavault.com/ui/#object/sent_email__v/VBLZ025E82H70Z0", "SE-000282700")</f>
        <v>SE-000282700</v>
      </c>
      <c r="D7366" s="1" t="s">
        <v>0</v>
      </c>
      <c r="E7366" s="2">
        <v>0</v>
      </c>
      <c r="F7366" s="2">
        <v>0</v>
      </c>
      <c r="G7366" s="2">
        <v>0</v>
      </c>
      <c r="H7366" s="1" t="s">
        <v>0</v>
      </c>
      <c r="I7366" s="2">
        <v>0</v>
      </c>
      <c r="J7366" s="1">
        <v>45931.669641203705</v>
      </c>
    </row>
    <row r="7367" spans="1:10" x14ac:dyDescent="0.2">
      <c r="A7367" s="4" t="s">
        <v>1</v>
      </c>
      <c r="B7367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67" s="3" t="str">
        <f>HYPERLINK("https://otsuka-europe-crm.veevavault.com/ui/#object/sent_email__v/VBLZ025E82H70Z1", "SE-000282701")</f>
        <v>SE-000282701</v>
      </c>
      <c r="D7367" s="1" t="s">
        <v>0</v>
      </c>
      <c r="E7367" s="2">
        <v>0</v>
      </c>
      <c r="F7367" s="2">
        <v>0</v>
      </c>
      <c r="G7367" s="2">
        <v>0</v>
      </c>
      <c r="H7367" s="1" t="s">
        <v>0</v>
      </c>
      <c r="I7367" s="2">
        <v>0</v>
      </c>
      <c r="J7367" s="1">
        <v>45931.669652777775</v>
      </c>
    </row>
    <row r="7368" spans="1:10" x14ac:dyDescent="0.2">
      <c r="A7368" s="4" t="s">
        <v>1</v>
      </c>
      <c r="B7368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68" s="3" t="str">
        <f>HYPERLINK("https://otsuka-europe-crm.veevavault.com/ui/#object/sent_email__v/VBLZ025E82H70Z2", "SE-000282702")</f>
        <v>SE-000282702</v>
      </c>
      <c r="D7368" s="1">
        <v>45932.496620370373</v>
      </c>
      <c r="E7368" s="2">
        <v>1</v>
      </c>
      <c r="F7368" s="2">
        <v>1</v>
      </c>
      <c r="G7368" s="2">
        <v>1</v>
      </c>
      <c r="H7368" s="1">
        <v>45932.496620370373</v>
      </c>
      <c r="I7368" s="2">
        <v>1</v>
      </c>
      <c r="J7368" s="1">
        <v>45931.669664351852</v>
      </c>
    </row>
    <row r="7369" spans="1:10" x14ac:dyDescent="0.2">
      <c r="A7369" s="4" t="s">
        <v>1</v>
      </c>
      <c r="B7369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69" s="3" t="str">
        <f>HYPERLINK("https://otsuka-europe-crm.veevavault.com/ui/#object/sent_email__v/VBLZ025E82H70Z3", "SE-000282703")</f>
        <v>SE-000282703</v>
      </c>
      <c r="D7369" s="1">
        <v>45952.940011574072</v>
      </c>
      <c r="E7369" s="2">
        <v>1</v>
      </c>
      <c r="F7369" s="2">
        <v>1</v>
      </c>
      <c r="G7369" s="2">
        <v>0</v>
      </c>
      <c r="H7369" s="1" t="s">
        <v>0</v>
      </c>
      <c r="I7369" s="2">
        <v>0</v>
      </c>
      <c r="J7369" s="1">
        <v>45931.669675925928</v>
      </c>
    </row>
    <row r="7370" spans="1:10" x14ac:dyDescent="0.2">
      <c r="A7370" s="4" t="s">
        <v>1</v>
      </c>
      <c r="B7370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70" s="3" t="str">
        <f>HYPERLINK("https://otsuka-europe-crm.veevavault.com/ui/#object/sent_email__v/VBLZ025E82H70Z4", "SE-000282704")</f>
        <v>SE-000282704</v>
      </c>
      <c r="D7370" s="1" t="s">
        <v>0</v>
      </c>
      <c r="E7370" s="2">
        <v>0</v>
      </c>
      <c r="F7370" s="2">
        <v>0</v>
      </c>
      <c r="G7370" s="2">
        <v>0</v>
      </c>
      <c r="H7370" s="1" t="s">
        <v>0</v>
      </c>
      <c r="I7370" s="2">
        <v>0</v>
      </c>
      <c r="J7370" s="1">
        <v>45931.669687499998</v>
      </c>
    </row>
    <row r="7371" spans="1:10" x14ac:dyDescent="0.2">
      <c r="A7371" s="4" t="s">
        <v>1</v>
      </c>
      <c r="B7371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71" s="3" t="str">
        <f>HYPERLINK("https://otsuka-europe-crm.veevavault.com/ui/#object/sent_email__v/VBLZ025E82H70Z5", "SE-000282705")</f>
        <v>SE-000282705</v>
      </c>
      <c r="D7371" s="1">
        <v>45932.31821759259</v>
      </c>
      <c r="E7371" s="2">
        <v>1</v>
      </c>
      <c r="F7371" s="2">
        <v>2</v>
      </c>
      <c r="G7371" s="2">
        <v>0</v>
      </c>
      <c r="H7371" s="1" t="s">
        <v>0</v>
      </c>
      <c r="I7371" s="2">
        <v>0</v>
      </c>
      <c r="J7371" s="1">
        <v>45931.669699074075</v>
      </c>
    </row>
    <row r="7372" spans="1:10" x14ac:dyDescent="0.2">
      <c r="A7372" s="4" t="s">
        <v>1</v>
      </c>
      <c r="B7372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72" s="3" t="str">
        <f>HYPERLINK("https://otsuka-europe-crm.veevavault.com/ui/#object/sent_email__v/VBLZ025E82H70Z6", "SE-000282706")</f>
        <v>SE-000282706</v>
      </c>
      <c r="D7372" s="1">
        <v>45937.627025462964</v>
      </c>
      <c r="E7372" s="2">
        <v>1</v>
      </c>
      <c r="F7372" s="2">
        <v>4</v>
      </c>
      <c r="G7372" s="2">
        <v>0</v>
      </c>
      <c r="H7372" s="1" t="s">
        <v>0</v>
      </c>
      <c r="I7372" s="2">
        <v>0</v>
      </c>
      <c r="J7372" s="1">
        <v>45931.669710648152</v>
      </c>
    </row>
    <row r="7373" spans="1:10" x14ac:dyDescent="0.2">
      <c r="A7373" s="4" t="s">
        <v>1</v>
      </c>
      <c r="B7373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73" s="3" t="str">
        <f>HYPERLINK("https://otsuka-europe-crm.veevavault.com/ui/#object/sent_email__v/VBLZ025E82H70Z7", "SE-000282707")</f>
        <v>SE-000282707</v>
      </c>
      <c r="D7373" s="1">
        <v>45931.839166666665</v>
      </c>
      <c r="E7373" s="2">
        <v>1</v>
      </c>
      <c r="F7373" s="2">
        <v>1</v>
      </c>
      <c r="G7373" s="2">
        <v>0</v>
      </c>
      <c r="H7373" s="1" t="s">
        <v>0</v>
      </c>
      <c r="I7373" s="2">
        <v>0</v>
      </c>
      <c r="J7373" s="1">
        <v>45931.669722222221</v>
      </c>
    </row>
    <row r="7374" spans="1:10" x14ac:dyDescent="0.2">
      <c r="A7374" s="4" t="s">
        <v>1</v>
      </c>
      <c r="B7374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74" s="3" t="str">
        <f>HYPERLINK("https://otsuka-europe-crm.veevavault.com/ui/#object/sent_email__v/VBLZ025E82H70Z8", "SE-000282708")</f>
        <v>SE-000282708</v>
      </c>
      <c r="D7374" s="1">
        <v>45932.312708333331</v>
      </c>
      <c r="E7374" s="2">
        <v>1</v>
      </c>
      <c r="F7374" s="2">
        <v>1</v>
      </c>
      <c r="G7374" s="2">
        <v>0</v>
      </c>
      <c r="H7374" s="1" t="s">
        <v>0</v>
      </c>
      <c r="I7374" s="2">
        <v>0</v>
      </c>
      <c r="J7374" s="1">
        <v>45931.669733796298</v>
      </c>
    </row>
    <row r="7375" spans="1:10" x14ac:dyDescent="0.2">
      <c r="A7375" s="4" t="s">
        <v>1</v>
      </c>
      <c r="B7375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75" s="3" t="str">
        <f>HYPERLINK("https://otsuka-europe-crm.veevavault.com/ui/#object/sent_email__v/VBLZ025E82H70Z9", "SE-000282709")</f>
        <v>SE-000282709</v>
      </c>
      <c r="D7375" s="1">
        <v>45931.705393518518</v>
      </c>
      <c r="E7375" s="2">
        <v>1</v>
      </c>
      <c r="F7375" s="2">
        <v>1</v>
      </c>
      <c r="G7375" s="2">
        <v>0</v>
      </c>
      <c r="H7375" s="1" t="s">
        <v>0</v>
      </c>
      <c r="I7375" s="2">
        <v>0</v>
      </c>
      <c r="J7375" s="1">
        <v>45931.669733796298</v>
      </c>
    </row>
    <row r="7376" spans="1:10" x14ac:dyDescent="0.2">
      <c r="A7376" s="4" t="s">
        <v>1</v>
      </c>
      <c r="B7376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76" s="3" t="str">
        <f>HYPERLINK("https://otsuka-europe-crm.veevavault.com/ui/#object/sent_email__v/VBLZ025E82H70ZA", "SE-000282710")</f>
        <v>SE-000282710</v>
      </c>
      <c r="D7376" s="1">
        <v>45931.893252314818</v>
      </c>
      <c r="E7376" s="2">
        <v>1</v>
      </c>
      <c r="F7376" s="2">
        <v>1</v>
      </c>
      <c r="G7376" s="2">
        <v>0</v>
      </c>
      <c r="H7376" s="1" t="s">
        <v>0</v>
      </c>
      <c r="I7376" s="2">
        <v>0</v>
      </c>
      <c r="J7376" s="1">
        <v>45931.669745370367</v>
      </c>
    </row>
    <row r="7377" spans="1:10" x14ac:dyDescent="0.2">
      <c r="A7377" s="4" t="s">
        <v>1</v>
      </c>
      <c r="B7377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77" s="3" t="str">
        <f>HYPERLINK("https://otsuka-europe-crm.veevavault.com/ui/#object/sent_email__v/VBLZ025E82H70ZB", "SE-000282711")</f>
        <v>SE-000282711</v>
      </c>
      <c r="D7377" s="1" t="s">
        <v>0</v>
      </c>
      <c r="E7377" s="2">
        <v>0</v>
      </c>
      <c r="F7377" s="2">
        <v>0</v>
      </c>
      <c r="G7377" s="2">
        <v>0</v>
      </c>
      <c r="H7377" s="1" t="s">
        <v>0</v>
      </c>
      <c r="I7377" s="2">
        <v>0</v>
      </c>
      <c r="J7377" s="1">
        <v>45931.669756944444</v>
      </c>
    </row>
    <row r="7378" spans="1:10" x14ac:dyDescent="0.2">
      <c r="A7378" s="4" t="s">
        <v>1</v>
      </c>
      <c r="B7378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78" s="3" t="str">
        <f>HYPERLINK("https://otsuka-europe-crm.veevavault.com/ui/#object/sent_email__v/VBLZ025E82H70ZC", "SE-000282712")</f>
        <v>SE-000282712</v>
      </c>
      <c r="D7378" s="1">
        <v>45931.780798611115</v>
      </c>
      <c r="E7378" s="2">
        <v>1</v>
      </c>
      <c r="F7378" s="2">
        <v>2</v>
      </c>
      <c r="G7378" s="2">
        <v>0</v>
      </c>
      <c r="H7378" s="1" t="s">
        <v>0</v>
      </c>
      <c r="I7378" s="2">
        <v>0</v>
      </c>
      <c r="J7378" s="1">
        <v>45931.669768518521</v>
      </c>
    </row>
    <row r="7379" spans="1:10" x14ac:dyDescent="0.2">
      <c r="A7379" s="4" t="s">
        <v>1</v>
      </c>
      <c r="B7379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79" s="3" t="str">
        <f>HYPERLINK("https://otsuka-europe-crm.veevavault.com/ui/#object/sent_email__v/VBLZ025E82H70ZD", "SE-000282713")</f>
        <v>SE-000282713</v>
      </c>
      <c r="D7379" s="1">
        <v>45931.695011574076</v>
      </c>
      <c r="E7379" s="2">
        <v>1</v>
      </c>
      <c r="F7379" s="2">
        <v>1</v>
      </c>
      <c r="G7379" s="2">
        <v>0</v>
      </c>
      <c r="H7379" s="1" t="s">
        <v>0</v>
      </c>
      <c r="I7379" s="2">
        <v>0</v>
      </c>
      <c r="J7379" s="1">
        <v>45931.66978009259</v>
      </c>
    </row>
    <row r="7380" spans="1:10" x14ac:dyDescent="0.2">
      <c r="A7380" s="4" t="s">
        <v>1</v>
      </c>
      <c r="B7380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80" s="3" t="str">
        <f>HYPERLINK("https://otsuka-europe-crm.veevavault.com/ui/#object/sent_email__v/VBLZ025E82H70ZE", "SE-000282714")</f>
        <v>SE-000282714</v>
      </c>
      <c r="D7380" s="1" t="s">
        <v>0</v>
      </c>
      <c r="E7380" s="2">
        <v>0</v>
      </c>
      <c r="F7380" s="2">
        <v>0</v>
      </c>
      <c r="G7380" s="2">
        <v>0</v>
      </c>
      <c r="H7380" s="1" t="s">
        <v>0</v>
      </c>
      <c r="I7380" s="2">
        <v>0</v>
      </c>
      <c r="J7380" s="1">
        <v>45931.66978009259</v>
      </c>
    </row>
    <row r="7381" spans="1:10" x14ac:dyDescent="0.2">
      <c r="A7381" s="4" t="s">
        <v>1</v>
      </c>
      <c r="B7381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81" s="3" t="str">
        <f>HYPERLINK("https://otsuka-europe-crm.veevavault.com/ui/#object/sent_email__v/VBLZ025E82H70ZF", "SE-000282715")</f>
        <v>SE-000282715</v>
      </c>
      <c r="D7381" s="1">
        <v>45931.692152777781</v>
      </c>
      <c r="E7381" s="2">
        <v>1</v>
      </c>
      <c r="F7381" s="2">
        <v>2</v>
      </c>
      <c r="G7381" s="2">
        <v>1</v>
      </c>
      <c r="H7381" s="1">
        <v>45931.692650462966</v>
      </c>
      <c r="I7381" s="2">
        <v>1</v>
      </c>
      <c r="J7381" s="1">
        <v>45931.669803240744</v>
      </c>
    </row>
    <row r="7382" spans="1:10" x14ac:dyDescent="0.2">
      <c r="A7382" s="4" t="s">
        <v>1</v>
      </c>
      <c r="B7382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82" s="3" t="str">
        <f>HYPERLINK("https://otsuka-europe-crm.veevavault.com/ui/#object/sent_email__v/VBLZ025E82H70ZG", "SE-000282716")</f>
        <v>SE-000282716</v>
      </c>
      <c r="D7382" s="1">
        <v>45931.685937499999</v>
      </c>
      <c r="E7382" s="2">
        <v>1</v>
      </c>
      <c r="F7382" s="2">
        <v>2</v>
      </c>
      <c r="G7382" s="2">
        <v>0</v>
      </c>
      <c r="H7382" s="1" t="s">
        <v>0</v>
      </c>
      <c r="I7382" s="2">
        <v>0</v>
      </c>
      <c r="J7382" s="1">
        <v>45931.669814814813</v>
      </c>
    </row>
    <row r="7383" spans="1:10" x14ac:dyDescent="0.2">
      <c r="A7383" s="4" t="s">
        <v>1</v>
      </c>
      <c r="B7383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83" s="3" t="str">
        <f>HYPERLINK("https://otsuka-europe-crm.veevavault.com/ui/#object/sent_email__v/VBLZ025E82H70ZH", "SE-000282717")</f>
        <v>SE-000282717</v>
      </c>
      <c r="D7383" s="1" t="s">
        <v>0</v>
      </c>
      <c r="E7383" s="2">
        <v>0</v>
      </c>
      <c r="F7383" s="2">
        <v>0</v>
      </c>
      <c r="G7383" s="2">
        <v>0</v>
      </c>
      <c r="H7383" s="1" t="s">
        <v>0</v>
      </c>
      <c r="I7383" s="2">
        <v>0</v>
      </c>
      <c r="J7383" s="1">
        <v>45931.66982638889</v>
      </c>
    </row>
    <row r="7384" spans="1:10" x14ac:dyDescent="0.2">
      <c r="A7384" s="4" t="s">
        <v>1</v>
      </c>
      <c r="B7384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84" s="3" t="str">
        <f>HYPERLINK("https://otsuka-europe-crm.veevavault.com/ui/#object/sent_email__v/VBLZ025E82H70ZI", "SE-000282718")</f>
        <v>SE-000282718</v>
      </c>
      <c r="D7384" s="1" t="s">
        <v>0</v>
      </c>
      <c r="E7384" s="2">
        <v>0</v>
      </c>
      <c r="F7384" s="2">
        <v>0</v>
      </c>
      <c r="G7384" s="2">
        <v>0</v>
      </c>
      <c r="H7384" s="1" t="s">
        <v>0</v>
      </c>
      <c r="I7384" s="2">
        <v>0</v>
      </c>
      <c r="J7384" s="1">
        <v>45931.66982638889</v>
      </c>
    </row>
    <row r="7385" spans="1:10" x14ac:dyDescent="0.2">
      <c r="A7385" s="4" t="s">
        <v>1</v>
      </c>
      <c r="B7385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85" s="3" t="str">
        <f>HYPERLINK("https://otsuka-europe-crm.veevavault.com/ui/#object/sent_email__v/VBLZ025E82H70ZJ", "SE-000282719")</f>
        <v>SE-000282719</v>
      </c>
      <c r="D7385" s="1">
        <v>45934.641018518516</v>
      </c>
      <c r="E7385" s="2">
        <v>1</v>
      </c>
      <c r="F7385" s="2">
        <v>1</v>
      </c>
      <c r="G7385" s="2">
        <v>0</v>
      </c>
      <c r="H7385" s="1" t="s">
        <v>0</v>
      </c>
      <c r="I7385" s="2">
        <v>0</v>
      </c>
      <c r="J7385" s="1">
        <v>45931.66983796296</v>
      </c>
    </row>
    <row r="7386" spans="1:10" x14ac:dyDescent="0.2">
      <c r="A7386" s="4" t="s">
        <v>1</v>
      </c>
      <c r="B7386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86" s="3" t="str">
        <f>HYPERLINK("https://otsuka-europe-crm.veevavault.com/ui/#object/sent_email__v/VBLZ025E82H70ZK", "SE-000282720")</f>
        <v>SE-000282720</v>
      </c>
      <c r="D7386" s="1" t="s">
        <v>0</v>
      </c>
      <c r="E7386" s="2">
        <v>0</v>
      </c>
      <c r="F7386" s="2">
        <v>0</v>
      </c>
      <c r="G7386" s="2">
        <v>0</v>
      </c>
      <c r="H7386" s="1" t="s">
        <v>0</v>
      </c>
      <c r="I7386" s="2">
        <v>0</v>
      </c>
      <c r="J7386" s="1">
        <v>45931.669849537036</v>
      </c>
    </row>
    <row r="7387" spans="1:10" x14ac:dyDescent="0.2">
      <c r="A7387" s="4" t="s">
        <v>1</v>
      </c>
      <c r="B7387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87" s="3" t="str">
        <f>HYPERLINK("https://otsuka-europe-crm.veevavault.com/ui/#object/sent_email__v/VBLZ025E82H70ZL", "SE-000282721")</f>
        <v>SE-000282721</v>
      </c>
      <c r="D7387" s="1">
        <v>45939.369062500002</v>
      </c>
      <c r="E7387" s="2">
        <v>1</v>
      </c>
      <c r="F7387" s="2">
        <v>1</v>
      </c>
      <c r="G7387" s="2">
        <v>0</v>
      </c>
      <c r="H7387" s="1" t="s">
        <v>0</v>
      </c>
      <c r="I7387" s="2">
        <v>0</v>
      </c>
      <c r="J7387" s="1">
        <v>45931.669861111113</v>
      </c>
    </row>
    <row r="7388" spans="1:10" x14ac:dyDescent="0.2">
      <c r="A7388" s="4" t="s">
        <v>1</v>
      </c>
      <c r="B7388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88" s="3" t="str">
        <f>HYPERLINK("https://otsuka-europe-crm.veevavault.com/ui/#object/sent_email__v/VBLZ025E82H70ZM", "SE-000282722")</f>
        <v>SE-000282722</v>
      </c>
      <c r="D7388" s="1" t="s">
        <v>0</v>
      </c>
      <c r="E7388" s="2">
        <v>0</v>
      </c>
      <c r="F7388" s="2">
        <v>0</v>
      </c>
      <c r="G7388" s="2">
        <v>0</v>
      </c>
      <c r="H7388" s="1" t="s">
        <v>0</v>
      </c>
      <c r="I7388" s="2">
        <v>0</v>
      </c>
      <c r="J7388" s="1">
        <v>45931.669872685183</v>
      </c>
    </row>
    <row r="7389" spans="1:10" x14ac:dyDescent="0.2">
      <c r="A7389" s="4" t="s">
        <v>1</v>
      </c>
      <c r="B7389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89" s="3" t="str">
        <f>HYPERLINK("https://otsuka-europe-crm.veevavault.com/ui/#object/sent_email__v/VBLZ025E82H70ZN", "SE-000282723")</f>
        <v>SE-000282723</v>
      </c>
      <c r="D7389" s="1" t="s">
        <v>0</v>
      </c>
      <c r="E7389" s="2">
        <v>0</v>
      </c>
      <c r="F7389" s="2">
        <v>0</v>
      </c>
      <c r="G7389" s="2">
        <v>0</v>
      </c>
      <c r="H7389" s="1" t="s">
        <v>0</v>
      </c>
      <c r="I7389" s="2">
        <v>0</v>
      </c>
      <c r="J7389" s="1">
        <v>45931.66988425926</v>
      </c>
    </row>
    <row r="7390" spans="1:10" x14ac:dyDescent="0.2">
      <c r="A7390" s="4" t="s">
        <v>1</v>
      </c>
      <c r="B7390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90" s="3" t="str">
        <f>HYPERLINK("https://otsuka-europe-crm.veevavault.com/ui/#object/sent_email__v/VBLZ025E82H70ZO", "SE-000282724")</f>
        <v>SE-000282724</v>
      </c>
      <c r="D7390" s="1" t="s">
        <v>0</v>
      </c>
      <c r="E7390" s="2">
        <v>0</v>
      </c>
      <c r="F7390" s="2">
        <v>0</v>
      </c>
      <c r="G7390" s="2">
        <v>0</v>
      </c>
      <c r="H7390" s="1" t="s">
        <v>0</v>
      </c>
      <c r="I7390" s="2">
        <v>0</v>
      </c>
      <c r="J7390" s="1">
        <v>45931.669895833336</v>
      </c>
    </row>
    <row r="7391" spans="1:10" x14ac:dyDescent="0.2">
      <c r="A7391" s="4" t="s">
        <v>1</v>
      </c>
      <c r="B7391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91" s="3" t="str">
        <f>HYPERLINK("https://otsuka-europe-crm.veevavault.com/ui/#object/sent_email__v/VBLZ025E82H70ZP", "SE-000282725")</f>
        <v>SE-000282725</v>
      </c>
      <c r="D7391" s="1" t="s">
        <v>0</v>
      </c>
      <c r="E7391" s="2">
        <v>0</v>
      </c>
      <c r="F7391" s="2">
        <v>0</v>
      </c>
      <c r="G7391" s="2">
        <v>0</v>
      </c>
      <c r="H7391" s="1" t="s">
        <v>0</v>
      </c>
      <c r="I7391" s="2">
        <v>0</v>
      </c>
      <c r="J7391" s="1">
        <v>45931.669907407406</v>
      </c>
    </row>
    <row r="7392" spans="1:10" x14ac:dyDescent="0.2">
      <c r="A7392" s="4" t="s">
        <v>1</v>
      </c>
      <c r="B7392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92" s="3" t="str">
        <f>HYPERLINK("https://otsuka-europe-crm.veevavault.com/ui/#object/sent_email__v/VBLZ025E82H70ZQ", "SE-000282726")</f>
        <v>SE-000282726</v>
      </c>
      <c r="D7392" s="1" t="s">
        <v>0</v>
      </c>
      <c r="E7392" s="2">
        <v>0</v>
      </c>
      <c r="F7392" s="2">
        <v>0</v>
      </c>
      <c r="G7392" s="2">
        <v>0</v>
      </c>
      <c r="H7392" s="1" t="s">
        <v>0</v>
      </c>
      <c r="I7392" s="2">
        <v>0</v>
      </c>
      <c r="J7392" s="1">
        <v>45931.669907407406</v>
      </c>
    </row>
    <row r="7393" spans="1:10" x14ac:dyDescent="0.2">
      <c r="A7393" s="4" t="s">
        <v>1</v>
      </c>
      <c r="B7393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93" s="3" t="str">
        <f>HYPERLINK("https://otsuka-europe-crm.veevavault.com/ui/#object/sent_email__v/VBLZ025E82H70ZR", "SE-000282727")</f>
        <v>SE-000282727</v>
      </c>
      <c r="D7393" s="1" t="s">
        <v>0</v>
      </c>
      <c r="E7393" s="2">
        <v>0</v>
      </c>
      <c r="F7393" s="2">
        <v>0</v>
      </c>
      <c r="G7393" s="2">
        <v>0</v>
      </c>
      <c r="H7393" s="1" t="s">
        <v>0</v>
      </c>
      <c r="I7393" s="2">
        <v>0</v>
      </c>
      <c r="J7393" s="1">
        <v>45931.669918981483</v>
      </c>
    </row>
    <row r="7394" spans="1:10" x14ac:dyDescent="0.2">
      <c r="A7394" s="4" t="s">
        <v>1</v>
      </c>
      <c r="B7394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94" s="3" t="str">
        <f>HYPERLINK("https://otsuka-europe-crm.veevavault.com/ui/#object/sent_email__v/VBLZ025E82H70ZS", "SE-000282728")</f>
        <v>SE-000282728</v>
      </c>
      <c r="D7394" s="1">
        <v>45931.670034722221</v>
      </c>
      <c r="E7394" s="2">
        <v>1</v>
      </c>
      <c r="F7394" s="2">
        <v>1</v>
      </c>
      <c r="G7394" s="2">
        <v>0</v>
      </c>
      <c r="H7394" s="1" t="s">
        <v>0</v>
      </c>
      <c r="I7394" s="2">
        <v>0</v>
      </c>
      <c r="J7394" s="1">
        <v>45931.669930555552</v>
      </c>
    </row>
    <row r="7395" spans="1:10" x14ac:dyDescent="0.2">
      <c r="A7395" s="4" t="s">
        <v>1</v>
      </c>
      <c r="B7395" s="3" t="str">
        <f>HYPERLINK("https://otsuka-europe-crm.veevavault.com/ui/#object/approved_document__v/V5OZ025E82PIT33", "ENFERMERÍA - PODCAST:  presentación proyecto + Ep. 1 Salud Mental")</f>
        <v>ENFERMERÍA - PODCAST:  presentación proyecto + Ep. 1 Salud Mental</v>
      </c>
      <c r="C7395" s="3" t="str">
        <f>HYPERLINK("https://otsuka-europe-crm.veevavault.com/ui/#object/sent_email__v/VBLZ025E82H70ZT", "SE-000282729")</f>
        <v>SE-000282729</v>
      </c>
      <c r="D7395" s="1" t="s">
        <v>0</v>
      </c>
      <c r="E7395" s="2">
        <v>0</v>
      </c>
      <c r="F7395" s="2">
        <v>0</v>
      </c>
      <c r="G7395" s="2">
        <v>0</v>
      </c>
      <c r="H7395" s="1" t="s">
        <v>0</v>
      </c>
      <c r="I7395" s="2">
        <v>0</v>
      </c>
      <c r="J7395" s="1">
        <v>45931.669942129629</v>
      </c>
    </row>
    <row r="7396" spans="1:10" x14ac:dyDescent="0.2">
      <c r="A7396" s="4" t="s">
        <v>1</v>
      </c>
      <c r="B7396" s="3" t="str">
        <f>HYPERLINK("https://otsuka-europe-crm.veevavault.com/ui/#object/approved_document__v/V5OZ025E82TFID4", "ENFERMERÍA - PODCAST: Ep. 2 Calma Mental")</f>
        <v>ENFERMERÍA - PODCAST: Ep. 2 Calma Mental</v>
      </c>
      <c r="C7396" s="3" t="str">
        <f>HYPERLINK("https://otsuka-europe-crm.veevavault.com/ui/#object/sent_email__v/VBLZ025E82GIO0X", "SE-000255612")</f>
        <v>SE-000255612</v>
      </c>
      <c r="D7396" s="1">
        <v>45920.710902777777</v>
      </c>
      <c r="E7396" s="2">
        <v>1</v>
      </c>
      <c r="F7396" s="2">
        <v>4</v>
      </c>
      <c r="G7396" s="2">
        <v>1</v>
      </c>
      <c r="H7396" s="1">
        <v>45909.495312500003</v>
      </c>
      <c r="I7396" s="2">
        <v>4</v>
      </c>
      <c r="J7396" s="1">
        <v>45909.494699074072</v>
      </c>
    </row>
    <row r="7397" spans="1:10" x14ac:dyDescent="0.2">
      <c r="A7397" s="4" t="s">
        <v>1</v>
      </c>
      <c r="B7397" s="3" t="str">
        <f>HYPERLINK("https://otsuka-europe-crm.veevavault.com/ui/#object/approved_document__v/V5OZ025E82TMV95", "ENFERMERÍA - PODCAST: Ep. 2 Calma Mental")</f>
        <v>ENFERMERÍA - PODCAST: Ep. 2 Calma Mental</v>
      </c>
      <c r="C7397" s="3" t="str">
        <f>HYPERLINK("https://otsuka-europe-crm.veevavault.com/ui/#object/sent_email__v/VBLZ025E82GNQL5", "SE-000275461")</f>
        <v>SE-000275461</v>
      </c>
      <c r="D7397" s="1">
        <v>45920.807233796295</v>
      </c>
      <c r="E7397" s="2">
        <v>1</v>
      </c>
      <c r="F7397" s="2">
        <v>3</v>
      </c>
      <c r="G7397" s="2">
        <v>1</v>
      </c>
      <c r="H7397" s="1">
        <v>45915.428159722222</v>
      </c>
      <c r="I7397" s="2">
        <v>6</v>
      </c>
      <c r="J7397" s="1">
        <v>45915.427569444444</v>
      </c>
    </row>
    <row r="7398" spans="1:10" x14ac:dyDescent="0.2">
      <c r="A7398" s="4" t="s">
        <v>1</v>
      </c>
      <c r="B7398" s="3" t="str">
        <f>HYPERLINK("https://otsuka-europe-crm.veevavault.com/ui/#object/approved_document__v/V5OZ025E82TMV95", "ENFERMERÍA - PODCAST: Ep. 2 Calma Mental")</f>
        <v>ENFERMERÍA - PODCAST: Ep. 2 Calma Mental</v>
      </c>
      <c r="C7398" s="3" t="str">
        <f>HYPERLINK("https://otsuka-europe-crm.veevavault.com/ui/#object/sent_email__v/VBLZ025E82GPKHD", "SE-000275661")</f>
        <v>SE-000275661</v>
      </c>
      <c r="D7398" s="1">
        <v>45916.50917824074</v>
      </c>
      <c r="E7398" s="2">
        <v>1</v>
      </c>
      <c r="F7398" s="2">
        <v>1</v>
      </c>
      <c r="G7398" s="2">
        <v>1</v>
      </c>
      <c r="H7398" s="1">
        <v>45916.509212962963</v>
      </c>
      <c r="I7398" s="2">
        <v>1</v>
      </c>
      <c r="J7398" s="1">
        <v>45916.508437500001</v>
      </c>
    </row>
    <row r="7399" spans="1:10" x14ac:dyDescent="0.2">
      <c r="A7399" s="4" t="s">
        <v>1</v>
      </c>
      <c r="B7399" s="3" t="str">
        <f>HYPERLINK("https://otsuka-europe-crm.veevavault.com/ui/#object/approved_document__v/V5OZ025E82TMV95", "ENFERMERÍA - PODCAST: Ep. 2 Calma Mental")</f>
        <v>ENFERMERÍA - PODCAST: Ep. 2 Calma Mental</v>
      </c>
      <c r="C7399" s="3" t="str">
        <f>HYPERLINK("https://otsuka-europe-crm.veevavault.com/ui/#object/sent_email__v/VBLZ025E82HB3BT", "SE-000283415")</f>
        <v>SE-000283415</v>
      </c>
      <c r="D7399" s="1">
        <v>45936.406527777777</v>
      </c>
      <c r="E7399" s="2">
        <v>1</v>
      </c>
      <c r="F7399" s="2">
        <v>2</v>
      </c>
      <c r="G7399" s="2">
        <v>0</v>
      </c>
      <c r="H7399" s="1" t="s">
        <v>0</v>
      </c>
      <c r="I7399" s="2">
        <v>0</v>
      </c>
      <c r="J7399" s="1">
        <v>45936.406261574077</v>
      </c>
    </row>
    <row r="7400" spans="1:10" x14ac:dyDescent="0.2">
      <c r="A7400" s="4" t="s">
        <v>1</v>
      </c>
      <c r="B7400" s="3" t="str">
        <f>HYPERLINK("https://otsuka-europe-crm.veevavault.com/ui/#object/approved_document__v/V5OZ025E82TMV95", "ENFERMERÍA - PODCAST: Ep. 2 Calma Mental")</f>
        <v>ENFERMERÍA - PODCAST: Ep. 2 Calma Mental</v>
      </c>
      <c r="C7400" s="3" t="str">
        <f>HYPERLINK("https://otsuka-europe-crm.veevavault.com/ui/#object/sent_email__v/VBLZ025E82HB3BU", "SE-000283416")</f>
        <v>SE-000283416</v>
      </c>
      <c r="D7400" s="1" t="s">
        <v>0</v>
      </c>
      <c r="E7400" s="2">
        <v>0</v>
      </c>
      <c r="F7400" s="2">
        <v>0</v>
      </c>
      <c r="G7400" s="2">
        <v>0</v>
      </c>
      <c r="H7400" s="1" t="s">
        <v>0</v>
      </c>
      <c r="I7400" s="2">
        <v>0</v>
      </c>
      <c r="J7400" s="1">
        <v>45936.406261574077</v>
      </c>
    </row>
    <row r="7401" spans="1:10" x14ac:dyDescent="0.2">
      <c r="A7401" s="4" t="s">
        <v>1</v>
      </c>
      <c r="B7401" s="3" t="str">
        <f>HYPERLINK("https://otsuka-europe-crm.veevavault.com/ui/#object/approved_document__v/V5OZ025E82TMV95", "ENFERMERÍA - PODCAST: Ep. 2 Calma Mental")</f>
        <v>ENFERMERÍA - PODCAST: Ep. 2 Calma Mental</v>
      </c>
      <c r="C7401" s="3" t="str">
        <f>HYPERLINK("https://otsuka-europe-crm.veevavault.com/ui/#object/sent_email__v/VBLZ025E82HB3BV", "SE-000283417")</f>
        <v>SE-000283417</v>
      </c>
      <c r="D7401" s="1">
        <v>45936.443553240744</v>
      </c>
      <c r="E7401" s="2">
        <v>1</v>
      </c>
      <c r="F7401" s="2">
        <v>1</v>
      </c>
      <c r="G7401" s="2">
        <v>0</v>
      </c>
      <c r="H7401" s="1" t="s">
        <v>0</v>
      </c>
      <c r="I7401" s="2">
        <v>0</v>
      </c>
      <c r="J7401" s="1">
        <v>45936.406284722223</v>
      </c>
    </row>
    <row r="7402" spans="1:10" x14ac:dyDescent="0.2">
      <c r="A7402" s="4" t="s">
        <v>1</v>
      </c>
      <c r="B7402" s="3" t="str">
        <f>HYPERLINK("https://otsuka-europe-crm.veevavault.com/ui/#object/approved_document__v/V5OZ025E82TMV95", "ENFERMERÍA - PODCAST: Ep. 2 Calma Mental")</f>
        <v>ENFERMERÍA - PODCAST: Ep. 2 Calma Mental</v>
      </c>
      <c r="C7402" s="3" t="str">
        <f>HYPERLINK("https://otsuka-europe-crm.veevavault.com/ui/#object/sent_email__v/VBLZ025E82HB3BW", "SE-000283418")</f>
        <v>SE-000283418</v>
      </c>
      <c r="D7402" s="1" t="s">
        <v>0</v>
      </c>
      <c r="E7402" s="2">
        <v>0</v>
      </c>
      <c r="F7402" s="2">
        <v>0</v>
      </c>
      <c r="G7402" s="2">
        <v>0</v>
      </c>
      <c r="H7402" s="1" t="s">
        <v>0</v>
      </c>
      <c r="I7402" s="2">
        <v>0</v>
      </c>
      <c r="J7402" s="1">
        <v>45936.406273148146</v>
      </c>
    </row>
    <row r="7403" spans="1:10" x14ac:dyDescent="0.2">
      <c r="A7403" s="4" t="s">
        <v>1</v>
      </c>
      <c r="B7403" s="3" t="str">
        <f>HYPERLINK("https://otsuka-europe-crm.veevavault.com/ui/#object/approved_document__v/V5OZ025E82TMV95", "ENFERMERÍA - PODCAST: Ep. 2 Calma Mental")</f>
        <v>ENFERMERÍA - PODCAST: Ep. 2 Calma Mental</v>
      </c>
      <c r="C7403" s="3" t="str">
        <f>HYPERLINK("https://otsuka-europe-crm.veevavault.com/ui/#object/sent_email__v/VBLZ025E82HB3BX", "SE-000283419")</f>
        <v>SE-000283419</v>
      </c>
      <c r="D7403" s="1" t="s">
        <v>0</v>
      </c>
      <c r="E7403" s="2">
        <v>0</v>
      </c>
      <c r="F7403" s="2">
        <v>0</v>
      </c>
      <c r="G7403" s="2">
        <v>0</v>
      </c>
      <c r="H7403" s="1" t="s">
        <v>0</v>
      </c>
      <c r="I7403" s="2">
        <v>0</v>
      </c>
      <c r="J7403" s="1">
        <v>45936.406284722223</v>
      </c>
    </row>
    <row r="7404" spans="1:10" x14ac:dyDescent="0.2">
      <c r="A7404" s="4" t="s">
        <v>1</v>
      </c>
      <c r="B7404" s="3" t="str">
        <f>HYPERLINK("https://otsuka-europe-crm.veevavault.com/ui/#object/approved_document__v/V5OZ025E82TMV95", "ENFERMERÍA - PODCAST: Ep. 2 Calma Mental")</f>
        <v>ENFERMERÍA - PODCAST: Ep. 2 Calma Mental</v>
      </c>
      <c r="C7404" s="3" t="str">
        <f>HYPERLINK("https://otsuka-europe-crm.veevavault.com/ui/#object/sent_email__v/VBLZ025E82HB3BY", "SE-000283420")</f>
        <v>SE-000283420</v>
      </c>
      <c r="D7404" s="1" t="s">
        <v>0</v>
      </c>
      <c r="E7404" s="2">
        <v>0</v>
      </c>
      <c r="F7404" s="2">
        <v>0</v>
      </c>
      <c r="G7404" s="2">
        <v>0</v>
      </c>
      <c r="H7404" s="1" t="s">
        <v>0</v>
      </c>
      <c r="I7404" s="2">
        <v>0</v>
      </c>
      <c r="J7404" s="1">
        <v>45936.4062962963</v>
      </c>
    </row>
    <row r="7405" spans="1:10" x14ac:dyDescent="0.2">
      <c r="A7405" s="4" t="s">
        <v>1</v>
      </c>
      <c r="B7405" s="3" t="str">
        <f>HYPERLINK("https://otsuka-europe-crm.veevavault.com/ui/#object/approved_document__v/V5OZ025E82TMV95", "ENFERMERÍA - PODCAST: Ep. 2 Calma Mental")</f>
        <v>ENFERMERÍA - PODCAST: Ep. 2 Calma Mental</v>
      </c>
      <c r="C7405" s="3" t="str">
        <f>HYPERLINK("https://otsuka-europe-crm.veevavault.com/ui/#object/sent_email__v/VBLZ025E82HB3BZ", "SE-000283421")</f>
        <v>SE-000283421</v>
      </c>
      <c r="D7405" s="1">
        <v>45936.800868055558</v>
      </c>
      <c r="E7405" s="2">
        <v>1</v>
      </c>
      <c r="F7405" s="2">
        <v>1</v>
      </c>
      <c r="G7405" s="2">
        <v>0</v>
      </c>
      <c r="H7405" s="1" t="s">
        <v>0</v>
      </c>
      <c r="I7405" s="2">
        <v>0</v>
      </c>
      <c r="J7405" s="1">
        <v>45936.406319444446</v>
      </c>
    </row>
    <row r="7406" spans="1:10" x14ac:dyDescent="0.2">
      <c r="A7406" s="4" t="s">
        <v>1</v>
      </c>
      <c r="B7406" s="3" t="str">
        <f>HYPERLINK("https://otsuka-europe-crm.veevavault.com/ui/#object/approved_document__v/V5OZ025E82TMV95", "ENFERMERÍA - PODCAST: Ep. 2 Calma Mental")</f>
        <v>ENFERMERÍA - PODCAST: Ep. 2 Calma Mental</v>
      </c>
      <c r="C7406" s="3" t="str">
        <f>HYPERLINK("https://otsuka-europe-crm.veevavault.com/ui/#object/sent_email__v/VBLZ025E82HB3C0", "SE-000283422")</f>
        <v>SE-000283422</v>
      </c>
      <c r="D7406" s="1" t="s">
        <v>0</v>
      </c>
      <c r="E7406" s="2">
        <v>0</v>
      </c>
      <c r="F7406" s="2">
        <v>0</v>
      </c>
      <c r="G7406" s="2">
        <v>0</v>
      </c>
      <c r="H7406" s="1" t="s">
        <v>0</v>
      </c>
      <c r="I7406" s="2">
        <v>0</v>
      </c>
      <c r="J7406" s="1">
        <v>45936.406319444446</v>
      </c>
    </row>
    <row r="7407" spans="1:10" x14ac:dyDescent="0.2">
      <c r="A7407" s="4" t="s">
        <v>1</v>
      </c>
      <c r="B7407" s="3" t="str">
        <f>HYPERLINK("https://otsuka-europe-crm.veevavault.com/ui/#object/approved_document__v/V5OZ025E82TMV95", "ENFERMERÍA - PODCAST: Ep. 2 Calma Mental")</f>
        <v>ENFERMERÍA - PODCAST: Ep. 2 Calma Mental</v>
      </c>
      <c r="C7407" s="3" t="str">
        <f>HYPERLINK("https://otsuka-europe-crm.veevavault.com/ui/#object/sent_email__v/VBLZ025E82HB3C1", "SE-000283423")</f>
        <v>SE-000283423</v>
      </c>
      <c r="D7407" s="1" t="s">
        <v>0</v>
      </c>
      <c r="E7407" s="2">
        <v>0</v>
      </c>
      <c r="F7407" s="2">
        <v>0</v>
      </c>
      <c r="G7407" s="2">
        <v>0</v>
      </c>
      <c r="H7407" s="1" t="s">
        <v>0</v>
      </c>
      <c r="I7407" s="2">
        <v>0</v>
      </c>
      <c r="J7407" s="1">
        <v>45936.406319444446</v>
      </c>
    </row>
    <row r="7408" spans="1:10" x14ac:dyDescent="0.2">
      <c r="A7408" s="4" t="s">
        <v>1</v>
      </c>
      <c r="B7408" s="3" t="str">
        <f>HYPERLINK("https://otsuka-europe-crm.veevavault.com/ui/#object/approved_document__v/V5OZ025E82TMV95", "ENFERMERÍA - PODCAST: Ep. 2 Calma Mental")</f>
        <v>ENFERMERÍA - PODCAST: Ep. 2 Calma Mental</v>
      </c>
      <c r="C7408" s="3" t="str">
        <f>HYPERLINK("https://otsuka-europe-crm.veevavault.com/ui/#object/sent_email__v/VBLZ025E82HB3C2", "SE-000283424")</f>
        <v>SE-000283424</v>
      </c>
      <c r="D7408" s="1" t="s">
        <v>0</v>
      </c>
      <c r="E7408" s="2">
        <v>0</v>
      </c>
      <c r="F7408" s="2">
        <v>0</v>
      </c>
      <c r="G7408" s="2">
        <v>0</v>
      </c>
      <c r="H7408" s="1" t="s">
        <v>0</v>
      </c>
      <c r="I7408" s="2">
        <v>0</v>
      </c>
      <c r="J7408" s="1">
        <v>45936.406331018516</v>
      </c>
    </row>
    <row r="7409" spans="1:10" x14ac:dyDescent="0.2">
      <c r="A7409" s="4" t="s">
        <v>1</v>
      </c>
      <c r="B7409" s="3" t="str">
        <f>HYPERLINK("https://otsuka-europe-crm.veevavault.com/ui/#object/approved_document__v/V5OZ025E82TMV95", "ENFERMERÍA - PODCAST: Ep. 2 Calma Mental")</f>
        <v>ENFERMERÍA - PODCAST: Ep. 2 Calma Mental</v>
      </c>
      <c r="C7409" s="3" t="str">
        <f>HYPERLINK("https://otsuka-europe-crm.veevavault.com/ui/#object/sent_email__v/VBLZ025E82HB3C3", "SE-000283425")</f>
        <v>SE-000283425</v>
      </c>
      <c r="D7409" s="1" t="s">
        <v>0</v>
      </c>
      <c r="E7409" s="2">
        <v>0</v>
      </c>
      <c r="F7409" s="2">
        <v>0</v>
      </c>
      <c r="G7409" s="2">
        <v>0</v>
      </c>
      <c r="H7409" s="1" t="s">
        <v>0</v>
      </c>
      <c r="I7409" s="2">
        <v>0</v>
      </c>
      <c r="J7409" s="1">
        <v>45936.406342592592</v>
      </c>
    </row>
    <row r="7410" spans="1:10" x14ac:dyDescent="0.2">
      <c r="A7410" s="4" t="s">
        <v>1</v>
      </c>
      <c r="B7410" s="3" t="str">
        <f>HYPERLINK("https://otsuka-europe-crm.veevavault.com/ui/#object/approved_document__v/V5OZ025E82TMV95", "ENFERMERÍA - PODCAST: Ep. 2 Calma Mental")</f>
        <v>ENFERMERÍA - PODCAST: Ep. 2 Calma Mental</v>
      </c>
      <c r="C7410" s="3" t="str">
        <f>HYPERLINK("https://otsuka-europe-crm.veevavault.com/ui/#object/sent_email__v/VBLZ025E82HB3C4", "SE-000283426")</f>
        <v>SE-000283426</v>
      </c>
      <c r="D7410" s="1" t="s">
        <v>0</v>
      </c>
      <c r="E7410" s="2">
        <v>0</v>
      </c>
      <c r="F7410" s="2">
        <v>0</v>
      </c>
      <c r="G7410" s="2">
        <v>0</v>
      </c>
      <c r="H7410" s="1" t="s">
        <v>0</v>
      </c>
      <c r="I7410" s="2">
        <v>0</v>
      </c>
      <c r="J7410" s="1">
        <v>45936.406354166669</v>
      </c>
    </row>
    <row r="7411" spans="1:10" x14ac:dyDescent="0.2">
      <c r="A7411" s="4" t="s">
        <v>1</v>
      </c>
      <c r="B7411" s="3" t="str">
        <f>HYPERLINK("https://otsuka-europe-crm.veevavault.com/ui/#object/approved_document__v/V5OZ025E82TMV95", "ENFERMERÍA - PODCAST: Ep. 2 Calma Mental")</f>
        <v>ENFERMERÍA - PODCAST: Ep. 2 Calma Mental</v>
      </c>
      <c r="C7411" s="3" t="str">
        <f>HYPERLINK("https://otsuka-europe-crm.veevavault.com/ui/#object/sent_email__v/VBLZ025E82HB3C5", "SE-000283427")</f>
        <v>SE-000283427</v>
      </c>
      <c r="D7411" s="1" t="s">
        <v>0</v>
      </c>
      <c r="E7411" s="2">
        <v>0</v>
      </c>
      <c r="F7411" s="2">
        <v>0</v>
      </c>
      <c r="G7411" s="2">
        <v>0</v>
      </c>
      <c r="H7411" s="1" t="s">
        <v>0</v>
      </c>
      <c r="I7411" s="2">
        <v>0</v>
      </c>
      <c r="J7411" s="1">
        <v>45936.406354166669</v>
      </c>
    </row>
    <row r="7412" spans="1:10" x14ac:dyDescent="0.2">
      <c r="A7412" s="4" t="s">
        <v>1</v>
      </c>
      <c r="B7412" s="3" t="str">
        <f>HYPERLINK("https://otsuka-europe-crm.veevavault.com/ui/#object/approved_document__v/V5OZ025E82TMV95", "ENFERMERÍA - PODCAST: Ep. 2 Calma Mental")</f>
        <v>ENFERMERÍA - PODCAST: Ep. 2 Calma Mental</v>
      </c>
      <c r="C7412" s="3" t="str">
        <f>HYPERLINK("https://otsuka-europe-crm.veevavault.com/ui/#object/sent_email__v/VBLZ025E82HB3C6", "SE-000283428")</f>
        <v>SE-000283428</v>
      </c>
      <c r="D7412" s="1" t="s">
        <v>0</v>
      </c>
      <c r="E7412" s="2">
        <v>0</v>
      </c>
      <c r="F7412" s="2">
        <v>0</v>
      </c>
      <c r="G7412" s="2">
        <v>0</v>
      </c>
      <c r="H7412" s="1" t="s">
        <v>0</v>
      </c>
      <c r="I7412" s="2">
        <v>0</v>
      </c>
      <c r="J7412" s="1">
        <v>45936.406365740739</v>
      </c>
    </row>
    <row r="7413" spans="1:10" x14ac:dyDescent="0.2">
      <c r="A7413" s="4" t="s">
        <v>1</v>
      </c>
      <c r="B7413" s="3" t="str">
        <f>HYPERLINK("https://otsuka-europe-crm.veevavault.com/ui/#object/approved_document__v/V5OZ025E82TMV95", "ENFERMERÍA - PODCAST: Ep. 2 Calma Mental")</f>
        <v>ENFERMERÍA - PODCAST: Ep. 2 Calma Mental</v>
      </c>
      <c r="C7413" s="3" t="str">
        <f>HYPERLINK("https://otsuka-europe-crm.veevavault.com/ui/#object/sent_email__v/VBLZ025E82HB3C7", "SE-000283429")</f>
        <v>SE-000283429</v>
      </c>
      <c r="D7413" s="1">
        <v>45951.877175925925</v>
      </c>
      <c r="E7413" s="2">
        <v>1</v>
      </c>
      <c r="F7413" s="2">
        <v>3</v>
      </c>
      <c r="G7413" s="2">
        <v>0</v>
      </c>
      <c r="H7413" s="1" t="s">
        <v>0</v>
      </c>
      <c r="I7413" s="2">
        <v>0</v>
      </c>
      <c r="J7413" s="1">
        <v>45936.406377314815</v>
      </c>
    </row>
    <row r="7414" spans="1:10" x14ac:dyDescent="0.2">
      <c r="A7414" s="4" t="s">
        <v>1</v>
      </c>
      <c r="B7414" s="3" t="str">
        <f>HYPERLINK("https://otsuka-europe-crm.veevavault.com/ui/#object/approved_document__v/V5OZ025E82TMV95", "ENFERMERÍA - PODCAST: Ep. 2 Calma Mental")</f>
        <v>ENFERMERÍA - PODCAST: Ep. 2 Calma Mental</v>
      </c>
      <c r="C7414" s="3" t="str">
        <f>HYPERLINK("https://otsuka-europe-crm.veevavault.com/ui/#object/sent_email__v/VBLZ025E82HB3C8", "SE-000283430")</f>
        <v>SE-000283430</v>
      </c>
      <c r="D7414" s="1">
        <v>45939.25104166667</v>
      </c>
      <c r="E7414" s="2">
        <v>1</v>
      </c>
      <c r="F7414" s="2">
        <v>1</v>
      </c>
      <c r="G7414" s="2">
        <v>0</v>
      </c>
      <c r="H7414" s="1" t="s">
        <v>0</v>
      </c>
      <c r="I7414" s="2">
        <v>0</v>
      </c>
      <c r="J7414" s="1">
        <v>45936.406388888892</v>
      </c>
    </row>
    <row r="7415" spans="1:10" x14ac:dyDescent="0.2">
      <c r="A7415" s="4" t="s">
        <v>1</v>
      </c>
      <c r="B7415" s="3" t="str">
        <f>HYPERLINK("https://otsuka-europe-crm.veevavault.com/ui/#object/approved_document__v/V5OZ025E82TMV95", "ENFERMERÍA - PODCAST: Ep. 2 Calma Mental")</f>
        <v>ENFERMERÍA - PODCAST: Ep. 2 Calma Mental</v>
      </c>
      <c r="C7415" s="3" t="str">
        <f>HYPERLINK("https://otsuka-europe-crm.veevavault.com/ui/#object/sent_email__v/VBLZ025E82HB3C9", "SE-000283431")</f>
        <v>SE-000283431</v>
      </c>
      <c r="D7415" s="1">
        <v>45937.607303240744</v>
      </c>
      <c r="E7415" s="2">
        <v>1</v>
      </c>
      <c r="F7415" s="2">
        <v>1</v>
      </c>
      <c r="G7415" s="2">
        <v>0</v>
      </c>
      <c r="H7415" s="1" t="s">
        <v>0</v>
      </c>
      <c r="I7415" s="2">
        <v>0</v>
      </c>
      <c r="J7415" s="1">
        <v>45936.406400462962</v>
      </c>
    </row>
    <row r="7416" spans="1:10" x14ac:dyDescent="0.2">
      <c r="A7416" s="4" t="s">
        <v>1</v>
      </c>
      <c r="B7416" s="3" t="str">
        <f>HYPERLINK("https://otsuka-europe-crm.veevavault.com/ui/#object/approved_document__v/V5OZ025E82TMV95", "ENFERMERÍA - PODCAST: Ep. 2 Calma Mental")</f>
        <v>ENFERMERÍA - PODCAST: Ep. 2 Calma Mental</v>
      </c>
      <c r="C7416" s="3" t="str">
        <f>HYPERLINK("https://otsuka-europe-crm.veevavault.com/ui/#object/sent_email__v/VBLZ025E82HB3CA", "SE-000283432")</f>
        <v>SE-000283432</v>
      </c>
      <c r="D7416" s="1">
        <v>45946.543020833335</v>
      </c>
      <c r="E7416" s="2">
        <v>1</v>
      </c>
      <c r="F7416" s="2">
        <v>3</v>
      </c>
      <c r="G7416" s="2">
        <v>1</v>
      </c>
      <c r="H7416" s="1">
        <v>45944.536354166667</v>
      </c>
      <c r="I7416" s="2">
        <v>1</v>
      </c>
      <c r="J7416" s="1">
        <v>45936.406400462962</v>
      </c>
    </row>
    <row r="7417" spans="1:10" x14ac:dyDescent="0.2">
      <c r="A7417" s="4" t="s">
        <v>1</v>
      </c>
      <c r="B7417" s="3" t="str">
        <f>HYPERLINK("https://otsuka-europe-crm.veevavault.com/ui/#object/approved_document__v/V5OZ025E82TMV95", "ENFERMERÍA - PODCAST: Ep. 2 Calma Mental")</f>
        <v>ENFERMERÍA - PODCAST: Ep. 2 Calma Mental</v>
      </c>
      <c r="C7417" s="3" t="str">
        <f>HYPERLINK("https://otsuka-europe-crm.veevavault.com/ui/#object/sent_email__v/VBLZ025E82HB3CB", "SE-000283433")</f>
        <v>SE-000283433</v>
      </c>
      <c r="D7417" s="1" t="s">
        <v>0</v>
      </c>
      <c r="E7417" s="2">
        <v>0</v>
      </c>
      <c r="F7417" s="2">
        <v>0</v>
      </c>
      <c r="G7417" s="2">
        <v>0</v>
      </c>
      <c r="H7417" s="1" t="s">
        <v>0</v>
      </c>
      <c r="I7417" s="2">
        <v>0</v>
      </c>
      <c r="J7417" s="1">
        <v>45936.406412037039</v>
      </c>
    </row>
    <row r="7418" spans="1:10" x14ac:dyDescent="0.2">
      <c r="A7418" s="4" t="s">
        <v>1</v>
      </c>
      <c r="B7418" s="3" t="str">
        <f>HYPERLINK("https://otsuka-europe-crm.veevavault.com/ui/#object/approved_document__v/V5OZ025E82TMV95", "ENFERMERÍA - PODCAST: Ep. 2 Calma Mental")</f>
        <v>ENFERMERÍA - PODCAST: Ep. 2 Calma Mental</v>
      </c>
      <c r="C7418" s="3" t="str">
        <f>HYPERLINK("https://otsuka-europe-crm.veevavault.com/ui/#object/sent_email__v/VBLZ025E82HB3CC", "SE-000283434")</f>
        <v>SE-000283434</v>
      </c>
      <c r="D7418" s="1" t="s">
        <v>0</v>
      </c>
      <c r="E7418" s="2">
        <v>0</v>
      </c>
      <c r="F7418" s="2">
        <v>0</v>
      </c>
      <c r="G7418" s="2">
        <v>0</v>
      </c>
      <c r="H7418" s="1" t="s">
        <v>0</v>
      </c>
      <c r="I7418" s="2">
        <v>0</v>
      </c>
      <c r="J7418" s="1">
        <v>45936.406423611108</v>
      </c>
    </row>
    <row r="7419" spans="1:10" x14ac:dyDescent="0.2">
      <c r="A7419" s="4" t="s">
        <v>1</v>
      </c>
      <c r="B7419" s="3" t="str">
        <f>HYPERLINK("https://otsuka-europe-crm.veevavault.com/ui/#object/approved_document__v/V5OZ025E82TMV95", "ENFERMERÍA - PODCAST: Ep. 2 Calma Mental")</f>
        <v>ENFERMERÍA - PODCAST: Ep. 2 Calma Mental</v>
      </c>
      <c r="C7419" s="3" t="str">
        <f>HYPERLINK("https://otsuka-europe-crm.veevavault.com/ui/#object/sent_email__v/VBLZ025E82HB3CD", "SE-000283435")</f>
        <v>SE-000283435</v>
      </c>
      <c r="D7419" s="1">
        <v>45997.913229166668</v>
      </c>
      <c r="E7419" s="2">
        <v>1</v>
      </c>
      <c r="F7419" s="2">
        <v>1</v>
      </c>
      <c r="G7419" s="2">
        <v>0</v>
      </c>
      <c r="H7419" s="1" t="s">
        <v>0</v>
      </c>
      <c r="I7419" s="2">
        <v>0</v>
      </c>
      <c r="J7419" s="1">
        <v>45936.406435185185</v>
      </c>
    </row>
    <row r="7420" spans="1:10" x14ac:dyDescent="0.2">
      <c r="A7420" s="4" t="s">
        <v>1</v>
      </c>
      <c r="B7420" s="3" t="str">
        <f>HYPERLINK("https://otsuka-europe-crm.veevavault.com/ui/#object/approved_document__v/V5OZ025E82TMV95", "ENFERMERÍA - PODCAST: Ep. 2 Calma Mental")</f>
        <v>ENFERMERÍA - PODCAST: Ep. 2 Calma Mental</v>
      </c>
      <c r="C7420" s="3" t="str">
        <f>HYPERLINK("https://otsuka-europe-crm.veevavault.com/ui/#object/sent_email__v/VBLZ025E82HB3CE", "SE-000283436")</f>
        <v>SE-000283436</v>
      </c>
      <c r="D7420" s="1">
        <v>45936.448009259257</v>
      </c>
      <c r="E7420" s="2">
        <v>1</v>
      </c>
      <c r="F7420" s="2">
        <v>1</v>
      </c>
      <c r="G7420" s="2">
        <v>0</v>
      </c>
      <c r="H7420" s="1" t="s">
        <v>0</v>
      </c>
      <c r="I7420" s="2">
        <v>0</v>
      </c>
      <c r="J7420" s="1">
        <v>45936.406446759262</v>
      </c>
    </row>
    <row r="7421" spans="1:10" x14ac:dyDescent="0.2">
      <c r="A7421" s="4" t="s">
        <v>1</v>
      </c>
      <c r="B7421" s="3" t="str">
        <f>HYPERLINK("https://otsuka-europe-crm.veevavault.com/ui/#object/approved_document__v/V5OZ025E82TMV95", "ENFERMERÍA - PODCAST: Ep. 2 Calma Mental")</f>
        <v>ENFERMERÍA - PODCAST: Ep. 2 Calma Mental</v>
      </c>
      <c r="C7421" s="3" t="str">
        <f>HYPERLINK("https://otsuka-europe-crm.veevavault.com/ui/#object/sent_email__v/VBLZ025E82HB3CF", "SE-000283437")</f>
        <v>SE-000283437</v>
      </c>
      <c r="D7421" s="1" t="s">
        <v>0</v>
      </c>
      <c r="E7421" s="2">
        <v>0</v>
      </c>
      <c r="F7421" s="2">
        <v>0</v>
      </c>
      <c r="G7421" s="2">
        <v>0</v>
      </c>
      <c r="H7421" s="1" t="s">
        <v>0</v>
      </c>
      <c r="I7421" s="2">
        <v>0</v>
      </c>
      <c r="J7421" s="1">
        <v>45936.406458333331</v>
      </c>
    </row>
    <row r="7422" spans="1:10" x14ac:dyDescent="0.2">
      <c r="A7422" s="4" t="s">
        <v>1</v>
      </c>
      <c r="B7422" s="3" t="str">
        <f>HYPERLINK("https://otsuka-europe-crm.veevavault.com/ui/#object/approved_document__v/V5OZ025E82TMV95", "ENFERMERÍA - PODCAST: Ep. 2 Calma Mental")</f>
        <v>ENFERMERÍA - PODCAST: Ep. 2 Calma Mental</v>
      </c>
      <c r="C7422" s="3" t="str">
        <f>HYPERLINK("https://otsuka-europe-crm.veevavault.com/ui/#object/sent_email__v/VBLZ025E82HB3CG", "SE-000283438")</f>
        <v>SE-000283438</v>
      </c>
      <c r="D7422" s="1" t="s">
        <v>0</v>
      </c>
      <c r="E7422" s="2">
        <v>0</v>
      </c>
      <c r="F7422" s="2">
        <v>0</v>
      </c>
      <c r="G7422" s="2">
        <v>0</v>
      </c>
      <c r="H7422" s="1" t="s">
        <v>0</v>
      </c>
      <c r="I7422" s="2">
        <v>0</v>
      </c>
      <c r="J7422" s="1">
        <v>45936.406469907408</v>
      </c>
    </row>
    <row r="7423" spans="1:10" x14ac:dyDescent="0.2">
      <c r="A7423" s="4" t="s">
        <v>1</v>
      </c>
      <c r="B7423" s="3" t="str">
        <f>HYPERLINK("https://otsuka-europe-crm.veevavault.com/ui/#object/approved_document__v/V5OZ025E82TMV95", "ENFERMERÍA - PODCAST: Ep. 2 Calma Mental")</f>
        <v>ENFERMERÍA - PODCAST: Ep. 2 Calma Mental</v>
      </c>
      <c r="C7423" s="3" t="str">
        <f>HYPERLINK("https://otsuka-europe-crm.veevavault.com/ui/#object/sent_email__v/VBLZ025E82HB3CH", "SE-000283439")</f>
        <v>SE-000283439</v>
      </c>
      <c r="D7423" s="1">
        <v>45936.425081018519</v>
      </c>
      <c r="E7423" s="2">
        <v>1</v>
      </c>
      <c r="F7423" s="2">
        <v>1</v>
      </c>
      <c r="G7423" s="2">
        <v>1</v>
      </c>
      <c r="H7423" s="1">
        <v>45936.425081018519</v>
      </c>
      <c r="I7423" s="2">
        <v>1</v>
      </c>
      <c r="J7423" s="1">
        <v>45936.406469907408</v>
      </c>
    </row>
    <row r="7424" spans="1:10" x14ac:dyDescent="0.2">
      <c r="A7424" s="4" t="s">
        <v>1</v>
      </c>
      <c r="B7424" s="3" t="str">
        <f>HYPERLINK("https://otsuka-europe-crm.veevavault.com/ui/#object/approved_document__v/V5OZ025E82TMV95", "ENFERMERÍA - PODCAST: Ep. 2 Calma Mental")</f>
        <v>ENFERMERÍA - PODCAST: Ep. 2 Calma Mental</v>
      </c>
      <c r="C7424" s="3" t="str">
        <f>HYPERLINK("https://otsuka-europe-crm.veevavault.com/ui/#object/sent_email__v/VBLZ025E82HB3CI", "SE-000283440")</f>
        <v>SE-000283440</v>
      </c>
      <c r="D7424" s="1">
        <v>45937.699537037035</v>
      </c>
      <c r="E7424" s="2">
        <v>1</v>
      </c>
      <c r="F7424" s="2">
        <v>5</v>
      </c>
      <c r="G7424" s="2">
        <v>0</v>
      </c>
      <c r="H7424" s="1" t="s">
        <v>0</v>
      </c>
      <c r="I7424" s="2">
        <v>0</v>
      </c>
      <c r="J7424" s="1">
        <v>45936.406481481485</v>
      </c>
    </row>
    <row r="7425" spans="1:10" x14ac:dyDescent="0.2">
      <c r="A7425" s="4" t="s">
        <v>1</v>
      </c>
      <c r="B7425" s="3" t="str">
        <f>HYPERLINK("https://otsuka-europe-crm.veevavault.com/ui/#object/approved_document__v/V5OZ025E82TMV95", "ENFERMERÍA - PODCAST: Ep. 2 Calma Mental")</f>
        <v>ENFERMERÍA - PODCAST: Ep. 2 Calma Mental</v>
      </c>
      <c r="C7425" s="3" t="str">
        <f>HYPERLINK("https://otsuka-europe-crm.veevavault.com/ui/#object/sent_email__v/VBLZ025E82HB3CJ", "SE-000283441")</f>
        <v>SE-000283441</v>
      </c>
      <c r="D7425" s="1" t="s">
        <v>0</v>
      </c>
      <c r="E7425" s="2">
        <v>0</v>
      </c>
      <c r="F7425" s="2">
        <v>0</v>
      </c>
      <c r="G7425" s="2">
        <v>0</v>
      </c>
      <c r="H7425" s="1" t="s">
        <v>0</v>
      </c>
      <c r="I7425" s="2">
        <v>0</v>
      </c>
      <c r="J7425" s="1">
        <v>45936.406493055554</v>
      </c>
    </row>
    <row r="7426" spans="1:10" x14ac:dyDescent="0.2">
      <c r="A7426" s="4" t="s">
        <v>1</v>
      </c>
      <c r="B7426" s="3" t="str">
        <f>HYPERLINK("https://otsuka-europe-crm.veevavault.com/ui/#object/approved_document__v/V5OZ025E82TMV95", "ENFERMERÍA - PODCAST: Ep. 2 Calma Mental")</f>
        <v>ENFERMERÍA - PODCAST: Ep. 2 Calma Mental</v>
      </c>
      <c r="C7426" s="3" t="str">
        <f>HYPERLINK("https://otsuka-europe-crm.veevavault.com/ui/#object/sent_email__v/VBLZ025E82HB3CK", "SE-000283442")</f>
        <v>SE-000283442</v>
      </c>
      <c r="D7426" s="1">
        <v>45936.406655092593</v>
      </c>
      <c r="E7426" s="2">
        <v>1</v>
      </c>
      <c r="F7426" s="2">
        <v>1</v>
      </c>
      <c r="G7426" s="2">
        <v>0</v>
      </c>
      <c r="H7426" s="1" t="s">
        <v>0</v>
      </c>
      <c r="I7426" s="2">
        <v>0</v>
      </c>
      <c r="J7426" s="1">
        <v>45936.406504629631</v>
      </c>
    </row>
    <row r="7427" spans="1:10" x14ac:dyDescent="0.2">
      <c r="A7427" s="4" t="s">
        <v>1</v>
      </c>
      <c r="B7427" s="3" t="str">
        <f>HYPERLINK("https://otsuka-europe-crm.veevavault.com/ui/#object/approved_document__v/V5OZ025E82TMV95", "ENFERMERÍA - PODCAST: Ep. 2 Calma Mental")</f>
        <v>ENFERMERÍA - PODCAST: Ep. 2 Calma Mental</v>
      </c>
      <c r="C7427" s="3" t="str">
        <f>HYPERLINK("https://otsuka-europe-crm.veevavault.com/ui/#object/sent_email__v/VBLZ025E82HB3CL", "SE-000283443")</f>
        <v>SE-000283443</v>
      </c>
      <c r="D7427" s="1">
        <v>45938.296030092592</v>
      </c>
      <c r="E7427" s="2">
        <v>1</v>
      </c>
      <c r="F7427" s="2">
        <v>2</v>
      </c>
      <c r="G7427" s="2">
        <v>0</v>
      </c>
      <c r="H7427" s="1" t="s">
        <v>0</v>
      </c>
      <c r="I7427" s="2">
        <v>0</v>
      </c>
      <c r="J7427" s="1">
        <v>45936.4065162037</v>
      </c>
    </row>
    <row r="7428" spans="1:10" x14ac:dyDescent="0.2">
      <c r="A7428" s="4" t="s">
        <v>1</v>
      </c>
      <c r="B7428" s="3" t="str">
        <f>HYPERLINK("https://otsuka-europe-crm.veevavault.com/ui/#object/approved_document__v/V5OZ025E82TMV95", "ENFERMERÍA - PODCAST: Ep. 2 Calma Mental")</f>
        <v>ENFERMERÍA - PODCAST: Ep. 2 Calma Mental</v>
      </c>
      <c r="C7428" s="3" t="str">
        <f>HYPERLINK("https://otsuka-europe-crm.veevavault.com/ui/#object/sent_email__v/VBLZ025E82HB3CM", "SE-000283444")</f>
        <v>SE-000283444</v>
      </c>
      <c r="D7428" s="1">
        <v>45952.950613425928</v>
      </c>
      <c r="E7428" s="2">
        <v>1</v>
      </c>
      <c r="F7428" s="2">
        <v>1</v>
      </c>
      <c r="G7428" s="2">
        <v>0</v>
      </c>
      <c r="H7428" s="1" t="s">
        <v>0</v>
      </c>
      <c r="I7428" s="2">
        <v>0</v>
      </c>
      <c r="J7428" s="1">
        <v>45936.4065162037</v>
      </c>
    </row>
    <row r="7429" spans="1:10" x14ac:dyDescent="0.2">
      <c r="A7429" s="4" t="s">
        <v>1</v>
      </c>
      <c r="B7429" s="3" t="str">
        <f>HYPERLINK("https://otsuka-europe-crm.veevavault.com/ui/#object/approved_document__v/V5OZ025E82TMV95", "ENFERMERÍA - PODCAST: Ep. 2 Calma Mental")</f>
        <v>ENFERMERÍA - PODCAST: Ep. 2 Calma Mental</v>
      </c>
      <c r="C7429" s="3" t="str">
        <f>HYPERLINK("https://otsuka-europe-crm.veevavault.com/ui/#object/sent_email__v/VBLZ025E82HB3CN", "SE-000283445")</f>
        <v>SE-000283445</v>
      </c>
      <c r="D7429" s="1" t="s">
        <v>0</v>
      </c>
      <c r="E7429" s="2">
        <v>0</v>
      </c>
      <c r="F7429" s="2">
        <v>0</v>
      </c>
      <c r="G7429" s="2">
        <v>0</v>
      </c>
      <c r="H7429" s="1" t="s">
        <v>0</v>
      </c>
      <c r="I7429" s="2">
        <v>0</v>
      </c>
      <c r="J7429" s="1">
        <v>45936.406527777777</v>
      </c>
    </row>
    <row r="7430" spans="1:10" x14ac:dyDescent="0.2">
      <c r="A7430" s="4" t="s">
        <v>1</v>
      </c>
      <c r="B7430" s="3" t="str">
        <f>HYPERLINK("https://otsuka-europe-crm.veevavault.com/ui/#object/approved_document__v/V5OZ025E82TMV95", "ENFERMERÍA - PODCAST: Ep. 2 Calma Mental")</f>
        <v>ENFERMERÍA - PODCAST: Ep. 2 Calma Mental</v>
      </c>
      <c r="C7430" s="3" t="str">
        <f>HYPERLINK("https://otsuka-europe-crm.veevavault.com/ui/#object/sent_email__v/VBLZ025E82HB3CO", "SE-000283446")</f>
        <v>SE-000283446</v>
      </c>
      <c r="D7430" s="1" t="s">
        <v>0</v>
      </c>
      <c r="E7430" s="2">
        <v>0</v>
      </c>
      <c r="F7430" s="2">
        <v>0</v>
      </c>
      <c r="G7430" s="2">
        <v>0</v>
      </c>
      <c r="H7430" s="1" t="s">
        <v>0</v>
      </c>
      <c r="I7430" s="2">
        <v>0</v>
      </c>
      <c r="J7430" s="1">
        <v>45936.406539351854</v>
      </c>
    </row>
    <row r="7431" spans="1:10" x14ac:dyDescent="0.2">
      <c r="A7431" s="4" t="s">
        <v>1</v>
      </c>
      <c r="B7431" s="3" t="str">
        <f>HYPERLINK("https://otsuka-europe-crm.veevavault.com/ui/#object/approved_document__v/V5OZ025E82TMV95", "ENFERMERÍA - PODCAST: Ep. 2 Calma Mental")</f>
        <v>ENFERMERÍA - PODCAST: Ep. 2 Calma Mental</v>
      </c>
      <c r="C7431" s="3" t="str">
        <f>HYPERLINK("https://otsuka-europe-crm.veevavault.com/ui/#object/sent_email__v/VBLZ025E82HB3CP", "SE-000283447")</f>
        <v>SE-000283447</v>
      </c>
      <c r="D7431" s="1" t="s">
        <v>0</v>
      </c>
      <c r="E7431" s="2">
        <v>0</v>
      </c>
      <c r="F7431" s="2">
        <v>0</v>
      </c>
      <c r="G7431" s="2">
        <v>0</v>
      </c>
      <c r="H7431" s="1" t="s">
        <v>0</v>
      </c>
      <c r="I7431" s="2">
        <v>0</v>
      </c>
      <c r="J7431" s="1">
        <v>45936.406550925924</v>
      </c>
    </row>
    <row r="7432" spans="1:10" x14ac:dyDescent="0.2">
      <c r="A7432" s="4" t="s">
        <v>1</v>
      </c>
      <c r="B7432" s="3" t="str">
        <f>HYPERLINK("https://otsuka-europe-crm.veevavault.com/ui/#object/approved_document__v/V5OZ025E82TMV95", "ENFERMERÍA - PODCAST: Ep. 2 Calma Mental")</f>
        <v>ENFERMERÍA - PODCAST: Ep. 2 Calma Mental</v>
      </c>
      <c r="C7432" s="3" t="str">
        <f>HYPERLINK("https://otsuka-europe-crm.veevavault.com/ui/#object/sent_email__v/VBLZ025E82HB3CQ", "SE-000283448")</f>
        <v>SE-000283448</v>
      </c>
      <c r="D7432" s="1" t="s">
        <v>0</v>
      </c>
      <c r="E7432" s="2">
        <v>0</v>
      </c>
      <c r="F7432" s="2">
        <v>0</v>
      </c>
      <c r="G7432" s="2">
        <v>0</v>
      </c>
      <c r="H7432" s="1" t="s">
        <v>0</v>
      </c>
      <c r="I7432" s="2">
        <v>0</v>
      </c>
      <c r="J7432" s="1">
        <v>45936.4065625</v>
      </c>
    </row>
    <row r="7433" spans="1:10" x14ac:dyDescent="0.2">
      <c r="A7433" s="4" t="s">
        <v>1</v>
      </c>
      <c r="B7433" s="3" t="str">
        <f>HYPERLINK("https://otsuka-europe-crm.veevavault.com/ui/#object/approved_document__v/V5OZ025E82TMV95", "ENFERMERÍA - PODCAST: Ep. 2 Calma Mental")</f>
        <v>ENFERMERÍA - PODCAST: Ep. 2 Calma Mental</v>
      </c>
      <c r="C7433" s="3" t="str">
        <f>HYPERLINK("https://otsuka-europe-crm.veevavault.com/ui/#object/sent_email__v/VBLZ025E82HB3CR", "SE-000283449")</f>
        <v>SE-000283449</v>
      </c>
      <c r="D7433" s="1" t="s">
        <v>0</v>
      </c>
      <c r="E7433" s="2">
        <v>0</v>
      </c>
      <c r="F7433" s="2">
        <v>0</v>
      </c>
      <c r="G7433" s="2">
        <v>0</v>
      </c>
      <c r="H7433" s="1" t="s">
        <v>0</v>
      </c>
      <c r="I7433" s="2">
        <v>0</v>
      </c>
      <c r="J7433" s="1">
        <v>45936.406574074077</v>
      </c>
    </row>
    <row r="7434" spans="1:10" x14ac:dyDescent="0.2">
      <c r="A7434" s="4" t="s">
        <v>1</v>
      </c>
      <c r="B7434" s="3" t="str">
        <f>HYPERLINK("https://otsuka-europe-crm.veevavault.com/ui/#object/approved_document__v/V5OZ025E82TMV95", "ENFERMERÍA - PODCAST: Ep. 2 Calma Mental")</f>
        <v>ENFERMERÍA - PODCAST: Ep. 2 Calma Mental</v>
      </c>
      <c r="C7434" s="3" t="str">
        <f>HYPERLINK("https://otsuka-europe-crm.veevavault.com/ui/#object/sent_email__v/VBLZ025E82HB3CS", "SE-000283450")</f>
        <v>SE-000283450</v>
      </c>
      <c r="D7434" s="1" t="s">
        <v>0</v>
      </c>
      <c r="E7434" s="2">
        <v>0</v>
      </c>
      <c r="F7434" s="2">
        <v>0</v>
      </c>
      <c r="G7434" s="2">
        <v>0</v>
      </c>
      <c r="H7434" s="1" t="s">
        <v>0</v>
      </c>
      <c r="I7434" s="2">
        <v>0</v>
      </c>
      <c r="J7434" s="1">
        <v>45936.406574074077</v>
      </c>
    </row>
    <row r="7435" spans="1:10" x14ac:dyDescent="0.2">
      <c r="A7435" s="4" t="s">
        <v>1</v>
      </c>
      <c r="B7435" s="3" t="str">
        <f>HYPERLINK("https://otsuka-europe-crm.veevavault.com/ui/#object/approved_document__v/V5OZ025E82TMV95", "ENFERMERÍA - PODCAST: Ep. 2 Calma Mental")</f>
        <v>ENFERMERÍA - PODCAST: Ep. 2 Calma Mental</v>
      </c>
      <c r="C7435" s="3" t="str">
        <f>HYPERLINK("https://otsuka-europe-crm.veevavault.com/ui/#object/sent_email__v/VBLZ025E82HB3CT", "SE-000283451")</f>
        <v>SE-000283451</v>
      </c>
      <c r="D7435" s="1" t="s">
        <v>0</v>
      </c>
      <c r="E7435" s="2">
        <v>0</v>
      </c>
      <c r="F7435" s="2">
        <v>0</v>
      </c>
      <c r="G7435" s="2">
        <v>0</v>
      </c>
      <c r="H7435" s="1" t="s">
        <v>0</v>
      </c>
      <c r="I7435" s="2">
        <v>0</v>
      </c>
      <c r="J7435" s="1">
        <v>45936.406585648147</v>
      </c>
    </row>
    <row r="7436" spans="1:10" x14ac:dyDescent="0.2">
      <c r="A7436" s="4" t="s">
        <v>1</v>
      </c>
      <c r="B7436" s="3" t="str">
        <f>HYPERLINK("https://otsuka-europe-crm.veevavault.com/ui/#object/approved_document__v/V5OZ025E82TMV95", "ENFERMERÍA - PODCAST: Ep. 2 Calma Mental")</f>
        <v>ENFERMERÍA - PODCAST: Ep. 2 Calma Mental</v>
      </c>
      <c r="C7436" s="3" t="str">
        <f>HYPERLINK("https://otsuka-europe-crm.veevavault.com/ui/#object/sent_email__v/VBLZ025E82HB3CU", "SE-000283452")</f>
        <v>SE-000283452</v>
      </c>
      <c r="D7436" s="1" t="s">
        <v>0</v>
      </c>
      <c r="E7436" s="2">
        <v>0</v>
      </c>
      <c r="F7436" s="2">
        <v>0</v>
      </c>
      <c r="G7436" s="2">
        <v>0</v>
      </c>
      <c r="H7436" s="1" t="s">
        <v>0</v>
      </c>
      <c r="I7436" s="2">
        <v>0</v>
      </c>
      <c r="J7436" s="1">
        <v>45936.406597222223</v>
      </c>
    </row>
    <row r="7437" spans="1:10" x14ac:dyDescent="0.2">
      <c r="A7437" s="4" t="s">
        <v>1</v>
      </c>
      <c r="B7437" s="3" t="str">
        <f>HYPERLINK("https://otsuka-europe-crm.veevavault.com/ui/#object/approved_document__v/V5OZ025E82TMV95", "ENFERMERÍA - PODCAST: Ep. 2 Calma Mental")</f>
        <v>ENFERMERÍA - PODCAST: Ep. 2 Calma Mental</v>
      </c>
      <c r="C7437" s="3" t="str">
        <f>HYPERLINK("https://otsuka-europe-crm.veevavault.com/ui/#object/sent_email__v/VBLZ025E82HB3CV", "SE-000283453")</f>
        <v>SE-000283453</v>
      </c>
      <c r="D7437" s="1">
        <v>45938.75953703704</v>
      </c>
      <c r="E7437" s="2">
        <v>1</v>
      </c>
      <c r="F7437" s="2">
        <v>1</v>
      </c>
      <c r="G7437" s="2">
        <v>0</v>
      </c>
      <c r="H7437" s="1" t="s">
        <v>0</v>
      </c>
      <c r="I7437" s="2">
        <v>0</v>
      </c>
      <c r="J7437" s="1">
        <v>45936.406608796293</v>
      </c>
    </row>
    <row r="7438" spans="1:10" x14ac:dyDescent="0.2">
      <c r="A7438" s="4" t="s">
        <v>1</v>
      </c>
      <c r="B7438" s="3" t="str">
        <f>HYPERLINK("https://otsuka-europe-crm.veevavault.com/ui/#object/approved_document__v/V5OZ025E82TMV95", "ENFERMERÍA - PODCAST: Ep. 2 Calma Mental")</f>
        <v>ENFERMERÍA - PODCAST: Ep. 2 Calma Mental</v>
      </c>
      <c r="C7438" s="3" t="str">
        <f>HYPERLINK("https://otsuka-europe-crm.veevavault.com/ui/#object/sent_email__v/VBLZ025E82HB3CW", "SE-000283454")</f>
        <v>SE-000283454</v>
      </c>
      <c r="D7438" s="1" t="s">
        <v>0</v>
      </c>
      <c r="E7438" s="2">
        <v>0</v>
      </c>
      <c r="F7438" s="2">
        <v>0</v>
      </c>
      <c r="G7438" s="2">
        <v>0</v>
      </c>
      <c r="H7438" s="1" t="s">
        <v>0</v>
      </c>
      <c r="I7438" s="2">
        <v>0</v>
      </c>
      <c r="J7438" s="1">
        <v>45936.40662037037</v>
      </c>
    </row>
    <row r="7439" spans="1:10" x14ac:dyDescent="0.2">
      <c r="A7439" s="4" t="s">
        <v>1</v>
      </c>
      <c r="B7439" s="3" t="str">
        <f>HYPERLINK("https://otsuka-europe-crm.veevavault.com/ui/#object/approved_document__v/V5OZ025E82TMV95", "ENFERMERÍA - PODCAST: Ep. 2 Calma Mental")</f>
        <v>ENFERMERÍA - PODCAST: Ep. 2 Calma Mental</v>
      </c>
      <c r="C7439" s="3" t="str">
        <f>HYPERLINK("https://otsuka-europe-crm.veevavault.com/ui/#object/sent_email__v/VBLZ025E82HB3CX", "SE-000283455")</f>
        <v>SE-000283455</v>
      </c>
      <c r="D7439" s="1">
        <v>45936.406701388885</v>
      </c>
      <c r="E7439" s="2">
        <v>1</v>
      </c>
      <c r="F7439" s="2">
        <v>1</v>
      </c>
      <c r="G7439" s="2">
        <v>0</v>
      </c>
      <c r="H7439" s="1" t="s">
        <v>0</v>
      </c>
      <c r="I7439" s="2">
        <v>0</v>
      </c>
      <c r="J7439" s="1">
        <v>45936.406631944446</v>
      </c>
    </row>
    <row r="7440" spans="1:10" x14ac:dyDescent="0.2">
      <c r="A7440" s="4" t="s">
        <v>1</v>
      </c>
      <c r="B7440" s="3" t="str">
        <f>HYPERLINK("https://otsuka-europe-crm.veevavault.com/ui/#object/approved_document__v/V5OZ025E82TMV95", "ENFERMERÍA - PODCAST: Ep. 2 Calma Mental")</f>
        <v>ENFERMERÍA - PODCAST: Ep. 2 Calma Mental</v>
      </c>
      <c r="C7440" s="3" t="str">
        <f>HYPERLINK("https://otsuka-europe-crm.veevavault.com/ui/#object/sent_email__v/VBLZ025E82HB3CY", "SE-000283456")</f>
        <v>SE-000283456</v>
      </c>
      <c r="D7440" s="1" t="s">
        <v>0</v>
      </c>
      <c r="E7440" s="2">
        <v>0</v>
      </c>
      <c r="F7440" s="2">
        <v>0</v>
      </c>
      <c r="G7440" s="2">
        <v>0</v>
      </c>
      <c r="H7440" s="1" t="s">
        <v>0</v>
      </c>
      <c r="I7440" s="2">
        <v>0</v>
      </c>
      <c r="J7440" s="1">
        <v>45936.406631944446</v>
      </c>
    </row>
    <row r="7441" spans="1:10" x14ac:dyDescent="0.2">
      <c r="A7441" s="4" t="s">
        <v>1</v>
      </c>
      <c r="B7441" s="3" t="str">
        <f>HYPERLINK("https://otsuka-europe-crm.veevavault.com/ui/#object/approved_document__v/V5OZ025E82TMV95", "ENFERMERÍA - PODCAST: Ep. 2 Calma Mental")</f>
        <v>ENFERMERÍA - PODCAST: Ep. 2 Calma Mental</v>
      </c>
      <c r="C7441" s="3" t="str">
        <f>HYPERLINK("https://otsuka-europe-crm.veevavault.com/ui/#object/sent_email__v/VBLZ025E82HB3CZ", "SE-000283457")</f>
        <v>SE-000283457</v>
      </c>
      <c r="D7441" s="1">
        <v>45936.709733796299</v>
      </c>
      <c r="E7441" s="2">
        <v>1</v>
      </c>
      <c r="F7441" s="2">
        <v>1</v>
      </c>
      <c r="G7441" s="2">
        <v>0</v>
      </c>
      <c r="H7441" s="1" t="s">
        <v>0</v>
      </c>
      <c r="I7441" s="2">
        <v>0</v>
      </c>
      <c r="J7441" s="1">
        <v>45936.406643518516</v>
      </c>
    </row>
    <row r="7442" spans="1:10" x14ac:dyDescent="0.2">
      <c r="A7442" s="4" t="s">
        <v>1</v>
      </c>
      <c r="B7442" s="3" t="str">
        <f>HYPERLINK("https://otsuka-europe-crm.veevavault.com/ui/#object/approved_document__v/V5OZ025E82TMV95", "ENFERMERÍA - PODCAST: Ep. 2 Calma Mental")</f>
        <v>ENFERMERÍA - PODCAST: Ep. 2 Calma Mental</v>
      </c>
      <c r="C7442" s="3" t="str">
        <f>HYPERLINK("https://otsuka-europe-crm.veevavault.com/ui/#object/sent_email__v/VBLZ025E82HB3D0", "SE-000283458")</f>
        <v>SE-000283458</v>
      </c>
      <c r="D7442" s="1" t="s">
        <v>0</v>
      </c>
      <c r="E7442" s="2">
        <v>0</v>
      </c>
      <c r="F7442" s="2">
        <v>0</v>
      </c>
      <c r="G7442" s="2">
        <v>0</v>
      </c>
      <c r="H7442" s="1" t="s">
        <v>0</v>
      </c>
      <c r="I7442" s="2">
        <v>0</v>
      </c>
      <c r="J7442" s="1">
        <v>45936.406655092593</v>
      </c>
    </row>
    <row r="7443" spans="1:10" x14ac:dyDescent="0.2">
      <c r="A7443" s="4" t="s">
        <v>1</v>
      </c>
      <c r="B7443" s="3" t="str">
        <f>HYPERLINK("https://otsuka-europe-crm.veevavault.com/ui/#object/approved_document__v/V5OZ025E82TMV95", "ENFERMERÍA - PODCAST: Ep. 2 Calma Mental")</f>
        <v>ENFERMERÍA - PODCAST: Ep. 2 Calma Mental</v>
      </c>
      <c r="C7443" s="3" t="str">
        <f>HYPERLINK("https://otsuka-europe-crm.veevavault.com/ui/#object/sent_email__v/VBLZ025E82HB3D1", "SE-000283459")</f>
        <v>SE-000283459</v>
      </c>
      <c r="D7443" s="1">
        <v>45936.440312500003</v>
      </c>
      <c r="E7443" s="2">
        <v>1</v>
      </c>
      <c r="F7443" s="2">
        <v>1</v>
      </c>
      <c r="G7443" s="2">
        <v>0</v>
      </c>
      <c r="H7443" s="1" t="s">
        <v>0</v>
      </c>
      <c r="I7443" s="2">
        <v>0</v>
      </c>
      <c r="J7443" s="1">
        <v>45936.406666666669</v>
      </c>
    </row>
    <row r="7444" spans="1:10" x14ac:dyDescent="0.2">
      <c r="A7444" s="4" t="s">
        <v>1</v>
      </c>
      <c r="B7444" s="3" t="str">
        <f>HYPERLINK("https://otsuka-europe-crm.veevavault.com/ui/#object/approved_document__v/V5OZ025E82TMV95", "ENFERMERÍA - PODCAST: Ep. 2 Calma Mental")</f>
        <v>ENFERMERÍA - PODCAST: Ep. 2 Calma Mental</v>
      </c>
      <c r="C7444" s="3" t="str">
        <f>HYPERLINK("https://otsuka-europe-crm.veevavault.com/ui/#object/sent_email__v/VBLZ025E82HB3D2", "SE-000283460")</f>
        <v>SE-000283460</v>
      </c>
      <c r="D7444" s="1">
        <v>45936.471192129633</v>
      </c>
      <c r="E7444" s="2">
        <v>1</v>
      </c>
      <c r="F7444" s="2">
        <v>1</v>
      </c>
      <c r="G7444" s="2">
        <v>0</v>
      </c>
      <c r="H7444" s="1" t="s">
        <v>0</v>
      </c>
      <c r="I7444" s="2">
        <v>0</v>
      </c>
      <c r="J7444" s="1">
        <v>45936.406678240739</v>
      </c>
    </row>
    <row r="7445" spans="1:10" x14ac:dyDescent="0.2">
      <c r="A7445" s="4" t="s">
        <v>1</v>
      </c>
      <c r="B7445" s="3" t="str">
        <f>HYPERLINK("https://otsuka-europe-crm.veevavault.com/ui/#object/approved_document__v/V5OZ025E82TMV95", "ENFERMERÍA - PODCAST: Ep. 2 Calma Mental")</f>
        <v>ENFERMERÍA - PODCAST: Ep. 2 Calma Mental</v>
      </c>
      <c r="C7445" s="3" t="str">
        <f>HYPERLINK("https://otsuka-europe-crm.veevavault.com/ui/#object/sent_email__v/VBLZ025E82HB3D3", "SE-000283461")</f>
        <v>SE-000283461</v>
      </c>
      <c r="D7445" s="1" t="s">
        <v>0</v>
      </c>
      <c r="E7445" s="2">
        <v>0</v>
      </c>
      <c r="F7445" s="2">
        <v>0</v>
      </c>
      <c r="G7445" s="2">
        <v>0</v>
      </c>
      <c r="H7445" s="1" t="s">
        <v>0</v>
      </c>
      <c r="I7445" s="2">
        <v>0</v>
      </c>
      <c r="J7445" s="1">
        <v>45936.406689814816</v>
      </c>
    </row>
    <row r="7446" spans="1:10" x14ac:dyDescent="0.2">
      <c r="A7446" s="4" t="s">
        <v>1</v>
      </c>
      <c r="B7446" s="3" t="str">
        <f>HYPERLINK("https://otsuka-europe-crm.veevavault.com/ui/#object/approved_document__v/V5OZ025E82TMV95", "ENFERMERÍA - PODCAST: Ep. 2 Calma Mental")</f>
        <v>ENFERMERÍA - PODCAST: Ep. 2 Calma Mental</v>
      </c>
      <c r="C7446" s="3" t="str">
        <f>HYPERLINK("https://otsuka-europe-crm.veevavault.com/ui/#object/sent_email__v/VBLZ025E82HB3D4", "SE-000283462")</f>
        <v>SE-000283462</v>
      </c>
      <c r="D7446" s="1">
        <v>45936.431504629632</v>
      </c>
      <c r="E7446" s="2">
        <v>1</v>
      </c>
      <c r="F7446" s="2">
        <v>1</v>
      </c>
      <c r="G7446" s="2">
        <v>0</v>
      </c>
      <c r="H7446" s="1" t="s">
        <v>0</v>
      </c>
      <c r="I7446" s="2">
        <v>0</v>
      </c>
      <c r="J7446" s="1">
        <v>45936.406689814816</v>
      </c>
    </row>
    <row r="7447" spans="1:10" x14ac:dyDescent="0.2">
      <c r="A7447" s="4" t="s">
        <v>1</v>
      </c>
      <c r="B7447" s="3" t="str">
        <f>HYPERLINK("https://otsuka-europe-crm.veevavault.com/ui/#object/approved_document__v/V5OZ025E82TMV95", "ENFERMERÍA - PODCAST: Ep. 2 Calma Mental")</f>
        <v>ENFERMERÍA - PODCAST: Ep. 2 Calma Mental</v>
      </c>
      <c r="C7447" s="3" t="str">
        <f>HYPERLINK("https://otsuka-europe-crm.veevavault.com/ui/#object/sent_email__v/VBLZ025E82HB3D5", "SE-000283463")</f>
        <v>SE-000283463</v>
      </c>
      <c r="D7447" s="1" t="s">
        <v>0</v>
      </c>
      <c r="E7447" s="2">
        <v>0</v>
      </c>
      <c r="F7447" s="2">
        <v>0</v>
      </c>
      <c r="G7447" s="2">
        <v>0</v>
      </c>
      <c r="H7447" s="1" t="s">
        <v>0</v>
      </c>
      <c r="I7447" s="2">
        <v>0</v>
      </c>
      <c r="J7447" s="1">
        <v>45936.406701388885</v>
      </c>
    </row>
    <row r="7448" spans="1:10" x14ac:dyDescent="0.2">
      <c r="A7448" s="4" t="s">
        <v>1</v>
      </c>
      <c r="B7448" s="3" t="str">
        <f>HYPERLINK("https://otsuka-europe-crm.veevavault.com/ui/#object/approved_document__v/V5OZ025E82TMV95", "ENFERMERÍA - PODCAST: Ep. 2 Calma Mental")</f>
        <v>ENFERMERÍA - PODCAST: Ep. 2 Calma Mental</v>
      </c>
      <c r="C7448" s="3" t="str">
        <f>HYPERLINK("https://otsuka-europe-crm.veevavault.com/ui/#object/sent_email__v/VBLZ025E82HB3D6", "SE-000283464")</f>
        <v>SE-000283464</v>
      </c>
      <c r="D7448" s="1">
        <v>45958.847349537034</v>
      </c>
      <c r="E7448" s="2">
        <v>1</v>
      </c>
      <c r="F7448" s="2">
        <v>4</v>
      </c>
      <c r="G7448" s="2">
        <v>0</v>
      </c>
      <c r="H7448" s="1" t="s">
        <v>0</v>
      </c>
      <c r="I7448" s="2">
        <v>0</v>
      </c>
      <c r="J7448" s="1">
        <v>45936.406712962962</v>
      </c>
    </row>
    <row r="7449" spans="1:10" x14ac:dyDescent="0.2">
      <c r="A7449" s="4" t="s">
        <v>1</v>
      </c>
      <c r="B7449" s="3" t="str">
        <f>HYPERLINK("https://otsuka-europe-crm.veevavault.com/ui/#object/approved_document__v/V5OZ025E82TMV95", "ENFERMERÍA - PODCAST: Ep. 2 Calma Mental")</f>
        <v>ENFERMERÍA - PODCAST: Ep. 2 Calma Mental</v>
      </c>
      <c r="C7449" s="3" t="str">
        <f>HYPERLINK("https://otsuka-europe-crm.veevavault.com/ui/#object/sent_email__v/VBLZ025E82HB3D7", "SE-000283465")</f>
        <v>SE-000283465</v>
      </c>
      <c r="D7449" s="1">
        <v>45936.434988425928</v>
      </c>
      <c r="E7449" s="2">
        <v>1</v>
      </c>
      <c r="F7449" s="2">
        <v>2</v>
      </c>
      <c r="G7449" s="2">
        <v>0</v>
      </c>
      <c r="H7449" s="1" t="s">
        <v>0</v>
      </c>
      <c r="I7449" s="2">
        <v>0</v>
      </c>
      <c r="J7449" s="1">
        <v>45936.406736111108</v>
      </c>
    </row>
    <row r="7450" spans="1:10" x14ac:dyDescent="0.2">
      <c r="A7450" s="4" t="s">
        <v>1</v>
      </c>
      <c r="B7450" s="3" t="str">
        <f>HYPERLINK("https://otsuka-europe-crm.veevavault.com/ui/#object/approved_document__v/V5OZ025E82TMV95", "ENFERMERÍA - PODCAST: Ep. 2 Calma Mental")</f>
        <v>ENFERMERÍA - PODCAST: Ep. 2 Calma Mental</v>
      </c>
      <c r="C7450" s="3" t="str">
        <f>HYPERLINK("https://otsuka-europe-crm.veevavault.com/ui/#object/sent_email__v/VBLZ025E82HB3D8", "SE-000283466")</f>
        <v>SE-000283466</v>
      </c>
      <c r="D7450" s="1">
        <v>45936.413414351853</v>
      </c>
      <c r="E7450" s="2">
        <v>1</v>
      </c>
      <c r="F7450" s="2">
        <v>1</v>
      </c>
      <c r="G7450" s="2">
        <v>0</v>
      </c>
      <c r="H7450" s="1" t="s">
        <v>0</v>
      </c>
      <c r="I7450" s="2">
        <v>0</v>
      </c>
      <c r="J7450" s="1">
        <v>45936.406736111108</v>
      </c>
    </row>
    <row r="7451" spans="1:10" x14ac:dyDescent="0.2">
      <c r="A7451" s="4" t="s">
        <v>1</v>
      </c>
      <c r="B7451" s="3" t="str">
        <f>HYPERLINK("https://otsuka-europe-crm.veevavault.com/ui/#object/approved_document__v/V5OZ025E82TMV95", "ENFERMERÍA - PODCAST: Ep. 2 Calma Mental")</f>
        <v>ENFERMERÍA - PODCAST: Ep. 2 Calma Mental</v>
      </c>
      <c r="C7451" s="3" t="str">
        <f>HYPERLINK("https://otsuka-europe-crm.veevavault.com/ui/#object/sent_email__v/VBLZ025E82HB3D9", "SE-000283467")</f>
        <v>SE-000283467</v>
      </c>
      <c r="D7451" s="1" t="s">
        <v>0</v>
      </c>
      <c r="E7451" s="2">
        <v>0</v>
      </c>
      <c r="F7451" s="2">
        <v>0</v>
      </c>
      <c r="G7451" s="2">
        <v>0</v>
      </c>
      <c r="H7451" s="1" t="s">
        <v>0</v>
      </c>
      <c r="I7451" s="2">
        <v>0</v>
      </c>
      <c r="J7451" s="1">
        <v>45936.406747685185</v>
      </c>
    </row>
    <row r="7452" spans="1:10" x14ac:dyDescent="0.2">
      <c r="A7452" s="4" t="s">
        <v>1</v>
      </c>
      <c r="B7452" s="3" t="str">
        <f>HYPERLINK("https://otsuka-europe-crm.veevavault.com/ui/#object/approved_document__v/V5OZ025E82TMV95", "ENFERMERÍA - PODCAST: Ep. 2 Calma Mental")</f>
        <v>ENFERMERÍA - PODCAST: Ep. 2 Calma Mental</v>
      </c>
      <c r="C7452" s="3" t="str">
        <f>HYPERLINK("https://otsuka-europe-crm.veevavault.com/ui/#object/sent_email__v/VBL000000005675", "SE-001380607")</f>
        <v>SE-001380607</v>
      </c>
      <c r="D7452" s="1" t="s">
        <v>0</v>
      </c>
      <c r="E7452" s="2">
        <v>0</v>
      </c>
      <c r="F7452" s="2">
        <v>0</v>
      </c>
      <c r="G7452" s="2">
        <v>0</v>
      </c>
      <c r="H7452" s="1" t="s">
        <v>0</v>
      </c>
      <c r="I7452" s="2">
        <v>0</v>
      </c>
      <c r="J7452" s="1">
        <v>45965.425555555557</v>
      </c>
    </row>
    <row r="7453" spans="1:10" x14ac:dyDescent="0.2">
      <c r="A7453" s="4" t="s">
        <v>1</v>
      </c>
      <c r="B7453" s="3" t="str">
        <f>HYPERLINK("https://otsuka-europe-crm.veevavault.com/ui/#object/approved_document__v/V5OZ025E82TMV95", "ENFERMERÍA - PODCAST: Ep. 2 Calma Mental")</f>
        <v>ENFERMERÍA - PODCAST: Ep. 2 Calma Mental</v>
      </c>
      <c r="C7453" s="3" t="str">
        <f>HYPERLINK("https://otsuka-europe-crm.veevavault.com/ui/#object/sent_email__v/VBL000000005676", "SE-001380608")</f>
        <v>SE-001380608</v>
      </c>
      <c r="D7453" s="1" t="s">
        <v>0</v>
      </c>
      <c r="E7453" s="2">
        <v>0</v>
      </c>
      <c r="F7453" s="2">
        <v>0</v>
      </c>
      <c r="G7453" s="2">
        <v>0</v>
      </c>
      <c r="H7453" s="1" t="s">
        <v>0</v>
      </c>
      <c r="I7453" s="2">
        <v>0</v>
      </c>
      <c r="J7453" s="1">
        <v>45965.425625000003</v>
      </c>
    </row>
    <row r="7454" spans="1:10" x14ac:dyDescent="0.2">
      <c r="A7454" s="4" t="s">
        <v>1</v>
      </c>
      <c r="B7454" s="3" t="str">
        <f>HYPERLINK("https://otsuka-europe-crm.veevavault.com/ui/#object/approved_document__v/V5OZ025E82TMV95", "ENFERMERÍA - PODCAST: Ep. 2 Calma Mental")</f>
        <v>ENFERMERÍA - PODCAST: Ep. 2 Calma Mental</v>
      </c>
      <c r="C7454" s="3" t="str">
        <f>HYPERLINK("https://otsuka-europe-crm.veevavault.com/ui/#object/sent_email__v/VBL000000005677", "SE-001380609")</f>
        <v>SE-001380609</v>
      </c>
      <c r="D7454" s="1" t="s">
        <v>0</v>
      </c>
      <c r="E7454" s="2">
        <v>0</v>
      </c>
      <c r="F7454" s="2">
        <v>0</v>
      </c>
      <c r="G7454" s="2">
        <v>0</v>
      </c>
      <c r="H7454" s="1" t="s">
        <v>0</v>
      </c>
      <c r="I7454" s="2">
        <v>0</v>
      </c>
      <c r="J7454" s="1">
        <v>45965.425694444442</v>
      </c>
    </row>
    <row r="7455" spans="1:10" x14ac:dyDescent="0.2">
      <c r="A7455" s="4" t="s">
        <v>1</v>
      </c>
      <c r="B7455" s="3" t="str">
        <f>HYPERLINK("https://otsuka-europe-crm.veevavault.com/ui/#object/approved_document__v/V5OZ025E82TMV95", "ENFERMERÍA - PODCAST: Ep. 2 Calma Mental")</f>
        <v>ENFERMERÍA - PODCAST: Ep. 2 Calma Mental</v>
      </c>
      <c r="C7455" s="3" t="str">
        <f>HYPERLINK("https://otsuka-europe-crm.veevavault.com/ui/#object/sent_email__v/VBL000000005678", "SE-001380610")</f>
        <v>SE-001380610</v>
      </c>
      <c r="D7455" s="1" t="s">
        <v>0</v>
      </c>
      <c r="E7455" s="2">
        <v>0</v>
      </c>
      <c r="F7455" s="2">
        <v>0</v>
      </c>
      <c r="G7455" s="2">
        <v>0</v>
      </c>
      <c r="H7455" s="1" t="s">
        <v>0</v>
      </c>
      <c r="I7455" s="2">
        <v>0</v>
      </c>
      <c r="J7455" s="1">
        <v>45965.425775462965</v>
      </c>
    </row>
    <row r="7456" spans="1:10" x14ac:dyDescent="0.2">
      <c r="A7456" s="4" t="s">
        <v>1</v>
      </c>
      <c r="B7456" s="3" t="str">
        <f>HYPERLINK("https://otsuka-europe-crm.veevavault.com/ui/#object/approved_document__v/V5OZ025E82TMV95", "ENFERMERÍA - PODCAST: Ep. 2 Calma Mental")</f>
        <v>ENFERMERÍA - PODCAST: Ep. 2 Calma Mental</v>
      </c>
      <c r="C7456" s="3" t="str">
        <f>HYPERLINK("https://otsuka-europe-crm.veevavault.com/ui/#object/sent_email__v/VBL000000005679", "SE-001380611")</f>
        <v>SE-001380611</v>
      </c>
      <c r="D7456" s="1">
        <v>46069.856226851851</v>
      </c>
      <c r="E7456" s="2">
        <v>1</v>
      </c>
      <c r="F7456" s="2">
        <v>1</v>
      </c>
      <c r="G7456" s="2">
        <v>0</v>
      </c>
      <c r="H7456" s="1" t="s">
        <v>0</v>
      </c>
      <c r="I7456" s="2">
        <v>0</v>
      </c>
      <c r="J7456" s="1">
        <v>45965.425833333335</v>
      </c>
    </row>
    <row r="7457" spans="1:10" x14ac:dyDescent="0.2">
      <c r="A7457" s="4" t="s">
        <v>1</v>
      </c>
      <c r="B7457" s="3" t="str">
        <f>HYPERLINK("https://otsuka-europe-crm.veevavault.com/ui/#object/approved_document__v/V5OZ025E82TMV95", "ENFERMERÍA - PODCAST: Ep. 2 Calma Mental")</f>
        <v>ENFERMERÍA - PODCAST: Ep. 2 Calma Mental</v>
      </c>
      <c r="C7457" s="3" t="str">
        <f>HYPERLINK("https://otsuka-europe-crm.veevavault.com/ui/#object/sent_email__v/VBL000000005680", "SE-001380612")</f>
        <v>SE-001380612</v>
      </c>
      <c r="D7457" s="1">
        <v>45965.628391203703</v>
      </c>
      <c r="E7457" s="2">
        <v>1</v>
      </c>
      <c r="F7457" s="2">
        <v>1</v>
      </c>
      <c r="G7457" s="2">
        <v>0</v>
      </c>
      <c r="H7457" s="1" t="s">
        <v>0</v>
      </c>
      <c r="I7457" s="2">
        <v>0</v>
      </c>
      <c r="J7457" s="1">
        <v>45965.425902777781</v>
      </c>
    </row>
    <row r="7458" spans="1:10" x14ac:dyDescent="0.2">
      <c r="A7458" s="4" t="s">
        <v>1</v>
      </c>
      <c r="B7458" s="3" t="str">
        <f>HYPERLINK("https://otsuka-europe-crm.veevavault.com/ui/#object/approved_document__v/V5OZ025E82TMV95", "ENFERMERÍA - PODCAST: Ep. 2 Calma Mental")</f>
        <v>ENFERMERÍA - PODCAST: Ep. 2 Calma Mental</v>
      </c>
      <c r="C7458" s="3" t="str">
        <f>HYPERLINK("https://otsuka-europe-crm.veevavault.com/ui/#object/sent_email__v/VBL000000005681", "SE-001380613")</f>
        <v>SE-001380613</v>
      </c>
      <c r="D7458" s="1" t="s">
        <v>0</v>
      </c>
      <c r="E7458" s="2">
        <v>0</v>
      </c>
      <c r="F7458" s="2">
        <v>0</v>
      </c>
      <c r="G7458" s="2">
        <v>0</v>
      </c>
      <c r="H7458" s="1" t="s">
        <v>0</v>
      </c>
      <c r="I7458" s="2">
        <v>0</v>
      </c>
      <c r="J7458" s="1">
        <v>45965.42597222222</v>
      </c>
    </row>
    <row r="7459" spans="1:10" x14ac:dyDescent="0.2">
      <c r="A7459" s="4" t="s">
        <v>1</v>
      </c>
      <c r="B7459" s="3" t="str">
        <f>HYPERLINK("https://otsuka-europe-crm.veevavault.com/ui/#object/approved_document__v/V5OZ025E82TMV95", "ENFERMERÍA - PODCAST: Ep. 2 Calma Mental")</f>
        <v>ENFERMERÍA - PODCAST: Ep. 2 Calma Mental</v>
      </c>
      <c r="C7459" s="3" t="str">
        <f>HYPERLINK("https://otsuka-europe-crm.veevavault.com/ui/#object/sent_email__v/VBL000000005682", "SE-001380614")</f>
        <v>SE-001380614</v>
      </c>
      <c r="D7459" s="1">
        <v>45965.468831018516</v>
      </c>
      <c r="E7459" s="2">
        <v>1</v>
      </c>
      <c r="F7459" s="2">
        <v>1</v>
      </c>
      <c r="G7459" s="2">
        <v>1</v>
      </c>
      <c r="H7459" s="1">
        <v>45965.490162037036</v>
      </c>
      <c r="I7459" s="2">
        <v>2</v>
      </c>
      <c r="J7459" s="1">
        <v>45965.426041666666</v>
      </c>
    </row>
    <row r="7460" spans="1:10" x14ac:dyDescent="0.2">
      <c r="A7460" s="4" t="s">
        <v>1</v>
      </c>
      <c r="B7460" s="3" t="str">
        <f>HYPERLINK("https://otsuka-europe-crm.veevavault.com/ui/#object/approved_document__v/V5OZ025E82TMV95", "ENFERMERÍA - PODCAST: Ep. 2 Calma Mental")</f>
        <v>ENFERMERÍA - PODCAST: Ep. 2 Calma Mental</v>
      </c>
      <c r="C7460" s="3" t="str">
        <f>HYPERLINK("https://otsuka-europe-crm.veevavault.com/ui/#object/sent_email__v/VBL000000005683", "SE-001380615")</f>
        <v>SE-001380615</v>
      </c>
      <c r="D7460" s="1" t="s">
        <v>0</v>
      </c>
      <c r="E7460" s="2">
        <v>0</v>
      </c>
      <c r="F7460" s="2">
        <v>0</v>
      </c>
      <c r="G7460" s="2">
        <v>0</v>
      </c>
      <c r="H7460" s="1" t="s">
        <v>0</v>
      </c>
      <c r="I7460" s="2">
        <v>0</v>
      </c>
      <c r="J7460" s="1">
        <v>45965.426111111112</v>
      </c>
    </row>
    <row r="7461" spans="1:10" x14ac:dyDescent="0.2">
      <c r="A7461" s="4" t="s">
        <v>1</v>
      </c>
      <c r="B7461" s="3" t="str">
        <f>HYPERLINK("https://otsuka-europe-crm.veevavault.com/ui/#object/approved_document__v/V5OZ025E82TMV95", "ENFERMERÍA - PODCAST: Ep. 2 Calma Mental")</f>
        <v>ENFERMERÍA - PODCAST: Ep. 2 Calma Mental</v>
      </c>
      <c r="C7461" s="3" t="str">
        <f>HYPERLINK("https://otsuka-europe-crm.veevavault.com/ui/#object/sent_email__v/VBL000000005684", "SE-001380616")</f>
        <v>SE-001380616</v>
      </c>
      <c r="D7461" s="1">
        <v>46056.454467592594</v>
      </c>
      <c r="E7461" s="2">
        <v>1</v>
      </c>
      <c r="F7461" s="2">
        <v>1</v>
      </c>
      <c r="G7461" s="2">
        <v>1</v>
      </c>
      <c r="H7461" s="1">
        <v>46056.454467592594</v>
      </c>
      <c r="I7461" s="2">
        <v>1</v>
      </c>
      <c r="J7461" s="1">
        <v>45965.426192129627</v>
      </c>
    </row>
    <row r="7462" spans="1:10" x14ac:dyDescent="0.2">
      <c r="A7462" s="4" t="s">
        <v>1</v>
      </c>
      <c r="B7462" s="3" t="str">
        <f>HYPERLINK("https://otsuka-europe-crm.veevavault.com/ui/#object/approved_document__v/V5OZ025E82TMV95", "ENFERMERÍA - PODCAST: Ep. 2 Calma Mental")</f>
        <v>ENFERMERÍA - PODCAST: Ep. 2 Calma Mental</v>
      </c>
      <c r="C7462" s="3" t="str">
        <f>HYPERLINK("https://otsuka-europe-crm.veevavault.com/ui/#object/sent_email__v/VBL000000005685", "SE-001380617")</f>
        <v>SE-001380617</v>
      </c>
      <c r="D7462" s="1">
        <v>45965.608113425929</v>
      </c>
      <c r="E7462" s="2">
        <v>1</v>
      </c>
      <c r="F7462" s="2">
        <v>1</v>
      </c>
      <c r="G7462" s="2">
        <v>0</v>
      </c>
      <c r="H7462" s="1" t="s">
        <v>0</v>
      </c>
      <c r="I7462" s="2">
        <v>0</v>
      </c>
      <c r="J7462" s="1">
        <v>45965.426261574074</v>
      </c>
    </row>
    <row r="7463" spans="1:10" x14ac:dyDescent="0.2">
      <c r="A7463" s="4" t="s">
        <v>1</v>
      </c>
      <c r="B7463" s="3" t="str">
        <f>HYPERLINK("https://otsuka-europe-crm.veevavault.com/ui/#object/approved_document__v/V5OZ025E82TMV95", "ENFERMERÍA - PODCAST: Ep. 2 Calma Mental")</f>
        <v>ENFERMERÍA - PODCAST: Ep. 2 Calma Mental</v>
      </c>
      <c r="C7463" s="3" t="str">
        <f>HYPERLINK("https://otsuka-europe-crm.veevavault.com/ui/#object/sent_email__v/VBL000000005686", "SE-001380618")</f>
        <v>SE-001380618</v>
      </c>
      <c r="D7463" s="1">
        <v>46014.457175925927</v>
      </c>
      <c r="E7463" s="2">
        <v>1</v>
      </c>
      <c r="F7463" s="2">
        <v>4</v>
      </c>
      <c r="G7463" s="2">
        <v>0</v>
      </c>
      <c r="H7463" s="1" t="s">
        <v>0</v>
      </c>
      <c r="I7463" s="2">
        <v>0</v>
      </c>
      <c r="J7463" s="1">
        <v>45965.42633101852</v>
      </c>
    </row>
    <row r="7464" spans="1:10" x14ac:dyDescent="0.2">
      <c r="A7464" s="4" t="s">
        <v>1</v>
      </c>
      <c r="B7464" s="3" t="str">
        <f>HYPERLINK("https://otsuka-europe-crm.veevavault.com/ui/#object/approved_document__v/V5OZ025E82TMV95", "ENFERMERÍA - PODCAST: Ep. 2 Calma Mental")</f>
        <v>ENFERMERÍA - PODCAST: Ep. 2 Calma Mental</v>
      </c>
      <c r="C7464" s="3" t="str">
        <f>HYPERLINK("https://otsuka-europe-crm.veevavault.com/ui/#object/sent_email__v/VBL000000005687", "SE-001380619")</f>
        <v>SE-001380619</v>
      </c>
      <c r="D7464" s="1" t="s">
        <v>0</v>
      </c>
      <c r="E7464" s="2">
        <v>0</v>
      </c>
      <c r="F7464" s="2">
        <v>0</v>
      </c>
      <c r="G7464" s="2">
        <v>0</v>
      </c>
      <c r="H7464" s="1" t="s">
        <v>0</v>
      </c>
      <c r="I7464" s="2">
        <v>0</v>
      </c>
      <c r="J7464" s="1">
        <v>45965.426400462966</v>
      </c>
    </row>
    <row r="7465" spans="1:10" x14ac:dyDescent="0.2">
      <c r="A7465" s="4" t="s">
        <v>1</v>
      </c>
      <c r="B7465" s="3" t="str">
        <f>HYPERLINK("https://otsuka-europe-crm.veevavault.com/ui/#object/approved_document__v/V5OZ025E82TMV95", "ENFERMERÍA - PODCAST: Ep. 2 Calma Mental")</f>
        <v>ENFERMERÍA - PODCAST: Ep. 2 Calma Mental</v>
      </c>
      <c r="C7465" s="3" t="str">
        <f>HYPERLINK("https://otsuka-europe-crm.veevavault.com/ui/#object/sent_email__v/VBL000000005688", "SE-001380620")</f>
        <v>SE-001380620</v>
      </c>
      <c r="D7465" s="1" t="s">
        <v>0</v>
      </c>
      <c r="E7465" s="2">
        <v>0</v>
      </c>
      <c r="F7465" s="2">
        <v>0</v>
      </c>
      <c r="G7465" s="2">
        <v>0</v>
      </c>
      <c r="H7465" s="1" t="s">
        <v>0</v>
      </c>
      <c r="I7465" s="2">
        <v>0</v>
      </c>
      <c r="J7465" s="1">
        <v>45965.426469907405</v>
      </c>
    </row>
    <row r="7466" spans="1:10" x14ac:dyDescent="0.2">
      <c r="A7466" s="4" t="s">
        <v>1</v>
      </c>
      <c r="B7466" s="3" t="str">
        <f>HYPERLINK("https://otsuka-europe-crm.veevavault.com/ui/#object/approved_document__v/V5OZ025E82TMV95", "ENFERMERÍA - PODCAST: Ep. 2 Calma Mental")</f>
        <v>ENFERMERÍA - PODCAST: Ep. 2 Calma Mental</v>
      </c>
      <c r="C7466" s="3" t="str">
        <f>HYPERLINK("https://otsuka-europe-crm.veevavault.com/ui/#object/sent_email__v/VBL000000005689", "SE-001380621")</f>
        <v>SE-001380621</v>
      </c>
      <c r="D7466" s="1">
        <v>45965.441608796296</v>
      </c>
      <c r="E7466" s="2">
        <v>1</v>
      </c>
      <c r="F7466" s="2">
        <v>1</v>
      </c>
      <c r="G7466" s="2">
        <v>0</v>
      </c>
      <c r="H7466" s="1" t="s">
        <v>0</v>
      </c>
      <c r="I7466" s="2">
        <v>0</v>
      </c>
      <c r="J7466" s="1">
        <v>45965.426539351851</v>
      </c>
    </row>
    <row r="7467" spans="1:10" x14ac:dyDescent="0.2">
      <c r="A7467" s="4" t="s">
        <v>1</v>
      </c>
      <c r="B7467" s="3" t="str">
        <f>HYPERLINK("https://otsuka-europe-crm.veevavault.com/ui/#object/approved_document__v/V5OZ025E82TMV95", "ENFERMERÍA - PODCAST: Ep. 2 Calma Mental")</f>
        <v>ENFERMERÍA - PODCAST: Ep. 2 Calma Mental</v>
      </c>
      <c r="C7467" s="3" t="str">
        <f>HYPERLINK("https://otsuka-europe-crm.veevavault.com/ui/#object/sent_email__v/VBL000000005690", "SE-001380622")</f>
        <v>SE-001380622</v>
      </c>
      <c r="D7467" s="1" t="s">
        <v>0</v>
      </c>
      <c r="E7467" s="2">
        <v>0</v>
      </c>
      <c r="F7467" s="2">
        <v>0</v>
      </c>
      <c r="G7467" s="2">
        <v>0</v>
      </c>
      <c r="H7467" s="1" t="s">
        <v>0</v>
      </c>
      <c r="I7467" s="2">
        <v>0</v>
      </c>
      <c r="J7467" s="1">
        <v>45965.426608796297</v>
      </c>
    </row>
    <row r="7468" spans="1:10" x14ac:dyDescent="0.2">
      <c r="A7468" s="4" t="s">
        <v>1</v>
      </c>
      <c r="B7468" s="3" t="str">
        <f>HYPERLINK("https://otsuka-europe-crm.veevavault.com/ui/#object/approved_document__v/V5OZ025E82TMV95", "ENFERMERÍA - PODCAST: Ep. 2 Calma Mental")</f>
        <v>ENFERMERÍA - PODCAST: Ep. 2 Calma Mental</v>
      </c>
      <c r="C7468" s="3" t="str">
        <f>HYPERLINK("https://otsuka-europe-crm.veevavault.com/ui/#object/sent_email__v/VBL000000005691", "SE-001380623")</f>
        <v>SE-001380623</v>
      </c>
      <c r="D7468" s="1" t="s">
        <v>0</v>
      </c>
      <c r="E7468" s="2">
        <v>0</v>
      </c>
      <c r="F7468" s="2">
        <v>0</v>
      </c>
      <c r="G7468" s="2">
        <v>0</v>
      </c>
      <c r="H7468" s="1" t="s">
        <v>0</v>
      </c>
      <c r="I7468" s="2">
        <v>0</v>
      </c>
      <c r="J7468" s="1">
        <v>45965.426678240743</v>
      </c>
    </row>
    <row r="7469" spans="1:10" x14ac:dyDescent="0.2">
      <c r="A7469" s="4" t="s">
        <v>1</v>
      </c>
      <c r="B7469" s="3" t="str">
        <f>HYPERLINK("https://otsuka-europe-crm.veevavault.com/ui/#object/approved_document__v/V5OZ025E82TMV95", "ENFERMERÍA - PODCAST: Ep. 2 Calma Mental")</f>
        <v>ENFERMERÍA - PODCAST: Ep. 2 Calma Mental</v>
      </c>
      <c r="C7469" s="3" t="str">
        <f>HYPERLINK("https://otsuka-europe-crm.veevavault.com/ui/#object/sent_email__v/VBL000000005692", "SE-001380624")</f>
        <v>SE-001380624</v>
      </c>
      <c r="D7469" s="1" t="s">
        <v>0</v>
      </c>
      <c r="E7469" s="2">
        <v>0</v>
      </c>
      <c r="F7469" s="2">
        <v>0</v>
      </c>
      <c r="G7469" s="2">
        <v>0</v>
      </c>
      <c r="H7469" s="1" t="s">
        <v>0</v>
      </c>
      <c r="I7469" s="2">
        <v>0</v>
      </c>
      <c r="J7469" s="1">
        <v>45965.426759259259</v>
      </c>
    </row>
    <row r="7470" spans="1:10" x14ac:dyDescent="0.2">
      <c r="A7470" s="4" t="s">
        <v>1</v>
      </c>
      <c r="B7470" s="3" t="str">
        <f>HYPERLINK("https://otsuka-europe-crm.veevavault.com/ui/#object/approved_document__v/V5OZ025E82TMV95", "ENFERMERÍA - PODCAST: Ep. 2 Calma Mental")</f>
        <v>ENFERMERÍA - PODCAST: Ep. 2 Calma Mental</v>
      </c>
      <c r="C7470" s="3" t="str">
        <f>HYPERLINK("https://otsuka-europe-crm.veevavault.com/ui/#object/sent_email__v/VBL000000005693", "SE-001380625")</f>
        <v>SE-001380625</v>
      </c>
      <c r="D7470" s="1">
        <v>45965.427870370368</v>
      </c>
      <c r="E7470" s="2">
        <v>1</v>
      </c>
      <c r="F7470" s="2">
        <v>2</v>
      </c>
      <c r="G7470" s="2">
        <v>0</v>
      </c>
      <c r="H7470" s="1" t="s">
        <v>0</v>
      </c>
      <c r="I7470" s="2">
        <v>0</v>
      </c>
      <c r="J7470" s="1">
        <v>45965.426817129628</v>
      </c>
    </row>
    <row r="7471" spans="1:10" x14ac:dyDescent="0.2">
      <c r="A7471" s="4" t="s">
        <v>1</v>
      </c>
      <c r="B7471" s="3" t="str">
        <f>HYPERLINK("https://otsuka-europe-crm.veevavault.com/ui/#object/approved_document__v/V5OZ025E82TMV95", "ENFERMERÍA - PODCAST: Ep. 2 Calma Mental")</f>
        <v>ENFERMERÍA - PODCAST: Ep. 2 Calma Mental</v>
      </c>
      <c r="C7471" s="3" t="str">
        <f>HYPERLINK("https://otsuka-europe-crm.veevavault.com/ui/#object/sent_email__v/VBL000000005694", "SE-001380626")</f>
        <v>SE-001380626</v>
      </c>
      <c r="D7471" s="1" t="s">
        <v>0</v>
      </c>
      <c r="E7471" s="2">
        <v>0</v>
      </c>
      <c r="F7471" s="2">
        <v>0</v>
      </c>
      <c r="G7471" s="2">
        <v>0</v>
      </c>
      <c r="H7471" s="1" t="s">
        <v>0</v>
      </c>
      <c r="I7471" s="2">
        <v>0</v>
      </c>
      <c r="J7471" s="1">
        <v>45965.426886574074</v>
      </c>
    </row>
    <row r="7472" spans="1:10" x14ac:dyDescent="0.2">
      <c r="A7472" s="4" t="s">
        <v>1</v>
      </c>
      <c r="B7472" s="3" t="str">
        <f>HYPERLINK("https://otsuka-europe-crm.veevavault.com/ui/#object/approved_document__v/V5OZ025E82TMV95", "ENFERMERÍA - PODCAST: Ep. 2 Calma Mental")</f>
        <v>ENFERMERÍA - PODCAST: Ep. 2 Calma Mental</v>
      </c>
      <c r="C7472" s="3" t="str">
        <f>HYPERLINK("https://otsuka-europe-crm.veevavault.com/ui/#object/sent_email__v/VBL000000005695", "SE-001380627")</f>
        <v>SE-001380627</v>
      </c>
      <c r="D7472" s="1">
        <v>45965.431597222225</v>
      </c>
      <c r="E7472" s="2">
        <v>1</v>
      </c>
      <c r="F7472" s="2">
        <v>2</v>
      </c>
      <c r="G7472" s="2">
        <v>1</v>
      </c>
      <c r="H7472" s="1">
        <v>45966.478472222225</v>
      </c>
      <c r="I7472" s="2">
        <v>1</v>
      </c>
      <c r="J7472" s="1">
        <v>45965.42695601852</v>
      </c>
    </row>
    <row r="7473" spans="1:10" x14ac:dyDescent="0.2">
      <c r="A7473" s="4" t="s">
        <v>1</v>
      </c>
      <c r="B7473" s="3" t="str">
        <f>HYPERLINK("https://otsuka-europe-crm.veevavault.com/ui/#object/approved_document__v/V5OZ025E82TMV95", "ENFERMERÍA - PODCAST: Ep. 2 Calma Mental")</f>
        <v>ENFERMERÍA - PODCAST: Ep. 2 Calma Mental</v>
      </c>
      <c r="C7473" s="3" t="str">
        <f>HYPERLINK("https://otsuka-europe-crm.veevavault.com/ui/#object/sent_email__v/VBL000000005696", "SE-001380628")</f>
        <v>SE-001380628</v>
      </c>
      <c r="D7473" s="1" t="s">
        <v>0</v>
      </c>
      <c r="E7473" s="2">
        <v>0</v>
      </c>
      <c r="F7473" s="2">
        <v>0</v>
      </c>
      <c r="G7473" s="2">
        <v>0</v>
      </c>
      <c r="H7473" s="1" t="s">
        <v>0</v>
      </c>
      <c r="I7473" s="2">
        <v>0</v>
      </c>
      <c r="J7473" s="1">
        <v>45965.427025462966</v>
      </c>
    </row>
    <row r="7474" spans="1:10" x14ac:dyDescent="0.2">
      <c r="A7474" s="4" t="s">
        <v>1</v>
      </c>
      <c r="B7474" s="3" t="str">
        <f>HYPERLINK("https://otsuka-europe-crm.veevavault.com/ui/#object/approved_document__v/V5OZ025E82TMV95", "ENFERMERÍA - PODCAST: Ep. 2 Calma Mental")</f>
        <v>ENFERMERÍA - PODCAST: Ep. 2 Calma Mental</v>
      </c>
      <c r="C7474" s="3" t="str">
        <f>HYPERLINK("https://otsuka-europe-crm.veevavault.com/ui/#object/sent_email__v/VBL000000005697", "SE-001380629")</f>
        <v>SE-001380629</v>
      </c>
      <c r="D7474" s="1" t="s">
        <v>0</v>
      </c>
      <c r="E7474" s="2">
        <v>0</v>
      </c>
      <c r="F7474" s="2">
        <v>0</v>
      </c>
      <c r="G7474" s="2">
        <v>0</v>
      </c>
      <c r="H7474" s="1" t="s">
        <v>0</v>
      </c>
      <c r="I7474" s="2">
        <v>0</v>
      </c>
      <c r="J7474" s="1">
        <v>45965.427094907405</v>
      </c>
    </row>
    <row r="7475" spans="1:10" x14ac:dyDescent="0.2">
      <c r="A7475" s="4" t="s">
        <v>1</v>
      </c>
      <c r="B7475" s="3" t="str">
        <f>HYPERLINK("https://otsuka-europe-crm.veevavault.com/ui/#object/approved_document__v/V5OZ025E82TMV95", "ENFERMERÍA - PODCAST: Ep. 2 Calma Mental")</f>
        <v>ENFERMERÍA - PODCAST: Ep. 2 Calma Mental</v>
      </c>
      <c r="C7475" s="3" t="str">
        <f>HYPERLINK("https://otsuka-europe-crm.veevavault.com/ui/#object/sent_email__v/VBL000000005698", "SE-001380630")</f>
        <v>SE-001380630</v>
      </c>
      <c r="D7475" s="1" t="s">
        <v>0</v>
      </c>
      <c r="E7475" s="2">
        <v>0</v>
      </c>
      <c r="F7475" s="2">
        <v>0</v>
      </c>
      <c r="G7475" s="2">
        <v>0</v>
      </c>
      <c r="H7475" s="1" t="s">
        <v>0</v>
      </c>
      <c r="I7475" s="2">
        <v>0</v>
      </c>
      <c r="J7475" s="1">
        <v>45965.427141203705</v>
      </c>
    </row>
    <row r="7476" spans="1:10" x14ac:dyDescent="0.2">
      <c r="A7476" s="4" t="s">
        <v>1</v>
      </c>
      <c r="B7476" s="3" t="str">
        <f>HYPERLINK("https://otsuka-europe-crm.veevavault.com/ui/#object/approved_document__v/V5OZ025E82TMV95", "ENFERMERÍA - PODCAST: Ep. 2 Calma Mental")</f>
        <v>ENFERMERÍA - PODCAST: Ep. 2 Calma Mental</v>
      </c>
      <c r="C7476" s="3" t="str">
        <f>HYPERLINK("https://otsuka-europe-crm.veevavault.com/ui/#object/sent_email__v/VBL000000005699", "SE-001380631")</f>
        <v>SE-001380631</v>
      </c>
      <c r="D7476" s="1" t="s">
        <v>0</v>
      </c>
      <c r="E7476" s="2">
        <v>0</v>
      </c>
      <c r="F7476" s="2">
        <v>0</v>
      </c>
      <c r="G7476" s="2">
        <v>0</v>
      </c>
      <c r="H7476" s="1" t="s">
        <v>0</v>
      </c>
      <c r="I7476" s="2">
        <v>0</v>
      </c>
      <c r="J7476" s="1">
        <v>45965.427175925928</v>
      </c>
    </row>
    <row r="7477" spans="1:10" x14ac:dyDescent="0.2">
      <c r="A7477" s="4" t="s">
        <v>1</v>
      </c>
      <c r="B7477" s="3" t="str">
        <f>HYPERLINK("https://otsuka-europe-crm.veevavault.com/ui/#object/approved_document__v/V5OZ025E82TMV95", "ENFERMERÍA - PODCAST: Ep. 2 Calma Mental")</f>
        <v>ENFERMERÍA - PODCAST: Ep. 2 Calma Mental</v>
      </c>
      <c r="C7477" s="3" t="str">
        <f>HYPERLINK("https://otsuka-europe-crm.veevavault.com/ui/#object/sent_email__v/VBL000000005700", "SE-001380632")</f>
        <v>SE-001380632</v>
      </c>
      <c r="D7477" s="1" t="s">
        <v>0</v>
      </c>
      <c r="E7477" s="2">
        <v>0</v>
      </c>
      <c r="F7477" s="2">
        <v>0</v>
      </c>
      <c r="G7477" s="2">
        <v>0</v>
      </c>
      <c r="H7477" s="1" t="s">
        <v>0</v>
      </c>
      <c r="I7477" s="2">
        <v>0</v>
      </c>
      <c r="J7477" s="1">
        <v>45965.427233796298</v>
      </c>
    </row>
    <row r="7478" spans="1:10" x14ac:dyDescent="0.2">
      <c r="A7478" s="4" t="s">
        <v>1</v>
      </c>
      <c r="B7478" s="3" t="str">
        <f>HYPERLINK("https://otsuka-europe-crm.veevavault.com/ui/#object/approved_document__v/V5OZ025E82TMV95", "ENFERMERÍA - PODCAST: Ep. 2 Calma Mental")</f>
        <v>ENFERMERÍA - PODCAST: Ep. 2 Calma Mental</v>
      </c>
      <c r="C7478" s="3" t="str">
        <f>HYPERLINK("https://otsuka-europe-crm.veevavault.com/ui/#object/sent_email__v/VBL00000000N039", "SE-001389903")</f>
        <v>SE-001389903</v>
      </c>
      <c r="D7478" s="1" t="s">
        <v>0</v>
      </c>
      <c r="E7478" s="2">
        <v>0</v>
      </c>
      <c r="F7478" s="2">
        <v>0</v>
      </c>
      <c r="G7478" s="2">
        <v>0</v>
      </c>
      <c r="H7478" s="1" t="s">
        <v>0</v>
      </c>
      <c r="I7478" s="2">
        <v>0</v>
      </c>
      <c r="J7478" s="1">
        <v>45986.422384259262</v>
      </c>
    </row>
    <row r="7479" spans="1:10" x14ac:dyDescent="0.2">
      <c r="A7479" s="4" t="s">
        <v>1</v>
      </c>
      <c r="B7479" s="3" t="str">
        <f>HYPERLINK("https://otsuka-europe-crm.veevavault.com/ui/#object/approved_document__v/V5OZ025E82TMV95", "ENFERMERÍA - PODCAST: Ep. 2 Calma Mental")</f>
        <v>ENFERMERÍA - PODCAST: Ep. 2 Calma Mental</v>
      </c>
      <c r="C7479" s="3" t="str">
        <f>HYPERLINK("https://otsuka-europe-crm.veevavault.com/ui/#object/sent_email__v/VBL00000000N040", "SE-001389904")</f>
        <v>SE-001389904</v>
      </c>
      <c r="D7479" s="1">
        <v>46003.9375462963</v>
      </c>
      <c r="E7479" s="2">
        <v>1</v>
      </c>
      <c r="F7479" s="2">
        <v>2</v>
      </c>
      <c r="G7479" s="2">
        <v>0</v>
      </c>
      <c r="H7479" s="1" t="s">
        <v>0</v>
      </c>
      <c r="I7479" s="2">
        <v>0</v>
      </c>
      <c r="J7479" s="1">
        <v>45986.422395833331</v>
      </c>
    </row>
    <row r="7480" spans="1:10" x14ac:dyDescent="0.2">
      <c r="A7480" s="4" t="s">
        <v>1</v>
      </c>
      <c r="B7480" s="3" t="str">
        <f>HYPERLINK("https://otsuka-europe-crm.veevavault.com/ui/#object/approved_document__v/V5OZ025E82TMV95", "ENFERMERÍA - PODCAST: Ep. 2 Calma Mental")</f>
        <v>ENFERMERÍA - PODCAST: Ep. 2 Calma Mental</v>
      </c>
      <c r="C7480" s="3" t="str">
        <f>HYPERLINK("https://otsuka-europe-crm.veevavault.com/ui/#object/sent_email__v/VBL00000000N041", "SE-001389905")</f>
        <v>SE-001389905</v>
      </c>
      <c r="D7480" s="1" t="s">
        <v>0</v>
      </c>
      <c r="E7480" s="2">
        <v>0</v>
      </c>
      <c r="F7480" s="2">
        <v>0</v>
      </c>
      <c r="G7480" s="2">
        <v>0</v>
      </c>
      <c r="H7480" s="1" t="s">
        <v>0</v>
      </c>
      <c r="I7480" s="2">
        <v>0</v>
      </c>
      <c r="J7480" s="1">
        <v>45986.422384259262</v>
      </c>
    </row>
    <row r="7481" spans="1:10" x14ac:dyDescent="0.2">
      <c r="A7481" s="4" t="s">
        <v>1</v>
      </c>
      <c r="B7481" s="3" t="str">
        <f>HYPERLINK("https://otsuka-europe-crm.veevavault.com/ui/#object/approved_document__v/V5OZ025E82TMV95", "ENFERMERÍA - PODCAST: Ep. 2 Calma Mental")</f>
        <v>ENFERMERÍA - PODCAST: Ep. 2 Calma Mental</v>
      </c>
      <c r="C7481" s="3" t="str">
        <f>HYPERLINK("https://otsuka-europe-crm.veevavault.com/ui/#object/sent_email__v/VBL00000000N042", "SE-001389906")</f>
        <v>SE-001389906</v>
      </c>
      <c r="D7481" s="1" t="s">
        <v>0</v>
      </c>
      <c r="E7481" s="2">
        <v>0</v>
      </c>
      <c r="F7481" s="2">
        <v>0</v>
      </c>
      <c r="G7481" s="2">
        <v>0</v>
      </c>
      <c r="H7481" s="1" t="s">
        <v>0</v>
      </c>
      <c r="I7481" s="2">
        <v>0</v>
      </c>
      <c r="J7481" s="1">
        <v>45986.422384259262</v>
      </c>
    </row>
    <row r="7482" spans="1:10" x14ac:dyDescent="0.2">
      <c r="A7482" s="4" t="s">
        <v>1</v>
      </c>
      <c r="B7482" s="3" t="str">
        <f>HYPERLINK("https://otsuka-europe-crm.veevavault.com/ui/#object/approved_document__v/V5OZ025E82TMV95", "ENFERMERÍA - PODCAST: Ep. 2 Calma Mental")</f>
        <v>ENFERMERÍA - PODCAST: Ep. 2 Calma Mental</v>
      </c>
      <c r="C7482" s="3" t="str">
        <f>HYPERLINK("https://otsuka-europe-crm.veevavault.com/ui/#object/sent_email__v/VBL00000000N043", "SE-001389907")</f>
        <v>SE-001389907</v>
      </c>
      <c r="D7482" s="1" t="s">
        <v>0</v>
      </c>
      <c r="E7482" s="2">
        <v>0</v>
      </c>
      <c r="F7482" s="2">
        <v>0</v>
      </c>
      <c r="G7482" s="2">
        <v>0</v>
      </c>
      <c r="H7482" s="1" t="s">
        <v>0</v>
      </c>
      <c r="I7482" s="2">
        <v>0</v>
      </c>
      <c r="J7482" s="1">
        <v>45986.422384259262</v>
      </c>
    </row>
    <row r="7483" spans="1:10" x14ac:dyDescent="0.2">
      <c r="A7483" s="4" t="s">
        <v>1</v>
      </c>
      <c r="B7483" s="3" t="str">
        <f>HYPERLINK("https://otsuka-europe-crm.veevavault.com/ui/#object/approved_document__v/V5OZ025E82TMV95", "ENFERMERÍA - PODCAST: Ep. 2 Calma Mental")</f>
        <v>ENFERMERÍA - PODCAST: Ep. 2 Calma Mental</v>
      </c>
      <c r="C7483" s="3" t="str">
        <f>HYPERLINK("https://otsuka-europe-crm.veevavault.com/ui/#object/sent_email__v/VBL00000000N044", "SE-001389908")</f>
        <v>SE-001389908</v>
      </c>
      <c r="D7483" s="1">
        <v>46003.217523148145</v>
      </c>
      <c r="E7483" s="2">
        <v>1</v>
      </c>
      <c r="F7483" s="2">
        <v>4</v>
      </c>
      <c r="G7483" s="2">
        <v>0</v>
      </c>
      <c r="H7483" s="1" t="s">
        <v>0</v>
      </c>
      <c r="I7483" s="2">
        <v>0</v>
      </c>
      <c r="J7483" s="1">
        <v>45986.422395833331</v>
      </c>
    </row>
    <row r="7484" spans="1:10" x14ac:dyDescent="0.2">
      <c r="A7484" s="4" t="s">
        <v>1</v>
      </c>
      <c r="B7484" s="3" t="str">
        <f>HYPERLINK("https://otsuka-europe-crm.veevavault.com/ui/#object/approved_document__v/V5OZ025E82TMV95", "ENFERMERÍA - PODCAST: Ep. 2 Calma Mental")</f>
        <v>ENFERMERÍA - PODCAST: Ep. 2 Calma Mental</v>
      </c>
      <c r="C7484" s="3" t="str">
        <f>HYPERLINK("https://otsuka-europe-crm.veevavault.com/ui/#object/sent_email__v/VBL00000000N045", "SE-001389909")</f>
        <v>SE-001389909</v>
      </c>
      <c r="D7484" s="1">
        <v>46035.6794212963</v>
      </c>
      <c r="E7484" s="2">
        <v>1</v>
      </c>
      <c r="F7484" s="2">
        <v>40</v>
      </c>
      <c r="G7484" s="2">
        <v>1</v>
      </c>
      <c r="H7484" s="1">
        <v>45988.805972222224</v>
      </c>
      <c r="I7484" s="2">
        <v>1</v>
      </c>
      <c r="J7484" s="1">
        <v>45986.422384259262</v>
      </c>
    </row>
    <row r="7485" spans="1:10" x14ac:dyDescent="0.2">
      <c r="A7485" s="4" t="s">
        <v>1</v>
      </c>
      <c r="B7485" s="3" t="str">
        <f>HYPERLINK("https://otsuka-europe-crm.veevavault.com/ui/#object/approved_document__v/V5OZ025E82TMV95", "ENFERMERÍA - PODCAST: Ep. 2 Calma Mental")</f>
        <v>ENFERMERÍA - PODCAST: Ep. 2 Calma Mental</v>
      </c>
      <c r="C7485" s="3" t="str">
        <f>HYPERLINK("https://otsuka-europe-crm.veevavault.com/ui/#object/sent_email__v/VBL00000000N046", "SE-001389910")</f>
        <v>SE-001389910</v>
      </c>
      <c r="D7485" s="1">
        <v>45987.507199074076</v>
      </c>
      <c r="E7485" s="2">
        <v>1</v>
      </c>
      <c r="F7485" s="2">
        <v>2</v>
      </c>
      <c r="G7485" s="2">
        <v>0</v>
      </c>
      <c r="H7485" s="1" t="s">
        <v>0</v>
      </c>
      <c r="I7485" s="2">
        <v>0</v>
      </c>
      <c r="J7485" s="1">
        <v>45986.422395833331</v>
      </c>
    </row>
    <row r="7486" spans="1:10" x14ac:dyDescent="0.2">
      <c r="A7486" s="4" t="s">
        <v>1</v>
      </c>
      <c r="B7486" s="3" t="str">
        <f>HYPERLINK("https://otsuka-europe-crm.veevavault.com/ui/#object/approved_document__v/V5OZ025E82TMV95", "ENFERMERÍA - PODCAST: Ep. 2 Calma Mental")</f>
        <v>ENFERMERÍA - PODCAST: Ep. 2 Calma Mental</v>
      </c>
      <c r="C7486" s="3" t="str">
        <f>HYPERLINK("https://otsuka-europe-crm.veevavault.com/ui/#object/sent_email__v/VBL00000000N047", "SE-001389911")</f>
        <v>SE-001389911</v>
      </c>
      <c r="D7486" s="1" t="s">
        <v>0</v>
      </c>
      <c r="E7486" s="2">
        <v>0</v>
      </c>
      <c r="F7486" s="2">
        <v>0</v>
      </c>
      <c r="G7486" s="2">
        <v>0</v>
      </c>
      <c r="H7486" s="1" t="s">
        <v>0</v>
      </c>
      <c r="I7486" s="2">
        <v>0</v>
      </c>
      <c r="J7486" s="1">
        <v>45986.422384259262</v>
      </c>
    </row>
    <row r="7487" spans="1:10" x14ac:dyDescent="0.2">
      <c r="A7487" s="4" t="s">
        <v>1</v>
      </c>
      <c r="B7487" s="3" t="str">
        <f>HYPERLINK("https://otsuka-europe-crm.veevavault.com/ui/#object/approved_document__v/V5OZ025E82TMV95", "ENFERMERÍA - PODCAST: Ep. 2 Calma Mental")</f>
        <v>ENFERMERÍA - PODCAST: Ep. 2 Calma Mental</v>
      </c>
      <c r="C7487" s="3" t="str">
        <f>HYPERLINK("https://otsuka-europe-crm.veevavault.com/ui/#object/sent_email__v/VBL00000000N048", "SE-001389912")</f>
        <v>SE-001389912</v>
      </c>
      <c r="D7487" s="1">
        <v>45986.679131944446</v>
      </c>
      <c r="E7487" s="2">
        <v>1</v>
      </c>
      <c r="F7487" s="2">
        <v>2</v>
      </c>
      <c r="G7487" s="2">
        <v>0</v>
      </c>
      <c r="H7487" s="1" t="s">
        <v>0</v>
      </c>
      <c r="I7487" s="2">
        <v>0</v>
      </c>
      <c r="J7487" s="1">
        <v>45986.422395833331</v>
      </c>
    </row>
    <row r="7488" spans="1:10" x14ac:dyDescent="0.2">
      <c r="A7488" s="4" t="s">
        <v>1</v>
      </c>
      <c r="B7488" s="3" t="str">
        <f>HYPERLINK("https://otsuka-europe-crm.veevavault.com/ui/#object/approved_document__v/V5OZ025E82TMV95", "ENFERMERÍA - PODCAST: Ep. 2 Calma Mental")</f>
        <v>ENFERMERÍA - PODCAST: Ep. 2 Calma Mental</v>
      </c>
      <c r="C7488" s="3" t="str">
        <f>HYPERLINK("https://otsuka-europe-crm.veevavault.com/ui/#object/sent_email__v/VBL00000000N049", "SE-001389913")</f>
        <v>SE-001389913</v>
      </c>
      <c r="D7488" s="1">
        <v>45986.881724537037</v>
      </c>
      <c r="E7488" s="2">
        <v>1</v>
      </c>
      <c r="F7488" s="2">
        <v>3</v>
      </c>
      <c r="G7488" s="2">
        <v>0</v>
      </c>
      <c r="H7488" s="1" t="s">
        <v>0</v>
      </c>
      <c r="I7488" s="2">
        <v>0</v>
      </c>
      <c r="J7488" s="1">
        <v>45986.422395833331</v>
      </c>
    </row>
    <row r="7489" spans="1:10" x14ac:dyDescent="0.2">
      <c r="A7489" s="4" t="s">
        <v>1</v>
      </c>
      <c r="B7489" s="3" t="str">
        <f>HYPERLINK("https://otsuka-europe-crm.veevavault.com/ui/#object/approved_document__v/V5OZ025E82TMV95", "ENFERMERÍA - PODCAST: Ep. 2 Calma Mental")</f>
        <v>ENFERMERÍA - PODCAST: Ep. 2 Calma Mental</v>
      </c>
      <c r="C7489" s="3" t="str">
        <f>HYPERLINK("https://otsuka-europe-crm.veevavault.com/ui/#object/sent_email__v/VBL00000000N050", "SE-001389914")</f>
        <v>SE-001389914</v>
      </c>
      <c r="D7489" s="1" t="s">
        <v>0</v>
      </c>
      <c r="E7489" s="2">
        <v>0</v>
      </c>
      <c r="F7489" s="2">
        <v>0</v>
      </c>
      <c r="G7489" s="2">
        <v>0</v>
      </c>
      <c r="H7489" s="1" t="s">
        <v>0</v>
      </c>
      <c r="I7489" s="2">
        <v>0</v>
      </c>
      <c r="J7489" s="1">
        <v>45986.422384259262</v>
      </c>
    </row>
    <row r="7490" spans="1:10" x14ac:dyDescent="0.2">
      <c r="A7490" s="4" t="s">
        <v>1</v>
      </c>
      <c r="B7490" s="3" t="str">
        <f>HYPERLINK("https://otsuka-europe-crm.veevavault.com/ui/#object/approved_document__v/V5OZ025E82TMV95", "ENFERMERÍA - PODCAST: Ep. 2 Calma Mental")</f>
        <v>ENFERMERÍA - PODCAST: Ep. 2 Calma Mental</v>
      </c>
      <c r="C7490" s="3" t="str">
        <f>HYPERLINK("https://otsuka-europe-crm.veevavault.com/ui/#object/sent_email__v/VBL00000000N051", "SE-001389915")</f>
        <v>SE-001389915</v>
      </c>
      <c r="D7490" s="1">
        <v>45986.738298611112</v>
      </c>
      <c r="E7490" s="2">
        <v>1</v>
      </c>
      <c r="F7490" s="2">
        <v>1</v>
      </c>
      <c r="G7490" s="2">
        <v>0</v>
      </c>
      <c r="H7490" s="1" t="s">
        <v>0</v>
      </c>
      <c r="I7490" s="2">
        <v>0</v>
      </c>
      <c r="J7490" s="1">
        <v>45986.422384259262</v>
      </c>
    </row>
    <row r="7491" spans="1:10" x14ac:dyDescent="0.2">
      <c r="A7491" s="4" t="s">
        <v>1</v>
      </c>
      <c r="B7491" s="3" t="str">
        <f>HYPERLINK("https://otsuka-europe-crm.veevavault.com/ui/#object/approved_document__v/V5OZ025E82TMV95", "ENFERMERÍA - PODCAST: Ep. 2 Calma Mental")</f>
        <v>ENFERMERÍA - PODCAST: Ep. 2 Calma Mental</v>
      </c>
      <c r="C7491" s="3" t="str">
        <f>HYPERLINK("https://otsuka-europe-crm.veevavault.com/ui/#object/sent_email__v/VBL00000000N052", "SE-001389916")</f>
        <v>SE-001389916</v>
      </c>
      <c r="D7491" s="1">
        <v>45996.474699074075</v>
      </c>
      <c r="E7491" s="2">
        <v>1</v>
      </c>
      <c r="F7491" s="2">
        <v>3</v>
      </c>
      <c r="G7491" s="2">
        <v>0</v>
      </c>
      <c r="H7491" s="1" t="s">
        <v>0</v>
      </c>
      <c r="I7491" s="2">
        <v>0</v>
      </c>
      <c r="J7491" s="1">
        <v>45986.422384259262</v>
      </c>
    </row>
    <row r="7492" spans="1:10" x14ac:dyDescent="0.2">
      <c r="A7492" s="4" t="s">
        <v>1</v>
      </c>
      <c r="B7492" s="3" t="str">
        <f>HYPERLINK("https://otsuka-europe-crm.veevavault.com/ui/#object/approved_document__v/V5OZ025E82TMV95", "ENFERMERÍA - PODCAST: Ep. 2 Calma Mental")</f>
        <v>ENFERMERÍA - PODCAST: Ep. 2 Calma Mental</v>
      </c>
      <c r="C7492" s="3" t="str">
        <f>HYPERLINK("https://otsuka-europe-crm.veevavault.com/ui/#object/sent_email__v/VBL00000000N053", "SE-001389917")</f>
        <v>SE-001389917</v>
      </c>
      <c r="D7492" s="1">
        <v>45986.458391203705</v>
      </c>
      <c r="E7492" s="2">
        <v>1</v>
      </c>
      <c r="F7492" s="2">
        <v>1</v>
      </c>
      <c r="G7492" s="2">
        <v>0</v>
      </c>
      <c r="H7492" s="1" t="s">
        <v>0</v>
      </c>
      <c r="I7492" s="2">
        <v>0</v>
      </c>
      <c r="J7492" s="1">
        <v>45986.422395833331</v>
      </c>
    </row>
    <row r="7493" spans="1:10" x14ac:dyDescent="0.2">
      <c r="A7493" s="4" t="s">
        <v>1</v>
      </c>
      <c r="B7493" s="3" t="str">
        <f>HYPERLINK("https://otsuka-europe-crm.veevavault.com/ui/#object/approved_document__v/V5OZ025E82TMV95", "ENFERMERÍA - PODCAST: Ep. 2 Calma Mental")</f>
        <v>ENFERMERÍA - PODCAST: Ep. 2 Calma Mental</v>
      </c>
      <c r="C7493" s="3" t="str">
        <f>HYPERLINK("https://otsuka-europe-crm.veevavault.com/ui/#object/sent_email__v/VBL00000000N054", "SE-001389918")</f>
        <v>SE-001389918</v>
      </c>
      <c r="D7493" s="1" t="s">
        <v>0</v>
      </c>
      <c r="E7493" s="2">
        <v>0</v>
      </c>
      <c r="F7493" s="2">
        <v>0</v>
      </c>
      <c r="G7493" s="2">
        <v>0</v>
      </c>
      <c r="H7493" s="1" t="s">
        <v>0</v>
      </c>
      <c r="I7493" s="2">
        <v>0</v>
      </c>
      <c r="J7493" s="1">
        <v>45986.422395833331</v>
      </c>
    </row>
    <row r="7494" spans="1:10" x14ac:dyDescent="0.2">
      <c r="A7494" s="4" t="s">
        <v>1</v>
      </c>
      <c r="B7494" s="3" t="str">
        <f>HYPERLINK("https://otsuka-europe-crm.veevavault.com/ui/#object/approved_document__v/V5OZ025E82TMV95", "ENFERMERÍA - PODCAST: Ep. 2 Calma Mental")</f>
        <v>ENFERMERÍA - PODCAST: Ep. 2 Calma Mental</v>
      </c>
      <c r="C7494" s="3" t="str">
        <f>HYPERLINK("https://otsuka-europe-crm.veevavault.com/ui/#object/sent_email__v/VBL00000000N055", "SE-001389919")</f>
        <v>SE-001389919</v>
      </c>
      <c r="D7494" s="1" t="s">
        <v>0</v>
      </c>
      <c r="E7494" s="2">
        <v>0</v>
      </c>
      <c r="F7494" s="2">
        <v>0</v>
      </c>
      <c r="G7494" s="2">
        <v>0</v>
      </c>
      <c r="H7494" s="1" t="s">
        <v>0</v>
      </c>
      <c r="I7494" s="2">
        <v>0</v>
      </c>
      <c r="J7494" s="1">
        <v>45986.422384259262</v>
      </c>
    </row>
    <row r="7495" spans="1:10" x14ac:dyDescent="0.2">
      <c r="A7495" s="4" t="s">
        <v>1</v>
      </c>
      <c r="B7495" s="3" t="str">
        <f>HYPERLINK("https://otsuka-europe-crm.veevavault.com/ui/#object/approved_document__v/V5OZ025E82TMV95", "ENFERMERÍA - PODCAST: Ep. 2 Calma Mental")</f>
        <v>ENFERMERÍA - PODCAST: Ep. 2 Calma Mental</v>
      </c>
      <c r="C7495" s="3" t="str">
        <f>HYPERLINK("https://otsuka-europe-crm.veevavault.com/ui/#object/sent_email__v/VBL00000000N056", "SE-001389920")</f>
        <v>SE-001389920</v>
      </c>
      <c r="D7495" s="1">
        <v>45986.846828703703</v>
      </c>
      <c r="E7495" s="2">
        <v>1</v>
      </c>
      <c r="F7495" s="2">
        <v>1</v>
      </c>
      <c r="G7495" s="2">
        <v>0</v>
      </c>
      <c r="H7495" s="1" t="s">
        <v>0</v>
      </c>
      <c r="I7495" s="2">
        <v>0</v>
      </c>
      <c r="J7495" s="1">
        <v>45986.422384259262</v>
      </c>
    </row>
    <row r="7496" spans="1:10" x14ac:dyDescent="0.2">
      <c r="A7496" s="4" t="s">
        <v>1</v>
      </c>
      <c r="B7496" s="3" t="str">
        <f>HYPERLINK("https://otsuka-europe-crm.veevavault.com/ui/#object/approved_document__v/V5OZ025E82TMV95", "ENFERMERÍA - PODCAST: Ep. 2 Calma Mental")</f>
        <v>ENFERMERÍA - PODCAST: Ep. 2 Calma Mental</v>
      </c>
      <c r="C7496" s="3" t="str">
        <f>HYPERLINK("https://otsuka-europe-crm.veevavault.com/ui/#object/sent_email__v/VBL00000000N057", "SE-001389921")</f>
        <v>SE-001389921</v>
      </c>
      <c r="D7496" s="1">
        <v>46005.916990740741</v>
      </c>
      <c r="E7496" s="2">
        <v>1</v>
      </c>
      <c r="F7496" s="2">
        <v>4</v>
      </c>
      <c r="G7496" s="2">
        <v>0</v>
      </c>
      <c r="H7496" s="1" t="s">
        <v>0</v>
      </c>
      <c r="I7496" s="2">
        <v>0</v>
      </c>
      <c r="J7496" s="1">
        <v>45986.463993055557</v>
      </c>
    </row>
    <row r="7497" spans="1:10" x14ac:dyDescent="0.2">
      <c r="A7497" s="4" t="s">
        <v>1</v>
      </c>
      <c r="B7497" s="3" t="str">
        <f>HYPERLINK("https://otsuka-europe-crm.veevavault.com/ui/#object/approved_document__v/V5OZ025E82TMV95", "ENFERMERÍA - PODCAST: Ep. 2 Calma Mental")</f>
        <v>ENFERMERÍA - PODCAST: Ep. 2 Calma Mental</v>
      </c>
      <c r="C7497" s="3" t="str">
        <f>HYPERLINK("https://otsuka-europe-crm.veevavault.com/ui/#object/sent_email__v/VBL00000000N058", "SE-001389922")</f>
        <v>SE-001389922</v>
      </c>
      <c r="D7497" s="1">
        <v>45989.392129629632</v>
      </c>
      <c r="E7497" s="2">
        <v>1</v>
      </c>
      <c r="F7497" s="2">
        <v>3</v>
      </c>
      <c r="G7497" s="2">
        <v>0</v>
      </c>
      <c r="H7497" s="1" t="s">
        <v>0</v>
      </c>
      <c r="I7497" s="2">
        <v>0</v>
      </c>
      <c r="J7497" s="1">
        <v>45986.463993055557</v>
      </c>
    </row>
    <row r="7498" spans="1:10" x14ac:dyDescent="0.2">
      <c r="A7498" s="4" t="s">
        <v>1</v>
      </c>
      <c r="B7498" s="3" t="str">
        <f>HYPERLINK("https://otsuka-europe-crm.veevavault.com/ui/#object/approved_document__v/V5OZ025E82TMV95", "ENFERMERÍA - PODCAST: Ep. 2 Calma Mental")</f>
        <v>ENFERMERÍA - PODCAST: Ep. 2 Calma Mental</v>
      </c>
      <c r="C7498" s="3" t="str">
        <f>HYPERLINK("https://otsuka-europe-crm.veevavault.com/ui/#object/sent_email__v/VBL00000000N059", "SE-001389923")</f>
        <v>SE-001389923</v>
      </c>
      <c r="D7498" s="1" t="s">
        <v>0</v>
      </c>
      <c r="E7498" s="2">
        <v>0</v>
      </c>
      <c r="F7498" s="2">
        <v>0</v>
      </c>
      <c r="G7498" s="2">
        <v>0</v>
      </c>
      <c r="H7498" s="1" t="s">
        <v>0</v>
      </c>
      <c r="I7498" s="2">
        <v>0</v>
      </c>
      <c r="J7498" s="1">
        <v>45986.463993055557</v>
      </c>
    </row>
    <row r="7499" spans="1:10" x14ac:dyDescent="0.2">
      <c r="A7499" s="4" t="s">
        <v>1</v>
      </c>
      <c r="B7499" s="3" t="str">
        <f>HYPERLINK("https://otsuka-europe-crm.veevavault.com/ui/#object/approved_document__v/V5OZ025E82TMV95", "ENFERMERÍA - PODCAST: Ep. 2 Calma Mental")</f>
        <v>ENFERMERÍA - PODCAST: Ep. 2 Calma Mental</v>
      </c>
      <c r="C7499" s="3" t="str">
        <f>HYPERLINK("https://otsuka-europe-crm.veevavault.com/ui/#object/sent_email__v/VBL00000000N060", "SE-001389924")</f>
        <v>SE-001389924</v>
      </c>
      <c r="D7499" s="1" t="s">
        <v>0</v>
      </c>
      <c r="E7499" s="2">
        <v>0</v>
      </c>
      <c r="F7499" s="2">
        <v>0</v>
      </c>
      <c r="G7499" s="2">
        <v>0</v>
      </c>
      <c r="H7499" s="1" t="s">
        <v>0</v>
      </c>
      <c r="I7499" s="2">
        <v>0</v>
      </c>
      <c r="J7499" s="1">
        <v>45986.463993055557</v>
      </c>
    </row>
    <row r="7500" spans="1:10" x14ac:dyDescent="0.2">
      <c r="A7500" s="4" t="s">
        <v>1</v>
      </c>
      <c r="B7500" s="3" t="str">
        <f>HYPERLINK("https://otsuka-europe-crm.veevavault.com/ui/#object/approved_document__v/V5OZ025E82TMV95", "ENFERMERÍA - PODCAST: Ep. 2 Calma Mental")</f>
        <v>ENFERMERÍA - PODCAST: Ep. 2 Calma Mental</v>
      </c>
      <c r="C7500" s="3" t="str">
        <f>HYPERLINK("https://otsuka-europe-crm.veevavault.com/ui/#object/sent_email__v/VBL00000000N061", "SE-001389925")</f>
        <v>SE-001389925</v>
      </c>
      <c r="D7500" s="1">
        <v>45986.861840277779</v>
      </c>
      <c r="E7500" s="2">
        <v>1</v>
      </c>
      <c r="F7500" s="2">
        <v>2</v>
      </c>
      <c r="G7500" s="2">
        <v>0</v>
      </c>
      <c r="H7500" s="1" t="s">
        <v>0</v>
      </c>
      <c r="I7500" s="2">
        <v>0</v>
      </c>
      <c r="J7500" s="1">
        <v>45986.463993055557</v>
      </c>
    </row>
    <row r="7501" spans="1:10" x14ac:dyDescent="0.2">
      <c r="A7501" s="4" t="s">
        <v>1</v>
      </c>
      <c r="B7501" s="3" t="str">
        <f>HYPERLINK("https://otsuka-europe-crm.veevavault.com/ui/#object/approved_document__v/V5OZ025E82TMV95", "ENFERMERÍA - PODCAST: Ep. 2 Calma Mental")</f>
        <v>ENFERMERÍA - PODCAST: Ep. 2 Calma Mental</v>
      </c>
      <c r="C7501" s="3" t="str">
        <f>HYPERLINK("https://otsuka-europe-crm.veevavault.com/ui/#object/sent_email__v/VBL00000000N062", "SE-001389926")</f>
        <v>SE-001389926</v>
      </c>
      <c r="D7501" s="1">
        <v>46064.816782407404</v>
      </c>
      <c r="E7501" s="2">
        <v>1</v>
      </c>
      <c r="F7501" s="2">
        <v>2</v>
      </c>
      <c r="G7501" s="2">
        <v>1</v>
      </c>
      <c r="H7501" s="1">
        <v>45986.697546296295</v>
      </c>
      <c r="I7501" s="2">
        <v>1</v>
      </c>
      <c r="J7501" s="1">
        <v>45986.463993055557</v>
      </c>
    </row>
    <row r="7502" spans="1:10" x14ac:dyDescent="0.2">
      <c r="A7502" s="4" t="s">
        <v>1</v>
      </c>
      <c r="B7502" s="3" t="str">
        <f>HYPERLINK("https://otsuka-europe-crm.veevavault.com/ui/#object/approved_document__v/V5OZ025E82TMV95", "ENFERMERÍA - PODCAST: Ep. 2 Calma Mental")</f>
        <v>ENFERMERÍA - PODCAST: Ep. 2 Calma Mental</v>
      </c>
      <c r="C7502" s="3" t="str">
        <f>HYPERLINK("https://otsuka-europe-crm.veevavault.com/ui/#object/sent_email__v/VBL00000000N063", "SE-001389927")</f>
        <v>SE-001389927</v>
      </c>
      <c r="D7502" s="1" t="s">
        <v>0</v>
      </c>
      <c r="E7502" s="2">
        <v>0</v>
      </c>
      <c r="F7502" s="2">
        <v>0</v>
      </c>
      <c r="G7502" s="2">
        <v>0</v>
      </c>
      <c r="H7502" s="1" t="s">
        <v>0</v>
      </c>
      <c r="I7502" s="2">
        <v>0</v>
      </c>
      <c r="J7502" s="1">
        <v>45986.46398148148</v>
      </c>
    </row>
    <row r="7503" spans="1:10" x14ac:dyDescent="0.2">
      <c r="A7503" s="4" t="s">
        <v>1</v>
      </c>
      <c r="B7503" s="3" t="str">
        <f>HYPERLINK("https://otsuka-europe-crm.veevavault.com/ui/#object/approved_document__v/V5OZ025E82TMV95", "ENFERMERÍA - PODCAST: Ep. 2 Calma Mental")</f>
        <v>ENFERMERÍA - PODCAST: Ep. 2 Calma Mental</v>
      </c>
      <c r="C7503" s="3" t="str">
        <f>HYPERLINK("https://otsuka-europe-crm.veevavault.com/ui/#object/sent_email__v/VBL00000000N064", "SE-001389928")</f>
        <v>SE-001389928</v>
      </c>
      <c r="D7503" s="1" t="s">
        <v>0</v>
      </c>
      <c r="E7503" s="2">
        <v>0</v>
      </c>
      <c r="F7503" s="2">
        <v>0</v>
      </c>
      <c r="G7503" s="2">
        <v>0</v>
      </c>
      <c r="H7503" s="1" t="s">
        <v>0</v>
      </c>
      <c r="I7503" s="2">
        <v>0</v>
      </c>
      <c r="J7503" s="1">
        <v>45986.46398148148</v>
      </c>
    </row>
    <row r="7504" spans="1:10" x14ac:dyDescent="0.2">
      <c r="A7504" s="4" t="s">
        <v>1</v>
      </c>
      <c r="B7504" s="3" t="str">
        <f>HYPERLINK("https://otsuka-europe-crm.veevavault.com/ui/#object/approved_document__v/V5OZ025E82TMV95", "ENFERMERÍA - PODCAST: Ep. 2 Calma Mental")</f>
        <v>ENFERMERÍA - PODCAST: Ep. 2 Calma Mental</v>
      </c>
      <c r="C7504" s="3" t="str">
        <f>HYPERLINK("https://otsuka-europe-crm.veevavault.com/ui/#object/sent_email__v/VBL00000000N065", "SE-001389929")</f>
        <v>SE-001389929</v>
      </c>
      <c r="D7504" s="1">
        <v>45986.81863425926</v>
      </c>
      <c r="E7504" s="2">
        <v>1</v>
      </c>
      <c r="F7504" s="2">
        <v>1</v>
      </c>
      <c r="G7504" s="2">
        <v>0</v>
      </c>
      <c r="H7504" s="1" t="s">
        <v>0</v>
      </c>
      <c r="I7504" s="2">
        <v>0</v>
      </c>
      <c r="J7504" s="1">
        <v>45986.463993055557</v>
      </c>
    </row>
    <row r="7505" spans="1:10" x14ac:dyDescent="0.2">
      <c r="A7505" s="4" t="s">
        <v>1</v>
      </c>
      <c r="B7505" s="3" t="str">
        <f>HYPERLINK("https://otsuka-europe-crm.veevavault.com/ui/#object/approved_document__v/V5OZ025E82TMV95", "ENFERMERÍA - PODCAST: Ep. 2 Calma Mental")</f>
        <v>ENFERMERÍA - PODCAST: Ep. 2 Calma Mental</v>
      </c>
      <c r="C7505" s="3" t="str">
        <f>HYPERLINK("https://otsuka-europe-crm.veevavault.com/ui/#object/sent_email__v/VBL00000000N066", "SE-001389930")</f>
        <v>SE-001389930</v>
      </c>
      <c r="D7505" s="1">
        <v>45986.500358796293</v>
      </c>
      <c r="E7505" s="2">
        <v>1</v>
      </c>
      <c r="F7505" s="2">
        <v>1</v>
      </c>
      <c r="G7505" s="2">
        <v>0</v>
      </c>
      <c r="H7505" s="1" t="s">
        <v>0</v>
      </c>
      <c r="I7505" s="2">
        <v>0</v>
      </c>
      <c r="J7505" s="1">
        <v>45986.463993055557</v>
      </c>
    </row>
    <row r="7506" spans="1:10" x14ac:dyDescent="0.2">
      <c r="A7506" s="4" t="s">
        <v>1</v>
      </c>
      <c r="B7506" s="3" t="str">
        <f>HYPERLINK("https://otsuka-europe-crm.veevavault.com/ui/#object/approved_document__v/V5OZ025E82TMV95", "ENFERMERÍA - PODCAST: Ep. 2 Calma Mental")</f>
        <v>ENFERMERÍA - PODCAST: Ep. 2 Calma Mental</v>
      </c>
      <c r="C7506" s="3" t="str">
        <f>HYPERLINK("https://otsuka-europe-crm.veevavault.com/ui/#object/sent_email__v/VBL00000000N067", "SE-001389931")</f>
        <v>SE-001389931</v>
      </c>
      <c r="D7506" s="1" t="s">
        <v>0</v>
      </c>
      <c r="E7506" s="2">
        <v>0</v>
      </c>
      <c r="F7506" s="2">
        <v>0</v>
      </c>
      <c r="G7506" s="2">
        <v>0</v>
      </c>
      <c r="H7506" s="1" t="s">
        <v>0</v>
      </c>
      <c r="I7506" s="2">
        <v>0</v>
      </c>
      <c r="J7506" s="1">
        <v>45986.463993055557</v>
      </c>
    </row>
    <row r="7507" spans="1:10" x14ac:dyDescent="0.2">
      <c r="A7507" s="4" t="s">
        <v>1</v>
      </c>
      <c r="B7507" s="3" t="str">
        <f>HYPERLINK("https://otsuka-europe-crm.veevavault.com/ui/#object/approved_document__v/V5OZ025E82TMV95", "ENFERMERÍA - PODCAST: Ep. 2 Calma Mental")</f>
        <v>ENFERMERÍA - PODCAST: Ep. 2 Calma Mental</v>
      </c>
      <c r="C7507" s="3" t="str">
        <f>HYPERLINK("https://otsuka-europe-crm.veevavault.com/ui/#object/sent_email__v/VBL00000000N068", "SE-001389932")</f>
        <v>SE-001389932</v>
      </c>
      <c r="D7507" s="1">
        <v>46003.433865740742</v>
      </c>
      <c r="E7507" s="2">
        <v>1</v>
      </c>
      <c r="F7507" s="2">
        <v>7</v>
      </c>
      <c r="G7507" s="2">
        <v>0</v>
      </c>
      <c r="H7507" s="1" t="s">
        <v>0</v>
      </c>
      <c r="I7507" s="2">
        <v>0</v>
      </c>
      <c r="J7507" s="1">
        <v>45986.463993055557</v>
      </c>
    </row>
    <row r="7508" spans="1:10" x14ac:dyDescent="0.2">
      <c r="A7508" s="4" t="s">
        <v>1</v>
      </c>
      <c r="B7508" s="3" t="str">
        <f>HYPERLINK("https://otsuka-europe-crm.veevavault.com/ui/#object/approved_document__v/V5OZ025E82TMV95", "ENFERMERÍA - PODCAST: Ep. 2 Calma Mental")</f>
        <v>ENFERMERÍA - PODCAST: Ep. 2 Calma Mental</v>
      </c>
      <c r="C7508" s="3" t="str">
        <f>HYPERLINK("https://otsuka-europe-crm.veevavault.com/ui/#object/sent_email__v/VBL00000000N069", "SE-001389933")</f>
        <v>SE-001389933</v>
      </c>
      <c r="D7508" s="1" t="s">
        <v>0</v>
      </c>
      <c r="E7508" s="2">
        <v>0</v>
      </c>
      <c r="F7508" s="2">
        <v>0</v>
      </c>
      <c r="G7508" s="2">
        <v>0</v>
      </c>
      <c r="H7508" s="1" t="s">
        <v>0</v>
      </c>
      <c r="I7508" s="2">
        <v>0</v>
      </c>
      <c r="J7508" s="1">
        <v>45986.463993055557</v>
      </c>
    </row>
    <row r="7509" spans="1:10" x14ac:dyDescent="0.2">
      <c r="A7509" s="4" t="s">
        <v>1</v>
      </c>
      <c r="B7509" s="3" t="str">
        <f>HYPERLINK("https://otsuka-europe-crm.veevavault.com/ui/#object/approved_document__v/V5OZ025E82TMV95", "ENFERMERÍA - PODCAST: Ep. 2 Calma Mental")</f>
        <v>ENFERMERÍA - PODCAST: Ep. 2 Calma Mental</v>
      </c>
      <c r="C7509" s="3" t="str">
        <f>HYPERLINK("https://otsuka-europe-crm.veevavault.com/ui/#object/sent_email__v/VBL00000000N070", "SE-001389934")</f>
        <v>SE-001389934</v>
      </c>
      <c r="D7509" s="1">
        <v>45986.51866898148</v>
      </c>
      <c r="E7509" s="2">
        <v>1</v>
      </c>
      <c r="F7509" s="2">
        <v>1</v>
      </c>
      <c r="G7509" s="2">
        <v>0</v>
      </c>
      <c r="H7509" s="1" t="s">
        <v>0</v>
      </c>
      <c r="I7509" s="2">
        <v>0</v>
      </c>
      <c r="J7509" s="1">
        <v>45986.463993055557</v>
      </c>
    </row>
    <row r="7510" spans="1:10" x14ac:dyDescent="0.2">
      <c r="A7510" s="4" t="s">
        <v>1</v>
      </c>
      <c r="B7510" s="3" t="str">
        <f>HYPERLINK("https://otsuka-europe-crm.veevavault.com/ui/#object/approved_document__v/V5OZ025E82TMV95", "ENFERMERÍA - PODCAST: Ep. 2 Calma Mental")</f>
        <v>ENFERMERÍA - PODCAST: Ep. 2 Calma Mental</v>
      </c>
      <c r="C7510" s="3" t="str">
        <f>HYPERLINK("https://otsuka-europe-crm.veevavault.com/ui/#object/sent_email__v/VBL00000000N071", "SE-001389935")</f>
        <v>SE-001389935</v>
      </c>
      <c r="D7510" s="1">
        <v>45994.861759259256</v>
      </c>
      <c r="E7510" s="2">
        <v>1</v>
      </c>
      <c r="F7510" s="2">
        <v>6</v>
      </c>
      <c r="G7510" s="2">
        <v>0</v>
      </c>
      <c r="H7510" s="1" t="s">
        <v>0</v>
      </c>
      <c r="I7510" s="2">
        <v>0</v>
      </c>
      <c r="J7510" s="1">
        <v>45986.463993055557</v>
      </c>
    </row>
    <row r="7511" spans="1:10" x14ac:dyDescent="0.2">
      <c r="A7511" s="4" t="s">
        <v>1</v>
      </c>
      <c r="B7511" s="3" t="str">
        <f>HYPERLINK("https://otsuka-europe-crm.veevavault.com/ui/#object/approved_document__v/V5OZ025E82TMV95", "ENFERMERÍA - PODCAST: Ep. 2 Calma Mental")</f>
        <v>ENFERMERÍA - PODCAST: Ep. 2 Calma Mental</v>
      </c>
      <c r="C7511" s="3" t="str">
        <f>HYPERLINK("https://otsuka-europe-crm.veevavault.com/ui/#object/sent_email__v/VBL00000000N072", "SE-001389936")</f>
        <v>SE-001389936</v>
      </c>
      <c r="D7511" s="1">
        <v>45986.602581018517</v>
      </c>
      <c r="E7511" s="2">
        <v>1</v>
      </c>
      <c r="F7511" s="2">
        <v>1</v>
      </c>
      <c r="G7511" s="2">
        <v>0</v>
      </c>
      <c r="H7511" s="1" t="s">
        <v>0</v>
      </c>
      <c r="I7511" s="2">
        <v>0</v>
      </c>
      <c r="J7511" s="1">
        <v>45986.463993055557</v>
      </c>
    </row>
    <row r="7512" spans="1:10" x14ac:dyDescent="0.2">
      <c r="A7512" s="4" t="s">
        <v>1</v>
      </c>
      <c r="B7512" s="3" t="str">
        <f>HYPERLINK("https://otsuka-europe-crm.veevavault.com/ui/#object/approved_document__v/V5OZ025E82TMV95", "ENFERMERÍA - PODCAST: Ep. 2 Calma Mental")</f>
        <v>ENFERMERÍA - PODCAST: Ep. 2 Calma Mental</v>
      </c>
      <c r="C7512" s="3" t="str">
        <f>HYPERLINK("https://otsuka-europe-crm.veevavault.com/ui/#object/sent_email__v/VBL00000000N073", "SE-001389937")</f>
        <v>SE-001389937</v>
      </c>
      <c r="D7512" s="1">
        <v>45986.923217592594</v>
      </c>
      <c r="E7512" s="2">
        <v>1</v>
      </c>
      <c r="F7512" s="2">
        <v>1</v>
      </c>
      <c r="G7512" s="2">
        <v>0</v>
      </c>
      <c r="H7512" s="1" t="s">
        <v>0</v>
      </c>
      <c r="I7512" s="2">
        <v>0</v>
      </c>
      <c r="J7512" s="1">
        <v>45986.463993055557</v>
      </c>
    </row>
    <row r="7513" spans="1:10" x14ac:dyDescent="0.2">
      <c r="A7513" s="4" t="s">
        <v>1</v>
      </c>
      <c r="B7513" s="3" t="str">
        <f>HYPERLINK("https://otsuka-europe-crm.veevavault.com/ui/#object/approved_document__v/V5OZ025E82TMV95", "ENFERMERÍA - PODCAST: Ep. 2 Calma Mental")</f>
        <v>ENFERMERÍA - PODCAST: Ep. 2 Calma Mental</v>
      </c>
      <c r="C7513" s="3" t="str">
        <f>HYPERLINK("https://otsuka-europe-crm.veevavault.com/ui/#object/sent_email__v/VBL00000000N074", "SE-001389938")</f>
        <v>SE-001389938</v>
      </c>
      <c r="D7513" s="1">
        <v>45986.563310185185</v>
      </c>
      <c r="E7513" s="2">
        <v>1</v>
      </c>
      <c r="F7513" s="2">
        <v>1</v>
      </c>
      <c r="G7513" s="2">
        <v>0</v>
      </c>
      <c r="H7513" s="1" t="s">
        <v>0</v>
      </c>
      <c r="I7513" s="2">
        <v>0</v>
      </c>
      <c r="J7513" s="1">
        <v>45986.46398148148</v>
      </c>
    </row>
    <row r="7514" spans="1:10" x14ac:dyDescent="0.2">
      <c r="A7514" s="4" t="s">
        <v>1</v>
      </c>
      <c r="B7514" s="3" t="str">
        <f>HYPERLINK("https://otsuka-europe-crm.veevavault.com/ui/#object/approved_document__v/V5OZ025E82TMV95", "ENFERMERÍA - PODCAST: Ep. 2 Calma Mental")</f>
        <v>ENFERMERÍA - PODCAST: Ep. 2 Calma Mental</v>
      </c>
      <c r="C7514" s="3" t="str">
        <f>HYPERLINK("https://otsuka-europe-crm.veevavault.com/ui/#object/sent_email__v/VBL00000000N075", "SE-001389939")</f>
        <v>SE-001389939</v>
      </c>
      <c r="D7514" s="1">
        <v>45987.276747685188</v>
      </c>
      <c r="E7514" s="2">
        <v>1</v>
      </c>
      <c r="F7514" s="2">
        <v>2</v>
      </c>
      <c r="G7514" s="2">
        <v>0</v>
      </c>
      <c r="H7514" s="1" t="s">
        <v>0</v>
      </c>
      <c r="I7514" s="2">
        <v>0</v>
      </c>
      <c r="J7514" s="1">
        <v>45986.463993055557</v>
      </c>
    </row>
    <row r="7515" spans="1:10" x14ac:dyDescent="0.2">
      <c r="A7515" s="4" t="s">
        <v>1</v>
      </c>
      <c r="B7515" s="3" t="str">
        <f>HYPERLINK("https://otsuka-europe-crm.veevavault.com/ui/#object/approved_document__v/V5OZ025E82TMV95", "ENFERMERÍA - PODCAST: Ep. 2 Calma Mental")</f>
        <v>ENFERMERÍA - PODCAST: Ep. 2 Calma Mental</v>
      </c>
      <c r="C7515" s="3" t="str">
        <f>HYPERLINK("https://otsuka-europe-crm.veevavault.com/ui/#object/sent_email__v/VBL00000000N076", "SE-001389940")</f>
        <v>SE-001389940</v>
      </c>
      <c r="D7515" s="1">
        <v>45986.93414351852</v>
      </c>
      <c r="E7515" s="2">
        <v>1</v>
      </c>
      <c r="F7515" s="2">
        <v>1</v>
      </c>
      <c r="G7515" s="2">
        <v>0</v>
      </c>
      <c r="H7515" s="1" t="s">
        <v>0</v>
      </c>
      <c r="I7515" s="2">
        <v>0</v>
      </c>
      <c r="J7515" s="1">
        <v>45986.46398148148</v>
      </c>
    </row>
    <row r="7516" spans="1:10" x14ac:dyDescent="0.2">
      <c r="A7516" s="4" t="s">
        <v>1</v>
      </c>
      <c r="B7516" s="3" t="str">
        <f>HYPERLINK("https://otsuka-europe-crm.veevavault.com/ui/#object/approved_document__v/V5OZ025E82TMV95", "ENFERMERÍA - PODCAST: Ep. 2 Calma Mental")</f>
        <v>ENFERMERÍA - PODCAST: Ep. 2 Calma Mental</v>
      </c>
      <c r="C7516" s="3" t="str">
        <f>HYPERLINK("https://otsuka-europe-crm.veevavault.com/ui/#object/sent_email__v/VBL00000000N077", "SE-001389941")</f>
        <v>SE-001389941</v>
      </c>
      <c r="D7516" s="1">
        <v>45986.73741898148</v>
      </c>
      <c r="E7516" s="2">
        <v>1</v>
      </c>
      <c r="F7516" s="2">
        <v>1</v>
      </c>
      <c r="G7516" s="2">
        <v>0</v>
      </c>
      <c r="H7516" s="1" t="s">
        <v>0</v>
      </c>
      <c r="I7516" s="2">
        <v>0</v>
      </c>
      <c r="J7516" s="1">
        <v>45986.463993055557</v>
      </c>
    </row>
    <row r="7517" spans="1:10" x14ac:dyDescent="0.2">
      <c r="A7517" s="4" t="s">
        <v>1</v>
      </c>
      <c r="B7517" s="3" t="str">
        <f>HYPERLINK("https://otsuka-europe-crm.veevavault.com/ui/#object/approved_document__v/V5OZ025E82TMV95", "ENFERMERÍA - PODCAST: Ep. 2 Calma Mental")</f>
        <v>ENFERMERÍA - PODCAST: Ep. 2 Calma Mental</v>
      </c>
      <c r="C7517" s="3" t="str">
        <f>HYPERLINK("https://otsuka-europe-crm.veevavault.com/ui/#object/sent_email__v/VBL00000000N078", "SE-001389942")</f>
        <v>SE-001389942</v>
      </c>
      <c r="D7517" s="1">
        <v>45987.757905092592</v>
      </c>
      <c r="E7517" s="2">
        <v>1</v>
      </c>
      <c r="F7517" s="2">
        <v>1</v>
      </c>
      <c r="G7517" s="2">
        <v>0</v>
      </c>
      <c r="H7517" s="1" t="s">
        <v>0</v>
      </c>
      <c r="I7517" s="2">
        <v>0</v>
      </c>
      <c r="J7517" s="1">
        <v>45986.463993055557</v>
      </c>
    </row>
    <row r="7518" spans="1:10" x14ac:dyDescent="0.2">
      <c r="A7518" s="4" t="s">
        <v>1</v>
      </c>
      <c r="B7518" s="3" t="str">
        <f>HYPERLINK("https://otsuka-europe-crm.veevavault.com/ui/#object/approved_document__v/V5OZ025E82TMV95", "ENFERMERÍA - PODCAST: Ep. 2 Calma Mental")</f>
        <v>ENFERMERÍA - PODCAST: Ep. 2 Calma Mental</v>
      </c>
      <c r="C7518" s="3" t="str">
        <f>HYPERLINK("https://otsuka-europe-crm.veevavault.com/ui/#object/sent_email__v/VBL00000000N079", "SE-001389943")</f>
        <v>SE-001389943</v>
      </c>
      <c r="D7518" s="1">
        <v>45986.59584490741</v>
      </c>
      <c r="E7518" s="2">
        <v>1</v>
      </c>
      <c r="F7518" s="2">
        <v>1</v>
      </c>
      <c r="G7518" s="2">
        <v>0</v>
      </c>
      <c r="H7518" s="1" t="s">
        <v>0</v>
      </c>
      <c r="I7518" s="2">
        <v>0</v>
      </c>
      <c r="J7518" s="1">
        <v>45986.463993055557</v>
      </c>
    </row>
    <row r="7519" spans="1:10" x14ac:dyDescent="0.2">
      <c r="A7519" s="4" t="s">
        <v>1</v>
      </c>
      <c r="B7519" s="3" t="str">
        <f>HYPERLINK("https://otsuka-europe-crm.veevavault.com/ui/#object/approved_document__v/V5OZ025E82TMV95", "ENFERMERÍA - PODCAST: Ep. 2 Calma Mental")</f>
        <v>ENFERMERÍA - PODCAST: Ep. 2 Calma Mental</v>
      </c>
      <c r="C7519" s="3" t="str">
        <f>HYPERLINK("https://otsuka-europe-crm.veevavault.com/ui/#object/sent_email__v/VBL00000000N080", "SE-001389944")</f>
        <v>SE-001389944</v>
      </c>
      <c r="D7519" s="1">
        <v>45987.72824074074</v>
      </c>
      <c r="E7519" s="2">
        <v>1</v>
      </c>
      <c r="F7519" s="2">
        <v>1</v>
      </c>
      <c r="G7519" s="2">
        <v>0</v>
      </c>
      <c r="H7519" s="1" t="s">
        <v>0</v>
      </c>
      <c r="I7519" s="2">
        <v>0</v>
      </c>
      <c r="J7519" s="1">
        <v>45986.463993055557</v>
      </c>
    </row>
    <row r="7520" spans="1:10" x14ac:dyDescent="0.2">
      <c r="A7520" s="4" t="s">
        <v>1</v>
      </c>
      <c r="B7520" s="3" t="str">
        <f>HYPERLINK("https://otsuka-europe-crm.veevavault.com/ui/#object/approved_document__v/V5OZ025E82TMV95", "ENFERMERÍA - PODCAST: Ep. 2 Calma Mental")</f>
        <v>ENFERMERÍA - PODCAST: Ep. 2 Calma Mental</v>
      </c>
      <c r="C7520" s="3" t="str">
        <f>HYPERLINK("https://otsuka-europe-crm.veevavault.com/ui/#object/sent_email__v/VBL00000000N081", "SE-001389945")</f>
        <v>SE-001389945</v>
      </c>
      <c r="D7520" s="1" t="s">
        <v>0</v>
      </c>
      <c r="E7520" s="2">
        <v>0</v>
      </c>
      <c r="F7520" s="2">
        <v>0</v>
      </c>
      <c r="G7520" s="2">
        <v>0</v>
      </c>
      <c r="H7520" s="1" t="s">
        <v>0</v>
      </c>
      <c r="I7520" s="2">
        <v>0</v>
      </c>
      <c r="J7520" s="1">
        <v>45986.463993055557</v>
      </c>
    </row>
    <row r="7521" spans="1:10" x14ac:dyDescent="0.2">
      <c r="A7521" s="4" t="s">
        <v>1</v>
      </c>
      <c r="B7521" s="3" t="str">
        <f>HYPERLINK("https://otsuka-europe-crm.veevavault.com/ui/#object/approved_document__v/V5OZ025E82TMV95", "ENFERMERÍA - PODCAST: Ep. 2 Calma Mental")</f>
        <v>ENFERMERÍA - PODCAST: Ep. 2 Calma Mental</v>
      </c>
      <c r="C7521" s="3" t="str">
        <f>HYPERLINK("https://otsuka-europe-crm.veevavault.com/ui/#object/sent_email__v/VBL00000000N082", "SE-001389946")</f>
        <v>SE-001389946</v>
      </c>
      <c r="D7521" s="1" t="s">
        <v>0</v>
      </c>
      <c r="E7521" s="2">
        <v>0</v>
      </c>
      <c r="F7521" s="2">
        <v>0</v>
      </c>
      <c r="G7521" s="2">
        <v>0</v>
      </c>
      <c r="H7521" s="1" t="s">
        <v>0</v>
      </c>
      <c r="I7521" s="2">
        <v>0</v>
      </c>
      <c r="J7521" s="1">
        <v>45986.46398148148</v>
      </c>
    </row>
    <row r="7522" spans="1:10" x14ac:dyDescent="0.2">
      <c r="A7522" s="4" t="s">
        <v>1</v>
      </c>
      <c r="B7522" s="3" t="str">
        <f>HYPERLINK("https://otsuka-europe-crm.veevavault.com/ui/#object/approved_document__v/V5OZ025E82TMV95", "ENFERMERÍA - PODCAST: Ep. 2 Calma Mental")</f>
        <v>ENFERMERÍA - PODCAST: Ep. 2 Calma Mental</v>
      </c>
      <c r="C7522" s="3" t="str">
        <f>HYPERLINK("https://otsuka-europe-crm.veevavault.com/ui/#object/sent_email__v/VBL00000000N083", "SE-001389947")</f>
        <v>SE-001389947</v>
      </c>
      <c r="D7522" s="1" t="s">
        <v>0</v>
      </c>
      <c r="E7522" s="2">
        <v>0</v>
      </c>
      <c r="F7522" s="2">
        <v>0</v>
      </c>
      <c r="G7522" s="2">
        <v>0</v>
      </c>
      <c r="H7522" s="1" t="s">
        <v>0</v>
      </c>
      <c r="I7522" s="2">
        <v>0</v>
      </c>
      <c r="J7522" s="1">
        <v>45986.463993055557</v>
      </c>
    </row>
    <row r="7523" spans="1:10" x14ac:dyDescent="0.2">
      <c r="A7523" s="4" t="s">
        <v>1</v>
      </c>
      <c r="B7523" s="3" t="str">
        <f>HYPERLINK("https://otsuka-europe-crm.veevavault.com/ui/#object/approved_document__v/V5OZ025E82TMV95", "ENFERMERÍA - PODCAST: Ep. 2 Calma Mental")</f>
        <v>ENFERMERÍA - PODCAST: Ep. 2 Calma Mental</v>
      </c>
      <c r="C7523" s="3" t="str">
        <f>HYPERLINK("https://otsuka-europe-crm.veevavault.com/ui/#object/sent_email__v/VBL00000000N084", "SE-001389948")</f>
        <v>SE-001389948</v>
      </c>
      <c r="D7523" s="1">
        <v>46019.605000000003</v>
      </c>
      <c r="E7523" s="2">
        <v>1</v>
      </c>
      <c r="F7523" s="2">
        <v>2</v>
      </c>
      <c r="G7523" s="2">
        <v>1</v>
      </c>
      <c r="H7523" s="1">
        <v>46019.605381944442</v>
      </c>
      <c r="I7523" s="2">
        <v>2</v>
      </c>
      <c r="J7523" s="1">
        <v>45986.463993055557</v>
      </c>
    </row>
    <row r="7524" spans="1:10" x14ac:dyDescent="0.2">
      <c r="A7524" s="4" t="s">
        <v>1</v>
      </c>
      <c r="B7524" s="3" t="str">
        <f>HYPERLINK("https://otsuka-europe-crm.veevavault.com/ui/#object/approved_document__v/V5OZ025E82TMV95", "ENFERMERÍA - PODCAST: Ep. 2 Calma Mental")</f>
        <v>ENFERMERÍA - PODCAST: Ep. 2 Calma Mental</v>
      </c>
      <c r="C7524" s="3" t="str">
        <f>HYPERLINK("https://otsuka-europe-crm.veevavault.com/ui/#object/sent_email__v/VBL00000000N085", "SE-001389949")</f>
        <v>SE-001389949</v>
      </c>
      <c r="D7524" s="1">
        <v>46000.432812500003</v>
      </c>
      <c r="E7524" s="2">
        <v>1</v>
      </c>
      <c r="F7524" s="2">
        <v>1</v>
      </c>
      <c r="G7524" s="2">
        <v>0</v>
      </c>
      <c r="H7524" s="1" t="s">
        <v>0</v>
      </c>
      <c r="I7524" s="2">
        <v>0</v>
      </c>
      <c r="J7524" s="1">
        <v>45986.463993055557</v>
      </c>
    </row>
    <row r="7525" spans="1:10" x14ac:dyDescent="0.2">
      <c r="A7525" s="4" t="s">
        <v>1</v>
      </c>
      <c r="B7525" s="3" t="str">
        <f>HYPERLINK("https://otsuka-europe-crm.veevavault.com/ui/#object/approved_document__v/V5OZ025E82TMV95", "ENFERMERÍA - PODCAST: Ep. 2 Calma Mental")</f>
        <v>ENFERMERÍA - PODCAST: Ep. 2 Calma Mental</v>
      </c>
      <c r="C7525" s="3" t="str">
        <f>HYPERLINK("https://otsuka-europe-crm.veevavault.com/ui/#object/sent_email__v/VBL00000000N086", "SE-001389950")</f>
        <v>SE-001389950</v>
      </c>
      <c r="D7525" s="1">
        <v>45986.996192129627</v>
      </c>
      <c r="E7525" s="2">
        <v>1</v>
      </c>
      <c r="F7525" s="2">
        <v>1</v>
      </c>
      <c r="G7525" s="2">
        <v>0</v>
      </c>
      <c r="H7525" s="1" t="s">
        <v>0</v>
      </c>
      <c r="I7525" s="2">
        <v>0</v>
      </c>
      <c r="J7525" s="1">
        <v>45986.463993055557</v>
      </c>
    </row>
    <row r="7526" spans="1:10" x14ac:dyDescent="0.2">
      <c r="A7526" s="4" t="s">
        <v>1</v>
      </c>
      <c r="B7526" s="3" t="str">
        <f>HYPERLINK("https://otsuka-europe-crm.veevavault.com/ui/#object/approved_document__v/V5OZ025E82TMV95", "ENFERMERÍA - PODCAST: Ep. 2 Calma Mental")</f>
        <v>ENFERMERÍA - PODCAST: Ep. 2 Calma Mental</v>
      </c>
      <c r="C7526" s="3" t="str">
        <f>HYPERLINK("https://otsuka-europe-crm.veevavault.com/ui/#object/sent_email__v/VBL00000000N087", "SE-001389951")</f>
        <v>SE-001389951</v>
      </c>
      <c r="D7526" s="1">
        <v>46008.081944444442</v>
      </c>
      <c r="E7526" s="2">
        <v>1</v>
      </c>
      <c r="F7526" s="2">
        <v>1</v>
      </c>
      <c r="G7526" s="2">
        <v>0</v>
      </c>
      <c r="H7526" s="1" t="s">
        <v>0</v>
      </c>
      <c r="I7526" s="2">
        <v>0</v>
      </c>
      <c r="J7526" s="1">
        <v>45986.463993055557</v>
      </c>
    </row>
    <row r="7527" spans="1:10" x14ac:dyDescent="0.2">
      <c r="A7527" s="4" t="s">
        <v>1</v>
      </c>
      <c r="B7527" s="3" t="str">
        <f>HYPERLINK("https://otsuka-europe-crm.veevavault.com/ui/#object/approved_document__v/V5OZ025E82TMV95", "ENFERMERÍA - PODCAST: Ep. 2 Calma Mental")</f>
        <v>ENFERMERÍA - PODCAST: Ep. 2 Calma Mental</v>
      </c>
      <c r="C7527" s="3" t="str">
        <f>HYPERLINK("https://otsuka-europe-crm.veevavault.com/ui/#object/sent_email__v/VBL00000000N088", "SE-001389952")</f>
        <v>SE-001389952</v>
      </c>
      <c r="D7527" s="1">
        <v>45986.597013888888</v>
      </c>
      <c r="E7527" s="2">
        <v>1</v>
      </c>
      <c r="F7527" s="2">
        <v>1</v>
      </c>
      <c r="G7527" s="2">
        <v>0</v>
      </c>
      <c r="H7527" s="1" t="s">
        <v>0</v>
      </c>
      <c r="I7527" s="2">
        <v>0</v>
      </c>
      <c r="J7527" s="1">
        <v>45986.463993055557</v>
      </c>
    </row>
    <row r="7528" spans="1:10" x14ac:dyDescent="0.2">
      <c r="A7528" s="4" t="s">
        <v>1</v>
      </c>
      <c r="B7528" s="3" t="str">
        <f>HYPERLINK("https://otsuka-europe-crm.veevavault.com/ui/#object/approved_document__v/V5OZ025E82TMV95", "ENFERMERÍA - PODCAST: Ep. 2 Calma Mental")</f>
        <v>ENFERMERÍA - PODCAST: Ep. 2 Calma Mental</v>
      </c>
      <c r="C7528" s="3" t="str">
        <f>HYPERLINK("https://otsuka-europe-crm.veevavault.com/ui/#object/sent_email__v/VBL00000000N089", "SE-001389953")</f>
        <v>SE-001389953</v>
      </c>
      <c r="D7528" s="1" t="s">
        <v>0</v>
      </c>
      <c r="E7528" s="2">
        <v>0</v>
      </c>
      <c r="F7528" s="2">
        <v>0</v>
      </c>
      <c r="G7528" s="2">
        <v>0</v>
      </c>
      <c r="H7528" s="1" t="s">
        <v>0</v>
      </c>
      <c r="I7528" s="2">
        <v>0</v>
      </c>
      <c r="J7528" s="1">
        <v>45986.463993055557</v>
      </c>
    </row>
    <row r="7529" spans="1:10" x14ac:dyDescent="0.2">
      <c r="A7529" s="4" t="s">
        <v>1</v>
      </c>
      <c r="B7529" s="3" t="str">
        <f>HYPERLINK("https://otsuka-europe-crm.veevavault.com/ui/#object/approved_document__v/V5OZ025E82TMV95", "ENFERMERÍA - PODCAST: Ep. 2 Calma Mental")</f>
        <v>ENFERMERÍA - PODCAST: Ep. 2 Calma Mental</v>
      </c>
      <c r="C7529" s="3" t="str">
        <f>HYPERLINK("https://otsuka-europe-crm.veevavault.com/ui/#object/sent_email__v/VBL00000000N090", "SE-001389954")</f>
        <v>SE-001389954</v>
      </c>
      <c r="D7529" s="1" t="s">
        <v>0</v>
      </c>
      <c r="E7529" s="2">
        <v>0</v>
      </c>
      <c r="F7529" s="2">
        <v>0</v>
      </c>
      <c r="G7529" s="2">
        <v>0</v>
      </c>
      <c r="H7529" s="1" t="s">
        <v>0</v>
      </c>
      <c r="I7529" s="2">
        <v>0</v>
      </c>
      <c r="J7529" s="1">
        <v>45986.463993055557</v>
      </c>
    </row>
    <row r="7530" spans="1:10" x14ac:dyDescent="0.2">
      <c r="A7530" s="4" t="s">
        <v>1</v>
      </c>
      <c r="B7530" s="3" t="str">
        <f>HYPERLINK("https://otsuka-europe-crm.veevavault.com/ui/#object/approved_document__v/V5OZ025E82TMV95", "ENFERMERÍA - PODCAST: Ep. 2 Calma Mental")</f>
        <v>ENFERMERÍA - PODCAST: Ep. 2 Calma Mental</v>
      </c>
      <c r="C7530" s="3" t="str">
        <f>HYPERLINK("https://otsuka-europe-crm.veevavault.com/ui/#object/sent_email__v/VBL00000000N091", "SE-001389955")</f>
        <v>SE-001389955</v>
      </c>
      <c r="D7530" s="1" t="s">
        <v>0</v>
      </c>
      <c r="E7530" s="2">
        <v>0</v>
      </c>
      <c r="F7530" s="2">
        <v>0</v>
      </c>
      <c r="G7530" s="2">
        <v>0</v>
      </c>
      <c r="H7530" s="1" t="s">
        <v>0</v>
      </c>
      <c r="I7530" s="2">
        <v>0</v>
      </c>
      <c r="J7530" s="1">
        <v>45986.463993055557</v>
      </c>
    </row>
    <row r="7531" spans="1:10" x14ac:dyDescent="0.2">
      <c r="A7531" s="4" t="s">
        <v>1</v>
      </c>
      <c r="B7531" s="3" t="str">
        <f>HYPERLINK("https://otsuka-europe-crm.veevavault.com/ui/#object/approved_document__v/V5OZ025E82TMV95", "ENFERMERÍA - PODCAST: Ep. 2 Calma Mental")</f>
        <v>ENFERMERÍA - PODCAST: Ep. 2 Calma Mental</v>
      </c>
      <c r="C7531" s="3" t="str">
        <f>HYPERLINK("https://otsuka-europe-crm.veevavault.com/ui/#object/sent_email__v/VBL00000000N092", "SE-001389956")</f>
        <v>SE-001389956</v>
      </c>
      <c r="D7531" s="1" t="s">
        <v>0</v>
      </c>
      <c r="E7531" s="2">
        <v>0</v>
      </c>
      <c r="F7531" s="2">
        <v>0</v>
      </c>
      <c r="G7531" s="2">
        <v>0</v>
      </c>
      <c r="H7531" s="1" t="s">
        <v>0</v>
      </c>
      <c r="I7531" s="2">
        <v>0</v>
      </c>
      <c r="J7531" s="1">
        <v>45986.463993055557</v>
      </c>
    </row>
    <row r="7532" spans="1:10" x14ac:dyDescent="0.2">
      <c r="A7532" s="4" t="s">
        <v>1</v>
      </c>
      <c r="B7532" s="3" t="str">
        <f>HYPERLINK("https://otsuka-europe-crm.veevavault.com/ui/#object/approved_document__v/V5OZ025E82TMV95", "ENFERMERÍA - PODCAST: Ep. 2 Calma Mental")</f>
        <v>ENFERMERÍA - PODCAST: Ep. 2 Calma Mental</v>
      </c>
      <c r="C7532" s="3" t="str">
        <f>HYPERLINK("https://otsuka-europe-crm.veevavault.com/ui/#object/sent_email__v/VBL00000000N093", "SE-001389957")</f>
        <v>SE-001389957</v>
      </c>
      <c r="D7532" s="1">
        <v>45986.633530092593</v>
      </c>
      <c r="E7532" s="2">
        <v>1</v>
      </c>
      <c r="F7532" s="2">
        <v>2</v>
      </c>
      <c r="G7532" s="2">
        <v>0</v>
      </c>
      <c r="H7532" s="1" t="s">
        <v>0</v>
      </c>
      <c r="I7532" s="2">
        <v>0</v>
      </c>
      <c r="J7532" s="1">
        <v>45986.46398148148</v>
      </c>
    </row>
    <row r="7533" spans="1:10" x14ac:dyDescent="0.2">
      <c r="A7533" s="4" t="s">
        <v>1</v>
      </c>
      <c r="B7533" s="3" t="str">
        <f>HYPERLINK("https://otsuka-europe-crm.veevavault.com/ui/#object/approved_document__v/V5OZ025E82TMV95", "ENFERMERÍA - PODCAST: Ep. 2 Calma Mental")</f>
        <v>ENFERMERÍA - PODCAST: Ep. 2 Calma Mental</v>
      </c>
      <c r="C7533" s="3" t="str">
        <f>HYPERLINK("https://otsuka-europe-crm.veevavault.com/ui/#object/sent_email__v/VBL00000000N094", "SE-001389958")</f>
        <v>SE-001389958</v>
      </c>
      <c r="D7533" s="1" t="s">
        <v>0</v>
      </c>
      <c r="E7533" s="2">
        <v>0</v>
      </c>
      <c r="F7533" s="2">
        <v>0</v>
      </c>
      <c r="G7533" s="2">
        <v>0</v>
      </c>
      <c r="H7533" s="1" t="s">
        <v>0</v>
      </c>
      <c r="I7533" s="2">
        <v>0</v>
      </c>
      <c r="J7533" s="1">
        <v>45986.46398148148</v>
      </c>
    </row>
    <row r="7534" spans="1:10" x14ac:dyDescent="0.2">
      <c r="A7534" s="4" t="s">
        <v>1</v>
      </c>
      <c r="B7534" s="3" t="str">
        <f>HYPERLINK("https://otsuka-europe-crm.veevavault.com/ui/#object/approved_document__v/V5OZ025E82TMV95", "ENFERMERÍA - PODCAST: Ep. 2 Calma Mental")</f>
        <v>ENFERMERÍA - PODCAST: Ep. 2 Calma Mental</v>
      </c>
      <c r="C7534" s="3" t="str">
        <f>HYPERLINK("https://otsuka-europe-crm.veevavault.com/ui/#object/sent_email__v/VBL00000000N095", "SE-001389959")</f>
        <v>SE-001389959</v>
      </c>
      <c r="D7534" s="1">
        <v>46058.319039351853</v>
      </c>
      <c r="E7534" s="2">
        <v>1</v>
      </c>
      <c r="F7534" s="2">
        <v>3</v>
      </c>
      <c r="G7534" s="2">
        <v>0</v>
      </c>
      <c r="H7534" s="1" t="s">
        <v>0</v>
      </c>
      <c r="I7534" s="2">
        <v>0</v>
      </c>
      <c r="J7534" s="1">
        <v>45986.463993055557</v>
      </c>
    </row>
    <row r="7535" spans="1:10" x14ac:dyDescent="0.2">
      <c r="A7535" s="4" t="s">
        <v>1</v>
      </c>
      <c r="B7535" s="3" t="str">
        <f>HYPERLINK("https://otsuka-europe-crm.veevavault.com/ui/#object/approved_document__v/V5OZ025E82TMV95", "ENFERMERÍA - PODCAST: Ep. 2 Calma Mental")</f>
        <v>ENFERMERÍA - PODCAST: Ep. 2 Calma Mental</v>
      </c>
      <c r="C7535" s="3" t="str">
        <f>HYPERLINK("https://otsuka-europe-crm.veevavault.com/ui/#object/sent_email__v/VBL00000000N096", "SE-001389960")</f>
        <v>SE-001389960</v>
      </c>
      <c r="D7535" s="1">
        <v>45993.853634259256</v>
      </c>
      <c r="E7535" s="2">
        <v>1</v>
      </c>
      <c r="F7535" s="2">
        <v>1</v>
      </c>
      <c r="G7535" s="2">
        <v>0</v>
      </c>
      <c r="H7535" s="1" t="s">
        <v>0</v>
      </c>
      <c r="I7535" s="2">
        <v>0</v>
      </c>
      <c r="J7535" s="1">
        <v>45986.463993055557</v>
      </c>
    </row>
    <row r="7536" spans="1:10" x14ac:dyDescent="0.2">
      <c r="A7536" s="4" t="s">
        <v>1</v>
      </c>
      <c r="B7536" s="3" t="str">
        <f>HYPERLINK("https://otsuka-europe-crm.veevavault.com/ui/#object/approved_document__v/V5OZ025E82TMV95", "ENFERMERÍA - PODCAST: Ep. 2 Calma Mental")</f>
        <v>ENFERMERÍA - PODCAST: Ep. 2 Calma Mental</v>
      </c>
      <c r="C7536" s="3" t="str">
        <f>HYPERLINK("https://otsuka-europe-crm.veevavault.com/ui/#object/sent_email__v/VBL00000000N097", "SE-001389961")</f>
        <v>SE-001389961</v>
      </c>
      <c r="D7536" s="1">
        <v>45986.588217592594</v>
      </c>
      <c r="E7536" s="2">
        <v>1</v>
      </c>
      <c r="F7536" s="2">
        <v>1</v>
      </c>
      <c r="G7536" s="2">
        <v>0</v>
      </c>
      <c r="H7536" s="1" t="s">
        <v>0</v>
      </c>
      <c r="I7536" s="2">
        <v>0</v>
      </c>
      <c r="J7536" s="1">
        <v>45986.463993055557</v>
      </c>
    </row>
    <row r="7537" spans="1:10" x14ac:dyDescent="0.2">
      <c r="A7537" s="4" t="s">
        <v>1</v>
      </c>
      <c r="B7537" s="3" t="str">
        <f>HYPERLINK("https://otsuka-europe-crm.veevavault.com/ui/#object/approved_document__v/V5OZ025E82TMV95", "ENFERMERÍA - PODCAST: Ep. 2 Calma Mental")</f>
        <v>ENFERMERÍA - PODCAST: Ep. 2 Calma Mental</v>
      </c>
      <c r="C7537" s="3" t="str">
        <f>HYPERLINK("https://otsuka-europe-crm.veevavault.com/ui/#object/sent_email__v/VBL00000000N098", "SE-001389962")</f>
        <v>SE-001389962</v>
      </c>
      <c r="D7537" s="1" t="s">
        <v>0</v>
      </c>
      <c r="E7537" s="2">
        <v>0</v>
      </c>
      <c r="F7537" s="2">
        <v>0</v>
      </c>
      <c r="G7537" s="2">
        <v>0</v>
      </c>
      <c r="H7537" s="1" t="s">
        <v>0</v>
      </c>
      <c r="I7537" s="2">
        <v>0</v>
      </c>
      <c r="J7537" s="1">
        <v>45986.463993055557</v>
      </c>
    </row>
    <row r="7538" spans="1:10" x14ac:dyDescent="0.2">
      <c r="A7538" s="4" t="s">
        <v>1</v>
      </c>
      <c r="B7538" s="3" t="str">
        <f>HYPERLINK("https://otsuka-europe-crm.veevavault.com/ui/#object/approved_document__v/V5OZ025E82TMV95", "ENFERMERÍA - PODCAST: Ep. 2 Calma Mental")</f>
        <v>ENFERMERÍA - PODCAST: Ep. 2 Calma Mental</v>
      </c>
      <c r="C7538" s="3" t="str">
        <f>HYPERLINK("https://otsuka-europe-crm.veevavault.com/ui/#object/sent_email__v/VBL00000000N099", "SE-001389963")</f>
        <v>SE-001389963</v>
      </c>
      <c r="D7538" s="1" t="s">
        <v>0</v>
      </c>
      <c r="E7538" s="2">
        <v>0</v>
      </c>
      <c r="F7538" s="2">
        <v>0</v>
      </c>
      <c r="G7538" s="2">
        <v>0</v>
      </c>
      <c r="H7538" s="1" t="s">
        <v>0</v>
      </c>
      <c r="I7538" s="2">
        <v>0</v>
      </c>
      <c r="J7538" s="1">
        <v>45986.463993055557</v>
      </c>
    </row>
    <row r="7539" spans="1:10" x14ac:dyDescent="0.2">
      <c r="A7539" s="4" t="s">
        <v>1</v>
      </c>
      <c r="B7539" s="3" t="str">
        <f>HYPERLINK("https://otsuka-europe-crm.veevavault.com/ui/#object/approved_document__v/V5OZ025E82TMV95", "ENFERMERÍA - PODCAST: Ep. 2 Calma Mental")</f>
        <v>ENFERMERÍA - PODCAST: Ep. 2 Calma Mental</v>
      </c>
      <c r="C7539" s="3" t="str">
        <f>HYPERLINK("https://otsuka-europe-crm.veevavault.com/ui/#object/sent_email__v/VBL00000000N100", "SE-001389964")</f>
        <v>SE-001389964</v>
      </c>
      <c r="D7539" s="1">
        <v>45993.760844907411</v>
      </c>
      <c r="E7539" s="2">
        <v>1</v>
      </c>
      <c r="F7539" s="2">
        <v>3</v>
      </c>
      <c r="G7539" s="2">
        <v>0</v>
      </c>
      <c r="H7539" s="1" t="s">
        <v>0</v>
      </c>
      <c r="I7539" s="2">
        <v>0</v>
      </c>
      <c r="J7539" s="1">
        <v>45986.463993055557</v>
      </c>
    </row>
    <row r="7540" spans="1:10" x14ac:dyDescent="0.2">
      <c r="A7540" s="4" t="s">
        <v>1</v>
      </c>
      <c r="B7540" s="3" t="str">
        <f>HYPERLINK("https://otsuka-europe-crm.veevavault.com/ui/#object/approved_document__v/V5OZ025E82TMV95", "ENFERMERÍA - PODCAST: Ep. 2 Calma Mental")</f>
        <v>ENFERMERÍA - PODCAST: Ep. 2 Calma Mental</v>
      </c>
      <c r="C7540" s="3" t="str">
        <f>HYPERLINK("https://otsuka-europe-crm.veevavault.com/ui/#object/sent_email__v/VBL00000000N101", "SE-001389965")</f>
        <v>SE-001389965</v>
      </c>
      <c r="D7540" s="1">
        <v>45988.896724537037</v>
      </c>
      <c r="E7540" s="2">
        <v>1</v>
      </c>
      <c r="F7540" s="2">
        <v>2</v>
      </c>
      <c r="G7540" s="2">
        <v>0</v>
      </c>
      <c r="H7540" s="1" t="s">
        <v>0</v>
      </c>
      <c r="I7540" s="2">
        <v>0</v>
      </c>
      <c r="J7540" s="1">
        <v>45986.463993055557</v>
      </c>
    </row>
    <row r="7541" spans="1:10" x14ac:dyDescent="0.2">
      <c r="A7541" s="4" t="s">
        <v>1</v>
      </c>
      <c r="B7541" s="3" t="str">
        <f>HYPERLINK("https://otsuka-europe-crm.veevavault.com/ui/#object/approved_document__v/V5OZ025E82TMV95", "ENFERMERÍA - PODCAST: Ep. 2 Calma Mental")</f>
        <v>ENFERMERÍA - PODCAST: Ep. 2 Calma Mental</v>
      </c>
      <c r="C7541" s="3" t="str">
        <f>HYPERLINK("https://otsuka-europe-crm.veevavault.com/ui/#object/sent_email__v/VBL00000000N102", "SE-001389966")</f>
        <v>SE-001389966</v>
      </c>
      <c r="D7541" s="1">
        <v>45986.481087962966</v>
      </c>
      <c r="E7541" s="2">
        <v>1</v>
      </c>
      <c r="F7541" s="2">
        <v>1</v>
      </c>
      <c r="G7541" s="2">
        <v>0</v>
      </c>
      <c r="H7541" s="1" t="s">
        <v>0</v>
      </c>
      <c r="I7541" s="2">
        <v>0</v>
      </c>
      <c r="J7541" s="1">
        <v>45986.463993055557</v>
      </c>
    </row>
    <row r="7542" spans="1:10" x14ac:dyDescent="0.2">
      <c r="A7542" s="4" t="s">
        <v>1</v>
      </c>
      <c r="B7542" s="3" t="str">
        <f>HYPERLINK("https://otsuka-europe-crm.veevavault.com/ui/#object/approved_document__v/V5OZ025E82TMV95", "ENFERMERÍA - PODCAST: Ep. 2 Calma Mental")</f>
        <v>ENFERMERÍA - PODCAST: Ep. 2 Calma Mental</v>
      </c>
      <c r="C7542" s="3" t="str">
        <f>HYPERLINK("https://otsuka-europe-crm.veevavault.com/ui/#object/sent_email__v/VBL00000000N103", "SE-001389967")</f>
        <v>SE-001389967</v>
      </c>
      <c r="D7542" s="1" t="s">
        <v>0</v>
      </c>
      <c r="E7542" s="2">
        <v>0</v>
      </c>
      <c r="F7542" s="2">
        <v>0</v>
      </c>
      <c r="G7542" s="2">
        <v>0</v>
      </c>
      <c r="H7542" s="1" t="s">
        <v>0</v>
      </c>
      <c r="I7542" s="2">
        <v>0</v>
      </c>
      <c r="J7542" s="1">
        <v>45986.46398148148</v>
      </c>
    </row>
    <row r="7543" spans="1:10" x14ac:dyDescent="0.2">
      <c r="A7543" s="4" t="s">
        <v>1</v>
      </c>
      <c r="B7543" s="3" t="str">
        <f>HYPERLINK("https://otsuka-europe-crm.veevavault.com/ui/#object/approved_document__v/V5OZ025E82TMV95", "ENFERMERÍA - PODCAST: Ep. 2 Calma Mental")</f>
        <v>ENFERMERÍA - PODCAST: Ep. 2 Calma Mental</v>
      </c>
      <c r="C7543" s="3" t="str">
        <f>HYPERLINK("https://otsuka-europe-crm.veevavault.com/ui/#object/sent_email__v/VBL00000000N104", "SE-001389968")</f>
        <v>SE-001389968</v>
      </c>
      <c r="D7543" s="1">
        <v>45986.540555555555</v>
      </c>
      <c r="E7543" s="2">
        <v>1</v>
      </c>
      <c r="F7543" s="2">
        <v>1</v>
      </c>
      <c r="G7543" s="2">
        <v>0</v>
      </c>
      <c r="H7543" s="1" t="s">
        <v>0</v>
      </c>
      <c r="I7543" s="2">
        <v>0</v>
      </c>
      <c r="J7543" s="1">
        <v>45986.463993055557</v>
      </c>
    </row>
    <row r="7544" spans="1:10" x14ac:dyDescent="0.2">
      <c r="A7544" s="4" t="s">
        <v>1</v>
      </c>
      <c r="B7544" s="3" t="str">
        <f>HYPERLINK("https://otsuka-europe-crm.veevavault.com/ui/#object/approved_document__v/V5OZ025E82TMV95", "ENFERMERÍA - PODCAST: Ep. 2 Calma Mental")</f>
        <v>ENFERMERÍA - PODCAST: Ep. 2 Calma Mental</v>
      </c>
      <c r="C7544" s="3" t="str">
        <f>HYPERLINK("https://otsuka-europe-crm.veevavault.com/ui/#object/sent_email__v/VBL00000000N105", "SE-001389969")</f>
        <v>SE-001389969</v>
      </c>
      <c r="D7544" s="1">
        <v>46024.777777777781</v>
      </c>
      <c r="E7544" s="2">
        <v>1</v>
      </c>
      <c r="F7544" s="2">
        <v>3</v>
      </c>
      <c r="G7544" s="2">
        <v>0</v>
      </c>
      <c r="H7544" s="1" t="s">
        <v>0</v>
      </c>
      <c r="I7544" s="2">
        <v>0</v>
      </c>
      <c r="J7544" s="1">
        <v>45986.46398148148</v>
      </c>
    </row>
    <row r="7545" spans="1:10" x14ac:dyDescent="0.2">
      <c r="A7545" s="4" t="s">
        <v>1</v>
      </c>
      <c r="B7545" s="3" t="str">
        <f>HYPERLINK("https://otsuka-europe-crm.veevavault.com/ui/#object/approved_document__v/V5OZ025E82TMV95", "ENFERMERÍA - PODCAST: Ep. 2 Calma Mental")</f>
        <v>ENFERMERÍA - PODCAST: Ep. 2 Calma Mental</v>
      </c>
      <c r="C7545" s="3" t="str">
        <f>HYPERLINK("https://otsuka-europe-crm.veevavault.com/ui/#object/sent_email__v/VBL00000000N106", "SE-001389970")</f>
        <v>SE-001389970</v>
      </c>
      <c r="D7545" s="1">
        <v>45987.876446759263</v>
      </c>
      <c r="E7545" s="2">
        <v>1</v>
      </c>
      <c r="F7545" s="2">
        <v>3</v>
      </c>
      <c r="G7545" s="2">
        <v>0</v>
      </c>
      <c r="H7545" s="1" t="s">
        <v>0</v>
      </c>
      <c r="I7545" s="2">
        <v>0</v>
      </c>
      <c r="J7545" s="1">
        <v>45986.463993055557</v>
      </c>
    </row>
    <row r="7546" spans="1:10" x14ac:dyDescent="0.2">
      <c r="A7546" s="4" t="s">
        <v>1</v>
      </c>
      <c r="B7546" s="3" t="str">
        <f>HYPERLINK("https://otsuka-europe-crm.veevavault.com/ui/#object/approved_document__v/V5OZ025E82TMV95", "ENFERMERÍA - PODCAST: Ep. 2 Calma Mental")</f>
        <v>ENFERMERÍA - PODCAST: Ep. 2 Calma Mental</v>
      </c>
      <c r="C7546" s="3" t="str">
        <f>HYPERLINK("https://otsuka-europe-crm.veevavault.com/ui/#object/sent_email__v/VBL00000000N107", "SE-001389971")</f>
        <v>SE-001389971</v>
      </c>
      <c r="D7546" s="1">
        <v>46003.352696759262</v>
      </c>
      <c r="E7546" s="2">
        <v>1</v>
      </c>
      <c r="F7546" s="2">
        <v>1</v>
      </c>
      <c r="G7546" s="2">
        <v>0</v>
      </c>
      <c r="H7546" s="1" t="s">
        <v>0</v>
      </c>
      <c r="I7546" s="2">
        <v>0</v>
      </c>
      <c r="J7546" s="1">
        <v>45986.463993055557</v>
      </c>
    </row>
    <row r="7547" spans="1:10" x14ac:dyDescent="0.2">
      <c r="A7547" s="4" t="s">
        <v>1</v>
      </c>
      <c r="B7547" s="3" t="str">
        <f>HYPERLINK("https://otsuka-europe-crm.veevavault.com/ui/#object/approved_document__v/V5OZ025E82TMV95", "ENFERMERÍA - PODCAST: Ep. 2 Calma Mental")</f>
        <v>ENFERMERÍA - PODCAST: Ep. 2 Calma Mental</v>
      </c>
      <c r="C7547" s="3" t="str">
        <f>HYPERLINK("https://otsuka-europe-crm.veevavault.com/ui/#object/sent_email__v/VBL00000000U643", "SE-001395208")</f>
        <v>SE-001395208</v>
      </c>
      <c r="D7547" s="1">
        <v>45995.542615740742</v>
      </c>
      <c r="E7547" s="2">
        <v>1</v>
      </c>
      <c r="F7547" s="2">
        <v>2</v>
      </c>
      <c r="G7547" s="2">
        <v>0</v>
      </c>
      <c r="H7547" s="1" t="s">
        <v>0</v>
      </c>
      <c r="I7547" s="2">
        <v>0</v>
      </c>
      <c r="J7547" s="1">
        <v>45995.436921296299</v>
      </c>
    </row>
    <row r="7548" spans="1:10" x14ac:dyDescent="0.2">
      <c r="A7548" s="4" t="s">
        <v>1</v>
      </c>
      <c r="B7548" s="3" t="str">
        <f>HYPERLINK("https://otsuka-europe-crm.veevavault.com/ui/#object/approved_document__v/V5OZ025E82TMV95", "ENFERMERÍA - PODCAST: Ep. 2 Calma Mental")</f>
        <v>ENFERMERÍA - PODCAST: Ep. 2 Calma Mental</v>
      </c>
      <c r="C7548" s="3" t="str">
        <f>HYPERLINK("https://otsuka-europe-crm.veevavault.com/ui/#object/sent_email__v/VBL00000000U644", "SE-001395209")</f>
        <v>SE-001395209</v>
      </c>
      <c r="D7548" s="1">
        <v>45995.647337962961</v>
      </c>
      <c r="E7548" s="2">
        <v>1</v>
      </c>
      <c r="F7548" s="2">
        <v>2</v>
      </c>
      <c r="G7548" s="2">
        <v>1</v>
      </c>
      <c r="H7548" s="1">
        <v>45995.647731481484</v>
      </c>
      <c r="I7548" s="2">
        <v>1</v>
      </c>
      <c r="J7548" s="1">
        <v>45995.436956018515</v>
      </c>
    </row>
    <row r="7549" spans="1:10" x14ac:dyDescent="0.2">
      <c r="A7549" s="4" t="s">
        <v>1</v>
      </c>
      <c r="B7549" s="3" t="str">
        <f>HYPERLINK("https://otsuka-europe-crm.veevavault.com/ui/#object/approved_document__v/V5OZ025E82TMV95", "ENFERMERÍA - PODCAST: Ep. 2 Calma Mental")</f>
        <v>ENFERMERÍA - PODCAST: Ep. 2 Calma Mental</v>
      </c>
      <c r="C7549" s="3" t="str">
        <f>HYPERLINK("https://otsuka-europe-crm.veevavault.com/ui/#object/sent_email__v/VBL00000000U645", "SE-001395210")</f>
        <v>SE-001395210</v>
      </c>
      <c r="D7549" s="1" t="s">
        <v>0</v>
      </c>
      <c r="E7549" s="2">
        <v>0</v>
      </c>
      <c r="F7549" s="2">
        <v>0</v>
      </c>
      <c r="G7549" s="2">
        <v>0</v>
      </c>
      <c r="H7549" s="1" t="s">
        <v>0</v>
      </c>
      <c r="I7549" s="2">
        <v>0</v>
      </c>
      <c r="J7549" s="1">
        <v>45995.436990740738</v>
      </c>
    </row>
    <row r="7550" spans="1:10" x14ac:dyDescent="0.2">
      <c r="A7550" s="4" t="s">
        <v>1</v>
      </c>
      <c r="B7550" s="3" t="str">
        <f>HYPERLINK("https://otsuka-europe-crm.veevavault.com/ui/#object/approved_document__v/V5OZ025E82TMV95", "ENFERMERÍA - PODCAST: Ep. 2 Calma Mental")</f>
        <v>ENFERMERÍA - PODCAST: Ep. 2 Calma Mental</v>
      </c>
      <c r="C7550" s="3" t="str">
        <f>HYPERLINK("https://otsuka-europe-crm.veevavault.com/ui/#object/sent_email__v/VBL00000000U646", "SE-001395211")</f>
        <v>SE-001395211</v>
      </c>
      <c r="D7550" s="1">
        <v>45995.444699074076</v>
      </c>
      <c r="E7550" s="2">
        <v>1</v>
      </c>
      <c r="F7550" s="2">
        <v>1</v>
      </c>
      <c r="G7550" s="2">
        <v>0</v>
      </c>
      <c r="H7550" s="1" t="s">
        <v>0</v>
      </c>
      <c r="I7550" s="2">
        <v>0</v>
      </c>
      <c r="J7550" s="1">
        <v>45995.437025462961</v>
      </c>
    </row>
    <row r="7551" spans="1:10" x14ac:dyDescent="0.2">
      <c r="A7551" s="4" t="s">
        <v>1</v>
      </c>
      <c r="B7551" s="3" t="str">
        <f>HYPERLINK("https://otsuka-europe-crm.veevavault.com/ui/#object/approved_document__v/V5OZ025E82TMV95", "ENFERMERÍA - PODCAST: Ep. 2 Calma Mental")</f>
        <v>ENFERMERÍA - PODCAST: Ep. 2 Calma Mental</v>
      </c>
      <c r="C7551" s="3" t="str">
        <f>HYPERLINK("https://otsuka-europe-crm.veevavault.com/ui/#object/sent_email__v/VBL00000000U647", "SE-001395212")</f>
        <v>SE-001395212</v>
      </c>
      <c r="D7551" s="1">
        <v>45995.4371875</v>
      </c>
      <c r="E7551" s="2">
        <v>1</v>
      </c>
      <c r="F7551" s="2">
        <v>1</v>
      </c>
      <c r="G7551" s="2">
        <v>0</v>
      </c>
      <c r="H7551" s="1" t="s">
        <v>0</v>
      </c>
      <c r="I7551" s="2">
        <v>0</v>
      </c>
      <c r="J7551" s="1">
        <v>45995.437060185184</v>
      </c>
    </row>
    <row r="7552" spans="1:10" x14ac:dyDescent="0.2">
      <c r="A7552" s="4" t="s">
        <v>1</v>
      </c>
      <c r="B7552" s="3" t="str">
        <f>HYPERLINK("https://otsuka-europe-crm.veevavault.com/ui/#object/approved_document__v/V5OZ025E82TMV95", "ENFERMERÍA - PODCAST: Ep. 2 Calma Mental")</f>
        <v>ENFERMERÍA - PODCAST: Ep. 2 Calma Mental</v>
      </c>
      <c r="C7552" s="3" t="str">
        <f>HYPERLINK("https://otsuka-europe-crm.veevavault.com/ui/#object/sent_email__v/VBL00000000U648", "SE-001395213")</f>
        <v>SE-001395213</v>
      </c>
      <c r="D7552" s="1">
        <v>45995.676469907405</v>
      </c>
      <c r="E7552" s="2">
        <v>1</v>
      </c>
      <c r="F7552" s="2">
        <v>1</v>
      </c>
      <c r="G7552" s="2">
        <v>0</v>
      </c>
      <c r="H7552" s="1" t="s">
        <v>0</v>
      </c>
      <c r="I7552" s="2">
        <v>0</v>
      </c>
      <c r="J7552" s="1">
        <v>45995.437094907407</v>
      </c>
    </row>
    <row r="7553" spans="1:10" x14ac:dyDescent="0.2">
      <c r="A7553" s="4" t="s">
        <v>1</v>
      </c>
      <c r="B7553" s="3" t="str">
        <f>HYPERLINK("https://otsuka-europe-crm.veevavault.com/ui/#object/approved_document__v/V5OZ025E82TMV95", "ENFERMERÍA - PODCAST: Ep. 2 Calma Mental")</f>
        <v>ENFERMERÍA - PODCAST: Ep. 2 Calma Mental</v>
      </c>
      <c r="C7553" s="3" t="str">
        <f>HYPERLINK("https://otsuka-europe-crm.veevavault.com/ui/#object/sent_email__v/VBL00000000U649", "SE-001395214")</f>
        <v>SE-001395214</v>
      </c>
      <c r="D7553" s="1">
        <v>45995.45113425926</v>
      </c>
      <c r="E7553" s="2">
        <v>1</v>
      </c>
      <c r="F7553" s="2">
        <v>2</v>
      </c>
      <c r="G7553" s="2">
        <v>1</v>
      </c>
      <c r="H7553" s="1">
        <v>45995.451967592591</v>
      </c>
      <c r="I7553" s="2">
        <v>1</v>
      </c>
      <c r="J7553" s="1">
        <v>45995.43712962963</v>
      </c>
    </row>
    <row r="7554" spans="1:10" x14ac:dyDescent="0.2">
      <c r="A7554" s="4" t="s">
        <v>1</v>
      </c>
      <c r="B7554" s="3" t="str">
        <f>HYPERLINK("https://otsuka-europe-crm.veevavault.com/ui/#object/approved_document__v/V5OZ025E82TMV95", "ENFERMERÍA - PODCAST: Ep. 2 Calma Mental")</f>
        <v>ENFERMERÍA - PODCAST: Ep. 2 Calma Mental</v>
      </c>
      <c r="C7554" s="3" t="str">
        <f>HYPERLINK("https://otsuka-europe-crm.veevavault.com/ui/#object/sent_email__v/VBL00000000U650", "SE-001395215")</f>
        <v>SE-001395215</v>
      </c>
      <c r="D7554" s="1" t="s">
        <v>0</v>
      </c>
      <c r="E7554" s="2">
        <v>0</v>
      </c>
      <c r="F7554" s="2">
        <v>0</v>
      </c>
      <c r="G7554" s="2">
        <v>0</v>
      </c>
      <c r="H7554" s="1" t="s">
        <v>0</v>
      </c>
      <c r="I7554" s="2">
        <v>0</v>
      </c>
      <c r="J7554" s="1">
        <v>45995.437164351853</v>
      </c>
    </row>
    <row r="7555" spans="1:10" x14ac:dyDescent="0.2">
      <c r="A7555" s="4" t="s">
        <v>1</v>
      </c>
      <c r="B7555" s="3" t="str">
        <f>HYPERLINK("https://otsuka-europe-crm.veevavault.com/ui/#object/approved_document__v/V5OZ025E82TMV95", "ENFERMERÍA - PODCAST: Ep. 2 Calma Mental")</f>
        <v>ENFERMERÍA - PODCAST: Ep. 2 Calma Mental</v>
      </c>
      <c r="C7555" s="3" t="str">
        <f>HYPERLINK("https://otsuka-europe-crm.veevavault.com/ui/#object/sent_email__v/VBL00000000U651", "SE-001395216")</f>
        <v>SE-001395216</v>
      </c>
      <c r="D7555" s="1">
        <v>46018.940127314818</v>
      </c>
      <c r="E7555" s="2">
        <v>1</v>
      </c>
      <c r="F7555" s="2">
        <v>2</v>
      </c>
      <c r="G7555" s="2">
        <v>0</v>
      </c>
      <c r="H7555" s="1" t="s">
        <v>0</v>
      </c>
      <c r="I7555" s="2">
        <v>0</v>
      </c>
      <c r="J7555" s="1">
        <v>45995.437199074076</v>
      </c>
    </row>
    <row r="7556" spans="1:10" x14ac:dyDescent="0.2">
      <c r="A7556" s="4" t="s">
        <v>1</v>
      </c>
      <c r="B7556" s="3" t="str">
        <f>HYPERLINK("https://otsuka-europe-crm.veevavault.com/ui/#object/approved_document__v/V5OZ025E82TMV95", "ENFERMERÍA - PODCAST: Ep. 2 Calma Mental")</f>
        <v>ENFERMERÍA - PODCAST: Ep. 2 Calma Mental</v>
      </c>
      <c r="C7556" s="3" t="str">
        <f>HYPERLINK("https://otsuka-europe-crm.veevavault.com/ui/#object/sent_email__v/VBL00000000U652", "SE-001395217")</f>
        <v>SE-001395217</v>
      </c>
      <c r="D7556" s="1" t="s">
        <v>0</v>
      </c>
      <c r="E7556" s="2">
        <v>0</v>
      </c>
      <c r="F7556" s="2">
        <v>0</v>
      </c>
      <c r="G7556" s="2">
        <v>0</v>
      </c>
      <c r="H7556" s="1" t="s">
        <v>0</v>
      </c>
      <c r="I7556" s="2">
        <v>0</v>
      </c>
      <c r="J7556" s="1">
        <v>45995.4372337963</v>
      </c>
    </row>
    <row r="7557" spans="1:10" x14ac:dyDescent="0.2">
      <c r="A7557" s="4" t="s">
        <v>1</v>
      </c>
      <c r="B7557" s="3" t="str">
        <f>HYPERLINK("https://otsuka-europe-crm.veevavault.com/ui/#object/approved_document__v/V5OZ025E82TMV95", "ENFERMERÍA - PODCAST: Ep. 2 Calma Mental")</f>
        <v>ENFERMERÍA - PODCAST: Ep. 2 Calma Mental</v>
      </c>
      <c r="C7557" s="3" t="str">
        <f>HYPERLINK("https://otsuka-europe-crm.veevavault.com/ui/#object/sent_email__v/VBL00000000U653", "SE-001395218")</f>
        <v>SE-001395218</v>
      </c>
      <c r="D7557" s="1">
        <v>45995.437326388892</v>
      </c>
      <c r="E7557" s="2">
        <v>1</v>
      </c>
      <c r="F7557" s="2">
        <v>1</v>
      </c>
      <c r="G7557" s="2">
        <v>0</v>
      </c>
      <c r="H7557" s="1" t="s">
        <v>0</v>
      </c>
      <c r="I7557" s="2">
        <v>0</v>
      </c>
      <c r="J7557" s="1">
        <v>45995.437268518515</v>
      </c>
    </row>
    <row r="7558" spans="1:10" x14ac:dyDescent="0.2">
      <c r="A7558" s="4" t="s">
        <v>1</v>
      </c>
      <c r="B7558" s="3" t="str">
        <f>HYPERLINK("https://otsuka-europe-crm.veevavault.com/ui/#object/approved_document__v/V5OZ025E82TMV95", "ENFERMERÍA - PODCAST: Ep. 2 Calma Mental")</f>
        <v>ENFERMERÍA - PODCAST: Ep. 2 Calma Mental</v>
      </c>
      <c r="C7558" s="3" t="str">
        <f>HYPERLINK("https://otsuka-europe-crm.veevavault.com/ui/#object/sent_email__v/VBL00000000U654", "SE-001395219")</f>
        <v>SE-001395219</v>
      </c>
      <c r="D7558" s="1">
        <v>45995.732546296298</v>
      </c>
      <c r="E7558" s="2">
        <v>1</v>
      </c>
      <c r="F7558" s="2">
        <v>1</v>
      </c>
      <c r="G7558" s="2">
        <v>0</v>
      </c>
      <c r="H7558" s="1" t="s">
        <v>0</v>
      </c>
      <c r="I7558" s="2">
        <v>0</v>
      </c>
      <c r="J7558" s="1">
        <v>45995.437291666669</v>
      </c>
    </row>
    <row r="7559" spans="1:10" x14ac:dyDescent="0.2">
      <c r="A7559" s="4" t="s">
        <v>1</v>
      </c>
      <c r="B7559" s="3" t="str">
        <f>HYPERLINK("https://otsuka-europe-crm.veevavault.com/ui/#object/approved_document__v/V5OZ025E82TMV95", "ENFERMERÍA - PODCAST: Ep. 2 Calma Mental")</f>
        <v>ENFERMERÍA - PODCAST: Ep. 2 Calma Mental</v>
      </c>
      <c r="C7559" s="3" t="str">
        <f>HYPERLINK("https://otsuka-europe-crm.veevavault.com/ui/#object/sent_email__v/VBL00000000U655", "SE-001395220")</f>
        <v>SE-001395220</v>
      </c>
      <c r="D7559" s="1">
        <v>45995.964062500003</v>
      </c>
      <c r="E7559" s="2">
        <v>1</v>
      </c>
      <c r="F7559" s="2">
        <v>1</v>
      </c>
      <c r="G7559" s="2">
        <v>0</v>
      </c>
      <c r="H7559" s="1" t="s">
        <v>0</v>
      </c>
      <c r="I7559" s="2">
        <v>0</v>
      </c>
      <c r="J7559" s="1">
        <v>45995.437361111108</v>
      </c>
    </row>
    <row r="7560" spans="1:10" x14ac:dyDescent="0.2">
      <c r="A7560" s="4" t="s">
        <v>1</v>
      </c>
      <c r="B7560" s="3" t="str">
        <f>HYPERLINK("https://otsuka-europe-crm.veevavault.com/ui/#object/approved_document__v/V5OZ025E82TMV95", "ENFERMERÍA - PODCAST: Ep. 2 Calma Mental")</f>
        <v>ENFERMERÍA - PODCAST: Ep. 2 Calma Mental</v>
      </c>
      <c r="C7560" s="3" t="str">
        <f>HYPERLINK("https://otsuka-europe-crm.veevavault.com/ui/#object/sent_email__v/VBL00000000U656", "SE-001395221")</f>
        <v>SE-001395221</v>
      </c>
      <c r="D7560" s="1" t="s">
        <v>0</v>
      </c>
      <c r="E7560" s="2">
        <v>0</v>
      </c>
      <c r="F7560" s="2">
        <v>0</v>
      </c>
      <c r="G7560" s="2">
        <v>0</v>
      </c>
      <c r="H7560" s="1" t="s">
        <v>0</v>
      </c>
      <c r="I7560" s="2">
        <v>0</v>
      </c>
      <c r="J7560" s="1">
        <v>45995.437395833331</v>
      </c>
    </row>
    <row r="7561" spans="1:10" x14ac:dyDescent="0.2">
      <c r="A7561" s="4" t="s">
        <v>1</v>
      </c>
      <c r="B7561" s="3" t="str">
        <f>HYPERLINK("https://otsuka-europe-crm.veevavault.com/ui/#object/approved_document__v/V5OZ025E82TMV95", "ENFERMERÍA - PODCAST: Ep. 2 Calma Mental")</f>
        <v>ENFERMERÍA - PODCAST: Ep. 2 Calma Mental</v>
      </c>
      <c r="C7561" s="3" t="str">
        <f>HYPERLINK("https://otsuka-europe-crm.veevavault.com/ui/#object/sent_email__v/VBL00000000U657", "SE-001395222")</f>
        <v>SE-001395222</v>
      </c>
      <c r="D7561" s="1">
        <v>45995.941041666665</v>
      </c>
      <c r="E7561" s="2">
        <v>1</v>
      </c>
      <c r="F7561" s="2">
        <v>1</v>
      </c>
      <c r="G7561" s="2">
        <v>0</v>
      </c>
      <c r="H7561" s="1" t="s">
        <v>0</v>
      </c>
      <c r="I7561" s="2">
        <v>0</v>
      </c>
      <c r="J7561" s="1">
        <v>45995.437430555554</v>
      </c>
    </row>
    <row r="7562" spans="1:10" x14ac:dyDescent="0.2">
      <c r="A7562" s="4" t="s">
        <v>1</v>
      </c>
      <c r="B7562" s="3" t="str">
        <f>HYPERLINK("https://otsuka-europe-crm.veevavault.com/ui/#object/approved_document__v/V5OZ025E82TMV95", "ENFERMERÍA - PODCAST: Ep. 2 Calma Mental")</f>
        <v>ENFERMERÍA - PODCAST: Ep. 2 Calma Mental</v>
      </c>
      <c r="C7562" s="3" t="str">
        <f>HYPERLINK("https://otsuka-europe-crm.veevavault.com/ui/#object/sent_email__v/VBL00000000U658", "SE-001395223")</f>
        <v>SE-001395223</v>
      </c>
      <c r="D7562" s="1" t="s">
        <v>0</v>
      </c>
      <c r="E7562" s="2">
        <v>0</v>
      </c>
      <c r="F7562" s="2">
        <v>0</v>
      </c>
      <c r="G7562" s="2">
        <v>0</v>
      </c>
      <c r="H7562" s="1" t="s">
        <v>0</v>
      </c>
      <c r="I7562" s="2">
        <v>0</v>
      </c>
      <c r="J7562" s="1">
        <v>45995.437465277777</v>
      </c>
    </row>
    <row r="7563" spans="1:10" x14ac:dyDescent="0.2">
      <c r="A7563" s="4" t="s">
        <v>1</v>
      </c>
      <c r="B7563" s="3" t="str">
        <f>HYPERLINK("https://otsuka-europe-crm.veevavault.com/ui/#object/approved_document__v/V5OZ025E82TMV95", "ENFERMERÍA - PODCAST: Ep. 2 Calma Mental")</f>
        <v>ENFERMERÍA - PODCAST: Ep. 2 Calma Mental</v>
      </c>
      <c r="C7563" s="3" t="str">
        <f>HYPERLINK("https://otsuka-europe-crm.veevavault.com/ui/#object/sent_email__v/VBL00000000U659", "SE-001395224")</f>
        <v>SE-001395224</v>
      </c>
      <c r="D7563" s="1" t="s">
        <v>0</v>
      </c>
      <c r="E7563" s="2">
        <v>0</v>
      </c>
      <c r="F7563" s="2">
        <v>0</v>
      </c>
      <c r="G7563" s="2">
        <v>0</v>
      </c>
      <c r="H7563" s="1" t="s">
        <v>0</v>
      </c>
      <c r="I7563" s="2">
        <v>0</v>
      </c>
      <c r="J7563" s="1">
        <v>45995.437511574077</v>
      </c>
    </row>
    <row r="7564" spans="1:10" x14ac:dyDescent="0.2">
      <c r="A7564" s="4" t="s">
        <v>1</v>
      </c>
      <c r="B7564" s="3" t="str">
        <f>HYPERLINK("https://otsuka-europe-crm.veevavault.com/ui/#object/approved_document__v/V5OZ025E82TMV95", "ENFERMERÍA - PODCAST: Ep. 2 Calma Mental")</f>
        <v>ENFERMERÍA - PODCAST: Ep. 2 Calma Mental</v>
      </c>
      <c r="C7564" s="3" t="str">
        <f>HYPERLINK("https://otsuka-europe-crm.veevavault.com/ui/#object/sent_email__v/VBL00000000U660", "SE-001395225")</f>
        <v>SE-001395225</v>
      </c>
      <c r="D7564" s="1" t="s">
        <v>0</v>
      </c>
      <c r="E7564" s="2">
        <v>0</v>
      </c>
      <c r="F7564" s="2">
        <v>0</v>
      </c>
      <c r="G7564" s="2">
        <v>0</v>
      </c>
      <c r="H7564" s="1" t="s">
        <v>0</v>
      </c>
      <c r="I7564" s="2">
        <v>0</v>
      </c>
      <c r="J7564" s="1">
        <v>45995.4375462963</v>
      </c>
    </row>
    <row r="7565" spans="1:10" x14ac:dyDescent="0.2">
      <c r="A7565" s="4" t="s">
        <v>1</v>
      </c>
      <c r="B7565" s="3" t="str">
        <f>HYPERLINK("https://otsuka-europe-crm.veevavault.com/ui/#object/approved_document__v/V5OZ025E82TMV95", "ENFERMERÍA - PODCAST: Ep. 2 Calma Mental")</f>
        <v>ENFERMERÍA - PODCAST: Ep. 2 Calma Mental</v>
      </c>
      <c r="C7565" s="3" t="str">
        <f>HYPERLINK("https://otsuka-europe-crm.veevavault.com/ui/#object/sent_email__v/VBL00000000U661", "SE-001395226")</f>
        <v>SE-001395226</v>
      </c>
      <c r="D7565" s="1">
        <v>45995.583101851851</v>
      </c>
      <c r="E7565" s="2">
        <v>1</v>
      </c>
      <c r="F7565" s="2">
        <v>1</v>
      </c>
      <c r="G7565" s="2">
        <v>0</v>
      </c>
      <c r="H7565" s="1" t="s">
        <v>0</v>
      </c>
      <c r="I7565" s="2">
        <v>0</v>
      </c>
      <c r="J7565" s="1">
        <v>45995.437592592592</v>
      </c>
    </row>
    <row r="7566" spans="1:10" x14ac:dyDescent="0.2">
      <c r="A7566" s="4" t="s">
        <v>1</v>
      </c>
      <c r="B7566" s="3" t="str">
        <f>HYPERLINK("https://otsuka-europe-crm.veevavault.com/ui/#object/approved_document__v/V5OZ025E82TMV95", "ENFERMERÍA - PODCAST: Ep. 2 Calma Mental")</f>
        <v>ENFERMERÍA - PODCAST: Ep. 2 Calma Mental</v>
      </c>
      <c r="C7566" s="3" t="str">
        <f>HYPERLINK("https://otsuka-europe-crm.veevavault.com/ui/#object/sent_email__v/VBL00000000U662", "SE-001395227")</f>
        <v>SE-001395227</v>
      </c>
      <c r="D7566" s="1" t="s">
        <v>0</v>
      </c>
      <c r="E7566" s="2">
        <v>0</v>
      </c>
      <c r="F7566" s="2">
        <v>0</v>
      </c>
      <c r="G7566" s="2">
        <v>0</v>
      </c>
      <c r="H7566" s="1" t="s">
        <v>0</v>
      </c>
      <c r="I7566" s="2">
        <v>0</v>
      </c>
      <c r="J7566" s="1">
        <v>45995.437627314815</v>
      </c>
    </row>
    <row r="7567" spans="1:10" x14ac:dyDescent="0.2">
      <c r="A7567" s="4" t="s">
        <v>1</v>
      </c>
      <c r="B7567" s="3" t="str">
        <f>HYPERLINK("https://otsuka-europe-crm.veevavault.com/ui/#object/approved_document__v/V5OZ025E82TMV95", "ENFERMERÍA - PODCAST: Ep. 2 Calma Mental")</f>
        <v>ENFERMERÍA - PODCAST: Ep. 2 Calma Mental</v>
      </c>
      <c r="C7567" s="3" t="str">
        <f>HYPERLINK("https://otsuka-europe-crm.veevavault.com/ui/#object/sent_email__v/VBL00000000U663", "SE-001395228")</f>
        <v>SE-001395228</v>
      </c>
      <c r="D7567" s="1">
        <v>46003.474374999998</v>
      </c>
      <c r="E7567" s="2">
        <v>1</v>
      </c>
      <c r="F7567" s="2">
        <v>3</v>
      </c>
      <c r="G7567" s="2">
        <v>0</v>
      </c>
      <c r="H7567" s="1" t="s">
        <v>0</v>
      </c>
      <c r="I7567" s="2">
        <v>0</v>
      </c>
      <c r="J7567" s="1">
        <v>45995.437673611108</v>
      </c>
    </row>
    <row r="7568" spans="1:10" x14ac:dyDescent="0.2">
      <c r="A7568" s="4" t="s">
        <v>1</v>
      </c>
      <c r="B7568" s="3" t="str">
        <f>HYPERLINK("https://otsuka-europe-crm.veevavault.com/ui/#object/approved_document__v/V5OZ025E82TMV95", "ENFERMERÍA - PODCAST: Ep. 2 Calma Mental")</f>
        <v>ENFERMERÍA - PODCAST: Ep. 2 Calma Mental</v>
      </c>
      <c r="C7568" s="3" t="str">
        <f>HYPERLINK("https://otsuka-europe-crm.veevavault.com/ui/#object/sent_email__v/VBL00000000U664", "SE-001395229")</f>
        <v>SE-001395229</v>
      </c>
      <c r="D7568" s="1" t="s">
        <v>0</v>
      </c>
      <c r="E7568" s="2">
        <v>0</v>
      </c>
      <c r="F7568" s="2">
        <v>0</v>
      </c>
      <c r="G7568" s="2">
        <v>0</v>
      </c>
      <c r="H7568" s="1" t="s">
        <v>0</v>
      </c>
      <c r="I7568" s="2">
        <v>0</v>
      </c>
      <c r="J7568" s="1">
        <v>45995.437708333331</v>
      </c>
    </row>
    <row r="7569" spans="1:10" x14ac:dyDescent="0.2">
      <c r="A7569" s="4" t="s">
        <v>1</v>
      </c>
      <c r="B7569" s="3" t="str">
        <f>HYPERLINK("https://otsuka-europe-crm.veevavault.com/ui/#object/approved_document__v/V5OZ025E82TMV95", "ENFERMERÍA - PODCAST: Ep. 2 Calma Mental")</f>
        <v>ENFERMERÍA - PODCAST: Ep. 2 Calma Mental</v>
      </c>
      <c r="C7569" s="3" t="str">
        <f>HYPERLINK("https://otsuka-europe-crm.veevavault.com/ui/#object/sent_email__v/VBL00000000U665", "SE-001395230")</f>
        <v>SE-001395230</v>
      </c>
      <c r="D7569" s="1">
        <v>45995.437905092593</v>
      </c>
      <c r="E7569" s="2">
        <v>1</v>
      </c>
      <c r="F7569" s="2">
        <v>1</v>
      </c>
      <c r="G7569" s="2">
        <v>0</v>
      </c>
      <c r="H7569" s="1" t="s">
        <v>0</v>
      </c>
      <c r="I7569" s="2">
        <v>0</v>
      </c>
      <c r="J7569" s="1">
        <v>45995.437743055554</v>
      </c>
    </row>
    <row r="7570" spans="1:10" x14ac:dyDescent="0.2">
      <c r="A7570" s="4" t="s">
        <v>1</v>
      </c>
      <c r="B7570" s="3" t="str">
        <f>HYPERLINK("https://otsuka-europe-crm.veevavault.com/ui/#object/approved_document__v/V5OZ025E82TMV95", "ENFERMERÍA - PODCAST: Ep. 2 Calma Mental")</f>
        <v>ENFERMERÍA - PODCAST: Ep. 2 Calma Mental</v>
      </c>
      <c r="C7570" s="3" t="str">
        <f>HYPERLINK("https://otsuka-europe-crm.veevavault.com/ui/#object/sent_email__v/VBL00000000U666", "SE-001395231")</f>
        <v>SE-001395231</v>
      </c>
      <c r="D7570" s="1">
        <v>46023.694224537037</v>
      </c>
      <c r="E7570" s="2">
        <v>1</v>
      </c>
      <c r="F7570" s="2">
        <v>6</v>
      </c>
      <c r="G7570" s="2">
        <v>1</v>
      </c>
      <c r="H7570" s="1">
        <v>45995.44431712963</v>
      </c>
      <c r="I7570" s="2">
        <v>1</v>
      </c>
      <c r="J7570" s="1">
        <v>45995.437800925924</v>
      </c>
    </row>
    <row r="7571" spans="1:10" x14ac:dyDescent="0.2">
      <c r="A7571" s="4" t="s">
        <v>1</v>
      </c>
      <c r="B7571" s="3" t="str">
        <f>HYPERLINK("https://otsuka-europe-crm.veevavault.com/ui/#object/approved_document__v/V5OZ025E82TMV95", "ENFERMERÍA - PODCAST: Ep. 2 Calma Mental")</f>
        <v>ENFERMERÍA - PODCAST: Ep. 2 Calma Mental</v>
      </c>
      <c r="C7571" s="3" t="str">
        <f>HYPERLINK("https://otsuka-europe-crm.veevavault.com/ui/#object/sent_email__v/VBL00000000U667", "SE-001395232")</f>
        <v>SE-001395232</v>
      </c>
      <c r="D7571" s="1" t="s">
        <v>0</v>
      </c>
      <c r="E7571" s="2">
        <v>0</v>
      </c>
      <c r="F7571" s="2">
        <v>0</v>
      </c>
      <c r="G7571" s="2">
        <v>0</v>
      </c>
      <c r="H7571" s="1" t="s">
        <v>0</v>
      </c>
      <c r="I7571" s="2">
        <v>0</v>
      </c>
      <c r="J7571" s="1">
        <v>45995.437835648147</v>
      </c>
    </row>
    <row r="7572" spans="1:10" x14ac:dyDescent="0.2">
      <c r="A7572" s="4" t="s">
        <v>1</v>
      </c>
      <c r="B7572" s="3" t="str">
        <f>HYPERLINK("https://otsuka-europe-crm.veevavault.com/ui/#object/approved_document__v/V5OZ025E82TMV95", "ENFERMERÍA - PODCAST: Ep. 2 Calma Mental")</f>
        <v>ENFERMERÍA - PODCAST: Ep. 2 Calma Mental</v>
      </c>
      <c r="C7572" s="3" t="str">
        <f>HYPERLINK("https://otsuka-europe-crm.veevavault.com/ui/#object/sent_email__v/VBL00000000U668", "SE-001395233")</f>
        <v>SE-001395233</v>
      </c>
      <c r="D7572" s="1" t="s">
        <v>0</v>
      </c>
      <c r="E7572" s="2">
        <v>0</v>
      </c>
      <c r="F7572" s="2">
        <v>0</v>
      </c>
      <c r="G7572" s="2">
        <v>0</v>
      </c>
      <c r="H7572" s="1" t="s">
        <v>0</v>
      </c>
      <c r="I7572" s="2">
        <v>0</v>
      </c>
      <c r="J7572" s="1">
        <v>45995.43787037037</v>
      </c>
    </row>
    <row r="7573" spans="1:10" x14ac:dyDescent="0.2">
      <c r="A7573" s="4" t="s">
        <v>1</v>
      </c>
      <c r="B7573" s="3" t="str">
        <f>HYPERLINK("https://otsuka-europe-crm.veevavault.com/ui/#object/approved_document__v/V5OZ025E82TMV95", "ENFERMERÍA - PODCAST: Ep. 2 Calma Mental")</f>
        <v>ENFERMERÍA - PODCAST: Ep. 2 Calma Mental</v>
      </c>
      <c r="C7573" s="3" t="str">
        <f>HYPERLINK("https://otsuka-europe-crm.veevavault.com/ui/#object/sent_email__v/VBL00000000U669", "SE-001395234")</f>
        <v>SE-001395234</v>
      </c>
      <c r="D7573" s="1">
        <v>45995.506851851853</v>
      </c>
      <c r="E7573" s="2">
        <v>1</v>
      </c>
      <c r="F7573" s="2">
        <v>2</v>
      </c>
      <c r="G7573" s="2">
        <v>0</v>
      </c>
      <c r="H7573" s="1" t="s">
        <v>0</v>
      </c>
      <c r="I7573" s="2">
        <v>0</v>
      </c>
      <c r="J7573" s="1">
        <v>45995.437905092593</v>
      </c>
    </row>
    <row r="7574" spans="1:10" x14ac:dyDescent="0.2">
      <c r="A7574" s="4" t="s">
        <v>1</v>
      </c>
      <c r="B7574" s="3" t="str">
        <f>HYPERLINK("https://otsuka-europe-crm.veevavault.com/ui/#object/approved_document__v/V5OZ025E82TMV95", "ENFERMERÍA - PODCAST: Ep. 2 Calma Mental")</f>
        <v>ENFERMERÍA - PODCAST: Ep. 2 Calma Mental</v>
      </c>
      <c r="C7574" s="3" t="str">
        <f>HYPERLINK("https://otsuka-europe-crm.veevavault.com/ui/#object/sent_email__v/VBL00000000U670", "SE-001395235")</f>
        <v>SE-001395235</v>
      </c>
      <c r="D7574" s="1" t="s">
        <v>0</v>
      </c>
      <c r="E7574" s="2">
        <v>0</v>
      </c>
      <c r="F7574" s="2">
        <v>0</v>
      </c>
      <c r="G7574" s="2">
        <v>0</v>
      </c>
      <c r="H7574" s="1" t="s">
        <v>0</v>
      </c>
      <c r="I7574" s="2">
        <v>0</v>
      </c>
      <c r="J7574" s="1">
        <v>45995.437939814816</v>
      </c>
    </row>
    <row r="7575" spans="1:10" x14ac:dyDescent="0.2">
      <c r="A7575" s="4" t="s">
        <v>1</v>
      </c>
      <c r="B7575" s="3" t="str">
        <f>HYPERLINK("https://otsuka-europe-crm.veevavault.com/ui/#object/approved_document__v/V5OZ025E82TMV95", "ENFERMERÍA - PODCAST: Ep. 2 Calma Mental")</f>
        <v>ENFERMERÍA - PODCAST: Ep. 2 Calma Mental</v>
      </c>
      <c r="C7575" s="3" t="str">
        <f>HYPERLINK("https://otsuka-europe-crm.veevavault.com/ui/#object/sent_email__v/VBL00000000U671", "SE-001395236")</f>
        <v>SE-001395236</v>
      </c>
      <c r="D7575" s="1" t="s">
        <v>0</v>
      </c>
      <c r="E7575" s="2">
        <v>0</v>
      </c>
      <c r="F7575" s="2">
        <v>0</v>
      </c>
      <c r="G7575" s="2">
        <v>0</v>
      </c>
      <c r="H7575" s="1" t="s">
        <v>0</v>
      </c>
      <c r="I7575" s="2">
        <v>0</v>
      </c>
      <c r="J7575" s="1">
        <v>45995.437974537039</v>
      </c>
    </row>
    <row r="7576" spans="1:10" x14ac:dyDescent="0.2">
      <c r="A7576" s="4" t="s">
        <v>1</v>
      </c>
      <c r="B7576" s="3" t="str">
        <f>HYPERLINK("https://otsuka-europe-crm.veevavault.com/ui/#object/approved_document__v/V5OZ025E82TMV95", "ENFERMERÍA - PODCAST: Ep. 2 Calma Mental")</f>
        <v>ENFERMERÍA - PODCAST: Ep. 2 Calma Mental</v>
      </c>
      <c r="C7576" s="3" t="str">
        <f>HYPERLINK("https://otsuka-europe-crm.veevavault.com/ui/#object/sent_email__v/VBL00000000U672", "SE-001395237")</f>
        <v>SE-001395237</v>
      </c>
      <c r="D7576" s="1" t="s">
        <v>0</v>
      </c>
      <c r="E7576" s="2">
        <v>0</v>
      </c>
      <c r="F7576" s="2">
        <v>0</v>
      </c>
      <c r="G7576" s="2">
        <v>0</v>
      </c>
      <c r="H7576" s="1" t="s">
        <v>0</v>
      </c>
      <c r="I7576" s="2">
        <v>0</v>
      </c>
      <c r="J7576" s="1">
        <v>45995.438009259262</v>
      </c>
    </row>
    <row r="7577" spans="1:10" x14ac:dyDescent="0.2">
      <c r="A7577" s="4" t="s">
        <v>1</v>
      </c>
      <c r="B7577" s="3" t="str">
        <f>HYPERLINK("https://otsuka-europe-crm.veevavault.com/ui/#object/approved_document__v/V5OZ025E82TMV95", "ENFERMERÍA - PODCAST: Ep. 2 Calma Mental")</f>
        <v>ENFERMERÍA - PODCAST: Ep. 2 Calma Mental</v>
      </c>
      <c r="C7577" s="3" t="str">
        <f>HYPERLINK("https://otsuka-europe-crm.veevavault.com/ui/#object/sent_email__v/VBL00000000U673", "SE-001395238")</f>
        <v>SE-001395238</v>
      </c>
      <c r="D7577" s="1" t="s">
        <v>0</v>
      </c>
      <c r="E7577" s="2">
        <v>0</v>
      </c>
      <c r="F7577" s="2">
        <v>0</v>
      </c>
      <c r="G7577" s="2">
        <v>0</v>
      </c>
      <c r="H7577" s="1" t="s">
        <v>0</v>
      </c>
      <c r="I7577" s="2">
        <v>0</v>
      </c>
      <c r="J7577" s="1">
        <v>45995.438043981485</v>
      </c>
    </row>
    <row r="7578" spans="1:10" x14ac:dyDescent="0.2">
      <c r="A7578" s="4" t="s">
        <v>1</v>
      </c>
      <c r="B7578" s="3" t="str">
        <f>HYPERLINK("https://otsuka-europe-crm.veevavault.com/ui/#object/approved_document__v/V5OZ025E82TMV95", "ENFERMERÍA - PODCAST: Ep. 2 Calma Mental")</f>
        <v>ENFERMERÍA - PODCAST: Ep. 2 Calma Mental</v>
      </c>
      <c r="C7578" s="3" t="str">
        <f>HYPERLINK("https://otsuka-europe-crm.veevavault.com/ui/#object/sent_email__v/VBL00000000U674", "SE-001395239")</f>
        <v>SE-001395239</v>
      </c>
      <c r="D7578" s="1">
        <v>45995.887094907404</v>
      </c>
      <c r="E7578" s="2">
        <v>1</v>
      </c>
      <c r="F7578" s="2">
        <v>1</v>
      </c>
      <c r="G7578" s="2">
        <v>0</v>
      </c>
      <c r="H7578" s="1" t="s">
        <v>0</v>
      </c>
      <c r="I7578" s="2">
        <v>0</v>
      </c>
      <c r="J7578" s="1">
        <v>45995.438078703701</v>
      </c>
    </row>
    <row r="7579" spans="1:10" x14ac:dyDescent="0.2">
      <c r="A7579" s="4" t="s">
        <v>1</v>
      </c>
      <c r="B7579" s="3" t="str">
        <f>HYPERLINK("https://otsuka-europe-crm.veevavault.com/ui/#object/approved_document__v/V5OZ025E82TMV95", "ENFERMERÍA - PODCAST: Ep. 2 Calma Mental")</f>
        <v>ENFERMERÍA - PODCAST: Ep. 2 Calma Mental</v>
      </c>
      <c r="C7579" s="3" t="str">
        <f>HYPERLINK("https://otsuka-europe-crm.veevavault.com/ui/#object/sent_email__v/VBL00000000U675", "SE-001395240")</f>
        <v>SE-001395240</v>
      </c>
      <c r="D7579" s="1" t="s">
        <v>0</v>
      </c>
      <c r="E7579" s="2">
        <v>0</v>
      </c>
      <c r="F7579" s="2">
        <v>0</v>
      </c>
      <c r="G7579" s="2">
        <v>0</v>
      </c>
      <c r="H7579" s="1" t="s">
        <v>0</v>
      </c>
      <c r="I7579" s="2">
        <v>0</v>
      </c>
      <c r="J7579" s="1">
        <v>45995.438113425924</v>
      </c>
    </row>
    <row r="7580" spans="1:10" x14ac:dyDescent="0.2">
      <c r="A7580" s="4" t="s">
        <v>1</v>
      </c>
      <c r="B7580" s="3" t="str">
        <f>HYPERLINK("https://otsuka-europe-crm.veevavault.com/ui/#object/approved_document__v/V5OZ025E82TMV95", "ENFERMERÍA - PODCAST: Ep. 2 Calma Mental")</f>
        <v>ENFERMERÍA - PODCAST: Ep. 2 Calma Mental</v>
      </c>
      <c r="C7580" s="3" t="str">
        <f>HYPERLINK("https://otsuka-europe-crm.veevavault.com/ui/#object/sent_email__v/VBL00000000U676", "SE-001395241")</f>
        <v>SE-001395241</v>
      </c>
      <c r="D7580" s="1">
        <v>45995.450289351851</v>
      </c>
      <c r="E7580" s="2">
        <v>1</v>
      </c>
      <c r="F7580" s="2">
        <v>1</v>
      </c>
      <c r="G7580" s="2">
        <v>0</v>
      </c>
      <c r="H7580" s="1" t="s">
        <v>0</v>
      </c>
      <c r="I7580" s="2">
        <v>0</v>
      </c>
      <c r="J7580" s="1">
        <v>45995.438148148147</v>
      </c>
    </row>
    <row r="7581" spans="1:10" x14ac:dyDescent="0.2">
      <c r="A7581" s="4" t="s">
        <v>1</v>
      </c>
      <c r="B7581" s="3" t="str">
        <f>HYPERLINK("https://otsuka-europe-crm.veevavault.com/ui/#object/approved_document__v/V5OZ025E82TMV95", "ENFERMERÍA - PODCAST: Ep. 2 Calma Mental")</f>
        <v>ENFERMERÍA - PODCAST: Ep. 2 Calma Mental</v>
      </c>
      <c r="C7581" s="3" t="str">
        <f>HYPERLINK("https://otsuka-europe-crm.veevavault.com/ui/#object/sent_email__v/VBL00000000U677", "SE-001395242")</f>
        <v>SE-001395242</v>
      </c>
      <c r="D7581" s="1" t="s">
        <v>0</v>
      </c>
      <c r="E7581" s="2">
        <v>0</v>
      </c>
      <c r="F7581" s="2">
        <v>0</v>
      </c>
      <c r="G7581" s="2">
        <v>0</v>
      </c>
      <c r="H7581" s="1" t="s">
        <v>0</v>
      </c>
      <c r="I7581" s="2">
        <v>0</v>
      </c>
      <c r="J7581" s="1">
        <v>45995.43818287037</v>
      </c>
    </row>
    <row r="7582" spans="1:10" x14ac:dyDescent="0.2">
      <c r="A7582" s="4" t="s">
        <v>1</v>
      </c>
      <c r="B7582" s="3" t="str">
        <f>HYPERLINK("https://otsuka-europe-crm.veevavault.com/ui/#object/approved_document__v/V5OZ025E82TMV95", "ENFERMERÍA - PODCAST: Ep. 2 Calma Mental")</f>
        <v>ENFERMERÍA - PODCAST: Ep. 2 Calma Mental</v>
      </c>
      <c r="C7582" s="3" t="str">
        <f>HYPERLINK("https://otsuka-europe-crm.veevavault.com/ui/#object/sent_email__v/VBL00000000U678", "SE-001395243")</f>
        <v>SE-001395243</v>
      </c>
      <c r="D7582" s="1">
        <v>46008.268067129633</v>
      </c>
      <c r="E7582" s="2">
        <v>1</v>
      </c>
      <c r="F7582" s="2">
        <v>3</v>
      </c>
      <c r="G7582" s="2">
        <v>0</v>
      </c>
      <c r="H7582" s="1" t="s">
        <v>0</v>
      </c>
      <c r="I7582" s="2">
        <v>0</v>
      </c>
      <c r="J7582" s="1">
        <v>45995.438217592593</v>
      </c>
    </row>
    <row r="7583" spans="1:10" x14ac:dyDescent="0.2">
      <c r="A7583" s="4" t="s">
        <v>1</v>
      </c>
      <c r="B7583" s="3" t="str">
        <f>HYPERLINK("https://otsuka-europe-crm.veevavault.com/ui/#object/approved_document__v/V5OZ025E82TMV95", "ENFERMERÍA - PODCAST: Ep. 2 Calma Mental")</f>
        <v>ENFERMERÍA - PODCAST: Ep. 2 Calma Mental</v>
      </c>
      <c r="C7583" s="3" t="str">
        <f>HYPERLINK("https://otsuka-europe-crm.veevavault.com/ui/#object/sent_email__v/VBL00000000U679", "SE-001395244")</f>
        <v>SE-001395244</v>
      </c>
      <c r="D7583" s="1">
        <v>45995.904270833336</v>
      </c>
      <c r="E7583" s="2">
        <v>1</v>
      </c>
      <c r="F7583" s="2">
        <v>1</v>
      </c>
      <c r="G7583" s="2">
        <v>0</v>
      </c>
      <c r="H7583" s="1" t="s">
        <v>0</v>
      </c>
      <c r="I7583" s="2">
        <v>0</v>
      </c>
      <c r="J7583" s="1">
        <v>45995.438252314816</v>
      </c>
    </row>
    <row r="7584" spans="1:10" x14ac:dyDescent="0.2">
      <c r="A7584" s="4" t="s">
        <v>1</v>
      </c>
      <c r="B7584" s="3" t="str">
        <f>HYPERLINK("https://otsuka-europe-crm.veevavault.com/ui/#object/approved_document__v/V5OZ025E82TMV95", "ENFERMERÍA - PODCAST: Ep. 2 Calma Mental")</f>
        <v>ENFERMERÍA - PODCAST: Ep. 2 Calma Mental</v>
      </c>
      <c r="C7584" s="3" t="str">
        <f>HYPERLINK("https://otsuka-europe-crm.veevavault.com/ui/#object/sent_email__v/VBL00000000U680", "SE-001395245")</f>
        <v>SE-001395245</v>
      </c>
      <c r="D7584" s="1" t="s">
        <v>0</v>
      </c>
      <c r="E7584" s="2">
        <v>0</v>
      </c>
      <c r="F7584" s="2">
        <v>0</v>
      </c>
      <c r="G7584" s="2">
        <v>0</v>
      </c>
      <c r="H7584" s="1" t="s">
        <v>0</v>
      </c>
      <c r="I7584" s="2">
        <v>0</v>
      </c>
      <c r="J7584" s="1">
        <v>45995.438287037039</v>
      </c>
    </row>
    <row r="7585" spans="1:10" x14ac:dyDescent="0.2">
      <c r="A7585" s="4" t="s">
        <v>1</v>
      </c>
      <c r="B7585" s="3" t="str">
        <f>HYPERLINK("https://otsuka-europe-crm.veevavault.com/ui/#object/approved_document__v/V5OZ025E82TMV95", "ENFERMERÍA - PODCAST: Ep. 2 Calma Mental")</f>
        <v>ENFERMERÍA - PODCAST: Ep. 2 Calma Mental</v>
      </c>
      <c r="C7585" s="3" t="str">
        <f>HYPERLINK("https://otsuka-europe-crm.veevavault.com/ui/#object/sent_email__v/VBL00000000U681", "SE-001395246")</f>
        <v>SE-001395246</v>
      </c>
      <c r="D7585" s="1">
        <v>46001.499837962961</v>
      </c>
      <c r="E7585" s="2">
        <v>1</v>
      </c>
      <c r="F7585" s="2">
        <v>1</v>
      </c>
      <c r="G7585" s="2">
        <v>0</v>
      </c>
      <c r="H7585" s="1" t="s">
        <v>0</v>
      </c>
      <c r="I7585" s="2">
        <v>0</v>
      </c>
      <c r="J7585" s="1">
        <v>45995.438321759262</v>
      </c>
    </row>
    <row r="7586" spans="1:10" x14ac:dyDescent="0.2">
      <c r="A7586" s="4" t="s">
        <v>1</v>
      </c>
      <c r="B7586" s="3" t="str">
        <f>HYPERLINK("https://otsuka-europe-crm.veevavault.com/ui/#object/approved_document__v/V5OZ025E82TMV95", "ENFERMERÍA - PODCAST: Ep. 2 Calma Mental")</f>
        <v>ENFERMERÍA - PODCAST: Ep. 2 Calma Mental</v>
      </c>
      <c r="C7586" s="3" t="str">
        <f>HYPERLINK("https://otsuka-europe-crm.veevavault.com/ui/#object/sent_email__v/VBL00000000U682", "SE-001395247")</f>
        <v>SE-001395247</v>
      </c>
      <c r="D7586" s="1">
        <v>46058.600034722222</v>
      </c>
      <c r="E7586" s="2">
        <v>1</v>
      </c>
      <c r="F7586" s="2">
        <v>9</v>
      </c>
      <c r="G7586" s="2">
        <v>0</v>
      </c>
      <c r="H7586" s="1" t="s">
        <v>0</v>
      </c>
      <c r="I7586" s="2">
        <v>0</v>
      </c>
      <c r="J7586" s="1">
        <v>45995.438356481478</v>
      </c>
    </row>
    <row r="7587" spans="1:10" x14ac:dyDescent="0.2">
      <c r="A7587" s="4" t="s">
        <v>1</v>
      </c>
      <c r="B7587" s="3" t="str">
        <f>HYPERLINK("https://otsuka-europe-crm.veevavault.com/ui/#object/approved_document__v/V5OZ025E82TMV95", "ENFERMERÍA - PODCAST: Ep. 2 Calma Mental")</f>
        <v>ENFERMERÍA - PODCAST: Ep. 2 Calma Mental</v>
      </c>
      <c r="C7587" s="3" t="str">
        <f>HYPERLINK("https://otsuka-europe-crm.veevavault.com/ui/#object/sent_email__v/VBL00000000U683", "SE-001395248")</f>
        <v>SE-001395248</v>
      </c>
      <c r="D7587" s="1" t="s">
        <v>0</v>
      </c>
      <c r="E7587" s="2">
        <v>0</v>
      </c>
      <c r="F7587" s="2">
        <v>0</v>
      </c>
      <c r="G7587" s="2">
        <v>0</v>
      </c>
      <c r="H7587" s="1" t="s">
        <v>0</v>
      </c>
      <c r="I7587" s="2">
        <v>0</v>
      </c>
      <c r="J7587" s="1">
        <v>45995.438391203701</v>
      </c>
    </row>
    <row r="7588" spans="1:10" x14ac:dyDescent="0.2">
      <c r="A7588" s="4" t="s">
        <v>1</v>
      </c>
      <c r="B7588" s="3" t="str">
        <f>HYPERLINK("https://otsuka-europe-crm.veevavault.com/ui/#object/approved_document__v/V5OZ025E82TMV95", "ENFERMERÍA - PODCAST: Ep. 2 Calma Mental")</f>
        <v>ENFERMERÍA - PODCAST: Ep. 2 Calma Mental</v>
      </c>
      <c r="C7588" s="3" t="str">
        <f>HYPERLINK("https://otsuka-europe-crm.veevavault.com/ui/#object/sent_email__v/VBL00000000U684", "SE-001395249")</f>
        <v>SE-001395249</v>
      </c>
      <c r="D7588" s="1" t="s">
        <v>0</v>
      </c>
      <c r="E7588" s="2">
        <v>0</v>
      </c>
      <c r="F7588" s="2">
        <v>0</v>
      </c>
      <c r="G7588" s="2">
        <v>0</v>
      </c>
      <c r="H7588" s="1" t="s">
        <v>0</v>
      </c>
      <c r="I7588" s="2">
        <v>0</v>
      </c>
      <c r="J7588" s="1">
        <v>45995.438425925924</v>
      </c>
    </row>
    <row r="7589" spans="1:10" x14ac:dyDescent="0.2">
      <c r="A7589" s="4" t="s">
        <v>1</v>
      </c>
      <c r="B7589" s="3" t="str">
        <f>HYPERLINK("https://otsuka-europe-crm.veevavault.com/ui/#object/approved_document__v/V5OZ025E82TMV95", "ENFERMERÍA - PODCAST: Ep. 2 Calma Mental")</f>
        <v>ENFERMERÍA - PODCAST: Ep. 2 Calma Mental</v>
      </c>
      <c r="C7589" s="3" t="str">
        <f>HYPERLINK("https://otsuka-europe-crm.veevavault.com/ui/#object/sent_email__v/VBL00000000U685", "SE-001395250")</f>
        <v>SE-001395250</v>
      </c>
      <c r="D7589" s="1">
        <v>45999.56287037037</v>
      </c>
      <c r="E7589" s="2">
        <v>1</v>
      </c>
      <c r="F7589" s="2">
        <v>2</v>
      </c>
      <c r="G7589" s="2">
        <v>0</v>
      </c>
      <c r="H7589" s="1" t="s">
        <v>0</v>
      </c>
      <c r="I7589" s="2">
        <v>0</v>
      </c>
      <c r="J7589" s="1">
        <v>45995.438460648147</v>
      </c>
    </row>
    <row r="7590" spans="1:10" x14ac:dyDescent="0.2">
      <c r="A7590" s="4" t="s">
        <v>1</v>
      </c>
      <c r="B7590" s="3" t="str">
        <f>HYPERLINK("https://otsuka-europe-crm.veevavault.com/ui/#object/approved_document__v/V5OZ025E82TMV95", "ENFERMERÍA - PODCAST: Ep. 2 Calma Mental")</f>
        <v>ENFERMERÍA - PODCAST: Ep. 2 Calma Mental</v>
      </c>
      <c r="C7590" s="3" t="str">
        <f>HYPERLINK("https://otsuka-europe-crm.veevavault.com/ui/#object/sent_email__v/VBL00000000U686", "SE-001395251")</f>
        <v>SE-001395251</v>
      </c>
      <c r="D7590" s="1">
        <v>45996.723958333336</v>
      </c>
      <c r="E7590" s="2">
        <v>1</v>
      </c>
      <c r="F7590" s="2">
        <v>2</v>
      </c>
      <c r="G7590" s="2">
        <v>0</v>
      </c>
      <c r="H7590" s="1" t="s">
        <v>0</v>
      </c>
      <c r="I7590" s="2">
        <v>0</v>
      </c>
      <c r="J7590" s="1">
        <v>45995.43849537037</v>
      </c>
    </row>
    <row r="7591" spans="1:10" x14ac:dyDescent="0.2">
      <c r="A7591" s="4" t="s">
        <v>1</v>
      </c>
      <c r="B7591" s="3" t="str">
        <f>HYPERLINK("https://otsuka-europe-crm.veevavault.com/ui/#object/approved_document__v/V5OZ025E82TMV95", "ENFERMERÍA - PODCAST: Ep. 2 Calma Mental")</f>
        <v>ENFERMERÍA - PODCAST: Ep. 2 Calma Mental</v>
      </c>
      <c r="C7591" s="3" t="str">
        <f>HYPERLINK("https://otsuka-europe-crm.veevavault.com/ui/#object/sent_email__v/VBL00000000U687", "SE-001395252")</f>
        <v>SE-001395252</v>
      </c>
      <c r="D7591" s="1">
        <v>46041.638414351852</v>
      </c>
      <c r="E7591" s="2">
        <v>1</v>
      </c>
      <c r="F7591" s="2">
        <v>3</v>
      </c>
      <c r="G7591" s="2">
        <v>0</v>
      </c>
      <c r="H7591" s="1" t="s">
        <v>0</v>
      </c>
      <c r="I7591" s="2">
        <v>0</v>
      </c>
      <c r="J7591" s="1">
        <v>45995.438530092593</v>
      </c>
    </row>
    <row r="7592" spans="1:10" x14ac:dyDescent="0.2">
      <c r="A7592" s="4" t="s">
        <v>1</v>
      </c>
      <c r="B7592" s="3" t="str">
        <f>HYPERLINK("https://otsuka-europe-crm.veevavault.com/ui/#object/approved_document__v/V5OZ025E82TMV95", "ENFERMERÍA - PODCAST: Ep. 2 Calma Mental")</f>
        <v>ENFERMERÍA - PODCAST: Ep. 2 Calma Mental</v>
      </c>
      <c r="C7592" s="3" t="str">
        <f>HYPERLINK("https://otsuka-europe-crm.veevavault.com/ui/#object/sent_email__v/VBL00000000U688", "SE-001395253")</f>
        <v>SE-001395253</v>
      </c>
      <c r="D7592" s="1">
        <v>45995.562662037039</v>
      </c>
      <c r="E7592" s="2">
        <v>1</v>
      </c>
      <c r="F7592" s="2">
        <v>3</v>
      </c>
      <c r="G7592" s="2">
        <v>0</v>
      </c>
      <c r="H7592" s="1" t="s">
        <v>0</v>
      </c>
      <c r="I7592" s="2">
        <v>0</v>
      </c>
      <c r="J7592" s="1">
        <v>45995.438564814816</v>
      </c>
    </row>
    <row r="7593" spans="1:10" x14ac:dyDescent="0.2">
      <c r="A7593" s="4" t="s">
        <v>1</v>
      </c>
      <c r="B7593" s="3" t="str">
        <f>HYPERLINK("https://otsuka-europe-crm.veevavault.com/ui/#object/approved_document__v/V5OZ025E82TMV95", "ENFERMERÍA - PODCAST: Ep. 2 Calma Mental")</f>
        <v>ENFERMERÍA - PODCAST: Ep. 2 Calma Mental</v>
      </c>
      <c r="C7593" s="3" t="str">
        <f>HYPERLINK("https://otsuka-europe-crm.veevavault.com/ui/#object/sent_email__v/VBL00000000U689", "SE-001395254")</f>
        <v>SE-001395254</v>
      </c>
      <c r="D7593" s="1">
        <v>45995.514687499999</v>
      </c>
      <c r="E7593" s="2">
        <v>1</v>
      </c>
      <c r="F7593" s="2">
        <v>1</v>
      </c>
      <c r="G7593" s="2">
        <v>0</v>
      </c>
      <c r="H7593" s="1" t="s">
        <v>0</v>
      </c>
      <c r="I7593" s="2">
        <v>0</v>
      </c>
      <c r="J7593" s="1">
        <v>45995.438599537039</v>
      </c>
    </row>
    <row r="7594" spans="1:10" x14ac:dyDescent="0.2">
      <c r="A7594" s="4" t="s">
        <v>1</v>
      </c>
      <c r="B7594" s="3" t="str">
        <f>HYPERLINK("https://otsuka-europe-crm.veevavault.com/ui/#object/approved_document__v/V5OZ025E82TMV95", "ENFERMERÍA - PODCAST: Ep. 2 Calma Mental")</f>
        <v>ENFERMERÍA - PODCAST: Ep. 2 Calma Mental</v>
      </c>
      <c r="C7594" s="3" t="str">
        <f>HYPERLINK("https://otsuka-europe-crm.veevavault.com/ui/#object/sent_email__v/VBL00000000U690", "SE-001395255")</f>
        <v>SE-001395255</v>
      </c>
      <c r="D7594" s="1" t="s">
        <v>0</v>
      </c>
      <c r="E7594" s="2">
        <v>0</v>
      </c>
      <c r="F7594" s="2">
        <v>0</v>
      </c>
      <c r="G7594" s="2">
        <v>0</v>
      </c>
      <c r="H7594" s="1" t="s">
        <v>0</v>
      </c>
      <c r="I7594" s="2">
        <v>0</v>
      </c>
      <c r="J7594" s="1">
        <v>45995.438634259262</v>
      </c>
    </row>
    <row r="7595" spans="1:10" x14ac:dyDescent="0.2">
      <c r="A7595" s="4" t="s">
        <v>1</v>
      </c>
      <c r="B7595" s="3" t="str">
        <f>HYPERLINK("https://otsuka-europe-crm.veevavault.com/ui/#object/approved_document__v/V5OZ025E82TMV95", "ENFERMERÍA - PODCAST: Ep. 2 Calma Mental")</f>
        <v>ENFERMERÍA - PODCAST: Ep. 2 Calma Mental</v>
      </c>
      <c r="C7595" s="3" t="str">
        <f>HYPERLINK("https://otsuka-europe-crm.veevavault.com/ui/#object/sent_email__v/VBL00000000U691", "SE-001395256")</f>
        <v>SE-001395256</v>
      </c>
      <c r="D7595" s="1" t="s">
        <v>0</v>
      </c>
      <c r="E7595" s="2">
        <v>0</v>
      </c>
      <c r="F7595" s="2">
        <v>0</v>
      </c>
      <c r="G7595" s="2">
        <v>0</v>
      </c>
      <c r="H7595" s="1" t="s">
        <v>0</v>
      </c>
      <c r="I7595" s="2">
        <v>0</v>
      </c>
      <c r="J7595" s="1">
        <v>45995.438668981478</v>
      </c>
    </row>
    <row r="7596" spans="1:10" x14ac:dyDescent="0.2">
      <c r="A7596" s="4" t="s">
        <v>1</v>
      </c>
      <c r="B7596" s="3" t="str">
        <f>HYPERLINK("https://otsuka-europe-crm.veevavault.com/ui/#object/approved_document__v/V5OZ025E82TMV95", "ENFERMERÍA - PODCAST: Ep. 2 Calma Mental")</f>
        <v>ENFERMERÍA - PODCAST: Ep. 2 Calma Mental</v>
      </c>
      <c r="C7596" s="3" t="str">
        <f>HYPERLINK("https://otsuka-europe-crm.veevavault.com/ui/#object/sent_email__v/VBL00000000U692", "SE-001395257")</f>
        <v>SE-001395257</v>
      </c>
      <c r="D7596" s="1" t="s">
        <v>0</v>
      </c>
      <c r="E7596" s="2">
        <v>0</v>
      </c>
      <c r="F7596" s="2">
        <v>0</v>
      </c>
      <c r="G7596" s="2">
        <v>0</v>
      </c>
      <c r="H7596" s="1" t="s">
        <v>0</v>
      </c>
      <c r="I7596" s="2">
        <v>0</v>
      </c>
      <c r="J7596" s="1">
        <v>45995.438703703701</v>
      </c>
    </row>
    <row r="7597" spans="1:10" x14ac:dyDescent="0.2">
      <c r="A7597" s="4" t="s">
        <v>1</v>
      </c>
      <c r="B7597" s="3" t="str">
        <f>HYPERLINK("https://otsuka-europe-crm.veevavault.com/ui/#object/approved_document__v/V5OZ025E82TMV95", "ENFERMERÍA - PODCAST: Ep. 2 Calma Mental")</f>
        <v>ENFERMERÍA - PODCAST: Ep. 2 Calma Mental</v>
      </c>
      <c r="C7597" s="3" t="str">
        <f>HYPERLINK("https://otsuka-europe-crm.veevavault.com/ui/#object/sent_email__v/VBL00000000U693", "SE-001395258")</f>
        <v>SE-001395258</v>
      </c>
      <c r="D7597" s="1">
        <v>46034.454456018517</v>
      </c>
      <c r="E7597" s="2">
        <v>1</v>
      </c>
      <c r="F7597" s="2">
        <v>4</v>
      </c>
      <c r="G7597" s="2">
        <v>0</v>
      </c>
      <c r="H7597" s="1" t="s">
        <v>0</v>
      </c>
      <c r="I7597" s="2">
        <v>0</v>
      </c>
      <c r="J7597" s="1">
        <v>45995.438738425924</v>
      </c>
    </row>
    <row r="7598" spans="1:10" x14ac:dyDescent="0.2">
      <c r="A7598" s="4" t="s">
        <v>1</v>
      </c>
      <c r="B7598" s="3" t="str">
        <f>HYPERLINK("https://otsuka-europe-crm.veevavault.com/ui/#object/approved_document__v/V5OZ025E82TMV95", "ENFERMERÍA - PODCAST: Ep. 2 Calma Mental")</f>
        <v>ENFERMERÍA - PODCAST: Ep. 2 Calma Mental</v>
      </c>
      <c r="C7598" s="3" t="str">
        <f>HYPERLINK("https://otsuka-europe-crm.veevavault.com/ui/#object/sent_email__v/VBL00000000U694", "SE-001395259")</f>
        <v>SE-001395259</v>
      </c>
      <c r="D7598" s="1" t="s">
        <v>0</v>
      </c>
      <c r="E7598" s="2">
        <v>0</v>
      </c>
      <c r="F7598" s="2">
        <v>0</v>
      </c>
      <c r="G7598" s="2">
        <v>0</v>
      </c>
      <c r="H7598" s="1" t="s">
        <v>0</v>
      </c>
      <c r="I7598" s="2">
        <v>0</v>
      </c>
      <c r="J7598" s="1">
        <v>45995.438784722224</v>
      </c>
    </row>
    <row r="7599" spans="1:10" x14ac:dyDescent="0.2">
      <c r="A7599" s="4" t="s">
        <v>1</v>
      </c>
      <c r="B7599" s="3" t="str">
        <f>HYPERLINK("https://otsuka-europe-crm.veevavault.com/ui/#object/approved_document__v/V5OZ025E82TMV95", "ENFERMERÍA - PODCAST: Ep. 2 Calma Mental")</f>
        <v>ENFERMERÍA - PODCAST: Ep. 2 Calma Mental</v>
      </c>
      <c r="C7599" s="3" t="str">
        <f>HYPERLINK("https://otsuka-europe-crm.veevavault.com/ui/#object/sent_email__v/VBL00000000U695", "SE-001395260")</f>
        <v>SE-001395260</v>
      </c>
      <c r="D7599" s="1" t="s">
        <v>0</v>
      </c>
      <c r="E7599" s="2">
        <v>0</v>
      </c>
      <c r="F7599" s="2">
        <v>0</v>
      </c>
      <c r="G7599" s="2">
        <v>0</v>
      </c>
      <c r="H7599" s="1" t="s">
        <v>0</v>
      </c>
      <c r="I7599" s="2">
        <v>0</v>
      </c>
      <c r="J7599" s="1">
        <v>45995.438819444447</v>
      </c>
    </row>
    <row r="7600" spans="1:10" x14ac:dyDescent="0.2">
      <c r="A7600" s="4" t="s">
        <v>1</v>
      </c>
      <c r="B7600" s="3" t="str">
        <f>HYPERLINK("https://otsuka-europe-crm.veevavault.com/ui/#object/approved_document__v/V5OZ025E82TMV95", "ENFERMERÍA - PODCAST: Ep. 2 Calma Mental")</f>
        <v>ENFERMERÍA - PODCAST: Ep. 2 Calma Mental</v>
      </c>
      <c r="C7600" s="3" t="str">
        <f>HYPERLINK("https://otsuka-europe-crm.veevavault.com/ui/#object/sent_email__v/VBL00000000U696", "SE-001395261")</f>
        <v>SE-001395261</v>
      </c>
      <c r="D7600" s="1">
        <v>46068.933622685188</v>
      </c>
      <c r="E7600" s="2">
        <v>1</v>
      </c>
      <c r="F7600" s="2">
        <v>2</v>
      </c>
      <c r="G7600" s="2">
        <v>0</v>
      </c>
      <c r="H7600" s="1" t="s">
        <v>0</v>
      </c>
      <c r="I7600" s="2">
        <v>0</v>
      </c>
      <c r="J7600" s="1">
        <v>45995.438854166663</v>
      </c>
    </row>
    <row r="7601" spans="1:10" x14ac:dyDescent="0.2">
      <c r="A7601" s="4" t="s">
        <v>1</v>
      </c>
      <c r="B7601" s="3" t="str">
        <f>HYPERLINK("https://otsuka-europe-crm.veevavault.com/ui/#object/approved_document__v/V5OZ025E82TMV95", "ENFERMERÍA - PODCAST: Ep. 2 Calma Mental")</f>
        <v>ENFERMERÍA - PODCAST: Ep. 2 Calma Mental</v>
      </c>
      <c r="C7601" s="3" t="str">
        <f>HYPERLINK("https://otsuka-europe-crm.veevavault.com/ui/#object/sent_email__v/VBL00000000U697", "SE-001395262")</f>
        <v>SE-001395262</v>
      </c>
      <c r="D7601" s="1">
        <v>45995.902384259258</v>
      </c>
      <c r="E7601" s="2">
        <v>1</v>
      </c>
      <c r="F7601" s="2">
        <v>1</v>
      </c>
      <c r="G7601" s="2">
        <v>0</v>
      </c>
      <c r="H7601" s="1" t="s">
        <v>0</v>
      </c>
      <c r="I7601" s="2">
        <v>0</v>
      </c>
      <c r="J7601" s="1">
        <v>45995.438935185186</v>
      </c>
    </row>
    <row r="7602" spans="1:10" x14ac:dyDescent="0.2">
      <c r="A7602" s="4" t="s">
        <v>1</v>
      </c>
      <c r="B7602" s="3" t="str">
        <f>HYPERLINK("https://otsuka-europe-crm.veevavault.com/ui/#object/approved_document__v/V5OZ025E82TMV95", "ENFERMERÍA - PODCAST: Ep. 2 Calma Mental")</f>
        <v>ENFERMERÍA - PODCAST: Ep. 2 Calma Mental</v>
      </c>
      <c r="C7602" s="3" t="str">
        <f>HYPERLINK("https://otsuka-europe-crm.veevavault.com/ui/#object/sent_email__v/VBL00000000U698", "SE-001395263")</f>
        <v>SE-001395263</v>
      </c>
      <c r="D7602" s="1" t="s">
        <v>0</v>
      </c>
      <c r="E7602" s="2">
        <v>0</v>
      </c>
      <c r="F7602" s="2">
        <v>0</v>
      </c>
      <c r="G7602" s="2">
        <v>0</v>
      </c>
      <c r="H7602" s="1" t="s">
        <v>0</v>
      </c>
      <c r="I7602" s="2">
        <v>0</v>
      </c>
      <c r="J7602" s="1">
        <v>45995.438993055555</v>
      </c>
    </row>
    <row r="7603" spans="1:10" x14ac:dyDescent="0.2">
      <c r="A7603" s="4" t="s">
        <v>1</v>
      </c>
      <c r="B7603" s="3" t="str">
        <f>HYPERLINK("https://otsuka-europe-crm.veevavault.com/ui/#object/approved_document__v/V5OZ025E82TMV95", "ENFERMERÍA - PODCAST: Ep. 2 Calma Mental")</f>
        <v>ENFERMERÍA - PODCAST: Ep. 2 Calma Mental</v>
      </c>
      <c r="C7603" s="3" t="str">
        <f>HYPERLINK("https://otsuka-europe-crm.veevavault.com/ui/#object/sent_email__v/VBL00000000U699", "SE-001395264")</f>
        <v>SE-001395264</v>
      </c>
      <c r="D7603" s="1">
        <v>45995.48232638889</v>
      </c>
      <c r="E7603" s="2">
        <v>1</v>
      </c>
      <c r="F7603" s="2">
        <v>3</v>
      </c>
      <c r="G7603" s="2">
        <v>0</v>
      </c>
      <c r="H7603" s="1" t="s">
        <v>0</v>
      </c>
      <c r="I7603" s="2">
        <v>0</v>
      </c>
      <c r="J7603" s="1">
        <v>45995.439062500001</v>
      </c>
    </row>
    <row r="7604" spans="1:10" x14ac:dyDescent="0.2">
      <c r="A7604" s="4" t="s">
        <v>1</v>
      </c>
      <c r="B7604" s="3" t="str">
        <f>HYPERLINK("https://otsuka-europe-crm.veevavault.com/ui/#object/approved_document__v/V5OZ025E82TMV95", "ENFERMERÍA - PODCAST: Ep. 2 Calma Mental")</f>
        <v>ENFERMERÍA - PODCAST: Ep. 2 Calma Mental</v>
      </c>
      <c r="C7604" s="3" t="str">
        <f>HYPERLINK("https://otsuka-europe-crm.veevavault.com/ui/#object/sent_email__v/VBL00000000U700", "SE-001395265")</f>
        <v>SE-001395265</v>
      </c>
      <c r="D7604" s="1" t="s">
        <v>0</v>
      </c>
      <c r="E7604" s="2">
        <v>0</v>
      </c>
      <c r="F7604" s="2">
        <v>0</v>
      </c>
      <c r="G7604" s="2">
        <v>0</v>
      </c>
      <c r="H7604" s="1" t="s">
        <v>0</v>
      </c>
      <c r="I7604" s="2">
        <v>0</v>
      </c>
      <c r="J7604" s="1">
        <v>45995.439120370371</v>
      </c>
    </row>
    <row r="7605" spans="1:10" x14ac:dyDescent="0.2">
      <c r="A7605" s="4" t="s">
        <v>1</v>
      </c>
      <c r="B7605" s="3" t="str">
        <f>HYPERLINK("https://otsuka-europe-crm.veevavault.com/ui/#object/approved_document__v/V5OZ025E82TMV95", "ENFERMERÍA - PODCAST: Ep. 2 Calma Mental")</f>
        <v>ENFERMERÍA - PODCAST: Ep. 2 Calma Mental</v>
      </c>
      <c r="C7605" s="3" t="str">
        <f>HYPERLINK("https://otsuka-europe-crm.veevavault.com/ui/#object/sent_email__v/VBL00000000U701", "SE-001395266")</f>
        <v>SE-001395266</v>
      </c>
      <c r="D7605" s="1">
        <v>45996.406631944446</v>
      </c>
      <c r="E7605" s="2">
        <v>1</v>
      </c>
      <c r="F7605" s="2">
        <v>3</v>
      </c>
      <c r="G7605" s="2">
        <v>0</v>
      </c>
      <c r="H7605" s="1" t="s">
        <v>0</v>
      </c>
      <c r="I7605" s="2">
        <v>0</v>
      </c>
      <c r="J7605" s="1">
        <v>45995.439189814817</v>
      </c>
    </row>
    <row r="7606" spans="1:10" x14ac:dyDescent="0.2">
      <c r="A7606" s="4" t="s">
        <v>1</v>
      </c>
      <c r="B7606" s="3" t="str">
        <f>HYPERLINK("https://otsuka-europe-crm.veevavault.com/ui/#object/approved_document__v/V5OZ025E82TMV95", "ENFERMERÍA - PODCAST: Ep. 2 Calma Mental")</f>
        <v>ENFERMERÍA - PODCAST: Ep. 2 Calma Mental</v>
      </c>
      <c r="C7606" s="3" t="str">
        <f>HYPERLINK("https://otsuka-europe-crm.veevavault.com/ui/#object/sent_email__v/VBL00000000U702", "SE-001395267")</f>
        <v>SE-001395267</v>
      </c>
      <c r="D7606" s="1" t="s">
        <v>0</v>
      </c>
      <c r="E7606" s="2">
        <v>0</v>
      </c>
      <c r="F7606" s="2">
        <v>0</v>
      </c>
      <c r="G7606" s="2">
        <v>0</v>
      </c>
      <c r="H7606" s="1" t="s">
        <v>0</v>
      </c>
      <c r="I7606" s="2">
        <v>0</v>
      </c>
      <c r="J7606" s="1">
        <v>45995.439259259256</v>
      </c>
    </row>
    <row r="7607" spans="1:10" x14ac:dyDescent="0.2">
      <c r="A7607" s="4" t="s">
        <v>1</v>
      </c>
      <c r="B7607" s="3" t="str">
        <f>HYPERLINK("https://otsuka-europe-crm.veevavault.com/ui/#object/approved_document__v/V5OZ025E82TMV95", "ENFERMERÍA - PODCAST: Ep. 2 Calma Mental")</f>
        <v>ENFERMERÍA - PODCAST: Ep. 2 Calma Mental</v>
      </c>
      <c r="C7607" s="3" t="str">
        <f>HYPERLINK("https://otsuka-europe-crm.veevavault.com/ui/#object/sent_email__v/VBL00000000U703", "SE-001395268")</f>
        <v>SE-001395268</v>
      </c>
      <c r="D7607" s="1">
        <v>45995.448703703703</v>
      </c>
      <c r="E7607" s="2">
        <v>1</v>
      </c>
      <c r="F7607" s="2">
        <v>1</v>
      </c>
      <c r="G7607" s="2">
        <v>1</v>
      </c>
      <c r="H7607" s="1">
        <v>45995.44908564815</v>
      </c>
      <c r="I7607" s="2">
        <v>2</v>
      </c>
      <c r="J7607" s="1">
        <v>45995.439317129632</v>
      </c>
    </row>
    <row r="7608" spans="1:10" x14ac:dyDescent="0.2">
      <c r="A7608" s="4" t="s">
        <v>1</v>
      </c>
      <c r="B7608" s="3" t="str">
        <f>HYPERLINK("https://otsuka-europe-crm.veevavault.com/ui/#object/approved_document__v/V5OZ025E82TMV95", "ENFERMERÍA - PODCAST: Ep. 2 Calma Mental")</f>
        <v>ENFERMERÍA - PODCAST: Ep. 2 Calma Mental</v>
      </c>
      <c r="C7608" s="3" t="str">
        <f>HYPERLINK("https://otsuka-europe-crm.veevavault.com/ui/#object/sent_email__v/VBL00000000U704", "SE-001395269")</f>
        <v>SE-001395269</v>
      </c>
      <c r="D7608" s="1">
        <v>45995.491226851853</v>
      </c>
      <c r="E7608" s="2">
        <v>1</v>
      </c>
      <c r="F7608" s="2">
        <v>1</v>
      </c>
      <c r="G7608" s="2">
        <v>0</v>
      </c>
      <c r="H7608" s="1" t="s">
        <v>0</v>
      </c>
      <c r="I7608" s="2">
        <v>0</v>
      </c>
      <c r="J7608" s="1">
        <v>45995.439398148148</v>
      </c>
    </row>
    <row r="7609" spans="1:10" x14ac:dyDescent="0.2">
      <c r="A7609" s="4" t="s">
        <v>1</v>
      </c>
      <c r="B7609" s="3" t="str">
        <f>HYPERLINK("https://otsuka-europe-crm.veevavault.com/ui/#object/approved_document__v/V5OZ025E82TMV95", "ENFERMERÍA - PODCAST: Ep. 2 Calma Mental")</f>
        <v>ENFERMERÍA - PODCAST: Ep. 2 Calma Mental</v>
      </c>
      <c r="C7609" s="3" t="str">
        <f>HYPERLINK("https://otsuka-europe-crm.veevavault.com/ui/#object/sent_email__v/VBL00000000U705", "SE-001395270")</f>
        <v>SE-001395270</v>
      </c>
      <c r="D7609" s="1">
        <v>46003.267650462964</v>
      </c>
      <c r="E7609" s="2">
        <v>1</v>
      </c>
      <c r="F7609" s="2">
        <v>2</v>
      </c>
      <c r="G7609" s="2">
        <v>0</v>
      </c>
      <c r="H7609" s="1" t="s">
        <v>0</v>
      </c>
      <c r="I7609" s="2">
        <v>0</v>
      </c>
      <c r="J7609" s="1">
        <v>45995.439444444448</v>
      </c>
    </row>
    <row r="7610" spans="1:10" x14ac:dyDescent="0.2">
      <c r="A7610" s="4" t="s">
        <v>1</v>
      </c>
      <c r="B7610" s="3" t="str">
        <f>HYPERLINK("https://otsuka-europe-crm.veevavault.com/ui/#object/approved_document__v/V5OZ025E82TMV95", "ENFERMERÍA - PODCAST: Ep. 2 Calma Mental")</f>
        <v>ENFERMERÍA - PODCAST: Ep. 2 Calma Mental</v>
      </c>
      <c r="C7610" s="3" t="str">
        <f>HYPERLINK("https://otsuka-europe-crm.veevavault.com/ui/#object/sent_email__v/VBL00000000U706", "SE-001395271")</f>
        <v>SE-001395271</v>
      </c>
      <c r="D7610" s="1">
        <v>45995.43959490741</v>
      </c>
      <c r="E7610" s="2">
        <v>1</v>
      </c>
      <c r="F7610" s="2">
        <v>1</v>
      </c>
      <c r="G7610" s="2">
        <v>0</v>
      </c>
      <c r="H7610" s="1" t="s">
        <v>0</v>
      </c>
      <c r="I7610" s="2">
        <v>0</v>
      </c>
      <c r="J7610" s="1">
        <v>45995.439513888887</v>
      </c>
    </row>
    <row r="7611" spans="1:10" x14ac:dyDescent="0.2">
      <c r="A7611" s="4" t="s">
        <v>1</v>
      </c>
      <c r="B7611" s="3" t="str">
        <f>HYPERLINK("https://otsuka-europe-crm.veevavault.com/ui/#object/approved_document__v/V5OZ025E82TMV95", "ENFERMERÍA - PODCAST: Ep. 2 Calma Mental")</f>
        <v>ENFERMERÍA - PODCAST: Ep. 2 Calma Mental</v>
      </c>
      <c r="C7611" s="3" t="str">
        <f>HYPERLINK("https://otsuka-europe-crm.veevavault.com/ui/#object/sent_email__v/VBL00000000U707", "SE-001395272")</f>
        <v>SE-001395272</v>
      </c>
      <c r="D7611" s="1">
        <v>45995.480069444442</v>
      </c>
      <c r="E7611" s="2">
        <v>1</v>
      </c>
      <c r="F7611" s="2">
        <v>1</v>
      </c>
      <c r="G7611" s="2">
        <v>0</v>
      </c>
      <c r="H7611" s="1" t="s">
        <v>0</v>
      </c>
      <c r="I7611" s="2">
        <v>0</v>
      </c>
      <c r="J7611" s="1">
        <v>45995.43959490741</v>
      </c>
    </row>
    <row r="7612" spans="1:10" x14ac:dyDescent="0.2">
      <c r="A7612" s="4" t="s">
        <v>1</v>
      </c>
      <c r="B7612" s="3" t="str">
        <f>HYPERLINK("https://otsuka-europe-crm.veevavault.com/ui/#object/approved_document__v/V5OZ025E82TMV95", "ENFERMERÍA - PODCAST: Ep. 2 Calma Mental")</f>
        <v>ENFERMERÍA - PODCAST: Ep. 2 Calma Mental</v>
      </c>
      <c r="C7612" s="3" t="str">
        <f>HYPERLINK("https://otsuka-europe-crm.veevavault.com/ui/#object/sent_email__v/VBL00000000U708", "SE-001395273")</f>
        <v>SE-001395273</v>
      </c>
      <c r="D7612" s="1">
        <v>45996.376030092593</v>
      </c>
      <c r="E7612" s="2">
        <v>1</v>
      </c>
      <c r="F7612" s="2">
        <v>1</v>
      </c>
      <c r="G7612" s="2">
        <v>0</v>
      </c>
      <c r="H7612" s="1" t="s">
        <v>0</v>
      </c>
      <c r="I7612" s="2">
        <v>0</v>
      </c>
      <c r="J7612" s="1">
        <v>45995.439652777779</v>
      </c>
    </row>
    <row r="7613" spans="1:10" x14ac:dyDescent="0.2">
      <c r="A7613" s="4" t="s">
        <v>1</v>
      </c>
      <c r="B7613" s="3" t="str">
        <f>HYPERLINK("https://otsuka-europe-crm.veevavault.com/ui/#object/approved_document__v/V5OZ025E82TMV95", "ENFERMERÍA - PODCAST: Ep. 2 Calma Mental")</f>
        <v>ENFERMERÍA - PODCAST: Ep. 2 Calma Mental</v>
      </c>
      <c r="C7613" s="3" t="str">
        <f>HYPERLINK("https://otsuka-europe-crm.veevavault.com/ui/#object/sent_email__v/VBL00000000U709", "SE-001395274")</f>
        <v>SE-001395274</v>
      </c>
      <c r="D7613" s="1" t="s">
        <v>0</v>
      </c>
      <c r="E7613" s="2">
        <v>0</v>
      </c>
      <c r="F7613" s="2">
        <v>0</v>
      </c>
      <c r="G7613" s="2">
        <v>0</v>
      </c>
      <c r="H7613" s="1" t="s">
        <v>0</v>
      </c>
      <c r="I7613" s="2">
        <v>0</v>
      </c>
      <c r="J7613" s="1">
        <v>45995.439710648148</v>
      </c>
    </row>
    <row r="7614" spans="1:10" x14ac:dyDescent="0.2">
      <c r="A7614" s="4" t="s">
        <v>1</v>
      </c>
      <c r="B7614" s="3" t="str">
        <f>HYPERLINK("https://otsuka-europe-crm.veevavault.com/ui/#object/approved_document__v/V5OZ025E82TMV95", "ENFERMERÍA - PODCAST: Ep. 2 Calma Mental")</f>
        <v>ENFERMERÍA - PODCAST: Ep. 2 Calma Mental</v>
      </c>
      <c r="C7614" s="3" t="str">
        <f>HYPERLINK("https://otsuka-europe-crm.veevavault.com/ui/#object/sent_email__v/VBL00000000U710", "SE-001395275")</f>
        <v>SE-001395275</v>
      </c>
      <c r="D7614" s="1" t="s">
        <v>0</v>
      </c>
      <c r="E7614" s="2">
        <v>0</v>
      </c>
      <c r="F7614" s="2">
        <v>0</v>
      </c>
      <c r="G7614" s="2">
        <v>0</v>
      </c>
      <c r="H7614" s="1" t="s">
        <v>0</v>
      </c>
      <c r="I7614" s="2">
        <v>0</v>
      </c>
      <c r="J7614" s="1">
        <v>45995.439780092594</v>
      </c>
    </row>
    <row r="7615" spans="1:10" x14ac:dyDescent="0.2">
      <c r="A7615" s="4" t="s">
        <v>1</v>
      </c>
      <c r="B7615" s="3" t="str">
        <f>HYPERLINK("https://otsuka-europe-crm.veevavault.com/ui/#object/approved_document__v/V5OZ025E82TMV95", "ENFERMERÍA - PODCAST: Ep. 2 Calma Mental")</f>
        <v>ENFERMERÍA - PODCAST: Ep. 2 Calma Mental</v>
      </c>
      <c r="C7615" s="3" t="str">
        <f>HYPERLINK("https://otsuka-europe-crm.veevavault.com/ui/#object/sent_email__v/VBL00000000U711", "SE-001395276")</f>
        <v>SE-001395276</v>
      </c>
      <c r="D7615" s="1" t="s">
        <v>0</v>
      </c>
      <c r="E7615" s="2">
        <v>0</v>
      </c>
      <c r="F7615" s="2">
        <v>0</v>
      </c>
      <c r="G7615" s="2">
        <v>0</v>
      </c>
      <c r="H7615" s="1" t="s">
        <v>0</v>
      </c>
      <c r="I7615" s="2">
        <v>0</v>
      </c>
      <c r="J7615" s="1">
        <v>45995.439849537041</v>
      </c>
    </row>
    <row r="7616" spans="1:10" x14ac:dyDescent="0.2">
      <c r="A7616" s="4" t="s">
        <v>1</v>
      </c>
      <c r="B7616" s="3" t="str">
        <f>HYPERLINK("https://otsuka-europe-crm.veevavault.com/ui/#object/approved_document__v/V5OZ025E82TMV95", "ENFERMERÍA - PODCAST: Ep. 2 Calma Mental")</f>
        <v>ENFERMERÍA - PODCAST: Ep. 2 Calma Mental</v>
      </c>
      <c r="C7616" s="3" t="str">
        <f>HYPERLINK("https://otsuka-europe-crm.veevavault.com/ui/#object/sent_email__v/VBL00000000U712", "SE-001395277")</f>
        <v>SE-001395277</v>
      </c>
      <c r="D7616" s="1" t="s">
        <v>0</v>
      </c>
      <c r="E7616" s="2">
        <v>0</v>
      </c>
      <c r="F7616" s="2">
        <v>0</v>
      </c>
      <c r="G7616" s="2">
        <v>0</v>
      </c>
      <c r="H7616" s="1" t="s">
        <v>0</v>
      </c>
      <c r="I7616" s="2">
        <v>0</v>
      </c>
      <c r="J7616" s="1">
        <v>45995.43990740741</v>
      </c>
    </row>
    <row r="7617" spans="1:10" x14ac:dyDescent="0.2">
      <c r="A7617" s="4" t="s">
        <v>1</v>
      </c>
      <c r="B7617" s="3" t="str">
        <f>HYPERLINK("https://otsuka-europe-crm.veevavault.com/ui/#object/approved_document__v/V5OZ025E82TMV95", "ENFERMERÍA - PODCAST: Ep. 2 Calma Mental")</f>
        <v>ENFERMERÍA - PODCAST: Ep. 2 Calma Mental</v>
      </c>
      <c r="C7617" s="3" t="str">
        <f>HYPERLINK("https://otsuka-europe-crm.veevavault.com/ui/#object/sent_email__v/VBL00000000U713", "SE-001395278")</f>
        <v>SE-001395278</v>
      </c>
      <c r="D7617" s="1">
        <v>45996.043078703704</v>
      </c>
      <c r="E7617" s="2">
        <v>1</v>
      </c>
      <c r="F7617" s="2">
        <v>2</v>
      </c>
      <c r="G7617" s="2">
        <v>0</v>
      </c>
      <c r="H7617" s="1" t="s">
        <v>0</v>
      </c>
      <c r="I7617" s="2">
        <v>0</v>
      </c>
      <c r="J7617" s="1">
        <v>45995.439988425926</v>
      </c>
    </row>
    <row r="7618" spans="1:10" x14ac:dyDescent="0.2">
      <c r="A7618" s="4" t="s">
        <v>1</v>
      </c>
      <c r="B7618" s="3" t="str">
        <f>HYPERLINK("https://otsuka-europe-crm.veevavault.com/ui/#object/approved_document__v/V5OZ025E82TMV95", "ENFERMERÍA - PODCAST: Ep. 2 Calma Mental")</f>
        <v>ENFERMERÍA - PODCAST: Ep. 2 Calma Mental</v>
      </c>
      <c r="C7618" s="3" t="str">
        <f>HYPERLINK("https://otsuka-europe-crm.veevavault.com/ui/#object/sent_email__v/VBL00000000U714", "SE-001395279")</f>
        <v>SE-001395279</v>
      </c>
      <c r="D7618" s="1">
        <v>45995.535393518519</v>
      </c>
      <c r="E7618" s="2">
        <v>1</v>
      </c>
      <c r="F7618" s="2">
        <v>1</v>
      </c>
      <c r="G7618" s="2">
        <v>0</v>
      </c>
      <c r="H7618" s="1" t="s">
        <v>0</v>
      </c>
      <c r="I7618" s="2">
        <v>0</v>
      </c>
      <c r="J7618" s="1">
        <v>45995.440034722225</v>
      </c>
    </row>
    <row r="7619" spans="1:10" x14ac:dyDescent="0.2">
      <c r="A7619" s="4" t="s">
        <v>1</v>
      </c>
      <c r="B7619" s="3" t="str">
        <f>HYPERLINK("https://otsuka-europe-crm.veevavault.com/ui/#object/approved_document__v/V5OZ025E82TMV95", "ENFERMERÍA - PODCAST: Ep. 2 Calma Mental")</f>
        <v>ENFERMERÍA - PODCAST: Ep. 2 Calma Mental</v>
      </c>
      <c r="C7619" s="3" t="str">
        <f>HYPERLINK("https://otsuka-europe-crm.veevavault.com/ui/#object/sent_email__v/VBL00000000U715", "SE-001395280")</f>
        <v>SE-001395280</v>
      </c>
      <c r="D7619" s="1">
        <v>46022.583020833335</v>
      </c>
      <c r="E7619" s="2">
        <v>1</v>
      </c>
      <c r="F7619" s="2">
        <v>1</v>
      </c>
      <c r="G7619" s="2">
        <v>0</v>
      </c>
      <c r="H7619" s="1" t="s">
        <v>0</v>
      </c>
      <c r="I7619" s="2">
        <v>0</v>
      </c>
      <c r="J7619" s="1">
        <v>45995.440104166664</v>
      </c>
    </row>
    <row r="7620" spans="1:10" x14ac:dyDescent="0.2">
      <c r="A7620" s="4" t="s">
        <v>1</v>
      </c>
      <c r="B7620" s="3" t="str">
        <f>HYPERLINK("https://otsuka-europe-crm.veevavault.com/ui/#object/approved_document__v/V5OZ025E82TMV95", "ENFERMERÍA - PODCAST: Ep. 2 Calma Mental")</f>
        <v>ENFERMERÍA - PODCAST: Ep. 2 Calma Mental</v>
      </c>
      <c r="C7620" s="3" t="str">
        <f>HYPERLINK("https://otsuka-europe-crm.veevavault.com/ui/#object/sent_email__v/VBL00000000U716", "SE-001395281")</f>
        <v>SE-001395281</v>
      </c>
      <c r="D7620" s="1">
        <v>45995.952962962961</v>
      </c>
      <c r="E7620" s="2">
        <v>1</v>
      </c>
      <c r="F7620" s="2">
        <v>1</v>
      </c>
      <c r="G7620" s="2">
        <v>0</v>
      </c>
      <c r="H7620" s="1" t="s">
        <v>0</v>
      </c>
      <c r="I7620" s="2">
        <v>0</v>
      </c>
      <c r="J7620" s="1">
        <v>45995.44017361111</v>
      </c>
    </row>
    <row r="7621" spans="1:10" x14ac:dyDescent="0.2">
      <c r="A7621" s="4" t="s">
        <v>1</v>
      </c>
      <c r="B7621" s="3" t="str">
        <f>HYPERLINK("https://otsuka-europe-crm.veevavault.com/ui/#object/approved_document__v/V5OZ025E82TMV95", "ENFERMERÍA - PODCAST: Ep. 2 Calma Mental")</f>
        <v>ENFERMERÍA - PODCAST: Ep. 2 Calma Mental</v>
      </c>
      <c r="C7621" s="3" t="str">
        <f>HYPERLINK("https://otsuka-europe-crm.veevavault.com/ui/#object/sent_email__v/VBL00000000U717", "SE-001395282")</f>
        <v>SE-001395282</v>
      </c>
      <c r="D7621" s="1">
        <v>46000.841990740744</v>
      </c>
      <c r="E7621" s="2">
        <v>1</v>
      </c>
      <c r="F7621" s="2">
        <v>2</v>
      </c>
      <c r="G7621" s="2">
        <v>0</v>
      </c>
      <c r="H7621" s="1" t="s">
        <v>0</v>
      </c>
      <c r="I7621" s="2">
        <v>0</v>
      </c>
      <c r="J7621" s="1">
        <v>45995.44023148148</v>
      </c>
    </row>
    <row r="7622" spans="1:10" x14ac:dyDescent="0.2">
      <c r="A7622" s="4" t="s">
        <v>1</v>
      </c>
      <c r="B7622" s="3" t="str">
        <f>HYPERLINK("https://otsuka-europe-crm.veevavault.com/ui/#object/approved_document__v/V5OZ025E82TMV95", "ENFERMERÍA - PODCAST: Ep. 2 Calma Mental")</f>
        <v>ENFERMERÍA - PODCAST: Ep. 2 Calma Mental</v>
      </c>
      <c r="C7622" s="3" t="str">
        <f>HYPERLINK("https://otsuka-europe-crm.veevavault.com/ui/#object/sent_email__v/VBL00000000U718", "SE-001395283")</f>
        <v>SE-001395283</v>
      </c>
      <c r="D7622" s="1">
        <v>46016.390034722222</v>
      </c>
      <c r="E7622" s="2">
        <v>1</v>
      </c>
      <c r="F7622" s="2">
        <v>3</v>
      </c>
      <c r="G7622" s="2">
        <v>0</v>
      </c>
      <c r="H7622" s="1" t="s">
        <v>0</v>
      </c>
      <c r="I7622" s="2">
        <v>0</v>
      </c>
      <c r="J7622" s="1">
        <v>45995.440312500003</v>
      </c>
    </row>
    <row r="7623" spans="1:10" x14ac:dyDescent="0.2">
      <c r="A7623" s="4" t="s">
        <v>1</v>
      </c>
      <c r="B7623" s="3" t="str">
        <f>HYPERLINK("https://otsuka-europe-crm.veevavault.com/ui/#object/approved_document__v/V5OZ025E82TMV95", "ENFERMERÍA - PODCAST: Ep. 2 Calma Mental")</f>
        <v>ENFERMERÍA - PODCAST: Ep. 2 Calma Mental</v>
      </c>
      <c r="C7623" s="3" t="str">
        <f>HYPERLINK("https://otsuka-europe-crm.veevavault.com/ui/#object/sent_email__v/VBL00000000U719", "SE-001395284")</f>
        <v>SE-001395284</v>
      </c>
      <c r="D7623" s="1">
        <v>45995.448275462964</v>
      </c>
      <c r="E7623" s="2">
        <v>1</v>
      </c>
      <c r="F7623" s="2">
        <v>2</v>
      </c>
      <c r="G7623" s="2">
        <v>0</v>
      </c>
      <c r="H7623" s="1" t="s">
        <v>0</v>
      </c>
      <c r="I7623" s="2">
        <v>0</v>
      </c>
      <c r="J7623" s="1">
        <v>45995.440358796295</v>
      </c>
    </row>
    <row r="7624" spans="1:10" x14ac:dyDescent="0.2">
      <c r="A7624" s="4" t="s">
        <v>1</v>
      </c>
      <c r="B7624" s="3" t="str">
        <f>HYPERLINK("https://otsuka-europe-crm.veevavault.com/ui/#object/approved_document__v/V5OZ025E82TMV95", "ENFERMERÍA - PODCAST: Ep. 2 Calma Mental")</f>
        <v>ENFERMERÍA - PODCAST: Ep. 2 Calma Mental</v>
      </c>
      <c r="C7624" s="3" t="str">
        <f>HYPERLINK("https://otsuka-europe-crm.veevavault.com/ui/#object/sent_email__v/VBL00000000U720", "SE-001395285")</f>
        <v>SE-001395285</v>
      </c>
      <c r="D7624" s="1">
        <v>46007.3515625</v>
      </c>
      <c r="E7624" s="2">
        <v>1</v>
      </c>
      <c r="F7624" s="2">
        <v>4</v>
      </c>
      <c r="G7624" s="2">
        <v>0</v>
      </c>
      <c r="H7624" s="1" t="s">
        <v>0</v>
      </c>
      <c r="I7624" s="2">
        <v>0</v>
      </c>
      <c r="J7624" s="1">
        <v>45995.440439814818</v>
      </c>
    </row>
    <row r="7625" spans="1:10" x14ac:dyDescent="0.2">
      <c r="A7625" s="4" t="s">
        <v>1</v>
      </c>
      <c r="B7625" s="3" t="str">
        <f>HYPERLINK("https://otsuka-europe-crm.veevavault.com/ui/#object/approved_document__v/V5OZ025E82TMV95", "ENFERMERÍA - PODCAST: Ep. 2 Calma Mental")</f>
        <v>ENFERMERÍA - PODCAST: Ep. 2 Calma Mental</v>
      </c>
      <c r="C7625" s="3" t="str">
        <f>HYPERLINK("https://otsuka-europe-crm.veevavault.com/ui/#object/sent_email__v/VBL00000000U721", "SE-001395286")</f>
        <v>SE-001395286</v>
      </c>
      <c r="D7625" s="1">
        <v>45995.840567129628</v>
      </c>
      <c r="E7625" s="2">
        <v>1</v>
      </c>
      <c r="F7625" s="2">
        <v>1</v>
      </c>
      <c r="G7625" s="2">
        <v>0</v>
      </c>
      <c r="H7625" s="1" t="s">
        <v>0</v>
      </c>
      <c r="I7625" s="2">
        <v>0</v>
      </c>
      <c r="J7625" s="1">
        <v>45995.440497685187</v>
      </c>
    </row>
    <row r="7626" spans="1:10" x14ac:dyDescent="0.2">
      <c r="A7626" s="4" t="s">
        <v>1</v>
      </c>
      <c r="B7626" s="3" t="str">
        <f>HYPERLINK("https://otsuka-europe-crm.veevavault.com/ui/#object/approved_document__v/V5OZ025E82TMV95", "ENFERMERÍA - PODCAST: Ep. 2 Calma Mental")</f>
        <v>ENFERMERÍA - PODCAST: Ep. 2 Calma Mental</v>
      </c>
      <c r="C7626" s="3" t="str">
        <f>HYPERLINK("https://otsuka-europe-crm.veevavault.com/ui/#object/sent_email__v/VBL00000000U722", "SE-001395287")</f>
        <v>SE-001395287</v>
      </c>
      <c r="D7626" s="1" t="s">
        <v>0</v>
      </c>
      <c r="E7626" s="2">
        <v>0</v>
      </c>
      <c r="F7626" s="2">
        <v>0</v>
      </c>
      <c r="G7626" s="2">
        <v>0</v>
      </c>
      <c r="H7626" s="1" t="s">
        <v>0</v>
      </c>
      <c r="I7626" s="2">
        <v>0</v>
      </c>
      <c r="J7626" s="1">
        <v>45995.440555555557</v>
      </c>
    </row>
    <row r="7627" spans="1:10" x14ac:dyDescent="0.2">
      <c r="A7627" s="4" t="s">
        <v>1</v>
      </c>
      <c r="B7627" s="3" t="str">
        <f>HYPERLINK("https://otsuka-europe-crm.veevavault.com/ui/#object/approved_document__v/V5OZ025E82TMV95", "ENFERMERÍA - PODCAST: Ep. 2 Calma Mental")</f>
        <v>ENFERMERÍA - PODCAST: Ep. 2 Calma Mental</v>
      </c>
      <c r="C7627" s="3" t="str">
        <f>HYPERLINK("https://otsuka-europe-crm.veevavault.com/ui/#object/sent_email__v/VBL00000000U723", "SE-001395288")</f>
        <v>SE-001395288</v>
      </c>
      <c r="D7627" s="1" t="s">
        <v>0</v>
      </c>
      <c r="E7627" s="2">
        <v>0</v>
      </c>
      <c r="F7627" s="2">
        <v>0</v>
      </c>
      <c r="G7627" s="2">
        <v>0</v>
      </c>
      <c r="H7627" s="1" t="s">
        <v>0</v>
      </c>
      <c r="I7627" s="2">
        <v>0</v>
      </c>
      <c r="J7627" s="1">
        <v>45995.440636574072</v>
      </c>
    </row>
    <row r="7628" spans="1:10" x14ac:dyDescent="0.2">
      <c r="A7628" s="4" t="s">
        <v>1</v>
      </c>
      <c r="B7628" s="3" t="str">
        <f>HYPERLINK("https://otsuka-europe-crm.veevavault.com/ui/#object/approved_document__v/V5OZ025E82TMV95", "ENFERMERÍA - PODCAST: Ep. 2 Calma Mental")</f>
        <v>ENFERMERÍA - PODCAST: Ep. 2 Calma Mental</v>
      </c>
      <c r="C7628" s="3" t="str">
        <f>HYPERLINK("https://otsuka-europe-crm.veevavault.com/ui/#object/sent_email__v/VBL00000000U724", "SE-001395289")</f>
        <v>SE-001395289</v>
      </c>
      <c r="D7628" s="1">
        <v>45996.614525462966</v>
      </c>
      <c r="E7628" s="2">
        <v>1</v>
      </c>
      <c r="F7628" s="2">
        <v>1</v>
      </c>
      <c r="G7628" s="2">
        <v>0</v>
      </c>
      <c r="H7628" s="1" t="s">
        <v>0</v>
      </c>
      <c r="I7628" s="2">
        <v>0</v>
      </c>
      <c r="J7628" s="1">
        <v>45995.440694444442</v>
      </c>
    </row>
    <row r="7629" spans="1:10" x14ac:dyDescent="0.2">
      <c r="A7629" s="4" t="s">
        <v>1</v>
      </c>
      <c r="B7629" s="3" t="str">
        <f>HYPERLINK("https://otsuka-europe-crm.veevavault.com/ui/#object/approved_document__v/V5OZ025E82TMV95", "ENFERMERÍA - PODCAST: Ep. 2 Calma Mental")</f>
        <v>ENFERMERÍA - PODCAST: Ep. 2 Calma Mental</v>
      </c>
      <c r="C7629" s="3" t="str">
        <f>HYPERLINK("https://otsuka-europe-crm.veevavault.com/ui/#object/sent_email__v/VBL00000000U725", "SE-001395290")</f>
        <v>SE-001395290</v>
      </c>
      <c r="D7629" s="1">
        <v>45995.946585648147</v>
      </c>
      <c r="E7629" s="2">
        <v>1</v>
      </c>
      <c r="F7629" s="2">
        <v>1</v>
      </c>
      <c r="G7629" s="2">
        <v>0</v>
      </c>
      <c r="H7629" s="1" t="s">
        <v>0</v>
      </c>
      <c r="I7629" s="2">
        <v>0</v>
      </c>
      <c r="J7629" s="1">
        <v>45995.440752314818</v>
      </c>
    </row>
    <row r="7630" spans="1:10" x14ac:dyDescent="0.2">
      <c r="A7630" s="4" t="s">
        <v>1</v>
      </c>
      <c r="B7630" s="3" t="str">
        <f>HYPERLINK("https://otsuka-europe-crm.veevavault.com/ui/#object/approved_document__v/V5O00000000I028", "ENFERMERÍA - PODCAST: Ep4 Sueño")</f>
        <v>ENFERMERÍA - PODCAST: Ep4 Sueño</v>
      </c>
      <c r="C7630" s="3" t="str">
        <f>HYPERLINK("https://otsuka-europe-crm.veevavault.com/ui/#object/sent_email__v/VBL000000014117", "SE-001399834")</f>
        <v>SE-001399834</v>
      </c>
      <c r="D7630" s="1" t="s">
        <v>0</v>
      </c>
      <c r="E7630" s="2">
        <v>0</v>
      </c>
      <c r="F7630" s="2">
        <v>0</v>
      </c>
      <c r="G7630" s="2">
        <v>0</v>
      </c>
      <c r="H7630" s="1" t="s">
        <v>0</v>
      </c>
      <c r="I7630" s="2">
        <v>0</v>
      </c>
      <c r="J7630" s="1">
        <v>46035.414861111109</v>
      </c>
    </row>
    <row r="7631" spans="1:10" x14ac:dyDescent="0.2">
      <c r="A7631" s="4" t="s">
        <v>1</v>
      </c>
      <c r="B7631" s="3" t="str">
        <f>HYPERLINK("https://otsuka-europe-crm.veevavault.com/ui/#object/approved_document__v/V5O00000000I030", "ENFERMERíA - PODCAST: Ep5 Autoestima")</f>
        <v>ENFERMERíA - PODCAST: Ep5 Autoestima</v>
      </c>
      <c r="C7631" s="3" t="str">
        <f>HYPERLINK("https://otsuka-europe-crm.veevavault.com/ui/#object/sent_email__v/VBL000000014119", "SE-001399836")</f>
        <v>SE-001399836</v>
      </c>
      <c r="D7631" s="1" t="s">
        <v>0</v>
      </c>
      <c r="E7631" s="2">
        <v>0</v>
      </c>
      <c r="F7631" s="2">
        <v>0</v>
      </c>
      <c r="G7631" s="2">
        <v>0</v>
      </c>
      <c r="H7631" s="1" t="s">
        <v>0</v>
      </c>
      <c r="I7631" s="2">
        <v>0</v>
      </c>
      <c r="J7631" s="1">
        <v>46035.418182870373</v>
      </c>
    </row>
    <row r="7632" spans="1:10" x14ac:dyDescent="0.2">
      <c r="A7632" s="4" t="s">
        <v>1</v>
      </c>
      <c r="B7632" s="3" t="str">
        <f>HYPERLINK("https://otsuka-europe-crm.veevavault.com/ui/#object/approved_document__v/V5OZ025E82PTCBT", "ENFERMERÍA - Revista Peplau nº5")</f>
        <v>ENFERMERÍA - Revista Peplau nº5</v>
      </c>
      <c r="C7632" s="3" t="str">
        <f>HYPERLINK("https://otsuka-europe-crm.veevavault.com/ui/#object/sent_email__v/VBL000000004323", "SE-001380633")</f>
        <v>SE-001380633</v>
      </c>
      <c r="D7632" s="1">
        <v>45965.437708333331</v>
      </c>
      <c r="E7632" s="2">
        <v>1</v>
      </c>
      <c r="F7632" s="2">
        <v>1</v>
      </c>
      <c r="G7632" s="2">
        <v>1</v>
      </c>
      <c r="H7632" s="1">
        <v>45965.438449074078</v>
      </c>
      <c r="I7632" s="2">
        <v>2</v>
      </c>
      <c r="J7632" s="1">
        <v>45965.42564814815</v>
      </c>
    </row>
    <row r="7633" spans="1:10" x14ac:dyDescent="0.2">
      <c r="A7633" s="4" t="s">
        <v>1</v>
      </c>
      <c r="B7633" s="3" t="str">
        <f>HYPERLINK("https://otsuka-europe-crm.veevavault.com/ui/#object/approved_document__v/V5OZ025E82PTCBT", "ENFERMERÍA - Revista Peplau nº5")</f>
        <v>ENFERMERÍA - Revista Peplau nº5</v>
      </c>
      <c r="C7633" s="3" t="str">
        <f>HYPERLINK("https://otsuka-europe-crm.veevavault.com/ui/#object/sent_email__v/VBL000000004324", "SE-001380634")</f>
        <v>SE-001380634</v>
      </c>
      <c r="D7633" s="1" t="s">
        <v>0</v>
      </c>
      <c r="E7633" s="2">
        <v>0</v>
      </c>
      <c r="F7633" s="2">
        <v>0</v>
      </c>
      <c r="G7633" s="2">
        <v>0</v>
      </c>
      <c r="H7633" s="1" t="s">
        <v>0</v>
      </c>
      <c r="I7633" s="2">
        <v>0</v>
      </c>
      <c r="J7633" s="1">
        <v>45965.425717592596</v>
      </c>
    </row>
    <row r="7634" spans="1:10" x14ac:dyDescent="0.2">
      <c r="A7634" s="4" t="s">
        <v>1</v>
      </c>
      <c r="B7634" s="3" t="str">
        <f>HYPERLINK("https://otsuka-europe-crm.veevavault.com/ui/#object/approved_document__v/V5OZ025E82PTCBT", "ENFERMERÍA - Revista Peplau nº5")</f>
        <v>ENFERMERÍA - Revista Peplau nº5</v>
      </c>
      <c r="C7634" s="3" t="str">
        <f>HYPERLINK("https://otsuka-europe-crm.veevavault.com/ui/#object/sent_email__v/VBL000000004325", "SE-001380635")</f>
        <v>SE-001380635</v>
      </c>
      <c r="D7634" s="1" t="s">
        <v>0</v>
      </c>
      <c r="E7634" s="2">
        <v>0</v>
      </c>
      <c r="F7634" s="2">
        <v>0</v>
      </c>
      <c r="G7634" s="2">
        <v>0</v>
      </c>
      <c r="H7634" s="1" t="s">
        <v>0</v>
      </c>
      <c r="I7634" s="2">
        <v>0</v>
      </c>
      <c r="J7634" s="1">
        <v>45965.425787037035</v>
      </c>
    </row>
    <row r="7635" spans="1:10" x14ac:dyDescent="0.2">
      <c r="A7635" s="4" t="s">
        <v>1</v>
      </c>
      <c r="B7635" s="3" t="str">
        <f>HYPERLINK("https://otsuka-europe-crm.veevavault.com/ui/#object/approved_document__v/V5OZ025E82PTCBT", "ENFERMERÍA - Revista Peplau nº5")</f>
        <v>ENFERMERÍA - Revista Peplau nº5</v>
      </c>
      <c r="C7635" s="3" t="str">
        <f>HYPERLINK("https://otsuka-europe-crm.veevavault.com/ui/#object/sent_email__v/VBL000000004326", "SE-001380636")</f>
        <v>SE-001380636</v>
      </c>
      <c r="D7635" s="1" t="s">
        <v>0</v>
      </c>
      <c r="E7635" s="2">
        <v>0</v>
      </c>
      <c r="F7635" s="2">
        <v>0</v>
      </c>
      <c r="G7635" s="2">
        <v>0</v>
      </c>
      <c r="H7635" s="1" t="s">
        <v>0</v>
      </c>
      <c r="I7635" s="2">
        <v>0</v>
      </c>
      <c r="J7635" s="1">
        <v>45965.425856481481</v>
      </c>
    </row>
    <row r="7636" spans="1:10" x14ac:dyDescent="0.2">
      <c r="A7636" s="4" t="s">
        <v>1</v>
      </c>
      <c r="B7636" s="3" t="str">
        <f>HYPERLINK("https://otsuka-europe-crm.veevavault.com/ui/#object/approved_document__v/V5OZ025E82PTCBT", "ENFERMERÍA - Revista Peplau nº5")</f>
        <v>ENFERMERÍA - Revista Peplau nº5</v>
      </c>
      <c r="C7636" s="3" t="str">
        <f>HYPERLINK("https://otsuka-europe-crm.veevavault.com/ui/#object/sent_email__v/VBL000000004327", "SE-001380637")</f>
        <v>SE-001380637</v>
      </c>
      <c r="D7636" s="1">
        <v>45965.817673611113</v>
      </c>
      <c r="E7636" s="2">
        <v>1</v>
      </c>
      <c r="F7636" s="2">
        <v>2</v>
      </c>
      <c r="G7636" s="2">
        <v>0</v>
      </c>
      <c r="H7636" s="1" t="s">
        <v>0</v>
      </c>
      <c r="I7636" s="2">
        <v>0</v>
      </c>
      <c r="J7636" s="1">
        <v>45965.425937499997</v>
      </c>
    </row>
    <row r="7637" spans="1:10" x14ac:dyDescent="0.2">
      <c r="A7637" s="4" t="s">
        <v>1</v>
      </c>
      <c r="B7637" s="3" t="str">
        <f>HYPERLINK("https://otsuka-europe-crm.veevavault.com/ui/#object/approved_document__v/V5OZ025E82PTCBT", "ENFERMERÍA - Revista Peplau nº5")</f>
        <v>ENFERMERÍA - Revista Peplau nº5</v>
      </c>
      <c r="C7637" s="3" t="str">
        <f>HYPERLINK("https://otsuka-europe-crm.veevavault.com/ui/#object/sent_email__v/VBL000000004328", "SE-001380638")</f>
        <v>SE-001380638</v>
      </c>
      <c r="D7637" s="1" t="s">
        <v>0</v>
      </c>
      <c r="E7637" s="2">
        <v>0</v>
      </c>
      <c r="F7637" s="2">
        <v>0</v>
      </c>
      <c r="G7637" s="2">
        <v>0</v>
      </c>
      <c r="H7637" s="1" t="s">
        <v>0</v>
      </c>
      <c r="I7637" s="2">
        <v>0</v>
      </c>
      <c r="J7637" s="1">
        <v>45965.426006944443</v>
      </c>
    </row>
    <row r="7638" spans="1:10" x14ac:dyDescent="0.2">
      <c r="A7638" s="4" t="s">
        <v>1</v>
      </c>
      <c r="B7638" s="3" t="str">
        <f>HYPERLINK("https://otsuka-europe-crm.veevavault.com/ui/#object/approved_document__v/V5OZ025E82PTCBT", "ENFERMERÍA - Revista Peplau nº5")</f>
        <v>ENFERMERÍA - Revista Peplau nº5</v>
      </c>
      <c r="C7638" s="3" t="str">
        <f>HYPERLINK("https://otsuka-europe-crm.veevavault.com/ui/#object/sent_email__v/VBL000000004329", "SE-001380639")</f>
        <v>SE-001380639</v>
      </c>
      <c r="D7638" s="1">
        <v>45965.628391203703</v>
      </c>
      <c r="E7638" s="2">
        <v>1</v>
      </c>
      <c r="F7638" s="2">
        <v>1</v>
      </c>
      <c r="G7638" s="2">
        <v>0</v>
      </c>
      <c r="H7638" s="1" t="s">
        <v>0</v>
      </c>
      <c r="I7638" s="2">
        <v>0</v>
      </c>
      <c r="J7638" s="1">
        <v>45965.426064814812</v>
      </c>
    </row>
    <row r="7639" spans="1:10" x14ac:dyDescent="0.2">
      <c r="A7639" s="4" t="s">
        <v>1</v>
      </c>
      <c r="B7639" s="3" t="str">
        <f>HYPERLINK("https://otsuka-europe-crm.veevavault.com/ui/#object/approved_document__v/V5OZ025E82PTCBT", "ENFERMERÍA - Revista Peplau nº5")</f>
        <v>ENFERMERÍA - Revista Peplau nº5</v>
      </c>
      <c r="C7639" s="3" t="str">
        <f>HYPERLINK("https://otsuka-europe-crm.veevavault.com/ui/#object/sent_email__v/VBL000000004330", "SE-001380640")</f>
        <v>SE-001380640</v>
      </c>
      <c r="D7639" s="1">
        <v>46014.457175925927</v>
      </c>
      <c r="E7639" s="2">
        <v>1</v>
      </c>
      <c r="F7639" s="2">
        <v>4</v>
      </c>
      <c r="G7639" s="2">
        <v>0</v>
      </c>
      <c r="H7639" s="1" t="s">
        <v>0</v>
      </c>
      <c r="I7639" s="2">
        <v>0</v>
      </c>
      <c r="J7639" s="1">
        <v>45965.426134259258</v>
      </c>
    </row>
    <row r="7640" spans="1:10" x14ac:dyDescent="0.2">
      <c r="A7640" s="4" t="s">
        <v>1</v>
      </c>
      <c r="B7640" s="3" t="str">
        <f>HYPERLINK("https://otsuka-europe-crm.veevavault.com/ui/#object/approved_document__v/V5OZ025E82PTCBT", "ENFERMERÍA - Revista Peplau nº5")</f>
        <v>ENFERMERÍA - Revista Peplau nº5</v>
      </c>
      <c r="C7640" s="3" t="str">
        <f>HYPERLINK("https://otsuka-europe-crm.veevavault.com/ui/#object/sent_email__v/VBL000000004331", "SE-001380641")</f>
        <v>SE-001380641</v>
      </c>
      <c r="D7640" s="1" t="s">
        <v>0</v>
      </c>
      <c r="E7640" s="2">
        <v>0</v>
      </c>
      <c r="F7640" s="2">
        <v>0</v>
      </c>
      <c r="G7640" s="2">
        <v>0</v>
      </c>
      <c r="H7640" s="1" t="s">
        <v>0</v>
      </c>
      <c r="I7640" s="2">
        <v>0</v>
      </c>
      <c r="J7640" s="1">
        <v>45965.426215277781</v>
      </c>
    </row>
    <row r="7641" spans="1:10" x14ac:dyDescent="0.2">
      <c r="A7641" s="4" t="s">
        <v>1</v>
      </c>
      <c r="B7641" s="3" t="str">
        <f>HYPERLINK("https://otsuka-europe-crm.veevavault.com/ui/#object/approved_document__v/V5OZ025E82PTCBT", "ENFERMERÍA - Revista Peplau nº5")</f>
        <v>ENFERMERÍA - Revista Peplau nº5</v>
      </c>
      <c r="C7641" s="3" t="str">
        <f>HYPERLINK("https://otsuka-europe-crm.veevavault.com/ui/#object/sent_email__v/VBL000000004332", "SE-001380642")</f>
        <v>SE-001380642</v>
      </c>
      <c r="D7641" s="1" t="s">
        <v>0</v>
      </c>
      <c r="E7641" s="2">
        <v>0</v>
      </c>
      <c r="F7641" s="2">
        <v>0</v>
      </c>
      <c r="G7641" s="2">
        <v>0</v>
      </c>
      <c r="H7641" s="1" t="s">
        <v>0</v>
      </c>
      <c r="I7641" s="2">
        <v>0</v>
      </c>
      <c r="J7641" s="1">
        <v>45965.42628472222</v>
      </c>
    </row>
    <row r="7642" spans="1:10" x14ac:dyDescent="0.2">
      <c r="A7642" s="4" t="s">
        <v>1</v>
      </c>
      <c r="B7642" s="3" t="str">
        <f>HYPERLINK("https://otsuka-europe-crm.veevavault.com/ui/#object/approved_document__v/V5OZ025E82PTCBT", "ENFERMERÍA - Revista Peplau nº5")</f>
        <v>ENFERMERÍA - Revista Peplau nº5</v>
      </c>
      <c r="C7642" s="3" t="str">
        <f>HYPERLINK("https://otsuka-europe-crm.veevavault.com/ui/#object/sent_email__v/VBL000000004333", "SE-001380643")</f>
        <v>SE-001380643</v>
      </c>
      <c r="D7642" s="1" t="s">
        <v>0</v>
      </c>
      <c r="E7642" s="2">
        <v>0</v>
      </c>
      <c r="F7642" s="2">
        <v>0</v>
      </c>
      <c r="G7642" s="2">
        <v>0</v>
      </c>
      <c r="H7642" s="1" t="s">
        <v>0</v>
      </c>
      <c r="I7642" s="2">
        <v>0</v>
      </c>
      <c r="J7642" s="1">
        <v>45965.426354166666</v>
      </c>
    </row>
    <row r="7643" spans="1:10" x14ac:dyDescent="0.2">
      <c r="A7643" s="4" t="s">
        <v>1</v>
      </c>
      <c r="B7643" s="3" t="str">
        <f>HYPERLINK("https://otsuka-europe-crm.veevavault.com/ui/#object/approved_document__v/V5OZ025E82PTCBT", "ENFERMERÍA - Revista Peplau nº5")</f>
        <v>ENFERMERÍA - Revista Peplau nº5</v>
      </c>
      <c r="C7643" s="3" t="str">
        <f>HYPERLINK("https://otsuka-europe-crm.veevavault.com/ui/#object/sent_email__v/VBL000000004334", "SE-001380644")</f>
        <v>SE-001380644</v>
      </c>
      <c r="D7643" s="1" t="s">
        <v>0</v>
      </c>
      <c r="E7643" s="2">
        <v>0</v>
      </c>
      <c r="F7643" s="2">
        <v>0</v>
      </c>
      <c r="G7643" s="2">
        <v>0</v>
      </c>
      <c r="H7643" s="1" t="s">
        <v>0</v>
      </c>
      <c r="I7643" s="2">
        <v>0</v>
      </c>
      <c r="J7643" s="1">
        <v>45965.426423611112</v>
      </c>
    </row>
    <row r="7644" spans="1:10" x14ac:dyDescent="0.2">
      <c r="A7644" s="4" t="s">
        <v>1</v>
      </c>
      <c r="B7644" s="3" t="str">
        <f>HYPERLINK("https://otsuka-europe-crm.veevavault.com/ui/#object/approved_document__v/V5OZ025E82PTCBT", "ENFERMERÍA - Revista Peplau nº5")</f>
        <v>ENFERMERÍA - Revista Peplau nº5</v>
      </c>
      <c r="C7644" s="3" t="str">
        <f>HYPERLINK("https://otsuka-europe-crm.veevavault.com/ui/#object/sent_email__v/VBL000000004335", "SE-001380645")</f>
        <v>SE-001380645</v>
      </c>
      <c r="D7644" s="1" t="s">
        <v>0</v>
      </c>
      <c r="E7644" s="2">
        <v>0</v>
      </c>
      <c r="F7644" s="2">
        <v>0</v>
      </c>
      <c r="G7644" s="2">
        <v>0</v>
      </c>
      <c r="H7644" s="1" t="s">
        <v>0</v>
      </c>
      <c r="I7644" s="2">
        <v>0</v>
      </c>
      <c r="J7644" s="1">
        <v>45965.426493055558</v>
      </c>
    </row>
    <row r="7645" spans="1:10" x14ac:dyDescent="0.2">
      <c r="A7645" s="4" t="s">
        <v>1</v>
      </c>
      <c r="B7645" s="3" t="str">
        <f>HYPERLINK("https://otsuka-europe-crm.veevavault.com/ui/#object/approved_document__v/V5OZ025E82PTCBT", "ENFERMERÍA - Revista Peplau nº5")</f>
        <v>ENFERMERÍA - Revista Peplau nº5</v>
      </c>
      <c r="C7645" s="3" t="str">
        <f>HYPERLINK("https://otsuka-europe-crm.veevavault.com/ui/#object/sent_email__v/VBL000000004336", "SE-001380646")</f>
        <v>SE-001380646</v>
      </c>
      <c r="D7645" s="1" t="s">
        <v>0</v>
      </c>
      <c r="E7645" s="2">
        <v>0</v>
      </c>
      <c r="F7645" s="2">
        <v>0</v>
      </c>
      <c r="G7645" s="2">
        <v>0</v>
      </c>
      <c r="H7645" s="1" t="s">
        <v>0</v>
      </c>
      <c r="I7645" s="2">
        <v>0</v>
      </c>
      <c r="J7645" s="1">
        <v>45965.426562499997</v>
      </c>
    </row>
    <row r="7646" spans="1:10" x14ac:dyDescent="0.2">
      <c r="A7646" s="4" t="s">
        <v>1</v>
      </c>
      <c r="B7646" s="3" t="str">
        <f>HYPERLINK("https://otsuka-europe-crm.veevavault.com/ui/#object/approved_document__v/V5OZ025E82PTCBT", "ENFERMERÍA - Revista Peplau nº5")</f>
        <v>ENFERMERÍA - Revista Peplau nº5</v>
      </c>
      <c r="C7646" s="3" t="str">
        <f>HYPERLINK("https://otsuka-europe-crm.veevavault.com/ui/#object/sent_email__v/VBL000000004337", "SE-001380647")</f>
        <v>SE-001380647</v>
      </c>
      <c r="D7646" s="1" t="s">
        <v>0</v>
      </c>
      <c r="E7646" s="2">
        <v>0</v>
      </c>
      <c r="F7646" s="2">
        <v>0</v>
      </c>
      <c r="G7646" s="2">
        <v>0</v>
      </c>
      <c r="H7646" s="1" t="s">
        <v>0</v>
      </c>
      <c r="I7646" s="2">
        <v>0</v>
      </c>
      <c r="J7646" s="1">
        <v>45965.426631944443</v>
      </c>
    </row>
    <row r="7647" spans="1:10" x14ac:dyDescent="0.2">
      <c r="A7647" s="4" t="s">
        <v>1</v>
      </c>
      <c r="B7647" s="3" t="str">
        <f>HYPERLINK("https://otsuka-europe-crm.veevavault.com/ui/#object/approved_document__v/V5OZ025E82PTCBT", "ENFERMERÍA - Revista Peplau nº5")</f>
        <v>ENFERMERÍA - Revista Peplau nº5</v>
      </c>
      <c r="C7647" s="3" t="str">
        <f>HYPERLINK("https://otsuka-europe-crm.veevavault.com/ui/#object/sent_email__v/VBL000000004338", "SE-001380648")</f>
        <v>SE-001380648</v>
      </c>
      <c r="D7647" s="1" t="s">
        <v>0</v>
      </c>
      <c r="E7647" s="2">
        <v>0</v>
      </c>
      <c r="F7647" s="2">
        <v>0</v>
      </c>
      <c r="G7647" s="2">
        <v>0</v>
      </c>
      <c r="H7647" s="1" t="s">
        <v>0</v>
      </c>
      <c r="I7647" s="2">
        <v>0</v>
      </c>
      <c r="J7647" s="1">
        <v>45965.426701388889</v>
      </c>
    </row>
    <row r="7648" spans="1:10" x14ac:dyDescent="0.2">
      <c r="A7648" s="4" t="s">
        <v>1</v>
      </c>
      <c r="B7648" s="3" t="str">
        <f>HYPERLINK("https://otsuka-europe-crm.veevavault.com/ui/#object/approved_document__v/V5OZ025E82PTCBT", "ENFERMERÍA - Revista Peplau nº5")</f>
        <v>ENFERMERÍA - Revista Peplau nº5</v>
      </c>
      <c r="C7648" s="3" t="str">
        <f>HYPERLINK("https://otsuka-europe-crm.veevavault.com/ui/#object/sent_email__v/VBL000000004339", "SE-001380649")</f>
        <v>SE-001380649</v>
      </c>
      <c r="D7648" s="1" t="s">
        <v>0</v>
      </c>
      <c r="E7648" s="2">
        <v>0</v>
      </c>
      <c r="F7648" s="2">
        <v>0</v>
      </c>
      <c r="G7648" s="2">
        <v>0</v>
      </c>
      <c r="H7648" s="1" t="s">
        <v>0</v>
      </c>
      <c r="I7648" s="2">
        <v>0</v>
      </c>
      <c r="J7648" s="1">
        <v>45965.426770833335</v>
      </c>
    </row>
    <row r="7649" spans="1:10" x14ac:dyDescent="0.2">
      <c r="A7649" s="4" t="s">
        <v>1</v>
      </c>
      <c r="B7649" s="3" t="str">
        <f>HYPERLINK("https://otsuka-europe-crm.veevavault.com/ui/#object/approved_document__v/V5OZ025E82PTCBT", "ENFERMERÍA - Revista Peplau nº5")</f>
        <v>ENFERMERÍA - Revista Peplau nº5</v>
      </c>
      <c r="C7649" s="3" t="str">
        <f>HYPERLINK("https://otsuka-europe-crm.veevavault.com/ui/#object/sent_email__v/VBL000000004340", "SE-001380650")</f>
        <v>SE-001380650</v>
      </c>
      <c r="D7649" s="1" t="s">
        <v>0</v>
      </c>
      <c r="E7649" s="2">
        <v>0</v>
      </c>
      <c r="F7649" s="2">
        <v>0</v>
      </c>
      <c r="G7649" s="2">
        <v>0</v>
      </c>
      <c r="H7649" s="1" t="s">
        <v>0</v>
      </c>
      <c r="I7649" s="2">
        <v>0</v>
      </c>
      <c r="J7649" s="1">
        <v>45965.426840277774</v>
      </c>
    </row>
    <row r="7650" spans="1:10" x14ac:dyDescent="0.2">
      <c r="A7650" s="4" t="s">
        <v>1</v>
      </c>
      <c r="B7650" s="3" t="str">
        <f>HYPERLINK("https://otsuka-europe-crm.veevavault.com/ui/#object/approved_document__v/V5OZ025E82PTCBT", "ENFERMERÍA - Revista Peplau nº5")</f>
        <v>ENFERMERÍA - Revista Peplau nº5</v>
      </c>
      <c r="C7650" s="3" t="str">
        <f>HYPERLINK("https://otsuka-europe-crm.veevavault.com/ui/#object/sent_email__v/VBL000000004341", "SE-001380651")</f>
        <v>SE-001380651</v>
      </c>
      <c r="D7650" s="1" t="s">
        <v>0</v>
      </c>
      <c r="E7650" s="2">
        <v>0</v>
      </c>
      <c r="F7650" s="2">
        <v>0</v>
      </c>
      <c r="G7650" s="2">
        <v>0</v>
      </c>
      <c r="H7650" s="1" t="s">
        <v>0</v>
      </c>
      <c r="I7650" s="2">
        <v>0</v>
      </c>
      <c r="J7650" s="1">
        <v>45965.42690972222</v>
      </c>
    </row>
    <row r="7651" spans="1:10" x14ac:dyDescent="0.2">
      <c r="A7651" s="4" t="s">
        <v>1</v>
      </c>
      <c r="B7651" s="3" t="str">
        <f>HYPERLINK("https://otsuka-europe-crm.veevavault.com/ui/#object/approved_document__v/V5OZ025E82PTCBT", "ENFERMERÍA - Revista Peplau nº5")</f>
        <v>ENFERMERÍA - Revista Peplau nº5</v>
      </c>
      <c r="C7651" s="3" t="str">
        <f>HYPERLINK("https://otsuka-europe-crm.veevavault.com/ui/#object/sent_email__v/VBL000000004342", "SE-001380652")</f>
        <v>SE-001380652</v>
      </c>
      <c r="D7651" s="1" t="s">
        <v>0</v>
      </c>
      <c r="E7651" s="2">
        <v>0</v>
      </c>
      <c r="F7651" s="2">
        <v>0</v>
      </c>
      <c r="G7651" s="2">
        <v>0</v>
      </c>
      <c r="H7651" s="1" t="s">
        <v>0</v>
      </c>
      <c r="I7651" s="2">
        <v>0</v>
      </c>
      <c r="J7651" s="1">
        <v>45965.426979166667</v>
      </c>
    </row>
    <row r="7652" spans="1:10" x14ac:dyDescent="0.2">
      <c r="A7652" s="4" t="s">
        <v>1</v>
      </c>
      <c r="B7652" s="3" t="str">
        <f>HYPERLINK("https://otsuka-europe-crm.veevavault.com/ui/#object/approved_document__v/V5OZ025E82PTCBT", "ENFERMERÍA - Revista Peplau nº5")</f>
        <v>ENFERMERÍA - Revista Peplau nº5</v>
      </c>
      <c r="C7652" s="3" t="str">
        <f>HYPERLINK("https://otsuka-europe-crm.veevavault.com/ui/#object/sent_email__v/VBL000000004343", "SE-001380653")</f>
        <v>SE-001380653</v>
      </c>
      <c r="D7652" s="1" t="s">
        <v>0</v>
      </c>
      <c r="E7652" s="2">
        <v>0</v>
      </c>
      <c r="F7652" s="2">
        <v>0</v>
      </c>
      <c r="G7652" s="2">
        <v>0</v>
      </c>
      <c r="H7652" s="1" t="s">
        <v>0</v>
      </c>
      <c r="I7652" s="2">
        <v>0</v>
      </c>
      <c r="J7652" s="1">
        <v>45965.427060185182</v>
      </c>
    </row>
    <row r="7653" spans="1:10" x14ac:dyDescent="0.2">
      <c r="A7653" s="4" t="s">
        <v>1</v>
      </c>
      <c r="B7653" s="3" t="str">
        <f>HYPERLINK("https://otsuka-europe-crm.veevavault.com/ui/#object/approved_document__v/V5OZ025E82PTCBT", "ENFERMERÍA - Revista Peplau nº5")</f>
        <v>ENFERMERÍA - Revista Peplau nº5</v>
      </c>
      <c r="C7653" s="3" t="str">
        <f>HYPERLINK("https://otsuka-europe-crm.veevavault.com/ui/#object/sent_email__v/VBL000000004344", "SE-001380654")</f>
        <v>SE-001380654</v>
      </c>
      <c r="D7653" s="1">
        <v>45967.468761574077</v>
      </c>
      <c r="E7653" s="2">
        <v>1</v>
      </c>
      <c r="F7653" s="2">
        <v>6</v>
      </c>
      <c r="G7653" s="2">
        <v>1</v>
      </c>
      <c r="H7653" s="1">
        <v>45966.476539351854</v>
      </c>
      <c r="I7653" s="2">
        <v>1</v>
      </c>
      <c r="J7653" s="1">
        <v>45965.427106481482</v>
      </c>
    </row>
    <row r="7654" spans="1:10" x14ac:dyDescent="0.2">
      <c r="A7654" s="4" t="s">
        <v>1</v>
      </c>
      <c r="B7654" s="3" t="str">
        <f>HYPERLINK("https://otsuka-europe-crm.veevavault.com/ui/#object/approved_document__v/V5OZ025E82PTCBT", "ENFERMERÍA - Revista Peplau nº5")</f>
        <v>ENFERMERÍA - Revista Peplau nº5</v>
      </c>
      <c r="C7654" s="3" t="str">
        <f>HYPERLINK("https://otsuka-europe-crm.veevavault.com/ui/#object/sent_email__v/VBL000000004345", "SE-001380655")</f>
        <v>SE-001380655</v>
      </c>
      <c r="D7654" s="1" t="s">
        <v>0</v>
      </c>
      <c r="E7654" s="2">
        <v>0</v>
      </c>
      <c r="F7654" s="2">
        <v>0</v>
      </c>
      <c r="G7654" s="2">
        <v>0</v>
      </c>
      <c r="H7654" s="1" t="s">
        <v>0</v>
      </c>
      <c r="I7654" s="2">
        <v>0</v>
      </c>
      <c r="J7654" s="1">
        <v>45965.427141203705</v>
      </c>
    </row>
    <row r="7655" spans="1:10" x14ac:dyDescent="0.2">
      <c r="A7655" s="4" t="s">
        <v>1</v>
      </c>
      <c r="B7655" s="3" t="str">
        <f>HYPERLINK("https://otsuka-europe-crm.veevavault.com/ui/#object/approved_document__v/V5OZ025E82PTCBT", "ENFERMERÍA - Revista Peplau nº5")</f>
        <v>ENFERMERÍA - Revista Peplau nº5</v>
      </c>
      <c r="C7655" s="3" t="str">
        <f>HYPERLINK("https://otsuka-europe-crm.veevavault.com/ui/#object/sent_email__v/VBL000000004346", "SE-001380656")</f>
        <v>SE-001380656</v>
      </c>
      <c r="D7655" s="1" t="s">
        <v>0</v>
      </c>
      <c r="E7655" s="2">
        <v>0</v>
      </c>
      <c r="F7655" s="2">
        <v>0</v>
      </c>
      <c r="G7655" s="2">
        <v>0</v>
      </c>
      <c r="H7655" s="1" t="s">
        <v>0</v>
      </c>
      <c r="I7655" s="2">
        <v>0</v>
      </c>
      <c r="J7655" s="1">
        <v>45965.427187499998</v>
      </c>
    </row>
    <row r="7656" spans="1:10" x14ac:dyDescent="0.2">
      <c r="A7656" s="4" t="s">
        <v>1</v>
      </c>
      <c r="B7656" s="3" t="str">
        <f>HYPERLINK("https://otsuka-europe-crm.veevavault.com/ui/#object/approved_document__v/V5OZ025E82PTCBT", "ENFERMERÍA - Revista Peplau nº5")</f>
        <v>ENFERMERÍA - Revista Peplau nº5</v>
      </c>
      <c r="C7656" s="3" t="str">
        <f>HYPERLINK("https://otsuka-europe-crm.veevavault.com/ui/#object/sent_email__v/VBL000000004347", "SE-001380657")</f>
        <v>SE-001380657</v>
      </c>
      <c r="D7656" s="1">
        <v>45965.471631944441</v>
      </c>
      <c r="E7656" s="2">
        <v>1</v>
      </c>
      <c r="F7656" s="2">
        <v>1</v>
      </c>
      <c r="G7656" s="2">
        <v>1</v>
      </c>
      <c r="H7656" s="1">
        <v>45965.489895833336</v>
      </c>
      <c r="I7656" s="2">
        <v>2</v>
      </c>
      <c r="J7656" s="1">
        <v>45965.427233796298</v>
      </c>
    </row>
    <row r="7657" spans="1:10" x14ac:dyDescent="0.2">
      <c r="A7657" s="4" t="s">
        <v>1</v>
      </c>
      <c r="B7657" s="3" t="str">
        <f>HYPERLINK("https://otsuka-europe-crm.veevavault.com/ui/#object/approved_document__v/V5OZ025E82PTCBT", "ENFERMERÍA - Revista Peplau nº5")</f>
        <v>ENFERMERÍA - Revista Peplau nº5</v>
      </c>
      <c r="C7657" s="3" t="str">
        <f>HYPERLINK("https://otsuka-europe-crm.veevavault.com/ui/#object/sent_email__v/VBL000000004348", "SE-001380658")</f>
        <v>SE-001380658</v>
      </c>
      <c r="D7657" s="1">
        <v>45965.607928240737</v>
      </c>
      <c r="E7657" s="2">
        <v>1</v>
      </c>
      <c r="F7657" s="2">
        <v>1</v>
      </c>
      <c r="G7657" s="2">
        <v>1</v>
      </c>
      <c r="H7657" s="1">
        <v>45965.677673611113</v>
      </c>
      <c r="I7657" s="2">
        <v>2</v>
      </c>
      <c r="J7657" s="1">
        <v>45965.42728009259</v>
      </c>
    </row>
    <row r="7658" spans="1:10" x14ac:dyDescent="0.2">
      <c r="A7658" s="4" t="s">
        <v>1</v>
      </c>
      <c r="B7658" s="3" t="str">
        <f>HYPERLINK("https://otsuka-europe-crm.veevavault.com/ui/#object/approved_document__v/V5OZ025E82PTCBT", "ENFERMERÍA - Revista Peplau nº5")</f>
        <v>ENFERMERÍA - Revista Peplau nº5</v>
      </c>
      <c r="C7658" s="3" t="str">
        <f>HYPERLINK("https://otsuka-europe-crm.veevavault.com/ui/#object/sent_email__v/VBL00000000M754", "SE-001389835")</f>
        <v>SE-001389835</v>
      </c>
      <c r="D7658" s="1">
        <v>45974.367337962962</v>
      </c>
      <c r="E7658" s="2">
        <v>1</v>
      </c>
      <c r="F7658" s="2">
        <v>1</v>
      </c>
      <c r="G7658" s="2">
        <v>0</v>
      </c>
      <c r="H7658" s="1" t="s">
        <v>0</v>
      </c>
      <c r="I7658" s="2">
        <v>0</v>
      </c>
      <c r="J7658" s="1">
        <v>45974.339537037034</v>
      </c>
    </row>
    <row r="7659" spans="1:10" x14ac:dyDescent="0.2">
      <c r="A7659" s="4" t="s">
        <v>1</v>
      </c>
      <c r="B7659" s="3" t="str">
        <f>HYPERLINK("https://otsuka-europe-crm.veevavault.com/ui/#object/approved_document__v/V5OZ025E82PTCBT", "ENFERMERÍA - Revista Peplau nº5")</f>
        <v>ENFERMERÍA - Revista Peplau nº5</v>
      </c>
      <c r="C7659" s="3" t="str">
        <f>HYPERLINK("https://otsuka-europe-crm.veevavault.com/ui/#object/sent_email__v/VBL00000000M755", "SE-001389836")</f>
        <v>SE-001389836</v>
      </c>
      <c r="D7659" s="1" t="s">
        <v>0</v>
      </c>
      <c r="E7659" s="2">
        <v>0</v>
      </c>
      <c r="F7659" s="2">
        <v>0</v>
      </c>
      <c r="G7659" s="2">
        <v>0</v>
      </c>
      <c r="H7659" s="1" t="s">
        <v>0</v>
      </c>
      <c r="I7659" s="2">
        <v>0</v>
      </c>
      <c r="J7659" s="1">
        <v>45974.339502314811</v>
      </c>
    </row>
    <row r="7660" spans="1:10" x14ac:dyDescent="0.2">
      <c r="A7660" s="4" t="s">
        <v>1</v>
      </c>
      <c r="B7660" s="3" t="str">
        <f>HYPERLINK("https://otsuka-europe-crm.veevavault.com/ui/#object/approved_document__v/V5OZ025E82PTCBT", "ENFERMERÍA - Revista Peplau nº5")</f>
        <v>ENFERMERÍA - Revista Peplau nº5</v>
      </c>
      <c r="C7660" s="3" t="str">
        <f>HYPERLINK("https://otsuka-europe-crm.veevavault.com/ui/#object/sent_email__v/VBL00000000M756", "SE-001389837")</f>
        <v>SE-001389837</v>
      </c>
      <c r="D7660" s="1">
        <v>45979.604456018518</v>
      </c>
      <c r="E7660" s="2">
        <v>1</v>
      </c>
      <c r="F7660" s="2">
        <v>1</v>
      </c>
      <c r="G7660" s="2">
        <v>0</v>
      </c>
      <c r="H7660" s="1" t="s">
        <v>0</v>
      </c>
      <c r="I7660" s="2">
        <v>0</v>
      </c>
      <c r="J7660" s="1">
        <v>45974.339513888888</v>
      </c>
    </row>
    <row r="7661" spans="1:10" x14ac:dyDescent="0.2">
      <c r="A7661" s="4" t="s">
        <v>1</v>
      </c>
      <c r="B7661" s="3" t="str">
        <f>HYPERLINK("https://otsuka-europe-crm.veevavault.com/ui/#object/approved_document__v/V5OZ025E82PTCBT", "ENFERMERÍA - Revista Peplau nº5")</f>
        <v>ENFERMERÍA - Revista Peplau nº5</v>
      </c>
      <c r="C7661" s="3" t="str">
        <f>HYPERLINK("https://otsuka-europe-crm.veevavault.com/ui/#object/sent_email__v/VBL00000000M757", "SE-001389838")</f>
        <v>SE-001389838</v>
      </c>
      <c r="D7661" s="1" t="s">
        <v>0</v>
      </c>
      <c r="E7661" s="2">
        <v>0</v>
      </c>
      <c r="F7661" s="2">
        <v>0</v>
      </c>
      <c r="G7661" s="2">
        <v>0</v>
      </c>
      <c r="H7661" s="1" t="s">
        <v>0</v>
      </c>
      <c r="I7661" s="2">
        <v>0</v>
      </c>
      <c r="J7661" s="1">
        <v>45974.339467592596</v>
      </c>
    </row>
    <row r="7662" spans="1:10" x14ac:dyDescent="0.2">
      <c r="A7662" s="4" t="s">
        <v>1</v>
      </c>
      <c r="B7662" s="3" t="str">
        <f>HYPERLINK("https://otsuka-europe-crm.veevavault.com/ui/#object/approved_document__v/V5OZ025E82PTCBT", "ENFERMERÍA - Revista Peplau nº5")</f>
        <v>ENFERMERÍA - Revista Peplau nº5</v>
      </c>
      <c r="C7662" s="3" t="str">
        <f>HYPERLINK("https://otsuka-europe-crm.veevavault.com/ui/#object/sent_email__v/VBL00000000M758", "SE-001389839")</f>
        <v>SE-001389839</v>
      </c>
      <c r="D7662" s="1">
        <v>45974.504293981481</v>
      </c>
      <c r="E7662" s="2">
        <v>1</v>
      </c>
      <c r="F7662" s="2">
        <v>1</v>
      </c>
      <c r="G7662" s="2">
        <v>0</v>
      </c>
      <c r="H7662" s="1" t="s">
        <v>0</v>
      </c>
      <c r="I7662" s="2">
        <v>0</v>
      </c>
      <c r="J7662" s="1">
        <v>45974.339444444442</v>
      </c>
    </row>
    <row r="7663" spans="1:10" x14ac:dyDescent="0.2">
      <c r="A7663" s="4" t="s">
        <v>1</v>
      </c>
      <c r="B7663" s="3" t="str">
        <f>HYPERLINK("https://otsuka-europe-crm.veevavault.com/ui/#object/approved_document__v/V5OZ025E82PTCBT", "ENFERMERÍA - Revista Peplau nº5")</f>
        <v>ENFERMERÍA - Revista Peplau nº5</v>
      </c>
      <c r="C7663" s="3" t="str">
        <f>HYPERLINK("https://otsuka-europe-crm.veevavault.com/ui/#object/sent_email__v/VBL00000000M759", "SE-001389840")</f>
        <v>SE-001389840</v>
      </c>
      <c r="D7663" s="1">
        <v>45976.654467592591</v>
      </c>
      <c r="E7663" s="2">
        <v>1</v>
      </c>
      <c r="F7663" s="2">
        <v>1</v>
      </c>
      <c r="G7663" s="2">
        <v>0</v>
      </c>
      <c r="H7663" s="1" t="s">
        <v>0</v>
      </c>
      <c r="I7663" s="2">
        <v>0</v>
      </c>
      <c r="J7663" s="1">
        <v>45974.339594907404</v>
      </c>
    </row>
    <row r="7664" spans="1:10" x14ac:dyDescent="0.2">
      <c r="A7664" s="4" t="s">
        <v>1</v>
      </c>
      <c r="B7664" s="3" t="str">
        <f>HYPERLINK("https://otsuka-europe-crm.veevavault.com/ui/#object/approved_document__v/V5OZ025E82PTCBT", "ENFERMERÍA - Revista Peplau nº5")</f>
        <v>ENFERMERÍA - Revista Peplau nº5</v>
      </c>
      <c r="C7664" s="3" t="str">
        <f>HYPERLINK("https://otsuka-europe-crm.veevavault.com/ui/#object/sent_email__v/VBL00000000M760", "SE-001389841")</f>
        <v>SE-001389841</v>
      </c>
      <c r="D7664" s="1">
        <v>45982.280486111114</v>
      </c>
      <c r="E7664" s="2">
        <v>1</v>
      </c>
      <c r="F7664" s="2">
        <v>2</v>
      </c>
      <c r="G7664" s="2">
        <v>0</v>
      </c>
      <c r="H7664" s="1" t="s">
        <v>0</v>
      </c>
      <c r="I7664" s="2">
        <v>0</v>
      </c>
      <c r="J7664" s="1">
        <v>45974.339537037034</v>
      </c>
    </row>
    <row r="7665" spans="1:10" x14ac:dyDescent="0.2">
      <c r="A7665" s="4" t="s">
        <v>1</v>
      </c>
      <c r="B7665" s="3" t="str">
        <f>HYPERLINK("https://otsuka-europe-crm.veevavault.com/ui/#object/approved_document__v/V5OZ025E82PTCBT", "ENFERMERÍA - Revista Peplau nº5")</f>
        <v>ENFERMERÍA - Revista Peplau nº5</v>
      </c>
      <c r="C7665" s="3" t="str">
        <f>HYPERLINK("https://otsuka-europe-crm.veevavault.com/ui/#object/sent_email__v/VBL00000000M761", "SE-001389842")</f>
        <v>SE-001389842</v>
      </c>
      <c r="D7665" s="1" t="s">
        <v>0</v>
      </c>
      <c r="E7665" s="2">
        <v>0</v>
      </c>
      <c r="F7665" s="2">
        <v>0</v>
      </c>
      <c r="G7665" s="2">
        <v>0</v>
      </c>
      <c r="H7665" s="1" t="s">
        <v>0</v>
      </c>
      <c r="I7665" s="2">
        <v>0</v>
      </c>
      <c r="J7665" s="1">
        <v>45974.339467592596</v>
      </c>
    </row>
    <row r="7666" spans="1:10" x14ac:dyDescent="0.2">
      <c r="A7666" s="4" t="s">
        <v>1</v>
      </c>
      <c r="B7666" s="3" t="str">
        <f>HYPERLINK("https://otsuka-europe-crm.veevavault.com/ui/#object/approved_document__v/V5OZ025E82PTCBT", "ENFERMERÍA - Revista Peplau nº5")</f>
        <v>ENFERMERÍA - Revista Peplau nº5</v>
      </c>
      <c r="C7666" s="3" t="str">
        <f>HYPERLINK("https://otsuka-europe-crm.veevavault.com/ui/#object/sent_email__v/VBL00000000M762", "SE-001389843")</f>
        <v>SE-001389843</v>
      </c>
      <c r="D7666" s="1" t="s">
        <v>0</v>
      </c>
      <c r="E7666" s="2">
        <v>0</v>
      </c>
      <c r="F7666" s="2">
        <v>0</v>
      </c>
      <c r="G7666" s="2">
        <v>0</v>
      </c>
      <c r="H7666" s="1" t="s">
        <v>0</v>
      </c>
      <c r="I7666" s="2">
        <v>0</v>
      </c>
      <c r="J7666" s="1">
        <v>45974.339548611111</v>
      </c>
    </row>
    <row r="7667" spans="1:10" x14ac:dyDescent="0.2">
      <c r="A7667" s="4" t="s">
        <v>1</v>
      </c>
      <c r="B7667" s="3" t="str">
        <f>HYPERLINK("https://otsuka-europe-crm.veevavault.com/ui/#object/approved_document__v/V5OZ025E82PTCBT", "ENFERMERÍA - Revista Peplau nº5")</f>
        <v>ENFERMERÍA - Revista Peplau nº5</v>
      </c>
      <c r="C7667" s="3" t="str">
        <f>HYPERLINK("https://otsuka-europe-crm.veevavault.com/ui/#object/sent_email__v/VBL00000000M763", "SE-001389844")</f>
        <v>SE-001389844</v>
      </c>
      <c r="D7667" s="1">
        <v>45974.752418981479</v>
      </c>
      <c r="E7667" s="2">
        <v>1</v>
      </c>
      <c r="F7667" s="2">
        <v>2</v>
      </c>
      <c r="G7667" s="2">
        <v>1</v>
      </c>
      <c r="H7667" s="1">
        <v>45974.752939814818</v>
      </c>
      <c r="I7667" s="2">
        <v>1</v>
      </c>
      <c r="J7667" s="1">
        <v>45974.339548611111</v>
      </c>
    </row>
    <row r="7668" spans="1:10" x14ac:dyDescent="0.2">
      <c r="A7668" s="4" t="s">
        <v>1</v>
      </c>
      <c r="B7668" s="3" t="str">
        <f>HYPERLINK("https://otsuka-europe-crm.veevavault.com/ui/#object/approved_document__v/V5OZ025E82PTCBT", "ENFERMERÍA - Revista Peplau nº5")</f>
        <v>ENFERMERÍA - Revista Peplau nº5</v>
      </c>
      <c r="C7668" s="3" t="str">
        <f>HYPERLINK("https://otsuka-europe-crm.veevavault.com/ui/#object/sent_email__v/VBL00000000M764", "SE-001389845")</f>
        <v>SE-001389845</v>
      </c>
      <c r="D7668" s="1">
        <v>46028.413981481484</v>
      </c>
      <c r="E7668" s="2">
        <v>1</v>
      </c>
      <c r="F7668" s="2">
        <v>4</v>
      </c>
      <c r="G7668" s="2">
        <v>0</v>
      </c>
      <c r="H7668" s="1" t="s">
        <v>0</v>
      </c>
      <c r="I7668" s="2">
        <v>0</v>
      </c>
      <c r="J7668" s="1">
        <v>45974.339525462965</v>
      </c>
    </row>
    <row r="7669" spans="1:10" x14ac:dyDescent="0.2">
      <c r="A7669" s="4" t="s">
        <v>1</v>
      </c>
      <c r="B7669" s="3" t="str">
        <f>HYPERLINK("https://otsuka-europe-crm.veevavault.com/ui/#object/approved_document__v/V5OZ025E82PTCBT", "ENFERMERÍA - Revista Peplau nº5")</f>
        <v>ENFERMERÍA - Revista Peplau nº5</v>
      </c>
      <c r="C7669" s="3" t="str">
        <f>HYPERLINK("https://otsuka-europe-crm.veevavault.com/ui/#object/sent_email__v/VBL00000000M765", "SE-001389846")</f>
        <v>SE-001389846</v>
      </c>
      <c r="D7669" s="1" t="s">
        <v>0</v>
      </c>
      <c r="E7669" s="2">
        <v>0</v>
      </c>
      <c r="F7669" s="2">
        <v>0</v>
      </c>
      <c r="G7669" s="2">
        <v>0</v>
      </c>
      <c r="H7669" s="1" t="s">
        <v>0</v>
      </c>
      <c r="I7669" s="2">
        <v>0</v>
      </c>
      <c r="J7669" s="1">
        <v>45974.339502314811</v>
      </c>
    </row>
    <row r="7670" spans="1:10" x14ac:dyDescent="0.2">
      <c r="A7670" s="4" t="s">
        <v>1</v>
      </c>
      <c r="B7670" s="3" t="str">
        <f>HYPERLINK("https://otsuka-europe-crm.veevavault.com/ui/#object/approved_document__v/V5OZ025E82PTCBT", "ENFERMERÍA - Revista Peplau nº5")</f>
        <v>ENFERMERÍA - Revista Peplau nº5</v>
      </c>
      <c r="C7670" s="3" t="str">
        <f>HYPERLINK("https://otsuka-europe-crm.veevavault.com/ui/#object/sent_email__v/VBL00000000M766", "SE-001389847")</f>
        <v>SE-001389847</v>
      </c>
      <c r="D7670" s="1" t="s">
        <v>0</v>
      </c>
      <c r="E7670" s="2">
        <v>0</v>
      </c>
      <c r="F7670" s="2">
        <v>0</v>
      </c>
      <c r="G7670" s="2">
        <v>0</v>
      </c>
      <c r="H7670" s="1" t="s">
        <v>0</v>
      </c>
      <c r="I7670" s="2">
        <v>0</v>
      </c>
      <c r="J7670" s="1">
        <v>45974.339618055557</v>
      </c>
    </row>
    <row r="7671" spans="1:10" x14ac:dyDescent="0.2">
      <c r="A7671" s="4" t="s">
        <v>1</v>
      </c>
      <c r="B7671" s="3" t="str">
        <f>HYPERLINK("https://otsuka-europe-crm.veevavault.com/ui/#object/approved_document__v/V5OZ025E82PTCBT", "ENFERMERÍA - Revista Peplau nº5")</f>
        <v>ENFERMERÍA - Revista Peplau nº5</v>
      </c>
      <c r="C7671" s="3" t="str">
        <f>HYPERLINK("https://otsuka-europe-crm.veevavault.com/ui/#object/sent_email__v/VBL00000000M767", "SE-001389848")</f>
        <v>SE-001389848</v>
      </c>
      <c r="D7671" s="1" t="s">
        <v>0</v>
      </c>
      <c r="E7671" s="2">
        <v>0</v>
      </c>
      <c r="F7671" s="2">
        <v>0</v>
      </c>
      <c r="G7671" s="2">
        <v>0</v>
      </c>
      <c r="H7671" s="1" t="s">
        <v>0</v>
      </c>
      <c r="I7671" s="2">
        <v>0</v>
      </c>
      <c r="J7671" s="1">
        <v>45974.339537037034</v>
      </c>
    </row>
    <row r="7672" spans="1:10" x14ac:dyDescent="0.2">
      <c r="A7672" s="4" t="s">
        <v>1</v>
      </c>
      <c r="B7672" s="3" t="str">
        <f>HYPERLINK("https://otsuka-europe-crm.veevavault.com/ui/#object/approved_document__v/V5OZ025E82PTCBT", "ENFERMERÍA - Revista Peplau nº5")</f>
        <v>ENFERMERÍA - Revista Peplau nº5</v>
      </c>
      <c r="C7672" s="3" t="str">
        <f>HYPERLINK("https://otsuka-europe-crm.veevavault.com/ui/#object/sent_email__v/VBL00000000M768", "SE-001389849")</f>
        <v>SE-001389849</v>
      </c>
      <c r="D7672" s="1">
        <v>45974.903414351851</v>
      </c>
      <c r="E7672" s="2">
        <v>1</v>
      </c>
      <c r="F7672" s="2">
        <v>1</v>
      </c>
      <c r="G7672" s="2">
        <v>0</v>
      </c>
      <c r="H7672" s="1" t="s">
        <v>0</v>
      </c>
      <c r="I7672" s="2">
        <v>0</v>
      </c>
      <c r="J7672" s="1">
        <v>45974.339583333334</v>
      </c>
    </row>
    <row r="7673" spans="1:10" x14ac:dyDescent="0.2">
      <c r="A7673" s="4" t="s">
        <v>1</v>
      </c>
      <c r="B7673" s="3" t="str">
        <f>HYPERLINK("https://otsuka-europe-crm.veevavault.com/ui/#object/approved_document__v/V5OZ025E82PTCBT", "ENFERMERÍA - Revista Peplau nº5")</f>
        <v>ENFERMERÍA - Revista Peplau nº5</v>
      </c>
      <c r="C7673" s="3" t="str">
        <f>HYPERLINK("https://otsuka-europe-crm.veevavault.com/ui/#object/sent_email__v/VBL00000000M769", "SE-001389850")</f>
        <v>SE-001389850</v>
      </c>
      <c r="D7673" s="1">
        <v>45974.705509259256</v>
      </c>
      <c r="E7673" s="2">
        <v>1</v>
      </c>
      <c r="F7673" s="2">
        <v>1</v>
      </c>
      <c r="G7673" s="2">
        <v>0</v>
      </c>
      <c r="H7673" s="1" t="s">
        <v>0</v>
      </c>
      <c r="I7673" s="2">
        <v>0</v>
      </c>
      <c r="J7673" s="1">
        <v>45974.339594907404</v>
      </c>
    </row>
    <row r="7674" spans="1:10" x14ac:dyDescent="0.2">
      <c r="A7674" s="4" t="s">
        <v>1</v>
      </c>
      <c r="B7674" s="3" t="str">
        <f>HYPERLINK("https://otsuka-europe-crm.veevavault.com/ui/#object/approved_document__v/V5OZ025E82PTCBT", "ENFERMERÍA - Revista Peplau nº5")</f>
        <v>ENFERMERÍA - Revista Peplau nº5</v>
      </c>
      <c r="C7674" s="3" t="str">
        <f>HYPERLINK("https://otsuka-europe-crm.veevavault.com/ui/#object/sent_email__v/VBL00000000M770", "SE-001389851")</f>
        <v>SE-001389851</v>
      </c>
      <c r="D7674" s="1">
        <v>45974.887754629628</v>
      </c>
      <c r="E7674" s="2">
        <v>1</v>
      </c>
      <c r="F7674" s="2">
        <v>1</v>
      </c>
      <c r="G7674" s="2">
        <v>0</v>
      </c>
      <c r="H7674" s="1" t="s">
        <v>0</v>
      </c>
      <c r="I7674" s="2">
        <v>0</v>
      </c>
      <c r="J7674" s="1">
        <v>45974.339560185188</v>
      </c>
    </row>
    <row r="7675" spans="1:10" x14ac:dyDescent="0.2">
      <c r="A7675" s="4" t="s">
        <v>1</v>
      </c>
      <c r="B7675" s="3" t="str">
        <f>HYPERLINK("https://otsuka-europe-crm.veevavault.com/ui/#object/approved_document__v/V5OZ025E82PTCBT", "ENFERMERÍA - Revista Peplau nº5")</f>
        <v>ENFERMERÍA - Revista Peplau nº5</v>
      </c>
      <c r="C7675" s="3" t="str">
        <f>HYPERLINK("https://otsuka-europe-crm.veevavault.com/ui/#object/sent_email__v/VBL00000000M771", "SE-001389852")</f>
        <v>SE-001389852</v>
      </c>
      <c r="D7675" s="1">
        <v>46071.745289351849</v>
      </c>
      <c r="E7675" s="2">
        <v>1</v>
      </c>
      <c r="F7675" s="2">
        <v>3</v>
      </c>
      <c r="G7675" s="2">
        <v>0</v>
      </c>
      <c r="H7675" s="1" t="s">
        <v>0</v>
      </c>
      <c r="I7675" s="2">
        <v>0</v>
      </c>
      <c r="J7675" s="1">
        <v>45974.339537037034</v>
      </c>
    </row>
    <row r="7676" spans="1:10" x14ac:dyDescent="0.2">
      <c r="A7676" s="4" t="s">
        <v>1</v>
      </c>
      <c r="B7676" s="3" t="str">
        <f>HYPERLINK("https://otsuka-europe-crm.veevavault.com/ui/#object/approved_document__v/V5OZ025E82PTCBT", "ENFERMERÍA - Revista Peplau nº5")</f>
        <v>ENFERMERÍA - Revista Peplau nº5</v>
      </c>
      <c r="C7676" s="3" t="str">
        <f>HYPERLINK("https://otsuka-europe-crm.veevavault.com/ui/#object/sent_email__v/VBL00000000M772", "SE-001389853")</f>
        <v>SE-001389853</v>
      </c>
      <c r="D7676" s="1">
        <v>45974.781678240739</v>
      </c>
      <c r="E7676" s="2">
        <v>1</v>
      </c>
      <c r="F7676" s="2">
        <v>1</v>
      </c>
      <c r="G7676" s="2">
        <v>0</v>
      </c>
      <c r="H7676" s="1" t="s">
        <v>0</v>
      </c>
      <c r="I7676" s="2">
        <v>0</v>
      </c>
      <c r="J7676" s="1">
        <v>45974.339537037034</v>
      </c>
    </row>
    <row r="7677" spans="1:10" x14ac:dyDescent="0.2">
      <c r="A7677" s="4" t="s">
        <v>1</v>
      </c>
      <c r="B7677" s="3" t="str">
        <f>HYPERLINK("https://otsuka-europe-crm.veevavault.com/ui/#object/approved_document__v/V5OZ025E82PTCBT", "ENFERMERÍA - Revista Peplau nº5")</f>
        <v>ENFERMERÍA - Revista Peplau nº5</v>
      </c>
      <c r="C7677" s="3" t="str">
        <f>HYPERLINK("https://otsuka-europe-crm.veevavault.com/ui/#object/sent_email__v/VBL00000000M773", "SE-001389854")</f>
        <v>SE-001389854</v>
      </c>
      <c r="D7677" s="1" t="s">
        <v>0</v>
      </c>
      <c r="E7677" s="2">
        <v>0</v>
      </c>
      <c r="F7677" s="2">
        <v>0</v>
      </c>
      <c r="G7677" s="2">
        <v>0</v>
      </c>
      <c r="H7677" s="1" t="s">
        <v>0</v>
      </c>
      <c r="I7677" s="2">
        <v>0</v>
      </c>
      <c r="J7677" s="1">
        <v>45974.339548611111</v>
      </c>
    </row>
    <row r="7678" spans="1:10" x14ac:dyDescent="0.2">
      <c r="A7678" s="4" t="s">
        <v>1</v>
      </c>
      <c r="B7678" s="3" t="str">
        <f>HYPERLINK("https://otsuka-europe-crm.veevavault.com/ui/#object/approved_document__v/V5OZ025E82PTCBT", "ENFERMERÍA - Revista Peplau nº5")</f>
        <v>ENFERMERÍA - Revista Peplau nº5</v>
      </c>
      <c r="C7678" s="3" t="str">
        <f>HYPERLINK("https://otsuka-europe-crm.veevavault.com/ui/#object/sent_email__v/VBL00000000M774", "SE-001389855")</f>
        <v>SE-001389855</v>
      </c>
      <c r="D7678" s="1" t="s">
        <v>0</v>
      </c>
      <c r="E7678" s="2">
        <v>0</v>
      </c>
      <c r="F7678" s="2">
        <v>0</v>
      </c>
      <c r="G7678" s="2">
        <v>0</v>
      </c>
      <c r="H7678" s="1" t="s">
        <v>0</v>
      </c>
      <c r="I7678" s="2">
        <v>0</v>
      </c>
      <c r="J7678" s="1">
        <v>45974.339490740742</v>
      </c>
    </row>
    <row r="7679" spans="1:10" x14ac:dyDescent="0.2">
      <c r="A7679" s="4" t="s">
        <v>1</v>
      </c>
      <c r="B7679" s="3" t="str">
        <f>HYPERLINK("https://otsuka-europe-crm.veevavault.com/ui/#object/approved_document__v/V5OZ025E82PTCBT", "ENFERMERÍA - Revista Peplau nº5")</f>
        <v>ENFERMERÍA - Revista Peplau nº5</v>
      </c>
      <c r="C7679" s="3" t="str">
        <f>HYPERLINK("https://otsuka-europe-crm.veevavault.com/ui/#object/sent_email__v/VBL00000000M775", "SE-001389856")</f>
        <v>SE-001389856</v>
      </c>
      <c r="D7679" s="1" t="s">
        <v>0</v>
      </c>
      <c r="E7679" s="2">
        <v>0</v>
      </c>
      <c r="F7679" s="2">
        <v>0</v>
      </c>
      <c r="G7679" s="2">
        <v>0</v>
      </c>
      <c r="H7679" s="1" t="s">
        <v>0</v>
      </c>
      <c r="I7679" s="2">
        <v>0</v>
      </c>
      <c r="J7679" s="1">
        <v>45974.339560185188</v>
      </c>
    </row>
    <row r="7680" spans="1:10" x14ac:dyDescent="0.2">
      <c r="A7680" s="4" t="s">
        <v>1</v>
      </c>
      <c r="B7680" s="3" t="str">
        <f>HYPERLINK("https://otsuka-europe-crm.veevavault.com/ui/#object/approved_document__v/V5OZ025E82PTCBT", "ENFERMERÍA - Revista Peplau nº5")</f>
        <v>ENFERMERÍA - Revista Peplau nº5</v>
      </c>
      <c r="C7680" s="3" t="str">
        <f>HYPERLINK("https://otsuka-europe-crm.veevavault.com/ui/#object/sent_email__v/VBL00000000M776", "SE-001389857")</f>
        <v>SE-001389857</v>
      </c>
      <c r="D7680" s="1">
        <v>45990.738287037035</v>
      </c>
      <c r="E7680" s="2">
        <v>1</v>
      </c>
      <c r="F7680" s="2">
        <v>2</v>
      </c>
      <c r="G7680" s="2">
        <v>0</v>
      </c>
      <c r="H7680" s="1" t="s">
        <v>0</v>
      </c>
      <c r="I7680" s="2">
        <v>0</v>
      </c>
      <c r="J7680" s="1">
        <v>45974.339560185188</v>
      </c>
    </row>
    <row r="7681" spans="1:10" x14ac:dyDescent="0.2">
      <c r="A7681" s="4" t="s">
        <v>1</v>
      </c>
      <c r="B7681" s="3" t="str">
        <f>HYPERLINK("https://otsuka-europe-crm.veevavault.com/ui/#object/approved_document__v/V5OZ025E82PTCBT", "ENFERMERÍA - Revista Peplau nº5")</f>
        <v>ENFERMERÍA - Revista Peplau nº5</v>
      </c>
      <c r="C7681" s="3" t="str">
        <f>HYPERLINK("https://otsuka-europe-crm.veevavault.com/ui/#object/sent_email__v/VBL00000000M777", "SE-001389858")</f>
        <v>SE-001389858</v>
      </c>
      <c r="D7681" s="1">
        <v>45974.350925925923</v>
      </c>
      <c r="E7681" s="2">
        <v>1</v>
      </c>
      <c r="F7681" s="2">
        <v>1</v>
      </c>
      <c r="G7681" s="2">
        <v>1</v>
      </c>
      <c r="H7681" s="1">
        <v>45974.351643518516</v>
      </c>
      <c r="I7681" s="2">
        <v>1</v>
      </c>
      <c r="J7681" s="1">
        <v>45974.339560185188</v>
      </c>
    </row>
    <row r="7682" spans="1:10" x14ac:dyDescent="0.2">
      <c r="A7682" s="4" t="s">
        <v>1</v>
      </c>
      <c r="B7682" s="3" t="str">
        <f>HYPERLINK("https://otsuka-europe-crm.veevavault.com/ui/#object/approved_document__v/V5OZ025E82PTCBT", "ENFERMERÍA - Revista Peplau nº5")</f>
        <v>ENFERMERÍA - Revista Peplau nº5</v>
      </c>
      <c r="C7682" s="3" t="str">
        <f>HYPERLINK("https://otsuka-europe-crm.veevavault.com/ui/#object/sent_email__v/VBL00000000M778", "SE-001389859")</f>
        <v>SE-001389859</v>
      </c>
      <c r="D7682" s="1" t="s">
        <v>0</v>
      </c>
      <c r="E7682" s="2">
        <v>0</v>
      </c>
      <c r="F7682" s="2">
        <v>0</v>
      </c>
      <c r="G7682" s="2">
        <v>0</v>
      </c>
      <c r="H7682" s="1" t="s">
        <v>0</v>
      </c>
      <c r="I7682" s="2">
        <v>0</v>
      </c>
      <c r="J7682" s="1">
        <v>45974.339537037034</v>
      </c>
    </row>
    <row r="7683" spans="1:10" x14ac:dyDescent="0.2">
      <c r="A7683" s="4" t="s">
        <v>1</v>
      </c>
      <c r="B7683" s="3" t="str">
        <f>HYPERLINK("https://otsuka-europe-crm.veevavault.com/ui/#object/approved_document__v/V5OZ025E82PTCBT", "ENFERMERÍA - Revista Peplau nº5")</f>
        <v>ENFERMERÍA - Revista Peplau nº5</v>
      </c>
      <c r="C7683" s="3" t="str">
        <f>HYPERLINK("https://otsuka-europe-crm.veevavault.com/ui/#object/sent_email__v/VBL00000000M779", "SE-001389860")</f>
        <v>SE-001389860</v>
      </c>
      <c r="D7683" s="1">
        <v>45974.798854166664</v>
      </c>
      <c r="E7683" s="2">
        <v>1</v>
      </c>
      <c r="F7683" s="2">
        <v>1</v>
      </c>
      <c r="G7683" s="2">
        <v>0</v>
      </c>
      <c r="H7683" s="1" t="s">
        <v>0</v>
      </c>
      <c r="I7683" s="2">
        <v>0</v>
      </c>
      <c r="J7683" s="1">
        <v>45974.339537037034</v>
      </c>
    </row>
    <row r="7684" spans="1:10" x14ac:dyDescent="0.2">
      <c r="A7684" s="4" t="s">
        <v>1</v>
      </c>
      <c r="B7684" s="3" t="str">
        <f>HYPERLINK("https://otsuka-europe-crm.veevavault.com/ui/#object/approved_document__v/V5OZ025E82PTCBT", "ENFERMERÍA - Revista Peplau nº5")</f>
        <v>ENFERMERÍA - Revista Peplau nº5</v>
      </c>
      <c r="C7684" s="3" t="str">
        <f>HYPERLINK("https://otsuka-europe-crm.veevavault.com/ui/#object/sent_email__v/VBL00000000M780", "SE-001389861")</f>
        <v>SE-001389861</v>
      </c>
      <c r="D7684" s="1">
        <v>46003.432662037034</v>
      </c>
      <c r="E7684" s="2">
        <v>1</v>
      </c>
      <c r="F7684" s="2">
        <v>13</v>
      </c>
      <c r="G7684" s="2">
        <v>0</v>
      </c>
      <c r="H7684" s="1" t="s">
        <v>0</v>
      </c>
      <c r="I7684" s="2">
        <v>0</v>
      </c>
      <c r="J7684" s="1">
        <v>45974.339525462965</v>
      </c>
    </row>
    <row r="7685" spans="1:10" x14ac:dyDescent="0.2">
      <c r="A7685" s="4" t="s">
        <v>1</v>
      </c>
      <c r="B7685" s="3" t="str">
        <f>HYPERLINK("https://otsuka-europe-crm.veevavault.com/ui/#object/approved_document__v/V5OZ025E82PTCBT", "ENFERMERÍA - Revista Peplau nº5")</f>
        <v>ENFERMERÍA - Revista Peplau nº5</v>
      </c>
      <c r="C7685" s="3" t="str">
        <f>HYPERLINK("https://otsuka-europe-crm.veevavault.com/ui/#object/sent_email__v/VBL00000000M781", "SE-001389862")</f>
        <v>SE-001389862</v>
      </c>
      <c r="D7685" s="1">
        <v>45974.474050925928</v>
      </c>
      <c r="E7685" s="2">
        <v>1</v>
      </c>
      <c r="F7685" s="2">
        <v>2</v>
      </c>
      <c r="G7685" s="2">
        <v>1</v>
      </c>
      <c r="H7685" s="1">
        <v>45974.474108796298</v>
      </c>
      <c r="I7685" s="2">
        <v>1</v>
      </c>
      <c r="J7685" s="1">
        <v>45974.339537037034</v>
      </c>
    </row>
    <row r="7686" spans="1:10" x14ac:dyDescent="0.2">
      <c r="A7686" s="4" t="s">
        <v>1</v>
      </c>
      <c r="B7686" s="3" t="str">
        <f>HYPERLINK("https://otsuka-europe-crm.veevavault.com/ui/#object/approved_document__v/V5OZ025E82PTCBT", "ENFERMERÍA - Revista Peplau nº5")</f>
        <v>ENFERMERÍA - Revista Peplau nº5</v>
      </c>
      <c r="C7686" s="3" t="str">
        <f>HYPERLINK("https://otsuka-europe-crm.veevavault.com/ui/#object/sent_email__v/VBL00000000M782", "SE-001389863")</f>
        <v>SE-001389863</v>
      </c>
      <c r="D7686" s="1" t="s">
        <v>0</v>
      </c>
      <c r="E7686" s="2">
        <v>0</v>
      </c>
      <c r="F7686" s="2">
        <v>0</v>
      </c>
      <c r="G7686" s="2">
        <v>0</v>
      </c>
      <c r="H7686" s="1" t="s">
        <v>0</v>
      </c>
      <c r="I7686" s="2">
        <v>0</v>
      </c>
      <c r="J7686" s="1">
        <v>45974.339594907404</v>
      </c>
    </row>
    <row r="7687" spans="1:10" x14ac:dyDescent="0.2">
      <c r="A7687" s="4" t="s">
        <v>1</v>
      </c>
      <c r="B7687" s="3" t="str">
        <f>HYPERLINK("https://otsuka-europe-crm.veevavault.com/ui/#object/approved_document__v/V5OZ025E82PTCBT", "ENFERMERÍA - Revista Peplau nº5")</f>
        <v>ENFERMERÍA - Revista Peplau nº5</v>
      </c>
      <c r="C7687" s="3" t="str">
        <f>HYPERLINK("https://otsuka-europe-crm.veevavault.com/ui/#object/sent_email__v/VBL00000000M783", "SE-001389864")</f>
        <v>SE-001389864</v>
      </c>
      <c r="D7687" s="1" t="s">
        <v>0</v>
      </c>
      <c r="E7687" s="2">
        <v>0</v>
      </c>
      <c r="F7687" s="2">
        <v>0</v>
      </c>
      <c r="G7687" s="2">
        <v>0</v>
      </c>
      <c r="H7687" s="1" t="s">
        <v>0</v>
      </c>
      <c r="I7687" s="2">
        <v>0</v>
      </c>
      <c r="J7687" s="1">
        <v>45974.339594907404</v>
      </c>
    </row>
    <row r="7688" spans="1:10" x14ac:dyDescent="0.2">
      <c r="A7688" s="4" t="s">
        <v>1</v>
      </c>
      <c r="B7688" s="3" t="str">
        <f>HYPERLINK("https://otsuka-europe-crm.veevavault.com/ui/#object/approved_document__v/V5OZ025E82PTCBT", "ENFERMERÍA - Revista Peplau nº5")</f>
        <v>ENFERMERÍA - Revista Peplau nº5</v>
      </c>
      <c r="C7688" s="3" t="str">
        <f>HYPERLINK("https://otsuka-europe-crm.veevavault.com/ui/#object/sent_email__v/VBL00000000M784", "SE-001389865")</f>
        <v>SE-001389865</v>
      </c>
      <c r="D7688" s="1">
        <v>45980.933576388888</v>
      </c>
      <c r="E7688" s="2">
        <v>1</v>
      </c>
      <c r="F7688" s="2">
        <v>2</v>
      </c>
      <c r="G7688" s="2">
        <v>0</v>
      </c>
      <c r="H7688" s="1" t="s">
        <v>0</v>
      </c>
      <c r="I7688" s="2">
        <v>0</v>
      </c>
      <c r="J7688" s="1">
        <v>45974.339641203704</v>
      </c>
    </row>
    <row r="7689" spans="1:10" x14ac:dyDescent="0.2">
      <c r="A7689" s="4" t="s">
        <v>1</v>
      </c>
      <c r="B7689" s="3" t="str">
        <f>HYPERLINK("https://otsuka-europe-crm.veevavault.com/ui/#object/approved_document__v/V5OZ025E82PTCBT", "ENFERMERÍA - Revista Peplau nº5")</f>
        <v>ENFERMERÍA - Revista Peplau nº5</v>
      </c>
      <c r="C7689" s="3" t="str">
        <f>HYPERLINK("https://otsuka-europe-crm.veevavault.com/ui/#object/sent_email__v/VBL00000000M785", "SE-001389866")</f>
        <v>SE-001389866</v>
      </c>
      <c r="D7689" s="1">
        <v>45976.331122685187</v>
      </c>
      <c r="E7689" s="2">
        <v>1</v>
      </c>
      <c r="F7689" s="2">
        <v>1</v>
      </c>
      <c r="G7689" s="2">
        <v>0</v>
      </c>
      <c r="H7689" s="1" t="s">
        <v>0</v>
      </c>
      <c r="I7689" s="2">
        <v>0</v>
      </c>
      <c r="J7689" s="1">
        <v>45974.339618055557</v>
      </c>
    </row>
    <row r="7690" spans="1:10" x14ac:dyDescent="0.2">
      <c r="A7690" s="4" t="s">
        <v>1</v>
      </c>
      <c r="B7690" s="3" t="str">
        <f>HYPERLINK("https://otsuka-europe-crm.veevavault.com/ui/#object/approved_document__v/V5OZ025E82PTCBT", "ENFERMERÍA - Revista Peplau nº5")</f>
        <v>ENFERMERÍA - Revista Peplau nº5</v>
      </c>
      <c r="C7690" s="3" t="str">
        <f>HYPERLINK("https://otsuka-europe-crm.veevavault.com/ui/#object/sent_email__v/VBL00000000M786", "SE-001389867")</f>
        <v>SE-001389867</v>
      </c>
      <c r="D7690" s="1">
        <v>46000.449212962965</v>
      </c>
      <c r="E7690" s="2">
        <v>1</v>
      </c>
      <c r="F7690" s="2">
        <v>1</v>
      </c>
      <c r="G7690" s="2">
        <v>0</v>
      </c>
      <c r="H7690" s="1" t="s">
        <v>0</v>
      </c>
      <c r="I7690" s="2">
        <v>0</v>
      </c>
      <c r="J7690" s="1">
        <v>45974.339594907404</v>
      </c>
    </row>
    <row r="7691" spans="1:10" x14ac:dyDescent="0.2">
      <c r="A7691" s="4" t="s">
        <v>1</v>
      </c>
      <c r="B7691" s="3" t="str">
        <f>HYPERLINK("https://otsuka-europe-crm.veevavault.com/ui/#object/approved_document__v/V5OZ025E82PTCBT", "ENFERMERÍA - Revista Peplau nº5")</f>
        <v>ENFERMERÍA - Revista Peplau nº5</v>
      </c>
      <c r="C7691" s="3" t="str">
        <f>HYPERLINK("https://otsuka-europe-crm.veevavault.com/ui/#object/sent_email__v/VBL00000000M787", "SE-001389868")</f>
        <v>SE-001389868</v>
      </c>
      <c r="D7691" s="1">
        <v>45974.817199074074</v>
      </c>
      <c r="E7691" s="2">
        <v>1</v>
      </c>
      <c r="F7691" s="2">
        <v>3</v>
      </c>
      <c r="G7691" s="2">
        <v>0</v>
      </c>
      <c r="H7691" s="1" t="s">
        <v>0</v>
      </c>
      <c r="I7691" s="2">
        <v>0</v>
      </c>
      <c r="J7691" s="1">
        <v>45974.339594907404</v>
      </c>
    </row>
    <row r="7692" spans="1:10" x14ac:dyDescent="0.2">
      <c r="A7692" s="4" t="s">
        <v>1</v>
      </c>
      <c r="B7692" s="3" t="str">
        <f>HYPERLINK("https://otsuka-europe-crm.veevavault.com/ui/#object/approved_document__v/V5OZ025E82PTCBT", "ENFERMERÍA - Revista Peplau nº5")</f>
        <v>ENFERMERÍA - Revista Peplau nº5</v>
      </c>
      <c r="C7692" s="3" t="str">
        <f>HYPERLINK("https://otsuka-europe-crm.veevavault.com/ui/#object/sent_email__v/VBL00000000M788", "SE-001389869")</f>
        <v>SE-001389869</v>
      </c>
      <c r="D7692" s="1">
        <v>46029.379675925928</v>
      </c>
      <c r="E7692" s="2">
        <v>1</v>
      </c>
      <c r="F7692" s="2">
        <v>1</v>
      </c>
      <c r="G7692" s="2">
        <v>0</v>
      </c>
      <c r="H7692" s="1" t="s">
        <v>0</v>
      </c>
      <c r="I7692" s="2">
        <v>0</v>
      </c>
      <c r="J7692" s="1">
        <v>45974.339560185188</v>
      </c>
    </row>
    <row r="7693" spans="1:10" x14ac:dyDescent="0.2">
      <c r="A7693" s="4" t="s">
        <v>1</v>
      </c>
      <c r="B7693" s="3" t="str">
        <f>HYPERLINK("https://otsuka-europe-crm.veevavault.com/ui/#object/approved_document__v/V5OZ025E82PTCBT", "ENFERMERÍA - Revista Peplau nº5")</f>
        <v>ENFERMERÍA - Revista Peplau nº5</v>
      </c>
      <c r="C7693" s="3" t="str">
        <f>HYPERLINK("https://otsuka-europe-crm.veevavault.com/ui/#object/sent_email__v/VBL00000000M789", "SE-001389870")</f>
        <v>SE-001389870</v>
      </c>
      <c r="D7693" s="1" t="s">
        <v>0</v>
      </c>
      <c r="E7693" s="2">
        <v>0</v>
      </c>
      <c r="F7693" s="2">
        <v>0</v>
      </c>
      <c r="G7693" s="2">
        <v>0</v>
      </c>
      <c r="H7693" s="1" t="s">
        <v>0</v>
      </c>
      <c r="I7693" s="2">
        <v>0</v>
      </c>
      <c r="J7693" s="1">
        <v>45974.339606481481</v>
      </c>
    </row>
    <row r="7694" spans="1:10" x14ac:dyDescent="0.2">
      <c r="A7694" s="4" t="s">
        <v>1</v>
      </c>
      <c r="B7694" s="3" t="str">
        <f>HYPERLINK("https://otsuka-europe-crm.veevavault.com/ui/#object/approved_document__v/V5OZ025E82PTCBT", "ENFERMERÍA - Revista Peplau nº5")</f>
        <v>ENFERMERÍA - Revista Peplau nº5</v>
      </c>
      <c r="C7694" s="3" t="str">
        <f>HYPERLINK("https://otsuka-europe-crm.veevavault.com/ui/#object/sent_email__v/VBL00000000M790", "SE-001389871")</f>
        <v>SE-001389871</v>
      </c>
      <c r="D7694" s="1">
        <v>45978.481932870367</v>
      </c>
      <c r="E7694" s="2">
        <v>1</v>
      </c>
      <c r="F7694" s="2">
        <v>1</v>
      </c>
      <c r="G7694" s="2">
        <v>0</v>
      </c>
      <c r="H7694" s="1" t="s">
        <v>0</v>
      </c>
      <c r="I7694" s="2">
        <v>0</v>
      </c>
      <c r="J7694" s="1">
        <v>45974.339618055557</v>
      </c>
    </row>
    <row r="7695" spans="1:10" x14ac:dyDescent="0.2">
      <c r="A7695" s="4" t="s">
        <v>1</v>
      </c>
      <c r="B7695" s="3" t="str">
        <f>HYPERLINK("https://otsuka-europe-crm.veevavault.com/ui/#object/approved_document__v/V5OZ025E82PTCBT", "ENFERMERÍA - Revista Peplau nº5")</f>
        <v>ENFERMERÍA - Revista Peplau nº5</v>
      </c>
      <c r="C7695" s="3" t="str">
        <f>HYPERLINK("https://otsuka-europe-crm.veevavault.com/ui/#object/sent_email__v/VBL00000000M791", "SE-001389872")</f>
        <v>SE-001389872</v>
      </c>
      <c r="D7695" s="1">
        <v>45975.253969907404</v>
      </c>
      <c r="E7695" s="2">
        <v>1</v>
      </c>
      <c r="F7695" s="2">
        <v>1</v>
      </c>
      <c r="G7695" s="2">
        <v>0</v>
      </c>
      <c r="H7695" s="1" t="s">
        <v>0</v>
      </c>
      <c r="I7695" s="2">
        <v>0</v>
      </c>
      <c r="J7695" s="1">
        <v>45974.339606481481</v>
      </c>
    </row>
    <row r="7696" spans="1:10" x14ac:dyDescent="0.2">
      <c r="A7696" s="4" t="s">
        <v>1</v>
      </c>
      <c r="B7696" s="3" t="str">
        <f>HYPERLINK("https://otsuka-europe-crm.veevavault.com/ui/#object/approved_document__v/V5OZ025E82PTCBT", "ENFERMERÍA - Revista Peplau nº5")</f>
        <v>ENFERMERÍA - Revista Peplau nº5</v>
      </c>
      <c r="C7696" s="3" t="str">
        <f>HYPERLINK("https://otsuka-europe-crm.veevavault.com/ui/#object/sent_email__v/VBL00000000M792", "SE-001389873")</f>
        <v>SE-001389873</v>
      </c>
      <c r="D7696" s="1">
        <v>45974.482245370367</v>
      </c>
      <c r="E7696" s="2">
        <v>1</v>
      </c>
      <c r="F7696" s="2">
        <v>1</v>
      </c>
      <c r="G7696" s="2">
        <v>0</v>
      </c>
      <c r="H7696" s="1" t="s">
        <v>0</v>
      </c>
      <c r="I7696" s="2">
        <v>0</v>
      </c>
      <c r="J7696" s="1">
        <v>45974.339594907404</v>
      </c>
    </row>
    <row r="7697" spans="1:10" x14ac:dyDescent="0.2">
      <c r="A7697" s="4" t="s">
        <v>1</v>
      </c>
      <c r="B7697" s="3" t="str">
        <f>HYPERLINK("https://otsuka-europe-crm.veevavault.com/ui/#object/approved_document__v/V5OZ025E82PTCBT", "ENFERMERÍA - Revista Peplau nº5")</f>
        <v>ENFERMERÍA - Revista Peplau nº5</v>
      </c>
      <c r="C7697" s="3" t="str">
        <f>HYPERLINK("https://otsuka-europe-crm.veevavault.com/ui/#object/sent_email__v/VBL00000000M793", "SE-001389874")</f>
        <v>SE-001389874</v>
      </c>
      <c r="D7697" s="1">
        <v>45974.933692129627</v>
      </c>
      <c r="E7697" s="2">
        <v>1</v>
      </c>
      <c r="F7697" s="2">
        <v>1</v>
      </c>
      <c r="G7697" s="2">
        <v>0</v>
      </c>
      <c r="H7697" s="1" t="s">
        <v>0</v>
      </c>
      <c r="I7697" s="2">
        <v>0</v>
      </c>
      <c r="J7697" s="1">
        <v>45974.339583333334</v>
      </c>
    </row>
    <row r="7698" spans="1:10" x14ac:dyDescent="0.2">
      <c r="A7698" s="4" t="s">
        <v>1</v>
      </c>
      <c r="B7698" s="3" t="str">
        <f>HYPERLINK("https://otsuka-europe-crm.veevavault.com/ui/#object/approved_document__v/V5OZ025E82PTCBT", "ENFERMERÍA - Revista Peplau nº5")</f>
        <v>ENFERMERÍA - Revista Peplau nº5</v>
      </c>
      <c r="C7698" s="3" t="str">
        <f>HYPERLINK("https://otsuka-europe-crm.veevavault.com/ui/#object/sent_email__v/VBL00000000M794", "SE-001389875")</f>
        <v>SE-001389875</v>
      </c>
      <c r="D7698" s="1" t="s">
        <v>0</v>
      </c>
      <c r="E7698" s="2">
        <v>0</v>
      </c>
      <c r="F7698" s="2">
        <v>0</v>
      </c>
      <c r="G7698" s="2">
        <v>0</v>
      </c>
      <c r="H7698" s="1" t="s">
        <v>0</v>
      </c>
      <c r="I7698" s="2">
        <v>0</v>
      </c>
      <c r="J7698" s="1">
        <v>45974.339513888888</v>
      </c>
    </row>
    <row r="7699" spans="1:10" x14ac:dyDescent="0.2">
      <c r="A7699" s="4" t="s">
        <v>1</v>
      </c>
      <c r="B7699" s="3" t="str">
        <f>HYPERLINK("https://otsuka-europe-crm.veevavault.com/ui/#object/approved_document__v/V5OZ025E82PTCBT", "ENFERMERÍA - Revista Peplau nº5")</f>
        <v>ENFERMERÍA - Revista Peplau nº5</v>
      </c>
      <c r="C7699" s="3" t="str">
        <f>HYPERLINK("https://otsuka-europe-crm.veevavault.com/ui/#object/sent_email__v/VBL00000000M795", "SE-001389876")</f>
        <v>SE-001389876</v>
      </c>
      <c r="D7699" s="1">
        <v>45974.434039351851</v>
      </c>
      <c r="E7699" s="2">
        <v>1</v>
      </c>
      <c r="F7699" s="2">
        <v>1</v>
      </c>
      <c r="G7699" s="2">
        <v>0</v>
      </c>
      <c r="H7699" s="1" t="s">
        <v>0</v>
      </c>
      <c r="I7699" s="2">
        <v>0</v>
      </c>
      <c r="J7699" s="1">
        <v>45974.339537037034</v>
      </c>
    </row>
    <row r="7700" spans="1:10" x14ac:dyDescent="0.2">
      <c r="A7700" s="4" t="s">
        <v>1</v>
      </c>
      <c r="B7700" s="3" t="str">
        <f>HYPERLINK("https://otsuka-europe-crm.veevavault.com/ui/#object/approved_document__v/V5OZ025E82PTCBT", "ENFERMERÍA - Revista Peplau nº5")</f>
        <v>ENFERMERÍA - Revista Peplau nº5</v>
      </c>
      <c r="C7700" s="3" t="str">
        <f>HYPERLINK("https://otsuka-europe-crm.veevavault.com/ui/#object/sent_email__v/VBL00000000M796", "SE-001389877")</f>
        <v>SE-001389877</v>
      </c>
      <c r="D7700" s="1" t="s">
        <v>0</v>
      </c>
      <c r="E7700" s="2">
        <v>0</v>
      </c>
      <c r="F7700" s="2">
        <v>0</v>
      </c>
      <c r="G7700" s="2">
        <v>0</v>
      </c>
      <c r="H7700" s="1" t="s">
        <v>0</v>
      </c>
      <c r="I7700" s="2">
        <v>0</v>
      </c>
      <c r="J7700" s="1">
        <v>45974.339548611111</v>
      </c>
    </row>
    <row r="7701" spans="1:10" x14ac:dyDescent="0.2">
      <c r="A7701" s="4" t="s">
        <v>1</v>
      </c>
      <c r="B7701" s="3" t="str">
        <f>HYPERLINK("https://otsuka-europe-crm.veevavault.com/ui/#object/approved_document__v/V5OZ025E82PTCBT", "ENFERMERÍA - Revista Peplau nº5")</f>
        <v>ENFERMERÍA - Revista Peplau nº5</v>
      </c>
      <c r="C7701" s="3" t="str">
        <f>HYPERLINK("https://otsuka-europe-crm.veevavault.com/ui/#object/sent_email__v/VBL00000000M797", "SE-001389878")</f>
        <v>SE-001389878</v>
      </c>
      <c r="D7701" s="1" t="s">
        <v>0</v>
      </c>
      <c r="E7701" s="2">
        <v>0</v>
      </c>
      <c r="F7701" s="2">
        <v>0</v>
      </c>
      <c r="G7701" s="2">
        <v>0</v>
      </c>
      <c r="H7701" s="1" t="s">
        <v>0</v>
      </c>
      <c r="I7701" s="2">
        <v>0</v>
      </c>
      <c r="J7701" s="1">
        <v>45974.339571759258</v>
      </c>
    </row>
    <row r="7702" spans="1:10" x14ac:dyDescent="0.2">
      <c r="A7702" s="4" t="s">
        <v>1</v>
      </c>
      <c r="B7702" s="3" t="str">
        <f>HYPERLINK("https://otsuka-europe-crm.veevavault.com/ui/#object/approved_document__v/V5OZ025E82PTCBT", "ENFERMERÍA - Revista Peplau nº5")</f>
        <v>ENFERMERÍA - Revista Peplau nº5</v>
      </c>
      <c r="C7702" s="3" t="str">
        <f>HYPERLINK("https://otsuka-europe-crm.veevavault.com/ui/#object/sent_email__v/VBL00000000M798", "SE-001389879")</f>
        <v>SE-001389879</v>
      </c>
      <c r="D7702" s="1" t="s">
        <v>0</v>
      </c>
      <c r="E7702" s="2">
        <v>0</v>
      </c>
      <c r="F7702" s="2">
        <v>0</v>
      </c>
      <c r="G7702" s="2">
        <v>0</v>
      </c>
      <c r="H7702" s="1" t="s">
        <v>0</v>
      </c>
      <c r="I7702" s="2">
        <v>0</v>
      </c>
      <c r="J7702" s="1">
        <v>45974.339560185188</v>
      </c>
    </row>
    <row r="7703" spans="1:10" x14ac:dyDescent="0.2">
      <c r="A7703" s="4" t="s">
        <v>1</v>
      </c>
      <c r="B7703" s="3" t="str">
        <f>HYPERLINK("https://otsuka-europe-crm.veevavault.com/ui/#object/approved_document__v/V5OZ025E82PTCBT", "ENFERMERÍA - Revista Peplau nº5")</f>
        <v>ENFERMERÍA - Revista Peplau nº5</v>
      </c>
      <c r="C7703" s="3" t="str">
        <f>HYPERLINK("https://otsuka-europe-crm.veevavault.com/ui/#object/sent_email__v/VBL00000000M799", "SE-001389880")</f>
        <v>SE-001389880</v>
      </c>
      <c r="D7703" s="1">
        <v>46030.740428240744</v>
      </c>
      <c r="E7703" s="2">
        <v>1</v>
      </c>
      <c r="F7703" s="2">
        <v>7</v>
      </c>
      <c r="G7703" s="2">
        <v>0</v>
      </c>
      <c r="H7703" s="1" t="s">
        <v>0</v>
      </c>
      <c r="I7703" s="2">
        <v>0</v>
      </c>
      <c r="J7703" s="1">
        <v>45974.339618055557</v>
      </c>
    </row>
    <row r="7704" spans="1:10" x14ac:dyDescent="0.2">
      <c r="A7704" s="4" t="s">
        <v>1</v>
      </c>
      <c r="B7704" s="3" t="str">
        <f>HYPERLINK("https://otsuka-europe-crm.veevavault.com/ui/#object/approved_document__v/V5OZ025E82PTCBT", "ENFERMERÍA - Revista Peplau nº5")</f>
        <v>ENFERMERÍA - Revista Peplau nº5</v>
      </c>
      <c r="C7704" s="3" t="str">
        <f>HYPERLINK("https://otsuka-europe-crm.veevavault.com/ui/#object/sent_email__v/VBL00000000M800", "SE-001389881")</f>
        <v>SE-001389881</v>
      </c>
      <c r="D7704" s="1" t="s">
        <v>0</v>
      </c>
      <c r="E7704" s="2">
        <v>0</v>
      </c>
      <c r="F7704" s="2">
        <v>0</v>
      </c>
      <c r="G7704" s="2">
        <v>0</v>
      </c>
      <c r="H7704" s="1" t="s">
        <v>0</v>
      </c>
      <c r="I7704" s="2">
        <v>0</v>
      </c>
      <c r="J7704" s="1">
        <v>45974.340069444443</v>
      </c>
    </row>
    <row r="7705" spans="1:10" x14ac:dyDescent="0.2">
      <c r="A7705" s="4" t="s">
        <v>1</v>
      </c>
      <c r="B7705" s="3" t="str">
        <f>HYPERLINK("https://otsuka-europe-crm.veevavault.com/ui/#object/approved_document__v/V5OZ025E82PTCBT", "ENFERMERÍA - Revista Peplau nº5")</f>
        <v>ENFERMERÍA - Revista Peplau nº5</v>
      </c>
      <c r="C7705" s="3" t="str">
        <f>HYPERLINK("https://otsuka-europe-crm.veevavault.com/ui/#object/sent_email__v/VBL00000000M801", "SE-001389882")</f>
        <v>SE-001389882</v>
      </c>
      <c r="D7705" s="1">
        <v>45981.776875000003</v>
      </c>
      <c r="E7705" s="2">
        <v>1</v>
      </c>
      <c r="F7705" s="2">
        <v>2</v>
      </c>
      <c r="G7705" s="2">
        <v>0</v>
      </c>
      <c r="H7705" s="1" t="s">
        <v>0</v>
      </c>
      <c r="I7705" s="2">
        <v>0</v>
      </c>
      <c r="J7705" s="1">
        <v>45974.340127314812</v>
      </c>
    </row>
    <row r="7706" spans="1:10" x14ac:dyDescent="0.2">
      <c r="A7706" s="4" t="s">
        <v>1</v>
      </c>
      <c r="B7706" s="3" t="str">
        <f>HYPERLINK("https://otsuka-europe-crm.veevavault.com/ui/#object/approved_document__v/V5OZ025E82PTCBT", "ENFERMERÍA - Revista Peplau nº5")</f>
        <v>ENFERMERÍA - Revista Peplau nº5</v>
      </c>
      <c r="C7706" s="3" t="str">
        <f>HYPERLINK("https://otsuka-europe-crm.veevavault.com/ui/#object/sent_email__v/VBL00000000M802", "SE-001389883")</f>
        <v>SE-001389883</v>
      </c>
      <c r="D7706" s="1">
        <v>45975.759027777778</v>
      </c>
      <c r="E7706" s="2">
        <v>1</v>
      </c>
      <c r="F7706" s="2">
        <v>1</v>
      </c>
      <c r="G7706" s="2">
        <v>0</v>
      </c>
      <c r="H7706" s="1" t="s">
        <v>0</v>
      </c>
      <c r="I7706" s="2">
        <v>0</v>
      </c>
      <c r="J7706" s="1">
        <v>45974.34003472222</v>
      </c>
    </row>
    <row r="7707" spans="1:10" x14ac:dyDescent="0.2">
      <c r="A7707" s="4" t="s">
        <v>1</v>
      </c>
      <c r="B7707" s="3" t="str">
        <f>HYPERLINK("https://otsuka-europe-crm.veevavault.com/ui/#object/approved_document__v/V5OZ025E82PTCBT", "ENFERMERÍA - Revista Peplau nº5")</f>
        <v>ENFERMERÍA - Revista Peplau nº5</v>
      </c>
      <c r="C7707" s="3" t="str">
        <f>HYPERLINK("https://otsuka-europe-crm.veevavault.com/ui/#object/sent_email__v/VBL00000000M803", "SE-001389884")</f>
        <v>SE-001389884</v>
      </c>
      <c r="D7707" s="1" t="s">
        <v>0</v>
      </c>
      <c r="E7707" s="2">
        <v>0</v>
      </c>
      <c r="F7707" s="2">
        <v>0</v>
      </c>
      <c r="G7707" s="2">
        <v>0</v>
      </c>
      <c r="H7707" s="1" t="s">
        <v>0</v>
      </c>
      <c r="I7707" s="2">
        <v>0</v>
      </c>
      <c r="J7707" s="1">
        <v>45974.340057870373</v>
      </c>
    </row>
    <row r="7708" spans="1:10" x14ac:dyDescent="0.2">
      <c r="A7708" s="4" t="s">
        <v>1</v>
      </c>
      <c r="B7708" s="3" t="str">
        <f>HYPERLINK("https://otsuka-europe-crm.veevavault.com/ui/#object/approved_document__v/V5OZ025E82PTCBT", "ENFERMERÍA - Revista Peplau nº5")</f>
        <v>ENFERMERÍA - Revista Peplau nº5</v>
      </c>
      <c r="C7708" s="3" t="str">
        <f>HYPERLINK("https://otsuka-europe-crm.veevavault.com/ui/#object/sent_email__v/VBL00000000N021", "SE-001389885")</f>
        <v>SE-001389885</v>
      </c>
      <c r="D7708" s="1">
        <v>45974.364189814813</v>
      </c>
      <c r="E7708" s="2">
        <v>1</v>
      </c>
      <c r="F7708" s="2">
        <v>1</v>
      </c>
      <c r="G7708" s="2">
        <v>0</v>
      </c>
      <c r="H7708" s="1" t="s">
        <v>0</v>
      </c>
      <c r="I7708" s="2">
        <v>0</v>
      </c>
      <c r="J7708" s="1">
        <v>45974.339166666665</v>
      </c>
    </row>
    <row r="7709" spans="1:10" x14ac:dyDescent="0.2">
      <c r="A7709" s="4" t="s">
        <v>1</v>
      </c>
      <c r="B7709" s="3" t="str">
        <f>HYPERLINK("https://otsuka-europe-crm.veevavault.com/ui/#object/approved_document__v/V5OZ025E82PTCBT", "ENFERMERÍA - Revista Peplau nº5")</f>
        <v>ENFERMERÍA - Revista Peplau nº5</v>
      </c>
      <c r="C7709" s="3" t="str">
        <f>HYPERLINK("https://otsuka-europe-crm.veevavault.com/ui/#object/sent_email__v/VBL00000000N022", "SE-001389886")</f>
        <v>SE-001389886</v>
      </c>
      <c r="D7709" s="1" t="s">
        <v>0</v>
      </c>
      <c r="E7709" s="2">
        <v>0</v>
      </c>
      <c r="F7709" s="2">
        <v>0</v>
      </c>
      <c r="G7709" s="2">
        <v>0</v>
      </c>
      <c r="H7709" s="1" t="s">
        <v>0</v>
      </c>
      <c r="I7709" s="2">
        <v>0</v>
      </c>
      <c r="J7709" s="1">
        <v>45974.339178240742</v>
      </c>
    </row>
    <row r="7710" spans="1:10" x14ac:dyDescent="0.2">
      <c r="A7710" s="4" t="s">
        <v>1</v>
      </c>
      <c r="B7710" s="3" t="str">
        <f>HYPERLINK("https://otsuka-europe-crm.veevavault.com/ui/#object/approved_document__v/V5OZ025E82PTCBT", "ENFERMERÍA - Revista Peplau nº5")</f>
        <v>ENFERMERÍA - Revista Peplau nº5</v>
      </c>
      <c r="C7710" s="3" t="str">
        <f>HYPERLINK("https://otsuka-europe-crm.veevavault.com/ui/#object/sent_email__v/VBL00000000N023", "SE-001389887")</f>
        <v>SE-001389887</v>
      </c>
      <c r="D7710" s="1" t="s">
        <v>0</v>
      </c>
      <c r="E7710" s="2">
        <v>0</v>
      </c>
      <c r="F7710" s="2">
        <v>0</v>
      </c>
      <c r="G7710" s="2">
        <v>0</v>
      </c>
      <c r="H7710" s="1" t="s">
        <v>0</v>
      </c>
      <c r="I7710" s="2">
        <v>0</v>
      </c>
      <c r="J7710" s="1">
        <v>45974.339224537034</v>
      </c>
    </row>
    <row r="7711" spans="1:10" x14ac:dyDescent="0.2">
      <c r="A7711" s="4" t="s">
        <v>1</v>
      </c>
      <c r="B7711" s="3" t="str">
        <f>HYPERLINK("https://otsuka-europe-crm.veevavault.com/ui/#object/approved_document__v/V5OZ025E82PTCBT", "ENFERMERÍA - Revista Peplau nº5")</f>
        <v>ENFERMERÍA - Revista Peplau nº5</v>
      </c>
      <c r="C7711" s="3" t="str">
        <f>HYPERLINK("https://otsuka-europe-crm.veevavault.com/ui/#object/sent_email__v/VBL00000000N024", "SE-001389888")</f>
        <v>SE-001389888</v>
      </c>
      <c r="D7711" s="1" t="s">
        <v>0</v>
      </c>
      <c r="E7711" s="2">
        <v>0</v>
      </c>
      <c r="F7711" s="2">
        <v>0</v>
      </c>
      <c r="G7711" s="2">
        <v>0</v>
      </c>
      <c r="H7711" s="1" t="s">
        <v>0</v>
      </c>
      <c r="I7711" s="2">
        <v>0</v>
      </c>
      <c r="J7711" s="1">
        <v>45974.339201388888</v>
      </c>
    </row>
    <row r="7712" spans="1:10" x14ac:dyDescent="0.2">
      <c r="A7712" s="4" t="s">
        <v>1</v>
      </c>
      <c r="B7712" s="3" t="str">
        <f>HYPERLINK("https://otsuka-europe-crm.veevavault.com/ui/#object/approved_document__v/V5OZ025E82PTCBT", "ENFERMERÍA - Revista Peplau nº5")</f>
        <v>ENFERMERÍA - Revista Peplau nº5</v>
      </c>
      <c r="C7712" s="3" t="str">
        <f>HYPERLINK("https://otsuka-europe-crm.veevavault.com/ui/#object/sent_email__v/VBL00000000N025", "SE-001389889")</f>
        <v>SE-001389889</v>
      </c>
      <c r="D7712" s="1" t="s">
        <v>0</v>
      </c>
      <c r="E7712" s="2">
        <v>0</v>
      </c>
      <c r="F7712" s="2">
        <v>0</v>
      </c>
      <c r="G7712" s="2">
        <v>0</v>
      </c>
      <c r="H7712" s="1" t="s">
        <v>0</v>
      </c>
      <c r="I7712" s="2">
        <v>0</v>
      </c>
      <c r="J7712" s="1">
        <v>45974.339166666665</v>
      </c>
    </row>
    <row r="7713" spans="1:10" x14ac:dyDescent="0.2">
      <c r="A7713" s="4" t="s">
        <v>1</v>
      </c>
      <c r="B7713" s="3" t="str">
        <f>HYPERLINK("https://otsuka-europe-crm.veevavault.com/ui/#object/approved_document__v/V5OZ025E82PTCBT", "ENFERMERÍA - Revista Peplau nº5")</f>
        <v>ENFERMERÍA - Revista Peplau nº5</v>
      </c>
      <c r="C7713" s="3" t="str">
        <f>HYPERLINK("https://otsuka-europe-crm.veevavault.com/ui/#object/sent_email__v/VBL00000000N026", "SE-001389890")</f>
        <v>SE-001389890</v>
      </c>
      <c r="D7713" s="1" t="s">
        <v>0</v>
      </c>
      <c r="E7713" s="2">
        <v>0</v>
      </c>
      <c r="F7713" s="2">
        <v>0</v>
      </c>
      <c r="G7713" s="2">
        <v>0</v>
      </c>
      <c r="H7713" s="1" t="s">
        <v>0</v>
      </c>
      <c r="I7713" s="2">
        <v>0</v>
      </c>
      <c r="J7713" s="1">
        <v>45974.339085648149</v>
      </c>
    </row>
    <row r="7714" spans="1:10" x14ac:dyDescent="0.2">
      <c r="A7714" s="4" t="s">
        <v>1</v>
      </c>
      <c r="B7714" s="3" t="str">
        <f>HYPERLINK("https://otsuka-europe-crm.veevavault.com/ui/#object/approved_document__v/V5OZ025E82PTCBT", "ENFERMERÍA - Revista Peplau nº5")</f>
        <v>ENFERMERÍA - Revista Peplau nº5</v>
      </c>
      <c r="C7714" s="3" t="str">
        <f>HYPERLINK("https://otsuka-europe-crm.veevavault.com/ui/#object/sent_email__v/VBL00000000N027", "SE-001389891")</f>
        <v>SE-001389891</v>
      </c>
      <c r="D7714" s="1">
        <v>45978.915763888886</v>
      </c>
      <c r="E7714" s="2">
        <v>1</v>
      </c>
      <c r="F7714" s="2">
        <v>1</v>
      </c>
      <c r="G7714" s="2">
        <v>0</v>
      </c>
      <c r="H7714" s="1" t="s">
        <v>0</v>
      </c>
      <c r="I7714" s="2">
        <v>0</v>
      </c>
      <c r="J7714" s="1">
        <v>45974.339143518519</v>
      </c>
    </row>
    <row r="7715" spans="1:10" x14ac:dyDescent="0.2">
      <c r="A7715" s="4" t="s">
        <v>1</v>
      </c>
      <c r="B7715" s="3" t="str">
        <f>HYPERLINK("https://otsuka-europe-crm.veevavault.com/ui/#object/approved_document__v/V5OZ025E82PTCBT", "ENFERMERÍA - Revista Peplau nº5")</f>
        <v>ENFERMERÍA - Revista Peplau nº5</v>
      </c>
      <c r="C7715" s="3" t="str">
        <f>HYPERLINK("https://otsuka-europe-crm.veevavault.com/ui/#object/sent_email__v/VBL00000000N028", "SE-001389892")</f>
        <v>SE-001389892</v>
      </c>
      <c r="D7715" s="1">
        <v>45975.778923611113</v>
      </c>
      <c r="E7715" s="2">
        <v>1</v>
      </c>
      <c r="F7715" s="2">
        <v>2</v>
      </c>
      <c r="G7715" s="2">
        <v>0</v>
      </c>
      <c r="H7715" s="1" t="s">
        <v>0</v>
      </c>
      <c r="I7715" s="2">
        <v>0</v>
      </c>
      <c r="J7715" s="1">
        <v>45974.339212962965</v>
      </c>
    </row>
    <row r="7716" spans="1:10" x14ac:dyDescent="0.2">
      <c r="A7716" s="4" t="s">
        <v>1</v>
      </c>
      <c r="B7716" s="3" t="str">
        <f>HYPERLINK("https://otsuka-europe-crm.veevavault.com/ui/#object/approved_document__v/V5OZ025E82PTCBT", "ENFERMERÍA - Revista Peplau nº5")</f>
        <v>ENFERMERÍA - Revista Peplau nº5</v>
      </c>
      <c r="C7716" s="3" t="str">
        <f>HYPERLINK("https://otsuka-europe-crm.veevavault.com/ui/#object/sent_email__v/VBL00000000N029", "SE-001389893")</f>
        <v>SE-001389893</v>
      </c>
      <c r="D7716" s="1">
        <v>45995.997615740744</v>
      </c>
      <c r="E7716" s="2">
        <v>1</v>
      </c>
      <c r="F7716" s="2">
        <v>2</v>
      </c>
      <c r="G7716" s="2">
        <v>0</v>
      </c>
      <c r="H7716" s="1" t="s">
        <v>0</v>
      </c>
      <c r="I7716" s="2">
        <v>0</v>
      </c>
      <c r="J7716" s="1">
        <v>45974.339108796295</v>
      </c>
    </row>
    <row r="7717" spans="1:10" x14ac:dyDescent="0.2">
      <c r="A7717" s="4" t="s">
        <v>1</v>
      </c>
      <c r="B7717" s="3" t="str">
        <f>HYPERLINK("https://otsuka-europe-crm.veevavault.com/ui/#object/approved_document__v/V5OZ025E82PTCBT", "ENFERMERÍA - Revista Peplau nº5")</f>
        <v>ENFERMERÍA - Revista Peplau nº5</v>
      </c>
      <c r="C7717" s="3" t="str">
        <f>HYPERLINK("https://otsuka-europe-crm.veevavault.com/ui/#object/sent_email__v/VBL00000000N030", "SE-001389894")</f>
        <v>SE-001389894</v>
      </c>
      <c r="D7717" s="1">
        <v>45979.179456018515</v>
      </c>
      <c r="E7717" s="2">
        <v>1</v>
      </c>
      <c r="F7717" s="2">
        <v>3</v>
      </c>
      <c r="G7717" s="2">
        <v>0</v>
      </c>
      <c r="H7717" s="1" t="s">
        <v>0</v>
      </c>
      <c r="I7717" s="2">
        <v>0</v>
      </c>
      <c r="J7717" s="1">
        <v>45974.339108796295</v>
      </c>
    </row>
    <row r="7718" spans="1:10" x14ac:dyDescent="0.2">
      <c r="A7718" s="4" t="s">
        <v>1</v>
      </c>
      <c r="B7718" s="3" t="str">
        <f>HYPERLINK("https://otsuka-europe-crm.veevavault.com/ui/#object/approved_document__v/V5OZ025E82PTCBT", "ENFERMERÍA - Revista Peplau nº5")</f>
        <v>ENFERMERÍA - Revista Peplau nº5</v>
      </c>
      <c r="C7718" s="3" t="str">
        <f>HYPERLINK("https://otsuka-europe-crm.veevavault.com/ui/#object/sent_email__v/VBL00000000N031", "SE-001389895")</f>
        <v>SE-001389895</v>
      </c>
      <c r="D7718" s="1" t="s">
        <v>0</v>
      </c>
      <c r="E7718" s="2">
        <v>0</v>
      </c>
      <c r="F7718" s="2">
        <v>0</v>
      </c>
      <c r="G7718" s="2">
        <v>0</v>
      </c>
      <c r="H7718" s="1" t="s">
        <v>0</v>
      </c>
      <c r="I7718" s="2">
        <v>0</v>
      </c>
      <c r="J7718" s="1">
        <v>45974.339143518519</v>
      </c>
    </row>
    <row r="7719" spans="1:10" x14ac:dyDescent="0.2">
      <c r="A7719" s="4" t="s">
        <v>1</v>
      </c>
      <c r="B7719" s="3" t="str">
        <f>HYPERLINK("https://otsuka-europe-crm.veevavault.com/ui/#object/approved_document__v/V5OZ025E82PTCBT", "ENFERMERÍA - Revista Peplau nº5")</f>
        <v>ENFERMERÍA - Revista Peplau nº5</v>
      </c>
      <c r="C7719" s="3" t="str">
        <f>HYPERLINK("https://otsuka-europe-crm.veevavault.com/ui/#object/sent_email__v/VBL00000000N032", "SE-001389896")</f>
        <v>SE-001389896</v>
      </c>
      <c r="D7719" s="1">
        <v>45974.632997685185</v>
      </c>
      <c r="E7719" s="2">
        <v>1</v>
      </c>
      <c r="F7719" s="2">
        <v>1</v>
      </c>
      <c r="G7719" s="2">
        <v>0</v>
      </c>
      <c r="H7719" s="1" t="s">
        <v>0</v>
      </c>
      <c r="I7719" s="2">
        <v>0</v>
      </c>
      <c r="J7719" s="1">
        <v>45974.339166666665</v>
      </c>
    </row>
    <row r="7720" spans="1:10" x14ac:dyDescent="0.2">
      <c r="A7720" s="4" t="s">
        <v>1</v>
      </c>
      <c r="B7720" s="3" t="str">
        <f>HYPERLINK("https://otsuka-europe-crm.veevavault.com/ui/#object/approved_document__v/V5OZ025E82PTCBT", "ENFERMERÍA - Revista Peplau nº5")</f>
        <v>ENFERMERÍA - Revista Peplau nº5</v>
      </c>
      <c r="C7720" s="3" t="str">
        <f>HYPERLINK("https://otsuka-europe-crm.veevavault.com/ui/#object/sent_email__v/VBL00000000N033", "SE-001389897")</f>
        <v>SE-001389897</v>
      </c>
      <c r="D7720" s="1" t="s">
        <v>0</v>
      </c>
      <c r="E7720" s="2">
        <v>0</v>
      </c>
      <c r="F7720" s="2">
        <v>0</v>
      </c>
      <c r="G7720" s="2">
        <v>0</v>
      </c>
      <c r="H7720" s="1" t="s">
        <v>0</v>
      </c>
      <c r="I7720" s="2">
        <v>0</v>
      </c>
      <c r="J7720" s="1">
        <v>45974.339131944442</v>
      </c>
    </row>
    <row r="7721" spans="1:10" x14ac:dyDescent="0.2">
      <c r="A7721" s="4" t="s">
        <v>1</v>
      </c>
      <c r="B7721" s="3" t="str">
        <f>HYPERLINK("https://otsuka-europe-crm.veevavault.com/ui/#object/approved_document__v/V5OZ025E82PTCBT", "ENFERMERÍA - Revista Peplau nº5")</f>
        <v>ENFERMERÍA - Revista Peplau nº5</v>
      </c>
      <c r="C7721" s="3" t="str">
        <f>HYPERLINK("https://otsuka-europe-crm.veevavault.com/ui/#object/sent_email__v/VBL00000000N034", "SE-001389898")</f>
        <v>SE-001389898</v>
      </c>
      <c r="D7721" s="1" t="s">
        <v>0</v>
      </c>
      <c r="E7721" s="2">
        <v>0</v>
      </c>
      <c r="F7721" s="2">
        <v>0</v>
      </c>
      <c r="G7721" s="2">
        <v>0</v>
      </c>
      <c r="H7721" s="1" t="s">
        <v>0</v>
      </c>
      <c r="I7721" s="2">
        <v>0</v>
      </c>
      <c r="J7721" s="1">
        <v>45974.339155092595</v>
      </c>
    </row>
    <row r="7722" spans="1:10" x14ac:dyDescent="0.2">
      <c r="A7722" s="4" t="s">
        <v>1</v>
      </c>
      <c r="B7722" s="3" t="str">
        <f>HYPERLINK("https://otsuka-europe-crm.veevavault.com/ui/#object/approved_document__v/V5OZ025E82PTCBT", "ENFERMERÍA - Revista Peplau nº5")</f>
        <v>ENFERMERÍA - Revista Peplau nº5</v>
      </c>
      <c r="C7722" s="3" t="str">
        <f>HYPERLINK("https://otsuka-europe-crm.veevavault.com/ui/#object/sent_email__v/VBL00000000N035", "SE-001389899")</f>
        <v>SE-001389899</v>
      </c>
      <c r="D7722" s="1">
        <v>45980.317743055559</v>
      </c>
      <c r="E7722" s="2">
        <v>1</v>
      </c>
      <c r="F7722" s="2">
        <v>2</v>
      </c>
      <c r="G7722" s="2">
        <v>0</v>
      </c>
      <c r="H7722" s="1" t="s">
        <v>0</v>
      </c>
      <c r="I7722" s="2">
        <v>0</v>
      </c>
      <c r="J7722" s="1">
        <v>45974.339039351849</v>
      </c>
    </row>
    <row r="7723" spans="1:10" x14ac:dyDescent="0.2">
      <c r="A7723" s="4" t="s">
        <v>1</v>
      </c>
      <c r="B7723" s="3" t="str">
        <f>HYPERLINK("https://otsuka-europe-crm.veevavault.com/ui/#object/approved_document__v/V5OZ025E82PTCBT", "ENFERMERÍA - Revista Peplau nº5")</f>
        <v>ENFERMERÍA - Revista Peplau nº5</v>
      </c>
      <c r="C7723" s="3" t="str">
        <f>HYPERLINK("https://otsuka-europe-crm.veevavault.com/ui/#object/sent_email__v/VBL00000000N036", "SE-001389900")</f>
        <v>SE-001389900</v>
      </c>
      <c r="D7723" s="1" t="s">
        <v>0</v>
      </c>
      <c r="E7723" s="2">
        <v>0</v>
      </c>
      <c r="F7723" s="2">
        <v>0</v>
      </c>
      <c r="G7723" s="2">
        <v>0</v>
      </c>
      <c r="H7723" s="1" t="s">
        <v>0</v>
      </c>
      <c r="I7723" s="2">
        <v>0</v>
      </c>
      <c r="J7723" s="1">
        <v>45974.339120370372</v>
      </c>
    </row>
    <row r="7724" spans="1:10" x14ac:dyDescent="0.2">
      <c r="A7724" s="4" t="s">
        <v>1</v>
      </c>
      <c r="B7724" s="3" t="str">
        <f>HYPERLINK("https://otsuka-europe-crm.veevavault.com/ui/#object/approved_document__v/V5OZ025E82PTCBT", "ENFERMERÍA - Revista Peplau nº5")</f>
        <v>ENFERMERÍA - Revista Peplau nº5</v>
      </c>
      <c r="C7724" s="3" t="str">
        <f>HYPERLINK("https://otsuka-europe-crm.veevavault.com/ui/#object/sent_email__v/VBL00000000N037", "SE-001389901")</f>
        <v>SE-001389901</v>
      </c>
      <c r="D7724" s="1">
        <v>45974.362118055556</v>
      </c>
      <c r="E7724" s="2">
        <v>1</v>
      </c>
      <c r="F7724" s="2">
        <v>1</v>
      </c>
      <c r="G7724" s="2">
        <v>0</v>
      </c>
      <c r="H7724" s="1" t="s">
        <v>0</v>
      </c>
      <c r="I7724" s="2">
        <v>0</v>
      </c>
      <c r="J7724" s="1">
        <v>45974.339074074072</v>
      </c>
    </row>
    <row r="7725" spans="1:10" x14ac:dyDescent="0.2">
      <c r="A7725" s="4" t="s">
        <v>1</v>
      </c>
      <c r="B7725" s="3" t="str">
        <f>HYPERLINK("https://otsuka-europe-crm.veevavault.com/ui/#object/approved_document__v/V5OZ025E82PTCBT", "ENFERMERÍA - Revista Peplau nº5")</f>
        <v>ENFERMERÍA - Revista Peplau nº5</v>
      </c>
      <c r="C7725" s="3" t="str">
        <f>HYPERLINK("https://otsuka-europe-crm.veevavault.com/ui/#object/sent_email__v/VBL00000000N038", "SE-001389902")</f>
        <v>SE-001389902</v>
      </c>
      <c r="D7725" s="1" t="s">
        <v>0</v>
      </c>
      <c r="E7725" s="2">
        <v>0</v>
      </c>
      <c r="F7725" s="2">
        <v>0</v>
      </c>
      <c r="G7725" s="2">
        <v>0</v>
      </c>
      <c r="H7725" s="1" t="s">
        <v>0</v>
      </c>
      <c r="I7725" s="2">
        <v>0</v>
      </c>
      <c r="J7725" s="1">
        <v>45974.339062500003</v>
      </c>
    </row>
    <row r="7726" spans="1:10" x14ac:dyDescent="0.2">
      <c r="A7726" s="4" t="s">
        <v>1</v>
      </c>
      <c r="B7726" s="3" t="str">
        <f>HYPERLINK("https://otsuka-europe-crm.veevavault.com/ui/#object/approved_document__v/V5OZ025E82PTCBT", "ENFERMERÍA - Revista Peplau nº5")</f>
        <v>ENFERMERÍA - Revista Peplau nº5</v>
      </c>
      <c r="C7726" s="3" t="str">
        <f>HYPERLINK("https://otsuka-europe-crm.veevavault.com/ui/#object/sent_email__v/VBL00000000N146", "SE-001390087")</f>
        <v>SE-001390087</v>
      </c>
      <c r="D7726" s="1" t="s">
        <v>0</v>
      </c>
      <c r="E7726" s="2">
        <v>0</v>
      </c>
      <c r="F7726" s="2">
        <v>0</v>
      </c>
      <c r="G7726" s="2">
        <v>0</v>
      </c>
      <c r="H7726" s="1" t="s">
        <v>0</v>
      </c>
      <c r="I7726" s="2">
        <v>0</v>
      </c>
      <c r="J7726" s="1">
        <v>45974.451678240737</v>
      </c>
    </row>
    <row r="7727" spans="1:10" x14ac:dyDescent="0.2">
      <c r="A7727" s="4" t="s">
        <v>1</v>
      </c>
      <c r="B7727" s="3" t="str">
        <f>HYPERLINK("https://otsuka-europe-crm.veevavault.com/ui/#object/approved_document__v/V5OZ025E82PTCBT", "ENFERMERÍA - Revista Peplau nº5")</f>
        <v>ENFERMERÍA - Revista Peplau nº5</v>
      </c>
      <c r="C7727" s="3" t="str">
        <f>HYPERLINK("https://otsuka-europe-crm.veevavault.com/ui/#object/sent_email__v/VBL00000000N247", "SE-001390240")</f>
        <v>SE-001390240</v>
      </c>
      <c r="D7727" s="1">
        <v>45977.51939814815</v>
      </c>
      <c r="E7727" s="2">
        <v>1</v>
      </c>
      <c r="F7727" s="2">
        <v>1</v>
      </c>
      <c r="G7727" s="2">
        <v>0</v>
      </c>
      <c r="H7727" s="1" t="s">
        <v>0</v>
      </c>
      <c r="I7727" s="2">
        <v>0</v>
      </c>
      <c r="J7727" s="1">
        <v>45975.403912037036</v>
      </c>
    </row>
    <row r="7728" spans="1:10" x14ac:dyDescent="0.2">
      <c r="A7728" s="4" t="s">
        <v>1</v>
      </c>
      <c r="B7728" s="3" t="str">
        <f>HYPERLINK("https://otsuka-europe-crm.veevavault.com/ui/#object/approved_document__v/V5OZ025E82PTCBT", "ENFERMERÍA - Revista Peplau nº5")</f>
        <v>ENFERMERÍA - Revista Peplau nº5</v>
      </c>
      <c r="C7728" s="3" t="str">
        <f>HYPERLINK("https://otsuka-europe-crm.veevavault.com/ui/#object/sent_email__v/VBL00000001F101", "SE-001405546")</f>
        <v>SE-001405546</v>
      </c>
      <c r="D7728" s="1" t="s">
        <v>0</v>
      </c>
      <c r="E7728" s="2">
        <v>0</v>
      </c>
      <c r="F7728" s="2">
        <v>0</v>
      </c>
      <c r="G7728" s="2">
        <v>0</v>
      </c>
      <c r="H7728" s="1" t="s">
        <v>0</v>
      </c>
      <c r="I7728" s="2">
        <v>0</v>
      </c>
      <c r="J7728" s="1">
        <v>46076.369895833333</v>
      </c>
    </row>
    <row r="7729" spans="1:10" x14ac:dyDescent="0.2">
      <c r="A7729" s="4" t="s">
        <v>1</v>
      </c>
      <c r="B7729" s="3" t="str">
        <f>HYPERLINK("https://otsuka-europe-crm.veevavault.com/ui/#object/approved_document__v/V5OZ025E82PTCBT", "ENFERMERÍA - Revista Peplau nº5")</f>
        <v>ENFERMERÍA - Revista Peplau nº5</v>
      </c>
      <c r="C7729" s="3" t="str">
        <f>HYPERLINK("https://otsuka-europe-crm.veevavault.com/ui/#object/sent_email__v/VBL00000001F105", "SE-001405552")</f>
        <v>SE-001405552</v>
      </c>
      <c r="D7729" s="1" t="s">
        <v>0</v>
      </c>
      <c r="E7729" s="2">
        <v>0</v>
      </c>
      <c r="F7729" s="2">
        <v>0</v>
      </c>
      <c r="G7729" s="2">
        <v>0</v>
      </c>
      <c r="H7729" s="1" t="s">
        <v>0</v>
      </c>
      <c r="I7729" s="2">
        <v>0</v>
      </c>
      <c r="J7729" s="1">
        <v>46076.433263888888</v>
      </c>
    </row>
    <row r="7730" spans="1:10" x14ac:dyDescent="0.2">
      <c r="A7730" s="4" t="s">
        <v>1</v>
      </c>
      <c r="B7730" s="3" t="str">
        <f>HYPERLINK("https://otsuka-europe-crm.veevavault.com/ui/#object/approved_document__v/V5OZ06G6O6RFL1P", "ES Veeva Privacy Notice Email")</f>
        <v>ES Veeva Privacy Notice Email</v>
      </c>
      <c r="C7730" s="3" t="str">
        <f>HYPERLINK("https://otsuka-europe-crm.veevavault.com/ui/#object/sent_email__v/VBLZ025E82GBTQ9", "SE-000254917")</f>
        <v>SE-000254917</v>
      </c>
      <c r="D7730" s="1" t="s">
        <v>0</v>
      </c>
      <c r="E7730" s="2">
        <v>0</v>
      </c>
      <c r="F7730" s="2">
        <v>0</v>
      </c>
      <c r="G7730" s="2">
        <v>0</v>
      </c>
      <c r="H7730" s="1" t="s">
        <v>0</v>
      </c>
      <c r="I7730" s="2">
        <v>0</v>
      </c>
      <c r="J7730" s="1">
        <v>45901.492384259262</v>
      </c>
    </row>
    <row r="7731" spans="1:10" x14ac:dyDescent="0.2">
      <c r="A7731" s="4" t="s">
        <v>1</v>
      </c>
      <c r="B7731" s="3" t="str">
        <f>HYPERLINK("https://otsuka-europe-crm.veevavault.com/ui/#object/approved_document__v/V5OZ06G6O6RFL1P", "ES Veeva Privacy Notice Email")</f>
        <v>ES Veeva Privacy Notice Email</v>
      </c>
      <c r="C7731" s="3" t="str">
        <f>HYPERLINK("https://otsuka-europe-crm.veevavault.com/ui/#object/sent_email__v/VBLZ025E82GDLGP", "SE-000255166")</f>
        <v>SE-000255166</v>
      </c>
      <c r="D7731" s="1" t="s">
        <v>0</v>
      </c>
      <c r="E7731" s="2">
        <v>0</v>
      </c>
      <c r="F7731" s="2">
        <v>0</v>
      </c>
      <c r="G7731" s="2">
        <v>0</v>
      </c>
      <c r="H7731" s="1" t="s">
        <v>0</v>
      </c>
      <c r="I7731" s="2">
        <v>0</v>
      </c>
      <c r="J7731" s="1">
        <v>45903.318425925929</v>
      </c>
    </row>
    <row r="7732" spans="1:10" x14ac:dyDescent="0.2">
      <c r="A7732" s="4" t="s">
        <v>1</v>
      </c>
      <c r="B7732" s="3" t="str">
        <f>HYPERLINK("https://otsuka-europe-crm.veevavault.com/ui/#object/approved_document__v/V5OZ06G6O6RFL1P", "ES Veeva Privacy Notice Email")</f>
        <v>ES Veeva Privacy Notice Email</v>
      </c>
      <c r="C7732" s="3" t="str">
        <f>HYPERLINK("https://otsuka-europe-crm.veevavault.com/ui/#object/sent_email__v/VBLZ025E82GDNXL", "SE-000255173")</f>
        <v>SE-000255173</v>
      </c>
      <c r="D7732" s="1" t="s">
        <v>0</v>
      </c>
      <c r="E7732" s="2">
        <v>0</v>
      </c>
      <c r="F7732" s="2">
        <v>0</v>
      </c>
      <c r="G7732" s="2">
        <v>0</v>
      </c>
      <c r="H7732" s="1" t="s">
        <v>0</v>
      </c>
      <c r="I7732" s="2">
        <v>0</v>
      </c>
      <c r="J7732" s="1">
        <v>45903.372337962966</v>
      </c>
    </row>
    <row r="7733" spans="1:10" x14ac:dyDescent="0.2">
      <c r="A7733" s="4" t="s">
        <v>1</v>
      </c>
      <c r="B7733" s="3" t="str">
        <f>HYPERLINK("https://otsuka-europe-crm.veevavault.com/ui/#object/approved_document__v/V5OZ06G6O6RFL1P", "ES Veeva Privacy Notice Email")</f>
        <v>ES Veeva Privacy Notice Email</v>
      </c>
      <c r="C7733" s="3" t="str">
        <f>HYPERLINK("https://otsuka-europe-crm.veevavault.com/ui/#object/sent_email__v/VBLZ025E82GE1TL", "SE-000255201")</f>
        <v>SE-000255201</v>
      </c>
      <c r="D7733" s="1">
        <v>45903.780902777777</v>
      </c>
      <c r="E7733" s="2">
        <v>1</v>
      </c>
      <c r="F7733" s="2">
        <v>2</v>
      </c>
      <c r="G7733" s="2">
        <v>0</v>
      </c>
      <c r="H7733" s="1" t="s">
        <v>0</v>
      </c>
      <c r="I7733" s="2">
        <v>0</v>
      </c>
      <c r="J7733" s="1">
        <v>45903.500231481485</v>
      </c>
    </row>
    <row r="7734" spans="1:10" x14ac:dyDescent="0.2">
      <c r="A7734" s="4" t="s">
        <v>1</v>
      </c>
      <c r="B7734" s="3" t="str">
        <f>HYPERLINK("https://otsuka-europe-crm.veevavault.com/ui/#object/approved_document__v/V5OZ06G6O6RFL1P", "ES Veeva Privacy Notice Email")</f>
        <v>ES Veeva Privacy Notice Email</v>
      </c>
      <c r="C7734" s="3" t="str">
        <f>HYPERLINK("https://otsuka-europe-crm.veevavault.com/ui/#object/sent_email__v/VBLZ025E82GF8YD", "SE-000255309")</f>
        <v>SE-000255309</v>
      </c>
      <c r="D7734" s="1" t="s">
        <v>0</v>
      </c>
      <c r="E7734" s="2">
        <v>0</v>
      </c>
      <c r="F7734" s="2">
        <v>0</v>
      </c>
      <c r="G7734" s="2">
        <v>0</v>
      </c>
      <c r="H7734" s="1" t="s">
        <v>0</v>
      </c>
      <c r="I7734" s="2">
        <v>0</v>
      </c>
      <c r="J7734" s="1">
        <v>45904.50885416667</v>
      </c>
    </row>
    <row r="7735" spans="1:10" x14ac:dyDescent="0.2">
      <c r="A7735" s="4" t="s">
        <v>1</v>
      </c>
      <c r="B7735" s="3" t="str">
        <f>HYPERLINK("https://otsuka-europe-crm.veevavault.com/ui/#object/approved_document__v/V5OZ06G6O6RFL1P", "ES Veeva Privacy Notice Email")</f>
        <v>ES Veeva Privacy Notice Email</v>
      </c>
      <c r="C7735" s="3" t="str">
        <f>HYPERLINK("https://otsuka-europe-crm.veevavault.com/ui/#object/sent_email__v/VBLZ025E82GFOJH", "SE-000255393")</f>
        <v>SE-000255393</v>
      </c>
      <c r="D7735" s="1" t="s">
        <v>0</v>
      </c>
      <c r="E7735" s="2">
        <v>0</v>
      </c>
      <c r="F7735" s="2">
        <v>0</v>
      </c>
      <c r="G7735" s="2">
        <v>0</v>
      </c>
      <c r="H7735" s="1" t="s">
        <v>0</v>
      </c>
      <c r="I7735" s="2">
        <v>0</v>
      </c>
      <c r="J7735" s="1">
        <v>45904.679525462961</v>
      </c>
    </row>
    <row r="7736" spans="1:10" x14ac:dyDescent="0.2">
      <c r="A7736" s="4" t="s">
        <v>1</v>
      </c>
      <c r="B7736" s="3" t="str">
        <f>HYPERLINK("https://otsuka-europe-crm.veevavault.com/ui/#object/approved_document__v/V5OZ06G6O6RFL1P", "ES Veeva Privacy Notice Email")</f>
        <v>ES Veeva Privacy Notice Email</v>
      </c>
      <c r="C7736" s="3" t="str">
        <f>HYPERLINK("https://otsuka-europe-crm.veevavault.com/ui/#object/sent_email__v/VBLZ025E82GFQBD", "SE-000255411")</f>
        <v>SE-000255411</v>
      </c>
      <c r="D7736" s="1" t="s">
        <v>0</v>
      </c>
      <c r="E7736" s="2">
        <v>0</v>
      </c>
      <c r="F7736" s="2">
        <v>0</v>
      </c>
      <c r="G7736" s="2">
        <v>0</v>
      </c>
      <c r="H7736" s="1" t="s">
        <v>0</v>
      </c>
      <c r="I7736" s="2">
        <v>0</v>
      </c>
      <c r="J7736" s="1">
        <v>45904.68712962963</v>
      </c>
    </row>
    <row r="7737" spans="1:10" x14ac:dyDescent="0.2">
      <c r="A7737" s="4" t="s">
        <v>1</v>
      </c>
      <c r="B7737" s="3" t="str">
        <f>HYPERLINK("https://otsuka-europe-crm.veevavault.com/ui/#object/approved_document__v/V5OZ06G6O6RFL1P", "ES Veeva Privacy Notice Email")</f>
        <v>ES Veeva Privacy Notice Email</v>
      </c>
      <c r="C7737" s="3" t="str">
        <f>HYPERLINK("https://otsuka-europe-crm.veevavault.com/ui/#object/sent_email__v/VBLZ025E82GFYQ5", "SE-000255432")</f>
        <v>SE-000255432</v>
      </c>
      <c r="D7737" s="1">
        <v>45905.742418981485</v>
      </c>
      <c r="E7737" s="2">
        <v>1</v>
      </c>
      <c r="F7737" s="2">
        <v>1</v>
      </c>
      <c r="G7737" s="2">
        <v>0</v>
      </c>
      <c r="H7737" s="1" t="s">
        <v>0</v>
      </c>
      <c r="I7737" s="2">
        <v>0</v>
      </c>
      <c r="J7737" s="1">
        <v>45905.33699074074</v>
      </c>
    </row>
    <row r="7738" spans="1:10" x14ac:dyDescent="0.2">
      <c r="A7738" s="4" t="s">
        <v>1</v>
      </c>
      <c r="B7738" s="3" t="str">
        <f>HYPERLINK("https://otsuka-europe-crm.veevavault.com/ui/#object/approved_document__v/V5OZ06G6O6RFL1P", "ES Veeva Privacy Notice Email")</f>
        <v>ES Veeva Privacy Notice Email</v>
      </c>
      <c r="C7738" s="3" t="str">
        <f>HYPERLINK("https://otsuka-europe-crm.veevavault.com/ui/#object/sent_email__v/VBLZ025E82GHCKL", "SE-000255526")</f>
        <v>SE-000255526</v>
      </c>
      <c r="D7738" s="1">
        <v>45908.467060185183</v>
      </c>
      <c r="E7738" s="2">
        <v>1</v>
      </c>
      <c r="F7738" s="2">
        <v>1</v>
      </c>
      <c r="G7738" s="2">
        <v>0</v>
      </c>
      <c r="H7738" s="1" t="s">
        <v>0</v>
      </c>
      <c r="I7738" s="2">
        <v>0</v>
      </c>
      <c r="J7738" s="1">
        <v>45908.438784722224</v>
      </c>
    </row>
    <row r="7739" spans="1:10" x14ac:dyDescent="0.2">
      <c r="A7739" s="4" t="s">
        <v>1</v>
      </c>
      <c r="B7739" s="3" t="str">
        <f>HYPERLINK("https://otsuka-europe-crm.veevavault.com/ui/#object/approved_document__v/V5OZ06G6O6RFL1P", "ES Veeva Privacy Notice Email")</f>
        <v>ES Veeva Privacy Notice Email</v>
      </c>
      <c r="C7739" s="3" t="str">
        <f>HYPERLINK("https://otsuka-europe-crm.veevavault.com/ui/#object/sent_email__v/VBLZ025E82GI1SX", "SE-000255547")</f>
        <v>SE-000255547</v>
      </c>
      <c r="D7739" s="1">
        <v>45908.70590277778</v>
      </c>
      <c r="E7739" s="2">
        <v>1</v>
      </c>
      <c r="F7739" s="2">
        <v>4</v>
      </c>
      <c r="G7739" s="2">
        <v>1</v>
      </c>
      <c r="H7739" s="1">
        <v>45908.697662037041</v>
      </c>
      <c r="I7739" s="2">
        <v>2</v>
      </c>
      <c r="J7739" s="1">
        <v>45908.684189814812</v>
      </c>
    </row>
    <row r="7740" spans="1:10" x14ac:dyDescent="0.2">
      <c r="A7740" s="4" t="s">
        <v>1</v>
      </c>
      <c r="B7740" s="3" t="str">
        <f>HYPERLINK("https://otsuka-europe-crm.veevavault.com/ui/#object/approved_document__v/V5OZ06G6O6RFL1P", "ES Veeva Privacy Notice Email")</f>
        <v>ES Veeva Privacy Notice Email</v>
      </c>
      <c r="C7740" s="3" t="str">
        <f>HYPERLINK("https://otsuka-europe-crm.veevavault.com/ui/#object/sent_email__v/VBLZ025E82GKACX", "SE-000255749")</f>
        <v>SE-000255749</v>
      </c>
      <c r="D7740" s="1">
        <v>45918.80740740741</v>
      </c>
      <c r="E7740" s="2">
        <v>1</v>
      </c>
      <c r="F7740" s="2">
        <v>2</v>
      </c>
      <c r="G7740" s="2">
        <v>0</v>
      </c>
      <c r="H7740" s="1" t="s">
        <v>0</v>
      </c>
      <c r="I7740" s="2">
        <v>0</v>
      </c>
      <c r="J7740" s="1">
        <v>45910.773888888885</v>
      </c>
    </row>
    <row r="7741" spans="1:10" x14ac:dyDescent="0.2">
      <c r="A7741" s="4" t="s">
        <v>1</v>
      </c>
      <c r="B7741" s="3" t="str">
        <f>HYPERLINK("https://otsuka-europe-crm.veevavault.com/ui/#object/approved_document__v/V5OZ06G6O6RFL1P", "ES Veeva Privacy Notice Email")</f>
        <v>ES Veeva Privacy Notice Email</v>
      </c>
      <c r="C7741" s="3" t="str">
        <f>HYPERLINK("https://otsuka-europe-crm.veevavault.com/ui/#object/sent_email__v/VBLZ025E82GKAL9", "SE-000255752")</f>
        <v>SE-000255752</v>
      </c>
      <c r="D7741" s="1">
        <v>45910.831458333334</v>
      </c>
      <c r="E7741" s="2">
        <v>1</v>
      </c>
      <c r="F7741" s="2">
        <v>1</v>
      </c>
      <c r="G7741" s="2">
        <v>0</v>
      </c>
      <c r="H7741" s="1" t="s">
        <v>0</v>
      </c>
      <c r="I7741" s="2">
        <v>0</v>
      </c>
      <c r="J7741" s="1">
        <v>45910.783819444441</v>
      </c>
    </row>
    <row r="7742" spans="1:10" x14ac:dyDescent="0.2">
      <c r="A7742" s="4" t="s">
        <v>1</v>
      </c>
      <c r="B7742" s="3" t="str">
        <f>HYPERLINK("https://otsuka-europe-crm.veevavault.com/ui/#object/approved_document__v/V5OZ06G6O6RFL1P", "ES Veeva Privacy Notice Email")</f>
        <v>ES Veeva Privacy Notice Email</v>
      </c>
      <c r="C7742" s="3" t="str">
        <f>HYPERLINK("https://otsuka-europe-crm.veevavault.com/ui/#object/sent_email__v/VBLZ025E82GKO0L", "SE-000255787")</f>
        <v>SE-000255787</v>
      </c>
      <c r="D7742" s="1">
        <v>45912.936898148146</v>
      </c>
      <c r="E7742" s="2">
        <v>1</v>
      </c>
      <c r="F7742" s="2">
        <v>2</v>
      </c>
      <c r="G7742" s="2">
        <v>0</v>
      </c>
      <c r="H7742" s="1" t="s">
        <v>0</v>
      </c>
      <c r="I7742" s="2">
        <v>0</v>
      </c>
      <c r="J7742" s="1">
        <v>45911.432766203703</v>
      </c>
    </row>
    <row r="7743" spans="1:10" x14ac:dyDescent="0.2">
      <c r="A7743" s="4" t="s">
        <v>1</v>
      </c>
      <c r="B7743" s="3" t="str">
        <f>HYPERLINK("https://otsuka-europe-crm.veevavault.com/ui/#object/approved_document__v/V5OZ06G6O6RFL1P", "ES Veeva Privacy Notice Email")</f>
        <v>ES Veeva Privacy Notice Email</v>
      </c>
      <c r="C7743" s="3" t="str">
        <f>HYPERLINK("https://otsuka-europe-crm.veevavault.com/ui/#object/sent_email__v/VBLZ025E82GLKVX", "SE-000256007")</f>
        <v>SE-000256007</v>
      </c>
      <c r="D7743" s="1" t="s">
        <v>0</v>
      </c>
      <c r="E7743" s="2">
        <v>0</v>
      </c>
      <c r="F7743" s="2">
        <v>0</v>
      </c>
      <c r="G7743" s="2">
        <v>0</v>
      </c>
      <c r="H7743" s="1" t="s">
        <v>0</v>
      </c>
      <c r="I7743" s="2">
        <v>0</v>
      </c>
      <c r="J7743" s="1">
        <v>45912.313159722224</v>
      </c>
    </row>
    <row r="7744" spans="1:10" x14ac:dyDescent="0.2">
      <c r="A7744" s="4" t="s">
        <v>1</v>
      </c>
      <c r="B7744" s="3" t="str">
        <f>HYPERLINK("https://otsuka-europe-crm.veevavault.com/ui/#object/approved_document__v/V5OZ06G6O6RFL1P", "ES Veeva Privacy Notice Email")</f>
        <v>ES Veeva Privacy Notice Email</v>
      </c>
      <c r="C7744" s="3" t="str">
        <f>HYPERLINK("https://otsuka-europe-crm.veevavault.com/ui/#object/sent_email__v/VBLZ025E82GLML1", "SE-000256013")</f>
        <v>SE-000256013</v>
      </c>
      <c r="D7744" s="1">
        <v>45922.700416666667</v>
      </c>
      <c r="E7744" s="2">
        <v>1</v>
      </c>
      <c r="F7744" s="2">
        <v>2</v>
      </c>
      <c r="G7744" s="2">
        <v>0</v>
      </c>
      <c r="H7744" s="1" t="s">
        <v>0</v>
      </c>
      <c r="I7744" s="2">
        <v>0</v>
      </c>
      <c r="J7744" s="1">
        <v>45912.383298611108</v>
      </c>
    </row>
    <row r="7745" spans="1:10" x14ac:dyDescent="0.2">
      <c r="A7745" s="4" t="s">
        <v>1</v>
      </c>
      <c r="B7745" s="3" t="str">
        <f>HYPERLINK("https://otsuka-europe-crm.veevavault.com/ui/#object/approved_document__v/V5OZ06G6O6RFL1P", "ES Veeva Privacy Notice Email")</f>
        <v>ES Veeva Privacy Notice Email</v>
      </c>
      <c r="C7745" s="3" t="str">
        <f>HYPERLINK("https://otsuka-europe-crm.veevavault.com/ui/#object/sent_email__v/VBLZ025E82GMOE5", "SE-000266889")</f>
        <v>SE-000266889</v>
      </c>
      <c r="D7745" s="1">
        <v>45925.362245370372</v>
      </c>
      <c r="E7745" s="2">
        <v>1</v>
      </c>
      <c r="F7745" s="2">
        <v>6</v>
      </c>
      <c r="G7745" s="2">
        <v>0</v>
      </c>
      <c r="H7745" s="1" t="s">
        <v>0</v>
      </c>
      <c r="I7745" s="2">
        <v>0</v>
      </c>
      <c r="J7745" s="1">
        <v>45912.610138888886</v>
      </c>
    </row>
    <row r="7746" spans="1:10" x14ac:dyDescent="0.2">
      <c r="A7746" s="4" t="s">
        <v>1</v>
      </c>
      <c r="B7746" s="3" t="str">
        <f>HYPERLINK("https://otsuka-europe-crm.veevavault.com/ui/#object/approved_document__v/V5OZ06G6O6RFL1P", "ES Veeva Privacy Notice Email")</f>
        <v>ES Veeva Privacy Notice Email</v>
      </c>
      <c r="C7746" s="3" t="str">
        <f>HYPERLINK("https://otsuka-europe-crm.veevavault.com/ui/#object/sent_email__v/VBLZ025E82GNVWT", "SE-000275483")</f>
        <v>SE-000275483</v>
      </c>
      <c r="D7746" s="1">
        <v>45915.938634259262</v>
      </c>
      <c r="E7746" s="2">
        <v>1</v>
      </c>
      <c r="F7746" s="2">
        <v>2</v>
      </c>
      <c r="G7746" s="2">
        <v>0</v>
      </c>
      <c r="H7746" s="1" t="s">
        <v>0</v>
      </c>
      <c r="I7746" s="2">
        <v>0</v>
      </c>
      <c r="J7746" s="1">
        <v>45915.44940972222</v>
      </c>
    </row>
    <row r="7747" spans="1:10" x14ac:dyDescent="0.2">
      <c r="A7747" s="4" t="s">
        <v>1</v>
      </c>
      <c r="B7747" s="3" t="str">
        <f>HYPERLINK("https://otsuka-europe-crm.veevavault.com/ui/#object/approved_document__v/V5OZ06G6O6RFL1P", "ES Veeva Privacy Notice Email")</f>
        <v>ES Veeva Privacy Notice Email</v>
      </c>
      <c r="C7747" s="3" t="str">
        <f>HYPERLINK("https://otsuka-europe-crm.veevavault.com/ui/#object/sent_email__v/VBLZ025E82GNM6U", "SE-000275491")</f>
        <v>SE-000275491</v>
      </c>
      <c r="D7747" s="1">
        <v>45920.305277777778</v>
      </c>
      <c r="E7747" s="2">
        <v>1</v>
      </c>
      <c r="F7747" s="2">
        <v>2</v>
      </c>
      <c r="G7747" s="2">
        <v>0</v>
      </c>
      <c r="H7747" s="1" t="s">
        <v>0</v>
      </c>
      <c r="I7747" s="2">
        <v>0</v>
      </c>
      <c r="J7747" s="1">
        <v>45915.469143518516</v>
      </c>
    </row>
    <row r="7748" spans="1:10" x14ac:dyDescent="0.2">
      <c r="A7748" s="4" t="s">
        <v>1</v>
      </c>
      <c r="B7748" s="3" t="str">
        <f>HYPERLINK("https://otsuka-europe-crm.veevavault.com/ui/#object/approved_document__v/V5OZ06G6O6RFL1P", "ES Veeva Privacy Notice Email")</f>
        <v>ES Veeva Privacy Notice Email</v>
      </c>
      <c r="C7748" s="3" t="str">
        <f>HYPERLINK("https://otsuka-europe-crm.veevavault.com/ui/#object/sent_email__v/VBLZ025E82GO3XP", "SE-000275521")</f>
        <v>SE-000275521</v>
      </c>
      <c r="D7748" s="1" t="s">
        <v>0</v>
      </c>
      <c r="E7748" s="2">
        <v>0</v>
      </c>
      <c r="F7748" s="2">
        <v>0</v>
      </c>
      <c r="G7748" s="2">
        <v>0</v>
      </c>
      <c r="H7748" s="1" t="s">
        <v>0</v>
      </c>
      <c r="I7748" s="2">
        <v>0</v>
      </c>
      <c r="J7748" s="1">
        <v>45915.501967592594</v>
      </c>
    </row>
    <row r="7749" spans="1:10" x14ac:dyDescent="0.2">
      <c r="A7749" s="4" t="s">
        <v>1</v>
      </c>
      <c r="B7749" s="3" t="str">
        <f>HYPERLINK("https://otsuka-europe-crm.veevavault.com/ui/#object/approved_document__v/V5OZ06G6O6RFL1P", "ES Veeva Privacy Notice Email")</f>
        <v>ES Veeva Privacy Notice Email</v>
      </c>
      <c r="C7749" s="3" t="str">
        <f>HYPERLINK("https://otsuka-europe-crm.veevavault.com/ui/#object/sent_email__v/VBLZ025E82GOPXD", "SE-000275604")</f>
        <v>SE-000275604</v>
      </c>
      <c r="D7749" s="1" t="s">
        <v>0</v>
      </c>
      <c r="E7749" s="2">
        <v>0</v>
      </c>
      <c r="F7749" s="2">
        <v>0</v>
      </c>
      <c r="G7749" s="2">
        <v>0</v>
      </c>
      <c r="H7749" s="1" t="s">
        <v>0</v>
      </c>
      <c r="I7749" s="2">
        <v>0</v>
      </c>
      <c r="J7749" s="1">
        <v>45915.696504629632</v>
      </c>
    </row>
    <row r="7750" spans="1:10" x14ac:dyDescent="0.2">
      <c r="A7750" s="4" t="s">
        <v>1</v>
      </c>
      <c r="B7750" s="3" t="str">
        <f>HYPERLINK("https://otsuka-europe-crm.veevavault.com/ui/#object/approved_document__v/V5OZ06G6O6RFL1P", "ES Veeva Privacy Notice Email")</f>
        <v>ES Veeva Privacy Notice Email</v>
      </c>
      <c r="C7750" s="3" t="str">
        <f>HYPERLINK("https://otsuka-europe-crm.veevavault.com/ui/#object/sent_email__v/VBLZ025E82GP0YL", "SE-000275646")</f>
        <v>SE-000275646</v>
      </c>
      <c r="D7750" s="1" t="s">
        <v>0</v>
      </c>
      <c r="E7750" s="2">
        <v>0</v>
      </c>
      <c r="F7750" s="2">
        <v>0</v>
      </c>
      <c r="G7750" s="2">
        <v>0</v>
      </c>
      <c r="H7750" s="1" t="s">
        <v>0</v>
      </c>
      <c r="I7750" s="2">
        <v>0</v>
      </c>
      <c r="J7750" s="1">
        <v>45916.345995370371</v>
      </c>
    </row>
    <row r="7751" spans="1:10" x14ac:dyDescent="0.2">
      <c r="A7751" s="4" t="s">
        <v>1</v>
      </c>
      <c r="B7751" s="3" t="str">
        <f>HYPERLINK("https://otsuka-europe-crm.veevavault.com/ui/#object/approved_document__v/V5OZ06G6O6RFL1P", "ES Veeva Privacy Notice Email")</f>
        <v>ES Veeva Privacy Notice Email</v>
      </c>
      <c r="C7751" s="3" t="str">
        <f>HYPERLINK("https://otsuka-europe-crm.veevavault.com/ui/#object/sent_email__v/VBLZ025E82GP8IT", "SE-000275655")</f>
        <v>SE-000275655</v>
      </c>
      <c r="D7751" s="1" t="s">
        <v>0</v>
      </c>
      <c r="E7751" s="2">
        <v>0</v>
      </c>
      <c r="F7751" s="2">
        <v>0</v>
      </c>
      <c r="G7751" s="2">
        <v>0</v>
      </c>
      <c r="H7751" s="1" t="s">
        <v>0</v>
      </c>
      <c r="I7751" s="2">
        <v>0</v>
      </c>
      <c r="J7751" s="1">
        <v>45916.435057870367</v>
      </c>
    </row>
    <row r="7752" spans="1:10" x14ac:dyDescent="0.2">
      <c r="A7752" s="4" t="s">
        <v>1</v>
      </c>
      <c r="B7752" s="3" t="str">
        <f>HYPERLINK("https://otsuka-europe-crm.veevavault.com/ui/#object/approved_document__v/V5OZ06G6O6RFL1P", "ES Veeva Privacy Notice Email")</f>
        <v>ES Veeva Privacy Notice Email</v>
      </c>
      <c r="C7752" s="3" t="str">
        <f>HYPERLINK("https://otsuka-europe-crm.veevavault.com/ui/#object/sent_email__v/VBLZ025E82GPI61", "SE-000275659")</f>
        <v>SE-000275659</v>
      </c>
      <c r="D7752" s="1" t="s">
        <v>0</v>
      </c>
      <c r="E7752" s="2">
        <v>0</v>
      </c>
      <c r="F7752" s="2">
        <v>0</v>
      </c>
      <c r="G7752" s="2">
        <v>0</v>
      </c>
      <c r="H7752" s="1" t="s">
        <v>0</v>
      </c>
      <c r="I7752" s="2">
        <v>0</v>
      </c>
      <c r="J7752" s="1">
        <v>45916.490810185183</v>
      </c>
    </row>
    <row r="7753" spans="1:10" x14ac:dyDescent="0.2">
      <c r="A7753" s="4" t="s">
        <v>1</v>
      </c>
      <c r="B7753" s="3" t="str">
        <f>HYPERLINK("https://otsuka-europe-crm.veevavault.com/ui/#object/approved_document__v/V5OZ06G6O6RFL1P", "ES Veeva Privacy Notice Email")</f>
        <v>ES Veeva Privacy Notice Email</v>
      </c>
      <c r="C7753" s="3" t="str">
        <f>HYPERLINK("https://otsuka-europe-crm.veevavault.com/ui/#object/sent_email__v/VBLZ025E82GPP19", "SE-000275670")</f>
        <v>SE-000275670</v>
      </c>
      <c r="D7753" s="1" t="s">
        <v>0</v>
      </c>
      <c r="E7753" s="2">
        <v>0</v>
      </c>
      <c r="F7753" s="2">
        <v>0</v>
      </c>
      <c r="G7753" s="2">
        <v>0</v>
      </c>
      <c r="H7753" s="1" t="s">
        <v>0</v>
      </c>
      <c r="I7753" s="2">
        <v>0</v>
      </c>
      <c r="J7753" s="1">
        <v>45916.556261574071</v>
      </c>
    </row>
    <row r="7754" spans="1:10" x14ac:dyDescent="0.2">
      <c r="A7754" s="4" t="s">
        <v>1</v>
      </c>
      <c r="B7754" s="3" t="str">
        <f>HYPERLINK("https://otsuka-europe-crm.veevavault.com/ui/#object/approved_document__v/V5OZ06G6O6RFL1P", "ES Veeva Privacy Notice Email")</f>
        <v>ES Veeva Privacy Notice Email</v>
      </c>
      <c r="C7754" s="3" t="str">
        <f>HYPERLINK("https://otsuka-europe-crm.veevavault.com/ui/#object/sent_email__v/VBLZ025E82GPP41", "SE-000275671")</f>
        <v>SE-000275671</v>
      </c>
      <c r="D7754" s="1" t="s">
        <v>0</v>
      </c>
      <c r="E7754" s="2">
        <v>0</v>
      </c>
      <c r="F7754" s="2">
        <v>0</v>
      </c>
      <c r="G7754" s="2">
        <v>0</v>
      </c>
      <c r="H7754" s="1" t="s">
        <v>0</v>
      </c>
      <c r="I7754" s="2">
        <v>0</v>
      </c>
      <c r="J7754" s="1">
        <v>45916.556689814817</v>
      </c>
    </row>
    <row r="7755" spans="1:10" x14ac:dyDescent="0.2">
      <c r="A7755" s="4" t="s">
        <v>1</v>
      </c>
      <c r="B7755" s="3" t="str">
        <f>HYPERLINK("https://otsuka-europe-crm.veevavault.com/ui/#object/approved_document__v/V5OZ06G6O6RFL1P", "ES Veeva Privacy Notice Email")</f>
        <v>ES Veeva Privacy Notice Email</v>
      </c>
      <c r="C7755" s="3" t="str">
        <f>HYPERLINK("https://otsuka-europe-crm.veevavault.com/ui/#object/sent_email__v/VBLZ025E82GPYWT", "SE-000275709")</f>
        <v>SE-000275709</v>
      </c>
      <c r="D7755" s="1">
        <v>45916.871770833335</v>
      </c>
      <c r="E7755" s="2">
        <v>1</v>
      </c>
      <c r="F7755" s="2">
        <v>2</v>
      </c>
      <c r="G7755" s="2">
        <v>0</v>
      </c>
      <c r="H7755" s="1" t="s">
        <v>0</v>
      </c>
      <c r="I7755" s="2">
        <v>0</v>
      </c>
      <c r="J7755" s="1">
        <v>45916.609467592592</v>
      </c>
    </row>
    <row r="7756" spans="1:10" x14ac:dyDescent="0.2">
      <c r="A7756" s="4" t="s">
        <v>1</v>
      </c>
      <c r="B7756" s="3" t="str">
        <f>HYPERLINK("https://otsuka-europe-crm.veevavault.com/ui/#object/approved_document__v/V5OZ06G6O6RFL1P", "ES Veeva Privacy Notice Email")</f>
        <v>ES Veeva Privacy Notice Email</v>
      </c>
      <c r="C7756" s="3" t="str">
        <f>HYPERLINK("https://otsuka-europe-crm.veevavault.com/ui/#object/sent_email__v/VBLZ025E82GQ6E9", "SE-000275722")</f>
        <v>SE-000275722</v>
      </c>
      <c r="D7756" s="1" t="s">
        <v>0</v>
      </c>
      <c r="E7756" s="2">
        <v>0</v>
      </c>
      <c r="F7756" s="2">
        <v>0</v>
      </c>
      <c r="G7756" s="2">
        <v>0</v>
      </c>
      <c r="H7756" s="1" t="s">
        <v>0</v>
      </c>
      <c r="I7756" s="2">
        <v>0</v>
      </c>
      <c r="J7756" s="1">
        <v>45916.670034722221</v>
      </c>
    </row>
    <row r="7757" spans="1:10" x14ac:dyDescent="0.2">
      <c r="A7757" s="4" t="s">
        <v>1</v>
      </c>
      <c r="B7757" s="3" t="str">
        <f>HYPERLINK("https://otsuka-europe-crm.veevavault.com/ui/#object/approved_document__v/V5OZ06G6O6RFL1P", "ES Veeva Privacy Notice Email")</f>
        <v>ES Veeva Privacy Notice Email</v>
      </c>
      <c r="C7757" s="3" t="str">
        <f>HYPERLINK("https://otsuka-europe-crm.veevavault.com/ui/#object/sent_email__v/VBLZ025E82GQMZH", "SE-000275742")</f>
        <v>SE-000275742</v>
      </c>
      <c r="D7757" s="1">
        <v>45929.533055555556</v>
      </c>
      <c r="E7757" s="2">
        <v>1</v>
      </c>
      <c r="F7757" s="2">
        <v>2</v>
      </c>
      <c r="G7757" s="2">
        <v>0</v>
      </c>
      <c r="H7757" s="1" t="s">
        <v>0</v>
      </c>
      <c r="I7757" s="2">
        <v>0</v>
      </c>
      <c r="J7757" s="1">
        <v>45917.309386574074</v>
      </c>
    </row>
    <row r="7758" spans="1:10" x14ac:dyDescent="0.2">
      <c r="A7758" s="4" t="s">
        <v>1</v>
      </c>
      <c r="B7758" s="3" t="str">
        <f>HYPERLINK("https://otsuka-europe-crm.veevavault.com/ui/#object/approved_document__v/V5OZ06G6O6RFL1P", "ES Veeva Privacy Notice Email")</f>
        <v>ES Veeva Privacy Notice Email</v>
      </c>
      <c r="C7758" s="3" t="str">
        <f>HYPERLINK("https://otsuka-europe-crm.veevavault.com/ui/#object/sent_email__v/VBLZ025E82GQN7T", "SE-000275746")</f>
        <v>SE-000275746</v>
      </c>
      <c r="D7758" s="1">
        <v>45917.554675925923</v>
      </c>
      <c r="E7758" s="2">
        <v>1</v>
      </c>
      <c r="F7758" s="2">
        <v>1</v>
      </c>
      <c r="G7758" s="2">
        <v>0</v>
      </c>
      <c r="H7758" s="1" t="s">
        <v>0</v>
      </c>
      <c r="I7758" s="2">
        <v>0</v>
      </c>
      <c r="J7758" s="1">
        <v>45917.311342592591</v>
      </c>
    </row>
    <row r="7759" spans="1:10" x14ac:dyDescent="0.2">
      <c r="A7759" s="4" t="s">
        <v>1</v>
      </c>
      <c r="B7759" s="3" t="str">
        <f>HYPERLINK("https://otsuka-europe-crm.veevavault.com/ui/#object/approved_document__v/V5OZ06G6O6RFL1P", "ES Veeva Privacy Notice Email")</f>
        <v>ES Veeva Privacy Notice Email</v>
      </c>
      <c r="C7759" s="3" t="str">
        <f>HYPERLINK("https://otsuka-europe-crm.veevavault.com/ui/#object/sent_email__v/VBLZ025E82GR8QT", "SE-000275847")</f>
        <v>SE-000275847</v>
      </c>
      <c r="D7759" s="1">
        <v>45917.727800925924</v>
      </c>
      <c r="E7759" s="2">
        <v>1</v>
      </c>
      <c r="F7759" s="2">
        <v>1</v>
      </c>
      <c r="G7759" s="2">
        <v>0</v>
      </c>
      <c r="H7759" s="1" t="s">
        <v>0</v>
      </c>
      <c r="I7759" s="2">
        <v>0</v>
      </c>
      <c r="J7759" s="1">
        <v>45917.497037037036</v>
      </c>
    </row>
    <row r="7760" spans="1:10" x14ac:dyDescent="0.2">
      <c r="A7760" s="4" t="s">
        <v>1</v>
      </c>
      <c r="B7760" s="3" t="str">
        <f>HYPERLINK("https://otsuka-europe-crm.veevavault.com/ui/#object/approved_document__v/V5OZ06G6O6RFL1P", "ES Veeva Privacy Notice Email")</f>
        <v>ES Veeva Privacy Notice Email</v>
      </c>
      <c r="C7760" s="3" t="str">
        <f>HYPERLINK("https://otsuka-europe-crm.veevavault.com/ui/#object/sent_email__v/VBLZ025E82GRVL1", "SE-000275972")</f>
        <v>SE-000275972</v>
      </c>
      <c r="D7760" s="1">
        <v>45917.834074074075</v>
      </c>
      <c r="E7760" s="2">
        <v>1</v>
      </c>
      <c r="F7760" s="2">
        <v>2</v>
      </c>
      <c r="G7760" s="2">
        <v>0</v>
      </c>
      <c r="H7760" s="1" t="s">
        <v>0</v>
      </c>
      <c r="I7760" s="2">
        <v>0</v>
      </c>
      <c r="J7760" s="1">
        <v>45917.682766203703</v>
      </c>
    </row>
    <row r="7761" spans="1:10" x14ac:dyDescent="0.2">
      <c r="A7761" s="4" t="s">
        <v>1</v>
      </c>
      <c r="B7761" s="3" t="str">
        <f>HYPERLINK("https://otsuka-europe-crm.veevavault.com/ui/#object/approved_document__v/V5OZ06G6O6RFL1P", "ES Veeva Privacy Notice Email")</f>
        <v>ES Veeva Privacy Notice Email</v>
      </c>
      <c r="C7761" s="3" t="str">
        <f>HYPERLINK("https://otsuka-europe-crm.veevavault.com/ui/#object/sent_email__v/VBLZ025E82GRXQT", "SE-000275980")</f>
        <v>SE-000275980</v>
      </c>
      <c r="D7761" s="1" t="s">
        <v>0</v>
      </c>
      <c r="E7761" s="2">
        <v>0</v>
      </c>
      <c r="F7761" s="2">
        <v>0</v>
      </c>
      <c r="G7761" s="2">
        <v>0</v>
      </c>
      <c r="H7761" s="1" t="s">
        <v>0</v>
      </c>
      <c r="I7761" s="2">
        <v>0</v>
      </c>
      <c r="J7761" s="1">
        <v>45917.779074074075</v>
      </c>
    </row>
    <row r="7762" spans="1:10" x14ac:dyDescent="0.2">
      <c r="A7762" s="4" t="s">
        <v>1</v>
      </c>
      <c r="B7762" s="3" t="str">
        <f>HYPERLINK("https://otsuka-europe-crm.veevavault.com/ui/#object/approved_document__v/V5OZ06G6O6RFL1P", "ES Veeva Privacy Notice Email")</f>
        <v>ES Veeva Privacy Notice Email</v>
      </c>
      <c r="C7762" s="3" t="str">
        <f>HYPERLINK("https://otsuka-europe-crm.veevavault.com/ui/#object/sent_email__v/VBLZ025E82GUE3D", "SE-000277186")</f>
        <v>SE-000277186</v>
      </c>
      <c r="D7762" s="1">
        <v>45919.484907407408</v>
      </c>
      <c r="E7762" s="2">
        <v>1</v>
      </c>
      <c r="F7762" s="2">
        <v>2</v>
      </c>
      <c r="G7762" s="2">
        <v>0</v>
      </c>
      <c r="H7762" s="1" t="s">
        <v>0</v>
      </c>
      <c r="I7762" s="2">
        <v>0</v>
      </c>
      <c r="J7762" s="1">
        <v>45919.479953703703</v>
      </c>
    </row>
    <row r="7763" spans="1:10" x14ac:dyDescent="0.2">
      <c r="A7763" s="4" t="s">
        <v>1</v>
      </c>
      <c r="B7763" s="3" t="str">
        <f>HYPERLINK("https://otsuka-europe-crm.veevavault.com/ui/#object/approved_document__v/V5OZ06G6O6RFL1P", "ES Veeva Privacy Notice Email")</f>
        <v>ES Veeva Privacy Notice Email</v>
      </c>
      <c r="C7763" s="3" t="str">
        <f>HYPERLINK("https://otsuka-europe-crm.veevavault.com/ui/#object/sent_email__v/VBLZ025E82GUI3U", "SE-000277215")</f>
        <v>SE-000277215</v>
      </c>
      <c r="D7763" s="1">
        <v>45921.858576388891</v>
      </c>
      <c r="E7763" s="2">
        <v>1</v>
      </c>
      <c r="F7763" s="2">
        <v>3</v>
      </c>
      <c r="G7763" s="2">
        <v>0</v>
      </c>
      <c r="H7763" s="1" t="s">
        <v>0</v>
      </c>
      <c r="I7763" s="2">
        <v>0</v>
      </c>
      <c r="J7763" s="1">
        <v>45919.553576388891</v>
      </c>
    </row>
    <row r="7764" spans="1:10" x14ac:dyDescent="0.2">
      <c r="A7764" s="4" t="s">
        <v>1</v>
      </c>
      <c r="B7764" s="3" t="str">
        <f>HYPERLINK("https://otsuka-europe-crm.veevavault.com/ui/#object/approved_document__v/V5OZ06G6O6RFL1P", "ES Veeva Privacy Notice Email")</f>
        <v>ES Veeva Privacy Notice Email</v>
      </c>
      <c r="C7764" s="3" t="str">
        <f>HYPERLINK("https://otsuka-europe-crm.veevavault.com/ui/#object/sent_email__v/VBLZ025E82GUJQ5", "SE-000277220")</f>
        <v>SE-000277220</v>
      </c>
      <c r="D7764" s="1">
        <v>45920.817418981482</v>
      </c>
      <c r="E7764" s="2">
        <v>1</v>
      </c>
      <c r="F7764" s="2">
        <v>4</v>
      </c>
      <c r="G7764" s="2">
        <v>0</v>
      </c>
      <c r="H7764" s="1" t="s">
        <v>0</v>
      </c>
      <c r="I7764" s="2">
        <v>0</v>
      </c>
      <c r="J7764" s="1">
        <v>45919.554456018515</v>
      </c>
    </row>
    <row r="7765" spans="1:10" x14ac:dyDescent="0.2">
      <c r="A7765" s="4" t="s">
        <v>1</v>
      </c>
      <c r="B7765" s="3" t="str">
        <f>HYPERLINK("https://otsuka-europe-crm.veevavault.com/ui/#object/approved_document__v/V5OZ06G6O6RFL1P", "ES Veeva Privacy Notice Email")</f>
        <v>ES Veeva Privacy Notice Email</v>
      </c>
      <c r="C7765" s="3" t="str">
        <f>HYPERLINK("https://otsuka-europe-crm.veevavault.com/ui/#object/sent_email__v/VBLZ025E82GVXQ5", "SE-000279487")</f>
        <v>SE-000279487</v>
      </c>
      <c r="D7765" s="1">
        <v>45922.583240740743</v>
      </c>
      <c r="E7765" s="2">
        <v>1</v>
      </c>
      <c r="F7765" s="2">
        <v>2</v>
      </c>
      <c r="G7765" s="2">
        <v>0</v>
      </c>
      <c r="H7765" s="1" t="s">
        <v>0</v>
      </c>
      <c r="I7765" s="2">
        <v>0</v>
      </c>
      <c r="J7765" s="1">
        <v>45922.490439814814</v>
      </c>
    </row>
    <row r="7766" spans="1:10" x14ac:dyDescent="0.2">
      <c r="A7766" s="4" t="s">
        <v>1</v>
      </c>
      <c r="B7766" s="3" t="str">
        <f>HYPERLINK("https://otsuka-europe-crm.veevavault.com/ui/#object/approved_document__v/V5OZ06G6O6RFL1P", "ES Veeva Privacy Notice Email")</f>
        <v>ES Veeva Privacy Notice Email</v>
      </c>
      <c r="C7766" s="3" t="str">
        <f>HYPERLINK("https://otsuka-europe-crm.veevavault.com/ui/#object/sent_email__v/VBLZ025E82GWLN9", "SE-000279755")</f>
        <v>SE-000279755</v>
      </c>
      <c r="D7766" s="1" t="s">
        <v>0</v>
      </c>
      <c r="E7766" s="2">
        <v>0</v>
      </c>
      <c r="F7766" s="2">
        <v>0</v>
      </c>
      <c r="G7766" s="2">
        <v>0</v>
      </c>
      <c r="H7766" s="1" t="s">
        <v>0</v>
      </c>
      <c r="I7766" s="2">
        <v>0</v>
      </c>
      <c r="J7766" s="1">
        <v>45922.696666666663</v>
      </c>
    </row>
    <row r="7767" spans="1:10" x14ac:dyDescent="0.2">
      <c r="A7767" s="4" t="s">
        <v>1</v>
      </c>
      <c r="B7767" s="3" t="str">
        <f>HYPERLINK("https://otsuka-europe-crm.veevavault.com/ui/#object/approved_document__v/V5OZ06G6O6RFL1P", "ES Veeva Privacy Notice Email")</f>
        <v>ES Veeva Privacy Notice Email</v>
      </c>
      <c r="C7767" s="3" t="str">
        <f>HYPERLINK("https://otsuka-europe-crm.veevavault.com/ui/#object/sent_email__v/VBLZ025E82GXCYL", "SE-000280170")</f>
        <v>SE-000280170</v>
      </c>
      <c r="D7767" s="1">
        <v>45923.686111111114</v>
      </c>
      <c r="E7767" s="2">
        <v>1</v>
      </c>
      <c r="F7767" s="2">
        <v>1</v>
      </c>
      <c r="G7767" s="2">
        <v>0</v>
      </c>
      <c r="H7767" s="1" t="s">
        <v>0</v>
      </c>
      <c r="I7767" s="2">
        <v>0</v>
      </c>
      <c r="J7767" s="1">
        <v>45923.515717592592</v>
      </c>
    </row>
    <row r="7768" spans="1:10" x14ac:dyDescent="0.2">
      <c r="A7768" s="4" t="s">
        <v>1</v>
      </c>
      <c r="B7768" s="3" t="str">
        <f>HYPERLINK("https://otsuka-europe-crm.veevavault.com/ui/#object/approved_document__v/V5OZ06G6O6RFL1P", "ES Veeva Privacy Notice Email")</f>
        <v>ES Veeva Privacy Notice Email</v>
      </c>
      <c r="C7768" s="3" t="str">
        <f>HYPERLINK("https://otsuka-europe-crm.veevavault.com/ui/#object/sent_email__v/VBLZ025E82GXD1D", "SE-000280171")</f>
        <v>SE-000280171</v>
      </c>
      <c r="D7768" s="1" t="s">
        <v>0</v>
      </c>
      <c r="E7768" s="2">
        <v>0</v>
      </c>
      <c r="F7768" s="2">
        <v>0</v>
      </c>
      <c r="G7768" s="2">
        <v>0</v>
      </c>
      <c r="H7768" s="1" t="s">
        <v>0</v>
      </c>
      <c r="I7768" s="2">
        <v>0</v>
      </c>
      <c r="J7768" s="1">
        <v>45923.516365740739</v>
      </c>
    </row>
    <row r="7769" spans="1:10" x14ac:dyDescent="0.2">
      <c r="A7769" s="4" t="s">
        <v>1</v>
      </c>
      <c r="B7769" s="3" t="str">
        <f>HYPERLINK("https://otsuka-europe-crm.veevavault.com/ui/#object/approved_document__v/V5OZ06G6O6RFL1P", "ES Veeva Privacy Notice Email")</f>
        <v>ES Veeva Privacy Notice Email</v>
      </c>
      <c r="C7769" s="3" t="str">
        <f>HYPERLINK("https://otsuka-europe-crm.veevavault.com/ui/#object/sent_email__v/VBLZ025E82GXYPX", "SE-000280256")</f>
        <v>SE-000280256</v>
      </c>
      <c r="D7769" s="1">
        <v>45923.677476851852</v>
      </c>
      <c r="E7769" s="2">
        <v>1</v>
      </c>
      <c r="F7769" s="2">
        <v>2</v>
      </c>
      <c r="G7769" s="2">
        <v>0</v>
      </c>
      <c r="H7769" s="1" t="s">
        <v>0</v>
      </c>
      <c r="I7769" s="2">
        <v>0</v>
      </c>
      <c r="J7769" s="1">
        <v>45923.677152777775</v>
      </c>
    </row>
    <row r="7770" spans="1:10" x14ac:dyDescent="0.2">
      <c r="A7770" s="4" t="s">
        <v>1</v>
      </c>
      <c r="B7770" s="3" t="str">
        <f>HYPERLINK("https://otsuka-europe-crm.veevavault.com/ui/#object/approved_document__v/V5OZ06G6O6RFL1P", "ES Veeva Privacy Notice Email")</f>
        <v>ES Veeva Privacy Notice Email</v>
      </c>
      <c r="C7770" s="3" t="str">
        <f>HYPERLINK("https://otsuka-europe-crm.veevavault.com/ui/#object/sent_email__v/VBLZ025E82H05KT", "SE-000280823")</f>
        <v>SE-000280823</v>
      </c>
      <c r="D7770" s="1" t="s">
        <v>0</v>
      </c>
      <c r="E7770" s="2">
        <v>0</v>
      </c>
      <c r="F7770" s="2">
        <v>0</v>
      </c>
      <c r="G7770" s="2">
        <v>0</v>
      </c>
      <c r="H7770" s="1" t="s">
        <v>0</v>
      </c>
      <c r="I7770" s="2">
        <v>0</v>
      </c>
      <c r="J7770" s="1">
        <v>45925.505266203705</v>
      </c>
    </row>
    <row r="7771" spans="1:10" x14ac:dyDescent="0.2">
      <c r="A7771" s="4" t="s">
        <v>1</v>
      </c>
      <c r="B7771" s="3" t="str">
        <f>HYPERLINK("https://otsuka-europe-crm.veevavault.com/ui/#object/approved_document__v/V5OZ06G6O6RFL1P", "ES Veeva Privacy Notice Email")</f>
        <v>ES Veeva Privacy Notice Email</v>
      </c>
      <c r="C7771" s="3" t="str">
        <f>HYPERLINK("https://otsuka-europe-crm.veevavault.com/ui/#object/sent_email__v/VBLZ025E82H0VKX", "SE-000280942")</f>
        <v>SE-000280942</v>
      </c>
      <c r="D7771" s="1">
        <v>45948.416863425926</v>
      </c>
      <c r="E7771" s="2">
        <v>1</v>
      </c>
      <c r="F7771" s="2">
        <v>9</v>
      </c>
      <c r="G7771" s="2">
        <v>0</v>
      </c>
      <c r="H7771" s="1" t="s">
        <v>0</v>
      </c>
      <c r="I7771" s="2">
        <v>0</v>
      </c>
      <c r="J7771" s="1">
        <v>45925.812511574077</v>
      </c>
    </row>
    <row r="7772" spans="1:10" x14ac:dyDescent="0.2">
      <c r="A7772" s="4" t="s">
        <v>1</v>
      </c>
      <c r="B7772" s="3" t="str">
        <f>HYPERLINK("https://otsuka-europe-crm.veevavault.com/ui/#object/approved_document__v/V5OZ06G6O6RFL1P", "ES Veeva Privacy Notice Email")</f>
        <v>ES Veeva Privacy Notice Email</v>
      </c>
      <c r="C7772" s="3" t="str">
        <f>HYPERLINK("https://otsuka-europe-crm.veevavault.com/ui/#object/sent_email__v/VBLZ025E82H1VX9", "SE-000281429")</f>
        <v>SE-000281429</v>
      </c>
      <c r="D7772" s="1">
        <v>45929.717037037037</v>
      </c>
      <c r="E7772" s="2">
        <v>1</v>
      </c>
      <c r="F7772" s="2">
        <v>2</v>
      </c>
      <c r="G7772" s="2">
        <v>0</v>
      </c>
      <c r="H7772" s="1" t="s">
        <v>0</v>
      </c>
      <c r="I7772" s="2">
        <v>0</v>
      </c>
      <c r="J7772" s="1">
        <v>45926.604074074072</v>
      </c>
    </row>
    <row r="7773" spans="1:10" x14ac:dyDescent="0.2">
      <c r="A7773" s="4" t="s">
        <v>1</v>
      </c>
      <c r="B7773" s="3" t="str">
        <f>HYPERLINK("https://otsuka-europe-crm.veevavault.com/ui/#object/approved_document__v/V5OZ06G6O6RFL1P", "ES Veeva Privacy Notice Email")</f>
        <v>ES Veeva Privacy Notice Email</v>
      </c>
      <c r="C7773" s="3" t="str">
        <f>HYPERLINK("https://otsuka-europe-crm.veevavault.com/ui/#object/sent_email__v/VBLZ025E82H1W2T", "SE-000281431")</f>
        <v>SE-000281431</v>
      </c>
      <c r="D7773" s="1">
        <v>45940.850671296299</v>
      </c>
      <c r="E7773" s="2">
        <v>1</v>
      </c>
      <c r="F7773" s="2">
        <v>4</v>
      </c>
      <c r="G7773" s="2">
        <v>0</v>
      </c>
      <c r="H7773" s="1" t="s">
        <v>0</v>
      </c>
      <c r="I7773" s="2">
        <v>0</v>
      </c>
      <c r="J7773" s="1">
        <v>45926.606886574074</v>
      </c>
    </row>
    <row r="7774" spans="1:10" x14ac:dyDescent="0.2">
      <c r="A7774" s="4" t="s">
        <v>1</v>
      </c>
      <c r="B7774" s="3" t="str">
        <f>HYPERLINK("https://otsuka-europe-crm.veevavault.com/ui/#object/approved_document__v/V5OZ06G6O6RFL1P", "ES Veeva Privacy Notice Email")</f>
        <v>ES Veeva Privacy Notice Email</v>
      </c>
      <c r="C7774" s="3" t="str">
        <f>HYPERLINK("https://otsuka-europe-crm.veevavault.com/ui/#object/sent_email__v/VBLZ025E82H2L5L", "SE-000281465")</f>
        <v>SE-000281465</v>
      </c>
      <c r="D7774" s="1">
        <v>45929.796817129631</v>
      </c>
      <c r="E7774" s="2">
        <v>1</v>
      </c>
      <c r="F7774" s="2">
        <v>2</v>
      </c>
      <c r="G7774" s="2">
        <v>0</v>
      </c>
      <c r="H7774" s="1" t="s">
        <v>0</v>
      </c>
      <c r="I7774" s="2">
        <v>0</v>
      </c>
      <c r="J7774" s="1">
        <v>45929.296851851854</v>
      </c>
    </row>
    <row r="7775" spans="1:10" x14ac:dyDescent="0.2">
      <c r="A7775" s="4" t="s">
        <v>1</v>
      </c>
      <c r="B7775" s="3" t="str">
        <f>HYPERLINK("https://otsuka-europe-crm.veevavault.com/ui/#object/approved_document__v/V5OZ06G6O6RFL1P", "ES Veeva Privacy Notice Email")</f>
        <v>ES Veeva Privacy Notice Email</v>
      </c>
      <c r="C7775" s="3" t="str">
        <f>HYPERLINK("https://otsuka-europe-crm.veevavault.com/ui/#object/sent_email__v/VBLZ025E82H2L8D", "SE-000281466")</f>
        <v>SE-000281466</v>
      </c>
      <c r="D7775" s="1">
        <v>45929.327696759261</v>
      </c>
      <c r="E7775" s="2">
        <v>1</v>
      </c>
      <c r="F7775" s="2">
        <v>1</v>
      </c>
      <c r="G7775" s="2">
        <v>0</v>
      </c>
      <c r="H7775" s="1" t="s">
        <v>0</v>
      </c>
      <c r="I7775" s="2">
        <v>0</v>
      </c>
      <c r="J7775" s="1">
        <v>45929.297094907408</v>
      </c>
    </row>
    <row r="7776" spans="1:10" x14ac:dyDescent="0.2">
      <c r="A7776" s="4" t="s">
        <v>1</v>
      </c>
      <c r="B7776" s="3" t="str">
        <f>HYPERLINK("https://otsuka-europe-crm.veevavault.com/ui/#object/approved_document__v/V5OZ06G6O6RFL1P", "ES Veeva Privacy Notice Email")</f>
        <v>ES Veeva Privacy Notice Email</v>
      </c>
      <c r="C7776" s="3" t="str">
        <f>HYPERLINK("https://otsuka-europe-crm.veevavault.com/ui/#object/sent_email__v/VBLZ025E82H2LB5", "SE-000281467")</f>
        <v>SE-000281467</v>
      </c>
      <c r="D7776" s="1">
        <v>45929.796817129631</v>
      </c>
      <c r="E7776" s="2">
        <v>1</v>
      </c>
      <c r="F7776" s="2">
        <v>1</v>
      </c>
      <c r="G7776" s="2">
        <v>0</v>
      </c>
      <c r="H7776" s="1" t="s">
        <v>0</v>
      </c>
      <c r="I7776" s="2">
        <v>0</v>
      </c>
      <c r="J7776" s="1">
        <v>45929.297303240739</v>
      </c>
    </row>
    <row r="7777" spans="1:10" x14ac:dyDescent="0.2">
      <c r="A7777" s="4" t="s">
        <v>1</v>
      </c>
      <c r="B7777" s="3" t="str">
        <f>HYPERLINK("https://otsuka-europe-crm.veevavault.com/ui/#object/approved_document__v/V5OZ06G6O6RFL1P", "ES Veeva Privacy Notice Email")</f>
        <v>ES Veeva Privacy Notice Email</v>
      </c>
      <c r="C7777" s="3" t="str">
        <f>HYPERLINK("https://otsuka-europe-crm.veevavault.com/ui/#object/sent_email__v/VBLZ025E82H3B2X", "SE-000281561")</f>
        <v>SE-000281561</v>
      </c>
      <c r="D7777" s="1">
        <v>45929.559467592589</v>
      </c>
      <c r="E7777" s="2">
        <v>1</v>
      </c>
      <c r="F7777" s="2">
        <v>1</v>
      </c>
      <c r="G7777" s="2">
        <v>0</v>
      </c>
      <c r="H7777" s="1" t="s">
        <v>0</v>
      </c>
      <c r="I7777" s="2">
        <v>0</v>
      </c>
      <c r="J7777" s="1">
        <v>45929.545428240737</v>
      </c>
    </row>
    <row r="7778" spans="1:10" x14ac:dyDescent="0.2">
      <c r="A7778" s="4" t="s">
        <v>1</v>
      </c>
      <c r="B7778" s="3" t="str">
        <f>HYPERLINK("https://otsuka-europe-crm.veevavault.com/ui/#object/approved_document__v/V5OZ06G6O6RFL1P", "ES Veeva Privacy Notice Email")</f>
        <v>ES Veeva Privacy Notice Email</v>
      </c>
      <c r="C7778" s="3" t="str">
        <f>HYPERLINK("https://otsuka-europe-crm.veevavault.com/ui/#object/sent_email__v/VBLZ025E82H470X", "SE-000281644")</f>
        <v>SE-000281644</v>
      </c>
      <c r="D7778" s="1">
        <v>46055.495659722219</v>
      </c>
      <c r="E7778" s="2">
        <v>1</v>
      </c>
      <c r="F7778" s="2">
        <v>3</v>
      </c>
      <c r="G7778" s="2">
        <v>0</v>
      </c>
      <c r="H7778" s="1" t="s">
        <v>0</v>
      </c>
      <c r="I7778" s="2">
        <v>0</v>
      </c>
      <c r="J7778" s="1">
        <v>45930.279108796298</v>
      </c>
    </row>
    <row r="7779" spans="1:10" x14ac:dyDescent="0.2">
      <c r="A7779" s="4" t="s">
        <v>1</v>
      </c>
      <c r="B7779" s="3" t="str">
        <f>HYPERLINK("https://otsuka-europe-crm.veevavault.com/ui/#object/approved_document__v/V5OZ06G6O6RFL1P", "ES Veeva Privacy Notice Email")</f>
        <v>ES Veeva Privacy Notice Email</v>
      </c>
      <c r="C7779" s="3" t="str">
        <f>HYPERLINK("https://otsuka-europe-crm.veevavault.com/ui/#object/sent_email__v/VBLZ025E82H4LGD", "SE-000281805")</f>
        <v>SE-000281805</v>
      </c>
      <c r="D7779" s="1" t="s">
        <v>0</v>
      </c>
      <c r="E7779" s="2">
        <v>0</v>
      </c>
      <c r="F7779" s="2">
        <v>0</v>
      </c>
      <c r="G7779" s="2">
        <v>0</v>
      </c>
      <c r="H7779" s="1" t="s">
        <v>0</v>
      </c>
      <c r="I7779" s="2">
        <v>0</v>
      </c>
      <c r="J7779" s="1">
        <v>45930.389606481483</v>
      </c>
    </row>
    <row r="7780" spans="1:10" x14ac:dyDescent="0.2">
      <c r="A7780" s="4" t="s">
        <v>1</v>
      </c>
      <c r="B7780" s="3" t="str">
        <f>HYPERLINK("https://otsuka-europe-crm.veevavault.com/ui/#object/approved_document__v/V5OZ06G6O6RFL1P", "ES Veeva Privacy Notice Email")</f>
        <v>ES Veeva Privacy Notice Email</v>
      </c>
      <c r="C7780" s="3" t="str">
        <f>HYPERLINK("https://otsuka-europe-crm.veevavault.com/ui/#object/sent_email__v/VBLZ025E82H4MUD", "SE-000281810")</f>
        <v>SE-000281810</v>
      </c>
      <c r="D7780" s="1" t="s">
        <v>0</v>
      </c>
      <c r="E7780" s="2">
        <v>0</v>
      </c>
      <c r="F7780" s="2">
        <v>0</v>
      </c>
      <c r="G7780" s="2">
        <v>0</v>
      </c>
      <c r="H7780" s="1" t="s">
        <v>0</v>
      </c>
      <c r="I7780" s="2">
        <v>0</v>
      </c>
      <c r="J7780" s="1">
        <v>45930.407222222224</v>
      </c>
    </row>
    <row r="7781" spans="1:10" x14ac:dyDescent="0.2">
      <c r="A7781" s="4" t="s">
        <v>1</v>
      </c>
      <c r="B7781" s="3" t="str">
        <f>HYPERLINK("https://otsuka-europe-crm.veevavault.com/ui/#object/approved_document__v/V5OZ06G6O6RFL1P", "ES Veeva Privacy Notice Email")</f>
        <v>ES Veeva Privacy Notice Email</v>
      </c>
      <c r="C7781" s="3" t="str">
        <f>HYPERLINK("https://otsuka-europe-crm.veevavault.com/ui/#object/sent_email__v/VBLZ025E82H547D", "SE-000282246")</f>
        <v>SE-000282246</v>
      </c>
      <c r="D7781" s="1">
        <v>45931.631631944445</v>
      </c>
      <c r="E7781" s="2">
        <v>1</v>
      </c>
      <c r="F7781" s="2">
        <v>4</v>
      </c>
      <c r="G7781" s="2">
        <v>0</v>
      </c>
      <c r="H7781" s="1" t="s">
        <v>0</v>
      </c>
      <c r="I7781" s="2">
        <v>0</v>
      </c>
      <c r="J7781" s="1">
        <v>45930.564583333333</v>
      </c>
    </row>
    <row r="7782" spans="1:10" x14ac:dyDescent="0.2">
      <c r="A7782" s="4" t="s">
        <v>1</v>
      </c>
      <c r="B7782" s="3" t="str">
        <f>HYPERLINK("https://otsuka-europe-crm.veevavault.com/ui/#object/approved_document__v/V5OZ06G6O6RFL1P", "ES Veeva Privacy Notice Email")</f>
        <v>ES Veeva Privacy Notice Email</v>
      </c>
      <c r="C7782" s="3" t="str">
        <f>HYPERLINK("https://otsuka-europe-crm.veevavault.com/ui/#object/sent_email__v/VBLZ025E82H5LC1", "SE-000282302")</f>
        <v>SE-000282302</v>
      </c>
      <c r="D7782" s="1">
        <v>45931.636076388888</v>
      </c>
      <c r="E7782" s="2">
        <v>1</v>
      </c>
      <c r="F7782" s="2">
        <v>2</v>
      </c>
      <c r="G7782" s="2">
        <v>0</v>
      </c>
      <c r="H7782" s="1" t="s">
        <v>0</v>
      </c>
      <c r="I7782" s="2">
        <v>0</v>
      </c>
      <c r="J7782" s="1">
        <v>45930.692546296297</v>
      </c>
    </row>
    <row r="7783" spans="1:10" x14ac:dyDescent="0.2">
      <c r="A7783" s="4" t="s">
        <v>1</v>
      </c>
      <c r="B7783" s="3" t="str">
        <f>HYPERLINK("https://otsuka-europe-crm.veevavault.com/ui/#object/approved_document__v/V5OZ06G6O6RFL1P", "ES Veeva Privacy Notice Email")</f>
        <v>ES Veeva Privacy Notice Email</v>
      </c>
      <c r="C7783" s="3" t="str">
        <f>HYPERLINK("https://otsuka-europe-crm.veevavault.com/ui/#object/sent_email__v/VBLZ025E82H5YJ1", "SE-000282558")</f>
        <v>SE-000282558</v>
      </c>
      <c r="D7783" s="1">
        <v>45939.786874999998</v>
      </c>
      <c r="E7783" s="2">
        <v>1</v>
      </c>
      <c r="F7783" s="2">
        <v>2</v>
      </c>
      <c r="G7783" s="2">
        <v>0</v>
      </c>
      <c r="H7783" s="1" t="s">
        <v>0</v>
      </c>
      <c r="I7783" s="2">
        <v>0</v>
      </c>
      <c r="J7783" s="1">
        <v>45931.324305555558</v>
      </c>
    </row>
    <row r="7784" spans="1:10" x14ac:dyDescent="0.2">
      <c r="A7784" s="4" t="s">
        <v>1</v>
      </c>
      <c r="B7784" s="3" t="str">
        <f>HYPERLINK("https://otsuka-europe-crm.veevavault.com/ui/#object/approved_document__v/V5OZ06G6O6RFL1P", "ES Veeva Privacy Notice Email")</f>
        <v>ES Veeva Privacy Notice Email</v>
      </c>
      <c r="C7784" s="3" t="str">
        <f>HYPERLINK("https://otsuka-europe-crm.veevavault.com/ui/#object/sent_email__v/VBLZ025E82H5YRD", "SE-000282562")</f>
        <v>SE-000282562</v>
      </c>
      <c r="D7784" s="1">
        <v>45931.378472222219</v>
      </c>
      <c r="E7784" s="2">
        <v>1</v>
      </c>
      <c r="F7784" s="2">
        <v>1</v>
      </c>
      <c r="G7784" s="2">
        <v>0</v>
      </c>
      <c r="H7784" s="1" t="s">
        <v>0</v>
      </c>
      <c r="I7784" s="2">
        <v>0</v>
      </c>
      <c r="J7784" s="1">
        <v>45931.334432870368</v>
      </c>
    </row>
    <row r="7785" spans="1:10" x14ac:dyDescent="0.2">
      <c r="A7785" s="4" t="s">
        <v>1</v>
      </c>
      <c r="B7785" s="3" t="str">
        <f>HYPERLINK("https://otsuka-europe-crm.veevavault.com/ui/#object/approved_document__v/V5OZ06G6O6RFL1P", "ES Veeva Privacy Notice Email")</f>
        <v>ES Veeva Privacy Notice Email</v>
      </c>
      <c r="C7785" s="3" t="str">
        <f>HYPERLINK("https://otsuka-europe-crm.veevavault.com/ui/#object/sent_email__v/VBLZ025E82H69N3", "SE-000282641")</f>
        <v>SE-000282641</v>
      </c>
      <c r="D7785" s="1">
        <v>45932.374525462961</v>
      </c>
      <c r="E7785" s="2">
        <v>1</v>
      </c>
      <c r="F7785" s="2">
        <v>3</v>
      </c>
      <c r="G7785" s="2">
        <v>0</v>
      </c>
      <c r="H7785" s="1" t="s">
        <v>0</v>
      </c>
      <c r="I7785" s="2">
        <v>0</v>
      </c>
      <c r="J7785" s="1">
        <v>45931.472268518519</v>
      </c>
    </row>
    <row r="7786" spans="1:10" x14ac:dyDescent="0.2">
      <c r="A7786" s="4" t="s">
        <v>1</v>
      </c>
      <c r="B7786" s="3" t="str">
        <f>HYPERLINK("https://otsuka-europe-crm.veevavault.com/ui/#object/approved_document__v/V5OZ06G6O6RFL1P", "ES Veeva Privacy Notice Email")</f>
        <v>ES Veeva Privacy Notice Email</v>
      </c>
      <c r="C7786" s="3" t="str">
        <f>HYPERLINK("https://otsuka-europe-crm.veevavault.com/ui/#object/sent_email__v/VBLZ025E82H7115", "SE-000282730")</f>
        <v>SE-000282730</v>
      </c>
      <c r="D7786" s="1">
        <v>45931.696608796294</v>
      </c>
      <c r="E7786" s="2">
        <v>1</v>
      </c>
      <c r="F7786" s="2">
        <v>1</v>
      </c>
      <c r="G7786" s="2">
        <v>0</v>
      </c>
      <c r="H7786" s="1" t="s">
        <v>0</v>
      </c>
      <c r="I7786" s="2">
        <v>0</v>
      </c>
      <c r="J7786" s="1">
        <v>45931.669687499998</v>
      </c>
    </row>
    <row r="7787" spans="1:10" x14ac:dyDescent="0.2">
      <c r="A7787" s="4" t="s">
        <v>1</v>
      </c>
      <c r="B7787" s="3" t="str">
        <f>HYPERLINK("https://otsuka-europe-crm.veevavault.com/ui/#object/approved_document__v/V5OZ06G6O6RFL1P", "ES Veeva Privacy Notice Email")</f>
        <v>ES Veeva Privacy Notice Email</v>
      </c>
      <c r="C7787" s="3" t="str">
        <f>HYPERLINK("https://otsuka-europe-crm.veevavault.com/ui/#object/sent_email__v/VBLZ025E82H8ZPL", "SE-000283064")</f>
        <v>SE-000283064</v>
      </c>
      <c r="D7787" s="1">
        <v>45933.545636574076</v>
      </c>
      <c r="E7787" s="2">
        <v>1</v>
      </c>
      <c r="F7787" s="2">
        <v>2</v>
      </c>
      <c r="G7787" s="2">
        <v>1</v>
      </c>
      <c r="H7787" s="1">
        <v>45933.397696759261</v>
      </c>
      <c r="I7787" s="2">
        <v>1</v>
      </c>
      <c r="J7787" s="1">
        <v>45933.332025462965</v>
      </c>
    </row>
    <row r="7788" spans="1:10" x14ac:dyDescent="0.2">
      <c r="A7788" s="4" t="s">
        <v>1</v>
      </c>
      <c r="B7788" s="3" t="str">
        <f>HYPERLINK("https://otsuka-europe-crm.veevavault.com/ui/#object/approved_document__v/V5OZ06G6O6RFL1P", "ES Veeva Privacy Notice Email")</f>
        <v>ES Veeva Privacy Notice Email</v>
      </c>
      <c r="C7788" s="3" t="str">
        <f>HYPERLINK("https://otsuka-europe-crm.veevavault.com/ui/#object/sent_email__v/VBLZ025E82H90PP", "SE-000283069")</f>
        <v>SE-000283069</v>
      </c>
      <c r="D7788" s="1">
        <v>45995.59574074074</v>
      </c>
      <c r="E7788" s="2">
        <v>1</v>
      </c>
      <c r="F7788" s="2">
        <v>2</v>
      </c>
      <c r="G7788" s="2">
        <v>0</v>
      </c>
      <c r="H7788" s="1" t="s">
        <v>0</v>
      </c>
      <c r="I7788" s="2">
        <v>0</v>
      </c>
      <c r="J7788" s="1">
        <v>45933.352500000001</v>
      </c>
    </row>
    <row r="7789" spans="1:10" x14ac:dyDescent="0.2">
      <c r="A7789" s="4" t="s">
        <v>1</v>
      </c>
      <c r="B7789" s="3" t="str">
        <f>HYPERLINK("https://otsuka-europe-crm.veevavault.com/ui/#object/approved_document__v/V5OZ06G6O6RFL1P", "ES Veeva Privacy Notice Email")</f>
        <v>ES Veeva Privacy Notice Email</v>
      </c>
      <c r="C7789" s="3" t="str">
        <f>HYPERLINK("https://otsuka-europe-crm.veevavault.com/ui/#object/sent_email__v/VBLZ025E82HASOH", "SE-000283356")</f>
        <v>SE-000283356</v>
      </c>
      <c r="D7789" s="1">
        <v>45938.74560185185</v>
      </c>
      <c r="E7789" s="2">
        <v>1</v>
      </c>
      <c r="F7789" s="2">
        <v>2</v>
      </c>
      <c r="G7789" s="2">
        <v>0</v>
      </c>
      <c r="H7789" s="1" t="s">
        <v>0</v>
      </c>
      <c r="I7789" s="2">
        <v>0</v>
      </c>
      <c r="J7789" s="1">
        <v>45935.834687499999</v>
      </c>
    </row>
    <row r="7790" spans="1:10" x14ac:dyDescent="0.2">
      <c r="A7790" s="4" t="s">
        <v>1</v>
      </c>
      <c r="B7790" s="3" t="str">
        <f>HYPERLINK("https://otsuka-europe-crm.veevavault.com/ui/#object/approved_document__v/V5OZ06G6O6RFL1P", "ES Veeva Privacy Notice Email")</f>
        <v>ES Veeva Privacy Notice Email</v>
      </c>
      <c r="C7790" s="3" t="str">
        <f>HYPERLINK("https://otsuka-europe-crm.veevavault.com/ui/#object/sent_email__v/VBLZ025E82HASWT", "SE-000283361")</f>
        <v>SE-000283361</v>
      </c>
      <c r="D7790" s="1">
        <v>45946.929710648146</v>
      </c>
      <c r="E7790" s="2">
        <v>1</v>
      </c>
      <c r="F7790" s="2">
        <v>3</v>
      </c>
      <c r="G7790" s="2">
        <v>0</v>
      </c>
      <c r="H7790" s="1" t="s">
        <v>0</v>
      </c>
      <c r="I7790" s="2">
        <v>0</v>
      </c>
      <c r="J7790" s="1">
        <v>45935.842291666668</v>
      </c>
    </row>
    <row r="7791" spans="1:10" x14ac:dyDescent="0.2">
      <c r="A7791" s="4" t="s">
        <v>1</v>
      </c>
      <c r="B7791" s="3" t="str">
        <f>HYPERLINK("https://otsuka-europe-crm.veevavault.com/ui/#object/approved_document__v/V5OZ06G6O6RFL1P", "ES Veeva Privacy Notice Email")</f>
        <v>ES Veeva Privacy Notice Email</v>
      </c>
      <c r="C7791" s="3" t="str">
        <f>HYPERLINK("https://otsuka-europe-crm.veevavault.com/ui/#object/sent_email__v/VBLZ025E82HASZL", "SE-000283362")</f>
        <v>SE-000283362</v>
      </c>
      <c r="D7791" s="1">
        <v>45937.908437500002</v>
      </c>
      <c r="E7791" s="2">
        <v>1</v>
      </c>
      <c r="F7791" s="2">
        <v>3</v>
      </c>
      <c r="G7791" s="2">
        <v>0</v>
      </c>
      <c r="H7791" s="1" t="s">
        <v>0</v>
      </c>
      <c r="I7791" s="2">
        <v>0</v>
      </c>
      <c r="J7791" s="1">
        <v>45935.843449074076</v>
      </c>
    </row>
    <row r="7792" spans="1:10" x14ac:dyDescent="0.2">
      <c r="A7792" s="4" t="s">
        <v>1</v>
      </c>
      <c r="B7792" s="3" t="str">
        <f>HYPERLINK("https://otsuka-europe-crm.veevavault.com/ui/#object/approved_document__v/V5OZ06G6O6RFL1P", "ES Veeva Privacy Notice Email")</f>
        <v>ES Veeva Privacy Notice Email</v>
      </c>
      <c r="C7792" s="3" t="str">
        <f>HYPERLINK("https://otsuka-europe-crm.veevavault.com/ui/#object/sent_email__v/VBLZ025E82HC6U1", "SE-000283633")</f>
        <v>SE-000283633</v>
      </c>
      <c r="D7792" s="1" t="s">
        <v>0</v>
      </c>
      <c r="E7792" s="2">
        <v>0</v>
      </c>
      <c r="F7792" s="2">
        <v>0</v>
      </c>
      <c r="G7792" s="2">
        <v>0</v>
      </c>
      <c r="H7792" s="1" t="s">
        <v>0</v>
      </c>
      <c r="I7792" s="2">
        <v>0</v>
      </c>
      <c r="J7792" s="1">
        <v>45936.685532407406</v>
      </c>
    </row>
    <row r="7793" spans="1:10" x14ac:dyDescent="0.2">
      <c r="A7793" s="4" t="s">
        <v>1</v>
      </c>
      <c r="B7793" s="3" t="str">
        <f>HYPERLINK("https://otsuka-europe-crm.veevavault.com/ui/#object/approved_document__v/V5OZ06G6O6RFL1P", "ES Veeva Privacy Notice Email")</f>
        <v>ES Veeva Privacy Notice Email</v>
      </c>
      <c r="C7793" s="3" t="str">
        <f>HYPERLINK("https://otsuka-europe-crm.veevavault.com/ui/#object/sent_email__v/VBLZ025E82HCEML", "SE-000283652")</f>
        <v>SE-000283652</v>
      </c>
      <c r="D7793" s="1" t="s">
        <v>0</v>
      </c>
      <c r="E7793" s="2">
        <v>0</v>
      </c>
      <c r="F7793" s="2">
        <v>0</v>
      </c>
      <c r="G7793" s="2">
        <v>0</v>
      </c>
      <c r="H7793" s="1" t="s">
        <v>0</v>
      </c>
      <c r="I7793" s="2">
        <v>0</v>
      </c>
      <c r="J7793" s="1">
        <v>45936.890497685185</v>
      </c>
    </row>
    <row r="7794" spans="1:10" x14ac:dyDescent="0.2">
      <c r="A7794" s="4" t="s">
        <v>1</v>
      </c>
      <c r="B7794" s="3" t="str">
        <f>HYPERLINK("https://otsuka-europe-crm.veevavault.com/ui/#object/approved_document__v/V5OZ06G6O6RFL1P", "ES Veeva Privacy Notice Email")</f>
        <v>ES Veeva Privacy Notice Email</v>
      </c>
      <c r="C7794" s="3" t="str">
        <f>HYPERLINK("https://otsuka-europe-crm.veevavault.com/ui/#object/sent_email__v/VBLZ025E82HCI3L", "SE-000283655")</f>
        <v>SE-000283655</v>
      </c>
      <c r="D7794" s="1" t="s">
        <v>0</v>
      </c>
      <c r="E7794" s="2">
        <v>0</v>
      </c>
      <c r="F7794" s="2">
        <v>0</v>
      </c>
      <c r="G7794" s="2">
        <v>0</v>
      </c>
      <c r="H7794" s="1" t="s">
        <v>0</v>
      </c>
      <c r="I7794" s="2">
        <v>0</v>
      </c>
      <c r="J7794" s="1">
        <v>45937.325613425928</v>
      </c>
    </row>
    <row r="7795" spans="1:10" x14ac:dyDescent="0.2">
      <c r="A7795" s="4" t="s">
        <v>1</v>
      </c>
      <c r="B7795" s="3" t="str">
        <f>HYPERLINK("https://otsuka-europe-crm.veevavault.com/ui/#object/approved_document__v/V5OZ06G6O6RFL1P", "ES Veeva Privacy Notice Email")</f>
        <v>ES Veeva Privacy Notice Email</v>
      </c>
      <c r="C7795" s="3" t="str">
        <f>HYPERLINK("https://otsuka-europe-crm.veevavault.com/ui/#object/sent_email__v/VBLZ025E82HDB9L", "SE-000284298")</f>
        <v>SE-000284298</v>
      </c>
      <c r="D7795" s="1">
        <v>45937.64130787037</v>
      </c>
      <c r="E7795" s="2">
        <v>1</v>
      </c>
      <c r="F7795" s="2">
        <v>2</v>
      </c>
      <c r="G7795" s="2">
        <v>0</v>
      </c>
      <c r="H7795" s="1" t="s">
        <v>0</v>
      </c>
      <c r="I7795" s="2">
        <v>0</v>
      </c>
      <c r="J7795" s="1">
        <v>45937.517314814817</v>
      </c>
    </row>
    <row r="7796" spans="1:10" x14ac:dyDescent="0.2">
      <c r="A7796" s="4" t="s">
        <v>1</v>
      </c>
      <c r="B7796" s="3" t="str">
        <f>HYPERLINK("https://otsuka-europe-crm.veevavault.com/ui/#object/approved_document__v/V5OZ06G6O6RFL1P", "ES Veeva Privacy Notice Email")</f>
        <v>ES Veeva Privacy Notice Email</v>
      </c>
      <c r="C7796" s="3" t="str">
        <f>HYPERLINK("https://otsuka-europe-crm.veevavault.com/ui/#object/sent_email__v/VBLZ025E82HDBHX", "SE-000284302")</f>
        <v>SE-000284302</v>
      </c>
      <c r="D7796" s="1">
        <v>45939.578923611109</v>
      </c>
      <c r="E7796" s="2">
        <v>1</v>
      </c>
      <c r="F7796" s="2">
        <v>2</v>
      </c>
      <c r="G7796" s="2">
        <v>0</v>
      </c>
      <c r="H7796" s="1" t="s">
        <v>0</v>
      </c>
      <c r="I7796" s="2">
        <v>0</v>
      </c>
      <c r="J7796" s="1">
        <v>45937.517870370371</v>
      </c>
    </row>
    <row r="7797" spans="1:10" x14ac:dyDescent="0.2">
      <c r="A7797" s="4" t="s">
        <v>1</v>
      </c>
      <c r="B7797" s="3" t="str">
        <f>HYPERLINK("https://otsuka-europe-crm.veevavault.com/ui/#object/approved_document__v/V5OZ06G6O6RFL1P", "ES Veeva Privacy Notice Email")</f>
        <v>ES Veeva Privacy Notice Email</v>
      </c>
      <c r="C7797" s="3" t="str">
        <f>HYPERLINK("https://otsuka-europe-crm.veevavault.com/ui/#object/sent_email__v/VBLZ025E82HF6JT", "SE-000285014")</f>
        <v>SE-000285014</v>
      </c>
      <c r="D7797" s="1" t="s">
        <v>0</v>
      </c>
      <c r="E7797" s="2">
        <v>0</v>
      </c>
      <c r="F7797" s="2">
        <v>0</v>
      </c>
      <c r="G7797" s="2">
        <v>0</v>
      </c>
      <c r="H7797" s="1" t="s">
        <v>0</v>
      </c>
      <c r="I7797" s="2">
        <v>0</v>
      </c>
      <c r="J7797" s="1">
        <v>45938.640081018515</v>
      </c>
    </row>
    <row r="7798" spans="1:10" x14ac:dyDescent="0.2">
      <c r="A7798" s="4" t="s">
        <v>1</v>
      </c>
      <c r="B7798" s="3" t="str">
        <f>HYPERLINK("https://otsuka-europe-crm.veevavault.com/ui/#object/approved_document__v/V5OZ06G6O6RFL1P", "ES Veeva Privacy Notice Email")</f>
        <v>ES Veeva Privacy Notice Email</v>
      </c>
      <c r="C7798" s="3" t="str">
        <f>HYPERLINK("https://otsuka-europe-crm.veevavault.com/ui/#object/sent_email__v/VBLZ025E82HHMA5", "SE-000286522")</f>
        <v>SE-000286522</v>
      </c>
      <c r="D7798" s="1" t="s">
        <v>0</v>
      </c>
      <c r="E7798" s="2">
        <v>0</v>
      </c>
      <c r="F7798" s="2">
        <v>0</v>
      </c>
      <c r="G7798" s="2">
        <v>0</v>
      </c>
      <c r="H7798" s="1" t="s">
        <v>0</v>
      </c>
      <c r="I7798" s="2">
        <v>0</v>
      </c>
      <c r="J7798" s="1">
        <v>45940.572476851848</v>
      </c>
    </row>
    <row r="7799" spans="1:10" x14ac:dyDescent="0.2">
      <c r="A7799" s="4" t="s">
        <v>1</v>
      </c>
      <c r="B7799" s="3" t="str">
        <f>HYPERLINK("https://otsuka-europe-crm.veevavault.com/ui/#object/approved_document__v/V5OZ06G6O6RFL1P", "ES Veeva Privacy Notice Email")</f>
        <v>ES Veeva Privacy Notice Email</v>
      </c>
      <c r="C7799" s="3" t="str">
        <f>HYPERLINK("https://otsuka-europe-crm.veevavault.com/ui/#object/sent_email__v/VBLZ025E82HHMCX", "SE-000286523")</f>
        <v>SE-000286523</v>
      </c>
      <c r="D7799" s="1" t="s">
        <v>0</v>
      </c>
      <c r="E7799" s="2">
        <v>0</v>
      </c>
      <c r="F7799" s="2">
        <v>0</v>
      </c>
      <c r="G7799" s="2">
        <v>0</v>
      </c>
      <c r="H7799" s="1" t="s">
        <v>0</v>
      </c>
      <c r="I7799" s="2">
        <v>0</v>
      </c>
      <c r="J7799" s="1">
        <v>45940.573148148149</v>
      </c>
    </row>
    <row r="7800" spans="1:10" x14ac:dyDescent="0.2">
      <c r="A7800" s="4" t="s">
        <v>1</v>
      </c>
      <c r="B7800" s="3" t="str">
        <f>HYPERLINK("https://otsuka-europe-crm.veevavault.com/ui/#object/approved_document__v/V5OZ06G6O6RFL1P", "ES Veeva Privacy Notice Email")</f>
        <v>ES Veeva Privacy Notice Email</v>
      </c>
      <c r="C7800" s="3" t="str">
        <f>HYPERLINK("https://otsuka-europe-crm.veevavault.com/ui/#object/sent_email__v/VBLZ025E82HJJYH", "SE-000286865")</f>
        <v>SE-000286865</v>
      </c>
      <c r="D7800" s="1" t="s">
        <v>0</v>
      </c>
      <c r="E7800" s="2">
        <v>0</v>
      </c>
      <c r="F7800" s="2">
        <v>0</v>
      </c>
      <c r="G7800" s="2">
        <v>0</v>
      </c>
      <c r="H7800" s="1" t="s">
        <v>0</v>
      </c>
      <c r="I7800" s="2">
        <v>0</v>
      </c>
      <c r="J7800" s="1">
        <v>45944.32608796296</v>
      </c>
    </row>
    <row r="7801" spans="1:10" x14ac:dyDescent="0.2">
      <c r="A7801" s="4" t="s">
        <v>1</v>
      </c>
      <c r="B7801" s="3" t="str">
        <f>HYPERLINK("https://otsuka-europe-crm.veevavault.com/ui/#object/approved_document__v/V5OZ06G6O6RFL1P", "ES Veeva Privacy Notice Email")</f>
        <v>ES Veeva Privacy Notice Email</v>
      </c>
      <c r="C7801" s="3" t="str">
        <f>HYPERLINK("https://otsuka-europe-crm.veevavault.com/ui/#object/sent_email__v/VBLZ025E82HJLYP", "SE-000286872")</f>
        <v>SE-000286872</v>
      </c>
      <c r="D7801" s="1">
        <v>45944.381516203706</v>
      </c>
      <c r="E7801" s="2">
        <v>1</v>
      </c>
      <c r="F7801" s="2">
        <v>1</v>
      </c>
      <c r="G7801" s="2">
        <v>0</v>
      </c>
      <c r="H7801" s="1" t="s">
        <v>0</v>
      </c>
      <c r="I7801" s="2">
        <v>0</v>
      </c>
      <c r="J7801" s="1">
        <v>45944.37023148148</v>
      </c>
    </row>
    <row r="7802" spans="1:10" x14ac:dyDescent="0.2">
      <c r="A7802" s="4" t="s">
        <v>1</v>
      </c>
      <c r="B7802" s="3" t="str">
        <f>HYPERLINK("https://otsuka-europe-crm.veevavault.com/ui/#object/approved_document__v/V5OZ06G6O6RFL1P", "ES Veeva Privacy Notice Email")</f>
        <v>ES Veeva Privacy Notice Email</v>
      </c>
      <c r="C7802" s="3" t="str">
        <f>HYPERLINK("https://otsuka-europe-crm.veevavault.com/ui/#object/sent_email__v/VBLZ025E82HJPIH", "SE-000286906")</f>
        <v>SE-000286906</v>
      </c>
      <c r="D7802" s="1">
        <v>45945.529826388891</v>
      </c>
      <c r="E7802" s="2">
        <v>1</v>
      </c>
      <c r="F7802" s="2">
        <v>1</v>
      </c>
      <c r="G7802" s="2">
        <v>0</v>
      </c>
      <c r="H7802" s="1" t="s">
        <v>0</v>
      </c>
      <c r="I7802" s="2">
        <v>0</v>
      </c>
      <c r="J7802" s="1">
        <v>45944.39335648148</v>
      </c>
    </row>
    <row r="7803" spans="1:10" x14ac:dyDescent="0.2">
      <c r="A7803" s="4" t="s">
        <v>1</v>
      </c>
      <c r="B7803" s="3" t="str">
        <f>HYPERLINK("https://otsuka-europe-crm.veevavault.com/ui/#object/approved_document__v/V5OZ06G6O6RFL1P", "ES Veeva Privacy Notice Email")</f>
        <v>ES Veeva Privacy Notice Email</v>
      </c>
      <c r="C7803" s="3" t="str">
        <f>HYPERLINK("https://otsuka-europe-crm.veevavault.com/ui/#object/sent_email__v/VBLZ025E82HKPJP", "SE-000287559")</f>
        <v>SE-000287559</v>
      </c>
      <c r="D7803" s="1" t="s">
        <v>0</v>
      </c>
      <c r="E7803" s="2">
        <v>0</v>
      </c>
      <c r="F7803" s="2">
        <v>0</v>
      </c>
      <c r="G7803" s="2">
        <v>0</v>
      </c>
      <c r="H7803" s="1" t="s">
        <v>0</v>
      </c>
      <c r="I7803" s="2">
        <v>0</v>
      </c>
      <c r="J7803" s="1">
        <v>45945.302546296298</v>
      </c>
    </row>
    <row r="7804" spans="1:10" x14ac:dyDescent="0.2">
      <c r="A7804" s="4" t="s">
        <v>1</v>
      </c>
      <c r="B7804" s="3" t="str">
        <f>HYPERLINK("https://otsuka-europe-crm.veevavault.com/ui/#object/approved_document__v/V5OZ06G6O6RFL1P", "ES Veeva Privacy Notice Email")</f>
        <v>ES Veeva Privacy Notice Email</v>
      </c>
      <c r="C7804" s="3" t="str">
        <f>HYPERLINK("https://otsuka-europe-crm.veevavault.com/ui/#object/sent_email__v/VBLZ025E82HKXF1", "SE-000287792")</f>
        <v>SE-000287792</v>
      </c>
      <c r="D7804" s="1" t="s">
        <v>0</v>
      </c>
      <c r="E7804" s="2">
        <v>0</v>
      </c>
      <c r="F7804" s="2">
        <v>0</v>
      </c>
      <c r="G7804" s="2">
        <v>0</v>
      </c>
      <c r="H7804" s="1" t="s">
        <v>0</v>
      </c>
      <c r="I7804" s="2">
        <v>0</v>
      </c>
      <c r="J7804" s="1">
        <v>45945.423275462963</v>
      </c>
    </row>
    <row r="7805" spans="1:10" x14ac:dyDescent="0.2">
      <c r="A7805" s="4" t="s">
        <v>1</v>
      </c>
      <c r="B7805" s="3" t="str">
        <f>HYPERLINK("https://otsuka-europe-crm.veevavault.com/ui/#object/approved_document__v/V5OZ06G6O6RFL1P", "ES Veeva Privacy Notice Email")</f>
        <v>ES Veeva Privacy Notice Email</v>
      </c>
      <c r="C7805" s="3" t="str">
        <f>HYPERLINK("https://otsuka-europe-crm.veevavault.com/ui/#object/sent_email__v/VBLZ025E82HM5XT", "SE-000287896")</f>
        <v>SE-000287896</v>
      </c>
      <c r="D7805" s="1">
        <v>45967.692094907405</v>
      </c>
      <c r="E7805" s="2">
        <v>1</v>
      </c>
      <c r="F7805" s="2">
        <v>2</v>
      </c>
      <c r="G7805" s="2">
        <v>0</v>
      </c>
      <c r="H7805" s="1" t="s">
        <v>0</v>
      </c>
      <c r="I7805" s="2">
        <v>0</v>
      </c>
      <c r="J7805" s="1">
        <v>45946.423518518517</v>
      </c>
    </row>
    <row r="7806" spans="1:10" x14ac:dyDescent="0.2">
      <c r="A7806" s="4" t="s">
        <v>1</v>
      </c>
      <c r="B7806" s="3" t="str">
        <f>HYPERLINK("https://otsuka-europe-crm.veevavault.com/ui/#object/approved_document__v/V5OZ06G6O6RFL1P", "ES Veeva Privacy Notice Email")</f>
        <v>ES Veeva Privacy Notice Email</v>
      </c>
      <c r="C7806" s="3" t="str">
        <f>HYPERLINK("https://otsuka-europe-crm.veevavault.com/ui/#object/sent_email__v/VBLZ025E82HMU62", "SE-000287941")</f>
        <v>SE-000287941</v>
      </c>
      <c r="D7806" s="1">
        <v>45949.398993055554</v>
      </c>
      <c r="E7806" s="2">
        <v>1</v>
      </c>
      <c r="F7806" s="2">
        <v>3</v>
      </c>
      <c r="G7806" s="2">
        <v>0</v>
      </c>
      <c r="H7806" s="1" t="s">
        <v>0</v>
      </c>
      <c r="I7806" s="2">
        <v>0</v>
      </c>
      <c r="J7806" s="1">
        <v>45946.676319444443</v>
      </c>
    </row>
    <row r="7807" spans="1:10" x14ac:dyDescent="0.2">
      <c r="A7807" s="4" t="s">
        <v>1</v>
      </c>
      <c r="B7807" s="3" t="str">
        <f>HYPERLINK("https://otsuka-europe-crm.veevavault.com/ui/#object/approved_document__v/V5OZ06G6O6RFL1P", "ES Veeva Privacy Notice Email")</f>
        <v>ES Veeva Privacy Notice Email</v>
      </c>
      <c r="C7807" s="3" t="str">
        <f>HYPERLINK("https://otsuka-europe-crm.veevavault.com/ui/#object/sent_email__v/VBLZ025E82HN6A6", "SE-000287982")</f>
        <v>SE-000287982</v>
      </c>
      <c r="D7807" s="1">
        <v>45950.887418981481</v>
      </c>
      <c r="E7807" s="2">
        <v>1</v>
      </c>
      <c r="F7807" s="2">
        <v>1</v>
      </c>
      <c r="G7807" s="2">
        <v>0</v>
      </c>
      <c r="H7807" s="1" t="s">
        <v>0</v>
      </c>
      <c r="I7807" s="2">
        <v>0</v>
      </c>
      <c r="J7807" s="1">
        <v>45947.399548611109</v>
      </c>
    </row>
    <row r="7808" spans="1:10" x14ac:dyDescent="0.2">
      <c r="A7808" s="4" t="s">
        <v>1</v>
      </c>
      <c r="B7808" s="3" t="str">
        <f>HYPERLINK("https://otsuka-europe-crm.veevavault.com/ui/#object/approved_document__v/V5OZ06G6O6RFL1P", "ES Veeva Privacy Notice Email")</f>
        <v>ES Veeva Privacy Notice Email</v>
      </c>
      <c r="C7808" s="3" t="str">
        <f>HYPERLINK("https://otsuka-europe-crm.veevavault.com/ui/#object/sent_email__v/VBLZ025E82HN84T", "SE-000287986")</f>
        <v>SE-000287986</v>
      </c>
      <c r="D7808" s="1" t="s">
        <v>0</v>
      </c>
      <c r="E7808" s="2">
        <v>0</v>
      </c>
      <c r="F7808" s="2">
        <v>0</v>
      </c>
      <c r="G7808" s="2">
        <v>0</v>
      </c>
      <c r="H7808" s="1" t="s">
        <v>0</v>
      </c>
      <c r="I7808" s="2">
        <v>0</v>
      </c>
      <c r="J7808" s="1">
        <v>45947.403877314813</v>
      </c>
    </row>
    <row r="7809" spans="1:10" x14ac:dyDescent="0.2">
      <c r="A7809" s="4" t="s">
        <v>1</v>
      </c>
      <c r="B7809" s="3" t="str">
        <f>HYPERLINK("https://otsuka-europe-crm.veevavault.com/ui/#object/approved_document__v/V5OZ06G6O6RFL1P", "ES Veeva Privacy Notice Email")</f>
        <v>ES Veeva Privacy Notice Email</v>
      </c>
      <c r="C7809" s="3" t="str">
        <f>HYPERLINK("https://otsuka-europe-crm.veevavault.com/ui/#object/sent_email__v/VBLZ025E82HNIML", "SE-000288000")</f>
        <v>SE-000288000</v>
      </c>
      <c r="D7809" s="1" t="s">
        <v>0</v>
      </c>
      <c r="E7809" s="2">
        <v>0</v>
      </c>
      <c r="F7809" s="2">
        <v>0</v>
      </c>
      <c r="G7809" s="2">
        <v>0</v>
      </c>
      <c r="H7809" s="1" t="s">
        <v>0</v>
      </c>
      <c r="I7809" s="2">
        <v>0</v>
      </c>
      <c r="J7809" s="1">
        <v>45947.490347222221</v>
      </c>
    </row>
    <row r="7810" spans="1:10" x14ac:dyDescent="0.2">
      <c r="A7810" s="4" t="s">
        <v>1</v>
      </c>
      <c r="B7810" s="3" t="str">
        <f>HYPERLINK("https://otsuka-europe-crm.veevavault.com/ui/#object/approved_document__v/V5OZ06G6O6RFL1P", "ES Veeva Privacy Notice Email")</f>
        <v>ES Veeva Privacy Notice Email</v>
      </c>
      <c r="C7810" s="3" t="str">
        <f>HYPERLINK("https://otsuka-europe-crm.veevavault.com/ui/#object/sent_email__v/VBLZ025E82HNSI5", "SE-000288034")</f>
        <v>SE-000288034</v>
      </c>
      <c r="D7810" s="1">
        <v>45947.597893518519</v>
      </c>
      <c r="E7810" s="2">
        <v>1</v>
      </c>
      <c r="F7810" s="2">
        <v>1</v>
      </c>
      <c r="G7810" s="2">
        <v>0</v>
      </c>
      <c r="H7810" s="1" t="s">
        <v>0</v>
      </c>
      <c r="I7810" s="2">
        <v>0</v>
      </c>
      <c r="J7810" s="1">
        <v>45947.590289351851</v>
      </c>
    </row>
    <row r="7811" spans="1:10" x14ac:dyDescent="0.2">
      <c r="A7811" s="4" t="s">
        <v>1</v>
      </c>
      <c r="B7811" s="3" t="str">
        <f>HYPERLINK("https://otsuka-europe-crm.veevavault.com/ui/#object/approved_document__v/V5OZ06G6O6RFL1P", "ES Veeva Privacy Notice Email")</f>
        <v>ES Veeva Privacy Notice Email</v>
      </c>
      <c r="C7811" s="3" t="str">
        <f>HYPERLINK("https://otsuka-europe-crm.veevavault.com/ui/#object/sent_email__v/VBLZ025E82HO0AP", "SE-000288045")</f>
        <v>SE-000288045</v>
      </c>
      <c r="D7811" s="1">
        <v>45947.804768518516</v>
      </c>
      <c r="E7811" s="2">
        <v>1</v>
      </c>
      <c r="F7811" s="2">
        <v>2</v>
      </c>
      <c r="G7811" s="2">
        <v>0</v>
      </c>
      <c r="H7811" s="1" t="s">
        <v>0</v>
      </c>
      <c r="I7811" s="2">
        <v>0</v>
      </c>
      <c r="J7811" s="1">
        <v>45947.683425925927</v>
      </c>
    </row>
    <row r="7812" spans="1:10" x14ac:dyDescent="0.2">
      <c r="A7812" s="4" t="s">
        <v>1</v>
      </c>
      <c r="B7812" s="3" t="str">
        <f>HYPERLINK("https://otsuka-europe-crm.veevavault.com/ui/#object/approved_document__v/V5OZ06G6O6RFL1P", "ES Veeva Privacy Notice Email")</f>
        <v>ES Veeva Privacy Notice Email</v>
      </c>
      <c r="C7812" s="3" t="str">
        <f>HYPERLINK("https://otsuka-europe-crm.veevavault.com/ui/#object/sent_email__v/VBLZ025E82HOBVD", "SE-000288054")</f>
        <v>SE-000288054</v>
      </c>
      <c r="D7812" s="1" t="s">
        <v>0</v>
      </c>
      <c r="E7812" s="2">
        <v>0</v>
      </c>
      <c r="F7812" s="2">
        <v>0</v>
      </c>
      <c r="G7812" s="2">
        <v>0</v>
      </c>
      <c r="H7812" s="1" t="s">
        <v>0</v>
      </c>
      <c r="I7812" s="2">
        <v>0</v>
      </c>
      <c r="J7812" s="1">
        <v>45949.777488425927</v>
      </c>
    </row>
    <row r="7813" spans="1:10" x14ac:dyDescent="0.2">
      <c r="A7813" s="4" t="s">
        <v>1</v>
      </c>
      <c r="B7813" s="3" t="str">
        <f>HYPERLINK("https://otsuka-europe-crm.veevavault.com/ui/#object/approved_document__v/V5OZ06G6O6RFL1P", "ES Veeva Privacy Notice Email")</f>
        <v>ES Veeva Privacy Notice Email</v>
      </c>
      <c r="C7813" s="3" t="str">
        <f>HYPERLINK("https://otsuka-europe-crm.veevavault.com/ui/#object/sent_email__v/VBLZ025E82HOBY5", "SE-000288055")</f>
        <v>SE-000288055</v>
      </c>
      <c r="D7813" s="1" t="s">
        <v>0</v>
      </c>
      <c r="E7813" s="2">
        <v>0</v>
      </c>
      <c r="F7813" s="2">
        <v>0</v>
      </c>
      <c r="G7813" s="2">
        <v>0</v>
      </c>
      <c r="H7813" s="1" t="s">
        <v>0</v>
      </c>
      <c r="I7813" s="2">
        <v>0</v>
      </c>
      <c r="J7813" s="1">
        <v>45949.779872685183</v>
      </c>
    </row>
    <row r="7814" spans="1:10" x14ac:dyDescent="0.2">
      <c r="A7814" s="4" t="s">
        <v>1</v>
      </c>
      <c r="B7814" s="3" t="str">
        <f>HYPERLINK("https://otsuka-europe-crm.veevavault.com/ui/#object/approved_document__v/V5OZ06G6O6RFL1P", "ES Veeva Privacy Notice Email")</f>
        <v>ES Veeva Privacy Notice Email</v>
      </c>
      <c r="C7814" s="3" t="str">
        <f>HYPERLINK("https://otsuka-europe-crm.veevavault.com/ui/#object/sent_email__v/VBLZ025E82HOC0X", "SE-000288056")</f>
        <v>SE-000288056</v>
      </c>
      <c r="D7814" s="1" t="s">
        <v>0</v>
      </c>
      <c r="E7814" s="2">
        <v>0</v>
      </c>
      <c r="F7814" s="2">
        <v>0</v>
      </c>
      <c r="G7814" s="2">
        <v>0</v>
      </c>
      <c r="H7814" s="1" t="s">
        <v>0</v>
      </c>
      <c r="I7814" s="2">
        <v>0</v>
      </c>
      <c r="J7814" s="1">
        <v>45949.780335648145</v>
      </c>
    </row>
    <row r="7815" spans="1:10" x14ac:dyDescent="0.2">
      <c r="A7815" s="4" t="s">
        <v>1</v>
      </c>
      <c r="B7815" s="3" t="str">
        <f>HYPERLINK("https://otsuka-europe-crm.veevavault.com/ui/#object/approved_document__v/V5OZ06G6O6RFL1P", "ES Veeva Privacy Notice Email")</f>
        <v>ES Veeva Privacy Notice Email</v>
      </c>
      <c r="C7815" s="3" t="str">
        <f>HYPERLINK("https://otsuka-europe-crm.veevavault.com/ui/#object/sent_email__v/VBLZ025E82HOITD", "SE-000288135")</f>
        <v>SE-000288135</v>
      </c>
      <c r="D7815" s="1">
        <v>45950.37771990741</v>
      </c>
      <c r="E7815" s="2">
        <v>1</v>
      </c>
      <c r="F7815" s="2">
        <v>2</v>
      </c>
      <c r="G7815" s="2">
        <v>0</v>
      </c>
      <c r="H7815" s="1" t="s">
        <v>0</v>
      </c>
      <c r="I7815" s="2">
        <v>0</v>
      </c>
      <c r="J7815" s="1">
        <v>45950.377210648148</v>
      </c>
    </row>
    <row r="7816" spans="1:10" x14ac:dyDescent="0.2">
      <c r="A7816" s="4" t="s">
        <v>1</v>
      </c>
      <c r="B7816" s="3" t="str">
        <f>HYPERLINK("https://otsuka-europe-crm.veevavault.com/ui/#object/approved_document__v/V5OZ06G6O6RFL1P", "ES Veeva Privacy Notice Email")</f>
        <v>ES Veeva Privacy Notice Email</v>
      </c>
      <c r="C7816" s="3" t="str">
        <f>HYPERLINK("https://otsuka-europe-crm.veevavault.com/ui/#object/sent_email__v/VBLZ025E82HOKIH", "SE-000288145")</f>
        <v>SE-000288145</v>
      </c>
      <c r="D7816" s="1">
        <v>45950.575243055559</v>
      </c>
      <c r="E7816" s="2">
        <v>1</v>
      </c>
      <c r="F7816" s="2">
        <v>2</v>
      </c>
      <c r="G7816" s="2">
        <v>0</v>
      </c>
      <c r="H7816" s="1" t="s">
        <v>0</v>
      </c>
      <c r="I7816" s="2">
        <v>0</v>
      </c>
      <c r="J7816" s="1">
        <v>45950.387129629627</v>
      </c>
    </row>
    <row r="7817" spans="1:10" x14ac:dyDescent="0.2">
      <c r="A7817" s="4" t="s">
        <v>1</v>
      </c>
      <c r="B7817" s="3" t="str">
        <f>HYPERLINK("https://otsuka-europe-crm.veevavault.com/ui/#object/approved_document__v/V5OZ06G6O6RFL1P", "ES Veeva Privacy Notice Email")</f>
        <v>ES Veeva Privacy Notice Email</v>
      </c>
      <c r="C7817" s="3" t="str">
        <f>HYPERLINK("https://otsuka-europe-crm.veevavault.com/ui/#object/sent_email__v/VBLZ025E82HOMO9", "SE-000288323")</f>
        <v>SE-000288323</v>
      </c>
      <c r="D7817" s="1">
        <v>45950.401192129626</v>
      </c>
      <c r="E7817" s="2">
        <v>1</v>
      </c>
      <c r="F7817" s="2">
        <v>6</v>
      </c>
      <c r="G7817" s="2">
        <v>1</v>
      </c>
      <c r="H7817" s="1">
        <v>45950.401134259257</v>
      </c>
      <c r="I7817" s="2">
        <v>8</v>
      </c>
      <c r="J7817" s="1">
        <v>45950.400891203702</v>
      </c>
    </row>
    <row r="7818" spans="1:10" x14ac:dyDescent="0.2">
      <c r="A7818" s="4" t="s">
        <v>1</v>
      </c>
      <c r="B7818" s="3" t="str">
        <f>HYPERLINK("https://otsuka-europe-crm.veevavault.com/ui/#object/approved_document__v/V5OZ06G6O6RFL1P", "ES Veeva Privacy Notice Email")</f>
        <v>ES Veeva Privacy Notice Email</v>
      </c>
      <c r="C7818" s="3" t="str">
        <f>HYPERLINK("https://otsuka-europe-crm.veevavault.com/ui/#object/sent_email__v/VBLZ025E82HONG1", "SE-000288389")</f>
        <v>SE-000288389</v>
      </c>
      <c r="D7818" s="1">
        <v>46029.441446759258</v>
      </c>
      <c r="E7818" s="2">
        <v>1</v>
      </c>
      <c r="F7818" s="2">
        <v>5</v>
      </c>
      <c r="G7818" s="2">
        <v>0</v>
      </c>
      <c r="H7818" s="1" t="s">
        <v>0</v>
      </c>
      <c r="I7818" s="2">
        <v>0</v>
      </c>
      <c r="J7818" s="1">
        <v>45950.412152777775</v>
      </c>
    </row>
    <row r="7819" spans="1:10" x14ac:dyDescent="0.2">
      <c r="A7819" s="4" t="s">
        <v>1</v>
      </c>
      <c r="B7819" s="3" t="str">
        <f>HYPERLINK("https://otsuka-europe-crm.veevavault.com/ui/#object/approved_document__v/V5OZ06G6O6RFL1P", "ES Veeva Privacy Notice Email")</f>
        <v>ES Veeva Privacy Notice Email</v>
      </c>
      <c r="C7819" s="3" t="str">
        <f>HYPERLINK("https://otsuka-europe-crm.veevavault.com/ui/#object/sent_email__v/VBLZ025E82HPDAL", "SE-000288574")</f>
        <v>SE-000288574</v>
      </c>
      <c r="D7819" s="1" t="s">
        <v>0</v>
      </c>
      <c r="E7819" s="2">
        <v>0</v>
      </c>
      <c r="F7819" s="2">
        <v>0</v>
      </c>
      <c r="G7819" s="2">
        <v>0</v>
      </c>
      <c r="H7819" s="1" t="s">
        <v>0</v>
      </c>
      <c r="I7819" s="2">
        <v>0</v>
      </c>
      <c r="J7819" s="1">
        <v>45950.627060185187</v>
      </c>
    </row>
    <row r="7820" spans="1:10" x14ac:dyDescent="0.2">
      <c r="A7820" s="4" t="s">
        <v>1</v>
      </c>
      <c r="B7820" s="3" t="str">
        <f>HYPERLINK("https://otsuka-europe-crm.veevavault.com/ui/#object/approved_document__v/V5OZ06G6O6RFL1P", "ES Veeva Privacy Notice Email")</f>
        <v>ES Veeva Privacy Notice Email</v>
      </c>
      <c r="C7820" s="3" t="str">
        <f>HYPERLINK("https://otsuka-europe-crm.veevavault.com/ui/#object/sent_email__v/VBLZ025E82HPUYP", "SE-000288836")</f>
        <v>SE-000288836</v>
      </c>
      <c r="D7820" s="1" t="s">
        <v>0</v>
      </c>
      <c r="E7820" s="2">
        <v>0</v>
      </c>
      <c r="F7820" s="2">
        <v>0</v>
      </c>
      <c r="G7820" s="2">
        <v>0</v>
      </c>
      <c r="H7820" s="1" t="s">
        <v>0</v>
      </c>
      <c r="I7820" s="2">
        <v>0</v>
      </c>
      <c r="J7820" s="1">
        <v>45951.312013888892</v>
      </c>
    </row>
    <row r="7821" spans="1:10" x14ac:dyDescent="0.2">
      <c r="A7821" s="4" t="s">
        <v>1</v>
      </c>
      <c r="B7821" s="3" t="str">
        <f>HYPERLINK("https://otsuka-europe-crm.veevavault.com/ui/#object/approved_document__v/V5OZ06G6O6RFL1P", "ES Veeva Privacy Notice Email")</f>
        <v>ES Veeva Privacy Notice Email</v>
      </c>
      <c r="C7821" s="3" t="str">
        <f>HYPERLINK("https://otsuka-europe-crm.veevavault.com/ui/#object/sent_email__v/VBLZ025E82HQVDT", "SE-000289781")</f>
        <v>SE-000289781</v>
      </c>
      <c r="D7821" s="1">
        <v>45952.593263888892</v>
      </c>
      <c r="E7821" s="2">
        <v>1</v>
      </c>
      <c r="F7821" s="2">
        <v>1</v>
      </c>
      <c r="G7821" s="2">
        <v>0</v>
      </c>
      <c r="H7821" s="1" t="s">
        <v>0</v>
      </c>
      <c r="I7821" s="2">
        <v>0</v>
      </c>
      <c r="J7821" s="1">
        <v>45952.341203703705</v>
      </c>
    </row>
    <row r="7822" spans="1:10" x14ac:dyDescent="0.2">
      <c r="A7822" s="4" t="s">
        <v>1</v>
      </c>
      <c r="B7822" s="3" t="str">
        <f>HYPERLINK("https://otsuka-europe-crm.veevavault.com/ui/#object/approved_document__v/V5OZ06G6O6RFL1P", "ES Veeva Privacy Notice Email")</f>
        <v>ES Veeva Privacy Notice Email</v>
      </c>
      <c r="C7822" s="3" t="str">
        <f>HYPERLINK("https://otsuka-europe-crm.veevavault.com/ui/#object/sent_email__v/VBLZ025E82HQVJD", "SE-000289782")</f>
        <v>SE-000289782</v>
      </c>
      <c r="D7822" s="1">
        <v>45952.593182870369</v>
      </c>
      <c r="E7822" s="2">
        <v>1</v>
      </c>
      <c r="F7822" s="2">
        <v>1</v>
      </c>
      <c r="G7822" s="2">
        <v>0</v>
      </c>
      <c r="H7822" s="1" t="s">
        <v>0</v>
      </c>
      <c r="I7822" s="2">
        <v>0</v>
      </c>
      <c r="J7822" s="1">
        <v>45952.343055555553</v>
      </c>
    </row>
    <row r="7823" spans="1:10" x14ac:dyDescent="0.2">
      <c r="A7823" s="4" t="s">
        <v>1</v>
      </c>
      <c r="B7823" s="3" t="str">
        <f>HYPERLINK("https://otsuka-europe-crm.veevavault.com/ui/#object/approved_document__v/V5OZ06G6O6RFL1P", "ES Veeva Privacy Notice Email")</f>
        <v>ES Veeva Privacy Notice Email</v>
      </c>
      <c r="C7823" s="3" t="str">
        <f>HYPERLINK("https://otsuka-europe-crm.veevavault.com/ui/#object/sent_email__v/VBLZ025E82HQYJP", "SE-000289811")</f>
        <v>SE-000289811</v>
      </c>
      <c r="D7823" s="1" t="s">
        <v>0</v>
      </c>
      <c r="E7823" s="2">
        <v>0</v>
      </c>
      <c r="F7823" s="2">
        <v>0</v>
      </c>
      <c r="G7823" s="2">
        <v>0</v>
      </c>
      <c r="H7823" s="1" t="s">
        <v>0</v>
      </c>
      <c r="I7823" s="2">
        <v>0</v>
      </c>
      <c r="J7823" s="1">
        <v>45952.364976851852</v>
      </c>
    </row>
    <row r="7824" spans="1:10" x14ac:dyDescent="0.2">
      <c r="A7824" s="4" t="s">
        <v>1</v>
      </c>
      <c r="B7824" s="3" t="str">
        <f>HYPERLINK("https://otsuka-europe-crm.veevavault.com/ui/#object/approved_document__v/V5OZ06G6O6RFL1P", "ES Veeva Privacy Notice Email")</f>
        <v>ES Veeva Privacy Notice Email</v>
      </c>
      <c r="C7824" s="3" t="str">
        <f>HYPERLINK("https://otsuka-europe-crm.veevavault.com/ui/#object/sent_email__v/VBLZ025E82HRUN9", "SE-000290126")</f>
        <v>SE-000290126</v>
      </c>
      <c r="D7824" s="1" t="s">
        <v>0</v>
      </c>
      <c r="E7824" s="2">
        <v>0</v>
      </c>
      <c r="F7824" s="2">
        <v>0</v>
      </c>
      <c r="G7824" s="2">
        <v>0</v>
      </c>
      <c r="H7824" s="1" t="s">
        <v>0</v>
      </c>
      <c r="I7824" s="2">
        <v>0</v>
      </c>
      <c r="J7824" s="1">
        <v>45952.741539351853</v>
      </c>
    </row>
    <row r="7825" spans="1:10" x14ac:dyDescent="0.2">
      <c r="A7825" s="4" t="s">
        <v>1</v>
      </c>
      <c r="B7825" s="3" t="str">
        <f>HYPERLINK("https://otsuka-europe-crm.veevavault.com/ui/#object/approved_document__v/V5OZ06G6O6RFL1P", "ES Veeva Privacy Notice Email")</f>
        <v>ES Veeva Privacy Notice Email</v>
      </c>
      <c r="C7825" s="3" t="str">
        <f>HYPERLINK("https://otsuka-europe-crm.veevavault.com/ui/#object/sent_email__v/VBLZ025E82HS1L9", "SE-000290138")</f>
        <v>SE-000290138</v>
      </c>
      <c r="D7825" s="1" t="s">
        <v>0</v>
      </c>
      <c r="E7825" s="2">
        <v>0</v>
      </c>
      <c r="F7825" s="2">
        <v>0</v>
      </c>
      <c r="G7825" s="2">
        <v>0</v>
      </c>
      <c r="H7825" s="1" t="s">
        <v>0</v>
      </c>
      <c r="I7825" s="2">
        <v>0</v>
      </c>
      <c r="J7825" s="1">
        <v>45953.368506944447</v>
      </c>
    </row>
    <row r="7826" spans="1:10" x14ac:dyDescent="0.2">
      <c r="A7826" s="4" t="s">
        <v>1</v>
      </c>
      <c r="B7826" s="3" t="str">
        <f>HYPERLINK("https://otsuka-europe-crm.veevavault.com/ui/#object/approved_document__v/V5OZ06G6O6RFL1P", "ES Veeva Privacy Notice Email")</f>
        <v>ES Veeva Privacy Notice Email</v>
      </c>
      <c r="C7826" s="3" t="str">
        <f>HYPERLINK("https://otsuka-europe-crm.veevavault.com/ui/#object/sent_email__v/VBLZ025E82HS1WD", "SE-000290139")</f>
        <v>SE-000290139</v>
      </c>
      <c r="D7826" s="1" t="s">
        <v>0</v>
      </c>
      <c r="E7826" s="2">
        <v>0</v>
      </c>
      <c r="F7826" s="2">
        <v>0</v>
      </c>
      <c r="G7826" s="2">
        <v>0</v>
      </c>
      <c r="H7826" s="1" t="s">
        <v>0</v>
      </c>
      <c r="I7826" s="2">
        <v>0</v>
      </c>
      <c r="J7826" s="1">
        <v>45953.372546296298</v>
      </c>
    </row>
    <row r="7827" spans="1:10" x14ac:dyDescent="0.2">
      <c r="A7827" s="4" t="s">
        <v>1</v>
      </c>
      <c r="B7827" s="3" t="str">
        <f>HYPERLINK("https://otsuka-europe-crm.veevavault.com/ui/#object/approved_document__v/V5OZ06G6O6RFL1P", "ES Veeva Privacy Notice Email")</f>
        <v>ES Veeva Privacy Notice Email</v>
      </c>
      <c r="C7827" s="3" t="str">
        <f>HYPERLINK("https://otsuka-europe-crm.veevavault.com/ui/#object/sent_email__v/VBLZ025E82HS24P", "SE-000290140")</f>
        <v>SE-000290140</v>
      </c>
      <c r="D7827" s="1" t="s">
        <v>0</v>
      </c>
      <c r="E7827" s="2">
        <v>0</v>
      </c>
      <c r="F7827" s="2">
        <v>0</v>
      </c>
      <c r="G7827" s="2">
        <v>0</v>
      </c>
      <c r="H7827" s="1" t="s">
        <v>0</v>
      </c>
      <c r="I7827" s="2">
        <v>0</v>
      </c>
      <c r="J7827" s="1">
        <v>45953.374618055554</v>
      </c>
    </row>
    <row r="7828" spans="1:10" x14ac:dyDescent="0.2">
      <c r="A7828" s="4" t="s">
        <v>1</v>
      </c>
      <c r="B7828" s="3" t="str">
        <f>HYPERLINK("https://otsuka-europe-crm.veevavault.com/ui/#object/approved_document__v/V5OZ06G6O6RFL1P", "ES Veeva Privacy Notice Email")</f>
        <v>ES Veeva Privacy Notice Email</v>
      </c>
      <c r="C7828" s="3" t="str">
        <f>HYPERLINK("https://otsuka-europe-crm.veevavault.com/ui/#object/sent_email__v/VBLZ025E82HS2FT", "SE-000290153")</f>
        <v>SE-000290153</v>
      </c>
      <c r="D7828" s="1" t="s">
        <v>0</v>
      </c>
      <c r="E7828" s="2">
        <v>0</v>
      </c>
      <c r="F7828" s="2">
        <v>0</v>
      </c>
      <c r="G7828" s="2">
        <v>0</v>
      </c>
      <c r="H7828" s="1" t="s">
        <v>0</v>
      </c>
      <c r="I7828" s="2">
        <v>0</v>
      </c>
      <c r="J7828" s="1">
        <v>45953.376400462963</v>
      </c>
    </row>
    <row r="7829" spans="1:10" x14ac:dyDescent="0.2">
      <c r="A7829" s="4" t="s">
        <v>1</v>
      </c>
      <c r="B7829" s="3" t="str">
        <f>HYPERLINK("https://otsuka-europe-crm.veevavault.com/ui/#object/approved_document__v/V5OZ06G6O6RFL1P", "ES Veeva Privacy Notice Email")</f>
        <v>ES Veeva Privacy Notice Email</v>
      </c>
      <c r="C7829" s="3" t="str">
        <f>HYPERLINK("https://otsuka-europe-crm.veevavault.com/ui/#object/sent_email__v/VBLZ025E82HS2O5", "SE-000290221")</f>
        <v>SE-000290221</v>
      </c>
      <c r="D7829" s="1" t="s">
        <v>0</v>
      </c>
      <c r="E7829" s="2">
        <v>0</v>
      </c>
      <c r="F7829" s="2">
        <v>0</v>
      </c>
      <c r="G7829" s="2">
        <v>0</v>
      </c>
      <c r="H7829" s="1" t="s">
        <v>0</v>
      </c>
      <c r="I7829" s="2">
        <v>0</v>
      </c>
      <c r="J7829" s="1">
        <v>45953.378668981481</v>
      </c>
    </row>
    <row r="7830" spans="1:10" x14ac:dyDescent="0.2">
      <c r="A7830" s="4" t="s">
        <v>1</v>
      </c>
      <c r="B7830" s="3" t="str">
        <f>HYPERLINK("https://otsuka-europe-crm.veevavault.com/ui/#object/approved_document__v/V5OZ06G6O6RFL1P", "ES Veeva Privacy Notice Email")</f>
        <v>ES Veeva Privacy Notice Email</v>
      </c>
      <c r="C7830" s="3" t="str">
        <f>HYPERLINK("https://otsuka-europe-crm.veevavault.com/ui/#object/sent_email__v/VBLZ025E82HS321", "SE-000290266")</f>
        <v>SE-000290266</v>
      </c>
      <c r="D7830" s="1" t="s">
        <v>0</v>
      </c>
      <c r="E7830" s="2">
        <v>0</v>
      </c>
      <c r="F7830" s="2">
        <v>0</v>
      </c>
      <c r="G7830" s="2">
        <v>0</v>
      </c>
      <c r="H7830" s="1" t="s">
        <v>0</v>
      </c>
      <c r="I7830" s="2">
        <v>0</v>
      </c>
      <c r="J7830" s="1">
        <v>45953.380312499998</v>
      </c>
    </row>
    <row r="7831" spans="1:10" x14ac:dyDescent="0.2">
      <c r="A7831" s="4" t="s">
        <v>1</v>
      </c>
      <c r="B7831" s="3" t="str">
        <f>HYPERLINK("https://otsuka-europe-crm.veevavault.com/ui/#object/approved_document__v/V5OZ06G6O6RFL1P", "ES Veeva Privacy Notice Email")</f>
        <v>ES Veeva Privacy Notice Email</v>
      </c>
      <c r="C7831" s="3" t="str">
        <f>HYPERLINK("https://otsuka-europe-crm.veevavault.com/ui/#object/sent_email__v/VBL000000002003", "SE-001377688")</f>
        <v>SE-001377688</v>
      </c>
      <c r="D7831" s="1" t="s">
        <v>0</v>
      </c>
      <c r="E7831" s="2">
        <v>0</v>
      </c>
      <c r="F7831" s="2">
        <v>0</v>
      </c>
      <c r="G7831" s="2">
        <v>0</v>
      </c>
      <c r="H7831" s="1" t="s">
        <v>0</v>
      </c>
      <c r="I7831" s="2">
        <v>0</v>
      </c>
      <c r="J7831" s="1">
        <v>45957.446087962962</v>
      </c>
    </row>
    <row r="7832" spans="1:10" x14ac:dyDescent="0.2">
      <c r="A7832" s="4" t="s">
        <v>1</v>
      </c>
      <c r="B7832" s="3" t="str">
        <f>HYPERLINK("https://otsuka-europe-crm.veevavault.com/ui/#object/approved_document__v/V5OZ06G6O6RFL1P", "ES Veeva Privacy Notice Email")</f>
        <v>ES Veeva Privacy Notice Email</v>
      </c>
      <c r="C7832" s="3" t="str">
        <f>HYPERLINK("https://otsuka-europe-crm.veevavault.com/ui/#object/sent_email__v/VBL000000002004", "SE-001377689")</f>
        <v>SE-001377689</v>
      </c>
      <c r="D7832" s="1" t="s">
        <v>0</v>
      </c>
      <c r="E7832" s="2">
        <v>0</v>
      </c>
      <c r="F7832" s="2">
        <v>0</v>
      </c>
      <c r="G7832" s="2">
        <v>0</v>
      </c>
      <c r="H7832" s="1" t="s">
        <v>0</v>
      </c>
      <c r="I7832" s="2">
        <v>0</v>
      </c>
      <c r="J7832" s="1">
        <v>45957.452743055554</v>
      </c>
    </row>
    <row r="7833" spans="1:10" x14ac:dyDescent="0.2">
      <c r="A7833" s="4" t="s">
        <v>1</v>
      </c>
      <c r="B7833" s="3" t="str">
        <f>HYPERLINK("https://otsuka-europe-crm.veevavault.com/ui/#object/approved_document__v/V5OZ06G6O6RFL1P", "ES Veeva Privacy Notice Email")</f>
        <v>ES Veeva Privacy Notice Email</v>
      </c>
      <c r="C7833" s="3" t="str">
        <f>HYPERLINK("https://otsuka-europe-crm.veevavault.com/ui/#object/sent_email__v/VBL000000001007", "SE-001377690")</f>
        <v>SE-001377690</v>
      </c>
      <c r="D7833" s="1" t="s">
        <v>0</v>
      </c>
      <c r="E7833" s="2">
        <v>0</v>
      </c>
      <c r="F7833" s="2">
        <v>0</v>
      </c>
      <c r="G7833" s="2">
        <v>0</v>
      </c>
      <c r="H7833" s="1" t="s">
        <v>0</v>
      </c>
      <c r="I7833" s="2">
        <v>0</v>
      </c>
      <c r="J7833" s="1">
        <v>45957.463101851848</v>
      </c>
    </row>
    <row r="7834" spans="1:10" x14ac:dyDescent="0.2">
      <c r="A7834" s="4" t="s">
        <v>1</v>
      </c>
      <c r="B7834" s="3" t="str">
        <f>HYPERLINK("https://otsuka-europe-crm.veevavault.com/ui/#object/approved_document__v/V5OZ06G6O6RFL1P", "ES Veeva Privacy Notice Email")</f>
        <v>ES Veeva Privacy Notice Email</v>
      </c>
      <c r="C7834" s="3" t="str">
        <f>HYPERLINK("https://otsuka-europe-crm.veevavault.com/ui/#object/sent_email__v/VBL000000001008", "SE-001377691")</f>
        <v>SE-001377691</v>
      </c>
      <c r="D7834" s="1" t="s">
        <v>0</v>
      </c>
      <c r="E7834" s="2">
        <v>0</v>
      </c>
      <c r="F7834" s="2">
        <v>0</v>
      </c>
      <c r="G7834" s="2">
        <v>0</v>
      </c>
      <c r="H7834" s="1" t="s">
        <v>0</v>
      </c>
      <c r="I7834" s="2">
        <v>0</v>
      </c>
      <c r="J7834" s="1">
        <v>45957.471701388888</v>
      </c>
    </row>
    <row r="7835" spans="1:10" x14ac:dyDescent="0.2">
      <c r="A7835" s="4" t="s">
        <v>1</v>
      </c>
      <c r="B7835" s="3" t="str">
        <f>HYPERLINK("https://otsuka-europe-crm.veevavault.com/ui/#object/approved_document__v/V5OZ06G6O6RFL1P", "ES Veeva Privacy Notice Email")</f>
        <v>ES Veeva Privacy Notice Email</v>
      </c>
      <c r="C7835" s="3" t="str">
        <f>HYPERLINK("https://otsuka-europe-crm.veevavault.com/ui/#object/sent_email__v/VBL000000002006", "SE-001377693")</f>
        <v>SE-001377693</v>
      </c>
      <c r="D7835" s="1" t="s">
        <v>0</v>
      </c>
      <c r="E7835" s="2">
        <v>0</v>
      </c>
      <c r="F7835" s="2">
        <v>0</v>
      </c>
      <c r="G7835" s="2">
        <v>0</v>
      </c>
      <c r="H7835" s="1" t="s">
        <v>0</v>
      </c>
      <c r="I7835" s="2">
        <v>0</v>
      </c>
      <c r="J7835" s="1">
        <v>45957.474479166667</v>
      </c>
    </row>
    <row r="7836" spans="1:10" x14ac:dyDescent="0.2">
      <c r="A7836" s="4" t="s">
        <v>1</v>
      </c>
      <c r="B7836" s="3" t="str">
        <f>HYPERLINK("https://otsuka-europe-crm.veevavault.com/ui/#object/approved_document__v/V5OZ06G6O6RFL1P", "ES Veeva Privacy Notice Email")</f>
        <v>ES Veeva Privacy Notice Email</v>
      </c>
      <c r="C7836" s="3" t="str">
        <f>HYPERLINK("https://otsuka-europe-crm.veevavault.com/ui/#object/sent_email__v/VBL000000002324", "SE-001378920")</f>
        <v>SE-001378920</v>
      </c>
      <c r="D7836" s="1" t="s">
        <v>0</v>
      </c>
      <c r="E7836" s="2">
        <v>0</v>
      </c>
      <c r="F7836" s="2">
        <v>0</v>
      </c>
      <c r="G7836" s="2">
        <v>0</v>
      </c>
      <c r="H7836" s="1" t="s">
        <v>0</v>
      </c>
      <c r="I7836" s="2">
        <v>0</v>
      </c>
      <c r="J7836" s="1">
        <v>45958.454560185186</v>
      </c>
    </row>
    <row r="7837" spans="1:10" x14ac:dyDescent="0.2">
      <c r="A7837" s="4" t="s">
        <v>1</v>
      </c>
      <c r="B7837" s="3" t="str">
        <f>HYPERLINK("https://otsuka-europe-crm.veevavault.com/ui/#object/approved_document__v/V5OZ06G6O6RFL1P", "ES Veeva Privacy Notice Email")</f>
        <v>ES Veeva Privacy Notice Email</v>
      </c>
      <c r="C7837" s="3" t="str">
        <f>HYPERLINK("https://otsuka-europe-crm.veevavault.com/ui/#object/sent_email__v/VBL000000001919", "SE-001378922")</f>
        <v>SE-001378922</v>
      </c>
      <c r="D7837" s="1">
        <v>45965.552002314813</v>
      </c>
      <c r="E7837" s="2">
        <v>1</v>
      </c>
      <c r="F7837" s="2">
        <v>5</v>
      </c>
      <c r="G7837" s="2">
        <v>0</v>
      </c>
      <c r="H7837" s="1" t="s">
        <v>0</v>
      </c>
      <c r="I7837" s="2">
        <v>0</v>
      </c>
      <c r="J7837" s="1">
        <v>45958.484884259262</v>
      </c>
    </row>
    <row r="7838" spans="1:10" x14ac:dyDescent="0.2">
      <c r="A7838" s="4" t="s">
        <v>1</v>
      </c>
      <c r="B7838" s="3" t="str">
        <f>HYPERLINK("https://otsuka-europe-crm.veevavault.com/ui/#object/approved_document__v/V5OZ06G6O6RFL1P", "ES Veeva Privacy Notice Email")</f>
        <v>ES Veeva Privacy Notice Email</v>
      </c>
      <c r="C7838" s="3" t="str">
        <f>HYPERLINK("https://otsuka-europe-crm.veevavault.com/ui/#object/sent_email__v/VBL000000002431", "SE-001379257")</f>
        <v>SE-001379257</v>
      </c>
      <c r="D7838" s="1" t="s">
        <v>0</v>
      </c>
      <c r="E7838" s="2">
        <v>0</v>
      </c>
      <c r="F7838" s="2">
        <v>0</v>
      </c>
      <c r="G7838" s="2">
        <v>0</v>
      </c>
      <c r="H7838" s="1" t="s">
        <v>0</v>
      </c>
      <c r="I7838" s="2">
        <v>0</v>
      </c>
      <c r="J7838" s="1">
        <v>45959.518877314818</v>
      </c>
    </row>
    <row r="7839" spans="1:10" x14ac:dyDescent="0.2">
      <c r="A7839" s="4" t="s">
        <v>1</v>
      </c>
      <c r="B7839" s="3" t="str">
        <f>HYPERLINK("https://otsuka-europe-crm.veevavault.com/ui/#object/approved_document__v/V5OZ06G6O6RFL1P", "ES Veeva Privacy Notice Email")</f>
        <v>ES Veeva Privacy Notice Email</v>
      </c>
      <c r="C7839" s="3" t="str">
        <f>HYPERLINK("https://otsuka-europe-crm.veevavault.com/ui/#object/sent_email__v/VBL000000003204", "SE-001379260")</f>
        <v>SE-001379260</v>
      </c>
      <c r="D7839" s="1">
        <v>45959.564479166664</v>
      </c>
      <c r="E7839" s="2">
        <v>1</v>
      </c>
      <c r="F7839" s="2">
        <v>2</v>
      </c>
      <c r="G7839" s="2">
        <v>0</v>
      </c>
      <c r="H7839" s="1" t="s">
        <v>0</v>
      </c>
      <c r="I7839" s="2">
        <v>0</v>
      </c>
      <c r="J7839" s="1">
        <v>45959.547777777778</v>
      </c>
    </row>
    <row r="7840" spans="1:10" x14ac:dyDescent="0.2">
      <c r="A7840" s="4" t="s">
        <v>1</v>
      </c>
      <c r="B7840" s="3" t="str">
        <f>HYPERLINK("https://otsuka-europe-crm.veevavault.com/ui/#object/approved_document__v/V5OZ06G6O6RFL1P", "ES Veeva Privacy Notice Email")</f>
        <v>ES Veeva Privacy Notice Email</v>
      </c>
      <c r="C7840" s="3" t="str">
        <f>HYPERLINK("https://otsuka-europe-crm.veevavault.com/ui/#object/sent_email__v/VBL000000003575", "SE-001379672")</f>
        <v>SE-001379672</v>
      </c>
      <c r="D7840" s="1" t="s">
        <v>0</v>
      </c>
      <c r="E7840" s="2">
        <v>0</v>
      </c>
      <c r="F7840" s="2">
        <v>0</v>
      </c>
      <c r="G7840" s="2">
        <v>0</v>
      </c>
      <c r="H7840" s="1" t="s">
        <v>0</v>
      </c>
      <c r="I7840" s="2">
        <v>0</v>
      </c>
      <c r="J7840" s="1">
        <v>45960.454085648147</v>
      </c>
    </row>
    <row r="7841" spans="1:10" x14ac:dyDescent="0.2">
      <c r="A7841" s="4" t="s">
        <v>1</v>
      </c>
      <c r="B7841" s="3" t="str">
        <f>HYPERLINK("https://otsuka-europe-crm.veevavault.com/ui/#object/approved_document__v/V5OZ06G6O6RFL1P", "ES Veeva Privacy Notice Email")</f>
        <v>ES Veeva Privacy Notice Email</v>
      </c>
      <c r="C7841" s="3" t="str">
        <f>HYPERLINK("https://otsuka-europe-crm.veevavault.com/ui/#object/sent_email__v/VBL000000002608", "SE-001379682")</f>
        <v>SE-001379682</v>
      </c>
      <c r="D7841" s="1" t="s">
        <v>0</v>
      </c>
      <c r="E7841" s="2">
        <v>0</v>
      </c>
      <c r="F7841" s="2">
        <v>0</v>
      </c>
      <c r="G7841" s="2">
        <v>0</v>
      </c>
      <c r="H7841" s="1" t="s">
        <v>0</v>
      </c>
      <c r="I7841" s="2">
        <v>0</v>
      </c>
      <c r="J7841" s="1">
        <v>45960.473124999997</v>
      </c>
    </row>
    <row r="7842" spans="1:10" x14ac:dyDescent="0.2">
      <c r="A7842" s="4" t="s">
        <v>1</v>
      </c>
      <c r="B7842" s="3" t="str">
        <f>HYPERLINK("https://otsuka-europe-crm.veevavault.com/ui/#object/approved_document__v/V5OZ06G6O6RFL1P", "ES Veeva Privacy Notice Email")</f>
        <v>ES Veeva Privacy Notice Email</v>
      </c>
      <c r="C7842" s="3" t="str">
        <f>HYPERLINK("https://otsuka-europe-crm.veevavault.com/ui/#object/sent_email__v/VBL000000005162", "SE-001379942")</f>
        <v>SE-001379942</v>
      </c>
      <c r="D7842" s="1" t="s">
        <v>0</v>
      </c>
      <c r="E7842" s="2">
        <v>0</v>
      </c>
      <c r="F7842" s="2">
        <v>0</v>
      </c>
      <c r="G7842" s="2">
        <v>0</v>
      </c>
      <c r="H7842" s="1" t="s">
        <v>0</v>
      </c>
      <c r="I7842" s="2">
        <v>0</v>
      </c>
      <c r="J7842" s="1">
        <v>45961.343958333331</v>
      </c>
    </row>
    <row r="7843" spans="1:10" x14ac:dyDescent="0.2">
      <c r="A7843" s="4" t="s">
        <v>1</v>
      </c>
      <c r="B7843" s="3" t="str">
        <f>HYPERLINK("https://otsuka-europe-crm.veevavault.com/ui/#object/approved_document__v/V5OZ06G6O6RFL1P", "ES Veeva Privacy Notice Email")</f>
        <v>ES Veeva Privacy Notice Email</v>
      </c>
      <c r="C7843" s="3" t="str">
        <f>HYPERLINK("https://otsuka-europe-crm.veevavault.com/ui/#object/sent_email__v/VBL000000004228", "SE-001380433")</f>
        <v>SE-001380433</v>
      </c>
      <c r="D7843" s="1">
        <v>45964.481863425928</v>
      </c>
      <c r="E7843" s="2">
        <v>1</v>
      </c>
      <c r="F7843" s="2">
        <v>1</v>
      </c>
      <c r="G7843" s="2">
        <v>0</v>
      </c>
      <c r="H7843" s="1" t="s">
        <v>0</v>
      </c>
      <c r="I7843" s="2">
        <v>0</v>
      </c>
      <c r="J7843" s="1">
        <v>45964.438715277778</v>
      </c>
    </row>
    <row r="7844" spans="1:10" x14ac:dyDescent="0.2">
      <c r="A7844" s="4" t="s">
        <v>1</v>
      </c>
      <c r="B7844" s="3" t="str">
        <f>HYPERLINK("https://otsuka-europe-crm.veevavault.com/ui/#object/approved_document__v/V5OZ06G6O6RFL1P", "ES Veeva Privacy Notice Email")</f>
        <v>ES Veeva Privacy Notice Email</v>
      </c>
      <c r="C7844" s="3" t="str">
        <f>HYPERLINK("https://otsuka-europe-crm.veevavault.com/ui/#object/sent_email__v/VBL000000005596", "SE-001380434")</f>
        <v>SE-001380434</v>
      </c>
      <c r="D7844" s="1" t="s">
        <v>0</v>
      </c>
      <c r="E7844" s="2">
        <v>0</v>
      </c>
      <c r="F7844" s="2">
        <v>0</v>
      </c>
      <c r="G7844" s="2">
        <v>0</v>
      </c>
      <c r="H7844" s="1" t="s">
        <v>0</v>
      </c>
      <c r="I7844" s="2">
        <v>0</v>
      </c>
      <c r="J7844" s="1">
        <v>45964.441018518519</v>
      </c>
    </row>
    <row r="7845" spans="1:10" x14ac:dyDescent="0.2">
      <c r="A7845" s="4" t="s">
        <v>1</v>
      </c>
      <c r="B7845" s="3" t="str">
        <f>HYPERLINK("https://otsuka-europe-crm.veevavault.com/ui/#object/approved_document__v/V5OZ06G6O6RFL1P", "ES Veeva Privacy Notice Email")</f>
        <v>ES Veeva Privacy Notice Email</v>
      </c>
      <c r="C7845" s="3" t="str">
        <f>HYPERLINK("https://otsuka-europe-crm.veevavault.com/ui/#object/sent_email__v/VBL000000005597", "SE-001380435")</f>
        <v>SE-001380435</v>
      </c>
      <c r="D7845" s="1" t="s">
        <v>0</v>
      </c>
      <c r="E7845" s="2">
        <v>0</v>
      </c>
      <c r="F7845" s="2">
        <v>0</v>
      </c>
      <c r="G7845" s="2">
        <v>0</v>
      </c>
      <c r="H7845" s="1" t="s">
        <v>0</v>
      </c>
      <c r="I7845" s="2">
        <v>0</v>
      </c>
      <c r="J7845" s="1">
        <v>45964.44358796296</v>
      </c>
    </row>
    <row r="7846" spans="1:10" x14ac:dyDescent="0.2">
      <c r="A7846" s="4" t="s">
        <v>1</v>
      </c>
      <c r="B7846" s="3" t="str">
        <f>HYPERLINK("https://otsuka-europe-crm.veevavault.com/ui/#object/approved_document__v/V5OZ06G6O6RFL1P", "ES Veeva Privacy Notice Email")</f>
        <v>ES Veeva Privacy Notice Email</v>
      </c>
      <c r="C7846" s="3" t="str">
        <f>HYPERLINK("https://otsuka-europe-crm.veevavault.com/ui/#object/sent_email__v/VBL000000005599", "SE-001380437")</f>
        <v>SE-001380437</v>
      </c>
      <c r="D7846" s="1" t="s">
        <v>0</v>
      </c>
      <c r="E7846" s="2">
        <v>0</v>
      </c>
      <c r="F7846" s="2">
        <v>0</v>
      </c>
      <c r="G7846" s="2">
        <v>0</v>
      </c>
      <c r="H7846" s="1" t="s">
        <v>0</v>
      </c>
      <c r="I7846" s="2">
        <v>0</v>
      </c>
      <c r="J7846" s="1">
        <v>45964.447569444441</v>
      </c>
    </row>
    <row r="7847" spans="1:10" x14ac:dyDescent="0.2">
      <c r="A7847" s="4" t="s">
        <v>1</v>
      </c>
      <c r="B7847" s="3" t="str">
        <f>HYPERLINK("https://otsuka-europe-crm.veevavault.com/ui/#object/approved_document__v/V5OZ06G6O6RFL1P", "ES Veeva Privacy Notice Email")</f>
        <v>ES Veeva Privacy Notice Email</v>
      </c>
      <c r="C7847" s="3" t="str">
        <f>HYPERLINK("https://otsuka-europe-crm.veevavault.com/ui/#object/sent_email__v/VBL000000004248", "SE-001380462")</f>
        <v>SE-001380462</v>
      </c>
      <c r="D7847" s="1" t="s">
        <v>0</v>
      </c>
      <c r="E7847" s="2">
        <v>0</v>
      </c>
      <c r="F7847" s="2">
        <v>0</v>
      </c>
      <c r="G7847" s="2">
        <v>0</v>
      </c>
      <c r="H7847" s="1" t="s">
        <v>0</v>
      </c>
      <c r="I7847" s="2">
        <v>0</v>
      </c>
      <c r="J7847" s="1">
        <v>45964.501215277778</v>
      </c>
    </row>
    <row r="7848" spans="1:10" x14ac:dyDescent="0.2">
      <c r="A7848" s="4" t="s">
        <v>1</v>
      </c>
      <c r="B7848" s="3" t="str">
        <f>HYPERLINK("https://otsuka-europe-crm.veevavault.com/ui/#object/approved_document__v/V5OZ06G6O6RFL1P", "ES Veeva Privacy Notice Email")</f>
        <v>ES Veeva Privacy Notice Email</v>
      </c>
      <c r="C7848" s="3" t="str">
        <f>HYPERLINK("https://otsuka-europe-crm.veevavault.com/ui/#object/sent_email__v/VBL000000004283", "SE-001380540")</f>
        <v>SE-001380540</v>
      </c>
      <c r="D7848" s="1">
        <v>45965.345949074072</v>
      </c>
      <c r="E7848" s="2">
        <v>1</v>
      </c>
      <c r="F7848" s="2">
        <v>1</v>
      </c>
      <c r="G7848" s="2">
        <v>0</v>
      </c>
      <c r="H7848" s="1" t="s">
        <v>0</v>
      </c>
      <c r="I7848" s="2">
        <v>0</v>
      </c>
      <c r="J7848" s="1">
        <v>45965.340243055558</v>
      </c>
    </row>
    <row r="7849" spans="1:10" x14ac:dyDescent="0.2">
      <c r="A7849" s="4" t="s">
        <v>1</v>
      </c>
      <c r="B7849" s="3" t="str">
        <f>HYPERLINK("https://otsuka-europe-crm.veevavault.com/ui/#object/approved_document__v/V5OZ06G6O6RFL1P", "ES Veeva Privacy Notice Email")</f>
        <v>ES Veeva Privacy Notice Email</v>
      </c>
      <c r="C7849" s="3" t="str">
        <f>HYPERLINK("https://otsuka-europe-crm.veevavault.com/ui/#object/sent_email__v/VBL000000004418", "SE-001380665")</f>
        <v>SE-001380665</v>
      </c>
      <c r="D7849" s="1">
        <v>45965.457858796297</v>
      </c>
      <c r="E7849" s="2">
        <v>1</v>
      </c>
      <c r="F7849" s="2">
        <v>2</v>
      </c>
      <c r="G7849" s="2">
        <v>0</v>
      </c>
      <c r="H7849" s="1" t="s">
        <v>0</v>
      </c>
      <c r="I7849" s="2">
        <v>0</v>
      </c>
      <c r="J7849" s="1">
        <v>45965.45753472222</v>
      </c>
    </row>
    <row r="7850" spans="1:10" x14ac:dyDescent="0.2">
      <c r="A7850" s="4" t="s">
        <v>1</v>
      </c>
      <c r="B7850" s="3" t="str">
        <f>HYPERLINK("https://otsuka-europe-crm.veevavault.com/ui/#object/approved_document__v/V5OZ06G6O6RFL1P", "ES Veeva Privacy Notice Email")</f>
        <v>ES Veeva Privacy Notice Email</v>
      </c>
      <c r="C7850" s="3" t="str">
        <f>HYPERLINK("https://otsuka-europe-crm.veevavault.com/ui/#object/sent_email__v/VBL000000005768", "SE-001380670")</f>
        <v>SE-001380670</v>
      </c>
      <c r="D7850" s="1">
        <v>45975.465613425928</v>
      </c>
      <c r="E7850" s="2">
        <v>1</v>
      </c>
      <c r="F7850" s="2">
        <v>34</v>
      </c>
      <c r="G7850" s="2">
        <v>0</v>
      </c>
      <c r="H7850" s="1" t="s">
        <v>0</v>
      </c>
      <c r="I7850" s="2">
        <v>0</v>
      </c>
      <c r="J7850" s="1">
        <v>45965.494525462964</v>
      </c>
    </row>
    <row r="7851" spans="1:10" x14ac:dyDescent="0.2">
      <c r="A7851" s="4" t="s">
        <v>1</v>
      </c>
      <c r="B7851" s="3" t="str">
        <f>HYPERLINK("https://otsuka-europe-crm.veevavault.com/ui/#object/approved_document__v/V5OZ06G6O6RFL1P", "ES Veeva Privacy Notice Email")</f>
        <v>ES Veeva Privacy Notice Email</v>
      </c>
      <c r="C7851" s="3" t="str">
        <f>HYPERLINK("https://otsuka-europe-crm.veevavault.com/ui/#object/sent_email__v/VBL000000004450", "SE-001380764")</f>
        <v>SE-001380764</v>
      </c>
      <c r="D7851" s="1">
        <v>45965.622372685182</v>
      </c>
      <c r="E7851" s="2">
        <v>1</v>
      </c>
      <c r="F7851" s="2">
        <v>4</v>
      </c>
      <c r="G7851" s="2">
        <v>0</v>
      </c>
      <c r="H7851" s="1" t="s">
        <v>0</v>
      </c>
      <c r="I7851" s="2">
        <v>0</v>
      </c>
      <c r="J7851" s="1">
        <v>45965.607256944444</v>
      </c>
    </row>
    <row r="7852" spans="1:10" x14ac:dyDescent="0.2">
      <c r="A7852" s="4" t="s">
        <v>1</v>
      </c>
      <c r="B7852" s="3" t="str">
        <f>HYPERLINK("https://otsuka-europe-crm.veevavault.com/ui/#object/approved_document__v/V5OZ06G6O6RFL1P", "ES Veeva Privacy Notice Email")</f>
        <v>ES Veeva Privacy Notice Email</v>
      </c>
      <c r="C7852" s="3" t="str">
        <f>HYPERLINK("https://otsuka-europe-crm.veevavault.com/ui/#object/sent_email__v/VBL000000006045", "SE-001380930")</f>
        <v>SE-001380930</v>
      </c>
      <c r="D7852" s="1">
        <v>45967.462164351855</v>
      </c>
      <c r="E7852" s="2">
        <v>1</v>
      </c>
      <c r="F7852" s="2">
        <v>1</v>
      </c>
      <c r="G7852" s="2">
        <v>0</v>
      </c>
      <c r="H7852" s="1" t="s">
        <v>0</v>
      </c>
      <c r="I7852" s="2">
        <v>0</v>
      </c>
      <c r="J7852" s="1">
        <v>45967.310185185182</v>
      </c>
    </row>
    <row r="7853" spans="1:10" x14ac:dyDescent="0.2">
      <c r="A7853" s="4" t="s">
        <v>1</v>
      </c>
      <c r="B7853" s="3" t="str">
        <f>HYPERLINK("https://otsuka-europe-crm.veevavault.com/ui/#object/approved_document__v/V5OZ06G6O6RFL1P", "ES Veeva Privacy Notice Email")</f>
        <v>ES Veeva Privacy Notice Email</v>
      </c>
      <c r="C7853" s="3" t="str">
        <f>HYPERLINK("https://otsuka-europe-crm.veevavault.com/ui/#object/sent_email__v/VBL000000006054", "SE-001380940")</f>
        <v>SE-001380940</v>
      </c>
      <c r="D7853" s="1">
        <v>45967.360949074071</v>
      </c>
      <c r="E7853" s="2">
        <v>1</v>
      </c>
      <c r="F7853" s="2">
        <v>2</v>
      </c>
      <c r="G7853" s="2">
        <v>0</v>
      </c>
      <c r="H7853" s="1" t="s">
        <v>0</v>
      </c>
      <c r="I7853" s="2">
        <v>0</v>
      </c>
      <c r="J7853" s="1">
        <v>45967.31417824074</v>
      </c>
    </row>
    <row r="7854" spans="1:10" x14ac:dyDescent="0.2">
      <c r="A7854" s="4" t="s">
        <v>1</v>
      </c>
      <c r="B7854" s="3" t="str">
        <f>HYPERLINK("https://otsuka-europe-crm.veevavault.com/ui/#object/approved_document__v/V5OZ06G6O6RFL1P", "ES Veeva Privacy Notice Email")</f>
        <v>ES Veeva Privacy Notice Email</v>
      </c>
      <c r="C7854" s="3" t="str">
        <f>HYPERLINK("https://otsuka-europe-crm.veevavault.com/ui/#object/sent_email__v/VBL000000004742", "SE-001381205")</f>
        <v>SE-001381205</v>
      </c>
      <c r="D7854" s="1">
        <v>45967.481377314813</v>
      </c>
      <c r="E7854" s="2">
        <v>1</v>
      </c>
      <c r="F7854" s="2">
        <v>2</v>
      </c>
      <c r="G7854" s="2">
        <v>0</v>
      </c>
      <c r="H7854" s="1" t="s">
        <v>0</v>
      </c>
      <c r="I7854" s="2">
        <v>0</v>
      </c>
      <c r="J7854" s="1">
        <v>45967.479027777779</v>
      </c>
    </row>
    <row r="7855" spans="1:10" x14ac:dyDescent="0.2">
      <c r="A7855" s="4" t="s">
        <v>1</v>
      </c>
      <c r="B7855" s="3" t="str">
        <f>HYPERLINK("https://otsuka-europe-crm.veevavault.com/ui/#object/approved_document__v/V5OZ06G6O6RFL1P", "ES Veeva Privacy Notice Email")</f>
        <v>ES Veeva Privacy Notice Email</v>
      </c>
      <c r="C7855" s="3" t="str">
        <f>HYPERLINK("https://otsuka-europe-crm.veevavault.com/ui/#object/sent_email__v/VBL000000004958", "SE-001381666")</f>
        <v>SE-001381666</v>
      </c>
      <c r="D7855" s="1" t="s">
        <v>0</v>
      </c>
      <c r="E7855" s="2">
        <v>0</v>
      </c>
      <c r="F7855" s="2">
        <v>0</v>
      </c>
      <c r="G7855" s="2">
        <v>0</v>
      </c>
      <c r="H7855" s="1" t="s">
        <v>0</v>
      </c>
      <c r="I7855" s="2">
        <v>0</v>
      </c>
      <c r="J7855" s="1">
        <v>45967.719594907408</v>
      </c>
    </row>
    <row r="7856" spans="1:10" x14ac:dyDescent="0.2">
      <c r="A7856" s="4" t="s">
        <v>1</v>
      </c>
      <c r="B7856" s="3" t="str">
        <f>HYPERLINK("https://otsuka-europe-crm.veevavault.com/ui/#object/approved_document__v/V5OZ06G6O6RFL1P", "ES Veeva Privacy Notice Email")</f>
        <v>ES Veeva Privacy Notice Email</v>
      </c>
      <c r="C7856" s="3" t="str">
        <f>HYPERLINK("https://otsuka-europe-crm.veevavault.com/ui/#object/sent_email__v/VBL000000007355", "SE-001381688")</f>
        <v>SE-001381688</v>
      </c>
      <c r="D7856" s="1" t="s">
        <v>0</v>
      </c>
      <c r="E7856" s="2">
        <v>0</v>
      </c>
      <c r="F7856" s="2">
        <v>0</v>
      </c>
      <c r="G7856" s="2">
        <v>0</v>
      </c>
      <c r="H7856" s="1" t="s">
        <v>0</v>
      </c>
      <c r="I7856" s="2">
        <v>0</v>
      </c>
      <c r="J7856" s="1">
        <v>45968.393287037034</v>
      </c>
    </row>
    <row r="7857" spans="1:10" x14ac:dyDescent="0.2">
      <c r="A7857" s="4" t="s">
        <v>1</v>
      </c>
      <c r="B7857" s="3" t="str">
        <f>HYPERLINK("https://otsuka-europe-crm.veevavault.com/ui/#object/approved_document__v/V5OZ06G6O6RFL1P", "ES Veeva Privacy Notice Email")</f>
        <v>ES Veeva Privacy Notice Email</v>
      </c>
      <c r="C7857" s="3" t="str">
        <f>HYPERLINK("https://otsuka-europe-crm.veevavault.com/ui/#object/sent_email__v/VBL000000007436", "SE-001381870")</f>
        <v>SE-001381870</v>
      </c>
      <c r="D7857" s="1">
        <v>45968.738819444443</v>
      </c>
      <c r="E7857" s="2">
        <v>1</v>
      </c>
      <c r="F7857" s="2">
        <v>1</v>
      </c>
      <c r="G7857" s="2">
        <v>0</v>
      </c>
      <c r="H7857" s="1" t="s">
        <v>0</v>
      </c>
      <c r="I7857" s="2">
        <v>0</v>
      </c>
      <c r="J7857" s="1">
        <v>45968.477777777778</v>
      </c>
    </row>
    <row r="7858" spans="1:10" x14ac:dyDescent="0.2">
      <c r="A7858" s="4" t="s">
        <v>1</v>
      </c>
      <c r="B7858" s="3" t="str">
        <f>HYPERLINK("https://otsuka-europe-crm.veevavault.com/ui/#object/approved_document__v/V5OZ06G6O6RFL1P", "ES Veeva Privacy Notice Email")</f>
        <v>ES Veeva Privacy Notice Email</v>
      </c>
      <c r="C7858" s="3" t="str">
        <f>HYPERLINK("https://otsuka-europe-crm.veevavault.com/ui/#object/sent_email__v/VBL00000000E605", "SE-001384231")</f>
        <v>SE-001384231</v>
      </c>
      <c r="D7858" s="1">
        <v>45979.392164351855</v>
      </c>
      <c r="E7858" s="2">
        <v>1</v>
      </c>
      <c r="F7858" s="2">
        <v>8</v>
      </c>
      <c r="G7858" s="2">
        <v>1</v>
      </c>
      <c r="H7858" s="1">
        <v>45971.514710648145</v>
      </c>
      <c r="I7858" s="2">
        <v>8</v>
      </c>
      <c r="J7858" s="1">
        <v>45971.514502314814</v>
      </c>
    </row>
    <row r="7859" spans="1:10" x14ac:dyDescent="0.2">
      <c r="A7859" s="4" t="s">
        <v>1</v>
      </c>
      <c r="B7859" s="3" t="str">
        <f>HYPERLINK("https://otsuka-europe-crm.veevavault.com/ui/#object/approved_document__v/V5OZ06G6O6RFL1P", "ES Veeva Privacy Notice Email")</f>
        <v>ES Veeva Privacy Notice Email</v>
      </c>
      <c r="C7859" s="3" t="str">
        <f>HYPERLINK("https://otsuka-europe-crm.veevavault.com/ui/#object/sent_email__v/VBL00000000H149", "SE-001386627")</f>
        <v>SE-001386627</v>
      </c>
      <c r="D7859" s="1">
        <v>45971.834699074076</v>
      </c>
      <c r="E7859" s="2">
        <v>1</v>
      </c>
      <c r="F7859" s="2">
        <v>3</v>
      </c>
      <c r="G7859" s="2">
        <v>0</v>
      </c>
      <c r="H7859" s="1" t="s">
        <v>0</v>
      </c>
      <c r="I7859" s="2">
        <v>0</v>
      </c>
      <c r="J7859" s="1">
        <v>45971.703472222223</v>
      </c>
    </row>
    <row r="7860" spans="1:10" x14ac:dyDescent="0.2">
      <c r="A7860" s="4" t="s">
        <v>1</v>
      </c>
      <c r="B7860" s="3" t="str">
        <f>HYPERLINK("https://otsuka-europe-crm.veevavault.com/ui/#object/approved_document__v/V5OZ06G6O6RFL1P", "ES Veeva Privacy Notice Email")</f>
        <v>ES Veeva Privacy Notice Email</v>
      </c>
      <c r="C7860" s="3" t="str">
        <f>HYPERLINK("https://otsuka-europe-crm.veevavault.com/ui/#object/sent_email__v/VBL00000000L087", "SE-001388640")</f>
        <v>SE-001388640</v>
      </c>
      <c r="D7860" s="1" t="s">
        <v>0</v>
      </c>
      <c r="E7860" s="2">
        <v>0</v>
      </c>
      <c r="F7860" s="2">
        <v>0</v>
      </c>
      <c r="G7860" s="2">
        <v>0</v>
      </c>
      <c r="H7860" s="1" t="s">
        <v>0</v>
      </c>
      <c r="I7860" s="2">
        <v>0</v>
      </c>
      <c r="J7860" s="1">
        <v>45971.882557870369</v>
      </c>
    </row>
    <row r="7861" spans="1:10" x14ac:dyDescent="0.2">
      <c r="A7861" s="4" t="s">
        <v>1</v>
      </c>
      <c r="B7861" s="3" t="str">
        <f>HYPERLINK("https://otsuka-europe-crm.veevavault.com/ui/#object/approved_document__v/V5OZ06G6O6RFL1P", "ES Veeva Privacy Notice Email")</f>
        <v>ES Veeva Privacy Notice Email</v>
      </c>
      <c r="C7861" s="3" t="str">
        <f>HYPERLINK("https://otsuka-europe-crm.veevavault.com/ui/#object/sent_email__v/VBL00000000J738", "SE-001389112")</f>
        <v>SE-001389112</v>
      </c>
      <c r="D7861" s="1" t="s">
        <v>0</v>
      </c>
      <c r="E7861" s="2">
        <v>0</v>
      </c>
      <c r="F7861" s="2">
        <v>0</v>
      </c>
      <c r="G7861" s="2">
        <v>0</v>
      </c>
      <c r="H7861" s="1" t="s">
        <v>0</v>
      </c>
      <c r="I7861" s="2">
        <v>0</v>
      </c>
      <c r="J7861" s="1">
        <v>45972.451574074075</v>
      </c>
    </row>
    <row r="7862" spans="1:10" x14ac:dyDescent="0.2">
      <c r="A7862" s="4" t="s">
        <v>1</v>
      </c>
      <c r="B7862" s="3" t="str">
        <f>HYPERLINK("https://otsuka-europe-crm.veevavault.com/ui/#object/approved_document__v/V5OZ06G6O6RFL1P", "ES Veeva Privacy Notice Email")</f>
        <v>ES Veeva Privacy Notice Email</v>
      </c>
      <c r="C7862" s="3" t="str">
        <f>HYPERLINK("https://otsuka-europe-crm.veevavault.com/ui/#object/sent_email__v/VBL00000000J959", "SE-001389502")</f>
        <v>SE-001389502</v>
      </c>
      <c r="D7862" s="1">
        <v>45973.465057870373</v>
      </c>
      <c r="E7862" s="2">
        <v>1</v>
      </c>
      <c r="F7862" s="2">
        <v>2</v>
      </c>
      <c r="G7862" s="2">
        <v>0</v>
      </c>
      <c r="H7862" s="1" t="s">
        <v>0</v>
      </c>
      <c r="I7862" s="2">
        <v>0</v>
      </c>
      <c r="J7862" s="1">
        <v>45973.46466435185</v>
      </c>
    </row>
    <row r="7863" spans="1:10" x14ac:dyDescent="0.2">
      <c r="A7863" s="4" t="s">
        <v>1</v>
      </c>
      <c r="B7863" s="3" t="str">
        <f>HYPERLINK("https://otsuka-europe-crm.veevavault.com/ui/#object/approved_document__v/V5OZ06G6O6RFL1P", "ES Veeva Privacy Notice Email")</f>
        <v>ES Veeva Privacy Notice Email</v>
      </c>
      <c r="C7863" s="3" t="str">
        <f>HYPERLINK("https://otsuka-europe-crm.veevavault.com/ui/#object/sent_email__v/VBL00000000M743", "SE-001389816")</f>
        <v>SE-001389816</v>
      </c>
      <c r="D7863" s="1" t="s">
        <v>0</v>
      </c>
      <c r="E7863" s="2">
        <v>0</v>
      </c>
      <c r="F7863" s="2">
        <v>0</v>
      </c>
      <c r="G7863" s="2">
        <v>0</v>
      </c>
      <c r="H7863" s="1" t="s">
        <v>0</v>
      </c>
      <c r="I7863" s="2">
        <v>0</v>
      </c>
      <c r="J7863" s="1">
        <v>45973.70784722222</v>
      </c>
    </row>
    <row r="7864" spans="1:10" x14ac:dyDescent="0.2">
      <c r="A7864" s="4" t="s">
        <v>1</v>
      </c>
      <c r="B7864" s="3" t="str">
        <f>HYPERLINK("https://otsuka-europe-crm.veevavault.com/ui/#object/approved_document__v/V5OZ06G6O6RFL1P", "ES Veeva Privacy Notice Email")</f>
        <v>ES Veeva Privacy Notice Email</v>
      </c>
      <c r="C7864" s="3" t="str">
        <f>HYPERLINK("https://otsuka-europe-crm.veevavault.com/ui/#object/sent_email__v/VBL00000000M745", "SE-001389818")</f>
        <v>SE-001389818</v>
      </c>
      <c r="D7864" s="1" t="s">
        <v>0</v>
      </c>
      <c r="E7864" s="2">
        <v>0</v>
      </c>
      <c r="F7864" s="2">
        <v>0</v>
      </c>
      <c r="G7864" s="2">
        <v>0</v>
      </c>
      <c r="H7864" s="1" t="s">
        <v>0</v>
      </c>
      <c r="I7864" s="2">
        <v>0</v>
      </c>
      <c r="J7864" s="1">
        <v>45973.708587962959</v>
      </c>
    </row>
    <row r="7865" spans="1:10" x14ac:dyDescent="0.2">
      <c r="A7865" s="4" t="s">
        <v>1</v>
      </c>
      <c r="B7865" s="3" t="str">
        <f>HYPERLINK("https://otsuka-europe-crm.veevavault.com/ui/#object/approved_document__v/V5OZ06G6O6RFL1P", "ES Veeva Privacy Notice Email")</f>
        <v>ES Veeva Privacy Notice Email</v>
      </c>
      <c r="C7865" s="3" t="str">
        <f>HYPERLINK("https://otsuka-europe-crm.veevavault.com/ui/#object/sent_email__v/VBL00000000M941", "SE-001390239")</f>
        <v>SE-001390239</v>
      </c>
      <c r="D7865" s="1" t="s">
        <v>0</v>
      </c>
      <c r="E7865" s="2">
        <v>0</v>
      </c>
      <c r="F7865" s="2">
        <v>0</v>
      </c>
      <c r="G7865" s="2">
        <v>0</v>
      </c>
      <c r="H7865" s="1" t="s">
        <v>0</v>
      </c>
      <c r="I7865" s="2">
        <v>0</v>
      </c>
      <c r="J7865" s="1">
        <v>45975.403113425928</v>
      </c>
    </row>
    <row r="7866" spans="1:10" x14ac:dyDescent="0.2">
      <c r="A7866" s="4" t="s">
        <v>1</v>
      </c>
      <c r="B7866" s="3" t="str">
        <f>HYPERLINK("https://otsuka-europe-crm.veevavault.com/ui/#object/approved_document__v/V5OZ06G6O6RFL1P", "ES Veeva Privacy Notice Email")</f>
        <v>ES Veeva Privacy Notice Email</v>
      </c>
      <c r="C7866" s="3" t="str">
        <f>HYPERLINK("https://otsuka-europe-crm.veevavault.com/ui/#object/sent_email__v/VBL00000000M976", "SE-001390290")</f>
        <v>SE-001390290</v>
      </c>
      <c r="D7866" s="1">
        <v>45975.533807870372</v>
      </c>
      <c r="E7866" s="2">
        <v>1</v>
      </c>
      <c r="F7866" s="2">
        <v>2</v>
      </c>
      <c r="G7866" s="2">
        <v>0</v>
      </c>
      <c r="H7866" s="1" t="s">
        <v>0</v>
      </c>
      <c r="I7866" s="2">
        <v>0</v>
      </c>
      <c r="J7866" s="1">
        <v>45975.528437499997</v>
      </c>
    </row>
    <row r="7867" spans="1:10" x14ac:dyDescent="0.2">
      <c r="A7867" s="4" t="s">
        <v>1</v>
      </c>
      <c r="B7867" s="3" t="str">
        <f>HYPERLINK("https://otsuka-europe-crm.veevavault.com/ui/#object/approved_document__v/V5OZ06G6O6RFL1P", "ES Veeva Privacy Notice Email")</f>
        <v>ES Veeva Privacy Notice Email</v>
      </c>
      <c r="C7867" s="3" t="str">
        <f>HYPERLINK("https://otsuka-europe-crm.veevavault.com/ui/#object/sent_email__v/VBL00000000N268", "SE-001390291")</f>
        <v>SE-001390291</v>
      </c>
      <c r="D7867" s="1">
        <v>45975.573692129627</v>
      </c>
      <c r="E7867" s="2">
        <v>1</v>
      </c>
      <c r="F7867" s="2">
        <v>1</v>
      </c>
      <c r="G7867" s="2">
        <v>0</v>
      </c>
      <c r="H7867" s="1" t="s">
        <v>0</v>
      </c>
      <c r="I7867" s="2">
        <v>0</v>
      </c>
      <c r="J7867" s="1">
        <v>45975.530671296299</v>
      </c>
    </row>
    <row r="7868" spans="1:10" x14ac:dyDescent="0.2">
      <c r="A7868" s="4" t="s">
        <v>1</v>
      </c>
      <c r="B7868" s="3" t="str">
        <f>HYPERLINK("https://otsuka-europe-crm.veevavault.com/ui/#object/approved_document__v/V5OZ06G6O6RFL1P", "ES Veeva Privacy Notice Email")</f>
        <v>ES Veeva Privacy Notice Email</v>
      </c>
      <c r="C7868" s="3" t="str">
        <f>HYPERLINK("https://otsuka-europe-crm.veevavault.com/ui/#object/sent_email__v/VBL00000000N287", "SE-001390423")</f>
        <v>SE-001390423</v>
      </c>
      <c r="D7868" s="1">
        <v>45977.959548611114</v>
      </c>
      <c r="E7868" s="2">
        <v>1</v>
      </c>
      <c r="F7868" s="2">
        <v>1</v>
      </c>
      <c r="G7868" s="2">
        <v>0</v>
      </c>
      <c r="H7868" s="1" t="s">
        <v>0</v>
      </c>
      <c r="I7868" s="2">
        <v>0</v>
      </c>
      <c r="J7868" s="1">
        <v>45977.789722222224</v>
      </c>
    </row>
    <row r="7869" spans="1:10" x14ac:dyDescent="0.2">
      <c r="A7869" s="4" t="s">
        <v>1</v>
      </c>
      <c r="B7869" s="3" t="str">
        <f>HYPERLINK("https://otsuka-europe-crm.veevavault.com/ui/#object/approved_document__v/V5OZ06G6O6RFL1P", "ES Veeva Privacy Notice Email")</f>
        <v>ES Veeva Privacy Notice Email</v>
      </c>
      <c r="C7869" s="3" t="str">
        <f>HYPERLINK("https://otsuka-europe-crm.veevavault.com/ui/#object/sent_email__v/VBL00000000N289", "SE-001390460")</f>
        <v>SE-001390460</v>
      </c>
      <c r="D7869" s="1" t="s">
        <v>0</v>
      </c>
      <c r="E7869" s="2">
        <v>0</v>
      </c>
      <c r="F7869" s="2">
        <v>0</v>
      </c>
      <c r="G7869" s="2">
        <v>0</v>
      </c>
      <c r="H7869" s="1" t="s">
        <v>0</v>
      </c>
      <c r="I7869" s="2">
        <v>0</v>
      </c>
      <c r="J7869" s="1">
        <v>45978.355520833335</v>
      </c>
    </row>
    <row r="7870" spans="1:10" x14ac:dyDescent="0.2">
      <c r="A7870" s="4" t="s">
        <v>1</v>
      </c>
      <c r="B7870" s="3" t="str">
        <f>HYPERLINK("https://otsuka-europe-crm.veevavault.com/ui/#object/approved_document__v/V5OZ06G6O6RFL1P", "ES Veeva Privacy Notice Email")</f>
        <v>ES Veeva Privacy Notice Email</v>
      </c>
      <c r="C7870" s="3" t="str">
        <f>HYPERLINK("https://otsuka-europe-crm.veevavault.com/ui/#object/sent_email__v/VBL00000000O131", "SE-001390486")</f>
        <v>SE-001390486</v>
      </c>
      <c r="D7870" s="1" t="s">
        <v>0</v>
      </c>
      <c r="E7870" s="2">
        <v>0</v>
      </c>
      <c r="F7870" s="2">
        <v>0</v>
      </c>
      <c r="G7870" s="2">
        <v>0</v>
      </c>
      <c r="H7870" s="1" t="s">
        <v>0</v>
      </c>
      <c r="I7870" s="2">
        <v>0</v>
      </c>
      <c r="J7870" s="1">
        <v>45978.359976851854</v>
      </c>
    </row>
    <row r="7871" spans="1:10" x14ac:dyDescent="0.2">
      <c r="A7871" s="4" t="s">
        <v>1</v>
      </c>
      <c r="B7871" s="3" t="str">
        <f>HYPERLINK("https://otsuka-europe-crm.veevavault.com/ui/#object/approved_document__v/V5OZ06G6O6RFL1P", "ES Veeva Privacy Notice Email")</f>
        <v>ES Veeva Privacy Notice Email</v>
      </c>
      <c r="C7871" s="3" t="str">
        <f>HYPERLINK("https://otsuka-europe-crm.veevavault.com/ui/#object/sent_email__v/VBL00000000O132", "SE-001390487")</f>
        <v>SE-001390487</v>
      </c>
      <c r="D7871" s="1" t="s">
        <v>0</v>
      </c>
      <c r="E7871" s="2">
        <v>0</v>
      </c>
      <c r="F7871" s="2">
        <v>0</v>
      </c>
      <c r="G7871" s="2">
        <v>0</v>
      </c>
      <c r="H7871" s="1" t="s">
        <v>0</v>
      </c>
      <c r="I7871" s="2">
        <v>0</v>
      </c>
      <c r="J7871" s="1">
        <v>45978.361018518517</v>
      </c>
    </row>
    <row r="7872" spans="1:10" x14ac:dyDescent="0.2">
      <c r="A7872" s="4" t="s">
        <v>1</v>
      </c>
      <c r="B7872" s="3" t="str">
        <f>HYPERLINK("https://otsuka-europe-crm.veevavault.com/ui/#object/approved_document__v/V5OZ06G6O6RFL1P", "ES Veeva Privacy Notice Email")</f>
        <v>ES Veeva Privacy Notice Email</v>
      </c>
      <c r="C7872" s="3" t="str">
        <f>HYPERLINK("https://otsuka-europe-crm.veevavault.com/ui/#object/sent_email__v/VBL00000000O133", "SE-001390488")</f>
        <v>SE-001390488</v>
      </c>
      <c r="D7872" s="1" t="s">
        <v>0</v>
      </c>
      <c r="E7872" s="2">
        <v>0</v>
      </c>
      <c r="F7872" s="2">
        <v>0</v>
      </c>
      <c r="G7872" s="2">
        <v>0</v>
      </c>
      <c r="H7872" s="1" t="s">
        <v>0</v>
      </c>
      <c r="I7872" s="2">
        <v>0</v>
      </c>
      <c r="J7872" s="1">
        <v>45978.36414351852</v>
      </c>
    </row>
    <row r="7873" spans="1:10" x14ac:dyDescent="0.2">
      <c r="A7873" s="4" t="s">
        <v>1</v>
      </c>
      <c r="B7873" s="3" t="str">
        <f>HYPERLINK("https://otsuka-europe-crm.veevavault.com/ui/#object/approved_document__v/V5OZ06G6O6RFL1P", "ES Veeva Privacy Notice Email")</f>
        <v>ES Veeva Privacy Notice Email</v>
      </c>
      <c r="C7873" s="3" t="str">
        <f>HYPERLINK("https://otsuka-europe-crm.veevavault.com/ui/#object/sent_email__v/VBL00000000O136", "SE-001390491")</f>
        <v>SE-001390491</v>
      </c>
      <c r="D7873" s="1" t="s">
        <v>0</v>
      </c>
      <c r="E7873" s="2">
        <v>0</v>
      </c>
      <c r="F7873" s="2">
        <v>0</v>
      </c>
      <c r="G7873" s="2">
        <v>0</v>
      </c>
      <c r="H7873" s="1" t="s">
        <v>0</v>
      </c>
      <c r="I7873" s="2">
        <v>0</v>
      </c>
      <c r="J7873" s="1">
        <v>45978.370486111111</v>
      </c>
    </row>
    <row r="7874" spans="1:10" x14ac:dyDescent="0.2">
      <c r="A7874" s="4" t="s">
        <v>1</v>
      </c>
      <c r="B7874" s="3" t="str">
        <f>HYPERLINK("https://otsuka-europe-crm.veevavault.com/ui/#object/approved_document__v/V5OZ06G6O6RFL1P", "ES Veeva Privacy Notice Email")</f>
        <v>ES Veeva Privacy Notice Email</v>
      </c>
      <c r="C7874" s="3" t="str">
        <f>HYPERLINK("https://otsuka-europe-crm.veevavault.com/ui/#object/sent_email__v/VBL00000000N340", "SE-001390517")</f>
        <v>SE-001390517</v>
      </c>
      <c r="D7874" s="1" t="s">
        <v>0</v>
      </c>
      <c r="E7874" s="2">
        <v>0</v>
      </c>
      <c r="F7874" s="2">
        <v>0</v>
      </c>
      <c r="G7874" s="2">
        <v>0</v>
      </c>
      <c r="H7874" s="1" t="s">
        <v>0</v>
      </c>
      <c r="I7874" s="2">
        <v>0</v>
      </c>
      <c r="J7874" s="1">
        <v>45978.371747685182</v>
      </c>
    </row>
    <row r="7875" spans="1:10" x14ac:dyDescent="0.2">
      <c r="A7875" s="4" t="s">
        <v>1</v>
      </c>
      <c r="B7875" s="3" t="str">
        <f>HYPERLINK("https://otsuka-europe-crm.veevavault.com/ui/#object/approved_document__v/V5OZ06G6O6RFL1P", "ES Veeva Privacy Notice Email")</f>
        <v>ES Veeva Privacy Notice Email</v>
      </c>
      <c r="C7875" s="3" t="str">
        <f>HYPERLINK("https://otsuka-europe-crm.veevavault.com/ui/#object/sent_email__v/VBL00000000O250", "SE-001390726")</f>
        <v>SE-001390726</v>
      </c>
      <c r="D7875" s="1" t="s">
        <v>0</v>
      </c>
      <c r="E7875" s="2">
        <v>0</v>
      </c>
      <c r="F7875" s="2">
        <v>0</v>
      </c>
      <c r="G7875" s="2">
        <v>0</v>
      </c>
      <c r="H7875" s="1" t="s">
        <v>0</v>
      </c>
      <c r="I7875" s="2">
        <v>0</v>
      </c>
      <c r="J7875" s="1">
        <v>45978.426828703705</v>
      </c>
    </row>
    <row r="7876" spans="1:10" x14ac:dyDescent="0.2">
      <c r="A7876" s="4" t="s">
        <v>1</v>
      </c>
      <c r="B7876" s="3" t="str">
        <f>HYPERLINK("https://otsuka-europe-crm.veevavault.com/ui/#object/approved_document__v/V5OZ06G6O6RFL1P", "ES Veeva Privacy Notice Email")</f>
        <v>ES Veeva Privacy Notice Email</v>
      </c>
      <c r="C7876" s="3" t="str">
        <f>HYPERLINK("https://otsuka-europe-crm.veevavault.com/ui/#object/sent_email__v/VBL00000000N445", "SE-001390737")</f>
        <v>SE-001390737</v>
      </c>
      <c r="D7876" s="1">
        <v>45978.482210648152</v>
      </c>
      <c r="E7876" s="2">
        <v>1</v>
      </c>
      <c r="F7876" s="2">
        <v>2</v>
      </c>
      <c r="G7876" s="2">
        <v>0</v>
      </c>
      <c r="H7876" s="1" t="s">
        <v>0</v>
      </c>
      <c r="I7876" s="2">
        <v>0</v>
      </c>
      <c r="J7876" s="1">
        <v>45978.470451388886</v>
      </c>
    </row>
    <row r="7877" spans="1:10" x14ac:dyDescent="0.2">
      <c r="A7877" s="4" t="s">
        <v>1</v>
      </c>
      <c r="B7877" s="3" t="str">
        <f>HYPERLINK("https://otsuka-europe-crm.veevavault.com/ui/#object/approved_document__v/V5OZ06G6O6RFL1P", "ES Veeva Privacy Notice Email")</f>
        <v>ES Veeva Privacy Notice Email</v>
      </c>
      <c r="C7877" s="3" t="str">
        <f>HYPERLINK("https://otsuka-europe-crm.veevavault.com/ui/#object/sent_email__v/VBL00000000N446", "SE-001390738")</f>
        <v>SE-001390738</v>
      </c>
      <c r="D7877" s="1">
        <v>45978.528437499997</v>
      </c>
      <c r="E7877" s="2">
        <v>1</v>
      </c>
      <c r="F7877" s="2">
        <v>3</v>
      </c>
      <c r="G7877" s="2">
        <v>0</v>
      </c>
      <c r="H7877" s="1" t="s">
        <v>0</v>
      </c>
      <c r="I7877" s="2">
        <v>0</v>
      </c>
      <c r="J7877" s="1">
        <v>45978.475983796299</v>
      </c>
    </row>
    <row r="7878" spans="1:10" x14ac:dyDescent="0.2">
      <c r="A7878" s="4" t="s">
        <v>1</v>
      </c>
      <c r="B7878" s="3" t="str">
        <f>HYPERLINK("https://otsuka-europe-crm.veevavault.com/ui/#object/approved_document__v/V5OZ06G6O6RFL1P", "ES Veeva Privacy Notice Email")</f>
        <v>ES Veeva Privacy Notice Email</v>
      </c>
      <c r="C7878" s="3" t="str">
        <f>HYPERLINK("https://otsuka-europe-crm.veevavault.com/ui/#object/sent_email__v/VBL00000000O257", "SE-001390739")</f>
        <v>SE-001390739</v>
      </c>
      <c r="D7878" s="1" t="s">
        <v>0</v>
      </c>
      <c r="E7878" s="2">
        <v>0</v>
      </c>
      <c r="F7878" s="2">
        <v>0</v>
      </c>
      <c r="G7878" s="2">
        <v>0</v>
      </c>
      <c r="H7878" s="1" t="s">
        <v>0</v>
      </c>
      <c r="I7878" s="2">
        <v>0</v>
      </c>
      <c r="J7878" s="1">
        <v>45978.482314814813</v>
      </c>
    </row>
    <row r="7879" spans="1:10" x14ac:dyDescent="0.2">
      <c r="A7879" s="4" t="s">
        <v>1</v>
      </c>
      <c r="B7879" s="3" t="str">
        <f>HYPERLINK("https://otsuka-europe-crm.veevavault.com/ui/#object/approved_document__v/V5OZ06G6O6RFL1P", "ES Veeva Privacy Notice Email")</f>
        <v>ES Veeva Privacy Notice Email</v>
      </c>
      <c r="C7879" s="3" t="str">
        <f>HYPERLINK("https://otsuka-europe-crm.veevavault.com/ui/#object/sent_email__v/VBL00000000O286", "SE-001390787")</f>
        <v>SE-001390787</v>
      </c>
      <c r="D7879" s="1" t="s">
        <v>0</v>
      </c>
      <c r="E7879" s="2">
        <v>0</v>
      </c>
      <c r="F7879" s="2">
        <v>0</v>
      </c>
      <c r="G7879" s="2">
        <v>0</v>
      </c>
      <c r="H7879" s="1" t="s">
        <v>0</v>
      </c>
      <c r="I7879" s="2">
        <v>0</v>
      </c>
      <c r="J7879" s="1">
        <v>45978.629826388889</v>
      </c>
    </row>
    <row r="7880" spans="1:10" x14ac:dyDescent="0.2">
      <c r="A7880" s="4" t="s">
        <v>1</v>
      </c>
      <c r="B7880" s="3" t="str">
        <f>HYPERLINK("https://otsuka-europe-crm.veevavault.com/ui/#object/approved_document__v/V5OZ06G6O6RFL1P", "ES Veeva Privacy Notice Email")</f>
        <v>ES Veeva Privacy Notice Email</v>
      </c>
      <c r="C7880" s="3" t="str">
        <f>HYPERLINK("https://otsuka-europe-crm.veevavault.com/ui/#object/sent_email__v/VBL00000000O288", "SE-001390793")</f>
        <v>SE-001390793</v>
      </c>
      <c r="D7880" s="1" t="s">
        <v>0</v>
      </c>
      <c r="E7880" s="2">
        <v>0</v>
      </c>
      <c r="F7880" s="2">
        <v>0</v>
      </c>
      <c r="G7880" s="2">
        <v>0</v>
      </c>
      <c r="H7880" s="1" t="s">
        <v>0</v>
      </c>
      <c r="I7880" s="2">
        <v>0</v>
      </c>
      <c r="J7880" s="1">
        <v>45978.728136574071</v>
      </c>
    </row>
    <row r="7881" spans="1:10" x14ac:dyDescent="0.2">
      <c r="A7881" s="4" t="s">
        <v>1</v>
      </c>
      <c r="B7881" s="3" t="str">
        <f>HYPERLINK("https://otsuka-europe-crm.veevavault.com/ui/#object/approved_document__v/V5OZ06G6O6RFL1P", "ES Veeva Privacy Notice Email")</f>
        <v>ES Veeva Privacy Notice Email</v>
      </c>
      <c r="C7881" s="3" t="str">
        <f>HYPERLINK("https://otsuka-europe-crm.veevavault.com/ui/#object/sent_email__v/VBL00000000O289", "SE-001390794")</f>
        <v>SE-001390794</v>
      </c>
      <c r="D7881" s="1">
        <v>45979.229317129626</v>
      </c>
      <c r="E7881" s="2">
        <v>1</v>
      </c>
      <c r="F7881" s="2">
        <v>3</v>
      </c>
      <c r="G7881" s="2">
        <v>0</v>
      </c>
      <c r="H7881" s="1" t="s">
        <v>0</v>
      </c>
      <c r="I7881" s="2">
        <v>0</v>
      </c>
      <c r="J7881" s="1">
        <v>45978.738483796296</v>
      </c>
    </row>
    <row r="7882" spans="1:10" x14ac:dyDescent="0.2">
      <c r="A7882" s="4" t="s">
        <v>1</v>
      </c>
      <c r="B7882" s="3" t="str">
        <f>HYPERLINK("https://otsuka-europe-crm.veevavault.com/ui/#object/approved_document__v/V5OZ06G6O6RFL1P", "ES Veeva Privacy Notice Email")</f>
        <v>ES Veeva Privacy Notice Email</v>
      </c>
      <c r="C7882" s="3" t="str">
        <f>HYPERLINK("https://otsuka-europe-crm.veevavault.com/ui/#object/sent_email__v/VBL00000000O298", "SE-001390810")</f>
        <v>SE-001390810</v>
      </c>
      <c r="D7882" s="1">
        <v>45979.686157407406</v>
      </c>
      <c r="E7882" s="2">
        <v>1</v>
      </c>
      <c r="F7882" s="2">
        <v>1</v>
      </c>
      <c r="G7882" s="2">
        <v>0</v>
      </c>
      <c r="H7882" s="1" t="s">
        <v>0</v>
      </c>
      <c r="I7882" s="2">
        <v>0</v>
      </c>
      <c r="J7882" s="1">
        <v>45979.428124999999</v>
      </c>
    </row>
    <row r="7883" spans="1:10" x14ac:dyDescent="0.2">
      <c r="A7883" s="4" t="s">
        <v>1</v>
      </c>
      <c r="B7883" s="3" t="str">
        <f>HYPERLINK("https://otsuka-europe-crm.veevavault.com/ui/#object/approved_document__v/V5OZ06G6O6RFL1P", "ES Veeva Privacy Notice Email")</f>
        <v>ES Veeva Privacy Notice Email</v>
      </c>
      <c r="C7883" s="3" t="str">
        <f>HYPERLINK("https://otsuka-europe-crm.veevavault.com/ui/#object/sent_email__v/VBL00000000N557", "SE-001391060")</f>
        <v>SE-001391060</v>
      </c>
      <c r="D7883" s="1">
        <v>45992.745266203703</v>
      </c>
      <c r="E7883" s="2">
        <v>1</v>
      </c>
      <c r="F7883" s="2">
        <v>3</v>
      </c>
      <c r="G7883" s="2">
        <v>1</v>
      </c>
      <c r="H7883" s="1">
        <v>45979.899502314816</v>
      </c>
      <c r="I7883" s="2">
        <v>1</v>
      </c>
      <c r="J7883" s="1">
        <v>45979.827824074076</v>
      </c>
    </row>
    <row r="7884" spans="1:10" x14ac:dyDescent="0.2">
      <c r="A7884" s="4" t="s">
        <v>1</v>
      </c>
      <c r="B7884" s="3" t="str">
        <f>HYPERLINK("https://otsuka-europe-crm.veevavault.com/ui/#object/approved_document__v/V5OZ06G6O6RFL1P", "ES Veeva Privacy Notice Email")</f>
        <v>ES Veeva Privacy Notice Email</v>
      </c>
      <c r="C7884" s="3" t="str">
        <f>HYPERLINK("https://otsuka-europe-crm.veevavault.com/ui/#object/sent_email__v/VBL00000000O483", "SE-001391061")</f>
        <v>SE-001391061</v>
      </c>
      <c r="D7884" s="1" t="s">
        <v>0</v>
      </c>
      <c r="E7884" s="2">
        <v>0</v>
      </c>
      <c r="F7884" s="2">
        <v>0</v>
      </c>
      <c r="G7884" s="2">
        <v>0</v>
      </c>
      <c r="H7884" s="1" t="s">
        <v>0</v>
      </c>
      <c r="I7884" s="2">
        <v>0</v>
      </c>
      <c r="J7884" s="1">
        <v>45979.8284375</v>
      </c>
    </row>
    <row r="7885" spans="1:10" x14ac:dyDescent="0.2">
      <c r="A7885" s="4" t="s">
        <v>1</v>
      </c>
      <c r="B7885" s="3" t="str">
        <f>HYPERLINK("https://otsuka-europe-crm.veevavault.com/ui/#object/approved_document__v/V5OZ06G6O6RFL1P", "ES Veeva Privacy Notice Email")</f>
        <v>ES Veeva Privacy Notice Email</v>
      </c>
      <c r="C7885" s="3" t="str">
        <f>HYPERLINK("https://otsuka-europe-crm.veevavault.com/ui/#object/sent_email__v/VBL00000000P107", "SE-001391392")</f>
        <v>SE-001391392</v>
      </c>
      <c r="D7885" s="1">
        <v>46041.409328703703</v>
      </c>
      <c r="E7885" s="2">
        <v>1</v>
      </c>
      <c r="F7885" s="2">
        <v>7</v>
      </c>
      <c r="G7885" s="2">
        <v>0</v>
      </c>
      <c r="H7885" s="1" t="s">
        <v>0</v>
      </c>
      <c r="I7885" s="2">
        <v>0</v>
      </c>
      <c r="J7885" s="1">
        <v>45981.347650462965</v>
      </c>
    </row>
    <row r="7886" spans="1:10" x14ac:dyDescent="0.2">
      <c r="A7886" s="4" t="s">
        <v>1</v>
      </c>
      <c r="B7886" s="3" t="str">
        <f>HYPERLINK("https://otsuka-europe-crm.veevavault.com/ui/#object/approved_document__v/V5OZ06G6O6RFL1P", "ES Veeva Privacy Notice Email")</f>
        <v>ES Veeva Privacy Notice Email</v>
      </c>
      <c r="C7886" s="3" t="str">
        <f>HYPERLINK("https://otsuka-europe-crm.veevavault.com/ui/#object/sent_email__v/VBL00000000P108", "SE-001391395")</f>
        <v>SE-001391395</v>
      </c>
      <c r="D7886" s="1">
        <v>46006.500127314815</v>
      </c>
      <c r="E7886" s="2">
        <v>1</v>
      </c>
      <c r="F7886" s="2">
        <v>2</v>
      </c>
      <c r="G7886" s="2">
        <v>0</v>
      </c>
      <c r="H7886" s="1" t="s">
        <v>0</v>
      </c>
      <c r="I7886" s="2">
        <v>0</v>
      </c>
      <c r="J7886" s="1">
        <v>45981.349710648145</v>
      </c>
    </row>
    <row r="7887" spans="1:10" x14ac:dyDescent="0.2">
      <c r="A7887" s="4" t="s">
        <v>1</v>
      </c>
      <c r="B7887" s="3" t="str">
        <f>HYPERLINK("https://otsuka-europe-crm.veevavault.com/ui/#object/approved_document__v/V5OZ06G6O6RFL1P", "ES Veeva Privacy Notice Email")</f>
        <v>ES Veeva Privacy Notice Email</v>
      </c>
      <c r="C7887" s="3" t="str">
        <f>HYPERLINK("https://otsuka-europe-crm.veevavault.com/ui/#object/sent_email__v/VBL00000000Q240", "SE-001391432")</f>
        <v>SE-001391432</v>
      </c>
      <c r="D7887" s="1">
        <v>45988.44253472222</v>
      </c>
      <c r="E7887" s="2">
        <v>1</v>
      </c>
      <c r="F7887" s="2">
        <v>2</v>
      </c>
      <c r="G7887" s="2">
        <v>0</v>
      </c>
      <c r="H7887" s="1" t="s">
        <v>0</v>
      </c>
      <c r="I7887" s="2">
        <v>0</v>
      </c>
      <c r="J7887" s="1">
        <v>45981.673518518517</v>
      </c>
    </row>
    <row r="7888" spans="1:10" x14ac:dyDescent="0.2">
      <c r="A7888" s="4" t="s">
        <v>1</v>
      </c>
      <c r="B7888" s="3" t="str">
        <f>HYPERLINK("https://otsuka-europe-crm.veevavault.com/ui/#object/approved_document__v/V5OZ06G6O6RFL1P", "ES Veeva Privacy Notice Email")</f>
        <v>ES Veeva Privacy Notice Email</v>
      </c>
      <c r="C7888" s="3" t="str">
        <f>HYPERLINK("https://otsuka-europe-crm.veevavault.com/ui/#object/sent_email__v/VBL00000000Q251", "SE-001391478")</f>
        <v>SE-001391478</v>
      </c>
      <c r="D7888" s="1">
        <v>45982.44263888889</v>
      </c>
      <c r="E7888" s="2">
        <v>1</v>
      </c>
      <c r="F7888" s="2">
        <v>2</v>
      </c>
      <c r="G7888" s="2">
        <v>0</v>
      </c>
      <c r="H7888" s="1" t="s">
        <v>0</v>
      </c>
      <c r="I7888" s="2">
        <v>0</v>
      </c>
      <c r="J7888" s="1">
        <v>45982.325196759259</v>
      </c>
    </row>
    <row r="7889" spans="1:10" x14ac:dyDescent="0.2">
      <c r="A7889" s="4" t="s">
        <v>1</v>
      </c>
      <c r="B7889" s="3" t="str">
        <f>HYPERLINK("https://otsuka-europe-crm.veevavault.com/ui/#object/approved_document__v/V5OZ06G6O6RFL1P", "ES Veeva Privacy Notice Email")</f>
        <v>ES Veeva Privacy Notice Email</v>
      </c>
      <c r="C7889" s="3" t="str">
        <f>HYPERLINK("https://otsuka-europe-crm.veevavault.com/ui/#object/sent_email__v/VBL00000000R125", "SE-001391693")</f>
        <v>SE-001391693</v>
      </c>
      <c r="D7889" s="1">
        <v>46012.908159722225</v>
      </c>
      <c r="E7889" s="2">
        <v>1</v>
      </c>
      <c r="F7889" s="2">
        <v>6</v>
      </c>
      <c r="G7889" s="2">
        <v>0</v>
      </c>
      <c r="H7889" s="1" t="s">
        <v>0</v>
      </c>
      <c r="I7889" s="2">
        <v>0</v>
      </c>
      <c r="J7889" s="1">
        <v>45985.427233796298</v>
      </c>
    </row>
    <row r="7890" spans="1:10" x14ac:dyDescent="0.2">
      <c r="A7890" s="4" t="s">
        <v>1</v>
      </c>
      <c r="B7890" s="3" t="str">
        <f>HYPERLINK("https://otsuka-europe-crm.veevavault.com/ui/#object/approved_document__v/V5OZ06G6O6RFL1P", "ES Veeva Privacy Notice Email")</f>
        <v>ES Veeva Privacy Notice Email</v>
      </c>
      <c r="C7890" s="3" t="str">
        <f>HYPERLINK("https://otsuka-europe-crm.veevavault.com/ui/#object/sent_email__v/VBL00000000R192", "SE-001391775")</f>
        <v>SE-001391775</v>
      </c>
      <c r="D7890" s="1">
        <v>45985.955995370372</v>
      </c>
      <c r="E7890" s="2">
        <v>1</v>
      </c>
      <c r="F7890" s="2">
        <v>1</v>
      </c>
      <c r="G7890" s="2">
        <v>0</v>
      </c>
      <c r="H7890" s="1" t="s">
        <v>0</v>
      </c>
      <c r="I7890" s="2">
        <v>0</v>
      </c>
      <c r="J7890" s="1">
        <v>45985.524756944447</v>
      </c>
    </row>
    <row r="7891" spans="1:10" x14ac:dyDescent="0.2">
      <c r="A7891" s="4" t="s">
        <v>1</v>
      </c>
      <c r="B7891" s="3" t="str">
        <f>HYPERLINK("https://otsuka-europe-crm.veevavault.com/ui/#object/approved_document__v/V5OZ06G6O6RFL1P", "ES Veeva Privacy Notice Email")</f>
        <v>ES Veeva Privacy Notice Email</v>
      </c>
      <c r="C7891" s="3" t="str">
        <f>HYPERLINK("https://otsuka-europe-crm.veevavault.com/ui/#object/sent_email__v/VBL00000000S065", "SE-001391787")</f>
        <v>SE-001391787</v>
      </c>
      <c r="D7891" s="1">
        <v>45985.673576388886</v>
      </c>
      <c r="E7891" s="2">
        <v>1</v>
      </c>
      <c r="F7891" s="2">
        <v>3</v>
      </c>
      <c r="G7891" s="2">
        <v>1</v>
      </c>
      <c r="H7891" s="1">
        <v>45985.674386574072</v>
      </c>
      <c r="I7891" s="2">
        <v>9</v>
      </c>
      <c r="J7891" s="1">
        <v>45985.672256944446</v>
      </c>
    </row>
    <row r="7892" spans="1:10" x14ac:dyDescent="0.2">
      <c r="A7892" s="4" t="s">
        <v>1</v>
      </c>
      <c r="B7892" s="3" t="str">
        <f>HYPERLINK("https://otsuka-europe-crm.veevavault.com/ui/#object/approved_document__v/V5OZ06G6O6RFL1P", "ES Veeva Privacy Notice Email")</f>
        <v>ES Veeva Privacy Notice Email</v>
      </c>
      <c r="C7892" s="3" t="str">
        <f>HYPERLINK("https://otsuka-europe-crm.veevavault.com/ui/#object/sent_email__v/VBL00000000R278", "SE-001391900")</f>
        <v>SE-001391900</v>
      </c>
      <c r="D7892" s="1" t="s">
        <v>0</v>
      </c>
      <c r="E7892" s="2">
        <v>0</v>
      </c>
      <c r="F7892" s="2">
        <v>0</v>
      </c>
      <c r="G7892" s="2">
        <v>0</v>
      </c>
      <c r="H7892" s="1" t="s">
        <v>0</v>
      </c>
      <c r="I7892" s="2">
        <v>0</v>
      </c>
      <c r="J7892" s="1">
        <v>45986.568206018521</v>
      </c>
    </row>
    <row r="7893" spans="1:10" x14ac:dyDescent="0.2">
      <c r="A7893" s="4" t="s">
        <v>1</v>
      </c>
      <c r="B7893" s="3" t="str">
        <f>HYPERLINK("https://otsuka-europe-crm.veevavault.com/ui/#object/approved_document__v/V5OZ06G6O6RFL1P", "ES Veeva Privacy Notice Email")</f>
        <v>ES Veeva Privacy Notice Email</v>
      </c>
      <c r="C7893" s="3" t="str">
        <f>HYPERLINK("https://otsuka-europe-crm.veevavault.com/ui/#object/sent_email__v/VBL00000000R288", "SE-001391916")</f>
        <v>SE-001391916</v>
      </c>
      <c r="D7893" s="1" t="s">
        <v>0</v>
      </c>
      <c r="E7893" s="2">
        <v>0</v>
      </c>
      <c r="F7893" s="2">
        <v>0</v>
      </c>
      <c r="G7893" s="2">
        <v>0</v>
      </c>
      <c r="H7893" s="1" t="s">
        <v>0</v>
      </c>
      <c r="I7893" s="2">
        <v>0</v>
      </c>
      <c r="J7893" s="1">
        <v>45986.725486111114</v>
      </c>
    </row>
    <row r="7894" spans="1:10" x14ac:dyDescent="0.2">
      <c r="A7894" s="4" t="s">
        <v>1</v>
      </c>
      <c r="B7894" s="3" t="str">
        <f>HYPERLINK("https://otsuka-europe-crm.veevavault.com/ui/#object/approved_document__v/V5OZ06G6O6RFL1P", "ES Veeva Privacy Notice Email")</f>
        <v>ES Veeva Privacy Notice Email</v>
      </c>
      <c r="C7894" s="3" t="str">
        <f>HYPERLINK("https://otsuka-europe-crm.veevavault.com/ui/#object/sent_email__v/VBL00000000S121", "SE-001391917")</f>
        <v>SE-001391917</v>
      </c>
      <c r="D7894" s="1">
        <v>45987.569791666669</v>
      </c>
      <c r="E7894" s="2">
        <v>1</v>
      </c>
      <c r="F7894" s="2">
        <v>2</v>
      </c>
      <c r="G7894" s="2">
        <v>0</v>
      </c>
      <c r="H7894" s="1" t="s">
        <v>0</v>
      </c>
      <c r="I7894" s="2">
        <v>0</v>
      </c>
      <c r="J7894" s="1">
        <v>45986.73233796296</v>
      </c>
    </row>
    <row r="7895" spans="1:10" x14ac:dyDescent="0.2">
      <c r="A7895" s="4" t="s">
        <v>1</v>
      </c>
      <c r="B7895" s="3" t="str">
        <f>HYPERLINK("https://otsuka-europe-crm.veevavault.com/ui/#object/approved_document__v/V5OZ06G6O6RFL1P", "ES Veeva Privacy Notice Email")</f>
        <v>ES Veeva Privacy Notice Email</v>
      </c>
      <c r="C7895" s="3" t="str">
        <f>HYPERLINK("https://otsuka-europe-crm.veevavault.com/ui/#object/sent_email__v/VBL00000000S160", "SE-001391953")</f>
        <v>SE-001391953</v>
      </c>
      <c r="D7895" s="1" t="s">
        <v>0</v>
      </c>
      <c r="E7895" s="2">
        <v>0</v>
      </c>
      <c r="F7895" s="2">
        <v>0</v>
      </c>
      <c r="G7895" s="2">
        <v>0</v>
      </c>
      <c r="H7895" s="1" t="s">
        <v>0</v>
      </c>
      <c r="I7895" s="2">
        <v>0</v>
      </c>
      <c r="J7895" s="1">
        <v>45987.819814814815</v>
      </c>
    </row>
    <row r="7896" spans="1:10" x14ac:dyDescent="0.2">
      <c r="A7896" s="4" t="s">
        <v>1</v>
      </c>
      <c r="B7896" s="3" t="str">
        <f>HYPERLINK("https://otsuka-europe-crm.veevavault.com/ui/#object/approved_document__v/V5OZ06G6O6RFL1P", "ES Veeva Privacy Notice Email")</f>
        <v>ES Veeva Privacy Notice Email</v>
      </c>
      <c r="C7896" s="3" t="str">
        <f>HYPERLINK("https://otsuka-europe-crm.veevavault.com/ui/#object/sent_email__v/VBL00000000S161", "SE-001391954")</f>
        <v>SE-001391954</v>
      </c>
      <c r="D7896" s="1" t="s">
        <v>0</v>
      </c>
      <c r="E7896" s="2">
        <v>0</v>
      </c>
      <c r="F7896" s="2">
        <v>0</v>
      </c>
      <c r="G7896" s="2">
        <v>0</v>
      </c>
      <c r="H7896" s="1" t="s">
        <v>0</v>
      </c>
      <c r="I7896" s="2">
        <v>0</v>
      </c>
      <c r="J7896" s="1">
        <v>45987.838437500002</v>
      </c>
    </row>
    <row r="7897" spans="1:10" x14ac:dyDescent="0.2">
      <c r="A7897" s="4" t="s">
        <v>1</v>
      </c>
      <c r="B7897" s="3" t="str">
        <f>HYPERLINK("https://otsuka-europe-crm.veevavault.com/ui/#object/approved_document__v/V5OZ06G6O6RFL1P", "ES Veeva Privacy Notice Email")</f>
        <v>ES Veeva Privacy Notice Email</v>
      </c>
      <c r="C7897" s="3" t="str">
        <f>HYPERLINK("https://otsuka-europe-crm.veevavault.com/ui/#object/sent_email__v/VBL00000000S162", "SE-001391955")</f>
        <v>SE-001391955</v>
      </c>
      <c r="D7897" s="1" t="s">
        <v>0</v>
      </c>
      <c r="E7897" s="2">
        <v>0</v>
      </c>
      <c r="F7897" s="2">
        <v>0</v>
      </c>
      <c r="G7897" s="2">
        <v>0</v>
      </c>
      <c r="H7897" s="1" t="s">
        <v>0</v>
      </c>
      <c r="I7897" s="2">
        <v>0</v>
      </c>
      <c r="J7897" s="1">
        <v>45987.879305555558</v>
      </c>
    </row>
    <row r="7898" spans="1:10" x14ac:dyDescent="0.2">
      <c r="A7898" s="4" t="s">
        <v>1</v>
      </c>
      <c r="B7898" s="3" t="str">
        <f>HYPERLINK("https://otsuka-europe-crm.veevavault.com/ui/#object/approved_document__v/V5OZ06G6O6RFL1P", "ES Veeva Privacy Notice Email")</f>
        <v>ES Veeva Privacy Notice Email</v>
      </c>
      <c r="C7898" s="3" t="str">
        <f>HYPERLINK("https://otsuka-europe-crm.veevavault.com/ui/#object/sent_email__v/VBL00000000S163", "SE-001391956")</f>
        <v>SE-001391956</v>
      </c>
      <c r="D7898" s="1">
        <v>46026.539212962962</v>
      </c>
      <c r="E7898" s="2">
        <v>1</v>
      </c>
      <c r="F7898" s="2">
        <v>6</v>
      </c>
      <c r="G7898" s="2">
        <v>0</v>
      </c>
      <c r="H7898" s="1" t="s">
        <v>0</v>
      </c>
      <c r="I7898" s="2">
        <v>0</v>
      </c>
      <c r="J7898" s="1">
        <v>45988.325520833336</v>
      </c>
    </row>
    <row r="7899" spans="1:10" x14ac:dyDescent="0.2">
      <c r="A7899" s="4" t="s">
        <v>1</v>
      </c>
      <c r="B7899" s="3" t="str">
        <f>HYPERLINK("https://otsuka-europe-crm.veevavault.com/ui/#object/approved_document__v/V5OZ06G6O6RFL1P", "ES Veeva Privacy Notice Email")</f>
        <v>ES Veeva Privacy Notice Email</v>
      </c>
      <c r="C7899" s="3" t="str">
        <f>HYPERLINK("https://otsuka-europe-crm.veevavault.com/ui/#object/sent_email__v/VBL00000000R355", "SE-001391987")</f>
        <v>SE-001391987</v>
      </c>
      <c r="D7899" s="1" t="s">
        <v>0</v>
      </c>
      <c r="E7899" s="2">
        <v>0</v>
      </c>
      <c r="F7899" s="2">
        <v>0</v>
      </c>
      <c r="G7899" s="2">
        <v>0</v>
      </c>
      <c r="H7899" s="1" t="s">
        <v>0</v>
      </c>
      <c r="I7899" s="2">
        <v>0</v>
      </c>
      <c r="J7899" s="1">
        <v>45988.420694444445</v>
      </c>
    </row>
    <row r="7900" spans="1:10" x14ac:dyDescent="0.2">
      <c r="A7900" s="4" t="s">
        <v>1</v>
      </c>
      <c r="B7900" s="3" t="str">
        <f>HYPERLINK("https://otsuka-europe-crm.veevavault.com/ui/#object/approved_document__v/V5OZ06G6O6RFL1P", "ES Veeva Privacy Notice Email")</f>
        <v>ES Veeva Privacy Notice Email</v>
      </c>
      <c r="C7900" s="3" t="str">
        <f>HYPERLINK("https://otsuka-europe-crm.veevavault.com/ui/#object/sent_email__v/VBL00000000R363", "SE-001392002")</f>
        <v>SE-001392002</v>
      </c>
      <c r="D7900" s="1" t="s">
        <v>0</v>
      </c>
      <c r="E7900" s="2">
        <v>0</v>
      </c>
      <c r="F7900" s="2">
        <v>0</v>
      </c>
      <c r="G7900" s="2">
        <v>0</v>
      </c>
      <c r="H7900" s="1" t="s">
        <v>0</v>
      </c>
      <c r="I7900" s="2">
        <v>0</v>
      </c>
      <c r="J7900" s="1">
        <v>45988.443414351852</v>
      </c>
    </row>
    <row r="7901" spans="1:10" x14ac:dyDescent="0.2">
      <c r="A7901" s="4" t="s">
        <v>1</v>
      </c>
      <c r="B7901" s="3" t="str">
        <f>HYPERLINK("https://otsuka-europe-crm.veevavault.com/ui/#object/approved_document__v/V5OZ06G6O6RFL1P", "ES Veeva Privacy Notice Email")</f>
        <v>ES Veeva Privacy Notice Email</v>
      </c>
      <c r="C7901" s="3" t="str">
        <f>HYPERLINK("https://otsuka-europe-crm.veevavault.com/ui/#object/sent_email__v/VBL00000000S207", "SE-001392025")</f>
        <v>SE-001392025</v>
      </c>
      <c r="D7901" s="1" t="s">
        <v>0</v>
      </c>
      <c r="E7901" s="2">
        <v>0</v>
      </c>
      <c r="F7901" s="2">
        <v>0</v>
      </c>
      <c r="G7901" s="2">
        <v>0</v>
      </c>
      <c r="H7901" s="1" t="s">
        <v>0</v>
      </c>
      <c r="I7901" s="2">
        <v>0</v>
      </c>
      <c r="J7901" s="1">
        <v>45988.707048611112</v>
      </c>
    </row>
    <row r="7902" spans="1:10" x14ac:dyDescent="0.2">
      <c r="A7902" s="4" t="s">
        <v>1</v>
      </c>
      <c r="B7902" s="3" t="str">
        <f>HYPERLINK("https://otsuka-europe-crm.veevavault.com/ui/#object/approved_document__v/V5OZ06G6O6RFL1P", "ES Veeva Privacy Notice Email")</f>
        <v>ES Veeva Privacy Notice Email</v>
      </c>
      <c r="C7902" s="3" t="str">
        <f>HYPERLINK("https://otsuka-europe-crm.veevavault.com/ui/#object/sent_email__v/VBL00000000S208", "SE-001392026")</f>
        <v>SE-001392026</v>
      </c>
      <c r="D7902" s="1" t="s">
        <v>0</v>
      </c>
      <c r="E7902" s="2">
        <v>0</v>
      </c>
      <c r="F7902" s="2">
        <v>0</v>
      </c>
      <c r="G7902" s="2">
        <v>0</v>
      </c>
      <c r="H7902" s="1" t="s">
        <v>0</v>
      </c>
      <c r="I7902" s="2">
        <v>0</v>
      </c>
      <c r="J7902" s="1">
        <v>45988.708368055559</v>
      </c>
    </row>
    <row r="7903" spans="1:10" x14ac:dyDescent="0.2">
      <c r="A7903" s="4" t="s">
        <v>1</v>
      </c>
      <c r="B7903" s="3" t="str">
        <f>HYPERLINK("https://otsuka-europe-crm.veevavault.com/ui/#object/approved_document__v/V5OZ06G6O6RFL1P", "ES Veeva Privacy Notice Email")</f>
        <v>ES Veeva Privacy Notice Email</v>
      </c>
      <c r="C7903" s="3" t="str">
        <f>HYPERLINK("https://otsuka-europe-crm.veevavault.com/ui/#object/sent_email__v/VBL00000000S209", "SE-001392028")</f>
        <v>SE-001392028</v>
      </c>
      <c r="D7903" s="1" t="s">
        <v>0</v>
      </c>
      <c r="E7903" s="2">
        <v>0</v>
      </c>
      <c r="F7903" s="2">
        <v>0</v>
      </c>
      <c r="G7903" s="2">
        <v>0</v>
      </c>
      <c r="H7903" s="1" t="s">
        <v>0</v>
      </c>
      <c r="I7903" s="2">
        <v>0</v>
      </c>
      <c r="J7903" s="1">
        <v>45988.713483796295</v>
      </c>
    </row>
    <row r="7904" spans="1:10" x14ac:dyDescent="0.2">
      <c r="A7904" s="4" t="s">
        <v>1</v>
      </c>
      <c r="B7904" s="3" t="str">
        <f>HYPERLINK("https://otsuka-europe-crm.veevavault.com/ui/#object/approved_document__v/V5OZ06G6O6RFL1P", "ES Veeva Privacy Notice Email")</f>
        <v>ES Veeva Privacy Notice Email</v>
      </c>
      <c r="C7904" s="3" t="str">
        <f>HYPERLINK("https://otsuka-europe-crm.veevavault.com/ui/#object/sent_email__v/VBL00000000R466", "SE-001392104")</f>
        <v>SE-001392104</v>
      </c>
      <c r="D7904" s="1" t="s">
        <v>0</v>
      </c>
      <c r="E7904" s="2">
        <v>0</v>
      </c>
      <c r="F7904" s="2">
        <v>0</v>
      </c>
      <c r="G7904" s="2">
        <v>0</v>
      </c>
      <c r="H7904" s="1" t="s">
        <v>0</v>
      </c>
      <c r="I7904" s="2">
        <v>0</v>
      </c>
      <c r="J7904" s="1">
        <v>45989.546539351853</v>
      </c>
    </row>
    <row r="7905" spans="1:10" x14ac:dyDescent="0.2">
      <c r="A7905" s="4" t="s">
        <v>1</v>
      </c>
      <c r="B7905" s="3" t="str">
        <f>HYPERLINK("https://otsuka-europe-crm.veevavault.com/ui/#object/approved_document__v/V5OZ06G6O6RFL1P", "ES Veeva Privacy Notice Email")</f>
        <v>ES Veeva Privacy Notice Email</v>
      </c>
      <c r="C7905" s="3" t="str">
        <f>HYPERLINK("https://otsuka-europe-crm.veevavault.com/ui/#object/sent_email__v/VBL00000000V045", "SE-001394777")</f>
        <v>SE-001394777</v>
      </c>
      <c r="D7905" s="1" t="s">
        <v>0</v>
      </c>
      <c r="E7905" s="2">
        <v>0</v>
      </c>
      <c r="F7905" s="2">
        <v>0</v>
      </c>
      <c r="G7905" s="2">
        <v>0</v>
      </c>
      <c r="H7905" s="1" t="s">
        <v>0</v>
      </c>
      <c r="I7905" s="2">
        <v>0</v>
      </c>
      <c r="J7905" s="1">
        <v>45993.702361111114</v>
      </c>
    </row>
    <row r="7906" spans="1:10" x14ac:dyDescent="0.2">
      <c r="A7906" s="4" t="s">
        <v>1</v>
      </c>
      <c r="B7906" s="3" t="str">
        <f>HYPERLINK("https://otsuka-europe-crm.veevavault.com/ui/#object/approved_document__v/V5OZ06G6O6RFL1P", "ES Veeva Privacy Notice Email")</f>
        <v>ES Veeva Privacy Notice Email</v>
      </c>
      <c r="C7906" s="3" t="str">
        <f>HYPERLINK("https://otsuka-europe-crm.veevavault.com/ui/#object/sent_email__v/VBL00000000V085", "SE-001394864")</f>
        <v>SE-001394864</v>
      </c>
      <c r="D7906" s="1">
        <v>46001.416851851849</v>
      </c>
      <c r="E7906" s="2">
        <v>1</v>
      </c>
      <c r="F7906" s="2">
        <v>9</v>
      </c>
      <c r="G7906" s="2">
        <v>1</v>
      </c>
      <c r="H7906" s="1">
        <v>45995.976261574076</v>
      </c>
      <c r="I7906" s="2">
        <v>1</v>
      </c>
      <c r="J7906" s="1">
        <v>45994.622870370367</v>
      </c>
    </row>
    <row r="7907" spans="1:10" x14ac:dyDescent="0.2">
      <c r="A7907" s="4" t="s">
        <v>1</v>
      </c>
      <c r="B7907" s="3" t="str">
        <f>HYPERLINK("https://otsuka-europe-crm.veevavault.com/ui/#object/approved_document__v/V5OZ06G6O6RFL1P", "ES Veeva Privacy Notice Email")</f>
        <v>ES Veeva Privacy Notice Email</v>
      </c>
      <c r="C7907" s="3" t="str">
        <f>HYPERLINK("https://otsuka-europe-crm.veevavault.com/ui/#object/sent_email__v/VBL00000000U475", "SE-001394967")</f>
        <v>SE-001394967</v>
      </c>
      <c r="D7907" s="1" t="s">
        <v>0</v>
      </c>
      <c r="E7907" s="2">
        <v>0</v>
      </c>
      <c r="F7907" s="2">
        <v>0</v>
      </c>
      <c r="G7907" s="2">
        <v>0</v>
      </c>
      <c r="H7907" s="1" t="s">
        <v>0</v>
      </c>
      <c r="I7907" s="2">
        <v>0</v>
      </c>
      <c r="J7907" s="1">
        <v>45994.677928240744</v>
      </c>
    </row>
    <row r="7908" spans="1:10" x14ac:dyDescent="0.2">
      <c r="A7908" s="4" t="s">
        <v>1</v>
      </c>
      <c r="B7908" s="3" t="str">
        <f>HYPERLINK("https://otsuka-europe-crm.veevavault.com/ui/#object/approved_document__v/V5OZ06G6O6RFL1P", "ES Veeva Privacy Notice Email")</f>
        <v>ES Veeva Privacy Notice Email</v>
      </c>
      <c r="C7908" s="3" t="str">
        <f>HYPERLINK("https://otsuka-europe-crm.veevavault.com/ui/#object/sent_email__v/VBL00000000W010", "SE-001395587")</f>
        <v>SE-001395587</v>
      </c>
      <c r="D7908" s="1">
        <v>46002.943923611114</v>
      </c>
      <c r="E7908" s="2">
        <v>1</v>
      </c>
      <c r="F7908" s="2">
        <v>4</v>
      </c>
      <c r="G7908" s="2">
        <v>1</v>
      </c>
      <c r="H7908" s="1">
        <v>45996.398356481484</v>
      </c>
      <c r="I7908" s="2">
        <v>5</v>
      </c>
      <c r="J7908" s="1">
        <v>45996.397928240738</v>
      </c>
    </row>
    <row r="7909" spans="1:10" x14ac:dyDescent="0.2">
      <c r="A7909" s="4" t="s">
        <v>1</v>
      </c>
      <c r="B7909" s="3" t="str">
        <f>HYPERLINK("https://otsuka-europe-crm.veevavault.com/ui/#object/approved_document__v/V5OZ06G6O6RFL1P", "ES Veeva Privacy Notice Email")</f>
        <v>ES Veeva Privacy Notice Email</v>
      </c>
      <c r="C7909" s="3" t="str">
        <f>HYPERLINK("https://otsuka-europe-crm.veevavault.com/ui/#object/sent_email__v/VBL00000000X108", "SE-001395599")</f>
        <v>SE-001395599</v>
      </c>
      <c r="D7909" s="1" t="s">
        <v>0</v>
      </c>
      <c r="E7909" s="2">
        <v>0</v>
      </c>
      <c r="F7909" s="2">
        <v>0</v>
      </c>
      <c r="G7909" s="2">
        <v>0</v>
      </c>
      <c r="H7909" s="1" t="s">
        <v>0</v>
      </c>
      <c r="I7909" s="2">
        <v>0</v>
      </c>
      <c r="J7909" s="1">
        <v>45996.435416666667</v>
      </c>
    </row>
    <row r="7910" spans="1:10" x14ac:dyDescent="0.2">
      <c r="A7910" s="4" t="s">
        <v>1</v>
      </c>
      <c r="B7910" s="3" t="str">
        <f>HYPERLINK("https://otsuka-europe-crm.veevavault.com/ui/#object/approved_document__v/V5OZ06G6O6RFL1P", "ES Veeva Privacy Notice Email")</f>
        <v>ES Veeva Privacy Notice Email</v>
      </c>
      <c r="C7910" s="3" t="str">
        <f>HYPERLINK("https://otsuka-europe-crm.veevavault.com/ui/#object/sent_email__v/VBL00000000X261", "SE-001395920")</f>
        <v>SE-001395920</v>
      </c>
      <c r="D7910" s="1" t="s">
        <v>0</v>
      </c>
      <c r="E7910" s="2">
        <v>0</v>
      </c>
      <c r="F7910" s="2">
        <v>0</v>
      </c>
      <c r="G7910" s="2">
        <v>0</v>
      </c>
      <c r="H7910" s="1" t="s">
        <v>0</v>
      </c>
      <c r="I7910" s="2">
        <v>0</v>
      </c>
      <c r="J7910" s="1">
        <v>46000.382118055553</v>
      </c>
    </row>
    <row r="7911" spans="1:10" x14ac:dyDescent="0.2">
      <c r="A7911" s="4" t="s">
        <v>1</v>
      </c>
      <c r="B7911" s="3" t="str">
        <f>HYPERLINK("https://otsuka-europe-crm.veevavault.com/ui/#object/approved_document__v/V5OZ06G6O6RFL1P", "ES Veeva Privacy Notice Email")</f>
        <v>ES Veeva Privacy Notice Email</v>
      </c>
      <c r="C7911" s="3" t="str">
        <f>HYPERLINK("https://otsuka-europe-crm.veevavault.com/ui/#object/sent_email__v/VBL00000000X263", "SE-001395922")</f>
        <v>SE-001395922</v>
      </c>
      <c r="D7911" s="1">
        <v>46000.410821759258</v>
      </c>
      <c r="E7911" s="2">
        <v>1</v>
      </c>
      <c r="F7911" s="2">
        <v>1</v>
      </c>
      <c r="G7911" s="2">
        <v>0</v>
      </c>
      <c r="H7911" s="1" t="s">
        <v>0</v>
      </c>
      <c r="I7911" s="2">
        <v>0</v>
      </c>
      <c r="J7911" s="1">
        <v>46000.392407407409</v>
      </c>
    </row>
    <row r="7912" spans="1:10" x14ac:dyDescent="0.2">
      <c r="A7912" s="4" t="s">
        <v>1</v>
      </c>
      <c r="B7912" s="3" t="str">
        <f>HYPERLINK("https://otsuka-europe-crm.veevavault.com/ui/#object/approved_document__v/V5OZ06G6O6RFL1P", "ES Veeva Privacy Notice Email")</f>
        <v>ES Veeva Privacy Notice Email</v>
      </c>
      <c r="C7912" s="3" t="str">
        <f>HYPERLINK("https://otsuka-europe-crm.veevavault.com/ui/#object/sent_email__v/VBL00000000W194", "SE-001395923")</f>
        <v>SE-001395923</v>
      </c>
      <c r="D7912" s="1" t="s">
        <v>0</v>
      </c>
      <c r="E7912" s="2">
        <v>0</v>
      </c>
      <c r="F7912" s="2">
        <v>0</v>
      </c>
      <c r="G7912" s="2">
        <v>0</v>
      </c>
      <c r="H7912" s="1" t="s">
        <v>0</v>
      </c>
      <c r="I7912" s="2">
        <v>0</v>
      </c>
      <c r="J7912" s="1">
        <v>46000.395509259259</v>
      </c>
    </row>
    <row r="7913" spans="1:10" x14ac:dyDescent="0.2">
      <c r="A7913" s="4" t="s">
        <v>1</v>
      </c>
      <c r="B7913" s="3" t="str">
        <f>HYPERLINK("https://otsuka-europe-crm.veevavault.com/ui/#object/approved_document__v/V5OZ06G6O6RFL1P", "ES Veeva Privacy Notice Email")</f>
        <v>ES Veeva Privacy Notice Email</v>
      </c>
      <c r="C7913" s="3" t="str">
        <f>HYPERLINK("https://otsuka-europe-crm.veevavault.com/ui/#object/sent_email__v/VBL00000000X265", "SE-001395925")</f>
        <v>SE-001395925</v>
      </c>
      <c r="D7913" s="1" t="s">
        <v>0</v>
      </c>
      <c r="E7913" s="2">
        <v>0</v>
      </c>
      <c r="F7913" s="2">
        <v>0</v>
      </c>
      <c r="G7913" s="2">
        <v>0</v>
      </c>
      <c r="H7913" s="1" t="s">
        <v>0</v>
      </c>
      <c r="I7913" s="2">
        <v>0</v>
      </c>
      <c r="J7913" s="1">
        <v>46000.397488425922</v>
      </c>
    </row>
    <row r="7914" spans="1:10" x14ac:dyDescent="0.2">
      <c r="A7914" s="4" t="s">
        <v>1</v>
      </c>
      <c r="B7914" s="3" t="str">
        <f>HYPERLINK("https://otsuka-europe-crm.veevavault.com/ui/#object/approved_document__v/V5OZ06G6O6RFL1P", "ES Veeva Privacy Notice Email")</f>
        <v>ES Veeva Privacy Notice Email</v>
      </c>
      <c r="C7914" s="3" t="str">
        <f>HYPERLINK("https://otsuka-europe-crm.veevavault.com/ui/#object/sent_email__v/VBL00000000X266", "SE-001395926")</f>
        <v>SE-001395926</v>
      </c>
      <c r="D7914" s="1">
        <v>46000.413657407407</v>
      </c>
      <c r="E7914" s="2">
        <v>1</v>
      </c>
      <c r="F7914" s="2">
        <v>1</v>
      </c>
      <c r="G7914" s="2">
        <v>0</v>
      </c>
      <c r="H7914" s="1" t="s">
        <v>0</v>
      </c>
      <c r="I7914" s="2">
        <v>0</v>
      </c>
      <c r="J7914" s="1">
        <v>46000.399618055555</v>
      </c>
    </row>
    <row r="7915" spans="1:10" x14ac:dyDescent="0.2">
      <c r="A7915" s="4" t="s">
        <v>1</v>
      </c>
      <c r="B7915" s="3" t="str">
        <f>HYPERLINK("https://otsuka-europe-crm.veevavault.com/ui/#object/approved_document__v/V5OZ06G6O6RFL1P", "ES Veeva Privacy Notice Email")</f>
        <v>ES Veeva Privacy Notice Email</v>
      </c>
      <c r="C7915" s="3" t="str">
        <f>HYPERLINK("https://otsuka-europe-crm.veevavault.com/ui/#object/sent_email__v/VBL00000000X267", "SE-001395927")</f>
        <v>SE-001395927</v>
      </c>
      <c r="D7915" s="1" t="s">
        <v>0</v>
      </c>
      <c r="E7915" s="2">
        <v>0</v>
      </c>
      <c r="F7915" s="2">
        <v>0</v>
      </c>
      <c r="G7915" s="2">
        <v>0</v>
      </c>
      <c r="H7915" s="1" t="s">
        <v>0</v>
      </c>
      <c r="I7915" s="2">
        <v>0</v>
      </c>
      <c r="J7915" s="1">
        <v>46000.403564814813</v>
      </c>
    </row>
    <row r="7916" spans="1:10" x14ac:dyDescent="0.2">
      <c r="A7916" s="4" t="s">
        <v>1</v>
      </c>
      <c r="B7916" s="3" t="str">
        <f>HYPERLINK("https://otsuka-europe-crm.veevavault.com/ui/#object/approved_document__v/V5OZ06G6O6RFL1P", "ES Veeva Privacy Notice Email")</f>
        <v>ES Veeva Privacy Notice Email</v>
      </c>
      <c r="C7916" s="3" t="str">
        <f>HYPERLINK("https://otsuka-europe-crm.veevavault.com/ui/#object/sent_email__v/VBL00000000X268", "SE-001395928")</f>
        <v>SE-001395928</v>
      </c>
      <c r="D7916" s="1">
        <v>46000.611145833333</v>
      </c>
      <c r="E7916" s="2">
        <v>1</v>
      </c>
      <c r="F7916" s="2">
        <v>1</v>
      </c>
      <c r="G7916" s="2">
        <v>0</v>
      </c>
      <c r="H7916" s="1" t="s">
        <v>0</v>
      </c>
      <c r="I7916" s="2">
        <v>0</v>
      </c>
      <c r="J7916" s="1">
        <v>46000.405266203707</v>
      </c>
    </row>
    <row r="7917" spans="1:10" x14ac:dyDescent="0.2">
      <c r="A7917" s="4" t="s">
        <v>1</v>
      </c>
      <c r="B7917" s="3" t="str">
        <f>HYPERLINK("https://otsuka-europe-crm.veevavault.com/ui/#object/approved_document__v/V5OZ06G6O6RFL1P", "ES Veeva Privacy Notice Email")</f>
        <v>ES Veeva Privacy Notice Email</v>
      </c>
      <c r="C7917" s="3" t="str">
        <f>HYPERLINK("https://otsuka-europe-crm.veevavault.com/ui/#object/sent_email__v/VBL00000000W195", "SE-001395930")</f>
        <v>SE-001395930</v>
      </c>
      <c r="D7917" s="1" t="s">
        <v>0</v>
      </c>
      <c r="E7917" s="2">
        <v>0</v>
      </c>
      <c r="F7917" s="2">
        <v>0</v>
      </c>
      <c r="G7917" s="2">
        <v>0</v>
      </c>
      <c r="H7917" s="1" t="s">
        <v>0</v>
      </c>
      <c r="I7917" s="2">
        <v>0</v>
      </c>
      <c r="J7917" s="1">
        <v>46000.40892361111</v>
      </c>
    </row>
    <row r="7918" spans="1:10" x14ac:dyDescent="0.2">
      <c r="A7918" s="4" t="s">
        <v>1</v>
      </c>
      <c r="B7918" s="3" t="str">
        <f>HYPERLINK("https://otsuka-europe-crm.veevavault.com/ui/#object/approved_document__v/V5OZ06G6O6RFL1P", "ES Veeva Privacy Notice Email")</f>
        <v>ES Veeva Privacy Notice Email</v>
      </c>
      <c r="C7918" s="3" t="str">
        <f>HYPERLINK("https://otsuka-europe-crm.veevavault.com/ui/#object/sent_email__v/VBL00000000W196", "SE-001395932")</f>
        <v>SE-001395932</v>
      </c>
      <c r="D7918" s="1" t="s">
        <v>0</v>
      </c>
      <c r="E7918" s="2">
        <v>0</v>
      </c>
      <c r="F7918" s="2">
        <v>0</v>
      </c>
      <c r="G7918" s="2">
        <v>0</v>
      </c>
      <c r="H7918" s="1" t="s">
        <v>0</v>
      </c>
      <c r="I7918" s="2">
        <v>0</v>
      </c>
      <c r="J7918" s="1">
        <v>46000.411354166667</v>
      </c>
    </row>
    <row r="7919" spans="1:10" x14ac:dyDescent="0.2">
      <c r="A7919" s="4" t="s">
        <v>1</v>
      </c>
      <c r="B7919" s="3" t="str">
        <f>HYPERLINK("https://otsuka-europe-crm.veevavault.com/ui/#object/approved_document__v/V5OZ06G6O6RFL1P", "ES Veeva Privacy Notice Email")</f>
        <v>ES Veeva Privacy Notice Email</v>
      </c>
      <c r="C7919" s="3" t="str">
        <f>HYPERLINK("https://otsuka-europe-crm.veevavault.com/ui/#object/sent_email__v/VBL00000000X283", "SE-001395958")</f>
        <v>SE-001395958</v>
      </c>
      <c r="D7919" s="1">
        <v>46024.030023148145</v>
      </c>
      <c r="E7919" s="2">
        <v>1</v>
      </c>
      <c r="F7919" s="2">
        <v>13</v>
      </c>
      <c r="G7919" s="2">
        <v>0</v>
      </c>
      <c r="H7919" s="1" t="s">
        <v>0</v>
      </c>
      <c r="I7919" s="2">
        <v>0</v>
      </c>
      <c r="J7919" s="1">
        <v>46000.500694444447</v>
      </c>
    </row>
    <row r="7920" spans="1:10" x14ac:dyDescent="0.2">
      <c r="A7920" s="4" t="s">
        <v>1</v>
      </c>
      <c r="B7920" s="3" t="str">
        <f>HYPERLINK("https://otsuka-europe-crm.veevavault.com/ui/#object/approved_document__v/V5OZ06G6O6RFL1P", "ES Veeva Privacy Notice Email")</f>
        <v>ES Veeva Privacy Notice Email</v>
      </c>
      <c r="C7920" s="3" t="str">
        <f>HYPERLINK("https://otsuka-europe-crm.veevavault.com/ui/#object/sent_email__v/VBL00000000W210", "SE-001395961")</f>
        <v>SE-001395961</v>
      </c>
      <c r="D7920" s="1" t="s">
        <v>0</v>
      </c>
      <c r="E7920" s="2">
        <v>0</v>
      </c>
      <c r="F7920" s="2">
        <v>0</v>
      </c>
      <c r="G7920" s="2">
        <v>0</v>
      </c>
      <c r="H7920" s="1" t="s">
        <v>0</v>
      </c>
      <c r="I7920" s="2">
        <v>0</v>
      </c>
      <c r="J7920" s="1">
        <v>46000.501527777778</v>
      </c>
    </row>
    <row r="7921" spans="1:10" x14ac:dyDescent="0.2">
      <c r="A7921" s="4" t="s">
        <v>1</v>
      </c>
      <c r="B7921" s="3" t="str">
        <f>HYPERLINK("https://otsuka-europe-crm.veevavault.com/ui/#object/approved_document__v/V5OZ06G6O6RFL1P", "ES Veeva Privacy Notice Email")</f>
        <v>ES Veeva Privacy Notice Email</v>
      </c>
      <c r="C7921" s="3" t="str">
        <f>HYPERLINK("https://otsuka-europe-crm.veevavault.com/ui/#object/sent_email__v/VBL00000000X347", "SE-001396109")</f>
        <v>SE-001396109</v>
      </c>
      <c r="D7921" s="1" t="s">
        <v>0</v>
      </c>
      <c r="E7921" s="2">
        <v>0</v>
      </c>
      <c r="F7921" s="2">
        <v>0</v>
      </c>
      <c r="G7921" s="2">
        <v>0</v>
      </c>
      <c r="H7921" s="1" t="s">
        <v>0</v>
      </c>
      <c r="I7921" s="2">
        <v>0</v>
      </c>
      <c r="J7921" s="1">
        <v>46001.382800925923</v>
      </c>
    </row>
    <row r="7922" spans="1:10" x14ac:dyDescent="0.2">
      <c r="A7922" s="4" t="s">
        <v>1</v>
      </c>
      <c r="B7922" s="3" t="str">
        <f>HYPERLINK("https://otsuka-europe-crm.veevavault.com/ui/#object/approved_document__v/V5OZ06G6O6RFL1P", "ES Veeva Privacy Notice Email")</f>
        <v>ES Veeva Privacy Notice Email</v>
      </c>
      <c r="C7922" s="3" t="str">
        <f>HYPERLINK("https://otsuka-europe-crm.veevavault.com/ui/#object/sent_email__v/VBL00000000X364", "SE-001396155")</f>
        <v>SE-001396155</v>
      </c>
      <c r="D7922" s="1">
        <v>46001.72415509259</v>
      </c>
      <c r="E7922" s="2">
        <v>1</v>
      </c>
      <c r="F7922" s="2">
        <v>1</v>
      </c>
      <c r="G7922" s="2">
        <v>0</v>
      </c>
      <c r="H7922" s="1" t="s">
        <v>0</v>
      </c>
      <c r="I7922" s="2">
        <v>0</v>
      </c>
      <c r="J7922" s="1">
        <v>46001.694594907407</v>
      </c>
    </row>
    <row r="7923" spans="1:10" x14ac:dyDescent="0.2">
      <c r="A7923" s="4" t="s">
        <v>1</v>
      </c>
      <c r="B7923" s="3" t="str">
        <f>HYPERLINK("https://otsuka-europe-crm.veevavault.com/ui/#object/approved_document__v/V5OZ06G6O6RFL1P", "ES Veeva Privacy Notice Email")</f>
        <v>ES Veeva Privacy Notice Email</v>
      </c>
      <c r="C7923" s="3" t="str">
        <f>HYPERLINK("https://otsuka-europe-crm.veevavault.com/ui/#object/sent_email__v/VBL00000000X377", "SE-001396180")</f>
        <v>SE-001396180</v>
      </c>
      <c r="D7923" s="1">
        <v>46002.700821759259</v>
      </c>
      <c r="E7923" s="2">
        <v>1</v>
      </c>
      <c r="F7923" s="2">
        <v>2</v>
      </c>
      <c r="G7923" s="2">
        <v>0</v>
      </c>
      <c r="H7923" s="1" t="s">
        <v>0</v>
      </c>
      <c r="I7923" s="2">
        <v>0</v>
      </c>
      <c r="J7923" s="1">
        <v>46002.413252314815</v>
      </c>
    </row>
    <row r="7924" spans="1:10" x14ac:dyDescent="0.2">
      <c r="A7924" s="4" t="s">
        <v>1</v>
      </c>
      <c r="B7924" s="3" t="str">
        <f>HYPERLINK("https://otsuka-europe-crm.veevavault.com/ui/#object/approved_document__v/V5OZ06G6O6RFL1P", "ES Veeva Privacy Notice Email")</f>
        <v>ES Veeva Privacy Notice Email</v>
      </c>
      <c r="C7924" s="3" t="str">
        <f>HYPERLINK("https://otsuka-europe-crm.veevavault.com/ui/#object/sent_email__v/VBL00000000W348", "SE-001396189")</f>
        <v>SE-001396189</v>
      </c>
      <c r="D7924" s="1">
        <v>46002.522314814814</v>
      </c>
      <c r="E7924" s="2">
        <v>1</v>
      </c>
      <c r="F7924" s="2">
        <v>2</v>
      </c>
      <c r="G7924" s="2">
        <v>0</v>
      </c>
      <c r="H7924" s="1" t="s">
        <v>0</v>
      </c>
      <c r="I7924" s="2">
        <v>0</v>
      </c>
      <c r="J7924" s="1">
        <v>46002.491203703707</v>
      </c>
    </row>
    <row r="7925" spans="1:10" x14ac:dyDescent="0.2">
      <c r="A7925" s="4" t="s">
        <v>1</v>
      </c>
      <c r="B7925" s="3" t="str">
        <f>HYPERLINK("https://otsuka-europe-crm.veevavault.com/ui/#object/approved_document__v/V5OZ06G6O6RFL1P", "ES Veeva Privacy Notice Email")</f>
        <v>ES Veeva Privacy Notice Email</v>
      </c>
      <c r="C7925" s="3" t="str">
        <f>HYPERLINK("https://otsuka-europe-crm.veevavault.com/ui/#object/sent_email__v/VBL00000000W349", "SE-001396190")</f>
        <v>SE-001396190</v>
      </c>
      <c r="D7925" s="1">
        <v>46002.493796296294</v>
      </c>
      <c r="E7925" s="2">
        <v>1</v>
      </c>
      <c r="F7925" s="2">
        <v>1</v>
      </c>
      <c r="G7925" s="2">
        <v>0</v>
      </c>
      <c r="H7925" s="1" t="s">
        <v>0</v>
      </c>
      <c r="I7925" s="2">
        <v>0</v>
      </c>
      <c r="J7925" s="1">
        <v>46002.493703703702</v>
      </c>
    </row>
    <row r="7926" spans="1:10" x14ac:dyDescent="0.2">
      <c r="A7926" s="4" t="s">
        <v>1</v>
      </c>
      <c r="B7926" s="3" t="str">
        <f>HYPERLINK("https://otsuka-europe-crm.veevavault.com/ui/#object/approved_document__v/V5OZ06G6O6RFL1P", "ES Veeva Privacy Notice Email")</f>
        <v>ES Veeva Privacy Notice Email</v>
      </c>
      <c r="C7926" s="3" t="str">
        <f>HYPERLINK("https://otsuka-europe-crm.veevavault.com/ui/#object/sent_email__v/VBL00000000X380", "SE-001396192")</f>
        <v>SE-001396192</v>
      </c>
      <c r="D7926" s="1">
        <v>46002.663206018522</v>
      </c>
      <c r="E7926" s="2">
        <v>1</v>
      </c>
      <c r="F7926" s="2">
        <v>2</v>
      </c>
      <c r="G7926" s="2">
        <v>0</v>
      </c>
      <c r="H7926" s="1" t="s">
        <v>0</v>
      </c>
      <c r="I7926" s="2">
        <v>0</v>
      </c>
      <c r="J7926" s="1">
        <v>46002.552372685182</v>
      </c>
    </row>
    <row r="7927" spans="1:10" x14ac:dyDescent="0.2">
      <c r="A7927" s="4" t="s">
        <v>1</v>
      </c>
      <c r="B7927" s="3" t="str">
        <f>HYPERLINK("https://otsuka-europe-crm.veevavault.com/ui/#object/approved_document__v/V5OZ06G6O6RFL1P", "ES Veeva Privacy Notice Email")</f>
        <v>ES Veeva Privacy Notice Email</v>
      </c>
      <c r="C7927" s="3" t="str">
        <f>HYPERLINK("https://otsuka-europe-crm.veevavault.com/ui/#object/sent_email__v/VBL00000000Y030", "SE-001396572")</f>
        <v>SE-001396572</v>
      </c>
      <c r="D7927" s="1" t="s">
        <v>0</v>
      </c>
      <c r="E7927" s="2">
        <v>0</v>
      </c>
      <c r="F7927" s="2">
        <v>0</v>
      </c>
      <c r="G7927" s="2">
        <v>0</v>
      </c>
      <c r="H7927" s="1" t="s">
        <v>0</v>
      </c>
      <c r="I7927" s="2">
        <v>0</v>
      </c>
      <c r="J7927" s="1">
        <v>46003.397916666669</v>
      </c>
    </row>
    <row r="7928" spans="1:10" x14ac:dyDescent="0.2">
      <c r="A7928" s="4" t="s">
        <v>1</v>
      </c>
      <c r="B7928" s="3" t="str">
        <f>HYPERLINK("https://otsuka-europe-crm.veevavault.com/ui/#object/approved_document__v/V5OZ06G6O6RFL1P", "ES Veeva Privacy Notice Email")</f>
        <v>ES Veeva Privacy Notice Email</v>
      </c>
      <c r="C7928" s="3" t="str">
        <f>HYPERLINK("https://otsuka-europe-crm.veevavault.com/ui/#object/sent_email__v/VBL00000000Y034", "SE-001396585")</f>
        <v>SE-001396585</v>
      </c>
      <c r="D7928" s="1" t="s">
        <v>0</v>
      </c>
      <c r="E7928" s="2">
        <v>0</v>
      </c>
      <c r="F7928" s="2">
        <v>0</v>
      </c>
      <c r="G7928" s="2">
        <v>0</v>
      </c>
      <c r="H7928" s="1" t="s">
        <v>0</v>
      </c>
      <c r="I7928" s="2">
        <v>0</v>
      </c>
      <c r="J7928" s="1">
        <v>46003.534085648149</v>
      </c>
    </row>
    <row r="7929" spans="1:10" x14ac:dyDescent="0.2">
      <c r="A7929" s="4" t="s">
        <v>1</v>
      </c>
      <c r="B7929" s="3" t="str">
        <f>HYPERLINK("https://otsuka-europe-crm.veevavault.com/ui/#object/approved_document__v/V5OZ06G6O6RFL1P", "ES Veeva Privacy Notice Email")</f>
        <v>ES Veeva Privacy Notice Email</v>
      </c>
      <c r="C7929" s="3" t="str">
        <f>HYPERLINK("https://otsuka-europe-crm.veevavault.com/ui/#object/sent_email__v/VBL00000000Y037", "SE-001396588")</f>
        <v>SE-001396588</v>
      </c>
      <c r="D7929" s="1" t="s">
        <v>0</v>
      </c>
      <c r="E7929" s="2">
        <v>0</v>
      </c>
      <c r="F7929" s="2">
        <v>0</v>
      </c>
      <c r="G7929" s="2">
        <v>0</v>
      </c>
      <c r="H7929" s="1" t="s">
        <v>0</v>
      </c>
      <c r="I7929" s="2">
        <v>0</v>
      </c>
      <c r="J7929" s="1">
        <v>46003.594259259262</v>
      </c>
    </row>
    <row r="7930" spans="1:10" x14ac:dyDescent="0.2">
      <c r="A7930" s="4" t="s">
        <v>1</v>
      </c>
      <c r="B7930" s="3" t="str">
        <f>HYPERLINK("https://otsuka-europe-crm.veevavault.com/ui/#object/approved_document__v/V5OZ06G6O6RFL1P", "ES Veeva Privacy Notice Email")</f>
        <v>ES Veeva Privacy Notice Email</v>
      </c>
      <c r="C7930" s="3" t="str">
        <f>HYPERLINK("https://otsuka-europe-crm.veevavault.com/ui/#object/sent_email__v/VBL000000011011", "SE-001396621")</f>
        <v>SE-001396621</v>
      </c>
      <c r="D7930" s="1" t="s">
        <v>0</v>
      </c>
      <c r="E7930" s="2">
        <v>0</v>
      </c>
      <c r="F7930" s="2">
        <v>0</v>
      </c>
      <c r="G7930" s="2">
        <v>0</v>
      </c>
      <c r="H7930" s="1" t="s">
        <v>0</v>
      </c>
      <c r="I7930" s="2">
        <v>0</v>
      </c>
      <c r="J7930" s="1">
        <v>46006.300219907411</v>
      </c>
    </row>
    <row r="7931" spans="1:10" x14ac:dyDescent="0.2">
      <c r="A7931" s="4" t="s">
        <v>1</v>
      </c>
      <c r="B7931" s="3" t="str">
        <f>HYPERLINK("https://otsuka-europe-crm.veevavault.com/ui/#object/approved_document__v/V5OZ06G6O6RFL1P", "ES Veeva Privacy Notice Email")</f>
        <v>ES Veeva Privacy Notice Email</v>
      </c>
      <c r="C7931" s="3" t="str">
        <f>HYPERLINK("https://otsuka-europe-crm.veevavault.com/ui/#object/sent_email__v/VBL000000011012", "SE-001396624")</f>
        <v>SE-001396624</v>
      </c>
      <c r="D7931" s="1" t="s">
        <v>0</v>
      </c>
      <c r="E7931" s="2">
        <v>0</v>
      </c>
      <c r="F7931" s="2">
        <v>0</v>
      </c>
      <c r="G7931" s="2">
        <v>0</v>
      </c>
      <c r="H7931" s="1" t="s">
        <v>0</v>
      </c>
      <c r="I7931" s="2">
        <v>0</v>
      </c>
      <c r="J7931" s="1">
        <v>46006.301539351851</v>
      </c>
    </row>
    <row r="7932" spans="1:10" x14ac:dyDescent="0.2">
      <c r="A7932" s="4" t="s">
        <v>1</v>
      </c>
      <c r="B7932" s="3" t="str">
        <f>HYPERLINK("https://otsuka-europe-crm.veevavault.com/ui/#object/approved_document__v/V5OZ06G6O6RFL1P", "ES Veeva Privacy Notice Email")</f>
        <v>ES Veeva Privacy Notice Email</v>
      </c>
      <c r="C7932" s="3" t="str">
        <f>HYPERLINK("https://otsuka-europe-crm.veevavault.com/ui/#object/sent_email__v/VBL000000011015", "SE-001396627")</f>
        <v>SE-001396627</v>
      </c>
      <c r="D7932" s="1" t="s">
        <v>0</v>
      </c>
      <c r="E7932" s="2">
        <v>0</v>
      </c>
      <c r="F7932" s="2">
        <v>0</v>
      </c>
      <c r="G7932" s="2">
        <v>0</v>
      </c>
      <c r="H7932" s="1" t="s">
        <v>0</v>
      </c>
      <c r="I7932" s="2">
        <v>0</v>
      </c>
      <c r="J7932" s="1">
        <v>46006.303136574075</v>
      </c>
    </row>
    <row r="7933" spans="1:10" x14ac:dyDescent="0.2">
      <c r="A7933" s="4" t="s">
        <v>1</v>
      </c>
      <c r="B7933" s="3" t="str">
        <f>HYPERLINK("https://otsuka-europe-crm.veevavault.com/ui/#object/approved_document__v/V5OZ06G6O6RFL1P", "ES Veeva Privacy Notice Email")</f>
        <v>ES Veeva Privacy Notice Email</v>
      </c>
      <c r="C7933" s="3" t="str">
        <f>HYPERLINK("https://otsuka-europe-crm.veevavault.com/ui/#object/sent_email__v/VBL000000011018", "SE-001396635")</f>
        <v>SE-001396635</v>
      </c>
      <c r="D7933" s="1" t="s">
        <v>0</v>
      </c>
      <c r="E7933" s="2">
        <v>0</v>
      </c>
      <c r="F7933" s="2">
        <v>0</v>
      </c>
      <c r="G7933" s="2">
        <v>0</v>
      </c>
      <c r="H7933" s="1" t="s">
        <v>0</v>
      </c>
      <c r="I7933" s="2">
        <v>0</v>
      </c>
      <c r="J7933" s="1">
        <v>46006.374189814815</v>
      </c>
    </row>
    <row r="7934" spans="1:10" x14ac:dyDescent="0.2">
      <c r="A7934" s="4" t="s">
        <v>1</v>
      </c>
      <c r="B7934" s="3" t="str">
        <f>HYPERLINK("https://otsuka-europe-crm.veevavault.com/ui/#object/approved_document__v/V5OZ06G6O6RFL1P", "ES Veeva Privacy Notice Email")</f>
        <v>ES Veeva Privacy Notice Email</v>
      </c>
      <c r="C7934" s="3" t="str">
        <f>HYPERLINK("https://otsuka-europe-crm.veevavault.com/ui/#object/sent_email__v/VBL000000011019", "SE-001396636")</f>
        <v>SE-001396636</v>
      </c>
      <c r="D7934" s="1" t="s">
        <v>0</v>
      </c>
      <c r="E7934" s="2">
        <v>0</v>
      </c>
      <c r="F7934" s="2">
        <v>0</v>
      </c>
      <c r="G7934" s="2">
        <v>0</v>
      </c>
      <c r="H7934" s="1" t="s">
        <v>0</v>
      </c>
      <c r="I7934" s="2">
        <v>0</v>
      </c>
      <c r="J7934" s="1">
        <v>46006.383449074077</v>
      </c>
    </row>
    <row r="7935" spans="1:10" x14ac:dyDescent="0.2">
      <c r="A7935" s="4" t="s">
        <v>1</v>
      </c>
      <c r="B7935" s="3" t="str">
        <f>HYPERLINK("https://otsuka-europe-crm.veevavault.com/ui/#object/approved_document__v/V5OZ06G6O6RFL1P", "ES Veeva Privacy Notice Email")</f>
        <v>ES Veeva Privacy Notice Email</v>
      </c>
      <c r="C7935" s="3" t="str">
        <f>HYPERLINK("https://otsuka-europe-crm.veevavault.com/ui/#object/sent_email__v/VBL000000011020", "SE-001396637")</f>
        <v>SE-001396637</v>
      </c>
      <c r="D7935" s="1" t="s">
        <v>0</v>
      </c>
      <c r="E7935" s="2">
        <v>0</v>
      </c>
      <c r="F7935" s="2">
        <v>0</v>
      </c>
      <c r="G7935" s="2">
        <v>0</v>
      </c>
      <c r="H7935" s="1" t="s">
        <v>0</v>
      </c>
      <c r="I7935" s="2">
        <v>0</v>
      </c>
      <c r="J7935" s="1">
        <v>46006.383738425924</v>
      </c>
    </row>
    <row r="7936" spans="1:10" x14ac:dyDescent="0.2">
      <c r="A7936" s="4" t="s">
        <v>1</v>
      </c>
      <c r="B7936" s="3" t="str">
        <f>HYPERLINK("https://otsuka-europe-crm.veevavault.com/ui/#object/approved_document__v/V5OZ06G6O6RFL1P", "ES Veeva Privacy Notice Email")</f>
        <v>ES Veeva Privacy Notice Email</v>
      </c>
      <c r="C7936" s="3" t="str">
        <f>HYPERLINK("https://otsuka-europe-crm.veevavault.com/ui/#object/sent_email__v/VBL000000010022", "SE-001396638")</f>
        <v>SE-001396638</v>
      </c>
      <c r="D7936" s="1" t="s">
        <v>0</v>
      </c>
      <c r="E7936" s="2">
        <v>0</v>
      </c>
      <c r="F7936" s="2">
        <v>0</v>
      </c>
      <c r="G7936" s="2">
        <v>0</v>
      </c>
      <c r="H7936" s="1" t="s">
        <v>0</v>
      </c>
      <c r="I7936" s="2">
        <v>0</v>
      </c>
      <c r="J7936" s="1">
        <v>46006.386689814812</v>
      </c>
    </row>
    <row r="7937" spans="1:10" x14ac:dyDescent="0.2">
      <c r="A7937" s="4" t="s">
        <v>1</v>
      </c>
      <c r="B7937" s="3" t="str">
        <f>HYPERLINK("https://otsuka-europe-crm.veevavault.com/ui/#object/approved_document__v/V5OZ06G6O6RFL1P", "ES Veeva Privacy Notice Email")</f>
        <v>ES Veeva Privacy Notice Email</v>
      </c>
      <c r="C7937" s="3" t="str">
        <f>HYPERLINK("https://otsuka-europe-crm.veevavault.com/ui/#object/sent_email__v/VBL000000011021", "SE-001396639")</f>
        <v>SE-001396639</v>
      </c>
      <c r="D7937" s="1">
        <v>46006.899687500001</v>
      </c>
      <c r="E7937" s="2">
        <v>1</v>
      </c>
      <c r="F7937" s="2">
        <v>1</v>
      </c>
      <c r="G7937" s="2">
        <v>0</v>
      </c>
      <c r="H7937" s="1" t="s">
        <v>0</v>
      </c>
      <c r="I7937" s="2">
        <v>0</v>
      </c>
      <c r="J7937" s="1">
        <v>46006.38894675926</v>
      </c>
    </row>
    <row r="7938" spans="1:10" x14ac:dyDescent="0.2">
      <c r="A7938" s="4" t="s">
        <v>1</v>
      </c>
      <c r="B7938" s="3" t="str">
        <f>HYPERLINK("https://otsuka-europe-crm.veevavault.com/ui/#object/approved_document__v/V5OZ06G6O6RFL1P", "ES Veeva Privacy Notice Email")</f>
        <v>ES Veeva Privacy Notice Email</v>
      </c>
      <c r="C7938" s="3" t="str">
        <f>HYPERLINK("https://otsuka-europe-crm.veevavault.com/ui/#object/sent_email__v/VBL000000010023", "SE-001396640")</f>
        <v>SE-001396640</v>
      </c>
      <c r="D7938" s="1">
        <v>46006.425706018519</v>
      </c>
      <c r="E7938" s="2">
        <v>1</v>
      </c>
      <c r="F7938" s="2">
        <v>1</v>
      </c>
      <c r="G7938" s="2">
        <v>0</v>
      </c>
      <c r="H7938" s="1" t="s">
        <v>0</v>
      </c>
      <c r="I7938" s="2">
        <v>0</v>
      </c>
      <c r="J7938" s="1">
        <v>46006.395474537036</v>
      </c>
    </row>
    <row r="7939" spans="1:10" x14ac:dyDescent="0.2">
      <c r="A7939" s="4" t="s">
        <v>1</v>
      </c>
      <c r="B7939" s="3" t="str">
        <f>HYPERLINK("https://otsuka-europe-crm.veevavault.com/ui/#object/approved_document__v/V5OZ06G6O6RFL1P", "ES Veeva Privacy Notice Email")</f>
        <v>ES Veeva Privacy Notice Email</v>
      </c>
      <c r="C7939" s="3" t="str">
        <f>HYPERLINK("https://otsuka-europe-crm.veevavault.com/ui/#object/sent_email__v/VBL000000010024", "SE-001396641")</f>
        <v>SE-001396641</v>
      </c>
      <c r="D7939" s="1" t="s">
        <v>0</v>
      </c>
      <c r="E7939" s="2">
        <v>0</v>
      </c>
      <c r="F7939" s="2">
        <v>0</v>
      </c>
      <c r="G7939" s="2">
        <v>0</v>
      </c>
      <c r="H7939" s="1" t="s">
        <v>0</v>
      </c>
      <c r="I7939" s="2">
        <v>0</v>
      </c>
      <c r="J7939" s="1">
        <v>46006.396481481483</v>
      </c>
    </row>
    <row r="7940" spans="1:10" x14ac:dyDescent="0.2">
      <c r="A7940" s="4" t="s">
        <v>1</v>
      </c>
      <c r="B7940" s="3" t="str">
        <f>HYPERLINK("https://otsuka-europe-crm.veevavault.com/ui/#object/approved_document__v/V5OZ06G6O6RFL1P", "ES Veeva Privacy Notice Email")</f>
        <v>ES Veeva Privacy Notice Email</v>
      </c>
      <c r="C7940" s="3" t="str">
        <f>HYPERLINK("https://otsuka-europe-crm.veevavault.com/ui/#object/sent_email__v/VBL000000010026", "SE-001396644")</f>
        <v>SE-001396644</v>
      </c>
      <c r="D7940" s="1" t="s">
        <v>0</v>
      </c>
      <c r="E7940" s="2">
        <v>0</v>
      </c>
      <c r="F7940" s="2">
        <v>0</v>
      </c>
      <c r="G7940" s="2">
        <v>0</v>
      </c>
      <c r="H7940" s="1" t="s">
        <v>0</v>
      </c>
      <c r="I7940" s="2">
        <v>0</v>
      </c>
      <c r="J7940" s="1">
        <v>46006.403935185182</v>
      </c>
    </row>
    <row r="7941" spans="1:10" x14ac:dyDescent="0.2">
      <c r="A7941" s="4" t="s">
        <v>1</v>
      </c>
      <c r="B7941" s="3" t="str">
        <f>HYPERLINK("https://otsuka-europe-crm.veevavault.com/ui/#object/approved_document__v/V5OZ06G6O6RFL1P", "ES Veeva Privacy Notice Email")</f>
        <v>ES Veeva Privacy Notice Email</v>
      </c>
      <c r="C7941" s="3" t="str">
        <f>HYPERLINK("https://otsuka-europe-crm.veevavault.com/ui/#object/sent_email__v/VBL000000010029", "SE-001396648")</f>
        <v>SE-001396648</v>
      </c>
      <c r="D7941" s="1">
        <v>46051.34443287037</v>
      </c>
      <c r="E7941" s="2">
        <v>1</v>
      </c>
      <c r="F7941" s="2">
        <v>4</v>
      </c>
      <c r="G7941" s="2">
        <v>0</v>
      </c>
      <c r="H7941" s="1" t="s">
        <v>0</v>
      </c>
      <c r="I7941" s="2">
        <v>0</v>
      </c>
      <c r="J7941" s="1">
        <v>46006.423946759256</v>
      </c>
    </row>
    <row r="7942" spans="1:10" x14ac:dyDescent="0.2">
      <c r="A7942" s="4" t="s">
        <v>1</v>
      </c>
      <c r="B7942" s="3" t="str">
        <f>HYPERLINK("https://otsuka-europe-crm.veevavault.com/ui/#object/approved_document__v/V5OZ06G6O6RFL1P", "ES Veeva Privacy Notice Email")</f>
        <v>ES Veeva Privacy Notice Email</v>
      </c>
      <c r="C7942" s="3" t="str">
        <f>HYPERLINK("https://otsuka-europe-crm.veevavault.com/ui/#object/sent_email__v/VBL000000011029", "SE-001396655")</f>
        <v>SE-001396655</v>
      </c>
      <c r="D7942" s="1" t="s">
        <v>0</v>
      </c>
      <c r="E7942" s="2">
        <v>0</v>
      </c>
      <c r="F7942" s="2">
        <v>0</v>
      </c>
      <c r="G7942" s="2">
        <v>0</v>
      </c>
      <c r="H7942" s="1" t="s">
        <v>0</v>
      </c>
      <c r="I7942" s="2">
        <v>0</v>
      </c>
      <c r="J7942" s="1">
        <v>46006.476238425923</v>
      </c>
    </row>
    <row r="7943" spans="1:10" x14ac:dyDescent="0.2">
      <c r="A7943" s="4" t="s">
        <v>1</v>
      </c>
      <c r="B7943" s="3" t="str">
        <f>HYPERLINK("https://otsuka-europe-crm.veevavault.com/ui/#object/approved_document__v/V5OZ06G6O6RFL1P", "ES Veeva Privacy Notice Email")</f>
        <v>ES Veeva Privacy Notice Email</v>
      </c>
      <c r="C7943" s="3" t="str">
        <f>HYPERLINK("https://otsuka-europe-crm.veevavault.com/ui/#object/sent_email__v/VBL000000011030", "SE-001396657")</f>
        <v>SE-001396657</v>
      </c>
      <c r="D7943" s="1">
        <v>46006.571215277778</v>
      </c>
      <c r="E7943" s="2">
        <v>1</v>
      </c>
      <c r="F7943" s="2">
        <v>2</v>
      </c>
      <c r="G7943" s="2">
        <v>0</v>
      </c>
      <c r="H7943" s="1" t="s">
        <v>0</v>
      </c>
      <c r="I7943" s="2">
        <v>0</v>
      </c>
      <c r="J7943" s="1">
        <v>46006.498078703706</v>
      </c>
    </row>
    <row r="7944" spans="1:10" x14ac:dyDescent="0.2">
      <c r="A7944" s="4" t="s">
        <v>1</v>
      </c>
      <c r="B7944" s="3" t="str">
        <f>HYPERLINK("https://otsuka-europe-crm.veevavault.com/ui/#object/approved_document__v/V5OZ06G6O6RFL1P", "ES Veeva Privacy Notice Email")</f>
        <v>ES Veeva Privacy Notice Email</v>
      </c>
      <c r="C7944" s="3" t="str">
        <f>HYPERLINK("https://otsuka-europe-crm.veevavault.com/ui/#object/sent_email__v/VBL000000011035", "SE-001396663")</f>
        <v>SE-001396663</v>
      </c>
      <c r="D7944" s="1" t="s">
        <v>0</v>
      </c>
      <c r="E7944" s="2">
        <v>0</v>
      </c>
      <c r="F7944" s="2">
        <v>0</v>
      </c>
      <c r="G7944" s="2">
        <v>0</v>
      </c>
      <c r="H7944" s="1" t="s">
        <v>0</v>
      </c>
      <c r="I7944" s="2">
        <v>0</v>
      </c>
      <c r="J7944" s="1">
        <v>46006.500069444446</v>
      </c>
    </row>
    <row r="7945" spans="1:10" x14ac:dyDescent="0.2">
      <c r="A7945" s="4" t="s">
        <v>1</v>
      </c>
      <c r="B7945" s="3" t="str">
        <f>HYPERLINK("https://otsuka-europe-crm.veevavault.com/ui/#object/approved_document__v/V5OZ06G6O6RFL1P", "ES Veeva Privacy Notice Email")</f>
        <v>ES Veeva Privacy Notice Email</v>
      </c>
      <c r="C7945" s="3" t="str">
        <f>HYPERLINK("https://otsuka-europe-crm.veevavault.com/ui/#object/sent_email__v/VBL000000011040", "SE-001396668")</f>
        <v>SE-001396668</v>
      </c>
      <c r="D7945" s="1">
        <v>46006.640879629631</v>
      </c>
      <c r="E7945" s="2">
        <v>1</v>
      </c>
      <c r="F7945" s="2">
        <v>1</v>
      </c>
      <c r="G7945" s="2">
        <v>0</v>
      </c>
      <c r="H7945" s="1" t="s">
        <v>0</v>
      </c>
      <c r="I7945" s="2">
        <v>0</v>
      </c>
      <c r="J7945" s="1">
        <v>46006.502511574072</v>
      </c>
    </row>
    <row r="7946" spans="1:10" x14ac:dyDescent="0.2">
      <c r="A7946" s="4" t="s">
        <v>1</v>
      </c>
      <c r="B7946" s="3" t="str">
        <f>HYPERLINK("https://otsuka-europe-crm.veevavault.com/ui/#object/approved_document__v/V5OZ06G6O6RFL1P", "ES Veeva Privacy Notice Email")</f>
        <v>ES Veeva Privacy Notice Email</v>
      </c>
      <c r="C7946" s="3" t="str">
        <f>HYPERLINK("https://otsuka-europe-crm.veevavault.com/ui/#object/sent_email__v/VBL000000011044", "SE-001396672")</f>
        <v>SE-001396672</v>
      </c>
      <c r="D7946" s="1" t="s">
        <v>0</v>
      </c>
      <c r="E7946" s="2">
        <v>0</v>
      </c>
      <c r="F7946" s="2">
        <v>0</v>
      </c>
      <c r="G7946" s="2">
        <v>0</v>
      </c>
      <c r="H7946" s="1" t="s">
        <v>0</v>
      </c>
      <c r="I7946" s="2">
        <v>0</v>
      </c>
      <c r="J7946" s="1">
        <v>46006.505069444444</v>
      </c>
    </row>
    <row r="7947" spans="1:10" x14ac:dyDescent="0.2">
      <c r="A7947" s="4" t="s">
        <v>1</v>
      </c>
      <c r="B7947" s="3" t="str">
        <f>HYPERLINK("https://otsuka-europe-crm.veevavault.com/ui/#object/approved_document__v/V5OZ06G6O6RFL1P", "ES Veeva Privacy Notice Email")</f>
        <v>ES Veeva Privacy Notice Email</v>
      </c>
      <c r="C7947" s="3" t="str">
        <f>HYPERLINK("https://otsuka-europe-crm.veevavault.com/ui/#object/sent_email__v/VBL000000010033", "SE-001396676")</f>
        <v>SE-001396676</v>
      </c>
      <c r="D7947" s="1" t="s">
        <v>0</v>
      </c>
      <c r="E7947" s="2">
        <v>0</v>
      </c>
      <c r="F7947" s="2">
        <v>0</v>
      </c>
      <c r="G7947" s="2">
        <v>0</v>
      </c>
      <c r="H7947" s="1" t="s">
        <v>0</v>
      </c>
      <c r="I7947" s="2">
        <v>0</v>
      </c>
      <c r="J7947" s="1">
        <v>46006.508333333331</v>
      </c>
    </row>
    <row r="7948" spans="1:10" x14ac:dyDescent="0.2">
      <c r="A7948" s="4" t="s">
        <v>1</v>
      </c>
      <c r="B7948" s="3" t="str">
        <f>HYPERLINK("https://otsuka-europe-crm.veevavault.com/ui/#object/approved_document__v/V5OZ06G6O6RFL1P", "ES Veeva Privacy Notice Email")</f>
        <v>ES Veeva Privacy Notice Email</v>
      </c>
      <c r="C7948" s="3" t="str">
        <f>HYPERLINK("https://otsuka-europe-crm.veevavault.com/ui/#object/sent_email__v/VBL000000011049", "SE-001396680")</f>
        <v>SE-001396680</v>
      </c>
      <c r="D7948" s="1">
        <v>46013.5856712963</v>
      </c>
      <c r="E7948" s="2">
        <v>1</v>
      </c>
      <c r="F7948" s="2">
        <v>8</v>
      </c>
      <c r="G7948" s="2">
        <v>0</v>
      </c>
      <c r="H7948" s="1" t="s">
        <v>0</v>
      </c>
      <c r="I7948" s="2">
        <v>0</v>
      </c>
      <c r="J7948" s="1">
        <v>46006.510787037034</v>
      </c>
    </row>
    <row r="7949" spans="1:10" x14ac:dyDescent="0.2">
      <c r="A7949" s="4" t="s">
        <v>1</v>
      </c>
      <c r="B7949" s="3" t="str">
        <f>HYPERLINK("https://otsuka-europe-crm.veevavault.com/ui/#object/approved_document__v/V5OZ06G6O6RFL1P", "ES Veeva Privacy Notice Email")</f>
        <v>ES Veeva Privacy Notice Email</v>
      </c>
      <c r="C7949" s="3" t="str">
        <f>HYPERLINK("https://otsuka-europe-crm.veevavault.com/ui/#object/sent_email__v/VBL000000010112", "SE-001396949")</f>
        <v>SE-001396949</v>
      </c>
      <c r="D7949" s="1" t="s">
        <v>0</v>
      </c>
      <c r="E7949" s="2">
        <v>0</v>
      </c>
      <c r="F7949" s="2">
        <v>0</v>
      </c>
      <c r="G7949" s="2">
        <v>0</v>
      </c>
      <c r="H7949" s="1" t="s">
        <v>0</v>
      </c>
      <c r="I7949" s="2">
        <v>0</v>
      </c>
      <c r="J7949" s="1">
        <v>46007.373344907406</v>
      </c>
    </row>
    <row r="7950" spans="1:10" x14ac:dyDescent="0.2">
      <c r="A7950" s="4" t="s">
        <v>1</v>
      </c>
      <c r="B7950" s="3" t="str">
        <f>HYPERLINK("https://otsuka-europe-crm.veevavault.com/ui/#object/approved_document__v/V5OZ06G6O6RFL1P", "ES Veeva Privacy Notice Email")</f>
        <v>ES Veeva Privacy Notice Email</v>
      </c>
      <c r="C7950" s="3" t="str">
        <f>HYPERLINK("https://otsuka-europe-crm.veevavault.com/ui/#object/sent_email__v/VBL000000011242", "SE-001396951")</f>
        <v>SE-001396951</v>
      </c>
      <c r="D7950" s="1">
        <v>46013.662476851852</v>
      </c>
      <c r="E7950" s="2">
        <v>1</v>
      </c>
      <c r="F7950" s="2">
        <v>1</v>
      </c>
      <c r="G7950" s="2">
        <v>0</v>
      </c>
      <c r="H7950" s="1" t="s">
        <v>0</v>
      </c>
      <c r="I7950" s="2">
        <v>0</v>
      </c>
      <c r="J7950" s="1">
        <v>46007.388206018521</v>
      </c>
    </row>
    <row r="7951" spans="1:10" x14ac:dyDescent="0.2">
      <c r="A7951" s="4" t="s">
        <v>1</v>
      </c>
      <c r="B7951" s="3" t="str">
        <f>HYPERLINK("https://otsuka-europe-crm.veevavault.com/ui/#object/approved_document__v/V5OZ06G6O6RFL1P", "ES Veeva Privacy Notice Email")</f>
        <v>ES Veeva Privacy Notice Email</v>
      </c>
      <c r="C7951" s="3" t="str">
        <f>HYPERLINK("https://otsuka-europe-crm.veevavault.com/ui/#object/sent_email__v/VBL000000010121", "SE-001396961")</f>
        <v>SE-001396961</v>
      </c>
      <c r="D7951" s="1" t="s">
        <v>0</v>
      </c>
      <c r="E7951" s="2">
        <v>0</v>
      </c>
      <c r="F7951" s="2">
        <v>0</v>
      </c>
      <c r="G7951" s="2">
        <v>0</v>
      </c>
      <c r="H7951" s="1" t="s">
        <v>0</v>
      </c>
      <c r="I7951" s="2">
        <v>0</v>
      </c>
      <c r="J7951" s="1">
        <v>46007.579050925924</v>
      </c>
    </row>
    <row r="7952" spans="1:10" x14ac:dyDescent="0.2">
      <c r="A7952" s="4" t="s">
        <v>1</v>
      </c>
      <c r="B7952" s="3" t="str">
        <f>HYPERLINK("https://otsuka-europe-crm.veevavault.com/ui/#object/approved_document__v/V5OZ06G6O6RFL1P", "ES Veeva Privacy Notice Email")</f>
        <v>ES Veeva Privacy Notice Email</v>
      </c>
      <c r="C7952" s="3" t="str">
        <f>HYPERLINK("https://otsuka-europe-crm.veevavault.com/ui/#object/sent_email__v/VBL000000010122", "SE-001396962")</f>
        <v>SE-001396962</v>
      </c>
      <c r="D7952" s="1">
        <v>46043.626192129632</v>
      </c>
      <c r="E7952" s="2">
        <v>1</v>
      </c>
      <c r="F7952" s="2">
        <v>3</v>
      </c>
      <c r="G7952" s="2">
        <v>0</v>
      </c>
      <c r="H7952" s="1" t="s">
        <v>0</v>
      </c>
      <c r="I7952" s="2">
        <v>0</v>
      </c>
      <c r="J7952" s="1">
        <v>46007.580231481479</v>
      </c>
    </row>
    <row r="7953" spans="1:10" x14ac:dyDescent="0.2">
      <c r="A7953" s="4" t="s">
        <v>1</v>
      </c>
      <c r="B7953" s="3" t="str">
        <f>HYPERLINK("https://otsuka-europe-crm.veevavault.com/ui/#object/approved_document__v/V5OZ06G6O6RFL1P", "ES Veeva Privacy Notice Email")</f>
        <v>ES Veeva Privacy Notice Email</v>
      </c>
      <c r="C7953" s="3" t="str">
        <f>HYPERLINK("https://otsuka-europe-crm.veevavault.com/ui/#object/sent_email__v/VBL000000010130", "SE-001396981")</f>
        <v>SE-001396981</v>
      </c>
      <c r="D7953" s="1">
        <v>46007.742812500001</v>
      </c>
      <c r="E7953" s="2">
        <v>1</v>
      </c>
      <c r="F7953" s="2">
        <v>2</v>
      </c>
      <c r="G7953" s="2">
        <v>0</v>
      </c>
      <c r="H7953" s="1" t="s">
        <v>0</v>
      </c>
      <c r="I7953" s="2">
        <v>0</v>
      </c>
      <c r="J7953" s="1">
        <v>46007.735601851855</v>
      </c>
    </row>
    <row r="7954" spans="1:10" x14ac:dyDescent="0.2">
      <c r="A7954" s="4" t="s">
        <v>1</v>
      </c>
      <c r="B7954" s="3" t="str">
        <f>HYPERLINK("https://otsuka-europe-crm.veevavault.com/ui/#object/approved_document__v/V5OZ06G6O6RFL1P", "ES Veeva Privacy Notice Email")</f>
        <v>ES Veeva Privacy Notice Email</v>
      </c>
      <c r="C7954" s="3" t="str">
        <f>HYPERLINK("https://otsuka-europe-crm.veevavault.com/ui/#object/sent_email__v/VBL000000010162", "SE-001397049")</f>
        <v>SE-001397049</v>
      </c>
      <c r="D7954" s="1" t="s">
        <v>0</v>
      </c>
      <c r="E7954" s="2">
        <v>0</v>
      </c>
      <c r="F7954" s="2">
        <v>0</v>
      </c>
      <c r="G7954" s="2">
        <v>0</v>
      </c>
      <c r="H7954" s="1" t="s">
        <v>0</v>
      </c>
      <c r="I7954" s="2">
        <v>0</v>
      </c>
      <c r="J7954" s="1">
        <v>46008.410127314812</v>
      </c>
    </row>
    <row r="7955" spans="1:10" x14ac:dyDescent="0.2">
      <c r="A7955" s="4" t="s">
        <v>1</v>
      </c>
      <c r="B7955" s="3" t="str">
        <f>HYPERLINK("https://otsuka-europe-crm.veevavault.com/ui/#object/approved_document__v/V5OZ06G6O6RFL1P", "ES Veeva Privacy Notice Email")</f>
        <v>ES Veeva Privacy Notice Email</v>
      </c>
      <c r="C7955" s="3" t="str">
        <f>HYPERLINK("https://otsuka-europe-crm.veevavault.com/ui/#object/sent_email__v/VBL000000011292", "SE-001397050")</f>
        <v>SE-001397050</v>
      </c>
      <c r="D7955" s="1" t="s">
        <v>0</v>
      </c>
      <c r="E7955" s="2">
        <v>0</v>
      </c>
      <c r="F7955" s="2">
        <v>0</v>
      </c>
      <c r="G7955" s="2">
        <v>0</v>
      </c>
      <c r="H7955" s="1" t="s">
        <v>0</v>
      </c>
      <c r="I7955" s="2">
        <v>0</v>
      </c>
      <c r="J7955" s="1">
        <v>46008.411724537036</v>
      </c>
    </row>
    <row r="7956" spans="1:10" x14ac:dyDescent="0.2">
      <c r="A7956" s="4" t="s">
        <v>1</v>
      </c>
      <c r="B7956" s="3" t="str">
        <f>HYPERLINK("https://otsuka-europe-crm.veevavault.com/ui/#object/approved_document__v/V5OZ06G6O6RFL1P", "ES Veeva Privacy Notice Email")</f>
        <v>ES Veeva Privacy Notice Email</v>
      </c>
      <c r="C7956" s="3" t="str">
        <f>HYPERLINK("https://otsuka-europe-crm.veevavault.com/ui/#object/sent_email__v/VBL000000010196", "SE-001397492")</f>
        <v>SE-001397492</v>
      </c>
      <c r="D7956" s="1">
        <v>46013.619270833333</v>
      </c>
      <c r="E7956" s="2">
        <v>1</v>
      </c>
      <c r="F7956" s="2">
        <v>2</v>
      </c>
      <c r="G7956" s="2">
        <v>0</v>
      </c>
      <c r="H7956" s="1" t="s">
        <v>0</v>
      </c>
      <c r="I7956" s="2">
        <v>0</v>
      </c>
      <c r="J7956" s="1">
        <v>46008.474432870367</v>
      </c>
    </row>
    <row r="7957" spans="1:10" x14ac:dyDescent="0.2">
      <c r="A7957" s="4" t="s">
        <v>1</v>
      </c>
      <c r="B7957" s="3" t="str">
        <f>HYPERLINK("https://otsuka-europe-crm.veevavault.com/ui/#object/approved_document__v/V5OZ06G6O6RFL1P", "ES Veeva Privacy Notice Email")</f>
        <v>ES Veeva Privacy Notice Email</v>
      </c>
      <c r="C7957" s="3" t="str">
        <f>HYPERLINK("https://otsuka-europe-crm.veevavault.com/ui/#object/sent_email__v/VBL000000010197", "SE-001397493")</f>
        <v>SE-001397493</v>
      </c>
      <c r="D7957" s="1" t="s">
        <v>0</v>
      </c>
      <c r="E7957" s="2">
        <v>0</v>
      </c>
      <c r="F7957" s="2">
        <v>0</v>
      </c>
      <c r="G7957" s="2">
        <v>0</v>
      </c>
      <c r="H7957" s="1" t="s">
        <v>0</v>
      </c>
      <c r="I7957" s="2">
        <v>0</v>
      </c>
      <c r="J7957" s="1">
        <v>46008.475231481483</v>
      </c>
    </row>
    <row r="7958" spans="1:10" x14ac:dyDescent="0.2">
      <c r="A7958" s="4" t="s">
        <v>1</v>
      </c>
      <c r="B7958" s="3" t="str">
        <f>HYPERLINK("https://otsuka-europe-crm.veevavault.com/ui/#object/approved_document__v/V5OZ06G6O6RFL1P", "ES Veeva Privacy Notice Email")</f>
        <v>ES Veeva Privacy Notice Email</v>
      </c>
      <c r="C7958" s="3" t="str">
        <f>HYPERLINK("https://otsuka-europe-crm.veevavault.com/ui/#object/sent_email__v/VBL000000010198", "SE-001397494")</f>
        <v>SE-001397494</v>
      </c>
      <c r="D7958" s="1" t="s">
        <v>0</v>
      </c>
      <c r="E7958" s="2">
        <v>0</v>
      </c>
      <c r="F7958" s="2">
        <v>0</v>
      </c>
      <c r="G7958" s="2">
        <v>0</v>
      </c>
      <c r="H7958" s="1" t="s">
        <v>0</v>
      </c>
      <c r="I7958" s="2">
        <v>0</v>
      </c>
      <c r="J7958" s="1">
        <v>46008.476122685184</v>
      </c>
    </row>
    <row r="7959" spans="1:10" x14ac:dyDescent="0.2">
      <c r="A7959" s="4" t="s">
        <v>1</v>
      </c>
      <c r="B7959" s="3" t="str">
        <f>HYPERLINK("https://otsuka-europe-crm.veevavault.com/ui/#object/approved_document__v/V5OZ06G6O6RFL1P", "ES Veeva Privacy Notice Email")</f>
        <v>ES Veeva Privacy Notice Email</v>
      </c>
      <c r="C7959" s="3" t="str">
        <f>HYPERLINK("https://otsuka-europe-crm.veevavault.com/ui/#object/sent_email__v/VBL000000011719", "SE-001397528")</f>
        <v>SE-001397528</v>
      </c>
      <c r="D7959" s="1">
        <v>46013.563101851854</v>
      </c>
      <c r="E7959" s="2">
        <v>1</v>
      </c>
      <c r="F7959" s="2">
        <v>2</v>
      </c>
      <c r="G7959" s="2">
        <v>0</v>
      </c>
      <c r="H7959" s="1" t="s">
        <v>0</v>
      </c>
      <c r="I7959" s="2">
        <v>0</v>
      </c>
      <c r="J7959" s="1">
        <v>46008.669571759259</v>
      </c>
    </row>
    <row r="7960" spans="1:10" x14ac:dyDescent="0.2">
      <c r="A7960" s="4" t="s">
        <v>1</v>
      </c>
      <c r="B7960" s="3" t="str">
        <f>HYPERLINK("https://otsuka-europe-crm.veevavault.com/ui/#object/approved_document__v/V5OZ06G6O6RFL1P", "ES Veeva Privacy Notice Email")</f>
        <v>ES Veeva Privacy Notice Email</v>
      </c>
      <c r="C7960" s="3" t="str">
        <f>HYPERLINK("https://otsuka-europe-crm.veevavault.com/ui/#object/sent_email__v/VBL000000011730", "SE-001397546")</f>
        <v>SE-001397546</v>
      </c>
      <c r="D7960" s="1" t="s">
        <v>0</v>
      </c>
      <c r="E7960" s="2">
        <v>0</v>
      </c>
      <c r="F7960" s="2">
        <v>0</v>
      </c>
      <c r="G7960" s="2">
        <v>0</v>
      </c>
      <c r="H7960" s="1" t="s">
        <v>0</v>
      </c>
      <c r="I7960" s="2">
        <v>0</v>
      </c>
      <c r="J7960" s="1">
        <v>46009.394062500003</v>
      </c>
    </row>
    <row r="7961" spans="1:10" x14ac:dyDescent="0.2">
      <c r="A7961" s="4" t="s">
        <v>1</v>
      </c>
      <c r="B7961" s="3" t="str">
        <f>HYPERLINK("https://otsuka-europe-crm.veevavault.com/ui/#object/approved_document__v/V5OZ06G6O6RFL1P", "ES Veeva Privacy Notice Email")</f>
        <v>ES Veeva Privacy Notice Email</v>
      </c>
      <c r="C7961" s="3" t="str">
        <f>HYPERLINK("https://otsuka-europe-crm.veevavault.com/ui/#object/sent_email__v/VBL000000010223", "SE-001397550")</f>
        <v>SE-001397550</v>
      </c>
      <c r="D7961" s="1">
        <v>46012.535937499997</v>
      </c>
      <c r="E7961" s="2">
        <v>1</v>
      </c>
      <c r="F7961" s="2">
        <v>2</v>
      </c>
      <c r="G7961" s="2">
        <v>0</v>
      </c>
      <c r="H7961" s="1" t="s">
        <v>0</v>
      </c>
      <c r="I7961" s="2">
        <v>0</v>
      </c>
      <c r="J7961" s="1">
        <v>46009.40729166667</v>
      </c>
    </row>
    <row r="7962" spans="1:10" x14ac:dyDescent="0.2">
      <c r="A7962" s="4" t="s">
        <v>1</v>
      </c>
      <c r="B7962" s="3" t="str">
        <f>HYPERLINK("https://otsuka-europe-crm.veevavault.com/ui/#object/approved_document__v/V5OZ06G6O6RFL1P", "ES Veeva Privacy Notice Email")</f>
        <v>ES Veeva Privacy Notice Email</v>
      </c>
      <c r="C7962" s="3" t="str">
        <f>HYPERLINK("https://otsuka-europe-crm.veevavault.com/ui/#object/sent_email__v/VBL000000010224", "SE-001397551")</f>
        <v>SE-001397551</v>
      </c>
      <c r="D7962" s="1">
        <v>46012.535937499997</v>
      </c>
      <c r="E7962" s="2">
        <v>1</v>
      </c>
      <c r="F7962" s="2">
        <v>2</v>
      </c>
      <c r="G7962" s="2">
        <v>0</v>
      </c>
      <c r="H7962" s="1" t="s">
        <v>0</v>
      </c>
      <c r="I7962" s="2">
        <v>0</v>
      </c>
      <c r="J7962" s="1">
        <v>46009.407754629632</v>
      </c>
    </row>
    <row r="7963" spans="1:10" x14ac:dyDescent="0.2">
      <c r="A7963" s="4" t="s">
        <v>1</v>
      </c>
      <c r="B7963" s="3" t="str">
        <f>HYPERLINK("https://otsuka-europe-crm.veevavault.com/ui/#object/approved_document__v/V5OZ06G6O6RFL1P", "ES Veeva Privacy Notice Email")</f>
        <v>ES Veeva Privacy Notice Email</v>
      </c>
      <c r="C7963" s="3" t="str">
        <f>HYPERLINK("https://otsuka-europe-crm.veevavault.com/ui/#object/sent_email__v/VBL000000010230", "SE-001397571")</f>
        <v>SE-001397571</v>
      </c>
      <c r="D7963" s="1" t="s">
        <v>0</v>
      </c>
      <c r="E7963" s="2">
        <v>0</v>
      </c>
      <c r="F7963" s="2">
        <v>0</v>
      </c>
      <c r="G7963" s="2">
        <v>0</v>
      </c>
      <c r="H7963" s="1" t="s">
        <v>0</v>
      </c>
      <c r="I7963" s="2">
        <v>0</v>
      </c>
      <c r="J7963" s="1">
        <v>46009.53837962963</v>
      </c>
    </row>
    <row r="7964" spans="1:10" x14ac:dyDescent="0.2">
      <c r="A7964" s="4" t="s">
        <v>1</v>
      </c>
      <c r="B7964" s="3" t="str">
        <f>HYPERLINK("https://otsuka-europe-crm.veevavault.com/ui/#object/approved_document__v/V5OZ06G6O6RFL1P", "ES Veeva Privacy Notice Email")</f>
        <v>ES Veeva Privacy Notice Email</v>
      </c>
      <c r="C7964" s="3" t="str">
        <f>HYPERLINK("https://otsuka-europe-crm.veevavault.com/ui/#object/sent_email__v/VBL000000013828", "SE-001399421")</f>
        <v>SE-001399421</v>
      </c>
      <c r="D7964" s="1" t="s">
        <v>0</v>
      </c>
      <c r="E7964" s="2">
        <v>0</v>
      </c>
      <c r="F7964" s="2">
        <v>0</v>
      </c>
      <c r="G7964" s="2">
        <v>0</v>
      </c>
      <c r="H7964" s="1" t="s">
        <v>0</v>
      </c>
      <c r="I7964" s="2">
        <v>0</v>
      </c>
      <c r="J7964" s="1">
        <v>46030.431203703702</v>
      </c>
    </row>
    <row r="7965" spans="1:10" x14ac:dyDescent="0.2">
      <c r="A7965" s="4" t="s">
        <v>1</v>
      </c>
      <c r="B7965" s="3" t="str">
        <f>HYPERLINK("https://otsuka-europe-crm.veevavault.com/ui/#object/approved_document__v/V5OZ06G6O6RFL1P", "ES Veeva Privacy Notice Email")</f>
        <v>ES Veeva Privacy Notice Email</v>
      </c>
      <c r="C7965" s="3" t="str">
        <f>HYPERLINK("https://otsuka-europe-crm.veevavault.com/ui/#object/sent_email__v/VBL000000013829", "SE-001399422")</f>
        <v>SE-001399422</v>
      </c>
      <c r="D7965" s="1" t="s">
        <v>0</v>
      </c>
      <c r="E7965" s="2">
        <v>0</v>
      </c>
      <c r="F7965" s="2">
        <v>0</v>
      </c>
      <c r="G7965" s="2">
        <v>0</v>
      </c>
      <c r="H7965" s="1" t="s">
        <v>0</v>
      </c>
      <c r="I7965" s="2">
        <v>0</v>
      </c>
      <c r="J7965" s="1">
        <v>46030.431863425925</v>
      </c>
    </row>
    <row r="7966" spans="1:10" x14ac:dyDescent="0.2">
      <c r="A7966" s="4" t="s">
        <v>1</v>
      </c>
      <c r="B7966" s="3" t="str">
        <f>HYPERLINK("https://otsuka-europe-crm.veevavault.com/ui/#object/approved_document__v/V5OZ06G6O6RFL1P", "ES Veeva Privacy Notice Email")</f>
        <v>ES Veeva Privacy Notice Email</v>
      </c>
      <c r="C7966" s="3" t="str">
        <f>HYPERLINK("https://otsuka-europe-crm.veevavault.com/ui/#object/sent_email__v/VBL000000012770", "SE-001399484")</f>
        <v>SE-001399484</v>
      </c>
      <c r="D7966" s="1">
        <v>46030.64638888889</v>
      </c>
      <c r="E7966" s="2">
        <v>1</v>
      </c>
      <c r="F7966" s="2">
        <v>2</v>
      </c>
      <c r="G7966" s="2">
        <v>0</v>
      </c>
      <c r="H7966" s="1" t="s">
        <v>0</v>
      </c>
      <c r="I7966" s="2">
        <v>0</v>
      </c>
      <c r="J7966" s="1">
        <v>46030.617129629631</v>
      </c>
    </row>
    <row r="7967" spans="1:10" x14ac:dyDescent="0.2">
      <c r="A7967" s="4" t="s">
        <v>1</v>
      </c>
      <c r="B7967" s="3" t="str">
        <f>HYPERLINK("https://otsuka-europe-crm.veevavault.com/ui/#object/approved_document__v/V5OZ06G6O6RFL1P", "ES Veeva Privacy Notice Email")</f>
        <v>ES Veeva Privacy Notice Email</v>
      </c>
      <c r="C7967" s="3" t="str">
        <f>HYPERLINK("https://otsuka-europe-crm.veevavault.com/ui/#object/sent_email__v/VBL000000013889", "SE-001399486")</f>
        <v>SE-001399486</v>
      </c>
      <c r="D7967" s="1">
        <v>46030.786828703705</v>
      </c>
      <c r="E7967" s="2">
        <v>1</v>
      </c>
      <c r="F7967" s="2">
        <v>1</v>
      </c>
      <c r="G7967" s="2">
        <v>0</v>
      </c>
      <c r="H7967" s="1" t="s">
        <v>0</v>
      </c>
      <c r="I7967" s="2">
        <v>0</v>
      </c>
      <c r="J7967" s="1">
        <v>46030.620462962965</v>
      </c>
    </row>
    <row r="7968" spans="1:10" x14ac:dyDescent="0.2">
      <c r="A7968" s="4" t="s">
        <v>1</v>
      </c>
      <c r="B7968" s="3" t="str">
        <f>HYPERLINK("https://otsuka-europe-crm.veevavault.com/ui/#object/approved_document__v/V5OZ06G6O6RFL1P", "ES Veeva Privacy Notice Email")</f>
        <v>ES Veeva Privacy Notice Email</v>
      </c>
      <c r="C7968" s="3" t="str">
        <f>HYPERLINK("https://otsuka-europe-crm.veevavault.com/ui/#object/sent_email__v/VBL000000013899", "SE-001399496")</f>
        <v>SE-001399496</v>
      </c>
      <c r="D7968" s="1">
        <v>46031.38821759259</v>
      </c>
      <c r="E7968" s="2">
        <v>1</v>
      </c>
      <c r="F7968" s="2">
        <v>2</v>
      </c>
      <c r="G7968" s="2">
        <v>0</v>
      </c>
      <c r="H7968" s="1" t="s">
        <v>0</v>
      </c>
      <c r="I7968" s="2">
        <v>0</v>
      </c>
      <c r="J7968" s="1">
        <v>46031.369768518518</v>
      </c>
    </row>
    <row r="7969" spans="1:10" x14ac:dyDescent="0.2">
      <c r="A7969" s="4" t="s">
        <v>1</v>
      </c>
      <c r="B7969" s="3" t="str">
        <f>HYPERLINK("https://otsuka-europe-crm.veevavault.com/ui/#object/approved_document__v/V5OZ06G6O6RFL1P", "ES Veeva Privacy Notice Email")</f>
        <v>ES Veeva Privacy Notice Email</v>
      </c>
      <c r="C7969" s="3" t="str">
        <f>HYPERLINK("https://otsuka-europe-crm.veevavault.com/ui/#object/sent_email__v/VBL000000012893", "SE-001399806")</f>
        <v>SE-001399806</v>
      </c>
      <c r="D7969" s="1">
        <v>46034.676099537035</v>
      </c>
      <c r="E7969" s="2">
        <v>1</v>
      </c>
      <c r="F7969" s="2">
        <v>2</v>
      </c>
      <c r="G7969" s="2">
        <v>0</v>
      </c>
      <c r="H7969" s="1" t="s">
        <v>0</v>
      </c>
      <c r="I7969" s="2">
        <v>0</v>
      </c>
      <c r="J7969" s="1">
        <v>46034.67328703704</v>
      </c>
    </row>
    <row r="7970" spans="1:10" x14ac:dyDescent="0.2">
      <c r="A7970" s="4" t="s">
        <v>1</v>
      </c>
      <c r="B7970" s="3" t="str">
        <f>HYPERLINK("https://otsuka-europe-crm.veevavault.com/ui/#object/approved_document__v/V5OZ06G6O6RFL1P", "ES Veeva Privacy Notice Email")</f>
        <v>ES Veeva Privacy Notice Email</v>
      </c>
      <c r="C7970" s="3" t="str">
        <f>HYPERLINK("https://otsuka-europe-crm.veevavault.com/ui/#object/sent_email__v/VBL000000012903", "SE-001399819")</f>
        <v>SE-001399819</v>
      </c>
      <c r="D7970" s="1" t="s">
        <v>0</v>
      </c>
      <c r="E7970" s="2">
        <v>0</v>
      </c>
      <c r="F7970" s="2">
        <v>0</v>
      </c>
      <c r="G7970" s="2">
        <v>0</v>
      </c>
      <c r="H7970" s="1" t="s">
        <v>0</v>
      </c>
      <c r="I7970" s="2">
        <v>0</v>
      </c>
      <c r="J7970" s="1">
        <v>46034.964108796295</v>
      </c>
    </row>
    <row r="7971" spans="1:10" x14ac:dyDescent="0.2">
      <c r="A7971" s="4" t="s">
        <v>1</v>
      </c>
      <c r="B7971" s="3" t="str">
        <f>HYPERLINK("https://otsuka-europe-crm.veevavault.com/ui/#object/approved_document__v/V5OZ06G6O6RFL1P", "ES Veeva Privacy Notice Email")</f>
        <v>ES Veeva Privacy Notice Email</v>
      </c>
      <c r="C7971" s="3" t="str">
        <f>HYPERLINK("https://otsuka-europe-crm.veevavault.com/ui/#object/sent_email__v/VBL000000014140", "SE-001399873")</f>
        <v>SE-001399873</v>
      </c>
      <c r="D7971" s="1" t="s">
        <v>0</v>
      </c>
      <c r="E7971" s="2">
        <v>0</v>
      </c>
      <c r="F7971" s="2">
        <v>0</v>
      </c>
      <c r="G7971" s="2">
        <v>0</v>
      </c>
      <c r="H7971" s="1" t="s">
        <v>0</v>
      </c>
      <c r="I7971" s="2">
        <v>0</v>
      </c>
      <c r="J7971" s="1">
        <v>46036.549224537041</v>
      </c>
    </row>
    <row r="7972" spans="1:10" x14ac:dyDescent="0.2">
      <c r="A7972" s="4" t="s">
        <v>1</v>
      </c>
      <c r="B7972" s="3" t="str">
        <f>HYPERLINK("https://otsuka-europe-crm.veevavault.com/ui/#object/approved_document__v/V5OZ06G6O6RFL1P", "ES Veeva Privacy Notice Email")</f>
        <v>ES Veeva Privacy Notice Email</v>
      </c>
      <c r="C7972" s="3" t="str">
        <f>HYPERLINK("https://otsuka-europe-crm.veevavault.com/ui/#object/sent_email__v/VBL000000016098", "SE-001400229")</f>
        <v>SE-001400229</v>
      </c>
      <c r="D7972" s="1" t="s">
        <v>0</v>
      </c>
      <c r="E7972" s="2">
        <v>0</v>
      </c>
      <c r="F7972" s="2">
        <v>0</v>
      </c>
      <c r="G7972" s="2">
        <v>0</v>
      </c>
      <c r="H7972" s="1" t="s">
        <v>0</v>
      </c>
      <c r="I7972" s="2">
        <v>0</v>
      </c>
      <c r="J7972" s="1">
        <v>46043.429074074076</v>
      </c>
    </row>
    <row r="7973" spans="1:10" x14ac:dyDescent="0.2">
      <c r="A7973" s="4" t="s">
        <v>1</v>
      </c>
      <c r="B7973" s="3" t="str">
        <f>HYPERLINK("https://otsuka-europe-crm.veevavault.com/ui/#object/approved_document__v/V5OZ06G6O6RFL1P", "ES Veeva Privacy Notice Email")</f>
        <v>ES Veeva Privacy Notice Email</v>
      </c>
      <c r="C7973" s="3" t="str">
        <f>HYPERLINK("https://otsuka-europe-crm.veevavault.com/ui/#object/sent_email__v/VBL000000015136", "SE-001400244")</f>
        <v>SE-001400244</v>
      </c>
      <c r="D7973" s="1" t="s">
        <v>0</v>
      </c>
      <c r="E7973" s="2">
        <v>0</v>
      </c>
      <c r="F7973" s="2">
        <v>0</v>
      </c>
      <c r="G7973" s="2">
        <v>0</v>
      </c>
      <c r="H7973" s="1" t="s">
        <v>0</v>
      </c>
      <c r="I7973" s="2">
        <v>0</v>
      </c>
      <c r="J7973" s="1">
        <v>46043.429212962961</v>
      </c>
    </row>
    <row r="7974" spans="1:10" x14ac:dyDescent="0.2">
      <c r="A7974" s="4" t="s">
        <v>1</v>
      </c>
      <c r="B7974" s="3" t="str">
        <f>HYPERLINK("https://otsuka-europe-crm.veevavault.com/ui/#object/approved_document__v/V5OZ06G6O6RFL1P", "ES Veeva Privacy Notice Email")</f>
        <v>ES Veeva Privacy Notice Email</v>
      </c>
      <c r="C7974" s="3" t="str">
        <f>HYPERLINK("https://otsuka-europe-crm.veevavault.com/ui/#object/sent_email__v/VBL000000016345", "SE-001400572")</f>
        <v>SE-001400572</v>
      </c>
      <c r="D7974" s="1" t="s">
        <v>0</v>
      </c>
      <c r="E7974" s="2">
        <v>0</v>
      </c>
      <c r="F7974" s="2">
        <v>0</v>
      </c>
      <c r="G7974" s="2">
        <v>0</v>
      </c>
      <c r="H7974" s="1" t="s">
        <v>0</v>
      </c>
      <c r="I7974" s="2">
        <v>0</v>
      </c>
      <c r="J7974" s="1">
        <v>46043.429224537038</v>
      </c>
    </row>
    <row r="7975" spans="1:10" x14ac:dyDescent="0.2">
      <c r="A7975" s="4" t="s">
        <v>1</v>
      </c>
      <c r="B7975" s="3" t="str">
        <f>HYPERLINK("https://otsuka-europe-crm.veevavault.com/ui/#object/approved_document__v/V5OZ06G6O6RFL1P", "ES Veeva Privacy Notice Email")</f>
        <v>ES Veeva Privacy Notice Email</v>
      </c>
      <c r="C7975" s="3" t="str">
        <f>HYPERLINK("https://otsuka-europe-crm.veevavault.com/ui/#object/sent_email__v/VBL000000015232", "SE-001400575")</f>
        <v>SE-001400575</v>
      </c>
      <c r="D7975" s="1" t="s">
        <v>0</v>
      </c>
      <c r="E7975" s="2">
        <v>0</v>
      </c>
      <c r="F7975" s="2">
        <v>0</v>
      </c>
      <c r="G7975" s="2">
        <v>0</v>
      </c>
      <c r="H7975" s="1" t="s">
        <v>0</v>
      </c>
      <c r="I7975" s="2">
        <v>0</v>
      </c>
      <c r="J7975" s="1">
        <v>46043.429293981484</v>
      </c>
    </row>
    <row r="7976" spans="1:10" x14ac:dyDescent="0.2">
      <c r="A7976" s="4" t="s">
        <v>1</v>
      </c>
      <c r="B7976" s="3" t="str">
        <f>HYPERLINK("https://otsuka-europe-crm.veevavault.com/ui/#object/approved_document__v/V5OZ06G6O6RFL1P", "ES Veeva Privacy Notice Email")</f>
        <v>ES Veeva Privacy Notice Email</v>
      </c>
      <c r="C7976" s="3" t="str">
        <f>HYPERLINK("https://otsuka-europe-crm.veevavault.com/ui/#object/sent_email__v/VBL000000015233", "SE-001400576")</f>
        <v>SE-001400576</v>
      </c>
      <c r="D7976" s="1" t="s">
        <v>0</v>
      </c>
      <c r="E7976" s="2">
        <v>0</v>
      </c>
      <c r="F7976" s="2">
        <v>0</v>
      </c>
      <c r="G7976" s="2">
        <v>0</v>
      </c>
      <c r="H7976" s="1" t="s">
        <v>0</v>
      </c>
      <c r="I7976" s="2">
        <v>0</v>
      </c>
      <c r="J7976" s="1">
        <v>46043.429074074076</v>
      </c>
    </row>
    <row r="7977" spans="1:10" x14ac:dyDescent="0.2">
      <c r="A7977" s="4" t="s">
        <v>1</v>
      </c>
      <c r="B7977" s="3" t="str">
        <f>HYPERLINK("https://otsuka-europe-crm.veevavault.com/ui/#object/approved_document__v/V5OZ06G6O6RFL1P", "ES Veeva Privacy Notice Email")</f>
        <v>ES Veeva Privacy Notice Email</v>
      </c>
      <c r="C7977" s="3" t="str">
        <f>HYPERLINK("https://otsuka-europe-crm.veevavault.com/ui/#object/sent_email__v/VBL000000016376", "SE-001400640")</f>
        <v>SE-001400640</v>
      </c>
      <c r="D7977" s="1">
        <v>46043.744976851849</v>
      </c>
      <c r="E7977" s="2">
        <v>1</v>
      </c>
      <c r="F7977" s="2">
        <v>1</v>
      </c>
      <c r="G7977" s="2">
        <v>0</v>
      </c>
      <c r="H7977" s="1" t="s">
        <v>0</v>
      </c>
      <c r="I7977" s="2">
        <v>0</v>
      </c>
      <c r="J7977" s="1">
        <v>46043.470289351855</v>
      </c>
    </row>
    <row r="7978" spans="1:10" x14ac:dyDescent="0.2">
      <c r="A7978" s="4" t="s">
        <v>1</v>
      </c>
      <c r="B7978" s="3" t="str">
        <f>HYPERLINK("https://otsuka-europe-crm.veevavault.com/ui/#object/approved_document__v/V5OZ06G6O6RFL1P", "ES Veeva Privacy Notice Email")</f>
        <v>ES Veeva Privacy Notice Email</v>
      </c>
      <c r="C7978" s="3" t="str">
        <f>HYPERLINK("https://otsuka-europe-crm.veevavault.com/ui/#object/sent_email__v/VBL000000015282", "SE-001400735")</f>
        <v>SE-001400735</v>
      </c>
      <c r="D7978" s="1">
        <v>46043.727546296293</v>
      </c>
      <c r="E7978" s="2">
        <v>1</v>
      </c>
      <c r="F7978" s="2">
        <v>2</v>
      </c>
      <c r="G7978" s="2">
        <v>0</v>
      </c>
      <c r="H7978" s="1" t="s">
        <v>0</v>
      </c>
      <c r="I7978" s="2">
        <v>0</v>
      </c>
      <c r="J7978" s="1">
        <v>46043.618645833332</v>
      </c>
    </row>
    <row r="7979" spans="1:10" x14ac:dyDescent="0.2">
      <c r="A7979" s="4" t="s">
        <v>1</v>
      </c>
      <c r="B7979" s="3" t="str">
        <f>HYPERLINK("https://otsuka-europe-crm.veevavault.com/ui/#object/approved_document__v/V5OZ06G6O6RFL1P", "ES Veeva Privacy Notice Email")</f>
        <v>ES Veeva Privacy Notice Email</v>
      </c>
      <c r="C7979" s="3" t="str">
        <f>HYPERLINK("https://otsuka-europe-crm.veevavault.com/ui/#object/sent_email__v/VBL000000016480", "SE-001400761")</f>
        <v>SE-001400761</v>
      </c>
      <c r="D7979" s="1">
        <v>46044.379143518519</v>
      </c>
      <c r="E7979" s="2">
        <v>1</v>
      </c>
      <c r="F7979" s="2">
        <v>1</v>
      </c>
      <c r="G7979" s="2">
        <v>0</v>
      </c>
      <c r="H7979" s="1" t="s">
        <v>0</v>
      </c>
      <c r="I7979" s="2">
        <v>0</v>
      </c>
      <c r="J7979" s="1">
        <v>46044.378993055558</v>
      </c>
    </row>
    <row r="7980" spans="1:10" x14ac:dyDescent="0.2">
      <c r="A7980" s="4" t="s">
        <v>1</v>
      </c>
      <c r="B7980" s="3" t="str">
        <f>HYPERLINK("https://otsuka-europe-crm.veevavault.com/ui/#object/approved_document__v/V5OZ06G6O6RFL1P", "ES Veeva Privacy Notice Email")</f>
        <v>ES Veeva Privacy Notice Email</v>
      </c>
      <c r="C7980" s="3" t="str">
        <f>HYPERLINK("https://otsuka-europe-crm.veevavault.com/ui/#object/sent_email__v/VBL000000016481", "SE-001400762")</f>
        <v>SE-001400762</v>
      </c>
      <c r="D7980" s="1">
        <v>46044.386724537035</v>
      </c>
      <c r="E7980" s="2">
        <v>1</v>
      </c>
      <c r="F7980" s="2">
        <v>1</v>
      </c>
      <c r="G7980" s="2">
        <v>0</v>
      </c>
      <c r="H7980" s="1" t="s">
        <v>0</v>
      </c>
      <c r="I7980" s="2">
        <v>0</v>
      </c>
      <c r="J7980" s="1">
        <v>46044.379120370373</v>
      </c>
    </row>
    <row r="7981" spans="1:10" x14ac:dyDescent="0.2">
      <c r="A7981" s="4" t="s">
        <v>1</v>
      </c>
      <c r="B7981" s="3" t="str">
        <f>HYPERLINK("https://otsuka-europe-crm.veevavault.com/ui/#object/approved_document__v/V5OZ06G6O6RFL1P", "ES Veeva Privacy Notice Email")</f>
        <v>ES Veeva Privacy Notice Email</v>
      </c>
      <c r="C7981" s="3" t="str">
        <f>HYPERLINK("https://otsuka-europe-crm.veevavault.com/ui/#object/sent_email__v/VBL000000016482", "SE-001400763")</f>
        <v>SE-001400763</v>
      </c>
      <c r="D7981" s="1">
        <v>46045.621365740742</v>
      </c>
      <c r="E7981" s="2">
        <v>1</v>
      </c>
      <c r="F7981" s="2">
        <v>2</v>
      </c>
      <c r="G7981" s="2">
        <v>0</v>
      </c>
      <c r="H7981" s="1" t="s">
        <v>0</v>
      </c>
      <c r="I7981" s="2">
        <v>0</v>
      </c>
      <c r="J7981" s="1">
        <v>46044.384016203701</v>
      </c>
    </row>
    <row r="7982" spans="1:10" x14ac:dyDescent="0.2">
      <c r="A7982" s="4" t="s">
        <v>1</v>
      </c>
      <c r="B7982" s="3" t="str">
        <f>HYPERLINK("https://otsuka-europe-crm.veevavault.com/ui/#object/approved_document__v/V5OZ06G6O6RFL1P", "ES Veeva Privacy Notice Email")</f>
        <v>ES Veeva Privacy Notice Email</v>
      </c>
      <c r="C7982" s="3" t="str">
        <f>HYPERLINK("https://otsuka-europe-crm.veevavault.com/ui/#object/sent_email__v/VBL000000016484", "SE-001400768")</f>
        <v>SE-001400768</v>
      </c>
      <c r="D7982" s="1" t="s">
        <v>0</v>
      </c>
      <c r="E7982" s="2">
        <v>0</v>
      </c>
      <c r="F7982" s="2">
        <v>0</v>
      </c>
      <c r="G7982" s="2">
        <v>0</v>
      </c>
      <c r="H7982" s="1" t="s">
        <v>0</v>
      </c>
      <c r="I7982" s="2">
        <v>0</v>
      </c>
      <c r="J7982" s="1">
        <v>46044.410543981481</v>
      </c>
    </row>
    <row r="7983" spans="1:10" x14ac:dyDescent="0.2">
      <c r="A7983" s="4" t="s">
        <v>1</v>
      </c>
      <c r="B7983" s="3" t="str">
        <f>HYPERLINK("https://otsuka-europe-crm.veevavault.com/ui/#object/approved_document__v/V5OZ06G6O6RFL1P", "ES Veeva Privacy Notice Email")</f>
        <v>ES Veeva Privacy Notice Email</v>
      </c>
      <c r="C7983" s="3" t="str">
        <f>HYPERLINK("https://otsuka-europe-crm.veevavault.com/ui/#object/sent_email__v/VBL000000015295", "SE-001400771")</f>
        <v>SE-001400771</v>
      </c>
      <c r="D7983" s="1" t="s">
        <v>0</v>
      </c>
      <c r="E7983" s="2">
        <v>0</v>
      </c>
      <c r="F7983" s="2">
        <v>0</v>
      </c>
      <c r="G7983" s="2">
        <v>0</v>
      </c>
      <c r="H7983" s="1" t="s">
        <v>0</v>
      </c>
      <c r="I7983" s="2">
        <v>0</v>
      </c>
      <c r="J7983" s="1">
        <v>46044.425266203703</v>
      </c>
    </row>
    <row r="7984" spans="1:10" x14ac:dyDescent="0.2">
      <c r="A7984" s="4" t="s">
        <v>1</v>
      </c>
      <c r="B7984" s="3" t="str">
        <f>HYPERLINK("https://otsuka-europe-crm.veevavault.com/ui/#object/approved_document__v/V5OZ06G6O6RFL1P", "ES Veeva Privacy Notice Email")</f>
        <v>ES Veeva Privacy Notice Email</v>
      </c>
      <c r="C7984" s="3" t="str">
        <f>HYPERLINK("https://otsuka-europe-crm.veevavault.com/ui/#object/sent_email__v/VBL000000015299", "SE-001400782")</f>
        <v>SE-001400782</v>
      </c>
      <c r="D7984" s="1">
        <v>46044.490439814814</v>
      </c>
      <c r="E7984" s="2">
        <v>1</v>
      </c>
      <c r="F7984" s="2">
        <v>1</v>
      </c>
      <c r="G7984" s="2">
        <v>0</v>
      </c>
      <c r="H7984" s="1" t="s">
        <v>0</v>
      </c>
      <c r="I7984" s="2">
        <v>0</v>
      </c>
      <c r="J7984" s="1">
        <v>46044.478182870371</v>
      </c>
    </row>
    <row r="7985" spans="1:10" x14ac:dyDescent="0.2">
      <c r="A7985" s="4" t="s">
        <v>1</v>
      </c>
      <c r="B7985" s="3" t="str">
        <f>HYPERLINK("https://otsuka-europe-crm.veevavault.com/ui/#object/approved_document__v/V5OZ06G6O6RFL1P", "ES Veeva Privacy Notice Email")</f>
        <v>ES Veeva Privacy Notice Email</v>
      </c>
      <c r="C7985" s="3" t="str">
        <f>HYPERLINK("https://otsuka-europe-crm.veevavault.com/ui/#object/sent_email__v/VBL000000016519", "SE-001400811")</f>
        <v>SE-001400811</v>
      </c>
      <c r="D7985" s="1" t="s">
        <v>0</v>
      </c>
      <c r="E7985" s="2">
        <v>0</v>
      </c>
      <c r="F7985" s="2">
        <v>0</v>
      </c>
      <c r="G7985" s="2">
        <v>0</v>
      </c>
      <c r="H7985" s="1" t="s">
        <v>0</v>
      </c>
      <c r="I7985" s="2">
        <v>0</v>
      </c>
      <c r="J7985" s="1">
        <v>46044.573344907411</v>
      </c>
    </row>
    <row r="7986" spans="1:10" x14ac:dyDescent="0.2">
      <c r="A7986" s="4" t="s">
        <v>1</v>
      </c>
      <c r="B7986" s="3" t="str">
        <f>HYPERLINK("https://otsuka-europe-crm.veevavault.com/ui/#object/approved_document__v/V5OZ06G6O6RFL1P", "ES Veeva Privacy Notice Email")</f>
        <v>ES Veeva Privacy Notice Email</v>
      </c>
      <c r="C7986" s="3" t="str">
        <f>HYPERLINK("https://otsuka-europe-crm.veevavault.com/ui/#object/sent_email__v/VBL000000015314", "SE-001400824")</f>
        <v>SE-001400824</v>
      </c>
      <c r="D7986" s="1" t="s">
        <v>0</v>
      </c>
      <c r="E7986" s="2">
        <v>0</v>
      </c>
      <c r="F7986" s="2">
        <v>0</v>
      </c>
      <c r="G7986" s="2">
        <v>0</v>
      </c>
      <c r="H7986" s="1" t="s">
        <v>0</v>
      </c>
      <c r="I7986" s="2">
        <v>0</v>
      </c>
      <c r="J7986" s="1">
        <v>46044.662673611114</v>
      </c>
    </row>
    <row r="7987" spans="1:10" x14ac:dyDescent="0.2">
      <c r="A7987" s="4" t="s">
        <v>1</v>
      </c>
      <c r="B7987" s="3" t="str">
        <f>HYPERLINK("https://otsuka-europe-crm.veevavault.com/ui/#object/approved_document__v/V5OZ06G6O6RFL1P", "ES Veeva Privacy Notice Email")</f>
        <v>ES Veeva Privacy Notice Email</v>
      </c>
      <c r="C7987" s="3" t="str">
        <f>HYPERLINK("https://otsuka-europe-crm.veevavault.com/ui/#object/sent_email__v/VBL000000015315", "SE-001400825")</f>
        <v>SE-001400825</v>
      </c>
      <c r="D7987" s="1">
        <v>46045.545914351853</v>
      </c>
      <c r="E7987" s="2">
        <v>1</v>
      </c>
      <c r="F7987" s="2">
        <v>2</v>
      </c>
      <c r="G7987" s="2">
        <v>0</v>
      </c>
      <c r="H7987" s="1" t="s">
        <v>0</v>
      </c>
      <c r="I7987" s="2">
        <v>0</v>
      </c>
      <c r="J7987" s="1">
        <v>46044.663240740738</v>
      </c>
    </row>
    <row r="7988" spans="1:10" x14ac:dyDescent="0.2">
      <c r="A7988" s="4" t="s">
        <v>1</v>
      </c>
      <c r="B7988" s="3" t="str">
        <f>HYPERLINK("https://otsuka-europe-crm.veevavault.com/ui/#object/approved_document__v/V5OZ06G6O6RFL1P", "ES Veeva Privacy Notice Email")</f>
        <v>ES Veeva Privacy Notice Email</v>
      </c>
      <c r="C7988" s="3" t="str">
        <f>HYPERLINK("https://otsuka-europe-crm.veevavault.com/ui/#object/sent_email__v/VBL000000016530", "SE-001400829")</f>
        <v>SE-001400829</v>
      </c>
      <c r="D7988" s="1" t="s">
        <v>0</v>
      </c>
      <c r="E7988" s="2">
        <v>0</v>
      </c>
      <c r="F7988" s="2">
        <v>0</v>
      </c>
      <c r="G7988" s="2">
        <v>0</v>
      </c>
      <c r="H7988" s="1" t="s">
        <v>0</v>
      </c>
      <c r="I7988" s="2">
        <v>0</v>
      </c>
      <c r="J7988" s="1">
        <v>46044.668749999997</v>
      </c>
    </row>
    <row r="7989" spans="1:10" x14ac:dyDescent="0.2">
      <c r="A7989" s="4" t="s">
        <v>1</v>
      </c>
      <c r="B7989" s="3" t="str">
        <f>HYPERLINK("https://otsuka-europe-crm.veevavault.com/ui/#object/approved_document__v/V5OZ06G6O6RFL1P", "ES Veeva Privacy Notice Email")</f>
        <v>ES Veeva Privacy Notice Email</v>
      </c>
      <c r="C7989" s="3" t="str">
        <f>HYPERLINK("https://otsuka-europe-crm.veevavault.com/ui/#object/sent_email__v/VBL000000016540", "SE-001400845")</f>
        <v>SE-001400845</v>
      </c>
      <c r="D7989" s="1" t="s">
        <v>0</v>
      </c>
      <c r="E7989" s="2">
        <v>0</v>
      </c>
      <c r="F7989" s="2">
        <v>0</v>
      </c>
      <c r="G7989" s="2">
        <v>0</v>
      </c>
      <c r="H7989" s="1" t="s">
        <v>0</v>
      </c>
      <c r="I7989" s="2">
        <v>0</v>
      </c>
      <c r="J7989" s="1">
        <v>46045.352407407408</v>
      </c>
    </row>
    <row r="7990" spans="1:10" x14ac:dyDescent="0.2">
      <c r="A7990" s="4" t="s">
        <v>1</v>
      </c>
      <c r="B7990" s="3" t="str">
        <f>HYPERLINK("https://otsuka-europe-crm.veevavault.com/ui/#object/approved_document__v/V5OZ06G6O6RFL1P", "ES Veeva Privacy Notice Email")</f>
        <v>ES Veeva Privacy Notice Email</v>
      </c>
      <c r="C7990" s="3" t="str">
        <f>HYPERLINK("https://otsuka-europe-crm.veevavault.com/ui/#object/sent_email__v/VBL000000016596", "SE-001400913")</f>
        <v>SE-001400913</v>
      </c>
      <c r="D7990" s="1" t="s">
        <v>0</v>
      </c>
      <c r="E7990" s="2">
        <v>0</v>
      </c>
      <c r="F7990" s="2">
        <v>0</v>
      </c>
      <c r="G7990" s="2">
        <v>0</v>
      </c>
      <c r="H7990" s="1" t="s">
        <v>0</v>
      </c>
      <c r="I7990" s="2">
        <v>0</v>
      </c>
      <c r="J7990" s="1">
        <v>46048.390821759262</v>
      </c>
    </row>
    <row r="7991" spans="1:10" x14ac:dyDescent="0.2">
      <c r="A7991" s="4" t="s">
        <v>1</v>
      </c>
      <c r="B7991" s="3" t="str">
        <f>HYPERLINK("https://otsuka-europe-crm.veevavault.com/ui/#object/approved_document__v/V5OZ06G6O6RFL1P", "ES Veeva Privacy Notice Email")</f>
        <v>ES Veeva Privacy Notice Email</v>
      </c>
      <c r="C7991" s="3" t="str">
        <f>HYPERLINK("https://otsuka-europe-crm.veevavault.com/ui/#object/sent_email__v/VBL000000016605", "SE-001400928")</f>
        <v>SE-001400928</v>
      </c>
      <c r="D7991" s="1">
        <v>46048.922546296293</v>
      </c>
      <c r="E7991" s="2">
        <v>1</v>
      </c>
      <c r="F7991" s="2">
        <v>2</v>
      </c>
      <c r="G7991" s="2">
        <v>0</v>
      </c>
      <c r="H7991" s="1" t="s">
        <v>0</v>
      </c>
      <c r="I7991" s="2">
        <v>0</v>
      </c>
      <c r="J7991" s="1">
        <v>46048.45380787037</v>
      </c>
    </row>
    <row r="7992" spans="1:10" x14ac:dyDescent="0.2">
      <c r="A7992" s="4" t="s">
        <v>1</v>
      </c>
      <c r="B7992" s="3" t="str">
        <f>HYPERLINK("https://otsuka-europe-crm.veevavault.com/ui/#object/approved_document__v/V5OZ06G6O6RFL1P", "ES Veeva Privacy Notice Email")</f>
        <v>ES Veeva Privacy Notice Email</v>
      </c>
      <c r="C7992" s="3" t="str">
        <f>HYPERLINK("https://otsuka-europe-crm.veevavault.com/ui/#object/sent_email__v/VBL000000016606", "SE-001400929")</f>
        <v>SE-001400929</v>
      </c>
      <c r="D7992" s="1">
        <v>46048.984861111108</v>
      </c>
      <c r="E7992" s="2">
        <v>1</v>
      </c>
      <c r="F7992" s="2">
        <v>1</v>
      </c>
      <c r="G7992" s="2">
        <v>0</v>
      </c>
      <c r="H7992" s="1" t="s">
        <v>0</v>
      </c>
      <c r="I7992" s="2">
        <v>0</v>
      </c>
      <c r="J7992" s="1">
        <v>46048.455277777779</v>
      </c>
    </row>
    <row r="7993" spans="1:10" x14ac:dyDescent="0.2">
      <c r="A7993" s="4" t="s">
        <v>1</v>
      </c>
      <c r="B7993" s="3" t="str">
        <f>HYPERLINK("https://otsuka-europe-crm.veevavault.com/ui/#object/approved_document__v/V5OZ06G6O6RFL1P", "ES Veeva Privacy Notice Email")</f>
        <v>ES Veeva Privacy Notice Email</v>
      </c>
      <c r="C7993" s="3" t="str">
        <f>HYPERLINK("https://otsuka-europe-crm.veevavault.com/ui/#object/sent_email__v/VBL000000016607", "SE-001400930")</f>
        <v>SE-001400930</v>
      </c>
      <c r="D7993" s="1">
        <v>46048.459976851853</v>
      </c>
      <c r="E7993" s="2">
        <v>1</v>
      </c>
      <c r="F7993" s="2">
        <v>1</v>
      </c>
      <c r="G7993" s="2">
        <v>0</v>
      </c>
      <c r="H7993" s="1" t="s">
        <v>0</v>
      </c>
      <c r="I7993" s="2">
        <v>0</v>
      </c>
      <c r="J7993" s="1">
        <v>46048.456701388888</v>
      </c>
    </row>
    <row r="7994" spans="1:10" x14ac:dyDescent="0.2">
      <c r="A7994" s="4" t="s">
        <v>1</v>
      </c>
      <c r="B7994" s="3" t="str">
        <f>HYPERLINK("https://otsuka-europe-crm.veevavault.com/ui/#object/approved_document__v/V5OZ06G6O6RFL1P", "ES Veeva Privacy Notice Email")</f>
        <v>ES Veeva Privacy Notice Email</v>
      </c>
      <c r="C7994" s="3" t="str">
        <f>HYPERLINK("https://otsuka-europe-crm.veevavault.com/ui/#object/sent_email__v/VBL000000016608", "SE-001400931")</f>
        <v>SE-001400931</v>
      </c>
      <c r="D7994" s="1">
        <v>46048.459872685184</v>
      </c>
      <c r="E7994" s="2">
        <v>1</v>
      </c>
      <c r="F7994" s="2">
        <v>1</v>
      </c>
      <c r="G7994" s="2">
        <v>0</v>
      </c>
      <c r="H7994" s="1" t="s">
        <v>0</v>
      </c>
      <c r="I7994" s="2">
        <v>0</v>
      </c>
      <c r="J7994" s="1">
        <v>46048.456886574073</v>
      </c>
    </row>
    <row r="7995" spans="1:10" x14ac:dyDescent="0.2">
      <c r="A7995" s="4" t="s">
        <v>1</v>
      </c>
      <c r="B7995" s="3" t="str">
        <f>HYPERLINK("https://otsuka-europe-crm.veevavault.com/ui/#object/approved_document__v/V5OZ06G6O6RFL1P", "ES Veeva Privacy Notice Email")</f>
        <v>ES Veeva Privacy Notice Email</v>
      </c>
      <c r="C7995" s="3" t="str">
        <f>HYPERLINK("https://otsuka-europe-crm.veevavault.com/ui/#object/sent_email__v/VBL000000015349", "SE-001400932")</f>
        <v>SE-001400932</v>
      </c>
      <c r="D7995" s="1">
        <v>46054.865752314814</v>
      </c>
      <c r="E7995" s="2">
        <v>1</v>
      </c>
      <c r="F7995" s="2">
        <v>2</v>
      </c>
      <c r="G7995" s="2">
        <v>0</v>
      </c>
      <c r="H7995" s="1" t="s">
        <v>0</v>
      </c>
      <c r="I7995" s="2">
        <v>0</v>
      </c>
      <c r="J7995" s="1">
        <v>46048.458321759259</v>
      </c>
    </row>
    <row r="7996" spans="1:10" x14ac:dyDescent="0.2">
      <c r="A7996" s="4" t="s">
        <v>1</v>
      </c>
      <c r="B7996" s="3" t="str">
        <f>HYPERLINK("https://otsuka-europe-crm.veevavault.com/ui/#object/approved_document__v/V5OZ06G6O6RFL1P", "ES Veeva Privacy Notice Email")</f>
        <v>ES Veeva Privacy Notice Email</v>
      </c>
      <c r="C7996" s="3" t="str">
        <f>HYPERLINK("https://otsuka-europe-crm.veevavault.com/ui/#object/sent_email__v/VBL000000015350", "SE-001400933")</f>
        <v>SE-001400933</v>
      </c>
      <c r="D7996" s="1" t="s">
        <v>0</v>
      </c>
      <c r="E7996" s="2">
        <v>0</v>
      </c>
      <c r="F7996" s="2">
        <v>0</v>
      </c>
      <c r="G7996" s="2">
        <v>0</v>
      </c>
      <c r="H7996" s="1" t="s">
        <v>0</v>
      </c>
      <c r="I7996" s="2">
        <v>0</v>
      </c>
      <c r="J7996" s="1">
        <v>46048.461608796293</v>
      </c>
    </row>
    <row r="7997" spans="1:10" x14ac:dyDescent="0.2">
      <c r="A7997" s="4" t="s">
        <v>1</v>
      </c>
      <c r="B7997" s="3" t="str">
        <f>HYPERLINK("https://otsuka-europe-crm.veevavault.com/ui/#object/approved_document__v/V5OZ06G6O6RFL1P", "ES Veeva Privacy Notice Email")</f>
        <v>ES Veeva Privacy Notice Email</v>
      </c>
      <c r="C7997" s="3" t="str">
        <f>HYPERLINK("https://otsuka-europe-crm.veevavault.com/ui/#object/sent_email__v/VBL000000016609", "SE-001400934")</f>
        <v>SE-001400934</v>
      </c>
      <c r="D7997" s="1">
        <v>46048.824513888889</v>
      </c>
      <c r="E7997" s="2">
        <v>1</v>
      </c>
      <c r="F7997" s="2">
        <v>2</v>
      </c>
      <c r="G7997" s="2">
        <v>0</v>
      </c>
      <c r="H7997" s="1" t="s">
        <v>0</v>
      </c>
      <c r="I7997" s="2">
        <v>0</v>
      </c>
      <c r="J7997" s="1">
        <v>46048.461805555555</v>
      </c>
    </row>
    <row r="7998" spans="1:10" x14ac:dyDescent="0.2">
      <c r="A7998" s="4" t="s">
        <v>1</v>
      </c>
      <c r="B7998" s="3" t="str">
        <f>HYPERLINK("https://otsuka-europe-crm.veevavault.com/ui/#object/approved_document__v/V5OZ06G6O6RFL1P", "ES Veeva Privacy Notice Email")</f>
        <v>ES Veeva Privacy Notice Email</v>
      </c>
      <c r="C7998" s="3" t="str">
        <f>HYPERLINK("https://otsuka-europe-crm.veevavault.com/ui/#object/sent_email__v/VBL000000015351", "SE-001400935")</f>
        <v>SE-001400935</v>
      </c>
      <c r="D7998" s="1">
        <v>46048.927974537037</v>
      </c>
      <c r="E7998" s="2">
        <v>1</v>
      </c>
      <c r="F7998" s="2">
        <v>1</v>
      </c>
      <c r="G7998" s="2">
        <v>0</v>
      </c>
      <c r="H7998" s="1" t="s">
        <v>0</v>
      </c>
      <c r="I7998" s="2">
        <v>0</v>
      </c>
      <c r="J7998" s="1">
        <v>46048.463460648149</v>
      </c>
    </row>
    <row r="7999" spans="1:10" x14ac:dyDescent="0.2">
      <c r="A7999" s="4" t="s">
        <v>1</v>
      </c>
      <c r="B7999" s="3" t="str">
        <f>HYPERLINK("https://otsuka-europe-crm.veevavault.com/ui/#object/approved_document__v/V5OZ06G6O6RFL1P", "ES Veeva Privacy Notice Email")</f>
        <v>ES Veeva Privacy Notice Email</v>
      </c>
      <c r="C7999" s="3" t="str">
        <f>HYPERLINK("https://otsuka-europe-crm.veevavault.com/ui/#object/sent_email__v/VBL000000016610", "SE-001400937")</f>
        <v>SE-001400937</v>
      </c>
      <c r="D7999" s="1" t="s">
        <v>0</v>
      </c>
      <c r="E7999" s="2">
        <v>0</v>
      </c>
      <c r="F7999" s="2">
        <v>0</v>
      </c>
      <c r="G7999" s="2">
        <v>0</v>
      </c>
      <c r="H7999" s="1" t="s">
        <v>0</v>
      </c>
      <c r="I7999" s="2">
        <v>0</v>
      </c>
      <c r="J7999" s="1">
        <v>46048.465381944443</v>
      </c>
    </row>
    <row r="8000" spans="1:10" x14ac:dyDescent="0.2">
      <c r="A8000" s="4" t="s">
        <v>1</v>
      </c>
      <c r="B8000" s="3" t="str">
        <f>HYPERLINK("https://otsuka-europe-crm.veevavault.com/ui/#object/approved_document__v/V5OZ06G6O6RFL1P", "ES Veeva Privacy Notice Email")</f>
        <v>ES Veeva Privacy Notice Email</v>
      </c>
      <c r="C8000" s="3" t="str">
        <f>HYPERLINK("https://otsuka-europe-crm.veevavault.com/ui/#object/sent_email__v/VBL000000015353", "SE-001400938")</f>
        <v>SE-001400938</v>
      </c>
      <c r="D8000" s="1" t="s">
        <v>0</v>
      </c>
      <c r="E8000" s="2">
        <v>0</v>
      </c>
      <c r="F8000" s="2">
        <v>0</v>
      </c>
      <c r="G8000" s="2">
        <v>0</v>
      </c>
      <c r="H8000" s="1" t="s">
        <v>0</v>
      </c>
      <c r="I8000" s="2">
        <v>0</v>
      </c>
      <c r="J8000" s="1">
        <v>46048.467268518521</v>
      </c>
    </row>
    <row r="8001" spans="1:10" x14ac:dyDescent="0.2">
      <c r="A8001" s="4" t="s">
        <v>1</v>
      </c>
      <c r="B8001" s="3" t="str">
        <f>HYPERLINK("https://otsuka-europe-crm.veevavault.com/ui/#object/approved_document__v/V5OZ06G6O6RFL1P", "ES Veeva Privacy Notice Email")</f>
        <v>ES Veeva Privacy Notice Email</v>
      </c>
      <c r="C8001" s="3" t="str">
        <f>HYPERLINK("https://otsuka-europe-crm.veevavault.com/ui/#object/sent_email__v/VBL000000015354", "SE-001400939")</f>
        <v>SE-001400939</v>
      </c>
      <c r="D8001" s="1">
        <v>46048.492766203701</v>
      </c>
      <c r="E8001" s="2">
        <v>1</v>
      </c>
      <c r="F8001" s="2">
        <v>2</v>
      </c>
      <c r="G8001" s="2">
        <v>0</v>
      </c>
      <c r="H8001" s="1" t="s">
        <v>0</v>
      </c>
      <c r="I8001" s="2">
        <v>0</v>
      </c>
      <c r="J8001" s="1">
        <v>46048.473368055558</v>
      </c>
    </row>
    <row r="8002" spans="1:10" x14ac:dyDescent="0.2">
      <c r="A8002" s="4" t="s">
        <v>1</v>
      </c>
      <c r="B8002" s="3" t="str">
        <f>HYPERLINK("https://otsuka-europe-crm.veevavault.com/ui/#object/approved_document__v/V5OZ06G6O6RFL1P", "ES Veeva Privacy Notice Email")</f>
        <v>ES Veeva Privacy Notice Email</v>
      </c>
      <c r="C8002" s="3" t="str">
        <f>HYPERLINK("https://otsuka-europe-crm.veevavault.com/ui/#object/sent_email__v/VBL000000015357", "SE-001400940")</f>
        <v>SE-001400940</v>
      </c>
      <c r="D8002" s="1">
        <v>46050.523518518516</v>
      </c>
      <c r="E8002" s="2">
        <v>1</v>
      </c>
      <c r="F8002" s="2">
        <v>1</v>
      </c>
      <c r="G8002" s="2">
        <v>0</v>
      </c>
      <c r="H8002" s="1" t="s">
        <v>0</v>
      </c>
      <c r="I8002" s="2">
        <v>0</v>
      </c>
      <c r="J8002" s="1">
        <v>46048.476041666669</v>
      </c>
    </row>
    <row r="8003" spans="1:10" x14ac:dyDescent="0.2">
      <c r="A8003" s="4" t="s">
        <v>1</v>
      </c>
      <c r="B8003" s="3" t="str">
        <f>HYPERLINK("https://otsuka-europe-crm.veevavault.com/ui/#object/approved_document__v/V5OZ06G6O6RFL1P", "ES Veeva Privacy Notice Email")</f>
        <v>ES Veeva Privacy Notice Email</v>
      </c>
      <c r="C8003" s="3" t="str">
        <f>HYPERLINK("https://otsuka-europe-crm.veevavault.com/ui/#object/sent_email__v/VBL000000015362", "SE-001400948")</f>
        <v>SE-001400948</v>
      </c>
      <c r="D8003" s="1" t="s">
        <v>0</v>
      </c>
      <c r="E8003" s="2">
        <v>0</v>
      </c>
      <c r="F8003" s="2">
        <v>0</v>
      </c>
      <c r="G8003" s="2">
        <v>0</v>
      </c>
      <c r="H8003" s="1" t="s">
        <v>0</v>
      </c>
      <c r="I8003" s="2">
        <v>0</v>
      </c>
      <c r="J8003" s="1">
        <v>46048.555868055555</v>
      </c>
    </row>
    <row r="8004" spans="1:10" x14ac:dyDescent="0.2">
      <c r="A8004" s="4" t="s">
        <v>1</v>
      </c>
      <c r="B8004" s="3" t="str">
        <f>HYPERLINK("https://otsuka-europe-crm.veevavault.com/ui/#object/approved_document__v/V5OZ06G6O6RFL1P", "ES Veeva Privacy Notice Email")</f>
        <v>ES Veeva Privacy Notice Email</v>
      </c>
      <c r="C8004" s="3" t="str">
        <f>HYPERLINK("https://otsuka-europe-crm.veevavault.com/ui/#object/sent_email__v/VBL000000016635", "SE-001400990")</f>
        <v>SE-001400990</v>
      </c>
      <c r="D8004" s="1" t="s">
        <v>0</v>
      </c>
      <c r="E8004" s="2">
        <v>0</v>
      </c>
      <c r="F8004" s="2">
        <v>0</v>
      </c>
      <c r="G8004" s="2">
        <v>0</v>
      </c>
      <c r="H8004" s="1" t="s">
        <v>0</v>
      </c>
      <c r="I8004" s="2">
        <v>0</v>
      </c>
      <c r="J8004" s="1">
        <v>46048.613437499997</v>
      </c>
    </row>
    <row r="8005" spans="1:10" x14ac:dyDescent="0.2">
      <c r="A8005" s="4" t="s">
        <v>1</v>
      </c>
      <c r="B8005" s="3" t="str">
        <f>HYPERLINK("https://otsuka-europe-crm.veevavault.com/ui/#object/approved_document__v/V5OZ06G6O6RFL1P", "ES Veeva Privacy Notice Email")</f>
        <v>ES Veeva Privacy Notice Email</v>
      </c>
      <c r="C8005" s="3" t="str">
        <f>HYPERLINK("https://otsuka-europe-crm.veevavault.com/ui/#object/sent_email__v/VBL000000015388", "SE-001401094")</f>
        <v>SE-001401094</v>
      </c>
      <c r="D8005" s="1">
        <v>46050.330671296295</v>
      </c>
      <c r="E8005" s="2">
        <v>1</v>
      </c>
      <c r="F8005" s="2">
        <v>3</v>
      </c>
      <c r="G8005" s="2">
        <v>0</v>
      </c>
      <c r="H8005" s="1" t="s">
        <v>0</v>
      </c>
      <c r="I8005" s="2">
        <v>0</v>
      </c>
      <c r="J8005" s="1">
        <v>46048.673819444448</v>
      </c>
    </row>
    <row r="8006" spans="1:10" x14ac:dyDescent="0.2">
      <c r="A8006" s="4" t="s">
        <v>1</v>
      </c>
      <c r="B8006" s="3" t="str">
        <f>HYPERLINK("https://otsuka-europe-crm.veevavault.com/ui/#object/approved_document__v/V5OZ06G6O6RFL1P", "ES Veeva Privacy Notice Email")</f>
        <v>ES Veeva Privacy Notice Email</v>
      </c>
      <c r="C8006" s="3" t="str">
        <f>HYPERLINK("https://otsuka-europe-crm.veevavault.com/ui/#object/sent_email__v/VBL000000015810", "SE-001401681")</f>
        <v>SE-001401681</v>
      </c>
      <c r="D8006" s="1">
        <v>46049.400219907409</v>
      </c>
      <c r="E8006" s="2">
        <v>1</v>
      </c>
      <c r="F8006" s="2">
        <v>1</v>
      </c>
      <c r="G8006" s="2">
        <v>0</v>
      </c>
      <c r="H8006" s="1" t="s">
        <v>0</v>
      </c>
      <c r="I8006" s="2">
        <v>0</v>
      </c>
      <c r="J8006" s="1">
        <v>46049.358993055554</v>
      </c>
    </row>
    <row r="8007" spans="1:10" x14ac:dyDescent="0.2">
      <c r="A8007" s="4" t="s">
        <v>1</v>
      </c>
      <c r="B8007" s="3" t="str">
        <f>HYPERLINK("https://otsuka-europe-crm.veevavault.com/ui/#object/approved_document__v/V5OZ06G6O6RFL1P", "ES Veeva Privacy Notice Email")</f>
        <v>ES Veeva Privacy Notice Email</v>
      </c>
      <c r="C8007" s="3" t="str">
        <f>HYPERLINK("https://otsuka-europe-crm.veevavault.com/ui/#object/sent_email__v/VBL000000017049", "SE-001402008")</f>
        <v>SE-001402008</v>
      </c>
      <c r="D8007" s="1" t="s">
        <v>0</v>
      </c>
      <c r="E8007" s="2">
        <v>0</v>
      </c>
      <c r="F8007" s="2">
        <v>0</v>
      </c>
      <c r="G8007" s="2">
        <v>0</v>
      </c>
      <c r="H8007" s="1" t="s">
        <v>0</v>
      </c>
      <c r="I8007" s="2">
        <v>0</v>
      </c>
      <c r="J8007" s="1">
        <v>46049.643333333333</v>
      </c>
    </row>
    <row r="8008" spans="1:10" x14ac:dyDescent="0.2">
      <c r="A8008" s="4" t="s">
        <v>1</v>
      </c>
      <c r="B8008" s="3" t="str">
        <f>HYPERLINK("https://otsuka-europe-crm.veevavault.com/ui/#object/approved_document__v/V5OZ06G6O6RFL1P", "ES Veeva Privacy Notice Email")</f>
        <v>ES Veeva Privacy Notice Email</v>
      </c>
      <c r="C8008" s="3" t="str">
        <f>HYPERLINK("https://otsuka-europe-crm.veevavault.com/ui/#object/sent_email__v/VBL000000018005", "SE-001402009")</f>
        <v>SE-001402009</v>
      </c>
      <c r="D8008" s="1" t="s">
        <v>0</v>
      </c>
      <c r="E8008" s="2">
        <v>0</v>
      </c>
      <c r="F8008" s="2">
        <v>0</v>
      </c>
      <c r="G8008" s="2">
        <v>0</v>
      </c>
      <c r="H8008" s="1" t="s">
        <v>0</v>
      </c>
      <c r="I8008" s="2">
        <v>0</v>
      </c>
      <c r="J8008" s="1">
        <v>46049.644224537034</v>
      </c>
    </row>
    <row r="8009" spans="1:10" x14ac:dyDescent="0.2">
      <c r="A8009" s="4" t="s">
        <v>1</v>
      </c>
      <c r="B8009" s="3" t="str">
        <f>HYPERLINK("https://otsuka-europe-crm.veevavault.com/ui/#object/approved_document__v/V5OZ06G6O6RFL1P", "ES Veeva Privacy Notice Email")</f>
        <v>ES Veeva Privacy Notice Email</v>
      </c>
      <c r="C8009" s="3" t="str">
        <f>HYPERLINK("https://otsuka-europe-crm.veevavault.com/ui/#object/sent_email__v/VBL000000018006", "SE-001402010")</f>
        <v>SE-001402010</v>
      </c>
      <c r="D8009" s="1">
        <v>46051.885474537034</v>
      </c>
      <c r="E8009" s="2">
        <v>1</v>
      </c>
      <c r="F8009" s="2">
        <v>5</v>
      </c>
      <c r="G8009" s="2">
        <v>0</v>
      </c>
      <c r="H8009" s="1" t="s">
        <v>0</v>
      </c>
      <c r="I8009" s="2">
        <v>0</v>
      </c>
      <c r="J8009" s="1">
        <v>46049.654062499998</v>
      </c>
    </row>
    <row r="8010" spans="1:10" x14ac:dyDescent="0.2">
      <c r="A8010" s="4" t="s">
        <v>1</v>
      </c>
      <c r="B8010" s="3" t="str">
        <f>HYPERLINK("https://otsuka-europe-crm.veevavault.com/ui/#object/approved_document__v/V5OZ06G6O6RFL1P", "ES Veeva Privacy Notice Email")</f>
        <v>ES Veeva Privacy Notice Email</v>
      </c>
      <c r="C8010" s="3" t="str">
        <f>HYPERLINK("https://otsuka-europe-crm.veevavault.com/ui/#object/sent_email__v/VBL000000018007", "SE-001402011")</f>
        <v>SE-001402011</v>
      </c>
      <c r="D8010" s="1">
        <v>46049.67765046296</v>
      </c>
      <c r="E8010" s="2">
        <v>1</v>
      </c>
      <c r="F8010" s="2">
        <v>1</v>
      </c>
      <c r="G8010" s="2">
        <v>0</v>
      </c>
      <c r="H8010" s="1" t="s">
        <v>0</v>
      </c>
      <c r="I8010" s="2">
        <v>0</v>
      </c>
      <c r="J8010" s="1">
        <v>46049.655682870369</v>
      </c>
    </row>
    <row r="8011" spans="1:10" x14ac:dyDescent="0.2">
      <c r="A8011" s="4" t="s">
        <v>1</v>
      </c>
      <c r="B8011" s="3" t="str">
        <f>HYPERLINK("https://otsuka-europe-crm.veevavault.com/ui/#object/approved_document__v/V5OZ06G6O6RFL1P", "ES Veeva Privacy Notice Email")</f>
        <v>ES Veeva Privacy Notice Email</v>
      </c>
      <c r="C8011" s="3" t="str">
        <f>HYPERLINK("https://otsuka-europe-crm.veevavault.com/ui/#object/sent_email__v/VBL000000017059", "SE-001402025")</f>
        <v>SE-001402025</v>
      </c>
      <c r="D8011" s="1" t="s">
        <v>0</v>
      </c>
      <c r="E8011" s="2">
        <v>0</v>
      </c>
      <c r="F8011" s="2">
        <v>0</v>
      </c>
      <c r="G8011" s="2">
        <v>0</v>
      </c>
      <c r="H8011" s="1" t="s">
        <v>0</v>
      </c>
      <c r="I8011" s="2">
        <v>0</v>
      </c>
      <c r="J8011" s="1">
        <v>46050.34615740741</v>
      </c>
    </row>
    <row r="8012" spans="1:10" x14ac:dyDescent="0.2">
      <c r="A8012" s="4" t="s">
        <v>1</v>
      </c>
      <c r="B8012" s="3" t="str">
        <f>HYPERLINK("https://otsuka-europe-crm.veevavault.com/ui/#object/approved_document__v/V5OZ06G6O6RFL1P", "ES Veeva Privacy Notice Email")</f>
        <v>ES Veeva Privacy Notice Email</v>
      </c>
      <c r="C8012" s="3" t="str">
        <f>HYPERLINK("https://otsuka-europe-crm.veevavault.com/ui/#object/sent_email__v/VBL000000018098", "SE-001402193")</f>
        <v>SE-001402193</v>
      </c>
      <c r="D8012" s="1">
        <v>46051.994687500002</v>
      </c>
      <c r="E8012" s="2">
        <v>1</v>
      </c>
      <c r="F8012" s="2">
        <v>3</v>
      </c>
      <c r="G8012" s="2">
        <v>0</v>
      </c>
      <c r="H8012" s="1" t="s">
        <v>0</v>
      </c>
      <c r="I8012" s="2">
        <v>0</v>
      </c>
      <c r="J8012" s="1">
        <v>46051.550810185188</v>
      </c>
    </row>
    <row r="8013" spans="1:10" x14ac:dyDescent="0.2">
      <c r="A8013" s="4" t="s">
        <v>1</v>
      </c>
      <c r="B8013" s="3" t="str">
        <f>HYPERLINK("https://otsuka-europe-crm.veevavault.com/ui/#object/approved_document__v/V5OZ06G6O6RFL1P", "ES Veeva Privacy Notice Email")</f>
        <v>ES Veeva Privacy Notice Email</v>
      </c>
      <c r="C8013" s="3" t="str">
        <f>HYPERLINK("https://otsuka-europe-crm.veevavault.com/ui/#object/sent_email__v/VBL000000017150", "SE-001402194")</f>
        <v>SE-001402194</v>
      </c>
      <c r="D8013" s="1" t="s">
        <v>0</v>
      </c>
      <c r="E8013" s="2">
        <v>0</v>
      </c>
      <c r="F8013" s="2">
        <v>0</v>
      </c>
      <c r="G8013" s="2">
        <v>0</v>
      </c>
      <c r="H8013" s="1" t="s">
        <v>0</v>
      </c>
      <c r="I8013" s="2">
        <v>0</v>
      </c>
      <c r="J8013" s="1">
        <v>46051.553749999999</v>
      </c>
    </row>
    <row r="8014" spans="1:10" x14ac:dyDescent="0.2">
      <c r="A8014" s="4" t="s">
        <v>1</v>
      </c>
      <c r="B8014" s="3" t="str">
        <f>HYPERLINK("https://otsuka-europe-crm.veevavault.com/ui/#object/approved_document__v/V5OZ06G6O6RFL1P", "ES Veeva Privacy Notice Email")</f>
        <v>ES Veeva Privacy Notice Email</v>
      </c>
      <c r="C8014" s="3" t="str">
        <f>HYPERLINK("https://otsuka-europe-crm.veevavault.com/ui/#object/sent_email__v/VBL000000017151", "SE-001402195")</f>
        <v>SE-001402195</v>
      </c>
      <c r="D8014" s="1" t="s">
        <v>0</v>
      </c>
      <c r="E8014" s="2">
        <v>0</v>
      </c>
      <c r="F8014" s="2">
        <v>0</v>
      </c>
      <c r="G8014" s="2">
        <v>0</v>
      </c>
      <c r="H8014" s="1" t="s">
        <v>0</v>
      </c>
      <c r="I8014" s="2">
        <v>0</v>
      </c>
      <c r="J8014" s="1">
        <v>46051.556122685186</v>
      </c>
    </row>
    <row r="8015" spans="1:10" x14ac:dyDescent="0.2">
      <c r="A8015" s="4" t="s">
        <v>1</v>
      </c>
      <c r="B8015" s="3" t="str">
        <f>HYPERLINK("https://otsuka-europe-crm.veevavault.com/ui/#object/approved_document__v/V5OZ06G6O6RFL1P", "ES Veeva Privacy Notice Email")</f>
        <v>ES Veeva Privacy Notice Email</v>
      </c>
      <c r="C8015" s="3" t="str">
        <f>HYPERLINK("https://otsuka-europe-crm.veevavault.com/ui/#object/sent_email__v/VBL000000018099", "SE-001402196")</f>
        <v>SE-001402196</v>
      </c>
      <c r="D8015" s="1" t="s">
        <v>0</v>
      </c>
      <c r="E8015" s="2">
        <v>0</v>
      </c>
      <c r="F8015" s="2">
        <v>0</v>
      </c>
      <c r="G8015" s="2">
        <v>0</v>
      </c>
      <c r="H8015" s="1" t="s">
        <v>0</v>
      </c>
      <c r="I8015" s="2">
        <v>0</v>
      </c>
      <c r="J8015" s="1">
        <v>46051.565312500003</v>
      </c>
    </row>
    <row r="8016" spans="1:10" x14ac:dyDescent="0.2">
      <c r="A8016" s="4" t="s">
        <v>1</v>
      </c>
      <c r="B8016" s="3" t="str">
        <f>HYPERLINK("https://otsuka-europe-crm.veevavault.com/ui/#object/approved_document__v/V5OZ06G6O6RFL1P", "ES Veeva Privacy Notice Email")</f>
        <v>ES Veeva Privacy Notice Email</v>
      </c>
      <c r="C8016" s="3" t="str">
        <f>HYPERLINK("https://otsuka-europe-crm.veevavault.com/ui/#object/sent_email__v/VBL000000018100", "SE-001402197")</f>
        <v>SE-001402197</v>
      </c>
      <c r="D8016" s="1" t="s">
        <v>0</v>
      </c>
      <c r="E8016" s="2">
        <v>0</v>
      </c>
      <c r="F8016" s="2">
        <v>0</v>
      </c>
      <c r="G8016" s="2">
        <v>0</v>
      </c>
      <c r="H8016" s="1" t="s">
        <v>0</v>
      </c>
      <c r="I8016" s="2">
        <v>0</v>
      </c>
      <c r="J8016" s="1">
        <v>46051.565821759257</v>
      </c>
    </row>
    <row r="8017" spans="1:10" x14ac:dyDescent="0.2">
      <c r="A8017" s="4" t="s">
        <v>1</v>
      </c>
      <c r="B8017" s="3" t="str">
        <f>HYPERLINK("https://otsuka-europe-crm.veevavault.com/ui/#object/approved_document__v/V5OZ06G6O6RFL1P", "ES Veeva Privacy Notice Email")</f>
        <v>ES Veeva Privacy Notice Email</v>
      </c>
      <c r="C8017" s="3" t="str">
        <f>HYPERLINK("https://otsuka-europe-crm.veevavault.com/ui/#object/sent_email__v/VBL000000018103", "SE-001402202")</f>
        <v>SE-001402202</v>
      </c>
      <c r="D8017" s="1">
        <v>46051.629571759258</v>
      </c>
      <c r="E8017" s="2">
        <v>1</v>
      </c>
      <c r="F8017" s="2">
        <v>1</v>
      </c>
      <c r="G8017" s="2">
        <v>0</v>
      </c>
      <c r="H8017" s="1" t="s">
        <v>0</v>
      </c>
      <c r="I8017" s="2">
        <v>0</v>
      </c>
      <c r="J8017" s="1">
        <v>46051.613912037035</v>
      </c>
    </row>
    <row r="8018" spans="1:10" x14ac:dyDescent="0.2">
      <c r="A8018" s="4" t="s">
        <v>1</v>
      </c>
      <c r="B8018" s="3" t="str">
        <f>HYPERLINK("https://otsuka-europe-crm.veevavault.com/ui/#object/approved_document__v/V5OZ06G6O6RFL1P", "ES Veeva Privacy Notice Email")</f>
        <v>ES Veeva Privacy Notice Email</v>
      </c>
      <c r="C8018" s="3" t="str">
        <f>HYPERLINK("https://otsuka-europe-crm.veevavault.com/ui/#object/sent_email__v/VBL000000017154", "SE-001402206")</f>
        <v>SE-001402206</v>
      </c>
      <c r="D8018" s="1">
        <v>46051.639340277776</v>
      </c>
      <c r="E8018" s="2">
        <v>1</v>
      </c>
      <c r="F8018" s="2">
        <v>2</v>
      </c>
      <c r="G8018" s="2">
        <v>0</v>
      </c>
      <c r="H8018" s="1" t="s">
        <v>0</v>
      </c>
      <c r="I8018" s="2">
        <v>0</v>
      </c>
      <c r="J8018" s="1">
        <v>46051.618819444448</v>
      </c>
    </row>
    <row r="8019" spans="1:10" x14ac:dyDescent="0.2">
      <c r="A8019" s="4" t="s">
        <v>1</v>
      </c>
      <c r="B8019" s="3" t="str">
        <f>HYPERLINK("https://otsuka-europe-crm.veevavault.com/ui/#object/approved_document__v/V5OZ06G6O6RFL1P", "ES Veeva Privacy Notice Email")</f>
        <v>ES Veeva Privacy Notice Email</v>
      </c>
      <c r="C8019" s="3" t="str">
        <f>HYPERLINK("https://otsuka-europe-crm.veevavault.com/ui/#object/sent_email__v/VBL00000001A019", "SE-001402293")</f>
        <v>SE-001402293</v>
      </c>
      <c r="D8019" s="1">
        <v>46053.517372685186</v>
      </c>
      <c r="E8019" s="2">
        <v>1</v>
      </c>
      <c r="F8019" s="2">
        <v>2</v>
      </c>
      <c r="G8019" s="2">
        <v>0</v>
      </c>
      <c r="H8019" s="1" t="s">
        <v>0</v>
      </c>
      <c r="I8019" s="2">
        <v>0</v>
      </c>
      <c r="J8019" s="1">
        <v>46052.429942129631</v>
      </c>
    </row>
    <row r="8020" spans="1:10" x14ac:dyDescent="0.2">
      <c r="A8020" s="4" t="s">
        <v>1</v>
      </c>
      <c r="B8020" s="3" t="str">
        <f>HYPERLINK("https://otsuka-europe-crm.veevavault.com/ui/#object/approved_document__v/V5OZ06G6O6RFL1P", "ES Veeva Privacy Notice Email")</f>
        <v>ES Veeva Privacy Notice Email</v>
      </c>
      <c r="C8020" s="3" t="str">
        <f>HYPERLINK("https://otsuka-europe-crm.veevavault.com/ui/#object/sent_email__v/VBL00000001A025", "SE-001402305")</f>
        <v>SE-001402305</v>
      </c>
      <c r="D8020" s="1" t="s">
        <v>0</v>
      </c>
      <c r="E8020" s="2">
        <v>0</v>
      </c>
      <c r="F8020" s="2">
        <v>0</v>
      </c>
      <c r="G8020" s="2">
        <v>0</v>
      </c>
      <c r="H8020" s="1" t="s">
        <v>0</v>
      </c>
      <c r="I8020" s="2">
        <v>0</v>
      </c>
      <c r="J8020" s="1">
        <v>46052.514421296299</v>
      </c>
    </row>
    <row r="8021" spans="1:10" x14ac:dyDescent="0.2">
      <c r="A8021" s="4" t="s">
        <v>1</v>
      </c>
      <c r="B8021" s="3" t="str">
        <f>HYPERLINK("https://otsuka-europe-crm.veevavault.com/ui/#object/approved_document__v/V5OZ06G6O6RFL1P", "ES Veeva Privacy Notice Email")</f>
        <v>ES Veeva Privacy Notice Email</v>
      </c>
      <c r="C8021" s="3" t="str">
        <f>HYPERLINK("https://otsuka-europe-crm.veevavault.com/ui/#object/sent_email__v/VBL00000001A026", "SE-001402306")</f>
        <v>SE-001402306</v>
      </c>
      <c r="D8021" s="1" t="s">
        <v>0</v>
      </c>
      <c r="E8021" s="2">
        <v>0</v>
      </c>
      <c r="F8021" s="2">
        <v>0</v>
      </c>
      <c r="G8021" s="2">
        <v>0</v>
      </c>
      <c r="H8021" s="1" t="s">
        <v>0</v>
      </c>
      <c r="I8021" s="2">
        <v>0</v>
      </c>
      <c r="J8021" s="1">
        <v>46052.516446759262</v>
      </c>
    </row>
    <row r="8022" spans="1:10" x14ac:dyDescent="0.2">
      <c r="A8022" s="4" t="s">
        <v>1</v>
      </c>
      <c r="B8022" s="3" t="str">
        <f>HYPERLINK("https://otsuka-europe-crm.veevavault.com/ui/#object/approved_document__v/V5OZ06G6O6RFL1P", "ES Veeva Privacy Notice Email")</f>
        <v>ES Veeva Privacy Notice Email</v>
      </c>
      <c r="C8022" s="3" t="str">
        <f>HYPERLINK("https://otsuka-europe-crm.veevavault.com/ui/#object/sent_email__v/VBL000000019052", "SE-001402338")</f>
        <v>SE-001402338</v>
      </c>
      <c r="D8022" s="1" t="s">
        <v>0</v>
      </c>
      <c r="E8022" s="2">
        <v>0</v>
      </c>
      <c r="F8022" s="2">
        <v>0</v>
      </c>
      <c r="G8022" s="2">
        <v>0</v>
      </c>
      <c r="H8022" s="1" t="s">
        <v>0</v>
      </c>
      <c r="I8022" s="2">
        <v>0</v>
      </c>
      <c r="J8022" s="1">
        <v>46054.776678240742</v>
      </c>
    </row>
    <row r="8023" spans="1:10" x14ac:dyDescent="0.2">
      <c r="A8023" s="4" t="s">
        <v>1</v>
      </c>
      <c r="B8023" s="3" t="str">
        <f>HYPERLINK("https://otsuka-europe-crm.veevavault.com/ui/#object/approved_document__v/V5OZ06G6O6RFL1P", "ES Veeva Privacy Notice Email")</f>
        <v>ES Veeva Privacy Notice Email</v>
      </c>
      <c r="C8023" s="3" t="str">
        <f>HYPERLINK("https://otsuka-europe-crm.veevavault.com/ui/#object/sent_email__v/VBL00000001A043", "SE-001402340")</f>
        <v>SE-001402340</v>
      </c>
      <c r="D8023" s="1" t="s">
        <v>0</v>
      </c>
      <c r="E8023" s="2">
        <v>0</v>
      </c>
      <c r="F8023" s="2">
        <v>0</v>
      </c>
      <c r="G8023" s="2">
        <v>0</v>
      </c>
      <c r="H8023" s="1" t="s">
        <v>0</v>
      </c>
      <c r="I8023" s="2">
        <v>0</v>
      </c>
      <c r="J8023" s="1">
        <v>46055.341608796298</v>
      </c>
    </row>
    <row r="8024" spans="1:10" x14ac:dyDescent="0.2">
      <c r="A8024" s="4" t="s">
        <v>1</v>
      </c>
      <c r="B8024" s="3" t="str">
        <f>HYPERLINK("https://otsuka-europe-crm.veevavault.com/ui/#object/approved_document__v/V5OZ06G6O6RFL1P", "ES Veeva Privacy Notice Email")</f>
        <v>ES Veeva Privacy Notice Email</v>
      </c>
      <c r="C8024" s="3" t="str">
        <f>HYPERLINK("https://otsuka-europe-crm.veevavault.com/ui/#object/sent_email__v/VBL00000001A056", "SE-001402359")</f>
        <v>SE-001402359</v>
      </c>
      <c r="D8024" s="1" t="s">
        <v>0</v>
      </c>
      <c r="E8024" s="2">
        <v>0</v>
      </c>
      <c r="F8024" s="2">
        <v>0</v>
      </c>
      <c r="G8024" s="2">
        <v>0</v>
      </c>
      <c r="H8024" s="1" t="s">
        <v>0</v>
      </c>
      <c r="I8024" s="2">
        <v>0</v>
      </c>
      <c r="J8024" s="1">
        <v>46055.464085648149</v>
      </c>
    </row>
    <row r="8025" spans="1:10" x14ac:dyDescent="0.2">
      <c r="A8025" s="4" t="s">
        <v>1</v>
      </c>
      <c r="B8025" s="3" t="str">
        <f>HYPERLINK("https://otsuka-europe-crm.veevavault.com/ui/#object/approved_document__v/V5OZ06G6O6RFL1P", "ES Veeva Privacy Notice Email")</f>
        <v>ES Veeva Privacy Notice Email</v>
      </c>
      <c r="C8025" s="3" t="str">
        <f>HYPERLINK("https://otsuka-europe-crm.veevavault.com/ui/#object/sent_email__v/VBL00000001A089", "SE-001402573")</f>
        <v>SE-001402573</v>
      </c>
      <c r="D8025" s="1">
        <v>46056.724398148152</v>
      </c>
      <c r="E8025" s="2">
        <v>1</v>
      </c>
      <c r="F8025" s="2">
        <v>7</v>
      </c>
      <c r="G8025" s="2">
        <v>0</v>
      </c>
      <c r="H8025" s="1" t="s">
        <v>0</v>
      </c>
      <c r="I8025" s="2">
        <v>0</v>
      </c>
      <c r="J8025" s="1">
        <v>46056.432152777779</v>
      </c>
    </row>
    <row r="8026" spans="1:10" x14ac:dyDescent="0.2">
      <c r="A8026" s="4" t="s">
        <v>1</v>
      </c>
      <c r="B8026" s="3" t="str">
        <f>HYPERLINK("https://otsuka-europe-crm.veevavault.com/ui/#object/approved_document__v/V5OZ06G6O6RFL1P", "ES Veeva Privacy Notice Email")</f>
        <v>ES Veeva Privacy Notice Email</v>
      </c>
      <c r="C8026" s="3" t="str">
        <f>HYPERLINK("https://otsuka-europe-crm.veevavault.com/ui/#object/sent_email__v/VBL000000019262", "SE-001402604")</f>
        <v>SE-001402604</v>
      </c>
      <c r="D8026" s="1">
        <v>46057.365300925929</v>
      </c>
      <c r="E8026" s="2">
        <v>1</v>
      </c>
      <c r="F8026" s="2">
        <v>1</v>
      </c>
      <c r="G8026" s="2">
        <v>0</v>
      </c>
      <c r="H8026" s="1" t="s">
        <v>0</v>
      </c>
      <c r="I8026" s="2">
        <v>0</v>
      </c>
      <c r="J8026" s="1">
        <v>46056.677627314813</v>
      </c>
    </row>
    <row r="8027" spans="1:10" x14ac:dyDescent="0.2">
      <c r="A8027" s="4" t="s">
        <v>1</v>
      </c>
      <c r="B8027" s="3" t="str">
        <f>HYPERLINK("https://otsuka-europe-crm.veevavault.com/ui/#object/approved_document__v/V5OZ06G6O6RFL1P", "ES Veeva Privacy Notice Email")</f>
        <v>ES Veeva Privacy Notice Email</v>
      </c>
      <c r="C8027" s="3" t="str">
        <f>HYPERLINK("https://otsuka-europe-crm.veevavault.com/ui/#object/sent_email__v/VBL00000001A112", "SE-001402610")</f>
        <v>SE-001402610</v>
      </c>
      <c r="D8027" s="1">
        <v>46057.145682870374</v>
      </c>
      <c r="E8027" s="2">
        <v>1</v>
      </c>
      <c r="F8027" s="2">
        <v>1</v>
      </c>
      <c r="G8027" s="2">
        <v>0</v>
      </c>
      <c r="H8027" s="1" t="s">
        <v>0</v>
      </c>
      <c r="I8027" s="2">
        <v>0</v>
      </c>
      <c r="J8027" s="1">
        <v>46056.779016203705</v>
      </c>
    </row>
    <row r="8028" spans="1:10" x14ac:dyDescent="0.2">
      <c r="A8028" s="4" t="s">
        <v>1</v>
      </c>
      <c r="B8028" s="3" t="str">
        <f>HYPERLINK("https://otsuka-europe-crm.veevavault.com/ui/#object/approved_document__v/V5OZ06G6O6RFL1P", "ES Veeva Privacy Notice Email")</f>
        <v>ES Veeva Privacy Notice Email</v>
      </c>
      <c r="C8028" s="3" t="str">
        <f>HYPERLINK("https://otsuka-europe-crm.veevavault.com/ui/#object/sent_email__v/VBL00000001A126", "SE-001402635")</f>
        <v>SE-001402635</v>
      </c>
      <c r="D8028" s="1">
        <v>46057.426585648151</v>
      </c>
      <c r="E8028" s="2">
        <v>1</v>
      </c>
      <c r="F8028" s="2">
        <v>1</v>
      </c>
      <c r="G8028" s="2">
        <v>0</v>
      </c>
      <c r="H8028" s="1" t="s">
        <v>0</v>
      </c>
      <c r="I8028" s="2">
        <v>0</v>
      </c>
      <c r="J8028" s="1">
        <v>46057.423576388886</v>
      </c>
    </row>
    <row r="8029" spans="1:10" x14ac:dyDescent="0.2">
      <c r="A8029" s="4" t="s">
        <v>1</v>
      </c>
      <c r="B8029" s="3" t="str">
        <f>HYPERLINK("https://otsuka-europe-crm.veevavault.com/ui/#object/approved_document__v/V5OZ06G6O6RFL1P", "ES Veeva Privacy Notice Email")</f>
        <v>ES Veeva Privacy Notice Email</v>
      </c>
      <c r="C8029" s="3" t="str">
        <f>HYPERLINK("https://otsuka-europe-crm.veevavault.com/ui/#object/sent_email__v/VBL000000019277", "SE-001402640")</f>
        <v>SE-001402640</v>
      </c>
      <c r="D8029" s="1">
        <v>46057.852268518516</v>
      </c>
      <c r="E8029" s="2">
        <v>1</v>
      </c>
      <c r="F8029" s="2">
        <v>2</v>
      </c>
      <c r="G8029" s="2">
        <v>0</v>
      </c>
      <c r="H8029" s="1" t="s">
        <v>0</v>
      </c>
      <c r="I8029" s="2">
        <v>0</v>
      </c>
      <c r="J8029" s="1">
        <v>46057.425891203704</v>
      </c>
    </row>
    <row r="8030" spans="1:10" x14ac:dyDescent="0.2">
      <c r="A8030" s="4" t="s">
        <v>1</v>
      </c>
      <c r="B8030" s="3" t="str">
        <f>HYPERLINK("https://otsuka-europe-crm.veevavault.com/ui/#object/approved_document__v/V5OZ06G6O6RFL1P", "ES Veeva Privacy Notice Email")</f>
        <v>ES Veeva Privacy Notice Email</v>
      </c>
      <c r="C8030" s="3" t="str">
        <f>HYPERLINK("https://otsuka-europe-crm.veevavault.com/ui/#object/sent_email__v/VBL000000019322", "SE-001402717")</f>
        <v>SE-001402717</v>
      </c>
      <c r="D8030" s="1">
        <v>46076.790694444448</v>
      </c>
      <c r="E8030" s="2">
        <v>1</v>
      </c>
      <c r="F8030" s="2">
        <v>1</v>
      </c>
      <c r="G8030" s="2">
        <v>0</v>
      </c>
      <c r="H8030" s="1" t="s">
        <v>0</v>
      </c>
      <c r="I8030" s="2">
        <v>0</v>
      </c>
      <c r="J8030" s="1">
        <v>46058.296724537038</v>
      </c>
    </row>
    <row r="8031" spans="1:10" x14ac:dyDescent="0.2">
      <c r="A8031" s="4" t="s">
        <v>1</v>
      </c>
      <c r="B8031" s="3" t="str">
        <f>HYPERLINK("https://otsuka-europe-crm.veevavault.com/ui/#object/approved_document__v/V5OZ06G6O6RFL1P", "ES Veeva Privacy Notice Email")</f>
        <v>ES Veeva Privacy Notice Email</v>
      </c>
      <c r="C8031" s="3" t="str">
        <f>HYPERLINK("https://otsuka-europe-crm.veevavault.com/ui/#object/sent_email__v/VBL000000019327", "SE-001402729")</f>
        <v>SE-001402729</v>
      </c>
      <c r="D8031" s="1" t="s">
        <v>0</v>
      </c>
      <c r="E8031" s="2">
        <v>0</v>
      </c>
      <c r="F8031" s="2">
        <v>0</v>
      </c>
      <c r="G8031" s="2">
        <v>0</v>
      </c>
      <c r="H8031" s="1" t="s">
        <v>0</v>
      </c>
      <c r="I8031" s="2">
        <v>0</v>
      </c>
      <c r="J8031" s="1">
        <v>46058.413726851853</v>
      </c>
    </row>
    <row r="8032" spans="1:10" x14ac:dyDescent="0.2">
      <c r="A8032" s="4" t="s">
        <v>1</v>
      </c>
      <c r="B8032" s="3" t="str">
        <f>HYPERLINK("https://otsuka-europe-crm.veevavault.com/ui/#object/approved_document__v/V5OZ06G6O6RFL1P", "ES Veeva Privacy Notice Email")</f>
        <v>ES Veeva Privacy Notice Email</v>
      </c>
      <c r="C8032" s="3" t="str">
        <f>HYPERLINK("https://otsuka-europe-crm.veevavault.com/ui/#object/sent_email__v/VBL000000019344", "SE-001402751")</f>
        <v>SE-001402751</v>
      </c>
      <c r="D8032" s="1" t="s">
        <v>0</v>
      </c>
      <c r="E8032" s="2">
        <v>0</v>
      </c>
      <c r="F8032" s="2">
        <v>0</v>
      </c>
      <c r="G8032" s="2">
        <v>0</v>
      </c>
      <c r="H8032" s="1" t="s">
        <v>0</v>
      </c>
      <c r="I8032" s="2">
        <v>0</v>
      </c>
      <c r="J8032" s="1">
        <v>46058.479629629626</v>
      </c>
    </row>
    <row r="8033" spans="1:10" x14ac:dyDescent="0.2">
      <c r="A8033" s="4" t="s">
        <v>1</v>
      </c>
      <c r="B8033" s="3" t="str">
        <f>HYPERLINK("https://otsuka-europe-crm.veevavault.com/ui/#object/approved_document__v/V5OZ06G6O6RFL1P", "ES Veeva Privacy Notice Email")</f>
        <v>ES Veeva Privacy Notice Email</v>
      </c>
      <c r="C8033" s="3" t="str">
        <f>HYPERLINK("https://otsuka-europe-crm.veevavault.com/ui/#object/sent_email__v/VBL000000019347", "SE-001402758")</f>
        <v>SE-001402758</v>
      </c>
      <c r="D8033" s="1" t="s">
        <v>0</v>
      </c>
      <c r="E8033" s="2">
        <v>0</v>
      </c>
      <c r="F8033" s="2">
        <v>0</v>
      </c>
      <c r="G8033" s="2">
        <v>0</v>
      </c>
      <c r="H8033" s="1" t="s">
        <v>0</v>
      </c>
      <c r="I8033" s="2">
        <v>0</v>
      </c>
      <c r="J8033" s="1">
        <v>46058.497430555559</v>
      </c>
    </row>
    <row r="8034" spans="1:10" x14ac:dyDescent="0.2">
      <c r="A8034" s="4" t="s">
        <v>1</v>
      </c>
      <c r="B8034" s="3" t="str">
        <f>HYPERLINK("https://otsuka-europe-crm.veevavault.com/ui/#object/approved_document__v/V5OZ06G6O6RFL1P", "ES Veeva Privacy Notice Email")</f>
        <v>ES Veeva Privacy Notice Email</v>
      </c>
      <c r="C8034" s="3" t="str">
        <f>HYPERLINK("https://otsuka-europe-crm.veevavault.com/ui/#object/sent_email__v/VBL000000019348", "SE-001402763")</f>
        <v>SE-001402763</v>
      </c>
      <c r="D8034" s="1">
        <v>46058.648611111108</v>
      </c>
      <c r="E8034" s="2">
        <v>1</v>
      </c>
      <c r="F8034" s="2">
        <v>8</v>
      </c>
      <c r="G8034" s="2">
        <v>0</v>
      </c>
      <c r="H8034" s="1" t="s">
        <v>0</v>
      </c>
      <c r="I8034" s="2">
        <v>0</v>
      </c>
      <c r="J8034" s="1">
        <v>46058.506597222222</v>
      </c>
    </row>
    <row r="8035" spans="1:10" x14ac:dyDescent="0.2">
      <c r="A8035" s="4" t="s">
        <v>1</v>
      </c>
      <c r="B8035" s="3" t="str">
        <f>HYPERLINK("https://otsuka-europe-crm.veevavault.com/ui/#object/approved_document__v/V5OZ06G6O6RFL1P", "ES Veeva Privacy Notice Email")</f>
        <v>ES Veeva Privacy Notice Email</v>
      </c>
      <c r="C8035" s="3" t="str">
        <f>HYPERLINK("https://otsuka-europe-crm.veevavault.com/ui/#object/sent_email__v/VBL00000001A203", "SE-001402793")</f>
        <v>SE-001402793</v>
      </c>
      <c r="D8035" s="1" t="s">
        <v>0</v>
      </c>
      <c r="E8035" s="2">
        <v>0</v>
      </c>
      <c r="F8035" s="2">
        <v>0</v>
      </c>
      <c r="G8035" s="2">
        <v>0</v>
      </c>
      <c r="H8035" s="1" t="s">
        <v>0</v>
      </c>
      <c r="I8035" s="2">
        <v>0</v>
      </c>
      <c r="J8035" s="1">
        <v>46058.636944444443</v>
      </c>
    </row>
    <row r="8036" spans="1:10" x14ac:dyDescent="0.2">
      <c r="A8036" s="4" t="s">
        <v>1</v>
      </c>
      <c r="B8036" s="3" t="str">
        <f>HYPERLINK("https://otsuka-europe-crm.veevavault.com/ui/#object/approved_document__v/V5OZ06G6O6RFL1P", "ES Veeva Privacy Notice Email")</f>
        <v>ES Veeva Privacy Notice Email</v>
      </c>
      <c r="C8036" s="3" t="str">
        <f>HYPERLINK("https://otsuka-europe-crm.veevavault.com/ui/#object/sent_email__v/VBL00000001B065", "SE-001403054")</f>
        <v>SE-001403054</v>
      </c>
      <c r="D8036" s="1">
        <v>46064.464212962965</v>
      </c>
      <c r="E8036" s="2">
        <v>1</v>
      </c>
      <c r="F8036" s="2">
        <v>3</v>
      </c>
      <c r="G8036" s="2">
        <v>0</v>
      </c>
      <c r="H8036" s="1" t="s">
        <v>0</v>
      </c>
      <c r="I8036" s="2">
        <v>0</v>
      </c>
      <c r="J8036" s="1">
        <v>46059.458333333336</v>
      </c>
    </row>
    <row r="8037" spans="1:10" x14ac:dyDescent="0.2">
      <c r="A8037" s="4" t="s">
        <v>1</v>
      </c>
      <c r="B8037" s="3" t="str">
        <f>HYPERLINK("https://otsuka-europe-crm.veevavault.com/ui/#object/approved_document__v/V5OZ06G6O6RFL1P", "ES Veeva Privacy Notice Email")</f>
        <v>ES Veeva Privacy Notice Email</v>
      </c>
      <c r="C8037" s="3" t="str">
        <f>HYPERLINK("https://otsuka-europe-crm.veevavault.com/ui/#object/sent_email__v/VBL00000001B071", "SE-001403069")</f>
        <v>SE-001403069</v>
      </c>
      <c r="D8037" s="1" t="s">
        <v>0</v>
      </c>
      <c r="E8037" s="2">
        <v>0</v>
      </c>
      <c r="F8037" s="2">
        <v>0</v>
      </c>
      <c r="G8037" s="2">
        <v>0</v>
      </c>
      <c r="H8037" s="1" t="s">
        <v>0</v>
      </c>
      <c r="I8037" s="2">
        <v>0</v>
      </c>
      <c r="J8037" s="1">
        <v>46059.480798611112</v>
      </c>
    </row>
    <row r="8038" spans="1:10" x14ac:dyDescent="0.2">
      <c r="A8038" s="4" t="s">
        <v>1</v>
      </c>
      <c r="B8038" s="3" t="str">
        <f>HYPERLINK("https://otsuka-europe-crm.veevavault.com/ui/#object/approved_document__v/V5OZ06G6O6RFL1P", "ES Veeva Privacy Notice Email")</f>
        <v>ES Veeva Privacy Notice Email</v>
      </c>
      <c r="C8038" s="3" t="str">
        <f>HYPERLINK("https://otsuka-europe-crm.veevavault.com/ui/#object/sent_email__v/VBL00000001B078", "SE-001403081")</f>
        <v>SE-001403081</v>
      </c>
      <c r="D8038" s="1" t="s">
        <v>0</v>
      </c>
      <c r="E8038" s="2">
        <v>0</v>
      </c>
      <c r="F8038" s="2">
        <v>0</v>
      </c>
      <c r="G8038" s="2">
        <v>0</v>
      </c>
      <c r="H8038" s="1" t="s">
        <v>0</v>
      </c>
      <c r="I8038" s="2">
        <v>0</v>
      </c>
      <c r="J8038" s="1">
        <v>46059.547835648147</v>
      </c>
    </row>
    <row r="8039" spans="1:10" x14ac:dyDescent="0.2">
      <c r="A8039" s="4" t="s">
        <v>1</v>
      </c>
      <c r="B8039" s="3" t="str">
        <f>HYPERLINK("https://otsuka-europe-crm.veevavault.com/ui/#object/approved_document__v/V5OZ06G6O6RFL1P", "ES Veeva Privacy Notice Email")</f>
        <v>ES Veeva Privacy Notice Email</v>
      </c>
      <c r="C8039" s="3" t="str">
        <f>HYPERLINK("https://otsuka-europe-crm.veevavault.com/ui/#object/sent_email__v/VBL00000001C088", "SE-001403092")</f>
        <v>SE-001403092</v>
      </c>
      <c r="D8039" s="1">
        <v>46066.783101851855</v>
      </c>
      <c r="E8039" s="2">
        <v>1</v>
      </c>
      <c r="F8039" s="2">
        <v>4</v>
      </c>
      <c r="G8039" s="2">
        <v>0</v>
      </c>
      <c r="H8039" s="1" t="s">
        <v>0</v>
      </c>
      <c r="I8039" s="2">
        <v>0</v>
      </c>
      <c r="J8039" s="1">
        <v>46059.630162037036</v>
      </c>
    </row>
    <row r="8040" spans="1:10" x14ac:dyDescent="0.2">
      <c r="A8040" s="4" t="s">
        <v>1</v>
      </c>
      <c r="B8040" s="3" t="str">
        <f>HYPERLINK("https://otsuka-europe-crm.veevavault.com/ui/#object/approved_document__v/V5OZ06G6O6RFL1P", "ES Veeva Privacy Notice Email")</f>
        <v>ES Veeva Privacy Notice Email</v>
      </c>
      <c r="C8040" s="3" t="str">
        <f>HYPERLINK("https://otsuka-europe-crm.veevavault.com/ui/#object/sent_email__v/VBL00000001B083", "SE-001403096")</f>
        <v>SE-001403096</v>
      </c>
      <c r="D8040" s="1">
        <v>46062.305358796293</v>
      </c>
      <c r="E8040" s="2">
        <v>1</v>
      </c>
      <c r="F8040" s="2">
        <v>1</v>
      </c>
      <c r="G8040" s="2">
        <v>0</v>
      </c>
      <c r="H8040" s="1" t="s">
        <v>0</v>
      </c>
      <c r="I8040" s="2">
        <v>0</v>
      </c>
      <c r="J8040" s="1">
        <v>46059.737546296295</v>
      </c>
    </row>
    <row r="8041" spans="1:10" x14ac:dyDescent="0.2">
      <c r="A8041" s="4" t="s">
        <v>1</v>
      </c>
      <c r="B8041" s="3" t="str">
        <f>HYPERLINK("https://otsuka-europe-crm.veevavault.com/ui/#object/approved_document__v/V5OZ06G6O6RFL1P", "ES Veeva Privacy Notice Email")</f>
        <v>ES Veeva Privacy Notice Email</v>
      </c>
      <c r="C8041" s="3" t="str">
        <f>HYPERLINK("https://otsuka-europe-crm.veevavault.com/ui/#object/sent_email__v/VBL00000001B105", "SE-001403120")</f>
        <v>SE-001403120</v>
      </c>
      <c r="D8041" s="1">
        <v>46064.523842592593</v>
      </c>
      <c r="E8041" s="2">
        <v>1</v>
      </c>
      <c r="F8041" s="2">
        <v>2</v>
      </c>
      <c r="G8041" s="2">
        <v>0</v>
      </c>
      <c r="H8041" s="1" t="s">
        <v>0</v>
      </c>
      <c r="I8041" s="2">
        <v>0</v>
      </c>
      <c r="J8041" s="1">
        <v>46062.36314814815</v>
      </c>
    </row>
    <row r="8042" spans="1:10" x14ac:dyDescent="0.2">
      <c r="A8042" s="4" t="s">
        <v>1</v>
      </c>
      <c r="B8042" s="3" t="str">
        <f>HYPERLINK("https://otsuka-europe-crm.veevavault.com/ui/#object/approved_document__v/V5OZ06G6O6RFL1P", "ES Veeva Privacy Notice Email")</f>
        <v>ES Veeva Privacy Notice Email</v>
      </c>
      <c r="C8042" s="3" t="str">
        <f>HYPERLINK("https://otsuka-europe-crm.veevavault.com/ui/#object/sent_email__v/VBL00000001C113", "SE-001403301")</f>
        <v>SE-001403301</v>
      </c>
      <c r="D8042" s="1">
        <v>46078.656828703701</v>
      </c>
      <c r="E8042" s="2">
        <v>1</v>
      </c>
      <c r="F8042" s="2">
        <v>3</v>
      </c>
      <c r="G8042" s="2">
        <v>0</v>
      </c>
      <c r="H8042" s="1" t="s">
        <v>0</v>
      </c>
      <c r="I8042" s="2">
        <v>0</v>
      </c>
      <c r="J8042" s="1">
        <v>46062.448831018519</v>
      </c>
    </row>
    <row r="8043" spans="1:10" x14ac:dyDescent="0.2">
      <c r="A8043" s="4" t="s">
        <v>1</v>
      </c>
      <c r="B8043" s="3" t="str">
        <f>HYPERLINK("https://otsuka-europe-crm.veevavault.com/ui/#object/approved_document__v/V5OZ06G6O6RFL1P", "ES Veeva Privacy Notice Email")</f>
        <v>ES Veeva Privacy Notice Email</v>
      </c>
      <c r="C8043" s="3" t="str">
        <f>HYPERLINK("https://otsuka-europe-crm.veevavault.com/ui/#object/sent_email__v/VBL00000001B281", "SE-001403305")</f>
        <v>SE-001403305</v>
      </c>
      <c r="D8043" s="1">
        <v>46062.780474537038</v>
      </c>
      <c r="E8043" s="2">
        <v>1</v>
      </c>
      <c r="F8043" s="2">
        <v>3</v>
      </c>
      <c r="G8043" s="2">
        <v>0</v>
      </c>
      <c r="H8043" s="1" t="s">
        <v>0</v>
      </c>
      <c r="I8043" s="2">
        <v>0</v>
      </c>
      <c r="J8043" s="1">
        <v>46062.454502314817</v>
      </c>
    </row>
    <row r="8044" spans="1:10" x14ac:dyDescent="0.2">
      <c r="A8044" s="4" t="s">
        <v>1</v>
      </c>
      <c r="B8044" s="3" t="str">
        <f>HYPERLINK("https://otsuka-europe-crm.veevavault.com/ui/#object/approved_document__v/V5OZ06G6O6RFL1P", "ES Veeva Privacy Notice Email")</f>
        <v>ES Veeva Privacy Notice Email</v>
      </c>
      <c r="C8044" s="3" t="str">
        <f>HYPERLINK("https://otsuka-europe-crm.veevavault.com/ui/#object/sent_email__v/VBL00000001B285", "SE-001403309")</f>
        <v>SE-001403309</v>
      </c>
      <c r="D8044" s="1">
        <v>46070.820925925924</v>
      </c>
      <c r="E8044" s="2">
        <v>1</v>
      </c>
      <c r="F8044" s="2">
        <v>7</v>
      </c>
      <c r="G8044" s="2">
        <v>0</v>
      </c>
      <c r="H8044" s="1" t="s">
        <v>0</v>
      </c>
      <c r="I8044" s="2">
        <v>0</v>
      </c>
      <c r="J8044" s="1">
        <v>46062.457650462966</v>
      </c>
    </row>
    <row r="8045" spans="1:10" x14ac:dyDescent="0.2">
      <c r="A8045" s="4" t="s">
        <v>1</v>
      </c>
      <c r="B8045" s="3" t="str">
        <f>HYPERLINK("https://otsuka-europe-crm.veevavault.com/ui/#object/approved_document__v/V5OZ06G6O6RFL1P", "ES Veeva Privacy Notice Email")</f>
        <v>ES Veeva Privacy Notice Email</v>
      </c>
      <c r="C8045" s="3" t="str">
        <f>HYPERLINK("https://otsuka-europe-crm.veevavault.com/ui/#object/sent_email__v/VBL00000001B328", "SE-001403505")</f>
        <v>SE-001403505</v>
      </c>
      <c r="D8045" s="1">
        <v>46071.729722222219</v>
      </c>
      <c r="E8045" s="2">
        <v>1</v>
      </c>
      <c r="F8045" s="2">
        <v>4</v>
      </c>
      <c r="G8045" s="2">
        <v>0</v>
      </c>
      <c r="H8045" s="1" t="s">
        <v>0</v>
      </c>
      <c r="I8045" s="2">
        <v>0</v>
      </c>
      <c r="J8045" s="1">
        <v>46062.506944444445</v>
      </c>
    </row>
    <row r="8046" spans="1:10" x14ac:dyDescent="0.2">
      <c r="A8046" s="4" t="s">
        <v>1</v>
      </c>
      <c r="B8046" s="3" t="str">
        <f>HYPERLINK("https://otsuka-europe-crm.veevavault.com/ui/#object/approved_document__v/V5OZ06G6O6RFL1P", "ES Veeva Privacy Notice Email")</f>
        <v>ES Veeva Privacy Notice Email</v>
      </c>
      <c r="C8046" s="3" t="str">
        <f>HYPERLINK("https://otsuka-europe-crm.veevavault.com/ui/#object/sent_email__v/VBL00000001C270", "SE-001403508")</f>
        <v>SE-001403508</v>
      </c>
      <c r="D8046" s="1">
        <v>46071.879745370374</v>
      </c>
      <c r="E8046" s="2">
        <v>1</v>
      </c>
      <c r="F8046" s="2">
        <v>2</v>
      </c>
      <c r="G8046" s="2">
        <v>0</v>
      </c>
      <c r="H8046" s="1" t="s">
        <v>0</v>
      </c>
      <c r="I8046" s="2">
        <v>0</v>
      </c>
      <c r="J8046" s="1">
        <v>46062.518587962964</v>
      </c>
    </row>
    <row r="8047" spans="1:10" x14ac:dyDescent="0.2">
      <c r="A8047" s="4" t="s">
        <v>1</v>
      </c>
      <c r="B8047" s="3" t="str">
        <f>HYPERLINK("https://otsuka-europe-crm.veevavault.com/ui/#object/approved_document__v/V5OZ06G6O6RFL1P", "ES Veeva Privacy Notice Email")</f>
        <v>ES Veeva Privacy Notice Email</v>
      </c>
      <c r="C8047" s="3" t="str">
        <f>HYPERLINK("https://otsuka-europe-crm.veevavault.com/ui/#object/sent_email__v/VBL00000001B366", "SE-001403574")</f>
        <v>SE-001403574</v>
      </c>
      <c r="D8047" s="1" t="s">
        <v>0</v>
      </c>
      <c r="E8047" s="2">
        <v>0</v>
      </c>
      <c r="F8047" s="2">
        <v>0</v>
      </c>
      <c r="G8047" s="2">
        <v>0</v>
      </c>
      <c r="H8047" s="1" t="s">
        <v>0</v>
      </c>
      <c r="I8047" s="2">
        <v>0</v>
      </c>
      <c r="J8047" s="1">
        <v>46062.693773148145</v>
      </c>
    </row>
    <row r="8048" spans="1:10" x14ac:dyDescent="0.2">
      <c r="A8048" s="4" t="s">
        <v>1</v>
      </c>
      <c r="B8048" s="3" t="str">
        <f>HYPERLINK("https://otsuka-europe-crm.veevavault.com/ui/#object/approved_document__v/V5OZ06G6O6RFL1P", "ES Veeva Privacy Notice Email")</f>
        <v>ES Veeva Privacy Notice Email</v>
      </c>
      <c r="C8048" s="3" t="str">
        <f>HYPERLINK("https://otsuka-europe-crm.veevavault.com/ui/#object/sent_email__v/VBL00000001C312", "SE-001403582")</f>
        <v>SE-001403582</v>
      </c>
      <c r="D8048" s="1" t="s">
        <v>0</v>
      </c>
      <c r="E8048" s="2">
        <v>0</v>
      </c>
      <c r="F8048" s="2">
        <v>0</v>
      </c>
      <c r="G8048" s="2">
        <v>0</v>
      </c>
      <c r="H8048" s="1" t="s">
        <v>0</v>
      </c>
      <c r="I8048" s="2">
        <v>0</v>
      </c>
      <c r="J8048" s="1">
        <v>46062.786909722221</v>
      </c>
    </row>
    <row r="8049" spans="1:10" x14ac:dyDescent="0.2">
      <c r="A8049" s="4" t="s">
        <v>1</v>
      </c>
      <c r="B8049" s="3" t="str">
        <f>HYPERLINK("https://otsuka-europe-crm.veevavault.com/ui/#object/approved_document__v/V5OZ06G6O6RFL1P", "ES Veeva Privacy Notice Email")</f>
        <v>ES Veeva Privacy Notice Email</v>
      </c>
      <c r="C8049" s="3" t="str">
        <f>HYPERLINK("https://otsuka-europe-crm.veevavault.com/ui/#object/sent_email__v/VBL00000001B369", "SE-001403588")</f>
        <v>SE-001403588</v>
      </c>
      <c r="D8049" s="1" t="s">
        <v>0</v>
      </c>
      <c r="E8049" s="2">
        <v>0</v>
      </c>
      <c r="F8049" s="2">
        <v>0</v>
      </c>
      <c r="G8049" s="2">
        <v>0</v>
      </c>
      <c r="H8049" s="1" t="s">
        <v>0</v>
      </c>
      <c r="I8049" s="2">
        <v>0</v>
      </c>
      <c r="J8049" s="1">
        <v>46063.359814814816</v>
      </c>
    </row>
    <row r="8050" spans="1:10" x14ac:dyDescent="0.2">
      <c r="A8050" s="4" t="s">
        <v>1</v>
      </c>
      <c r="B8050" s="3" t="str">
        <f>HYPERLINK("https://otsuka-europe-crm.veevavault.com/ui/#object/approved_document__v/V5OZ06G6O6RFL1P", "ES Veeva Privacy Notice Email")</f>
        <v>ES Veeva Privacy Notice Email</v>
      </c>
      <c r="C8050" s="3" t="str">
        <f>HYPERLINK("https://otsuka-europe-crm.veevavault.com/ui/#object/sent_email__v/VBL00000001B370", "SE-001403589")</f>
        <v>SE-001403589</v>
      </c>
      <c r="D8050" s="1" t="s">
        <v>0</v>
      </c>
      <c r="E8050" s="2">
        <v>0</v>
      </c>
      <c r="F8050" s="2">
        <v>0</v>
      </c>
      <c r="G8050" s="2">
        <v>0</v>
      </c>
      <c r="H8050" s="1" t="s">
        <v>0</v>
      </c>
      <c r="I8050" s="2">
        <v>0</v>
      </c>
      <c r="J8050" s="1">
        <v>46063.360162037039</v>
      </c>
    </row>
    <row r="8051" spans="1:10" x14ac:dyDescent="0.2">
      <c r="A8051" s="4" t="s">
        <v>1</v>
      </c>
      <c r="B8051" s="3" t="str">
        <f>HYPERLINK("https://otsuka-europe-crm.veevavault.com/ui/#object/approved_document__v/V5OZ06G6O6RFL1P", "ES Veeva Privacy Notice Email")</f>
        <v>ES Veeva Privacy Notice Email</v>
      </c>
      <c r="C8051" s="3" t="str">
        <f>HYPERLINK("https://otsuka-europe-crm.veevavault.com/ui/#object/sent_email__v/VBL00000001B374", "SE-001403602")</f>
        <v>SE-001403602</v>
      </c>
      <c r="D8051" s="1">
        <v>46063.48196759259</v>
      </c>
      <c r="E8051" s="2">
        <v>1</v>
      </c>
      <c r="F8051" s="2">
        <v>4</v>
      </c>
      <c r="G8051" s="2">
        <v>0</v>
      </c>
      <c r="H8051" s="1" t="s">
        <v>0</v>
      </c>
      <c r="I8051" s="2">
        <v>0</v>
      </c>
      <c r="J8051" s="1">
        <v>46063.368113425924</v>
      </c>
    </row>
    <row r="8052" spans="1:10" x14ac:dyDescent="0.2">
      <c r="A8052" s="4" t="s">
        <v>1</v>
      </c>
      <c r="B8052" s="3" t="str">
        <f>HYPERLINK("https://otsuka-europe-crm.veevavault.com/ui/#object/approved_document__v/V5OZ06G6O6RFL1P", "ES Veeva Privacy Notice Email")</f>
        <v>ES Veeva Privacy Notice Email</v>
      </c>
      <c r="C8052" s="3" t="str">
        <f>HYPERLINK("https://otsuka-europe-crm.veevavault.com/ui/#object/sent_email__v/VBL00000001B391", "SE-001403630")</f>
        <v>SE-001403630</v>
      </c>
      <c r="D8052" s="1" t="s">
        <v>0</v>
      </c>
      <c r="E8052" s="2">
        <v>0</v>
      </c>
      <c r="F8052" s="2">
        <v>0</v>
      </c>
      <c r="G8052" s="2">
        <v>0</v>
      </c>
      <c r="H8052" s="1" t="s">
        <v>0</v>
      </c>
      <c r="I8052" s="2">
        <v>0</v>
      </c>
      <c r="J8052" s="1">
        <v>46063.387719907405</v>
      </c>
    </row>
    <row r="8053" spans="1:10" x14ac:dyDescent="0.2">
      <c r="A8053" s="4" t="s">
        <v>1</v>
      </c>
      <c r="B8053" s="3" t="str">
        <f>HYPERLINK("https://otsuka-europe-crm.veevavault.com/ui/#object/approved_document__v/V5OZ06G6O6RFL1P", "ES Veeva Privacy Notice Email")</f>
        <v>ES Veeva Privacy Notice Email</v>
      </c>
      <c r="C8053" s="3" t="str">
        <f>HYPERLINK("https://otsuka-europe-crm.veevavault.com/ui/#object/sent_email__v/VBL00000001C342", "SE-001403639")</f>
        <v>SE-001403639</v>
      </c>
      <c r="D8053" s="1" t="s">
        <v>0</v>
      </c>
      <c r="E8053" s="2">
        <v>0</v>
      </c>
      <c r="F8053" s="2">
        <v>0</v>
      </c>
      <c r="G8053" s="2">
        <v>0</v>
      </c>
      <c r="H8053" s="1" t="s">
        <v>0</v>
      </c>
      <c r="I8053" s="2">
        <v>0</v>
      </c>
      <c r="J8053" s="1">
        <v>46063.407534722224</v>
      </c>
    </row>
    <row r="8054" spans="1:10" x14ac:dyDescent="0.2">
      <c r="A8054" s="4" t="s">
        <v>1</v>
      </c>
      <c r="B8054" s="3" t="str">
        <f>HYPERLINK("https://otsuka-europe-crm.veevavault.com/ui/#object/approved_document__v/V5OZ06G6O6RFL1P", "ES Veeva Privacy Notice Email")</f>
        <v>ES Veeva Privacy Notice Email</v>
      </c>
      <c r="C8054" s="3" t="str">
        <f>HYPERLINK("https://otsuka-europe-crm.veevavault.com/ui/#object/sent_email__v/VBL00000001C359", "SE-001403670")</f>
        <v>SE-001403670</v>
      </c>
      <c r="D8054" s="1" t="s">
        <v>0</v>
      </c>
      <c r="E8054" s="2">
        <v>0</v>
      </c>
      <c r="F8054" s="2">
        <v>0</v>
      </c>
      <c r="G8054" s="2">
        <v>0</v>
      </c>
      <c r="H8054" s="1" t="s">
        <v>0</v>
      </c>
      <c r="I8054" s="2">
        <v>0</v>
      </c>
      <c r="J8054" s="1">
        <v>46064.247175925928</v>
      </c>
    </row>
    <row r="8055" spans="1:10" x14ac:dyDescent="0.2">
      <c r="A8055" s="4" t="s">
        <v>1</v>
      </c>
      <c r="B8055" s="3" t="str">
        <f>HYPERLINK("https://otsuka-europe-crm.veevavault.com/ui/#object/approved_document__v/V5OZ06G6O6RFL1P", "ES Veeva Privacy Notice Email")</f>
        <v>ES Veeva Privacy Notice Email</v>
      </c>
      <c r="C8055" s="3" t="str">
        <f>HYPERLINK("https://otsuka-europe-crm.veevavault.com/ui/#object/sent_email__v/VBL00000001C360", "SE-001403671")</f>
        <v>SE-001403671</v>
      </c>
      <c r="D8055" s="1">
        <v>46064.340763888889</v>
      </c>
      <c r="E8055" s="2">
        <v>1</v>
      </c>
      <c r="F8055" s="2">
        <v>2</v>
      </c>
      <c r="G8055" s="2">
        <v>0</v>
      </c>
      <c r="H8055" s="1" t="s">
        <v>0</v>
      </c>
      <c r="I8055" s="2">
        <v>0</v>
      </c>
      <c r="J8055" s="1">
        <v>46064.247384259259</v>
      </c>
    </row>
    <row r="8056" spans="1:10" x14ac:dyDescent="0.2">
      <c r="A8056" s="4" t="s">
        <v>1</v>
      </c>
      <c r="B8056" s="3" t="str">
        <f>HYPERLINK("https://otsuka-europe-crm.veevavault.com/ui/#object/approved_document__v/V5OZ06G6O6RFL1P", "ES Veeva Privacy Notice Email")</f>
        <v>ES Veeva Privacy Notice Email</v>
      </c>
      <c r="C8056" s="3" t="str">
        <f>HYPERLINK("https://otsuka-europe-crm.veevavault.com/ui/#object/sent_email__v/VBL00000001B419", "SE-001403672")</f>
        <v>SE-001403672</v>
      </c>
      <c r="D8056" s="1" t="s">
        <v>0</v>
      </c>
      <c r="E8056" s="2">
        <v>0</v>
      </c>
      <c r="F8056" s="2">
        <v>0</v>
      </c>
      <c r="G8056" s="2">
        <v>0</v>
      </c>
      <c r="H8056" s="1" t="s">
        <v>0</v>
      </c>
      <c r="I8056" s="2">
        <v>0</v>
      </c>
      <c r="J8056" s="1">
        <v>46064.24759259259</v>
      </c>
    </row>
    <row r="8057" spans="1:10" x14ac:dyDescent="0.2">
      <c r="A8057" s="4" t="s">
        <v>1</v>
      </c>
      <c r="B8057" s="3" t="str">
        <f>HYPERLINK("https://otsuka-europe-crm.veevavault.com/ui/#object/approved_document__v/V5OZ06G6O6RFL1P", "ES Veeva Privacy Notice Email")</f>
        <v>ES Veeva Privacy Notice Email</v>
      </c>
      <c r="C8057" s="3" t="str">
        <f>HYPERLINK("https://otsuka-europe-crm.veevavault.com/ui/#object/sent_email__v/VBL00000001B420", "SE-001403673")</f>
        <v>SE-001403673</v>
      </c>
      <c r="D8057" s="1">
        <v>46064.306018518517</v>
      </c>
      <c r="E8057" s="2">
        <v>1</v>
      </c>
      <c r="F8057" s="2">
        <v>1</v>
      </c>
      <c r="G8057" s="2">
        <v>0</v>
      </c>
      <c r="H8057" s="1" t="s">
        <v>0</v>
      </c>
      <c r="I8057" s="2">
        <v>0</v>
      </c>
      <c r="J8057" s="1">
        <v>46064.247893518521</v>
      </c>
    </row>
    <row r="8058" spans="1:10" x14ac:dyDescent="0.2">
      <c r="A8058" s="4" t="s">
        <v>1</v>
      </c>
      <c r="B8058" s="3" t="str">
        <f>HYPERLINK("https://otsuka-europe-crm.veevavault.com/ui/#object/approved_document__v/V5OZ06G6O6RFL1P", "ES Veeva Privacy Notice Email")</f>
        <v>ES Veeva Privacy Notice Email</v>
      </c>
      <c r="C8058" s="3" t="str">
        <f>HYPERLINK("https://otsuka-europe-crm.veevavault.com/ui/#object/sent_email__v/VBL00000001C361", "SE-001403674")</f>
        <v>SE-001403674</v>
      </c>
      <c r="D8058" s="1" t="s">
        <v>0</v>
      </c>
      <c r="E8058" s="2">
        <v>0</v>
      </c>
      <c r="F8058" s="2">
        <v>0</v>
      </c>
      <c r="G8058" s="2">
        <v>0</v>
      </c>
      <c r="H8058" s="1" t="s">
        <v>0</v>
      </c>
      <c r="I8058" s="2">
        <v>0</v>
      </c>
      <c r="J8058" s="1">
        <v>46064.249293981484</v>
      </c>
    </row>
    <row r="8059" spans="1:10" x14ac:dyDescent="0.2">
      <c r="A8059" s="4" t="s">
        <v>1</v>
      </c>
      <c r="B8059" s="3" t="str">
        <f>HYPERLINK("https://otsuka-europe-crm.veevavault.com/ui/#object/approved_document__v/V5OZ06G6O6RFL1P", "ES Veeva Privacy Notice Email")</f>
        <v>ES Veeva Privacy Notice Email</v>
      </c>
      <c r="C8059" s="3" t="str">
        <f>HYPERLINK("https://otsuka-europe-crm.veevavault.com/ui/#object/sent_email__v/VBL00000001C364", "SE-001403680")</f>
        <v>SE-001403680</v>
      </c>
      <c r="D8059" s="1" t="s">
        <v>0</v>
      </c>
      <c r="E8059" s="2">
        <v>0</v>
      </c>
      <c r="F8059" s="2">
        <v>0</v>
      </c>
      <c r="G8059" s="2">
        <v>0</v>
      </c>
      <c r="H8059" s="1" t="s">
        <v>0</v>
      </c>
      <c r="I8059" s="2">
        <v>0</v>
      </c>
      <c r="J8059" s="1">
        <v>46064.317476851851</v>
      </c>
    </row>
    <row r="8060" spans="1:10" x14ac:dyDescent="0.2">
      <c r="A8060" s="4" t="s">
        <v>1</v>
      </c>
      <c r="B8060" s="3" t="str">
        <f>HYPERLINK("https://otsuka-europe-crm.veevavault.com/ui/#object/approved_document__v/V5OZ06G6O6RFL1P", "ES Veeva Privacy Notice Email")</f>
        <v>ES Veeva Privacy Notice Email</v>
      </c>
      <c r="C8060" s="3" t="str">
        <f>HYPERLINK("https://otsuka-europe-crm.veevavault.com/ui/#object/sent_email__v/VBL00000001B427", "SE-001403694")</f>
        <v>SE-001403694</v>
      </c>
      <c r="D8060" s="1">
        <v>46064.583032407405</v>
      </c>
      <c r="E8060" s="2">
        <v>1</v>
      </c>
      <c r="F8060" s="2">
        <v>1</v>
      </c>
      <c r="G8060" s="2">
        <v>0</v>
      </c>
      <c r="H8060" s="1" t="s">
        <v>0</v>
      </c>
      <c r="I8060" s="2">
        <v>0</v>
      </c>
      <c r="J8060" s="1">
        <v>46064.421180555553</v>
      </c>
    </row>
    <row r="8061" spans="1:10" x14ac:dyDescent="0.2">
      <c r="A8061" s="4" t="s">
        <v>1</v>
      </c>
      <c r="B8061" s="3" t="str">
        <f>HYPERLINK("https://otsuka-europe-crm.veevavault.com/ui/#object/approved_document__v/V5OZ06G6O6RFL1P", "ES Veeva Privacy Notice Email")</f>
        <v>ES Veeva Privacy Notice Email</v>
      </c>
      <c r="C8061" s="3" t="str">
        <f>HYPERLINK("https://otsuka-europe-crm.veevavault.com/ui/#object/sent_email__v/VBL00000001B442", "SE-001403734")</f>
        <v>SE-001403734</v>
      </c>
      <c r="D8061" s="1">
        <v>46071.683587962965</v>
      </c>
      <c r="E8061" s="2">
        <v>1</v>
      </c>
      <c r="F8061" s="2">
        <v>3</v>
      </c>
      <c r="G8061" s="2">
        <v>0</v>
      </c>
      <c r="H8061" s="1" t="s">
        <v>0</v>
      </c>
      <c r="I8061" s="2">
        <v>0</v>
      </c>
      <c r="J8061" s="1">
        <v>46064.475208333337</v>
      </c>
    </row>
    <row r="8062" spans="1:10" x14ac:dyDescent="0.2">
      <c r="A8062" s="4" t="s">
        <v>1</v>
      </c>
      <c r="B8062" s="3" t="str">
        <f>HYPERLINK("https://otsuka-europe-crm.veevavault.com/ui/#object/approved_document__v/V5OZ06G6O6RFL1P", "ES Veeva Privacy Notice Email")</f>
        <v>ES Veeva Privacy Notice Email</v>
      </c>
      <c r="C8062" s="3" t="str">
        <f>HYPERLINK("https://otsuka-europe-crm.veevavault.com/ui/#object/sent_email__v/VBL00000001C419", "SE-001403770")</f>
        <v>SE-001403770</v>
      </c>
      <c r="D8062" s="1">
        <v>46064.670115740744</v>
      </c>
      <c r="E8062" s="2">
        <v>1</v>
      </c>
      <c r="F8062" s="2">
        <v>1</v>
      </c>
      <c r="G8062" s="2">
        <v>1</v>
      </c>
      <c r="H8062" s="1">
        <v>46064.670474537037</v>
      </c>
      <c r="I8062" s="2">
        <v>1</v>
      </c>
      <c r="J8062" s="1">
        <v>46064.596331018518</v>
      </c>
    </row>
    <row r="8063" spans="1:10" x14ac:dyDescent="0.2">
      <c r="A8063" s="4" t="s">
        <v>1</v>
      </c>
      <c r="B8063" s="3" t="str">
        <f>HYPERLINK("https://otsuka-europe-crm.veevavault.com/ui/#object/approved_document__v/V5OZ06G6O6RFL1P", "ES Veeva Privacy Notice Email")</f>
        <v>ES Veeva Privacy Notice Email</v>
      </c>
      <c r="C8063" s="3" t="str">
        <f>HYPERLINK("https://otsuka-europe-crm.veevavault.com/ui/#object/sent_email__v/VBL00000001B481", "SE-001403804")</f>
        <v>SE-001403804</v>
      </c>
      <c r="D8063" s="1" t="s">
        <v>0</v>
      </c>
      <c r="E8063" s="2">
        <v>0</v>
      </c>
      <c r="F8063" s="2">
        <v>0</v>
      </c>
      <c r="G8063" s="2">
        <v>0</v>
      </c>
      <c r="H8063" s="1" t="s">
        <v>0</v>
      </c>
      <c r="I8063" s="2">
        <v>0</v>
      </c>
      <c r="J8063" s="1">
        <v>46065.34716435185</v>
      </c>
    </row>
    <row r="8064" spans="1:10" x14ac:dyDescent="0.2">
      <c r="A8064" s="4" t="s">
        <v>1</v>
      </c>
      <c r="B8064" s="3" t="str">
        <f>HYPERLINK("https://otsuka-europe-crm.veevavault.com/ui/#object/approved_document__v/V5OZ06G6O6RFL1P", "ES Veeva Privacy Notice Email")</f>
        <v>ES Veeva Privacy Notice Email</v>
      </c>
      <c r="C8064" s="3" t="str">
        <f>HYPERLINK("https://otsuka-europe-crm.veevavault.com/ui/#object/sent_email__v/VBL00000001D007", "SE-001404047")</f>
        <v>SE-001404047</v>
      </c>
      <c r="D8064" s="1" t="s">
        <v>0</v>
      </c>
      <c r="E8064" s="2">
        <v>0</v>
      </c>
      <c r="F8064" s="2">
        <v>0</v>
      </c>
      <c r="G8064" s="2">
        <v>0</v>
      </c>
      <c r="H8064" s="1" t="s">
        <v>0</v>
      </c>
      <c r="I8064" s="2">
        <v>0</v>
      </c>
      <c r="J8064" s="1">
        <v>46066.403796296298</v>
      </c>
    </row>
    <row r="8065" spans="1:10" x14ac:dyDescent="0.2">
      <c r="A8065" s="4" t="s">
        <v>1</v>
      </c>
      <c r="B8065" s="3" t="str">
        <f>HYPERLINK("https://otsuka-europe-crm.veevavault.com/ui/#object/approved_document__v/V5OZ06G6O6RFL1P", "ES Veeva Privacy Notice Email")</f>
        <v>ES Veeva Privacy Notice Email</v>
      </c>
      <c r="C8065" s="3" t="str">
        <f>HYPERLINK("https://otsuka-europe-crm.veevavault.com/ui/#object/sent_email__v/VBL00000001E070", "SE-001404048")</f>
        <v>SE-001404048</v>
      </c>
      <c r="D8065" s="1">
        <v>46066.707905092589</v>
      </c>
      <c r="E8065" s="2">
        <v>1</v>
      </c>
      <c r="F8065" s="2">
        <v>2</v>
      </c>
      <c r="G8065" s="2">
        <v>0</v>
      </c>
      <c r="H8065" s="1" t="s">
        <v>0</v>
      </c>
      <c r="I8065" s="2">
        <v>0</v>
      </c>
      <c r="J8065" s="1">
        <v>46066.40483796296</v>
      </c>
    </row>
    <row r="8066" spans="1:10" x14ac:dyDescent="0.2">
      <c r="A8066" s="4" t="s">
        <v>1</v>
      </c>
      <c r="B8066" s="3" t="str">
        <f>HYPERLINK("https://otsuka-europe-crm.veevavault.com/ui/#object/approved_document__v/V5OZ06G6O6RFL1P", "ES Veeva Privacy Notice Email")</f>
        <v>ES Veeva Privacy Notice Email</v>
      </c>
      <c r="C8066" s="3" t="str">
        <f>HYPERLINK("https://otsuka-europe-crm.veevavault.com/ui/#object/sent_email__v/VBL00000001D008", "SE-001404049")</f>
        <v>SE-001404049</v>
      </c>
      <c r="D8066" s="1">
        <v>46067.669733796298</v>
      </c>
      <c r="E8066" s="2">
        <v>1</v>
      </c>
      <c r="F8066" s="2">
        <v>1</v>
      </c>
      <c r="G8066" s="2">
        <v>0</v>
      </c>
      <c r="H8066" s="1" t="s">
        <v>0</v>
      </c>
      <c r="I8066" s="2">
        <v>0</v>
      </c>
      <c r="J8066" s="1">
        <v>46066.405787037038</v>
      </c>
    </row>
    <row r="8067" spans="1:10" x14ac:dyDescent="0.2">
      <c r="A8067" s="4" t="s">
        <v>1</v>
      </c>
      <c r="B8067" s="3" t="str">
        <f>HYPERLINK("https://otsuka-europe-crm.veevavault.com/ui/#object/approved_document__v/V5OZ06G6O6RFL1P", "ES Veeva Privacy Notice Email")</f>
        <v>ES Veeva Privacy Notice Email</v>
      </c>
      <c r="C8067" s="3" t="str">
        <f>HYPERLINK("https://otsuka-europe-crm.veevavault.com/ui/#object/sent_email__v/VBL00000001E071", "SE-001404050")</f>
        <v>SE-001404050</v>
      </c>
      <c r="D8067" s="1" t="s">
        <v>0</v>
      </c>
      <c r="E8067" s="2">
        <v>0</v>
      </c>
      <c r="F8067" s="2">
        <v>0</v>
      </c>
      <c r="G8067" s="2">
        <v>0</v>
      </c>
      <c r="H8067" s="1" t="s">
        <v>0</v>
      </c>
      <c r="I8067" s="2">
        <v>0</v>
      </c>
      <c r="J8067" s="1">
        <v>46066.406342592592</v>
      </c>
    </row>
    <row r="8068" spans="1:10" x14ac:dyDescent="0.2">
      <c r="A8068" s="4" t="s">
        <v>1</v>
      </c>
      <c r="B8068" s="3" t="str">
        <f>HYPERLINK("https://otsuka-europe-crm.veevavault.com/ui/#object/approved_document__v/V5OZ06G6O6RFL1P", "ES Veeva Privacy Notice Email")</f>
        <v>ES Veeva Privacy Notice Email</v>
      </c>
      <c r="C8068" s="3" t="str">
        <f>HYPERLINK("https://otsuka-europe-crm.veevavault.com/ui/#object/sent_email__v/VBL00000001D009", "SE-001404051")</f>
        <v>SE-001404051</v>
      </c>
      <c r="D8068" s="1" t="s">
        <v>0</v>
      </c>
      <c r="E8068" s="2">
        <v>0</v>
      </c>
      <c r="F8068" s="2">
        <v>0</v>
      </c>
      <c r="G8068" s="2">
        <v>0</v>
      </c>
      <c r="H8068" s="1" t="s">
        <v>0</v>
      </c>
      <c r="I8068" s="2">
        <v>0</v>
      </c>
      <c r="J8068" s="1">
        <v>46066.407071759262</v>
      </c>
    </row>
    <row r="8069" spans="1:10" x14ac:dyDescent="0.2">
      <c r="A8069" s="4" t="s">
        <v>1</v>
      </c>
      <c r="B8069" s="3" t="str">
        <f>HYPERLINK("https://otsuka-europe-crm.veevavault.com/ui/#object/approved_document__v/V5OZ06G6O6RFL1P", "ES Veeva Privacy Notice Email")</f>
        <v>ES Veeva Privacy Notice Email</v>
      </c>
      <c r="C8069" s="3" t="str">
        <f>HYPERLINK("https://otsuka-europe-crm.veevavault.com/ui/#object/sent_email__v/VBL00000001D010", "SE-001404052")</f>
        <v>SE-001404052</v>
      </c>
      <c r="D8069" s="1">
        <v>46066.618206018517</v>
      </c>
      <c r="E8069" s="2">
        <v>1</v>
      </c>
      <c r="F8069" s="2">
        <v>1</v>
      </c>
      <c r="G8069" s="2">
        <v>0</v>
      </c>
      <c r="H8069" s="1" t="s">
        <v>0</v>
      </c>
      <c r="I8069" s="2">
        <v>0</v>
      </c>
      <c r="J8069" s="1">
        <v>46066.407731481479</v>
      </c>
    </row>
    <row r="8070" spans="1:10" x14ac:dyDescent="0.2">
      <c r="A8070" s="4" t="s">
        <v>1</v>
      </c>
      <c r="B8070" s="3" t="str">
        <f>HYPERLINK("https://otsuka-europe-crm.veevavault.com/ui/#object/approved_document__v/V5OZ06G6O6RFL1P", "ES Veeva Privacy Notice Email")</f>
        <v>ES Veeva Privacy Notice Email</v>
      </c>
      <c r="C8070" s="3" t="str">
        <f>HYPERLINK("https://otsuka-europe-crm.veevavault.com/ui/#object/sent_email__v/VBL00000001E072", "SE-001404053")</f>
        <v>SE-001404053</v>
      </c>
      <c r="D8070" s="1">
        <v>46066.40929398148</v>
      </c>
      <c r="E8070" s="2">
        <v>1</v>
      </c>
      <c r="F8070" s="2">
        <v>1</v>
      </c>
      <c r="G8070" s="2">
        <v>0</v>
      </c>
      <c r="H8070" s="1" t="s">
        <v>0</v>
      </c>
      <c r="I8070" s="2">
        <v>0</v>
      </c>
      <c r="J8070" s="1">
        <v>46066.409143518518</v>
      </c>
    </row>
    <row r="8071" spans="1:10" x14ac:dyDescent="0.2">
      <c r="A8071" s="4" t="s">
        <v>1</v>
      </c>
      <c r="B8071" s="3" t="str">
        <f>HYPERLINK("https://otsuka-europe-crm.veevavault.com/ui/#object/approved_document__v/V5OZ06G6O6RFL1P", "ES Veeva Privacy Notice Email")</f>
        <v>ES Veeva Privacy Notice Email</v>
      </c>
      <c r="C8071" s="3" t="str">
        <f>HYPERLINK("https://otsuka-europe-crm.veevavault.com/ui/#object/sent_email__v/VBL00000001D011", "SE-001404054")</f>
        <v>SE-001404054</v>
      </c>
      <c r="D8071" s="1" t="s">
        <v>0</v>
      </c>
      <c r="E8071" s="2">
        <v>0</v>
      </c>
      <c r="F8071" s="2">
        <v>0</v>
      </c>
      <c r="G8071" s="2">
        <v>0</v>
      </c>
      <c r="H8071" s="1" t="s">
        <v>0</v>
      </c>
      <c r="I8071" s="2">
        <v>0</v>
      </c>
      <c r="J8071" s="1">
        <v>46066.409710648149</v>
      </c>
    </row>
    <row r="8072" spans="1:10" x14ac:dyDescent="0.2">
      <c r="A8072" s="4" t="s">
        <v>1</v>
      </c>
      <c r="B8072" s="3" t="str">
        <f>HYPERLINK("https://otsuka-europe-crm.veevavault.com/ui/#object/approved_document__v/V5OZ06G6O6RFL1P", "ES Veeva Privacy Notice Email")</f>
        <v>ES Veeva Privacy Notice Email</v>
      </c>
      <c r="C8072" s="3" t="str">
        <f>HYPERLINK("https://otsuka-europe-crm.veevavault.com/ui/#object/sent_email__v/VBL00000001E073", "SE-001404055")</f>
        <v>SE-001404055</v>
      </c>
      <c r="D8072" s="1" t="s">
        <v>0</v>
      </c>
      <c r="E8072" s="2">
        <v>0</v>
      </c>
      <c r="F8072" s="2">
        <v>0</v>
      </c>
      <c r="G8072" s="2">
        <v>0</v>
      </c>
      <c r="H8072" s="1" t="s">
        <v>0</v>
      </c>
      <c r="I8072" s="2">
        <v>0</v>
      </c>
      <c r="J8072" s="1">
        <v>46066.450439814813</v>
      </c>
    </row>
    <row r="8073" spans="1:10" x14ac:dyDescent="0.2">
      <c r="A8073" s="4" t="s">
        <v>1</v>
      </c>
      <c r="B8073" s="3" t="str">
        <f>HYPERLINK("https://otsuka-europe-crm.veevavault.com/ui/#object/approved_document__v/V5OZ06G6O6RFL1P", "ES Veeva Privacy Notice Email")</f>
        <v>ES Veeva Privacy Notice Email</v>
      </c>
      <c r="C8073" s="3" t="str">
        <f>HYPERLINK("https://otsuka-europe-crm.veevavault.com/ui/#object/sent_email__v/VBL00000001D065", "SE-001404143")</f>
        <v>SE-001404143</v>
      </c>
      <c r="D8073" s="1">
        <v>46069.634722222225</v>
      </c>
      <c r="E8073" s="2">
        <v>1</v>
      </c>
      <c r="F8073" s="2">
        <v>2</v>
      </c>
      <c r="G8073" s="2">
        <v>0</v>
      </c>
      <c r="H8073" s="1" t="s">
        <v>0</v>
      </c>
      <c r="I8073" s="2">
        <v>0</v>
      </c>
      <c r="J8073" s="1">
        <v>46069.47283564815</v>
      </c>
    </row>
    <row r="8074" spans="1:10" x14ac:dyDescent="0.2">
      <c r="A8074" s="4" t="s">
        <v>1</v>
      </c>
      <c r="B8074" s="3" t="str">
        <f>HYPERLINK("https://otsuka-europe-crm.veevavault.com/ui/#object/approved_document__v/V5OZ06G6O6RFL1P", "ES Veeva Privacy Notice Email")</f>
        <v>ES Veeva Privacy Notice Email</v>
      </c>
      <c r="C8074" s="3" t="str">
        <f>HYPERLINK("https://otsuka-europe-crm.veevavault.com/ui/#object/sent_email__v/VBL00000001E140", "SE-001404172")</f>
        <v>SE-001404172</v>
      </c>
      <c r="D8074" s="1" t="s">
        <v>0</v>
      </c>
      <c r="E8074" s="2">
        <v>0</v>
      </c>
      <c r="F8074" s="2">
        <v>0</v>
      </c>
      <c r="G8074" s="2">
        <v>0</v>
      </c>
      <c r="H8074" s="1" t="s">
        <v>0</v>
      </c>
      <c r="I8074" s="2">
        <v>0</v>
      </c>
      <c r="J8074" s="1">
        <v>46069.597800925927</v>
      </c>
    </row>
    <row r="8075" spans="1:10" x14ac:dyDescent="0.2">
      <c r="A8075" s="4" t="s">
        <v>1</v>
      </c>
      <c r="B8075" s="3" t="str">
        <f>HYPERLINK("https://otsuka-europe-crm.veevavault.com/ui/#object/approved_document__v/V5OZ06G6O6RFL1P", "ES Veeva Privacy Notice Email")</f>
        <v>ES Veeva Privacy Notice Email</v>
      </c>
      <c r="C8075" s="3" t="str">
        <f>HYPERLINK("https://otsuka-europe-crm.veevavault.com/ui/#object/sent_email__v/VBL00000001E142", "SE-001404174")</f>
        <v>SE-001404174</v>
      </c>
      <c r="D8075" s="1" t="s">
        <v>0</v>
      </c>
      <c r="E8075" s="2">
        <v>0</v>
      </c>
      <c r="F8075" s="2">
        <v>0</v>
      </c>
      <c r="G8075" s="2">
        <v>0</v>
      </c>
      <c r="H8075" s="1" t="s">
        <v>0</v>
      </c>
      <c r="I8075" s="2">
        <v>0</v>
      </c>
      <c r="J8075" s="1">
        <v>46069.600069444445</v>
      </c>
    </row>
    <row r="8076" spans="1:10" x14ac:dyDescent="0.2">
      <c r="A8076" s="4" t="s">
        <v>1</v>
      </c>
      <c r="B8076" s="3" t="str">
        <f>HYPERLINK("https://otsuka-europe-crm.veevavault.com/ui/#object/approved_document__v/V5OZ06G6O6RFL1P", "ES Veeva Privacy Notice Email")</f>
        <v>ES Veeva Privacy Notice Email</v>
      </c>
      <c r="C8076" s="3" t="str">
        <f>HYPERLINK("https://otsuka-europe-crm.veevavault.com/ui/#object/sent_email__v/VBL00000001E146", "SE-001404178")</f>
        <v>SE-001404178</v>
      </c>
      <c r="D8076" s="1">
        <v>46069.633391203701</v>
      </c>
      <c r="E8076" s="2">
        <v>1</v>
      </c>
      <c r="F8076" s="2">
        <v>1</v>
      </c>
      <c r="G8076" s="2">
        <v>0</v>
      </c>
      <c r="H8076" s="1" t="s">
        <v>0</v>
      </c>
      <c r="I8076" s="2">
        <v>0</v>
      </c>
      <c r="J8076" s="1">
        <v>46069.60229166667</v>
      </c>
    </row>
    <row r="8077" spans="1:10" x14ac:dyDescent="0.2">
      <c r="A8077" s="4" t="s">
        <v>1</v>
      </c>
      <c r="B8077" s="3" t="str">
        <f>HYPERLINK("https://otsuka-europe-crm.veevavault.com/ui/#object/approved_document__v/V5OZ06G6O6RFL1P", "ES Veeva Privacy Notice Email")</f>
        <v>ES Veeva Privacy Notice Email</v>
      </c>
      <c r="C8077" s="3" t="str">
        <f>HYPERLINK("https://otsuka-europe-crm.veevavault.com/ui/#object/sent_email__v/VBL00000001E147", "SE-001404179")</f>
        <v>SE-001404179</v>
      </c>
      <c r="D8077" s="1" t="s">
        <v>0</v>
      </c>
      <c r="E8077" s="2">
        <v>0</v>
      </c>
      <c r="F8077" s="2">
        <v>0</v>
      </c>
      <c r="G8077" s="2">
        <v>0</v>
      </c>
      <c r="H8077" s="1" t="s">
        <v>0</v>
      </c>
      <c r="I8077" s="2">
        <v>0</v>
      </c>
      <c r="J8077" s="1">
        <v>46069.603773148148</v>
      </c>
    </row>
    <row r="8078" spans="1:10" x14ac:dyDescent="0.2">
      <c r="A8078" s="4" t="s">
        <v>1</v>
      </c>
      <c r="B8078" s="3" t="str">
        <f>HYPERLINK("https://otsuka-europe-crm.veevavault.com/ui/#object/approved_document__v/V5OZ06G6O6RFL1P", "ES Veeva Privacy Notice Email")</f>
        <v>ES Veeva Privacy Notice Email</v>
      </c>
      <c r="C8078" s="3" t="str">
        <f>HYPERLINK("https://otsuka-europe-crm.veevavault.com/ui/#object/sent_email__v/VBL00000001E154", "SE-001404189")</f>
        <v>SE-001404189</v>
      </c>
      <c r="D8078" s="1">
        <v>46070.214953703704</v>
      </c>
      <c r="E8078" s="2">
        <v>1</v>
      </c>
      <c r="F8078" s="2">
        <v>1</v>
      </c>
      <c r="G8078" s="2">
        <v>0</v>
      </c>
      <c r="H8078" s="1" t="s">
        <v>0</v>
      </c>
      <c r="I8078" s="2">
        <v>0</v>
      </c>
      <c r="J8078" s="1">
        <v>46069.64565972222</v>
      </c>
    </row>
    <row r="8079" spans="1:10" x14ac:dyDescent="0.2">
      <c r="A8079" s="4" t="s">
        <v>1</v>
      </c>
      <c r="B8079" s="3" t="str">
        <f>HYPERLINK("https://otsuka-europe-crm.veevavault.com/ui/#object/approved_document__v/V5OZ06G6O6RFL1P", "ES Veeva Privacy Notice Email")</f>
        <v>ES Veeva Privacy Notice Email</v>
      </c>
      <c r="C8079" s="3" t="str">
        <f>HYPERLINK("https://otsuka-europe-crm.veevavault.com/ui/#object/sent_email__v/VBL00000001E317", "SE-001404446")</f>
        <v>SE-001404446</v>
      </c>
      <c r="D8079" s="1">
        <v>46070.70584490741</v>
      </c>
      <c r="E8079" s="2">
        <v>1</v>
      </c>
      <c r="F8079" s="2">
        <v>2</v>
      </c>
      <c r="G8079" s="2">
        <v>0</v>
      </c>
      <c r="H8079" s="1" t="s">
        <v>0</v>
      </c>
      <c r="I8079" s="2">
        <v>0</v>
      </c>
      <c r="J8079" s="1">
        <v>46070.65483796296</v>
      </c>
    </row>
    <row r="8080" spans="1:10" x14ac:dyDescent="0.2">
      <c r="A8080" s="4" t="s">
        <v>1</v>
      </c>
      <c r="B8080" s="3" t="str">
        <f>HYPERLINK("https://otsuka-europe-crm.veevavault.com/ui/#object/approved_document__v/V5OZ06G6O6RFL1P", "ES Veeva Privacy Notice Email")</f>
        <v>ES Veeva Privacy Notice Email</v>
      </c>
      <c r="C8080" s="3" t="str">
        <f>HYPERLINK("https://otsuka-europe-crm.veevavault.com/ui/#object/sent_email__v/VBL00000001E339", "SE-001404486")</f>
        <v>SE-001404486</v>
      </c>
      <c r="D8080" s="1" t="s">
        <v>0</v>
      </c>
      <c r="E8080" s="2">
        <v>0</v>
      </c>
      <c r="F8080" s="2">
        <v>0</v>
      </c>
      <c r="G8080" s="2">
        <v>0</v>
      </c>
      <c r="H8080" s="1" t="s">
        <v>0</v>
      </c>
      <c r="I8080" s="2">
        <v>0</v>
      </c>
      <c r="J8080" s="1">
        <v>46071.367372685185</v>
      </c>
    </row>
    <row r="8081" spans="1:10" x14ac:dyDescent="0.2">
      <c r="A8081" s="4" t="s">
        <v>1</v>
      </c>
      <c r="B8081" s="3" t="str">
        <f>HYPERLINK("https://otsuka-europe-crm.veevavault.com/ui/#object/approved_document__v/V5OZ06G6O6RFL1P", "ES Veeva Privacy Notice Email")</f>
        <v>ES Veeva Privacy Notice Email</v>
      </c>
      <c r="C8081" s="3" t="str">
        <f>HYPERLINK("https://otsuka-europe-crm.veevavault.com/ui/#object/sent_email__v/VBL00000001E340", "SE-001404487")</f>
        <v>SE-001404487</v>
      </c>
      <c r="D8081" s="1" t="s">
        <v>0</v>
      </c>
      <c r="E8081" s="2">
        <v>0</v>
      </c>
      <c r="F8081" s="2">
        <v>0</v>
      </c>
      <c r="G8081" s="2">
        <v>0</v>
      </c>
      <c r="H8081" s="1" t="s">
        <v>0</v>
      </c>
      <c r="I8081" s="2">
        <v>0</v>
      </c>
      <c r="J8081" s="1">
        <v>46071.368252314816</v>
      </c>
    </row>
    <row r="8082" spans="1:10" x14ac:dyDescent="0.2">
      <c r="A8082" s="4" t="s">
        <v>1</v>
      </c>
      <c r="B8082" s="3" t="str">
        <f>HYPERLINK("https://otsuka-europe-crm.veevavault.com/ui/#object/approved_document__v/V5OZ06G6O6RFL1P", "ES Veeva Privacy Notice Email")</f>
        <v>ES Veeva Privacy Notice Email</v>
      </c>
      <c r="C8082" s="3" t="str">
        <f>HYPERLINK("https://otsuka-europe-crm.veevavault.com/ui/#object/sent_email__v/VBL00000001E341", "SE-001404488")</f>
        <v>SE-001404488</v>
      </c>
      <c r="D8082" s="1">
        <v>46075.877013888887</v>
      </c>
      <c r="E8082" s="2">
        <v>1</v>
      </c>
      <c r="F8082" s="2">
        <v>3</v>
      </c>
      <c r="G8082" s="2">
        <v>0</v>
      </c>
      <c r="H8082" s="1" t="s">
        <v>0</v>
      </c>
      <c r="I8082" s="2">
        <v>0</v>
      </c>
      <c r="J8082" s="1">
        <v>46071.368877314817</v>
      </c>
    </row>
    <row r="8083" spans="1:10" x14ac:dyDescent="0.2">
      <c r="A8083" s="4" t="s">
        <v>1</v>
      </c>
      <c r="B8083" s="3" t="str">
        <f>HYPERLINK("https://otsuka-europe-crm.veevavault.com/ui/#object/approved_document__v/V5OZ06G6O6RFL1P", "ES Veeva Privacy Notice Email")</f>
        <v>ES Veeva Privacy Notice Email</v>
      </c>
      <c r="C8083" s="3" t="str">
        <f>HYPERLINK("https://otsuka-europe-crm.veevavault.com/ui/#object/sent_email__v/VBL00000001E342", "SE-001404489")</f>
        <v>SE-001404489</v>
      </c>
      <c r="D8083" s="1">
        <v>46071.759317129632</v>
      </c>
      <c r="E8083" s="2">
        <v>1</v>
      </c>
      <c r="F8083" s="2">
        <v>1</v>
      </c>
      <c r="G8083" s="2">
        <v>0</v>
      </c>
      <c r="H8083" s="1" t="s">
        <v>0</v>
      </c>
      <c r="I8083" s="2">
        <v>0</v>
      </c>
      <c r="J8083" s="1">
        <v>46071.370057870372</v>
      </c>
    </row>
    <row r="8084" spans="1:10" x14ac:dyDescent="0.2">
      <c r="A8084" s="4" t="s">
        <v>1</v>
      </c>
      <c r="B8084" s="3" t="str">
        <f>HYPERLINK("https://otsuka-europe-crm.veevavault.com/ui/#object/approved_document__v/V5OZ06G6O6RFL1P", "ES Veeva Privacy Notice Email")</f>
        <v>ES Veeva Privacy Notice Email</v>
      </c>
      <c r="C8084" s="3" t="str">
        <f>HYPERLINK("https://otsuka-europe-crm.veevavault.com/ui/#object/sent_email__v/VBL00000001E343", "SE-001404490")</f>
        <v>SE-001404490</v>
      </c>
      <c r="D8084" s="1">
        <v>46072.782094907408</v>
      </c>
      <c r="E8084" s="2">
        <v>1</v>
      </c>
      <c r="F8084" s="2">
        <v>1</v>
      </c>
      <c r="G8084" s="2">
        <v>0</v>
      </c>
      <c r="H8084" s="1" t="s">
        <v>0</v>
      </c>
      <c r="I8084" s="2">
        <v>0</v>
      </c>
      <c r="J8084" s="1">
        <v>46071.371539351851</v>
      </c>
    </row>
    <row r="8085" spans="1:10" x14ac:dyDescent="0.2">
      <c r="A8085" s="4" t="s">
        <v>1</v>
      </c>
      <c r="B8085" s="3" t="str">
        <f>HYPERLINK("https://otsuka-europe-crm.veevavault.com/ui/#object/approved_document__v/V5OZ06G6O6RFL1P", "ES Veeva Privacy Notice Email")</f>
        <v>ES Veeva Privacy Notice Email</v>
      </c>
      <c r="C8085" s="3" t="str">
        <f>HYPERLINK("https://otsuka-europe-crm.veevavault.com/ui/#object/sent_email__v/VBL00000001E344", "SE-001404491")</f>
        <v>SE-001404491</v>
      </c>
      <c r="D8085" s="1">
        <v>46071.495486111111</v>
      </c>
      <c r="E8085" s="2">
        <v>1</v>
      </c>
      <c r="F8085" s="2">
        <v>3</v>
      </c>
      <c r="G8085" s="2">
        <v>0</v>
      </c>
      <c r="H8085" s="1" t="s">
        <v>0</v>
      </c>
      <c r="I8085" s="2">
        <v>0</v>
      </c>
      <c r="J8085" s="1">
        <v>46071.372442129628</v>
      </c>
    </row>
    <row r="8086" spans="1:10" x14ac:dyDescent="0.2">
      <c r="A8086" s="4" t="s">
        <v>1</v>
      </c>
      <c r="B8086" s="3" t="str">
        <f>HYPERLINK("https://otsuka-europe-crm.veevavault.com/ui/#object/approved_document__v/V5OZ06G6O6RFL1P", "ES Veeva Privacy Notice Email")</f>
        <v>ES Veeva Privacy Notice Email</v>
      </c>
      <c r="C8086" s="3" t="str">
        <f>HYPERLINK("https://otsuka-europe-crm.veevavault.com/ui/#object/sent_email__v/VBL00000001E345", "SE-001404492")</f>
        <v>SE-001404492</v>
      </c>
      <c r="D8086" s="1" t="s">
        <v>0</v>
      </c>
      <c r="E8086" s="2">
        <v>0</v>
      </c>
      <c r="F8086" s="2">
        <v>0</v>
      </c>
      <c r="G8086" s="2">
        <v>0</v>
      </c>
      <c r="H8086" s="1" t="s">
        <v>0</v>
      </c>
      <c r="I8086" s="2">
        <v>0</v>
      </c>
      <c r="J8086" s="1">
        <v>46071.374097222222</v>
      </c>
    </row>
    <row r="8087" spans="1:10" x14ac:dyDescent="0.2">
      <c r="A8087" s="4" t="s">
        <v>1</v>
      </c>
      <c r="B8087" s="3" t="str">
        <f>HYPERLINK("https://otsuka-europe-crm.veevavault.com/ui/#object/approved_document__v/V5OZ06G6O6RFL1P", "ES Veeva Privacy Notice Email")</f>
        <v>ES Veeva Privacy Notice Email</v>
      </c>
      <c r="C8087" s="3" t="str">
        <f>HYPERLINK("https://otsuka-europe-crm.veevavault.com/ui/#object/sent_email__v/VBL00000001E346", "SE-001404493")</f>
        <v>SE-001404493</v>
      </c>
      <c r="D8087" s="1" t="s">
        <v>0</v>
      </c>
      <c r="E8087" s="2">
        <v>0</v>
      </c>
      <c r="F8087" s="2">
        <v>0</v>
      </c>
      <c r="G8087" s="2">
        <v>0</v>
      </c>
      <c r="H8087" s="1" t="s">
        <v>0</v>
      </c>
      <c r="I8087" s="2">
        <v>0</v>
      </c>
      <c r="J8087" s="1">
        <v>46071.378287037034</v>
      </c>
    </row>
    <row r="8088" spans="1:10" x14ac:dyDescent="0.2">
      <c r="A8088" s="4" t="s">
        <v>1</v>
      </c>
      <c r="B8088" s="3" t="str">
        <f>HYPERLINK("https://otsuka-europe-crm.veevavault.com/ui/#object/approved_document__v/V5OZ06G6O6RFL1P", "ES Veeva Privacy Notice Email")</f>
        <v>ES Veeva Privacy Notice Email</v>
      </c>
      <c r="C8088" s="3" t="str">
        <f>HYPERLINK("https://otsuka-europe-crm.veevavault.com/ui/#object/sent_email__v/VBL00000001E362", "SE-001404867")</f>
        <v>SE-001404867</v>
      </c>
      <c r="D8088" s="1" t="s">
        <v>0</v>
      </c>
      <c r="E8088" s="2">
        <v>0</v>
      </c>
      <c r="F8088" s="2">
        <v>0</v>
      </c>
      <c r="G8088" s="2">
        <v>0</v>
      </c>
      <c r="H8088" s="1" t="s">
        <v>0</v>
      </c>
      <c r="I8088" s="2">
        <v>0</v>
      </c>
      <c r="J8088" s="1">
        <v>46071.601817129631</v>
      </c>
    </row>
    <row r="8089" spans="1:10" x14ac:dyDescent="0.2">
      <c r="A8089" s="4" t="s">
        <v>1</v>
      </c>
      <c r="B8089" s="3" t="str">
        <f>HYPERLINK("https://otsuka-europe-crm.veevavault.com/ui/#object/approved_document__v/V5OZ06G6O6RFL1P", "ES Veeva Privacy Notice Email")</f>
        <v>ES Veeva Privacy Notice Email</v>
      </c>
      <c r="C8089" s="3" t="str">
        <f>HYPERLINK("https://otsuka-europe-crm.veevavault.com/ui/#object/sent_email__v/VBL00000001D562", "SE-001404868")</f>
        <v>SE-001404868</v>
      </c>
      <c r="D8089" s="1" t="s">
        <v>0</v>
      </c>
      <c r="E8089" s="2">
        <v>0</v>
      </c>
      <c r="F8089" s="2">
        <v>0</v>
      </c>
      <c r="G8089" s="2">
        <v>0</v>
      </c>
      <c r="H8089" s="1" t="s">
        <v>0</v>
      </c>
      <c r="I8089" s="2">
        <v>0</v>
      </c>
      <c r="J8089" s="1">
        <v>46071.602685185186</v>
      </c>
    </row>
    <row r="8090" spans="1:10" x14ac:dyDescent="0.2">
      <c r="A8090" s="4" t="s">
        <v>1</v>
      </c>
      <c r="B8090" s="3" t="str">
        <f>HYPERLINK("https://otsuka-europe-crm.veevavault.com/ui/#object/approved_document__v/V5OZ06G6O6RFL1P", "ES Veeva Privacy Notice Email")</f>
        <v>ES Veeva Privacy Notice Email</v>
      </c>
      <c r="C8090" s="3" t="str">
        <f>HYPERLINK("https://otsuka-europe-crm.veevavault.com/ui/#object/sent_email__v/VBL00000001D563", "SE-001404869")</f>
        <v>SE-001404869</v>
      </c>
      <c r="D8090" s="1" t="s">
        <v>0</v>
      </c>
      <c r="E8090" s="2">
        <v>0</v>
      </c>
      <c r="F8090" s="2">
        <v>0</v>
      </c>
      <c r="G8090" s="2">
        <v>0</v>
      </c>
      <c r="H8090" s="1" t="s">
        <v>0</v>
      </c>
      <c r="I8090" s="2">
        <v>0</v>
      </c>
      <c r="J8090" s="1">
        <v>46071.603333333333</v>
      </c>
    </row>
    <row r="8091" spans="1:10" x14ac:dyDescent="0.2">
      <c r="A8091" s="4" t="s">
        <v>1</v>
      </c>
      <c r="B8091" s="3" t="str">
        <f>HYPERLINK("https://otsuka-europe-crm.veevavault.com/ui/#object/approved_document__v/V5OZ06G6O6RFL1P", "ES Veeva Privacy Notice Email")</f>
        <v>ES Veeva Privacy Notice Email</v>
      </c>
      <c r="C8091" s="3" t="str">
        <f>HYPERLINK("https://otsuka-europe-crm.veevavault.com/ui/#object/sent_email__v/VBL00000001E474", "SE-001405009")</f>
        <v>SE-001405009</v>
      </c>
      <c r="D8091" s="1">
        <v>46076.293969907405</v>
      </c>
      <c r="E8091" s="2">
        <v>1</v>
      </c>
      <c r="F8091" s="2">
        <v>2</v>
      </c>
      <c r="G8091" s="2">
        <v>0</v>
      </c>
      <c r="H8091" s="1" t="s">
        <v>0</v>
      </c>
      <c r="I8091" s="2">
        <v>0</v>
      </c>
      <c r="J8091" s="1">
        <v>46072.475949074076</v>
      </c>
    </row>
    <row r="8092" spans="1:10" x14ac:dyDescent="0.2">
      <c r="A8092" s="4" t="s">
        <v>1</v>
      </c>
      <c r="B8092" s="3" t="str">
        <f>HYPERLINK("https://otsuka-europe-crm.veevavault.com/ui/#object/approved_document__v/V5OZ06G6O6RFL1P", "ES Veeva Privacy Notice Email")</f>
        <v>ES Veeva Privacy Notice Email</v>
      </c>
      <c r="C8092" s="3" t="str">
        <f>HYPERLINK("https://otsuka-europe-crm.veevavault.com/ui/#object/sent_email__v/VBL00000001E476", "SE-001405011")</f>
        <v>SE-001405011</v>
      </c>
      <c r="D8092" s="1">
        <v>46072.785497685189</v>
      </c>
      <c r="E8092" s="2">
        <v>1</v>
      </c>
      <c r="F8092" s="2">
        <v>1</v>
      </c>
      <c r="G8092" s="2">
        <v>0</v>
      </c>
      <c r="H8092" s="1" t="s">
        <v>0</v>
      </c>
      <c r="I8092" s="2">
        <v>0</v>
      </c>
      <c r="J8092" s="1">
        <v>46072.479421296295</v>
      </c>
    </row>
    <row r="8093" spans="1:10" x14ac:dyDescent="0.2">
      <c r="A8093" s="4" t="s">
        <v>1</v>
      </c>
      <c r="B8093" s="3" t="str">
        <f>HYPERLINK("https://otsuka-europe-crm.veevavault.com/ui/#object/approved_document__v/V5OZ06G6O6RFL1P", "ES Veeva Privacy Notice Email")</f>
        <v>ES Veeva Privacy Notice Email</v>
      </c>
      <c r="C8093" s="3" t="str">
        <f>HYPERLINK("https://otsuka-europe-crm.veevavault.com/ui/#object/sent_email__v/VBL00000001D697", "SE-001405158")</f>
        <v>SE-001405158</v>
      </c>
      <c r="D8093" s="1">
        <v>46074.518634259257</v>
      </c>
      <c r="E8093" s="2">
        <v>1</v>
      </c>
      <c r="F8093" s="2">
        <v>4</v>
      </c>
      <c r="G8093" s="2">
        <v>0</v>
      </c>
      <c r="H8093" s="1" t="s">
        <v>0</v>
      </c>
      <c r="I8093" s="2">
        <v>0</v>
      </c>
      <c r="J8093" s="1">
        <v>46072.762685185182</v>
      </c>
    </row>
    <row r="8094" spans="1:10" x14ac:dyDescent="0.2">
      <c r="A8094" s="4" t="s">
        <v>1</v>
      </c>
      <c r="B8094" s="3" t="str">
        <f>HYPERLINK("https://otsuka-europe-crm.veevavault.com/ui/#object/approved_document__v/V5OZ06G6O6RFL1P", "ES Veeva Privacy Notice Email")</f>
        <v>ES Veeva Privacy Notice Email</v>
      </c>
      <c r="C8094" s="3" t="str">
        <f>HYPERLINK("https://otsuka-europe-crm.veevavault.com/ui/#object/sent_email__v/VBL00000001D698", "SE-001405159")</f>
        <v>SE-001405159</v>
      </c>
      <c r="D8094" s="1">
        <v>46072.905231481483</v>
      </c>
      <c r="E8094" s="2">
        <v>1</v>
      </c>
      <c r="F8094" s="2">
        <v>3</v>
      </c>
      <c r="G8094" s="2">
        <v>0</v>
      </c>
      <c r="H8094" s="1" t="s">
        <v>0</v>
      </c>
      <c r="I8094" s="2">
        <v>0</v>
      </c>
      <c r="J8094" s="1">
        <v>46072.764525462961</v>
      </c>
    </row>
    <row r="8095" spans="1:10" x14ac:dyDescent="0.2">
      <c r="A8095" s="4" t="s">
        <v>1</v>
      </c>
      <c r="B8095" s="3" t="str">
        <f>HYPERLINK("https://otsuka-europe-crm.veevavault.com/ui/#object/approved_document__v/V5OZ06G6O6RFL1P", "ES Veeva Privacy Notice Email")</f>
        <v>ES Veeva Privacy Notice Email</v>
      </c>
      <c r="C8095" s="3" t="str">
        <f>HYPERLINK("https://otsuka-europe-crm.veevavault.com/ui/#object/sent_email__v/VBL00000001G466", "SE-001405904")</f>
        <v>SE-001405904</v>
      </c>
      <c r="D8095" s="1">
        <v>46076.743333333332</v>
      </c>
      <c r="E8095" s="2">
        <v>1</v>
      </c>
      <c r="F8095" s="2">
        <v>1</v>
      </c>
      <c r="G8095" s="2">
        <v>0</v>
      </c>
      <c r="H8095" s="1" t="s">
        <v>0</v>
      </c>
      <c r="I8095" s="2">
        <v>0</v>
      </c>
      <c r="J8095" s="1">
        <v>46076.711736111109</v>
      </c>
    </row>
    <row r="8096" spans="1:10" x14ac:dyDescent="0.2">
      <c r="A8096" s="4" t="s">
        <v>1</v>
      </c>
      <c r="B8096" s="3" t="str">
        <f>HYPERLINK("https://otsuka-europe-crm.veevavault.com/ui/#object/approved_document__v/V5OZ06G6O6RFL1P", "ES Veeva Privacy Notice Email")</f>
        <v>ES Veeva Privacy Notice Email</v>
      </c>
      <c r="C8096" s="3" t="str">
        <f>HYPERLINK("https://otsuka-europe-crm.veevavault.com/ui/#object/sent_email__v/VBL00000001F301", "SE-001405947")</f>
        <v>SE-001405947</v>
      </c>
      <c r="D8096" s="1">
        <v>46077.458182870374</v>
      </c>
      <c r="E8096" s="2">
        <v>1</v>
      </c>
      <c r="F8096" s="2">
        <v>1</v>
      </c>
      <c r="G8096" s="2">
        <v>0</v>
      </c>
      <c r="H8096" s="1" t="s">
        <v>0</v>
      </c>
      <c r="I8096" s="2">
        <v>0</v>
      </c>
      <c r="J8096" s="1">
        <v>46076.897812499999</v>
      </c>
    </row>
    <row r="8097" spans="1:10" x14ac:dyDescent="0.2">
      <c r="A8097" s="4" t="s">
        <v>1</v>
      </c>
      <c r="B8097" s="3" t="str">
        <f>HYPERLINK("https://otsuka-europe-crm.veevavault.com/ui/#object/approved_document__v/V5OZ06G6O6RFL1P", "ES Veeva Privacy Notice Email")</f>
        <v>ES Veeva Privacy Notice Email</v>
      </c>
      <c r="C8097" s="3" t="str">
        <f>HYPERLINK("https://otsuka-europe-crm.veevavault.com/ui/#object/sent_email__v/VBL00000001F305", "SE-001405951")</f>
        <v>SE-001405951</v>
      </c>
      <c r="D8097" s="1">
        <v>46077.305578703701</v>
      </c>
      <c r="E8097" s="2">
        <v>1</v>
      </c>
      <c r="F8097" s="2">
        <v>1</v>
      </c>
      <c r="G8097" s="2">
        <v>0</v>
      </c>
      <c r="H8097" s="1" t="s">
        <v>0</v>
      </c>
      <c r="I8097" s="2">
        <v>0</v>
      </c>
      <c r="J8097" s="1">
        <v>46076.901388888888</v>
      </c>
    </row>
    <row r="8098" spans="1:10" x14ac:dyDescent="0.2">
      <c r="A8098" s="4" t="s">
        <v>1</v>
      </c>
      <c r="B8098" s="3" t="str">
        <f>HYPERLINK("https://otsuka-europe-crm.veevavault.com/ui/#object/approved_document__v/V5OZ06G6O6RFL1P", "ES Veeva Privacy Notice Email")</f>
        <v>ES Veeva Privacy Notice Email</v>
      </c>
      <c r="C8098" s="3" t="str">
        <f>HYPERLINK("https://otsuka-europe-crm.veevavault.com/ui/#object/sent_email__v/VBL00000001F309", "SE-001405956")</f>
        <v>SE-001405956</v>
      </c>
      <c r="D8098" s="1">
        <v>46078.601863425924</v>
      </c>
      <c r="E8098" s="2">
        <v>1</v>
      </c>
      <c r="F8098" s="2">
        <v>5</v>
      </c>
      <c r="G8098" s="2">
        <v>0</v>
      </c>
      <c r="H8098" s="1" t="s">
        <v>0</v>
      </c>
      <c r="I8098" s="2">
        <v>0</v>
      </c>
      <c r="J8098" s="1">
        <v>46077.295543981483</v>
      </c>
    </row>
    <row r="8099" spans="1:10" x14ac:dyDescent="0.2">
      <c r="A8099" s="4" t="s">
        <v>1</v>
      </c>
      <c r="B8099" s="3" t="str">
        <f>HYPERLINK("https://otsuka-europe-crm.veevavault.com/ui/#object/approved_document__v/V5OZ06G6O6RFL1P", "ES Veeva Privacy Notice Email")</f>
        <v>ES Veeva Privacy Notice Email</v>
      </c>
      <c r="C8099" s="3" t="str">
        <f>HYPERLINK("https://otsuka-europe-crm.veevavault.com/ui/#object/sent_email__v/VBL00000001G513", "SE-001405985")</f>
        <v>SE-001405985</v>
      </c>
      <c r="D8099" s="1">
        <v>46079.31795138889</v>
      </c>
      <c r="E8099" s="2">
        <v>1</v>
      </c>
      <c r="F8099" s="2">
        <v>1</v>
      </c>
      <c r="G8099" s="2">
        <v>0</v>
      </c>
      <c r="H8099" s="1" t="s">
        <v>0</v>
      </c>
      <c r="I8099" s="2">
        <v>0</v>
      </c>
      <c r="J8099" s="1">
        <v>46077.482199074075</v>
      </c>
    </row>
    <row r="8100" spans="1:10" x14ac:dyDescent="0.2">
      <c r="A8100" s="4" t="s">
        <v>1</v>
      </c>
      <c r="B8100" s="3" t="str">
        <f>HYPERLINK("https://otsuka-europe-crm.veevavault.com/ui/#object/approved_document__v/V5OZ06G6O6RFL1P", "ES Veeva Privacy Notice Email")</f>
        <v>ES Veeva Privacy Notice Email</v>
      </c>
      <c r="C8100" s="3" t="str">
        <f>HYPERLINK("https://otsuka-europe-crm.veevavault.com/ui/#object/sent_email__v/VBL00000001G514", "SE-001405988")</f>
        <v>SE-001405988</v>
      </c>
      <c r="D8100" s="1" t="s">
        <v>0</v>
      </c>
      <c r="E8100" s="2">
        <v>0</v>
      </c>
      <c r="F8100" s="2">
        <v>0</v>
      </c>
      <c r="G8100" s="2">
        <v>0</v>
      </c>
      <c r="H8100" s="1" t="s">
        <v>0</v>
      </c>
      <c r="I8100" s="2">
        <v>0</v>
      </c>
      <c r="J8100" s="1">
        <v>46077.483576388891</v>
      </c>
    </row>
    <row r="8101" spans="1:10" x14ac:dyDescent="0.2">
      <c r="A8101" s="4" t="s">
        <v>1</v>
      </c>
      <c r="B8101" s="3" t="str">
        <f>HYPERLINK("https://otsuka-europe-crm.veevavault.com/ui/#object/approved_document__v/V5OZ06G6O6RFL1P", "ES Veeva Privacy Notice Email")</f>
        <v>ES Veeva Privacy Notice Email</v>
      </c>
      <c r="C8101" s="3" t="str">
        <f>HYPERLINK("https://otsuka-europe-crm.veevavault.com/ui/#object/sent_email__v/VBL00000001G515", "SE-001405989")</f>
        <v>SE-001405989</v>
      </c>
      <c r="D8101" s="1" t="s">
        <v>0</v>
      </c>
      <c r="E8101" s="2">
        <v>0</v>
      </c>
      <c r="F8101" s="2">
        <v>0</v>
      </c>
      <c r="G8101" s="2">
        <v>0</v>
      </c>
      <c r="H8101" s="1" t="s">
        <v>0</v>
      </c>
      <c r="I8101" s="2">
        <v>0</v>
      </c>
      <c r="J8101" s="1">
        <v>46077.515057870369</v>
      </c>
    </row>
    <row r="8102" spans="1:10" x14ac:dyDescent="0.2">
      <c r="A8102" s="4" t="s">
        <v>1</v>
      </c>
      <c r="B8102" s="3" t="str">
        <f>HYPERLINK("https://otsuka-europe-crm.veevavault.com/ui/#object/approved_document__v/V5OZ06G6O6RFL1P", "ES Veeva Privacy Notice Email")</f>
        <v>ES Veeva Privacy Notice Email</v>
      </c>
      <c r="C8102" s="3" t="str">
        <f>HYPERLINK("https://otsuka-europe-crm.veevavault.com/ui/#object/sent_email__v/VBL00000001F343", "SE-001406021")</f>
        <v>SE-001406021</v>
      </c>
      <c r="D8102" s="1" t="s">
        <v>0</v>
      </c>
      <c r="E8102" s="2">
        <v>0</v>
      </c>
      <c r="F8102" s="2">
        <v>0</v>
      </c>
      <c r="G8102" s="2">
        <v>0</v>
      </c>
      <c r="H8102" s="1" t="s">
        <v>0</v>
      </c>
      <c r="I8102" s="2">
        <v>0</v>
      </c>
      <c r="J8102" s="1">
        <v>46077.611458333333</v>
      </c>
    </row>
    <row r="8103" spans="1:10" x14ac:dyDescent="0.2">
      <c r="A8103" s="4" t="s">
        <v>1</v>
      </c>
      <c r="B8103" s="3" t="str">
        <f>HYPERLINK("https://otsuka-europe-crm.veevavault.com/ui/#object/approved_document__v/V5OZ06G6O6RFL1P", "ES Veeva Privacy Notice Email")</f>
        <v>ES Veeva Privacy Notice Email</v>
      </c>
      <c r="C8103" s="3" t="str">
        <f>HYPERLINK("https://otsuka-europe-crm.veevavault.com/ui/#object/sent_email__v/VBL00000001G841", "SE-001406525")</f>
        <v>SE-001406525</v>
      </c>
      <c r="D8103" s="1" t="s">
        <v>0</v>
      </c>
      <c r="E8103" s="2">
        <v>0</v>
      </c>
      <c r="F8103" s="2">
        <v>0</v>
      </c>
      <c r="G8103" s="2">
        <v>0</v>
      </c>
      <c r="H8103" s="1" t="s">
        <v>0</v>
      </c>
      <c r="I8103" s="2">
        <v>0</v>
      </c>
      <c r="J8103" s="1">
        <v>46078.480358796296</v>
      </c>
    </row>
    <row r="8104" spans="1:10" x14ac:dyDescent="0.2">
      <c r="A8104" s="4" t="s">
        <v>1</v>
      </c>
      <c r="B8104" s="3" t="str">
        <f>HYPERLINK("https://otsuka-europe-crm.veevavault.com/ui/#object/approved_document__v/V5OZ06G6O6RFL1P", "ES Veeva Privacy Notice Email")</f>
        <v>ES Veeva Privacy Notice Email</v>
      </c>
      <c r="C8104" s="3" t="str">
        <f>HYPERLINK("https://otsuka-europe-crm.veevavault.com/ui/#object/sent_email__v/VBL00000001F549", "SE-001406544")</f>
        <v>SE-001406544</v>
      </c>
      <c r="D8104" s="1" t="s">
        <v>0</v>
      </c>
      <c r="E8104" s="2">
        <v>0</v>
      </c>
      <c r="F8104" s="2">
        <v>0</v>
      </c>
      <c r="G8104" s="2">
        <v>0</v>
      </c>
      <c r="H8104" s="1" t="s">
        <v>0</v>
      </c>
      <c r="I8104" s="2">
        <v>0</v>
      </c>
      <c r="J8104" s="1">
        <v>46078.512488425928</v>
      </c>
    </row>
    <row r="8105" spans="1:10" x14ac:dyDescent="0.2">
      <c r="A8105" s="4" t="s">
        <v>1</v>
      </c>
      <c r="B8105" s="3" t="str">
        <f>HYPERLINK("https://otsuka-europe-crm.veevavault.com/ui/#object/approved_document__v/V5OZ06G6O6RFL1P", "ES Veeva Privacy Notice Email")</f>
        <v>ES Veeva Privacy Notice Email</v>
      </c>
      <c r="C8105" s="3" t="str">
        <f>HYPERLINK("https://otsuka-europe-crm.veevavault.com/ui/#object/sent_email__v/VBL00000001F603", "SE-001406628")</f>
        <v>SE-001406628</v>
      </c>
      <c r="D8105" s="1" t="s">
        <v>0</v>
      </c>
      <c r="E8105" s="2">
        <v>0</v>
      </c>
      <c r="F8105" s="2">
        <v>0</v>
      </c>
      <c r="G8105" s="2">
        <v>0</v>
      </c>
      <c r="H8105" s="1" t="s">
        <v>0</v>
      </c>
      <c r="I8105" s="2">
        <v>0</v>
      </c>
      <c r="J8105" s="1">
        <v>46079.402199074073</v>
      </c>
    </row>
    <row r="8106" spans="1:10" x14ac:dyDescent="0.2">
      <c r="A8106" s="4" t="s">
        <v>1</v>
      </c>
      <c r="B8106" s="3" t="str">
        <f>HYPERLINK("https://otsuka-europe-crm.veevavault.com/ui/#object/approved_document__v/V5OZ06G6O6RFL1P", "ES Veeva Privacy Notice Email")</f>
        <v>ES Veeva Privacy Notice Email</v>
      </c>
      <c r="C8106" s="3" t="str">
        <f>HYPERLINK("https://otsuka-europe-crm.veevavault.com/ui/#object/sent_email__v/VBL00000001G888", "SE-001406636")</f>
        <v>SE-001406636</v>
      </c>
      <c r="D8106" s="1" t="s">
        <v>0</v>
      </c>
      <c r="E8106" s="2">
        <v>0</v>
      </c>
      <c r="F8106" s="2">
        <v>0</v>
      </c>
      <c r="G8106" s="2">
        <v>0</v>
      </c>
      <c r="H8106" s="1" t="s">
        <v>0</v>
      </c>
      <c r="I8106" s="2">
        <v>0</v>
      </c>
      <c r="J8106" s="1">
        <v>46079.439502314817</v>
      </c>
    </row>
    <row r="8107" spans="1:10" x14ac:dyDescent="0.2">
      <c r="A8107" s="4" t="s">
        <v>1</v>
      </c>
      <c r="B8107" s="3" t="str">
        <f>HYPERLINK("https://otsuka-europe-crm.veevavault.com/ui/#object/approved_document__v/V5OZ06G6O6RFL1Q", "ES Veeva Samples Confirmation Email Receipt")</f>
        <v>ES Veeva Samples Confirmation Email Receipt</v>
      </c>
      <c r="C8107" s="3" t="str">
        <f>HYPERLINK("https://otsuka-europe-crm.veevavault.com/ui/#object/sent_email__v/VBL00000000P154", "SE-001391471")</f>
        <v>SE-001391471</v>
      </c>
      <c r="D8107" s="1">
        <v>45985.738645833335</v>
      </c>
      <c r="E8107" s="2">
        <v>1</v>
      </c>
      <c r="F8107" s="2">
        <v>5</v>
      </c>
      <c r="G8107" s="2">
        <v>0</v>
      </c>
      <c r="H8107" s="1" t="s">
        <v>0</v>
      </c>
      <c r="I8107" s="2">
        <v>0</v>
      </c>
      <c r="J8107" s="1">
        <v>45981.809039351851</v>
      </c>
    </row>
    <row r="8108" spans="1:10" x14ac:dyDescent="0.2">
      <c r="A8108" s="4" t="s">
        <v>1</v>
      </c>
      <c r="B8108" s="3" t="str">
        <f>HYPERLINK("https://otsuka-europe-crm.veevavault.com/ui/#object/approved_document__v/V5OZ025E82MC1AL", "FH - Curso Fundamentos SCZ APA")</f>
        <v>FH - Curso Fundamentos SCZ APA</v>
      </c>
      <c r="C8108" s="3" t="str">
        <f>HYPERLINK("https://otsuka-europe-crm.veevavault.com/ui/#object/sent_email__v/VBLZ025E82GP479", "SE-000275652")</f>
        <v>SE-000275652</v>
      </c>
      <c r="D8108" s="1">
        <v>45917.609039351853</v>
      </c>
      <c r="E8108" s="2">
        <v>1</v>
      </c>
      <c r="F8108" s="2">
        <v>2</v>
      </c>
      <c r="G8108" s="2">
        <v>0</v>
      </c>
      <c r="H8108" s="1" t="s">
        <v>0</v>
      </c>
      <c r="I8108" s="2">
        <v>0</v>
      </c>
      <c r="J8108" s="1">
        <v>45916.401655092595</v>
      </c>
    </row>
    <row r="8109" spans="1:10" x14ac:dyDescent="0.2">
      <c r="A8109" s="4" t="s">
        <v>1</v>
      </c>
      <c r="B8109" s="3" t="str">
        <f>HYPERLINK("https://otsuka-europe-crm.veevavault.com/ui/#object/approved_document__v/V5OZ025E82FI8WY", "FH - Curso IA en Salud")</f>
        <v>FH - Curso IA en Salud</v>
      </c>
      <c r="C8109" s="3" t="str">
        <f>HYPERLINK("https://otsuka-europe-crm.veevavault.com/ui/#object/sent_email__v/VBLZ025E82GIJML", "SE-000255605")</f>
        <v>SE-000255605</v>
      </c>
      <c r="D8109" s="1">
        <v>45919.90042824074</v>
      </c>
      <c r="E8109" s="2">
        <v>1</v>
      </c>
      <c r="F8109" s="2">
        <v>2</v>
      </c>
      <c r="G8109" s="2">
        <v>0</v>
      </c>
      <c r="H8109" s="1" t="s">
        <v>0</v>
      </c>
      <c r="I8109" s="2">
        <v>0</v>
      </c>
      <c r="J8109" s="1">
        <v>45909.457696759258</v>
      </c>
    </row>
    <row r="8110" spans="1:10" x14ac:dyDescent="0.2">
      <c r="A8110" s="4" t="s">
        <v>1</v>
      </c>
      <c r="B8110" s="3" t="str">
        <f>HYPERLINK("https://otsuka-europe-crm.veevavault.com/ui/#object/approved_document__v/V5O00000000T004", "INA - ""30 minutos en casa"" - 19 de marzo")</f>
        <v>INA - "30 minutos en casa" - 19 de marzo</v>
      </c>
      <c r="C8110" s="3" t="str">
        <f>HYPERLINK("https://otsuka-europe-crm.veevavault.com/ui/#object/sent_email__v/VBL00000001G838", "SE-001406509")</f>
        <v>SE-001406509</v>
      </c>
      <c r="D8110" s="1" t="s">
        <v>0</v>
      </c>
      <c r="E8110" s="2">
        <v>0</v>
      </c>
      <c r="F8110" s="2">
        <v>0</v>
      </c>
      <c r="G8110" s="2">
        <v>0</v>
      </c>
      <c r="H8110" s="1" t="s">
        <v>0</v>
      </c>
      <c r="I8110" s="2">
        <v>0</v>
      </c>
      <c r="J8110" s="1">
        <v>46078.406956018516</v>
      </c>
    </row>
    <row r="8111" spans="1:10" x14ac:dyDescent="0.2">
      <c r="A8111" s="4" t="s">
        <v>1</v>
      </c>
      <c r="B811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11" s="3" t="str">
        <f>HYPERLINK("https://otsuka-europe-crm.veevavault.com/ui/#object/sent_email__v/VBL000000016088", "SE-001400196")</f>
        <v>SE-001400196</v>
      </c>
      <c r="D8111" s="1">
        <v>46046.446562500001</v>
      </c>
      <c r="E8111" s="2">
        <v>1</v>
      </c>
      <c r="F8111" s="2">
        <v>27</v>
      </c>
      <c r="G8111" s="2">
        <v>1</v>
      </c>
      <c r="H8111" s="1">
        <v>46043.611134259256</v>
      </c>
      <c r="I8111" s="2">
        <v>39</v>
      </c>
      <c r="J8111" s="1">
        <v>46041.412835648145</v>
      </c>
    </row>
    <row r="8112" spans="1:10" x14ac:dyDescent="0.2">
      <c r="A8112" s="4" t="s">
        <v>1</v>
      </c>
      <c r="B811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12" s="3" t="str">
        <f>HYPERLINK("https://otsuka-europe-crm.veevavault.com/ui/#object/sent_email__v/VBL000000016115", "SE-001400255")</f>
        <v>SE-001400255</v>
      </c>
      <c r="D8112" s="1">
        <v>46044.734733796293</v>
      </c>
      <c r="E8112" s="2">
        <v>1</v>
      </c>
      <c r="F8112" s="2">
        <v>1</v>
      </c>
      <c r="G8112" s="2">
        <v>0</v>
      </c>
      <c r="H8112" s="1" t="s">
        <v>0</v>
      </c>
      <c r="I8112" s="2">
        <v>0</v>
      </c>
      <c r="J8112" s="1">
        <v>46043.429212962961</v>
      </c>
    </row>
    <row r="8113" spans="1:10" x14ac:dyDescent="0.2">
      <c r="A8113" s="4" t="s">
        <v>1</v>
      </c>
      <c r="B811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13" s="3" t="str">
        <f>HYPERLINK("https://otsuka-europe-crm.veevavault.com/ui/#object/sent_email__v/VBL000000016116", "SE-001400256")</f>
        <v>SE-001400256</v>
      </c>
      <c r="D8113" s="1" t="s">
        <v>0</v>
      </c>
      <c r="E8113" s="2">
        <v>0</v>
      </c>
      <c r="F8113" s="2">
        <v>0</v>
      </c>
      <c r="G8113" s="2">
        <v>0</v>
      </c>
      <c r="H8113" s="1" t="s">
        <v>0</v>
      </c>
      <c r="I8113" s="2">
        <v>0</v>
      </c>
      <c r="J8113" s="1">
        <v>46043.429305555554</v>
      </c>
    </row>
    <row r="8114" spans="1:10" x14ac:dyDescent="0.2">
      <c r="A8114" s="4" t="s">
        <v>1</v>
      </c>
      <c r="B811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14" s="3" t="str">
        <f>HYPERLINK("https://otsuka-europe-crm.veevavault.com/ui/#object/sent_email__v/VBL000000016117", "SE-001400257")</f>
        <v>SE-001400257</v>
      </c>
      <c r="D8114" s="1" t="s">
        <v>0</v>
      </c>
      <c r="E8114" s="2">
        <v>0</v>
      </c>
      <c r="F8114" s="2">
        <v>0</v>
      </c>
      <c r="G8114" s="2">
        <v>0</v>
      </c>
      <c r="H8114" s="1" t="s">
        <v>0</v>
      </c>
      <c r="I8114" s="2">
        <v>0</v>
      </c>
      <c r="J8114" s="1">
        <v>46043.429212962961</v>
      </c>
    </row>
    <row r="8115" spans="1:10" x14ac:dyDescent="0.2">
      <c r="A8115" s="4" t="s">
        <v>1</v>
      </c>
      <c r="B811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15" s="3" t="str">
        <f>HYPERLINK("https://otsuka-europe-crm.veevavault.com/ui/#object/sent_email__v/VBL000000016118", "SE-001400258")</f>
        <v>SE-001400258</v>
      </c>
      <c r="D8115" s="1" t="s">
        <v>0</v>
      </c>
      <c r="E8115" s="2">
        <v>0</v>
      </c>
      <c r="F8115" s="2">
        <v>0</v>
      </c>
      <c r="G8115" s="2">
        <v>0</v>
      </c>
      <c r="H8115" s="1" t="s">
        <v>0</v>
      </c>
      <c r="I8115" s="2">
        <v>0</v>
      </c>
      <c r="J8115" s="1">
        <v>46043.429328703707</v>
      </c>
    </row>
    <row r="8116" spans="1:10" x14ac:dyDescent="0.2">
      <c r="A8116" s="4" t="s">
        <v>1</v>
      </c>
      <c r="B811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16" s="3" t="str">
        <f>HYPERLINK("https://otsuka-europe-crm.veevavault.com/ui/#object/sent_email__v/VBL000000016119", "SE-001400259")</f>
        <v>SE-001400259</v>
      </c>
      <c r="D8116" s="1">
        <v>46043.774872685186</v>
      </c>
      <c r="E8116" s="2">
        <v>1</v>
      </c>
      <c r="F8116" s="2">
        <v>1</v>
      </c>
      <c r="G8116" s="2">
        <v>0</v>
      </c>
      <c r="H8116" s="1" t="s">
        <v>0</v>
      </c>
      <c r="I8116" s="2">
        <v>0</v>
      </c>
      <c r="J8116" s="1">
        <v>46043.429236111115</v>
      </c>
    </row>
    <row r="8117" spans="1:10" x14ac:dyDescent="0.2">
      <c r="A8117" s="4" t="s">
        <v>1</v>
      </c>
      <c r="B811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17" s="3" t="str">
        <f>HYPERLINK("https://otsuka-europe-crm.veevavault.com/ui/#object/sent_email__v/VBL000000016120", "SE-001400260")</f>
        <v>SE-001400260</v>
      </c>
      <c r="D8117" s="1" t="s">
        <v>0</v>
      </c>
      <c r="E8117" s="2">
        <v>0</v>
      </c>
      <c r="F8117" s="2">
        <v>0</v>
      </c>
      <c r="G8117" s="2">
        <v>0</v>
      </c>
      <c r="H8117" s="1" t="s">
        <v>0</v>
      </c>
      <c r="I8117" s="2">
        <v>0</v>
      </c>
      <c r="J8117" s="1">
        <v>46043.428854166668</v>
      </c>
    </row>
    <row r="8118" spans="1:10" x14ac:dyDescent="0.2">
      <c r="A8118" s="4" t="s">
        <v>1</v>
      </c>
      <c r="B811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18" s="3" t="str">
        <f>HYPERLINK("https://otsuka-europe-crm.veevavault.com/ui/#object/sent_email__v/VBL000000016121", "SE-001400261")</f>
        <v>SE-001400261</v>
      </c>
      <c r="D8118" s="1" t="s">
        <v>0</v>
      </c>
      <c r="E8118" s="2">
        <v>0</v>
      </c>
      <c r="F8118" s="2">
        <v>0</v>
      </c>
      <c r="G8118" s="2">
        <v>0</v>
      </c>
      <c r="H8118" s="1" t="s">
        <v>0</v>
      </c>
      <c r="I8118" s="2">
        <v>0</v>
      </c>
      <c r="J8118" s="1">
        <v>46043.429293981484</v>
      </c>
    </row>
    <row r="8119" spans="1:10" x14ac:dyDescent="0.2">
      <c r="A8119" s="4" t="s">
        <v>1</v>
      </c>
      <c r="B811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19" s="3" t="str">
        <f>HYPERLINK("https://otsuka-europe-crm.veevavault.com/ui/#object/sent_email__v/VBL000000016122", "SE-001400262")</f>
        <v>SE-001400262</v>
      </c>
      <c r="D8119" s="1" t="s">
        <v>0</v>
      </c>
      <c r="E8119" s="2">
        <v>0</v>
      </c>
      <c r="F8119" s="2">
        <v>0</v>
      </c>
      <c r="G8119" s="2">
        <v>0</v>
      </c>
      <c r="H8119" s="1" t="s">
        <v>0</v>
      </c>
      <c r="I8119" s="2">
        <v>0</v>
      </c>
      <c r="J8119" s="1">
        <v>46043.429074074076</v>
      </c>
    </row>
    <row r="8120" spans="1:10" x14ac:dyDescent="0.2">
      <c r="A8120" s="4" t="s">
        <v>1</v>
      </c>
      <c r="B812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20" s="3" t="str">
        <f>HYPERLINK("https://otsuka-europe-crm.veevavault.com/ui/#object/sent_email__v/VBL000000016123", "SE-001400263")</f>
        <v>SE-001400263</v>
      </c>
      <c r="D8120" s="1" t="s">
        <v>0</v>
      </c>
      <c r="E8120" s="2">
        <v>0</v>
      </c>
      <c r="F8120" s="2">
        <v>0</v>
      </c>
      <c r="G8120" s="2">
        <v>0</v>
      </c>
      <c r="H8120" s="1" t="s">
        <v>0</v>
      </c>
      <c r="I8120" s="2">
        <v>0</v>
      </c>
      <c r="J8120" s="1">
        <v>46043.429097222222</v>
      </c>
    </row>
    <row r="8121" spans="1:10" x14ac:dyDescent="0.2">
      <c r="A8121" s="4" t="s">
        <v>1</v>
      </c>
      <c r="B812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21" s="3" t="str">
        <f>HYPERLINK("https://otsuka-europe-crm.veevavault.com/ui/#object/sent_email__v/VBL000000016124", "SE-001400264")</f>
        <v>SE-001400264</v>
      </c>
      <c r="D8121" s="1" t="s">
        <v>0</v>
      </c>
      <c r="E8121" s="2">
        <v>0</v>
      </c>
      <c r="F8121" s="2">
        <v>0</v>
      </c>
      <c r="G8121" s="2">
        <v>0</v>
      </c>
      <c r="H8121" s="1" t="s">
        <v>0</v>
      </c>
      <c r="I8121" s="2">
        <v>0</v>
      </c>
      <c r="J8121" s="1">
        <v>46043.428831018522</v>
      </c>
    </row>
    <row r="8122" spans="1:10" x14ac:dyDescent="0.2">
      <c r="A8122" s="4" t="s">
        <v>1</v>
      </c>
      <c r="B812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22" s="3" t="str">
        <f>HYPERLINK("https://otsuka-europe-crm.veevavault.com/ui/#object/sent_email__v/VBL000000016125", "SE-001400265")</f>
        <v>SE-001400265</v>
      </c>
      <c r="D8122" s="1" t="s">
        <v>0</v>
      </c>
      <c r="E8122" s="2">
        <v>0</v>
      </c>
      <c r="F8122" s="2">
        <v>0</v>
      </c>
      <c r="G8122" s="2">
        <v>0</v>
      </c>
      <c r="H8122" s="1" t="s">
        <v>0</v>
      </c>
      <c r="I8122" s="2">
        <v>0</v>
      </c>
      <c r="J8122" s="1">
        <v>46043.429143518515</v>
      </c>
    </row>
    <row r="8123" spans="1:10" x14ac:dyDescent="0.2">
      <c r="A8123" s="4" t="s">
        <v>1</v>
      </c>
      <c r="B812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23" s="3" t="str">
        <f>HYPERLINK("https://otsuka-europe-crm.veevavault.com/ui/#object/sent_email__v/VBL000000016126", "SE-001400266")</f>
        <v>SE-001400266</v>
      </c>
      <c r="D8123" s="1" t="s">
        <v>0</v>
      </c>
      <c r="E8123" s="2">
        <v>0</v>
      </c>
      <c r="F8123" s="2">
        <v>0</v>
      </c>
      <c r="G8123" s="2">
        <v>0</v>
      </c>
      <c r="H8123" s="1" t="s">
        <v>0</v>
      </c>
      <c r="I8123" s="2">
        <v>0</v>
      </c>
      <c r="J8123" s="1">
        <v>46043.428831018522</v>
      </c>
    </row>
    <row r="8124" spans="1:10" x14ac:dyDescent="0.2">
      <c r="A8124" s="4" t="s">
        <v>1</v>
      </c>
      <c r="B812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24" s="3" t="str">
        <f>HYPERLINK("https://otsuka-europe-crm.veevavault.com/ui/#object/sent_email__v/VBL000000016127", "SE-001400267")</f>
        <v>SE-001400267</v>
      </c>
      <c r="D8124" s="1" t="s">
        <v>0</v>
      </c>
      <c r="E8124" s="2">
        <v>0</v>
      </c>
      <c r="F8124" s="2">
        <v>0</v>
      </c>
      <c r="G8124" s="2">
        <v>0</v>
      </c>
      <c r="H8124" s="1" t="s">
        <v>0</v>
      </c>
      <c r="I8124" s="2">
        <v>0</v>
      </c>
      <c r="J8124" s="1">
        <v>46043.429166666669</v>
      </c>
    </row>
    <row r="8125" spans="1:10" x14ac:dyDescent="0.2">
      <c r="A8125" s="4" t="s">
        <v>1</v>
      </c>
      <c r="B812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25" s="3" t="str">
        <f>HYPERLINK("https://otsuka-europe-crm.veevavault.com/ui/#object/sent_email__v/VBL000000016128", "SE-001400268")</f>
        <v>SE-001400268</v>
      </c>
      <c r="D8125" s="1" t="s">
        <v>0</v>
      </c>
      <c r="E8125" s="2">
        <v>0</v>
      </c>
      <c r="F8125" s="2">
        <v>0</v>
      </c>
      <c r="G8125" s="2">
        <v>0</v>
      </c>
      <c r="H8125" s="1" t="s">
        <v>0</v>
      </c>
      <c r="I8125" s="2">
        <v>0</v>
      </c>
      <c r="J8125" s="1">
        <v>46043.428831018522</v>
      </c>
    </row>
    <row r="8126" spans="1:10" x14ac:dyDescent="0.2">
      <c r="A8126" s="4" t="s">
        <v>1</v>
      </c>
      <c r="B812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26" s="3" t="str">
        <f>HYPERLINK("https://otsuka-europe-crm.veevavault.com/ui/#object/sent_email__v/VBL000000016129", "SE-001400269")</f>
        <v>SE-001400269</v>
      </c>
      <c r="D8126" s="1" t="s">
        <v>0</v>
      </c>
      <c r="E8126" s="2">
        <v>0</v>
      </c>
      <c r="F8126" s="2">
        <v>0</v>
      </c>
      <c r="G8126" s="2">
        <v>0</v>
      </c>
      <c r="H8126" s="1" t="s">
        <v>0</v>
      </c>
      <c r="I8126" s="2">
        <v>0</v>
      </c>
      <c r="J8126" s="1">
        <v>46043.428854166668</v>
      </c>
    </row>
    <row r="8127" spans="1:10" x14ac:dyDescent="0.2">
      <c r="A8127" s="4" t="s">
        <v>1</v>
      </c>
      <c r="B812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27" s="3" t="str">
        <f>HYPERLINK("https://otsuka-europe-crm.veevavault.com/ui/#object/sent_email__v/VBL000000016130", "SE-001400270")</f>
        <v>SE-001400270</v>
      </c>
      <c r="D8127" s="1" t="s">
        <v>0</v>
      </c>
      <c r="E8127" s="2">
        <v>0</v>
      </c>
      <c r="F8127" s="2">
        <v>0</v>
      </c>
      <c r="G8127" s="2">
        <v>0</v>
      </c>
      <c r="H8127" s="1" t="s">
        <v>0</v>
      </c>
      <c r="I8127" s="2">
        <v>0</v>
      </c>
      <c r="J8127" s="1">
        <v>46043.428854166668</v>
      </c>
    </row>
    <row r="8128" spans="1:10" x14ac:dyDescent="0.2">
      <c r="A8128" s="4" t="s">
        <v>1</v>
      </c>
      <c r="B812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28" s="3" t="str">
        <f>HYPERLINK("https://otsuka-europe-crm.veevavault.com/ui/#object/sent_email__v/VBL000000016131", "SE-001400271")</f>
        <v>SE-001400271</v>
      </c>
      <c r="D8128" s="1" t="s">
        <v>0</v>
      </c>
      <c r="E8128" s="2">
        <v>0</v>
      </c>
      <c r="F8128" s="2">
        <v>0</v>
      </c>
      <c r="G8128" s="2">
        <v>0</v>
      </c>
      <c r="H8128" s="1" t="s">
        <v>0</v>
      </c>
      <c r="I8128" s="2">
        <v>0</v>
      </c>
      <c r="J8128" s="1">
        <v>46043.429155092592</v>
      </c>
    </row>
    <row r="8129" spans="1:10" x14ac:dyDescent="0.2">
      <c r="A8129" s="4" t="s">
        <v>1</v>
      </c>
      <c r="B812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29" s="3" t="str">
        <f>HYPERLINK("https://otsuka-europe-crm.veevavault.com/ui/#object/sent_email__v/VBL000000016132", "SE-001400272")</f>
        <v>SE-001400272</v>
      </c>
      <c r="D8129" s="1" t="s">
        <v>0</v>
      </c>
      <c r="E8129" s="2">
        <v>0</v>
      </c>
      <c r="F8129" s="2">
        <v>0</v>
      </c>
      <c r="G8129" s="2">
        <v>0</v>
      </c>
      <c r="H8129" s="1" t="s">
        <v>0</v>
      </c>
      <c r="I8129" s="2">
        <v>0</v>
      </c>
      <c r="J8129" s="1">
        <v>46043.429108796299</v>
      </c>
    </row>
    <row r="8130" spans="1:10" x14ac:dyDescent="0.2">
      <c r="A8130" s="4" t="s">
        <v>1</v>
      </c>
      <c r="B813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30" s="3" t="str">
        <f>HYPERLINK("https://otsuka-europe-crm.veevavault.com/ui/#object/sent_email__v/VBL000000016133", "SE-001400273")</f>
        <v>SE-001400273</v>
      </c>
      <c r="D8130" s="1" t="s">
        <v>0</v>
      </c>
      <c r="E8130" s="2">
        <v>0</v>
      </c>
      <c r="F8130" s="2">
        <v>0</v>
      </c>
      <c r="G8130" s="2">
        <v>0</v>
      </c>
      <c r="H8130" s="1" t="s">
        <v>0</v>
      </c>
      <c r="I8130" s="2">
        <v>0</v>
      </c>
      <c r="J8130" s="1">
        <v>46043.429085648146</v>
      </c>
    </row>
    <row r="8131" spans="1:10" x14ac:dyDescent="0.2">
      <c r="A8131" s="4" t="s">
        <v>1</v>
      </c>
      <c r="B813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31" s="3" t="str">
        <f>HYPERLINK("https://otsuka-europe-crm.veevavault.com/ui/#object/sent_email__v/VBL000000016134", "SE-001400274")</f>
        <v>SE-001400274</v>
      </c>
      <c r="D8131" s="1">
        <v>46059.387569444443</v>
      </c>
      <c r="E8131" s="2">
        <v>1</v>
      </c>
      <c r="F8131" s="2">
        <v>1</v>
      </c>
      <c r="G8131" s="2">
        <v>0</v>
      </c>
      <c r="H8131" s="1" t="s">
        <v>0</v>
      </c>
      <c r="I8131" s="2">
        <v>0</v>
      </c>
      <c r="J8131" s="1">
        <v>46043.429120370369</v>
      </c>
    </row>
    <row r="8132" spans="1:10" x14ac:dyDescent="0.2">
      <c r="A8132" s="4" t="s">
        <v>1</v>
      </c>
      <c r="B813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32" s="3" t="str">
        <f>HYPERLINK("https://otsuka-europe-crm.veevavault.com/ui/#object/sent_email__v/VBL000000016135", "SE-001400275")</f>
        <v>SE-001400275</v>
      </c>
      <c r="D8132" s="1" t="s">
        <v>0</v>
      </c>
      <c r="E8132" s="2">
        <v>0</v>
      </c>
      <c r="F8132" s="2">
        <v>0</v>
      </c>
      <c r="G8132" s="2">
        <v>0</v>
      </c>
      <c r="H8132" s="1" t="s">
        <v>0</v>
      </c>
      <c r="I8132" s="2">
        <v>0</v>
      </c>
      <c r="J8132" s="1">
        <v>46043.429155092592</v>
      </c>
    </row>
    <row r="8133" spans="1:10" x14ac:dyDescent="0.2">
      <c r="A8133" s="4" t="s">
        <v>1</v>
      </c>
      <c r="B813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33" s="3" t="str">
        <f>HYPERLINK("https://otsuka-europe-crm.veevavault.com/ui/#object/sent_email__v/VBL000000016136", "SE-001400276")</f>
        <v>SE-001400276</v>
      </c>
      <c r="D8133" s="1" t="s">
        <v>0</v>
      </c>
      <c r="E8133" s="2">
        <v>0</v>
      </c>
      <c r="F8133" s="2">
        <v>0</v>
      </c>
      <c r="G8133" s="2">
        <v>0</v>
      </c>
      <c r="H8133" s="1" t="s">
        <v>0</v>
      </c>
      <c r="I8133" s="2">
        <v>0</v>
      </c>
      <c r="J8133" s="1">
        <v>46043.428854166668</v>
      </c>
    </row>
    <row r="8134" spans="1:10" x14ac:dyDescent="0.2">
      <c r="A8134" s="4" t="s">
        <v>1</v>
      </c>
      <c r="B813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34" s="3" t="str">
        <f>HYPERLINK("https://otsuka-europe-crm.veevavault.com/ui/#object/sent_email__v/VBL000000016137", "SE-001400277")</f>
        <v>SE-001400277</v>
      </c>
      <c r="D8134" s="1" t="s">
        <v>0</v>
      </c>
      <c r="E8134" s="2">
        <v>0</v>
      </c>
      <c r="F8134" s="2">
        <v>0</v>
      </c>
      <c r="G8134" s="2">
        <v>0</v>
      </c>
      <c r="H8134" s="1" t="s">
        <v>0</v>
      </c>
      <c r="I8134" s="2">
        <v>0</v>
      </c>
      <c r="J8134" s="1">
        <v>46043.428854166668</v>
      </c>
    </row>
    <row r="8135" spans="1:10" x14ac:dyDescent="0.2">
      <c r="A8135" s="4" t="s">
        <v>1</v>
      </c>
      <c r="B813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35" s="3" t="str">
        <f>HYPERLINK("https://otsuka-europe-crm.veevavault.com/ui/#object/sent_email__v/VBL000000016138", "SE-001400278")</f>
        <v>SE-001400278</v>
      </c>
      <c r="D8135" s="1">
        <v>46043.575810185182</v>
      </c>
      <c r="E8135" s="2">
        <v>1</v>
      </c>
      <c r="F8135" s="2">
        <v>1</v>
      </c>
      <c r="G8135" s="2">
        <v>0</v>
      </c>
      <c r="H8135" s="1" t="s">
        <v>0</v>
      </c>
      <c r="I8135" s="2">
        <v>0</v>
      </c>
      <c r="J8135" s="1">
        <v>46043.429085648146</v>
      </c>
    </row>
    <row r="8136" spans="1:10" x14ac:dyDescent="0.2">
      <c r="A8136" s="4" t="s">
        <v>1</v>
      </c>
      <c r="B813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36" s="3" t="str">
        <f>HYPERLINK("https://otsuka-europe-crm.veevavault.com/ui/#object/sent_email__v/VBL000000016139", "SE-001400279")</f>
        <v>SE-001400279</v>
      </c>
      <c r="D8136" s="1" t="s">
        <v>0</v>
      </c>
      <c r="E8136" s="2">
        <v>0</v>
      </c>
      <c r="F8136" s="2">
        <v>0</v>
      </c>
      <c r="G8136" s="2">
        <v>0</v>
      </c>
      <c r="H8136" s="1" t="s">
        <v>0</v>
      </c>
      <c r="I8136" s="2">
        <v>0</v>
      </c>
      <c r="J8136" s="1">
        <v>46043.429143518515</v>
      </c>
    </row>
    <row r="8137" spans="1:10" x14ac:dyDescent="0.2">
      <c r="A8137" s="4" t="s">
        <v>1</v>
      </c>
      <c r="B813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37" s="3" t="str">
        <f>HYPERLINK("https://otsuka-europe-crm.veevavault.com/ui/#object/sent_email__v/VBL000000016140", "SE-001400280")</f>
        <v>SE-001400280</v>
      </c>
      <c r="D8137" s="1" t="s">
        <v>0</v>
      </c>
      <c r="E8137" s="2">
        <v>0</v>
      </c>
      <c r="F8137" s="2">
        <v>0</v>
      </c>
      <c r="G8137" s="2">
        <v>0</v>
      </c>
      <c r="H8137" s="1" t="s">
        <v>0</v>
      </c>
      <c r="I8137" s="2">
        <v>0</v>
      </c>
      <c r="J8137" s="1">
        <v>46043.428935185184</v>
      </c>
    </row>
    <row r="8138" spans="1:10" x14ac:dyDescent="0.2">
      <c r="A8138" s="4" t="s">
        <v>1</v>
      </c>
      <c r="B813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38" s="3" t="str">
        <f>HYPERLINK("https://otsuka-europe-crm.veevavault.com/ui/#object/sent_email__v/VBL000000016286", "SE-001400512")</f>
        <v>SE-001400512</v>
      </c>
      <c r="D8138" s="1" t="s">
        <v>0</v>
      </c>
      <c r="E8138" s="2">
        <v>0</v>
      </c>
      <c r="F8138" s="2">
        <v>0</v>
      </c>
      <c r="G8138" s="2">
        <v>0</v>
      </c>
      <c r="H8138" s="1" t="s">
        <v>0</v>
      </c>
      <c r="I8138" s="2">
        <v>0</v>
      </c>
      <c r="J8138" s="1">
        <v>46043.428923611114</v>
      </c>
    </row>
    <row r="8139" spans="1:10" x14ac:dyDescent="0.2">
      <c r="A8139" s="4" t="s">
        <v>1</v>
      </c>
      <c r="B813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39" s="3" t="str">
        <f>HYPERLINK("https://otsuka-europe-crm.veevavault.com/ui/#object/sent_email__v/VBL000000016287", "SE-001400513")</f>
        <v>SE-001400513</v>
      </c>
      <c r="D8139" s="1" t="s">
        <v>0</v>
      </c>
      <c r="E8139" s="2">
        <v>0</v>
      </c>
      <c r="F8139" s="2">
        <v>0</v>
      </c>
      <c r="G8139" s="2">
        <v>0</v>
      </c>
      <c r="H8139" s="1" t="s">
        <v>0</v>
      </c>
      <c r="I8139" s="2">
        <v>0</v>
      </c>
      <c r="J8139" s="1">
        <v>46043.428935185184</v>
      </c>
    </row>
    <row r="8140" spans="1:10" x14ac:dyDescent="0.2">
      <c r="A8140" s="4" t="s">
        <v>1</v>
      </c>
      <c r="B814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40" s="3" t="str">
        <f>HYPERLINK("https://otsuka-europe-crm.veevavault.com/ui/#object/sent_email__v/VBL000000016288", "SE-001400514")</f>
        <v>SE-001400514</v>
      </c>
      <c r="D8140" s="1" t="s">
        <v>0</v>
      </c>
      <c r="E8140" s="2">
        <v>0</v>
      </c>
      <c r="F8140" s="2">
        <v>0</v>
      </c>
      <c r="G8140" s="2">
        <v>0</v>
      </c>
      <c r="H8140" s="1" t="s">
        <v>0</v>
      </c>
      <c r="I8140" s="2">
        <v>0</v>
      </c>
      <c r="J8140" s="1">
        <v>46043.429270833331</v>
      </c>
    </row>
    <row r="8141" spans="1:10" x14ac:dyDescent="0.2">
      <c r="A8141" s="4" t="s">
        <v>1</v>
      </c>
      <c r="B814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41" s="3" t="str">
        <f>HYPERLINK("https://otsuka-europe-crm.veevavault.com/ui/#object/sent_email__v/VBL000000016289", "SE-001400515")</f>
        <v>SE-001400515</v>
      </c>
      <c r="D8141" s="1" t="s">
        <v>0</v>
      </c>
      <c r="E8141" s="2">
        <v>0</v>
      </c>
      <c r="F8141" s="2">
        <v>0</v>
      </c>
      <c r="G8141" s="2">
        <v>0</v>
      </c>
      <c r="H8141" s="1" t="s">
        <v>0</v>
      </c>
      <c r="I8141" s="2">
        <v>0</v>
      </c>
      <c r="J8141" s="1">
        <v>46043.428935185184</v>
      </c>
    </row>
    <row r="8142" spans="1:10" x14ac:dyDescent="0.2">
      <c r="A8142" s="4" t="s">
        <v>1</v>
      </c>
      <c r="B814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42" s="3" t="str">
        <f>HYPERLINK("https://otsuka-europe-crm.veevavault.com/ui/#object/sent_email__v/VBL000000016290", "SE-001400516")</f>
        <v>SE-001400516</v>
      </c>
      <c r="D8142" s="1" t="s">
        <v>0</v>
      </c>
      <c r="E8142" s="2">
        <v>0</v>
      </c>
      <c r="F8142" s="2">
        <v>0</v>
      </c>
      <c r="G8142" s="2">
        <v>0</v>
      </c>
      <c r="H8142" s="1" t="s">
        <v>0</v>
      </c>
      <c r="I8142" s="2">
        <v>0</v>
      </c>
      <c r="J8142" s="1">
        <v>46043.428923611114</v>
      </c>
    </row>
    <row r="8143" spans="1:10" x14ac:dyDescent="0.2">
      <c r="A8143" s="4" t="s">
        <v>1</v>
      </c>
      <c r="B814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43" s="3" t="str">
        <f>HYPERLINK("https://otsuka-europe-crm.veevavault.com/ui/#object/sent_email__v/VBL000000016291", "SE-001400517")</f>
        <v>SE-001400517</v>
      </c>
      <c r="D8143" s="1" t="s">
        <v>0</v>
      </c>
      <c r="E8143" s="2">
        <v>0</v>
      </c>
      <c r="F8143" s="2">
        <v>0</v>
      </c>
      <c r="G8143" s="2">
        <v>0</v>
      </c>
      <c r="H8143" s="1" t="s">
        <v>0</v>
      </c>
      <c r="I8143" s="2">
        <v>0</v>
      </c>
      <c r="J8143" s="1">
        <v>46043.428946759261</v>
      </c>
    </row>
    <row r="8144" spans="1:10" x14ac:dyDescent="0.2">
      <c r="A8144" s="4" t="s">
        <v>1</v>
      </c>
      <c r="B814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44" s="3" t="str">
        <f>HYPERLINK("https://otsuka-europe-crm.veevavault.com/ui/#object/sent_email__v/VBL000000016292", "SE-001400518")</f>
        <v>SE-001400518</v>
      </c>
      <c r="D8144" s="1" t="s">
        <v>0</v>
      </c>
      <c r="E8144" s="2">
        <v>0</v>
      </c>
      <c r="F8144" s="2">
        <v>0</v>
      </c>
      <c r="G8144" s="2">
        <v>0</v>
      </c>
      <c r="H8144" s="1" t="s">
        <v>0</v>
      </c>
      <c r="I8144" s="2">
        <v>0</v>
      </c>
      <c r="J8144" s="1">
        <v>46043.429131944446</v>
      </c>
    </row>
    <row r="8145" spans="1:10" x14ac:dyDescent="0.2">
      <c r="A8145" s="4" t="s">
        <v>1</v>
      </c>
      <c r="B814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45" s="3" t="str">
        <f>HYPERLINK("https://otsuka-europe-crm.veevavault.com/ui/#object/sent_email__v/VBL000000016293", "SE-001400519")</f>
        <v>SE-001400519</v>
      </c>
      <c r="D8145" s="1" t="s">
        <v>0</v>
      </c>
      <c r="E8145" s="2">
        <v>0</v>
      </c>
      <c r="F8145" s="2">
        <v>0</v>
      </c>
      <c r="G8145" s="2">
        <v>0</v>
      </c>
      <c r="H8145" s="1" t="s">
        <v>0</v>
      </c>
      <c r="I8145" s="2">
        <v>0</v>
      </c>
      <c r="J8145" s="1">
        <v>46043.429212962961</v>
      </c>
    </row>
    <row r="8146" spans="1:10" x14ac:dyDescent="0.2">
      <c r="A8146" s="4" t="s">
        <v>1</v>
      </c>
      <c r="B814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46" s="3" t="str">
        <f>HYPERLINK("https://otsuka-europe-crm.veevavault.com/ui/#object/sent_email__v/VBL000000016294", "SE-001400520")</f>
        <v>SE-001400520</v>
      </c>
      <c r="D8146" s="1" t="s">
        <v>0</v>
      </c>
      <c r="E8146" s="2">
        <v>0</v>
      </c>
      <c r="F8146" s="2">
        <v>0</v>
      </c>
      <c r="G8146" s="2">
        <v>0</v>
      </c>
      <c r="H8146" s="1" t="s">
        <v>0</v>
      </c>
      <c r="I8146" s="2">
        <v>0</v>
      </c>
      <c r="J8146" s="1">
        <v>46043.428993055553</v>
      </c>
    </row>
    <row r="8147" spans="1:10" x14ac:dyDescent="0.2">
      <c r="A8147" s="4" t="s">
        <v>1</v>
      </c>
      <c r="B814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47" s="3" t="str">
        <f>HYPERLINK("https://otsuka-europe-crm.veevavault.com/ui/#object/sent_email__v/VBL000000016295", "SE-001400521")</f>
        <v>SE-001400521</v>
      </c>
      <c r="D8147" s="1" t="s">
        <v>0</v>
      </c>
      <c r="E8147" s="2">
        <v>0</v>
      </c>
      <c r="F8147" s="2">
        <v>0</v>
      </c>
      <c r="G8147" s="2">
        <v>0</v>
      </c>
      <c r="H8147" s="1" t="s">
        <v>0</v>
      </c>
      <c r="I8147" s="2">
        <v>0</v>
      </c>
      <c r="J8147" s="1">
        <v>46043.429212962961</v>
      </c>
    </row>
    <row r="8148" spans="1:10" x14ac:dyDescent="0.2">
      <c r="A8148" s="4" t="s">
        <v>1</v>
      </c>
      <c r="B814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48" s="3" t="str">
        <f>HYPERLINK("https://otsuka-europe-crm.veevavault.com/ui/#object/sent_email__v/VBL000000016296", "SE-001400522")</f>
        <v>SE-001400522</v>
      </c>
      <c r="D8148" s="1" t="s">
        <v>0</v>
      </c>
      <c r="E8148" s="2">
        <v>0</v>
      </c>
      <c r="F8148" s="2">
        <v>0</v>
      </c>
      <c r="G8148" s="2">
        <v>0</v>
      </c>
      <c r="H8148" s="1" t="s">
        <v>0</v>
      </c>
      <c r="I8148" s="2">
        <v>0</v>
      </c>
      <c r="J8148" s="1">
        <v>46043.428993055553</v>
      </c>
    </row>
    <row r="8149" spans="1:10" x14ac:dyDescent="0.2">
      <c r="A8149" s="4" t="s">
        <v>1</v>
      </c>
      <c r="B814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49" s="3" t="str">
        <f>HYPERLINK("https://otsuka-europe-crm.veevavault.com/ui/#object/sent_email__v/VBL000000016297", "SE-001400523")</f>
        <v>SE-001400523</v>
      </c>
      <c r="D8149" s="1" t="s">
        <v>0</v>
      </c>
      <c r="E8149" s="2">
        <v>0</v>
      </c>
      <c r="F8149" s="2">
        <v>0</v>
      </c>
      <c r="G8149" s="2">
        <v>0</v>
      </c>
      <c r="H8149" s="1" t="s">
        <v>0</v>
      </c>
      <c r="I8149" s="2">
        <v>0</v>
      </c>
      <c r="J8149" s="1">
        <v>46043.428946759261</v>
      </c>
    </row>
    <row r="8150" spans="1:10" x14ac:dyDescent="0.2">
      <c r="A8150" s="4" t="s">
        <v>1</v>
      </c>
      <c r="B815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50" s="3" t="str">
        <f>HYPERLINK("https://otsuka-europe-crm.veevavault.com/ui/#object/sent_email__v/VBL000000016298", "SE-001400524")</f>
        <v>SE-001400524</v>
      </c>
      <c r="D8150" s="1" t="s">
        <v>0</v>
      </c>
      <c r="E8150" s="2">
        <v>0</v>
      </c>
      <c r="F8150" s="2">
        <v>0</v>
      </c>
      <c r="G8150" s="2">
        <v>0</v>
      </c>
      <c r="H8150" s="1" t="s">
        <v>0</v>
      </c>
      <c r="I8150" s="2">
        <v>0</v>
      </c>
      <c r="J8150" s="1">
        <v>46043.42900462963</v>
      </c>
    </row>
    <row r="8151" spans="1:10" x14ac:dyDescent="0.2">
      <c r="A8151" s="4" t="s">
        <v>1</v>
      </c>
      <c r="B815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51" s="3" t="str">
        <f>HYPERLINK("https://otsuka-europe-crm.veevavault.com/ui/#object/sent_email__v/VBL000000016299", "SE-001400525")</f>
        <v>SE-001400525</v>
      </c>
      <c r="D8151" s="1" t="s">
        <v>0</v>
      </c>
      <c r="E8151" s="2">
        <v>0</v>
      </c>
      <c r="F8151" s="2">
        <v>0</v>
      </c>
      <c r="G8151" s="2">
        <v>0</v>
      </c>
      <c r="H8151" s="1" t="s">
        <v>0</v>
      </c>
      <c r="I8151" s="2">
        <v>0</v>
      </c>
      <c r="J8151" s="1">
        <v>46043.428993055553</v>
      </c>
    </row>
    <row r="8152" spans="1:10" x14ac:dyDescent="0.2">
      <c r="A8152" s="4" t="s">
        <v>1</v>
      </c>
      <c r="B815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52" s="3" t="str">
        <f>HYPERLINK("https://otsuka-europe-crm.veevavault.com/ui/#object/sent_email__v/VBL000000016300", "SE-001400526")</f>
        <v>SE-001400526</v>
      </c>
      <c r="D8152" s="1" t="s">
        <v>0</v>
      </c>
      <c r="E8152" s="2">
        <v>0</v>
      </c>
      <c r="F8152" s="2">
        <v>0</v>
      </c>
      <c r="G8152" s="2">
        <v>0</v>
      </c>
      <c r="H8152" s="1" t="s">
        <v>0</v>
      </c>
      <c r="I8152" s="2">
        <v>0</v>
      </c>
      <c r="J8152" s="1">
        <v>46043.429016203707</v>
      </c>
    </row>
    <row r="8153" spans="1:10" x14ac:dyDescent="0.2">
      <c r="A8153" s="4" t="s">
        <v>1</v>
      </c>
      <c r="B815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53" s="3" t="str">
        <f>HYPERLINK("https://otsuka-europe-crm.veevavault.com/ui/#object/sent_email__v/VBL000000016301", "SE-001400527")</f>
        <v>SE-001400527</v>
      </c>
      <c r="D8153" s="1" t="s">
        <v>0</v>
      </c>
      <c r="E8153" s="2">
        <v>0</v>
      </c>
      <c r="F8153" s="2">
        <v>0</v>
      </c>
      <c r="G8153" s="2">
        <v>0</v>
      </c>
      <c r="H8153" s="1" t="s">
        <v>0</v>
      </c>
      <c r="I8153" s="2">
        <v>0</v>
      </c>
      <c r="J8153" s="1">
        <v>46043.42900462963</v>
      </c>
    </row>
    <row r="8154" spans="1:10" x14ac:dyDescent="0.2">
      <c r="A8154" s="4" t="s">
        <v>1</v>
      </c>
      <c r="B815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54" s="3" t="str">
        <f>HYPERLINK("https://otsuka-europe-crm.veevavault.com/ui/#object/sent_email__v/VBL000000016302", "SE-001400528")</f>
        <v>SE-001400528</v>
      </c>
      <c r="D8154" s="1" t="s">
        <v>0</v>
      </c>
      <c r="E8154" s="2">
        <v>0</v>
      </c>
      <c r="F8154" s="2">
        <v>0</v>
      </c>
      <c r="G8154" s="2">
        <v>0</v>
      </c>
      <c r="H8154" s="1" t="s">
        <v>0</v>
      </c>
      <c r="I8154" s="2">
        <v>0</v>
      </c>
      <c r="J8154" s="1">
        <v>46043.429027777776</v>
      </c>
    </row>
    <row r="8155" spans="1:10" x14ac:dyDescent="0.2">
      <c r="A8155" s="4" t="s">
        <v>1</v>
      </c>
      <c r="B815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55" s="3" t="str">
        <f>HYPERLINK("https://otsuka-europe-crm.veevavault.com/ui/#object/sent_email__v/VBL000000016303", "SE-001400529")</f>
        <v>SE-001400529</v>
      </c>
      <c r="D8155" s="1" t="s">
        <v>0</v>
      </c>
      <c r="E8155" s="2">
        <v>0</v>
      </c>
      <c r="F8155" s="2">
        <v>0</v>
      </c>
      <c r="G8155" s="2">
        <v>0</v>
      </c>
      <c r="H8155" s="1" t="s">
        <v>0</v>
      </c>
      <c r="I8155" s="2">
        <v>0</v>
      </c>
      <c r="J8155" s="1">
        <v>46043.429016203707</v>
      </c>
    </row>
    <row r="8156" spans="1:10" x14ac:dyDescent="0.2">
      <c r="A8156" s="4" t="s">
        <v>1</v>
      </c>
      <c r="B815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56" s="3" t="str">
        <f>HYPERLINK("https://otsuka-europe-crm.veevavault.com/ui/#object/sent_email__v/VBL000000016304", "SE-001400530")</f>
        <v>SE-001400530</v>
      </c>
      <c r="D8156" s="1" t="s">
        <v>0</v>
      </c>
      <c r="E8156" s="2">
        <v>0</v>
      </c>
      <c r="F8156" s="2">
        <v>0</v>
      </c>
      <c r="G8156" s="2">
        <v>0</v>
      </c>
      <c r="H8156" s="1" t="s">
        <v>0</v>
      </c>
      <c r="I8156" s="2">
        <v>0</v>
      </c>
      <c r="J8156" s="1">
        <v>46043.429270833331</v>
      </c>
    </row>
    <row r="8157" spans="1:10" x14ac:dyDescent="0.2">
      <c r="A8157" s="4" t="s">
        <v>1</v>
      </c>
      <c r="B815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57" s="3" t="str">
        <f>HYPERLINK("https://otsuka-europe-crm.veevavault.com/ui/#object/sent_email__v/VBL000000016305", "SE-001400531")</f>
        <v>SE-001400531</v>
      </c>
      <c r="D8157" s="1" t="s">
        <v>0</v>
      </c>
      <c r="E8157" s="2">
        <v>0</v>
      </c>
      <c r="F8157" s="2">
        <v>0</v>
      </c>
      <c r="G8157" s="2">
        <v>0</v>
      </c>
      <c r="H8157" s="1" t="s">
        <v>0</v>
      </c>
      <c r="I8157" s="2">
        <v>0</v>
      </c>
      <c r="J8157" s="1">
        <v>46043.428981481484</v>
      </c>
    </row>
    <row r="8158" spans="1:10" x14ac:dyDescent="0.2">
      <c r="A8158" s="4" t="s">
        <v>1</v>
      </c>
      <c r="B815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58" s="3" t="str">
        <f>HYPERLINK("https://otsuka-europe-crm.veevavault.com/ui/#object/sent_email__v/VBL000000016306", "SE-001400532")</f>
        <v>SE-001400532</v>
      </c>
      <c r="D8158" s="1">
        <v>46044.568611111114</v>
      </c>
      <c r="E8158" s="2">
        <v>1</v>
      </c>
      <c r="F8158" s="2">
        <v>1</v>
      </c>
      <c r="G8158" s="2">
        <v>0</v>
      </c>
      <c r="H8158" s="1" t="s">
        <v>0</v>
      </c>
      <c r="I8158" s="2">
        <v>0</v>
      </c>
      <c r="J8158" s="1">
        <v>46043.42900462963</v>
      </c>
    </row>
    <row r="8159" spans="1:10" x14ac:dyDescent="0.2">
      <c r="A8159" s="4" t="s">
        <v>1</v>
      </c>
      <c r="B815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59" s="3" t="str">
        <f>HYPERLINK("https://otsuka-europe-crm.veevavault.com/ui/#object/sent_email__v/VBL000000016307", "SE-001400533")</f>
        <v>SE-001400533</v>
      </c>
      <c r="D8159" s="1" t="s">
        <v>0</v>
      </c>
      <c r="E8159" s="2">
        <v>0</v>
      </c>
      <c r="F8159" s="2">
        <v>0</v>
      </c>
      <c r="G8159" s="2">
        <v>0</v>
      </c>
      <c r="H8159" s="1" t="s">
        <v>0</v>
      </c>
      <c r="I8159" s="2">
        <v>0</v>
      </c>
      <c r="J8159" s="1">
        <v>46043.429027777776</v>
      </c>
    </row>
    <row r="8160" spans="1:10" x14ac:dyDescent="0.2">
      <c r="A8160" s="4" t="s">
        <v>1</v>
      </c>
      <c r="B816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60" s="3" t="str">
        <f>HYPERLINK("https://otsuka-europe-crm.veevavault.com/ui/#object/sent_email__v/VBL000000016308", "SE-001400534")</f>
        <v>SE-001400534</v>
      </c>
      <c r="D8160" s="1" t="s">
        <v>0</v>
      </c>
      <c r="E8160" s="2">
        <v>0</v>
      </c>
      <c r="F8160" s="2">
        <v>0</v>
      </c>
      <c r="G8160" s="2">
        <v>0</v>
      </c>
      <c r="H8160" s="1" t="s">
        <v>0</v>
      </c>
      <c r="I8160" s="2">
        <v>0</v>
      </c>
      <c r="J8160" s="1">
        <v>46043.429027777776</v>
      </c>
    </row>
    <row r="8161" spans="1:10" x14ac:dyDescent="0.2">
      <c r="A8161" s="4" t="s">
        <v>1</v>
      </c>
      <c r="B816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61" s="3" t="str">
        <f>HYPERLINK("https://otsuka-europe-crm.veevavault.com/ui/#object/sent_email__v/VBL000000016309", "SE-001400535")</f>
        <v>SE-001400535</v>
      </c>
      <c r="D8161" s="1" t="s">
        <v>0</v>
      </c>
      <c r="E8161" s="2">
        <v>0</v>
      </c>
      <c r="F8161" s="2">
        <v>0</v>
      </c>
      <c r="G8161" s="2">
        <v>0</v>
      </c>
      <c r="H8161" s="1" t="s">
        <v>0</v>
      </c>
      <c r="I8161" s="2">
        <v>0</v>
      </c>
      <c r="J8161" s="1">
        <v>46043.428993055553</v>
      </c>
    </row>
    <row r="8162" spans="1:10" x14ac:dyDescent="0.2">
      <c r="A8162" s="4" t="s">
        <v>1</v>
      </c>
      <c r="B816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62" s="3" t="str">
        <f>HYPERLINK("https://otsuka-europe-crm.veevavault.com/ui/#object/sent_email__v/VBL000000016310", "SE-001400536")</f>
        <v>SE-001400536</v>
      </c>
      <c r="D8162" s="1" t="s">
        <v>0</v>
      </c>
      <c r="E8162" s="2">
        <v>0</v>
      </c>
      <c r="F8162" s="2">
        <v>0</v>
      </c>
      <c r="G8162" s="2">
        <v>0</v>
      </c>
      <c r="H8162" s="1" t="s">
        <v>0</v>
      </c>
      <c r="I8162" s="2">
        <v>0</v>
      </c>
      <c r="J8162" s="1">
        <v>46043.429189814815</v>
      </c>
    </row>
    <row r="8163" spans="1:10" x14ac:dyDescent="0.2">
      <c r="A8163" s="4" t="s">
        <v>1</v>
      </c>
      <c r="B816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63" s="3" t="str">
        <f>HYPERLINK("https://otsuka-europe-crm.veevavault.com/ui/#object/sent_email__v/VBL000000016311", "SE-001400537")</f>
        <v>SE-001400537</v>
      </c>
      <c r="D8163" s="1" t="s">
        <v>0</v>
      </c>
      <c r="E8163" s="2">
        <v>0</v>
      </c>
      <c r="F8163" s="2">
        <v>0</v>
      </c>
      <c r="G8163" s="2">
        <v>0</v>
      </c>
      <c r="H8163" s="1" t="s">
        <v>0</v>
      </c>
      <c r="I8163" s="2">
        <v>0</v>
      </c>
      <c r="J8163" s="1">
        <v>46043.429108796299</v>
      </c>
    </row>
    <row r="8164" spans="1:10" x14ac:dyDescent="0.2">
      <c r="A8164" s="4" t="s">
        <v>1</v>
      </c>
      <c r="B816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64" s="3" t="str">
        <f>HYPERLINK("https://otsuka-europe-crm.veevavault.com/ui/#object/sent_email__v/VBL000000016312", "SE-001400538")</f>
        <v>SE-001400538</v>
      </c>
      <c r="D8164" s="1" t="s">
        <v>0</v>
      </c>
      <c r="E8164" s="2">
        <v>0</v>
      </c>
      <c r="F8164" s="2">
        <v>0</v>
      </c>
      <c r="G8164" s="2">
        <v>0</v>
      </c>
      <c r="H8164" s="1" t="s">
        <v>0</v>
      </c>
      <c r="I8164" s="2">
        <v>0</v>
      </c>
      <c r="J8164" s="1">
        <v>46043.429016203707</v>
      </c>
    </row>
    <row r="8165" spans="1:10" x14ac:dyDescent="0.2">
      <c r="A8165" s="4" t="s">
        <v>1</v>
      </c>
      <c r="B816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65" s="3" t="str">
        <f>HYPERLINK("https://otsuka-europe-crm.veevavault.com/ui/#object/sent_email__v/VBL000000016313", "SE-001400539")</f>
        <v>SE-001400539</v>
      </c>
      <c r="D8165" s="1" t="s">
        <v>0</v>
      </c>
      <c r="E8165" s="2">
        <v>0</v>
      </c>
      <c r="F8165" s="2">
        <v>0</v>
      </c>
      <c r="G8165" s="2">
        <v>0</v>
      </c>
      <c r="H8165" s="1" t="s">
        <v>0</v>
      </c>
      <c r="I8165" s="2">
        <v>0</v>
      </c>
      <c r="J8165" s="1">
        <v>46043.42900462963</v>
      </c>
    </row>
    <row r="8166" spans="1:10" x14ac:dyDescent="0.2">
      <c r="A8166" s="4" t="s">
        <v>1</v>
      </c>
      <c r="B816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66" s="3" t="str">
        <f>HYPERLINK("https://otsuka-europe-crm.veevavault.com/ui/#object/sent_email__v/VBL000000016314", "SE-001400540")</f>
        <v>SE-001400540</v>
      </c>
      <c r="D8166" s="1" t="s">
        <v>0</v>
      </c>
      <c r="E8166" s="2">
        <v>0</v>
      </c>
      <c r="F8166" s="2">
        <v>0</v>
      </c>
      <c r="G8166" s="2">
        <v>0</v>
      </c>
      <c r="H8166" s="1" t="s">
        <v>0</v>
      </c>
      <c r="I8166" s="2">
        <v>0</v>
      </c>
      <c r="J8166" s="1">
        <v>46043.429085648146</v>
      </c>
    </row>
    <row r="8167" spans="1:10" x14ac:dyDescent="0.2">
      <c r="A8167" s="4" t="s">
        <v>1</v>
      </c>
      <c r="B816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67" s="3" t="str">
        <f>HYPERLINK("https://otsuka-europe-crm.veevavault.com/ui/#object/sent_email__v/VBL000000016384", "SE-001400660")</f>
        <v>SE-001400660</v>
      </c>
      <c r="D8167" s="1">
        <v>46043.993692129632</v>
      </c>
      <c r="E8167" s="2">
        <v>1</v>
      </c>
      <c r="F8167" s="2">
        <v>1</v>
      </c>
      <c r="G8167" s="2">
        <v>1</v>
      </c>
      <c r="H8167" s="1">
        <v>46044.539976851855</v>
      </c>
      <c r="I8167" s="2">
        <v>1</v>
      </c>
      <c r="J8167" s="1">
        <v>46043.534375000003</v>
      </c>
    </row>
    <row r="8168" spans="1:10" x14ac:dyDescent="0.2">
      <c r="A8168" s="4" t="s">
        <v>1</v>
      </c>
      <c r="B816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68" s="3" t="str">
        <f>HYPERLINK("https://otsuka-europe-crm.veevavault.com/ui/#object/sent_email__v/VBL000000016385", "SE-001400661")</f>
        <v>SE-001400661</v>
      </c>
      <c r="D8168" s="1" t="s">
        <v>0</v>
      </c>
      <c r="E8168" s="2">
        <v>0</v>
      </c>
      <c r="F8168" s="2">
        <v>0</v>
      </c>
      <c r="G8168" s="2">
        <v>0</v>
      </c>
      <c r="H8168" s="1" t="s">
        <v>0</v>
      </c>
      <c r="I8168" s="2">
        <v>0</v>
      </c>
      <c r="J8168" s="1">
        <v>46043.534409722219</v>
      </c>
    </row>
    <row r="8169" spans="1:10" x14ac:dyDescent="0.2">
      <c r="A8169" s="4" t="s">
        <v>1</v>
      </c>
      <c r="B816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69" s="3" t="str">
        <f>HYPERLINK("https://otsuka-europe-crm.veevavault.com/ui/#object/sent_email__v/VBL000000016386", "SE-001400662")</f>
        <v>SE-001400662</v>
      </c>
      <c r="D8169" s="1">
        <v>46053.527928240743</v>
      </c>
      <c r="E8169" s="2">
        <v>1</v>
      </c>
      <c r="F8169" s="2">
        <v>2</v>
      </c>
      <c r="G8169" s="2">
        <v>0</v>
      </c>
      <c r="H8169" s="1" t="s">
        <v>0</v>
      </c>
      <c r="I8169" s="2">
        <v>0</v>
      </c>
      <c r="J8169" s="1">
        <v>46043.534479166665</v>
      </c>
    </row>
    <row r="8170" spans="1:10" x14ac:dyDescent="0.2">
      <c r="A8170" s="4" t="s">
        <v>1</v>
      </c>
      <c r="B817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70" s="3" t="str">
        <f>HYPERLINK("https://otsuka-europe-crm.veevavault.com/ui/#object/sent_email__v/VBL000000016387", "SE-001400663")</f>
        <v>SE-001400663</v>
      </c>
      <c r="D8170" s="1">
        <v>46043.600081018521</v>
      </c>
      <c r="E8170" s="2">
        <v>1</v>
      </c>
      <c r="F8170" s="2">
        <v>1</v>
      </c>
      <c r="G8170" s="2">
        <v>0</v>
      </c>
      <c r="H8170" s="1" t="s">
        <v>0</v>
      </c>
      <c r="I8170" s="2">
        <v>0</v>
      </c>
      <c r="J8170" s="1">
        <v>46043.534490740742</v>
      </c>
    </row>
    <row r="8171" spans="1:10" x14ac:dyDescent="0.2">
      <c r="A8171" s="4" t="s">
        <v>1</v>
      </c>
      <c r="B817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71" s="3" t="str">
        <f>HYPERLINK("https://otsuka-europe-crm.veevavault.com/ui/#object/sent_email__v/VBL000000016388", "SE-001400664")</f>
        <v>SE-001400664</v>
      </c>
      <c r="D8171" s="1">
        <v>46073.674039351848</v>
      </c>
      <c r="E8171" s="2">
        <v>1</v>
      </c>
      <c r="F8171" s="2">
        <v>1</v>
      </c>
      <c r="G8171" s="2">
        <v>0</v>
      </c>
      <c r="H8171" s="1" t="s">
        <v>0</v>
      </c>
      <c r="I8171" s="2">
        <v>0</v>
      </c>
      <c r="J8171" s="1">
        <v>46043.534537037034</v>
      </c>
    </row>
    <row r="8172" spans="1:10" x14ac:dyDescent="0.2">
      <c r="A8172" s="4" t="s">
        <v>1</v>
      </c>
      <c r="B817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72" s="3" t="str">
        <f>HYPERLINK("https://otsuka-europe-crm.veevavault.com/ui/#object/sent_email__v/VBL000000016389", "SE-001400665")</f>
        <v>SE-001400665</v>
      </c>
      <c r="D8172" s="1">
        <v>46043.538900462961</v>
      </c>
      <c r="E8172" s="2">
        <v>1</v>
      </c>
      <c r="F8172" s="2">
        <v>2</v>
      </c>
      <c r="G8172" s="2">
        <v>0</v>
      </c>
      <c r="H8172" s="1" t="s">
        <v>0</v>
      </c>
      <c r="I8172" s="2">
        <v>0</v>
      </c>
      <c r="J8172" s="1">
        <v>46043.534594907411</v>
      </c>
    </row>
    <row r="8173" spans="1:10" x14ac:dyDescent="0.2">
      <c r="A8173" s="4" t="s">
        <v>1</v>
      </c>
      <c r="B817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73" s="3" t="str">
        <f>HYPERLINK("https://otsuka-europe-crm.veevavault.com/ui/#object/sent_email__v/VBL000000016390", "SE-001400666")</f>
        <v>SE-001400666</v>
      </c>
      <c r="D8173" s="1">
        <v>46043.543414351851</v>
      </c>
      <c r="E8173" s="2">
        <v>1</v>
      </c>
      <c r="F8173" s="2">
        <v>2</v>
      </c>
      <c r="G8173" s="2">
        <v>0</v>
      </c>
      <c r="H8173" s="1" t="s">
        <v>0</v>
      </c>
      <c r="I8173" s="2">
        <v>0</v>
      </c>
      <c r="J8173" s="1">
        <v>46043.534618055557</v>
      </c>
    </row>
    <row r="8174" spans="1:10" x14ac:dyDescent="0.2">
      <c r="A8174" s="4" t="s">
        <v>1</v>
      </c>
      <c r="B817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74" s="3" t="str">
        <f>HYPERLINK("https://otsuka-europe-crm.veevavault.com/ui/#object/sent_email__v/VBL000000016391", "SE-001400667")</f>
        <v>SE-001400667</v>
      </c>
      <c r="D8174" s="1">
        <v>46054.113043981481</v>
      </c>
      <c r="E8174" s="2">
        <v>1</v>
      </c>
      <c r="F8174" s="2">
        <v>3</v>
      </c>
      <c r="G8174" s="2">
        <v>0</v>
      </c>
      <c r="H8174" s="1" t="s">
        <v>0</v>
      </c>
      <c r="I8174" s="2">
        <v>0</v>
      </c>
      <c r="J8174" s="1">
        <v>46043.53466435185</v>
      </c>
    </row>
    <row r="8175" spans="1:10" x14ac:dyDescent="0.2">
      <c r="A8175" s="4" t="s">
        <v>1</v>
      </c>
      <c r="B817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75" s="3" t="str">
        <f>HYPERLINK("https://otsuka-europe-crm.veevavault.com/ui/#object/sent_email__v/VBL000000016392", "SE-001400668")</f>
        <v>SE-001400668</v>
      </c>
      <c r="D8175" s="1">
        <v>46070.805243055554</v>
      </c>
      <c r="E8175" s="2">
        <v>1</v>
      </c>
      <c r="F8175" s="2">
        <v>3</v>
      </c>
      <c r="G8175" s="2">
        <v>0</v>
      </c>
      <c r="H8175" s="1" t="s">
        <v>0</v>
      </c>
      <c r="I8175" s="2">
        <v>0</v>
      </c>
      <c r="J8175" s="1">
        <v>46043.534745370373</v>
      </c>
    </row>
    <row r="8176" spans="1:10" x14ac:dyDescent="0.2">
      <c r="A8176" s="4" t="s">
        <v>1</v>
      </c>
      <c r="B817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76" s="3" t="str">
        <f>HYPERLINK("https://otsuka-europe-crm.veevavault.com/ui/#object/sent_email__v/VBL000000016393", "SE-001400669")</f>
        <v>SE-001400669</v>
      </c>
      <c r="D8176" s="1">
        <v>46044.325185185182</v>
      </c>
      <c r="E8176" s="2">
        <v>1</v>
      </c>
      <c r="F8176" s="2">
        <v>1</v>
      </c>
      <c r="G8176" s="2">
        <v>0</v>
      </c>
      <c r="H8176" s="1" t="s">
        <v>0</v>
      </c>
      <c r="I8176" s="2">
        <v>0</v>
      </c>
      <c r="J8176" s="1">
        <v>46043.534756944442</v>
      </c>
    </row>
    <row r="8177" spans="1:10" x14ac:dyDescent="0.2">
      <c r="A8177" s="4" t="s">
        <v>1</v>
      </c>
      <c r="B817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77" s="3" t="str">
        <f>HYPERLINK("https://otsuka-europe-crm.veevavault.com/ui/#object/sent_email__v/VBL000000016394", "SE-001400670")</f>
        <v>SE-001400670</v>
      </c>
      <c r="D8177" s="1" t="s">
        <v>0</v>
      </c>
      <c r="E8177" s="2">
        <v>0</v>
      </c>
      <c r="F8177" s="2">
        <v>0</v>
      </c>
      <c r="G8177" s="2">
        <v>0</v>
      </c>
      <c r="H8177" s="1" t="s">
        <v>0</v>
      </c>
      <c r="I8177" s="2">
        <v>0</v>
      </c>
      <c r="J8177" s="1">
        <v>46043.534791666665</v>
      </c>
    </row>
    <row r="8178" spans="1:10" x14ac:dyDescent="0.2">
      <c r="A8178" s="4" t="s">
        <v>1</v>
      </c>
      <c r="B817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78" s="3" t="str">
        <f>HYPERLINK("https://otsuka-europe-crm.veevavault.com/ui/#object/sent_email__v/VBL000000016395", "SE-001400671")</f>
        <v>SE-001400671</v>
      </c>
      <c r="D8178" s="1">
        <v>46051.524108796293</v>
      </c>
      <c r="E8178" s="2">
        <v>1</v>
      </c>
      <c r="F8178" s="2">
        <v>6</v>
      </c>
      <c r="G8178" s="2">
        <v>0</v>
      </c>
      <c r="H8178" s="1" t="s">
        <v>0</v>
      </c>
      <c r="I8178" s="2">
        <v>0</v>
      </c>
      <c r="J8178" s="1">
        <v>46043.534837962965</v>
      </c>
    </row>
    <row r="8179" spans="1:10" x14ac:dyDescent="0.2">
      <c r="A8179" s="4" t="s">
        <v>1</v>
      </c>
      <c r="B817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79" s="3" t="str">
        <f>HYPERLINK("https://otsuka-europe-crm.veevavault.com/ui/#object/sent_email__v/VBL000000016396", "SE-001400672")</f>
        <v>SE-001400672</v>
      </c>
      <c r="D8179" s="1" t="s">
        <v>0</v>
      </c>
      <c r="E8179" s="2">
        <v>0</v>
      </c>
      <c r="F8179" s="2">
        <v>0</v>
      </c>
      <c r="G8179" s="2">
        <v>0</v>
      </c>
      <c r="H8179" s="1" t="s">
        <v>0</v>
      </c>
      <c r="I8179" s="2">
        <v>0</v>
      </c>
      <c r="J8179" s="1">
        <v>46043.534884259258</v>
      </c>
    </row>
    <row r="8180" spans="1:10" x14ac:dyDescent="0.2">
      <c r="A8180" s="4" t="s">
        <v>1</v>
      </c>
      <c r="B818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80" s="3" t="str">
        <f>HYPERLINK("https://otsuka-europe-crm.veevavault.com/ui/#object/sent_email__v/VBL000000016397", "SE-001400673")</f>
        <v>SE-001400673</v>
      </c>
      <c r="D8180" s="1" t="s">
        <v>0</v>
      </c>
      <c r="E8180" s="2">
        <v>0</v>
      </c>
      <c r="F8180" s="2">
        <v>0</v>
      </c>
      <c r="G8180" s="2">
        <v>0</v>
      </c>
      <c r="H8180" s="1" t="s">
        <v>0</v>
      </c>
      <c r="I8180" s="2">
        <v>0</v>
      </c>
      <c r="J8180" s="1">
        <v>46043.534918981481</v>
      </c>
    </row>
    <row r="8181" spans="1:10" x14ac:dyDescent="0.2">
      <c r="A8181" s="4" t="s">
        <v>1</v>
      </c>
      <c r="B818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81" s="3" t="str">
        <f>HYPERLINK("https://otsuka-europe-crm.veevavault.com/ui/#object/sent_email__v/VBL000000016398", "SE-001400674")</f>
        <v>SE-001400674</v>
      </c>
      <c r="D8181" s="1">
        <v>46043.546724537038</v>
      </c>
      <c r="E8181" s="2">
        <v>1</v>
      </c>
      <c r="F8181" s="2">
        <v>1</v>
      </c>
      <c r="G8181" s="2">
        <v>0</v>
      </c>
      <c r="H8181" s="1" t="s">
        <v>0</v>
      </c>
      <c r="I8181" s="2">
        <v>0</v>
      </c>
      <c r="J8181" s="1">
        <v>46043.53496527778</v>
      </c>
    </row>
    <row r="8182" spans="1:10" x14ac:dyDescent="0.2">
      <c r="A8182" s="4" t="s">
        <v>1</v>
      </c>
      <c r="B818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82" s="3" t="str">
        <f>HYPERLINK("https://otsuka-europe-crm.veevavault.com/ui/#object/sent_email__v/VBL000000016399", "SE-001400675")</f>
        <v>SE-001400675</v>
      </c>
      <c r="D8182" s="1">
        <v>46043.542314814818</v>
      </c>
      <c r="E8182" s="2">
        <v>1</v>
      </c>
      <c r="F8182" s="2">
        <v>1</v>
      </c>
      <c r="G8182" s="2">
        <v>0</v>
      </c>
      <c r="H8182" s="1" t="s">
        <v>0</v>
      </c>
      <c r="I8182" s="2">
        <v>0</v>
      </c>
      <c r="J8182" s="1">
        <v>46043.535011574073</v>
      </c>
    </row>
    <row r="8183" spans="1:10" x14ac:dyDescent="0.2">
      <c r="A8183" s="4" t="s">
        <v>1</v>
      </c>
      <c r="B818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83" s="3" t="str">
        <f>HYPERLINK("https://otsuka-europe-crm.veevavault.com/ui/#object/sent_email__v/VBL000000016400", "SE-001400676")</f>
        <v>SE-001400676</v>
      </c>
      <c r="D8183" s="1" t="s">
        <v>0</v>
      </c>
      <c r="E8183" s="2">
        <v>0</v>
      </c>
      <c r="F8183" s="2">
        <v>0</v>
      </c>
      <c r="G8183" s="2">
        <v>0</v>
      </c>
      <c r="H8183" s="1" t="s">
        <v>0</v>
      </c>
      <c r="I8183" s="2">
        <v>0</v>
      </c>
      <c r="J8183" s="1">
        <v>46043.535057870373</v>
      </c>
    </row>
    <row r="8184" spans="1:10" x14ac:dyDescent="0.2">
      <c r="A8184" s="4" t="s">
        <v>1</v>
      </c>
      <c r="B818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84" s="3" t="str">
        <f>HYPERLINK("https://otsuka-europe-crm.veevavault.com/ui/#object/sent_email__v/VBL000000016401", "SE-001400677")</f>
        <v>SE-001400677</v>
      </c>
      <c r="D8184" s="1">
        <v>46046.823020833333</v>
      </c>
      <c r="E8184" s="2">
        <v>1</v>
      </c>
      <c r="F8184" s="2">
        <v>3</v>
      </c>
      <c r="G8184" s="2">
        <v>0</v>
      </c>
      <c r="H8184" s="1" t="s">
        <v>0</v>
      </c>
      <c r="I8184" s="2">
        <v>0</v>
      </c>
      <c r="J8184" s="1">
        <v>46043.535092592596</v>
      </c>
    </row>
    <row r="8185" spans="1:10" x14ac:dyDescent="0.2">
      <c r="A8185" s="4" t="s">
        <v>1</v>
      </c>
      <c r="B818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85" s="3" t="str">
        <f>HYPERLINK("https://otsuka-europe-crm.veevavault.com/ui/#object/sent_email__v/VBL000000016402", "SE-001400678")</f>
        <v>SE-001400678</v>
      </c>
      <c r="D8185" s="1">
        <v>46043.535370370373</v>
      </c>
      <c r="E8185" s="2">
        <v>1</v>
      </c>
      <c r="F8185" s="2">
        <v>1</v>
      </c>
      <c r="G8185" s="2">
        <v>0</v>
      </c>
      <c r="H8185" s="1" t="s">
        <v>0</v>
      </c>
      <c r="I8185" s="2">
        <v>0</v>
      </c>
      <c r="J8185" s="1">
        <v>46043.535150462965</v>
      </c>
    </row>
    <row r="8186" spans="1:10" x14ac:dyDescent="0.2">
      <c r="A8186" s="4" t="s">
        <v>1</v>
      </c>
      <c r="B818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86" s="3" t="str">
        <f>HYPERLINK("https://otsuka-europe-crm.veevavault.com/ui/#object/sent_email__v/VBL000000016403", "SE-001400679")</f>
        <v>SE-001400679</v>
      </c>
      <c r="D8186" s="1" t="s">
        <v>0</v>
      </c>
      <c r="E8186" s="2">
        <v>0</v>
      </c>
      <c r="F8186" s="2">
        <v>0</v>
      </c>
      <c r="G8186" s="2">
        <v>0</v>
      </c>
      <c r="H8186" s="1" t="s">
        <v>0</v>
      </c>
      <c r="I8186" s="2">
        <v>0</v>
      </c>
      <c r="J8186" s="1">
        <v>46043.535185185188</v>
      </c>
    </row>
    <row r="8187" spans="1:10" x14ac:dyDescent="0.2">
      <c r="A8187" s="4" t="s">
        <v>1</v>
      </c>
      <c r="B818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87" s="3" t="str">
        <f>HYPERLINK("https://otsuka-europe-crm.veevavault.com/ui/#object/sent_email__v/VBL000000016404", "SE-001400680")</f>
        <v>SE-001400680</v>
      </c>
      <c r="D8187" s="1" t="s">
        <v>0</v>
      </c>
      <c r="E8187" s="2">
        <v>0</v>
      </c>
      <c r="F8187" s="2">
        <v>0</v>
      </c>
      <c r="G8187" s="2">
        <v>0</v>
      </c>
      <c r="H8187" s="1" t="s">
        <v>0</v>
      </c>
      <c r="I8187" s="2">
        <v>0</v>
      </c>
      <c r="J8187" s="1">
        <v>46043.535231481481</v>
      </c>
    </row>
    <row r="8188" spans="1:10" x14ac:dyDescent="0.2">
      <c r="A8188" s="4" t="s">
        <v>1</v>
      </c>
      <c r="B818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88" s="3" t="str">
        <f>HYPERLINK("https://otsuka-europe-crm.veevavault.com/ui/#object/sent_email__v/VBL000000016405", "SE-001400681")</f>
        <v>SE-001400681</v>
      </c>
      <c r="D8188" s="1">
        <v>46045.845011574071</v>
      </c>
      <c r="E8188" s="2">
        <v>1</v>
      </c>
      <c r="F8188" s="2">
        <v>1</v>
      </c>
      <c r="G8188" s="2">
        <v>0</v>
      </c>
      <c r="H8188" s="1" t="s">
        <v>0</v>
      </c>
      <c r="I8188" s="2">
        <v>0</v>
      </c>
      <c r="J8188" s="1">
        <v>46043.535277777781</v>
      </c>
    </row>
    <row r="8189" spans="1:10" x14ac:dyDescent="0.2">
      <c r="A8189" s="4" t="s">
        <v>1</v>
      </c>
      <c r="B818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89" s="3" t="str">
        <f>HYPERLINK("https://otsuka-europe-crm.veevavault.com/ui/#object/sent_email__v/VBL000000016406", "SE-001400682")</f>
        <v>SE-001400682</v>
      </c>
      <c r="D8189" s="1">
        <v>46043.586921296293</v>
      </c>
      <c r="E8189" s="2">
        <v>1</v>
      </c>
      <c r="F8189" s="2">
        <v>1</v>
      </c>
      <c r="G8189" s="2">
        <v>0</v>
      </c>
      <c r="H8189" s="1" t="s">
        <v>0</v>
      </c>
      <c r="I8189" s="2">
        <v>0</v>
      </c>
      <c r="J8189" s="1">
        <v>46043.535312499997</v>
      </c>
    </row>
    <row r="8190" spans="1:10" x14ac:dyDescent="0.2">
      <c r="A8190" s="4" t="s">
        <v>1</v>
      </c>
      <c r="B819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90" s="3" t="str">
        <f>HYPERLINK("https://otsuka-europe-crm.veevavault.com/ui/#object/sent_email__v/VBL000000016407", "SE-001400683")</f>
        <v>SE-001400683</v>
      </c>
      <c r="D8190" s="1">
        <v>46043.535636574074</v>
      </c>
      <c r="E8190" s="2">
        <v>1</v>
      </c>
      <c r="F8190" s="2">
        <v>1</v>
      </c>
      <c r="G8190" s="2">
        <v>0</v>
      </c>
      <c r="H8190" s="1" t="s">
        <v>0</v>
      </c>
      <c r="I8190" s="2">
        <v>0</v>
      </c>
      <c r="J8190" s="1">
        <v>46043.535370370373</v>
      </c>
    </row>
    <row r="8191" spans="1:10" x14ac:dyDescent="0.2">
      <c r="A8191" s="4" t="s">
        <v>1</v>
      </c>
      <c r="B819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91" s="3" t="str">
        <f>HYPERLINK("https://otsuka-europe-crm.veevavault.com/ui/#object/sent_email__v/VBL000000016408", "SE-001400684")</f>
        <v>SE-001400684</v>
      </c>
      <c r="D8191" s="1">
        <v>46043.540555555555</v>
      </c>
      <c r="E8191" s="2">
        <v>1</v>
      </c>
      <c r="F8191" s="2">
        <v>2</v>
      </c>
      <c r="G8191" s="2">
        <v>0</v>
      </c>
      <c r="H8191" s="1" t="s">
        <v>0</v>
      </c>
      <c r="I8191" s="2">
        <v>0</v>
      </c>
      <c r="J8191" s="1">
        <v>46043.535405092596</v>
      </c>
    </row>
    <row r="8192" spans="1:10" x14ac:dyDescent="0.2">
      <c r="A8192" s="4" t="s">
        <v>1</v>
      </c>
      <c r="B819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92" s="3" t="str">
        <f>HYPERLINK("https://otsuka-europe-crm.veevavault.com/ui/#object/sent_email__v/VBL000000016409", "SE-001400685")</f>
        <v>SE-001400685</v>
      </c>
      <c r="D8192" s="1" t="s">
        <v>0</v>
      </c>
      <c r="E8192" s="2">
        <v>0</v>
      </c>
      <c r="F8192" s="2">
        <v>0</v>
      </c>
      <c r="G8192" s="2">
        <v>0</v>
      </c>
      <c r="H8192" s="1" t="s">
        <v>0</v>
      </c>
      <c r="I8192" s="2">
        <v>0</v>
      </c>
      <c r="J8192" s="1">
        <v>46043.535451388889</v>
      </c>
    </row>
    <row r="8193" spans="1:10" x14ac:dyDescent="0.2">
      <c r="A8193" s="4" t="s">
        <v>1</v>
      </c>
      <c r="B819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93" s="3" t="str">
        <f>HYPERLINK("https://otsuka-europe-crm.veevavault.com/ui/#object/sent_email__v/VBL000000016410", "SE-001400686")</f>
        <v>SE-001400686</v>
      </c>
      <c r="D8193" s="1" t="s">
        <v>0</v>
      </c>
      <c r="E8193" s="2">
        <v>0</v>
      </c>
      <c r="F8193" s="2">
        <v>0</v>
      </c>
      <c r="G8193" s="2">
        <v>0</v>
      </c>
      <c r="H8193" s="1" t="s">
        <v>0</v>
      </c>
      <c r="I8193" s="2">
        <v>0</v>
      </c>
      <c r="J8193" s="1">
        <v>46043.535486111112</v>
      </c>
    </row>
    <row r="8194" spans="1:10" x14ac:dyDescent="0.2">
      <c r="A8194" s="4" t="s">
        <v>1</v>
      </c>
      <c r="B819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94" s="3" t="str">
        <f>HYPERLINK("https://otsuka-europe-crm.veevavault.com/ui/#object/sent_email__v/VBL000000016411", "SE-001400687")</f>
        <v>SE-001400687</v>
      </c>
      <c r="D8194" s="1" t="s">
        <v>0</v>
      </c>
      <c r="E8194" s="2">
        <v>0</v>
      </c>
      <c r="F8194" s="2">
        <v>0</v>
      </c>
      <c r="G8194" s="2">
        <v>0</v>
      </c>
      <c r="H8194" s="1" t="s">
        <v>0</v>
      </c>
      <c r="I8194" s="2">
        <v>0</v>
      </c>
      <c r="J8194" s="1">
        <v>46043.535532407404</v>
      </c>
    </row>
    <row r="8195" spans="1:10" x14ac:dyDescent="0.2">
      <c r="A8195" s="4" t="s">
        <v>1</v>
      </c>
      <c r="B819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95" s="3" t="str">
        <f>HYPERLINK("https://otsuka-europe-crm.veevavault.com/ui/#object/sent_email__v/VBL000000016412", "SE-001400688")</f>
        <v>SE-001400688</v>
      </c>
      <c r="D8195" s="1">
        <v>46047.388668981483</v>
      </c>
      <c r="E8195" s="2">
        <v>1</v>
      </c>
      <c r="F8195" s="2">
        <v>2</v>
      </c>
      <c r="G8195" s="2">
        <v>0</v>
      </c>
      <c r="H8195" s="1" t="s">
        <v>0</v>
      </c>
      <c r="I8195" s="2">
        <v>0</v>
      </c>
      <c r="J8195" s="1">
        <v>46043.535567129627</v>
      </c>
    </row>
    <row r="8196" spans="1:10" x14ac:dyDescent="0.2">
      <c r="A8196" s="4" t="s">
        <v>1</v>
      </c>
      <c r="B819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96" s="3" t="str">
        <f>HYPERLINK("https://otsuka-europe-crm.veevavault.com/ui/#object/sent_email__v/VBL000000016413", "SE-001400689")</f>
        <v>SE-001400689</v>
      </c>
      <c r="D8196" s="1">
        <v>46057.687835648147</v>
      </c>
      <c r="E8196" s="2">
        <v>1</v>
      </c>
      <c r="F8196" s="2">
        <v>2</v>
      </c>
      <c r="G8196" s="2">
        <v>0</v>
      </c>
      <c r="H8196" s="1" t="s">
        <v>0</v>
      </c>
      <c r="I8196" s="2">
        <v>0</v>
      </c>
      <c r="J8196" s="1">
        <v>46043.535613425927</v>
      </c>
    </row>
    <row r="8197" spans="1:10" x14ac:dyDescent="0.2">
      <c r="A8197" s="4" t="s">
        <v>1</v>
      </c>
      <c r="B819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97" s="3" t="str">
        <f>HYPERLINK("https://otsuka-europe-crm.veevavault.com/ui/#object/sent_email__v/VBL000000016414", "SE-001400690")</f>
        <v>SE-001400690</v>
      </c>
      <c r="D8197" s="1" t="s">
        <v>0</v>
      </c>
      <c r="E8197" s="2">
        <v>0</v>
      </c>
      <c r="F8197" s="2">
        <v>0</v>
      </c>
      <c r="G8197" s="2">
        <v>0</v>
      </c>
      <c r="H8197" s="1" t="s">
        <v>0</v>
      </c>
      <c r="I8197" s="2">
        <v>0</v>
      </c>
      <c r="J8197" s="1">
        <v>46043.535671296297</v>
      </c>
    </row>
    <row r="8198" spans="1:10" x14ac:dyDescent="0.2">
      <c r="A8198" s="4" t="s">
        <v>1</v>
      </c>
      <c r="B819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98" s="3" t="str">
        <f>HYPERLINK("https://otsuka-europe-crm.veevavault.com/ui/#object/sent_email__v/VBL000000016415", "SE-001400691")</f>
        <v>SE-001400691</v>
      </c>
      <c r="D8198" s="1">
        <v>46043.553599537037</v>
      </c>
      <c r="E8198" s="2">
        <v>1</v>
      </c>
      <c r="F8198" s="2">
        <v>1</v>
      </c>
      <c r="G8198" s="2">
        <v>0</v>
      </c>
      <c r="H8198" s="1" t="s">
        <v>0</v>
      </c>
      <c r="I8198" s="2">
        <v>0</v>
      </c>
      <c r="J8198" s="1">
        <v>46043.535694444443</v>
      </c>
    </row>
    <row r="8199" spans="1:10" x14ac:dyDescent="0.2">
      <c r="A8199" s="4" t="s">
        <v>1</v>
      </c>
      <c r="B819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199" s="3" t="str">
        <f>HYPERLINK("https://otsuka-europe-crm.veevavault.com/ui/#object/sent_email__v/VBL000000016416", "SE-001400692")</f>
        <v>SE-001400692</v>
      </c>
      <c r="D8199" s="1">
        <v>46050.853761574072</v>
      </c>
      <c r="E8199" s="2">
        <v>1</v>
      </c>
      <c r="F8199" s="2">
        <v>3</v>
      </c>
      <c r="G8199" s="2">
        <v>1</v>
      </c>
      <c r="H8199" s="1">
        <v>46050.851655092592</v>
      </c>
      <c r="I8199" s="2">
        <v>1</v>
      </c>
      <c r="J8199" s="1">
        <v>46043.535740740743</v>
      </c>
    </row>
    <row r="8200" spans="1:10" x14ac:dyDescent="0.2">
      <c r="A8200" s="4" t="s">
        <v>1</v>
      </c>
      <c r="B820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00" s="3" t="str">
        <f>HYPERLINK("https://otsuka-europe-crm.veevavault.com/ui/#object/sent_email__v/VBL000000016417", "SE-001400693")</f>
        <v>SE-001400693</v>
      </c>
      <c r="D8200" s="1">
        <v>46043.584791666668</v>
      </c>
      <c r="E8200" s="2">
        <v>1</v>
      </c>
      <c r="F8200" s="2">
        <v>1</v>
      </c>
      <c r="G8200" s="2">
        <v>1</v>
      </c>
      <c r="H8200" s="1">
        <v>46049.793067129627</v>
      </c>
      <c r="I8200" s="2">
        <v>3</v>
      </c>
      <c r="J8200" s="1">
        <v>46043.535787037035</v>
      </c>
    </row>
    <row r="8201" spans="1:10" x14ac:dyDescent="0.2">
      <c r="A8201" s="4" t="s">
        <v>1</v>
      </c>
      <c r="B820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01" s="3" t="str">
        <f>HYPERLINK("https://otsuka-europe-crm.veevavault.com/ui/#object/sent_email__v/VBL000000016418", "SE-001400694")</f>
        <v>SE-001400694</v>
      </c>
      <c r="D8201" s="1" t="s">
        <v>0</v>
      </c>
      <c r="E8201" s="2">
        <v>0</v>
      </c>
      <c r="F8201" s="2">
        <v>0</v>
      </c>
      <c r="G8201" s="2">
        <v>0</v>
      </c>
      <c r="H8201" s="1" t="s">
        <v>0</v>
      </c>
      <c r="I8201" s="2">
        <v>0</v>
      </c>
      <c r="J8201" s="1">
        <v>46043.535833333335</v>
      </c>
    </row>
    <row r="8202" spans="1:10" x14ac:dyDescent="0.2">
      <c r="A8202" s="4" t="s">
        <v>1</v>
      </c>
      <c r="B820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02" s="3" t="str">
        <f>HYPERLINK("https://otsuka-europe-crm.veevavault.com/ui/#object/sent_email__v/VBL000000016419", "SE-001400695")</f>
        <v>SE-001400695</v>
      </c>
      <c r="D8202" s="1" t="s">
        <v>0</v>
      </c>
      <c r="E8202" s="2">
        <v>0</v>
      </c>
      <c r="F8202" s="2">
        <v>0</v>
      </c>
      <c r="G8202" s="2">
        <v>0</v>
      </c>
      <c r="H8202" s="1" t="s">
        <v>0</v>
      </c>
      <c r="I8202" s="2">
        <v>0</v>
      </c>
      <c r="J8202" s="1">
        <v>46043.535868055558</v>
      </c>
    </row>
    <row r="8203" spans="1:10" x14ac:dyDescent="0.2">
      <c r="A8203" s="4" t="s">
        <v>1</v>
      </c>
      <c r="B820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03" s="3" t="str">
        <f>HYPERLINK("https://otsuka-europe-crm.veevavault.com/ui/#object/sent_email__v/VBL000000016420", "SE-001400696")</f>
        <v>SE-001400696</v>
      </c>
      <c r="D8203" s="1" t="s">
        <v>0</v>
      </c>
      <c r="E8203" s="2">
        <v>0</v>
      </c>
      <c r="F8203" s="2">
        <v>0</v>
      </c>
      <c r="G8203" s="2">
        <v>0</v>
      </c>
      <c r="H8203" s="1" t="s">
        <v>0</v>
      </c>
      <c r="I8203" s="2">
        <v>0</v>
      </c>
      <c r="J8203" s="1">
        <v>46043.535925925928</v>
      </c>
    </row>
    <row r="8204" spans="1:10" x14ac:dyDescent="0.2">
      <c r="A8204" s="4" t="s">
        <v>1</v>
      </c>
      <c r="B820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04" s="3" t="str">
        <f>HYPERLINK("https://otsuka-europe-crm.veevavault.com/ui/#object/sent_email__v/VBL000000016421", "SE-001400697")</f>
        <v>SE-001400697</v>
      </c>
      <c r="D8204" s="1">
        <v>46068.999872685185</v>
      </c>
      <c r="E8204" s="2">
        <v>1</v>
      </c>
      <c r="F8204" s="2">
        <v>3</v>
      </c>
      <c r="G8204" s="2">
        <v>0</v>
      </c>
      <c r="H8204" s="1" t="s">
        <v>0</v>
      </c>
      <c r="I8204" s="2">
        <v>0</v>
      </c>
      <c r="J8204" s="1">
        <v>46043.535949074074</v>
      </c>
    </row>
    <row r="8205" spans="1:10" x14ac:dyDescent="0.2">
      <c r="A8205" s="4" t="s">
        <v>1</v>
      </c>
      <c r="B820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05" s="3" t="str">
        <f>HYPERLINK("https://otsuka-europe-crm.veevavault.com/ui/#object/sent_email__v/VBL000000016422", "SE-001400698")</f>
        <v>SE-001400698</v>
      </c>
      <c r="D8205" s="1">
        <v>46051.751076388886</v>
      </c>
      <c r="E8205" s="2">
        <v>1</v>
      </c>
      <c r="F8205" s="2">
        <v>2</v>
      </c>
      <c r="G8205" s="2">
        <v>0</v>
      </c>
      <c r="H8205" s="1" t="s">
        <v>0</v>
      </c>
      <c r="I8205" s="2">
        <v>0</v>
      </c>
      <c r="J8205" s="1">
        <v>46043.535995370374</v>
      </c>
    </row>
    <row r="8206" spans="1:10" x14ac:dyDescent="0.2">
      <c r="A8206" s="4" t="s">
        <v>1</v>
      </c>
      <c r="B820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06" s="3" t="str">
        <f>HYPERLINK("https://otsuka-europe-crm.veevavault.com/ui/#object/sent_email__v/VBL000000016423", "SE-001400699")</f>
        <v>SE-001400699</v>
      </c>
      <c r="D8206" s="1">
        <v>46054.446516203701</v>
      </c>
      <c r="E8206" s="2">
        <v>1</v>
      </c>
      <c r="F8206" s="2">
        <v>2</v>
      </c>
      <c r="G8206" s="2">
        <v>0</v>
      </c>
      <c r="H8206" s="1" t="s">
        <v>0</v>
      </c>
      <c r="I8206" s="2">
        <v>0</v>
      </c>
      <c r="J8206" s="1">
        <v>46043.536041666666</v>
      </c>
    </row>
    <row r="8207" spans="1:10" x14ac:dyDescent="0.2">
      <c r="A8207" s="4" t="s">
        <v>1</v>
      </c>
      <c r="B820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07" s="3" t="str">
        <f>HYPERLINK("https://otsuka-europe-crm.veevavault.com/ui/#object/sent_email__v/VBL000000016424", "SE-001400700")</f>
        <v>SE-001400700</v>
      </c>
      <c r="D8207" s="1">
        <v>46048.855520833335</v>
      </c>
      <c r="E8207" s="2">
        <v>1</v>
      </c>
      <c r="F8207" s="2">
        <v>2</v>
      </c>
      <c r="G8207" s="2">
        <v>1</v>
      </c>
      <c r="H8207" s="1">
        <v>46048.85633101852</v>
      </c>
      <c r="I8207" s="2">
        <v>1</v>
      </c>
      <c r="J8207" s="1">
        <v>46043.536076388889</v>
      </c>
    </row>
    <row r="8208" spans="1:10" x14ac:dyDescent="0.2">
      <c r="A8208" s="4" t="s">
        <v>1</v>
      </c>
      <c r="B820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08" s="3" t="str">
        <f>HYPERLINK("https://otsuka-europe-crm.veevavault.com/ui/#object/sent_email__v/VBL000000016425", "SE-001400701")</f>
        <v>SE-001400701</v>
      </c>
      <c r="D8208" s="1" t="s">
        <v>0</v>
      </c>
      <c r="E8208" s="2">
        <v>0</v>
      </c>
      <c r="F8208" s="2">
        <v>0</v>
      </c>
      <c r="G8208" s="2">
        <v>0</v>
      </c>
      <c r="H8208" s="1" t="s">
        <v>0</v>
      </c>
      <c r="I8208" s="2">
        <v>0</v>
      </c>
      <c r="J8208" s="1">
        <v>46043.536122685182</v>
      </c>
    </row>
    <row r="8209" spans="1:10" x14ac:dyDescent="0.2">
      <c r="A8209" s="4" t="s">
        <v>1</v>
      </c>
      <c r="B820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09" s="3" t="str">
        <f>HYPERLINK("https://otsuka-europe-crm.veevavault.com/ui/#object/sent_email__v/VBL000000016426", "SE-001400702")</f>
        <v>SE-001400702</v>
      </c>
      <c r="D8209" s="1">
        <v>46043.812916666669</v>
      </c>
      <c r="E8209" s="2">
        <v>1</v>
      </c>
      <c r="F8209" s="2">
        <v>2</v>
      </c>
      <c r="G8209" s="2">
        <v>0</v>
      </c>
      <c r="H8209" s="1" t="s">
        <v>0</v>
      </c>
      <c r="I8209" s="2">
        <v>0</v>
      </c>
      <c r="J8209" s="1">
        <v>46043.536168981482</v>
      </c>
    </row>
    <row r="8210" spans="1:10" x14ac:dyDescent="0.2">
      <c r="A8210" s="4" t="s">
        <v>1</v>
      </c>
      <c r="B821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10" s="3" t="str">
        <f>HYPERLINK("https://otsuka-europe-crm.veevavault.com/ui/#object/sent_email__v/VBL000000016427", "SE-001400703")</f>
        <v>SE-001400703</v>
      </c>
      <c r="D8210" s="1">
        <v>46045.540069444447</v>
      </c>
      <c r="E8210" s="2">
        <v>1</v>
      </c>
      <c r="F8210" s="2">
        <v>1</v>
      </c>
      <c r="G8210" s="2">
        <v>0</v>
      </c>
      <c r="H8210" s="1" t="s">
        <v>0</v>
      </c>
      <c r="I8210" s="2">
        <v>0</v>
      </c>
      <c r="J8210" s="1">
        <v>46043.536203703705</v>
      </c>
    </row>
    <row r="8211" spans="1:10" x14ac:dyDescent="0.2">
      <c r="A8211" s="4" t="s">
        <v>1</v>
      </c>
      <c r="B821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11" s="3" t="str">
        <f>HYPERLINK("https://otsuka-europe-crm.veevavault.com/ui/#object/sent_email__v/VBL000000016428", "SE-001400704")</f>
        <v>SE-001400704</v>
      </c>
      <c r="D8211" s="1">
        <v>46044.004293981481</v>
      </c>
      <c r="E8211" s="2">
        <v>1</v>
      </c>
      <c r="F8211" s="2">
        <v>3</v>
      </c>
      <c r="G8211" s="2">
        <v>0</v>
      </c>
      <c r="H8211" s="1" t="s">
        <v>0</v>
      </c>
      <c r="I8211" s="2">
        <v>0</v>
      </c>
      <c r="J8211" s="1">
        <v>46043.536249999997</v>
      </c>
    </row>
    <row r="8212" spans="1:10" x14ac:dyDescent="0.2">
      <c r="A8212" s="4" t="s">
        <v>1</v>
      </c>
      <c r="B821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12" s="3" t="str">
        <f>HYPERLINK("https://otsuka-europe-crm.veevavault.com/ui/#object/sent_email__v/VBL000000016429", "SE-001400705")</f>
        <v>SE-001400705</v>
      </c>
      <c r="D8212" s="1">
        <v>46043.626585648148</v>
      </c>
      <c r="E8212" s="2">
        <v>1</v>
      </c>
      <c r="F8212" s="2">
        <v>2</v>
      </c>
      <c r="G8212" s="2">
        <v>0</v>
      </c>
      <c r="H8212" s="1" t="s">
        <v>0</v>
      </c>
      <c r="I8212" s="2">
        <v>0</v>
      </c>
      <c r="J8212" s="1">
        <v>46043.536296296297</v>
      </c>
    </row>
    <row r="8213" spans="1:10" x14ac:dyDescent="0.2">
      <c r="A8213" s="4" t="s">
        <v>1</v>
      </c>
      <c r="B821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13" s="3" t="str">
        <f>HYPERLINK("https://otsuka-europe-crm.veevavault.com/ui/#object/sent_email__v/VBL000000016430", "SE-001400706")</f>
        <v>SE-001400706</v>
      </c>
      <c r="D8213" s="1" t="s">
        <v>0</v>
      </c>
      <c r="E8213" s="2">
        <v>0</v>
      </c>
      <c r="F8213" s="2">
        <v>0</v>
      </c>
      <c r="G8213" s="2">
        <v>0</v>
      </c>
      <c r="H8213" s="1" t="s">
        <v>0</v>
      </c>
      <c r="I8213" s="2">
        <v>0</v>
      </c>
      <c r="J8213" s="1">
        <v>46043.53633101852</v>
      </c>
    </row>
    <row r="8214" spans="1:10" x14ac:dyDescent="0.2">
      <c r="A8214" s="4" t="s">
        <v>1</v>
      </c>
      <c r="B821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14" s="3" t="str">
        <f>HYPERLINK("https://otsuka-europe-crm.veevavault.com/ui/#object/sent_email__v/VBL000000016431", "SE-001400707")</f>
        <v>SE-001400707</v>
      </c>
      <c r="D8214" s="1">
        <v>46045.767488425925</v>
      </c>
      <c r="E8214" s="2">
        <v>1</v>
      </c>
      <c r="F8214" s="2">
        <v>2</v>
      </c>
      <c r="G8214" s="2">
        <v>0</v>
      </c>
      <c r="H8214" s="1" t="s">
        <v>0</v>
      </c>
      <c r="I8214" s="2">
        <v>0</v>
      </c>
      <c r="J8214" s="1">
        <v>46043.536412037036</v>
      </c>
    </row>
    <row r="8215" spans="1:10" x14ac:dyDescent="0.2">
      <c r="A8215" s="4" t="s">
        <v>1</v>
      </c>
      <c r="B821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15" s="3" t="str">
        <f>HYPERLINK("https://otsuka-europe-crm.veevavault.com/ui/#object/sent_email__v/VBL000000016432", "SE-001400708")</f>
        <v>SE-001400708</v>
      </c>
      <c r="D8215" s="1" t="s">
        <v>0</v>
      </c>
      <c r="E8215" s="2">
        <v>0</v>
      </c>
      <c r="F8215" s="2">
        <v>0</v>
      </c>
      <c r="G8215" s="2">
        <v>0</v>
      </c>
      <c r="H8215" s="1" t="s">
        <v>0</v>
      </c>
      <c r="I8215" s="2">
        <v>0</v>
      </c>
      <c r="J8215" s="1">
        <v>46043.536481481482</v>
      </c>
    </row>
    <row r="8216" spans="1:10" x14ac:dyDescent="0.2">
      <c r="A8216" s="4" t="s">
        <v>1</v>
      </c>
      <c r="B821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16" s="3" t="str">
        <f>HYPERLINK("https://otsuka-europe-crm.veevavault.com/ui/#object/sent_email__v/VBL000000016433", "SE-001400709")</f>
        <v>SE-001400709</v>
      </c>
      <c r="D8216" s="1" t="s">
        <v>0</v>
      </c>
      <c r="E8216" s="2">
        <v>0</v>
      </c>
      <c r="F8216" s="2">
        <v>0</v>
      </c>
      <c r="G8216" s="2">
        <v>0</v>
      </c>
      <c r="H8216" s="1" t="s">
        <v>0</v>
      </c>
      <c r="I8216" s="2">
        <v>0</v>
      </c>
      <c r="J8216" s="1">
        <v>46043.536550925928</v>
      </c>
    </row>
    <row r="8217" spans="1:10" x14ac:dyDescent="0.2">
      <c r="A8217" s="4" t="s">
        <v>1</v>
      </c>
      <c r="B821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17" s="3" t="str">
        <f>HYPERLINK("https://otsuka-europe-crm.veevavault.com/ui/#object/sent_email__v/VBL000000016434", "SE-001400710")</f>
        <v>SE-001400710</v>
      </c>
      <c r="D8217" s="1">
        <v>46043.644409722219</v>
      </c>
      <c r="E8217" s="2">
        <v>1</v>
      </c>
      <c r="F8217" s="2">
        <v>4</v>
      </c>
      <c r="G8217" s="2">
        <v>0</v>
      </c>
      <c r="H8217" s="1" t="s">
        <v>0</v>
      </c>
      <c r="I8217" s="2">
        <v>0</v>
      </c>
      <c r="J8217" s="1">
        <v>46043.536620370367</v>
      </c>
    </row>
    <row r="8218" spans="1:10" x14ac:dyDescent="0.2">
      <c r="A8218" s="4" t="s">
        <v>1</v>
      </c>
      <c r="B821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18" s="3" t="str">
        <f>HYPERLINK("https://otsuka-europe-crm.veevavault.com/ui/#object/sent_email__v/VBL000000016435", "SE-001400711")</f>
        <v>SE-001400711</v>
      </c>
      <c r="D8218" s="1" t="s">
        <v>0</v>
      </c>
      <c r="E8218" s="2">
        <v>0</v>
      </c>
      <c r="F8218" s="2">
        <v>0</v>
      </c>
      <c r="G8218" s="2">
        <v>0</v>
      </c>
      <c r="H8218" s="1" t="s">
        <v>0</v>
      </c>
      <c r="I8218" s="2">
        <v>0</v>
      </c>
      <c r="J8218" s="1">
        <v>46043.536712962959</v>
      </c>
    </row>
    <row r="8219" spans="1:10" x14ac:dyDescent="0.2">
      <c r="A8219" s="4" t="s">
        <v>1</v>
      </c>
      <c r="B821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19" s="3" t="str">
        <f>HYPERLINK("https://otsuka-europe-crm.veevavault.com/ui/#object/sent_email__v/VBL000000016436", "SE-001400712")</f>
        <v>SE-001400712</v>
      </c>
      <c r="D8219" s="1">
        <v>46043.769953703704</v>
      </c>
      <c r="E8219" s="2">
        <v>1</v>
      </c>
      <c r="F8219" s="2">
        <v>2</v>
      </c>
      <c r="G8219" s="2">
        <v>0</v>
      </c>
      <c r="H8219" s="1" t="s">
        <v>0</v>
      </c>
      <c r="I8219" s="2">
        <v>0</v>
      </c>
      <c r="J8219" s="1">
        <v>46043.536770833336</v>
      </c>
    </row>
    <row r="8220" spans="1:10" x14ac:dyDescent="0.2">
      <c r="A8220" s="4" t="s">
        <v>1</v>
      </c>
      <c r="B822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20" s="3" t="str">
        <f>HYPERLINK("https://otsuka-europe-crm.veevavault.com/ui/#object/sent_email__v/VBL000000016437", "SE-001400713")</f>
        <v>SE-001400713</v>
      </c>
      <c r="D8220" s="1" t="s">
        <v>0</v>
      </c>
      <c r="E8220" s="2">
        <v>0</v>
      </c>
      <c r="F8220" s="2">
        <v>0</v>
      </c>
      <c r="G8220" s="2">
        <v>0</v>
      </c>
      <c r="H8220" s="1" t="s">
        <v>0</v>
      </c>
      <c r="I8220" s="2">
        <v>0</v>
      </c>
      <c r="J8220" s="1">
        <v>46043.536840277775</v>
      </c>
    </row>
    <row r="8221" spans="1:10" x14ac:dyDescent="0.2">
      <c r="A8221" s="4" t="s">
        <v>1</v>
      </c>
      <c r="B822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21" s="3" t="str">
        <f>HYPERLINK("https://otsuka-europe-crm.veevavault.com/ui/#object/sent_email__v/VBL000000016438", "SE-001400714")</f>
        <v>SE-001400714</v>
      </c>
      <c r="D8221" s="1" t="s">
        <v>0</v>
      </c>
      <c r="E8221" s="2">
        <v>0</v>
      </c>
      <c r="F8221" s="2">
        <v>0</v>
      </c>
      <c r="G8221" s="2">
        <v>0</v>
      </c>
      <c r="H8221" s="1" t="s">
        <v>0</v>
      </c>
      <c r="I8221" s="2">
        <v>0</v>
      </c>
      <c r="J8221" s="1">
        <v>46043.536909722221</v>
      </c>
    </row>
    <row r="8222" spans="1:10" x14ac:dyDescent="0.2">
      <c r="A8222" s="4" t="s">
        <v>1</v>
      </c>
      <c r="B822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22" s="3" t="str">
        <f>HYPERLINK("https://otsuka-europe-crm.veevavault.com/ui/#object/sent_email__v/VBL000000016439", "SE-001400715")</f>
        <v>SE-001400715</v>
      </c>
      <c r="D8222" s="1">
        <v>46057.938819444447</v>
      </c>
      <c r="E8222" s="2">
        <v>1</v>
      </c>
      <c r="F8222" s="2">
        <v>1</v>
      </c>
      <c r="G8222" s="2">
        <v>0</v>
      </c>
      <c r="H8222" s="1" t="s">
        <v>0</v>
      </c>
      <c r="I8222" s="2">
        <v>0</v>
      </c>
      <c r="J8222" s="1">
        <v>46043.537002314813</v>
      </c>
    </row>
    <row r="8223" spans="1:10" x14ac:dyDescent="0.2">
      <c r="A8223" s="4" t="s">
        <v>1</v>
      </c>
      <c r="B822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23" s="3" t="str">
        <f>HYPERLINK("https://otsuka-europe-crm.veevavault.com/ui/#object/sent_email__v/VBL000000016440", "SE-001400716")</f>
        <v>SE-001400716</v>
      </c>
      <c r="D8223" s="1">
        <v>46043.814930555556</v>
      </c>
      <c r="E8223" s="2">
        <v>1</v>
      </c>
      <c r="F8223" s="2">
        <v>2</v>
      </c>
      <c r="G8223" s="2">
        <v>0</v>
      </c>
      <c r="H8223" s="1" t="s">
        <v>0</v>
      </c>
      <c r="I8223" s="2">
        <v>0</v>
      </c>
      <c r="J8223" s="1">
        <v>46043.537048611113</v>
      </c>
    </row>
    <row r="8224" spans="1:10" x14ac:dyDescent="0.2">
      <c r="A8224" s="4" t="s">
        <v>1</v>
      </c>
      <c r="B822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24" s="3" t="str">
        <f>HYPERLINK("https://otsuka-europe-crm.veevavault.com/ui/#object/sent_email__v/VBL000000016441", "SE-001400717")</f>
        <v>SE-001400717</v>
      </c>
      <c r="D8224" s="1" t="s">
        <v>0</v>
      </c>
      <c r="E8224" s="2">
        <v>0</v>
      </c>
      <c r="F8224" s="2">
        <v>0</v>
      </c>
      <c r="G8224" s="2">
        <v>0</v>
      </c>
      <c r="H8224" s="1" t="s">
        <v>0</v>
      </c>
      <c r="I8224" s="2">
        <v>0</v>
      </c>
      <c r="J8224" s="1">
        <v>46043.537129629629</v>
      </c>
    </row>
    <row r="8225" spans="1:10" x14ac:dyDescent="0.2">
      <c r="A8225" s="4" t="s">
        <v>1</v>
      </c>
      <c r="B822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25" s="3" t="str">
        <f>HYPERLINK("https://otsuka-europe-crm.veevavault.com/ui/#object/sent_email__v/VBL000000016442", "SE-001400718")</f>
        <v>SE-001400718</v>
      </c>
      <c r="D8225" s="1">
        <v>46043.553726851853</v>
      </c>
      <c r="E8225" s="2">
        <v>1</v>
      </c>
      <c r="F8225" s="2">
        <v>1</v>
      </c>
      <c r="G8225" s="2">
        <v>0</v>
      </c>
      <c r="H8225" s="1" t="s">
        <v>0</v>
      </c>
      <c r="I8225" s="2">
        <v>0</v>
      </c>
      <c r="J8225" s="1">
        <v>46043.537245370368</v>
      </c>
    </row>
    <row r="8226" spans="1:10" x14ac:dyDescent="0.2">
      <c r="A8226" s="4" t="s">
        <v>1</v>
      </c>
      <c r="B822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26" s="3" t="str">
        <f>HYPERLINK("https://otsuka-europe-crm.veevavault.com/ui/#object/sent_email__v/VBL000000016443", "SE-001400719")</f>
        <v>SE-001400719</v>
      </c>
      <c r="D8226" s="1" t="s">
        <v>0</v>
      </c>
      <c r="E8226" s="2">
        <v>0</v>
      </c>
      <c r="F8226" s="2">
        <v>0</v>
      </c>
      <c r="G8226" s="2">
        <v>0</v>
      </c>
      <c r="H8226" s="1" t="s">
        <v>0</v>
      </c>
      <c r="I8226" s="2">
        <v>0</v>
      </c>
      <c r="J8226" s="1">
        <v>46043.537326388891</v>
      </c>
    </row>
    <row r="8227" spans="1:10" x14ac:dyDescent="0.2">
      <c r="A8227" s="4" t="s">
        <v>1</v>
      </c>
      <c r="B822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27" s="3" t="str">
        <f>HYPERLINK("https://otsuka-europe-crm.veevavault.com/ui/#object/sent_email__v/VBL000000016444", "SE-001400720")</f>
        <v>SE-001400720</v>
      </c>
      <c r="D8227" s="1">
        <v>46043.95616898148</v>
      </c>
      <c r="E8227" s="2">
        <v>1</v>
      </c>
      <c r="F8227" s="2">
        <v>3</v>
      </c>
      <c r="G8227" s="2">
        <v>0</v>
      </c>
      <c r="H8227" s="1" t="s">
        <v>0</v>
      </c>
      <c r="I8227" s="2">
        <v>0</v>
      </c>
      <c r="J8227" s="1">
        <v>46043.537395833337</v>
      </c>
    </row>
    <row r="8228" spans="1:10" x14ac:dyDescent="0.2">
      <c r="A8228" s="4" t="s">
        <v>1</v>
      </c>
      <c r="B822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28" s="3" t="str">
        <f>HYPERLINK("https://otsuka-europe-crm.veevavault.com/ui/#object/sent_email__v/VBL000000016445", "SE-001400721")</f>
        <v>SE-001400721</v>
      </c>
      <c r="D8228" s="1" t="s">
        <v>0</v>
      </c>
      <c r="E8228" s="2">
        <v>0</v>
      </c>
      <c r="F8228" s="2">
        <v>0</v>
      </c>
      <c r="G8228" s="2">
        <v>0</v>
      </c>
      <c r="H8228" s="1" t="s">
        <v>0</v>
      </c>
      <c r="I8228" s="2">
        <v>0</v>
      </c>
      <c r="J8228" s="1">
        <v>46043.537465277775</v>
      </c>
    </row>
    <row r="8229" spans="1:10" x14ac:dyDescent="0.2">
      <c r="A8229" s="4" t="s">
        <v>1</v>
      </c>
      <c r="B822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29" s="3" t="str">
        <f>HYPERLINK("https://otsuka-europe-crm.veevavault.com/ui/#object/sent_email__v/VBL000000016446", "SE-001400722")</f>
        <v>SE-001400722</v>
      </c>
      <c r="D8229" s="1">
        <v>46045.364733796298</v>
      </c>
      <c r="E8229" s="2">
        <v>1</v>
      </c>
      <c r="F8229" s="2">
        <v>3</v>
      </c>
      <c r="G8229" s="2">
        <v>0</v>
      </c>
      <c r="H8229" s="1" t="s">
        <v>0</v>
      </c>
      <c r="I8229" s="2">
        <v>0</v>
      </c>
      <c r="J8229" s="1">
        <v>46043.537534722222</v>
      </c>
    </row>
    <row r="8230" spans="1:10" x14ac:dyDescent="0.2">
      <c r="A8230" s="4" t="s">
        <v>1</v>
      </c>
      <c r="B823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30" s="3" t="str">
        <f>HYPERLINK("https://otsuka-europe-crm.veevavault.com/ui/#object/sent_email__v/VBL000000016447", "SE-001400723")</f>
        <v>SE-001400723</v>
      </c>
      <c r="D8230" s="1">
        <v>46056.547407407408</v>
      </c>
      <c r="E8230" s="2">
        <v>1</v>
      </c>
      <c r="F8230" s="2">
        <v>2</v>
      </c>
      <c r="G8230" s="2">
        <v>1</v>
      </c>
      <c r="H8230" s="1">
        <v>46056.549490740741</v>
      </c>
      <c r="I8230" s="2">
        <v>2</v>
      </c>
      <c r="J8230" s="1">
        <v>46043.537615740737</v>
      </c>
    </row>
    <row r="8231" spans="1:10" x14ac:dyDescent="0.2">
      <c r="A8231" s="4" t="s">
        <v>1</v>
      </c>
      <c r="B823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31" s="3" t="str">
        <f>HYPERLINK("https://otsuka-europe-crm.veevavault.com/ui/#object/sent_email__v/VBL000000016448", "SE-001400724")</f>
        <v>SE-001400724</v>
      </c>
      <c r="D8231" s="1">
        <v>46044.641284722224</v>
      </c>
      <c r="E8231" s="2">
        <v>1</v>
      </c>
      <c r="F8231" s="2">
        <v>1</v>
      </c>
      <c r="G8231" s="2">
        <v>0</v>
      </c>
      <c r="H8231" s="1" t="s">
        <v>0</v>
      </c>
      <c r="I8231" s="2">
        <v>0</v>
      </c>
      <c r="J8231" s="1">
        <v>46043.537685185183</v>
      </c>
    </row>
    <row r="8232" spans="1:10" x14ac:dyDescent="0.2">
      <c r="A8232" s="4" t="s">
        <v>1</v>
      </c>
      <c r="B823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32" s="3" t="str">
        <f>HYPERLINK("https://otsuka-europe-crm.veevavault.com/ui/#object/sent_email__v/VBL000000016449", "SE-001400725")</f>
        <v>SE-001400725</v>
      </c>
      <c r="D8232" s="1" t="s">
        <v>0</v>
      </c>
      <c r="E8232" s="2">
        <v>0</v>
      </c>
      <c r="F8232" s="2">
        <v>0</v>
      </c>
      <c r="G8232" s="2">
        <v>0</v>
      </c>
      <c r="H8232" s="1" t="s">
        <v>0</v>
      </c>
      <c r="I8232" s="2">
        <v>0</v>
      </c>
      <c r="J8232" s="1">
        <v>46043.537766203706</v>
      </c>
    </row>
    <row r="8233" spans="1:10" x14ac:dyDescent="0.2">
      <c r="A8233" s="4" t="s">
        <v>1</v>
      </c>
      <c r="B823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33" s="3" t="str">
        <f>HYPERLINK("https://otsuka-europe-crm.veevavault.com/ui/#object/sent_email__v/VBL000000016450", "SE-001400726")</f>
        <v>SE-001400726</v>
      </c>
      <c r="D8233" s="1" t="s">
        <v>0</v>
      </c>
      <c r="E8233" s="2">
        <v>0</v>
      </c>
      <c r="F8233" s="2">
        <v>0</v>
      </c>
      <c r="G8233" s="2">
        <v>0</v>
      </c>
      <c r="H8233" s="1" t="s">
        <v>0</v>
      </c>
      <c r="I8233" s="2">
        <v>0</v>
      </c>
      <c r="J8233" s="1">
        <v>46043.537835648145</v>
      </c>
    </row>
    <row r="8234" spans="1:10" x14ac:dyDescent="0.2">
      <c r="A8234" s="4" t="s">
        <v>1</v>
      </c>
      <c r="B823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34" s="3" t="str">
        <f>HYPERLINK("https://otsuka-europe-crm.veevavault.com/ui/#object/sent_email__v/VBL000000016739", "SE-001401195")</f>
        <v>SE-001401195</v>
      </c>
      <c r="D8234" s="1" t="s">
        <v>0</v>
      </c>
      <c r="E8234" s="2">
        <v>0</v>
      </c>
      <c r="F8234" s="2">
        <v>0</v>
      </c>
      <c r="G8234" s="2">
        <v>0</v>
      </c>
      <c r="H8234" s="1" t="s">
        <v>0</v>
      </c>
      <c r="I8234" s="2">
        <v>0</v>
      </c>
      <c r="J8234" s="1">
        <v>46048.683275462965</v>
      </c>
    </row>
    <row r="8235" spans="1:10" x14ac:dyDescent="0.2">
      <c r="A8235" s="4" t="s">
        <v>1</v>
      </c>
      <c r="B823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35" s="3" t="str">
        <f>HYPERLINK("https://otsuka-europe-crm.veevavault.com/ui/#object/sent_email__v/VBL000000016740", "SE-001401196")</f>
        <v>SE-001401196</v>
      </c>
      <c r="D8235" s="1" t="s">
        <v>0</v>
      </c>
      <c r="E8235" s="2">
        <v>0</v>
      </c>
      <c r="F8235" s="2">
        <v>0</v>
      </c>
      <c r="G8235" s="2">
        <v>0</v>
      </c>
      <c r="H8235" s="1" t="s">
        <v>0</v>
      </c>
      <c r="I8235" s="2">
        <v>0</v>
      </c>
      <c r="J8235" s="1">
        <v>46048.683298611111</v>
      </c>
    </row>
    <row r="8236" spans="1:10" x14ac:dyDescent="0.2">
      <c r="A8236" s="4" t="s">
        <v>1</v>
      </c>
      <c r="B823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36" s="3" t="str">
        <f>HYPERLINK("https://otsuka-europe-crm.veevavault.com/ui/#object/sent_email__v/VBL000000016741", "SE-001401197")</f>
        <v>SE-001401197</v>
      </c>
      <c r="D8236" s="1" t="s">
        <v>0</v>
      </c>
      <c r="E8236" s="2">
        <v>0</v>
      </c>
      <c r="F8236" s="2">
        <v>0</v>
      </c>
      <c r="G8236" s="2">
        <v>0</v>
      </c>
      <c r="H8236" s="1" t="s">
        <v>0</v>
      </c>
      <c r="I8236" s="2">
        <v>0</v>
      </c>
      <c r="J8236" s="1">
        <v>46048.683356481481</v>
      </c>
    </row>
    <row r="8237" spans="1:10" x14ac:dyDescent="0.2">
      <c r="A8237" s="4" t="s">
        <v>1</v>
      </c>
      <c r="B823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37" s="3" t="str">
        <f>HYPERLINK("https://otsuka-europe-crm.veevavault.com/ui/#object/sent_email__v/VBL000000016742", "SE-001401198")</f>
        <v>SE-001401198</v>
      </c>
      <c r="D8237" s="1">
        <v>46048.708171296297</v>
      </c>
      <c r="E8237" s="2">
        <v>1</v>
      </c>
      <c r="F8237" s="2">
        <v>1</v>
      </c>
      <c r="G8237" s="2">
        <v>0</v>
      </c>
      <c r="H8237" s="1" t="s">
        <v>0</v>
      </c>
      <c r="I8237" s="2">
        <v>0</v>
      </c>
      <c r="J8237" s="1">
        <v>46048.683391203704</v>
      </c>
    </row>
    <row r="8238" spans="1:10" x14ac:dyDescent="0.2">
      <c r="A8238" s="4" t="s">
        <v>1</v>
      </c>
      <c r="B823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38" s="3" t="str">
        <f>HYPERLINK("https://otsuka-europe-crm.veevavault.com/ui/#object/sent_email__v/VBL000000016743", "SE-001401199")</f>
        <v>SE-001401199</v>
      </c>
      <c r="D8238" s="1" t="s">
        <v>0</v>
      </c>
      <c r="E8238" s="2">
        <v>0</v>
      </c>
      <c r="F8238" s="2">
        <v>0</v>
      </c>
      <c r="G8238" s="2">
        <v>0</v>
      </c>
      <c r="H8238" s="1" t="s">
        <v>0</v>
      </c>
      <c r="I8238" s="2">
        <v>0</v>
      </c>
      <c r="J8238" s="1">
        <v>46048.683437500003</v>
      </c>
    </row>
    <row r="8239" spans="1:10" x14ac:dyDescent="0.2">
      <c r="A8239" s="4" t="s">
        <v>1</v>
      </c>
      <c r="B823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39" s="3" t="str">
        <f>HYPERLINK("https://otsuka-europe-crm.veevavault.com/ui/#object/sent_email__v/VBL000000016744", "SE-001401200")</f>
        <v>SE-001401200</v>
      </c>
      <c r="D8239" s="1" t="s">
        <v>0</v>
      </c>
      <c r="E8239" s="2">
        <v>0</v>
      </c>
      <c r="F8239" s="2">
        <v>0</v>
      </c>
      <c r="G8239" s="2">
        <v>0</v>
      </c>
      <c r="H8239" s="1" t="s">
        <v>0</v>
      </c>
      <c r="I8239" s="2">
        <v>0</v>
      </c>
      <c r="J8239" s="1">
        <v>46048.683483796296</v>
      </c>
    </row>
    <row r="8240" spans="1:10" x14ac:dyDescent="0.2">
      <c r="A8240" s="4" t="s">
        <v>1</v>
      </c>
      <c r="B824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40" s="3" t="str">
        <f>HYPERLINK("https://otsuka-europe-crm.veevavault.com/ui/#object/sent_email__v/VBL000000016745", "SE-001401201")</f>
        <v>SE-001401201</v>
      </c>
      <c r="D8240" s="1" t="s">
        <v>0</v>
      </c>
      <c r="E8240" s="2">
        <v>0</v>
      </c>
      <c r="F8240" s="2">
        <v>0</v>
      </c>
      <c r="G8240" s="2">
        <v>0</v>
      </c>
      <c r="H8240" s="1" t="s">
        <v>0</v>
      </c>
      <c r="I8240" s="2">
        <v>0</v>
      </c>
      <c r="J8240" s="1">
        <v>46048.683530092596</v>
      </c>
    </row>
    <row r="8241" spans="1:10" x14ac:dyDescent="0.2">
      <c r="A8241" s="4" t="s">
        <v>1</v>
      </c>
      <c r="B824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41" s="3" t="str">
        <f>HYPERLINK("https://otsuka-europe-crm.veevavault.com/ui/#object/sent_email__v/VBL000000016746", "SE-001401202")</f>
        <v>SE-001401202</v>
      </c>
      <c r="D8241" s="1" t="s">
        <v>0</v>
      </c>
      <c r="E8241" s="2">
        <v>0</v>
      </c>
      <c r="F8241" s="2">
        <v>0</v>
      </c>
      <c r="G8241" s="2">
        <v>0</v>
      </c>
      <c r="H8241" s="1" t="s">
        <v>0</v>
      </c>
      <c r="I8241" s="2">
        <v>0</v>
      </c>
      <c r="J8241" s="1">
        <v>46048.683564814812</v>
      </c>
    </row>
    <row r="8242" spans="1:10" x14ac:dyDescent="0.2">
      <c r="A8242" s="4" t="s">
        <v>1</v>
      </c>
      <c r="B824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42" s="3" t="str">
        <f>HYPERLINK("https://otsuka-europe-crm.veevavault.com/ui/#object/sent_email__v/VBL000000016747", "SE-001401203")</f>
        <v>SE-001401203</v>
      </c>
      <c r="D8242" s="1" t="s">
        <v>0</v>
      </c>
      <c r="E8242" s="2">
        <v>0</v>
      </c>
      <c r="F8242" s="2">
        <v>0</v>
      </c>
      <c r="G8242" s="2">
        <v>0</v>
      </c>
      <c r="H8242" s="1" t="s">
        <v>0</v>
      </c>
      <c r="I8242" s="2">
        <v>0</v>
      </c>
      <c r="J8242" s="1">
        <v>46048.683599537035</v>
      </c>
    </row>
    <row r="8243" spans="1:10" x14ac:dyDescent="0.2">
      <c r="A8243" s="4" t="s">
        <v>1</v>
      </c>
      <c r="B824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43" s="3" t="str">
        <f>HYPERLINK("https://otsuka-europe-crm.veevavault.com/ui/#object/sent_email__v/VBL000000016748", "SE-001401204")</f>
        <v>SE-001401204</v>
      </c>
      <c r="D8243" s="1" t="s">
        <v>0</v>
      </c>
      <c r="E8243" s="2">
        <v>0</v>
      </c>
      <c r="F8243" s="2">
        <v>0</v>
      </c>
      <c r="G8243" s="2">
        <v>0</v>
      </c>
      <c r="H8243" s="1" t="s">
        <v>0</v>
      </c>
      <c r="I8243" s="2">
        <v>0</v>
      </c>
      <c r="J8243" s="1">
        <v>46048.683645833335</v>
      </c>
    </row>
    <row r="8244" spans="1:10" x14ac:dyDescent="0.2">
      <c r="A8244" s="4" t="s">
        <v>1</v>
      </c>
      <c r="B824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44" s="3" t="str">
        <f>HYPERLINK("https://otsuka-europe-crm.veevavault.com/ui/#object/sent_email__v/VBL000000016749", "SE-001401205")</f>
        <v>SE-001401205</v>
      </c>
      <c r="D8244" s="1" t="s">
        <v>0</v>
      </c>
      <c r="E8244" s="2">
        <v>0</v>
      </c>
      <c r="F8244" s="2">
        <v>0</v>
      </c>
      <c r="G8244" s="2">
        <v>0</v>
      </c>
      <c r="H8244" s="1" t="s">
        <v>0</v>
      </c>
      <c r="I8244" s="2">
        <v>0</v>
      </c>
      <c r="J8244" s="1">
        <v>46048.683692129627</v>
      </c>
    </row>
    <row r="8245" spans="1:10" x14ac:dyDescent="0.2">
      <c r="A8245" s="4" t="s">
        <v>1</v>
      </c>
      <c r="B824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45" s="3" t="str">
        <f>HYPERLINK("https://otsuka-europe-crm.veevavault.com/ui/#object/sent_email__v/VBL000000016750", "SE-001401206")</f>
        <v>SE-001401206</v>
      </c>
      <c r="D8245" s="1" t="s">
        <v>0</v>
      </c>
      <c r="E8245" s="2">
        <v>0</v>
      </c>
      <c r="F8245" s="2">
        <v>0</v>
      </c>
      <c r="G8245" s="2">
        <v>0</v>
      </c>
      <c r="H8245" s="1" t="s">
        <v>0</v>
      </c>
      <c r="I8245" s="2">
        <v>0</v>
      </c>
      <c r="J8245" s="1">
        <v>46048.683749999997</v>
      </c>
    </row>
    <row r="8246" spans="1:10" x14ac:dyDescent="0.2">
      <c r="A8246" s="4" t="s">
        <v>1</v>
      </c>
      <c r="B824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46" s="3" t="str">
        <f>HYPERLINK("https://otsuka-europe-crm.veevavault.com/ui/#object/sent_email__v/VBL000000016751", "SE-001401207")</f>
        <v>SE-001401207</v>
      </c>
      <c r="D8246" s="1" t="s">
        <v>0</v>
      </c>
      <c r="E8246" s="2">
        <v>0</v>
      </c>
      <c r="F8246" s="2">
        <v>0</v>
      </c>
      <c r="G8246" s="2">
        <v>0</v>
      </c>
      <c r="H8246" s="1" t="s">
        <v>0</v>
      </c>
      <c r="I8246" s="2">
        <v>0</v>
      </c>
      <c r="J8246" s="1">
        <v>46048.68378472222</v>
      </c>
    </row>
    <row r="8247" spans="1:10" x14ac:dyDescent="0.2">
      <c r="A8247" s="4" t="s">
        <v>1</v>
      </c>
      <c r="B824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47" s="3" t="str">
        <f>HYPERLINK("https://otsuka-europe-crm.veevavault.com/ui/#object/sent_email__v/VBL000000016752", "SE-001401208")</f>
        <v>SE-001401208</v>
      </c>
      <c r="D8247" s="1" t="s">
        <v>0</v>
      </c>
      <c r="E8247" s="2">
        <v>0</v>
      </c>
      <c r="F8247" s="2">
        <v>0</v>
      </c>
      <c r="G8247" s="2">
        <v>0</v>
      </c>
      <c r="H8247" s="1" t="s">
        <v>0</v>
      </c>
      <c r="I8247" s="2">
        <v>0</v>
      </c>
      <c r="J8247" s="1">
        <v>46048.683819444443</v>
      </c>
    </row>
    <row r="8248" spans="1:10" x14ac:dyDescent="0.2">
      <c r="A8248" s="4" t="s">
        <v>1</v>
      </c>
      <c r="B824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48" s="3" t="str">
        <f>HYPERLINK("https://otsuka-europe-crm.veevavault.com/ui/#object/sent_email__v/VBL000000016753", "SE-001401209")</f>
        <v>SE-001401209</v>
      </c>
      <c r="D8248" s="1" t="s">
        <v>0</v>
      </c>
      <c r="E8248" s="2">
        <v>0</v>
      </c>
      <c r="F8248" s="2">
        <v>0</v>
      </c>
      <c r="G8248" s="2">
        <v>0</v>
      </c>
      <c r="H8248" s="1" t="s">
        <v>0</v>
      </c>
      <c r="I8248" s="2">
        <v>0</v>
      </c>
      <c r="J8248" s="1">
        <v>46048.683865740742</v>
      </c>
    </row>
    <row r="8249" spans="1:10" x14ac:dyDescent="0.2">
      <c r="A8249" s="4" t="s">
        <v>1</v>
      </c>
      <c r="B824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49" s="3" t="str">
        <f>HYPERLINK("https://otsuka-europe-crm.veevavault.com/ui/#object/sent_email__v/VBL000000016754", "SE-001401210")</f>
        <v>SE-001401210</v>
      </c>
      <c r="D8249" s="1" t="s">
        <v>0</v>
      </c>
      <c r="E8249" s="2">
        <v>0</v>
      </c>
      <c r="F8249" s="2">
        <v>0</v>
      </c>
      <c r="G8249" s="2">
        <v>0</v>
      </c>
      <c r="H8249" s="1" t="s">
        <v>0</v>
      </c>
      <c r="I8249" s="2">
        <v>0</v>
      </c>
      <c r="J8249" s="1">
        <v>46048.683912037035</v>
      </c>
    </row>
    <row r="8250" spans="1:10" x14ac:dyDescent="0.2">
      <c r="A8250" s="4" t="s">
        <v>1</v>
      </c>
      <c r="B825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50" s="3" t="str">
        <f>HYPERLINK("https://otsuka-europe-crm.veevavault.com/ui/#object/sent_email__v/VBL000000016755", "SE-001401211")</f>
        <v>SE-001401211</v>
      </c>
      <c r="D8250" s="1" t="s">
        <v>0</v>
      </c>
      <c r="E8250" s="2">
        <v>0</v>
      </c>
      <c r="F8250" s="2">
        <v>0</v>
      </c>
      <c r="G8250" s="2">
        <v>0</v>
      </c>
      <c r="H8250" s="1" t="s">
        <v>0</v>
      </c>
      <c r="I8250" s="2">
        <v>0</v>
      </c>
      <c r="J8250" s="1">
        <v>46048.683946759258</v>
      </c>
    </row>
    <row r="8251" spans="1:10" x14ac:dyDescent="0.2">
      <c r="A8251" s="4" t="s">
        <v>1</v>
      </c>
      <c r="B825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51" s="3" t="str">
        <f>HYPERLINK("https://otsuka-europe-crm.veevavault.com/ui/#object/sent_email__v/VBL000000016756", "SE-001401212")</f>
        <v>SE-001401212</v>
      </c>
      <c r="D8251" s="1">
        <v>46048.907500000001</v>
      </c>
      <c r="E8251" s="2">
        <v>1</v>
      </c>
      <c r="F8251" s="2">
        <v>1</v>
      </c>
      <c r="G8251" s="2">
        <v>0</v>
      </c>
      <c r="H8251" s="1" t="s">
        <v>0</v>
      </c>
      <c r="I8251" s="2">
        <v>0</v>
      </c>
      <c r="J8251" s="1">
        <v>46048.684004629627</v>
      </c>
    </row>
    <row r="8252" spans="1:10" x14ac:dyDescent="0.2">
      <c r="A8252" s="4" t="s">
        <v>1</v>
      </c>
      <c r="B825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52" s="3" t="str">
        <f>HYPERLINK("https://otsuka-europe-crm.veevavault.com/ui/#object/sent_email__v/VBL000000016757", "SE-001401213")</f>
        <v>SE-001401213</v>
      </c>
      <c r="D8252" s="1" t="s">
        <v>0</v>
      </c>
      <c r="E8252" s="2">
        <v>0</v>
      </c>
      <c r="F8252" s="2">
        <v>0</v>
      </c>
      <c r="G8252" s="2">
        <v>0</v>
      </c>
      <c r="H8252" s="1" t="s">
        <v>0</v>
      </c>
      <c r="I8252" s="2">
        <v>0</v>
      </c>
      <c r="J8252" s="1">
        <v>46048.68409722222</v>
      </c>
    </row>
    <row r="8253" spans="1:10" x14ac:dyDescent="0.2">
      <c r="A8253" s="4" t="s">
        <v>1</v>
      </c>
      <c r="B825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53" s="3" t="str">
        <f>HYPERLINK("https://otsuka-europe-crm.veevavault.com/ui/#object/sent_email__v/VBL000000016758", "SE-001401214")</f>
        <v>SE-001401214</v>
      </c>
      <c r="D8253" s="1" t="s">
        <v>0</v>
      </c>
      <c r="E8253" s="2">
        <v>0</v>
      </c>
      <c r="F8253" s="2">
        <v>0</v>
      </c>
      <c r="G8253" s="2">
        <v>0</v>
      </c>
      <c r="H8253" s="1" t="s">
        <v>0</v>
      </c>
      <c r="I8253" s="2">
        <v>0</v>
      </c>
      <c r="J8253" s="1">
        <v>46048.684131944443</v>
      </c>
    </row>
    <row r="8254" spans="1:10" x14ac:dyDescent="0.2">
      <c r="A8254" s="4" t="s">
        <v>1</v>
      </c>
      <c r="B825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54" s="3" t="str">
        <f>HYPERLINK("https://otsuka-europe-crm.veevavault.com/ui/#object/sent_email__v/VBL000000016759", "SE-001401215")</f>
        <v>SE-001401215</v>
      </c>
      <c r="D8254" s="1" t="s">
        <v>0</v>
      </c>
      <c r="E8254" s="2">
        <v>0</v>
      </c>
      <c r="F8254" s="2">
        <v>0</v>
      </c>
      <c r="G8254" s="2">
        <v>0</v>
      </c>
      <c r="H8254" s="1" t="s">
        <v>0</v>
      </c>
      <c r="I8254" s="2">
        <v>0</v>
      </c>
      <c r="J8254" s="1">
        <v>46048.684189814812</v>
      </c>
    </row>
    <row r="8255" spans="1:10" x14ac:dyDescent="0.2">
      <c r="A8255" s="4" t="s">
        <v>1</v>
      </c>
      <c r="B825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55" s="3" t="str">
        <f>HYPERLINK("https://otsuka-europe-crm.veevavault.com/ui/#object/sent_email__v/VBL000000016760", "SE-001401216")</f>
        <v>SE-001401216</v>
      </c>
      <c r="D8255" s="1" t="s">
        <v>0</v>
      </c>
      <c r="E8255" s="2">
        <v>0</v>
      </c>
      <c r="F8255" s="2">
        <v>0</v>
      </c>
      <c r="G8255" s="2">
        <v>0</v>
      </c>
      <c r="H8255" s="1" t="s">
        <v>0</v>
      </c>
      <c r="I8255" s="2">
        <v>0</v>
      </c>
      <c r="J8255" s="1">
        <v>46048.684224537035</v>
      </c>
    </row>
    <row r="8256" spans="1:10" x14ac:dyDescent="0.2">
      <c r="A8256" s="4" t="s">
        <v>1</v>
      </c>
      <c r="B825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56" s="3" t="str">
        <f>HYPERLINK("https://otsuka-europe-crm.veevavault.com/ui/#object/sent_email__v/VBL000000016761", "SE-001401217")</f>
        <v>SE-001401217</v>
      </c>
      <c r="D8256" s="1" t="s">
        <v>0</v>
      </c>
      <c r="E8256" s="2">
        <v>0</v>
      </c>
      <c r="F8256" s="2">
        <v>0</v>
      </c>
      <c r="G8256" s="2">
        <v>0</v>
      </c>
      <c r="H8256" s="1" t="s">
        <v>0</v>
      </c>
      <c r="I8256" s="2">
        <v>0</v>
      </c>
      <c r="J8256" s="1">
        <v>46048.684270833335</v>
      </c>
    </row>
    <row r="8257" spans="1:10" x14ac:dyDescent="0.2">
      <c r="A8257" s="4" t="s">
        <v>1</v>
      </c>
      <c r="B825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57" s="3" t="str">
        <f>HYPERLINK("https://otsuka-europe-crm.veevavault.com/ui/#object/sent_email__v/VBL000000016762", "SE-001401218")</f>
        <v>SE-001401218</v>
      </c>
      <c r="D8257" s="1" t="s">
        <v>0</v>
      </c>
      <c r="E8257" s="2">
        <v>0</v>
      </c>
      <c r="F8257" s="2">
        <v>0</v>
      </c>
      <c r="G8257" s="2">
        <v>0</v>
      </c>
      <c r="H8257" s="1" t="s">
        <v>0</v>
      </c>
      <c r="I8257" s="2">
        <v>0</v>
      </c>
      <c r="J8257" s="1">
        <v>46048.684305555558</v>
      </c>
    </row>
    <row r="8258" spans="1:10" x14ac:dyDescent="0.2">
      <c r="A8258" s="4" t="s">
        <v>1</v>
      </c>
      <c r="B825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58" s="3" t="str">
        <f>HYPERLINK("https://otsuka-europe-crm.veevavault.com/ui/#object/sent_email__v/VBL000000016763", "SE-001401219")</f>
        <v>SE-001401219</v>
      </c>
      <c r="D8258" s="1" t="s">
        <v>0</v>
      </c>
      <c r="E8258" s="2">
        <v>0</v>
      </c>
      <c r="F8258" s="2">
        <v>0</v>
      </c>
      <c r="G8258" s="2">
        <v>0</v>
      </c>
      <c r="H8258" s="1" t="s">
        <v>0</v>
      </c>
      <c r="I8258" s="2">
        <v>0</v>
      </c>
      <c r="J8258" s="1">
        <v>46048.684351851851</v>
      </c>
    </row>
    <row r="8259" spans="1:10" x14ac:dyDescent="0.2">
      <c r="A8259" s="4" t="s">
        <v>1</v>
      </c>
      <c r="B825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59" s="3" t="str">
        <f>HYPERLINK("https://otsuka-europe-crm.veevavault.com/ui/#object/sent_email__v/VBL000000016764", "SE-001401220")</f>
        <v>SE-001401220</v>
      </c>
      <c r="D8259" s="1" t="s">
        <v>0</v>
      </c>
      <c r="E8259" s="2">
        <v>0</v>
      </c>
      <c r="F8259" s="2">
        <v>0</v>
      </c>
      <c r="G8259" s="2">
        <v>0</v>
      </c>
      <c r="H8259" s="1" t="s">
        <v>0</v>
      </c>
      <c r="I8259" s="2">
        <v>0</v>
      </c>
      <c r="J8259" s="1">
        <v>46048.684386574074</v>
      </c>
    </row>
    <row r="8260" spans="1:10" x14ac:dyDescent="0.2">
      <c r="A8260" s="4" t="s">
        <v>1</v>
      </c>
      <c r="B826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60" s="3" t="str">
        <f>HYPERLINK("https://otsuka-europe-crm.veevavault.com/ui/#object/sent_email__v/VBL000000016765", "SE-001401221")</f>
        <v>SE-001401221</v>
      </c>
      <c r="D8260" s="1">
        <v>46048.765914351854</v>
      </c>
      <c r="E8260" s="2">
        <v>1</v>
      </c>
      <c r="F8260" s="2">
        <v>2</v>
      </c>
      <c r="G8260" s="2">
        <v>0</v>
      </c>
      <c r="H8260" s="1" t="s">
        <v>0</v>
      </c>
      <c r="I8260" s="2">
        <v>0</v>
      </c>
      <c r="J8260" s="1">
        <v>46048.684432870374</v>
      </c>
    </row>
    <row r="8261" spans="1:10" x14ac:dyDescent="0.2">
      <c r="A8261" s="4" t="s">
        <v>1</v>
      </c>
      <c r="B826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61" s="3" t="str">
        <f>HYPERLINK("https://otsuka-europe-crm.veevavault.com/ui/#object/sent_email__v/VBL000000016766", "SE-001401222")</f>
        <v>SE-001401222</v>
      </c>
      <c r="D8261" s="1" t="s">
        <v>0</v>
      </c>
      <c r="E8261" s="2">
        <v>0</v>
      </c>
      <c r="F8261" s="2">
        <v>0</v>
      </c>
      <c r="G8261" s="2">
        <v>0</v>
      </c>
      <c r="H8261" s="1" t="s">
        <v>0</v>
      </c>
      <c r="I8261" s="2">
        <v>0</v>
      </c>
      <c r="J8261" s="1">
        <v>46048.684467592589</v>
      </c>
    </row>
    <row r="8262" spans="1:10" x14ac:dyDescent="0.2">
      <c r="A8262" s="4" t="s">
        <v>1</v>
      </c>
      <c r="B826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62" s="3" t="str">
        <f>HYPERLINK("https://otsuka-europe-crm.veevavault.com/ui/#object/sent_email__v/VBL000000016767", "SE-001401223")</f>
        <v>SE-001401223</v>
      </c>
      <c r="D8262" s="1" t="s">
        <v>0</v>
      </c>
      <c r="E8262" s="2">
        <v>0</v>
      </c>
      <c r="F8262" s="2">
        <v>0</v>
      </c>
      <c r="G8262" s="2">
        <v>0</v>
      </c>
      <c r="H8262" s="1" t="s">
        <v>0</v>
      </c>
      <c r="I8262" s="2">
        <v>0</v>
      </c>
      <c r="J8262" s="1">
        <v>46048.684513888889</v>
      </c>
    </row>
    <row r="8263" spans="1:10" x14ac:dyDescent="0.2">
      <c r="A8263" s="4" t="s">
        <v>1</v>
      </c>
      <c r="B826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63" s="3" t="str">
        <f>HYPERLINK("https://otsuka-europe-crm.veevavault.com/ui/#object/sent_email__v/VBL000000016768", "SE-001401224")</f>
        <v>SE-001401224</v>
      </c>
      <c r="D8263" s="1" t="s">
        <v>0</v>
      </c>
      <c r="E8263" s="2">
        <v>0</v>
      </c>
      <c r="F8263" s="2">
        <v>0</v>
      </c>
      <c r="G8263" s="2">
        <v>0</v>
      </c>
      <c r="H8263" s="1" t="s">
        <v>0</v>
      </c>
      <c r="I8263" s="2">
        <v>0</v>
      </c>
      <c r="J8263" s="1">
        <v>46048.684560185182</v>
      </c>
    </row>
    <row r="8264" spans="1:10" x14ac:dyDescent="0.2">
      <c r="A8264" s="4" t="s">
        <v>1</v>
      </c>
      <c r="B826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64" s="3" t="str">
        <f>HYPERLINK("https://otsuka-europe-crm.veevavault.com/ui/#object/sent_email__v/VBL000000016769", "SE-001401225")</f>
        <v>SE-001401225</v>
      </c>
      <c r="D8264" s="1" t="s">
        <v>0</v>
      </c>
      <c r="E8264" s="2">
        <v>0</v>
      </c>
      <c r="F8264" s="2">
        <v>0</v>
      </c>
      <c r="G8264" s="2">
        <v>0</v>
      </c>
      <c r="H8264" s="1" t="s">
        <v>0</v>
      </c>
      <c r="I8264" s="2">
        <v>0</v>
      </c>
      <c r="J8264" s="1">
        <v>46048.684606481482</v>
      </c>
    </row>
    <row r="8265" spans="1:10" x14ac:dyDescent="0.2">
      <c r="A8265" s="4" t="s">
        <v>1</v>
      </c>
      <c r="B826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65" s="3" t="str">
        <f>HYPERLINK("https://otsuka-europe-crm.veevavault.com/ui/#object/sent_email__v/VBL000000016770", "SE-001401226")</f>
        <v>SE-001401226</v>
      </c>
      <c r="D8265" s="1" t="s">
        <v>0</v>
      </c>
      <c r="E8265" s="2">
        <v>0</v>
      </c>
      <c r="F8265" s="2">
        <v>0</v>
      </c>
      <c r="G8265" s="2">
        <v>0</v>
      </c>
      <c r="H8265" s="1" t="s">
        <v>0</v>
      </c>
      <c r="I8265" s="2">
        <v>0</v>
      </c>
      <c r="J8265" s="1">
        <v>46048.684641203705</v>
      </c>
    </row>
    <row r="8266" spans="1:10" x14ac:dyDescent="0.2">
      <c r="A8266" s="4" t="s">
        <v>1</v>
      </c>
      <c r="B826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66" s="3" t="str">
        <f>HYPERLINK("https://otsuka-europe-crm.veevavault.com/ui/#object/sent_email__v/VBL000000015582", "SE-001401383")</f>
        <v>SE-001401383</v>
      </c>
      <c r="D8266" s="1" t="s">
        <v>0</v>
      </c>
      <c r="E8266" s="2">
        <v>0</v>
      </c>
      <c r="F8266" s="2">
        <v>0</v>
      </c>
      <c r="G8266" s="2">
        <v>0</v>
      </c>
      <c r="H8266" s="1" t="s">
        <v>0</v>
      </c>
      <c r="I8266" s="2">
        <v>0</v>
      </c>
      <c r="J8266" s="1">
        <v>46048.742662037039</v>
      </c>
    </row>
    <row r="8267" spans="1:10" x14ac:dyDescent="0.2">
      <c r="A8267" s="4" t="s">
        <v>1</v>
      </c>
      <c r="B826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67" s="3" t="str">
        <f>HYPERLINK("https://otsuka-europe-crm.veevavault.com/ui/#object/sent_email__v/VBL000000015583", "SE-001401384")</f>
        <v>SE-001401384</v>
      </c>
      <c r="D8267" s="1" t="s">
        <v>0</v>
      </c>
      <c r="E8267" s="2">
        <v>0</v>
      </c>
      <c r="F8267" s="2">
        <v>0</v>
      </c>
      <c r="G8267" s="2">
        <v>0</v>
      </c>
      <c r="H8267" s="1" t="s">
        <v>0</v>
      </c>
      <c r="I8267" s="2">
        <v>0</v>
      </c>
      <c r="J8267" s="1">
        <v>46048.742662037039</v>
      </c>
    </row>
    <row r="8268" spans="1:10" x14ac:dyDescent="0.2">
      <c r="A8268" s="4" t="s">
        <v>1</v>
      </c>
      <c r="B826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68" s="3" t="str">
        <f>HYPERLINK("https://otsuka-europe-crm.veevavault.com/ui/#object/sent_email__v/VBL000000015584", "SE-001401385")</f>
        <v>SE-001401385</v>
      </c>
      <c r="D8268" s="1" t="s">
        <v>0</v>
      </c>
      <c r="E8268" s="2">
        <v>0</v>
      </c>
      <c r="F8268" s="2">
        <v>0</v>
      </c>
      <c r="G8268" s="2">
        <v>0</v>
      </c>
      <c r="H8268" s="1" t="s">
        <v>0</v>
      </c>
      <c r="I8268" s="2">
        <v>0</v>
      </c>
      <c r="J8268" s="1">
        <v>46048.742662037039</v>
      </c>
    </row>
    <row r="8269" spans="1:10" x14ac:dyDescent="0.2">
      <c r="A8269" s="4" t="s">
        <v>1</v>
      </c>
      <c r="B826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69" s="3" t="str">
        <f>HYPERLINK("https://otsuka-europe-crm.veevavault.com/ui/#object/sent_email__v/VBL000000015585", "SE-001401386")</f>
        <v>SE-001401386</v>
      </c>
      <c r="D8269" s="1" t="s">
        <v>0</v>
      </c>
      <c r="E8269" s="2">
        <v>0</v>
      </c>
      <c r="F8269" s="2">
        <v>0</v>
      </c>
      <c r="G8269" s="2">
        <v>0</v>
      </c>
      <c r="H8269" s="1" t="s">
        <v>0</v>
      </c>
      <c r="I8269" s="2">
        <v>0</v>
      </c>
      <c r="J8269" s="1">
        <v>46048.742662037039</v>
      </c>
    </row>
    <row r="8270" spans="1:10" x14ac:dyDescent="0.2">
      <c r="A8270" s="4" t="s">
        <v>1</v>
      </c>
      <c r="B827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70" s="3" t="str">
        <f>HYPERLINK("https://otsuka-europe-crm.veevavault.com/ui/#object/sent_email__v/VBL000000015586", "SE-001401387")</f>
        <v>SE-001401387</v>
      </c>
      <c r="D8270" s="1" t="s">
        <v>0</v>
      </c>
      <c r="E8270" s="2">
        <v>0</v>
      </c>
      <c r="F8270" s="2">
        <v>0</v>
      </c>
      <c r="G8270" s="2">
        <v>0</v>
      </c>
      <c r="H8270" s="1" t="s">
        <v>0</v>
      </c>
      <c r="I8270" s="2">
        <v>0</v>
      </c>
      <c r="J8270" s="1">
        <v>46048.742650462962</v>
      </c>
    </row>
    <row r="8271" spans="1:10" x14ac:dyDescent="0.2">
      <c r="A8271" s="4" t="s">
        <v>1</v>
      </c>
      <c r="B827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71" s="3" t="str">
        <f>HYPERLINK("https://otsuka-europe-crm.veevavault.com/ui/#object/sent_email__v/VBL000000015587", "SE-001401388")</f>
        <v>SE-001401388</v>
      </c>
      <c r="D8271" s="1" t="s">
        <v>0</v>
      </c>
      <c r="E8271" s="2">
        <v>0</v>
      </c>
      <c r="F8271" s="2">
        <v>0</v>
      </c>
      <c r="G8271" s="2">
        <v>0</v>
      </c>
      <c r="H8271" s="1" t="s">
        <v>0</v>
      </c>
      <c r="I8271" s="2">
        <v>0</v>
      </c>
      <c r="J8271" s="1">
        <v>46048.742650462962</v>
      </c>
    </row>
    <row r="8272" spans="1:10" x14ac:dyDescent="0.2">
      <c r="A8272" s="4" t="s">
        <v>1</v>
      </c>
      <c r="B827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72" s="3" t="str">
        <f>HYPERLINK("https://otsuka-europe-crm.veevavault.com/ui/#object/sent_email__v/VBL000000015588", "SE-001401389")</f>
        <v>SE-001401389</v>
      </c>
      <c r="D8272" s="1" t="s">
        <v>0</v>
      </c>
      <c r="E8272" s="2">
        <v>0</v>
      </c>
      <c r="F8272" s="2">
        <v>0</v>
      </c>
      <c r="G8272" s="2">
        <v>0</v>
      </c>
      <c r="H8272" s="1" t="s">
        <v>0</v>
      </c>
      <c r="I8272" s="2">
        <v>0</v>
      </c>
      <c r="J8272" s="1">
        <v>46048.742662037039</v>
      </c>
    </row>
    <row r="8273" spans="1:10" x14ac:dyDescent="0.2">
      <c r="A8273" s="4" t="s">
        <v>1</v>
      </c>
      <c r="B827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73" s="3" t="str">
        <f>HYPERLINK("https://otsuka-europe-crm.veevavault.com/ui/#object/sent_email__v/VBL000000015589", "SE-001401390")</f>
        <v>SE-001401390</v>
      </c>
      <c r="D8273" s="1" t="s">
        <v>0</v>
      </c>
      <c r="E8273" s="2">
        <v>0</v>
      </c>
      <c r="F8273" s="2">
        <v>0</v>
      </c>
      <c r="G8273" s="2">
        <v>0</v>
      </c>
      <c r="H8273" s="1" t="s">
        <v>0</v>
      </c>
      <c r="I8273" s="2">
        <v>0</v>
      </c>
      <c r="J8273" s="1">
        <v>46048.742662037039</v>
      </c>
    </row>
    <row r="8274" spans="1:10" x14ac:dyDescent="0.2">
      <c r="A8274" s="4" t="s">
        <v>1</v>
      </c>
      <c r="B827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74" s="3" t="str">
        <f>HYPERLINK("https://otsuka-europe-crm.veevavault.com/ui/#object/sent_email__v/VBL000000015590", "SE-001401391")</f>
        <v>SE-001401391</v>
      </c>
      <c r="D8274" s="1" t="s">
        <v>0</v>
      </c>
      <c r="E8274" s="2">
        <v>0</v>
      </c>
      <c r="F8274" s="2">
        <v>0</v>
      </c>
      <c r="G8274" s="2">
        <v>0</v>
      </c>
      <c r="H8274" s="1" t="s">
        <v>0</v>
      </c>
      <c r="I8274" s="2">
        <v>0</v>
      </c>
      <c r="J8274" s="1">
        <v>46048.742662037039</v>
      </c>
    </row>
    <row r="8275" spans="1:10" x14ac:dyDescent="0.2">
      <c r="A8275" s="4" t="s">
        <v>1</v>
      </c>
      <c r="B827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75" s="3" t="str">
        <f>HYPERLINK("https://otsuka-europe-crm.veevavault.com/ui/#object/sent_email__v/VBL000000015591", "SE-001401392")</f>
        <v>SE-001401392</v>
      </c>
      <c r="D8275" s="1" t="s">
        <v>0</v>
      </c>
      <c r="E8275" s="2">
        <v>0</v>
      </c>
      <c r="F8275" s="2">
        <v>0</v>
      </c>
      <c r="G8275" s="2">
        <v>0</v>
      </c>
      <c r="H8275" s="1" t="s">
        <v>0</v>
      </c>
      <c r="I8275" s="2">
        <v>0</v>
      </c>
      <c r="J8275" s="1">
        <v>46048.742662037039</v>
      </c>
    </row>
    <row r="8276" spans="1:10" x14ac:dyDescent="0.2">
      <c r="A8276" s="4" t="s">
        <v>1</v>
      </c>
      <c r="B827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76" s="3" t="str">
        <f>HYPERLINK("https://otsuka-europe-crm.veevavault.com/ui/#object/sent_email__v/VBL000000015592", "SE-001401393")</f>
        <v>SE-001401393</v>
      </c>
      <c r="D8276" s="1" t="s">
        <v>0</v>
      </c>
      <c r="E8276" s="2">
        <v>0</v>
      </c>
      <c r="F8276" s="2">
        <v>0</v>
      </c>
      <c r="G8276" s="2">
        <v>0</v>
      </c>
      <c r="H8276" s="1" t="s">
        <v>0</v>
      </c>
      <c r="I8276" s="2">
        <v>0</v>
      </c>
      <c r="J8276" s="1">
        <v>46048.742662037039</v>
      </c>
    </row>
    <row r="8277" spans="1:10" x14ac:dyDescent="0.2">
      <c r="A8277" s="4" t="s">
        <v>1</v>
      </c>
      <c r="B827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77" s="3" t="str">
        <f>HYPERLINK("https://otsuka-europe-crm.veevavault.com/ui/#object/sent_email__v/VBL000000015593", "SE-001401394")</f>
        <v>SE-001401394</v>
      </c>
      <c r="D8277" s="1" t="s">
        <v>0</v>
      </c>
      <c r="E8277" s="2">
        <v>0</v>
      </c>
      <c r="F8277" s="2">
        <v>0</v>
      </c>
      <c r="G8277" s="2">
        <v>0</v>
      </c>
      <c r="H8277" s="1" t="s">
        <v>0</v>
      </c>
      <c r="I8277" s="2">
        <v>0</v>
      </c>
      <c r="J8277" s="1">
        <v>46048.742662037039</v>
      </c>
    </row>
    <row r="8278" spans="1:10" x14ac:dyDescent="0.2">
      <c r="A8278" s="4" t="s">
        <v>1</v>
      </c>
      <c r="B827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78" s="3" t="str">
        <f>HYPERLINK("https://otsuka-europe-crm.veevavault.com/ui/#object/sent_email__v/VBL000000015594", "SE-001401395")</f>
        <v>SE-001401395</v>
      </c>
      <c r="D8278" s="1" t="s">
        <v>0</v>
      </c>
      <c r="E8278" s="2">
        <v>0</v>
      </c>
      <c r="F8278" s="2">
        <v>0</v>
      </c>
      <c r="G8278" s="2">
        <v>0</v>
      </c>
      <c r="H8278" s="1" t="s">
        <v>0</v>
      </c>
      <c r="I8278" s="2">
        <v>0</v>
      </c>
      <c r="J8278" s="1">
        <v>46048.742662037039</v>
      </c>
    </row>
    <row r="8279" spans="1:10" x14ac:dyDescent="0.2">
      <c r="A8279" s="4" t="s">
        <v>1</v>
      </c>
      <c r="B827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79" s="3" t="str">
        <f>HYPERLINK("https://otsuka-europe-crm.veevavault.com/ui/#object/sent_email__v/VBL000000015595", "SE-001401396")</f>
        <v>SE-001401396</v>
      </c>
      <c r="D8279" s="1" t="s">
        <v>0</v>
      </c>
      <c r="E8279" s="2">
        <v>0</v>
      </c>
      <c r="F8279" s="2">
        <v>0</v>
      </c>
      <c r="G8279" s="2">
        <v>0</v>
      </c>
      <c r="H8279" s="1" t="s">
        <v>0</v>
      </c>
      <c r="I8279" s="2">
        <v>0</v>
      </c>
      <c r="J8279" s="1">
        <v>46048.742662037039</v>
      </c>
    </row>
    <row r="8280" spans="1:10" x14ac:dyDescent="0.2">
      <c r="A8280" s="4" t="s">
        <v>1</v>
      </c>
      <c r="B828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80" s="3" t="str">
        <f>HYPERLINK("https://otsuka-europe-crm.veevavault.com/ui/#object/sent_email__v/VBL000000015596", "SE-001401397")</f>
        <v>SE-001401397</v>
      </c>
      <c r="D8280" s="1" t="s">
        <v>0</v>
      </c>
      <c r="E8280" s="2">
        <v>0</v>
      </c>
      <c r="F8280" s="2">
        <v>0</v>
      </c>
      <c r="G8280" s="2">
        <v>0</v>
      </c>
      <c r="H8280" s="1" t="s">
        <v>0</v>
      </c>
      <c r="I8280" s="2">
        <v>0</v>
      </c>
      <c r="J8280" s="1">
        <v>46048.742662037039</v>
      </c>
    </row>
    <row r="8281" spans="1:10" x14ac:dyDescent="0.2">
      <c r="A8281" s="4" t="s">
        <v>1</v>
      </c>
      <c r="B828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81" s="3" t="str">
        <f>HYPERLINK("https://otsuka-europe-crm.veevavault.com/ui/#object/sent_email__v/VBL000000015597", "SE-001401398")</f>
        <v>SE-001401398</v>
      </c>
      <c r="D8281" s="1" t="s">
        <v>0</v>
      </c>
      <c r="E8281" s="2">
        <v>0</v>
      </c>
      <c r="F8281" s="2">
        <v>0</v>
      </c>
      <c r="G8281" s="2">
        <v>0</v>
      </c>
      <c r="H8281" s="1" t="s">
        <v>0</v>
      </c>
      <c r="I8281" s="2">
        <v>0</v>
      </c>
      <c r="J8281" s="1">
        <v>46048.742673611108</v>
      </c>
    </row>
    <row r="8282" spans="1:10" x14ac:dyDescent="0.2">
      <c r="A8282" s="4" t="s">
        <v>1</v>
      </c>
      <c r="B828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82" s="3" t="str">
        <f>HYPERLINK("https://otsuka-europe-crm.veevavault.com/ui/#object/sent_email__v/VBL000000015598", "SE-001401399")</f>
        <v>SE-001401399</v>
      </c>
      <c r="D8282" s="1" t="s">
        <v>0</v>
      </c>
      <c r="E8282" s="2">
        <v>0</v>
      </c>
      <c r="F8282" s="2">
        <v>0</v>
      </c>
      <c r="G8282" s="2">
        <v>0</v>
      </c>
      <c r="H8282" s="1" t="s">
        <v>0</v>
      </c>
      <c r="I8282" s="2">
        <v>0</v>
      </c>
      <c r="J8282" s="1">
        <v>46048.742673611108</v>
      </c>
    </row>
    <row r="8283" spans="1:10" x14ac:dyDescent="0.2">
      <c r="A8283" s="4" t="s">
        <v>1</v>
      </c>
      <c r="B828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83" s="3" t="str">
        <f>HYPERLINK("https://otsuka-europe-crm.veevavault.com/ui/#object/sent_email__v/VBL000000015599", "SE-001401400")</f>
        <v>SE-001401400</v>
      </c>
      <c r="D8283" s="1" t="s">
        <v>0</v>
      </c>
      <c r="E8283" s="2">
        <v>0</v>
      </c>
      <c r="F8283" s="2">
        <v>0</v>
      </c>
      <c r="G8283" s="2">
        <v>0</v>
      </c>
      <c r="H8283" s="1" t="s">
        <v>0</v>
      </c>
      <c r="I8283" s="2">
        <v>0</v>
      </c>
      <c r="J8283" s="1">
        <v>46048.742673611108</v>
      </c>
    </row>
    <row r="8284" spans="1:10" x14ac:dyDescent="0.2">
      <c r="A8284" s="4" t="s">
        <v>1</v>
      </c>
      <c r="B828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84" s="3" t="str">
        <f>HYPERLINK("https://otsuka-europe-crm.veevavault.com/ui/#object/sent_email__v/VBL000000015600", "SE-001401401")</f>
        <v>SE-001401401</v>
      </c>
      <c r="D8284" s="1" t="s">
        <v>0</v>
      </c>
      <c r="E8284" s="2">
        <v>0</v>
      </c>
      <c r="F8284" s="2">
        <v>0</v>
      </c>
      <c r="G8284" s="2">
        <v>0</v>
      </c>
      <c r="H8284" s="1" t="s">
        <v>0</v>
      </c>
      <c r="I8284" s="2">
        <v>0</v>
      </c>
      <c r="J8284" s="1">
        <v>46048.742673611108</v>
      </c>
    </row>
    <row r="8285" spans="1:10" x14ac:dyDescent="0.2">
      <c r="A8285" s="4" t="s">
        <v>1</v>
      </c>
      <c r="B828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85" s="3" t="str">
        <f>HYPERLINK("https://otsuka-europe-crm.veevavault.com/ui/#object/sent_email__v/VBL000000015601", "SE-001401402")</f>
        <v>SE-001401402</v>
      </c>
      <c r="D8285" s="1" t="s">
        <v>0</v>
      </c>
      <c r="E8285" s="2">
        <v>0</v>
      </c>
      <c r="F8285" s="2">
        <v>0</v>
      </c>
      <c r="G8285" s="2">
        <v>0</v>
      </c>
      <c r="H8285" s="1" t="s">
        <v>0</v>
      </c>
      <c r="I8285" s="2">
        <v>0</v>
      </c>
      <c r="J8285" s="1">
        <v>46048.742662037039</v>
      </c>
    </row>
    <row r="8286" spans="1:10" x14ac:dyDescent="0.2">
      <c r="A8286" s="4" t="s">
        <v>1</v>
      </c>
      <c r="B828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86" s="3" t="str">
        <f>HYPERLINK("https://otsuka-europe-crm.veevavault.com/ui/#object/sent_email__v/VBL000000015602", "SE-001401403")</f>
        <v>SE-001401403</v>
      </c>
      <c r="D8286" s="1" t="s">
        <v>0</v>
      </c>
      <c r="E8286" s="2">
        <v>0</v>
      </c>
      <c r="F8286" s="2">
        <v>0</v>
      </c>
      <c r="G8286" s="2">
        <v>0</v>
      </c>
      <c r="H8286" s="1" t="s">
        <v>0</v>
      </c>
      <c r="I8286" s="2">
        <v>0</v>
      </c>
      <c r="J8286" s="1">
        <v>46048.742662037039</v>
      </c>
    </row>
    <row r="8287" spans="1:10" x14ac:dyDescent="0.2">
      <c r="A8287" s="4" t="s">
        <v>1</v>
      </c>
      <c r="B828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87" s="3" t="str">
        <f>HYPERLINK("https://otsuka-europe-crm.veevavault.com/ui/#object/sent_email__v/VBL000000015603", "SE-001401404")</f>
        <v>SE-001401404</v>
      </c>
      <c r="D8287" s="1" t="s">
        <v>0</v>
      </c>
      <c r="E8287" s="2">
        <v>0</v>
      </c>
      <c r="F8287" s="2">
        <v>0</v>
      </c>
      <c r="G8287" s="2">
        <v>0</v>
      </c>
      <c r="H8287" s="1" t="s">
        <v>0</v>
      </c>
      <c r="I8287" s="2">
        <v>0</v>
      </c>
      <c r="J8287" s="1">
        <v>46048.742673611108</v>
      </c>
    </row>
    <row r="8288" spans="1:10" x14ac:dyDescent="0.2">
      <c r="A8288" s="4" t="s">
        <v>1</v>
      </c>
      <c r="B828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88" s="3" t="str">
        <f>HYPERLINK("https://otsuka-europe-crm.veevavault.com/ui/#object/sent_email__v/VBL000000015604", "SE-001401405")</f>
        <v>SE-001401405</v>
      </c>
      <c r="D8288" s="1" t="s">
        <v>0</v>
      </c>
      <c r="E8288" s="2">
        <v>0</v>
      </c>
      <c r="F8288" s="2">
        <v>0</v>
      </c>
      <c r="G8288" s="2">
        <v>0</v>
      </c>
      <c r="H8288" s="1" t="s">
        <v>0</v>
      </c>
      <c r="I8288" s="2">
        <v>0</v>
      </c>
      <c r="J8288" s="1">
        <v>46048.742673611108</v>
      </c>
    </row>
    <row r="8289" spans="1:10" x14ac:dyDescent="0.2">
      <c r="A8289" s="4" t="s">
        <v>1</v>
      </c>
      <c r="B828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89" s="3" t="str">
        <f>HYPERLINK("https://otsuka-europe-crm.veevavault.com/ui/#object/sent_email__v/VBL000000015605", "SE-001401406")</f>
        <v>SE-001401406</v>
      </c>
      <c r="D8289" s="1" t="s">
        <v>0</v>
      </c>
      <c r="E8289" s="2">
        <v>0</v>
      </c>
      <c r="F8289" s="2">
        <v>0</v>
      </c>
      <c r="G8289" s="2">
        <v>0</v>
      </c>
      <c r="H8289" s="1" t="s">
        <v>0</v>
      </c>
      <c r="I8289" s="2">
        <v>0</v>
      </c>
      <c r="J8289" s="1">
        <v>46048.742673611108</v>
      </c>
    </row>
    <row r="8290" spans="1:10" x14ac:dyDescent="0.2">
      <c r="A8290" s="4" t="s">
        <v>1</v>
      </c>
      <c r="B829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90" s="3" t="str">
        <f>HYPERLINK("https://otsuka-europe-crm.veevavault.com/ui/#object/sent_email__v/VBL000000015773", "SE-001401641")</f>
        <v>SE-001401641</v>
      </c>
      <c r="D8290" s="1" t="s">
        <v>0</v>
      </c>
      <c r="E8290" s="2">
        <v>0</v>
      </c>
      <c r="F8290" s="2">
        <v>0</v>
      </c>
      <c r="G8290" s="2">
        <v>0</v>
      </c>
      <c r="H8290" s="1" t="s">
        <v>0</v>
      </c>
      <c r="I8290" s="2">
        <v>0</v>
      </c>
      <c r="J8290" s="1">
        <v>46049.333402777775</v>
      </c>
    </row>
    <row r="8291" spans="1:10" x14ac:dyDescent="0.2">
      <c r="A8291" s="4" t="s">
        <v>1</v>
      </c>
      <c r="B829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91" s="3" t="str">
        <f>HYPERLINK("https://otsuka-europe-crm.veevavault.com/ui/#object/sent_email__v/VBL000000015774", "SE-001401642")</f>
        <v>SE-001401642</v>
      </c>
      <c r="D8291" s="1" t="s">
        <v>0</v>
      </c>
      <c r="E8291" s="2">
        <v>0</v>
      </c>
      <c r="F8291" s="2">
        <v>0</v>
      </c>
      <c r="G8291" s="2">
        <v>0</v>
      </c>
      <c r="H8291" s="1" t="s">
        <v>0</v>
      </c>
      <c r="I8291" s="2">
        <v>0</v>
      </c>
      <c r="J8291" s="1">
        <v>46049.333402777775</v>
      </c>
    </row>
    <row r="8292" spans="1:10" x14ac:dyDescent="0.2">
      <c r="A8292" s="4" t="s">
        <v>1</v>
      </c>
      <c r="B829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92" s="3" t="str">
        <f>HYPERLINK("https://otsuka-europe-crm.veevavault.com/ui/#object/sent_email__v/VBL000000015775", "SE-001401643")</f>
        <v>SE-001401643</v>
      </c>
      <c r="D8292" s="1" t="s">
        <v>0</v>
      </c>
      <c r="E8292" s="2">
        <v>0</v>
      </c>
      <c r="F8292" s="2">
        <v>0</v>
      </c>
      <c r="G8292" s="2">
        <v>0</v>
      </c>
      <c r="H8292" s="1" t="s">
        <v>0</v>
      </c>
      <c r="I8292" s="2">
        <v>0</v>
      </c>
      <c r="J8292" s="1">
        <v>46049.333402777775</v>
      </c>
    </row>
    <row r="8293" spans="1:10" x14ac:dyDescent="0.2">
      <c r="A8293" s="4" t="s">
        <v>1</v>
      </c>
      <c r="B829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93" s="3" t="str">
        <f>HYPERLINK("https://otsuka-europe-crm.veevavault.com/ui/#object/sent_email__v/VBL000000015776", "SE-001401644")</f>
        <v>SE-001401644</v>
      </c>
      <c r="D8293" s="1" t="s">
        <v>0</v>
      </c>
      <c r="E8293" s="2">
        <v>0</v>
      </c>
      <c r="F8293" s="2">
        <v>0</v>
      </c>
      <c r="G8293" s="2">
        <v>0</v>
      </c>
      <c r="H8293" s="1" t="s">
        <v>0</v>
      </c>
      <c r="I8293" s="2">
        <v>0</v>
      </c>
      <c r="J8293" s="1">
        <v>46049.333402777775</v>
      </c>
    </row>
    <row r="8294" spans="1:10" x14ac:dyDescent="0.2">
      <c r="A8294" s="4" t="s">
        <v>1</v>
      </c>
      <c r="B829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94" s="3" t="str">
        <f>HYPERLINK("https://otsuka-europe-crm.veevavault.com/ui/#object/sent_email__v/VBL000000015777", "SE-001401645")</f>
        <v>SE-001401645</v>
      </c>
      <c r="D8294" s="1" t="s">
        <v>0</v>
      </c>
      <c r="E8294" s="2">
        <v>0</v>
      </c>
      <c r="F8294" s="2">
        <v>0</v>
      </c>
      <c r="G8294" s="2">
        <v>0</v>
      </c>
      <c r="H8294" s="1" t="s">
        <v>0</v>
      </c>
      <c r="I8294" s="2">
        <v>0</v>
      </c>
      <c r="J8294" s="1">
        <v>46049.333402777775</v>
      </c>
    </row>
    <row r="8295" spans="1:10" x14ac:dyDescent="0.2">
      <c r="A8295" s="4" t="s">
        <v>1</v>
      </c>
      <c r="B829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95" s="3" t="str">
        <f>HYPERLINK("https://otsuka-europe-crm.veevavault.com/ui/#object/sent_email__v/VBL000000015778", "SE-001401646")</f>
        <v>SE-001401646</v>
      </c>
      <c r="D8295" s="1" t="s">
        <v>0</v>
      </c>
      <c r="E8295" s="2">
        <v>0</v>
      </c>
      <c r="F8295" s="2">
        <v>0</v>
      </c>
      <c r="G8295" s="2">
        <v>0</v>
      </c>
      <c r="H8295" s="1" t="s">
        <v>0</v>
      </c>
      <c r="I8295" s="2">
        <v>0</v>
      </c>
      <c r="J8295" s="1">
        <v>46049.333402777775</v>
      </c>
    </row>
    <row r="8296" spans="1:10" x14ac:dyDescent="0.2">
      <c r="A8296" s="4" t="s">
        <v>1</v>
      </c>
      <c r="B829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96" s="3" t="str">
        <f>HYPERLINK("https://otsuka-europe-crm.veevavault.com/ui/#object/sent_email__v/VBL000000015779", "SE-001401647")</f>
        <v>SE-001401647</v>
      </c>
      <c r="D8296" s="1" t="s">
        <v>0</v>
      </c>
      <c r="E8296" s="2">
        <v>0</v>
      </c>
      <c r="F8296" s="2">
        <v>0</v>
      </c>
      <c r="G8296" s="2">
        <v>0</v>
      </c>
      <c r="H8296" s="1" t="s">
        <v>0</v>
      </c>
      <c r="I8296" s="2">
        <v>0</v>
      </c>
      <c r="J8296" s="1">
        <v>46049.333414351851</v>
      </c>
    </row>
    <row r="8297" spans="1:10" x14ac:dyDescent="0.2">
      <c r="A8297" s="4" t="s">
        <v>1</v>
      </c>
      <c r="B829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97" s="3" t="str">
        <f>HYPERLINK("https://otsuka-europe-crm.veevavault.com/ui/#object/sent_email__v/VBL000000015780", "SE-001401648")</f>
        <v>SE-001401648</v>
      </c>
      <c r="D8297" s="1" t="s">
        <v>0</v>
      </c>
      <c r="E8297" s="2">
        <v>0</v>
      </c>
      <c r="F8297" s="2">
        <v>0</v>
      </c>
      <c r="G8297" s="2">
        <v>0</v>
      </c>
      <c r="H8297" s="1" t="s">
        <v>0</v>
      </c>
      <c r="I8297" s="2">
        <v>0</v>
      </c>
      <c r="J8297" s="1">
        <v>46049.333402777775</v>
      </c>
    </row>
    <row r="8298" spans="1:10" x14ac:dyDescent="0.2">
      <c r="A8298" s="4" t="s">
        <v>1</v>
      </c>
      <c r="B829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98" s="3" t="str">
        <f>HYPERLINK("https://otsuka-europe-crm.veevavault.com/ui/#object/sent_email__v/VBL000000015781", "SE-001401649")</f>
        <v>SE-001401649</v>
      </c>
      <c r="D8298" s="1" t="s">
        <v>0</v>
      </c>
      <c r="E8298" s="2">
        <v>0</v>
      </c>
      <c r="F8298" s="2">
        <v>0</v>
      </c>
      <c r="G8298" s="2">
        <v>0</v>
      </c>
      <c r="H8298" s="1" t="s">
        <v>0</v>
      </c>
      <c r="I8298" s="2">
        <v>0</v>
      </c>
      <c r="J8298" s="1">
        <v>46049.333402777775</v>
      </c>
    </row>
    <row r="8299" spans="1:10" x14ac:dyDescent="0.2">
      <c r="A8299" s="4" t="s">
        <v>1</v>
      </c>
      <c r="B829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299" s="3" t="str">
        <f>HYPERLINK("https://otsuka-europe-crm.veevavault.com/ui/#object/sent_email__v/VBL000000015782", "SE-001401650")</f>
        <v>SE-001401650</v>
      </c>
      <c r="D8299" s="1" t="s">
        <v>0</v>
      </c>
      <c r="E8299" s="2">
        <v>0</v>
      </c>
      <c r="F8299" s="2">
        <v>0</v>
      </c>
      <c r="G8299" s="2">
        <v>0</v>
      </c>
      <c r="H8299" s="1" t="s">
        <v>0</v>
      </c>
      <c r="I8299" s="2">
        <v>0</v>
      </c>
      <c r="J8299" s="1">
        <v>46049.333425925928</v>
      </c>
    </row>
    <row r="8300" spans="1:10" x14ac:dyDescent="0.2">
      <c r="A8300" s="4" t="s">
        <v>1</v>
      </c>
      <c r="B830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00" s="3" t="str">
        <f>HYPERLINK("https://otsuka-europe-crm.veevavault.com/ui/#object/sent_email__v/VBL000000015783", "SE-001401651")</f>
        <v>SE-001401651</v>
      </c>
      <c r="D8300" s="1" t="s">
        <v>0</v>
      </c>
      <c r="E8300" s="2">
        <v>0</v>
      </c>
      <c r="F8300" s="2">
        <v>0</v>
      </c>
      <c r="G8300" s="2">
        <v>0</v>
      </c>
      <c r="H8300" s="1" t="s">
        <v>0</v>
      </c>
      <c r="I8300" s="2">
        <v>0</v>
      </c>
      <c r="J8300" s="1">
        <v>46049.333437499998</v>
      </c>
    </row>
    <row r="8301" spans="1:10" x14ac:dyDescent="0.2">
      <c r="A8301" s="4" t="s">
        <v>1</v>
      </c>
      <c r="B830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01" s="3" t="str">
        <f>HYPERLINK("https://otsuka-europe-crm.veevavault.com/ui/#object/sent_email__v/VBL000000015784", "SE-001401652")</f>
        <v>SE-001401652</v>
      </c>
      <c r="D8301" s="1" t="s">
        <v>0</v>
      </c>
      <c r="E8301" s="2">
        <v>0</v>
      </c>
      <c r="F8301" s="2">
        <v>0</v>
      </c>
      <c r="G8301" s="2">
        <v>0</v>
      </c>
      <c r="H8301" s="1" t="s">
        <v>0</v>
      </c>
      <c r="I8301" s="2">
        <v>0</v>
      </c>
      <c r="J8301" s="1">
        <v>46049.333437499998</v>
      </c>
    </row>
    <row r="8302" spans="1:10" x14ac:dyDescent="0.2">
      <c r="A8302" s="4" t="s">
        <v>1</v>
      </c>
      <c r="B830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02" s="3" t="str">
        <f>HYPERLINK("https://otsuka-europe-crm.veevavault.com/ui/#object/sent_email__v/VBL000000015785", "SE-001401653")</f>
        <v>SE-001401653</v>
      </c>
      <c r="D8302" s="1" t="s">
        <v>0</v>
      </c>
      <c r="E8302" s="2">
        <v>0</v>
      </c>
      <c r="F8302" s="2">
        <v>0</v>
      </c>
      <c r="G8302" s="2">
        <v>0</v>
      </c>
      <c r="H8302" s="1" t="s">
        <v>0</v>
      </c>
      <c r="I8302" s="2">
        <v>0</v>
      </c>
      <c r="J8302" s="1">
        <v>46049.333460648151</v>
      </c>
    </row>
    <row r="8303" spans="1:10" x14ac:dyDescent="0.2">
      <c r="A8303" s="4" t="s">
        <v>1</v>
      </c>
      <c r="B830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03" s="3" t="str">
        <f>HYPERLINK("https://otsuka-europe-crm.veevavault.com/ui/#object/sent_email__v/VBL000000015786", "SE-001401654")</f>
        <v>SE-001401654</v>
      </c>
      <c r="D8303" s="1" t="s">
        <v>0</v>
      </c>
      <c r="E8303" s="2">
        <v>0</v>
      </c>
      <c r="F8303" s="2">
        <v>0</v>
      </c>
      <c r="G8303" s="2">
        <v>0</v>
      </c>
      <c r="H8303" s="1" t="s">
        <v>0</v>
      </c>
      <c r="I8303" s="2">
        <v>0</v>
      </c>
      <c r="J8303" s="1">
        <v>46049.333425925928</v>
      </c>
    </row>
    <row r="8304" spans="1:10" x14ac:dyDescent="0.2">
      <c r="A8304" s="4" t="s">
        <v>1</v>
      </c>
      <c r="B830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04" s="3" t="str">
        <f>HYPERLINK("https://otsuka-europe-crm.veevavault.com/ui/#object/sent_email__v/VBL000000015787", "SE-001401655")</f>
        <v>SE-001401655</v>
      </c>
      <c r="D8304" s="1" t="s">
        <v>0</v>
      </c>
      <c r="E8304" s="2">
        <v>0</v>
      </c>
      <c r="F8304" s="2">
        <v>0</v>
      </c>
      <c r="G8304" s="2">
        <v>0</v>
      </c>
      <c r="H8304" s="1" t="s">
        <v>0</v>
      </c>
      <c r="I8304" s="2">
        <v>0</v>
      </c>
      <c r="J8304" s="1">
        <v>46049.333449074074</v>
      </c>
    </row>
    <row r="8305" spans="1:10" x14ac:dyDescent="0.2">
      <c r="A8305" s="4" t="s">
        <v>1</v>
      </c>
      <c r="B830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05" s="3" t="str">
        <f>HYPERLINK("https://otsuka-europe-crm.veevavault.com/ui/#object/sent_email__v/VBL000000015788", "SE-001401656")</f>
        <v>SE-001401656</v>
      </c>
      <c r="D8305" s="1" t="s">
        <v>0</v>
      </c>
      <c r="E8305" s="2">
        <v>0</v>
      </c>
      <c r="F8305" s="2">
        <v>0</v>
      </c>
      <c r="G8305" s="2">
        <v>0</v>
      </c>
      <c r="H8305" s="1" t="s">
        <v>0</v>
      </c>
      <c r="I8305" s="2">
        <v>0</v>
      </c>
      <c r="J8305" s="1">
        <v>46049.333483796298</v>
      </c>
    </row>
    <row r="8306" spans="1:10" x14ac:dyDescent="0.2">
      <c r="A8306" s="4" t="s">
        <v>1</v>
      </c>
      <c r="B830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06" s="3" t="str">
        <f>HYPERLINK("https://otsuka-europe-crm.veevavault.com/ui/#object/sent_email__v/VBL000000015789", "SE-001401657")</f>
        <v>SE-001401657</v>
      </c>
      <c r="D8306" s="1" t="s">
        <v>0</v>
      </c>
      <c r="E8306" s="2">
        <v>0</v>
      </c>
      <c r="F8306" s="2">
        <v>0</v>
      </c>
      <c r="G8306" s="2">
        <v>0</v>
      </c>
      <c r="H8306" s="1" t="s">
        <v>0</v>
      </c>
      <c r="I8306" s="2">
        <v>0</v>
      </c>
      <c r="J8306" s="1">
        <v>46049.333472222221</v>
      </c>
    </row>
    <row r="8307" spans="1:10" x14ac:dyDescent="0.2">
      <c r="A8307" s="4" t="s">
        <v>1</v>
      </c>
      <c r="B830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07" s="3" t="str">
        <f>HYPERLINK("https://otsuka-europe-crm.veevavault.com/ui/#object/sent_email__v/VBL000000015790", "SE-001401658")</f>
        <v>SE-001401658</v>
      </c>
      <c r="D8307" s="1" t="s">
        <v>0</v>
      </c>
      <c r="E8307" s="2">
        <v>0</v>
      </c>
      <c r="F8307" s="2">
        <v>0</v>
      </c>
      <c r="G8307" s="2">
        <v>0</v>
      </c>
      <c r="H8307" s="1" t="s">
        <v>0</v>
      </c>
      <c r="I8307" s="2">
        <v>0</v>
      </c>
      <c r="J8307" s="1">
        <v>46049.333472222221</v>
      </c>
    </row>
    <row r="8308" spans="1:10" x14ac:dyDescent="0.2">
      <c r="A8308" s="4" t="s">
        <v>1</v>
      </c>
      <c r="B830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08" s="3" t="str">
        <f>HYPERLINK("https://otsuka-europe-crm.veevavault.com/ui/#object/sent_email__v/VBL000000015791", "SE-001401659")</f>
        <v>SE-001401659</v>
      </c>
      <c r="D8308" s="1" t="s">
        <v>0</v>
      </c>
      <c r="E8308" s="2">
        <v>0</v>
      </c>
      <c r="F8308" s="2">
        <v>0</v>
      </c>
      <c r="G8308" s="2">
        <v>0</v>
      </c>
      <c r="H8308" s="1" t="s">
        <v>0</v>
      </c>
      <c r="I8308" s="2">
        <v>0</v>
      </c>
      <c r="J8308" s="1">
        <v>46049.333414351851</v>
      </c>
    </row>
    <row r="8309" spans="1:10" x14ac:dyDescent="0.2">
      <c r="A8309" s="4" t="s">
        <v>1</v>
      </c>
      <c r="B830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09" s="3" t="str">
        <f>HYPERLINK("https://otsuka-europe-crm.veevavault.com/ui/#object/sent_email__v/VBL000000015792", "SE-001401660")</f>
        <v>SE-001401660</v>
      </c>
      <c r="D8309" s="1" t="s">
        <v>0</v>
      </c>
      <c r="E8309" s="2">
        <v>0</v>
      </c>
      <c r="F8309" s="2">
        <v>0</v>
      </c>
      <c r="G8309" s="2">
        <v>0</v>
      </c>
      <c r="H8309" s="1" t="s">
        <v>0</v>
      </c>
      <c r="I8309" s="2">
        <v>0</v>
      </c>
      <c r="J8309" s="1">
        <v>46049.333472222221</v>
      </c>
    </row>
    <row r="8310" spans="1:10" x14ac:dyDescent="0.2">
      <c r="A8310" s="4" t="s">
        <v>1</v>
      </c>
      <c r="B831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10" s="3" t="str">
        <f>HYPERLINK("https://otsuka-europe-crm.veevavault.com/ui/#object/sent_email__v/VBL000000015793", "SE-001401661")</f>
        <v>SE-001401661</v>
      </c>
      <c r="D8310" s="1" t="s">
        <v>0</v>
      </c>
      <c r="E8310" s="2">
        <v>0</v>
      </c>
      <c r="F8310" s="2">
        <v>0</v>
      </c>
      <c r="G8310" s="2">
        <v>0</v>
      </c>
      <c r="H8310" s="1" t="s">
        <v>0</v>
      </c>
      <c r="I8310" s="2">
        <v>0</v>
      </c>
      <c r="J8310" s="1">
        <v>46049.333472222221</v>
      </c>
    </row>
    <row r="8311" spans="1:10" x14ac:dyDescent="0.2">
      <c r="A8311" s="4" t="s">
        <v>1</v>
      </c>
      <c r="B831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11" s="3" t="str">
        <f>HYPERLINK("https://otsuka-europe-crm.veevavault.com/ui/#object/sent_email__v/VBL000000015794", "SE-001401662")</f>
        <v>SE-001401662</v>
      </c>
      <c r="D8311" s="1" t="s">
        <v>0</v>
      </c>
      <c r="E8311" s="2">
        <v>0</v>
      </c>
      <c r="F8311" s="2">
        <v>0</v>
      </c>
      <c r="G8311" s="2">
        <v>0</v>
      </c>
      <c r="H8311" s="1" t="s">
        <v>0</v>
      </c>
      <c r="I8311" s="2">
        <v>0</v>
      </c>
      <c r="J8311" s="1">
        <v>46049.333460648151</v>
      </c>
    </row>
    <row r="8312" spans="1:10" x14ac:dyDescent="0.2">
      <c r="A8312" s="4" t="s">
        <v>1</v>
      </c>
      <c r="B831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12" s="3" t="str">
        <f>HYPERLINK("https://otsuka-europe-crm.veevavault.com/ui/#object/sent_email__v/VBL000000015795", "SE-001401663")</f>
        <v>SE-001401663</v>
      </c>
      <c r="D8312" s="1" t="s">
        <v>0</v>
      </c>
      <c r="E8312" s="2">
        <v>0</v>
      </c>
      <c r="F8312" s="2">
        <v>0</v>
      </c>
      <c r="G8312" s="2">
        <v>0</v>
      </c>
      <c r="H8312" s="1" t="s">
        <v>0</v>
      </c>
      <c r="I8312" s="2">
        <v>0</v>
      </c>
      <c r="J8312" s="1">
        <v>46049.333472222221</v>
      </c>
    </row>
    <row r="8313" spans="1:10" x14ac:dyDescent="0.2">
      <c r="A8313" s="4" t="s">
        <v>1</v>
      </c>
      <c r="B831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13" s="3" t="str">
        <f>HYPERLINK("https://otsuka-europe-crm.veevavault.com/ui/#object/sent_email__v/VBL000000015796", "SE-001401664")</f>
        <v>SE-001401664</v>
      </c>
      <c r="D8313" s="1" t="s">
        <v>0</v>
      </c>
      <c r="E8313" s="2">
        <v>0</v>
      </c>
      <c r="F8313" s="2">
        <v>0</v>
      </c>
      <c r="G8313" s="2">
        <v>0</v>
      </c>
      <c r="H8313" s="1" t="s">
        <v>0</v>
      </c>
      <c r="I8313" s="2">
        <v>0</v>
      </c>
      <c r="J8313" s="1">
        <v>46049.333472222221</v>
      </c>
    </row>
    <row r="8314" spans="1:10" x14ac:dyDescent="0.2">
      <c r="A8314" s="4" t="s">
        <v>1</v>
      </c>
      <c r="B831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14" s="3" t="str">
        <f>HYPERLINK("https://otsuka-europe-crm.veevavault.com/ui/#object/sent_email__v/VBL000000015797", "SE-001401665")</f>
        <v>SE-001401665</v>
      </c>
      <c r="D8314" s="1" t="s">
        <v>0</v>
      </c>
      <c r="E8314" s="2">
        <v>0</v>
      </c>
      <c r="F8314" s="2">
        <v>0</v>
      </c>
      <c r="G8314" s="2">
        <v>0</v>
      </c>
      <c r="H8314" s="1" t="s">
        <v>0</v>
      </c>
      <c r="I8314" s="2">
        <v>0</v>
      </c>
      <c r="J8314" s="1">
        <v>46049.333472222221</v>
      </c>
    </row>
    <row r="8315" spans="1:10" x14ac:dyDescent="0.2">
      <c r="A8315" s="4" t="s">
        <v>1</v>
      </c>
      <c r="B831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15" s="3" t="str">
        <f>HYPERLINK("https://otsuka-europe-crm.veevavault.com/ui/#object/sent_email__v/VBL000000015798", "SE-001401666")</f>
        <v>SE-001401666</v>
      </c>
      <c r="D8315" s="1" t="s">
        <v>0</v>
      </c>
      <c r="E8315" s="2">
        <v>0</v>
      </c>
      <c r="F8315" s="2">
        <v>0</v>
      </c>
      <c r="G8315" s="2">
        <v>0</v>
      </c>
      <c r="H8315" s="1" t="s">
        <v>0</v>
      </c>
      <c r="I8315" s="2">
        <v>0</v>
      </c>
      <c r="J8315" s="1">
        <v>46049.333472222221</v>
      </c>
    </row>
    <row r="8316" spans="1:10" x14ac:dyDescent="0.2">
      <c r="A8316" s="4" t="s">
        <v>1</v>
      </c>
      <c r="B831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16" s="3" t="str">
        <f>HYPERLINK("https://otsuka-europe-crm.veevavault.com/ui/#object/sent_email__v/VBL000000015799", "SE-001401667")</f>
        <v>SE-001401667</v>
      </c>
      <c r="D8316" s="1" t="s">
        <v>0</v>
      </c>
      <c r="E8316" s="2">
        <v>0</v>
      </c>
      <c r="F8316" s="2">
        <v>0</v>
      </c>
      <c r="G8316" s="2">
        <v>0</v>
      </c>
      <c r="H8316" s="1" t="s">
        <v>0</v>
      </c>
      <c r="I8316" s="2">
        <v>0</v>
      </c>
      <c r="J8316" s="1">
        <v>46049.333460648151</v>
      </c>
    </row>
    <row r="8317" spans="1:10" x14ac:dyDescent="0.2">
      <c r="A8317" s="4" t="s">
        <v>1</v>
      </c>
      <c r="B831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17" s="3" t="str">
        <f>HYPERLINK("https://otsuka-europe-crm.veevavault.com/ui/#object/sent_email__v/VBL000000015800", "SE-001401668")</f>
        <v>SE-001401668</v>
      </c>
      <c r="D8317" s="1" t="s">
        <v>0</v>
      </c>
      <c r="E8317" s="2">
        <v>0</v>
      </c>
      <c r="F8317" s="2">
        <v>0</v>
      </c>
      <c r="G8317" s="2">
        <v>0</v>
      </c>
      <c r="H8317" s="1" t="s">
        <v>0</v>
      </c>
      <c r="I8317" s="2">
        <v>0</v>
      </c>
      <c r="J8317" s="1">
        <v>46049.333472222221</v>
      </c>
    </row>
    <row r="8318" spans="1:10" x14ac:dyDescent="0.2">
      <c r="A8318" s="4" t="s">
        <v>1</v>
      </c>
      <c r="B831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18" s="3" t="str">
        <f>HYPERLINK("https://otsuka-europe-crm.veevavault.com/ui/#object/sent_email__v/VBL000000015801", "SE-001401669")</f>
        <v>SE-001401669</v>
      </c>
      <c r="D8318" s="1" t="s">
        <v>0</v>
      </c>
      <c r="E8318" s="2">
        <v>0</v>
      </c>
      <c r="F8318" s="2">
        <v>0</v>
      </c>
      <c r="G8318" s="2">
        <v>0</v>
      </c>
      <c r="H8318" s="1" t="s">
        <v>0</v>
      </c>
      <c r="I8318" s="2">
        <v>0</v>
      </c>
      <c r="J8318" s="1">
        <v>46049.333425925928</v>
      </c>
    </row>
    <row r="8319" spans="1:10" x14ac:dyDescent="0.2">
      <c r="A8319" s="4" t="s">
        <v>1</v>
      </c>
      <c r="B831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19" s="3" t="str">
        <f>HYPERLINK("https://otsuka-europe-crm.veevavault.com/ui/#object/sent_email__v/VBL000000015802", "SE-001401670")</f>
        <v>SE-001401670</v>
      </c>
      <c r="D8319" s="1" t="s">
        <v>0</v>
      </c>
      <c r="E8319" s="2">
        <v>0</v>
      </c>
      <c r="F8319" s="2">
        <v>0</v>
      </c>
      <c r="G8319" s="2">
        <v>0</v>
      </c>
      <c r="H8319" s="1" t="s">
        <v>0</v>
      </c>
      <c r="I8319" s="2">
        <v>0</v>
      </c>
      <c r="J8319" s="1">
        <v>46049.333483796298</v>
      </c>
    </row>
    <row r="8320" spans="1:10" x14ac:dyDescent="0.2">
      <c r="A8320" s="4" t="s">
        <v>1</v>
      </c>
      <c r="B832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20" s="3" t="str">
        <f>HYPERLINK("https://otsuka-europe-crm.veevavault.com/ui/#object/sent_email__v/VBL000000015803", "SE-001401671")</f>
        <v>SE-001401671</v>
      </c>
      <c r="D8320" s="1" t="s">
        <v>0</v>
      </c>
      <c r="E8320" s="2">
        <v>0</v>
      </c>
      <c r="F8320" s="2">
        <v>0</v>
      </c>
      <c r="G8320" s="2">
        <v>0</v>
      </c>
      <c r="H8320" s="1" t="s">
        <v>0</v>
      </c>
      <c r="I8320" s="2">
        <v>0</v>
      </c>
      <c r="J8320" s="1">
        <v>46049.333472222221</v>
      </c>
    </row>
    <row r="8321" spans="1:10" x14ac:dyDescent="0.2">
      <c r="A8321" s="4" t="s">
        <v>1</v>
      </c>
      <c r="B832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21" s="3" t="str">
        <f>HYPERLINK("https://otsuka-europe-crm.veevavault.com/ui/#object/sent_email__v/VBL000000015804", "SE-001401672")</f>
        <v>SE-001401672</v>
      </c>
      <c r="D8321" s="1" t="s">
        <v>0</v>
      </c>
      <c r="E8321" s="2">
        <v>0</v>
      </c>
      <c r="F8321" s="2">
        <v>0</v>
      </c>
      <c r="G8321" s="2">
        <v>0</v>
      </c>
      <c r="H8321" s="1" t="s">
        <v>0</v>
      </c>
      <c r="I8321" s="2">
        <v>0</v>
      </c>
      <c r="J8321" s="1">
        <v>46049.333437499998</v>
      </c>
    </row>
    <row r="8322" spans="1:10" x14ac:dyDescent="0.2">
      <c r="A8322" s="4" t="s">
        <v>1</v>
      </c>
      <c r="B832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22" s="3" t="str">
        <f>HYPERLINK("https://otsuka-europe-crm.veevavault.com/ui/#object/sent_email__v/VBL000000015805", "SE-001401673")</f>
        <v>SE-001401673</v>
      </c>
      <c r="D8322" s="1" t="s">
        <v>0</v>
      </c>
      <c r="E8322" s="2">
        <v>0</v>
      </c>
      <c r="F8322" s="2">
        <v>0</v>
      </c>
      <c r="G8322" s="2">
        <v>0</v>
      </c>
      <c r="H8322" s="1" t="s">
        <v>0</v>
      </c>
      <c r="I8322" s="2">
        <v>0</v>
      </c>
      <c r="J8322" s="1">
        <v>46049.333483796298</v>
      </c>
    </row>
    <row r="8323" spans="1:10" x14ac:dyDescent="0.2">
      <c r="A8323" s="4" t="s">
        <v>1</v>
      </c>
      <c r="B832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23" s="3" t="str">
        <f>HYPERLINK("https://otsuka-europe-crm.veevavault.com/ui/#object/sent_email__v/VBL00000001A065", "SE-001402393")</f>
        <v>SE-001402393</v>
      </c>
      <c r="D8323" s="1" t="s">
        <v>0</v>
      </c>
      <c r="E8323" s="2">
        <v>0</v>
      </c>
      <c r="F8323" s="2">
        <v>0</v>
      </c>
      <c r="G8323" s="2">
        <v>0</v>
      </c>
      <c r="H8323" s="1" t="s">
        <v>0</v>
      </c>
      <c r="I8323" s="2">
        <v>0</v>
      </c>
      <c r="J8323" s="1">
        <v>46055.728993055556</v>
      </c>
    </row>
    <row r="8324" spans="1:10" x14ac:dyDescent="0.2">
      <c r="A8324" s="4" t="s">
        <v>1</v>
      </c>
      <c r="B832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24" s="3" t="str">
        <f>HYPERLINK("https://otsuka-europe-crm.veevavault.com/ui/#object/sent_email__v/VBL00000001A069", "SE-001402398")</f>
        <v>SE-001402398</v>
      </c>
      <c r="D8324" s="1" t="s">
        <v>0</v>
      </c>
      <c r="E8324" s="2">
        <v>0</v>
      </c>
      <c r="F8324" s="2">
        <v>0</v>
      </c>
      <c r="G8324" s="2">
        <v>0</v>
      </c>
      <c r="H8324" s="1" t="s">
        <v>0</v>
      </c>
      <c r="I8324" s="2">
        <v>0</v>
      </c>
      <c r="J8324" s="1">
        <v>46055.735266203701</v>
      </c>
    </row>
    <row r="8325" spans="1:10" x14ac:dyDescent="0.2">
      <c r="A8325" s="4" t="s">
        <v>1</v>
      </c>
      <c r="B832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25" s="3" t="str">
        <f>HYPERLINK("https://otsuka-europe-crm.veevavault.com/ui/#object/sent_email__v/VBL00000001A133", "SE-001402646")</f>
        <v>SE-001402646</v>
      </c>
      <c r="D8325" s="1">
        <v>46058.810358796298</v>
      </c>
      <c r="E8325" s="2">
        <v>1</v>
      </c>
      <c r="F8325" s="2">
        <v>1</v>
      </c>
      <c r="G8325" s="2">
        <v>0</v>
      </c>
      <c r="H8325" s="1" t="s">
        <v>0</v>
      </c>
      <c r="I8325" s="2">
        <v>0</v>
      </c>
      <c r="J8325" s="1">
        <v>46057.485995370371</v>
      </c>
    </row>
    <row r="8326" spans="1:10" x14ac:dyDescent="0.2">
      <c r="A8326" s="4" t="s">
        <v>1</v>
      </c>
      <c r="B832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26" s="3" t="str">
        <f>HYPERLINK("https://otsuka-europe-crm.veevavault.com/ui/#object/sent_email__v/VBL00000001A134", "SE-001402647")</f>
        <v>SE-001402647</v>
      </c>
      <c r="D8326" s="1" t="s">
        <v>0</v>
      </c>
      <c r="E8326" s="2">
        <v>0</v>
      </c>
      <c r="F8326" s="2">
        <v>0</v>
      </c>
      <c r="G8326" s="2">
        <v>0</v>
      </c>
      <c r="H8326" s="1" t="s">
        <v>0</v>
      </c>
      <c r="I8326" s="2">
        <v>0</v>
      </c>
      <c r="J8326" s="1">
        <v>46057.486168981479</v>
      </c>
    </row>
    <row r="8327" spans="1:10" x14ac:dyDescent="0.2">
      <c r="A8327" s="4" t="s">
        <v>1</v>
      </c>
      <c r="B832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27" s="3" t="str">
        <f>HYPERLINK("https://otsuka-europe-crm.veevavault.com/ui/#object/sent_email__v/VBL00000001A135", "SE-001402648")</f>
        <v>SE-001402648</v>
      </c>
      <c r="D8327" s="1" t="s">
        <v>0</v>
      </c>
      <c r="E8327" s="2">
        <v>0</v>
      </c>
      <c r="F8327" s="2">
        <v>0</v>
      </c>
      <c r="G8327" s="2">
        <v>0</v>
      </c>
      <c r="H8327" s="1" t="s">
        <v>0</v>
      </c>
      <c r="I8327" s="2">
        <v>0</v>
      </c>
      <c r="J8327" s="1">
        <v>46057.486342592594</v>
      </c>
    </row>
    <row r="8328" spans="1:10" x14ac:dyDescent="0.2">
      <c r="A8328" s="4" t="s">
        <v>1</v>
      </c>
      <c r="B832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28" s="3" t="str">
        <f>HYPERLINK("https://otsuka-europe-crm.veevavault.com/ui/#object/sent_email__v/VBL00000001A136", "SE-001402649")</f>
        <v>SE-001402649</v>
      </c>
      <c r="D8328" s="1">
        <v>46057.501701388886</v>
      </c>
      <c r="E8328" s="2">
        <v>1</v>
      </c>
      <c r="F8328" s="2">
        <v>1</v>
      </c>
      <c r="G8328" s="2">
        <v>0</v>
      </c>
      <c r="H8328" s="1" t="s">
        <v>0</v>
      </c>
      <c r="I8328" s="2">
        <v>0</v>
      </c>
      <c r="J8328" s="1">
        <v>46057.486504629633</v>
      </c>
    </row>
    <row r="8329" spans="1:10" x14ac:dyDescent="0.2">
      <c r="A8329" s="4" t="s">
        <v>1</v>
      </c>
      <c r="B832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29" s="3" t="str">
        <f>HYPERLINK("https://otsuka-europe-crm.veevavault.com/ui/#object/sent_email__v/VBL00000001A137", "SE-001402650")</f>
        <v>SE-001402650</v>
      </c>
      <c r="D8329" s="1">
        <v>46064.424409722225</v>
      </c>
      <c r="E8329" s="2">
        <v>1</v>
      </c>
      <c r="F8329" s="2">
        <v>2</v>
      </c>
      <c r="G8329" s="2">
        <v>0</v>
      </c>
      <c r="H8329" s="1" t="s">
        <v>0</v>
      </c>
      <c r="I8329" s="2">
        <v>0</v>
      </c>
      <c r="J8329" s="1">
        <v>46057.486689814818</v>
      </c>
    </row>
    <row r="8330" spans="1:10" x14ac:dyDescent="0.2">
      <c r="A8330" s="4" t="s">
        <v>1</v>
      </c>
      <c r="B833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30" s="3" t="str">
        <f>HYPERLINK("https://otsuka-europe-crm.veevavault.com/ui/#object/sent_email__v/VBL00000001A138", "SE-001402651")</f>
        <v>SE-001402651</v>
      </c>
      <c r="D8330" s="1" t="s">
        <v>0</v>
      </c>
      <c r="E8330" s="2">
        <v>0</v>
      </c>
      <c r="F8330" s="2">
        <v>0</v>
      </c>
      <c r="G8330" s="2">
        <v>0</v>
      </c>
      <c r="H8330" s="1" t="s">
        <v>0</v>
      </c>
      <c r="I8330" s="2">
        <v>0</v>
      </c>
      <c r="J8330" s="1">
        <v>46057.486851851849</v>
      </c>
    </row>
    <row r="8331" spans="1:10" x14ac:dyDescent="0.2">
      <c r="A8331" s="4" t="s">
        <v>1</v>
      </c>
      <c r="B833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31" s="3" t="str">
        <f>HYPERLINK("https://otsuka-europe-crm.veevavault.com/ui/#object/sent_email__v/VBL00000001A139", "SE-001402652")</f>
        <v>SE-001402652</v>
      </c>
      <c r="D8331" s="1" t="s">
        <v>0</v>
      </c>
      <c r="E8331" s="2">
        <v>0</v>
      </c>
      <c r="F8331" s="2">
        <v>0</v>
      </c>
      <c r="G8331" s="2">
        <v>0</v>
      </c>
      <c r="H8331" s="1" t="s">
        <v>0</v>
      </c>
      <c r="I8331" s="2">
        <v>0</v>
      </c>
      <c r="J8331" s="1">
        <v>46057.487013888887</v>
      </c>
    </row>
    <row r="8332" spans="1:10" x14ac:dyDescent="0.2">
      <c r="A8332" s="4" t="s">
        <v>1</v>
      </c>
      <c r="B8332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32" s="3" t="str">
        <f>HYPERLINK("https://otsuka-europe-crm.veevavault.com/ui/#object/sent_email__v/VBL00000001A140", "SE-001402653")</f>
        <v>SE-001402653</v>
      </c>
      <c r="D8332" s="1">
        <v>46057.544895833336</v>
      </c>
      <c r="E8332" s="2">
        <v>1</v>
      </c>
      <c r="F8332" s="2">
        <v>1</v>
      </c>
      <c r="G8332" s="2">
        <v>0</v>
      </c>
      <c r="H8332" s="1" t="s">
        <v>0</v>
      </c>
      <c r="I8332" s="2">
        <v>0</v>
      </c>
      <c r="J8332" s="1">
        <v>46057.487199074072</v>
      </c>
    </row>
    <row r="8333" spans="1:10" x14ac:dyDescent="0.2">
      <c r="A8333" s="4" t="s">
        <v>1</v>
      </c>
      <c r="B8333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33" s="3" t="str">
        <f>HYPERLINK("https://otsuka-europe-crm.veevavault.com/ui/#object/sent_email__v/VBL00000001A141", "SE-001402654")</f>
        <v>SE-001402654</v>
      </c>
      <c r="D8333" s="1">
        <v>46057.501770833333</v>
      </c>
      <c r="E8333" s="2">
        <v>1</v>
      </c>
      <c r="F8333" s="2">
        <v>1</v>
      </c>
      <c r="G8333" s="2">
        <v>0</v>
      </c>
      <c r="H8333" s="1" t="s">
        <v>0</v>
      </c>
      <c r="I8333" s="2">
        <v>0</v>
      </c>
      <c r="J8333" s="1">
        <v>46057.487349537034</v>
      </c>
    </row>
    <row r="8334" spans="1:10" x14ac:dyDescent="0.2">
      <c r="A8334" s="4" t="s">
        <v>1</v>
      </c>
      <c r="B8334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34" s="3" t="str">
        <f>HYPERLINK("https://otsuka-europe-crm.veevavault.com/ui/#object/sent_email__v/VBL00000001A142", "SE-001402655")</f>
        <v>SE-001402655</v>
      </c>
      <c r="D8334" s="1">
        <v>46057.622569444444</v>
      </c>
      <c r="E8334" s="2">
        <v>1</v>
      </c>
      <c r="F8334" s="2">
        <v>1</v>
      </c>
      <c r="G8334" s="2">
        <v>0</v>
      </c>
      <c r="H8334" s="1" t="s">
        <v>0</v>
      </c>
      <c r="I8334" s="2">
        <v>0</v>
      </c>
      <c r="J8334" s="1">
        <v>46057.487534722219</v>
      </c>
    </row>
    <row r="8335" spans="1:10" x14ac:dyDescent="0.2">
      <c r="A8335" s="4" t="s">
        <v>1</v>
      </c>
      <c r="B8335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35" s="3" t="str">
        <f>HYPERLINK("https://otsuka-europe-crm.veevavault.com/ui/#object/sent_email__v/VBL00000001A143", "SE-001402656")</f>
        <v>SE-001402656</v>
      </c>
      <c r="D8335" s="1" t="s">
        <v>0</v>
      </c>
      <c r="E8335" s="2">
        <v>0</v>
      </c>
      <c r="F8335" s="2">
        <v>0</v>
      </c>
      <c r="G8335" s="2">
        <v>0</v>
      </c>
      <c r="H8335" s="1" t="s">
        <v>0</v>
      </c>
      <c r="I8335" s="2">
        <v>0</v>
      </c>
      <c r="J8335" s="1">
        <v>46057.487685185188</v>
      </c>
    </row>
    <row r="8336" spans="1:10" x14ac:dyDescent="0.2">
      <c r="A8336" s="4" t="s">
        <v>1</v>
      </c>
      <c r="B8336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36" s="3" t="str">
        <f>HYPERLINK("https://otsuka-europe-crm.veevavault.com/ui/#object/sent_email__v/VBL00000001A144", "SE-001402657")</f>
        <v>SE-001402657</v>
      </c>
      <c r="D8336" s="1">
        <v>46071.607858796298</v>
      </c>
      <c r="E8336" s="2">
        <v>1</v>
      </c>
      <c r="F8336" s="2">
        <v>4</v>
      </c>
      <c r="G8336" s="2">
        <v>0</v>
      </c>
      <c r="H8336" s="1" t="s">
        <v>0</v>
      </c>
      <c r="I8336" s="2">
        <v>0</v>
      </c>
      <c r="J8336" s="1">
        <v>46057.487881944442</v>
      </c>
    </row>
    <row r="8337" spans="1:10" x14ac:dyDescent="0.2">
      <c r="A8337" s="4" t="s">
        <v>1</v>
      </c>
      <c r="B8337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37" s="3" t="str">
        <f>HYPERLINK("https://otsuka-europe-crm.veevavault.com/ui/#object/sent_email__v/VBL00000001A145", "SE-001402658")</f>
        <v>SE-001402658</v>
      </c>
      <c r="D8337" s="1">
        <v>46057.636956018519</v>
      </c>
      <c r="E8337" s="2">
        <v>1</v>
      </c>
      <c r="F8337" s="2">
        <v>1</v>
      </c>
      <c r="G8337" s="2">
        <v>0</v>
      </c>
      <c r="H8337" s="1" t="s">
        <v>0</v>
      </c>
      <c r="I8337" s="2">
        <v>0</v>
      </c>
      <c r="J8337" s="1">
        <v>46057.488125000003</v>
      </c>
    </row>
    <row r="8338" spans="1:10" x14ac:dyDescent="0.2">
      <c r="A8338" s="4" t="s">
        <v>1</v>
      </c>
      <c r="B8338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38" s="3" t="str">
        <f>HYPERLINK("https://otsuka-europe-crm.veevavault.com/ui/#object/sent_email__v/VBL00000001A146", "SE-001402659")</f>
        <v>SE-001402659</v>
      </c>
      <c r="D8338" s="1">
        <v>46057.488506944443</v>
      </c>
      <c r="E8338" s="2">
        <v>1</v>
      </c>
      <c r="F8338" s="2">
        <v>1</v>
      </c>
      <c r="G8338" s="2">
        <v>0</v>
      </c>
      <c r="H8338" s="1" t="s">
        <v>0</v>
      </c>
      <c r="I8338" s="2">
        <v>0</v>
      </c>
      <c r="J8338" s="1">
        <v>46057.488379629627</v>
      </c>
    </row>
    <row r="8339" spans="1:10" x14ac:dyDescent="0.2">
      <c r="A8339" s="4" t="s">
        <v>1</v>
      </c>
      <c r="B8339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39" s="3" t="str">
        <f>HYPERLINK("https://otsuka-europe-crm.veevavault.com/ui/#object/sent_email__v/VBL00000001A147", "SE-001402660")</f>
        <v>SE-001402660</v>
      </c>
      <c r="D8339" s="1" t="s">
        <v>0</v>
      </c>
      <c r="E8339" s="2">
        <v>0</v>
      </c>
      <c r="F8339" s="2">
        <v>0</v>
      </c>
      <c r="G8339" s="2">
        <v>0</v>
      </c>
      <c r="H8339" s="1" t="s">
        <v>0</v>
      </c>
      <c r="I8339" s="2">
        <v>0</v>
      </c>
      <c r="J8339" s="1">
        <v>46057.488622685189</v>
      </c>
    </row>
    <row r="8340" spans="1:10" x14ac:dyDescent="0.2">
      <c r="A8340" s="4" t="s">
        <v>1</v>
      </c>
      <c r="B8340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40" s="3" t="str">
        <f>HYPERLINK("https://otsuka-europe-crm.veevavault.com/ui/#object/sent_email__v/VBL00000001A148", "SE-001402661")</f>
        <v>SE-001402661</v>
      </c>
      <c r="D8340" s="1">
        <v>46057.498865740738</v>
      </c>
      <c r="E8340" s="2">
        <v>1</v>
      </c>
      <c r="F8340" s="2">
        <v>1</v>
      </c>
      <c r="G8340" s="2">
        <v>0</v>
      </c>
      <c r="H8340" s="1" t="s">
        <v>0</v>
      </c>
      <c r="I8340" s="2">
        <v>0</v>
      </c>
      <c r="J8340" s="1">
        <v>46057.488888888889</v>
      </c>
    </row>
    <row r="8341" spans="1:10" x14ac:dyDescent="0.2">
      <c r="A8341" s="4" t="s">
        <v>1</v>
      </c>
      <c r="B8341" s="3" t="str">
        <f>HYPERLINK("https://otsuka-europe-crm.veevavault.com/ui/#object/approved_document__v/V5O00000000L002", "INA - 3r episodio Nosquedamosencasa - El rol del equipo asistencial")</f>
        <v>INA - 3r episodio Nosquedamosencasa - El rol del equipo asistencial</v>
      </c>
      <c r="C8341" s="3" t="str">
        <f>HYPERLINK("https://otsuka-europe-crm.veevavault.com/ui/#object/sent_email__v/VBL00000001A149", "SE-001402662")</f>
        <v>SE-001402662</v>
      </c>
      <c r="D8341" s="1">
        <v>46057.502418981479</v>
      </c>
      <c r="E8341" s="2">
        <v>1</v>
      </c>
      <c r="F8341" s="2">
        <v>1</v>
      </c>
      <c r="G8341" s="2">
        <v>0</v>
      </c>
      <c r="H8341" s="1" t="s">
        <v>0</v>
      </c>
      <c r="I8341" s="2">
        <v>0</v>
      </c>
      <c r="J8341" s="1">
        <v>46057.489131944443</v>
      </c>
    </row>
    <row r="8342" spans="1:10" x14ac:dyDescent="0.2">
      <c r="A8342" s="4" t="s">
        <v>1</v>
      </c>
      <c r="B8342" s="3" t="str">
        <f>HYPERLINK("https://otsuka-europe-crm.veevavault.com/ui/#object/approved_document__v/V5O000000004001", "INA - CC Neutropenia en varón de 75 años Dra. Gil")</f>
        <v>INA - CC Neutropenia en varón de 75 años Dra. Gil</v>
      </c>
      <c r="C8342" s="3" t="str">
        <f>HYPERLINK("https://otsuka-europe-crm.veevavault.com/ui/#object/sent_email__v/VBL000000005386", "SE-001380269")</f>
        <v>SE-001380269</v>
      </c>
      <c r="D8342" s="1">
        <v>45964.414849537039</v>
      </c>
      <c r="E8342" s="2">
        <v>1</v>
      </c>
      <c r="F8342" s="2">
        <v>9</v>
      </c>
      <c r="G8342" s="2">
        <v>1</v>
      </c>
      <c r="H8342" s="1">
        <v>45964.4140162037</v>
      </c>
      <c r="I8342" s="2">
        <v>2</v>
      </c>
      <c r="J8342" s="1">
        <v>45964.411851851852</v>
      </c>
    </row>
    <row r="8343" spans="1:10" x14ac:dyDescent="0.2">
      <c r="A8343" s="4" t="s">
        <v>1</v>
      </c>
      <c r="B8343" s="3" t="str">
        <f>HYPERLINK("https://otsuka-europe-crm.veevavault.com/ui/#object/approved_document__v/V5O000000004012", "INA - CC Neutropenia en varón de 75 años Dra. Gil")</f>
        <v>INA - CC Neutropenia en varón de 75 años Dra. Gil</v>
      </c>
      <c r="C8343" s="3" t="str">
        <f>HYPERLINK("https://otsuka-europe-crm.veevavault.com/ui/#object/sent_email__v/VBL000000004281", "SE-001380536")</f>
        <v>SE-001380536</v>
      </c>
      <c r="D8343" s="1">
        <v>45965.36577546296</v>
      </c>
      <c r="E8343" s="2">
        <v>1</v>
      </c>
      <c r="F8343" s="2">
        <v>1</v>
      </c>
      <c r="G8343" s="2">
        <v>0</v>
      </c>
      <c r="H8343" s="1" t="s">
        <v>0</v>
      </c>
      <c r="I8343" s="2">
        <v>0</v>
      </c>
      <c r="J8343" s="1">
        <v>45965.321180555555</v>
      </c>
    </row>
    <row r="8344" spans="1:10" x14ac:dyDescent="0.2">
      <c r="A8344" s="4" t="s">
        <v>1</v>
      </c>
      <c r="B8344" s="3" t="str">
        <f>HYPERLINK("https://otsuka-europe-crm.veevavault.com/ui/#object/approved_document__v/V5O000000004003", "INA - CC Paciente vulnerable con LMA TP53 Dra. Tormo")</f>
        <v>INA - CC Paciente vulnerable con LMA TP53 Dra. Tormo</v>
      </c>
      <c r="C8344" s="3" t="str">
        <f>HYPERLINK("https://otsuka-europe-crm.veevavault.com/ui/#object/sent_email__v/VBL000000004209", "SE-001380268")</f>
        <v>SE-001380268</v>
      </c>
      <c r="D8344" s="1">
        <v>45964.801423611112</v>
      </c>
      <c r="E8344" s="2">
        <v>1</v>
      </c>
      <c r="F8344" s="2">
        <v>14</v>
      </c>
      <c r="G8344" s="2">
        <v>1</v>
      </c>
      <c r="H8344" s="1">
        <v>45964.414479166669</v>
      </c>
      <c r="I8344" s="2">
        <v>8</v>
      </c>
      <c r="J8344" s="1">
        <v>45964.411539351851</v>
      </c>
    </row>
    <row r="8345" spans="1:10" x14ac:dyDescent="0.2">
      <c r="A8345" s="4" t="s">
        <v>1</v>
      </c>
      <c r="B8345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45" s="3" t="str">
        <f>HYPERLINK("https://otsuka-europe-crm.veevavault.com/ui/#object/sent_email__v/VBL000000005646", "SE-001380537")</f>
        <v>SE-001380537</v>
      </c>
      <c r="D8345" s="1">
        <v>45965.361932870372</v>
      </c>
      <c r="E8345" s="2">
        <v>1</v>
      </c>
      <c r="F8345" s="2">
        <v>1</v>
      </c>
      <c r="G8345" s="2">
        <v>1</v>
      </c>
      <c r="H8345" s="1">
        <v>45965.362534722219</v>
      </c>
      <c r="I8345" s="2">
        <v>3</v>
      </c>
      <c r="J8345" s="1">
        <v>45965.321180555555</v>
      </c>
    </row>
    <row r="8346" spans="1:10" x14ac:dyDescent="0.2">
      <c r="A8346" s="4" t="s">
        <v>1</v>
      </c>
      <c r="B8346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46" s="3" t="str">
        <f>HYPERLINK("https://otsuka-europe-crm.veevavault.com/ui/#object/sent_email__v/VBL000000013827", "SE-001399417")</f>
        <v>SE-001399417</v>
      </c>
      <c r="D8346" s="1">
        <v>46030.920706018522</v>
      </c>
      <c r="E8346" s="2">
        <v>1</v>
      </c>
      <c r="F8346" s="2">
        <v>1</v>
      </c>
      <c r="G8346" s="2">
        <v>0</v>
      </c>
      <c r="H8346" s="1" t="s">
        <v>0</v>
      </c>
      <c r="I8346" s="2">
        <v>0</v>
      </c>
      <c r="J8346" s="1">
        <v>46030.407824074071</v>
      </c>
    </row>
    <row r="8347" spans="1:10" x14ac:dyDescent="0.2">
      <c r="A8347" s="4" t="s">
        <v>1</v>
      </c>
      <c r="B8347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47" s="3" t="str">
        <f>HYPERLINK("https://otsuka-europe-crm.veevavault.com/ui/#object/sent_email__v/VBL000000016315", "SE-001400541")</f>
        <v>SE-001400541</v>
      </c>
      <c r="D8347" s="1" t="s">
        <v>0</v>
      </c>
      <c r="E8347" s="2">
        <v>0</v>
      </c>
      <c r="F8347" s="2">
        <v>0</v>
      </c>
      <c r="G8347" s="2">
        <v>0</v>
      </c>
      <c r="H8347" s="1" t="s">
        <v>0</v>
      </c>
      <c r="I8347" s="2">
        <v>0</v>
      </c>
      <c r="J8347" s="1">
        <v>46043.429016203707</v>
      </c>
    </row>
    <row r="8348" spans="1:10" x14ac:dyDescent="0.2">
      <c r="A8348" s="4" t="s">
        <v>1</v>
      </c>
      <c r="B8348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48" s="3" t="str">
        <f>HYPERLINK("https://otsuka-europe-crm.veevavault.com/ui/#object/sent_email__v/VBL000000016316", "SE-001400542")</f>
        <v>SE-001400542</v>
      </c>
      <c r="D8348" s="1" t="s">
        <v>0</v>
      </c>
      <c r="E8348" s="2">
        <v>0</v>
      </c>
      <c r="F8348" s="2">
        <v>0</v>
      </c>
      <c r="G8348" s="2">
        <v>0</v>
      </c>
      <c r="H8348" s="1" t="s">
        <v>0</v>
      </c>
      <c r="I8348" s="2">
        <v>0</v>
      </c>
      <c r="J8348" s="1">
        <v>46043.429039351853</v>
      </c>
    </row>
    <row r="8349" spans="1:10" x14ac:dyDescent="0.2">
      <c r="A8349" s="4" t="s">
        <v>1</v>
      </c>
      <c r="B8349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49" s="3" t="str">
        <f>HYPERLINK("https://otsuka-europe-crm.veevavault.com/ui/#object/sent_email__v/VBL000000016317", "SE-001400543")</f>
        <v>SE-001400543</v>
      </c>
      <c r="D8349" s="1" t="s">
        <v>0</v>
      </c>
      <c r="E8349" s="2">
        <v>0</v>
      </c>
      <c r="F8349" s="2">
        <v>0</v>
      </c>
      <c r="G8349" s="2">
        <v>0</v>
      </c>
      <c r="H8349" s="1" t="s">
        <v>0</v>
      </c>
      <c r="I8349" s="2">
        <v>0</v>
      </c>
      <c r="J8349" s="1">
        <v>46043.429039351853</v>
      </c>
    </row>
    <row r="8350" spans="1:10" x14ac:dyDescent="0.2">
      <c r="A8350" s="4" t="s">
        <v>1</v>
      </c>
      <c r="B8350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50" s="3" t="str">
        <f>HYPERLINK("https://otsuka-europe-crm.veevavault.com/ui/#object/sent_email__v/VBL000000016318", "SE-001400544")</f>
        <v>SE-001400544</v>
      </c>
      <c r="D8350" s="1" t="s">
        <v>0</v>
      </c>
      <c r="E8350" s="2">
        <v>0</v>
      </c>
      <c r="F8350" s="2">
        <v>0</v>
      </c>
      <c r="G8350" s="2">
        <v>0</v>
      </c>
      <c r="H8350" s="1" t="s">
        <v>0</v>
      </c>
      <c r="I8350" s="2">
        <v>0</v>
      </c>
      <c r="J8350" s="1">
        <v>46043.429155092592</v>
      </c>
    </row>
    <row r="8351" spans="1:10" x14ac:dyDescent="0.2">
      <c r="A8351" s="4" t="s">
        <v>1</v>
      </c>
      <c r="B8351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51" s="3" t="str">
        <f>HYPERLINK("https://otsuka-europe-crm.veevavault.com/ui/#object/sent_email__v/VBL000000016319", "SE-001400545")</f>
        <v>SE-001400545</v>
      </c>
      <c r="D8351" s="1" t="s">
        <v>0</v>
      </c>
      <c r="E8351" s="2">
        <v>0</v>
      </c>
      <c r="F8351" s="2">
        <v>0</v>
      </c>
      <c r="G8351" s="2">
        <v>0</v>
      </c>
      <c r="H8351" s="1" t="s">
        <v>0</v>
      </c>
      <c r="I8351" s="2">
        <v>0</v>
      </c>
      <c r="J8351" s="1">
        <v>46043.429097222222</v>
      </c>
    </row>
    <row r="8352" spans="1:10" x14ac:dyDescent="0.2">
      <c r="A8352" s="4" t="s">
        <v>1</v>
      </c>
      <c r="B8352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52" s="3" t="str">
        <f>HYPERLINK("https://otsuka-europe-crm.veevavault.com/ui/#object/sent_email__v/VBL000000016320", "SE-001400546")</f>
        <v>SE-001400546</v>
      </c>
      <c r="D8352" s="1" t="s">
        <v>0</v>
      </c>
      <c r="E8352" s="2">
        <v>0</v>
      </c>
      <c r="F8352" s="2">
        <v>0</v>
      </c>
      <c r="G8352" s="2">
        <v>0</v>
      </c>
      <c r="H8352" s="1" t="s">
        <v>0</v>
      </c>
      <c r="I8352" s="2">
        <v>0</v>
      </c>
      <c r="J8352" s="1">
        <v>46043.429351851853</v>
      </c>
    </row>
    <row r="8353" spans="1:10" x14ac:dyDescent="0.2">
      <c r="A8353" s="4" t="s">
        <v>1</v>
      </c>
      <c r="B8353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53" s="3" t="str">
        <f>HYPERLINK("https://otsuka-europe-crm.veevavault.com/ui/#object/sent_email__v/VBL000000016321", "SE-001400547")</f>
        <v>SE-001400547</v>
      </c>
      <c r="D8353" s="1" t="s">
        <v>0</v>
      </c>
      <c r="E8353" s="2">
        <v>0</v>
      </c>
      <c r="F8353" s="2">
        <v>0</v>
      </c>
      <c r="G8353" s="2">
        <v>0</v>
      </c>
      <c r="H8353" s="1" t="s">
        <v>0</v>
      </c>
      <c r="I8353" s="2">
        <v>0</v>
      </c>
      <c r="J8353" s="1">
        <v>46043.429050925923</v>
      </c>
    </row>
    <row r="8354" spans="1:10" x14ac:dyDescent="0.2">
      <c r="A8354" s="4" t="s">
        <v>1</v>
      </c>
      <c r="B8354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54" s="3" t="str">
        <f>HYPERLINK("https://otsuka-europe-crm.veevavault.com/ui/#object/sent_email__v/VBL000000016322", "SE-001400548")</f>
        <v>SE-001400548</v>
      </c>
      <c r="D8354" s="1" t="s">
        <v>0</v>
      </c>
      <c r="E8354" s="2">
        <v>0</v>
      </c>
      <c r="F8354" s="2">
        <v>0</v>
      </c>
      <c r="G8354" s="2">
        <v>0</v>
      </c>
      <c r="H8354" s="1" t="s">
        <v>0</v>
      </c>
      <c r="I8354" s="2">
        <v>0</v>
      </c>
      <c r="J8354" s="1">
        <v>46043.429074074076</v>
      </c>
    </row>
    <row r="8355" spans="1:10" x14ac:dyDescent="0.2">
      <c r="A8355" s="4" t="s">
        <v>1</v>
      </c>
      <c r="B8355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55" s="3" t="str">
        <f>HYPERLINK("https://otsuka-europe-crm.veevavault.com/ui/#object/sent_email__v/VBL000000016323", "SE-001400549")</f>
        <v>SE-001400549</v>
      </c>
      <c r="D8355" s="1" t="s">
        <v>0</v>
      </c>
      <c r="E8355" s="2">
        <v>0</v>
      </c>
      <c r="F8355" s="2">
        <v>0</v>
      </c>
      <c r="G8355" s="2">
        <v>0</v>
      </c>
      <c r="H8355" s="1" t="s">
        <v>0</v>
      </c>
      <c r="I8355" s="2">
        <v>0</v>
      </c>
      <c r="J8355" s="1">
        <v>46043.429016203707</v>
      </c>
    </row>
    <row r="8356" spans="1:10" x14ac:dyDescent="0.2">
      <c r="A8356" s="4" t="s">
        <v>1</v>
      </c>
      <c r="B8356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56" s="3" t="str">
        <f>HYPERLINK("https://otsuka-europe-crm.veevavault.com/ui/#object/sent_email__v/VBL000000016324", "SE-001400550")</f>
        <v>SE-001400550</v>
      </c>
      <c r="D8356" s="1" t="s">
        <v>0</v>
      </c>
      <c r="E8356" s="2">
        <v>0</v>
      </c>
      <c r="F8356" s="2">
        <v>0</v>
      </c>
      <c r="G8356" s="2">
        <v>0</v>
      </c>
      <c r="H8356" s="1" t="s">
        <v>0</v>
      </c>
      <c r="I8356" s="2">
        <v>0</v>
      </c>
      <c r="J8356" s="1">
        <v>46043.428993055553</v>
      </c>
    </row>
    <row r="8357" spans="1:10" x14ac:dyDescent="0.2">
      <c r="A8357" s="4" t="s">
        <v>1</v>
      </c>
      <c r="B8357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57" s="3" t="str">
        <f>HYPERLINK("https://otsuka-europe-crm.veevavault.com/ui/#object/sent_email__v/VBL000000016325", "SE-001400551")</f>
        <v>SE-001400551</v>
      </c>
      <c r="D8357" s="1" t="s">
        <v>0</v>
      </c>
      <c r="E8357" s="2">
        <v>0</v>
      </c>
      <c r="F8357" s="2">
        <v>0</v>
      </c>
      <c r="G8357" s="2">
        <v>0</v>
      </c>
      <c r="H8357" s="1" t="s">
        <v>0</v>
      </c>
      <c r="I8357" s="2">
        <v>0</v>
      </c>
      <c r="J8357" s="1">
        <v>46043.42900462963</v>
      </c>
    </row>
    <row r="8358" spans="1:10" x14ac:dyDescent="0.2">
      <c r="A8358" s="4" t="s">
        <v>1</v>
      </c>
      <c r="B8358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58" s="3" t="str">
        <f>HYPERLINK("https://otsuka-europe-crm.veevavault.com/ui/#object/sent_email__v/VBL000000016326", "SE-001400552")</f>
        <v>SE-001400552</v>
      </c>
      <c r="D8358" s="1" t="s">
        <v>0</v>
      </c>
      <c r="E8358" s="2">
        <v>0</v>
      </c>
      <c r="F8358" s="2">
        <v>0</v>
      </c>
      <c r="G8358" s="2">
        <v>0</v>
      </c>
      <c r="H8358" s="1" t="s">
        <v>0</v>
      </c>
      <c r="I8358" s="2">
        <v>0</v>
      </c>
      <c r="J8358" s="1">
        <v>46043.42895833333</v>
      </c>
    </row>
    <row r="8359" spans="1:10" x14ac:dyDescent="0.2">
      <c r="A8359" s="4" t="s">
        <v>1</v>
      </c>
      <c r="B8359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59" s="3" t="str">
        <f>HYPERLINK("https://otsuka-europe-crm.veevavault.com/ui/#object/sent_email__v/VBL000000016327", "SE-001400553")</f>
        <v>SE-001400553</v>
      </c>
      <c r="D8359" s="1">
        <v>46044.568564814814</v>
      </c>
      <c r="E8359" s="2">
        <v>1</v>
      </c>
      <c r="F8359" s="2">
        <v>1</v>
      </c>
      <c r="G8359" s="2">
        <v>0</v>
      </c>
      <c r="H8359" s="1" t="s">
        <v>0</v>
      </c>
      <c r="I8359" s="2">
        <v>0</v>
      </c>
      <c r="J8359" s="1">
        <v>46043.429027777776</v>
      </c>
    </row>
    <row r="8360" spans="1:10" x14ac:dyDescent="0.2">
      <c r="A8360" s="4" t="s">
        <v>1</v>
      </c>
      <c r="B8360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60" s="3" t="str">
        <f>HYPERLINK("https://otsuka-europe-crm.veevavault.com/ui/#object/sent_email__v/VBL000000016328", "SE-001400554")</f>
        <v>SE-001400554</v>
      </c>
      <c r="D8360" s="1" t="s">
        <v>0</v>
      </c>
      <c r="E8360" s="2">
        <v>0</v>
      </c>
      <c r="F8360" s="2">
        <v>0</v>
      </c>
      <c r="G8360" s="2">
        <v>0</v>
      </c>
      <c r="H8360" s="1" t="s">
        <v>0</v>
      </c>
      <c r="I8360" s="2">
        <v>0</v>
      </c>
      <c r="J8360" s="1">
        <v>46043.42900462963</v>
      </c>
    </row>
    <row r="8361" spans="1:10" x14ac:dyDescent="0.2">
      <c r="A8361" s="4" t="s">
        <v>1</v>
      </c>
      <c r="B8361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61" s="3" t="str">
        <f>HYPERLINK("https://otsuka-europe-crm.veevavault.com/ui/#object/sent_email__v/VBL000000016329", "SE-001400555")</f>
        <v>SE-001400555</v>
      </c>
      <c r="D8361" s="1" t="s">
        <v>0</v>
      </c>
      <c r="E8361" s="2">
        <v>0</v>
      </c>
      <c r="F8361" s="2">
        <v>0</v>
      </c>
      <c r="G8361" s="2">
        <v>0</v>
      </c>
      <c r="H8361" s="1" t="s">
        <v>0</v>
      </c>
      <c r="I8361" s="2">
        <v>0</v>
      </c>
      <c r="J8361" s="1">
        <v>46043.428981481484</v>
      </c>
    </row>
    <row r="8362" spans="1:10" x14ac:dyDescent="0.2">
      <c r="A8362" s="4" t="s">
        <v>1</v>
      </c>
      <c r="B8362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62" s="3" t="str">
        <f>HYPERLINK("https://otsuka-europe-crm.veevavault.com/ui/#object/sent_email__v/VBL000000016330", "SE-001400556")</f>
        <v>SE-001400556</v>
      </c>
      <c r="D8362" s="1" t="s">
        <v>0</v>
      </c>
      <c r="E8362" s="2">
        <v>0</v>
      </c>
      <c r="F8362" s="2">
        <v>0</v>
      </c>
      <c r="G8362" s="2">
        <v>0</v>
      </c>
      <c r="H8362" s="1" t="s">
        <v>0</v>
      </c>
      <c r="I8362" s="2">
        <v>0</v>
      </c>
      <c r="J8362" s="1">
        <v>46043.428981481484</v>
      </c>
    </row>
    <row r="8363" spans="1:10" x14ac:dyDescent="0.2">
      <c r="A8363" s="4" t="s">
        <v>1</v>
      </c>
      <c r="B8363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63" s="3" t="str">
        <f>HYPERLINK("https://otsuka-europe-crm.veevavault.com/ui/#object/sent_email__v/VBL000000016331", "SE-001400557")</f>
        <v>SE-001400557</v>
      </c>
      <c r="D8363" s="1" t="s">
        <v>0</v>
      </c>
      <c r="E8363" s="2">
        <v>0</v>
      </c>
      <c r="F8363" s="2">
        <v>0</v>
      </c>
      <c r="G8363" s="2">
        <v>0</v>
      </c>
      <c r="H8363" s="1" t="s">
        <v>0</v>
      </c>
      <c r="I8363" s="2">
        <v>0</v>
      </c>
      <c r="J8363" s="1">
        <v>46043.429085648146</v>
      </c>
    </row>
    <row r="8364" spans="1:10" x14ac:dyDescent="0.2">
      <c r="A8364" s="4" t="s">
        <v>1</v>
      </c>
      <c r="B8364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64" s="3" t="str">
        <f>HYPERLINK("https://otsuka-europe-crm.veevavault.com/ui/#object/sent_email__v/VBL000000016332", "SE-001400558")</f>
        <v>SE-001400558</v>
      </c>
      <c r="D8364" s="1" t="s">
        <v>0</v>
      </c>
      <c r="E8364" s="2">
        <v>0</v>
      </c>
      <c r="F8364" s="2">
        <v>0</v>
      </c>
      <c r="G8364" s="2">
        <v>0</v>
      </c>
      <c r="H8364" s="1" t="s">
        <v>0</v>
      </c>
      <c r="I8364" s="2">
        <v>0</v>
      </c>
      <c r="J8364" s="1">
        <v>46043.42900462963</v>
      </c>
    </row>
    <row r="8365" spans="1:10" x14ac:dyDescent="0.2">
      <c r="A8365" s="4" t="s">
        <v>1</v>
      </c>
      <c r="B8365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65" s="3" t="str">
        <f>HYPERLINK("https://otsuka-europe-crm.veevavault.com/ui/#object/sent_email__v/VBL000000016333", "SE-001400559")</f>
        <v>SE-001400559</v>
      </c>
      <c r="D8365" s="1" t="s">
        <v>0</v>
      </c>
      <c r="E8365" s="2">
        <v>0</v>
      </c>
      <c r="F8365" s="2">
        <v>0</v>
      </c>
      <c r="G8365" s="2">
        <v>0</v>
      </c>
      <c r="H8365" s="1" t="s">
        <v>0</v>
      </c>
      <c r="I8365" s="2">
        <v>0</v>
      </c>
      <c r="J8365" s="1">
        <v>46043.429085648146</v>
      </c>
    </row>
    <row r="8366" spans="1:10" x14ac:dyDescent="0.2">
      <c r="A8366" s="4" t="s">
        <v>1</v>
      </c>
      <c r="B8366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66" s="3" t="str">
        <f>HYPERLINK("https://otsuka-europe-crm.veevavault.com/ui/#object/sent_email__v/VBL000000016334", "SE-001400560")</f>
        <v>SE-001400560</v>
      </c>
      <c r="D8366" s="1" t="s">
        <v>0</v>
      </c>
      <c r="E8366" s="2">
        <v>0</v>
      </c>
      <c r="F8366" s="2">
        <v>0</v>
      </c>
      <c r="G8366" s="2">
        <v>0</v>
      </c>
      <c r="H8366" s="1" t="s">
        <v>0</v>
      </c>
      <c r="I8366" s="2">
        <v>0</v>
      </c>
      <c r="J8366" s="1">
        <v>46043.42900462963</v>
      </c>
    </row>
    <row r="8367" spans="1:10" x14ac:dyDescent="0.2">
      <c r="A8367" s="4" t="s">
        <v>1</v>
      </c>
      <c r="B8367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67" s="3" t="str">
        <f>HYPERLINK("https://otsuka-europe-crm.veevavault.com/ui/#object/sent_email__v/VBL000000016335", "SE-001400561")</f>
        <v>SE-001400561</v>
      </c>
      <c r="D8367" s="1" t="s">
        <v>0</v>
      </c>
      <c r="E8367" s="2">
        <v>0</v>
      </c>
      <c r="F8367" s="2">
        <v>0</v>
      </c>
      <c r="G8367" s="2">
        <v>0</v>
      </c>
      <c r="H8367" s="1" t="s">
        <v>0</v>
      </c>
      <c r="I8367" s="2">
        <v>0</v>
      </c>
      <c r="J8367" s="1">
        <v>46043.429085648146</v>
      </c>
    </row>
    <row r="8368" spans="1:10" x14ac:dyDescent="0.2">
      <c r="A8368" s="4" t="s">
        <v>1</v>
      </c>
      <c r="B8368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68" s="3" t="str">
        <f>HYPERLINK("https://otsuka-europe-crm.veevavault.com/ui/#object/sent_email__v/VBL000000016336", "SE-001400562")</f>
        <v>SE-001400562</v>
      </c>
      <c r="D8368" s="1" t="s">
        <v>0</v>
      </c>
      <c r="E8368" s="2">
        <v>0</v>
      </c>
      <c r="F8368" s="2">
        <v>0</v>
      </c>
      <c r="G8368" s="2">
        <v>0</v>
      </c>
      <c r="H8368" s="1" t="s">
        <v>0</v>
      </c>
      <c r="I8368" s="2">
        <v>0</v>
      </c>
      <c r="J8368" s="1">
        <v>46043.429074074076</v>
      </c>
    </row>
    <row r="8369" spans="1:10" x14ac:dyDescent="0.2">
      <c r="A8369" s="4" t="s">
        <v>1</v>
      </c>
      <c r="B8369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69" s="3" t="str">
        <f>HYPERLINK("https://otsuka-europe-crm.veevavault.com/ui/#object/sent_email__v/VBL000000016337", "SE-001400563")</f>
        <v>SE-001400563</v>
      </c>
      <c r="D8369" s="1" t="s">
        <v>0</v>
      </c>
      <c r="E8369" s="2">
        <v>0</v>
      </c>
      <c r="F8369" s="2">
        <v>0</v>
      </c>
      <c r="G8369" s="2">
        <v>0</v>
      </c>
      <c r="H8369" s="1" t="s">
        <v>0</v>
      </c>
      <c r="I8369" s="2">
        <v>0</v>
      </c>
      <c r="J8369" s="1">
        <v>46043.429016203707</v>
      </c>
    </row>
    <row r="8370" spans="1:10" x14ac:dyDescent="0.2">
      <c r="A8370" s="4" t="s">
        <v>1</v>
      </c>
      <c r="B8370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70" s="3" t="str">
        <f>HYPERLINK("https://otsuka-europe-crm.veevavault.com/ui/#object/sent_email__v/VBL000000016338", "SE-001400564")</f>
        <v>SE-001400564</v>
      </c>
      <c r="D8370" s="1" t="s">
        <v>0</v>
      </c>
      <c r="E8370" s="2">
        <v>0</v>
      </c>
      <c r="F8370" s="2">
        <v>0</v>
      </c>
      <c r="G8370" s="2">
        <v>0</v>
      </c>
      <c r="H8370" s="1" t="s">
        <v>0</v>
      </c>
      <c r="I8370" s="2">
        <v>0</v>
      </c>
      <c r="J8370" s="1">
        <v>46043.428993055553</v>
      </c>
    </row>
    <row r="8371" spans="1:10" x14ac:dyDescent="0.2">
      <c r="A8371" s="4" t="s">
        <v>1</v>
      </c>
      <c r="B8371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71" s="3" t="str">
        <f>HYPERLINK("https://otsuka-europe-crm.veevavault.com/ui/#object/sent_email__v/VBL000000016339", "SE-001400565")</f>
        <v>SE-001400565</v>
      </c>
      <c r="D8371" s="1" t="s">
        <v>0</v>
      </c>
      <c r="E8371" s="2">
        <v>0</v>
      </c>
      <c r="F8371" s="2">
        <v>0</v>
      </c>
      <c r="G8371" s="2">
        <v>0</v>
      </c>
      <c r="H8371" s="1" t="s">
        <v>0</v>
      </c>
      <c r="I8371" s="2">
        <v>0</v>
      </c>
      <c r="J8371" s="1">
        <v>46043.42900462963</v>
      </c>
    </row>
    <row r="8372" spans="1:10" x14ac:dyDescent="0.2">
      <c r="A8372" s="4" t="s">
        <v>1</v>
      </c>
      <c r="B8372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72" s="3" t="str">
        <f>HYPERLINK("https://otsuka-europe-crm.veevavault.com/ui/#object/sent_email__v/VBL000000016340", "SE-001400566")</f>
        <v>SE-001400566</v>
      </c>
      <c r="D8372" s="1" t="s">
        <v>0</v>
      </c>
      <c r="E8372" s="2">
        <v>0</v>
      </c>
      <c r="F8372" s="2">
        <v>0</v>
      </c>
      <c r="G8372" s="2">
        <v>0</v>
      </c>
      <c r="H8372" s="1" t="s">
        <v>0</v>
      </c>
      <c r="I8372" s="2">
        <v>0</v>
      </c>
      <c r="J8372" s="1">
        <v>46043.429236111115</v>
      </c>
    </row>
    <row r="8373" spans="1:10" x14ac:dyDescent="0.2">
      <c r="A8373" s="4" t="s">
        <v>1</v>
      </c>
      <c r="B8373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73" s="3" t="str">
        <f>HYPERLINK("https://otsuka-europe-crm.veevavault.com/ui/#object/sent_email__v/VBL000000016341", "SE-001400567")</f>
        <v>SE-001400567</v>
      </c>
      <c r="D8373" s="1" t="s">
        <v>0</v>
      </c>
      <c r="E8373" s="2">
        <v>0</v>
      </c>
      <c r="F8373" s="2">
        <v>0</v>
      </c>
      <c r="G8373" s="2">
        <v>0</v>
      </c>
      <c r="H8373" s="1" t="s">
        <v>0</v>
      </c>
      <c r="I8373" s="2">
        <v>0</v>
      </c>
      <c r="J8373" s="1">
        <v>46043.429293981484</v>
      </c>
    </row>
    <row r="8374" spans="1:10" x14ac:dyDescent="0.2">
      <c r="A8374" s="4" t="s">
        <v>1</v>
      </c>
      <c r="B8374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74" s="3" t="str">
        <f>HYPERLINK("https://otsuka-europe-crm.veevavault.com/ui/#object/sent_email__v/VBL000000016342", "SE-001400568")</f>
        <v>SE-001400568</v>
      </c>
      <c r="D8374" s="1" t="s">
        <v>0</v>
      </c>
      <c r="E8374" s="2">
        <v>0</v>
      </c>
      <c r="F8374" s="2">
        <v>0</v>
      </c>
      <c r="G8374" s="2">
        <v>0</v>
      </c>
      <c r="H8374" s="1" t="s">
        <v>0</v>
      </c>
      <c r="I8374" s="2">
        <v>0</v>
      </c>
      <c r="J8374" s="1">
        <v>46043.429236111115</v>
      </c>
    </row>
    <row r="8375" spans="1:10" x14ac:dyDescent="0.2">
      <c r="A8375" s="4" t="s">
        <v>1</v>
      </c>
      <c r="B8375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75" s="3" t="str">
        <f>HYPERLINK("https://otsuka-europe-crm.veevavault.com/ui/#object/sent_email__v/VBL000000016343", "SE-001400569")</f>
        <v>SE-001400569</v>
      </c>
      <c r="D8375" s="1" t="s">
        <v>0</v>
      </c>
      <c r="E8375" s="2">
        <v>0</v>
      </c>
      <c r="F8375" s="2">
        <v>0</v>
      </c>
      <c r="G8375" s="2">
        <v>0</v>
      </c>
      <c r="H8375" s="1" t="s">
        <v>0</v>
      </c>
      <c r="I8375" s="2">
        <v>0</v>
      </c>
      <c r="J8375" s="1">
        <v>46043.429201388892</v>
      </c>
    </row>
    <row r="8376" spans="1:10" x14ac:dyDescent="0.2">
      <c r="A8376" s="4" t="s">
        <v>1</v>
      </c>
      <c r="B8376" s="3" t="str">
        <f>HYPERLINK("https://otsuka-europe-crm.veevavault.com/ui/#object/approved_document__v/V5O000000003004", "INA - CC Paciente vulnerable con LMA TP53 Dra. Tormo")</f>
        <v>INA - CC Paciente vulnerable con LMA TP53 Dra. Tormo</v>
      </c>
      <c r="C8376" s="3" t="str">
        <f>HYPERLINK("https://otsuka-europe-crm.veevavault.com/ui/#object/sent_email__v/VBL000000019256", "SE-001402598")</f>
        <v>SE-001402598</v>
      </c>
      <c r="D8376" s="1" t="s">
        <v>0</v>
      </c>
      <c r="E8376" s="2">
        <v>0</v>
      </c>
      <c r="F8376" s="2">
        <v>0</v>
      </c>
      <c r="G8376" s="2">
        <v>0</v>
      </c>
      <c r="H8376" s="1" t="s">
        <v>0</v>
      </c>
      <c r="I8376" s="2">
        <v>0</v>
      </c>
      <c r="J8376" s="1">
        <v>46056.504270833335</v>
      </c>
    </row>
    <row r="8377" spans="1:10" x14ac:dyDescent="0.2">
      <c r="A8377" s="4" t="s">
        <v>1</v>
      </c>
      <c r="B837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77" s="3" t="str">
        <f>HYPERLINK("https://otsuka-europe-crm.veevavault.com/ui/#object/sent_email__v/VBLZ025E82GVIDD", "SE-000279471")</f>
        <v>SE-000279471</v>
      </c>
      <c r="D8377" s="1">
        <v>45922.32172453704</v>
      </c>
      <c r="E8377" s="2">
        <v>1</v>
      </c>
      <c r="F8377" s="2">
        <v>1</v>
      </c>
      <c r="G8377" s="2">
        <v>1</v>
      </c>
      <c r="H8377" s="1">
        <v>45922.323425925926</v>
      </c>
      <c r="I8377" s="2">
        <v>6</v>
      </c>
      <c r="J8377" s="1">
        <v>45922.320810185185</v>
      </c>
    </row>
    <row r="8378" spans="1:10" x14ac:dyDescent="0.2">
      <c r="A8378" s="4" t="s">
        <v>1</v>
      </c>
      <c r="B837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78" s="3" t="str">
        <f>HYPERLINK("https://otsuka-europe-crm.veevavault.com/ui/#object/sent_email__v/VBLZ025E82GWBRP", "SE-000279661")</f>
        <v>SE-000279661</v>
      </c>
      <c r="D8378" s="1" t="s">
        <v>0</v>
      </c>
      <c r="E8378" s="2">
        <v>0</v>
      </c>
      <c r="F8378" s="2">
        <v>0</v>
      </c>
      <c r="G8378" s="2">
        <v>0</v>
      </c>
      <c r="H8378" s="1" t="s">
        <v>0</v>
      </c>
      <c r="I8378" s="2">
        <v>0</v>
      </c>
      <c r="J8378" s="1">
        <v>45922.642766203702</v>
      </c>
    </row>
    <row r="8379" spans="1:10" x14ac:dyDescent="0.2">
      <c r="A8379" s="4" t="s">
        <v>1</v>
      </c>
      <c r="B837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79" s="3" t="str">
        <f>HYPERLINK("https://otsuka-europe-crm.veevavault.com/ui/#object/sent_email__v/VBLZ025E82GWBRQ", "SE-000279662")</f>
        <v>SE-000279662</v>
      </c>
      <c r="D8379" s="1">
        <v>45926.988495370373</v>
      </c>
      <c r="E8379" s="2">
        <v>1</v>
      </c>
      <c r="F8379" s="2">
        <v>1</v>
      </c>
      <c r="G8379" s="2">
        <v>0</v>
      </c>
      <c r="H8379" s="1" t="s">
        <v>0</v>
      </c>
      <c r="I8379" s="2">
        <v>0</v>
      </c>
      <c r="J8379" s="1">
        <v>45922.642893518518</v>
      </c>
    </row>
    <row r="8380" spans="1:10" x14ac:dyDescent="0.2">
      <c r="A8380" s="4" t="s">
        <v>1</v>
      </c>
      <c r="B838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80" s="3" t="str">
        <f>HYPERLINK("https://otsuka-europe-crm.veevavault.com/ui/#object/sent_email__v/VBLZ025E82GWBRR", "SE-000279663")</f>
        <v>SE-000279663</v>
      </c>
      <c r="D8380" s="1">
        <v>45922.648333333331</v>
      </c>
      <c r="E8380" s="2">
        <v>1</v>
      </c>
      <c r="F8380" s="2">
        <v>1</v>
      </c>
      <c r="G8380" s="2">
        <v>0</v>
      </c>
      <c r="H8380" s="1" t="s">
        <v>0</v>
      </c>
      <c r="I8380" s="2">
        <v>0</v>
      </c>
      <c r="J8380" s="1">
        <v>45922.642766203702</v>
      </c>
    </row>
    <row r="8381" spans="1:10" x14ac:dyDescent="0.2">
      <c r="A8381" s="4" t="s">
        <v>1</v>
      </c>
      <c r="B838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81" s="3" t="str">
        <f>HYPERLINK("https://otsuka-europe-crm.veevavault.com/ui/#object/sent_email__v/VBLZ025E82GWBRS", "SE-000279664")</f>
        <v>SE-000279664</v>
      </c>
      <c r="D8381" s="1">
        <v>45923.383344907408</v>
      </c>
      <c r="E8381" s="2">
        <v>1</v>
      </c>
      <c r="F8381" s="2">
        <v>2</v>
      </c>
      <c r="G8381" s="2">
        <v>0</v>
      </c>
      <c r="H8381" s="1" t="s">
        <v>0</v>
      </c>
      <c r="I8381" s="2">
        <v>0</v>
      </c>
      <c r="J8381" s="1">
        <v>45922.642893518518</v>
      </c>
    </row>
    <row r="8382" spans="1:10" x14ac:dyDescent="0.2">
      <c r="A8382" s="4" t="s">
        <v>1</v>
      </c>
      <c r="B838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82" s="3" t="str">
        <f>HYPERLINK("https://otsuka-europe-crm.veevavault.com/ui/#object/sent_email__v/VBLZ025E82GWBRT", "SE-000279665")</f>
        <v>SE-000279665</v>
      </c>
      <c r="D8382" s="1">
        <v>45925.285127314812</v>
      </c>
      <c r="E8382" s="2">
        <v>1</v>
      </c>
      <c r="F8382" s="2">
        <v>4</v>
      </c>
      <c r="G8382" s="2">
        <v>0</v>
      </c>
      <c r="H8382" s="1" t="s">
        <v>0</v>
      </c>
      <c r="I8382" s="2">
        <v>0</v>
      </c>
      <c r="J8382" s="1">
        <v>45922.642754629633</v>
      </c>
    </row>
    <row r="8383" spans="1:10" x14ac:dyDescent="0.2">
      <c r="A8383" s="4" t="s">
        <v>1</v>
      </c>
      <c r="B838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83" s="3" t="str">
        <f>HYPERLINK("https://otsuka-europe-crm.veevavault.com/ui/#object/sent_email__v/VBLZ025E82GWBRU", "SE-000279666")</f>
        <v>SE-000279666</v>
      </c>
      <c r="D8383" s="1">
        <v>45922.903379629628</v>
      </c>
      <c r="E8383" s="2">
        <v>1</v>
      </c>
      <c r="F8383" s="2">
        <v>1</v>
      </c>
      <c r="G8383" s="2">
        <v>0</v>
      </c>
      <c r="H8383" s="1" t="s">
        <v>0</v>
      </c>
      <c r="I8383" s="2">
        <v>0</v>
      </c>
      <c r="J8383" s="1">
        <v>45922.642870370371</v>
      </c>
    </row>
    <row r="8384" spans="1:10" x14ac:dyDescent="0.2">
      <c r="A8384" s="4" t="s">
        <v>1</v>
      </c>
      <c r="B838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84" s="3" t="str">
        <f>HYPERLINK("https://otsuka-europe-crm.veevavault.com/ui/#object/sent_email__v/VBLZ025E82GWBRV", "SE-000279667")</f>
        <v>SE-000279667</v>
      </c>
      <c r="D8384" s="1">
        <v>45929.825567129628</v>
      </c>
      <c r="E8384" s="2">
        <v>1</v>
      </c>
      <c r="F8384" s="2">
        <v>2</v>
      </c>
      <c r="G8384" s="2">
        <v>0</v>
      </c>
      <c r="H8384" s="1" t="s">
        <v>0</v>
      </c>
      <c r="I8384" s="2">
        <v>0</v>
      </c>
      <c r="J8384" s="1">
        <v>45922.642754629633</v>
      </c>
    </row>
    <row r="8385" spans="1:10" x14ac:dyDescent="0.2">
      <c r="A8385" s="4" t="s">
        <v>1</v>
      </c>
      <c r="B838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85" s="3" t="str">
        <f>HYPERLINK("https://otsuka-europe-crm.veevavault.com/ui/#object/sent_email__v/VBLZ025E82GWBRW", "SE-000279668")</f>
        <v>SE-000279668</v>
      </c>
      <c r="D8385" s="1">
        <v>45925.687002314815</v>
      </c>
      <c r="E8385" s="2">
        <v>1</v>
      </c>
      <c r="F8385" s="2">
        <v>2</v>
      </c>
      <c r="G8385" s="2">
        <v>0</v>
      </c>
      <c r="H8385" s="1" t="s">
        <v>0</v>
      </c>
      <c r="I8385" s="2">
        <v>0</v>
      </c>
      <c r="J8385" s="1">
        <v>45922.642881944441</v>
      </c>
    </row>
    <row r="8386" spans="1:10" x14ac:dyDescent="0.2">
      <c r="A8386" s="4" t="s">
        <v>1</v>
      </c>
      <c r="B838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86" s="3" t="str">
        <f>HYPERLINK("https://otsuka-europe-crm.veevavault.com/ui/#object/sent_email__v/VBLZ025E82GWBRX", "SE-000279669")</f>
        <v>SE-000279669</v>
      </c>
      <c r="D8386" s="1">
        <v>45922.752013888887</v>
      </c>
      <c r="E8386" s="2">
        <v>1</v>
      </c>
      <c r="F8386" s="2">
        <v>2</v>
      </c>
      <c r="G8386" s="2">
        <v>0</v>
      </c>
      <c r="H8386" s="1" t="s">
        <v>0</v>
      </c>
      <c r="I8386" s="2">
        <v>0</v>
      </c>
      <c r="J8386" s="1">
        <v>45922.642916666664</v>
      </c>
    </row>
    <row r="8387" spans="1:10" x14ac:dyDescent="0.2">
      <c r="A8387" s="4" t="s">
        <v>1</v>
      </c>
      <c r="B838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87" s="3" t="str">
        <f>HYPERLINK("https://otsuka-europe-crm.veevavault.com/ui/#object/sent_email__v/VBLZ025E82GWBRY", "SE-000279670")</f>
        <v>SE-000279670</v>
      </c>
      <c r="D8387" s="1">
        <v>45922.643217592595</v>
      </c>
      <c r="E8387" s="2">
        <v>1</v>
      </c>
      <c r="F8387" s="2">
        <v>1</v>
      </c>
      <c r="G8387" s="2">
        <v>0</v>
      </c>
      <c r="H8387" s="1" t="s">
        <v>0</v>
      </c>
      <c r="I8387" s="2">
        <v>0</v>
      </c>
      <c r="J8387" s="1">
        <v>45922.642974537041</v>
      </c>
    </row>
    <row r="8388" spans="1:10" x14ac:dyDescent="0.2">
      <c r="A8388" s="4" t="s">
        <v>1</v>
      </c>
      <c r="B838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88" s="3" t="str">
        <f>HYPERLINK("https://otsuka-europe-crm.veevavault.com/ui/#object/sent_email__v/VBLZ025E82GWBRZ", "SE-000279671")</f>
        <v>SE-000279671</v>
      </c>
      <c r="D8388" s="1">
        <v>45922.655752314815</v>
      </c>
      <c r="E8388" s="2">
        <v>1</v>
      </c>
      <c r="F8388" s="2">
        <v>1</v>
      </c>
      <c r="G8388" s="2">
        <v>0</v>
      </c>
      <c r="H8388" s="1" t="s">
        <v>0</v>
      </c>
      <c r="I8388" s="2">
        <v>0</v>
      </c>
      <c r="J8388" s="1">
        <v>45922.642824074072</v>
      </c>
    </row>
    <row r="8389" spans="1:10" x14ac:dyDescent="0.2">
      <c r="A8389" s="4" t="s">
        <v>1</v>
      </c>
      <c r="B838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89" s="3" t="str">
        <f>HYPERLINK("https://otsuka-europe-crm.veevavault.com/ui/#object/sent_email__v/VBLZ025E82GWBS0", "SE-000279672")</f>
        <v>SE-000279672</v>
      </c>
      <c r="D8389" s="1" t="s">
        <v>0</v>
      </c>
      <c r="E8389" s="2">
        <v>0</v>
      </c>
      <c r="F8389" s="2">
        <v>0</v>
      </c>
      <c r="G8389" s="2">
        <v>0</v>
      </c>
      <c r="H8389" s="1" t="s">
        <v>0</v>
      </c>
      <c r="I8389" s="2">
        <v>0</v>
      </c>
      <c r="J8389" s="1">
        <v>45922.64298611111</v>
      </c>
    </row>
    <row r="8390" spans="1:10" x14ac:dyDescent="0.2">
      <c r="A8390" s="4" t="s">
        <v>1</v>
      </c>
      <c r="B839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90" s="3" t="str">
        <f>HYPERLINK("https://otsuka-europe-crm.veevavault.com/ui/#object/sent_email__v/VBLZ025E82GWBS1", "SE-000279673")</f>
        <v>SE-000279673</v>
      </c>
      <c r="D8390" s="1">
        <v>45935.677986111114</v>
      </c>
      <c r="E8390" s="2">
        <v>1</v>
      </c>
      <c r="F8390" s="2">
        <v>5</v>
      </c>
      <c r="G8390" s="2">
        <v>0</v>
      </c>
      <c r="H8390" s="1" t="s">
        <v>0</v>
      </c>
      <c r="I8390" s="2">
        <v>0</v>
      </c>
      <c r="J8390" s="1">
        <v>45922.642708333333</v>
      </c>
    </row>
    <row r="8391" spans="1:10" x14ac:dyDescent="0.2">
      <c r="A8391" s="4" t="s">
        <v>1</v>
      </c>
      <c r="B839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91" s="3" t="str">
        <f>HYPERLINK("https://otsuka-europe-crm.veevavault.com/ui/#object/sent_email__v/VBLZ025E82GWBS2", "SE-000279674")</f>
        <v>SE-000279674</v>
      </c>
      <c r="D8391" s="1" t="s">
        <v>0</v>
      </c>
      <c r="E8391" s="2">
        <v>0</v>
      </c>
      <c r="F8391" s="2">
        <v>0</v>
      </c>
      <c r="G8391" s="2">
        <v>0</v>
      </c>
      <c r="H8391" s="1" t="s">
        <v>0</v>
      </c>
      <c r="I8391" s="2">
        <v>0</v>
      </c>
      <c r="J8391" s="1">
        <v>45922.642997685187</v>
      </c>
    </row>
    <row r="8392" spans="1:10" x14ac:dyDescent="0.2">
      <c r="A8392" s="4" t="s">
        <v>1</v>
      </c>
      <c r="B839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92" s="3" t="str">
        <f>HYPERLINK("https://otsuka-europe-crm.veevavault.com/ui/#object/sent_email__v/VBLZ025E82GWBS3", "SE-000279675")</f>
        <v>SE-000279675</v>
      </c>
      <c r="D8392" s="1" t="s">
        <v>0</v>
      </c>
      <c r="E8392" s="2">
        <v>0</v>
      </c>
      <c r="F8392" s="2">
        <v>0</v>
      </c>
      <c r="G8392" s="2">
        <v>0</v>
      </c>
      <c r="H8392" s="1" t="s">
        <v>0</v>
      </c>
      <c r="I8392" s="2">
        <v>0</v>
      </c>
      <c r="J8392" s="1">
        <v>45922.642847222225</v>
      </c>
    </row>
    <row r="8393" spans="1:10" x14ac:dyDescent="0.2">
      <c r="A8393" s="4" t="s">
        <v>1</v>
      </c>
      <c r="B839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93" s="3" t="str">
        <f>HYPERLINK("https://otsuka-europe-crm.veevavault.com/ui/#object/sent_email__v/VBLZ025E82GWBS4", "SE-000279676")</f>
        <v>SE-000279676</v>
      </c>
      <c r="D8393" s="1">
        <v>45922.697546296295</v>
      </c>
      <c r="E8393" s="2">
        <v>1</v>
      </c>
      <c r="F8393" s="2">
        <v>2</v>
      </c>
      <c r="G8393" s="2">
        <v>0</v>
      </c>
      <c r="H8393" s="1" t="s">
        <v>0</v>
      </c>
      <c r="I8393" s="2">
        <v>0</v>
      </c>
      <c r="J8393" s="1">
        <v>45922.642962962964</v>
      </c>
    </row>
    <row r="8394" spans="1:10" x14ac:dyDescent="0.2">
      <c r="A8394" s="4" t="s">
        <v>1</v>
      </c>
      <c r="B839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94" s="3" t="str">
        <f>HYPERLINK("https://otsuka-europe-crm.veevavault.com/ui/#object/sent_email__v/VBLZ025E82GWBS5", "SE-000279677")</f>
        <v>SE-000279677</v>
      </c>
      <c r="D8394" s="1" t="s">
        <v>0</v>
      </c>
      <c r="E8394" s="2">
        <v>0</v>
      </c>
      <c r="F8394" s="2">
        <v>0</v>
      </c>
      <c r="G8394" s="2">
        <v>0</v>
      </c>
      <c r="H8394" s="1" t="s">
        <v>0</v>
      </c>
      <c r="I8394" s="2">
        <v>0</v>
      </c>
      <c r="J8394" s="1">
        <v>45922.642824074072</v>
      </c>
    </row>
    <row r="8395" spans="1:10" x14ac:dyDescent="0.2">
      <c r="A8395" s="4" t="s">
        <v>1</v>
      </c>
      <c r="B839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95" s="3" t="str">
        <f>HYPERLINK("https://otsuka-europe-crm.veevavault.com/ui/#object/sent_email__v/VBLZ025E82GWBS6", "SE-000279678")</f>
        <v>SE-000279678</v>
      </c>
      <c r="D8395" s="1">
        <v>45923.822962962964</v>
      </c>
      <c r="E8395" s="2">
        <v>1</v>
      </c>
      <c r="F8395" s="2">
        <v>7</v>
      </c>
      <c r="G8395" s="2">
        <v>0</v>
      </c>
      <c r="H8395" s="1" t="s">
        <v>0</v>
      </c>
      <c r="I8395" s="2">
        <v>0</v>
      </c>
      <c r="J8395" s="1">
        <v>45922.642951388887</v>
      </c>
    </row>
    <row r="8396" spans="1:10" x14ac:dyDescent="0.2">
      <c r="A8396" s="4" t="s">
        <v>1</v>
      </c>
      <c r="B839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96" s="3" t="str">
        <f>HYPERLINK("https://otsuka-europe-crm.veevavault.com/ui/#object/sent_email__v/VBLZ025E82GWBS7", "SE-000279679")</f>
        <v>SE-000279679</v>
      </c>
      <c r="D8396" s="1" t="s">
        <v>0</v>
      </c>
      <c r="E8396" s="2">
        <v>0</v>
      </c>
      <c r="F8396" s="2">
        <v>0</v>
      </c>
      <c r="G8396" s="2">
        <v>0</v>
      </c>
      <c r="H8396" s="1" t="s">
        <v>0</v>
      </c>
      <c r="I8396" s="2">
        <v>0</v>
      </c>
      <c r="J8396" s="1">
        <v>45922.642800925925</v>
      </c>
    </row>
    <row r="8397" spans="1:10" x14ac:dyDescent="0.2">
      <c r="A8397" s="4" t="s">
        <v>1</v>
      </c>
      <c r="B839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97" s="3" t="str">
        <f>HYPERLINK("https://otsuka-europe-crm.veevavault.com/ui/#object/sent_email__v/VBLZ025E82GWBS8", "SE-000279680")</f>
        <v>SE-000279680</v>
      </c>
      <c r="D8397" s="1" t="s">
        <v>0</v>
      </c>
      <c r="E8397" s="2">
        <v>0</v>
      </c>
      <c r="F8397" s="2">
        <v>0</v>
      </c>
      <c r="G8397" s="2">
        <v>0</v>
      </c>
      <c r="H8397" s="1" t="s">
        <v>0</v>
      </c>
      <c r="I8397" s="2">
        <v>0</v>
      </c>
      <c r="J8397" s="1">
        <v>45922.642951388887</v>
      </c>
    </row>
    <row r="8398" spans="1:10" x14ac:dyDescent="0.2">
      <c r="A8398" s="4" t="s">
        <v>1</v>
      </c>
      <c r="B839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98" s="3" t="str">
        <f>HYPERLINK("https://otsuka-europe-crm.veevavault.com/ui/#object/sent_email__v/VBLZ025E82GWBS9", "SE-000279681")</f>
        <v>SE-000279681</v>
      </c>
      <c r="D8398" s="1" t="s">
        <v>0</v>
      </c>
      <c r="E8398" s="2">
        <v>0</v>
      </c>
      <c r="F8398" s="2">
        <v>0</v>
      </c>
      <c r="G8398" s="2">
        <v>0</v>
      </c>
      <c r="H8398" s="1" t="s">
        <v>0</v>
      </c>
      <c r="I8398" s="2">
        <v>0</v>
      </c>
      <c r="J8398" s="1">
        <v>45922.642812500002</v>
      </c>
    </row>
    <row r="8399" spans="1:10" x14ac:dyDescent="0.2">
      <c r="A8399" s="4" t="s">
        <v>1</v>
      </c>
      <c r="B839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399" s="3" t="str">
        <f>HYPERLINK("https://otsuka-europe-crm.veevavault.com/ui/#object/sent_email__v/VBLZ025E82GWBSA", "SE-000279682")</f>
        <v>SE-000279682</v>
      </c>
      <c r="D8399" s="1" t="s">
        <v>0</v>
      </c>
      <c r="E8399" s="2">
        <v>0</v>
      </c>
      <c r="F8399" s="2">
        <v>0</v>
      </c>
      <c r="G8399" s="2">
        <v>0</v>
      </c>
      <c r="H8399" s="1" t="s">
        <v>0</v>
      </c>
      <c r="I8399" s="2">
        <v>0</v>
      </c>
      <c r="J8399" s="1">
        <v>45922.642916666664</v>
      </c>
    </row>
    <row r="8400" spans="1:10" x14ac:dyDescent="0.2">
      <c r="A8400" s="4" t="s">
        <v>1</v>
      </c>
      <c r="B840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00" s="3" t="str">
        <f>HYPERLINK("https://otsuka-europe-crm.veevavault.com/ui/#object/sent_email__v/VBLZ025E82GWBSB", "SE-000279683")</f>
        <v>SE-000279683</v>
      </c>
      <c r="D8400" s="1">
        <v>45941.305324074077</v>
      </c>
      <c r="E8400" s="2">
        <v>1</v>
      </c>
      <c r="F8400" s="2">
        <v>3</v>
      </c>
      <c r="G8400" s="2">
        <v>0</v>
      </c>
      <c r="H8400" s="1" t="s">
        <v>0</v>
      </c>
      <c r="I8400" s="2">
        <v>0</v>
      </c>
      <c r="J8400" s="1">
        <v>45922.642777777779</v>
      </c>
    </row>
    <row r="8401" spans="1:10" x14ac:dyDescent="0.2">
      <c r="A8401" s="4" t="s">
        <v>1</v>
      </c>
      <c r="B840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01" s="3" t="str">
        <f>HYPERLINK("https://otsuka-europe-crm.veevavault.com/ui/#object/sent_email__v/VBLZ025E82GWBSC", "SE-000279684")</f>
        <v>SE-000279684</v>
      </c>
      <c r="D8401" s="1">
        <v>45924.355254629627</v>
      </c>
      <c r="E8401" s="2">
        <v>1</v>
      </c>
      <c r="F8401" s="2">
        <v>2</v>
      </c>
      <c r="G8401" s="2">
        <v>0</v>
      </c>
      <c r="H8401" s="1" t="s">
        <v>0</v>
      </c>
      <c r="I8401" s="2">
        <v>0</v>
      </c>
      <c r="J8401" s="1">
        <v>45922.642905092594</v>
      </c>
    </row>
    <row r="8402" spans="1:10" x14ac:dyDescent="0.2">
      <c r="A8402" s="4" t="s">
        <v>1</v>
      </c>
      <c r="B840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02" s="3" t="str">
        <f>HYPERLINK("https://otsuka-europe-crm.veevavault.com/ui/#object/sent_email__v/VBLZ025E82GWBSD", "SE-000279685")</f>
        <v>SE-000279685</v>
      </c>
      <c r="D8402" s="1" t="s">
        <v>0</v>
      </c>
      <c r="E8402" s="2">
        <v>0</v>
      </c>
      <c r="F8402" s="2">
        <v>0</v>
      </c>
      <c r="G8402" s="2">
        <v>0</v>
      </c>
      <c r="H8402" s="1" t="s">
        <v>0</v>
      </c>
      <c r="I8402" s="2">
        <v>0</v>
      </c>
      <c r="J8402" s="1">
        <v>45922.642777777779</v>
      </c>
    </row>
    <row r="8403" spans="1:10" x14ac:dyDescent="0.2">
      <c r="A8403" s="4" t="s">
        <v>1</v>
      </c>
      <c r="B840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03" s="3" t="str">
        <f>HYPERLINK("https://otsuka-europe-crm.veevavault.com/ui/#object/sent_email__v/VBLZ025E82GWBSE", "SE-000279686")</f>
        <v>SE-000279686</v>
      </c>
      <c r="D8403" s="1">
        <v>45922.794791666667</v>
      </c>
      <c r="E8403" s="2">
        <v>1</v>
      </c>
      <c r="F8403" s="2">
        <v>1</v>
      </c>
      <c r="G8403" s="2">
        <v>0</v>
      </c>
      <c r="H8403" s="1" t="s">
        <v>0</v>
      </c>
      <c r="I8403" s="2">
        <v>0</v>
      </c>
      <c r="J8403" s="1">
        <v>45922.642928240741</v>
      </c>
    </row>
    <row r="8404" spans="1:10" x14ac:dyDescent="0.2">
      <c r="A8404" s="4" t="s">
        <v>1</v>
      </c>
      <c r="B840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04" s="3" t="str">
        <f>HYPERLINK("https://otsuka-europe-crm.veevavault.com/ui/#object/sent_email__v/VBLZ025E82GWBSF", "SE-000279687")</f>
        <v>SE-000279687</v>
      </c>
      <c r="D8404" s="1">
        <v>45923.023993055554</v>
      </c>
      <c r="E8404" s="2">
        <v>1</v>
      </c>
      <c r="F8404" s="2">
        <v>2</v>
      </c>
      <c r="G8404" s="2">
        <v>0</v>
      </c>
      <c r="H8404" s="1" t="s">
        <v>0</v>
      </c>
      <c r="I8404" s="2">
        <v>0</v>
      </c>
      <c r="J8404" s="1">
        <v>45922.642789351848</v>
      </c>
    </row>
    <row r="8405" spans="1:10" x14ac:dyDescent="0.2">
      <c r="A8405" s="4" t="s">
        <v>1</v>
      </c>
      <c r="B840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05" s="3" t="str">
        <f>HYPERLINK("https://otsuka-europe-crm.veevavault.com/ui/#object/sent_email__v/VBLZ025E82GWBSG", "SE-000279688")</f>
        <v>SE-000279688</v>
      </c>
      <c r="D8405" s="1">
        <v>45925.341111111113</v>
      </c>
      <c r="E8405" s="2">
        <v>1</v>
      </c>
      <c r="F8405" s="2">
        <v>1</v>
      </c>
      <c r="G8405" s="2">
        <v>0</v>
      </c>
      <c r="H8405" s="1" t="s">
        <v>0</v>
      </c>
      <c r="I8405" s="2">
        <v>0</v>
      </c>
      <c r="J8405" s="1">
        <v>45922.642939814818</v>
      </c>
    </row>
    <row r="8406" spans="1:10" x14ac:dyDescent="0.2">
      <c r="A8406" s="4" t="s">
        <v>1</v>
      </c>
      <c r="B840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06" s="3" t="str">
        <f>HYPERLINK("https://otsuka-europe-crm.veevavault.com/ui/#object/sent_email__v/VBLZ025E82GWBSH", "SE-000279689")</f>
        <v>SE-000279689</v>
      </c>
      <c r="D8406" s="1">
        <v>45922.648472222223</v>
      </c>
      <c r="E8406" s="2">
        <v>1</v>
      </c>
      <c r="F8406" s="2">
        <v>1</v>
      </c>
      <c r="G8406" s="2">
        <v>0</v>
      </c>
      <c r="H8406" s="1" t="s">
        <v>0</v>
      </c>
      <c r="I8406" s="2">
        <v>0</v>
      </c>
      <c r="J8406" s="1">
        <v>45922.642800925925</v>
      </c>
    </row>
    <row r="8407" spans="1:10" x14ac:dyDescent="0.2">
      <c r="A8407" s="4" t="s">
        <v>1</v>
      </c>
      <c r="B840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07" s="3" t="str">
        <f>HYPERLINK("https://otsuka-europe-crm.veevavault.com/ui/#object/sent_email__v/VBLZ025E82GWBSI", "SE-000279690")</f>
        <v>SE-000279690</v>
      </c>
      <c r="D8407" s="1" t="s">
        <v>0</v>
      </c>
      <c r="E8407" s="2">
        <v>0</v>
      </c>
      <c r="F8407" s="2">
        <v>0</v>
      </c>
      <c r="G8407" s="2">
        <v>0</v>
      </c>
      <c r="H8407" s="1" t="s">
        <v>0</v>
      </c>
      <c r="I8407" s="2">
        <v>0</v>
      </c>
      <c r="J8407" s="1">
        <v>45922.642754629633</v>
      </c>
    </row>
    <row r="8408" spans="1:10" x14ac:dyDescent="0.2">
      <c r="A8408" s="4" t="s">
        <v>1</v>
      </c>
      <c r="B840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08" s="3" t="str">
        <f>HYPERLINK("https://otsuka-europe-crm.veevavault.com/ui/#object/sent_email__v/VBLZ025E82GWBSJ", "SE-000279691")</f>
        <v>SE-000279691</v>
      </c>
      <c r="D8408" s="1">
        <v>45922.934398148151</v>
      </c>
      <c r="E8408" s="2">
        <v>1</v>
      </c>
      <c r="F8408" s="2">
        <v>1</v>
      </c>
      <c r="G8408" s="2">
        <v>0</v>
      </c>
      <c r="H8408" s="1" t="s">
        <v>0</v>
      </c>
      <c r="I8408" s="2">
        <v>0</v>
      </c>
      <c r="J8408" s="1">
        <v>45922.642858796295</v>
      </c>
    </row>
    <row r="8409" spans="1:10" x14ac:dyDescent="0.2">
      <c r="A8409" s="4" t="s">
        <v>1</v>
      </c>
      <c r="B840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09" s="3" t="str">
        <f>HYPERLINK("https://otsuka-europe-crm.veevavault.com/ui/#object/sent_email__v/VBLZ025E82GWBSK", "SE-000279692")</f>
        <v>SE-000279692</v>
      </c>
      <c r="D8409" s="1">
        <v>45925.030243055553</v>
      </c>
      <c r="E8409" s="2">
        <v>1</v>
      </c>
      <c r="F8409" s="2">
        <v>1</v>
      </c>
      <c r="G8409" s="2">
        <v>0</v>
      </c>
      <c r="H8409" s="1" t="s">
        <v>0</v>
      </c>
      <c r="I8409" s="2">
        <v>0</v>
      </c>
      <c r="J8409" s="1">
        <v>45922.64271990741</v>
      </c>
    </row>
    <row r="8410" spans="1:10" x14ac:dyDescent="0.2">
      <c r="A8410" s="4" t="s">
        <v>1</v>
      </c>
      <c r="B841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10" s="3" t="str">
        <f>HYPERLINK("https://otsuka-europe-crm.veevavault.com/ui/#object/sent_email__v/VBLZ025E82GWBSL", "SE-000279693")</f>
        <v>SE-000279693</v>
      </c>
      <c r="D8410" s="1">
        <v>45922.951689814814</v>
      </c>
      <c r="E8410" s="2">
        <v>1</v>
      </c>
      <c r="F8410" s="2">
        <v>3</v>
      </c>
      <c r="G8410" s="2">
        <v>0</v>
      </c>
      <c r="H8410" s="1" t="s">
        <v>0</v>
      </c>
      <c r="I8410" s="2">
        <v>0</v>
      </c>
      <c r="J8410" s="1">
        <v>45922.642858796295</v>
      </c>
    </row>
    <row r="8411" spans="1:10" x14ac:dyDescent="0.2">
      <c r="A8411" s="4" t="s">
        <v>1</v>
      </c>
      <c r="B841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11" s="3" t="str">
        <f>HYPERLINK("https://otsuka-europe-crm.veevavault.com/ui/#object/sent_email__v/VBLZ025E82GWBSM", "SE-000279694")</f>
        <v>SE-000279694</v>
      </c>
      <c r="D8411" s="1" t="s">
        <v>0</v>
      </c>
      <c r="E8411" s="2">
        <v>0</v>
      </c>
      <c r="F8411" s="2">
        <v>0</v>
      </c>
      <c r="G8411" s="2">
        <v>0</v>
      </c>
      <c r="H8411" s="1" t="s">
        <v>0</v>
      </c>
      <c r="I8411" s="2">
        <v>0</v>
      </c>
      <c r="J8411" s="1">
        <v>45922.64271990741</v>
      </c>
    </row>
    <row r="8412" spans="1:10" x14ac:dyDescent="0.2">
      <c r="A8412" s="4" t="s">
        <v>1</v>
      </c>
      <c r="B841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12" s="3" t="str">
        <f>HYPERLINK("https://otsuka-europe-crm.veevavault.com/ui/#object/sent_email__v/VBLZ025E82GWBSN", "SE-000279695")</f>
        <v>SE-000279695</v>
      </c>
      <c r="D8412" s="1">
        <v>45923.599236111113</v>
      </c>
      <c r="E8412" s="2">
        <v>1</v>
      </c>
      <c r="F8412" s="2">
        <v>1</v>
      </c>
      <c r="G8412" s="2">
        <v>0</v>
      </c>
      <c r="H8412" s="1" t="s">
        <v>0</v>
      </c>
      <c r="I8412" s="2">
        <v>0</v>
      </c>
      <c r="J8412" s="1">
        <v>45922.642847222225</v>
      </c>
    </row>
    <row r="8413" spans="1:10" x14ac:dyDescent="0.2">
      <c r="A8413" s="4" t="s">
        <v>1</v>
      </c>
      <c r="B841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13" s="3" t="str">
        <f>HYPERLINK("https://otsuka-europe-crm.veevavault.com/ui/#object/sent_email__v/VBLZ025E82GWBSO", "SE-000279696")</f>
        <v>SE-000279696</v>
      </c>
      <c r="D8413" s="1" t="s">
        <v>0</v>
      </c>
      <c r="E8413" s="2">
        <v>0</v>
      </c>
      <c r="F8413" s="2">
        <v>0</v>
      </c>
      <c r="G8413" s="2">
        <v>0</v>
      </c>
      <c r="H8413" s="1" t="s">
        <v>0</v>
      </c>
      <c r="I8413" s="2">
        <v>0</v>
      </c>
      <c r="J8413" s="1">
        <v>45922.64271990741</v>
      </c>
    </row>
    <row r="8414" spans="1:10" x14ac:dyDescent="0.2">
      <c r="A8414" s="4" t="s">
        <v>1</v>
      </c>
      <c r="B841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14" s="3" t="str">
        <f>HYPERLINK("https://otsuka-europe-crm.veevavault.com/ui/#object/sent_email__v/VBLZ025E82GWBUH", "SE-000279697")</f>
        <v>SE-000279697</v>
      </c>
      <c r="D8414" s="1">
        <v>45943.818680555552</v>
      </c>
      <c r="E8414" s="2">
        <v>1</v>
      </c>
      <c r="F8414" s="2">
        <v>1</v>
      </c>
      <c r="G8414" s="2">
        <v>1</v>
      </c>
      <c r="H8414" s="1">
        <v>45943.818831018521</v>
      </c>
      <c r="I8414" s="2">
        <v>1</v>
      </c>
      <c r="J8414" s="1">
        <v>45922.64398148148</v>
      </c>
    </row>
    <row r="8415" spans="1:10" x14ac:dyDescent="0.2">
      <c r="A8415" s="4" t="s">
        <v>1</v>
      </c>
      <c r="B841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15" s="3" t="str">
        <f>HYPERLINK("https://otsuka-europe-crm.veevavault.com/ui/#object/sent_email__v/VBLZ025E82GWBUI", "SE-000279698")</f>
        <v>SE-000279698</v>
      </c>
      <c r="D8415" s="1">
        <v>45936.552939814814</v>
      </c>
      <c r="E8415" s="2">
        <v>1</v>
      </c>
      <c r="F8415" s="2">
        <v>1</v>
      </c>
      <c r="G8415" s="2">
        <v>0</v>
      </c>
      <c r="H8415" s="1" t="s">
        <v>0</v>
      </c>
      <c r="I8415" s="2">
        <v>0</v>
      </c>
      <c r="J8415" s="1">
        <v>45922.643865740742</v>
      </c>
    </row>
    <row r="8416" spans="1:10" x14ac:dyDescent="0.2">
      <c r="A8416" s="4" t="s">
        <v>1</v>
      </c>
      <c r="B841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16" s="3" t="str">
        <f>HYPERLINK("https://otsuka-europe-crm.veevavault.com/ui/#object/sent_email__v/VBLZ025E82GWBUJ", "SE-000279699")</f>
        <v>SE-000279699</v>
      </c>
      <c r="D8416" s="1" t="s">
        <v>0</v>
      </c>
      <c r="E8416" s="2">
        <v>0</v>
      </c>
      <c r="F8416" s="2">
        <v>0</v>
      </c>
      <c r="G8416" s="2">
        <v>0</v>
      </c>
      <c r="H8416" s="1" t="s">
        <v>0</v>
      </c>
      <c r="I8416" s="2">
        <v>0</v>
      </c>
      <c r="J8416" s="1">
        <v>45922.64398148148</v>
      </c>
    </row>
    <row r="8417" spans="1:10" x14ac:dyDescent="0.2">
      <c r="A8417" s="4" t="s">
        <v>1</v>
      </c>
      <c r="B841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17" s="3" t="str">
        <f>HYPERLINK("https://otsuka-europe-crm.veevavault.com/ui/#object/sent_email__v/VBLZ025E82GWBUK", "SE-000279700")</f>
        <v>SE-000279700</v>
      </c>
      <c r="D8417" s="1" t="s">
        <v>0</v>
      </c>
      <c r="E8417" s="2">
        <v>0</v>
      </c>
      <c r="F8417" s="2">
        <v>0</v>
      </c>
      <c r="G8417" s="2">
        <v>0</v>
      </c>
      <c r="H8417" s="1" t="s">
        <v>0</v>
      </c>
      <c r="I8417" s="2">
        <v>0</v>
      </c>
      <c r="J8417" s="1">
        <v>45922.643877314818</v>
      </c>
    </row>
    <row r="8418" spans="1:10" x14ac:dyDescent="0.2">
      <c r="A8418" s="4" t="s">
        <v>1</v>
      </c>
      <c r="B841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18" s="3" t="str">
        <f>HYPERLINK("https://otsuka-europe-crm.veevavault.com/ui/#object/sent_email__v/VBLZ025E82GWBUL", "SE-000279701")</f>
        <v>SE-000279701</v>
      </c>
      <c r="D8418" s="1">
        <v>45922.700196759259</v>
      </c>
      <c r="E8418" s="2">
        <v>1</v>
      </c>
      <c r="F8418" s="2">
        <v>1</v>
      </c>
      <c r="G8418" s="2">
        <v>0</v>
      </c>
      <c r="H8418" s="1" t="s">
        <v>0</v>
      </c>
      <c r="I8418" s="2">
        <v>0</v>
      </c>
      <c r="J8418" s="1">
        <v>45922.643784722219</v>
      </c>
    </row>
    <row r="8419" spans="1:10" x14ac:dyDescent="0.2">
      <c r="A8419" s="4" t="s">
        <v>1</v>
      </c>
      <c r="B841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19" s="3" t="str">
        <f>HYPERLINK("https://otsuka-europe-crm.veevavault.com/ui/#object/sent_email__v/VBLZ025E82GWBUM", "SE-000279702")</f>
        <v>SE-000279702</v>
      </c>
      <c r="D8419" s="1">
        <v>45922.896331018521</v>
      </c>
      <c r="E8419" s="2">
        <v>1</v>
      </c>
      <c r="F8419" s="2">
        <v>1</v>
      </c>
      <c r="G8419" s="2">
        <v>0</v>
      </c>
      <c r="H8419" s="1" t="s">
        <v>0</v>
      </c>
      <c r="I8419" s="2">
        <v>0</v>
      </c>
      <c r="J8419" s="1">
        <v>45922.643900462965</v>
      </c>
    </row>
    <row r="8420" spans="1:10" x14ac:dyDescent="0.2">
      <c r="A8420" s="4" t="s">
        <v>1</v>
      </c>
      <c r="B842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20" s="3" t="str">
        <f>HYPERLINK("https://otsuka-europe-crm.veevavault.com/ui/#object/sent_email__v/VBLZ025E82GWBUN", "SE-000279703")</f>
        <v>SE-000279703</v>
      </c>
      <c r="D8420" s="1">
        <v>45929.414930555555</v>
      </c>
      <c r="E8420" s="2">
        <v>1</v>
      </c>
      <c r="F8420" s="2">
        <v>1</v>
      </c>
      <c r="G8420" s="2">
        <v>0</v>
      </c>
      <c r="H8420" s="1" t="s">
        <v>0</v>
      </c>
      <c r="I8420" s="2">
        <v>0</v>
      </c>
      <c r="J8420" s="1">
        <v>45922.643761574072</v>
      </c>
    </row>
    <row r="8421" spans="1:10" x14ac:dyDescent="0.2">
      <c r="A8421" s="4" t="s">
        <v>1</v>
      </c>
      <c r="B842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21" s="3" t="str">
        <f>HYPERLINK("https://otsuka-europe-crm.veevavault.com/ui/#object/sent_email__v/VBLZ025E82GWBUO", "SE-000279704")</f>
        <v>SE-000279704</v>
      </c>
      <c r="D8421" s="1">
        <v>45922.941423611112</v>
      </c>
      <c r="E8421" s="2">
        <v>1</v>
      </c>
      <c r="F8421" s="2">
        <v>1</v>
      </c>
      <c r="G8421" s="2">
        <v>0</v>
      </c>
      <c r="H8421" s="1" t="s">
        <v>0</v>
      </c>
      <c r="I8421" s="2">
        <v>0</v>
      </c>
      <c r="J8421" s="1">
        <v>45922.643912037034</v>
      </c>
    </row>
    <row r="8422" spans="1:10" x14ac:dyDescent="0.2">
      <c r="A8422" s="4" t="s">
        <v>1</v>
      </c>
      <c r="B842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22" s="3" t="str">
        <f>HYPERLINK("https://otsuka-europe-crm.veevavault.com/ui/#object/sent_email__v/VBLZ025E82GWBUP", "SE-000279705")</f>
        <v>SE-000279705</v>
      </c>
      <c r="D8422" s="1" t="s">
        <v>0</v>
      </c>
      <c r="E8422" s="2">
        <v>0</v>
      </c>
      <c r="F8422" s="2">
        <v>0</v>
      </c>
      <c r="G8422" s="2">
        <v>0</v>
      </c>
      <c r="H8422" s="1" t="s">
        <v>0</v>
      </c>
      <c r="I8422" s="2">
        <v>0</v>
      </c>
      <c r="J8422" s="1">
        <v>45922.643773148149</v>
      </c>
    </row>
    <row r="8423" spans="1:10" x14ac:dyDescent="0.2">
      <c r="A8423" s="4" t="s">
        <v>1</v>
      </c>
      <c r="B842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23" s="3" t="str">
        <f>HYPERLINK("https://otsuka-europe-crm.veevavault.com/ui/#object/sent_email__v/VBLZ025E82GWBUQ", "SE-000279706")</f>
        <v>SE-000279706</v>
      </c>
      <c r="D8423" s="1">
        <v>45922.910138888888</v>
      </c>
      <c r="E8423" s="2">
        <v>1</v>
      </c>
      <c r="F8423" s="2">
        <v>1</v>
      </c>
      <c r="G8423" s="2">
        <v>0</v>
      </c>
      <c r="H8423" s="1" t="s">
        <v>0</v>
      </c>
      <c r="I8423" s="2">
        <v>0</v>
      </c>
      <c r="J8423" s="1">
        <v>45922.643888888888</v>
      </c>
    </row>
    <row r="8424" spans="1:10" x14ac:dyDescent="0.2">
      <c r="A8424" s="4" t="s">
        <v>1</v>
      </c>
      <c r="B842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24" s="3" t="str">
        <f>HYPERLINK("https://otsuka-europe-crm.veevavault.com/ui/#object/sent_email__v/VBLZ025E82GWBUR", "SE-000279707")</f>
        <v>SE-000279707</v>
      </c>
      <c r="D8424" s="1" t="s">
        <v>0</v>
      </c>
      <c r="E8424" s="2">
        <v>0</v>
      </c>
      <c r="F8424" s="2">
        <v>0</v>
      </c>
      <c r="G8424" s="2">
        <v>0</v>
      </c>
      <c r="H8424" s="1" t="s">
        <v>0</v>
      </c>
      <c r="I8424" s="2">
        <v>0</v>
      </c>
      <c r="J8424" s="1">
        <v>45922.643796296295</v>
      </c>
    </row>
    <row r="8425" spans="1:10" x14ac:dyDescent="0.2">
      <c r="A8425" s="4" t="s">
        <v>1</v>
      </c>
      <c r="B842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25" s="3" t="str">
        <f>HYPERLINK("https://otsuka-europe-crm.veevavault.com/ui/#object/sent_email__v/VBLZ025E82GWBUS", "SE-000279708")</f>
        <v>SE-000279708</v>
      </c>
      <c r="D8425" s="1">
        <v>45922.717245370368</v>
      </c>
      <c r="E8425" s="2">
        <v>1</v>
      </c>
      <c r="F8425" s="2">
        <v>1</v>
      </c>
      <c r="G8425" s="2">
        <v>0</v>
      </c>
      <c r="H8425" s="1" t="s">
        <v>0</v>
      </c>
      <c r="I8425" s="2">
        <v>0</v>
      </c>
      <c r="J8425" s="1">
        <v>45922.643912037034</v>
      </c>
    </row>
    <row r="8426" spans="1:10" x14ac:dyDescent="0.2">
      <c r="A8426" s="4" t="s">
        <v>1</v>
      </c>
      <c r="B842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26" s="3" t="str">
        <f>HYPERLINK("https://otsuka-europe-crm.veevavault.com/ui/#object/sent_email__v/VBLZ025E82GWBUT", "SE-000279709")</f>
        <v>SE-000279709</v>
      </c>
      <c r="D8426" s="1">
        <v>45937.930312500001</v>
      </c>
      <c r="E8426" s="2">
        <v>1</v>
      </c>
      <c r="F8426" s="2">
        <v>2</v>
      </c>
      <c r="G8426" s="2">
        <v>1</v>
      </c>
      <c r="H8426" s="1">
        <v>45922.667812500003</v>
      </c>
      <c r="I8426" s="2">
        <v>1</v>
      </c>
      <c r="J8426" s="1">
        <v>45922.643807870372</v>
      </c>
    </row>
    <row r="8427" spans="1:10" x14ac:dyDescent="0.2">
      <c r="A8427" s="4" t="s">
        <v>1</v>
      </c>
      <c r="B842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27" s="3" t="str">
        <f>HYPERLINK("https://otsuka-europe-crm.veevavault.com/ui/#object/sent_email__v/VBLZ025E82GWBUU", "SE-000279710")</f>
        <v>SE-000279710</v>
      </c>
      <c r="D8427" s="1" t="s">
        <v>0</v>
      </c>
      <c r="E8427" s="2">
        <v>0</v>
      </c>
      <c r="F8427" s="2">
        <v>0</v>
      </c>
      <c r="G8427" s="2">
        <v>0</v>
      </c>
      <c r="H8427" s="1" t="s">
        <v>0</v>
      </c>
      <c r="I8427" s="2">
        <v>0</v>
      </c>
      <c r="J8427" s="1">
        <v>45922.643958333334</v>
      </c>
    </row>
    <row r="8428" spans="1:10" x14ac:dyDescent="0.2">
      <c r="A8428" s="4" t="s">
        <v>1</v>
      </c>
      <c r="B842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28" s="3" t="str">
        <f>HYPERLINK("https://otsuka-europe-crm.veevavault.com/ui/#object/sent_email__v/VBLZ025E82GWBUV", "SE-000279711")</f>
        <v>SE-000279711</v>
      </c>
      <c r="D8428" s="1">
        <v>45923.81689814815</v>
      </c>
      <c r="E8428" s="2">
        <v>1</v>
      </c>
      <c r="F8428" s="2">
        <v>2</v>
      </c>
      <c r="G8428" s="2">
        <v>0</v>
      </c>
      <c r="H8428" s="1" t="s">
        <v>0</v>
      </c>
      <c r="I8428" s="2">
        <v>0</v>
      </c>
      <c r="J8428" s="1">
        <v>45922.643807870372</v>
      </c>
    </row>
    <row r="8429" spans="1:10" x14ac:dyDescent="0.2">
      <c r="A8429" s="4" t="s">
        <v>1</v>
      </c>
      <c r="B842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29" s="3" t="str">
        <f>HYPERLINK("https://otsuka-europe-crm.veevavault.com/ui/#object/sent_email__v/VBLZ025E82GWBUW", "SE-000279712")</f>
        <v>SE-000279712</v>
      </c>
      <c r="D8429" s="1" t="s">
        <v>0</v>
      </c>
      <c r="E8429" s="2">
        <v>0</v>
      </c>
      <c r="F8429" s="2">
        <v>0</v>
      </c>
      <c r="G8429" s="2">
        <v>0</v>
      </c>
      <c r="H8429" s="1" t="s">
        <v>0</v>
      </c>
      <c r="I8429" s="2">
        <v>0</v>
      </c>
      <c r="J8429" s="1">
        <v>45922.643854166665</v>
      </c>
    </row>
    <row r="8430" spans="1:10" x14ac:dyDescent="0.2">
      <c r="A8430" s="4" t="s">
        <v>1</v>
      </c>
      <c r="B843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30" s="3" t="str">
        <f>HYPERLINK("https://otsuka-europe-crm.veevavault.com/ui/#object/sent_email__v/VBLZ025E82GWBUX", "SE-000279713")</f>
        <v>SE-000279713</v>
      </c>
      <c r="D8430" s="1">
        <v>45931.887662037036</v>
      </c>
      <c r="E8430" s="2">
        <v>1</v>
      </c>
      <c r="F8430" s="2">
        <v>1</v>
      </c>
      <c r="G8430" s="2">
        <v>0</v>
      </c>
      <c r="H8430" s="1" t="s">
        <v>0</v>
      </c>
      <c r="I8430" s="2">
        <v>0</v>
      </c>
      <c r="J8430" s="1">
        <v>45922.643969907411</v>
      </c>
    </row>
    <row r="8431" spans="1:10" x14ac:dyDescent="0.2">
      <c r="A8431" s="4" t="s">
        <v>1</v>
      </c>
      <c r="B843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31" s="3" t="str">
        <f>HYPERLINK("https://otsuka-europe-crm.veevavault.com/ui/#object/sent_email__v/VBLZ025E82GWBUY", "SE-000279714")</f>
        <v>SE-000279714</v>
      </c>
      <c r="D8431" s="1">
        <v>45922.956493055557</v>
      </c>
      <c r="E8431" s="2">
        <v>1</v>
      </c>
      <c r="F8431" s="2">
        <v>1</v>
      </c>
      <c r="G8431" s="2">
        <v>0</v>
      </c>
      <c r="H8431" s="1" t="s">
        <v>0</v>
      </c>
      <c r="I8431" s="2">
        <v>0</v>
      </c>
      <c r="J8431" s="1">
        <v>45922.643854166665</v>
      </c>
    </row>
    <row r="8432" spans="1:10" x14ac:dyDescent="0.2">
      <c r="A8432" s="4" t="s">
        <v>1</v>
      </c>
      <c r="B843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32" s="3" t="str">
        <f>HYPERLINK("https://otsuka-europe-crm.veevavault.com/ui/#object/sent_email__v/VBLZ025E82GWBUZ", "SE-000279715")</f>
        <v>SE-000279715</v>
      </c>
      <c r="D8432" s="1" t="s">
        <v>0</v>
      </c>
      <c r="E8432" s="2">
        <v>0</v>
      </c>
      <c r="F8432" s="2">
        <v>0</v>
      </c>
      <c r="G8432" s="2">
        <v>0</v>
      </c>
      <c r="H8432" s="1" t="s">
        <v>0</v>
      </c>
      <c r="I8432" s="2">
        <v>0</v>
      </c>
      <c r="J8432" s="1">
        <v>45922.643958333334</v>
      </c>
    </row>
    <row r="8433" spans="1:10" x14ac:dyDescent="0.2">
      <c r="A8433" s="4" t="s">
        <v>1</v>
      </c>
      <c r="B843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33" s="3" t="str">
        <f>HYPERLINK("https://otsuka-europe-crm.veevavault.com/ui/#object/sent_email__v/VBLZ025E82GWBV0", "SE-000279716")</f>
        <v>SE-000279716</v>
      </c>
      <c r="D8433" s="1" t="s">
        <v>0</v>
      </c>
      <c r="E8433" s="2">
        <v>0</v>
      </c>
      <c r="F8433" s="2">
        <v>0</v>
      </c>
      <c r="G8433" s="2">
        <v>0</v>
      </c>
      <c r="H8433" s="1" t="s">
        <v>0</v>
      </c>
      <c r="I8433" s="2">
        <v>0</v>
      </c>
      <c r="J8433" s="1">
        <v>45922.643842592595</v>
      </c>
    </row>
    <row r="8434" spans="1:10" x14ac:dyDescent="0.2">
      <c r="A8434" s="4" t="s">
        <v>1</v>
      </c>
      <c r="B843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34" s="3" t="str">
        <f>HYPERLINK("https://otsuka-europe-crm.veevavault.com/ui/#object/sent_email__v/VBLZ025E82GWBV1", "SE-000279717")</f>
        <v>SE-000279717</v>
      </c>
      <c r="D8434" s="1">
        <v>45927.806944444441</v>
      </c>
      <c r="E8434" s="2">
        <v>1</v>
      </c>
      <c r="F8434" s="2">
        <v>2</v>
      </c>
      <c r="G8434" s="2">
        <v>1</v>
      </c>
      <c r="H8434" s="1">
        <v>45927.806990740741</v>
      </c>
      <c r="I8434" s="2">
        <v>1</v>
      </c>
      <c r="J8434" s="1">
        <v>45922.643958333334</v>
      </c>
    </row>
    <row r="8435" spans="1:10" x14ac:dyDescent="0.2">
      <c r="A8435" s="4" t="s">
        <v>1</v>
      </c>
      <c r="B843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35" s="3" t="str">
        <f>HYPERLINK("https://otsuka-europe-crm.veevavault.com/ui/#object/sent_email__v/VBLZ025E82GWBV2", "SE-000279718")</f>
        <v>SE-000279718</v>
      </c>
      <c r="D8435" s="1">
        <v>45922.916828703703</v>
      </c>
      <c r="E8435" s="2">
        <v>1</v>
      </c>
      <c r="F8435" s="2">
        <v>1</v>
      </c>
      <c r="G8435" s="2">
        <v>0</v>
      </c>
      <c r="H8435" s="1" t="s">
        <v>0</v>
      </c>
      <c r="I8435" s="2">
        <v>0</v>
      </c>
      <c r="J8435" s="1">
        <v>45922.643842592595</v>
      </c>
    </row>
    <row r="8436" spans="1:10" x14ac:dyDescent="0.2">
      <c r="A8436" s="4" t="s">
        <v>1</v>
      </c>
      <c r="B843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36" s="3" t="str">
        <f>HYPERLINK("https://otsuka-europe-crm.veevavault.com/ui/#object/sent_email__v/VBLZ025E82GWBV3", "SE-000279719")</f>
        <v>SE-000279719</v>
      </c>
      <c r="D8436" s="1" t="s">
        <v>0</v>
      </c>
      <c r="E8436" s="2">
        <v>0</v>
      </c>
      <c r="F8436" s="2">
        <v>0</v>
      </c>
      <c r="G8436" s="2">
        <v>0</v>
      </c>
      <c r="H8436" s="1" t="s">
        <v>0</v>
      </c>
      <c r="I8436" s="2">
        <v>0</v>
      </c>
      <c r="J8436" s="1">
        <v>45922.643935185188</v>
      </c>
    </row>
    <row r="8437" spans="1:10" x14ac:dyDescent="0.2">
      <c r="A8437" s="4" t="s">
        <v>1</v>
      </c>
      <c r="B843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37" s="3" t="str">
        <f>HYPERLINK("https://otsuka-europe-crm.veevavault.com/ui/#object/sent_email__v/VBLZ025E82GWBV4", "SE-000279720")</f>
        <v>SE-000279720</v>
      </c>
      <c r="D8437" s="1" t="s">
        <v>0</v>
      </c>
      <c r="E8437" s="2">
        <v>0</v>
      </c>
      <c r="F8437" s="2">
        <v>0</v>
      </c>
      <c r="G8437" s="2">
        <v>0</v>
      </c>
      <c r="H8437" s="1" t="s">
        <v>0</v>
      </c>
      <c r="I8437" s="2">
        <v>0</v>
      </c>
      <c r="J8437" s="1">
        <v>45922.643784722219</v>
      </c>
    </row>
    <row r="8438" spans="1:10" x14ac:dyDescent="0.2">
      <c r="A8438" s="4" t="s">
        <v>1</v>
      </c>
      <c r="B843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38" s="3" t="str">
        <f>HYPERLINK("https://otsuka-europe-crm.veevavault.com/ui/#object/sent_email__v/VBLZ025E82GWBV5", "SE-000279721")</f>
        <v>SE-000279721</v>
      </c>
      <c r="D8438" s="1" t="s">
        <v>0</v>
      </c>
      <c r="E8438" s="2">
        <v>0</v>
      </c>
      <c r="F8438" s="2">
        <v>0</v>
      </c>
      <c r="G8438" s="2">
        <v>0</v>
      </c>
      <c r="H8438" s="1" t="s">
        <v>0</v>
      </c>
      <c r="I8438" s="2">
        <v>0</v>
      </c>
      <c r="J8438" s="1">
        <v>45922.643946759257</v>
      </c>
    </row>
    <row r="8439" spans="1:10" x14ac:dyDescent="0.2">
      <c r="A8439" s="4" t="s">
        <v>1</v>
      </c>
      <c r="B843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39" s="3" t="str">
        <f>HYPERLINK("https://otsuka-europe-crm.veevavault.com/ui/#object/sent_email__v/VBLZ025E82GWBV6", "SE-000279722")</f>
        <v>SE-000279722</v>
      </c>
      <c r="D8439" s="1" t="s">
        <v>0</v>
      </c>
      <c r="E8439" s="2">
        <v>0</v>
      </c>
      <c r="F8439" s="2">
        <v>0</v>
      </c>
      <c r="G8439" s="2">
        <v>0</v>
      </c>
      <c r="H8439" s="1" t="s">
        <v>0</v>
      </c>
      <c r="I8439" s="2">
        <v>0</v>
      </c>
      <c r="J8439" s="1">
        <v>45922.643819444442</v>
      </c>
    </row>
    <row r="8440" spans="1:10" x14ac:dyDescent="0.2">
      <c r="A8440" s="4" t="s">
        <v>1</v>
      </c>
      <c r="B844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40" s="3" t="str">
        <f>HYPERLINK("https://otsuka-europe-crm.veevavault.com/ui/#object/sent_email__v/VBLZ025E82GWBV7", "SE-000279723")</f>
        <v>SE-000279723</v>
      </c>
      <c r="D8440" s="1">
        <v>45924.945462962962</v>
      </c>
      <c r="E8440" s="2">
        <v>1</v>
      </c>
      <c r="F8440" s="2">
        <v>2</v>
      </c>
      <c r="G8440" s="2">
        <v>0</v>
      </c>
      <c r="H8440" s="1" t="s">
        <v>0</v>
      </c>
      <c r="I8440" s="2">
        <v>0</v>
      </c>
      <c r="J8440" s="1">
        <v>45922.643888888888</v>
      </c>
    </row>
    <row r="8441" spans="1:10" x14ac:dyDescent="0.2">
      <c r="A8441" s="4" t="s">
        <v>1</v>
      </c>
      <c r="B844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41" s="3" t="str">
        <f>HYPERLINK("https://otsuka-europe-crm.veevavault.com/ui/#object/sent_email__v/VBLZ025E82GWBV8", "SE-000279724")</f>
        <v>SE-000279724</v>
      </c>
      <c r="D8441" s="1">
        <v>45923.285046296296</v>
      </c>
      <c r="E8441" s="2">
        <v>1</v>
      </c>
      <c r="F8441" s="2">
        <v>2</v>
      </c>
      <c r="G8441" s="2">
        <v>0</v>
      </c>
      <c r="H8441" s="1" t="s">
        <v>0</v>
      </c>
      <c r="I8441" s="2">
        <v>0</v>
      </c>
      <c r="J8441" s="1">
        <v>45922.643761574072</v>
      </c>
    </row>
    <row r="8442" spans="1:10" x14ac:dyDescent="0.2">
      <c r="A8442" s="4" t="s">
        <v>1</v>
      </c>
      <c r="B844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42" s="3" t="str">
        <f>HYPERLINK("https://otsuka-europe-crm.veevavault.com/ui/#object/sent_email__v/VBLZ025E82GXWMX", "SE-000280247")</f>
        <v>SE-000280247</v>
      </c>
      <c r="D8442" s="1">
        <v>45968.958622685182</v>
      </c>
      <c r="E8442" s="2">
        <v>1</v>
      </c>
      <c r="F8442" s="2">
        <v>4</v>
      </c>
      <c r="G8442" s="2">
        <v>0</v>
      </c>
      <c r="H8442" s="1" t="s">
        <v>0</v>
      </c>
      <c r="I8442" s="2">
        <v>0</v>
      </c>
      <c r="J8442" s="1">
        <v>45923.651979166665</v>
      </c>
    </row>
    <row r="8443" spans="1:10" x14ac:dyDescent="0.2">
      <c r="A8443" s="4" t="s">
        <v>1</v>
      </c>
      <c r="B844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43" s="3" t="str">
        <f>HYPERLINK("https://otsuka-europe-crm.veevavault.com/ui/#object/sent_email__v/VBLZ025E82GXWMY", "SE-000280248")</f>
        <v>SE-000280248</v>
      </c>
      <c r="D8443" s="1" t="s">
        <v>0</v>
      </c>
      <c r="E8443" s="2">
        <v>0</v>
      </c>
      <c r="F8443" s="2">
        <v>0</v>
      </c>
      <c r="G8443" s="2">
        <v>0</v>
      </c>
      <c r="H8443" s="1" t="s">
        <v>0</v>
      </c>
      <c r="I8443" s="2">
        <v>0</v>
      </c>
      <c r="J8443" s="1">
        <v>45923.651979166665</v>
      </c>
    </row>
    <row r="8444" spans="1:10" x14ac:dyDescent="0.2">
      <c r="A8444" s="4" t="s">
        <v>1</v>
      </c>
      <c r="B844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44" s="3" t="str">
        <f>HYPERLINK("https://otsuka-europe-crm.veevavault.com/ui/#object/sent_email__v/VBLZ025E82GXWMZ", "SE-000280249")</f>
        <v>SE-000280249</v>
      </c>
      <c r="D8444" s="1">
        <v>45925.223530092589</v>
      </c>
      <c r="E8444" s="2">
        <v>1</v>
      </c>
      <c r="F8444" s="2">
        <v>4</v>
      </c>
      <c r="G8444" s="2">
        <v>0</v>
      </c>
      <c r="H8444" s="1" t="s">
        <v>0</v>
      </c>
      <c r="I8444" s="2">
        <v>0</v>
      </c>
      <c r="J8444" s="1">
        <v>45923.651979166665</v>
      </c>
    </row>
    <row r="8445" spans="1:10" x14ac:dyDescent="0.2">
      <c r="A8445" s="4" t="s">
        <v>1</v>
      </c>
      <c r="B844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45" s="3" t="str">
        <f>HYPERLINK("https://otsuka-europe-crm.veevavault.com/ui/#object/sent_email__v/VBLZ025E82GXWN0", "SE-000280250")</f>
        <v>SE-000280250</v>
      </c>
      <c r="D8445" s="1" t="s">
        <v>0</v>
      </c>
      <c r="E8445" s="2">
        <v>0</v>
      </c>
      <c r="F8445" s="2">
        <v>0</v>
      </c>
      <c r="G8445" s="2">
        <v>0</v>
      </c>
      <c r="H8445" s="1" t="s">
        <v>0</v>
      </c>
      <c r="I8445" s="2">
        <v>0</v>
      </c>
      <c r="J8445" s="1">
        <v>45923.651979166665</v>
      </c>
    </row>
    <row r="8446" spans="1:10" x14ac:dyDescent="0.2">
      <c r="A8446" s="4" t="s">
        <v>1</v>
      </c>
      <c r="B844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46" s="3" t="str">
        <f>HYPERLINK("https://otsuka-europe-crm.veevavault.com/ui/#object/sent_email__v/VBLZ025E82GXWN1", "SE-000280251")</f>
        <v>SE-000280251</v>
      </c>
      <c r="D8446" s="1">
        <v>45944.599166666667</v>
      </c>
      <c r="E8446" s="2">
        <v>1</v>
      </c>
      <c r="F8446" s="2">
        <v>1</v>
      </c>
      <c r="G8446" s="2">
        <v>0</v>
      </c>
      <c r="H8446" s="1" t="s">
        <v>0</v>
      </c>
      <c r="I8446" s="2">
        <v>0</v>
      </c>
      <c r="J8446" s="1">
        <v>45923.651990740742</v>
      </c>
    </row>
    <row r="8447" spans="1:10" x14ac:dyDescent="0.2">
      <c r="A8447" s="4" t="s">
        <v>1</v>
      </c>
      <c r="B844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47" s="3" t="str">
        <f>HYPERLINK("https://otsuka-europe-crm.veevavault.com/ui/#object/sent_email__v/VBLZ025E82GXWN2", "SE-000280252")</f>
        <v>SE-000280252</v>
      </c>
      <c r="D8447" s="1" t="s">
        <v>0</v>
      </c>
      <c r="E8447" s="2">
        <v>0</v>
      </c>
      <c r="F8447" s="2">
        <v>0</v>
      </c>
      <c r="G8447" s="2">
        <v>0</v>
      </c>
      <c r="H8447" s="1" t="s">
        <v>0</v>
      </c>
      <c r="I8447" s="2">
        <v>0</v>
      </c>
      <c r="J8447" s="1">
        <v>45923.652002314811</v>
      </c>
    </row>
    <row r="8448" spans="1:10" x14ac:dyDescent="0.2">
      <c r="A8448" s="4" t="s">
        <v>1</v>
      </c>
      <c r="B844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48" s="3" t="str">
        <f>HYPERLINK("https://otsuka-europe-crm.veevavault.com/ui/#object/sent_email__v/VBLZ025E82GXWN3", "SE-000280253")</f>
        <v>SE-000280253</v>
      </c>
      <c r="D8448" s="1" t="s">
        <v>0</v>
      </c>
      <c r="E8448" s="2">
        <v>0</v>
      </c>
      <c r="F8448" s="2">
        <v>0</v>
      </c>
      <c r="G8448" s="2">
        <v>0</v>
      </c>
      <c r="H8448" s="1" t="s">
        <v>0</v>
      </c>
      <c r="I8448" s="2">
        <v>0</v>
      </c>
      <c r="J8448" s="1">
        <v>45923.652037037034</v>
      </c>
    </row>
    <row r="8449" spans="1:10" x14ac:dyDescent="0.2">
      <c r="A8449" s="4" t="s">
        <v>1</v>
      </c>
      <c r="B844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49" s="3" t="str">
        <f>HYPERLINK("https://otsuka-europe-crm.veevavault.com/ui/#object/sent_email__v/VBLZ025E82GXWN4", "SE-000280254")</f>
        <v>SE-000280254</v>
      </c>
      <c r="D8449" s="1">
        <v>45931.462094907409</v>
      </c>
      <c r="E8449" s="2">
        <v>1</v>
      </c>
      <c r="F8449" s="2">
        <v>3</v>
      </c>
      <c r="G8449" s="2">
        <v>0</v>
      </c>
      <c r="H8449" s="1" t="s">
        <v>0</v>
      </c>
      <c r="I8449" s="2">
        <v>0</v>
      </c>
      <c r="J8449" s="1">
        <v>45923.652025462965</v>
      </c>
    </row>
    <row r="8450" spans="1:10" x14ac:dyDescent="0.2">
      <c r="A8450" s="4" t="s">
        <v>1</v>
      </c>
      <c r="B845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50" s="3" t="str">
        <f>HYPERLINK("https://otsuka-europe-crm.veevavault.com/ui/#object/sent_email__v/VBLZ025E82GYKEH", "SE-000280398")</f>
        <v>SE-000280398</v>
      </c>
      <c r="D8450" s="1" t="s">
        <v>0</v>
      </c>
      <c r="E8450" s="2">
        <v>0</v>
      </c>
      <c r="F8450" s="2">
        <v>0</v>
      </c>
      <c r="G8450" s="2">
        <v>0</v>
      </c>
      <c r="H8450" s="1" t="s">
        <v>0</v>
      </c>
      <c r="I8450" s="2">
        <v>0</v>
      </c>
      <c r="J8450" s="1">
        <v>45924.510810185187</v>
      </c>
    </row>
    <row r="8451" spans="1:10" x14ac:dyDescent="0.2">
      <c r="A8451" s="4" t="s">
        <v>1</v>
      </c>
      <c r="B845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51" s="3" t="str">
        <f>HYPERLINK("https://otsuka-europe-crm.veevavault.com/ui/#object/sent_email__v/VBLZ025E82GYKEI", "SE-000280399")</f>
        <v>SE-000280399</v>
      </c>
      <c r="D8451" s="1" t="s">
        <v>0</v>
      </c>
      <c r="E8451" s="2">
        <v>0</v>
      </c>
      <c r="F8451" s="2">
        <v>0</v>
      </c>
      <c r="G8451" s="2">
        <v>0</v>
      </c>
      <c r="H8451" s="1" t="s">
        <v>0</v>
      </c>
      <c r="I8451" s="2">
        <v>0</v>
      </c>
      <c r="J8451" s="1">
        <v>45924.510752314818</v>
      </c>
    </row>
    <row r="8452" spans="1:10" x14ac:dyDescent="0.2">
      <c r="A8452" s="4" t="s">
        <v>1</v>
      </c>
      <c r="B845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52" s="3" t="str">
        <f>HYPERLINK("https://otsuka-europe-crm.veevavault.com/ui/#object/sent_email__v/VBLZ025E82GYKEJ", "SE-000280400")</f>
        <v>SE-000280400</v>
      </c>
      <c r="D8452" s="1" t="s">
        <v>0</v>
      </c>
      <c r="E8452" s="2">
        <v>0</v>
      </c>
      <c r="F8452" s="2">
        <v>0</v>
      </c>
      <c r="G8452" s="2">
        <v>0</v>
      </c>
      <c r="H8452" s="1" t="s">
        <v>0</v>
      </c>
      <c r="I8452" s="2">
        <v>0</v>
      </c>
      <c r="J8452" s="1">
        <v>45924.510810185187</v>
      </c>
    </row>
    <row r="8453" spans="1:10" x14ac:dyDescent="0.2">
      <c r="A8453" s="4" t="s">
        <v>1</v>
      </c>
      <c r="B845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53" s="3" t="str">
        <f>HYPERLINK("https://otsuka-europe-crm.veevavault.com/ui/#object/sent_email__v/VBLZ025E82GYKEK", "SE-000280401")</f>
        <v>SE-000280401</v>
      </c>
      <c r="D8453" s="1">
        <v>45924.645960648151</v>
      </c>
      <c r="E8453" s="2">
        <v>1</v>
      </c>
      <c r="F8453" s="2">
        <v>4</v>
      </c>
      <c r="G8453" s="2">
        <v>1</v>
      </c>
      <c r="H8453" s="1">
        <v>45924.645590277774</v>
      </c>
      <c r="I8453" s="2">
        <v>1</v>
      </c>
      <c r="J8453" s="1">
        <v>45924.510798611111</v>
      </c>
    </row>
    <row r="8454" spans="1:10" x14ac:dyDescent="0.2">
      <c r="A8454" s="4" t="s">
        <v>1</v>
      </c>
      <c r="B845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54" s="3" t="str">
        <f>HYPERLINK("https://otsuka-europe-crm.veevavault.com/ui/#object/sent_email__v/VBLZ025E82GYKEL", "SE-000280402")</f>
        <v>SE-000280402</v>
      </c>
      <c r="D8454" s="1" t="s">
        <v>0</v>
      </c>
      <c r="E8454" s="2">
        <v>0</v>
      </c>
      <c r="F8454" s="2">
        <v>0</v>
      </c>
      <c r="G8454" s="2">
        <v>0</v>
      </c>
      <c r="H8454" s="1" t="s">
        <v>0</v>
      </c>
      <c r="I8454" s="2">
        <v>0</v>
      </c>
      <c r="J8454" s="1">
        <v>45924.510763888888</v>
      </c>
    </row>
    <row r="8455" spans="1:10" x14ac:dyDescent="0.2">
      <c r="A8455" s="4" t="s">
        <v>1</v>
      </c>
      <c r="B845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55" s="3" t="str">
        <f>HYPERLINK("https://otsuka-europe-crm.veevavault.com/ui/#object/sent_email__v/VBLZ025E82GYKEM", "SE-000280403")</f>
        <v>SE-000280403</v>
      </c>
      <c r="D8455" s="1">
        <v>45924.561527777776</v>
      </c>
      <c r="E8455" s="2">
        <v>1</v>
      </c>
      <c r="F8455" s="2">
        <v>1</v>
      </c>
      <c r="G8455" s="2">
        <v>0</v>
      </c>
      <c r="H8455" s="1" t="s">
        <v>0</v>
      </c>
      <c r="I8455" s="2">
        <v>0</v>
      </c>
      <c r="J8455" s="1">
        <v>45924.510891203703</v>
      </c>
    </row>
    <row r="8456" spans="1:10" x14ac:dyDescent="0.2">
      <c r="A8456" s="4" t="s">
        <v>1</v>
      </c>
      <c r="B845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56" s="3" t="str">
        <f>HYPERLINK("https://otsuka-europe-crm.veevavault.com/ui/#object/sent_email__v/VBLZ025E82GYKEN", "SE-000280404")</f>
        <v>SE-000280404</v>
      </c>
      <c r="D8456" s="1">
        <v>45924.80259259259</v>
      </c>
      <c r="E8456" s="2">
        <v>1</v>
      </c>
      <c r="F8456" s="2">
        <v>4</v>
      </c>
      <c r="G8456" s="2">
        <v>0</v>
      </c>
      <c r="H8456" s="1" t="s">
        <v>0</v>
      </c>
      <c r="I8456" s="2">
        <v>0</v>
      </c>
      <c r="J8456" s="1">
        <v>45924.510891203703</v>
      </c>
    </row>
    <row r="8457" spans="1:10" x14ac:dyDescent="0.2">
      <c r="A8457" s="4" t="s">
        <v>1</v>
      </c>
      <c r="B845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57" s="3" t="str">
        <f>HYPERLINK("https://otsuka-europe-crm.veevavault.com/ui/#object/sent_email__v/VBLZ025E82GYKEO", "SE-000280405")</f>
        <v>SE-000280405</v>
      </c>
      <c r="D8457" s="1">
        <v>45925.48642361111</v>
      </c>
      <c r="E8457" s="2">
        <v>1</v>
      </c>
      <c r="F8457" s="2">
        <v>2</v>
      </c>
      <c r="G8457" s="2">
        <v>0</v>
      </c>
      <c r="H8457" s="1" t="s">
        <v>0</v>
      </c>
      <c r="I8457" s="2">
        <v>0</v>
      </c>
      <c r="J8457" s="1">
        <v>45924.510891203703</v>
      </c>
    </row>
    <row r="8458" spans="1:10" x14ac:dyDescent="0.2">
      <c r="A8458" s="4" t="s">
        <v>1</v>
      </c>
      <c r="B845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58" s="3" t="str">
        <f>HYPERLINK("https://otsuka-europe-crm.veevavault.com/ui/#object/sent_email__v/VBLZ025E82GYKEP", "SE-000280406")</f>
        <v>SE-000280406</v>
      </c>
      <c r="D8458" s="1" t="s">
        <v>0</v>
      </c>
      <c r="E8458" s="2">
        <v>0</v>
      </c>
      <c r="F8458" s="2">
        <v>0</v>
      </c>
      <c r="G8458" s="2">
        <v>0</v>
      </c>
      <c r="H8458" s="1" t="s">
        <v>0</v>
      </c>
      <c r="I8458" s="2">
        <v>0</v>
      </c>
      <c r="J8458" s="1">
        <v>45924.51090277778</v>
      </c>
    </row>
    <row r="8459" spans="1:10" x14ac:dyDescent="0.2">
      <c r="A8459" s="4" t="s">
        <v>1</v>
      </c>
      <c r="B845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59" s="3" t="str">
        <f>HYPERLINK("https://otsuka-europe-crm.veevavault.com/ui/#object/sent_email__v/VBLZ025E82GYKEQ", "SE-000280407")</f>
        <v>SE-000280407</v>
      </c>
      <c r="D8459" s="1" t="s">
        <v>0</v>
      </c>
      <c r="E8459" s="2">
        <v>0</v>
      </c>
      <c r="F8459" s="2">
        <v>0</v>
      </c>
      <c r="G8459" s="2">
        <v>0</v>
      </c>
      <c r="H8459" s="1" t="s">
        <v>0</v>
      </c>
      <c r="I8459" s="2">
        <v>0</v>
      </c>
      <c r="J8459" s="1">
        <v>45924.510833333334</v>
      </c>
    </row>
    <row r="8460" spans="1:10" x14ac:dyDescent="0.2">
      <c r="A8460" s="4" t="s">
        <v>1</v>
      </c>
      <c r="B846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60" s="3" t="str">
        <f>HYPERLINK("https://otsuka-europe-crm.veevavault.com/ui/#object/sent_email__v/VBLZ025E82GYKER", "SE-000280408")</f>
        <v>SE-000280408</v>
      </c>
      <c r="D8460" s="1">
        <v>45924.635451388887</v>
      </c>
      <c r="E8460" s="2">
        <v>1</v>
      </c>
      <c r="F8460" s="2">
        <v>1</v>
      </c>
      <c r="G8460" s="2">
        <v>0</v>
      </c>
      <c r="H8460" s="1" t="s">
        <v>0</v>
      </c>
      <c r="I8460" s="2">
        <v>0</v>
      </c>
      <c r="J8460" s="1">
        <v>45924.51085648148</v>
      </c>
    </row>
    <row r="8461" spans="1:10" x14ac:dyDescent="0.2">
      <c r="A8461" s="4" t="s">
        <v>1</v>
      </c>
      <c r="B846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61" s="3" t="str">
        <f>HYPERLINK("https://otsuka-europe-crm.veevavault.com/ui/#object/sent_email__v/VBLZ025E82GYKES", "SE-000280409")</f>
        <v>SE-000280409</v>
      </c>
      <c r="D8461" s="1">
        <v>45924.534895833334</v>
      </c>
      <c r="E8461" s="2">
        <v>1</v>
      </c>
      <c r="F8461" s="2">
        <v>1</v>
      </c>
      <c r="G8461" s="2">
        <v>0</v>
      </c>
      <c r="H8461" s="1" t="s">
        <v>0</v>
      </c>
      <c r="I8461" s="2">
        <v>0</v>
      </c>
      <c r="J8461" s="1">
        <v>45924.510833333334</v>
      </c>
    </row>
    <row r="8462" spans="1:10" x14ac:dyDescent="0.2">
      <c r="A8462" s="4" t="s">
        <v>1</v>
      </c>
      <c r="B846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62" s="3" t="str">
        <f>HYPERLINK("https://otsuka-europe-crm.veevavault.com/ui/#object/sent_email__v/VBLZ025E82GYKET", "SE-000280410")</f>
        <v>SE-000280410</v>
      </c>
      <c r="D8462" s="1" t="s">
        <v>0</v>
      </c>
      <c r="E8462" s="2">
        <v>0</v>
      </c>
      <c r="F8462" s="2">
        <v>0</v>
      </c>
      <c r="G8462" s="2">
        <v>0</v>
      </c>
      <c r="H8462" s="1" t="s">
        <v>0</v>
      </c>
      <c r="I8462" s="2">
        <v>0</v>
      </c>
      <c r="J8462" s="1">
        <v>45924.510821759257</v>
      </c>
    </row>
    <row r="8463" spans="1:10" x14ac:dyDescent="0.2">
      <c r="A8463" s="4" t="s">
        <v>1</v>
      </c>
      <c r="B846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63" s="3" t="str">
        <f>HYPERLINK("https://otsuka-europe-crm.veevavault.com/ui/#object/sent_email__v/VBLZ025E82GYKEU", "SE-000280411")</f>
        <v>SE-000280411</v>
      </c>
      <c r="D8463" s="1" t="s">
        <v>0</v>
      </c>
      <c r="E8463" s="2">
        <v>0</v>
      </c>
      <c r="F8463" s="2">
        <v>0</v>
      </c>
      <c r="G8463" s="2">
        <v>0</v>
      </c>
      <c r="H8463" s="1" t="s">
        <v>0</v>
      </c>
      <c r="I8463" s="2">
        <v>0</v>
      </c>
      <c r="J8463" s="1">
        <v>45924.51085648148</v>
      </c>
    </row>
    <row r="8464" spans="1:10" x14ac:dyDescent="0.2">
      <c r="A8464" s="4" t="s">
        <v>1</v>
      </c>
      <c r="B846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64" s="3" t="str">
        <f>HYPERLINK("https://otsuka-europe-crm.veevavault.com/ui/#object/sent_email__v/VBLZ025E82GYKEV", "SE-000280412")</f>
        <v>SE-000280412</v>
      </c>
      <c r="D8464" s="1">
        <v>45924.664224537039</v>
      </c>
      <c r="E8464" s="2">
        <v>1</v>
      </c>
      <c r="F8464" s="2">
        <v>1</v>
      </c>
      <c r="G8464" s="2">
        <v>0</v>
      </c>
      <c r="H8464" s="1" t="s">
        <v>0</v>
      </c>
      <c r="I8464" s="2">
        <v>0</v>
      </c>
      <c r="J8464" s="1">
        <v>45924.510868055557</v>
      </c>
    </row>
    <row r="8465" spans="1:10" x14ac:dyDescent="0.2">
      <c r="A8465" s="4" t="s">
        <v>1</v>
      </c>
      <c r="B846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65" s="3" t="str">
        <f>HYPERLINK("https://otsuka-europe-crm.veevavault.com/ui/#object/sent_email__v/VBLZ025E82GYKEW", "SE-000280413")</f>
        <v>SE-000280413</v>
      </c>
      <c r="D8465" s="1">
        <v>45924.628541666665</v>
      </c>
      <c r="E8465" s="2">
        <v>1</v>
      </c>
      <c r="F8465" s="2">
        <v>1</v>
      </c>
      <c r="G8465" s="2">
        <v>0</v>
      </c>
      <c r="H8465" s="1" t="s">
        <v>0</v>
      </c>
      <c r="I8465" s="2">
        <v>0</v>
      </c>
      <c r="J8465" s="1">
        <v>45924.510787037034</v>
      </c>
    </row>
    <row r="8466" spans="1:10" x14ac:dyDescent="0.2">
      <c r="A8466" s="4" t="s">
        <v>1</v>
      </c>
      <c r="B846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66" s="3" t="str">
        <f>HYPERLINK("https://otsuka-europe-crm.veevavault.com/ui/#object/sent_email__v/VBLZ025E82GYKEX", "SE-000280414")</f>
        <v>SE-000280414</v>
      </c>
      <c r="D8466" s="1">
        <v>45924.591319444444</v>
      </c>
      <c r="E8466" s="2">
        <v>1</v>
      </c>
      <c r="F8466" s="2">
        <v>1</v>
      </c>
      <c r="G8466" s="2">
        <v>0</v>
      </c>
      <c r="H8466" s="1" t="s">
        <v>0</v>
      </c>
      <c r="I8466" s="2">
        <v>0</v>
      </c>
      <c r="J8466" s="1">
        <v>45924.510821759257</v>
      </c>
    </row>
    <row r="8467" spans="1:10" x14ac:dyDescent="0.2">
      <c r="A8467" s="4" t="s">
        <v>1</v>
      </c>
      <c r="B846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67" s="3" t="str">
        <f>HYPERLINK("https://otsuka-europe-crm.veevavault.com/ui/#object/sent_email__v/VBLZ025E82GYKEY", "SE-000280415")</f>
        <v>SE-000280415</v>
      </c>
      <c r="D8467" s="1" t="s">
        <v>0</v>
      </c>
      <c r="E8467" s="2">
        <v>0</v>
      </c>
      <c r="F8467" s="2">
        <v>0</v>
      </c>
      <c r="G8467" s="2">
        <v>0</v>
      </c>
      <c r="H8467" s="1" t="s">
        <v>0</v>
      </c>
      <c r="I8467" s="2">
        <v>0</v>
      </c>
      <c r="J8467" s="1">
        <v>45924.510821759257</v>
      </c>
    </row>
    <row r="8468" spans="1:10" x14ac:dyDescent="0.2">
      <c r="A8468" s="4" t="s">
        <v>1</v>
      </c>
      <c r="B846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68" s="3" t="str">
        <f>HYPERLINK("https://otsuka-europe-crm.veevavault.com/ui/#object/sent_email__v/VBLZ025E82GYKEZ", "SE-000280416")</f>
        <v>SE-000280416</v>
      </c>
      <c r="D8468" s="1">
        <v>45925.318506944444</v>
      </c>
      <c r="E8468" s="2">
        <v>1</v>
      </c>
      <c r="F8468" s="2">
        <v>2</v>
      </c>
      <c r="G8468" s="2">
        <v>0</v>
      </c>
      <c r="H8468" s="1" t="s">
        <v>0</v>
      </c>
      <c r="I8468" s="2">
        <v>0</v>
      </c>
      <c r="J8468" s="1">
        <v>45924.510821759257</v>
      </c>
    </row>
    <row r="8469" spans="1:10" x14ac:dyDescent="0.2">
      <c r="A8469" s="4" t="s">
        <v>1</v>
      </c>
      <c r="B846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69" s="3" t="str">
        <f>HYPERLINK("https://otsuka-europe-crm.veevavault.com/ui/#object/sent_email__v/VBLZ025E82GYKF0", "SE-000280417")</f>
        <v>SE-000280417</v>
      </c>
      <c r="D8469" s="1" t="s">
        <v>0</v>
      </c>
      <c r="E8469" s="2">
        <v>0</v>
      </c>
      <c r="F8469" s="2">
        <v>0</v>
      </c>
      <c r="G8469" s="2">
        <v>0</v>
      </c>
      <c r="H8469" s="1" t="s">
        <v>0</v>
      </c>
      <c r="I8469" s="2">
        <v>0</v>
      </c>
      <c r="J8469" s="1">
        <v>45924.510752314818</v>
      </c>
    </row>
    <row r="8470" spans="1:10" x14ac:dyDescent="0.2">
      <c r="A8470" s="4" t="s">
        <v>1</v>
      </c>
      <c r="B847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70" s="3" t="str">
        <f>HYPERLINK("https://otsuka-europe-crm.veevavault.com/ui/#object/sent_email__v/VBLZ025E82GYKF1", "SE-000280418")</f>
        <v>SE-000280418</v>
      </c>
      <c r="D8470" s="1">
        <v>45949.574212962965</v>
      </c>
      <c r="E8470" s="2">
        <v>1</v>
      </c>
      <c r="F8470" s="2">
        <v>6</v>
      </c>
      <c r="G8470" s="2">
        <v>0</v>
      </c>
      <c r="H8470" s="1" t="s">
        <v>0</v>
      </c>
      <c r="I8470" s="2">
        <v>0</v>
      </c>
      <c r="J8470" s="1">
        <v>45924.510752314818</v>
      </c>
    </row>
    <row r="8471" spans="1:10" x14ac:dyDescent="0.2">
      <c r="A8471" s="4" t="s">
        <v>1</v>
      </c>
      <c r="B847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71" s="3" t="str">
        <f>HYPERLINK("https://otsuka-europe-crm.veevavault.com/ui/#object/sent_email__v/VBLZ025E82GZ4UL", "SE-000280455")</f>
        <v>SE-000280455</v>
      </c>
      <c r="D8471" s="1" t="s">
        <v>0</v>
      </c>
      <c r="E8471" s="2">
        <v>0</v>
      </c>
      <c r="F8471" s="2">
        <v>0</v>
      </c>
      <c r="G8471" s="2">
        <v>0</v>
      </c>
      <c r="H8471" s="1" t="s">
        <v>0</v>
      </c>
      <c r="I8471" s="2">
        <v>0</v>
      </c>
      <c r="J8471" s="1">
        <v>45924.681863425925</v>
      </c>
    </row>
    <row r="8472" spans="1:10" x14ac:dyDescent="0.2">
      <c r="A8472" s="4" t="s">
        <v>1</v>
      </c>
      <c r="B847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72" s="3" t="str">
        <f>HYPERLINK("https://otsuka-europe-crm.veevavault.com/ui/#object/sent_email__v/VBLZ025E82GZ4UM", "SE-000280456")</f>
        <v>SE-000280456</v>
      </c>
      <c r="D8472" s="1">
        <v>45924.711446759262</v>
      </c>
      <c r="E8472" s="2">
        <v>1</v>
      </c>
      <c r="F8472" s="2">
        <v>3</v>
      </c>
      <c r="G8472" s="2">
        <v>0</v>
      </c>
      <c r="H8472" s="1" t="s">
        <v>0</v>
      </c>
      <c r="I8472" s="2">
        <v>0</v>
      </c>
      <c r="J8472" s="1">
        <v>45924.681863425925</v>
      </c>
    </row>
    <row r="8473" spans="1:10" x14ac:dyDescent="0.2">
      <c r="A8473" s="4" t="s">
        <v>1</v>
      </c>
      <c r="B847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73" s="3" t="str">
        <f>HYPERLINK("https://otsuka-europe-crm.veevavault.com/ui/#object/sent_email__v/VBLZ025E82GZ4UN", "SE-000280457")</f>
        <v>SE-000280457</v>
      </c>
      <c r="D8473" s="1" t="s">
        <v>0</v>
      </c>
      <c r="E8473" s="2">
        <v>0</v>
      </c>
      <c r="F8473" s="2">
        <v>0</v>
      </c>
      <c r="G8473" s="2">
        <v>0</v>
      </c>
      <c r="H8473" s="1" t="s">
        <v>0</v>
      </c>
      <c r="I8473" s="2">
        <v>0</v>
      </c>
      <c r="J8473" s="1">
        <v>45924.681863425925</v>
      </c>
    </row>
    <row r="8474" spans="1:10" x14ac:dyDescent="0.2">
      <c r="A8474" s="4" t="s">
        <v>1</v>
      </c>
      <c r="B847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74" s="3" t="str">
        <f>HYPERLINK("https://otsuka-europe-crm.veevavault.com/ui/#object/sent_email__v/VBLZ025E82GZ4UO", "SE-000280458")</f>
        <v>SE-000280458</v>
      </c>
      <c r="D8474" s="1" t="s">
        <v>0</v>
      </c>
      <c r="E8474" s="2">
        <v>0</v>
      </c>
      <c r="F8474" s="2">
        <v>0</v>
      </c>
      <c r="G8474" s="2">
        <v>0</v>
      </c>
      <c r="H8474" s="1" t="s">
        <v>0</v>
      </c>
      <c r="I8474" s="2">
        <v>0</v>
      </c>
      <c r="J8474" s="1">
        <v>45924.681863425925</v>
      </c>
    </row>
    <row r="8475" spans="1:10" x14ac:dyDescent="0.2">
      <c r="A8475" s="4" t="s">
        <v>1</v>
      </c>
      <c r="B847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75" s="3" t="str">
        <f>HYPERLINK("https://otsuka-europe-crm.veevavault.com/ui/#object/sent_email__v/VBLZ025E82GZ4UP", "SE-000280459")</f>
        <v>SE-000280459</v>
      </c>
      <c r="D8475" s="1" t="s">
        <v>0</v>
      </c>
      <c r="E8475" s="2">
        <v>0</v>
      </c>
      <c r="F8475" s="2">
        <v>0</v>
      </c>
      <c r="G8475" s="2">
        <v>0</v>
      </c>
      <c r="H8475" s="1" t="s">
        <v>0</v>
      </c>
      <c r="I8475" s="2">
        <v>0</v>
      </c>
      <c r="J8475" s="1">
        <v>45924.681886574072</v>
      </c>
    </row>
    <row r="8476" spans="1:10" x14ac:dyDescent="0.2">
      <c r="A8476" s="4" t="s">
        <v>1</v>
      </c>
      <c r="B847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76" s="3" t="str">
        <f>HYPERLINK("https://otsuka-europe-crm.veevavault.com/ui/#object/sent_email__v/VBLZ025E82GZ4UQ", "SE-000280460")</f>
        <v>SE-000280460</v>
      </c>
      <c r="D8476" s="1" t="s">
        <v>0</v>
      </c>
      <c r="E8476" s="2">
        <v>0</v>
      </c>
      <c r="F8476" s="2">
        <v>0</v>
      </c>
      <c r="G8476" s="2">
        <v>0</v>
      </c>
      <c r="H8476" s="1" t="s">
        <v>0</v>
      </c>
      <c r="I8476" s="2">
        <v>0</v>
      </c>
      <c r="J8476" s="1">
        <v>45924.681898148148</v>
      </c>
    </row>
    <row r="8477" spans="1:10" x14ac:dyDescent="0.2">
      <c r="A8477" s="4" t="s">
        <v>1</v>
      </c>
      <c r="B847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77" s="3" t="str">
        <f>HYPERLINK("https://otsuka-europe-crm.veevavault.com/ui/#object/sent_email__v/VBLZ025E82GZ4UR", "SE-000280461")</f>
        <v>SE-000280461</v>
      </c>
      <c r="D8477" s="1" t="s">
        <v>0</v>
      </c>
      <c r="E8477" s="2">
        <v>0</v>
      </c>
      <c r="F8477" s="2">
        <v>0</v>
      </c>
      <c r="G8477" s="2">
        <v>0</v>
      </c>
      <c r="H8477" s="1" t="s">
        <v>0</v>
      </c>
      <c r="I8477" s="2">
        <v>0</v>
      </c>
      <c r="J8477" s="1">
        <v>45924.681909722225</v>
      </c>
    </row>
    <row r="8478" spans="1:10" x14ac:dyDescent="0.2">
      <c r="A8478" s="4" t="s">
        <v>1</v>
      </c>
      <c r="B847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78" s="3" t="str">
        <f>HYPERLINK("https://otsuka-europe-crm.veevavault.com/ui/#object/sent_email__v/VBLZ025E82GZ4US", "SE-000280462")</f>
        <v>SE-000280462</v>
      </c>
      <c r="D8478" s="1" t="s">
        <v>0</v>
      </c>
      <c r="E8478" s="2">
        <v>0</v>
      </c>
      <c r="F8478" s="2">
        <v>0</v>
      </c>
      <c r="G8478" s="2">
        <v>0</v>
      </c>
      <c r="H8478" s="1" t="s">
        <v>0</v>
      </c>
      <c r="I8478" s="2">
        <v>0</v>
      </c>
      <c r="J8478" s="1">
        <v>45924.681909722225</v>
      </c>
    </row>
    <row r="8479" spans="1:10" x14ac:dyDescent="0.2">
      <c r="A8479" s="4" t="s">
        <v>1</v>
      </c>
      <c r="B847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79" s="3" t="str">
        <f>HYPERLINK("https://otsuka-europe-crm.veevavault.com/ui/#object/sent_email__v/VBLZ025E82GZ4UT", "SE-000280463")</f>
        <v>SE-000280463</v>
      </c>
      <c r="D8479" s="1" t="s">
        <v>0</v>
      </c>
      <c r="E8479" s="2">
        <v>0</v>
      </c>
      <c r="F8479" s="2">
        <v>0</v>
      </c>
      <c r="G8479" s="2">
        <v>0</v>
      </c>
      <c r="H8479" s="1" t="s">
        <v>0</v>
      </c>
      <c r="I8479" s="2">
        <v>0</v>
      </c>
      <c r="J8479" s="1">
        <v>45924.681921296295</v>
      </c>
    </row>
    <row r="8480" spans="1:10" x14ac:dyDescent="0.2">
      <c r="A8480" s="4" t="s">
        <v>1</v>
      </c>
      <c r="B848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80" s="3" t="str">
        <f>HYPERLINK("https://otsuka-europe-crm.veevavault.com/ui/#object/sent_email__v/VBLZ025E82GZ4UU", "SE-000280464")</f>
        <v>SE-000280464</v>
      </c>
      <c r="D8480" s="1">
        <v>45926.563067129631</v>
      </c>
      <c r="E8480" s="2">
        <v>1</v>
      </c>
      <c r="F8480" s="2">
        <v>1</v>
      </c>
      <c r="G8480" s="2">
        <v>0</v>
      </c>
      <c r="H8480" s="1" t="s">
        <v>0</v>
      </c>
      <c r="I8480" s="2">
        <v>0</v>
      </c>
      <c r="J8480" s="1">
        <v>45924.681932870371</v>
      </c>
    </row>
    <row r="8481" spans="1:10" x14ac:dyDescent="0.2">
      <c r="A8481" s="4" t="s">
        <v>1</v>
      </c>
      <c r="B848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81" s="3" t="str">
        <f>HYPERLINK("https://otsuka-europe-crm.veevavault.com/ui/#object/sent_email__v/VBLZ025E82GZ4UV", "SE-000280465")</f>
        <v>SE-000280465</v>
      </c>
      <c r="D8481" s="1" t="s">
        <v>0</v>
      </c>
      <c r="E8481" s="2">
        <v>0</v>
      </c>
      <c r="F8481" s="2">
        <v>0</v>
      </c>
      <c r="G8481" s="2">
        <v>0</v>
      </c>
      <c r="H8481" s="1" t="s">
        <v>0</v>
      </c>
      <c r="I8481" s="2">
        <v>0</v>
      </c>
      <c r="J8481" s="1">
        <v>45924.681956018518</v>
      </c>
    </row>
    <row r="8482" spans="1:10" x14ac:dyDescent="0.2">
      <c r="A8482" s="4" t="s">
        <v>1</v>
      </c>
      <c r="B848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82" s="3" t="str">
        <f>HYPERLINK("https://otsuka-europe-crm.veevavault.com/ui/#object/sent_email__v/VBLZ025E82GZ4UW", "SE-000280466")</f>
        <v>SE-000280466</v>
      </c>
      <c r="D8482" s="1" t="s">
        <v>0</v>
      </c>
      <c r="E8482" s="2">
        <v>0</v>
      </c>
      <c r="F8482" s="2">
        <v>0</v>
      </c>
      <c r="G8482" s="2">
        <v>0</v>
      </c>
      <c r="H8482" s="1" t="s">
        <v>0</v>
      </c>
      <c r="I8482" s="2">
        <v>0</v>
      </c>
      <c r="J8482" s="1">
        <v>45924.681944444441</v>
      </c>
    </row>
    <row r="8483" spans="1:10" x14ac:dyDescent="0.2">
      <c r="A8483" s="4" t="s">
        <v>1</v>
      </c>
      <c r="B848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83" s="3" t="str">
        <f>HYPERLINK("https://otsuka-europe-crm.veevavault.com/ui/#object/sent_email__v/VBLZ025E82GZ4UX", "SE-000280467")</f>
        <v>SE-000280467</v>
      </c>
      <c r="D8483" s="1" t="s">
        <v>0</v>
      </c>
      <c r="E8483" s="2">
        <v>0</v>
      </c>
      <c r="F8483" s="2">
        <v>0</v>
      </c>
      <c r="G8483" s="2">
        <v>0</v>
      </c>
      <c r="H8483" s="1" t="s">
        <v>0</v>
      </c>
      <c r="I8483" s="2">
        <v>0</v>
      </c>
      <c r="J8483" s="1">
        <v>45924.681956018518</v>
      </c>
    </row>
    <row r="8484" spans="1:10" x14ac:dyDescent="0.2">
      <c r="A8484" s="4" t="s">
        <v>1</v>
      </c>
      <c r="B848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84" s="3" t="str">
        <f>HYPERLINK("https://otsuka-europe-crm.veevavault.com/ui/#object/sent_email__v/VBLZ025E82GZ4UY", "SE-000280468")</f>
        <v>SE-000280468</v>
      </c>
      <c r="D8484" s="1" t="s">
        <v>0</v>
      </c>
      <c r="E8484" s="2">
        <v>0</v>
      </c>
      <c r="F8484" s="2">
        <v>0</v>
      </c>
      <c r="G8484" s="2">
        <v>0</v>
      </c>
      <c r="H8484" s="1" t="s">
        <v>0</v>
      </c>
      <c r="I8484" s="2">
        <v>0</v>
      </c>
      <c r="J8484" s="1">
        <v>45924.681967592594</v>
      </c>
    </row>
    <row r="8485" spans="1:10" x14ac:dyDescent="0.2">
      <c r="A8485" s="4" t="s">
        <v>1</v>
      </c>
      <c r="B848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85" s="3" t="str">
        <f>HYPERLINK("https://otsuka-europe-crm.veevavault.com/ui/#object/sent_email__v/VBLZ025E82GZ4UZ", "SE-000280469")</f>
        <v>SE-000280469</v>
      </c>
      <c r="D8485" s="1" t="s">
        <v>0</v>
      </c>
      <c r="E8485" s="2">
        <v>0</v>
      </c>
      <c r="F8485" s="2">
        <v>0</v>
      </c>
      <c r="G8485" s="2">
        <v>0</v>
      </c>
      <c r="H8485" s="1" t="s">
        <v>0</v>
      </c>
      <c r="I8485" s="2">
        <v>0</v>
      </c>
      <c r="J8485" s="1">
        <v>45924.681979166664</v>
      </c>
    </row>
    <row r="8486" spans="1:10" x14ac:dyDescent="0.2">
      <c r="A8486" s="4" t="s">
        <v>1</v>
      </c>
      <c r="B848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86" s="3" t="str">
        <f>HYPERLINK("https://otsuka-europe-crm.veevavault.com/ui/#object/sent_email__v/VBLZ025E82GZ4V0", "SE-000280470")</f>
        <v>SE-000280470</v>
      </c>
      <c r="D8486" s="1" t="s">
        <v>0</v>
      </c>
      <c r="E8486" s="2">
        <v>0</v>
      </c>
      <c r="F8486" s="2">
        <v>0</v>
      </c>
      <c r="G8486" s="2">
        <v>0</v>
      </c>
      <c r="H8486" s="1" t="s">
        <v>0</v>
      </c>
      <c r="I8486" s="2">
        <v>0</v>
      </c>
      <c r="J8486" s="1">
        <v>45924.681990740741</v>
      </c>
    </row>
    <row r="8487" spans="1:10" x14ac:dyDescent="0.2">
      <c r="A8487" s="4" t="s">
        <v>1</v>
      </c>
      <c r="B848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87" s="3" t="str">
        <f>HYPERLINK("https://otsuka-europe-crm.veevavault.com/ui/#object/sent_email__v/VBLZ025E82GZ4V1", "SE-000280471")</f>
        <v>SE-000280471</v>
      </c>
      <c r="D8487" s="1" t="s">
        <v>0</v>
      </c>
      <c r="E8487" s="2">
        <v>0</v>
      </c>
      <c r="F8487" s="2">
        <v>0</v>
      </c>
      <c r="G8487" s="2">
        <v>0</v>
      </c>
      <c r="H8487" s="1" t="s">
        <v>0</v>
      </c>
      <c r="I8487" s="2">
        <v>0</v>
      </c>
      <c r="J8487" s="1">
        <v>45924.681990740741</v>
      </c>
    </row>
    <row r="8488" spans="1:10" x14ac:dyDescent="0.2">
      <c r="A8488" s="4" t="s">
        <v>1</v>
      </c>
      <c r="B848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88" s="3" t="str">
        <f>HYPERLINK("https://otsuka-europe-crm.veevavault.com/ui/#object/sent_email__v/VBLZ025E82GZ4V2", "SE-000280472")</f>
        <v>SE-000280472</v>
      </c>
      <c r="D8488" s="1" t="s">
        <v>0</v>
      </c>
      <c r="E8488" s="2">
        <v>0</v>
      </c>
      <c r="F8488" s="2">
        <v>0</v>
      </c>
      <c r="G8488" s="2">
        <v>0</v>
      </c>
      <c r="H8488" s="1" t="s">
        <v>0</v>
      </c>
      <c r="I8488" s="2">
        <v>0</v>
      </c>
      <c r="J8488" s="1">
        <v>45924.682002314818</v>
      </c>
    </row>
    <row r="8489" spans="1:10" x14ac:dyDescent="0.2">
      <c r="A8489" s="4" t="s">
        <v>1</v>
      </c>
      <c r="B848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89" s="3" t="str">
        <f>HYPERLINK("https://otsuka-europe-crm.veevavault.com/ui/#object/sent_email__v/VBLZ025E82GZ4V3", "SE-000280473")</f>
        <v>SE-000280473</v>
      </c>
      <c r="D8489" s="1" t="s">
        <v>0</v>
      </c>
      <c r="E8489" s="2">
        <v>0</v>
      </c>
      <c r="F8489" s="2">
        <v>0</v>
      </c>
      <c r="G8489" s="2">
        <v>0</v>
      </c>
      <c r="H8489" s="1" t="s">
        <v>0</v>
      </c>
      <c r="I8489" s="2">
        <v>0</v>
      </c>
      <c r="J8489" s="1">
        <v>45924.682013888887</v>
      </c>
    </row>
    <row r="8490" spans="1:10" x14ac:dyDescent="0.2">
      <c r="A8490" s="4" t="s">
        <v>1</v>
      </c>
      <c r="B849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90" s="3" t="str">
        <f>HYPERLINK("https://otsuka-europe-crm.veevavault.com/ui/#object/sent_email__v/VBLZ025E82GZ4V4", "SE-000280474")</f>
        <v>SE-000280474</v>
      </c>
      <c r="D8490" s="1">
        <v>45924.902083333334</v>
      </c>
      <c r="E8490" s="2">
        <v>1</v>
      </c>
      <c r="F8490" s="2">
        <v>1</v>
      </c>
      <c r="G8490" s="2">
        <v>0</v>
      </c>
      <c r="H8490" s="1" t="s">
        <v>0</v>
      </c>
      <c r="I8490" s="2">
        <v>0</v>
      </c>
      <c r="J8490" s="1">
        <v>45924.682025462964</v>
      </c>
    </row>
    <row r="8491" spans="1:10" x14ac:dyDescent="0.2">
      <c r="A8491" s="4" t="s">
        <v>1</v>
      </c>
      <c r="B849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91" s="3" t="str">
        <f>HYPERLINK("https://otsuka-europe-crm.veevavault.com/ui/#object/sent_email__v/VBLZ025E82GZ4V5", "SE-000280475")</f>
        <v>SE-000280475</v>
      </c>
      <c r="D8491" s="1">
        <v>45924.682314814818</v>
      </c>
      <c r="E8491" s="2">
        <v>1</v>
      </c>
      <c r="F8491" s="2">
        <v>5</v>
      </c>
      <c r="G8491" s="2">
        <v>0</v>
      </c>
      <c r="H8491" s="1" t="s">
        <v>0</v>
      </c>
      <c r="I8491" s="2">
        <v>0</v>
      </c>
      <c r="J8491" s="1">
        <v>45924.682037037041</v>
      </c>
    </row>
    <row r="8492" spans="1:10" x14ac:dyDescent="0.2">
      <c r="A8492" s="4" t="s">
        <v>1</v>
      </c>
      <c r="B849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92" s="3" t="str">
        <f>HYPERLINK("https://otsuka-europe-crm.veevavault.com/ui/#object/sent_email__v/VBLZ025E82GZ4V6", "SE-000280476")</f>
        <v>SE-000280476</v>
      </c>
      <c r="D8492" s="1" t="s">
        <v>0</v>
      </c>
      <c r="E8492" s="2">
        <v>0</v>
      </c>
      <c r="F8492" s="2">
        <v>0</v>
      </c>
      <c r="G8492" s="2">
        <v>0</v>
      </c>
      <c r="H8492" s="1" t="s">
        <v>0</v>
      </c>
      <c r="I8492" s="2">
        <v>0</v>
      </c>
      <c r="J8492" s="1">
        <v>45924.682037037041</v>
      </c>
    </row>
    <row r="8493" spans="1:10" x14ac:dyDescent="0.2">
      <c r="A8493" s="4" t="s">
        <v>1</v>
      </c>
      <c r="B849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93" s="3" t="str">
        <f>HYPERLINK("https://otsuka-europe-crm.veevavault.com/ui/#object/sent_email__v/VBLZ025E82GZ4V7", "SE-000280477")</f>
        <v>SE-000280477</v>
      </c>
      <c r="D8493" s="1">
        <v>45924.715104166666</v>
      </c>
      <c r="E8493" s="2">
        <v>1</v>
      </c>
      <c r="F8493" s="2">
        <v>1</v>
      </c>
      <c r="G8493" s="2">
        <v>0</v>
      </c>
      <c r="H8493" s="1" t="s">
        <v>0</v>
      </c>
      <c r="I8493" s="2">
        <v>0</v>
      </c>
      <c r="J8493" s="1">
        <v>45924.68204861111</v>
      </c>
    </row>
    <row r="8494" spans="1:10" x14ac:dyDescent="0.2">
      <c r="A8494" s="4" t="s">
        <v>1</v>
      </c>
      <c r="B849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94" s="3" t="str">
        <f>HYPERLINK("https://otsuka-europe-crm.veevavault.com/ui/#object/sent_email__v/VBLZ025E82GZ4V8", "SE-000280478")</f>
        <v>SE-000280478</v>
      </c>
      <c r="D8494" s="1" t="s">
        <v>0</v>
      </c>
      <c r="E8494" s="2">
        <v>0</v>
      </c>
      <c r="F8494" s="2">
        <v>0</v>
      </c>
      <c r="G8494" s="2">
        <v>0</v>
      </c>
      <c r="H8494" s="1" t="s">
        <v>0</v>
      </c>
      <c r="I8494" s="2">
        <v>0</v>
      </c>
      <c r="J8494" s="1">
        <v>45924.683819444443</v>
      </c>
    </row>
    <row r="8495" spans="1:10" x14ac:dyDescent="0.2">
      <c r="A8495" s="4" t="s">
        <v>1</v>
      </c>
      <c r="B849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95" s="3" t="str">
        <f>HYPERLINK("https://otsuka-europe-crm.veevavault.com/ui/#object/sent_email__v/VBLZ025E82GZ4V9", "SE-000280479")</f>
        <v>SE-000280479</v>
      </c>
      <c r="D8495" s="1" t="s">
        <v>0</v>
      </c>
      <c r="E8495" s="2">
        <v>0</v>
      </c>
      <c r="F8495" s="2">
        <v>0</v>
      </c>
      <c r="G8495" s="2">
        <v>0</v>
      </c>
      <c r="H8495" s="1" t="s">
        <v>0</v>
      </c>
      <c r="I8495" s="2">
        <v>0</v>
      </c>
      <c r="J8495" s="1">
        <v>45924.682071759256</v>
      </c>
    </row>
    <row r="8496" spans="1:10" x14ac:dyDescent="0.2">
      <c r="A8496" s="4" t="s">
        <v>1</v>
      </c>
      <c r="B849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96" s="3" t="str">
        <f>HYPERLINK("https://otsuka-europe-crm.veevavault.com/ui/#object/sent_email__v/VBLZ025E82GZ4VA", "SE-000280480")</f>
        <v>SE-000280480</v>
      </c>
      <c r="D8496" s="1" t="s">
        <v>0</v>
      </c>
      <c r="E8496" s="2">
        <v>0</v>
      </c>
      <c r="F8496" s="2">
        <v>0</v>
      </c>
      <c r="G8496" s="2">
        <v>0</v>
      </c>
      <c r="H8496" s="1" t="s">
        <v>0</v>
      </c>
      <c r="I8496" s="2">
        <v>0</v>
      </c>
      <c r="J8496" s="1">
        <v>45924.682071759256</v>
      </c>
    </row>
    <row r="8497" spans="1:10" x14ac:dyDescent="0.2">
      <c r="A8497" s="4" t="s">
        <v>1</v>
      </c>
      <c r="B849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97" s="3" t="str">
        <f>HYPERLINK("https://otsuka-europe-crm.veevavault.com/ui/#object/sent_email__v/VBLZ025E82GZ4VB", "SE-000280481")</f>
        <v>SE-000280481</v>
      </c>
      <c r="D8497" s="1" t="s">
        <v>0</v>
      </c>
      <c r="E8497" s="2">
        <v>0</v>
      </c>
      <c r="F8497" s="2">
        <v>0</v>
      </c>
      <c r="G8497" s="2">
        <v>0</v>
      </c>
      <c r="H8497" s="1" t="s">
        <v>0</v>
      </c>
      <c r="I8497" s="2">
        <v>0</v>
      </c>
      <c r="J8497" s="1">
        <v>45924.68209490741</v>
      </c>
    </row>
    <row r="8498" spans="1:10" x14ac:dyDescent="0.2">
      <c r="A8498" s="4" t="s">
        <v>1</v>
      </c>
      <c r="B849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98" s="3" t="str">
        <f>HYPERLINK("https://otsuka-europe-crm.veevavault.com/ui/#object/sent_email__v/VBLZ025E82GZ4VC", "SE-000280482")</f>
        <v>SE-000280482</v>
      </c>
      <c r="D8498" s="1" t="s">
        <v>0</v>
      </c>
      <c r="E8498" s="2">
        <v>0</v>
      </c>
      <c r="F8498" s="2">
        <v>0</v>
      </c>
      <c r="G8498" s="2">
        <v>0</v>
      </c>
      <c r="H8498" s="1" t="s">
        <v>0</v>
      </c>
      <c r="I8498" s="2">
        <v>0</v>
      </c>
      <c r="J8498" s="1">
        <v>45924.682106481479</v>
      </c>
    </row>
    <row r="8499" spans="1:10" x14ac:dyDescent="0.2">
      <c r="A8499" s="4" t="s">
        <v>1</v>
      </c>
      <c r="B849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499" s="3" t="str">
        <f>HYPERLINK("https://otsuka-europe-crm.veevavault.com/ui/#object/sent_email__v/VBLZ025E82GZ4VD", "SE-000280483")</f>
        <v>SE-000280483</v>
      </c>
      <c r="D8499" s="1" t="s">
        <v>0</v>
      </c>
      <c r="E8499" s="2">
        <v>0</v>
      </c>
      <c r="F8499" s="2">
        <v>0</v>
      </c>
      <c r="G8499" s="2">
        <v>0</v>
      </c>
      <c r="H8499" s="1" t="s">
        <v>0</v>
      </c>
      <c r="I8499" s="2">
        <v>0</v>
      </c>
      <c r="J8499" s="1">
        <v>45924.682106481479</v>
      </c>
    </row>
    <row r="8500" spans="1:10" x14ac:dyDescent="0.2">
      <c r="A8500" s="4" t="s">
        <v>1</v>
      </c>
      <c r="B850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00" s="3" t="str">
        <f>HYPERLINK("https://otsuka-europe-crm.veevavault.com/ui/#object/sent_email__v/VBLZ025E82GZ4VE", "SE-000280484")</f>
        <v>SE-000280484</v>
      </c>
      <c r="D8500" s="1" t="s">
        <v>0</v>
      </c>
      <c r="E8500" s="2">
        <v>0</v>
      </c>
      <c r="F8500" s="2">
        <v>0</v>
      </c>
      <c r="G8500" s="2">
        <v>0</v>
      </c>
      <c r="H8500" s="1" t="s">
        <v>0</v>
      </c>
      <c r="I8500" s="2">
        <v>0</v>
      </c>
      <c r="J8500" s="1">
        <v>45924.682118055556</v>
      </c>
    </row>
    <row r="8501" spans="1:10" x14ac:dyDescent="0.2">
      <c r="A8501" s="4" t="s">
        <v>1</v>
      </c>
      <c r="B850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01" s="3" t="str">
        <f>HYPERLINK("https://otsuka-europe-crm.veevavault.com/ui/#object/sent_email__v/VBLZ025E82GZ4VF", "SE-000280485")</f>
        <v>SE-000280485</v>
      </c>
      <c r="D8501" s="1" t="s">
        <v>0</v>
      </c>
      <c r="E8501" s="2">
        <v>0</v>
      </c>
      <c r="F8501" s="2">
        <v>0</v>
      </c>
      <c r="G8501" s="2">
        <v>0</v>
      </c>
      <c r="H8501" s="1" t="s">
        <v>0</v>
      </c>
      <c r="I8501" s="2">
        <v>0</v>
      </c>
      <c r="J8501" s="1">
        <v>45924.682129629633</v>
      </c>
    </row>
    <row r="8502" spans="1:10" x14ac:dyDescent="0.2">
      <c r="A8502" s="4" t="s">
        <v>1</v>
      </c>
      <c r="B850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02" s="3" t="str">
        <f>HYPERLINK("https://otsuka-europe-crm.veevavault.com/ui/#object/sent_email__v/VBLZ025E82GZ4VG", "SE-000280486")</f>
        <v>SE-000280486</v>
      </c>
      <c r="D8502" s="1">
        <v>45925.447384259256</v>
      </c>
      <c r="E8502" s="2">
        <v>1</v>
      </c>
      <c r="F8502" s="2">
        <v>1</v>
      </c>
      <c r="G8502" s="2">
        <v>1</v>
      </c>
      <c r="H8502" s="1">
        <v>45925.447384259256</v>
      </c>
      <c r="I8502" s="2">
        <v>1</v>
      </c>
      <c r="J8502" s="1">
        <v>45924.682141203702</v>
      </c>
    </row>
    <row r="8503" spans="1:10" x14ac:dyDescent="0.2">
      <c r="A8503" s="4" t="s">
        <v>1</v>
      </c>
      <c r="B850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03" s="3" t="str">
        <f>HYPERLINK("https://otsuka-europe-crm.veevavault.com/ui/#object/sent_email__v/VBLZ025E82GZ4VH", "SE-000280487")</f>
        <v>SE-000280487</v>
      </c>
      <c r="D8503" s="1" t="s">
        <v>0</v>
      </c>
      <c r="E8503" s="2">
        <v>0</v>
      </c>
      <c r="F8503" s="2">
        <v>0</v>
      </c>
      <c r="G8503" s="2">
        <v>0</v>
      </c>
      <c r="H8503" s="1" t="s">
        <v>0</v>
      </c>
      <c r="I8503" s="2">
        <v>0</v>
      </c>
      <c r="J8503" s="1">
        <v>45924.682152777779</v>
      </c>
    </row>
    <row r="8504" spans="1:10" x14ac:dyDescent="0.2">
      <c r="A8504" s="4" t="s">
        <v>1</v>
      </c>
      <c r="B850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04" s="3" t="str">
        <f>HYPERLINK("https://otsuka-europe-crm.veevavault.com/ui/#object/sent_email__v/VBLZ025E82GZ4VI", "SE-000280488")</f>
        <v>SE-000280488</v>
      </c>
      <c r="D8504" s="1">
        <v>45925.305474537039</v>
      </c>
      <c r="E8504" s="2">
        <v>1</v>
      </c>
      <c r="F8504" s="2">
        <v>2</v>
      </c>
      <c r="G8504" s="2">
        <v>0</v>
      </c>
      <c r="H8504" s="1" t="s">
        <v>0</v>
      </c>
      <c r="I8504" s="2">
        <v>0</v>
      </c>
      <c r="J8504" s="1">
        <v>45924.682152777779</v>
      </c>
    </row>
    <row r="8505" spans="1:10" x14ac:dyDescent="0.2">
      <c r="A8505" s="4" t="s">
        <v>1</v>
      </c>
      <c r="B850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05" s="3" t="str">
        <f>HYPERLINK("https://otsuka-europe-crm.veevavault.com/ui/#object/sent_email__v/VBLZ025E82GZ4VJ", "SE-000280489")</f>
        <v>SE-000280489</v>
      </c>
      <c r="D8505" s="1" t="s">
        <v>0</v>
      </c>
      <c r="E8505" s="2">
        <v>0</v>
      </c>
      <c r="F8505" s="2">
        <v>0</v>
      </c>
      <c r="G8505" s="2">
        <v>0</v>
      </c>
      <c r="H8505" s="1" t="s">
        <v>0</v>
      </c>
      <c r="I8505" s="2">
        <v>0</v>
      </c>
      <c r="J8505" s="1">
        <v>45924.682164351849</v>
      </c>
    </row>
    <row r="8506" spans="1:10" x14ac:dyDescent="0.2">
      <c r="A8506" s="4" t="s">
        <v>1</v>
      </c>
      <c r="B850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06" s="3" t="str">
        <f>HYPERLINK("https://otsuka-europe-crm.veevavault.com/ui/#object/sent_email__v/VBLZ025E82H1FHL", "SE-000281044")</f>
        <v>SE-000281044</v>
      </c>
      <c r="D8506" s="1" t="s">
        <v>0</v>
      </c>
      <c r="E8506" s="2">
        <v>0</v>
      </c>
      <c r="F8506" s="2">
        <v>0</v>
      </c>
      <c r="G8506" s="2">
        <v>0</v>
      </c>
      <c r="H8506" s="1" t="s">
        <v>0</v>
      </c>
      <c r="I8506" s="2">
        <v>0</v>
      </c>
      <c r="J8506" s="1">
        <v>45926.461041666669</v>
      </c>
    </row>
    <row r="8507" spans="1:10" x14ac:dyDescent="0.2">
      <c r="A8507" s="4" t="s">
        <v>1</v>
      </c>
      <c r="B850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07" s="3" t="str">
        <f>HYPERLINK("https://otsuka-europe-crm.veevavault.com/ui/#object/sent_email__v/VBLZ025E82H1KQH", "SE-000281137")</f>
        <v>SE-000281137</v>
      </c>
      <c r="D8507" s="1" t="s">
        <v>0</v>
      </c>
      <c r="E8507" s="2">
        <v>0</v>
      </c>
      <c r="F8507" s="2">
        <v>0</v>
      </c>
      <c r="G8507" s="2">
        <v>0</v>
      </c>
      <c r="H8507" s="1" t="s">
        <v>0</v>
      </c>
      <c r="I8507" s="2">
        <v>0</v>
      </c>
      <c r="J8507" s="1">
        <v>45926.486666666664</v>
      </c>
    </row>
    <row r="8508" spans="1:10" x14ac:dyDescent="0.2">
      <c r="A8508" s="4" t="s">
        <v>1</v>
      </c>
      <c r="B850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08" s="3" t="str">
        <f>HYPERLINK("https://otsuka-europe-crm.veevavault.com/ui/#object/sent_email__v/VBLZ025E82H1KQI", "SE-000281138")</f>
        <v>SE-000281138</v>
      </c>
      <c r="D8508" s="1" t="s">
        <v>0</v>
      </c>
      <c r="E8508" s="2">
        <v>0</v>
      </c>
      <c r="F8508" s="2">
        <v>0</v>
      </c>
      <c r="G8508" s="2">
        <v>0</v>
      </c>
      <c r="H8508" s="1" t="s">
        <v>0</v>
      </c>
      <c r="I8508" s="2">
        <v>0</v>
      </c>
      <c r="J8508" s="1">
        <v>45926.486666666664</v>
      </c>
    </row>
    <row r="8509" spans="1:10" x14ac:dyDescent="0.2">
      <c r="A8509" s="4" t="s">
        <v>1</v>
      </c>
      <c r="B850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09" s="3" t="str">
        <f>HYPERLINK("https://otsuka-europe-crm.veevavault.com/ui/#object/sent_email__v/VBLZ025E82H1KQJ", "SE-000281139")</f>
        <v>SE-000281139</v>
      </c>
      <c r="D8509" s="1" t="s">
        <v>0</v>
      </c>
      <c r="E8509" s="2">
        <v>0</v>
      </c>
      <c r="F8509" s="2">
        <v>0</v>
      </c>
      <c r="G8509" s="2">
        <v>0</v>
      </c>
      <c r="H8509" s="1" t="s">
        <v>0</v>
      </c>
      <c r="I8509" s="2">
        <v>0</v>
      </c>
      <c r="J8509" s="1">
        <v>45926.486678240741</v>
      </c>
    </row>
    <row r="8510" spans="1:10" x14ac:dyDescent="0.2">
      <c r="A8510" s="4" t="s">
        <v>1</v>
      </c>
      <c r="B851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10" s="3" t="str">
        <f>HYPERLINK("https://otsuka-europe-crm.veevavault.com/ui/#object/sent_email__v/VBLZ025E82H1KQK", "SE-000281140")</f>
        <v>SE-000281140</v>
      </c>
      <c r="D8510" s="1">
        <v>45926.486851851849</v>
      </c>
      <c r="E8510" s="2">
        <v>1</v>
      </c>
      <c r="F8510" s="2">
        <v>1</v>
      </c>
      <c r="G8510" s="2">
        <v>1</v>
      </c>
      <c r="H8510" s="1">
        <v>45926.521249999998</v>
      </c>
      <c r="I8510" s="2">
        <v>4</v>
      </c>
      <c r="J8510" s="1">
        <v>45926.486689814818</v>
      </c>
    </row>
    <row r="8511" spans="1:10" x14ac:dyDescent="0.2">
      <c r="A8511" s="4" t="s">
        <v>1</v>
      </c>
      <c r="B851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11" s="3" t="str">
        <f>HYPERLINK("https://otsuka-europe-crm.veevavault.com/ui/#object/sent_email__v/VBLZ025E82H1KQL", "SE-000281141")</f>
        <v>SE-000281141</v>
      </c>
      <c r="D8511" s="1" t="s">
        <v>0</v>
      </c>
      <c r="E8511" s="2">
        <v>0</v>
      </c>
      <c r="F8511" s="2">
        <v>0</v>
      </c>
      <c r="G8511" s="2">
        <v>0</v>
      </c>
      <c r="H8511" s="1" t="s">
        <v>0</v>
      </c>
      <c r="I8511" s="2">
        <v>0</v>
      </c>
      <c r="J8511" s="1">
        <v>45926.486701388887</v>
      </c>
    </row>
    <row r="8512" spans="1:10" x14ac:dyDescent="0.2">
      <c r="A8512" s="4" t="s">
        <v>1</v>
      </c>
      <c r="B851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12" s="3" t="str">
        <f>HYPERLINK("https://otsuka-europe-crm.veevavault.com/ui/#object/sent_email__v/VBLZ025E82H1KQM", "SE-000281142")</f>
        <v>SE-000281142</v>
      </c>
      <c r="D8512" s="1" t="s">
        <v>0</v>
      </c>
      <c r="E8512" s="2">
        <v>0</v>
      </c>
      <c r="F8512" s="2">
        <v>0</v>
      </c>
      <c r="G8512" s="2">
        <v>0</v>
      </c>
      <c r="H8512" s="1" t="s">
        <v>0</v>
      </c>
      <c r="I8512" s="2">
        <v>0</v>
      </c>
      <c r="J8512" s="1">
        <v>45926.486712962964</v>
      </c>
    </row>
    <row r="8513" spans="1:10" x14ac:dyDescent="0.2">
      <c r="A8513" s="4" t="s">
        <v>1</v>
      </c>
      <c r="B851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13" s="3" t="str">
        <f>HYPERLINK("https://otsuka-europe-crm.veevavault.com/ui/#object/sent_email__v/VBLZ025E82H1KQN", "SE-000281143")</f>
        <v>SE-000281143</v>
      </c>
      <c r="D8513" s="1" t="s">
        <v>0</v>
      </c>
      <c r="E8513" s="2">
        <v>0</v>
      </c>
      <c r="F8513" s="2">
        <v>0</v>
      </c>
      <c r="G8513" s="2">
        <v>0</v>
      </c>
      <c r="H8513" s="1" t="s">
        <v>0</v>
      </c>
      <c r="I8513" s="2">
        <v>0</v>
      </c>
      <c r="J8513" s="1">
        <v>45926.486724537041</v>
      </c>
    </row>
    <row r="8514" spans="1:10" x14ac:dyDescent="0.2">
      <c r="A8514" s="4" t="s">
        <v>1</v>
      </c>
      <c r="B851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14" s="3" t="str">
        <f>HYPERLINK("https://otsuka-europe-crm.veevavault.com/ui/#object/sent_email__v/VBLZ025E82H1KQO", "SE-000281144")</f>
        <v>SE-000281144</v>
      </c>
      <c r="D8514" s="1">
        <v>45931.488645833335</v>
      </c>
      <c r="E8514" s="2">
        <v>1</v>
      </c>
      <c r="F8514" s="2">
        <v>1</v>
      </c>
      <c r="G8514" s="2">
        <v>0</v>
      </c>
      <c r="H8514" s="1" t="s">
        <v>0</v>
      </c>
      <c r="I8514" s="2">
        <v>0</v>
      </c>
      <c r="J8514" s="1">
        <v>45926.48673611111</v>
      </c>
    </row>
    <row r="8515" spans="1:10" x14ac:dyDescent="0.2">
      <c r="A8515" s="4" t="s">
        <v>1</v>
      </c>
      <c r="B851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15" s="3" t="str">
        <f>HYPERLINK("https://otsuka-europe-crm.veevavault.com/ui/#object/sent_email__v/VBLZ025E82H1KQP", "SE-000281145")</f>
        <v>SE-000281145</v>
      </c>
      <c r="D8515" s="1" t="s">
        <v>0</v>
      </c>
      <c r="E8515" s="2">
        <v>0</v>
      </c>
      <c r="F8515" s="2">
        <v>0</v>
      </c>
      <c r="G8515" s="2">
        <v>0</v>
      </c>
      <c r="H8515" s="1" t="s">
        <v>0</v>
      </c>
      <c r="I8515" s="2">
        <v>0</v>
      </c>
      <c r="J8515" s="1">
        <v>45926.48673611111</v>
      </c>
    </row>
    <row r="8516" spans="1:10" x14ac:dyDescent="0.2">
      <c r="A8516" s="4" t="s">
        <v>1</v>
      </c>
      <c r="B851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16" s="3" t="str">
        <f>HYPERLINK("https://otsuka-europe-crm.veevavault.com/ui/#object/sent_email__v/VBLZ025E82H1KQQ", "SE-000281146")</f>
        <v>SE-000281146</v>
      </c>
      <c r="D8516" s="1" t="s">
        <v>0</v>
      </c>
      <c r="E8516" s="2">
        <v>0</v>
      </c>
      <c r="F8516" s="2">
        <v>0</v>
      </c>
      <c r="G8516" s="2">
        <v>0</v>
      </c>
      <c r="H8516" s="1" t="s">
        <v>0</v>
      </c>
      <c r="I8516" s="2">
        <v>0</v>
      </c>
      <c r="J8516" s="1">
        <v>45926.486747685187</v>
      </c>
    </row>
    <row r="8517" spans="1:10" x14ac:dyDescent="0.2">
      <c r="A8517" s="4" t="s">
        <v>1</v>
      </c>
      <c r="B851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17" s="3" t="str">
        <f>HYPERLINK("https://otsuka-europe-crm.veevavault.com/ui/#object/sent_email__v/VBLZ025E82H1KQR", "SE-000281147")</f>
        <v>SE-000281147</v>
      </c>
      <c r="D8517" s="1" t="s">
        <v>0</v>
      </c>
      <c r="E8517" s="2">
        <v>0</v>
      </c>
      <c r="F8517" s="2">
        <v>0</v>
      </c>
      <c r="G8517" s="2">
        <v>0</v>
      </c>
      <c r="H8517" s="1" t="s">
        <v>0</v>
      </c>
      <c r="I8517" s="2">
        <v>0</v>
      </c>
      <c r="J8517" s="1">
        <v>45926.486759259256</v>
      </c>
    </row>
    <row r="8518" spans="1:10" x14ac:dyDescent="0.2">
      <c r="A8518" s="4" t="s">
        <v>1</v>
      </c>
      <c r="B851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18" s="3" t="str">
        <f>HYPERLINK("https://otsuka-europe-crm.veevavault.com/ui/#object/sent_email__v/VBLZ025E82H1KQS", "SE-000281148")</f>
        <v>SE-000281148</v>
      </c>
      <c r="D8518" s="1" t="s">
        <v>0</v>
      </c>
      <c r="E8518" s="2">
        <v>0</v>
      </c>
      <c r="F8518" s="2">
        <v>0</v>
      </c>
      <c r="G8518" s="2">
        <v>0</v>
      </c>
      <c r="H8518" s="1" t="s">
        <v>0</v>
      </c>
      <c r="I8518" s="2">
        <v>0</v>
      </c>
      <c r="J8518" s="1">
        <v>45926.486759259256</v>
      </c>
    </row>
    <row r="8519" spans="1:10" x14ac:dyDescent="0.2">
      <c r="A8519" s="4" t="s">
        <v>1</v>
      </c>
      <c r="B851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19" s="3" t="str">
        <f>HYPERLINK("https://otsuka-europe-crm.veevavault.com/ui/#object/sent_email__v/VBLZ025E82H1KQT", "SE-000281149")</f>
        <v>SE-000281149</v>
      </c>
      <c r="D8519" s="1" t="s">
        <v>0</v>
      </c>
      <c r="E8519" s="2">
        <v>0</v>
      </c>
      <c r="F8519" s="2">
        <v>0</v>
      </c>
      <c r="G8519" s="2">
        <v>0</v>
      </c>
      <c r="H8519" s="1" t="s">
        <v>0</v>
      </c>
      <c r="I8519" s="2">
        <v>0</v>
      </c>
      <c r="J8519" s="1">
        <v>45926.486770833333</v>
      </c>
    </row>
    <row r="8520" spans="1:10" x14ac:dyDescent="0.2">
      <c r="A8520" s="4" t="s">
        <v>1</v>
      </c>
      <c r="B852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20" s="3" t="str">
        <f>HYPERLINK("https://otsuka-europe-crm.veevavault.com/ui/#object/sent_email__v/VBLZ025E82H1KQU", "SE-000281150")</f>
        <v>SE-000281150</v>
      </c>
      <c r="D8520" s="1" t="s">
        <v>0</v>
      </c>
      <c r="E8520" s="2">
        <v>0</v>
      </c>
      <c r="F8520" s="2">
        <v>0</v>
      </c>
      <c r="G8520" s="2">
        <v>0</v>
      </c>
      <c r="H8520" s="1" t="s">
        <v>0</v>
      </c>
      <c r="I8520" s="2">
        <v>0</v>
      </c>
      <c r="J8520" s="1">
        <v>45926.48678240741</v>
      </c>
    </row>
    <row r="8521" spans="1:10" x14ac:dyDescent="0.2">
      <c r="A8521" s="4" t="s">
        <v>1</v>
      </c>
      <c r="B852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21" s="3" t="str">
        <f>HYPERLINK("https://otsuka-europe-crm.veevavault.com/ui/#object/sent_email__v/VBLZ025E82H1KQV", "SE-000281151")</f>
        <v>SE-000281151</v>
      </c>
      <c r="D8521" s="1">
        <v>45926.500648148147</v>
      </c>
      <c r="E8521" s="2">
        <v>1</v>
      </c>
      <c r="F8521" s="2">
        <v>1</v>
      </c>
      <c r="G8521" s="2">
        <v>0</v>
      </c>
      <c r="H8521" s="1" t="s">
        <v>0</v>
      </c>
      <c r="I8521" s="2">
        <v>0</v>
      </c>
      <c r="J8521" s="1">
        <v>45926.486805555556</v>
      </c>
    </row>
    <row r="8522" spans="1:10" x14ac:dyDescent="0.2">
      <c r="A8522" s="4" t="s">
        <v>1</v>
      </c>
      <c r="B852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22" s="3" t="str">
        <f>HYPERLINK("https://otsuka-europe-crm.veevavault.com/ui/#object/sent_email__v/VBLZ025E82H1KQW", "SE-000281152")</f>
        <v>SE-000281152</v>
      </c>
      <c r="D8522" s="1" t="s">
        <v>0</v>
      </c>
      <c r="E8522" s="2">
        <v>0</v>
      </c>
      <c r="F8522" s="2">
        <v>0</v>
      </c>
      <c r="G8522" s="2">
        <v>0</v>
      </c>
      <c r="H8522" s="1" t="s">
        <v>0</v>
      </c>
      <c r="I8522" s="2">
        <v>0</v>
      </c>
      <c r="J8522" s="1">
        <v>45926.486805555556</v>
      </c>
    </row>
    <row r="8523" spans="1:10" x14ac:dyDescent="0.2">
      <c r="A8523" s="4" t="s">
        <v>1</v>
      </c>
      <c r="B852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23" s="3" t="str">
        <f>HYPERLINK("https://otsuka-europe-crm.veevavault.com/ui/#object/sent_email__v/VBLZ025E82H1KQX", "SE-000281153")</f>
        <v>SE-000281153</v>
      </c>
      <c r="D8523" s="1" t="s">
        <v>0</v>
      </c>
      <c r="E8523" s="2">
        <v>0</v>
      </c>
      <c r="F8523" s="2">
        <v>0</v>
      </c>
      <c r="G8523" s="2">
        <v>0</v>
      </c>
      <c r="H8523" s="1" t="s">
        <v>0</v>
      </c>
      <c r="I8523" s="2">
        <v>0</v>
      </c>
      <c r="J8523" s="1">
        <v>45926.486817129633</v>
      </c>
    </row>
    <row r="8524" spans="1:10" x14ac:dyDescent="0.2">
      <c r="A8524" s="4" t="s">
        <v>1</v>
      </c>
      <c r="B852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24" s="3" t="str">
        <f>HYPERLINK("https://otsuka-europe-crm.veevavault.com/ui/#object/sent_email__v/VBLZ025E82H1KQY", "SE-000281154")</f>
        <v>SE-000281154</v>
      </c>
      <c r="D8524" s="1" t="s">
        <v>0</v>
      </c>
      <c r="E8524" s="2">
        <v>0</v>
      </c>
      <c r="F8524" s="2">
        <v>0</v>
      </c>
      <c r="G8524" s="2">
        <v>0</v>
      </c>
      <c r="H8524" s="1" t="s">
        <v>0</v>
      </c>
      <c r="I8524" s="2">
        <v>0</v>
      </c>
      <c r="J8524" s="1">
        <v>45926.486828703702</v>
      </c>
    </row>
    <row r="8525" spans="1:10" x14ac:dyDescent="0.2">
      <c r="A8525" s="4" t="s">
        <v>1</v>
      </c>
      <c r="B852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25" s="3" t="str">
        <f>HYPERLINK("https://otsuka-europe-crm.veevavault.com/ui/#object/sent_email__v/VBLZ025E82H1KQZ", "SE-000281155")</f>
        <v>SE-000281155</v>
      </c>
      <c r="D8525" s="1" t="s">
        <v>0</v>
      </c>
      <c r="E8525" s="2">
        <v>0</v>
      </c>
      <c r="F8525" s="2">
        <v>0</v>
      </c>
      <c r="G8525" s="2">
        <v>0</v>
      </c>
      <c r="H8525" s="1" t="s">
        <v>0</v>
      </c>
      <c r="I8525" s="2">
        <v>0</v>
      </c>
      <c r="J8525" s="1">
        <v>45926.486828703702</v>
      </c>
    </row>
    <row r="8526" spans="1:10" x14ac:dyDescent="0.2">
      <c r="A8526" s="4" t="s">
        <v>1</v>
      </c>
      <c r="B852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26" s="3" t="str">
        <f>HYPERLINK("https://otsuka-europe-crm.veevavault.com/ui/#object/sent_email__v/VBLZ025E82H1KR0", "SE-000281156")</f>
        <v>SE-000281156</v>
      </c>
      <c r="D8526" s="1" t="s">
        <v>0</v>
      </c>
      <c r="E8526" s="2">
        <v>0</v>
      </c>
      <c r="F8526" s="2">
        <v>0</v>
      </c>
      <c r="G8526" s="2">
        <v>0</v>
      </c>
      <c r="H8526" s="1" t="s">
        <v>0</v>
      </c>
      <c r="I8526" s="2">
        <v>0</v>
      </c>
      <c r="J8526" s="1">
        <v>45926.486840277779</v>
      </c>
    </row>
    <row r="8527" spans="1:10" x14ac:dyDescent="0.2">
      <c r="A8527" s="4" t="s">
        <v>1</v>
      </c>
      <c r="B852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27" s="3" t="str">
        <f>HYPERLINK("https://otsuka-europe-crm.veevavault.com/ui/#object/sent_email__v/VBLZ025E82H1KR1", "SE-000281157")</f>
        <v>SE-000281157</v>
      </c>
      <c r="D8527" s="1" t="s">
        <v>0</v>
      </c>
      <c r="E8527" s="2">
        <v>0</v>
      </c>
      <c r="F8527" s="2">
        <v>0</v>
      </c>
      <c r="G8527" s="2">
        <v>0</v>
      </c>
      <c r="H8527" s="1" t="s">
        <v>0</v>
      </c>
      <c r="I8527" s="2">
        <v>0</v>
      </c>
      <c r="J8527" s="1">
        <v>45926.486851851849</v>
      </c>
    </row>
    <row r="8528" spans="1:10" x14ac:dyDescent="0.2">
      <c r="A8528" s="4" t="s">
        <v>1</v>
      </c>
      <c r="B852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28" s="3" t="str">
        <f>HYPERLINK("https://otsuka-europe-crm.veevavault.com/ui/#object/sent_email__v/VBLZ025E82H1KR2", "SE-000281158")</f>
        <v>SE-000281158</v>
      </c>
      <c r="D8528" s="1" t="s">
        <v>0</v>
      </c>
      <c r="E8528" s="2">
        <v>0</v>
      </c>
      <c r="F8528" s="2">
        <v>0</v>
      </c>
      <c r="G8528" s="2">
        <v>0</v>
      </c>
      <c r="H8528" s="1" t="s">
        <v>0</v>
      </c>
      <c r="I8528" s="2">
        <v>0</v>
      </c>
      <c r="J8528" s="1">
        <v>45926.486863425926</v>
      </c>
    </row>
    <row r="8529" spans="1:10" x14ac:dyDescent="0.2">
      <c r="A8529" s="4" t="s">
        <v>1</v>
      </c>
      <c r="B852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29" s="3" t="str">
        <f>HYPERLINK("https://otsuka-europe-crm.veevavault.com/ui/#object/sent_email__v/VBLZ025E82H1KR3", "SE-000281159")</f>
        <v>SE-000281159</v>
      </c>
      <c r="D8529" s="1" t="s">
        <v>0</v>
      </c>
      <c r="E8529" s="2">
        <v>0</v>
      </c>
      <c r="F8529" s="2">
        <v>0</v>
      </c>
      <c r="G8529" s="2">
        <v>0</v>
      </c>
      <c r="H8529" s="1" t="s">
        <v>0</v>
      </c>
      <c r="I8529" s="2">
        <v>0</v>
      </c>
      <c r="J8529" s="1">
        <v>45926.486875000002</v>
      </c>
    </row>
    <row r="8530" spans="1:10" x14ac:dyDescent="0.2">
      <c r="A8530" s="4" t="s">
        <v>1</v>
      </c>
      <c r="B853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30" s="3" t="str">
        <f>HYPERLINK("https://otsuka-europe-crm.veevavault.com/ui/#object/sent_email__v/VBLZ025E82H1KR4", "SE-000281160")</f>
        <v>SE-000281160</v>
      </c>
      <c r="D8530" s="1" t="s">
        <v>0</v>
      </c>
      <c r="E8530" s="2">
        <v>0</v>
      </c>
      <c r="F8530" s="2">
        <v>0</v>
      </c>
      <c r="G8530" s="2">
        <v>0</v>
      </c>
      <c r="H8530" s="1" t="s">
        <v>0</v>
      </c>
      <c r="I8530" s="2">
        <v>0</v>
      </c>
      <c r="J8530" s="1">
        <v>45926.486886574072</v>
      </c>
    </row>
    <row r="8531" spans="1:10" x14ac:dyDescent="0.2">
      <c r="A8531" s="4" t="s">
        <v>1</v>
      </c>
      <c r="B853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31" s="3" t="str">
        <f>HYPERLINK("https://otsuka-europe-crm.veevavault.com/ui/#object/sent_email__v/VBLZ025E82H1KR5", "SE-000281161")</f>
        <v>SE-000281161</v>
      </c>
      <c r="D8531" s="1">
        <v>45945.017245370371</v>
      </c>
      <c r="E8531" s="2">
        <v>1</v>
      </c>
      <c r="F8531" s="2">
        <v>2</v>
      </c>
      <c r="G8531" s="2">
        <v>0</v>
      </c>
      <c r="H8531" s="1" t="s">
        <v>0</v>
      </c>
      <c r="I8531" s="2">
        <v>0</v>
      </c>
      <c r="J8531" s="1">
        <v>45926.486898148149</v>
      </c>
    </row>
    <row r="8532" spans="1:10" x14ac:dyDescent="0.2">
      <c r="A8532" s="4" t="s">
        <v>1</v>
      </c>
      <c r="B853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32" s="3" t="str">
        <f>HYPERLINK("https://otsuka-europe-crm.veevavault.com/ui/#object/sent_email__v/VBLZ025E82H1KR6", "SE-000281162")</f>
        <v>SE-000281162</v>
      </c>
      <c r="D8532" s="1" t="s">
        <v>0</v>
      </c>
      <c r="E8532" s="2">
        <v>0</v>
      </c>
      <c r="F8532" s="2">
        <v>0</v>
      </c>
      <c r="G8532" s="2">
        <v>0</v>
      </c>
      <c r="H8532" s="1" t="s">
        <v>0</v>
      </c>
      <c r="I8532" s="2">
        <v>0</v>
      </c>
      <c r="J8532" s="1">
        <v>45926.486898148149</v>
      </c>
    </row>
    <row r="8533" spans="1:10" x14ac:dyDescent="0.2">
      <c r="A8533" s="4" t="s">
        <v>1</v>
      </c>
      <c r="B853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33" s="3" t="str">
        <f>HYPERLINK("https://otsuka-europe-crm.veevavault.com/ui/#object/sent_email__v/VBLZ025E82H1KR7", "SE-000281163")</f>
        <v>SE-000281163</v>
      </c>
      <c r="D8533" s="1" t="s">
        <v>0</v>
      </c>
      <c r="E8533" s="2">
        <v>0</v>
      </c>
      <c r="F8533" s="2">
        <v>0</v>
      </c>
      <c r="G8533" s="2">
        <v>0</v>
      </c>
      <c r="H8533" s="1" t="s">
        <v>0</v>
      </c>
      <c r="I8533" s="2">
        <v>0</v>
      </c>
      <c r="J8533" s="1">
        <v>45926.486921296295</v>
      </c>
    </row>
    <row r="8534" spans="1:10" x14ac:dyDescent="0.2">
      <c r="A8534" s="4" t="s">
        <v>1</v>
      </c>
      <c r="B853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34" s="3" t="str">
        <f>HYPERLINK("https://otsuka-europe-crm.veevavault.com/ui/#object/sent_email__v/VBLZ025E82H1KR8", "SE-000281164")</f>
        <v>SE-000281164</v>
      </c>
      <c r="D8534" s="1" t="s">
        <v>0</v>
      </c>
      <c r="E8534" s="2">
        <v>0</v>
      </c>
      <c r="F8534" s="2">
        <v>0</v>
      </c>
      <c r="G8534" s="2">
        <v>0</v>
      </c>
      <c r="H8534" s="1" t="s">
        <v>0</v>
      </c>
      <c r="I8534" s="2">
        <v>0</v>
      </c>
      <c r="J8534" s="1">
        <v>45926.486921296295</v>
      </c>
    </row>
    <row r="8535" spans="1:10" x14ac:dyDescent="0.2">
      <c r="A8535" s="4" t="s">
        <v>1</v>
      </c>
      <c r="B853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35" s="3" t="str">
        <f>HYPERLINK("https://otsuka-europe-crm.veevavault.com/ui/#object/sent_email__v/VBLZ025E82H1KR9", "SE-000281165")</f>
        <v>SE-000281165</v>
      </c>
      <c r="D8535" s="1" t="s">
        <v>0</v>
      </c>
      <c r="E8535" s="2">
        <v>0</v>
      </c>
      <c r="F8535" s="2">
        <v>0</v>
      </c>
      <c r="G8535" s="2">
        <v>0</v>
      </c>
      <c r="H8535" s="1" t="s">
        <v>0</v>
      </c>
      <c r="I8535" s="2">
        <v>0</v>
      </c>
      <c r="J8535" s="1">
        <v>45926.486944444441</v>
      </c>
    </row>
    <row r="8536" spans="1:10" x14ac:dyDescent="0.2">
      <c r="A8536" s="4" t="s">
        <v>1</v>
      </c>
      <c r="B853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36" s="3" t="str">
        <f>HYPERLINK("https://otsuka-europe-crm.veevavault.com/ui/#object/sent_email__v/VBLZ025E82H1KRA", "SE-000281166")</f>
        <v>SE-000281166</v>
      </c>
      <c r="D8536" s="1" t="s">
        <v>0</v>
      </c>
      <c r="E8536" s="2">
        <v>0</v>
      </c>
      <c r="F8536" s="2">
        <v>0</v>
      </c>
      <c r="G8536" s="2">
        <v>0</v>
      </c>
      <c r="H8536" s="1" t="s">
        <v>0</v>
      </c>
      <c r="I8536" s="2">
        <v>0</v>
      </c>
      <c r="J8536" s="1">
        <v>45926.486944444441</v>
      </c>
    </row>
    <row r="8537" spans="1:10" x14ac:dyDescent="0.2">
      <c r="A8537" s="4" t="s">
        <v>1</v>
      </c>
      <c r="B853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37" s="3" t="str">
        <f>HYPERLINK("https://otsuka-europe-crm.veevavault.com/ui/#object/sent_email__v/VBLZ025E82H1P4T", "SE-000281257")</f>
        <v>SE-000281257</v>
      </c>
      <c r="D8537" s="1" t="s">
        <v>0</v>
      </c>
      <c r="E8537" s="2">
        <v>0</v>
      </c>
      <c r="F8537" s="2">
        <v>0</v>
      </c>
      <c r="G8537" s="2">
        <v>0</v>
      </c>
      <c r="H8537" s="1" t="s">
        <v>0</v>
      </c>
      <c r="I8537" s="2">
        <v>0</v>
      </c>
      <c r="J8537" s="1">
        <v>45926.519965277781</v>
      </c>
    </row>
    <row r="8538" spans="1:10" x14ac:dyDescent="0.2">
      <c r="A8538" s="4" t="s">
        <v>1</v>
      </c>
      <c r="B853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38" s="3" t="str">
        <f>HYPERLINK("https://otsuka-europe-crm.veevavault.com/ui/#object/sent_email__v/VBLZ025E82H1P4U", "SE-000281258")</f>
        <v>SE-000281258</v>
      </c>
      <c r="D8538" s="1" t="s">
        <v>0</v>
      </c>
      <c r="E8538" s="2">
        <v>0</v>
      </c>
      <c r="F8538" s="2">
        <v>0</v>
      </c>
      <c r="G8538" s="2">
        <v>0</v>
      </c>
      <c r="H8538" s="1" t="s">
        <v>0</v>
      </c>
      <c r="I8538" s="2">
        <v>0</v>
      </c>
      <c r="J8538" s="1">
        <v>45926.519965277781</v>
      </c>
    </row>
    <row r="8539" spans="1:10" x14ac:dyDescent="0.2">
      <c r="A8539" s="4" t="s">
        <v>1</v>
      </c>
      <c r="B853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39" s="3" t="str">
        <f>HYPERLINK("https://otsuka-europe-crm.veevavault.com/ui/#object/sent_email__v/VBLZ025E82H1P4V", "SE-000281259")</f>
        <v>SE-000281259</v>
      </c>
      <c r="D8539" s="1" t="s">
        <v>0</v>
      </c>
      <c r="E8539" s="2">
        <v>0</v>
      </c>
      <c r="F8539" s="2">
        <v>0</v>
      </c>
      <c r="G8539" s="2">
        <v>0</v>
      </c>
      <c r="H8539" s="1" t="s">
        <v>0</v>
      </c>
      <c r="I8539" s="2">
        <v>0</v>
      </c>
      <c r="J8539" s="1">
        <v>45926.519976851851</v>
      </c>
    </row>
    <row r="8540" spans="1:10" x14ac:dyDescent="0.2">
      <c r="A8540" s="4" t="s">
        <v>1</v>
      </c>
      <c r="B854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40" s="3" t="str">
        <f>HYPERLINK("https://otsuka-europe-crm.veevavault.com/ui/#object/sent_email__v/VBLZ025E82H1P4W", "SE-000281260")</f>
        <v>SE-000281260</v>
      </c>
      <c r="D8540" s="1" t="s">
        <v>0</v>
      </c>
      <c r="E8540" s="2">
        <v>0</v>
      </c>
      <c r="F8540" s="2">
        <v>0</v>
      </c>
      <c r="G8540" s="2">
        <v>0</v>
      </c>
      <c r="H8540" s="1" t="s">
        <v>0</v>
      </c>
      <c r="I8540" s="2">
        <v>0</v>
      </c>
      <c r="J8540" s="1">
        <v>45926.519988425927</v>
      </c>
    </row>
    <row r="8541" spans="1:10" x14ac:dyDescent="0.2">
      <c r="A8541" s="4" t="s">
        <v>1</v>
      </c>
      <c r="B854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41" s="3" t="str">
        <f>HYPERLINK("https://otsuka-europe-crm.veevavault.com/ui/#object/sent_email__v/VBLZ025E82H1P4X", "SE-000281261")</f>
        <v>SE-000281261</v>
      </c>
      <c r="D8541" s="1" t="s">
        <v>0</v>
      </c>
      <c r="E8541" s="2">
        <v>0</v>
      </c>
      <c r="F8541" s="2">
        <v>0</v>
      </c>
      <c r="G8541" s="2">
        <v>0</v>
      </c>
      <c r="H8541" s="1" t="s">
        <v>0</v>
      </c>
      <c r="I8541" s="2">
        <v>0</v>
      </c>
      <c r="J8541" s="1">
        <v>45926.52</v>
      </c>
    </row>
    <row r="8542" spans="1:10" x14ac:dyDescent="0.2">
      <c r="A8542" s="4" t="s">
        <v>1</v>
      </c>
      <c r="B854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42" s="3" t="str">
        <f>HYPERLINK("https://otsuka-europe-crm.veevavault.com/ui/#object/sent_email__v/VBLZ025E82H1P4Y", "SE-000281262")</f>
        <v>SE-000281262</v>
      </c>
      <c r="D8542" s="1" t="s">
        <v>0</v>
      </c>
      <c r="E8542" s="2">
        <v>0</v>
      </c>
      <c r="F8542" s="2">
        <v>0</v>
      </c>
      <c r="G8542" s="2">
        <v>0</v>
      </c>
      <c r="H8542" s="1" t="s">
        <v>0</v>
      </c>
      <c r="I8542" s="2">
        <v>0</v>
      </c>
      <c r="J8542" s="1">
        <v>45926.52</v>
      </c>
    </row>
    <row r="8543" spans="1:10" x14ac:dyDescent="0.2">
      <c r="A8543" s="4" t="s">
        <v>1</v>
      </c>
      <c r="B854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43" s="3" t="str">
        <f>HYPERLINK("https://otsuka-europe-crm.veevavault.com/ui/#object/sent_email__v/VBLZ025E82H1P4Z", "SE-000281263")</f>
        <v>SE-000281263</v>
      </c>
      <c r="D8543" s="1" t="s">
        <v>0</v>
      </c>
      <c r="E8543" s="2">
        <v>0</v>
      </c>
      <c r="F8543" s="2">
        <v>0</v>
      </c>
      <c r="G8543" s="2">
        <v>0</v>
      </c>
      <c r="H8543" s="1" t="s">
        <v>0</v>
      </c>
      <c r="I8543" s="2">
        <v>0</v>
      </c>
      <c r="J8543" s="1">
        <v>45926.52002314815</v>
      </c>
    </row>
    <row r="8544" spans="1:10" x14ac:dyDescent="0.2">
      <c r="A8544" s="4" t="s">
        <v>1</v>
      </c>
      <c r="B854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44" s="3" t="str">
        <f>HYPERLINK("https://otsuka-europe-crm.veevavault.com/ui/#object/sent_email__v/VBLZ025E82H1P50", "SE-000281264")</f>
        <v>SE-000281264</v>
      </c>
      <c r="D8544" s="1" t="s">
        <v>0</v>
      </c>
      <c r="E8544" s="2">
        <v>0</v>
      </c>
      <c r="F8544" s="2">
        <v>0</v>
      </c>
      <c r="G8544" s="2">
        <v>0</v>
      </c>
      <c r="H8544" s="1" t="s">
        <v>0</v>
      </c>
      <c r="I8544" s="2">
        <v>0</v>
      </c>
      <c r="J8544" s="1">
        <v>45926.52002314815</v>
      </c>
    </row>
    <row r="8545" spans="1:10" x14ac:dyDescent="0.2">
      <c r="A8545" s="4" t="s">
        <v>1</v>
      </c>
      <c r="B854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45" s="3" t="str">
        <f>HYPERLINK("https://otsuka-europe-crm.veevavault.com/ui/#object/sent_email__v/VBLZ025E82H1P51", "SE-000281265")</f>
        <v>SE-000281265</v>
      </c>
      <c r="D8545" s="1" t="s">
        <v>0</v>
      </c>
      <c r="E8545" s="2">
        <v>0</v>
      </c>
      <c r="F8545" s="2">
        <v>0</v>
      </c>
      <c r="G8545" s="2">
        <v>0</v>
      </c>
      <c r="H8545" s="1" t="s">
        <v>0</v>
      </c>
      <c r="I8545" s="2">
        <v>0</v>
      </c>
      <c r="J8545" s="1">
        <v>45926.52003472222</v>
      </c>
    </row>
    <row r="8546" spans="1:10" x14ac:dyDescent="0.2">
      <c r="A8546" s="4" t="s">
        <v>1</v>
      </c>
      <c r="B854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46" s="3" t="str">
        <f>HYPERLINK("https://otsuka-europe-crm.veevavault.com/ui/#object/sent_email__v/VBLZ025E82H1P52", "SE-000281266")</f>
        <v>SE-000281266</v>
      </c>
      <c r="D8546" s="1" t="s">
        <v>0</v>
      </c>
      <c r="E8546" s="2">
        <v>0</v>
      </c>
      <c r="F8546" s="2">
        <v>0</v>
      </c>
      <c r="G8546" s="2">
        <v>0</v>
      </c>
      <c r="H8546" s="1" t="s">
        <v>0</v>
      </c>
      <c r="I8546" s="2">
        <v>0</v>
      </c>
      <c r="J8546" s="1">
        <v>45926.520046296297</v>
      </c>
    </row>
    <row r="8547" spans="1:10" x14ac:dyDescent="0.2">
      <c r="A8547" s="4" t="s">
        <v>1</v>
      </c>
      <c r="B854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47" s="3" t="str">
        <f>HYPERLINK("https://otsuka-europe-crm.veevavault.com/ui/#object/sent_email__v/VBLZ025E82H1P53", "SE-000281267")</f>
        <v>SE-000281267</v>
      </c>
      <c r="D8547" s="1" t="s">
        <v>0</v>
      </c>
      <c r="E8547" s="2">
        <v>0</v>
      </c>
      <c r="F8547" s="2">
        <v>0</v>
      </c>
      <c r="G8547" s="2">
        <v>0</v>
      </c>
      <c r="H8547" s="1" t="s">
        <v>0</v>
      </c>
      <c r="I8547" s="2">
        <v>0</v>
      </c>
      <c r="J8547" s="1">
        <v>45926.520057870373</v>
      </c>
    </row>
    <row r="8548" spans="1:10" x14ac:dyDescent="0.2">
      <c r="A8548" s="4" t="s">
        <v>1</v>
      </c>
      <c r="B854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48" s="3" t="str">
        <f>HYPERLINK("https://otsuka-europe-crm.veevavault.com/ui/#object/sent_email__v/VBLZ025E82H1P54", "SE-000281268")</f>
        <v>SE-000281268</v>
      </c>
      <c r="D8548" s="1" t="s">
        <v>0</v>
      </c>
      <c r="E8548" s="2">
        <v>0</v>
      </c>
      <c r="F8548" s="2">
        <v>0</v>
      </c>
      <c r="G8548" s="2">
        <v>0</v>
      </c>
      <c r="H8548" s="1" t="s">
        <v>0</v>
      </c>
      <c r="I8548" s="2">
        <v>0</v>
      </c>
      <c r="J8548" s="1">
        <v>45926.520069444443</v>
      </c>
    </row>
    <row r="8549" spans="1:10" x14ac:dyDescent="0.2">
      <c r="A8549" s="4" t="s">
        <v>1</v>
      </c>
      <c r="B854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49" s="3" t="str">
        <f>HYPERLINK("https://otsuka-europe-crm.veevavault.com/ui/#object/sent_email__v/VBLZ025E82H1P55", "SE-000281269")</f>
        <v>SE-000281269</v>
      </c>
      <c r="D8549" s="1" t="s">
        <v>0</v>
      </c>
      <c r="E8549" s="2">
        <v>0</v>
      </c>
      <c r="F8549" s="2">
        <v>0</v>
      </c>
      <c r="G8549" s="2">
        <v>0</v>
      </c>
      <c r="H8549" s="1" t="s">
        <v>0</v>
      </c>
      <c r="I8549" s="2">
        <v>0</v>
      </c>
      <c r="J8549" s="1">
        <v>45926.520069444443</v>
      </c>
    </row>
    <row r="8550" spans="1:10" x14ac:dyDescent="0.2">
      <c r="A8550" s="4" t="s">
        <v>1</v>
      </c>
      <c r="B855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50" s="3" t="str">
        <f>HYPERLINK("https://otsuka-europe-crm.veevavault.com/ui/#object/sent_email__v/VBLZ025E82H1P56", "SE-000281270")</f>
        <v>SE-000281270</v>
      </c>
      <c r="D8550" s="1" t="s">
        <v>0</v>
      </c>
      <c r="E8550" s="2">
        <v>0</v>
      </c>
      <c r="F8550" s="2">
        <v>0</v>
      </c>
      <c r="G8550" s="2">
        <v>0</v>
      </c>
      <c r="H8550" s="1" t="s">
        <v>0</v>
      </c>
      <c r="I8550" s="2">
        <v>0</v>
      </c>
      <c r="J8550" s="1">
        <v>45926.52008101852</v>
      </c>
    </row>
    <row r="8551" spans="1:10" x14ac:dyDescent="0.2">
      <c r="A8551" s="4" t="s">
        <v>1</v>
      </c>
      <c r="B855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51" s="3" t="str">
        <f>HYPERLINK("https://otsuka-europe-crm.veevavault.com/ui/#object/sent_email__v/VBLZ025E82H1P57", "SE-000281271")</f>
        <v>SE-000281271</v>
      </c>
      <c r="D8551" s="1" t="s">
        <v>0</v>
      </c>
      <c r="E8551" s="2">
        <v>0</v>
      </c>
      <c r="F8551" s="2">
        <v>0</v>
      </c>
      <c r="G8551" s="2">
        <v>0</v>
      </c>
      <c r="H8551" s="1" t="s">
        <v>0</v>
      </c>
      <c r="I8551" s="2">
        <v>0</v>
      </c>
      <c r="J8551" s="1">
        <v>45926.520092592589</v>
      </c>
    </row>
    <row r="8552" spans="1:10" x14ac:dyDescent="0.2">
      <c r="A8552" s="4" t="s">
        <v>1</v>
      </c>
      <c r="B855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52" s="3" t="str">
        <f>HYPERLINK("https://otsuka-europe-crm.veevavault.com/ui/#object/sent_email__v/VBLZ025E82H1P7L", "SE-000281272")</f>
        <v>SE-000281272</v>
      </c>
      <c r="D8552" s="1" t="s">
        <v>0</v>
      </c>
      <c r="E8552" s="2">
        <v>0</v>
      </c>
      <c r="F8552" s="2">
        <v>0</v>
      </c>
      <c r="G8552" s="2">
        <v>0</v>
      </c>
      <c r="H8552" s="1" t="s">
        <v>0</v>
      </c>
      <c r="I8552" s="2">
        <v>0</v>
      </c>
      <c r="J8552" s="1">
        <v>45926.520451388889</v>
      </c>
    </row>
    <row r="8553" spans="1:10" x14ac:dyDescent="0.2">
      <c r="A8553" s="4" t="s">
        <v>1</v>
      </c>
      <c r="B855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53" s="3" t="str">
        <f>HYPERLINK("https://otsuka-europe-crm.veevavault.com/ui/#object/sent_email__v/VBLZ025E82H1P7M", "SE-000281273")</f>
        <v>SE-000281273</v>
      </c>
      <c r="D8553" s="1" t="s">
        <v>0</v>
      </c>
      <c r="E8553" s="2">
        <v>0</v>
      </c>
      <c r="F8553" s="2">
        <v>0</v>
      </c>
      <c r="G8553" s="2">
        <v>0</v>
      </c>
      <c r="H8553" s="1" t="s">
        <v>0</v>
      </c>
      <c r="I8553" s="2">
        <v>0</v>
      </c>
      <c r="J8553" s="1">
        <v>45926.520451388889</v>
      </c>
    </row>
    <row r="8554" spans="1:10" x14ac:dyDescent="0.2">
      <c r="A8554" s="4" t="s">
        <v>1</v>
      </c>
      <c r="B855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54" s="3" t="str">
        <f>HYPERLINK("https://otsuka-europe-crm.veevavault.com/ui/#object/sent_email__v/VBLZ025E82H1P7N", "SE-000281274")</f>
        <v>SE-000281274</v>
      </c>
      <c r="D8554" s="1" t="s">
        <v>0</v>
      </c>
      <c r="E8554" s="2">
        <v>0</v>
      </c>
      <c r="F8554" s="2">
        <v>0</v>
      </c>
      <c r="G8554" s="2">
        <v>0</v>
      </c>
      <c r="H8554" s="1" t="s">
        <v>0</v>
      </c>
      <c r="I8554" s="2">
        <v>0</v>
      </c>
      <c r="J8554" s="1">
        <v>45926.520462962966</v>
      </c>
    </row>
    <row r="8555" spans="1:10" x14ac:dyDescent="0.2">
      <c r="A8555" s="4" t="s">
        <v>1</v>
      </c>
      <c r="B855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55" s="3" t="str">
        <f>HYPERLINK("https://otsuka-europe-crm.veevavault.com/ui/#object/sent_email__v/VBLZ025E82H1P7O", "SE-000281275")</f>
        <v>SE-000281275</v>
      </c>
      <c r="D8555" s="1" t="s">
        <v>0</v>
      </c>
      <c r="E8555" s="2">
        <v>0</v>
      </c>
      <c r="F8555" s="2">
        <v>0</v>
      </c>
      <c r="G8555" s="2">
        <v>0</v>
      </c>
      <c r="H8555" s="1" t="s">
        <v>0</v>
      </c>
      <c r="I8555" s="2">
        <v>0</v>
      </c>
      <c r="J8555" s="1">
        <v>45926.520474537036</v>
      </c>
    </row>
    <row r="8556" spans="1:10" x14ac:dyDescent="0.2">
      <c r="A8556" s="4" t="s">
        <v>1</v>
      </c>
      <c r="B855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56" s="3" t="str">
        <f>HYPERLINK("https://otsuka-europe-crm.veevavault.com/ui/#object/sent_email__v/VBLZ025E82H1P7P", "SE-000281276")</f>
        <v>SE-000281276</v>
      </c>
      <c r="D8556" s="1" t="s">
        <v>0</v>
      </c>
      <c r="E8556" s="2">
        <v>0</v>
      </c>
      <c r="F8556" s="2">
        <v>0</v>
      </c>
      <c r="G8556" s="2">
        <v>0</v>
      </c>
      <c r="H8556" s="1" t="s">
        <v>0</v>
      </c>
      <c r="I8556" s="2">
        <v>0</v>
      </c>
      <c r="J8556" s="1">
        <v>45926.520486111112</v>
      </c>
    </row>
    <row r="8557" spans="1:10" x14ac:dyDescent="0.2">
      <c r="A8557" s="4" t="s">
        <v>1</v>
      </c>
      <c r="B855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57" s="3" t="str">
        <f>HYPERLINK("https://otsuka-europe-crm.veevavault.com/ui/#object/sent_email__v/VBLZ025E82H1P7Q", "SE-000281277")</f>
        <v>SE-000281277</v>
      </c>
      <c r="D8557" s="1" t="s">
        <v>0</v>
      </c>
      <c r="E8557" s="2">
        <v>0</v>
      </c>
      <c r="F8557" s="2">
        <v>0</v>
      </c>
      <c r="G8557" s="2">
        <v>0</v>
      </c>
      <c r="H8557" s="1" t="s">
        <v>0</v>
      </c>
      <c r="I8557" s="2">
        <v>0</v>
      </c>
      <c r="J8557" s="1">
        <v>45926.520497685182</v>
      </c>
    </row>
    <row r="8558" spans="1:10" x14ac:dyDescent="0.2">
      <c r="A8558" s="4" t="s">
        <v>1</v>
      </c>
      <c r="B855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58" s="3" t="str">
        <f>HYPERLINK("https://otsuka-europe-crm.veevavault.com/ui/#object/sent_email__v/VBLZ025E82H1P7R", "SE-000281278")</f>
        <v>SE-000281278</v>
      </c>
      <c r="D8558" s="1" t="s">
        <v>0</v>
      </c>
      <c r="E8558" s="2">
        <v>0</v>
      </c>
      <c r="F8558" s="2">
        <v>0</v>
      </c>
      <c r="G8558" s="2">
        <v>0</v>
      </c>
      <c r="H8558" s="1" t="s">
        <v>0</v>
      </c>
      <c r="I8558" s="2">
        <v>0</v>
      </c>
      <c r="J8558" s="1">
        <v>45926.520497685182</v>
      </c>
    </row>
    <row r="8559" spans="1:10" x14ac:dyDescent="0.2">
      <c r="A8559" s="4" t="s">
        <v>1</v>
      </c>
      <c r="B855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59" s="3" t="str">
        <f>HYPERLINK("https://otsuka-europe-crm.veevavault.com/ui/#object/sent_email__v/VBLZ025E82H1P7S", "SE-000281279")</f>
        <v>SE-000281279</v>
      </c>
      <c r="D8559" s="1" t="s">
        <v>0</v>
      </c>
      <c r="E8559" s="2">
        <v>0</v>
      </c>
      <c r="F8559" s="2">
        <v>0</v>
      </c>
      <c r="G8559" s="2">
        <v>0</v>
      </c>
      <c r="H8559" s="1" t="s">
        <v>0</v>
      </c>
      <c r="I8559" s="2">
        <v>0</v>
      </c>
      <c r="J8559" s="1">
        <v>45926.520509259259</v>
      </c>
    </row>
    <row r="8560" spans="1:10" x14ac:dyDescent="0.2">
      <c r="A8560" s="4" t="s">
        <v>1</v>
      </c>
      <c r="B856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60" s="3" t="str">
        <f>HYPERLINK("https://otsuka-europe-crm.veevavault.com/ui/#object/sent_email__v/VBLZ025E82H1P7T", "SE-000281280")</f>
        <v>SE-000281280</v>
      </c>
      <c r="D8560" s="1" t="s">
        <v>0</v>
      </c>
      <c r="E8560" s="2">
        <v>0</v>
      </c>
      <c r="F8560" s="2">
        <v>0</v>
      </c>
      <c r="G8560" s="2">
        <v>0</v>
      </c>
      <c r="H8560" s="1" t="s">
        <v>0</v>
      </c>
      <c r="I8560" s="2">
        <v>0</v>
      </c>
      <c r="J8560" s="1">
        <v>45926.520520833335</v>
      </c>
    </row>
    <row r="8561" spans="1:10" x14ac:dyDescent="0.2">
      <c r="A8561" s="4" t="s">
        <v>1</v>
      </c>
      <c r="B856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61" s="3" t="str">
        <f>HYPERLINK("https://otsuka-europe-crm.veevavault.com/ui/#object/sent_email__v/VBLZ025E82H1P7U", "SE-000281281")</f>
        <v>SE-000281281</v>
      </c>
      <c r="D8561" s="1" t="s">
        <v>0</v>
      </c>
      <c r="E8561" s="2">
        <v>0</v>
      </c>
      <c r="F8561" s="2">
        <v>0</v>
      </c>
      <c r="G8561" s="2">
        <v>0</v>
      </c>
      <c r="H8561" s="1" t="s">
        <v>0</v>
      </c>
      <c r="I8561" s="2">
        <v>0</v>
      </c>
      <c r="J8561" s="1">
        <v>45926.520532407405</v>
      </c>
    </row>
    <row r="8562" spans="1:10" x14ac:dyDescent="0.2">
      <c r="A8562" s="4" t="s">
        <v>1</v>
      </c>
      <c r="B856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62" s="3" t="str">
        <f>HYPERLINK("https://otsuka-europe-crm.veevavault.com/ui/#object/sent_email__v/VBLZ025E82H1P7V", "SE-000281282")</f>
        <v>SE-000281282</v>
      </c>
      <c r="D8562" s="1" t="s">
        <v>0</v>
      </c>
      <c r="E8562" s="2">
        <v>0</v>
      </c>
      <c r="F8562" s="2">
        <v>0</v>
      </c>
      <c r="G8562" s="2">
        <v>0</v>
      </c>
      <c r="H8562" s="1" t="s">
        <v>0</v>
      </c>
      <c r="I8562" s="2">
        <v>0</v>
      </c>
      <c r="J8562" s="1">
        <v>45926.520543981482</v>
      </c>
    </row>
    <row r="8563" spans="1:10" x14ac:dyDescent="0.2">
      <c r="A8563" s="4" t="s">
        <v>1</v>
      </c>
      <c r="B856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63" s="3" t="str">
        <f>HYPERLINK("https://otsuka-europe-crm.veevavault.com/ui/#object/sent_email__v/VBLZ025E82H1P7W", "SE-000281283")</f>
        <v>SE-000281283</v>
      </c>
      <c r="D8563" s="1" t="s">
        <v>0</v>
      </c>
      <c r="E8563" s="2">
        <v>0</v>
      </c>
      <c r="F8563" s="2">
        <v>0</v>
      </c>
      <c r="G8563" s="2">
        <v>0</v>
      </c>
      <c r="H8563" s="1" t="s">
        <v>0</v>
      </c>
      <c r="I8563" s="2">
        <v>0</v>
      </c>
      <c r="J8563" s="1">
        <v>45926.520543981482</v>
      </c>
    </row>
    <row r="8564" spans="1:10" x14ac:dyDescent="0.2">
      <c r="A8564" s="4" t="s">
        <v>1</v>
      </c>
      <c r="B856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64" s="3" t="str">
        <f>HYPERLINK("https://otsuka-europe-crm.veevavault.com/ui/#object/sent_email__v/VBLZ025E82H1P7X", "SE-000281284")</f>
        <v>SE-000281284</v>
      </c>
      <c r="D8564" s="1" t="s">
        <v>0</v>
      </c>
      <c r="E8564" s="2">
        <v>0</v>
      </c>
      <c r="F8564" s="2">
        <v>0</v>
      </c>
      <c r="G8564" s="2">
        <v>0</v>
      </c>
      <c r="H8564" s="1" t="s">
        <v>0</v>
      </c>
      <c r="I8564" s="2">
        <v>0</v>
      </c>
      <c r="J8564" s="1">
        <v>45926.520555555559</v>
      </c>
    </row>
    <row r="8565" spans="1:10" x14ac:dyDescent="0.2">
      <c r="A8565" s="4" t="s">
        <v>1</v>
      </c>
      <c r="B856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65" s="3" t="str">
        <f>HYPERLINK("https://otsuka-europe-crm.veevavault.com/ui/#object/sent_email__v/VBLZ025E82H1P7Y", "SE-000281285")</f>
        <v>SE-000281285</v>
      </c>
      <c r="D8565" s="1" t="s">
        <v>0</v>
      </c>
      <c r="E8565" s="2">
        <v>0</v>
      </c>
      <c r="F8565" s="2">
        <v>0</v>
      </c>
      <c r="G8565" s="2">
        <v>0</v>
      </c>
      <c r="H8565" s="1" t="s">
        <v>0</v>
      </c>
      <c r="I8565" s="2">
        <v>0</v>
      </c>
      <c r="J8565" s="1">
        <v>45926.520567129628</v>
      </c>
    </row>
    <row r="8566" spans="1:10" x14ac:dyDescent="0.2">
      <c r="A8566" s="4" t="s">
        <v>1</v>
      </c>
      <c r="B856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66" s="3" t="str">
        <f>HYPERLINK("https://otsuka-europe-crm.veevavault.com/ui/#object/sent_email__v/VBLZ025E82H1P7Z", "SE-000281286")</f>
        <v>SE-000281286</v>
      </c>
      <c r="D8566" s="1" t="s">
        <v>0</v>
      </c>
      <c r="E8566" s="2">
        <v>0</v>
      </c>
      <c r="F8566" s="2">
        <v>0</v>
      </c>
      <c r="G8566" s="2">
        <v>0</v>
      </c>
      <c r="H8566" s="1" t="s">
        <v>0</v>
      </c>
      <c r="I8566" s="2">
        <v>0</v>
      </c>
      <c r="J8566" s="1">
        <v>45926.520578703705</v>
      </c>
    </row>
    <row r="8567" spans="1:10" x14ac:dyDescent="0.2">
      <c r="A8567" s="4" t="s">
        <v>1</v>
      </c>
      <c r="B856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67" s="3" t="str">
        <f>HYPERLINK("https://otsuka-europe-crm.veevavault.com/ui/#object/sent_email__v/VBLZ025E82H1P80", "SE-000281287")</f>
        <v>SE-000281287</v>
      </c>
      <c r="D8567" s="1" t="s">
        <v>0</v>
      </c>
      <c r="E8567" s="2">
        <v>0</v>
      </c>
      <c r="F8567" s="2">
        <v>0</v>
      </c>
      <c r="G8567" s="2">
        <v>0</v>
      </c>
      <c r="H8567" s="1" t="s">
        <v>0</v>
      </c>
      <c r="I8567" s="2">
        <v>0</v>
      </c>
      <c r="J8567" s="1">
        <v>45926.520590277774</v>
      </c>
    </row>
    <row r="8568" spans="1:10" x14ac:dyDescent="0.2">
      <c r="A8568" s="4" t="s">
        <v>1</v>
      </c>
      <c r="B856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68" s="3" t="str">
        <f>HYPERLINK("https://otsuka-europe-crm.veevavault.com/ui/#object/sent_email__v/VBLZ025E82H1P81", "SE-000281288")</f>
        <v>SE-000281288</v>
      </c>
      <c r="D8568" s="1" t="s">
        <v>0</v>
      </c>
      <c r="E8568" s="2">
        <v>0</v>
      </c>
      <c r="F8568" s="2">
        <v>0</v>
      </c>
      <c r="G8568" s="2">
        <v>0</v>
      </c>
      <c r="H8568" s="1" t="s">
        <v>0</v>
      </c>
      <c r="I8568" s="2">
        <v>0</v>
      </c>
      <c r="J8568" s="1">
        <v>45926.520590277774</v>
      </c>
    </row>
    <row r="8569" spans="1:10" x14ac:dyDescent="0.2">
      <c r="A8569" s="4" t="s">
        <v>1</v>
      </c>
      <c r="B856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69" s="3" t="str">
        <f>HYPERLINK("https://otsuka-europe-crm.veevavault.com/ui/#object/sent_email__v/VBLZ025E82H1P82", "SE-000281289")</f>
        <v>SE-000281289</v>
      </c>
      <c r="D8569" s="1" t="s">
        <v>0</v>
      </c>
      <c r="E8569" s="2">
        <v>0</v>
      </c>
      <c r="F8569" s="2">
        <v>0</v>
      </c>
      <c r="G8569" s="2">
        <v>0</v>
      </c>
      <c r="H8569" s="1" t="s">
        <v>0</v>
      </c>
      <c r="I8569" s="2">
        <v>0</v>
      </c>
      <c r="J8569" s="1">
        <v>45926.520601851851</v>
      </c>
    </row>
    <row r="8570" spans="1:10" x14ac:dyDescent="0.2">
      <c r="A8570" s="4" t="s">
        <v>1</v>
      </c>
      <c r="B857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70" s="3" t="str">
        <f>HYPERLINK("https://otsuka-europe-crm.veevavault.com/ui/#object/sent_email__v/VBLZ025E82H1P83", "SE-000281290")</f>
        <v>SE-000281290</v>
      </c>
      <c r="D8570" s="1" t="s">
        <v>0</v>
      </c>
      <c r="E8570" s="2">
        <v>0</v>
      </c>
      <c r="F8570" s="2">
        <v>0</v>
      </c>
      <c r="G8570" s="2">
        <v>0</v>
      </c>
      <c r="H8570" s="1" t="s">
        <v>0</v>
      </c>
      <c r="I8570" s="2">
        <v>0</v>
      </c>
      <c r="J8570" s="1">
        <v>45926.520613425928</v>
      </c>
    </row>
    <row r="8571" spans="1:10" x14ac:dyDescent="0.2">
      <c r="A8571" s="4" t="s">
        <v>1</v>
      </c>
      <c r="B857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71" s="3" t="str">
        <f>HYPERLINK("https://otsuka-europe-crm.veevavault.com/ui/#object/sent_email__v/VBLZ025E82H1P84", "SE-000281291")</f>
        <v>SE-000281291</v>
      </c>
      <c r="D8571" s="1" t="s">
        <v>0</v>
      </c>
      <c r="E8571" s="2">
        <v>0</v>
      </c>
      <c r="F8571" s="2">
        <v>0</v>
      </c>
      <c r="G8571" s="2">
        <v>0</v>
      </c>
      <c r="H8571" s="1" t="s">
        <v>0</v>
      </c>
      <c r="I8571" s="2">
        <v>0</v>
      </c>
      <c r="J8571" s="1">
        <v>45926.520624999997</v>
      </c>
    </row>
    <row r="8572" spans="1:10" x14ac:dyDescent="0.2">
      <c r="A8572" s="4" t="s">
        <v>1</v>
      </c>
      <c r="B857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72" s="3" t="str">
        <f>HYPERLINK("https://otsuka-europe-crm.veevavault.com/ui/#object/sent_email__v/VBLZ025E82H1P85", "SE-000281292")</f>
        <v>SE-000281292</v>
      </c>
      <c r="D8572" s="1" t="s">
        <v>0</v>
      </c>
      <c r="E8572" s="2">
        <v>0</v>
      </c>
      <c r="F8572" s="2">
        <v>0</v>
      </c>
      <c r="G8572" s="2">
        <v>0</v>
      </c>
      <c r="H8572" s="1" t="s">
        <v>0</v>
      </c>
      <c r="I8572" s="2">
        <v>0</v>
      </c>
      <c r="J8572" s="1">
        <v>45926.520636574074</v>
      </c>
    </row>
    <row r="8573" spans="1:10" x14ac:dyDescent="0.2">
      <c r="A8573" s="4" t="s">
        <v>1</v>
      </c>
      <c r="B857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73" s="3" t="str">
        <f>HYPERLINK("https://otsuka-europe-crm.veevavault.com/ui/#object/sent_email__v/VBLZ025E82H1P86", "SE-000281293")</f>
        <v>SE-000281293</v>
      </c>
      <c r="D8573" s="1" t="s">
        <v>0</v>
      </c>
      <c r="E8573" s="2">
        <v>0</v>
      </c>
      <c r="F8573" s="2">
        <v>0</v>
      </c>
      <c r="G8573" s="2">
        <v>0</v>
      </c>
      <c r="H8573" s="1" t="s">
        <v>0</v>
      </c>
      <c r="I8573" s="2">
        <v>0</v>
      </c>
      <c r="J8573" s="1">
        <v>45926.520648148151</v>
      </c>
    </row>
    <row r="8574" spans="1:10" x14ac:dyDescent="0.2">
      <c r="A8574" s="4" t="s">
        <v>1</v>
      </c>
      <c r="B857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74" s="3" t="str">
        <f>HYPERLINK("https://otsuka-europe-crm.veevavault.com/ui/#object/sent_email__v/VBLZ025E82H1P87", "SE-000281294")</f>
        <v>SE-000281294</v>
      </c>
      <c r="D8574" s="1" t="s">
        <v>0</v>
      </c>
      <c r="E8574" s="2">
        <v>0</v>
      </c>
      <c r="F8574" s="2">
        <v>0</v>
      </c>
      <c r="G8574" s="2">
        <v>0</v>
      </c>
      <c r="H8574" s="1" t="s">
        <v>0</v>
      </c>
      <c r="I8574" s="2">
        <v>0</v>
      </c>
      <c r="J8574" s="1">
        <v>45926.52065972222</v>
      </c>
    </row>
    <row r="8575" spans="1:10" x14ac:dyDescent="0.2">
      <c r="A8575" s="4" t="s">
        <v>1</v>
      </c>
      <c r="B857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75" s="3" t="str">
        <f>HYPERLINK("https://otsuka-europe-crm.veevavault.com/ui/#object/sent_email__v/VBLZ025E82H1P88", "SE-000281295")</f>
        <v>SE-000281295</v>
      </c>
      <c r="D8575" s="1" t="s">
        <v>0</v>
      </c>
      <c r="E8575" s="2">
        <v>0</v>
      </c>
      <c r="F8575" s="2">
        <v>0</v>
      </c>
      <c r="G8575" s="2">
        <v>0</v>
      </c>
      <c r="H8575" s="1" t="s">
        <v>0</v>
      </c>
      <c r="I8575" s="2">
        <v>0</v>
      </c>
      <c r="J8575" s="1">
        <v>45926.52065972222</v>
      </c>
    </row>
    <row r="8576" spans="1:10" x14ac:dyDescent="0.2">
      <c r="A8576" s="4" t="s">
        <v>1</v>
      </c>
      <c r="B857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76" s="3" t="str">
        <f>HYPERLINK("https://otsuka-europe-crm.veevavault.com/ui/#object/sent_email__v/VBLZ025E82H1P89", "SE-000281296")</f>
        <v>SE-000281296</v>
      </c>
      <c r="D8576" s="1" t="s">
        <v>0</v>
      </c>
      <c r="E8576" s="2">
        <v>0</v>
      </c>
      <c r="F8576" s="2">
        <v>0</v>
      </c>
      <c r="G8576" s="2">
        <v>0</v>
      </c>
      <c r="H8576" s="1" t="s">
        <v>0</v>
      </c>
      <c r="I8576" s="2">
        <v>0</v>
      </c>
      <c r="J8576" s="1">
        <v>45926.520671296297</v>
      </c>
    </row>
    <row r="8577" spans="1:10" x14ac:dyDescent="0.2">
      <c r="A8577" s="4" t="s">
        <v>1</v>
      </c>
      <c r="B857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77" s="3" t="str">
        <f>HYPERLINK("https://otsuka-europe-crm.veevavault.com/ui/#object/sent_email__v/VBLZ025E82H1P8A", "SE-000281297")</f>
        <v>SE-000281297</v>
      </c>
      <c r="D8577" s="1" t="s">
        <v>0</v>
      </c>
      <c r="E8577" s="2">
        <v>0</v>
      </c>
      <c r="F8577" s="2">
        <v>0</v>
      </c>
      <c r="G8577" s="2">
        <v>0</v>
      </c>
      <c r="H8577" s="1" t="s">
        <v>0</v>
      </c>
      <c r="I8577" s="2">
        <v>0</v>
      </c>
      <c r="J8577" s="1">
        <v>45926.520682870374</v>
      </c>
    </row>
    <row r="8578" spans="1:10" x14ac:dyDescent="0.2">
      <c r="A8578" s="4" t="s">
        <v>1</v>
      </c>
      <c r="B857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78" s="3" t="str">
        <f>HYPERLINK("https://otsuka-europe-crm.veevavault.com/ui/#object/sent_email__v/VBLZ025E82H1P8B", "SE-000281298")</f>
        <v>SE-000281298</v>
      </c>
      <c r="D8578" s="1" t="s">
        <v>0</v>
      </c>
      <c r="E8578" s="2">
        <v>0</v>
      </c>
      <c r="F8578" s="2">
        <v>0</v>
      </c>
      <c r="G8578" s="2">
        <v>0</v>
      </c>
      <c r="H8578" s="1" t="s">
        <v>0</v>
      </c>
      <c r="I8578" s="2">
        <v>0</v>
      </c>
      <c r="J8578" s="1">
        <v>45926.520694444444</v>
      </c>
    </row>
    <row r="8579" spans="1:10" x14ac:dyDescent="0.2">
      <c r="A8579" s="4" t="s">
        <v>1</v>
      </c>
      <c r="B857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79" s="3" t="str">
        <f>HYPERLINK("https://otsuka-europe-crm.veevavault.com/ui/#object/sent_email__v/VBLZ025E82H1P8C", "SE-000281299")</f>
        <v>SE-000281299</v>
      </c>
      <c r="D8579" s="1" t="s">
        <v>0</v>
      </c>
      <c r="E8579" s="2">
        <v>0</v>
      </c>
      <c r="F8579" s="2">
        <v>0</v>
      </c>
      <c r="G8579" s="2">
        <v>0</v>
      </c>
      <c r="H8579" s="1" t="s">
        <v>0</v>
      </c>
      <c r="I8579" s="2">
        <v>0</v>
      </c>
      <c r="J8579" s="1">
        <v>45926.520694444444</v>
      </c>
    </row>
    <row r="8580" spans="1:10" x14ac:dyDescent="0.2">
      <c r="A8580" s="4" t="s">
        <v>1</v>
      </c>
      <c r="B858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80" s="3" t="str">
        <f>HYPERLINK("https://otsuka-europe-crm.veevavault.com/ui/#object/sent_email__v/VBLZ025E82H1P8D", "SE-000281300")</f>
        <v>SE-000281300</v>
      </c>
      <c r="D8580" s="1" t="s">
        <v>0</v>
      </c>
      <c r="E8580" s="2">
        <v>0</v>
      </c>
      <c r="F8580" s="2">
        <v>0</v>
      </c>
      <c r="G8580" s="2">
        <v>0</v>
      </c>
      <c r="H8580" s="1" t="s">
        <v>0</v>
      </c>
      <c r="I8580" s="2">
        <v>0</v>
      </c>
      <c r="J8580" s="1">
        <v>45926.52070601852</v>
      </c>
    </row>
    <row r="8581" spans="1:10" x14ac:dyDescent="0.2">
      <c r="A8581" s="4" t="s">
        <v>1</v>
      </c>
      <c r="B858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81" s="3" t="str">
        <f>HYPERLINK("https://otsuka-europe-crm.veevavault.com/ui/#object/sent_email__v/VBLZ025E82H1P8E", "SE-000281301")</f>
        <v>SE-000281301</v>
      </c>
      <c r="D8581" s="1" t="s">
        <v>0</v>
      </c>
      <c r="E8581" s="2">
        <v>0</v>
      </c>
      <c r="F8581" s="2">
        <v>0</v>
      </c>
      <c r="G8581" s="2">
        <v>0</v>
      </c>
      <c r="H8581" s="1" t="s">
        <v>0</v>
      </c>
      <c r="I8581" s="2">
        <v>0</v>
      </c>
      <c r="J8581" s="1">
        <v>45926.52071759259</v>
      </c>
    </row>
    <row r="8582" spans="1:10" x14ac:dyDescent="0.2">
      <c r="A8582" s="4" t="s">
        <v>1</v>
      </c>
      <c r="B858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82" s="3" t="str">
        <f>HYPERLINK("https://otsuka-europe-crm.veevavault.com/ui/#object/sent_email__v/VBLZ025E82H1P8F", "SE-000281302")</f>
        <v>SE-000281302</v>
      </c>
      <c r="D8582" s="1" t="s">
        <v>0</v>
      </c>
      <c r="E8582" s="2">
        <v>0</v>
      </c>
      <c r="F8582" s="2">
        <v>0</v>
      </c>
      <c r="G8582" s="2">
        <v>0</v>
      </c>
      <c r="H8582" s="1" t="s">
        <v>0</v>
      </c>
      <c r="I8582" s="2">
        <v>0</v>
      </c>
      <c r="J8582" s="1">
        <v>45926.520729166667</v>
      </c>
    </row>
    <row r="8583" spans="1:10" x14ac:dyDescent="0.2">
      <c r="A8583" s="4" t="s">
        <v>1</v>
      </c>
      <c r="B858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83" s="3" t="str">
        <f>HYPERLINK("https://otsuka-europe-crm.veevavault.com/ui/#object/sent_email__v/VBLZ025E82H1P8G", "SE-000281303")</f>
        <v>SE-000281303</v>
      </c>
      <c r="D8583" s="1" t="s">
        <v>0</v>
      </c>
      <c r="E8583" s="2">
        <v>0</v>
      </c>
      <c r="F8583" s="2">
        <v>0</v>
      </c>
      <c r="G8583" s="2">
        <v>0</v>
      </c>
      <c r="H8583" s="1" t="s">
        <v>0</v>
      </c>
      <c r="I8583" s="2">
        <v>0</v>
      </c>
      <c r="J8583" s="1">
        <v>45926.520740740743</v>
      </c>
    </row>
    <row r="8584" spans="1:10" x14ac:dyDescent="0.2">
      <c r="A8584" s="4" t="s">
        <v>1</v>
      </c>
      <c r="B858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84" s="3" t="str">
        <f>HYPERLINK("https://otsuka-europe-crm.veevavault.com/ui/#object/sent_email__v/VBLZ025E82H1P8H", "SE-000281304")</f>
        <v>SE-000281304</v>
      </c>
      <c r="D8584" s="1" t="s">
        <v>0</v>
      </c>
      <c r="E8584" s="2">
        <v>0</v>
      </c>
      <c r="F8584" s="2">
        <v>0</v>
      </c>
      <c r="G8584" s="2">
        <v>0</v>
      </c>
      <c r="H8584" s="1" t="s">
        <v>0</v>
      </c>
      <c r="I8584" s="2">
        <v>0</v>
      </c>
      <c r="J8584" s="1">
        <v>45926.520740740743</v>
      </c>
    </row>
    <row r="8585" spans="1:10" x14ac:dyDescent="0.2">
      <c r="A8585" s="4" t="s">
        <v>1</v>
      </c>
      <c r="B858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85" s="3" t="str">
        <f>HYPERLINK("https://otsuka-europe-crm.veevavault.com/ui/#object/sent_email__v/VBLZ025E82H1P8I", "SE-000281305")</f>
        <v>SE-000281305</v>
      </c>
      <c r="D8585" s="1" t="s">
        <v>0</v>
      </c>
      <c r="E8585" s="2">
        <v>0</v>
      </c>
      <c r="F8585" s="2">
        <v>0</v>
      </c>
      <c r="G8585" s="2">
        <v>0</v>
      </c>
      <c r="H8585" s="1" t="s">
        <v>0</v>
      </c>
      <c r="I8585" s="2">
        <v>0</v>
      </c>
      <c r="J8585" s="1">
        <v>45926.520752314813</v>
      </c>
    </row>
    <row r="8586" spans="1:10" x14ac:dyDescent="0.2">
      <c r="A8586" s="4" t="s">
        <v>1</v>
      </c>
      <c r="B858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86" s="3" t="str">
        <f>HYPERLINK("https://otsuka-europe-crm.veevavault.com/ui/#object/sent_email__v/VBLZ025E82H1P8J", "SE-000281306")</f>
        <v>SE-000281306</v>
      </c>
      <c r="D8586" s="1" t="s">
        <v>0</v>
      </c>
      <c r="E8586" s="2">
        <v>0</v>
      </c>
      <c r="F8586" s="2">
        <v>0</v>
      </c>
      <c r="G8586" s="2">
        <v>0</v>
      </c>
      <c r="H8586" s="1" t="s">
        <v>0</v>
      </c>
      <c r="I8586" s="2">
        <v>0</v>
      </c>
      <c r="J8586" s="1">
        <v>45926.52076388889</v>
      </c>
    </row>
    <row r="8587" spans="1:10" x14ac:dyDescent="0.2">
      <c r="A8587" s="4" t="s">
        <v>1</v>
      </c>
      <c r="B858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87" s="3" t="str">
        <f>HYPERLINK("https://otsuka-europe-crm.veevavault.com/ui/#object/sent_email__v/VBLZ025E82H1P8K", "SE-000281307")</f>
        <v>SE-000281307</v>
      </c>
      <c r="D8587" s="1" t="s">
        <v>0</v>
      </c>
      <c r="E8587" s="2">
        <v>0</v>
      </c>
      <c r="F8587" s="2">
        <v>0</v>
      </c>
      <c r="G8587" s="2">
        <v>0</v>
      </c>
      <c r="H8587" s="1" t="s">
        <v>0</v>
      </c>
      <c r="I8587" s="2">
        <v>0</v>
      </c>
      <c r="J8587" s="1">
        <v>45926.520775462966</v>
      </c>
    </row>
    <row r="8588" spans="1:10" x14ac:dyDescent="0.2">
      <c r="A8588" s="4" t="s">
        <v>1</v>
      </c>
      <c r="B858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88" s="3" t="str">
        <f>HYPERLINK("https://otsuka-europe-crm.veevavault.com/ui/#object/sent_email__v/VBLZ025E82H1P8L", "SE-000281308")</f>
        <v>SE-000281308</v>
      </c>
      <c r="D8588" s="1">
        <v>45936.608680555553</v>
      </c>
      <c r="E8588" s="2">
        <v>1</v>
      </c>
      <c r="F8588" s="2">
        <v>2</v>
      </c>
      <c r="G8588" s="2">
        <v>0</v>
      </c>
      <c r="H8588" s="1" t="s">
        <v>0</v>
      </c>
      <c r="I8588" s="2">
        <v>0</v>
      </c>
      <c r="J8588" s="1">
        <v>45926.520775462966</v>
      </c>
    </row>
    <row r="8589" spans="1:10" x14ac:dyDescent="0.2">
      <c r="A8589" s="4" t="s">
        <v>1</v>
      </c>
      <c r="B858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89" s="3" t="str">
        <f>HYPERLINK("https://otsuka-europe-crm.veevavault.com/ui/#object/sent_email__v/VBLZ025E82H4WPX", "SE-000281917")</f>
        <v>SE-000281917</v>
      </c>
      <c r="D8589" s="1" t="s">
        <v>0</v>
      </c>
      <c r="E8589" s="2">
        <v>0</v>
      </c>
      <c r="F8589" s="2">
        <v>0</v>
      </c>
      <c r="G8589" s="2">
        <v>0</v>
      </c>
      <c r="H8589" s="1" t="s">
        <v>0</v>
      </c>
      <c r="I8589" s="2">
        <v>0</v>
      </c>
      <c r="J8589" s="1">
        <v>45930.491030092591</v>
      </c>
    </row>
    <row r="8590" spans="1:10" x14ac:dyDescent="0.2">
      <c r="A8590" s="4" t="s">
        <v>1</v>
      </c>
      <c r="B859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90" s="3" t="str">
        <f>HYPERLINK("https://otsuka-europe-crm.veevavault.com/ui/#object/sent_email__v/VBLZ025E82H4WPY", "SE-000281918")</f>
        <v>SE-000281918</v>
      </c>
      <c r="D8590" s="1" t="s">
        <v>0</v>
      </c>
      <c r="E8590" s="2">
        <v>0</v>
      </c>
      <c r="F8590" s="2">
        <v>0</v>
      </c>
      <c r="G8590" s="2">
        <v>0</v>
      </c>
      <c r="H8590" s="1" t="s">
        <v>0</v>
      </c>
      <c r="I8590" s="2">
        <v>0</v>
      </c>
      <c r="J8590" s="1">
        <v>45930.490995370368</v>
      </c>
    </row>
    <row r="8591" spans="1:10" x14ac:dyDescent="0.2">
      <c r="A8591" s="4" t="s">
        <v>1</v>
      </c>
      <c r="B859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91" s="3" t="str">
        <f>HYPERLINK("https://otsuka-europe-crm.veevavault.com/ui/#object/sent_email__v/VBLZ025E82H4WPZ", "SE-000281919")</f>
        <v>SE-000281919</v>
      </c>
      <c r="D8591" s="1" t="s">
        <v>0</v>
      </c>
      <c r="E8591" s="2">
        <v>0</v>
      </c>
      <c r="F8591" s="2">
        <v>0</v>
      </c>
      <c r="G8591" s="2">
        <v>0</v>
      </c>
      <c r="H8591" s="1" t="s">
        <v>0</v>
      </c>
      <c r="I8591" s="2">
        <v>0</v>
      </c>
      <c r="J8591" s="1">
        <v>45930.491006944445</v>
      </c>
    </row>
    <row r="8592" spans="1:10" x14ac:dyDescent="0.2">
      <c r="A8592" s="4" t="s">
        <v>1</v>
      </c>
      <c r="B859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92" s="3" t="str">
        <f>HYPERLINK("https://otsuka-europe-crm.veevavault.com/ui/#object/sent_email__v/VBLZ025E82H4WQ0", "SE-000281920")</f>
        <v>SE-000281920</v>
      </c>
      <c r="D8592" s="1" t="s">
        <v>0</v>
      </c>
      <c r="E8592" s="2">
        <v>0</v>
      </c>
      <c r="F8592" s="2">
        <v>0</v>
      </c>
      <c r="G8592" s="2">
        <v>0</v>
      </c>
      <c r="H8592" s="1" t="s">
        <v>0</v>
      </c>
      <c r="I8592" s="2">
        <v>0</v>
      </c>
      <c r="J8592" s="1">
        <v>45930.491006944445</v>
      </c>
    </row>
    <row r="8593" spans="1:10" x14ac:dyDescent="0.2">
      <c r="A8593" s="4" t="s">
        <v>1</v>
      </c>
      <c r="B859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93" s="3" t="str">
        <f>HYPERLINK("https://otsuka-europe-crm.veevavault.com/ui/#object/sent_email__v/VBLZ025E82H4WQ1", "SE-000281921")</f>
        <v>SE-000281921</v>
      </c>
      <c r="D8593" s="1" t="s">
        <v>0</v>
      </c>
      <c r="E8593" s="2">
        <v>0</v>
      </c>
      <c r="F8593" s="2">
        <v>0</v>
      </c>
      <c r="G8593" s="2">
        <v>0</v>
      </c>
      <c r="H8593" s="1" t="s">
        <v>0</v>
      </c>
      <c r="I8593" s="2">
        <v>0</v>
      </c>
      <c r="J8593" s="1">
        <v>45930.490937499999</v>
      </c>
    </row>
    <row r="8594" spans="1:10" x14ac:dyDescent="0.2">
      <c r="A8594" s="4" t="s">
        <v>1</v>
      </c>
      <c r="B859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94" s="3" t="str">
        <f>HYPERLINK("https://otsuka-europe-crm.veevavault.com/ui/#object/sent_email__v/VBLZ025E82H4WQ2", "SE-000281922")</f>
        <v>SE-000281922</v>
      </c>
      <c r="D8594" s="1" t="s">
        <v>0</v>
      </c>
      <c r="E8594" s="2">
        <v>0</v>
      </c>
      <c r="F8594" s="2">
        <v>0</v>
      </c>
      <c r="G8594" s="2">
        <v>0</v>
      </c>
      <c r="H8594" s="1" t="s">
        <v>0</v>
      </c>
      <c r="I8594" s="2">
        <v>0</v>
      </c>
      <c r="J8594" s="1">
        <v>45930.490891203706</v>
      </c>
    </row>
    <row r="8595" spans="1:10" x14ac:dyDescent="0.2">
      <c r="A8595" s="4" t="s">
        <v>1</v>
      </c>
      <c r="B859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95" s="3" t="str">
        <f>HYPERLINK("https://otsuka-europe-crm.veevavault.com/ui/#object/sent_email__v/VBLZ025E82H4WQ3", "SE-000281923")</f>
        <v>SE-000281923</v>
      </c>
      <c r="D8595" s="1" t="s">
        <v>0</v>
      </c>
      <c r="E8595" s="2">
        <v>0</v>
      </c>
      <c r="F8595" s="2">
        <v>0</v>
      </c>
      <c r="G8595" s="2">
        <v>0</v>
      </c>
      <c r="H8595" s="1" t="s">
        <v>0</v>
      </c>
      <c r="I8595" s="2">
        <v>0</v>
      </c>
      <c r="J8595" s="1">
        <v>45930.490879629629</v>
      </c>
    </row>
    <row r="8596" spans="1:10" x14ac:dyDescent="0.2">
      <c r="A8596" s="4" t="s">
        <v>1</v>
      </c>
      <c r="B859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96" s="3" t="str">
        <f>HYPERLINK("https://otsuka-europe-crm.veevavault.com/ui/#object/sent_email__v/VBLZ025E82H4WQ4", "SE-000281924")</f>
        <v>SE-000281924</v>
      </c>
      <c r="D8596" s="1" t="s">
        <v>0</v>
      </c>
      <c r="E8596" s="2">
        <v>0</v>
      </c>
      <c r="F8596" s="2">
        <v>0</v>
      </c>
      <c r="G8596" s="2">
        <v>0</v>
      </c>
      <c r="H8596" s="1" t="s">
        <v>0</v>
      </c>
      <c r="I8596" s="2">
        <v>0</v>
      </c>
      <c r="J8596" s="1">
        <v>45930.490891203706</v>
      </c>
    </row>
    <row r="8597" spans="1:10" x14ac:dyDescent="0.2">
      <c r="A8597" s="4" t="s">
        <v>1</v>
      </c>
      <c r="B859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97" s="3" t="str">
        <f>HYPERLINK("https://otsuka-europe-crm.veevavault.com/ui/#object/sent_email__v/VBLZ025E82H4WQ5", "SE-000281925")</f>
        <v>SE-000281925</v>
      </c>
      <c r="D8597" s="1" t="s">
        <v>0</v>
      </c>
      <c r="E8597" s="2">
        <v>0</v>
      </c>
      <c r="F8597" s="2">
        <v>0</v>
      </c>
      <c r="G8597" s="2">
        <v>0</v>
      </c>
      <c r="H8597" s="1" t="s">
        <v>0</v>
      </c>
      <c r="I8597" s="2">
        <v>0</v>
      </c>
      <c r="J8597" s="1">
        <v>45930.490925925929</v>
      </c>
    </row>
    <row r="8598" spans="1:10" x14ac:dyDescent="0.2">
      <c r="A8598" s="4" t="s">
        <v>1</v>
      </c>
      <c r="B859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98" s="3" t="str">
        <f>HYPERLINK("https://otsuka-europe-crm.veevavault.com/ui/#object/sent_email__v/VBLZ025E82H4WQ6", "SE-000281926")</f>
        <v>SE-000281926</v>
      </c>
      <c r="D8598" s="1" t="s">
        <v>0</v>
      </c>
      <c r="E8598" s="2">
        <v>0</v>
      </c>
      <c r="F8598" s="2">
        <v>0</v>
      </c>
      <c r="G8598" s="2">
        <v>0</v>
      </c>
      <c r="H8598" s="1" t="s">
        <v>0</v>
      </c>
      <c r="I8598" s="2">
        <v>0</v>
      </c>
      <c r="J8598" s="1">
        <v>45930.490902777776</v>
      </c>
    </row>
    <row r="8599" spans="1:10" x14ac:dyDescent="0.2">
      <c r="A8599" s="4" t="s">
        <v>1</v>
      </c>
      <c r="B859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599" s="3" t="str">
        <f>HYPERLINK("https://otsuka-europe-crm.veevavault.com/ui/#object/sent_email__v/VBLZ025E82H4WQ7", "SE-000281927")</f>
        <v>SE-000281927</v>
      </c>
      <c r="D8599" s="1" t="s">
        <v>0</v>
      </c>
      <c r="E8599" s="2">
        <v>0</v>
      </c>
      <c r="F8599" s="2">
        <v>0</v>
      </c>
      <c r="G8599" s="2">
        <v>0</v>
      </c>
      <c r="H8599" s="1" t="s">
        <v>0</v>
      </c>
      <c r="I8599" s="2">
        <v>0</v>
      </c>
      <c r="J8599" s="1">
        <v>45930.490914351853</v>
      </c>
    </row>
    <row r="8600" spans="1:10" x14ac:dyDescent="0.2">
      <c r="A8600" s="4" t="s">
        <v>1</v>
      </c>
      <c r="B860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00" s="3" t="str">
        <f>HYPERLINK("https://otsuka-europe-crm.veevavault.com/ui/#object/sent_email__v/VBLZ025E82H4WQ8", "SE-000281928")</f>
        <v>SE-000281928</v>
      </c>
      <c r="D8600" s="1" t="s">
        <v>0</v>
      </c>
      <c r="E8600" s="2">
        <v>0</v>
      </c>
      <c r="F8600" s="2">
        <v>0</v>
      </c>
      <c r="G8600" s="2">
        <v>0</v>
      </c>
      <c r="H8600" s="1" t="s">
        <v>0</v>
      </c>
      <c r="I8600" s="2">
        <v>0</v>
      </c>
      <c r="J8600" s="1">
        <v>45930.490925925929</v>
      </c>
    </row>
    <row r="8601" spans="1:10" x14ac:dyDescent="0.2">
      <c r="A8601" s="4" t="s">
        <v>1</v>
      </c>
      <c r="B860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01" s="3" t="str">
        <f>HYPERLINK("https://otsuka-europe-crm.veevavault.com/ui/#object/sent_email__v/VBLZ025E82H4WQ9", "SE-000281929")</f>
        <v>SE-000281929</v>
      </c>
      <c r="D8601" s="1" t="s">
        <v>0</v>
      </c>
      <c r="E8601" s="2">
        <v>0</v>
      </c>
      <c r="F8601" s="2">
        <v>0</v>
      </c>
      <c r="G8601" s="2">
        <v>0</v>
      </c>
      <c r="H8601" s="1" t="s">
        <v>0</v>
      </c>
      <c r="I8601" s="2">
        <v>0</v>
      </c>
      <c r="J8601" s="1">
        <v>45930.491030092591</v>
      </c>
    </row>
    <row r="8602" spans="1:10" x14ac:dyDescent="0.2">
      <c r="A8602" s="4" t="s">
        <v>1</v>
      </c>
      <c r="B860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02" s="3" t="str">
        <f>HYPERLINK("https://otsuka-europe-crm.veevavault.com/ui/#object/sent_email__v/VBLZ025E82H4WQA", "SE-000281930")</f>
        <v>SE-000281930</v>
      </c>
      <c r="D8602" s="1" t="s">
        <v>0</v>
      </c>
      <c r="E8602" s="2">
        <v>0</v>
      </c>
      <c r="F8602" s="2">
        <v>0</v>
      </c>
      <c r="G8602" s="2">
        <v>0</v>
      </c>
      <c r="H8602" s="1" t="s">
        <v>0</v>
      </c>
      <c r="I8602" s="2">
        <v>0</v>
      </c>
      <c r="J8602" s="1">
        <v>45930.491041666668</v>
      </c>
    </row>
    <row r="8603" spans="1:10" x14ac:dyDescent="0.2">
      <c r="A8603" s="4" t="s">
        <v>1</v>
      </c>
      <c r="B860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03" s="3" t="str">
        <f>HYPERLINK("https://otsuka-europe-crm.veevavault.com/ui/#object/sent_email__v/VBLZ025E82H4WQB", "SE-000281931")</f>
        <v>SE-000281931</v>
      </c>
      <c r="D8603" s="1" t="s">
        <v>0</v>
      </c>
      <c r="E8603" s="2">
        <v>0</v>
      </c>
      <c r="F8603" s="2">
        <v>0</v>
      </c>
      <c r="G8603" s="2">
        <v>0</v>
      </c>
      <c r="H8603" s="1" t="s">
        <v>0</v>
      </c>
      <c r="I8603" s="2">
        <v>0</v>
      </c>
      <c r="J8603" s="1">
        <v>45930.490995370368</v>
      </c>
    </row>
    <row r="8604" spans="1:10" x14ac:dyDescent="0.2">
      <c r="A8604" s="4" t="s">
        <v>1</v>
      </c>
      <c r="B860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04" s="3" t="str">
        <f>HYPERLINK("https://otsuka-europe-crm.veevavault.com/ui/#object/sent_email__v/VBLZ025E82H4WQC", "SE-000281932")</f>
        <v>SE-000281932</v>
      </c>
      <c r="D8604" s="1" t="s">
        <v>0</v>
      </c>
      <c r="E8604" s="2">
        <v>0</v>
      </c>
      <c r="F8604" s="2">
        <v>0</v>
      </c>
      <c r="G8604" s="2">
        <v>0</v>
      </c>
      <c r="H8604" s="1" t="s">
        <v>0</v>
      </c>
      <c r="I8604" s="2">
        <v>0</v>
      </c>
      <c r="J8604" s="1">
        <v>45930.491018518522</v>
      </c>
    </row>
    <row r="8605" spans="1:10" x14ac:dyDescent="0.2">
      <c r="A8605" s="4" t="s">
        <v>1</v>
      </c>
      <c r="B860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05" s="3" t="str">
        <f>HYPERLINK("https://otsuka-europe-crm.veevavault.com/ui/#object/sent_email__v/VBLZ025E82H4WQD", "SE-000281933")</f>
        <v>SE-000281933</v>
      </c>
      <c r="D8605" s="1" t="s">
        <v>0</v>
      </c>
      <c r="E8605" s="2">
        <v>0</v>
      </c>
      <c r="F8605" s="2">
        <v>0</v>
      </c>
      <c r="G8605" s="2">
        <v>0</v>
      </c>
      <c r="H8605" s="1" t="s">
        <v>0</v>
      </c>
      <c r="I8605" s="2">
        <v>0</v>
      </c>
      <c r="J8605" s="1">
        <v>45930.490949074076</v>
      </c>
    </row>
    <row r="8606" spans="1:10" x14ac:dyDescent="0.2">
      <c r="A8606" s="4" t="s">
        <v>1</v>
      </c>
      <c r="B860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06" s="3" t="str">
        <f>HYPERLINK("https://otsuka-europe-crm.veevavault.com/ui/#object/sent_email__v/VBLZ025E82H4WQE", "SE-000281934")</f>
        <v>SE-000281934</v>
      </c>
      <c r="D8606" s="1" t="s">
        <v>0</v>
      </c>
      <c r="E8606" s="2">
        <v>0</v>
      </c>
      <c r="F8606" s="2">
        <v>0</v>
      </c>
      <c r="G8606" s="2">
        <v>0</v>
      </c>
      <c r="H8606" s="1" t="s">
        <v>0</v>
      </c>
      <c r="I8606" s="2">
        <v>0</v>
      </c>
      <c r="J8606" s="1">
        <v>45930.490949074076</v>
      </c>
    </row>
    <row r="8607" spans="1:10" x14ac:dyDescent="0.2">
      <c r="A8607" s="4" t="s">
        <v>1</v>
      </c>
      <c r="B860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07" s="3" t="str">
        <f>HYPERLINK("https://otsuka-europe-crm.veevavault.com/ui/#object/sent_email__v/VBLZ025E82H4WQF", "SE-000281935")</f>
        <v>SE-000281935</v>
      </c>
      <c r="D8607" s="1" t="s">
        <v>0</v>
      </c>
      <c r="E8607" s="2">
        <v>0</v>
      </c>
      <c r="F8607" s="2">
        <v>0</v>
      </c>
      <c r="G8607" s="2">
        <v>0</v>
      </c>
      <c r="H8607" s="1" t="s">
        <v>0</v>
      </c>
      <c r="I8607" s="2">
        <v>0</v>
      </c>
      <c r="J8607" s="1">
        <v>45930.490972222222</v>
      </c>
    </row>
    <row r="8608" spans="1:10" x14ac:dyDescent="0.2">
      <c r="A8608" s="4" t="s">
        <v>1</v>
      </c>
      <c r="B860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08" s="3" t="str">
        <f>HYPERLINK("https://otsuka-europe-crm.veevavault.com/ui/#object/sent_email__v/VBLZ025E82H4WQG", "SE-000281936")</f>
        <v>SE-000281936</v>
      </c>
      <c r="D8608" s="1" t="s">
        <v>0</v>
      </c>
      <c r="E8608" s="2">
        <v>0</v>
      </c>
      <c r="F8608" s="2">
        <v>0</v>
      </c>
      <c r="G8608" s="2">
        <v>0</v>
      </c>
      <c r="H8608" s="1" t="s">
        <v>0</v>
      </c>
      <c r="I8608" s="2">
        <v>0</v>
      </c>
      <c r="J8608" s="1">
        <v>45930.490983796299</v>
      </c>
    </row>
    <row r="8609" spans="1:10" x14ac:dyDescent="0.2">
      <c r="A8609" s="4" t="s">
        <v>1</v>
      </c>
      <c r="B860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09" s="3" t="str">
        <f>HYPERLINK("https://otsuka-europe-crm.veevavault.com/ui/#object/sent_email__v/VBLZ025E82H4X11", "SE-000281958")</f>
        <v>SE-000281958</v>
      </c>
      <c r="D8609" s="1" t="s">
        <v>0</v>
      </c>
      <c r="E8609" s="2">
        <v>0</v>
      </c>
      <c r="F8609" s="2">
        <v>0</v>
      </c>
      <c r="G8609" s="2">
        <v>0</v>
      </c>
      <c r="H8609" s="1" t="s">
        <v>0</v>
      </c>
      <c r="I8609" s="2">
        <v>0</v>
      </c>
      <c r="J8609" s="1">
        <v>45930.492071759261</v>
      </c>
    </row>
    <row r="8610" spans="1:10" x14ac:dyDescent="0.2">
      <c r="A8610" s="4" t="s">
        <v>1</v>
      </c>
      <c r="B861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10" s="3" t="str">
        <f>HYPERLINK("https://otsuka-europe-crm.veevavault.com/ui/#object/sent_email__v/VBLZ025E82H4X12", "SE-000281959")</f>
        <v>SE-000281959</v>
      </c>
      <c r="D8610" s="1" t="s">
        <v>0</v>
      </c>
      <c r="E8610" s="2">
        <v>0</v>
      </c>
      <c r="F8610" s="2">
        <v>0</v>
      </c>
      <c r="G8610" s="2">
        <v>0</v>
      </c>
      <c r="H8610" s="1" t="s">
        <v>0</v>
      </c>
      <c r="I8610" s="2">
        <v>0</v>
      </c>
      <c r="J8610" s="1">
        <v>45930.491620370369</v>
      </c>
    </row>
    <row r="8611" spans="1:10" x14ac:dyDescent="0.2">
      <c r="A8611" s="4" t="s">
        <v>1</v>
      </c>
      <c r="B861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11" s="3" t="str">
        <f>HYPERLINK("https://otsuka-europe-crm.veevavault.com/ui/#object/sent_email__v/VBLZ025E82H4X13", "SE-000281960")</f>
        <v>SE-000281960</v>
      </c>
      <c r="D8611" s="1" t="s">
        <v>0</v>
      </c>
      <c r="E8611" s="2">
        <v>0</v>
      </c>
      <c r="F8611" s="2">
        <v>0</v>
      </c>
      <c r="G8611" s="2">
        <v>0</v>
      </c>
      <c r="H8611" s="1" t="s">
        <v>0</v>
      </c>
      <c r="I8611" s="2">
        <v>0</v>
      </c>
      <c r="J8611" s="1">
        <v>45930.491631944446</v>
      </c>
    </row>
    <row r="8612" spans="1:10" x14ac:dyDescent="0.2">
      <c r="A8612" s="4" t="s">
        <v>1</v>
      </c>
      <c r="B861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12" s="3" t="str">
        <f>HYPERLINK("https://otsuka-europe-crm.veevavault.com/ui/#object/sent_email__v/VBLZ025E82H4X14", "SE-000281961")</f>
        <v>SE-000281961</v>
      </c>
      <c r="D8612" s="1" t="s">
        <v>0</v>
      </c>
      <c r="E8612" s="2">
        <v>0</v>
      </c>
      <c r="F8612" s="2">
        <v>0</v>
      </c>
      <c r="G8612" s="2">
        <v>0</v>
      </c>
      <c r="H8612" s="1" t="s">
        <v>0</v>
      </c>
      <c r="I8612" s="2">
        <v>0</v>
      </c>
      <c r="J8612" s="1">
        <v>45930.491643518515</v>
      </c>
    </row>
    <row r="8613" spans="1:10" x14ac:dyDescent="0.2">
      <c r="A8613" s="4" t="s">
        <v>1</v>
      </c>
      <c r="B861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13" s="3" t="str">
        <f>HYPERLINK("https://otsuka-europe-crm.veevavault.com/ui/#object/sent_email__v/VBLZ025E82H4X15", "SE-000281962")</f>
        <v>SE-000281962</v>
      </c>
      <c r="D8613" s="1">
        <v>45930.886238425926</v>
      </c>
      <c r="E8613" s="2">
        <v>1</v>
      </c>
      <c r="F8613" s="2">
        <v>5</v>
      </c>
      <c r="G8613" s="2">
        <v>1</v>
      </c>
      <c r="H8613" s="1">
        <v>45930.872048611112</v>
      </c>
      <c r="I8613" s="2">
        <v>1</v>
      </c>
      <c r="J8613" s="1">
        <v>45930.491643518515</v>
      </c>
    </row>
    <row r="8614" spans="1:10" x14ac:dyDescent="0.2">
      <c r="A8614" s="4" t="s">
        <v>1</v>
      </c>
      <c r="B861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14" s="3" t="str">
        <f>HYPERLINK("https://otsuka-europe-crm.veevavault.com/ui/#object/sent_email__v/VBLZ025E82H4X16", "SE-000281963")</f>
        <v>SE-000281963</v>
      </c>
      <c r="D8614" s="1" t="s">
        <v>0</v>
      </c>
      <c r="E8614" s="2">
        <v>0</v>
      </c>
      <c r="F8614" s="2">
        <v>0</v>
      </c>
      <c r="G8614" s="2">
        <v>0</v>
      </c>
      <c r="H8614" s="1" t="s">
        <v>0</v>
      </c>
      <c r="I8614" s="2">
        <v>0</v>
      </c>
      <c r="J8614" s="1">
        <v>45930.491655092592</v>
      </c>
    </row>
    <row r="8615" spans="1:10" x14ac:dyDescent="0.2">
      <c r="A8615" s="4" t="s">
        <v>1</v>
      </c>
      <c r="B861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15" s="3" t="str">
        <f>HYPERLINK("https://otsuka-europe-crm.veevavault.com/ui/#object/sent_email__v/VBLZ025E82H4X17", "SE-000281964")</f>
        <v>SE-000281964</v>
      </c>
      <c r="D8615" s="1" t="s">
        <v>0</v>
      </c>
      <c r="E8615" s="2">
        <v>0</v>
      </c>
      <c r="F8615" s="2">
        <v>0</v>
      </c>
      <c r="G8615" s="2">
        <v>0</v>
      </c>
      <c r="H8615" s="1" t="s">
        <v>0</v>
      </c>
      <c r="I8615" s="2">
        <v>0</v>
      </c>
      <c r="J8615" s="1">
        <v>45930.491666666669</v>
      </c>
    </row>
    <row r="8616" spans="1:10" x14ac:dyDescent="0.2">
      <c r="A8616" s="4" t="s">
        <v>1</v>
      </c>
      <c r="B861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16" s="3" t="str">
        <f>HYPERLINK("https://otsuka-europe-crm.veevavault.com/ui/#object/sent_email__v/VBLZ025E82H51NP", "SE-000282216")</f>
        <v>SE-000282216</v>
      </c>
      <c r="D8616" s="1">
        <v>45930.556562500002</v>
      </c>
      <c r="E8616" s="2">
        <v>1</v>
      </c>
      <c r="F8616" s="2">
        <v>1</v>
      </c>
      <c r="G8616" s="2">
        <v>0</v>
      </c>
      <c r="H8616" s="1" t="s">
        <v>0</v>
      </c>
      <c r="I8616" s="2">
        <v>0</v>
      </c>
      <c r="J8616" s="1">
        <v>45930.5315162037</v>
      </c>
    </row>
    <row r="8617" spans="1:10" x14ac:dyDescent="0.2">
      <c r="A8617" s="4" t="s">
        <v>1</v>
      </c>
      <c r="B861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17" s="3" t="str">
        <f>HYPERLINK("https://otsuka-europe-crm.veevavault.com/ui/#object/sent_email__v/VBLZ025E82H51NQ", "SE-000282217")</f>
        <v>SE-000282217</v>
      </c>
      <c r="D8617" s="1" t="s">
        <v>0</v>
      </c>
      <c r="E8617" s="2">
        <v>0</v>
      </c>
      <c r="F8617" s="2">
        <v>0</v>
      </c>
      <c r="G8617" s="2">
        <v>0</v>
      </c>
      <c r="H8617" s="1" t="s">
        <v>0</v>
      </c>
      <c r="I8617" s="2">
        <v>0</v>
      </c>
      <c r="J8617" s="1">
        <v>45930.531643518516</v>
      </c>
    </row>
    <row r="8618" spans="1:10" x14ac:dyDescent="0.2">
      <c r="A8618" s="4" t="s">
        <v>1</v>
      </c>
      <c r="B861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18" s="3" t="str">
        <f>HYPERLINK("https://otsuka-europe-crm.veevavault.com/ui/#object/sent_email__v/VBLZ025E82H51NR", "SE-000282218")</f>
        <v>SE-000282218</v>
      </c>
      <c r="D8618" s="1">
        <v>45935.014768518522</v>
      </c>
      <c r="E8618" s="2">
        <v>1</v>
      </c>
      <c r="F8618" s="2">
        <v>1</v>
      </c>
      <c r="G8618" s="2">
        <v>0</v>
      </c>
      <c r="H8618" s="1" t="s">
        <v>0</v>
      </c>
      <c r="I8618" s="2">
        <v>0</v>
      </c>
      <c r="J8618" s="1">
        <v>45930.5315162037</v>
      </c>
    </row>
    <row r="8619" spans="1:10" x14ac:dyDescent="0.2">
      <c r="A8619" s="4" t="s">
        <v>1</v>
      </c>
      <c r="B861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19" s="3" t="str">
        <f>HYPERLINK("https://otsuka-europe-crm.veevavault.com/ui/#object/sent_email__v/VBLZ025E82H51NS", "SE-000282219")</f>
        <v>SE-000282219</v>
      </c>
      <c r="D8619" s="1" t="s">
        <v>0</v>
      </c>
      <c r="E8619" s="2">
        <v>0</v>
      </c>
      <c r="F8619" s="2">
        <v>0</v>
      </c>
      <c r="G8619" s="2">
        <v>0</v>
      </c>
      <c r="H8619" s="1" t="s">
        <v>0</v>
      </c>
      <c r="I8619" s="2">
        <v>0</v>
      </c>
      <c r="J8619" s="1">
        <v>45930.531631944446</v>
      </c>
    </row>
    <row r="8620" spans="1:10" x14ac:dyDescent="0.2">
      <c r="A8620" s="4" t="s">
        <v>1</v>
      </c>
      <c r="B862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20" s="3" t="str">
        <f>HYPERLINK("https://otsuka-europe-crm.veevavault.com/ui/#object/sent_email__v/VBLZ025E82H51NT", "SE-000282220")</f>
        <v>SE-000282220</v>
      </c>
      <c r="D8620" s="1" t="s">
        <v>0</v>
      </c>
      <c r="E8620" s="2">
        <v>0</v>
      </c>
      <c r="F8620" s="2">
        <v>0</v>
      </c>
      <c r="G8620" s="2">
        <v>0</v>
      </c>
      <c r="H8620" s="1" t="s">
        <v>0</v>
      </c>
      <c r="I8620" s="2">
        <v>0</v>
      </c>
      <c r="J8620" s="1">
        <v>45930.531504629631</v>
      </c>
    </row>
    <row r="8621" spans="1:10" x14ac:dyDescent="0.2">
      <c r="A8621" s="4" t="s">
        <v>1</v>
      </c>
      <c r="B862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21" s="3" t="str">
        <f>HYPERLINK("https://otsuka-europe-crm.veevavault.com/ui/#object/sent_email__v/VBLZ025E82H51NU", "SE-000282221")</f>
        <v>SE-000282221</v>
      </c>
      <c r="D8621" s="1" t="s">
        <v>0</v>
      </c>
      <c r="E8621" s="2">
        <v>0</v>
      </c>
      <c r="F8621" s="2">
        <v>0</v>
      </c>
      <c r="G8621" s="2">
        <v>0</v>
      </c>
      <c r="H8621" s="1" t="s">
        <v>0</v>
      </c>
      <c r="I8621" s="2">
        <v>0</v>
      </c>
      <c r="J8621" s="1">
        <v>45930.53162037037</v>
      </c>
    </row>
    <row r="8622" spans="1:10" x14ac:dyDescent="0.2">
      <c r="A8622" s="4" t="s">
        <v>1</v>
      </c>
      <c r="B862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22" s="3" t="str">
        <f>HYPERLINK("https://otsuka-europe-crm.veevavault.com/ui/#object/sent_email__v/VBLZ025E82H51NV", "SE-000282222")</f>
        <v>SE-000282222</v>
      </c>
      <c r="D8622" s="1" t="s">
        <v>0</v>
      </c>
      <c r="E8622" s="2">
        <v>0</v>
      </c>
      <c r="F8622" s="2">
        <v>0</v>
      </c>
      <c r="G8622" s="2">
        <v>0</v>
      </c>
      <c r="H8622" s="1" t="s">
        <v>0</v>
      </c>
      <c r="I8622" s="2">
        <v>0</v>
      </c>
      <c r="J8622" s="1">
        <v>45930.5315162037</v>
      </c>
    </row>
    <row r="8623" spans="1:10" x14ac:dyDescent="0.2">
      <c r="A8623" s="4" t="s">
        <v>1</v>
      </c>
      <c r="B862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23" s="3" t="str">
        <f>HYPERLINK("https://otsuka-europe-crm.veevavault.com/ui/#object/sent_email__v/VBLZ025E82H51NW", "SE-000282223")</f>
        <v>SE-000282223</v>
      </c>
      <c r="D8623" s="1">
        <v>45930.575960648152</v>
      </c>
      <c r="E8623" s="2">
        <v>1</v>
      </c>
      <c r="F8623" s="2">
        <v>5</v>
      </c>
      <c r="G8623" s="2">
        <v>0</v>
      </c>
      <c r="H8623" s="1" t="s">
        <v>0</v>
      </c>
      <c r="I8623" s="2">
        <v>0</v>
      </c>
      <c r="J8623" s="1">
        <v>45930.531631944446</v>
      </c>
    </row>
    <row r="8624" spans="1:10" x14ac:dyDescent="0.2">
      <c r="A8624" s="4" t="s">
        <v>1</v>
      </c>
      <c r="B862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24" s="3" t="str">
        <f>HYPERLINK("https://otsuka-europe-crm.veevavault.com/ui/#object/sent_email__v/VBLZ025E82H51NX", "SE-000282224")</f>
        <v>SE-000282224</v>
      </c>
      <c r="D8624" s="1" t="s">
        <v>0</v>
      </c>
      <c r="E8624" s="2">
        <v>0</v>
      </c>
      <c r="F8624" s="2">
        <v>0</v>
      </c>
      <c r="G8624" s="2">
        <v>0</v>
      </c>
      <c r="H8624" s="1" t="s">
        <v>0</v>
      </c>
      <c r="I8624" s="2">
        <v>0</v>
      </c>
      <c r="J8624" s="1">
        <v>45930.531539351854</v>
      </c>
    </row>
    <row r="8625" spans="1:10" x14ac:dyDescent="0.2">
      <c r="A8625" s="4" t="s">
        <v>1</v>
      </c>
      <c r="B862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25" s="3" t="str">
        <f>HYPERLINK("https://otsuka-europe-crm.veevavault.com/ui/#object/sent_email__v/VBLZ025E82H51NY", "SE-000282225")</f>
        <v>SE-000282225</v>
      </c>
      <c r="D8625" s="1">
        <v>45930.584328703706</v>
      </c>
      <c r="E8625" s="2">
        <v>1</v>
      </c>
      <c r="F8625" s="2">
        <v>3</v>
      </c>
      <c r="G8625" s="2">
        <v>1</v>
      </c>
      <c r="H8625" s="1">
        <v>45930.533090277779</v>
      </c>
      <c r="I8625" s="2">
        <v>1</v>
      </c>
      <c r="J8625" s="1">
        <v>45930.531400462962</v>
      </c>
    </row>
    <row r="8626" spans="1:10" x14ac:dyDescent="0.2">
      <c r="A8626" s="4" t="s">
        <v>1</v>
      </c>
      <c r="B862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26" s="3" t="str">
        <f>HYPERLINK("https://otsuka-europe-crm.veevavault.com/ui/#object/sent_email__v/VBLZ025E82H51NZ", "SE-000282226")</f>
        <v>SE-000282226</v>
      </c>
      <c r="D8626" s="1" t="s">
        <v>0</v>
      </c>
      <c r="E8626" s="2">
        <v>0</v>
      </c>
      <c r="F8626" s="2">
        <v>0</v>
      </c>
      <c r="G8626" s="2">
        <v>0</v>
      </c>
      <c r="H8626" s="1" t="s">
        <v>0</v>
      </c>
      <c r="I8626" s="2">
        <v>0</v>
      </c>
      <c r="J8626" s="1">
        <v>45930.531527777777</v>
      </c>
    </row>
    <row r="8627" spans="1:10" x14ac:dyDescent="0.2">
      <c r="A8627" s="4" t="s">
        <v>1</v>
      </c>
      <c r="B862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27" s="3" t="str">
        <f>HYPERLINK("https://otsuka-europe-crm.veevavault.com/ui/#object/sent_email__v/VBLZ025E82H51O0", "SE-000282227")</f>
        <v>SE-000282227</v>
      </c>
      <c r="D8627" s="1" t="s">
        <v>0</v>
      </c>
      <c r="E8627" s="2">
        <v>0</v>
      </c>
      <c r="F8627" s="2">
        <v>0</v>
      </c>
      <c r="G8627" s="2">
        <v>0</v>
      </c>
      <c r="H8627" s="1" t="s">
        <v>0</v>
      </c>
      <c r="I8627" s="2">
        <v>0</v>
      </c>
      <c r="J8627" s="1">
        <v>45930.531400462962</v>
      </c>
    </row>
    <row r="8628" spans="1:10" x14ac:dyDescent="0.2">
      <c r="A8628" s="4" t="s">
        <v>1</v>
      </c>
      <c r="B862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28" s="3" t="str">
        <f>HYPERLINK("https://otsuka-europe-crm.veevavault.com/ui/#object/sent_email__v/VBLZ025E82H51O1", "SE-000282228")</f>
        <v>SE-000282228</v>
      </c>
      <c r="D8628" s="1">
        <v>45930.61378472222</v>
      </c>
      <c r="E8628" s="2">
        <v>1</v>
      </c>
      <c r="F8628" s="2">
        <v>1</v>
      </c>
      <c r="G8628" s="2">
        <v>0</v>
      </c>
      <c r="H8628" s="1" t="s">
        <v>0</v>
      </c>
      <c r="I8628" s="2">
        <v>0</v>
      </c>
      <c r="J8628" s="1">
        <v>45930.531539351854</v>
      </c>
    </row>
    <row r="8629" spans="1:10" x14ac:dyDescent="0.2">
      <c r="A8629" s="4" t="s">
        <v>1</v>
      </c>
      <c r="B862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29" s="3" t="str">
        <f>HYPERLINK("https://otsuka-europe-crm.veevavault.com/ui/#object/sent_email__v/VBLZ025E82H51O2", "SE-000282229")</f>
        <v>SE-000282229</v>
      </c>
      <c r="D8629" s="1" t="s">
        <v>0</v>
      </c>
      <c r="E8629" s="2">
        <v>0</v>
      </c>
      <c r="F8629" s="2">
        <v>0</v>
      </c>
      <c r="G8629" s="2">
        <v>0</v>
      </c>
      <c r="H8629" s="1" t="s">
        <v>0</v>
      </c>
      <c r="I8629" s="2">
        <v>0</v>
      </c>
      <c r="J8629" s="1">
        <v>45930.531400462962</v>
      </c>
    </row>
    <row r="8630" spans="1:10" x14ac:dyDescent="0.2">
      <c r="A8630" s="4" t="s">
        <v>1</v>
      </c>
      <c r="B863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30" s="3" t="str">
        <f>HYPERLINK("https://otsuka-europe-crm.veevavault.com/ui/#object/sent_email__v/VBLZ025E82H51O3", "SE-000282230")</f>
        <v>SE-000282230</v>
      </c>
      <c r="D8630" s="1" t="s">
        <v>0</v>
      </c>
      <c r="E8630" s="2">
        <v>0</v>
      </c>
      <c r="F8630" s="2">
        <v>0</v>
      </c>
      <c r="G8630" s="2">
        <v>0</v>
      </c>
      <c r="H8630" s="1" t="s">
        <v>0</v>
      </c>
      <c r="I8630" s="2">
        <v>0</v>
      </c>
      <c r="J8630" s="1">
        <v>45930.531550925924</v>
      </c>
    </row>
    <row r="8631" spans="1:10" x14ac:dyDescent="0.2">
      <c r="A8631" s="4" t="s">
        <v>1</v>
      </c>
      <c r="B863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31" s="3" t="str">
        <f>HYPERLINK("https://otsuka-europe-crm.veevavault.com/ui/#object/sent_email__v/VBLZ025E82H51O4", "SE-000282231")</f>
        <v>SE-000282231</v>
      </c>
      <c r="D8631" s="1" t="s">
        <v>0</v>
      </c>
      <c r="E8631" s="2">
        <v>0</v>
      </c>
      <c r="F8631" s="2">
        <v>0</v>
      </c>
      <c r="G8631" s="2">
        <v>0</v>
      </c>
      <c r="H8631" s="1" t="s">
        <v>0</v>
      </c>
      <c r="I8631" s="2">
        <v>0</v>
      </c>
      <c r="J8631" s="1">
        <v>45930.531412037039</v>
      </c>
    </row>
    <row r="8632" spans="1:10" x14ac:dyDescent="0.2">
      <c r="A8632" s="4" t="s">
        <v>1</v>
      </c>
      <c r="B863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32" s="3" t="str">
        <f>HYPERLINK("https://otsuka-europe-crm.veevavault.com/ui/#object/sent_email__v/VBLZ025E82H51O5", "SE-000282232")</f>
        <v>SE-000282232</v>
      </c>
      <c r="D8632" s="1" t="s">
        <v>0</v>
      </c>
      <c r="E8632" s="2">
        <v>0</v>
      </c>
      <c r="F8632" s="2">
        <v>0</v>
      </c>
      <c r="G8632" s="2">
        <v>0</v>
      </c>
      <c r="H8632" s="1" t="s">
        <v>0</v>
      </c>
      <c r="I8632" s="2">
        <v>0</v>
      </c>
      <c r="J8632" s="1">
        <v>45930.5315625</v>
      </c>
    </row>
    <row r="8633" spans="1:10" x14ac:dyDescent="0.2">
      <c r="A8633" s="4" t="s">
        <v>1</v>
      </c>
      <c r="B863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33" s="3" t="str">
        <f>HYPERLINK("https://otsuka-europe-crm.veevavault.com/ui/#object/sent_email__v/VBLZ025E82H51O6", "SE-000282233")</f>
        <v>SE-000282233</v>
      </c>
      <c r="D8633" s="1">
        <v>45930.538391203707</v>
      </c>
      <c r="E8633" s="2">
        <v>1</v>
      </c>
      <c r="F8633" s="2">
        <v>2</v>
      </c>
      <c r="G8633" s="2">
        <v>0</v>
      </c>
      <c r="H8633" s="1" t="s">
        <v>0</v>
      </c>
      <c r="I8633" s="2">
        <v>0</v>
      </c>
      <c r="J8633" s="1">
        <v>45930.531446759262</v>
      </c>
    </row>
    <row r="8634" spans="1:10" x14ac:dyDescent="0.2">
      <c r="A8634" s="4" t="s">
        <v>1</v>
      </c>
      <c r="B863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34" s="3" t="str">
        <f>HYPERLINK("https://otsuka-europe-crm.veevavault.com/ui/#object/sent_email__v/VBLZ025E82H51O7", "SE-000282234")</f>
        <v>SE-000282234</v>
      </c>
      <c r="D8634" s="1">
        <v>45930.562627314815</v>
      </c>
      <c r="E8634" s="2">
        <v>1</v>
      </c>
      <c r="F8634" s="2">
        <v>1</v>
      </c>
      <c r="G8634" s="2">
        <v>0</v>
      </c>
      <c r="H8634" s="1" t="s">
        <v>0</v>
      </c>
      <c r="I8634" s="2">
        <v>0</v>
      </c>
      <c r="J8634" s="1">
        <v>45930.531574074077</v>
      </c>
    </row>
    <row r="8635" spans="1:10" x14ac:dyDescent="0.2">
      <c r="A8635" s="4" t="s">
        <v>1</v>
      </c>
      <c r="B863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35" s="3" t="str">
        <f>HYPERLINK("https://otsuka-europe-crm.veevavault.com/ui/#object/sent_email__v/VBLZ025E82H51O8", "SE-000282235")</f>
        <v>SE-000282235</v>
      </c>
      <c r="D8635" s="1" t="s">
        <v>0</v>
      </c>
      <c r="E8635" s="2">
        <v>0</v>
      </c>
      <c r="F8635" s="2">
        <v>0</v>
      </c>
      <c r="G8635" s="2">
        <v>0</v>
      </c>
      <c r="H8635" s="1" t="s">
        <v>0</v>
      </c>
      <c r="I8635" s="2">
        <v>0</v>
      </c>
      <c r="J8635" s="1">
        <v>45930.531446759262</v>
      </c>
    </row>
    <row r="8636" spans="1:10" x14ac:dyDescent="0.2">
      <c r="A8636" s="4" t="s">
        <v>1</v>
      </c>
      <c r="B8636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36" s="3" t="str">
        <f>HYPERLINK("https://otsuka-europe-crm.veevavault.com/ui/#object/sent_email__v/VBLZ025E82H51O9", "SE-000282236")</f>
        <v>SE-000282236</v>
      </c>
      <c r="D8636" s="1">
        <v>45947.533935185187</v>
      </c>
      <c r="E8636" s="2">
        <v>1</v>
      </c>
      <c r="F8636" s="2">
        <v>4</v>
      </c>
      <c r="G8636" s="2">
        <v>0</v>
      </c>
      <c r="H8636" s="1" t="s">
        <v>0</v>
      </c>
      <c r="I8636" s="2">
        <v>0</v>
      </c>
      <c r="J8636" s="1">
        <v>45930.531458333331</v>
      </c>
    </row>
    <row r="8637" spans="1:10" x14ac:dyDescent="0.2">
      <c r="A8637" s="4" t="s">
        <v>1</v>
      </c>
      <c r="B8637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37" s="3" t="str">
        <f>HYPERLINK("https://otsuka-europe-crm.veevavault.com/ui/#object/sent_email__v/VBLZ025E82H51OA", "SE-000282237")</f>
        <v>SE-000282237</v>
      </c>
      <c r="D8637" s="1" t="s">
        <v>0</v>
      </c>
      <c r="E8637" s="2">
        <v>0</v>
      </c>
      <c r="F8637" s="2">
        <v>0</v>
      </c>
      <c r="G8637" s="2">
        <v>0</v>
      </c>
      <c r="H8637" s="1" t="s">
        <v>0</v>
      </c>
      <c r="I8637" s="2">
        <v>0</v>
      </c>
      <c r="J8637" s="1">
        <v>45930.531585648147</v>
      </c>
    </row>
    <row r="8638" spans="1:10" x14ac:dyDescent="0.2">
      <c r="A8638" s="4" t="s">
        <v>1</v>
      </c>
      <c r="B8638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38" s="3" t="str">
        <f>HYPERLINK("https://otsuka-europe-crm.veevavault.com/ui/#object/sent_email__v/VBLZ025E82H51OB", "SE-000282238")</f>
        <v>SE-000282238</v>
      </c>
      <c r="D8638" s="1">
        <v>45930.536157407405</v>
      </c>
      <c r="E8638" s="2">
        <v>1</v>
      </c>
      <c r="F8638" s="2">
        <v>1</v>
      </c>
      <c r="G8638" s="2">
        <v>0</v>
      </c>
      <c r="H8638" s="1" t="s">
        <v>0</v>
      </c>
      <c r="I8638" s="2">
        <v>0</v>
      </c>
      <c r="J8638" s="1">
        <v>45930.531469907408</v>
      </c>
    </row>
    <row r="8639" spans="1:10" x14ac:dyDescent="0.2">
      <c r="A8639" s="4" t="s">
        <v>1</v>
      </c>
      <c r="B8639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39" s="3" t="str">
        <f>HYPERLINK("https://otsuka-europe-crm.veevavault.com/ui/#object/sent_email__v/VBLZ025E82H51OC", "SE-000282239")</f>
        <v>SE-000282239</v>
      </c>
      <c r="D8639" s="1">
        <v>45930.533090277779</v>
      </c>
      <c r="E8639" s="2">
        <v>1</v>
      </c>
      <c r="F8639" s="2">
        <v>1</v>
      </c>
      <c r="G8639" s="2">
        <v>0</v>
      </c>
      <c r="H8639" s="1" t="s">
        <v>0</v>
      </c>
      <c r="I8639" s="2">
        <v>0</v>
      </c>
      <c r="J8639" s="1">
        <v>45930.531608796293</v>
      </c>
    </row>
    <row r="8640" spans="1:10" x14ac:dyDescent="0.2">
      <c r="A8640" s="4" t="s">
        <v>1</v>
      </c>
      <c r="B8640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40" s="3" t="str">
        <f>HYPERLINK("https://otsuka-europe-crm.veevavault.com/ui/#object/sent_email__v/VBLZ025E82H51OD", "SE-000282240")</f>
        <v>SE-000282240</v>
      </c>
      <c r="D8640" s="1" t="s">
        <v>0</v>
      </c>
      <c r="E8640" s="2">
        <v>0</v>
      </c>
      <c r="F8640" s="2">
        <v>0</v>
      </c>
      <c r="G8640" s="2">
        <v>0</v>
      </c>
      <c r="H8640" s="1" t="s">
        <v>0</v>
      </c>
      <c r="I8640" s="2">
        <v>0</v>
      </c>
      <c r="J8640" s="1">
        <v>45930.531469907408</v>
      </c>
    </row>
    <row r="8641" spans="1:10" x14ac:dyDescent="0.2">
      <c r="A8641" s="4" t="s">
        <v>1</v>
      </c>
      <c r="B8641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41" s="3" t="str">
        <f>HYPERLINK("https://otsuka-europe-crm.veevavault.com/ui/#object/sent_email__v/VBLZ025E82H51OE", "SE-000282241")</f>
        <v>SE-000282241</v>
      </c>
      <c r="D8641" s="1">
        <v>45949.573194444441</v>
      </c>
      <c r="E8641" s="2">
        <v>1</v>
      </c>
      <c r="F8641" s="2">
        <v>4</v>
      </c>
      <c r="G8641" s="2">
        <v>0</v>
      </c>
      <c r="H8641" s="1" t="s">
        <v>0</v>
      </c>
      <c r="I8641" s="2">
        <v>0</v>
      </c>
      <c r="J8641" s="1">
        <v>45930.531574074077</v>
      </c>
    </row>
    <row r="8642" spans="1:10" x14ac:dyDescent="0.2">
      <c r="A8642" s="4" t="s">
        <v>1</v>
      </c>
      <c r="B8642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42" s="3" t="str">
        <f>HYPERLINK("https://otsuka-europe-crm.veevavault.com/ui/#object/sent_email__v/VBLZ025E82H51OF", "SE-000282242")</f>
        <v>SE-000282242</v>
      </c>
      <c r="D8642" s="1">
        <v>45931.147569444445</v>
      </c>
      <c r="E8642" s="2">
        <v>1</v>
      </c>
      <c r="F8642" s="2">
        <v>2</v>
      </c>
      <c r="G8642" s="2">
        <v>0</v>
      </c>
      <c r="H8642" s="1" t="s">
        <v>0</v>
      </c>
      <c r="I8642" s="2">
        <v>0</v>
      </c>
      <c r="J8642" s="1">
        <v>45930.531412037039</v>
      </c>
    </row>
    <row r="8643" spans="1:10" x14ac:dyDescent="0.2">
      <c r="A8643" s="4" t="s">
        <v>1</v>
      </c>
      <c r="B8643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43" s="3" t="str">
        <f>HYPERLINK("https://otsuka-europe-crm.veevavault.com/ui/#object/sent_email__v/VBLZ025E82H51OG", "SE-000282243")</f>
        <v>SE-000282243</v>
      </c>
      <c r="D8643" s="1" t="s">
        <v>0</v>
      </c>
      <c r="E8643" s="2">
        <v>0</v>
      </c>
      <c r="F8643" s="2">
        <v>0</v>
      </c>
      <c r="G8643" s="2">
        <v>0</v>
      </c>
      <c r="H8643" s="1" t="s">
        <v>0</v>
      </c>
      <c r="I8643" s="2">
        <v>0</v>
      </c>
      <c r="J8643" s="1">
        <v>45930.531608796293</v>
      </c>
    </row>
    <row r="8644" spans="1:10" x14ac:dyDescent="0.2">
      <c r="A8644" s="4" t="s">
        <v>1</v>
      </c>
      <c r="B8644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44" s="3" t="str">
        <f>HYPERLINK("https://otsuka-europe-crm.veevavault.com/ui/#object/sent_email__v/VBLZ025E82H51OH", "SE-000282244")</f>
        <v>SE-000282244</v>
      </c>
      <c r="D8644" s="1" t="s">
        <v>0</v>
      </c>
      <c r="E8644" s="2">
        <v>0</v>
      </c>
      <c r="F8644" s="2">
        <v>0</v>
      </c>
      <c r="G8644" s="2">
        <v>0</v>
      </c>
      <c r="H8644" s="1" t="s">
        <v>0</v>
      </c>
      <c r="I8644" s="2">
        <v>0</v>
      </c>
      <c r="J8644" s="1">
        <v>45930.531504629631</v>
      </c>
    </row>
    <row r="8645" spans="1:10" x14ac:dyDescent="0.2">
      <c r="A8645" s="4" t="s">
        <v>1</v>
      </c>
      <c r="B8645" s="3" t="str">
        <f>HYPERLINK("https://otsuka-europe-crm.veevavault.com/ui/#object/approved_document__v/V5OZ025E82TULND", "INA - Episodio 1 Videopodcast Nos Quedamos En Casa")</f>
        <v>INA - Episodio 1 Videopodcast Nos Quedamos En Casa</v>
      </c>
      <c r="C8645" s="3" t="str">
        <f>HYPERLINK("https://otsuka-europe-crm.veevavault.com/ui/#object/sent_email__v/VBLZ025E82H51OI", "SE-000282245")</f>
        <v>SE-000282245</v>
      </c>
      <c r="D8645" s="1" t="s">
        <v>0</v>
      </c>
      <c r="E8645" s="2">
        <v>0</v>
      </c>
      <c r="F8645" s="2">
        <v>0</v>
      </c>
      <c r="G8645" s="2">
        <v>0</v>
      </c>
      <c r="H8645" s="1" t="s">
        <v>0</v>
      </c>
      <c r="I8645" s="2">
        <v>0</v>
      </c>
      <c r="J8645" s="1">
        <v>45930.531435185185</v>
      </c>
    </row>
    <row r="8646" spans="1:10" x14ac:dyDescent="0.2">
      <c r="A8646" s="4" t="s">
        <v>1</v>
      </c>
      <c r="B8646" s="3" t="str">
        <f>HYPERLINK("https://otsuka-europe-crm.veevavault.com/ui/#object/approved_document__v/V5O000000004002", "INA - Episodio 2 Videopodcast Nos Quedamos En Casa")</f>
        <v>INA - Episodio 2 Videopodcast Nos Quedamos En Casa</v>
      </c>
      <c r="C8646" s="3" t="str">
        <f>HYPERLINK("https://otsuka-europe-crm.veevavault.com/ui/#object/sent_email__v/VBL000000005371", "SE-001380241")</f>
        <v>SE-001380241</v>
      </c>
      <c r="D8646" s="1">
        <v>45964.360393518517</v>
      </c>
      <c r="E8646" s="2">
        <v>1</v>
      </c>
      <c r="F8646" s="2">
        <v>4</v>
      </c>
      <c r="G8646" s="2">
        <v>1</v>
      </c>
      <c r="H8646" s="1">
        <v>45964.361481481479</v>
      </c>
      <c r="I8646" s="2">
        <v>9</v>
      </c>
      <c r="J8646" s="1">
        <v>45963.768854166665</v>
      </c>
    </row>
    <row r="8647" spans="1:10" x14ac:dyDescent="0.2">
      <c r="A8647" s="4" t="s">
        <v>1</v>
      </c>
      <c r="B864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47" s="3" t="str">
        <f>HYPERLINK("https://otsuka-europe-crm.veevavault.com/ui/#object/sent_email__v/VBL00000000M753", "SE-001389834")</f>
        <v>SE-001389834</v>
      </c>
      <c r="D8647" s="1">
        <v>45974.342685185184</v>
      </c>
      <c r="E8647" s="2">
        <v>1</v>
      </c>
      <c r="F8647" s="2">
        <v>1</v>
      </c>
      <c r="G8647" s="2">
        <v>1</v>
      </c>
      <c r="H8647" s="1">
        <v>45974.343425925923</v>
      </c>
      <c r="I8647" s="2">
        <v>2</v>
      </c>
      <c r="J8647" s="1">
        <v>45974.330578703702</v>
      </c>
    </row>
    <row r="8648" spans="1:10" x14ac:dyDescent="0.2">
      <c r="A8648" s="4" t="s">
        <v>1</v>
      </c>
      <c r="B864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48" s="3" t="str">
        <f>HYPERLINK("https://otsuka-europe-crm.veevavault.com/ui/#object/sent_email__v/VBL00000000O226", "SE-001390665")</f>
        <v>SE-001390665</v>
      </c>
      <c r="D8648" s="1">
        <v>45978.460995370369</v>
      </c>
      <c r="E8648" s="2">
        <v>1</v>
      </c>
      <c r="F8648" s="2">
        <v>1</v>
      </c>
      <c r="G8648" s="2">
        <v>0</v>
      </c>
      <c r="H8648" s="1" t="s">
        <v>0</v>
      </c>
      <c r="I8648" s="2">
        <v>0</v>
      </c>
      <c r="J8648" s="1">
        <v>45978.376076388886</v>
      </c>
    </row>
    <row r="8649" spans="1:10" x14ac:dyDescent="0.2">
      <c r="A8649" s="4" t="s">
        <v>1</v>
      </c>
      <c r="B864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49" s="3" t="str">
        <f>HYPERLINK("https://otsuka-europe-crm.veevavault.com/ui/#object/sent_email__v/VBL00000000O227", "SE-001390666")</f>
        <v>SE-001390666</v>
      </c>
      <c r="D8649" s="1" t="s">
        <v>0</v>
      </c>
      <c r="E8649" s="2">
        <v>0</v>
      </c>
      <c r="F8649" s="2">
        <v>0</v>
      </c>
      <c r="G8649" s="2">
        <v>0</v>
      </c>
      <c r="H8649" s="1" t="s">
        <v>0</v>
      </c>
      <c r="I8649" s="2">
        <v>0</v>
      </c>
      <c r="J8649" s="1">
        <v>45978.376111111109</v>
      </c>
    </row>
    <row r="8650" spans="1:10" x14ac:dyDescent="0.2">
      <c r="A8650" s="4" t="s">
        <v>1</v>
      </c>
      <c r="B865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50" s="3" t="str">
        <f>HYPERLINK("https://otsuka-europe-crm.veevavault.com/ui/#object/sent_email__v/VBL00000000O228", "SE-001390667")</f>
        <v>SE-001390667</v>
      </c>
      <c r="D8650" s="1">
        <v>45978.964513888888</v>
      </c>
      <c r="E8650" s="2">
        <v>1</v>
      </c>
      <c r="F8650" s="2">
        <v>3</v>
      </c>
      <c r="G8650" s="2">
        <v>0</v>
      </c>
      <c r="H8650" s="1" t="s">
        <v>0</v>
      </c>
      <c r="I8650" s="2">
        <v>0</v>
      </c>
      <c r="J8650" s="1">
        <v>45978.376145833332</v>
      </c>
    </row>
    <row r="8651" spans="1:10" x14ac:dyDescent="0.2">
      <c r="A8651" s="4" t="s">
        <v>1</v>
      </c>
      <c r="B865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51" s="3" t="str">
        <f>HYPERLINK("https://otsuka-europe-crm.veevavault.com/ui/#object/sent_email__v/VBL00000000O229", "SE-001390668")</f>
        <v>SE-001390668</v>
      </c>
      <c r="D8651" s="1" t="s">
        <v>0</v>
      </c>
      <c r="E8651" s="2">
        <v>0</v>
      </c>
      <c r="F8651" s="2">
        <v>0</v>
      </c>
      <c r="G8651" s="2">
        <v>0</v>
      </c>
      <c r="H8651" s="1" t="s">
        <v>0</v>
      </c>
      <c r="I8651" s="2">
        <v>0</v>
      </c>
      <c r="J8651" s="1">
        <v>45978.376180555555</v>
      </c>
    </row>
    <row r="8652" spans="1:10" x14ac:dyDescent="0.2">
      <c r="A8652" s="4" t="s">
        <v>1</v>
      </c>
      <c r="B865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52" s="3" t="str">
        <f>HYPERLINK("https://otsuka-europe-crm.veevavault.com/ui/#object/sent_email__v/VBL00000000O230", "SE-001390669")</f>
        <v>SE-001390669</v>
      </c>
      <c r="D8652" s="1">
        <v>45978.456018518518</v>
      </c>
      <c r="E8652" s="2">
        <v>1</v>
      </c>
      <c r="F8652" s="2">
        <v>1</v>
      </c>
      <c r="G8652" s="2">
        <v>0</v>
      </c>
      <c r="H8652" s="1" t="s">
        <v>0</v>
      </c>
      <c r="I8652" s="2">
        <v>0</v>
      </c>
      <c r="J8652" s="1">
        <v>45978.376215277778</v>
      </c>
    </row>
    <row r="8653" spans="1:10" x14ac:dyDescent="0.2">
      <c r="A8653" s="4" t="s">
        <v>1</v>
      </c>
      <c r="B865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53" s="3" t="str">
        <f>HYPERLINK("https://otsuka-europe-crm.veevavault.com/ui/#object/sent_email__v/VBL00000000O231", "SE-001390670")</f>
        <v>SE-001390670</v>
      </c>
      <c r="D8653" s="1" t="s">
        <v>0</v>
      </c>
      <c r="E8653" s="2">
        <v>0</v>
      </c>
      <c r="F8653" s="2">
        <v>0</v>
      </c>
      <c r="G8653" s="2">
        <v>0</v>
      </c>
      <c r="H8653" s="1" t="s">
        <v>0</v>
      </c>
      <c r="I8653" s="2">
        <v>0</v>
      </c>
      <c r="J8653" s="1">
        <v>45978.376261574071</v>
      </c>
    </row>
    <row r="8654" spans="1:10" x14ac:dyDescent="0.2">
      <c r="A8654" s="4" t="s">
        <v>1</v>
      </c>
      <c r="B865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54" s="3" t="str">
        <f>HYPERLINK("https://otsuka-europe-crm.veevavault.com/ui/#object/sent_email__v/VBL00000000O232", "SE-001390671")</f>
        <v>SE-001390671</v>
      </c>
      <c r="D8654" s="1">
        <v>45994.510717592595</v>
      </c>
      <c r="E8654" s="2">
        <v>1</v>
      </c>
      <c r="F8654" s="2">
        <v>1</v>
      </c>
      <c r="G8654" s="2">
        <v>0</v>
      </c>
      <c r="H8654" s="1" t="s">
        <v>0</v>
      </c>
      <c r="I8654" s="2">
        <v>0</v>
      </c>
      <c r="J8654" s="1">
        <v>45978.376296296294</v>
      </c>
    </row>
    <row r="8655" spans="1:10" x14ac:dyDescent="0.2">
      <c r="A8655" s="4" t="s">
        <v>1</v>
      </c>
      <c r="B865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55" s="3" t="str">
        <f>HYPERLINK("https://otsuka-europe-crm.veevavault.com/ui/#object/sent_email__v/VBL00000000O233", "SE-001390672")</f>
        <v>SE-001390672</v>
      </c>
      <c r="D8655" s="1">
        <v>45980.904027777775</v>
      </c>
      <c r="E8655" s="2">
        <v>1</v>
      </c>
      <c r="F8655" s="2">
        <v>1</v>
      </c>
      <c r="G8655" s="2">
        <v>0</v>
      </c>
      <c r="H8655" s="1" t="s">
        <v>0</v>
      </c>
      <c r="I8655" s="2">
        <v>0</v>
      </c>
      <c r="J8655" s="1">
        <v>45978.376342592594</v>
      </c>
    </row>
    <row r="8656" spans="1:10" x14ac:dyDescent="0.2">
      <c r="A8656" s="4" t="s">
        <v>1</v>
      </c>
      <c r="B865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56" s="3" t="str">
        <f>HYPERLINK("https://otsuka-europe-crm.veevavault.com/ui/#object/sent_email__v/VBL00000000O234", "SE-001390673")</f>
        <v>SE-001390673</v>
      </c>
      <c r="D8656" s="1">
        <v>45997.046307870369</v>
      </c>
      <c r="E8656" s="2">
        <v>1</v>
      </c>
      <c r="F8656" s="2">
        <v>5</v>
      </c>
      <c r="G8656" s="2">
        <v>0</v>
      </c>
      <c r="H8656" s="1" t="s">
        <v>0</v>
      </c>
      <c r="I8656" s="2">
        <v>0</v>
      </c>
      <c r="J8656" s="1">
        <v>45978.376377314817</v>
      </c>
    </row>
    <row r="8657" spans="1:10" x14ac:dyDescent="0.2">
      <c r="A8657" s="4" t="s">
        <v>1</v>
      </c>
      <c r="B865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57" s="3" t="str">
        <f>HYPERLINK("https://otsuka-europe-crm.veevavault.com/ui/#object/sent_email__v/VBL00000000O235", "SE-001390674")</f>
        <v>SE-001390674</v>
      </c>
      <c r="D8657" s="1" t="s">
        <v>0</v>
      </c>
      <c r="E8657" s="2">
        <v>0</v>
      </c>
      <c r="F8657" s="2">
        <v>0</v>
      </c>
      <c r="G8657" s="2">
        <v>0</v>
      </c>
      <c r="H8657" s="1" t="s">
        <v>0</v>
      </c>
      <c r="I8657" s="2">
        <v>0</v>
      </c>
      <c r="J8657" s="1">
        <v>45978.376423611109</v>
      </c>
    </row>
    <row r="8658" spans="1:10" x14ac:dyDescent="0.2">
      <c r="A8658" s="4" t="s">
        <v>1</v>
      </c>
      <c r="B865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58" s="3" t="str">
        <f>HYPERLINK("https://otsuka-europe-crm.veevavault.com/ui/#object/sent_email__v/VBL00000000O236", "SE-001390675")</f>
        <v>SE-001390675</v>
      </c>
      <c r="D8658" s="1">
        <v>45978.394224537034</v>
      </c>
      <c r="E8658" s="2">
        <v>1</v>
      </c>
      <c r="F8658" s="2">
        <v>2</v>
      </c>
      <c r="G8658" s="2">
        <v>0</v>
      </c>
      <c r="H8658" s="1" t="s">
        <v>0</v>
      </c>
      <c r="I8658" s="2">
        <v>0</v>
      </c>
      <c r="J8658" s="1">
        <v>45978.376469907409</v>
      </c>
    </row>
    <row r="8659" spans="1:10" x14ac:dyDescent="0.2">
      <c r="A8659" s="4" t="s">
        <v>1</v>
      </c>
      <c r="B865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59" s="3" t="str">
        <f>HYPERLINK("https://otsuka-europe-crm.veevavault.com/ui/#object/sent_email__v/VBL00000000O237", "SE-001390676")</f>
        <v>SE-001390676</v>
      </c>
      <c r="D8659" s="1" t="s">
        <v>0</v>
      </c>
      <c r="E8659" s="2">
        <v>0</v>
      </c>
      <c r="F8659" s="2">
        <v>0</v>
      </c>
      <c r="G8659" s="2">
        <v>0</v>
      </c>
      <c r="H8659" s="1" t="s">
        <v>0</v>
      </c>
      <c r="I8659" s="2">
        <v>0</v>
      </c>
      <c r="J8659" s="1">
        <v>45978.376516203702</v>
      </c>
    </row>
    <row r="8660" spans="1:10" x14ac:dyDescent="0.2">
      <c r="A8660" s="4" t="s">
        <v>1</v>
      </c>
      <c r="B866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60" s="3" t="str">
        <f>HYPERLINK("https://otsuka-europe-crm.veevavault.com/ui/#object/sent_email__v/VBL00000000O238", "SE-001390677")</f>
        <v>SE-001390677</v>
      </c>
      <c r="D8660" s="1">
        <v>45985.773946759262</v>
      </c>
      <c r="E8660" s="2">
        <v>1</v>
      </c>
      <c r="F8660" s="2">
        <v>2</v>
      </c>
      <c r="G8660" s="2">
        <v>0</v>
      </c>
      <c r="H8660" s="1" t="s">
        <v>0</v>
      </c>
      <c r="I8660" s="2">
        <v>0</v>
      </c>
      <c r="J8660" s="1">
        <v>45978.376574074071</v>
      </c>
    </row>
    <row r="8661" spans="1:10" x14ac:dyDescent="0.2">
      <c r="A8661" s="4" t="s">
        <v>1</v>
      </c>
      <c r="B866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61" s="3" t="str">
        <f>HYPERLINK("https://otsuka-europe-crm.veevavault.com/ui/#object/sent_email__v/VBL00000000O239", "SE-001390678")</f>
        <v>SE-001390678</v>
      </c>
      <c r="D8661" s="1">
        <v>45979.516319444447</v>
      </c>
      <c r="E8661" s="2">
        <v>1</v>
      </c>
      <c r="F8661" s="2">
        <v>1</v>
      </c>
      <c r="G8661" s="2">
        <v>0</v>
      </c>
      <c r="H8661" s="1" t="s">
        <v>0</v>
      </c>
      <c r="I8661" s="2">
        <v>0</v>
      </c>
      <c r="J8661" s="1">
        <v>45978.376620370371</v>
      </c>
    </row>
    <row r="8662" spans="1:10" x14ac:dyDescent="0.2">
      <c r="A8662" s="4" t="s">
        <v>1</v>
      </c>
      <c r="B866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62" s="3" t="str">
        <f>HYPERLINK("https://otsuka-europe-crm.veevavault.com/ui/#object/sent_email__v/VBL00000000O240", "SE-001390679")</f>
        <v>SE-001390679</v>
      </c>
      <c r="D8662" s="1">
        <v>46030.769178240742</v>
      </c>
      <c r="E8662" s="2">
        <v>1</v>
      </c>
      <c r="F8662" s="2">
        <v>2</v>
      </c>
      <c r="G8662" s="2">
        <v>0</v>
      </c>
      <c r="H8662" s="1" t="s">
        <v>0</v>
      </c>
      <c r="I8662" s="2">
        <v>0</v>
      </c>
      <c r="J8662" s="1">
        <v>45978.376655092594</v>
      </c>
    </row>
    <row r="8663" spans="1:10" x14ac:dyDescent="0.2">
      <c r="A8663" s="4" t="s">
        <v>1</v>
      </c>
      <c r="B866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63" s="3" t="str">
        <f>HYPERLINK("https://otsuka-europe-crm.veevavault.com/ui/#object/sent_email__v/VBL00000000N399", "SE-001390680")</f>
        <v>SE-001390680</v>
      </c>
      <c r="D8663" s="1" t="s">
        <v>0</v>
      </c>
      <c r="E8663" s="2">
        <v>0</v>
      </c>
      <c r="F8663" s="2">
        <v>0</v>
      </c>
      <c r="G8663" s="2">
        <v>0</v>
      </c>
      <c r="H8663" s="1" t="s">
        <v>0</v>
      </c>
      <c r="I8663" s="2">
        <v>0</v>
      </c>
      <c r="J8663" s="1">
        <v>45978.376388888886</v>
      </c>
    </row>
    <row r="8664" spans="1:10" x14ac:dyDescent="0.2">
      <c r="A8664" s="4" t="s">
        <v>1</v>
      </c>
      <c r="B866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64" s="3" t="str">
        <f>HYPERLINK("https://otsuka-europe-crm.veevavault.com/ui/#object/sent_email__v/VBL00000000N400", "SE-001390681")</f>
        <v>SE-001390681</v>
      </c>
      <c r="D8664" s="1">
        <v>45982.680949074071</v>
      </c>
      <c r="E8664" s="2">
        <v>1</v>
      </c>
      <c r="F8664" s="2">
        <v>2</v>
      </c>
      <c r="G8664" s="2">
        <v>0</v>
      </c>
      <c r="H8664" s="1" t="s">
        <v>0</v>
      </c>
      <c r="I8664" s="2">
        <v>0</v>
      </c>
      <c r="J8664" s="1">
        <v>45978.376435185186</v>
      </c>
    </row>
    <row r="8665" spans="1:10" x14ac:dyDescent="0.2">
      <c r="A8665" s="4" t="s">
        <v>1</v>
      </c>
      <c r="B866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65" s="3" t="str">
        <f>HYPERLINK("https://otsuka-europe-crm.veevavault.com/ui/#object/sent_email__v/VBL00000000N401", "SE-001390682")</f>
        <v>SE-001390682</v>
      </c>
      <c r="D8665" s="1">
        <v>45991.361041666663</v>
      </c>
      <c r="E8665" s="2">
        <v>1</v>
      </c>
      <c r="F8665" s="2">
        <v>7</v>
      </c>
      <c r="G8665" s="2">
        <v>0</v>
      </c>
      <c r="H8665" s="1" t="s">
        <v>0</v>
      </c>
      <c r="I8665" s="2">
        <v>0</v>
      </c>
      <c r="J8665" s="1">
        <v>45978.376469907409</v>
      </c>
    </row>
    <row r="8666" spans="1:10" x14ac:dyDescent="0.2">
      <c r="A8666" s="4" t="s">
        <v>1</v>
      </c>
      <c r="B866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66" s="3" t="str">
        <f>HYPERLINK("https://otsuka-europe-crm.veevavault.com/ui/#object/sent_email__v/VBL00000000N402", "SE-001390683")</f>
        <v>SE-001390683</v>
      </c>
      <c r="D8666" s="1">
        <v>45978.548761574071</v>
      </c>
      <c r="E8666" s="2">
        <v>1</v>
      </c>
      <c r="F8666" s="2">
        <v>1</v>
      </c>
      <c r="G8666" s="2">
        <v>0</v>
      </c>
      <c r="H8666" s="1" t="s">
        <v>0</v>
      </c>
      <c r="I8666" s="2">
        <v>0</v>
      </c>
      <c r="J8666" s="1">
        <v>45978.376539351855</v>
      </c>
    </row>
    <row r="8667" spans="1:10" x14ac:dyDescent="0.2">
      <c r="A8667" s="4" t="s">
        <v>1</v>
      </c>
      <c r="B866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67" s="3" t="str">
        <f>HYPERLINK("https://otsuka-europe-crm.veevavault.com/ui/#object/sent_email__v/VBL00000000N403", "SE-001390684")</f>
        <v>SE-001390684</v>
      </c>
      <c r="D8667" s="1">
        <v>45979.759236111109</v>
      </c>
      <c r="E8667" s="2">
        <v>1</v>
      </c>
      <c r="F8667" s="2">
        <v>5</v>
      </c>
      <c r="G8667" s="2">
        <v>0</v>
      </c>
      <c r="H8667" s="1" t="s">
        <v>0</v>
      </c>
      <c r="I8667" s="2">
        <v>0</v>
      </c>
      <c r="J8667" s="1">
        <v>45978.376585648148</v>
      </c>
    </row>
    <row r="8668" spans="1:10" x14ac:dyDescent="0.2">
      <c r="A8668" s="4" t="s">
        <v>1</v>
      </c>
      <c r="B866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68" s="3" t="str">
        <f>HYPERLINK("https://otsuka-europe-crm.veevavault.com/ui/#object/sent_email__v/VBL00000000N404", "SE-001390685")</f>
        <v>SE-001390685</v>
      </c>
      <c r="D8668" s="1">
        <v>45979.839918981481</v>
      </c>
      <c r="E8668" s="2">
        <v>1</v>
      </c>
      <c r="F8668" s="2">
        <v>4</v>
      </c>
      <c r="G8668" s="2">
        <v>0</v>
      </c>
      <c r="H8668" s="1" t="s">
        <v>0</v>
      </c>
      <c r="I8668" s="2">
        <v>0</v>
      </c>
      <c r="J8668" s="1">
        <v>45978.376620370371</v>
      </c>
    </row>
    <row r="8669" spans="1:10" x14ac:dyDescent="0.2">
      <c r="A8669" s="4" t="s">
        <v>1</v>
      </c>
      <c r="B866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69" s="3" t="str">
        <f>HYPERLINK("https://otsuka-europe-crm.veevavault.com/ui/#object/sent_email__v/VBL00000000N405", "SE-001390686")</f>
        <v>SE-001390686</v>
      </c>
      <c r="D8669" s="1">
        <v>45988.321273148147</v>
      </c>
      <c r="E8669" s="2">
        <v>1</v>
      </c>
      <c r="F8669" s="2">
        <v>6</v>
      </c>
      <c r="G8669" s="2">
        <v>0</v>
      </c>
      <c r="H8669" s="1" t="s">
        <v>0</v>
      </c>
      <c r="I8669" s="2">
        <v>0</v>
      </c>
      <c r="J8669" s="1">
        <v>45978.376655092594</v>
      </c>
    </row>
    <row r="8670" spans="1:10" x14ac:dyDescent="0.2">
      <c r="A8670" s="4" t="s">
        <v>1</v>
      </c>
      <c r="B867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70" s="3" t="str">
        <f>HYPERLINK("https://otsuka-europe-crm.veevavault.com/ui/#object/sent_email__v/VBL00000000N406", "SE-001390687")</f>
        <v>SE-001390687</v>
      </c>
      <c r="D8670" s="1">
        <v>45998.307118055556</v>
      </c>
      <c r="E8670" s="2">
        <v>1</v>
      </c>
      <c r="F8670" s="2">
        <v>3</v>
      </c>
      <c r="G8670" s="2">
        <v>0</v>
      </c>
      <c r="H8670" s="1" t="s">
        <v>0</v>
      </c>
      <c r="I8670" s="2">
        <v>0</v>
      </c>
      <c r="J8670" s="1">
        <v>45978.376712962963</v>
      </c>
    </row>
    <row r="8671" spans="1:10" x14ac:dyDescent="0.2">
      <c r="A8671" s="4" t="s">
        <v>1</v>
      </c>
      <c r="B867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71" s="3" t="str">
        <f>HYPERLINK("https://otsuka-europe-crm.veevavault.com/ui/#object/sent_email__v/VBL00000000N407", "SE-001390688")</f>
        <v>SE-001390688</v>
      </c>
      <c r="D8671" s="1">
        <v>45978.821608796294</v>
      </c>
      <c r="E8671" s="2">
        <v>1</v>
      </c>
      <c r="F8671" s="2">
        <v>1</v>
      </c>
      <c r="G8671" s="2">
        <v>0</v>
      </c>
      <c r="H8671" s="1" t="s">
        <v>0</v>
      </c>
      <c r="I8671" s="2">
        <v>0</v>
      </c>
      <c r="J8671" s="1">
        <v>45978.376759259256</v>
      </c>
    </row>
    <row r="8672" spans="1:10" x14ac:dyDescent="0.2">
      <c r="A8672" s="4" t="s">
        <v>1</v>
      </c>
      <c r="B867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72" s="3" t="str">
        <f>HYPERLINK("https://otsuka-europe-crm.veevavault.com/ui/#object/sent_email__v/VBL00000000N408", "SE-001390689")</f>
        <v>SE-001390689</v>
      </c>
      <c r="D8672" s="1" t="s">
        <v>0</v>
      </c>
      <c r="E8672" s="2">
        <v>0</v>
      </c>
      <c r="F8672" s="2">
        <v>0</v>
      </c>
      <c r="G8672" s="2">
        <v>0</v>
      </c>
      <c r="H8672" s="1" t="s">
        <v>0</v>
      </c>
      <c r="I8672" s="2">
        <v>0</v>
      </c>
      <c r="J8672" s="1">
        <v>45978.376840277779</v>
      </c>
    </row>
    <row r="8673" spans="1:10" x14ac:dyDescent="0.2">
      <c r="A8673" s="4" t="s">
        <v>1</v>
      </c>
      <c r="B867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73" s="3" t="str">
        <f>HYPERLINK("https://otsuka-europe-crm.veevavault.com/ui/#object/sent_email__v/VBL00000000N409", "SE-001390690")</f>
        <v>SE-001390690</v>
      </c>
      <c r="D8673" s="1">
        <v>45978.427974537037</v>
      </c>
      <c r="E8673" s="2">
        <v>1</v>
      </c>
      <c r="F8673" s="2">
        <v>1</v>
      </c>
      <c r="G8673" s="2">
        <v>0</v>
      </c>
      <c r="H8673" s="1" t="s">
        <v>0</v>
      </c>
      <c r="I8673" s="2">
        <v>0</v>
      </c>
      <c r="J8673" s="1">
        <v>45978.376909722225</v>
      </c>
    </row>
    <row r="8674" spans="1:10" x14ac:dyDescent="0.2">
      <c r="A8674" s="4" t="s">
        <v>1</v>
      </c>
      <c r="B867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74" s="3" t="str">
        <f>HYPERLINK("https://otsuka-europe-crm.veevavault.com/ui/#object/sent_email__v/VBL00000000N410", "SE-001390691")</f>
        <v>SE-001390691</v>
      </c>
      <c r="D8674" s="1" t="s">
        <v>0</v>
      </c>
      <c r="E8674" s="2">
        <v>0</v>
      </c>
      <c r="F8674" s="2">
        <v>0</v>
      </c>
      <c r="G8674" s="2">
        <v>0</v>
      </c>
      <c r="H8674" s="1" t="s">
        <v>0</v>
      </c>
      <c r="I8674" s="2">
        <v>0</v>
      </c>
      <c r="J8674" s="1">
        <v>45978.376967592594</v>
      </c>
    </row>
    <row r="8675" spans="1:10" x14ac:dyDescent="0.2">
      <c r="A8675" s="4" t="s">
        <v>1</v>
      </c>
      <c r="B867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75" s="3" t="str">
        <f>HYPERLINK("https://otsuka-europe-crm.veevavault.com/ui/#object/sent_email__v/VBL00000000N411", "SE-001390692")</f>
        <v>SE-001390692</v>
      </c>
      <c r="D8675" s="1">
        <v>45978.59851851852</v>
      </c>
      <c r="E8675" s="2">
        <v>1</v>
      </c>
      <c r="F8675" s="2">
        <v>1</v>
      </c>
      <c r="G8675" s="2">
        <v>0</v>
      </c>
      <c r="H8675" s="1" t="s">
        <v>0</v>
      </c>
      <c r="I8675" s="2">
        <v>0</v>
      </c>
      <c r="J8675" s="1">
        <v>45978.37703703704</v>
      </c>
    </row>
    <row r="8676" spans="1:10" x14ac:dyDescent="0.2">
      <c r="A8676" s="4" t="s">
        <v>1</v>
      </c>
      <c r="B867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76" s="3" t="str">
        <f>HYPERLINK("https://otsuka-europe-crm.veevavault.com/ui/#object/sent_email__v/VBL00000000N412", "SE-001390693")</f>
        <v>SE-001390693</v>
      </c>
      <c r="D8676" s="1" t="s">
        <v>0</v>
      </c>
      <c r="E8676" s="2">
        <v>0</v>
      </c>
      <c r="F8676" s="2">
        <v>0</v>
      </c>
      <c r="G8676" s="2">
        <v>0</v>
      </c>
      <c r="H8676" s="1" t="s">
        <v>0</v>
      </c>
      <c r="I8676" s="2">
        <v>0</v>
      </c>
      <c r="J8676" s="1">
        <v>45978.377106481479</v>
      </c>
    </row>
    <row r="8677" spans="1:10" x14ac:dyDescent="0.2">
      <c r="A8677" s="4" t="s">
        <v>1</v>
      </c>
      <c r="B867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77" s="3" t="str">
        <f>HYPERLINK("https://otsuka-europe-crm.veevavault.com/ui/#object/sent_email__v/VBL00000000N413", "SE-001390694")</f>
        <v>SE-001390694</v>
      </c>
      <c r="D8677" s="1">
        <v>45978.90761574074</v>
      </c>
      <c r="E8677" s="2">
        <v>1</v>
      </c>
      <c r="F8677" s="2">
        <v>1</v>
      </c>
      <c r="G8677" s="2">
        <v>0</v>
      </c>
      <c r="H8677" s="1" t="s">
        <v>0</v>
      </c>
      <c r="I8677" s="2">
        <v>0</v>
      </c>
      <c r="J8677" s="1">
        <v>45978.377175925925</v>
      </c>
    </row>
    <row r="8678" spans="1:10" x14ac:dyDescent="0.2">
      <c r="A8678" s="4" t="s">
        <v>1</v>
      </c>
      <c r="B867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78" s="3" t="str">
        <f>HYPERLINK("https://otsuka-europe-crm.veevavault.com/ui/#object/sent_email__v/VBL00000000N414", "SE-001390695")</f>
        <v>SE-001390695</v>
      </c>
      <c r="D8678" s="1">
        <v>45979.001828703702</v>
      </c>
      <c r="E8678" s="2">
        <v>1</v>
      </c>
      <c r="F8678" s="2">
        <v>1</v>
      </c>
      <c r="G8678" s="2">
        <v>0</v>
      </c>
      <c r="H8678" s="1" t="s">
        <v>0</v>
      </c>
      <c r="I8678" s="2">
        <v>0</v>
      </c>
      <c r="J8678" s="1">
        <v>45978.377256944441</v>
      </c>
    </row>
    <row r="8679" spans="1:10" x14ac:dyDescent="0.2">
      <c r="A8679" s="4" t="s">
        <v>1</v>
      </c>
      <c r="B867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79" s="3" t="str">
        <f>HYPERLINK("https://otsuka-europe-crm.veevavault.com/ui/#object/sent_email__v/VBL00000000N415", "SE-001390696")</f>
        <v>SE-001390696</v>
      </c>
      <c r="D8679" s="1" t="s">
        <v>0</v>
      </c>
      <c r="E8679" s="2">
        <v>0</v>
      </c>
      <c r="F8679" s="2">
        <v>0</v>
      </c>
      <c r="G8679" s="2">
        <v>0</v>
      </c>
      <c r="H8679" s="1" t="s">
        <v>0</v>
      </c>
      <c r="I8679" s="2">
        <v>0</v>
      </c>
      <c r="J8679" s="1">
        <v>45978.377314814818</v>
      </c>
    </row>
    <row r="8680" spans="1:10" x14ac:dyDescent="0.2">
      <c r="A8680" s="4" t="s">
        <v>1</v>
      </c>
      <c r="B868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80" s="3" t="str">
        <f>HYPERLINK("https://otsuka-europe-crm.veevavault.com/ui/#object/sent_email__v/VBL00000000N416", "SE-001390697")</f>
        <v>SE-001390697</v>
      </c>
      <c r="D8680" s="1" t="s">
        <v>0</v>
      </c>
      <c r="E8680" s="2">
        <v>0</v>
      </c>
      <c r="F8680" s="2">
        <v>0</v>
      </c>
      <c r="G8680" s="2">
        <v>0</v>
      </c>
      <c r="H8680" s="1" t="s">
        <v>0</v>
      </c>
      <c r="I8680" s="2">
        <v>0</v>
      </c>
      <c r="J8680" s="1">
        <v>45978.377384259256</v>
      </c>
    </row>
    <row r="8681" spans="1:10" x14ac:dyDescent="0.2">
      <c r="A8681" s="4" t="s">
        <v>1</v>
      </c>
      <c r="B868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81" s="3" t="str">
        <f>HYPERLINK("https://otsuka-europe-crm.veevavault.com/ui/#object/sent_email__v/VBL00000000N417", "SE-001390698")</f>
        <v>SE-001390698</v>
      </c>
      <c r="D8681" s="1">
        <v>45978.587442129632</v>
      </c>
      <c r="E8681" s="2">
        <v>1</v>
      </c>
      <c r="F8681" s="2">
        <v>2</v>
      </c>
      <c r="G8681" s="2">
        <v>0</v>
      </c>
      <c r="H8681" s="1" t="s">
        <v>0</v>
      </c>
      <c r="I8681" s="2">
        <v>0</v>
      </c>
      <c r="J8681" s="1">
        <v>45978.377453703702</v>
      </c>
    </row>
    <row r="8682" spans="1:10" x14ac:dyDescent="0.2">
      <c r="A8682" s="4" t="s">
        <v>1</v>
      </c>
      <c r="B868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82" s="3" t="str">
        <f>HYPERLINK("https://otsuka-europe-crm.veevavault.com/ui/#object/sent_email__v/VBL00000000N418", "SE-001390699")</f>
        <v>SE-001390699</v>
      </c>
      <c r="D8682" s="1" t="s">
        <v>0</v>
      </c>
      <c r="E8682" s="2">
        <v>0</v>
      </c>
      <c r="F8682" s="2">
        <v>0</v>
      </c>
      <c r="G8682" s="2">
        <v>0</v>
      </c>
      <c r="H8682" s="1" t="s">
        <v>0</v>
      </c>
      <c r="I8682" s="2">
        <v>0</v>
      </c>
      <c r="J8682" s="1">
        <v>45978.377523148149</v>
      </c>
    </row>
    <row r="8683" spans="1:10" x14ac:dyDescent="0.2">
      <c r="A8683" s="4" t="s">
        <v>1</v>
      </c>
      <c r="B868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83" s="3" t="str">
        <f>HYPERLINK("https://otsuka-europe-crm.veevavault.com/ui/#object/sent_email__v/VBL00000000N419", "SE-001390700")</f>
        <v>SE-001390700</v>
      </c>
      <c r="D8683" s="1" t="s">
        <v>0</v>
      </c>
      <c r="E8683" s="2">
        <v>0</v>
      </c>
      <c r="F8683" s="2">
        <v>0</v>
      </c>
      <c r="G8683" s="2">
        <v>0</v>
      </c>
      <c r="H8683" s="1" t="s">
        <v>0</v>
      </c>
      <c r="I8683" s="2">
        <v>0</v>
      </c>
      <c r="J8683" s="1">
        <v>45978.377581018518</v>
      </c>
    </row>
    <row r="8684" spans="1:10" x14ac:dyDescent="0.2">
      <c r="A8684" s="4" t="s">
        <v>1</v>
      </c>
      <c r="B868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84" s="3" t="str">
        <f>HYPERLINK("https://otsuka-europe-crm.veevavault.com/ui/#object/sent_email__v/VBL00000000N420", "SE-001390701")</f>
        <v>SE-001390701</v>
      </c>
      <c r="D8684" s="1">
        <v>45978.380740740744</v>
      </c>
      <c r="E8684" s="2">
        <v>1</v>
      </c>
      <c r="F8684" s="2">
        <v>1</v>
      </c>
      <c r="G8684" s="2">
        <v>0</v>
      </c>
      <c r="H8684" s="1" t="s">
        <v>0</v>
      </c>
      <c r="I8684" s="2">
        <v>0</v>
      </c>
      <c r="J8684" s="1">
        <v>45978.377685185187</v>
      </c>
    </row>
    <row r="8685" spans="1:10" x14ac:dyDescent="0.2">
      <c r="A8685" s="4" t="s">
        <v>1</v>
      </c>
      <c r="B868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85" s="3" t="str">
        <f>HYPERLINK("https://otsuka-europe-crm.veevavault.com/ui/#object/sent_email__v/VBL00000000N421", "SE-001390702")</f>
        <v>SE-001390702</v>
      </c>
      <c r="D8685" s="1" t="s">
        <v>0</v>
      </c>
      <c r="E8685" s="2">
        <v>0</v>
      </c>
      <c r="F8685" s="2">
        <v>0</v>
      </c>
      <c r="G8685" s="2">
        <v>0</v>
      </c>
      <c r="H8685" s="1" t="s">
        <v>0</v>
      </c>
      <c r="I8685" s="2">
        <v>0</v>
      </c>
      <c r="J8685" s="1">
        <v>45978.37773148148</v>
      </c>
    </row>
    <row r="8686" spans="1:10" x14ac:dyDescent="0.2">
      <c r="A8686" s="4" t="s">
        <v>1</v>
      </c>
      <c r="B868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86" s="3" t="str">
        <f>HYPERLINK("https://otsuka-europe-crm.veevavault.com/ui/#object/sent_email__v/VBL00000000N422", "SE-001390703")</f>
        <v>SE-001390703</v>
      </c>
      <c r="D8686" s="1">
        <v>45978.582604166666</v>
      </c>
      <c r="E8686" s="2">
        <v>1</v>
      </c>
      <c r="F8686" s="2">
        <v>2</v>
      </c>
      <c r="G8686" s="2">
        <v>0</v>
      </c>
      <c r="H8686" s="1" t="s">
        <v>0</v>
      </c>
      <c r="I8686" s="2">
        <v>0</v>
      </c>
      <c r="J8686" s="1">
        <v>45978.377800925926</v>
      </c>
    </row>
    <row r="8687" spans="1:10" x14ac:dyDescent="0.2">
      <c r="A8687" s="4" t="s">
        <v>1</v>
      </c>
      <c r="B868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87" s="3" t="str">
        <f>HYPERLINK("https://otsuka-europe-crm.veevavault.com/ui/#object/sent_email__v/VBL00000000N423", "SE-001390704")</f>
        <v>SE-001390704</v>
      </c>
      <c r="D8687" s="1">
        <v>46020.495856481481</v>
      </c>
      <c r="E8687" s="2">
        <v>1</v>
      </c>
      <c r="F8687" s="2">
        <v>1</v>
      </c>
      <c r="G8687" s="2">
        <v>0</v>
      </c>
      <c r="H8687" s="1" t="s">
        <v>0</v>
      </c>
      <c r="I8687" s="2">
        <v>0</v>
      </c>
      <c r="J8687" s="1">
        <v>45978.377870370372</v>
      </c>
    </row>
    <row r="8688" spans="1:10" x14ac:dyDescent="0.2">
      <c r="A8688" s="4" t="s">
        <v>1</v>
      </c>
      <c r="B868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88" s="3" t="str">
        <f>HYPERLINK("https://otsuka-europe-crm.veevavault.com/ui/#object/sent_email__v/VBL00000000N424", "SE-001390705")</f>
        <v>SE-001390705</v>
      </c>
      <c r="D8688" s="1">
        <v>45978.840914351851</v>
      </c>
      <c r="E8688" s="2">
        <v>1</v>
      </c>
      <c r="F8688" s="2">
        <v>2</v>
      </c>
      <c r="G8688" s="2">
        <v>0</v>
      </c>
      <c r="H8688" s="1" t="s">
        <v>0</v>
      </c>
      <c r="I8688" s="2">
        <v>0</v>
      </c>
      <c r="J8688" s="1">
        <v>45978.377939814818</v>
      </c>
    </row>
    <row r="8689" spans="1:10" x14ac:dyDescent="0.2">
      <c r="A8689" s="4" t="s">
        <v>1</v>
      </c>
      <c r="B868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89" s="3" t="str">
        <f>HYPERLINK("https://otsuka-europe-crm.veevavault.com/ui/#object/sent_email__v/VBL00000000N425", "SE-001390706")</f>
        <v>SE-001390706</v>
      </c>
      <c r="D8689" s="1">
        <v>46002.103310185186</v>
      </c>
      <c r="E8689" s="2">
        <v>1</v>
      </c>
      <c r="F8689" s="2">
        <v>3</v>
      </c>
      <c r="G8689" s="2">
        <v>0</v>
      </c>
      <c r="H8689" s="1" t="s">
        <v>0</v>
      </c>
      <c r="I8689" s="2">
        <v>0</v>
      </c>
      <c r="J8689" s="1">
        <v>45978.378009259257</v>
      </c>
    </row>
    <row r="8690" spans="1:10" x14ac:dyDescent="0.2">
      <c r="A8690" s="4" t="s">
        <v>1</v>
      </c>
      <c r="B869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90" s="3" t="str">
        <f>HYPERLINK("https://otsuka-europe-crm.veevavault.com/ui/#object/sent_email__v/VBL00000000N426", "SE-001390707")</f>
        <v>SE-001390707</v>
      </c>
      <c r="D8690" s="1" t="s">
        <v>0</v>
      </c>
      <c r="E8690" s="2">
        <v>0</v>
      </c>
      <c r="F8690" s="2">
        <v>0</v>
      </c>
      <c r="G8690" s="2">
        <v>0</v>
      </c>
      <c r="H8690" s="1" t="s">
        <v>0</v>
      </c>
      <c r="I8690" s="2">
        <v>0</v>
      </c>
      <c r="J8690" s="1">
        <v>45978.378067129626</v>
      </c>
    </row>
    <row r="8691" spans="1:10" x14ac:dyDescent="0.2">
      <c r="A8691" s="4" t="s">
        <v>1</v>
      </c>
      <c r="B869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91" s="3" t="str">
        <f>HYPERLINK("https://otsuka-europe-crm.veevavault.com/ui/#object/sent_email__v/VBL00000000N427", "SE-001390708")</f>
        <v>SE-001390708</v>
      </c>
      <c r="D8691" s="1" t="s">
        <v>0</v>
      </c>
      <c r="E8691" s="2">
        <v>0</v>
      </c>
      <c r="F8691" s="2">
        <v>0</v>
      </c>
      <c r="G8691" s="2">
        <v>0</v>
      </c>
      <c r="H8691" s="1" t="s">
        <v>0</v>
      </c>
      <c r="I8691" s="2">
        <v>0</v>
      </c>
      <c r="J8691" s="1">
        <v>45978.378136574072</v>
      </c>
    </row>
    <row r="8692" spans="1:10" x14ac:dyDescent="0.2">
      <c r="A8692" s="4" t="s">
        <v>1</v>
      </c>
      <c r="B869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92" s="3" t="str">
        <f>HYPERLINK("https://otsuka-europe-crm.veevavault.com/ui/#object/sent_email__v/VBL00000000N428", "SE-001390709")</f>
        <v>SE-001390709</v>
      </c>
      <c r="D8692" s="1">
        <v>45978.879293981481</v>
      </c>
      <c r="E8692" s="2">
        <v>1</v>
      </c>
      <c r="F8692" s="2">
        <v>1</v>
      </c>
      <c r="G8692" s="2">
        <v>0</v>
      </c>
      <c r="H8692" s="1" t="s">
        <v>0</v>
      </c>
      <c r="I8692" s="2">
        <v>0</v>
      </c>
      <c r="J8692" s="1">
        <v>45978.378217592595</v>
      </c>
    </row>
    <row r="8693" spans="1:10" x14ac:dyDescent="0.2">
      <c r="A8693" s="4" t="s">
        <v>1</v>
      </c>
      <c r="B869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93" s="3" t="str">
        <f>HYPERLINK("https://otsuka-europe-crm.veevavault.com/ui/#object/sent_email__v/VBL00000000N429", "SE-001390710")</f>
        <v>SE-001390710</v>
      </c>
      <c r="D8693" s="1">
        <v>46004.584826388891</v>
      </c>
      <c r="E8693" s="2">
        <v>1</v>
      </c>
      <c r="F8693" s="2">
        <v>3</v>
      </c>
      <c r="G8693" s="2">
        <v>0</v>
      </c>
      <c r="H8693" s="1" t="s">
        <v>0</v>
      </c>
      <c r="I8693" s="2">
        <v>0</v>
      </c>
      <c r="J8693" s="1">
        <v>45978.378287037034</v>
      </c>
    </row>
    <row r="8694" spans="1:10" x14ac:dyDescent="0.2">
      <c r="A8694" s="4" t="s">
        <v>1</v>
      </c>
      <c r="B869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94" s="3" t="str">
        <f>HYPERLINK("https://otsuka-europe-crm.veevavault.com/ui/#object/sent_email__v/VBL00000000N430", "SE-001390711")</f>
        <v>SE-001390711</v>
      </c>
      <c r="D8694" s="1">
        <v>45978.489039351851</v>
      </c>
      <c r="E8694" s="2">
        <v>1</v>
      </c>
      <c r="F8694" s="2">
        <v>1</v>
      </c>
      <c r="G8694" s="2">
        <v>0</v>
      </c>
      <c r="H8694" s="1" t="s">
        <v>0</v>
      </c>
      <c r="I8694" s="2">
        <v>0</v>
      </c>
      <c r="J8694" s="1">
        <v>45978.378368055557</v>
      </c>
    </row>
    <row r="8695" spans="1:10" x14ac:dyDescent="0.2">
      <c r="A8695" s="4" t="s">
        <v>1</v>
      </c>
      <c r="B869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95" s="3" t="str">
        <f>HYPERLINK("https://otsuka-europe-crm.veevavault.com/ui/#object/sent_email__v/VBL00000000O309", "SE-001390834")</f>
        <v>SE-001390834</v>
      </c>
      <c r="D8695" s="1" t="s">
        <v>0</v>
      </c>
      <c r="E8695" s="2">
        <v>0</v>
      </c>
      <c r="F8695" s="2">
        <v>0</v>
      </c>
      <c r="G8695" s="2">
        <v>0</v>
      </c>
      <c r="H8695" s="1" t="s">
        <v>0</v>
      </c>
      <c r="I8695" s="2">
        <v>0</v>
      </c>
      <c r="J8695" s="1">
        <v>45979.467222222222</v>
      </c>
    </row>
    <row r="8696" spans="1:10" x14ac:dyDescent="0.2">
      <c r="A8696" s="4" t="s">
        <v>1</v>
      </c>
      <c r="B869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96" s="3" t="str">
        <f>HYPERLINK("https://otsuka-europe-crm.veevavault.com/ui/#object/sent_email__v/VBL00000000O310", "SE-001390835")</f>
        <v>SE-001390835</v>
      </c>
      <c r="D8696" s="1" t="s">
        <v>0</v>
      </c>
      <c r="E8696" s="2">
        <v>0</v>
      </c>
      <c r="F8696" s="2">
        <v>0</v>
      </c>
      <c r="G8696" s="2">
        <v>0</v>
      </c>
      <c r="H8696" s="1" t="s">
        <v>0</v>
      </c>
      <c r="I8696" s="2">
        <v>0</v>
      </c>
      <c r="J8696" s="1">
        <v>45979.467222222222</v>
      </c>
    </row>
    <row r="8697" spans="1:10" x14ac:dyDescent="0.2">
      <c r="A8697" s="4" t="s">
        <v>1</v>
      </c>
      <c r="B869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97" s="3" t="str">
        <f>HYPERLINK("https://otsuka-europe-crm.veevavault.com/ui/#object/sent_email__v/VBL00000000O311", "SE-001390836")</f>
        <v>SE-001390836</v>
      </c>
      <c r="D8697" s="1" t="s">
        <v>0</v>
      </c>
      <c r="E8697" s="2">
        <v>0</v>
      </c>
      <c r="F8697" s="2">
        <v>0</v>
      </c>
      <c r="G8697" s="2">
        <v>0</v>
      </c>
      <c r="H8697" s="1" t="s">
        <v>0</v>
      </c>
      <c r="I8697" s="2">
        <v>0</v>
      </c>
      <c r="J8697" s="1">
        <v>45979.467233796298</v>
      </c>
    </row>
    <row r="8698" spans="1:10" x14ac:dyDescent="0.2">
      <c r="A8698" s="4" t="s">
        <v>1</v>
      </c>
      <c r="B869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98" s="3" t="str">
        <f>HYPERLINK("https://otsuka-europe-crm.veevavault.com/ui/#object/sent_email__v/VBL00000000O312", "SE-001390837")</f>
        <v>SE-001390837</v>
      </c>
      <c r="D8698" s="1" t="s">
        <v>0</v>
      </c>
      <c r="E8698" s="2">
        <v>0</v>
      </c>
      <c r="F8698" s="2">
        <v>0</v>
      </c>
      <c r="G8698" s="2">
        <v>0</v>
      </c>
      <c r="H8698" s="1" t="s">
        <v>0</v>
      </c>
      <c r="I8698" s="2">
        <v>0</v>
      </c>
      <c r="J8698" s="1">
        <v>45979.467245370368</v>
      </c>
    </row>
    <row r="8699" spans="1:10" x14ac:dyDescent="0.2">
      <c r="A8699" s="4" t="s">
        <v>1</v>
      </c>
      <c r="B869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699" s="3" t="str">
        <f>HYPERLINK("https://otsuka-europe-crm.veevavault.com/ui/#object/sent_email__v/VBL00000000O313", "SE-001390838")</f>
        <v>SE-001390838</v>
      </c>
      <c r="D8699" s="1" t="s">
        <v>0</v>
      </c>
      <c r="E8699" s="2">
        <v>0</v>
      </c>
      <c r="F8699" s="2">
        <v>0</v>
      </c>
      <c r="G8699" s="2">
        <v>0</v>
      </c>
      <c r="H8699" s="1" t="s">
        <v>0</v>
      </c>
      <c r="I8699" s="2">
        <v>0</v>
      </c>
      <c r="J8699" s="1">
        <v>45979.467233796298</v>
      </c>
    </row>
    <row r="8700" spans="1:10" x14ac:dyDescent="0.2">
      <c r="A8700" s="4" t="s">
        <v>1</v>
      </c>
      <c r="B870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00" s="3" t="str">
        <f>HYPERLINK("https://otsuka-europe-crm.veevavault.com/ui/#object/sent_email__v/VBL00000000O314", "SE-001390839")</f>
        <v>SE-001390839</v>
      </c>
      <c r="D8700" s="1" t="s">
        <v>0</v>
      </c>
      <c r="E8700" s="2">
        <v>0</v>
      </c>
      <c r="F8700" s="2">
        <v>0</v>
      </c>
      <c r="G8700" s="2">
        <v>0</v>
      </c>
      <c r="H8700" s="1" t="s">
        <v>0</v>
      </c>
      <c r="I8700" s="2">
        <v>0</v>
      </c>
      <c r="J8700" s="1">
        <v>45979.467233796298</v>
      </c>
    </row>
    <row r="8701" spans="1:10" x14ac:dyDescent="0.2">
      <c r="A8701" s="4" t="s">
        <v>1</v>
      </c>
      <c r="B870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01" s="3" t="str">
        <f>HYPERLINK("https://otsuka-europe-crm.veevavault.com/ui/#object/sent_email__v/VBL00000000O315", "SE-001390840")</f>
        <v>SE-001390840</v>
      </c>
      <c r="D8701" s="1" t="s">
        <v>0</v>
      </c>
      <c r="E8701" s="2">
        <v>0</v>
      </c>
      <c r="F8701" s="2">
        <v>0</v>
      </c>
      <c r="G8701" s="2">
        <v>0</v>
      </c>
      <c r="H8701" s="1" t="s">
        <v>0</v>
      </c>
      <c r="I8701" s="2">
        <v>0</v>
      </c>
      <c r="J8701" s="1">
        <v>45979.467245370368</v>
      </c>
    </row>
    <row r="8702" spans="1:10" x14ac:dyDescent="0.2">
      <c r="A8702" s="4" t="s">
        <v>1</v>
      </c>
      <c r="B870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02" s="3" t="str">
        <f>HYPERLINK("https://otsuka-europe-crm.veevavault.com/ui/#object/sent_email__v/VBL00000000O316", "SE-001390841")</f>
        <v>SE-001390841</v>
      </c>
      <c r="D8702" s="1" t="s">
        <v>0</v>
      </c>
      <c r="E8702" s="2">
        <v>0</v>
      </c>
      <c r="F8702" s="2">
        <v>0</v>
      </c>
      <c r="G8702" s="2">
        <v>0</v>
      </c>
      <c r="H8702" s="1" t="s">
        <v>0</v>
      </c>
      <c r="I8702" s="2">
        <v>0</v>
      </c>
      <c r="J8702" s="1">
        <v>45979.467233796298</v>
      </c>
    </row>
    <row r="8703" spans="1:10" x14ac:dyDescent="0.2">
      <c r="A8703" s="4" t="s">
        <v>1</v>
      </c>
      <c r="B870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03" s="3" t="str">
        <f>HYPERLINK("https://otsuka-europe-crm.veevavault.com/ui/#object/sent_email__v/VBL00000000O317", "SE-001390842")</f>
        <v>SE-001390842</v>
      </c>
      <c r="D8703" s="1" t="s">
        <v>0</v>
      </c>
      <c r="E8703" s="2">
        <v>0</v>
      </c>
      <c r="F8703" s="2">
        <v>0</v>
      </c>
      <c r="G8703" s="2">
        <v>0</v>
      </c>
      <c r="H8703" s="1" t="s">
        <v>0</v>
      </c>
      <c r="I8703" s="2">
        <v>0</v>
      </c>
      <c r="J8703" s="1">
        <v>45979.467233796298</v>
      </c>
    </row>
    <row r="8704" spans="1:10" x14ac:dyDescent="0.2">
      <c r="A8704" s="4" t="s">
        <v>1</v>
      </c>
      <c r="B870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04" s="3" t="str">
        <f>HYPERLINK("https://otsuka-europe-crm.veevavault.com/ui/#object/sent_email__v/VBL00000000O318", "SE-001390843")</f>
        <v>SE-001390843</v>
      </c>
      <c r="D8704" s="1" t="s">
        <v>0</v>
      </c>
      <c r="E8704" s="2">
        <v>0</v>
      </c>
      <c r="F8704" s="2">
        <v>0</v>
      </c>
      <c r="G8704" s="2">
        <v>0</v>
      </c>
      <c r="H8704" s="1" t="s">
        <v>0</v>
      </c>
      <c r="I8704" s="2">
        <v>0</v>
      </c>
      <c r="J8704" s="1">
        <v>45979.467245370368</v>
      </c>
    </row>
    <row r="8705" spans="1:10" x14ac:dyDescent="0.2">
      <c r="A8705" s="4" t="s">
        <v>1</v>
      </c>
      <c r="B870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05" s="3" t="str">
        <f>HYPERLINK("https://otsuka-europe-crm.veevavault.com/ui/#object/sent_email__v/VBL00000000O319", "SE-001390844")</f>
        <v>SE-001390844</v>
      </c>
      <c r="D8705" s="1" t="s">
        <v>0</v>
      </c>
      <c r="E8705" s="2">
        <v>0</v>
      </c>
      <c r="F8705" s="2">
        <v>0</v>
      </c>
      <c r="G8705" s="2">
        <v>0</v>
      </c>
      <c r="H8705" s="1" t="s">
        <v>0</v>
      </c>
      <c r="I8705" s="2">
        <v>0</v>
      </c>
      <c r="J8705" s="1">
        <v>45979.467233796298</v>
      </c>
    </row>
    <row r="8706" spans="1:10" x14ac:dyDescent="0.2">
      <c r="A8706" s="4" t="s">
        <v>1</v>
      </c>
      <c r="B870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06" s="3" t="str">
        <f>HYPERLINK("https://otsuka-europe-crm.veevavault.com/ui/#object/sent_email__v/VBL00000000O320", "SE-001390845")</f>
        <v>SE-001390845</v>
      </c>
      <c r="D8706" s="1" t="s">
        <v>0</v>
      </c>
      <c r="E8706" s="2">
        <v>0</v>
      </c>
      <c r="F8706" s="2">
        <v>0</v>
      </c>
      <c r="G8706" s="2">
        <v>0</v>
      </c>
      <c r="H8706" s="1" t="s">
        <v>0</v>
      </c>
      <c r="I8706" s="2">
        <v>0</v>
      </c>
      <c r="J8706" s="1">
        <v>45979.467233796298</v>
      </c>
    </row>
    <row r="8707" spans="1:10" x14ac:dyDescent="0.2">
      <c r="A8707" s="4" t="s">
        <v>1</v>
      </c>
      <c r="B870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07" s="3" t="str">
        <f>HYPERLINK("https://otsuka-europe-crm.veevavault.com/ui/#object/sent_email__v/VBL00000000O321", "SE-001390846")</f>
        <v>SE-001390846</v>
      </c>
      <c r="D8707" s="1" t="s">
        <v>0</v>
      </c>
      <c r="E8707" s="2">
        <v>0</v>
      </c>
      <c r="F8707" s="2">
        <v>0</v>
      </c>
      <c r="G8707" s="2">
        <v>0</v>
      </c>
      <c r="H8707" s="1" t="s">
        <v>0</v>
      </c>
      <c r="I8707" s="2">
        <v>0</v>
      </c>
      <c r="J8707" s="1">
        <v>45979.467245370368</v>
      </c>
    </row>
    <row r="8708" spans="1:10" x14ac:dyDescent="0.2">
      <c r="A8708" s="4" t="s">
        <v>1</v>
      </c>
      <c r="B870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08" s="3" t="str">
        <f>HYPERLINK("https://otsuka-europe-crm.veevavault.com/ui/#object/sent_email__v/VBL00000000O322", "SE-001390847")</f>
        <v>SE-001390847</v>
      </c>
      <c r="D8708" s="1" t="s">
        <v>0</v>
      </c>
      <c r="E8708" s="2">
        <v>0</v>
      </c>
      <c r="F8708" s="2">
        <v>0</v>
      </c>
      <c r="G8708" s="2">
        <v>0</v>
      </c>
      <c r="H8708" s="1" t="s">
        <v>0</v>
      </c>
      <c r="I8708" s="2">
        <v>0</v>
      </c>
      <c r="J8708" s="1">
        <v>45979.467245370368</v>
      </c>
    </row>
    <row r="8709" spans="1:10" x14ac:dyDescent="0.2">
      <c r="A8709" s="4" t="s">
        <v>1</v>
      </c>
      <c r="B870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09" s="3" t="str">
        <f>HYPERLINK("https://otsuka-europe-crm.veevavault.com/ui/#object/sent_email__v/VBL00000000O323", "SE-001390848")</f>
        <v>SE-001390848</v>
      </c>
      <c r="D8709" s="1" t="s">
        <v>0</v>
      </c>
      <c r="E8709" s="2">
        <v>0</v>
      </c>
      <c r="F8709" s="2">
        <v>0</v>
      </c>
      <c r="G8709" s="2">
        <v>0</v>
      </c>
      <c r="H8709" s="1" t="s">
        <v>0</v>
      </c>
      <c r="I8709" s="2">
        <v>0</v>
      </c>
      <c r="J8709" s="1">
        <v>45979.467233796298</v>
      </c>
    </row>
    <row r="8710" spans="1:10" x14ac:dyDescent="0.2">
      <c r="A8710" s="4" t="s">
        <v>1</v>
      </c>
      <c r="B871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10" s="3" t="str">
        <f>HYPERLINK("https://otsuka-europe-crm.veevavault.com/ui/#object/sent_email__v/VBL00000000O324", "SE-001390849")</f>
        <v>SE-001390849</v>
      </c>
      <c r="D8710" s="1" t="s">
        <v>0</v>
      </c>
      <c r="E8710" s="2">
        <v>0</v>
      </c>
      <c r="F8710" s="2">
        <v>0</v>
      </c>
      <c r="G8710" s="2">
        <v>0</v>
      </c>
      <c r="H8710" s="1" t="s">
        <v>0</v>
      </c>
      <c r="I8710" s="2">
        <v>0</v>
      </c>
      <c r="J8710" s="1">
        <v>45979.467245370368</v>
      </c>
    </row>
    <row r="8711" spans="1:10" x14ac:dyDescent="0.2">
      <c r="A8711" s="4" t="s">
        <v>1</v>
      </c>
      <c r="B871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11" s="3" t="str">
        <f>HYPERLINK("https://otsuka-europe-crm.veevavault.com/ui/#object/sent_email__v/VBL00000000O325", "SE-001390850")</f>
        <v>SE-001390850</v>
      </c>
      <c r="D8711" s="1" t="s">
        <v>0</v>
      </c>
      <c r="E8711" s="2">
        <v>0</v>
      </c>
      <c r="F8711" s="2">
        <v>0</v>
      </c>
      <c r="G8711" s="2">
        <v>0</v>
      </c>
      <c r="H8711" s="1" t="s">
        <v>0</v>
      </c>
      <c r="I8711" s="2">
        <v>0</v>
      </c>
      <c r="J8711" s="1">
        <v>45979.467245370368</v>
      </c>
    </row>
    <row r="8712" spans="1:10" x14ac:dyDescent="0.2">
      <c r="A8712" s="4" t="s">
        <v>1</v>
      </c>
      <c r="B871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12" s="3" t="str">
        <f>HYPERLINK("https://otsuka-europe-crm.veevavault.com/ui/#object/sent_email__v/VBL00000000O326", "SE-001390851")</f>
        <v>SE-001390851</v>
      </c>
      <c r="D8712" s="1" t="s">
        <v>0</v>
      </c>
      <c r="E8712" s="2">
        <v>0</v>
      </c>
      <c r="F8712" s="2">
        <v>0</v>
      </c>
      <c r="G8712" s="2">
        <v>0</v>
      </c>
      <c r="H8712" s="1" t="s">
        <v>0</v>
      </c>
      <c r="I8712" s="2">
        <v>0</v>
      </c>
      <c r="J8712" s="1">
        <v>45979.467245370368</v>
      </c>
    </row>
    <row r="8713" spans="1:10" x14ac:dyDescent="0.2">
      <c r="A8713" s="4" t="s">
        <v>1</v>
      </c>
      <c r="B871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13" s="3" t="str">
        <f>HYPERLINK("https://otsuka-europe-crm.veevavault.com/ui/#object/sent_email__v/VBL00000000O327", "SE-001390852")</f>
        <v>SE-001390852</v>
      </c>
      <c r="D8713" s="1" t="s">
        <v>0</v>
      </c>
      <c r="E8713" s="2">
        <v>0</v>
      </c>
      <c r="F8713" s="2">
        <v>0</v>
      </c>
      <c r="G8713" s="2">
        <v>0</v>
      </c>
      <c r="H8713" s="1" t="s">
        <v>0</v>
      </c>
      <c r="I8713" s="2">
        <v>0</v>
      </c>
      <c r="J8713" s="1">
        <v>45979.467245370368</v>
      </c>
    </row>
    <row r="8714" spans="1:10" x14ac:dyDescent="0.2">
      <c r="A8714" s="4" t="s">
        <v>1</v>
      </c>
      <c r="B871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14" s="3" t="str">
        <f>HYPERLINK("https://otsuka-europe-crm.veevavault.com/ui/#object/sent_email__v/VBL00000000O328", "SE-001390853")</f>
        <v>SE-001390853</v>
      </c>
      <c r="D8714" s="1" t="s">
        <v>0</v>
      </c>
      <c r="E8714" s="2">
        <v>0</v>
      </c>
      <c r="F8714" s="2">
        <v>0</v>
      </c>
      <c r="G8714" s="2">
        <v>0</v>
      </c>
      <c r="H8714" s="1" t="s">
        <v>0</v>
      </c>
      <c r="I8714" s="2">
        <v>0</v>
      </c>
      <c r="J8714" s="1">
        <v>45979.467245370368</v>
      </c>
    </row>
    <row r="8715" spans="1:10" x14ac:dyDescent="0.2">
      <c r="A8715" s="4" t="s">
        <v>1</v>
      </c>
      <c r="B871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15" s="3" t="str">
        <f>HYPERLINK("https://otsuka-europe-crm.veevavault.com/ui/#object/sent_email__v/VBL00000000O329", "SE-001390854")</f>
        <v>SE-001390854</v>
      </c>
      <c r="D8715" s="1" t="s">
        <v>0</v>
      </c>
      <c r="E8715" s="2">
        <v>0</v>
      </c>
      <c r="F8715" s="2">
        <v>0</v>
      </c>
      <c r="G8715" s="2">
        <v>0</v>
      </c>
      <c r="H8715" s="1" t="s">
        <v>0</v>
      </c>
      <c r="I8715" s="2">
        <v>0</v>
      </c>
      <c r="J8715" s="1">
        <v>45979.467245370368</v>
      </c>
    </row>
    <row r="8716" spans="1:10" x14ac:dyDescent="0.2">
      <c r="A8716" s="4" t="s">
        <v>1</v>
      </c>
      <c r="B871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16" s="3" t="str">
        <f>HYPERLINK("https://otsuka-europe-crm.veevavault.com/ui/#object/sent_email__v/VBL00000000O330", "SE-001390855")</f>
        <v>SE-001390855</v>
      </c>
      <c r="D8716" s="1" t="s">
        <v>0</v>
      </c>
      <c r="E8716" s="2">
        <v>0</v>
      </c>
      <c r="F8716" s="2">
        <v>0</v>
      </c>
      <c r="G8716" s="2">
        <v>0</v>
      </c>
      <c r="H8716" s="1" t="s">
        <v>0</v>
      </c>
      <c r="I8716" s="2">
        <v>0</v>
      </c>
      <c r="J8716" s="1">
        <v>45979.467245370368</v>
      </c>
    </row>
    <row r="8717" spans="1:10" x14ac:dyDescent="0.2">
      <c r="A8717" s="4" t="s">
        <v>1</v>
      </c>
      <c r="B871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17" s="3" t="str">
        <f>HYPERLINK("https://otsuka-europe-crm.veevavault.com/ui/#object/sent_email__v/VBL00000000O331", "SE-001390856")</f>
        <v>SE-001390856</v>
      </c>
      <c r="D8717" s="1" t="s">
        <v>0</v>
      </c>
      <c r="E8717" s="2">
        <v>0</v>
      </c>
      <c r="F8717" s="2">
        <v>0</v>
      </c>
      <c r="G8717" s="2">
        <v>0</v>
      </c>
      <c r="H8717" s="1" t="s">
        <v>0</v>
      </c>
      <c r="I8717" s="2">
        <v>0</v>
      </c>
      <c r="J8717" s="1">
        <v>45979.467245370368</v>
      </c>
    </row>
    <row r="8718" spans="1:10" x14ac:dyDescent="0.2">
      <c r="A8718" s="4" t="s">
        <v>1</v>
      </c>
      <c r="B871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18" s="3" t="str">
        <f>HYPERLINK("https://otsuka-europe-crm.veevavault.com/ui/#object/sent_email__v/VBL00000000O332", "SE-001390857")</f>
        <v>SE-001390857</v>
      </c>
      <c r="D8718" s="1" t="s">
        <v>0</v>
      </c>
      <c r="E8718" s="2">
        <v>0</v>
      </c>
      <c r="F8718" s="2">
        <v>0</v>
      </c>
      <c r="G8718" s="2">
        <v>0</v>
      </c>
      <c r="H8718" s="1" t="s">
        <v>0</v>
      </c>
      <c r="I8718" s="2">
        <v>0</v>
      </c>
      <c r="J8718" s="1">
        <v>45979.467245370368</v>
      </c>
    </row>
    <row r="8719" spans="1:10" x14ac:dyDescent="0.2">
      <c r="A8719" s="4" t="s">
        <v>1</v>
      </c>
      <c r="B871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19" s="3" t="str">
        <f>HYPERLINK("https://otsuka-europe-crm.veevavault.com/ui/#object/sent_email__v/VBL00000000O333", "SE-001390858")</f>
        <v>SE-001390858</v>
      </c>
      <c r="D8719" s="1" t="s">
        <v>0</v>
      </c>
      <c r="E8719" s="2">
        <v>0</v>
      </c>
      <c r="F8719" s="2">
        <v>0</v>
      </c>
      <c r="G8719" s="2">
        <v>0</v>
      </c>
      <c r="H8719" s="1" t="s">
        <v>0</v>
      </c>
      <c r="I8719" s="2">
        <v>0</v>
      </c>
      <c r="J8719" s="1">
        <v>45979.467256944445</v>
      </c>
    </row>
    <row r="8720" spans="1:10" x14ac:dyDescent="0.2">
      <c r="A8720" s="4" t="s">
        <v>1</v>
      </c>
      <c r="B872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20" s="3" t="str">
        <f>HYPERLINK("https://otsuka-europe-crm.veevavault.com/ui/#object/sent_email__v/VBL00000000O334", "SE-001390859")</f>
        <v>SE-001390859</v>
      </c>
      <c r="D8720" s="1" t="s">
        <v>0</v>
      </c>
      <c r="E8720" s="2">
        <v>0</v>
      </c>
      <c r="F8720" s="2">
        <v>0</v>
      </c>
      <c r="G8720" s="2">
        <v>0</v>
      </c>
      <c r="H8720" s="1" t="s">
        <v>0</v>
      </c>
      <c r="I8720" s="2">
        <v>0</v>
      </c>
      <c r="J8720" s="1">
        <v>45979.467245370368</v>
      </c>
    </row>
    <row r="8721" spans="1:10" x14ac:dyDescent="0.2">
      <c r="A8721" s="4" t="s">
        <v>1</v>
      </c>
      <c r="B872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21" s="3" t="str">
        <f>HYPERLINK("https://otsuka-europe-crm.veevavault.com/ui/#object/sent_email__v/VBL00000000O335", "SE-001390860")</f>
        <v>SE-001390860</v>
      </c>
      <c r="D8721" s="1" t="s">
        <v>0</v>
      </c>
      <c r="E8721" s="2">
        <v>0</v>
      </c>
      <c r="F8721" s="2">
        <v>0</v>
      </c>
      <c r="G8721" s="2">
        <v>0</v>
      </c>
      <c r="H8721" s="1" t="s">
        <v>0</v>
      </c>
      <c r="I8721" s="2">
        <v>0</v>
      </c>
      <c r="J8721" s="1">
        <v>45979.467256944445</v>
      </c>
    </row>
    <row r="8722" spans="1:10" x14ac:dyDescent="0.2">
      <c r="A8722" s="4" t="s">
        <v>1</v>
      </c>
      <c r="B872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22" s="3" t="str">
        <f>HYPERLINK("https://otsuka-europe-crm.veevavault.com/ui/#object/sent_email__v/VBL00000000N506", "SE-001390997")</f>
        <v>SE-001390997</v>
      </c>
      <c r="D8722" s="1" t="s">
        <v>0</v>
      </c>
      <c r="E8722" s="2">
        <v>0</v>
      </c>
      <c r="F8722" s="2">
        <v>0</v>
      </c>
      <c r="G8722" s="2">
        <v>0</v>
      </c>
      <c r="H8722" s="1" t="s">
        <v>0</v>
      </c>
      <c r="I8722" s="2">
        <v>0</v>
      </c>
      <c r="J8722" s="1">
        <v>45979.475891203707</v>
      </c>
    </row>
    <row r="8723" spans="1:10" x14ac:dyDescent="0.2">
      <c r="A8723" s="4" t="s">
        <v>1</v>
      </c>
      <c r="B872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23" s="3" t="str">
        <f>HYPERLINK("https://otsuka-europe-crm.veevavault.com/ui/#object/sent_email__v/VBL00000000N507", "SE-001390998")</f>
        <v>SE-001390998</v>
      </c>
      <c r="D8723" s="1">
        <v>45980.426631944443</v>
      </c>
      <c r="E8723" s="2">
        <v>1</v>
      </c>
      <c r="F8723" s="2">
        <v>3</v>
      </c>
      <c r="G8723" s="2">
        <v>0</v>
      </c>
      <c r="H8723" s="1" t="s">
        <v>0</v>
      </c>
      <c r="I8723" s="2">
        <v>0</v>
      </c>
      <c r="J8723" s="1">
        <v>45979.475925925923</v>
      </c>
    </row>
    <row r="8724" spans="1:10" x14ac:dyDescent="0.2">
      <c r="A8724" s="4" t="s">
        <v>1</v>
      </c>
      <c r="B872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24" s="3" t="str">
        <f>HYPERLINK("https://otsuka-europe-crm.veevavault.com/ui/#object/sent_email__v/VBL00000000N508", "SE-001390999")</f>
        <v>SE-001390999</v>
      </c>
      <c r="D8724" s="1" t="s">
        <v>0</v>
      </c>
      <c r="E8724" s="2">
        <v>0</v>
      </c>
      <c r="F8724" s="2">
        <v>0</v>
      </c>
      <c r="G8724" s="2">
        <v>0</v>
      </c>
      <c r="H8724" s="1" t="s">
        <v>0</v>
      </c>
      <c r="I8724" s="2">
        <v>0</v>
      </c>
      <c r="J8724" s="1">
        <v>45979.475972222222</v>
      </c>
    </row>
    <row r="8725" spans="1:10" x14ac:dyDescent="0.2">
      <c r="A8725" s="4" t="s">
        <v>1</v>
      </c>
      <c r="B872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25" s="3" t="str">
        <f>HYPERLINK("https://otsuka-europe-crm.veevavault.com/ui/#object/sent_email__v/VBL00000000N509", "SE-001391000")</f>
        <v>SE-001391000</v>
      </c>
      <c r="D8725" s="1" t="s">
        <v>0</v>
      </c>
      <c r="E8725" s="2">
        <v>0</v>
      </c>
      <c r="F8725" s="2">
        <v>0</v>
      </c>
      <c r="G8725" s="2">
        <v>0</v>
      </c>
      <c r="H8725" s="1" t="s">
        <v>0</v>
      </c>
      <c r="I8725" s="2">
        <v>0</v>
      </c>
      <c r="J8725" s="1">
        <v>45979.476018518515</v>
      </c>
    </row>
    <row r="8726" spans="1:10" x14ac:dyDescent="0.2">
      <c r="A8726" s="4" t="s">
        <v>1</v>
      </c>
      <c r="B872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26" s="3" t="str">
        <f>HYPERLINK("https://otsuka-europe-crm.veevavault.com/ui/#object/sent_email__v/VBL00000000N510", "SE-001391001")</f>
        <v>SE-001391001</v>
      </c>
      <c r="D8726" s="1" t="s">
        <v>0</v>
      </c>
      <c r="E8726" s="2">
        <v>0</v>
      </c>
      <c r="F8726" s="2">
        <v>0</v>
      </c>
      <c r="G8726" s="2">
        <v>0</v>
      </c>
      <c r="H8726" s="1" t="s">
        <v>0</v>
      </c>
      <c r="I8726" s="2">
        <v>0</v>
      </c>
      <c r="J8726" s="1">
        <v>45979.476053240738</v>
      </c>
    </row>
    <row r="8727" spans="1:10" x14ac:dyDescent="0.2">
      <c r="A8727" s="4" t="s">
        <v>1</v>
      </c>
      <c r="B872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27" s="3" t="str">
        <f>HYPERLINK("https://otsuka-europe-crm.veevavault.com/ui/#object/sent_email__v/VBL00000000N511", "SE-001391002")</f>
        <v>SE-001391002</v>
      </c>
      <c r="D8727" s="1" t="s">
        <v>0</v>
      </c>
      <c r="E8727" s="2">
        <v>0</v>
      </c>
      <c r="F8727" s="2">
        <v>0</v>
      </c>
      <c r="G8727" s="2">
        <v>0</v>
      </c>
      <c r="H8727" s="1" t="s">
        <v>0</v>
      </c>
      <c r="I8727" s="2">
        <v>0</v>
      </c>
      <c r="J8727" s="1">
        <v>45979.476087962961</v>
      </c>
    </row>
    <row r="8728" spans="1:10" x14ac:dyDescent="0.2">
      <c r="A8728" s="4" t="s">
        <v>1</v>
      </c>
      <c r="B872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28" s="3" t="str">
        <f>HYPERLINK("https://otsuka-europe-crm.veevavault.com/ui/#object/sent_email__v/VBL00000000N512", "SE-001391003")</f>
        <v>SE-001391003</v>
      </c>
      <c r="D8728" s="1" t="s">
        <v>0</v>
      </c>
      <c r="E8728" s="2">
        <v>0</v>
      </c>
      <c r="F8728" s="2">
        <v>0</v>
      </c>
      <c r="G8728" s="2">
        <v>0</v>
      </c>
      <c r="H8728" s="1" t="s">
        <v>0</v>
      </c>
      <c r="I8728" s="2">
        <v>0</v>
      </c>
      <c r="J8728" s="1">
        <v>45979.476134259261</v>
      </c>
    </row>
    <row r="8729" spans="1:10" x14ac:dyDescent="0.2">
      <c r="A8729" s="4" t="s">
        <v>1</v>
      </c>
      <c r="B872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29" s="3" t="str">
        <f>HYPERLINK("https://otsuka-europe-crm.veevavault.com/ui/#object/sent_email__v/VBL00000000N513", "SE-001391004")</f>
        <v>SE-001391004</v>
      </c>
      <c r="D8729" s="1">
        <v>45980.53361111111</v>
      </c>
      <c r="E8729" s="2">
        <v>1</v>
      </c>
      <c r="F8729" s="2">
        <v>1</v>
      </c>
      <c r="G8729" s="2">
        <v>1</v>
      </c>
      <c r="H8729" s="1">
        <v>45980.53361111111</v>
      </c>
      <c r="I8729" s="2">
        <v>1</v>
      </c>
      <c r="J8729" s="1">
        <v>45979.476168981484</v>
      </c>
    </row>
    <row r="8730" spans="1:10" x14ac:dyDescent="0.2">
      <c r="A8730" s="4" t="s">
        <v>1</v>
      </c>
      <c r="B873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30" s="3" t="str">
        <f>HYPERLINK("https://otsuka-europe-crm.veevavault.com/ui/#object/sent_email__v/VBL00000000N514", "SE-001391005")</f>
        <v>SE-001391005</v>
      </c>
      <c r="D8730" s="1" t="s">
        <v>0</v>
      </c>
      <c r="E8730" s="2">
        <v>0</v>
      </c>
      <c r="F8730" s="2">
        <v>0</v>
      </c>
      <c r="G8730" s="2">
        <v>0</v>
      </c>
      <c r="H8730" s="1" t="s">
        <v>0</v>
      </c>
      <c r="I8730" s="2">
        <v>0</v>
      </c>
      <c r="J8730" s="1">
        <v>45979.476215277777</v>
      </c>
    </row>
    <row r="8731" spans="1:10" x14ac:dyDescent="0.2">
      <c r="A8731" s="4" t="s">
        <v>1</v>
      </c>
      <c r="B873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31" s="3" t="str">
        <f>HYPERLINK("https://otsuka-europe-crm.veevavault.com/ui/#object/sent_email__v/VBL00000000N515", "SE-001391006")</f>
        <v>SE-001391006</v>
      </c>
      <c r="D8731" s="1" t="s">
        <v>0</v>
      </c>
      <c r="E8731" s="2">
        <v>0</v>
      </c>
      <c r="F8731" s="2">
        <v>0</v>
      </c>
      <c r="G8731" s="2">
        <v>0</v>
      </c>
      <c r="H8731" s="1" t="s">
        <v>0</v>
      </c>
      <c r="I8731" s="2">
        <v>0</v>
      </c>
      <c r="J8731" s="1">
        <v>45979.47625</v>
      </c>
    </row>
    <row r="8732" spans="1:10" x14ac:dyDescent="0.2">
      <c r="A8732" s="4" t="s">
        <v>1</v>
      </c>
      <c r="B873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32" s="3" t="str">
        <f>HYPERLINK("https://otsuka-europe-crm.veevavault.com/ui/#object/sent_email__v/VBL00000000N516", "SE-001391007")</f>
        <v>SE-001391007</v>
      </c>
      <c r="D8732" s="1" t="s">
        <v>0</v>
      </c>
      <c r="E8732" s="2">
        <v>0</v>
      </c>
      <c r="F8732" s="2">
        <v>0</v>
      </c>
      <c r="G8732" s="2">
        <v>0</v>
      </c>
      <c r="H8732" s="1" t="s">
        <v>0</v>
      </c>
      <c r="I8732" s="2">
        <v>0</v>
      </c>
      <c r="J8732" s="1">
        <v>45979.476284722223</v>
      </c>
    </row>
    <row r="8733" spans="1:10" x14ac:dyDescent="0.2">
      <c r="A8733" s="4" t="s">
        <v>1</v>
      </c>
      <c r="B873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33" s="3" t="str">
        <f>HYPERLINK("https://otsuka-europe-crm.veevavault.com/ui/#object/sent_email__v/VBL00000000N517", "SE-001391008")</f>
        <v>SE-001391008</v>
      </c>
      <c r="D8733" s="1" t="s">
        <v>0</v>
      </c>
      <c r="E8733" s="2">
        <v>0</v>
      </c>
      <c r="F8733" s="2">
        <v>0</v>
      </c>
      <c r="G8733" s="2">
        <v>0</v>
      </c>
      <c r="H8733" s="1" t="s">
        <v>0</v>
      </c>
      <c r="I8733" s="2">
        <v>0</v>
      </c>
      <c r="J8733" s="1">
        <v>45979.476331018515</v>
      </c>
    </row>
    <row r="8734" spans="1:10" x14ac:dyDescent="0.2">
      <c r="A8734" s="4" t="s">
        <v>1</v>
      </c>
      <c r="B873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34" s="3" t="str">
        <f>HYPERLINK("https://otsuka-europe-crm.veevavault.com/ui/#object/sent_email__v/VBL00000000N518", "SE-001391009")</f>
        <v>SE-001391009</v>
      </c>
      <c r="D8734" s="1" t="s">
        <v>0</v>
      </c>
      <c r="E8734" s="2">
        <v>0</v>
      </c>
      <c r="F8734" s="2">
        <v>0</v>
      </c>
      <c r="G8734" s="2">
        <v>0</v>
      </c>
      <c r="H8734" s="1" t="s">
        <v>0</v>
      </c>
      <c r="I8734" s="2">
        <v>0</v>
      </c>
      <c r="J8734" s="1">
        <v>45979.476377314815</v>
      </c>
    </row>
    <row r="8735" spans="1:10" x14ac:dyDescent="0.2">
      <c r="A8735" s="4" t="s">
        <v>1</v>
      </c>
      <c r="B873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35" s="3" t="str">
        <f>HYPERLINK("https://otsuka-europe-crm.veevavault.com/ui/#object/sent_email__v/VBL00000000N519", "SE-001391010")</f>
        <v>SE-001391010</v>
      </c>
      <c r="D8735" s="1" t="s">
        <v>0</v>
      </c>
      <c r="E8735" s="2">
        <v>0</v>
      </c>
      <c r="F8735" s="2">
        <v>0</v>
      </c>
      <c r="G8735" s="2">
        <v>0</v>
      </c>
      <c r="H8735" s="1" t="s">
        <v>0</v>
      </c>
      <c r="I8735" s="2">
        <v>0</v>
      </c>
      <c r="J8735" s="1">
        <v>45979.476412037038</v>
      </c>
    </row>
    <row r="8736" spans="1:10" x14ac:dyDescent="0.2">
      <c r="A8736" s="4" t="s">
        <v>1</v>
      </c>
      <c r="B873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36" s="3" t="str">
        <f>HYPERLINK("https://otsuka-europe-crm.veevavault.com/ui/#object/sent_email__v/VBL00000000N520", "SE-001391011")</f>
        <v>SE-001391011</v>
      </c>
      <c r="D8736" s="1" t="s">
        <v>0</v>
      </c>
      <c r="E8736" s="2">
        <v>0</v>
      </c>
      <c r="F8736" s="2">
        <v>0</v>
      </c>
      <c r="G8736" s="2">
        <v>0</v>
      </c>
      <c r="H8736" s="1" t="s">
        <v>0</v>
      </c>
      <c r="I8736" s="2">
        <v>0</v>
      </c>
      <c r="J8736" s="1">
        <v>45979.476458333331</v>
      </c>
    </row>
    <row r="8737" spans="1:10" x14ac:dyDescent="0.2">
      <c r="A8737" s="4" t="s">
        <v>1</v>
      </c>
      <c r="B873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37" s="3" t="str">
        <f>HYPERLINK("https://otsuka-europe-crm.veevavault.com/ui/#object/sent_email__v/VBL00000000N521", "SE-001391012")</f>
        <v>SE-001391012</v>
      </c>
      <c r="D8737" s="1" t="s">
        <v>0</v>
      </c>
      <c r="E8737" s="2">
        <v>0</v>
      </c>
      <c r="F8737" s="2">
        <v>0</v>
      </c>
      <c r="G8737" s="2">
        <v>0</v>
      </c>
      <c r="H8737" s="1" t="s">
        <v>0</v>
      </c>
      <c r="I8737" s="2">
        <v>0</v>
      </c>
      <c r="J8737" s="1">
        <v>45979.476493055554</v>
      </c>
    </row>
    <row r="8738" spans="1:10" x14ac:dyDescent="0.2">
      <c r="A8738" s="4" t="s">
        <v>1</v>
      </c>
      <c r="B873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38" s="3" t="str">
        <f>HYPERLINK("https://otsuka-europe-crm.veevavault.com/ui/#object/sent_email__v/VBL00000000N522", "SE-001391013")</f>
        <v>SE-001391013</v>
      </c>
      <c r="D8738" s="1" t="s">
        <v>0</v>
      </c>
      <c r="E8738" s="2">
        <v>0</v>
      </c>
      <c r="F8738" s="2">
        <v>0</v>
      </c>
      <c r="G8738" s="2">
        <v>0</v>
      </c>
      <c r="H8738" s="1" t="s">
        <v>0</v>
      </c>
      <c r="I8738" s="2">
        <v>0</v>
      </c>
      <c r="J8738" s="1">
        <v>45979.476550925923</v>
      </c>
    </row>
    <row r="8739" spans="1:10" x14ac:dyDescent="0.2">
      <c r="A8739" s="4" t="s">
        <v>1</v>
      </c>
      <c r="B873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39" s="3" t="str">
        <f>HYPERLINK("https://otsuka-europe-crm.veevavault.com/ui/#object/sent_email__v/VBL00000000N523", "SE-001391014")</f>
        <v>SE-001391014</v>
      </c>
      <c r="D8739" s="1" t="s">
        <v>0</v>
      </c>
      <c r="E8739" s="2">
        <v>0</v>
      </c>
      <c r="F8739" s="2">
        <v>0</v>
      </c>
      <c r="G8739" s="2">
        <v>0</v>
      </c>
      <c r="H8739" s="1" t="s">
        <v>0</v>
      </c>
      <c r="I8739" s="2">
        <v>0</v>
      </c>
      <c r="J8739" s="1">
        <v>45979.476585648146</v>
      </c>
    </row>
    <row r="8740" spans="1:10" x14ac:dyDescent="0.2">
      <c r="A8740" s="4" t="s">
        <v>1</v>
      </c>
      <c r="B874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40" s="3" t="str">
        <f>HYPERLINK("https://otsuka-europe-crm.veevavault.com/ui/#object/sent_email__v/VBL00000000N524", "SE-001391015")</f>
        <v>SE-001391015</v>
      </c>
      <c r="D8740" s="1" t="s">
        <v>0</v>
      </c>
      <c r="E8740" s="2">
        <v>0</v>
      </c>
      <c r="F8740" s="2">
        <v>0</v>
      </c>
      <c r="G8740" s="2">
        <v>0</v>
      </c>
      <c r="H8740" s="1" t="s">
        <v>0</v>
      </c>
      <c r="I8740" s="2">
        <v>0</v>
      </c>
      <c r="J8740" s="1">
        <v>45979.476655092592</v>
      </c>
    </row>
    <row r="8741" spans="1:10" x14ac:dyDescent="0.2">
      <c r="A8741" s="4" t="s">
        <v>1</v>
      </c>
      <c r="B874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41" s="3" t="str">
        <f>HYPERLINK("https://otsuka-europe-crm.veevavault.com/ui/#object/sent_email__v/VBL00000000N525", "SE-001391016")</f>
        <v>SE-001391016</v>
      </c>
      <c r="D8741" s="1" t="s">
        <v>0</v>
      </c>
      <c r="E8741" s="2">
        <v>0</v>
      </c>
      <c r="F8741" s="2">
        <v>0</v>
      </c>
      <c r="G8741" s="2">
        <v>0</v>
      </c>
      <c r="H8741" s="1" t="s">
        <v>0</v>
      </c>
      <c r="I8741" s="2">
        <v>0</v>
      </c>
      <c r="J8741" s="1">
        <v>45979.476689814815</v>
      </c>
    </row>
    <row r="8742" spans="1:10" x14ac:dyDescent="0.2">
      <c r="A8742" s="4" t="s">
        <v>1</v>
      </c>
      <c r="B874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42" s="3" t="str">
        <f>HYPERLINK("https://otsuka-europe-crm.veevavault.com/ui/#object/sent_email__v/VBL00000000N526", "SE-001391017")</f>
        <v>SE-001391017</v>
      </c>
      <c r="D8742" s="1" t="s">
        <v>0</v>
      </c>
      <c r="E8742" s="2">
        <v>0</v>
      </c>
      <c r="F8742" s="2">
        <v>0</v>
      </c>
      <c r="G8742" s="2">
        <v>0</v>
      </c>
      <c r="H8742" s="1" t="s">
        <v>0</v>
      </c>
      <c r="I8742" s="2">
        <v>0</v>
      </c>
      <c r="J8742" s="1">
        <v>45979.476724537039</v>
      </c>
    </row>
    <row r="8743" spans="1:10" x14ac:dyDescent="0.2">
      <c r="A8743" s="4" t="s">
        <v>1</v>
      </c>
      <c r="B874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43" s="3" t="str">
        <f>HYPERLINK("https://otsuka-europe-crm.veevavault.com/ui/#object/sent_email__v/VBL00000000N527", "SE-001391018")</f>
        <v>SE-001391018</v>
      </c>
      <c r="D8743" s="1" t="s">
        <v>0</v>
      </c>
      <c r="E8743" s="2">
        <v>0</v>
      </c>
      <c r="F8743" s="2">
        <v>0</v>
      </c>
      <c r="G8743" s="2">
        <v>0</v>
      </c>
      <c r="H8743" s="1" t="s">
        <v>0</v>
      </c>
      <c r="I8743" s="2">
        <v>0</v>
      </c>
      <c r="J8743" s="1">
        <v>45979.476770833331</v>
      </c>
    </row>
    <row r="8744" spans="1:10" x14ac:dyDescent="0.2">
      <c r="A8744" s="4" t="s">
        <v>1</v>
      </c>
      <c r="B874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44" s="3" t="str">
        <f>HYPERLINK("https://otsuka-europe-crm.veevavault.com/ui/#object/sent_email__v/VBL00000000N528", "SE-001391019")</f>
        <v>SE-001391019</v>
      </c>
      <c r="D8744" s="1">
        <v>45981.941250000003</v>
      </c>
      <c r="E8744" s="2">
        <v>1</v>
      </c>
      <c r="F8744" s="2">
        <v>1</v>
      </c>
      <c r="G8744" s="2">
        <v>0</v>
      </c>
      <c r="H8744" s="1" t="s">
        <v>0</v>
      </c>
      <c r="I8744" s="2">
        <v>0</v>
      </c>
      <c r="J8744" s="1">
        <v>45979.476817129631</v>
      </c>
    </row>
    <row r="8745" spans="1:10" x14ac:dyDescent="0.2">
      <c r="A8745" s="4" t="s">
        <v>1</v>
      </c>
      <c r="B874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45" s="3" t="str">
        <f>HYPERLINK("https://otsuka-europe-crm.veevavault.com/ui/#object/sent_email__v/VBL00000000N529", "SE-001391020")</f>
        <v>SE-001391020</v>
      </c>
      <c r="D8745" s="1" t="s">
        <v>0</v>
      </c>
      <c r="E8745" s="2">
        <v>0</v>
      </c>
      <c r="F8745" s="2">
        <v>0</v>
      </c>
      <c r="G8745" s="2">
        <v>0</v>
      </c>
      <c r="H8745" s="1" t="s">
        <v>0</v>
      </c>
      <c r="I8745" s="2">
        <v>0</v>
      </c>
      <c r="J8745" s="1">
        <v>45979.476863425924</v>
      </c>
    </row>
    <row r="8746" spans="1:10" x14ac:dyDescent="0.2">
      <c r="A8746" s="4" t="s">
        <v>1</v>
      </c>
      <c r="B874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46" s="3" t="str">
        <f>HYPERLINK("https://otsuka-europe-crm.veevavault.com/ui/#object/sent_email__v/VBL00000000N530", "SE-001391021")</f>
        <v>SE-001391021</v>
      </c>
      <c r="D8746" s="1" t="s">
        <v>0</v>
      </c>
      <c r="E8746" s="2">
        <v>0</v>
      </c>
      <c r="F8746" s="2">
        <v>0</v>
      </c>
      <c r="G8746" s="2">
        <v>0</v>
      </c>
      <c r="H8746" s="1" t="s">
        <v>0</v>
      </c>
      <c r="I8746" s="2">
        <v>0</v>
      </c>
      <c r="J8746" s="1">
        <v>45979.476898148147</v>
      </c>
    </row>
    <row r="8747" spans="1:10" x14ac:dyDescent="0.2">
      <c r="A8747" s="4" t="s">
        <v>1</v>
      </c>
      <c r="B874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47" s="3" t="str">
        <f>HYPERLINK("https://otsuka-europe-crm.veevavault.com/ui/#object/sent_email__v/VBL00000000N531", "SE-001391022")</f>
        <v>SE-001391022</v>
      </c>
      <c r="D8747" s="1" t="s">
        <v>0</v>
      </c>
      <c r="E8747" s="2">
        <v>0</v>
      </c>
      <c r="F8747" s="2">
        <v>0</v>
      </c>
      <c r="G8747" s="2">
        <v>0</v>
      </c>
      <c r="H8747" s="1" t="s">
        <v>0</v>
      </c>
      <c r="I8747" s="2">
        <v>0</v>
      </c>
      <c r="J8747" s="1">
        <v>45979.476944444446</v>
      </c>
    </row>
    <row r="8748" spans="1:10" x14ac:dyDescent="0.2">
      <c r="A8748" s="4" t="s">
        <v>1</v>
      </c>
      <c r="B874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48" s="3" t="str">
        <f>HYPERLINK("https://otsuka-europe-crm.veevavault.com/ui/#object/sent_email__v/VBL00000000N532", "SE-001391023")</f>
        <v>SE-001391023</v>
      </c>
      <c r="D8748" s="1" t="s">
        <v>0</v>
      </c>
      <c r="E8748" s="2">
        <v>0</v>
      </c>
      <c r="F8748" s="2">
        <v>0</v>
      </c>
      <c r="G8748" s="2">
        <v>0</v>
      </c>
      <c r="H8748" s="1" t="s">
        <v>0</v>
      </c>
      <c r="I8748" s="2">
        <v>0</v>
      </c>
      <c r="J8748" s="1">
        <v>45979.477002314816</v>
      </c>
    </row>
    <row r="8749" spans="1:10" x14ac:dyDescent="0.2">
      <c r="A8749" s="4" t="s">
        <v>1</v>
      </c>
      <c r="B874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49" s="3" t="str">
        <f>HYPERLINK("https://otsuka-europe-crm.veevavault.com/ui/#object/sent_email__v/VBL00000000N533", "SE-001391024")</f>
        <v>SE-001391024</v>
      </c>
      <c r="D8749" s="1" t="s">
        <v>0</v>
      </c>
      <c r="E8749" s="2">
        <v>0</v>
      </c>
      <c r="F8749" s="2">
        <v>0</v>
      </c>
      <c r="G8749" s="2">
        <v>0</v>
      </c>
      <c r="H8749" s="1" t="s">
        <v>0</v>
      </c>
      <c r="I8749" s="2">
        <v>0</v>
      </c>
      <c r="J8749" s="1">
        <v>45979.477037037039</v>
      </c>
    </row>
    <row r="8750" spans="1:10" x14ac:dyDescent="0.2">
      <c r="A8750" s="4" t="s">
        <v>1</v>
      </c>
      <c r="B875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50" s="3" t="str">
        <f>HYPERLINK("https://otsuka-europe-crm.veevavault.com/ui/#object/sent_email__v/VBL00000000N534", "SE-001391025")</f>
        <v>SE-001391025</v>
      </c>
      <c r="D8750" s="1" t="s">
        <v>0</v>
      </c>
      <c r="E8750" s="2">
        <v>0</v>
      </c>
      <c r="F8750" s="2">
        <v>0</v>
      </c>
      <c r="G8750" s="2">
        <v>0</v>
      </c>
      <c r="H8750" s="1" t="s">
        <v>0</v>
      </c>
      <c r="I8750" s="2">
        <v>0</v>
      </c>
      <c r="J8750" s="1">
        <v>45979.477083333331</v>
      </c>
    </row>
    <row r="8751" spans="1:10" x14ac:dyDescent="0.2">
      <c r="A8751" s="4" t="s">
        <v>1</v>
      </c>
      <c r="B875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51" s="3" t="str">
        <f>HYPERLINK("https://otsuka-europe-crm.veevavault.com/ui/#object/sent_email__v/VBL00000000N535", "SE-001391026")</f>
        <v>SE-001391026</v>
      </c>
      <c r="D8751" s="1" t="s">
        <v>0</v>
      </c>
      <c r="E8751" s="2">
        <v>0</v>
      </c>
      <c r="F8751" s="2">
        <v>0</v>
      </c>
      <c r="G8751" s="2">
        <v>0</v>
      </c>
      <c r="H8751" s="1" t="s">
        <v>0</v>
      </c>
      <c r="I8751" s="2">
        <v>0</v>
      </c>
      <c r="J8751" s="1">
        <v>45979.477118055554</v>
      </c>
    </row>
    <row r="8752" spans="1:10" x14ac:dyDescent="0.2">
      <c r="A8752" s="4" t="s">
        <v>1</v>
      </c>
      <c r="B875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52" s="3" t="str">
        <f>HYPERLINK("https://otsuka-europe-crm.veevavault.com/ui/#object/sent_email__v/VBL00000000O482", "SE-001391059")</f>
        <v>SE-001391059</v>
      </c>
      <c r="D8752" s="1">
        <v>45979.811701388891</v>
      </c>
      <c r="E8752" s="2">
        <v>1</v>
      </c>
      <c r="F8752" s="2">
        <v>1</v>
      </c>
      <c r="G8752" s="2">
        <v>1</v>
      </c>
      <c r="H8752" s="1">
        <v>45979.811886574076</v>
      </c>
      <c r="I8752" s="2">
        <v>1</v>
      </c>
      <c r="J8752" s="1">
        <v>45979.811643518522</v>
      </c>
    </row>
    <row r="8753" spans="1:10" x14ac:dyDescent="0.2">
      <c r="A8753" s="4" t="s">
        <v>1</v>
      </c>
      <c r="B875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53" s="3" t="str">
        <f>HYPERLINK("https://otsuka-europe-crm.veevavault.com/ui/#object/sent_email__v/VBL00000000Q151", "SE-001391338")</f>
        <v>SE-001391338</v>
      </c>
      <c r="D8753" s="1" t="s">
        <v>0</v>
      </c>
      <c r="E8753" s="2">
        <v>0</v>
      </c>
      <c r="F8753" s="2">
        <v>0</v>
      </c>
      <c r="G8753" s="2">
        <v>0</v>
      </c>
      <c r="H8753" s="1" t="s">
        <v>0</v>
      </c>
      <c r="I8753" s="2">
        <v>0</v>
      </c>
      <c r="J8753" s="1">
        <v>45981.331203703703</v>
      </c>
    </row>
    <row r="8754" spans="1:10" x14ac:dyDescent="0.2">
      <c r="A8754" s="4" t="s">
        <v>1</v>
      </c>
      <c r="B875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54" s="3" t="str">
        <f>HYPERLINK("https://otsuka-europe-crm.veevavault.com/ui/#object/sent_email__v/VBL00000000Q152", "SE-001391339")</f>
        <v>SE-001391339</v>
      </c>
      <c r="D8754" s="1">
        <v>45981.33390046296</v>
      </c>
      <c r="E8754" s="2">
        <v>1</v>
      </c>
      <c r="F8754" s="2">
        <v>2</v>
      </c>
      <c r="G8754" s="2">
        <v>0</v>
      </c>
      <c r="H8754" s="1" t="s">
        <v>0</v>
      </c>
      <c r="I8754" s="2">
        <v>0</v>
      </c>
      <c r="J8754" s="1">
        <v>45981.331226851849</v>
      </c>
    </row>
    <row r="8755" spans="1:10" x14ac:dyDescent="0.2">
      <c r="A8755" s="4" t="s">
        <v>1</v>
      </c>
      <c r="B875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55" s="3" t="str">
        <f>HYPERLINK("https://otsuka-europe-crm.veevavault.com/ui/#object/sent_email__v/VBL00000000Q153", "SE-001391340")</f>
        <v>SE-001391340</v>
      </c>
      <c r="D8755" s="1">
        <v>45981.35833333333</v>
      </c>
      <c r="E8755" s="2">
        <v>1</v>
      </c>
      <c r="F8755" s="2">
        <v>1</v>
      </c>
      <c r="G8755" s="2">
        <v>0</v>
      </c>
      <c r="H8755" s="1" t="s">
        <v>0</v>
      </c>
      <c r="I8755" s="2">
        <v>0</v>
      </c>
      <c r="J8755" s="1">
        <v>45981.331273148149</v>
      </c>
    </row>
    <row r="8756" spans="1:10" x14ac:dyDescent="0.2">
      <c r="A8756" s="4" t="s">
        <v>1</v>
      </c>
      <c r="B875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56" s="3" t="str">
        <f>HYPERLINK("https://otsuka-europe-crm.veevavault.com/ui/#object/sent_email__v/VBL00000000Q154", "SE-001391341")</f>
        <v>SE-001391341</v>
      </c>
      <c r="D8756" s="1" t="s">
        <v>0</v>
      </c>
      <c r="E8756" s="2">
        <v>0</v>
      </c>
      <c r="F8756" s="2">
        <v>0</v>
      </c>
      <c r="G8756" s="2">
        <v>0</v>
      </c>
      <c r="H8756" s="1" t="s">
        <v>0</v>
      </c>
      <c r="I8756" s="2">
        <v>0</v>
      </c>
      <c r="J8756" s="1">
        <v>45981.331319444442</v>
      </c>
    </row>
    <row r="8757" spans="1:10" x14ac:dyDescent="0.2">
      <c r="A8757" s="4" t="s">
        <v>1</v>
      </c>
      <c r="B875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57" s="3" t="str">
        <f>HYPERLINK("https://otsuka-europe-crm.veevavault.com/ui/#object/sent_email__v/VBL00000000Q155", "SE-001391342")</f>
        <v>SE-001391342</v>
      </c>
      <c r="D8757" s="1">
        <v>45981.563240740739</v>
      </c>
      <c r="E8757" s="2">
        <v>1</v>
      </c>
      <c r="F8757" s="2">
        <v>1</v>
      </c>
      <c r="G8757" s="2">
        <v>0</v>
      </c>
      <c r="H8757" s="1" t="s">
        <v>0</v>
      </c>
      <c r="I8757" s="2">
        <v>0</v>
      </c>
      <c r="J8757" s="1">
        <v>45981.331377314818</v>
      </c>
    </row>
    <row r="8758" spans="1:10" x14ac:dyDescent="0.2">
      <c r="A8758" s="4" t="s">
        <v>1</v>
      </c>
      <c r="B875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58" s="3" t="str">
        <f>HYPERLINK("https://otsuka-europe-crm.veevavault.com/ui/#object/sent_email__v/VBL00000000Q156", "SE-001391343")</f>
        <v>SE-001391343</v>
      </c>
      <c r="D8758" s="1">
        <v>45981.35633101852</v>
      </c>
      <c r="E8758" s="2">
        <v>1</v>
      </c>
      <c r="F8758" s="2">
        <v>2</v>
      </c>
      <c r="G8758" s="2">
        <v>0</v>
      </c>
      <c r="H8758" s="1" t="s">
        <v>0</v>
      </c>
      <c r="I8758" s="2">
        <v>0</v>
      </c>
      <c r="J8758" s="1">
        <v>45981.331388888888</v>
      </c>
    </row>
    <row r="8759" spans="1:10" x14ac:dyDescent="0.2">
      <c r="A8759" s="4" t="s">
        <v>1</v>
      </c>
      <c r="B875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59" s="3" t="str">
        <f>HYPERLINK("https://otsuka-europe-crm.veevavault.com/ui/#object/sent_email__v/VBL00000000Q157", "SE-001391344")</f>
        <v>SE-001391344</v>
      </c>
      <c r="D8759" s="1" t="s">
        <v>0</v>
      </c>
      <c r="E8759" s="2">
        <v>0</v>
      </c>
      <c r="F8759" s="2">
        <v>0</v>
      </c>
      <c r="G8759" s="2">
        <v>0</v>
      </c>
      <c r="H8759" s="1" t="s">
        <v>0</v>
      </c>
      <c r="I8759" s="2">
        <v>0</v>
      </c>
      <c r="J8759" s="1">
        <v>45981.331435185188</v>
      </c>
    </row>
    <row r="8760" spans="1:10" x14ac:dyDescent="0.2">
      <c r="A8760" s="4" t="s">
        <v>1</v>
      </c>
      <c r="B876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60" s="3" t="str">
        <f>HYPERLINK("https://otsuka-europe-crm.veevavault.com/ui/#object/sent_email__v/VBL00000000Q158", "SE-001391345")</f>
        <v>SE-001391345</v>
      </c>
      <c r="D8760" s="1">
        <v>45981.579386574071</v>
      </c>
      <c r="E8760" s="2">
        <v>1</v>
      </c>
      <c r="F8760" s="2">
        <v>1</v>
      </c>
      <c r="G8760" s="2">
        <v>0</v>
      </c>
      <c r="H8760" s="1" t="s">
        <v>0</v>
      </c>
      <c r="I8760" s="2">
        <v>0</v>
      </c>
      <c r="J8760" s="1">
        <v>45981.33148148148</v>
      </c>
    </row>
    <row r="8761" spans="1:10" x14ac:dyDescent="0.2">
      <c r="A8761" s="4" t="s">
        <v>1</v>
      </c>
      <c r="B876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61" s="3" t="str">
        <f>HYPERLINK("https://otsuka-europe-crm.veevavault.com/ui/#object/sent_email__v/VBL00000000Q159", "SE-001391346")</f>
        <v>SE-001391346</v>
      </c>
      <c r="D8761" s="1">
        <v>45981.400914351849</v>
      </c>
      <c r="E8761" s="2">
        <v>1</v>
      </c>
      <c r="F8761" s="2">
        <v>1</v>
      </c>
      <c r="G8761" s="2">
        <v>0</v>
      </c>
      <c r="H8761" s="1" t="s">
        <v>0</v>
      </c>
      <c r="I8761" s="2">
        <v>0</v>
      </c>
      <c r="J8761" s="1">
        <v>45981.331516203703</v>
      </c>
    </row>
    <row r="8762" spans="1:10" x14ac:dyDescent="0.2">
      <c r="A8762" s="4" t="s">
        <v>1</v>
      </c>
      <c r="B876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62" s="3" t="str">
        <f>HYPERLINK("https://otsuka-europe-crm.veevavault.com/ui/#object/sent_email__v/VBL00000000Q160", "SE-001391347")</f>
        <v>SE-001391347</v>
      </c>
      <c r="D8762" s="1">
        <v>46000.31659722222</v>
      </c>
      <c r="E8762" s="2">
        <v>1</v>
      </c>
      <c r="F8762" s="2">
        <v>5</v>
      </c>
      <c r="G8762" s="2">
        <v>0</v>
      </c>
      <c r="H8762" s="1" t="s">
        <v>0</v>
      </c>
      <c r="I8762" s="2">
        <v>0</v>
      </c>
      <c r="J8762" s="1">
        <v>45981.331562500003</v>
      </c>
    </row>
    <row r="8763" spans="1:10" x14ac:dyDescent="0.2">
      <c r="A8763" s="4" t="s">
        <v>1</v>
      </c>
      <c r="B876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63" s="3" t="str">
        <f>HYPERLINK("https://otsuka-europe-crm.veevavault.com/ui/#object/sent_email__v/VBL00000000Q161", "SE-001391348")</f>
        <v>SE-001391348</v>
      </c>
      <c r="D8763" s="1">
        <v>45983.633379629631</v>
      </c>
      <c r="E8763" s="2">
        <v>1</v>
      </c>
      <c r="F8763" s="2">
        <v>1</v>
      </c>
      <c r="G8763" s="2">
        <v>0</v>
      </c>
      <c r="H8763" s="1" t="s">
        <v>0</v>
      </c>
      <c r="I8763" s="2">
        <v>0</v>
      </c>
      <c r="J8763" s="1">
        <v>45981.331620370373</v>
      </c>
    </row>
    <row r="8764" spans="1:10" x14ac:dyDescent="0.2">
      <c r="A8764" s="4" t="s">
        <v>1</v>
      </c>
      <c r="B876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64" s="3" t="str">
        <f>HYPERLINK("https://otsuka-europe-crm.veevavault.com/ui/#object/sent_email__v/VBL00000000Q162", "SE-001391349")</f>
        <v>SE-001391349</v>
      </c>
      <c r="D8764" s="1">
        <v>46024.846122685187</v>
      </c>
      <c r="E8764" s="2">
        <v>1</v>
      </c>
      <c r="F8764" s="2">
        <v>1</v>
      </c>
      <c r="G8764" s="2">
        <v>0</v>
      </c>
      <c r="H8764" s="1" t="s">
        <v>0</v>
      </c>
      <c r="I8764" s="2">
        <v>0</v>
      </c>
      <c r="J8764" s="1">
        <v>45981.331643518519</v>
      </c>
    </row>
    <row r="8765" spans="1:10" x14ac:dyDescent="0.2">
      <c r="A8765" s="4" t="s">
        <v>1</v>
      </c>
      <c r="B876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65" s="3" t="str">
        <f>HYPERLINK("https://otsuka-europe-crm.veevavault.com/ui/#object/sent_email__v/VBL00000000Q163", "SE-001391350")</f>
        <v>SE-001391350</v>
      </c>
      <c r="D8765" s="1" t="s">
        <v>0</v>
      </c>
      <c r="E8765" s="2">
        <v>0</v>
      </c>
      <c r="F8765" s="2">
        <v>0</v>
      </c>
      <c r="G8765" s="2">
        <v>0</v>
      </c>
      <c r="H8765" s="1" t="s">
        <v>0</v>
      </c>
      <c r="I8765" s="2">
        <v>0</v>
      </c>
      <c r="J8765" s="1">
        <v>45981.331689814811</v>
      </c>
    </row>
    <row r="8766" spans="1:10" x14ac:dyDescent="0.2">
      <c r="A8766" s="4" t="s">
        <v>1</v>
      </c>
      <c r="B876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66" s="3" t="str">
        <f>HYPERLINK("https://otsuka-europe-crm.veevavault.com/ui/#object/sent_email__v/VBL00000000Q164", "SE-001391351")</f>
        <v>SE-001391351</v>
      </c>
      <c r="D8766" s="1" t="s">
        <v>0</v>
      </c>
      <c r="E8766" s="2">
        <v>0</v>
      </c>
      <c r="F8766" s="2">
        <v>0</v>
      </c>
      <c r="G8766" s="2">
        <v>0</v>
      </c>
      <c r="H8766" s="1" t="s">
        <v>0</v>
      </c>
      <c r="I8766" s="2">
        <v>0</v>
      </c>
      <c r="J8766" s="1">
        <v>45981.331724537034</v>
      </c>
    </row>
    <row r="8767" spans="1:10" x14ac:dyDescent="0.2">
      <c r="A8767" s="4" t="s">
        <v>1</v>
      </c>
      <c r="B876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67" s="3" t="str">
        <f>HYPERLINK("https://otsuka-europe-crm.veevavault.com/ui/#object/sent_email__v/VBL00000000Q165", "SE-001391352")</f>
        <v>SE-001391352</v>
      </c>
      <c r="D8767" s="1" t="s">
        <v>0</v>
      </c>
      <c r="E8767" s="2">
        <v>0</v>
      </c>
      <c r="F8767" s="2">
        <v>0</v>
      </c>
      <c r="G8767" s="2">
        <v>0</v>
      </c>
      <c r="H8767" s="1" t="s">
        <v>0</v>
      </c>
      <c r="I8767" s="2">
        <v>0</v>
      </c>
      <c r="J8767" s="1">
        <v>45981.331759259258</v>
      </c>
    </row>
    <row r="8768" spans="1:10" x14ac:dyDescent="0.2">
      <c r="A8768" s="4" t="s">
        <v>1</v>
      </c>
      <c r="B876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68" s="3" t="str">
        <f>HYPERLINK("https://otsuka-europe-crm.veevavault.com/ui/#object/sent_email__v/VBL00000000Q166", "SE-001391353")</f>
        <v>SE-001391353</v>
      </c>
      <c r="D8768" s="1">
        <v>45981.983923611115</v>
      </c>
      <c r="E8768" s="2">
        <v>1</v>
      </c>
      <c r="F8768" s="2">
        <v>1</v>
      </c>
      <c r="G8768" s="2">
        <v>0</v>
      </c>
      <c r="H8768" s="1" t="s">
        <v>0</v>
      </c>
      <c r="I8768" s="2">
        <v>0</v>
      </c>
      <c r="J8768" s="1">
        <v>45981.331805555557</v>
      </c>
    </row>
    <row r="8769" spans="1:10" x14ac:dyDescent="0.2">
      <c r="A8769" s="4" t="s">
        <v>1</v>
      </c>
      <c r="B876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69" s="3" t="str">
        <f>HYPERLINK("https://otsuka-europe-crm.veevavault.com/ui/#object/sent_email__v/VBL00000000Q167", "SE-001391354")</f>
        <v>SE-001391354</v>
      </c>
      <c r="D8769" s="1" t="s">
        <v>0</v>
      </c>
      <c r="E8769" s="2">
        <v>0</v>
      </c>
      <c r="F8769" s="2">
        <v>0</v>
      </c>
      <c r="G8769" s="2">
        <v>0</v>
      </c>
      <c r="H8769" s="1" t="s">
        <v>0</v>
      </c>
      <c r="I8769" s="2">
        <v>0</v>
      </c>
      <c r="J8769" s="1">
        <v>45981.33185185185</v>
      </c>
    </row>
    <row r="8770" spans="1:10" x14ac:dyDescent="0.2">
      <c r="A8770" s="4" t="s">
        <v>1</v>
      </c>
      <c r="B877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70" s="3" t="str">
        <f>HYPERLINK("https://otsuka-europe-crm.veevavault.com/ui/#object/sent_email__v/VBL00000000Q168", "SE-001391355")</f>
        <v>SE-001391355</v>
      </c>
      <c r="D8770" s="1">
        <v>45985.937152777777</v>
      </c>
      <c r="E8770" s="2">
        <v>1</v>
      </c>
      <c r="F8770" s="2">
        <v>3</v>
      </c>
      <c r="G8770" s="2">
        <v>0</v>
      </c>
      <c r="H8770" s="1" t="s">
        <v>0</v>
      </c>
      <c r="I8770" s="2">
        <v>0</v>
      </c>
      <c r="J8770" s="1">
        <v>45981.331886574073</v>
      </c>
    </row>
    <row r="8771" spans="1:10" x14ac:dyDescent="0.2">
      <c r="A8771" s="4" t="s">
        <v>1</v>
      </c>
      <c r="B877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71" s="3" t="str">
        <f>HYPERLINK("https://otsuka-europe-crm.veevavault.com/ui/#object/sent_email__v/VBL00000000Q169", "SE-001391356")</f>
        <v>SE-001391356</v>
      </c>
      <c r="D8771" s="1">
        <v>45988.86990740741</v>
      </c>
      <c r="E8771" s="2">
        <v>1</v>
      </c>
      <c r="F8771" s="2">
        <v>3</v>
      </c>
      <c r="G8771" s="2">
        <v>0</v>
      </c>
      <c r="H8771" s="1" t="s">
        <v>0</v>
      </c>
      <c r="I8771" s="2">
        <v>0</v>
      </c>
      <c r="J8771" s="1">
        <v>45981.331932870373</v>
      </c>
    </row>
    <row r="8772" spans="1:10" x14ac:dyDescent="0.2">
      <c r="A8772" s="4" t="s">
        <v>1</v>
      </c>
      <c r="B877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72" s="3" t="str">
        <f>HYPERLINK("https://otsuka-europe-crm.veevavault.com/ui/#object/sent_email__v/VBL00000000Q170", "SE-001391357")</f>
        <v>SE-001391357</v>
      </c>
      <c r="D8772" s="1" t="s">
        <v>0</v>
      </c>
      <c r="E8772" s="2">
        <v>0</v>
      </c>
      <c r="F8772" s="2">
        <v>0</v>
      </c>
      <c r="G8772" s="2">
        <v>0</v>
      </c>
      <c r="H8772" s="1" t="s">
        <v>0</v>
      </c>
      <c r="I8772" s="2">
        <v>0</v>
      </c>
      <c r="J8772" s="1">
        <v>45981.331979166665</v>
      </c>
    </row>
    <row r="8773" spans="1:10" x14ac:dyDescent="0.2">
      <c r="A8773" s="4" t="s">
        <v>1</v>
      </c>
      <c r="B877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73" s="3" t="str">
        <f>HYPERLINK("https://otsuka-europe-crm.veevavault.com/ui/#object/sent_email__v/VBL00000000Q171", "SE-001391358")</f>
        <v>SE-001391358</v>
      </c>
      <c r="D8773" s="1">
        <v>45982.017824074072</v>
      </c>
      <c r="E8773" s="2">
        <v>1</v>
      </c>
      <c r="F8773" s="2">
        <v>1</v>
      </c>
      <c r="G8773" s="2">
        <v>0</v>
      </c>
      <c r="H8773" s="1" t="s">
        <v>0</v>
      </c>
      <c r="I8773" s="2">
        <v>0</v>
      </c>
      <c r="J8773" s="1">
        <v>45981.332013888888</v>
      </c>
    </row>
    <row r="8774" spans="1:10" x14ac:dyDescent="0.2">
      <c r="A8774" s="4" t="s">
        <v>1</v>
      </c>
      <c r="B877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74" s="3" t="str">
        <f>HYPERLINK("https://otsuka-europe-crm.veevavault.com/ui/#object/sent_email__v/VBL00000000Q172", "SE-001391359")</f>
        <v>SE-001391359</v>
      </c>
      <c r="D8774" s="1">
        <v>46066.409548611111</v>
      </c>
      <c r="E8774" s="2">
        <v>1</v>
      </c>
      <c r="F8774" s="2">
        <v>5</v>
      </c>
      <c r="G8774" s="2">
        <v>0</v>
      </c>
      <c r="H8774" s="1" t="s">
        <v>0</v>
      </c>
      <c r="I8774" s="2">
        <v>0</v>
      </c>
      <c r="J8774" s="1">
        <v>45981.332048611112</v>
      </c>
    </row>
    <row r="8775" spans="1:10" x14ac:dyDescent="0.2">
      <c r="A8775" s="4" t="s">
        <v>1</v>
      </c>
      <c r="B877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75" s="3" t="str">
        <f>HYPERLINK("https://otsuka-europe-crm.veevavault.com/ui/#object/sent_email__v/VBL00000000Q173", "SE-001391360")</f>
        <v>SE-001391360</v>
      </c>
      <c r="D8775" s="1" t="s">
        <v>0</v>
      </c>
      <c r="E8775" s="2">
        <v>0</v>
      </c>
      <c r="F8775" s="2">
        <v>0</v>
      </c>
      <c r="G8775" s="2">
        <v>0</v>
      </c>
      <c r="H8775" s="1" t="s">
        <v>0</v>
      </c>
      <c r="I8775" s="2">
        <v>0</v>
      </c>
      <c r="J8775" s="1">
        <v>45981.332106481481</v>
      </c>
    </row>
    <row r="8776" spans="1:10" x14ac:dyDescent="0.2">
      <c r="A8776" s="4" t="s">
        <v>1</v>
      </c>
      <c r="B877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76" s="3" t="str">
        <f>HYPERLINK("https://otsuka-europe-crm.veevavault.com/ui/#object/sent_email__v/VBL00000000Q174", "SE-001391361")</f>
        <v>SE-001391361</v>
      </c>
      <c r="D8776" s="1">
        <v>45985.860752314817</v>
      </c>
      <c r="E8776" s="2">
        <v>1</v>
      </c>
      <c r="F8776" s="2">
        <v>3</v>
      </c>
      <c r="G8776" s="2">
        <v>0</v>
      </c>
      <c r="H8776" s="1" t="s">
        <v>0</v>
      </c>
      <c r="I8776" s="2">
        <v>0</v>
      </c>
      <c r="J8776" s="1">
        <v>45981.332141203704</v>
      </c>
    </row>
    <row r="8777" spans="1:10" x14ac:dyDescent="0.2">
      <c r="A8777" s="4" t="s">
        <v>1</v>
      </c>
      <c r="B877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77" s="3" t="str">
        <f>HYPERLINK("https://otsuka-europe-crm.veevavault.com/ui/#object/sent_email__v/VBL00000000Q175", "SE-001391362")</f>
        <v>SE-001391362</v>
      </c>
      <c r="D8777" s="1">
        <v>45982.636250000003</v>
      </c>
      <c r="E8777" s="2">
        <v>1</v>
      </c>
      <c r="F8777" s="2">
        <v>1</v>
      </c>
      <c r="G8777" s="2">
        <v>0</v>
      </c>
      <c r="H8777" s="1" t="s">
        <v>0</v>
      </c>
      <c r="I8777" s="2">
        <v>0</v>
      </c>
      <c r="J8777" s="1">
        <v>45981.332187499997</v>
      </c>
    </row>
    <row r="8778" spans="1:10" x14ac:dyDescent="0.2">
      <c r="A8778" s="4" t="s">
        <v>1</v>
      </c>
      <c r="B877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78" s="3" t="str">
        <f>HYPERLINK("https://otsuka-europe-crm.veevavault.com/ui/#object/sent_email__v/VBL00000000Q176", "SE-001391363")</f>
        <v>SE-001391363</v>
      </c>
      <c r="D8778" s="1" t="s">
        <v>0</v>
      </c>
      <c r="E8778" s="2">
        <v>0</v>
      </c>
      <c r="F8778" s="2">
        <v>0</v>
      </c>
      <c r="G8778" s="2">
        <v>0</v>
      </c>
      <c r="H8778" s="1" t="s">
        <v>0</v>
      </c>
      <c r="I8778" s="2">
        <v>0</v>
      </c>
      <c r="J8778" s="1">
        <v>45981.332233796296</v>
      </c>
    </row>
    <row r="8779" spans="1:10" x14ac:dyDescent="0.2">
      <c r="A8779" s="4" t="s">
        <v>1</v>
      </c>
      <c r="B877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79" s="3" t="str">
        <f>HYPERLINK("https://otsuka-europe-crm.veevavault.com/ui/#object/sent_email__v/VBL00000000Q177", "SE-001391364")</f>
        <v>SE-001391364</v>
      </c>
      <c r="D8779" s="1">
        <v>45985.053067129629</v>
      </c>
      <c r="E8779" s="2">
        <v>1</v>
      </c>
      <c r="F8779" s="2">
        <v>1</v>
      </c>
      <c r="G8779" s="2">
        <v>0</v>
      </c>
      <c r="H8779" s="1" t="s">
        <v>0</v>
      </c>
      <c r="I8779" s="2">
        <v>0</v>
      </c>
      <c r="J8779" s="1">
        <v>45981.332268518519</v>
      </c>
    </row>
    <row r="8780" spans="1:10" x14ac:dyDescent="0.2">
      <c r="A8780" s="4" t="s">
        <v>1</v>
      </c>
      <c r="B878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80" s="3" t="str">
        <f>HYPERLINK("https://otsuka-europe-crm.veevavault.com/ui/#object/sent_email__v/VBL00000000Q178", "SE-001391365")</f>
        <v>SE-001391365</v>
      </c>
      <c r="D8780" s="1">
        <v>45981.6565162037</v>
      </c>
      <c r="E8780" s="2">
        <v>1</v>
      </c>
      <c r="F8780" s="2">
        <v>2</v>
      </c>
      <c r="G8780" s="2">
        <v>0</v>
      </c>
      <c r="H8780" s="1" t="s">
        <v>0</v>
      </c>
      <c r="I8780" s="2">
        <v>0</v>
      </c>
      <c r="J8780" s="1">
        <v>45981.332314814812</v>
      </c>
    </row>
    <row r="8781" spans="1:10" x14ac:dyDescent="0.2">
      <c r="A8781" s="4" t="s">
        <v>1</v>
      </c>
      <c r="B878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81" s="3" t="str">
        <f>HYPERLINK("https://otsuka-europe-crm.veevavault.com/ui/#object/sent_email__v/VBL00000000Q179", "SE-001391366")</f>
        <v>SE-001391366</v>
      </c>
      <c r="D8781" s="1" t="s">
        <v>0</v>
      </c>
      <c r="E8781" s="2">
        <v>0</v>
      </c>
      <c r="F8781" s="2">
        <v>0</v>
      </c>
      <c r="G8781" s="2">
        <v>0</v>
      </c>
      <c r="H8781" s="1" t="s">
        <v>0</v>
      </c>
      <c r="I8781" s="2">
        <v>0</v>
      </c>
      <c r="J8781" s="1">
        <v>45981.332349537035</v>
      </c>
    </row>
    <row r="8782" spans="1:10" x14ac:dyDescent="0.2">
      <c r="A8782" s="4" t="s">
        <v>1</v>
      </c>
      <c r="B878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82" s="3" t="str">
        <f>HYPERLINK("https://otsuka-europe-crm.veevavault.com/ui/#object/sent_email__v/VBL00000000Q180", "SE-001391367")</f>
        <v>SE-001391367</v>
      </c>
      <c r="D8782" s="1" t="s">
        <v>0</v>
      </c>
      <c r="E8782" s="2">
        <v>0</v>
      </c>
      <c r="F8782" s="2">
        <v>0</v>
      </c>
      <c r="G8782" s="2">
        <v>0</v>
      </c>
      <c r="H8782" s="1" t="s">
        <v>0</v>
      </c>
      <c r="I8782" s="2">
        <v>0</v>
      </c>
      <c r="J8782" s="1">
        <v>45981.332395833335</v>
      </c>
    </row>
    <row r="8783" spans="1:10" x14ac:dyDescent="0.2">
      <c r="A8783" s="4" t="s">
        <v>1</v>
      </c>
      <c r="B878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83" s="3" t="str">
        <f>HYPERLINK("https://otsuka-europe-crm.veevavault.com/ui/#object/sent_email__v/VBL00000000Q181", "SE-001391368")</f>
        <v>SE-001391368</v>
      </c>
      <c r="D8783" s="1">
        <v>45981.468564814815</v>
      </c>
      <c r="E8783" s="2">
        <v>1</v>
      </c>
      <c r="F8783" s="2">
        <v>1</v>
      </c>
      <c r="G8783" s="2">
        <v>0</v>
      </c>
      <c r="H8783" s="1" t="s">
        <v>0</v>
      </c>
      <c r="I8783" s="2">
        <v>0</v>
      </c>
      <c r="J8783" s="1">
        <v>45981.332430555558</v>
      </c>
    </row>
    <row r="8784" spans="1:10" x14ac:dyDescent="0.2">
      <c r="A8784" s="4" t="s">
        <v>1</v>
      </c>
      <c r="B878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84" s="3" t="str">
        <f>HYPERLINK("https://otsuka-europe-crm.veevavault.com/ui/#object/sent_email__v/VBL00000000Q182", "SE-001391369")</f>
        <v>SE-001391369</v>
      </c>
      <c r="D8784" s="1">
        <v>45981.533750000002</v>
      </c>
      <c r="E8784" s="2">
        <v>1</v>
      </c>
      <c r="F8784" s="2">
        <v>1</v>
      </c>
      <c r="G8784" s="2">
        <v>0</v>
      </c>
      <c r="H8784" s="1" t="s">
        <v>0</v>
      </c>
      <c r="I8784" s="2">
        <v>0</v>
      </c>
      <c r="J8784" s="1">
        <v>45981.332499999997</v>
      </c>
    </row>
    <row r="8785" spans="1:10" x14ac:dyDescent="0.2">
      <c r="A8785" s="4" t="s">
        <v>1</v>
      </c>
      <c r="B878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85" s="3" t="str">
        <f>HYPERLINK("https://otsuka-europe-crm.veevavault.com/ui/#object/sent_email__v/VBL00000000Q183", "SE-001391370")</f>
        <v>SE-001391370</v>
      </c>
      <c r="D8785" s="1">
        <v>45981.332638888889</v>
      </c>
      <c r="E8785" s="2">
        <v>1</v>
      </c>
      <c r="F8785" s="2">
        <v>1</v>
      </c>
      <c r="G8785" s="2">
        <v>0</v>
      </c>
      <c r="H8785" s="1" t="s">
        <v>0</v>
      </c>
      <c r="I8785" s="2">
        <v>0</v>
      </c>
      <c r="J8785" s="1">
        <v>45981.33252314815</v>
      </c>
    </row>
    <row r="8786" spans="1:10" x14ac:dyDescent="0.2">
      <c r="A8786" s="4" t="s">
        <v>1</v>
      </c>
      <c r="B878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86" s="3" t="str">
        <f>HYPERLINK("https://otsuka-europe-crm.veevavault.com/ui/#object/sent_email__v/VBL00000000Q184", "SE-001391371")</f>
        <v>SE-001391371</v>
      </c>
      <c r="D8786" s="1">
        <v>45981.342650462961</v>
      </c>
      <c r="E8786" s="2">
        <v>1</v>
      </c>
      <c r="F8786" s="2">
        <v>1</v>
      </c>
      <c r="G8786" s="2">
        <v>0</v>
      </c>
      <c r="H8786" s="1" t="s">
        <v>0</v>
      </c>
      <c r="I8786" s="2">
        <v>0</v>
      </c>
      <c r="J8786" s="1">
        <v>45981.332557870373</v>
      </c>
    </row>
    <row r="8787" spans="1:10" x14ac:dyDescent="0.2">
      <c r="A8787" s="4" t="s">
        <v>1</v>
      </c>
      <c r="B878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87" s="3" t="str">
        <f>HYPERLINK("https://otsuka-europe-crm.veevavault.com/ui/#object/sent_email__v/VBL00000000Q185", "SE-001391372")</f>
        <v>SE-001391372</v>
      </c>
      <c r="D8787" s="1">
        <v>46042.750752314816</v>
      </c>
      <c r="E8787" s="2">
        <v>1</v>
      </c>
      <c r="F8787" s="2">
        <v>1</v>
      </c>
      <c r="G8787" s="2">
        <v>0</v>
      </c>
      <c r="H8787" s="1" t="s">
        <v>0</v>
      </c>
      <c r="I8787" s="2">
        <v>0</v>
      </c>
      <c r="J8787" s="1">
        <v>45981.332604166666</v>
      </c>
    </row>
    <row r="8788" spans="1:10" x14ac:dyDescent="0.2">
      <c r="A8788" s="4" t="s">
        <v>1</v>
      </c>
      <c r="B878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88" s="3" t="str">
        <f>HYPERLINK("https://otsuka-europe-crm.veevavault.com/ui/#object/sent_email__v/VBL00000000Q186", "SE-001391373")</f>
        <v>SE-001391373</v>
      </c>
      <c r="D8788" s="1">
        <v>45981.332754629628</v>
      </c>
      <c r="E8788" s="2">
        <v>1</v>
      </c>
      <c r="F8788" s="2">
        <v>1</v>
      </c>
      <c r="G8788" s="2">
        <v>0</v>
      </c>
      <c r="H8788" s="1" t="s">
        <v>0</v>
      </c>
      <c r="I8788" s="2">
        <v>0</v>
      </c>
      <c r="J8788" s="1">
        <v>45981.332638888889</v>
      </c>
    </row>
    <row r="8789" spans="1:10" x14ac:dyDescent="0.2">
      <c r="A8789" s="4" t="s">
        <v>1</v>
      </c>
      <c r="B878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89" s="3" t="str">
        <f>HYPERLINK("https://otsuka-europe-crm.veevavault.com/ui/#object/sent_email__v/VBL00000000Q187", "SE-001391374")</f>
        <v>SE-001391374</v>
      </c>
      <c r="D8789" s="1">
        <v>45986.149722222224</v>
      </c>
      <c r="E8789" s="2">
        <v>1</v>
      </c>
      <c r="F8789" s="2">
        <v>1</v>
      </c>
      <c r="G8789" s="2">
        <v>0</v>
      </c>
      <c r="H8789" s="1" t="s">
        <v>0</v>
      </c>
      <c r="I8789" s="2">
        <v>0</v>
      </c>
      <c r="J8789" s="1">
        <v>45981.332685185182</v>
      </c>
    </row>
    <row r="8790" spans="1:10" x14ac:dyDescent="0.2">
      <c r="A8790" s="4" t="s">
        <v>1</v>
      </c>
      <c r="B879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90" s="3" t="str">
        <f>HYPERLINK("https://otsuka-europe-crm.veevavault.com/ui/#object/sent_email__v/VBL00000000Q188", "SE-001391375")</f>
        <v>SE-001391375</v>
      </c>
      <c r="D8790" s="1">
        <v>45981.475752314815</v>
      </c>
      <c r="E8790" s="2">
        <v>1</v>
      </c>
      <c r="F8790" s="2">
        <v>1</v>
      </c>
      <c r="G8790" s="2">
        <v>0</v>
      </c>
      <c r="H8790" s="1" t="s">
        <v>0</v>
      </c>
      <c r="I8790" s="2">
        <v>0</v>
      </c>
      <c r="J8790" s="1">
        <v>45981.332719907405</v>
      </c>
    </row>
    <row r="8791" spans="1:10" x14ac:dyDescent="0.2">
      <c r="A8791" s="4" t="s">
        <v>1</v>
      </c>
      <c r="B879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91" s="3" t="str">
        <f>HYPERLINK("https://otsuka-europe-crm.veevavault.com/ui/#object/sent_email__v/VBL00000000Q189", "SE-001391376")</f>
        <v>SE-001391376</v>
      </c>
      <c r="D8791" s="1">
        <v>45981.332824074074</v>
      </c>
      <c r="E8791" s="2">
        <v>1</v>
      </c>
      <c r="F8791" s="2">
        <v>1</v>
      </c>
      <c r="G8791" s="2">
        <v>0</v>
      </c>
      <c r="H8791" s="1" t="s">
        <v>0</v>
      </c>
      <c r="I8791" s="2">
        <v>0</v>
      </c>
      <c r="J8791" s="1">
        <v>45981.332766203705</v>
      </c>
    </row>
    <row r="8792" spans="1:10" x14ac:dyDescent="0.2">
      <c r="A8792" s="4" t="s">
        <v>1</v>
      </c>
      <c r="B879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92" s="3" t="str">
        <f>HYPERLINK("https://otsuka-europe-crm.veevavault.com/ui/#object/sent_email__v/VBL00000000Q190", "SE-001391377")</f>
        <v>SE-001391377</v>
      </c>
      <c r="D8792" s="1">
        <v>46000.685393518521</v>
      </c>
      <c r="E8792" s="2">
        <v>1</v>
      </c>
      <c r="F8792" s="2">
        <v>2</v>
      </c>
      <c r="G8792" s="2">
        <v>0</v>
      </c>
      <c r="H8792" s="1" t="s">
        <v>0</v>
      </c>
      <c r="I8792" s="2">
        <v>0</v>
      </c>
      <c r="J8792" s="1">
        <v>45981.332800925928</v>
      </c>
    </row>
    <row r="8793" spans="1:10" x14ac:dyDescent="0.2">
      <c r="A8793" s="4" t="s">
        <v>1</v>
      </c>
      <c r="B879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93" s="3" t="str">
        <f>HYPERLINK("https://otsuka-europe-crm.veevavault.com/ui/#object/sent_email__v/VBL00000000Q191", "SE-001391378")</f>
        <v>SE-001391378</v>
      </c>
      <c r="D8793" s="1">
        <v>45986.952719907407</v>
      </c>
      <c r="E8793" s="2">
        <v>1</v>
      </c>
      <c r="F8793" s="2">
        <v>7</v>
      </c>
      <c r="G8793" s="2">
        <v>0</v>
      </c>
      <c r="H8793" s="1" t="s">
        <v>0</v>
      </c>
      <c r="I8793" s="2">
        <v>0</v>
      </c>
      <c r="J8793" s="1">
        <v>45981.33284722222</v>
      </c>
    </row>
    <row r="8794" spans="1:10" x14ac:dyDescent="0.2">
      <c r="A8794" s="4" t="s">
        <v>1</v>
      </c>
      <c r="B879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94" s="3" t="str">
        <f>HYPERLINK("https://otsuka-europe-crm.veevavault.com/ui/#object/sent_email__v/VBL00000000Q192", "SE-001391379")</f>
        <v>SE-001391379</v>
      </c>
      <c r="D8794" s="1" t="s">
        <v>0</v>
      </c>
      <c r="E8794" s="2">
        <v>0</v>
      </c>
      <c r="F8794" s="2">
        <v>0</v>
      </c>
      <c r="G8794" s="2">
        <v>0</v>
      </c>
      <c r="H8794" s="1" t="s">
        <v>0</v>
      </c>
      <c r="I8794" s="2">
        <v>0</v>
      </c>
      <c r="J8794" s="1">
        <v>45981.332881944443</v>
      </c>
    </row>
    <row r="8795" spans="1:10" x14ac:dyDescent="0.2">
      <c r="A8795" s="4" t="s">
        <v>1</v>
      </c>
      <c r="B879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95" s="3" t="str">
        <f>HYPERLINK("https://otsuka-europe-crm.veevavault.com/ui/#object/sent_email__v/VBL00000000Q193", "SE-001391380")</f>
        <v>SE-001391380</v>
      </c>
      <c r="D8795" s="1" t="s">
        <v>0</v>
      </c>
      <c r="E8795" s="2">
        <v>0</v>
      </c>
      <c r="F8795" s="2">
        <v>0</v>
      </c>
      <c r="G8795" s="2">
        <v>0</v>
      </c>
      <c r="H8795" s="1" t="s">
        <v>0</v>
      </c>
      <c r="I8795" s="2">
        <v>0</v>
      </c>
      <c r="J8795" s="1">
        <v>45981.332928240743</v>
      </c>
    </row>
    <row r="8796" spans="1:10" x14ac:dyDescent="0.2">
      <c r="A8796" s="4" t="s">
        <v>1</v>
      </c>
      <c r="B879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96" s="3" t="str">
        <f>HYPERLINK("https://otsuka-europe-crm.veevavault.com/ui/#object/sent_email__v/VBL00000000Q194", "SE-001391381")</f>
        <v>SE-001391381</v>
      </c>
      <c r="D8796" s="1">
        <v>45981.537476851852</v>
      </c>
      <c r="E8796" s="2">
        <v>1</v>
      </c>
      <c r="F8796" s="2">
        <v>1</v>
      </c>
      <c r="G8796" s="2">
        <v>0</v>
      </c>
      <c r="H8796" s="1" t="s">
        <v>0</v>
      </c>
      <c r="I8796" s="2">
        <v>0</v>
      </c>
      <c r="J8796" s="1">
        <v>45981.332962962966</v>
      </c>
    </row>
    <row r="8797" spans="1:10" x14ac:dyDescent="0.2">
      <c r="A8797" s="4" t="s">
        <v>1</v>
      </c>
      <c r="B879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97" s="3" t="str">
        <f>HYPERLINK("https://otsuka-europe-crm.veevavault.com/ui/#object/sent_email__v/VBL00000000Q195", "SE-001391382")</f>
        <v>SE-001391382</v>
      </c>
      <c r="D8797" s="1">
        <v>45982.029039351852</v>
      </c>
      <c r="E8797" s="2">
        <v>1</v>
      </c>
      <c r="F8797" s="2">
        <v>4</v>
      </c>
      <c r="G8797" s="2">
        <v>0</v>
      </c>
      <c r="H8797" s="1" t="s">
        <v>0</v>
      </c>
      <c r="I8797" s="2">
        <v>0</v>
      </c>
      <c r="J8797" s="1">
        <v>45981.333009259259</v>
      </c>
    </row>
    <row r="8798" spans="1:10" x14ac:dyDescent="0.2">
      <c r="A8798" s="4" t="s">
        <v>1</v>
      </c>
      <c r="B879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98" s="3" t="str">
        <f>HYPERLINK("https://otsuka-europe-crm.veevavault.com/ui/#object/sent_email__v/VBL00000000Q196", "SE-001391383")</f>
        <v>SE-001391383</v>
      </c>
      <c r="D8798" s="1">
        <v>46003.879930555559</v>
      </c>
      <c r="E8798" s="2">
        <v>1</v>
      </c>
      <c r="F8798" s="2">
        <v>2</v>
      </c>
      <c r="G8798" s="2">
        <v>0</v>
      </c>
      <c r="H8798" s="1" t="s">
        <v>0</v>
      </c>
      <c r="I8798" s="2">
        <v>0</v>
      </c>
      <c r="J8798" s="1">
        <v>45981.333055555559</v>
      </c>
    </row>
    <row r="8799" spans="1:10" x14ac:dyDescent="0.2">
      <c r="A8799" s="4" t="s">
        <v>1</v>
      </c>
      <c r="B879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799" s="3" t="str">
        <f>HYPERLINK("https://otsuka-europe-crm.veevavault.com/ui/#object/sent_email__v/VBL00000000Q197", "SE-001391384")</f>
        <v>SE-001391384</v>
      </c>
      <c r="D8799" s="1">
        <v>45985.91233796296</v>
      </c>
      <c r="E8799" s="2">
        <v>1</v>
      </c>
      <c r="F8799" s="2">
        <v>4</v>
      </c>
      <c r="G8799" s="2">
        <v>0</v>
      </c>
      <c r="H8799" s="1" t="s">
        <v>0</v>
      </c>
      <c r="I8799" s="2">
        <v>0</v>
      </c>
      <c r="J8799" s="1">
        <v>45981.333090277774</v>
      </c>
    </row>
    <row r="8800" spans="1:10" x14ac:dyDescent="0.2">
      <c r="A8800" s="4" t="s">
        <v>1</v>
      </c>
      <c r="B880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00" s="3" t="str">
        <f>HYPERLINK("https://otsuka-europe-crm.veevavault.com/ui/#object/sent_email__v/VBL00000000Q198", "SE-001391385")</f>
        <v>SE-001391385</v>
      </c>
      <c r="D8800" s="1" t="s">
        <v>0</v>
      </c>
      <c r="E8800" s="2">
        <v>0</v>
      </c>
      <c r="F8800" s="2">
        <v>0</v>
      </c>
      <c r="G8800" s="2">
        <v>0</v>
      </c>
      <c r="H8800" s="1" t="s">
        <v>0</v>
      </c>
      <c r="I8800" s="2">
        <v>0</v>
      </c>
      <c r="J8800" s="1">
        <v>45981.333136574074</v>
      </c>
    </row>
    <row r="8801" spans="1:10" x14ac:dyDescent="0.2">
      <c r="A8801" s="4" t="s">
        <v>1</v>
      </c>
      <c r="B880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01" s="3" t="str">
        <f>HYPERLINK("https://otsuka-europe-crm.veevavault.com/ui/#object/sent_email__v/VBL00000000Q199", "SE-001391386")</f>
        <v>SE-001391386</v>
      </c>
      <c r="D8801" s="1" t="s">
        <v>0</v>
      </c>
      <c r="E8801" s="2">
        <v>0</v>
      </c>
      <c r="F8801" s="2">
        <v>0</v>
      </c>
      <c r="G8801" s="2">
        <v>0</v>
      </c>
      <c r="H8801" s="1" t="s">
        <v>0</v>
      </c>
      <c r="I8801" s="2">
        <v>0</v>
      </c>
      <c r="J8801" s="1">
        <v>45981.333171296297</v>
      </c>
    </row>
    <row r="8802" spans="1:10" x14ac:dyDescent="0.2">
      <c r="A8802" s="4" t="s">
        <v>1</v>
      </c>
      <c r="B880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02" s="3" t="str">
        <f>HYPERLINK("https://otsuka-europe-crm.veevavault.com/ui/#object/sent_email__v/VBL00000000Q200", "SE-001391387")</f>
        <v>SE-001391387</v>
      </c>
      <c r="D8802" s="1">
        <v>45981.356203703705</v>
      </c>
      <c r="E8802" s="2">
        <v>1</v>
      </c>
      <c r="F8802" s="2">
        <v>1</v>
      </c>
      <c r="G8802" s="2">
        <v>0</v>
      </c>
      <c r="H8802" s="1" t="s">
        <v>0</v>
      </c>
      <c r="I8802" s="2">
        <v>0</v>
      </c>
      <c r="J8802" s="1">
        <v>45981.33321759259</v>
      </c>
    </row>
    <row r="8803" spans="1:10" x14ac:dyDescent="0.2">
      <c r="A8803" s="4" t="s">
        <v>1</v>
      </c>
      <c r="B880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03" s="3" t="str">
        <f>HYPERLINK("https://otsuka-europe-crm.veevavault.com/ui/#object/sent_email__v/VBL00000000Q201", "SE-001391388")</f>
        <v>SE-001391388</v>
      </c>
      <c r="D8803" s="1" t="s">
        <v>0</v>
      </c>
      <c r="E8803" s="2">
        <v>0</v>
      </c>
      <c r="F8803" s="2">
        <v>0</v>
      </c>
      <c r="G8803" s="2">
        <v>0</v>
      </c>
      <c r="H8803" s="1" t="s">
        <v>0</v>
      </c>
      <c r="I8803" s="2">
        <v>0</v>
      </c>
      <c r="J8803" s="1">
        <v>45981.333252314813</v>
      </c>
    </row>
    <row r="8804" spans="1:10" x14ac:dyDescent="0.2">
      <c r="A8804" s="4" t="s">
        <v>1</v>
      </c>
      <c r="B880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04" s="3" t="str">
        <f>HYPERLINK("https://otsuka-europe-crm.veevavault.com/ui/#object/sent_email__v/VBL00000000Q202", "SE-001391389")</f>
        <v>SE-001391389</v>
      </c>
      <c r="D8804" s="1">
        <v>45998.645509259259</v>
      </c>
      <c r="E8804" s="2">
        <v>1</v>
      </c>
      <c r="F8804" s="2">
        <v>2</v>
      </c>
      <c r="G8804" s="2">
        <v>0</v>
      </c>
      <c r="H8804" s="1" t="s">
        <v>0</v>
      </c>
      <c r="I8804" s="2">
        <v>0</v>
      </c>
      <c r="J8804" s="1">
        <v>45981.333298611113</v>
      </c>
    </row>
    <row r="8805" spans="1:10" x14ac:dyDescent="0.2">
      <c r="A8805" s="4" t="s">
        <v>1</v>
      </c>
      <c r="B880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05" s="3" t="str">
        <f>HYPERLINK("https://otsuka-europe-crm.veevavault.com/ui/#object/sent_email__v/VBL00000000Q203", "SE-001391390")</f>
        <v>SE-001391390</v>
      </c>
      <c r="D8805" s="1" t="s">
        <v>0</v>
      </c>
      <c r="E8805" s="2">
        <v>0</v>
      </c>
      <c r="F8805" s="2">
        <v>0</v>
      </c>
      <c r="G8805" s="2">
        <v>0</v>
      </c>
      <c r="H8805" s="1" t="s">
        <v>0</v>
      </c>
      <c r="I8805" s="2">
        <v>0</v>
      </c>
      <c r="J8805" s="1">
        <v>45981.333356481482</v>
      </c>
    </row>
    <row r="8806" spans="1:10" x14ac:dyDescent="0.2">
      <c r="A8806" s="4" t="s">
        <v>1</v>
      </c>
      <c r="B880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06" s="3" t="str">
        <f>HYPERLINK("https://otsuka-europe-crm.veevavault.com/ui/#object/sent_email__v/VBL00000000Q204", "SE-001391391")</f>
        <v>SE-001391391</v>
      </c>
      <c r="D8806" s="1" t="s">
        <v>0</v>
      </c>
      <c r="E8806" s="2">
        <v>0</v>
      </c>
      <c r="F8806" s="2">
        <v>0</v>
      </c>
      <c r="G8806" s="2">
        <v>0</v>
      </c>
      <c r="H8806" s="1" t="s">
        <v>0</v>
      </c>
      <c r="I8806" s="2">
        <v>0</v>
      </c>
      <c r="J8806" s="1">
        <v>45981.333414351851</v>
      </c>
    </row>
    <row r="8807" spans="1:10" x14ac:dyDescent="0.2">
      <c r="A8807" s="4" t="s">
        <v>1</v>
      </c>
      <c r="B880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07" s="3" t="str">
        <f>HYPERLINK("https://otsuka-europe-crm.veevavault.com/ui/#object/sent_email__v/VBL00000000R122", "SE-001391690")</f>
        <v>SE-001391690</v>
      </c>
      <c r="D8807" s="1" t="s">
        <v>0</v>
      </c>
      <c r="E8807" s="2">
        <v>0</v>
      </c>
      <c r="F8807" s="2">
        <v>0</v>
      </c>
      <c r="G8807" s="2">
        <v>0</v>
      </c>
      <c r="H8807" s="1" t="s">
        <v>0</v>
      </c>
      <c r="I8807" s="2">
        <v>0</v>
      </c>
      <c r="J8807" s="1">
        <v>45985.424953703703</v>
      </c>
    </row>
    <row r="8808" spans="1:10" x14ac:dyDescent="0.2">
      <c r="A8808" s="4" t="s">
        <v>1</v>
      </c>
      <c r="B880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08" s="3" t="str">
        <f>HYPERLINK("https://otsuka-europe-crm.veevavault.com/ui/#object/sent_email__v/VBL00000000R123", "SE-001391691")</f>
        <v>SE-001391691</v>
      </c>
      <c r="D8808" s="1" t="s">
        <v>0</v>
      </c>
      <c r="E8808" s="2">
        <v>0</v>
      </c>
      <c r="F8808" s="2">
        <v>0</v>
      </c>
      <c r="G8808" s="2">
        <v>0</v>
      </c>
      <c r="H8808" s="1" t="s">
        <v>0</v>
      </c>
      <c r="I8808" s="2">
        <v>0</v>
      </c>
      <c r="J8808" s="1">
        <v>45985.425520833334</v>
      </c>
    </row>
    <row r="8809" spans="1:10" x14ac:dyDescent="0.2">
      <c r="A8809" s="4" t="s">
        <v>1</v>
      </c>
      <c r="B880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09" s="3" t="str">
        <f>HYPERLINK("https://otsuka-europe-crm.veevavault.com/ui/#object/sent_email__v/VBL00000000S042", "SE-001391695")</f>
        <v>SE-001391695</v>
      </c>
      <c r="D8809" s="1" t="s">
        <v>0</v>
      </c>
      <c r="E8809" s="2">
        <v>0</v>
      </c>
      <c r="F8809" s="2">
        <v>0</v>
      </c>
      <c r="G8809" s="2">
        <v>0</v>
      </c>
      <c r="H8809" s="1" t="s">
        <v>0</v>
      </c>
      <c r="I8809" s="2">
        <v>0</v>
      </c>
      <c r="J8809" s="1">
        <v>45985.429664351854</v>
      </c>
    </row>
    <row r="8810" spans="1:10" x14ac:dyDescent="0.2">
      <c r="A8810" s="4" t="s">
        <v>1</v>
      </c>
      <c r="B881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10" s="3" t="str">
        <f>HYPERLINK("https://otsuka-europe-crm.veevavault.com/ui/#object/sent_email__v/VBL00000000S043", "SE-001391696")</f>
        <v>SE-001391696</v>
      </c>
      <c r="D8810" s="1" t="s">
        <v>0</v>
      </c>
      <c r="E8810" s="2">
        <v>0</v>
      </c>
      <c r="F8810" s="2">
        <v>0</v>
      </c>
      <c r="G8810" s="2">
        <v>0</v>
      </c>
      <c r="H8810" s="1" t="s">
        <v>0</v>
      </c>
      <c r="I8810" s="2">
        <v>0</v>
      </c>
      <c r="J8810" s="1">
        <v>45985.430173611108</v>
      </c>
    </row>
    <row r="8811" spans="1:10" x14ac:dyDescent="0.2">
      <c r="A8811" s="4" t="s">
        <v>1</v>
      </c>
      <c r="B881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11" s="3" t="str">
        <f>HYPERLINK("https://otsuka-europe-crm.veevavault.com/ui/#object/sent_email__v/VBL00000000R127", "SE-001391697")</f>
        <v>SE-001391697</v>
      </c>
      <c r="D8811" s="1" t="s">
        <v>0</v>
      </c>
      <c r="E8811" s="2">
        <v>0</v>
      </c>
      <c r="F8811" s="2">
        <v>0</v>
      </c>
      <c r="G8811" s="2">
        <v>0</v>
      </c>
      <c r="H8811" s="1" t="s">
        <v>0</v>
      </c>
      <c r="I8811" s="2">
        <v>0</v>
      </c>
      <c r="J8811" s="1">
        <v>45985.437037037038</v>
      </c>
    </row>
    <row r="8812" spans="1:10" x14ac:dyDescent="0.2">
      <c r="A8812" s="4" t="s">
        <v>1</v>
      </c>
      <c r="B881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12" s="3" t="str">
        <f>HYPERLINK("https://otsuka-europe-crm.veevavault.com/ui/#object/sent_email__v/VBL00000000R128", "SE-001391698")</f>
        <v>SE-001391698</v>
      </c>
      <c r="D8812" s="1" t="s">
        <v>0</v>
      </c>
      <c r="E8812" s="2">
        <v>0</v>
      </c>
      <c r="F8812" s="2">
        <v>0</v>
      </c>
      <c r="G8812" s="2">
        <v>0</v>
      </c>
      <c r="H8812" s="1" t="s">
        <v>0</v>
      </c>
      <c r="I8812" s="2">
        <v>0</v>
      </c>
      <c r="J8812" s="1">
        <v>45985.437476851854</v>
      </c>
    </row>
    <row r="8813" spans="1:10" x14ac:dyDescent="0.2">
      <c r="A8813" s="4" t="s">
        <v>1</v>
      </c>
      <c r="B881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13" s="3" t="str">
        <f>HYPERLINK("https://otsuka-europe-crm.veevavault.com/ui/#object/sent_email__v/VBL00000000R129", "SE-001391699")</f>
        <v>SE-001391699</v>
      </c>
      <c r="D8813" s="1" t="s">
        <v>0</v>
      </c>
      <c r="E8813" s="2">
        <v>0</v>
      </c>
      <c r="F8813" s="2">
        <v>0</v>
      </c>
      <c r="G8813" s="2">
        <v>0</v>
      </c>
      <c r="H8813" s="1" t="s">
        <v>0</v>
      </c>
      <c r="I8813" s="2">
        <v>0</v>
      </c>
      <c r="J8813" s="1">
        <v>45985.438009259262</v>
      </c>
    </row>
    <row r="8814" spans="1:10" x14ac:dyDescent="0.2">
      <c r="A8814" s="4" t="s">
        <v>1</v>
      </c>
      <c r="B881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14" s="3" t="str">
        <f>HYPERLINK("https://otsuka-europe-crm.veevavault.com/ui/#object/sent_email__v/VBL00000000R130", "SE-001391701")</f>
        <v>SE-001391701</v>
      </c>
      <c r="D8814" s="1" t="s">
        <v>0</v>
      </c>
      <c r="E8814" s="2">
        <v>0</v>
      </c>
      <c r="F8814" s="2">
        <v>0</v>
      </c>
      <c r="G8814" s="2">
        <v>0</v>
      </c>
      <c r="H8814" s="1" t="s">
        <v>0</v>
      </c>
      <c r="I8814" s="2">
        <v>0</v>
      </c>
      <c r="J8814" s="1">
        <v>45985.438425925924</v>
      </c>
    </row>
    <row r="8815" spans="1:10" x14ac:dyDescent="0.2">
      <c r="A8815" s="4" t="s">
        <v>1</v>
      </c>
      <c r="B881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15" s="3" t="str">
        <f>HYPERLINK("https://otsuka-europe-crm.veevavault.com/ui/#object/sent_email__v/VBL00000000R131", "SE-001391702")</f>
        <v>SE-001391702</v>
      </c>
      <c r="D8815" s="1" t="s">
        <v>0</v>
      </c>
      <c r="E8815" s="2">
        <v>0</v>
      </c>
      <c r="F8815" s="2">
        <v>0</v>
      </c>
      <c r="G8815" s="2">
        <v>0</v>
      </c>
      <c r="H8815" s="1" t="s">
        <v>0</v>
      </c>
      <c r="I8815" s="2">
        <v>0</v>
      </c>
      <c r="J8815" s="1">
        <v>45985.439189814817</v>
      </c>
    </row>
    <row r="8816" spans="1:10" x14ac:dyDescent="0.2">
      <c r="A8816" s="4" t="s">
        <v>1</v>
      </c>
      <c r="B881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16" s="3" t="str">
        <f>HYPERLINK("https://otsuka-europe-crm.veevavault.com/ui/#object/sent_email__v/VBL00000000R132", "SE-001391703")</f>
        <v>SE-001391703</v>
      </c>
      <c r="D8816" s="1" t="s">
        <v>0</v>
      </c>
      <c r="E8816" s="2">
        <v>0</v>
      </c>
      <c r="F8816" s="2">
        <v>0</v>
      </c>
      <c r="G8816" s="2">
        <v>0</v>
      </c>
      <c r="H8816" s="1" t="s">
        <v>0</v>
      </c>
      <c r="I8816" s="2">
        <v>0</v>
      </c>
      <c r="J8816" s="1">
        <v>45985.440243055556</v>
      </c>
    </row>
    <row r="8817" spans="1:10" x14ac:dyDescent="0.2">
      <c r="A8817" s="4" t="s">
        <v>1</v>
      </c>
      <c r="B881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17" s="3" t="str">
        <f>HYPERLINK("https://otsuka-europe-crm.veevavault.com/ui/#object/sent_email__v/VBL00000000R134", "SE-001391705")</f>
        <v>SE-001391705</v>
      </c>
      <c r="D8817" s="1" t="s">
        <v>0</v>
      </c>
      <c r="E8817" s="2">
        <v>0</v>
      </c>
      <c r="F8817" s="2">
        <v>0</v>
      </c>
      <c r="G8817" s="2">
        <v>0</v>
      </c>
      <c r="H8817" s="1" t="s">
        <v>0</v>
      </c>
      <c r="I8817" s="2">
        <v>0</v>
      </c>
      <c r="J8817" s="1">
        <v>45985.441284722219</v>
      </c>
    </row>
    <row r="8818" spans="1:10" x14ac:dyDescent="0.2">
      <c r="A8818" s="4" t="s">
        <v>1</v>
      </c>
      <c r="B881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18" s="3" t="str">
        <f>HYPERLINK("https://otsuka-europe-crm.veevavault.com/ui/#object/sent_email__v/VBL00000000R135", "SE-001391706")</f>
        <v>SE-001391706</v>
      </c>
      <c r="D8818" s="1" t="s">
        <v>0</v>
      </c>
      <c r="E8818" s="2">
        <v>0</v>
      </c>
      <c r="F8818" s="2">
        <v>0</v>
      </c>
      <c r="G8818" s="2">
        <v>0</v>
      </c>
      <c r="H8818" s="1" t="s">
        <v>0</v>
      </c>
      <c r="I8818" s="2">
        <v>0</v>
      </c>
      <c r="J8818" s="1">
        <v>45985.441284722219</v>
      </c>
    </row>
    <row r="8819" spans="1:10" x14ac:dyDescent="0.2">
      <c r="A8819" s="4" t="s">
        <v>1</v>
      </c>
      <c r="B881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19" s="3" t="str">
        <f>HYPERLINK("https://otsuka-europe-crm.veevavault.com/ui/#object/sent_email__v/VBL00000000R328", "SE-001391960")</f>
        <v>SE-001391960</v>
      </c>
      <c r="D8819" s="1" t="s">
        <v>0</v>
      </c>
      <c r="E8819" s="2">
        <v>0</v>
      </c>
      <c r="F8819" s="2">
        <v>0</v>
      </c>
      <c r="G8819" s="2">
        <v>0</v>
      </c>
      <c r="H8819" s="1" t="s">
        <v>0</v>
      </c>
      <c r="I8819" s="2">
        <v>0</v>
      </c>
      <c r="J8819" s="1">
        <v>45988.407337962963</v>
      </c>
    </row>
    <row r="8820" spans="1:10" x14ac:dyDescent="0.2">
      <c r="A8820" s="4" t="s">
        <v>1</v>
      </c>
      <c r="B882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20" s="3" t="str">
        <f>HYPERLINK("https://otsuka-europe-crm.veevavault.com/ui/#object/sent_email__v/VBL00000000R329", "SE-001391961")</f>
        <v>SE-001391961</v>
      </c>
      <c r="D8820" s="1" t="s">
        <v>0</v>
      </c>
      <c r="E8820" s="2">
        <v>0</v>
      </c>
      <c r="F8820" s="2">
        <v>0</v>
      </c>
      <c r="G8820" s="2">
        <v>0</v>
      </c>
      <c r="H8820" s="1" t="s">
        <v>0</v>
      </c>
      <c r="I8820" s="2">
        <v>0</v>
      </c>
      <c r="J8820" s="1">
        <v>45988.407349537039</v>
      </c>
    </row>
    <row r="8821" spans="1:10" x14ac:dyDescent="0.2">
      <c r="A8821" s="4" t="s">
        <v>1</v>
      </c>
      <c r="B882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21" s="3" t="str">
        <f>HYPERLINK("https://otsuka-europe-crm.veevavault.com/ui/#object/sent_email__v/VBL00000000R330", "SE-001391962")</f>
        <v>SE-001391962</v>
      </c>
      <c r="D8821" s="1" t="s">
        <v>0</v>
      </c>
      <c r="E8821" s="2">
        <v>0</v>
      </c>
      <c r="F8821" s="2">
        <v>0</v>
      </c>
      <c r="G8821" s="2">
        <v>0</v>
      </c>
      <c r="H8821" s="1" t="s">
        <v>0</v>
      </c>
      <c r="I8821" s="2">
        <v>0</v>
      </c>
      <c r="J8821" s="1">
        <v>45988.407349537039</v>
      </c>
    </row>
    <row r="8822" spans="1:10" x14ac:dyDescent="0.2">
      <c r="A8822" s="4" t="s">
        <v>1</v>
      </c>
      <c r="B882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22" s="3" t="str">
        <f>HYPERLINK("https://otsuka-europe-crm.veevavault.com/ui/#object/sent_email__v/VBL00000000R331", "SE-001391963")</f>
        <v>SE-001391963</v>
      </c>
      <c r="D8822" s="1" t="s">
        <v>0</v>
      </c>
      <c r="E8822" s="2">
        <v>0</v>
      </c>
      <c r="F8822" s="2">
        <v>0</v>
      </c>
      <c r="G8822" s="2">
        <v>0</v>
      </c>
      <c r="H8822" s="1" t="s">
        <v>0</v>
      </c>
      <c r="I8822" s="2">
        <v>0</v>
      </c>
      <c r="J8822" s="1">
        <v>45988.407372685186</v>
      </c>
    </row>
    <row r="8823" spans="1:10" x14ac:dyDescent="0.2">
      <c r="A8823" s="4" t="s">
        <v>1</v>
      </c>
      <c r="B882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23" s="3" t="str">
        <f>HYPERLINK("https://otsuka-europe-crm.veevavault.com/ui/#object/sent_email__v/VBL00000000R332", "SE-001391964")</f>
        <v>SE-001391964</v>
      </c>
      <c r="D8823" s="1" t="s">
        <v>0</v>
      </c>
      <c r="E8823" s="2">
        <v>0</v>
      </c>
      <c r="F8823" s="2">
        <v>0</v>
      </c>
      <c r="G8823" s="2">
        <v>0</v>
      </c>
      <c r="H8823" s="1" t="s">
        <v>0</v>
      </c>
      <c r="I8823" s="2">
        <v>0</v>
      </c>
      <c r="J8823" s="1">
        <v>45988.407349537039</v>
      </c>
    </row>
    <row r="8824" spans="1:10" x14ac:dyDescent="0.2">
      <c r="A8824" s="4" t="s">
        <v>1</v>
      </c>
      <c r="B882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24" s="3" t="str">
        <f>HYPERLINK("https://otsuka-europe-crm.veevavault.com/ui/#object/sent_email__v/VBL00000000R333", "SE-001391965")</f>
        <v>SE-001391965</v>
      </c>
      <c r="D8824" s="1" t="s">
        <v>0</v>
      </c>
      <c r="E8824" s="2">
        <v>0</v>
      </c>
      <c r="F8824" s="2">
        <v>0</v>
      </c>
      <c r="G8824" s="2">
        <v>0</v>
      </c>
      <c r="H8824" s="1" t="s">
        <v>0</v>
      </c>
      <c r="I8824" s="2">
        <v>0</v>
      </c>
      <c r="J8824" s="1">
        <v>45988.407349537039</v>
      </c>
    </row>
    <row r="8825" spans="1:10" x14ac:dyDescent="0.2">
      <c r="A8825" s="4" t="s">
        <v>1</v>
      </c>
      <c r="B882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25" s="3" t="str">
        <f>HYPERLINK("https://otsuka-europe-crm.veevavault.com/ui/#object/sent_email__v/VBL00000000R334", "SE-001391966")</f>
        <v>SE-001391966</v>
      </c>
      <c r="D8825" s="1" t="s">
        <v>0</v>
      </c>
      <c r="E8825" s="2">
        <v>0</v>
      </c>
      <c r="F8825" s="2">
        <v>0</v>
      </c>
      <c r="G8825" s="2">
        <v>0</v>
      </c>
      <c r="H8825" s="1" t="s">
        <v>0</v>
      </c>
      <c r="I8825" s="2">
        <v>0</v>
      </c>
      <c r="J8825" s="1">
        <v>45988.407361111109</v>
      </c>
    </row>
    <row r="8826" spans="1:10" x14ac:dyDescent="0.2">
      <c r="A8826" s="4" t="s">
        <v>1</v>
      </c>
      <c r="B882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26" s="3" t="str">
        <f>HYPERLINK("https://otsuka-europe-crm.veevavault.com/ui/#object/sent_email__v/VBL00000000R335", "SE-001391967")</f>
        <v>SE-001391967</v>
      </c>
      <c r="D8826" s="1" t="s">
        <v>0</v>
      </c>
      <c r="E8826" s="2">
        <v>0</v>
      </c>
      <c r="F8826" s="2">
        <v>0</v>
      </c>
      <c r="G8826" s="2">
        <v>0</v>
      </c>
      <c r="H8826" s="1" t="s">
        <v>0</v>
      </c>
      <c r="I8826" s="2">
        <v>0</v>
      </c>
      <c r="J8826" s="1">
        <v>45988.407349537039</v>
      </c>
    </row>
    <row r="8827" spans="1:10" x14ac:dyDescent="0.2">
      <c r="A8827" s="4" t="s">
        <v>1</v>
      </c>
      <c r="B882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27" s="3" t="str">
        <f>HYPERLINK("https://otsuka-europe-crm.veevavault.com/ui/#object/sent_email__v/VBL00000000R336", "SE-001391968")</f>
        <v>SE-001391968</v>
      </c>
      <c r="D8827" s="1" t="s">
        <v>0</v>
      </c>
      <c r="E8827" s="2">
        <v>0</v>
      </c>
      <c r="F8827" s="2">
        <v>0</v>
      </c>
      <c r="G8827" s="2">
        <v>0</v>
      </c>
      <c r="H8827" s="1" t="s">
        <v>0</v>
      </c>
      <c r="I8827" s="2">
        <v>0</v>
      </c>
      <c r="J8827" s="1">
        <v>45988.407372685186</v>
      </c>
    </row>
    <row r="8828" spans="1:10" x14ac:dyDescent="0.2">
      <c r="A8828" s="4" t="s">
        <v>1</v>
      </c>
      <c r="B882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28" s="3" t="str">
        <f>HYPERLINK("https://otsuka-europe-crm.veevavault.com/ui/#object/sent_email__v/VBL00000000R337", "SE-001391969")</f>
        <v>SE-001391969</v>
      </c>
      <c r="D8828" s="1" t="s">
        <v>0</v>
      </c>
      <c r="E8828" s="2">
        <v>0</v>
      </c>
      <c r="F8828" s="2">
        <v>0</v>
      </c>
      <c r="G8828" s="2">
        <v>0</v>
      </c>
      <c r="H8828" s="1" t="s">
        <v>0</v>
      </c>
      <c r="I8828" s="2">
        <v>0</v>
      </c>
      <c r="J8828" s="1">
        <v>45988.407349537039</v>
      </c>
    </row>
    <row r="8829" spans="1:10" x14ac:dyDescent="0.2">
      <c r="A8829" s="4" t="s">
        <v>1</v>
      </c>
      <c r="B882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29" s="3" t="str">
        <f>HYPERLINK("https://otsuka-europe-crm.veevavault.com/ui/#object/sent_email__v/VBL00000000R338", "SE-001391970")</f>
        <v>SE-001391970</v>
      </c>
      <c r="D8829" s="1" t="s">
        <v>0</v>
      </c>
      <c r="E8829" s="2">
        <v>0</v>
      </c>
      <c r="F8829" s="2">
        <v>0</v>
      </c>
      <c r="G8829" s="2">
        <v>0</v>
      </c>
      <c r="H8829" s="1" t="s">
        <v>0</v>
      </c>
      <c r="I8829" s="2">
        <v>0</v>
      </c>
      <c r="J8829" s="1">
        <v>45988.407361111109</v>
      </c>
    </row>
    <row r="8830" spans="1:10" x14ac:dyDescent="0.2">
      <c r="A8830" s="4" t="s">
        <v>1</v>
      </c>
      <c r="B883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30" s="3" t="str">
        <f>HYPERLINK("https://otsuka-europe-crm.veevavault.com/ui/#object/sent_email__v/VBL00000000R339", "SE-001391971")</f>
        <v>SE-001391971</v>
      </c>
      <c r="D8830" s="1" t="s">
        <v>0</v>
      </c>
      <c r="E8830" s="2">
        <v>0</v>
      </c>
      <c r="F8830" s="2">
        <v>0</v>
      </c>
      <c r="G8830" s="2">
        <v>0</v>
      </c>
      <c r="H8830" s="1" t="s">
        <v>0</v>
      </c>
      <c r="I8830" s="2">
        <v>0</v>
      </c>
      <c r="J8830" s="1">
        <v>45988.407349537039</v>
      </c>
    </row>
    <row r="8831" spans="1:10" x14ac:dyDescent="0.2">
      <c r="A8831" s="4" t="s">
        <v>1</v>
      </c>
      <c r="B883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31" s="3" t="str">
        <f>HYPERLINK("https://otsuka-europe-crm.veevavault.com/ui/#object/sent_email__v/VBL00000000R340", "SE-001391972")</f>
        <v>SE-001391972</v>
      </c>
      <c r="D8831" s="1" t="s">
        <v>0</v>
      </c>
      <c r="E8831" s="2">
        <v>0</v>
      </c>
      <c r="F8831" s="2">
        <v>0</v>
      </c>
      <c r="G8831" s="2">
        <v>0</v>
      </c>
      <c r="H8831" s="1" t="s">
        <v>0</v>
      </c>
      <c r="I8831" s="2">
        <v>0</v>
      </c>
      <c r="J8831" s="1">
        <v>45988.407361111109</v>
      </c>
    </row>
    <row r="8832" spans="1:10" x14ac:dyDescent="0.2">
      <c r="A8832" s="4" t="s">
        <v>1</v>
      </c>
      <c r="B883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32" s="3" t="str">
        <f>HYPERLINK("https://otsuka-europe-crm.veevavault.com/ui/#object/sent_email__v/VBL00000000R341", "SE-001391973")</f>
        <v>SE-001391973</v>
      </c>
      <c r="D8832" s="1" t="s">
        <v>0</v>
      </c>
      <c r="E8832" s="2">
        <v>0</v>
      </c>
      <c r="F8832" s="2">
        <v>0</v>
      </c>
      <c r="G8832" s="2">
        <v>0</v>
      </c>
      <c r="H8832" s="1" t="s">
        <v>0</v>
      </c>
      <c r="I8832" s="2">
        <v>0</v>
      </c>
      <c r="J8832" s="1">
        <v>45988.407361111109</v>
      </c>
    </row>
    <row r="8833" spans="1:10" x14ac:dyDescent="0.2">
      <c r="A8833" s="4" t="s">
        <v>1</v>
      </c>
      <c r="B883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33" s="3" t="str">
        <f>HYPERLINK("https://otsuka-europe-crm.veevavault.com/ui/#object/sent_email__v/VBL00000000R342", "SE-001391974")</f>
        <v>SE-001391974</v>
      </c>
      <c r="D8833" s="1" t="s">
        <v>0</v>
      </c>
      <c r="E8833" s="2">
        <v>0</v>
      </c>
      <c r="F8833" s="2">
        <v>0</v>
      </c>
      <c r="G8833" s="2">
        <v>0</v>
      </c>
      <c r="H8833" s="1" t="s">
        <v>0</v>
      </c>
      <c r="I8833" s="2">
        <v>0</v>
      </c>
      <c r="J8833" s="1">
        <v>45988.407361111109</v>
      </c>
    </row>
    <row r="8834" spans="1:10" x14ac:dyDescent="0.2">
      <c r="A8834" s="4" t="s">
        <v>1</v>
      </c>
      <c r="B883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34" s="3" t="str">
        <f>HYPERLINK("https://otsuka-europe-crm.veevavault.com/ui/#object/sent_email__v/VBL00000000R343", "SE-001391975")</f>
        <v>SE-001391975</v>
      </c>
      <c r="D8834" s="1" t="s">
        <v>0</v>
      </c>
      <c r="E8834" s="2">
        <v>0</v>
      </c>
      <c r="F8834" s="2">
        <v>0</v>
      </c>
      <c r="G8834" s="2">
        <v>0</v>
      </c>
      <c r="H8834" s="1" t="s">
        <v>0</v>
      </c>
      <c r="I8834" s="2">
        <v>0</v>
      </c>
      <c r="J8834" s="1">
        <v>45988.407361111109</v>
      </c>
    </row>
    <row r="8835" spans="1:10" x14ac:dyDescent="0.2">
      <c r="A8835" s="4" t="s">
        <v>1</v>
      </c>
      <c r="B883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35" s="3" t="str">
        <f>HYPERLINK("https://otsuka-europe-crm.veevavault.com/ui/#object/sent_email__v/VBL00000000R344", "SE-001391976")</f>
        <v>SE-001391976</v>
      </c>
      <c r="D8835" s="1" t="s">
        <v>0</v>
      </c>
      <c r="E8835" s="2">
        <v>0</v>
      </c>
      <c r="F8835" s="2">
        <v>0</v>
      </c>
      <c r="G8835" s="2">
        <v>0</v>
      </c>
      <c r="H8835" s="1" t="s">
        <v>0</v>
      </c>
      <c r="I8835" s="2">
        <v>0</v>
      </c>
      <c r="J8835" s="1">
        <v>45988.407361111109</v>
      </c>
    </row>
    <row r="8836" spans="1:10" x14ac:dyDescent="0.2">
      <c r="A8836" s="4" t="s">
        <v>1</v>
      </c>
      <c r="B883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36" s="3" t="str">
        <f>HYPERLINK("https://otsuka-europe-crm.veevavault.com/ui/#object/sent_email__v/VBL00000000R345", "SE-001391977")</f>
        <v>SE-001391977</v>
      </c>
      <c r="D8836" s="1" t="s">
        <v>0</v>
      </c>
      <c r="E8836" s="2">
        <v>0</v>
      </c>
      <c r="F8836" s="2">
        <v>0</v>
      </c>
      <c r="G8836" s="2">
        <v>0</v>
      </c>
      <c r="H8836" s="1" t="s">
        <v>0</v>
      </c>
      <c r="I8836" s="2">
        <v>0</v>
      </c>
      <c r="J8836" s="1">
        <v>45988.407361111109</v>
      </c>
    </row>
    <row r="8837" spans="1:10" x14ac:dyDescent="0.2">
      <c r="A8837" s="4" t="s">
        <v>1</v>
      </c>
      <c r="B883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37" s="3" t="str">
        <f>HYPERLINK("https://otsuka-europe-crm.veevavault.com/ui/#object/sent_email__v/VBL00000000R346", "SE-001391978")</f>
        <v>SE-001391978</v>
      </c>
      <c r="D8837" s="1" t="s">
        <v>0</v>
      </c>
      <c r="E8837" s="2">
        <v>0</v>
      </c>
      <c r="F8837" s="2">
        <v>0</v>
      </c>
      <c r="G8837" s="2">
        <v>0</v>
      </c>
      <c r="H8837" s="1" t="s">
        <v>0</v>
      </c>
      <c r="I8837" s="2">
        <v>0</v>
      </c>
      <c r="J8837" s="1">
        <v>45988.407361111109</v>
      </c>
    </row>
    <row r="8838" spans="1:10" x14ac:dyDescent="0.2">
      <c r="A8838" s="4" t="s">
        <v>1</v>
      </c>
      <c r="B883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38" s="3" t="str">
        <f>HYPERLINK("https://otsuka-europe-crm.veevavault.com/ui/#object/sent_email__v/VBL00000000R347", "SE-001391979")</f>
        <v>SE-001391979</v>
      </c>
      <c r="D8838" s="1" t="s">
        <v>0</v>
      </c>
      <c r="E8838" s="2">
        <v>0</v>
      </c>
      <c r="F8838" s="2">
        <v>0</v>
      </c>
      <c r="G8838" s="2">
        <v>0</v>
      </c>
      <c r="H8838" s="1" t="s">
        <v>0</v>
      </c>
      <c r="I8838" s="2">
        <v>0</v>
      </c>
      <c r="J8838" s="1">
        <v>45988.407361111109</v>
      </c>
    </row>
    <row r="8839" spans="1:10" x14ac:dyDescent="0.2">
      <c r="A8839" s="4" t="s">
        <v>1</v>
      </c>
      <c r="B883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39" s="3" t="str">
        <f>HYPERLINK("https://otsuka-europe-crm.veevavault.com/ui/#object/sent_email__v/VBL00000000R348", "SE-001391980")</f>
        <v>SE-001391980</v>
      </c>
      <c r="D8839" s="1" t="s">
        <v>0</v>
      </c>
      <c r="E8839" s="2">
        <v>0</v>
      </c>
      <c r="F8839" s="2">
        <v>0</v>
      </c>
      <c r="G8839" s="2">
        <v>0</v>
      </c>
      <c r="H8839" s="1" t="s">
        <v>0</v>
      </c>
      <c r="I8839" s="2">
        <v>0</v>
      </c>
      <c r="J8839" s="1">
        <v>45988.407361111109</v>
      </c>
    </row>
    <row r="8840" spans="1:10" x14ac:dyDescent="0.2">
      <c r="A8840" s="4" t="s">
        <v>1</v>
      </c>
      <c r="B884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40" s="3" t="str">
        <f>HYPERLINK("https://otsuka-europe-crm.veevavault.com/ui/#object/sent_email__v/VBL00000000R349", "SE-001391981")</f>
        <v>SE-001391981</v>
      </c>
      <c r="D8840" s="1" t="s">
        <v>0</v>
      </c>
      <c r="E8840" s="2">
        <v>0</v>
      </c>
      <c r="F8840" s="2">
        <v>0</v>
      </c>
      <c r="G8840" s="2">
        <v>0</v>
      </c>
      <c r="H8840" s="1" t="s">
        <v>0</v>
      </c>
      <c r="I8840" s="2">
        <v>0</v>
      </c>
      <c r="J8840" s="1">
        <v>45988.407361111109</v>
      </c>
    </row>
    <row r="8841" spans="1:10" x14ac:dyDescent="0.2">
      <c r="A8841" s="4" t="s">
        <v>1</v>
      </c>
      <c r="B884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41" s="3" t="str">
        <f>HYPERLINK("https://otsuka-europe-crm.veevavault.com/ui/#object/sent_email__v/VBL00000000R350", "SE-001391982")</f>
        <v>SE-001391982</v>
      </c>
      <c r="D8841" s="1" t="s">
        <v>0</v>
      </c>
      <c r="E8841" s="2">
        <v>0</v>
      </c>
      <c r="F8841" s="2">
        <v>0</v>
      </c>
      <c r="G8841" s="2">
        <v>0</v>
      </c>
      <c r="H8841" s="1" t="s">
        <v>0</v>
      </c>
      <c r="I8841" s="2">
        <v>0</v>
      </c>
      <c r="J8841" s="1">
        <v>45988.407361111109</v>
      </c>
    </row>
    <row r="8842" spans="1:10" x14ac:dyDescent="0.2">
      <c r="A8842" s="4" t="s">
        <v>1</v>
      </c>
      <c r="B884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42" s="3" t="str">
        <f>HYPERLINK("https://otsuka-europe-crm.veevavault.com/ui/#object/sent_email__v/VBL00000000R351", "SE-001391983")</f>
        <v>SE-001391983</v>
      </c>
      <c r="D8842" s="1" t="s">
        <v>0</v>
      </c>
      <c r="E8842" s="2">
        <v>0</v>
      </c>
      <c r="F8842" s="2">
        <v>0</v>
      </c>
      <c r="G8842" s="2">
        <v>0</v>
      </c>
      <c r="H8842" s="1" t="s">
        <v>0</v>
      </c>
      <c r="I8842" s="2">
        <v>0</v>
      </c>
      <c r="J8842" s="1">
        <v>45988.407372685186</v>
      </c>
    </row>
    <row r="8843" spans="1:10" x14ac:dyDescent="0.2">
      <c r="A8843" s="4" t="s">
        <v>1</v>
      </c>
      <c r="B884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43" s="3" t="str">
        <f>HYPERLINK("https://otsuka-europe-crm.veevavault.com/ui/#object/sent_email__v/VBL00000000R352", "SE-001391984")</f>
        <v>SE-001391984</v>
      </c>
      <c r="D8843" s="1" t="s">
        <v>0</v>
      </c>
      <c r="E8843" s="2">
        <v>0</v>
      </c>
      <c r="F8843" s="2">
        <v>0</v>
      </c>
      <c r="G8843" s="2">
        <v>0</v>
      </c>
      <c r="H8843" s="1" t="s">
        <v>0</v>
      </c>
      <c r="I8843" s="2">
        <v>0</v>
      </c>
      <c r="J8843" s="1">
        <v>45988.407372685186</v>
      </c>
    </row>
    <row r="8844" spans="1:10" x14ac:dyDescent="0.2">
      <c r="A8844" s="4" t="s">
        <v>1</v>
      </c>
      <c r="B884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44" s="3" t="str">
        <f>HYPERLINK("https://otsuka-europe-crm.veevavault.com/ui/#object/sent_email__v/VBL00000000R417", "SE-001392034")</f>
        <v>SE-001392034</v>
      </c>
      <c r="D8844" s="1">
        <v>45989.668020833335</v>
      </c>
      <c r="E8844" s="2">
        <v>1</v>
      </c>
      <c r="F8844" s="2">
        <v>1</v>
      </c>
      <c r="G8844" s="2">
        <v>0</v>
      </c>
      <c r="H8844" s="1" t="s">
        <v>0</v>
      </c>
      <c r="I8844" s="2">
        <v>0</v>
      </c>
      <c r="J8844" s="1">
        <v>45989.430312500001</v>
      </c>
    </row>
    <row r="8845" spans="1:10" x14ac:dyDescent="0.2">
      <c r="A8845" s="4" t="s">
        <v>1</v>
      </c>
      <c r="B884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45" s="3" t="str">
        <f>HYPERLINK("https://otsuka-europe-crm.veevavault.com/ui/#object/sent_email__v/VBL00000000R418", "SE-001392035")</f>
        <v>SE-001392035</v>
      </c>
      <c r="D8845" s="1" t="s">
        <v>0</v>
      </c>
      <c r="E8845" s="2">
        <v>0</v>
      </c>
      <c r="F8845" s="2">
        <v>0</v>
      </c>
      <c r="G8845" s="2">
        <v>0</v>
      </c>
      <c r="H8845" s="1" t="s">
        <v>0</v>
      </c>
      <c r="I8845" s="2">
        <v>0</v>
      </c>
      <c r="J8845" s="1">
        <v>45989.430358796293</v>
      </c>
    </row>
    <row r="8846" spans="1:10" x14ac:dyDescent="0.2">
      <c r="A8846" s="4" t="s">
        <v>1</v>
      </c>
      <c r="B884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46" s="3" t="str">
        <f>HYPERLINK("https://otsuka-europe-crm.veevavault.com/ui/#object/sent_email__v/VBL00000000R419", "SE-001392036")</f>
        <v>SE-001392036</v>
      </c>
      <c r="D8846" s="1" t="s">
        <v>0</v>
      </c>
      <c r="E8846" s="2">
        <v>0</v>
      </c>
      <c r="F8846" s="2">
        <v>0</v>
      </c>
      <c r="G8846" s="2">
        <v>0</v>
      </c>
      <c r="H8846" s="1" t="s">
        <v>0</v>
      </c>
      <c r="I8846" s="2">
        <v>0</v>
      </c>
      <c r="J8846" s="1">
        <v>45989.43236111111</v>
      </c>
    </row>
    <row r="8847" spans="1:10" x14ac:dyDescent="0.2">
      <c r="A8847" s="4" t="s">
        <v>1</v>
      </c>
      <c r="B884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47" s="3" t="str">
        <f>HYPERLINK("https://otsuka-europe-crm.veevavault.com/ui/#object/sent_email__v/VBL00000000R420", "SE-001392037")</f>
        <v>SE-001392037</v>
      </c>
      <c r="D8847" s="1">
        <v>45989.484189814815</v>
      </c>
      <c r="E8847" s="2">
        <v>1</v>
      </c>
      <c r="F8847" s="2">
        <v>2</v>
      </c>
      <c r="G8847" s="2">
        <v>0</v>
      </c>
      <c r="H8847" s="1" t="s">
        <v>0</v>
      </c>
      <c r="I8847" s="2">
        <v>0</v>
      </c>
      <c r="J8847" s="1">
        <v>45989.43240740741</v>
      </c>
    </row>
    <row r="8848" spans="1:10" x14ac:dyDescent="0.2">
      <c r="A8848" s="4" t="s">
        <v>1</v>
      </c>
      <c r="B884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48" s="3" t="str">
        <f>HYPERLINK("https://otsuka-europe-crm.veevavault.com/ui/#object/sent_email__v/VBL00000000R421", "SE-001392038")</f>
        <v>SE-001392038</v>
      </c>
      <c r="D8848" s="1" t="s">
        <v>0</v>
      </c>
      <c r="E8848" s="2">
        <v>0</v>
      </c>
      <c r="F8848" s="2">
        <v>0</v>
      </c>
      <c r="G8848" s="2">
        <v>0</v>
      </c>
      <c r="H8848" s="1" t="s">
        <v>0</v>
      </c>
      <c r="I8848" s="2">
        <v>0</v>
      </c>
      <c r="J8848" s="1">
        <v>45989.432430555556</v>
      </c>
    </row>
    <row r="8849" spans="1:10" x14ac:dyDescent="0.2">
      <c r="A8849" s="4" t="s">
        <v>1</v>
      </c>
      <c r="B884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49" s="3" t="str">
        <f>HYPERLINK("https://otsuka-europe-crm.veevavault.com/ui/#object/sent_email__v/VBL00000000R422", "SE-001392039")</f>
        <v>SE-001392039</v>
      </c>
      <c r="D8849" s="1">
        <v>45990.488113425927</v>
      </c>
      <c r="E8849" s="2">
        <v>1</v>
      </c>
      <c r="F8849" s="2">
        <v>2</v>
      </c>
      <c r="G8849" s="2">
        <v>0</v>
      </c>
      <c r="H8849" s="1" t="s">
        <v>0</v>
      </c>
      <c r="I8849" s="2">
        <v>0</v>
      </c>
      <c r="J8849" s="1">
        <v>45989.433761574073</v>
      </c>
    </row>
    <row r="8850" spans="1:10" x14ac:dyDescent="0.2">
      <c r="A8850" s="4" t="s">
        <v>1</v>
      </c>
      <c r="B885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50" s="3" t="str">
        <f>HYPERLINK("https://otsuka-europe-crm.veevavault.com/ui/#object/sent_email__v/VBL00000000R423", "SE-001392040")</f>
        <v>SE-001392040</v>
      </c>
      <c r="D8850" s="1">
        <v>45989.56559027778</v>
      </c>
      <c r="E8850" s="2">
        <v>1</v>
      </c>
      <c r="F8850" s="2">
        <v>3</v>
      </c>
      <c r="G8850" s="2">
        <v>0</v>
      </c>
      <c r="H8850" s="1" t="s">
        <v>0</v>
      </c>
      <c r="I8850" s="2">
        <v>0</v>
      </c>
      <c r="J8850" s="1">
        <v>45989.43377314815</v>
      </c>
    </row>
    <row r="8851" spans="1:10" x14ac:dyDescent="0.2">
      <c r="A8851" s="4" t="s">
        <v>1</v>
      </c>
      <c r="B885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51" s="3" t="str">
        <f>HYPERLINK("https://otsuka-europe-crm.veevavault.com/ui/#object/sent_email__v/VBL00000000R424", "SE-001392041")</f>
        <v>SE-001392041</v>
      </c>
      <c r="D8851" s="1">
        <v>46000.402071759258</v>
      </c>
      <c r="E8851" s="2">
        <v>1</v>
      </c>
      <c r="F8851" s="2">
        <v>1</v>
      </c>
      <c r="G8851" s="2">
        <v>0</v>
      </c>
      <c r="H8851" s="1" t="s">
        <v>0</v>
      </c>
      <c r="I8851" s="2">
        <v>0</v>
      </c>
      <c r="J8851" s="1">
        <v>45989.433819444443</v>
      </c>
    </row>
    <row r="8852" spans="1:10" x14ac:dyDescent="0.2">
      <c r="A8852" s="4" t="s">
        <v>1</v>
      </c>
      <c r="B885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52" s="3" t="str">
        <f>HYPERLINK("https://otsuka-europe-crm.veevavault.com/ui/#object/sent_email__v/VBL00000000S214", "SE-001392042")</f>
        <v>SE-001392042</v>
      </c>
      <c r="D8852" s="1" t="s">
        <v>0</v>
      </c>
      <c r="E8852" s="2">
        <v>0</v>
      </c>
      <c r="F8852" s="2">
        <v>0</v>
      </c>
      <c r="G8852" s="2">
        <v>0</v>
      </c>
      <c r="H8852" s="1" t="s">
        <v>0</v>
      </c>
      <c r="I8852" s="2">
        <v>0</v>
      </c>
      <c r="J8852" s="1">
        <v>45989.434803240743</v>
      </c>
    </row>
    <row r="8853" spans="1:10" x14ac:dyDescent="0.2">
      <c r="A8853" s="4" t="s">
        <v>1</v>
      </c>
      <c r="B885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53" s="3" t="str">
        <f>HYPERLINK("https://otsuka-europe-crm.veevavault.com/ui/#object/sent_email__v/VBL00000000S215", "SE-001392043")</f>
        <v>SE-001392043</v>
      </c>
      <c r="D8853" s="1" t="s">
        <v>0</v>
      </c>
      <c r="E8853" s="2">
        <v>0</v>
      </c>
      <c r="F8853" s="2">
        <v>0</v>
      </c>
      <c r="G8853" s="2">
        <v>0</v>
      </c>
      <c r="H8853" s="1" t="s">
        <v>0</v>
      </c>
      <c r="I8853" s="2">
        <v>0</v>
      </c>
      <c r="J8853" s="1">
        <v>45989.43482638889</v>
      </c>
    </row>
    <row r="8854" spans="1:10" x14ac:dyDescent="0.2">
      <c r="A8854" s="4" t="s">
        <v>1</v>
      </c>
      <c r="B885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54" s="3" t="str">
        <f>HYPERLINK("https://otsuka-europe-crm.veevavault.com/ui/#object/sent_email__v/VBL00000000S216", "SE-001392044")</f>
        <v>SE-001392044</v>
      </c>
      <c r="D8854" s="1" t="s">
        <v>0</v>
      </c>
      <c r="E8854" s="2">
        <v>0</v>
      </c>
      <c r="F8854" s="2">
        <v>0</v>
      </c>
      <c r="G8854" s="2">
        <v>0</v>
      </c>
      <c r="H8854" s="1" t="s">
        <v>0</v>
      </c>
      <c r="I8854" s="2">
        <v>0</v>
      </c>
      <c r="J8854" s="1">
        <v>45989.434884259259</v>
      </c>
    </row>
    <row r="8855" spans="1:10" x14ac:dyDescent="0.2">
      <c r="A8855" s="4" t="s">
        <v>1</v>
      </c>
      <c r="B885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55" s="3" t="str">
        <f>HYPERLINK("https://otsuka-europe-crm.veevavault.com/ui/#object/sent_email__v/VBL00000000S217", "SE-001392045")</f>
        <v>SE-001392045</v>
      </c>
      <c r="D8855" s="1">
        <v>45990.678842592592</v>
      </c>
      <c r="E8855" s="2">
        <v>1</v>
      </c>
      <c r="F8855" s="2">
        <v>2</v>
      </c>
      <c r="G8855" s="2">
        <v>0</v>
      </c>
      <c r="H8855" s="1" t="s">
        <v>0</v>
      </c>
      <c r="I8855" s="2">
        <v>0</v>
      </c>
      <c r="J8855" s="1">
        <v>45989.434918981482</v>
      </c>
    </row>
    <row r="8856" spans="1:10" x14ac:dyDescent="0.2">
      <c r="A8856" s="4" t="s">
        <v>1</v>
      </c>
      <c r="B885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56" s="3" t="str">
        <f>HYPERLINK("https://otsuka-europe-crm.veevavault.com/ui/#object/sent_email__v/VBL00000000S218", "SE-001392046")</f>
        <v>SE-001392046</v>
      </c>
      <c r="D8856" s="1" t="s">
        <v>0</v>
      </c>
      <c r="E8856" s="2">
        <v>0</v>
      </c>
      <c r="F8856" s="2">
        <v>0</v>
      </c>
      <c r="G8856" s="2">
        <v>0</v>
      </c>
      <c r="H8856" s="1" t="s">
        <v>0</v>
      </c>
      <c r="I8856" s="2">
        <v>0</v>
      </c>
      <c r="J8856" s="1">
        <v>45989.436215277776</v>
      </c>
    </row>
    <row r="8857" spans="1:10" x14ac:dyDescent="0.2">
      <c r="A8857" s="4" t="s">
        <v>1</v>
      </c>
      <c r="B885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57" s="3" t="str">
        <f>HYPERLINK("https://otsuka-europe-crm.veevavault.com/ui/#object/sent_email__v/VBL00000000S219", "SE-001392047")</f>
        <v>SE-001392047</v>
      </c>
      <c r="D8857" s="1">
        <v>45994.343171296299</v>
      </c>
      <c r="E8857" s="2">
        <v>1</v>
      </c>
      <c r="F8857" s="2">
        <v>1</v>
      </c>
      <c r="G8857" s="2">
        <v>0</v>
      </c>
      <c r="H8857" s="1" t="s">
        <v>0</v>
      </c>
      <c r="I8857" s="2">
        <v>0</v>
      </c>
      <c r="J8857" s="1">
        <v>45989.436249999999</v>
      </c>
    </row>
    <row r="8858" spans="1:10" x14ac:dyDescent="0.2">
      <c r="A8858" s="4" t="s">
        <v>1</v>
      </c>
      <c r="B885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58" s="3" t="str">
        <f>HYPERLINK("https://otsuka-europe-crm.veevavault.com/ui/#object/sent_email__v/VBL00000000S220", "SE-001392048")</f>
        <v>SE-001392048</v>
      </c>
      <c r="D8858" s="1" t="s">
        <v>0</v>
      </c>
      <c r="E8858" s="2">
        <v>0</v>
      </c>
      <c r="F8858" s="2">
        <v>0</v>
      </c>
      <c r="G8858" s="2">
        <v>0</v>
      </c>
      <c r="H8858" s="1" t="s">
        <v>0</v>
      </c>
      <c r="I8858" s="2">
        <v>0</v>
      </c>
      <c r="J8858" s="1">
        <v>45989.436296296299</v>
      </c>
    </row>
    <row r="8859" spans="1:10" x14ac:dyDescent="0.2">
      <c r="A8859" s="4" t="s">
        <v>1</v>
      </c>
      <c r="B885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59" s="3" t="str">
        <f>HYPERLINK("https://otsuka-europe-crm.veevavault.com/ui/#object/sent_email__v/VBL00000000S221", "SE-001392049")</f>
        <v>SE-001392049</v>
      </c>
      <c r="D8859" s="1">
        <v>45989.47148148148</v>
      </c>
      <c r="E8859" s="2">
        <v>1</v>
      </c>
      <c r="F8859" s="2">
        <v>1</v>
      </c>
      <c r="G8859" s="2">
        <v>0</v>
      </c>
      <c r="H8859" s="1" t="s">
        <v>0</v>
      </c>
      <c r="I8859" s="2">
        <v>0</v>
      </c>
      <c r="J8859" s="1">
        <v>45989.437083333331</v>
      </c>
    </row>
    <row r="8860" spans="1:10" x14ac:dyDescent="0.2">
      <c r="A8860" s="4" t="s">
        <v>1</v>
      </c>
      <c r="B886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60" s="3" t="str">
        <f>HYPERLINK("https://otsuka-europe-crm.veevavault.com/ui/#object/sent_email__v/VBL00000000S222", "SE-001392050")</f>
        <v>SE-001392050</v>
      </c>
      <c r="D8860" s="1">
        <v>45998.131805555553</v>
      </c>
      <c r="E8860" s="2">
        <v>1</v>
      </c>
      <c r="F8860" s="2">
        <v>1</v>
      </c>
      <c r="G8860" s="2">
        <v>0</v>
      </c>
      <c r="H8860" s="1" t="s">
        <v>0</v>
      </c>
      <c r="I8860" s="2">
        <v>0</v>
      </c>
      <c r="J8860" s="1">
        <v>45989.437106481484</v>
      </c>
    </row>
    <row r="8861" spans="1:10" x14ac:dyDescent="0.2">
      <c r="A8861" s="4" t="s">
        <v>1</v>
      </c>
      <c r="B886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61" s="3" t="str">
        <f>HYPERLINK("https://otsuka-europe-crm.veevavault.com/ui/#object/sent_email__v/VBL00000000S223", "SE-001392051")</f>
        <v>SE-001392051</v>
      </c>
      <c r="D8861" s="1">
        <v>45995.595532407409</v>
      </c>
      <c r="E8861" s="2">
        <v>1</v>
      </c>
      <c r="F8861" s="2">
        <v>2</v>
      </c>
      <c r="G8861" s="2">
        <v>0</v>
      </c>
      <c r="H8861" s="1" t="s">
        <v>0</v>
      </c>
      <c r="I8861" s="2">
        <v>0</v>
      </c>
      <c r="J8861" s="1">
        <v>45989.437164351853</v>
      </c>
    </row>
    <row r="8862" spans="1:10" x14ac:dyDescent="0.2">
      <c r="A8862" s="4" t="s">
        <v>1</v>
      </c>
      <c r="B886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62" s="3" t="str">
        <f>HYPERLINK("https://otsuka-europe-crm.veevavault.com/ui/#object/sent_email__v/VBL00000000S224", "SE-001392052")</f>
        <v>SE-001392052</v>
      </c>
      <c r="D8862" s="1">
        <v>45993.467199074075</v>
      </c>
      <c r="E8862" s="2">
        <v>1</v>
      </c>
      <c r="F8862" s="2">
        <v>3</v>
      </c>
      <c r="G8862" s="2">
        <v>0</v>
      </c>
      <c r="H8862" s="1" t="s">
        <v>0</v>
      </c>
      <c r="I8862" s="2">
        <v>0</v>
      </c>
      <c r="J8862" s="1">
        <v>45989.4371875</v>
      </c>
    </row>
    <row r="8863" spans="1:10" x14ac:dyDescent="0.2">
      <c r="A8863" s="4" t="s">
        <v>1</v>
      </c>
      <c r="B886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63" s="3" t="str">
        <f>HYPERLINK("https://otsuka-europe-crm.veevavault.com/ui/#object/sent_email__v/VBL00000000R425", "SE-001392054")</f>
        <v>SE-001392054</v>
      </c>
      <c r="D8863" s="1" t="s">
        <v>0</v>
      </c>
      <c r="E8863" s="2">
        <v>0</v>
      </c>
      <c r="F8863" s="2">
        <v>0</v>
      </c>
      <c r="G8863" s="2">
        <v>0</v>
      </c>
      <c r="H8863" s="1" t="s">
        <v>0</v>
      </c>
      <c r="I8863" s="2">
        <v>0</v>
      </c>
      <c r="J8863" s="1">
        <v>45989.444733796299</v>
      </c>
    </row>
    <row r="8864" spans="1:10" x14ac:dyDescent="0.2">
      <c r="A8864" s="4" t="s">
        <v>1</v>
      </c>
      <c r="B886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64" s="3" t="str">
        <f>HYPERLINK("https://otsuka-europe-crm.veevavault.com/ui/#object/sent_email__v/VBL00000000R439", "SE-001392069")</f>
        <v>SE-001392069</v>
      </c>
      <c r="D8864" s="1" t="s">
        <v>0</v>
      </c>
      <c r="E8864" s="2">
        <v>0</v>
      </c>
      <c r="F8864" s="2">
        <v>0</v>
      </c>
      <c r="G8864" s="2">
        <v>0</v>
      </c>
      <c r="H8864" s="1" t="s">
        <v>0</v>
      </c>
      <c r="I8864" s="2">
        <v>0</v>
      </c>
      <c r="J8864" s="1">
        <v>45989.493275462963</v>
      </c>
    </row>
    <row r="8865" spans="1:10" x14ac:dyDescent="0.2">
      <c r="A8865" s="4" t="s">
        <v>1</v>
      </c>
      <c r="B886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65" s="3" t="str">
        <f>HYPERLINK("https://otsuka-europe-crm.veevavault.com/ui/#object/sent_email__v/VBL00000000R440", "SE-001392070")</f>
        <v>SE-001392070</v>
      </c>
      <c r="D8865" s="1" t="s">
        <v>0</v>
      </c>
      <c r="E8865" s="2">
        <v>0</v>
      </c>
      <c r="F8865" s="2">
        <v>0</v>
      </c>
      <c r="G8865" s="2">
        <v>0</v>
      </c>
      <c r="H8865" s="1" t="s">
        <v>0</v>
      </c>
      <c r="I8865" s="2">
        <v>0</v>
      </c>
      <c r="J8865" s="1">
        <v>45989.493275462963</v>
      </c>
    </row>
    <row r="8866" spans="1:10" x14ac:dyDescent="0.2">
      <c r="A8866" s="4" t="s">
        <v>1</v>
      </c>
      <c r="B886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66" s="3" t="str">
        <f>HYPERLINK("https://otsuka-europe-crm.veevavault.com/ui/#object/sent_email__v/VBL00000000R441", "SE-001392071")</f>
        <v>SE-001392071</v>
      </c>
      <c r="D8866" s="1" t="s">
        <v>0</v>
      </c>
      <c r="E8866" s="2">
        <v>0</v>
      </c>
      <c r="F8866" s="2">
        <v>0</v>
      </c>
      <c r="G8866" s="2">
        <v>0</v>
      </c>
      <c r="H8866" s="1" t="s">
        <v>0</v>
      </c>
      <c r="I8866" s="2">
        <v>0</v>
      </c>
      <c r="J8866" s="1">
        <v>45989.493275462963</v>
      </c>
    </row>
    <row r="8867" spans="1:10" x14ac:dyDescent="0.2">
      <c r="A8867" s="4" t="s">
        <v>1</v>
      </c>
      <c r="B886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67" s="3" t="str">
        <f>HYPERLINK("https://otsuka-europe-crm.veevavault.com/ui/#object/sent_email__v/VBL00000000R442", "SE-001392072")</f>
        <v>SE-001392072</v>
      </c>
      <c r="D8867" s="1" t="s">
        <v>0</v>
      </c>
      <c r="E8867" s="2">
        <v>0</v>
      </c>
      <c r="F8867" s="2">
        <v>0</v>
      </c>
      <c r="G8867" s="2">
        <v>0</v>
      </c>
      <c r="H8867" s="1" t="s">
        <v>0</v>
      </c>
      <c r="I8867" s="2">
        <v>0</v>
      </c>
      <c r="J8867" s="1">
        <v>45989.493275462963</v>
      </c>
    </row>
    <row r="8868" spans="1:10" x14ac:dyDescent="0.2">
      <c r="A8868" s="4" t="s">
        <v>1</v>
      </c>
      <c r="B886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68" s="3" t="str">
        <f>HYPERLINK("https://otsuka-europe-crm.veevavault.com/ui/#object/sent_email__v/VBL00000000R443", "SE-001392073")</f>
        <v>SE-001392073</v>
      </c>
      <c r="D8868" s="1" t="s">
        <v>0</v>
      </c>
      <c r="E8868" s="2">
        <v>0</v>
      </c>
      <c r="F8868" s="2">
        <v>0</v>
      </c>
      <c r="G8868" s="2">
        <v>0</v>
      </c>
      <c r="H8868" s="1" t="s">
        <v>0</v>
      </c>
      <c r="I8868" s="2">
        <v>0</v>
      </c>
      <c r="J8868" s="1">
        <v>45989.493287037039</v>
      </c>
    </row>
    <row r="8869" spans="1:10" x14ac:dyDescent="0.2">
      <c r="A8869" s="4" t="s">
        <v>1</v>
      </c>
      <c r="B886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69" s="3" t="str">
        <f>HYPERLINK("https://otsuka-europe-crm.veevavault.com/ui/#object/sent_email__v/VBL00000000R444", "SE-001392074")</f>
        <v>SE-001392074</v>
      </c>
      <c r="D8869" s="1" t="s">
        <v>0</v>
      </c>
      <c r="E8869" s="2">
        <v>0</v>
      </c>
      <c r="F8869" s="2">
        <v>0</v>
      </c>
      <c r="G8869" s="2">
        <v>0</v>
      </c>
      <c r="H8869" s="1" t="s">
        <v>0</v>
      </c>
      <c r="I8869" s="2">
        <v>0</v>
      </c>
      <c r="J8869" s="1">
        <v>45989.493275462963</v>
      </c>
    </row>
    <row r="8870" spans="1:10" x14ac:dyDescent="0.2">
      <c r="A8870" s="4" t="s">
        <v>1</v>
      </c>
      <c r="B887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70" s="3" t="str">
        <f>HYPERLINK("https://otsuka-europe-crm.veevavault.com/ui/#object/sent_email__v/VBL00000000R445", "SE-001392075")</f>
        <v>SE-001392075</v>
      </c>
      <c r="D8870" s="1" t="s">
        <v>0</v>
      </c>
      <c r="E8870" s="2">
        <v>0</v>
      </c>
      <c r="F8870" s="2">
        <v>0</v>
      </c>
      <c r="G8870" s="2">
        <v>0</v>
      </c>
      <c r="H8870" s="1" t="s">
        <v>0</v>
      </c>
      <c r="I8870" s="2">
        <v>0</v>
      </c>
      <c r="J8870" s="1">
        <v>45989.493275462963</v>
      </c>
    </row>
    <row r="8871" spans="1:10" x14ac:dyDescent="0.2">
      <c r="A8871" s="4" t="s">
        <v>1</v>
      </c>
      <c r="B887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71" s="3" t="str">
        <f>HYPERLINK("https://otsuka-europe-crm.veevavault.com/ui/#object/sent_email__v/VBL00000000R446", "SE-001392076")</f>
        <v>SE-001392076</v>
      </c>
      <c r="D8871" s="1" t="s">
        <v>0</v>
      </c>
      <c r="E8871" s="2">
        <v>0</v>
      </c>
      <c r="F8871" s="2">
        <v>0</v>
      </c>
      <c r="G8871" s="2">
        <v>0</v>
      </c>
      <c r="H8871" s="1" t="s">
        <v>0</v>
      </c>
      <c r="I8871" s="2">
        <v>0</v>
      </c>
      <c r="J8871" s="1">
        <v>45989.493298611109</v>
      </c>
    </row>
    <row r="8872" spans="1:10" x14ac:dyDescent="0.2">
      <c r="A8872" s="4" t="s">
        <v>1</v>
      </c>
      <c r="B887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72" s="3" t="str">
        <f>HYPERLINK("https://otsuka-europe-crm.veevavault.com/ui/#object/sent_email__v/VBL00000000R447", "SE-001392077")</f>
        <v>SE-001392077</v>
      </c>
      <c r="D8872" s="1" t="s">
        <v>0</v>
      </c>
      <c r="E8872" s="2">
        <v>0</v>
      </c>
      <c r="F8872" s="2">
        <v>0</v>
      </c>
      <c r="G8872" s="2">
        <v>0</v>
      </c>
      <c r="H8872" s="1" t="s">
        <v>0</v>
      </c>
      <c r="I8872" s="2">
        <v>0</v>
      </c>
      <c r="J8872" s="1">
        <v>45989.493275462963</v>
      </c>
    </row>
    <row r="8873" spans="1:10" x14ac:dyDescent="0.2">
      <c r="A8873" s="4" t="s">
        <v>1</v>
      </c>
      <c r="B887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73" s="3" t="str">
        <f>HYPERLINK("https://otsuka-europe-crm.veevavault.com/ui/#object/sent_email__v/VBL00000000R448", "SE-001392078")</f>
        <v>SE-001392078</v>
      </c>
      <c r="D8873" s="1" t="s">
        <v>0</v>
      </c>
      <c r="E8873" s="2">
        <v>0</v>
      </c>
      <c r="F8873" s="2">
        <v>0</v>
      </c>
      <c r="G8873" s="2">
        <v>0</v>
      </c>
      <c r="H8873" s="1" t="s">
        <v>0</v>
      </c>
      <c r="I8873" s="2">
        <v>0</v>
      </c>
      <c r="J8873" s="1">
        <v>45989.493298611109</v>
      </c>
    </row>
    <row r="8874" spans="1:10" x14ac:dyDescent="0.2">
      <c r="A8874" s="4" t="s">
        <v>1</v>
      </c>
      <c r="B887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74" s="3" t="str">
        <f>HYPERLINK("https://otsuka-europe-crm.veevavault.com/ui/#object/sent_email__v/VBL00000000R449", "SE-001392079")</f>
        <v>SE-001392079</v>
      </c>
      <c r="D8874" s="1" t="s">
        <v>0</v>
      </c>
      <c r="E8874" s="2">
        <v>0</v>
      </c>
      <c r="F8874" s="2">
        <v>0</v>
      </c>
      <c r="G8874" s="2">
        <v>0</v>
      </c>
      <c r="H8874" s="1" t="s">
        <v>0</v>
      </c>
      <c r="I8874" s="2">
        <v>0</v>
      </c>
      <c r="J8874" s="1">
        <v>45989.493287037039</v>
      </c>
    </row>
    <row r="8875" spans="1:10" x14ac:dyDescent="0.2">
      <c r="A8875" s="4" t="s">
        <v>1</v>
      </c>
      <c r="B887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75" s="3" t="str">
        <f>HYPERLINK("https://otsuka-europe-crm.veevavault.com/ui/#object/sent_email__v/VBL00000000R450", "SE-001392080")</f>
        <v>SE-001392080</v>
      </c>
      <c r="D8875" s="1" t="s">
        <v>0</v>
      </c>
      <c r="E8875" s="2">
        <v>0</v>
      </c>
      <c r="F8875" s="2">
        <v>0</v>
      </c>
      <c r="G8875" s="2">
        <v>0</v>
      </c>
      <c r="H8875" s="1" t="s">
        <v>0</v>
      </c>
      <c r="I8875" s="2">
        <v>0</v>
      </c>
      <c r="J8875" s="1">
        <v>45989.493275462963</v>
      </c>
    </row>
    <row r="8876" spans="1:10" x14ac:dyDescent="0.2">
      <c r="A8876" s="4" t="s">
        <v>1</v>
      </c>
      <c r="B887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76" s="3" t="str">
        <f>HYPERLINK("https://otsuka-europe-crm.veevavault.com/ui/#object/sent_email__v/VBL00000000R451", "SE-001392081")</f>
        <v>SE-001392081</v>
      </c>
      <c r="D8876" s="1" t="s">
        <v>0</v>
      </c>
      <c r="E8876" s="2">
        <v>0</v>
      </c>
      <c r="F8876" s="2">
        <v>0</v>
      </c>
      <c r="G8876" s="2">
        <v>0</v>
      </c>
      <c r="H8876" s="1" t="s">
        <v>0</v>
      </c>
      <c r="I8876" s="2">
        <v>0</v>
      </c>
      <c r="J8876" s="1">
        <v>45989.493275462963</v>
      </c>
    </row>
    <row r="8877" spans="1:10" x14ac:dyDescent="0.2">
      <c r="A8877" s="4" t="s">
        <v>1</v>
      </c>
      <c r="B887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77" s="3" t="str">
        <f>HYPERLINK("https://otsuka-europe-crm.veevavault.com/ui/#object/sent_email__v/VBL00000000R452", "SE-001392082")</f>
        <v>SE-001392082</v>
      </c>
      <c r="D8877" s="1" t="s">
        <v>0</v>
      </c>
      <c r="E8877" s="2">
        <v>0</v>
      </c>
      <c r="F8877" s="2">
        <v>0</v>
      </c>
      <c r="G8877" s="2">
        <v>0</v>
      </c>
      <c r="H8877" s="1" t="s">
        <v>0</v>
      </c>
      <c r="I8877" s="2">
        <v>0</v>
      </c>
      <c r="J8877" s="1">
        <v>45989.493287037039</v>
      </c>
    </row>
    <row r="8878" spans="1:10" x14ac:dyDescent="0.2">
      <c r="A8878" s="4" t="s">
        <v>1</v>
      </c>
      <c r="B887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78" s="3" t="str">
        <f>HYPERLINK("https://otsuka-europe-crm.veevavault.com/ui/#object/sent_email__v/VBL00000000R453", "SE-001392083")</f>
        <v>SE-001392083</v>
      </c>
      <c r="D8878" s="1" t="s">
        <v>0</v>
      </c>
      <c r="E8878" s="2">
        <v>0</v>
      </c>
      <c r="F8878" s="2">
        <v>0</v>
      </c>
      <c r="G8878" s="2">
        <v>0</v>
      </c>
      <c r="H8878" s="1" t="s">
        <v>0</v>
      </c>
      <c r="I8878" s="2">
        <v>0</v>
      </c>
      <c r="J8878" s="1">
        <v>45989.493275462963</v>
      </c>
    </row>
    <row r="8879" spans="1:10" x14ac:dyDescent="0.2">
      <c r="A8879" s="4" t="s">
        <v>1</v>
      </c>
      <c r="B887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79" s="3" t="str">
        <f>HYPERLINK("https://otsuka-europe-crm.veevavault.com/ui/#object/sent_email__v/VBL00000000R454", "SE-001392084")</f>
        <v>SE-001392084</v>
      </c>
      <c r="D8879" s="1" t="s">
        <v>0</v>
      </c>
      <c r="E8879" s="2">
        <v>0</v>
      </c>
      <c r="F8879" s="2">
        <v>0</v>
      </c>
      <c r="G8879" s="2">
        <v>0</v>
      </c>
      <c r="H8879" s="1" t="s">
        <v>0</v>
      </c>
      <c r="I8879" s="2">
        <v>0</v>
      </c>
      <c r="J8879" s="1">
        <v>45989.493275462963</v>
      </c>
    </row>
    <row r="8880" spans="1:10" x14ac:dyDescent="0.2">
      <c r="A8880" s="4" t="s">
        <v>1</v>
      </c>
      <c r="B888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80" s="3" t="str">
        <f>HYPERLINK("https://otsuka-europe-crm.veevavault.com/ui/#object/sent_email__v/VBL00000000R455", "SE-001392085")</f>
        <v>SE-001392085</v>
      </c>
      <c r="D8880" s="1" t="s">
        <v>0</v>
      </c>
      <c r="E8880" s="2">
        <v>0</v>
      </c>
      <c r="F8880" s="2">
        <v>0</v>
      </c>
      <c r="G8880" s="2">
        <v>0</v>
      </c>
      <c r="H8880" s="1" t="s">
        <v>0</v>
      </c>
      <c r="I8880" s="2">
        <v>0</v>
      </c>
      <c r="J8880" s="1">
        <v>45989.493287037039</v>
      </c>
    </row>
    <row r="8881" spans="1:10" x14ac:dyDescent="0.2">
      <c r="A8881" s="4" t="s">
        <v>1</v>
      </c>
      <c r="B8881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81" s="3" t="str">
        <f>HYPERLINK("https://otsuka-europe-crm.veevavault.com/ui/#object/sent_email__v/VBL00000000R456", "SE-001392086")</f>
        <v>SE-001392086</v>
      </c>
      <c r="D8881" s="1" t="s">
        <v>0</v>
      </c>
      <c r="E8881" s="2">
        <v>0</v>
      </c>
      <c r="F8881" s="2">
        <v>0</v>
      </c>
      <c r="G8881" s="2">
        <v>0</v>
      </c>
      <c r="H8881" s="1" t="s">
        <v>0</v>
      </c>
      <c r="I8881" s="2">
        <v>0</v>
      </c>
      <c r="J8881" s="1">
        <v>45989.493275462963</v>
      </c>
    </row>
    <row r="8882" spans="1:10" x14ac:dyDescent="0.2">
      <c r="A8882" s="4" t="s">
        <v>1</v>
      </c>
      <c r="B8882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82" s="3" t="str">
        <f>HYPERLINK("https://otsuka-europe-crm.veevavault.com/ui/#object/sent_email__v/VBL00000000R457", "SE-001392087")</f>
        <v>SE-001392087</v>
      </c>
      <c r="D8882" s="1" t="s">
        <v>0</v>
      </c>
      <c r="E8882" s="2">
        <v>0</v>
      </c>
      <c r="F8882" s="2">
        <v>0</v>
      </c>
      <c r="G8882" s="2">
        <v>0</v>
      </c>
      <c r="H8882" s="1" t="s">
        <v>0</v>
      </c>
      <c r="I8882" s="2">
        <v>0</v>
      </c>
      <c r="J8882" s="1">
        <v>45989.493287037039</v>
      </c>
    </row>
    <row r="8883" spans="1:10" x14ac:dyDescent="0.2">
      <c r="A8883" s="4" t="s">
        <v>1</v>
      </c>
      <c r="B8883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83" s="3" t="str">
        <f>HYPERLINK("https://otsuka-europe-crm.veevavault.com/ui/#object/sent_email__v/VBL00000000R458", "SE-001392088")</f>
        <v>SE-001392088</v>
      </c>
      <c r="D8883" s="1" t="s">
        <v>0</v>
      </c>
      <c r="E8883" s="2">
        <v>0</v>
      </c>
      <c r="F8883" s="2">
        <v>0</v>
      </c>
      <c r="G8883" s="2">
        <v>0</v>
      </c>
      <c r="H8883" s="1" t="s">
        <v>0</v>
      </c>
      <c r="I8883" s="2">
        <v>0</v>
      </c>
      <c r="J8883" s="1">
        <v>45989.493287037039</v>
      </c>
    </row>
    <row r="8884" spans="1:10" x14ac:dyDescent="0.2">
      <c r="A8884" s="4" t="s">
        <v>1</v>
      </c>
      <c r="B8884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84" s="3" t="str">
        <f>HYPERLINK("https://otsuka-europe-crm.veevavault.com/ui/#object/sent_email__v/VBL00000000R459", "SE-001392089")</f>
        <v>SE-001392089</v>
      </c>
      <c r="D8884" s="1" t="s">
        <v>0</v>
      </c>
      <c r="E8884" s="2">
        <v>0</v>
      </c>
      <c r="F8884" s="2">
        <v>0</v>
      </c>
      <c r="G8884" s="2">
        <v>0</v>
      </c>
      <c r="H8884" s="1" t="s">
        <v>0</v>
      </c>
      <c r="I8884" s="2">
        <v>0</v>
      </c>
      <c r="J8884" s="1">
        <v>45989.493287037039</v>
      </c>
    </row>
    <row r="8885" spans="1:10" x14ac:dyDescent="0.2">
      <c r="A8885" s="4" t="s">
        <v>1</v>
      </c>
      <c r="B8885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85" s="3" t="str">
        <f>HYPERLINK("https://otsuka-europe-crm.veevavault.com/ui/#object/sent_email__v/VBL00000000R460", "SE-001392090")</f>
        <v>SE-001392090</v>
      </c>
      <c r="D8885" s="1" t="s">
        <v>0</v>
      </c>
      <c r="E8885" s="2">
        <v>0</v>
      </c>
      <c r="F8885" s="2">
        <v>0</v>
      </c>
      <c r="G8885" s="2">
        <v>0</v>
      </c>
      <c r="H8885" s="1" t="s">
        <v>0</v>
      </c>
      <c r="I8885" s="2">
        <v>0</v>
      </c>
      <c r="J8885" s="1">
        <v>45989.493287037039</v>
      </c>
    </row>
    <row r="8886" spans="1:10" x14ac:dyDescent="0.2">
      <c r="A8886" s="4" t="s">
        <v>1</v>
      </c>
      <c r="B8886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86" s="3" t="str">
        <f>HYPERLINK("https://otsuka-europe-crm.veevavault.com/ui/#object/sent_email__v/VBL00000000R461", "SE-001392091")</f>
        <v>SE-001392091</v>
      </c>
      <c r="D8886" s="1" t="s">
        <v>0</v>
      </c>
      <c r="E8886" s="2">
        <v>0</v>
      </c>
      <c r="F8886" s="2">
        <v>0</v>
      </c>
      <c r="G8886" s="2">
        <v>0</v>
      </c>
      <c r="H8886" s="1" t="s">
        <v>0</v>
      </c>
      <c r="I8886" s="2">
        <v>0</v>
      </c>
      <c r="J8886" s="1">
        <v>45989.493287037039</v>
      </c>
    </row>
    <row r="8887" spans="1:10" x14ac:dyDescent="0.2">
      <c r="A8887" s="4" t="s">
        <v>1</v>
      </c>
      <c r="B8887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87" s="3" t="str">
        <f>HYPERLINK("https://otsuka-europe-crm.veevavault.com/ui/#object/sent_email__v/VBL00000000R462", "SE-001392092")</f>
        <v>SE-001392092</v>
      </c>
      <c r="D8887" s="1" t="s">
        <v>0</v>
      </c>
      <c r="E8887" s="2">
        <v>0</v>
      </c>
      <c r="F8887" s="2">
        <v>0</v>
      </c>
      <c r="G8887" s="2">
        <v>0</v>
      </c>
      <c r="H8887" s="1" t="s">
        <v>0</v>
      </c>
      <c r="I8887" s="2">
        <v>0</v>
      </c>
      <c r="J8887" s="1">
        <v>45989.493287037039</v>
      </c>
    </row>
    <row r="8888" spans="1:10" x14ac:dyDescent="0.2">
      <c r="A8888" s="4" t="s">
        <v>1</v>
      </c>
      <c r="B8888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88" s="3" t="str">
        <f>HYPERLINK("https://otsuka-europe-crm.veevavault.com/ui/#object/sent_email__v/VBL00000000R463", "SE-001392093")</f>
        <v>SE-001392093</v>
      </c>
      <c r="D8888" s="1" t="s">
        <v>0</v>
      </c>
      <c r="E8888" s="2">
        <v>0</v>
      </c>
      <c r="F8888" s="2">
        <v>0</v>
      </c>
      <c r="G8888" s="2">
        <v>0</v>
      </c>
      <c r="H8888" s="1" t="s">
        <v>0</v>
      </c>
      <c r="I8888" s="2">
        <v>0</v>
      </c>
      <c r="J8888" s="1">
        <v>45989.493287037039</v>
      </c>
    </row>
    <row r="8889" spans="1:10" x14ac:dyDescent="0.2">
      <c r="A8889" s="4" t="s">
        <v>1</v>
      </c>
      <c r="B8889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89" s="3" t="str">
        <f>HYPERLINK("https://otsuka-europe-crm.veevavault.com/ui/#object/sent_email__v/VBL00000000R464", "SE-001392094")</f>
        <v>SE-001392094</v>
      </c>
      <c r="D8889" s="1" t="s">
        <v>0</v>
      </c>
      <c r="E8889" s="2">
        <v>0</v>
      </c>
      <c r="F8889" s="2">
        <v>0</v>
      </c>
      <c r="G8889" s="2">
        <v>0</v>
      </c>
      <c r="H8889" s="1" t="s">
        <v>0</v>
      </c>
      <c r="I8889" s="2">
        <v>0</v>
      </c>
      <c r="J8889" s="1">
        <v>45989.493287037039</v>
      </c>
    </row>
    <row r="8890" spans="1:10" x14ac:dyDescent="0.2">
      <c r="A8890" s="4" t="s">
        <v>1</v>
      </c>
      <c r="B8890" s="3" t="str">
        <f>HYPERLINK("https://otsuka-europe-crm.veevavault.com/ui/#object/approved_document__v/V5O000000006007", "INA - Episodio 2 Videopodcast Nos Quedamos En Casa")</f>
        <v>INA - Episodio 2 Videopodcast Nos Quedamos En Casa</v>
      </c>
      <c r="C8890" s="3" t="str">
        <f>HYPERLINK("https://otsuka-europe-crm.veevavault.com/ui/#object/sent_email__v/VBL00000000R465", "SE-001392095")</f>
        <v>SE-001392095</v>
      </c>
      <c r="D8890" s="1" t="s">
        <v>0</v>
      </c>
      <c r="E8890" s="2">
        <v>0</v>
      </c>
      <c r="F8890" s="2">
        <v>0</v>
      </c>
      <c r="G8890" s="2">
        <v>0</v>
      </c>
      <c r="H8890" s="1" t="s">
        <v>0</v>
      </c>
      <c r="I8890" s="2">
        <v>0</v>
      </c>
      <c r="J8890" s="1">
        <v>45989.493287037039</v>
      </c>
    </row>
    <row r="8891" spans="1:10" x14ac:dyDescent="0.2">
      <c r="A8891" s="4" t="s">
        <v>1</v>
      </c>
      <c r="B8891" s="3" t="str">
        <f>HYPERLINK("https://otsuka-europe-crm.veevavault.com/ui/#object/approved_document__v/V5OZ025E82TPPYD", "INA - Invitación y programa Simposio SEHH 2025")</f>
        <v>INA - Invitación y programa Simposio SEHH 2025</v>
      </c>
      <c r="C8891" s="3" t="str">
        <f>HYPERLINK("https://otsuka-europe-crm.veevavault.com/ui/#object/sent_email__v/VBLZ025E82GRT1D", "SE-000275970")</f>
        <v>SE-000275970</v>
      </c>
      <c r="D8891" s="1">
        <v>45930.942002314812</v>
      </c>
      <c r="E8891" s="2">
        <v>1</v>
      </c>
      <c r="F8891" s="2">
        <v>14</v>
      </c>
      <c r="G8891" s="2">
        <v>1</v>
      </c>
      <c r="H8891" s="1">
        <v>45917.662893518522</v>
      </c>
      <c r="I8891" s="2">
        <v>4</v>
      </c>
      <c r="J8891" s="1">
        <v>45917.658784722225</v>
      </c>
    </row>
    <row r="8892" spans="1:10" x14ac:dyDescent="0.2">
      <c r="A8892" s="4" t="s">
        <v>1</v>
      </c>
      <c r="B8892" s="3" t="str">
        <f>HYPERLINK("https://otsuka-europe-crm.veevavault.com/ui/#object/approved_document__v/V5OZ025E82TPPYD", "INA - Invitación y programa Simposio SEHH 2025")</f>
        <v>INA - Invitación y programa Simposio SEHH 2025</v>
      </c>
      <c r="C8892" s="3" t="str">
        <f>HYPERLINK("https://otsuka-europe-crm.veevavault.com/ui/#object/sent_email__v/VBLZ025E82GRTNL", "SE-000275971")</f>
        <v>SE-000275971</v>
      </c>
      <c r="D8892" s="1">
        <v>45920.807233796295</v>
      </c>
      <c r="E8892" s="2">
        <v>1</v>
      </c>
      <c r="F8892" s="2">
        <v>3</v>
      </c>
      <c r="G8892" s="2">
        <v>1</v>
      </c>
      <c r="H8892" s="1">
        <v>45917.660949074074</v>
      </c>
      <c r="I8892" s="2">
        <v>4</v>
      </c>
      <c r="J8892" s="1">
        <v>45917.660104166665</v>
      </c>
    </row>
    <row r="8893" spans="1:10" x14ac:dyDescent="0.2">
      <c r="A8893" s="4" t="s">
        <v>1</v>
      </c>
      <c r="B8893" s="3" t="str">
        <f>HYPERLINK("https://otsuka-europe-crm.veevavault.com/ui/#object/approved_document__v/V5OZ025E82TPVZ3", "INA - Invitación y programa Simposio SEHH 2025")</f>
        <v>INA - Invitación y programa Simposio SEHH 2025</v>
      </c>
      <c r="C8893" s="3" t="str">
        <f>HYPERLINK("https://otsuka-europe-crm.veevavault.com/ui/#object/sent_email__v/VBLZ025E82GS6P1", "SE-000276130")</f>
        <v>SE-000276130</v>
      </c>
      <c r="D8893" s="1">
        <v>45930.966550925928</v>
      </c>
      <c r="E8893" s="2">
        <v>1</v>
      </c>
      <c r="F8893" s="2">
        <v>4</v>
      </c>
      <c r="G8893" s="2">
        <v>1</v>
      </c>
      <c r="H8893" s="1">
        <v>45930.589120370372</v>
      </c>
      <c r="I8893" s="2">
        <v>4</v>
      </c>
      <c r="J8893" s="1">
        <v>45918.335694444446</v>
      </c>
    </row>
    <row r="8894" spans="1:10" x14ac:dyDescent="0.2">
      <c r="A8894" s="4" t="s">
        <v>1</v>
      </c>
      <c r="B8894" s="3" t="str">
        <f>HYPERLINK("https://otsuka-europe-crm.veevavault.com/ui/#object/approved_document__v/V5OZ025E82TPVZ3", "INA - Invitación y programa Simposio SEHH 2025")</f>
        <v>INA - Invitación y programa Simposio SEHH 2025</v>
      </c>
      <c r="C8894" s="3" t="str">
        <f>HYPERLINK("https://otsuka-europe-crm.veevavault.com/ui/#object/sent_email__v/VBLZ025E82GWBOX", "SE-000279625")</f>
        <v>SE-000279625</v>
      </c>
      <c r="D8894" s="1" t="s">
        <v>0</v>
      </c>
      <c r="E8894" s="2">
        <v>0</v>
      </c>
      <c r="F8894" s="2">
        <v>0</v>
      </c>
      <c r="G8894" s="2">
        <v>0</v>
      </c>
      <c r="H8894" s="1" t="s">
        <v>0</v>
      </c>
      <c r="I8894" s="2">
        <v>0</v>
      </c>
      <c r="J8894" s="1">
        <v>45922.642974537041</v>
      </c>
    </row>
    <row r="8895" spans="1:10" x14ac:dyDescent="0.2">
      <c r="A8895" s="4" t="s">
        <v>1</v>
      </c>
      <c r="B8895" s="3" t="str">
        <f>HYPERLINK("https://otsuka-europe-crm.veevavault.com/ui/#object/approved_document__v/V5OZ025E82TPVZ3", "INA - Invitación y programa Simposio SEHH 2025")</f>
        <v>INA - Invitación y programa Simposio SEHH 2025</v>
      </c>
      <c r="C8895" s="3" t="str">
        <f>HYPERLINK("https://otsuka-europe-crm.veevavault.com/ui/#object/sent_email__v/VBLZ025E82GWBOY", "SE-000279626")</f>
        <v>SE-000279626</v>
      </c>
      <c r="D8895" s="1">
        <v>45926.988495370373</v>
      </c>
      <c r="E8895" s="2">
        <v>1</v>
      </c>
      <c r="F8895" s="2">
        <v>1</v>
      </c>
      <c r="G8895" s="2">
        <v>0</v>
      </c>
      <c r="H8895" s="1" t="s">
        <v>0</v>
      </c>
      <c r="I8895" s="2">
        <v>0</v>
      </c>
      <c r="J8895" s="1">
        <v>45922.642812500002</v>
      </c>
    </row>
    <row r="8896" spans="1:10" x14ac:dyDescent="0.2">
      <c r="A8896" s="4" t="s">
        <v>1</v>
      </c>
      <c r="B8896" s="3" t="str">
        <f>HYPERLINK("https://otsuka-europe-crm.veevavault.com/ui/#object/approved_document__v/V5OZ025E82TPVZ3", "INA - Invitación y programa Simposio SEHH 2025")</f>
        <v>INA - Invitación y programa Simposio SEHH 2025</v>
      </c>
      <c r="C8896" s="3" t="str">
        <f>HYPERLINK("https://otsuka-europe-crm.veevavault.com/ui/#object/sent_email__v/VBLZ025E82GWBOZ", "SE-000279627")</f>
        <v>SE-000279627</v>
      </c>
      <c r="D8896" s="1">
        <v>45922.6483912037</v>
      </c>
      <c r="E8896" s="2">
        <v>1</v>
      </c>
      <c r="F8896" s="2">
        <v>2</v>
      </c>
      <c r="G8896" s="2">
        <v>0</v>
      </c>
      <c r="H8896" s="1" t="s">
        <v>0</v>
      </c>
      <c r="I8896" s="2">
        <v>0</v>
      </c>
      <c r="J8896" s="1">
        <v>45922.642974537041</v>
      </c>
    </row>
    <row r="8897" spans="1:10" x14ac:dyDescent="0.2">
      <c r="A8897" s="4" t="s">
        <v>1</v>
      </c>
      <c r="B8897" s="3" t="str">
        <f>HYPERLINK("https://otsuka-europe-crm.veevavault.com/ui/#object/approved_document__v/V5OZ025E82TPVZ3", "INA - Invitación y programa Simposio SEHH 2025")</f>
        <v>INA - Invitación y programa Simposio SEHH 2025</v>
      </c>
      <c r="C8897" s="3" t="str">
        <f>HYPERLINK("https://otsuka-europe-crm.veevavault.com/ui/#object/sent_email__v/VBLZ025E82GWBP0", "SE-000279628")</f>
        <v>SE-000279628</v>
      </c>
      <c r="D8897" s="1">
        <v>45922.79074074074</v>
      </c>
      <c r="E8897" s="2">
        <v>1</v>
      </c>
      <c r="F8897" s="2">
        <v>2</v>
      </c>
      <c r="G8897" s="2">
        <v>0</v>
      </c>
      <c r="H8897" s="1" t="s">
        <v>0</v>
      </c>
      <c r="I8897" s="2">
        <v>0</v>
      </c>
      <c r="J8897" s="1">
        <v>45922.642858796295</v>
      </c>
    </row>
    <row r="8898" spans="1:10" x14ac:dyDescent="0.2">
      <c r="A8898" s="4" t="s">
        <v>1</v>
      </c>
      <c r="B8898" s="3" t="str">
        <f>HYPERLINK("https://otsuka-europe-crm.veevavault.com/ui/#object/approved_document__v/V5OZ025E82TPVZ3", "INA - Invitación y programa Simposio SEHH 2025")</f>
        <v>INA - Invitación y programa Simposio SEHH 2025</v>
      </c>
      <c r="C8898" s="3" t="str">
        <f>HYPERLINK("https://otsuka-europe-crm.veevavault.com/ui/#object/sent_email__v/VBLZ025E82GWBP1", "SE-000279629")</f>
        <v>SE-000279629</v>
      </c>
      <c r="D8898" s="1">
        <v>45925.285034722219</v>
      </c>
      <c r="E8898" s="2">
        <v>1</v>
      </c>
      <c r="F8898" s="2">
        <v>3</v>
      </c>
      <c r="G8898" s="2">
        <v>0</v>
      </c>
      <c r="H8898" s="1" t="s">
        <v>0</v>
      </c>
      <c r="I8898" s="2">
        <v>0</v>
      </c>
      <c r="J8898" s="1">
        <v>45922.642708333333</v>
      </c>
    </row>
    <row r="8899" spans="1:10" x14ac:dyDescent="0.2">
      <c r="A8899" s="4" t="s">
        <v>1</v>
      </c>
      <c r="B8899" s="3" t="str">
        <f>HYPERLINK("https://otsuka-europe-crm.veevavault.com/ui/#object/approved_document__v/V5OZ025E82TPVZ3", "INA - Invitación y programa Simposio SEHH 2025")</f>
        <v>INA - Invitación y programa Simposio SEHH 2025</v>
      </c>
      <c r="C8899" s="3" t="str">
        <f>HYPERLINK("https://otsuka-europe-crm.veevavault.com/ui/#object/sent_email__v/VBLZ025E82GWBP2", "SE-000279630")</f>
        <v>SE-000279630</v>
      </c>
      <c r="D8899" s="1">
        <v>45922.903148148151</v>
      </c>
      <c r="E8899" s="2">
        <v>1</v>
      </c>
      <c r="F8899" s="2">
        <v>1</v>
      </c>
      <c r="G8899" s="2">
        <v>0</v>
      </c>
      <c r="H8899" s="1" t="s">
        <v>0</v>
      </c>
      <c r="I8899" s="2">
        <v>0</v>
      </c>
      <c r="J8899" s="1">
        <v>45922.642870370371</v>
      </c>
    </row>
    <row r="8900" spans="1:10" x14ac:dyDescent="0.2">
      <c r="A8900" s="4" t="s">
        <v>1</v>
      </c>
      <c r="B8900" s="3" t="str">
        <f>HYPERLINK("https://otsuka-europe-crm.veevavault.com/ui/#object/approved_document__v/V5OZ025E82TPVZ3", "INA - Invitación y programa Simposio SEHH 2025")</f>
        <v>INA - Invitación y programa Simposio SEHH 2025</v>
      </c>
      <c r="C8900" s="3" t="str">
        <f>HYPERLINK("https://otsuka-europe-crm.veevavault.com/ui/#object/sent_email__v/VBLZ025E82GWBP3", "SE-000279631")</f>
        <v>SE-000279631</v>
      </c>
      <c r="D8900" s="1">
        <v>45929.825567129628</v>
      </c>
      <c r="E8900" s="2">
        <v>1</v>
      </c>
      <c r="F8900" s="2">
        <v>1</v>
      </c>
      <c r="G8900" s="2">
        <v>0</v>
      </c>
      <c r="H8900" s="1" t="s">
        <v>0</v>
      </c>
      <c r="I8900" s="2">
        <v>0</v>
      </c>
      <c r="J8900" s="1">
        <v>45922.642708333333</v>
      </c>
    </row>
    <row r="8901" spans="1:10" x14ac:dyDescent="0.2">
      <c r="A8901" s="4" t="s">
        <v>1</v>
      </c>
      <c r="B8901" s="3" t="str">
        <f>HYPERLINK("https://otsuka-europe-crm.veevavault.com/ui/#object/approved_document__v/V5OZ025E82TPVZ3", "INA - Invitación y programa Simposio SEHH 2025")</f>
        <v>INA - Invitación y programa Simposio SEHH 2025</v>
      </c>
      <c r="C8901" s="3" t="str">
        <f>HYPERLINK("https://otsuka-europe-crm.veevavault.com/ui/#object/sent_email__v/VBLZ025E82GWBP4", "SE-000279632")</f>
        <v>SE-000279632</v>
      </c>
      <c r="D8901" s="1">
        <v>45922.650416666664</v>
      </c>
      <c r="E8901" s="2">
        <v>1</v>
      </c>
      <c r="F8901" s="2">
        <v>1</v>
      </c>
      <c r="G8901" s="2">
        <v>0</v>
      </c>
      <c r="H8901" s="1" t="s">
        <v>0</v>
      </c>
      <c r="I8901" s="2">
        <v>0</v>
      </c>
      <c r="J8901" s="1">
        <v>45922.642893518518</v>
      </c>
    </row>
    <row r="8902" spans="1:10" x14ac:dyDescent="0.2">
      <c r="A8902" s="4" t="s">
        <v>1</v>
      </c>
      <c r="B8902" s="3" t="str">
        <f>HYPERLINK("https://otsuka-europe-crm.veevavault.com/ui/#object/approved_document__v/V5OZ025E82TPVZ3", "INA - Invitación y programa Simposio SEHH 2025")</f>
        <v>INA - Invitación y programa Simposio SEHH 2025</v>
      </c>
      <c r="C8902" s="3" t="str">
        <f>HYPERLINK("https://otsuka-europe-crm.veevavault.com/ui/#object/sent_email__v/VBLZ025E82GWBP5", "SE-000279633")</f>
        <v>SE-000279633</v>
      </c>
      <c r="D8902" s="1">
        <v>45922.752175925925</v>
      </c>
      <c r="E8902" s="2">
        <v>1</v>
      </c>
      <c r="F8902" s="2">
        <v>2</v>
      </c>
      <c r="G8902" s="2">
        <v>0</v>
      </c>
      <c r="H8902" s="1" t="s">
        <v>0</v>
      </c>
      <c r="I8902" s="2">
        <v>0</v>
      </c>
      <c r="J8902" s="1">
        <v>45922.642754629633</v>
      </c>
    </row>
    <row r="8903" spans="1:10" x14ac:dyDescent="0.2">
      <c r="A8903" s="4" t="s">
        <v>1</v>
      </c>
      <c r="B8903" s="3" t="str">
        <f>HYPERLINK("https://otsuka-europe-crm.veevavault.com/ui/#object/approved_document__v/V5OZ025E82TPVZ3", "INA - Invitación y programa Simposio SEHH 2025")</f>
        <v>INA - Invitación y programa Simposio SEHH 2025</v>
      </c>
      <c r="C8903" s="3" t="str">
        <f>HYPERLINK("https://otsuka-europe-crm.veevavault.com/ui/#object/sent_email__v/VBLZ025E82GWBP6", "SE-000279634")</f>
        <v>SE-000279634</v>
      </c>
      <c r="D8903" s="1" t="s">
        <v>0</v>
      </c>
      <c r="E8903" s="2">
        <v>0</v>
      </c>
      <c r="F8903" s="2">
        <v>0</v>
      </c>
      <c r="G8903" s="2">
        <v>0</v>
      </c>
      <c r="H8903" s="1" t="s">
        <v>0</v>
      </c>
      <c r="I8903" s="2">
        <v>0</v>
      </c>
      <c r="J8903" s="1">
        <v>45922.642847222225</v>
      </c>
    </row>
    <row r="8904" spans="1:10" x14ac:dyDescent="0.2">
      <c r="A8904" s="4" t="s">
        <v>1</v>
      </c>
      <c r="B8904" s="3" t="str">
        <f>HYPERLINK("https://otsuka-europe-crm.veevavault.com/ui/#object/approved_document__v/V5OZ025E82TPVZ3", "INA - Invitación y programa Simposio SEHH 2025")</f>
        <v>INA - Invitación y programa Simposio SEHH 2025</v>
      </c>
      <c r="C8904" s="3" t="str">
        <f>HYPERLINK("https://otsuka-europe-crm.veevavault.com/ui/#object/sent_email__v/VBLZ025E82GWBP7", "SE-000279635")</f>
        <v>SE-000279635</v>
      </c>
      <c r="D8904" s="1">
        <v>45922.655150462961</v>
      </c>
      <c r="E8904" s="2">
        <v>1</v>
      </c>
      <c r="F8904" s="2">
        <v>1</v>
      </c>
      <c r="G8904" s="2">
        <v>1</v>
      </c>
      <c r="H8904" s="1">
        <v>45922.655358796299</v>
      </c>
      <c r="I8904" s="2">
        <v>1</v>
      </c>
      <c r="J8904" s="1">
        <v>45922.642731481479</v>
      </c>
    </row>
    <row r="8905" spans="1:10" x14ac:dyDescent="0.2">
      <c r="A8905" s="4" t="s">
        <v>1</v>
      </c>
      <c r="B8905" s="3" t="str">
        <f>HYPERLINK("https://otsuka-europe-crm.veevavault.com/ui/#object/approved_document__v/V5OZ025E82TPVZ3", "INA - Invitación y programa Simposio SEHH 2025")</f>
        <v>INA - Invitación y programa Simposio SEHH 2025</v>
      </c>
      <c r="C8905" s="3" t="str">
        <f>HYPERLINK("https://otsuka-europe-crm.veevavault.com/ui/#object/sent_email__v/VBLZ025E82GWBP8", "SE-000279636")</f>
        <v>SE-000279636</v>
      </c>
      <c r="D8905" s="1" t="s">
        <v>0</v>
      </c>
      <c r="E8905" s="2">
        <v>0</v>
      </c>
      <c r="F8905" s="2">
        <v>0</v>
      </c>
      <c r="G8905" s="2">
        <v>0</v>
      </c>
      <c r="H8905" s="1" t="s">
        <v>0</v>
      </c>
      <c r="I8905" s="2">
        <v>0</v>
      </c>
      <c r="J8905" s="1">
        <v>45922.642916666664</v>
      </c>
    </row>
    <row r="8906" spans="1:10" x14ac:dyDescent="0.2">
      <c r="A8906" s="4" t="s">
        <v>1</v>
      </c>
      <c r="B8906" s="3" t="str">
        <f>HYPERLINK("https://otsuka-europe-crm.veevavault.com/ui/#object/approved_document__v/V5OZ025E82TPVZ3", "INA - Invitación y programa Simposio SEHH 2025")</f>
        <v>INA - Invitación y programa Simposio SEHH 2025</v>
      </c>
      <c r="C8906" s="3" t="str">
        <f>HYPERLINK("https://otsuka-europe-crm.veevavault.com/ui/#object/sent_email__v/VBLZ025E82GWBP9", "SE-000279637")</f>
        <v>SE-000279637</v>
      </c>
      <c r="D8906" s="1">
        <v>45929.877326388887</v>
      </c>
      <c r="E8906" s="2">
        <v>1</v>
      </c>
      <c r="F8906" s="2">
        <v>4</v>
      </c>
      <c r="G8906" s="2">
        <v>1</v>
      </c>
      <c r="H8906" s="1">
        <v>45929.877418981479</v>
      </c>
      <c r="I8906" s="2">
        <v>2</v>
      </c>
      <c r="J8906" s="1">
        <v>45922.642754629633</v>
      </c>
    </row>
    <row r="8907" spans="1:10" x14ac:dyDescent="0.2">
      <c r="A8907" s="4" t="s">
        <v>1</v>
      </c>
      <c r="B8907" s="3" t="str">
        <f>HYPERLINK("https://otsuka-europe-crm.veevavault.com/ui/#object/approved_document__v/V5OZ025E82TPVZ3", "INA - Invitación y programa Simposio SEHH 2025")</f>
        <v>INA - Invitación y programa Simposio SEHH 2025</v>
      </c>
      <c r="C8907" s="3" t="str">
        <f>HYPERLINK("https://otsuka-europe-crm.veevavault.com/ui/#object/sent_email__v/VBLZ025E82GWBPA", "SE-000279638")</f>
        <v>SE-000279638</v>
      </c>
      <c r="D8907" s="1" t="s">
        <v>0</v>
      </c>
      <c r="E8907" s="2">
        <v>0</v>
      </c>
      <c r="F8907" s="2">
        <v>0</v>
      </c>
      <c r="G8907" s="2">
        <v>0</v>
      </c>
      <c r="H8907" s="1" t="s">
        <v>0</v>
      </c>
      <c r="I8907" s="2">
        <v>0</v>
      </c>
      <c r="J8907" s="1">
        <v>45922.642916666664</v>
      </c>
    </row>
    <row r="8908" spans="1:10" x14ac:dyDescent="0.2">
      <c r="A8908" s="4" t="s">
        <v>1</v>
      </c>
      <c r="B8908" s="3" t="str">
        <f>HYPERLINK("https://otsuka-europe-crm.veevavault.com/ui/#object/approved_document__v/V5OZ025E82TPVZ3", "INA - Invitación y programa Simposio SEHH 2025")</f>
        <v>INA - Invitación y programa Simposio SEHH 2025</v>
      </c>
      <c r="C8908" s="3" t="str">
        <f>HYPERLINK("https://otsuka-europe-crm.veevavault.com/ui/#object/sent_email__v/VBLZ025E82GWBPB", "SE-000279639")</f>
        <v>SE-000279639</v>
      </c>
      <c r="D8908" s="1" t="s">
        <v>0</v>
      </c>
      <c r="E8908" s="2">
        <v>0</v>
      </c>
      <c r="F8908" s="2">
        <v>0</v>
      </c>
      <c r="G8908" s="2">
        <v>0</v>
      </c>
      <c r="H8908" s="1" t="s">
        <v>0</v>
      </c>
      <c r="I8908" s="2">
        <v>0</v>
      </c>
      <c r="J8908" s="1">
        <v>45922.642766203702</v>
      </c>
    </row>
    <row r="8909" spans="1:10" x14ac:dyDescent="0.2">
      <c r="A8909" s="4" t="s">
        <v>1</v>
      </c>
      <c r="B8909" s="3" t="str">
        <f>HYPERLINK("https://otsuka-europe-crm.veevavault.com/ui/#object/approved_document__v/V5OZ025E82TPVZ3", "INA - Invitación y programa Simposio SEHH 2025")</f>
        <v>INA - Invitación y programa Simposio SEHH 2025</v>
      </c>
      <c r="C8909" s="3" t="str">
        <f>HYPERLINK("https://otsuka-europe-crm.veevavault.com/ui/#object/sent_email__v/VBLZ025E82GWBPC", "SE-000279640")</f>
        <v>SE-000279640</v>
      </c>
      <c r="D8909" s="1">
        <v>45922.697685185187</v>
      </c>
      <c r="E8909" s="2">
        <v>1</v>
      </c>
      <c r="F8909" s="2">
        <v>2</v>
      </c>
      <c r="G8909" s="2">
        <v>0</v>
      </c>
      <c r="H8909" s="1" t="s">
        <v>0</v>
      </c>
      <c r="I8909" s="2">
        <v>0</v>
      </c>
      <c r="J8909" s="1">
        <v>45922.642789351848</v>
      </c>
    </row>
    <row r="8910" spans="1:10" x14ac:dyDescent="0.2">
      <c r="A8910" s="4" t="s">
        <v>1</v>
      </c>
      <c r="B8910" s="3" t="str">
        <f>HYPERLINK("https://otsuka-europe-crm.veevavault.com/ui/#object/approved_document__v/V5OZ025E82TPVZ3", "INA - Invitación y programa Simposio SEHH 2025")</f>
        <v>INA - Invitación y programa Simposio SEHH 2025</v>
      </c>
      <c r="C8910" s="3" t="str">
        <f>HYPERLINK("https://otsuka-europe-crm.veevavault.com/ui/#object/sent_email__v/VBLZ025E82GWBPD", "SE-000279641")</f>
        <v>SE-000279641</v>
      </c>
      <c r="D8910" s="1" t="s">
        <v>0</v>
      </c>
      <c r="E8910" s="2">
        <v>0</v>
      </c>
      <c r="F8910" s="2">
        <v>0</v>
      </c>
      <c r="G8910" s="2">
        <v>0</v>
      </c>
      <c r="H8910" s="1" t="s">
        <v>0</v>
      </c>
      <c r="I8910" s="2">
        <v>0</v>
      </c>
      <c r="J8910" s="1">
        <v>45922.642939814818</v>
      </c>
    </row>
    <row r="8911" spans="1:10" x14ac:dyDescent="0.2">
      <c r="A8911" s="4" t="s">
        <v>1</v>
      </c>
      <c r="B8911" s="3" t="str">
        <f>HYPERLINK("https://otsuka-europe-crm.veevavault.com/ui/#object/approved_document__v/V5OZ025E82TPVZ3", "INA - Invitación y programa Simposio SEHH 2025")</f>
        <v>INA - Invitación y programa Simposio SEHH 2025</v>
      </c>
      <c r="C8911" s="3" t="str">
        <f>HYPERLINK("https://otsuka-europe-crm.veevavault.com/ui/#object/sent_email__v/VBLZ025E82GWBPE", "SE-000279642")</f>
        <v>SE-000279642</v>
      </c>
      <c r="D8911" s="1">
        <v>45922.732893518521</v>
      </c>
      <c r="E8911" s="2">
        <v>1</v>
      </c>
      <c r="F8911" s="2">
        <v>1</v>
      </c>
      <c r="G8911" s="2">
        <v>0</v>
      </c>
      <c r="H8911" s="1" t="s">
        <v>0</v>
      </c>
      <c r="I8911" s="2">
        <v>0</v>
      </c>
      <c r="J8911" s="1">
        <v>45922.642766203702</v>
      </c>
    </row>
    <row r="8912" spans="1:10" x14ac:dyDescent="0.2">
      <c r="A8912" s="4" t="s">
        <v>1</v>
      </c>
      <c r="B8912" s="3" t="str">
        <f>HYPERLINK("https://otsuka-europe-crm.veevavault.com/ui/#object/approved_document__v/V5OZ025E82TPVZ3", "INA - Invitación y programa Simposio SEHH 2025")</f>
        <v>INA - Invitación y programa Simposio SEHH 2025</v>
      </c>
      <c r="C8912" s="3" t="str">
        <f>HYPERLINK("https://otsuka-europe-crm.veevavault.com/ui/#object/sent_email__v/VBLZ025E82GWBPF", "SE-000279643")</f>
        <v>SE-000279643</v>
      </c>
      <c r="D8912" s="1" t="s">
        <v>0</v>
      </c>
      <c r="E8912" s="2">
        <v>0</v>
      </c>
      <c r="F8912" s="2">
        <v>0</v>
      </c>
      <c r="G8912" s="2">
        <v>0</v>
      </c>
      <c r="H8912" s="1" t="s">
        <v>0</v>
      </c>
      <c r="I8912" s="2">
        <v>0</v>
      </c>
      <c r="J8912" s="1">
        <v>45922.642928240741</v>
      </c>
    </row>
    <row r="8913" spans="1:10" x14ac:dyDescent="0.2">
      <c r="A8913" s="4" t="s">
        <v>1</v>
      </c>
      <c r="B8913" s="3" t="str">
        <f>HYPERLINK("https://otsuka-europe-crm.veevavault.com/ui/#object/approved_document__v/V5OZ025E82TPVZ3", "INA - Invitación y programa Simposio SEHH 2025")</f>
        <v>INA - Invitación y programa Simposio SEHH 2025</v>
      </c>
      <c r="C8913" s="3" t="str">
        <f>HYPERLINK("https://otsuka-europe-crm.veevavault.com/ui/#object/sent_email__v/VBLZ025E82GWBPG", "SE-000279644")</f>
        <v>SE-000279644</v>
      </c>
      <c r="D8913" s="1">
        <v>45924.381458333337</v>
      </c>
      <c r="E8913" s="2">
        <v>1</v>
      </c>
      <c r="F8913" s="2">
        <v>5</v>
      </c>
      <c r="G8913" s="2">
        <v>0</v>
      </c>
      <c r="H8913" s="1" t="s">
        <v>0</v>
      </c>
      <c r="I8913" s="2">
        <v>0</v>
      </c>
      <c r="J8913" s="1">
        <v>45922.642800925925</v>
      </c>
    </row>
    <row r="8914" spans="1:10" x14ac:dyDescent="0.2">
      <c r="A8914" s="4" t="s">
        <v>1</v>
      </c>
      <c r="B8914" s="3" t="str">
        <f>HYPERLINK("https://otsuka-europe-crm.veevavault.com/ui/#object/approved_document__v/V5OZ025E82TPVZ3", "INA - Invitación y programa Simposio SEHH 2025")</f>
        <v>INA - Invitación y programa Simposio SEHH 2025</v>
      </c>
      <c r="C8914" s="3" t="str">
        <f>HYPERLINK("https://otsuka-europe-crm.veevavault.com/ui/#object/sent_email__v/VBLZ025E82GWBPH", "SE-000279645")</f>
        <v>SE-000279645</v>
      </c>
      <c r="D8914" s="1" t="s">
        <v>0</v>
      </c>
      <c r="E8914" s="2">
        <v>0</v>
      </c>
      <c r="F8914" s="2">
        <v>0</v>
      </c>
      <c r="G8914" s="2">
        <v>0</v>
      </c>
      <c r="H8914" s="1" t="s">
        <v>0</v>
      </c>
      <c r="I8914" s="2">
        <v>0</v>
      </c>
      <c r="J8914" s="1">
        <v>45922.642951388887</v>
      </c>
    </row>
    <row r="8915" spans="1:10" x14ac:dyDescent="0.2">
      <c r="A8915" s="4" t="s">
        <v>1</v>
      </c>
      <c r="B8915" s="3" t="str">
        <f>HYPERLINK("https://otsuka-europe-crm.veevavault.com/ui/#object/approved_document__v/V5OZ025E82TPVZ3", "INA - Invitación y programa Simposio SEHH 2025")</f>
        <v>INA - Invitación y programa Simposio SEHH 2025</v>
      </c>
      <c r="C8915" s="3" t="str">
        <f>HYPERLINK("https://otsuka-europe-crm.veevavault.com/ui/#object/sent_email__v/VBLZ025E82GWBPI", "SE-000279646")</f>
        <v>SE-000279646</v>
      </c>
      <c r="D8915" s="1" t="s">
        <v>0</v>
      </c>
      <c r="E8915" s="2">
        <v>0</v>
      </c>
      <c r="F8915" s="2">
        <v>0</v>
      </c>
      <c r="G8915" s="2">
        <v>0</v>
      </c>
      <c r="H8915" s="1" t="s">
        <v>0</v>
      </c>
      <c r="I8915" s="2">
        <v>0</v>
      </c>
      <c r="J8915" s="1">
        <v>45922.64271990741</v>
      </c>
    </row>
    <row r="8916" spans="1:10" x14ac:dyDescent="0.2">
      <c r="A8916" s="4" t="s">
        <v>1</v>
      </c>
      <c r="B8916" s="3" t="str">
        <f>HYPERLINK("https://otsuka-europe-crm.veevavault.com/ui/#object/approved_document__v/V5OZ025E82TPVZ3", "INA - Invitación y programa Simposio SEHH 2025")</f>
        <v>INA - Invitación y programa Simposio SEHH 2025</v>
      </c>
      <c r="C8916" s="3" t="str">
        <f>HYPERLINK("https://otsuka-europe-crm.veevavault.com/ui/#object/sent_email__v/VBLZ025E82GWBPJ", "SE-000279647")</f>
        <v>SE-000279647</v>
      </c>
      <c r="D8916" s="1">
        <v>45941.305312500001</v>
      </c>
      <c r="E8916" s="2">
        <v>1</v>
      </c>
      <c r="F8916" s="2">
        <v>3</v>
      </c>
      <c r="G8916" s="2">
        <v>0</v>
      </c>
      <c r="H8916" s="1" t="s">
        <v>0</v>
      </c>
      <c r="I8916" s="2">
        <v>0</v>
      </c>
      <c r="J8916" s="1">
        <v>45922.642847222225</v>
      </c>
    </row>
    <row r="8917" spans="1:10" x14ac:dyDescent="0.2">
      <c r="A8917" s="4" t="s">
        <v>1</v>
      </c>
      <c r="B8917" s="3" t="str">
        <f>HYPERLINK("https://otsuka-europe-crm.veevavault.com/ui/#object/approved_document__v/V5OZ025E82TPVZ3", "INA - Invitación y programa Simposio SEHH 2025")</f>
        <v>INA - Invitación y programa Simposio SEHH 2025</v>
      </c>
      <c r="C8917" s="3" t="str">
        <f>HYPERLINK("https://otsuka-europe-crm.veevavault.com/ui/#object/sent_email__v/VBLZ025E82GWBPK", "SE-000279648")</f>
        <v>SE-000279648</v>
      </c>
      <c r="D8917" s="1" t="s">
        <v>0</v>
      </c>
      <c r="E8917" s="2">
        <v>0</v>
      </c>
      <c r="F8917" s="2">
        <v>0</v>
      </c>
      <c r="G8917" s="2">
        <v>0</v>
      </c>
      <c r="H8917" s="1" t="s">
        <v>0</v>
      </c>
      <c r="I8917" s="2">
        <v>0</v>
      </c>
      <c r="J8917" s="1">
        <v>45922.642731481479</v>
      </c>
    </row>
    <row r="8918" spans="1:10" x14ac:dyDescent="0.2">
      <c r="A8918" s="4" t="s">
        <v>1</v>
      </c>
      <c r="B8918" s="3" t="str">
        <f>HYPERLINK("https://otsuka-europe-crm.veevavault.com/ui/#object/approved_document__v/V5OZ025E82TPVZ3", "INA - Invitación y programa Simposio SEHH 2025")</f>
        <v>INA - Invitación y programa Simposio SEHH 2025</v>
      </c>
      <c r="C8918" s="3" t="str">
        <f>HYPERLINK("https://otsuka-europe-crm.veevavault.com/ui/#object/sent_email__v/VBLZ025E82GWBPL", "SE-000279649")</f>
        <v>SE-000279649</v>
      </c>
      <c r="D8918" s="1" t="s">
        <v>0</v>
      </c>
      <c r="E8918" s="2">
        <v>0</v>
      </c>
      <c r="F8918" s="2">
        <v>0</v>
      </c>
      <c r="G8918" s="2">
        <v>0</v>
      </c>
      <c r="H8918" s="1" t="s">
        <v>0</v>
      </c>
      <c r="I8918" s="2">
        <v>0</v>
      </c>
      <c r="J8918" s="1">
        <v>45922.642905092594</v>
      </c>
    </row>
    <row r="8919" spans="1:10" x14ac:dyDescent="0.2">
      <c r="A8919" s="4" t="s">
        <v>1</v>
      </c>
      <c r="B8919" s="3" t="str">
        <f>HYPERLINK("https://otsuka-europe-crm.veevavault.com/ui/#object/approved_document__v/V5OZ025E82TPVZ3", "INA - Invitación y programa Simposio SEHH 2025")</f>
        <v>INA - Invitación y programa Simposio SEHH 2025</v>
      </c>
      <c r="C8919" s="3" t="str">
        <f>HYPERLINK("https://otsuka-europe-crm.veevavault.com/ui/#object/sent_email__v/VBLZ025E82GWBPM", "SE-000279650")</f>
        <v>SE-000279650</v>
      </c>
      <c r="D8919" s="1">
        <v>45922.794560185182</v>
      </c>
      <c r="E8919" s="2">
        <v>1</v>
      </c>
      <c r="F8919" s="2">
        <v>1</v>
      </c>
      <c r="G8919" s="2">
        <v>0</v>
      </c>
      <c r="H8919" s="1" t="s">
        <v>0</v>
      </c>
      <c r="I8919" s="2">
        <v>0</v>
      </c>
      <c r="J8919" s="1">
        <v>45922.642754629633</v>
      </c>
    </row>
    <row r="8920" spans="1:10" x14ac:dyDescent="0.2">
      <c r="A8920" s="4" t="s">
        <v>1</v>
      </c>
      <c r="B8920" s="3" t="str">
        <f>HYPERLINK("https://otsuka-europe-crm.veevavault.com/ui/#object/approved_document__v/V5OZ025E82TPVZ3", "INA - Invitación y programa Simposio SEHH 2025")</f>
        <v>INA - Invitación y programa Simposio SEHH 2025</v>
      </c>
      <c r="C8920" s="3" t="str">
        <f>HYPERLINK("https://otsuka-europe-crm.veevavault.com/ui/#object/sent_email__v/VBLZ025E82GWBPN", "SE-000279651")</f>
        <v>SE-000279651</v>
      </c>
      <c r="D8920" s="1">
        <v>45923.023993055554</v>
      </c>
      <c r="E8920" s="2">
        <v>1</v>
      </c>
      <c r="F8920" s="2">
        <v>2</v>
      </c>
      <c r="G8920" s="2">
        <v>0</v>
      </c>
      <c r="H8920" s="1" t="s">
        <v>0</v>
      </c>
      <c r="I8920" s="2">
        <v>0</v>
      </c>
      <c r="J8920" s="1">
        <v>45922.642881944441</v>
      </c>
    </row>
    <row r="8921" spans="1:10" x14ac:dyDescent="0.2">
      <c r="A8921" s="4" t="s">
        <v>1</v>
      </c>
      <c r="B8921" s="3" t="str">
        <f>HYPERLINK("https://otsuka-europe-crm.veevavault.com/ui/#object/approved_document__v/V5OZ025E82TPVZ3", "INA - Invitación y programa Simposio SEHH 2025")</f>
        <v>INA - Invitación y programa Simposio SEHH 2025</v>
      </c>
      <c r="C8921" s="3" t="str">
        <f>HYPERLINK("https://otsuka-europe-crm.veevavault.com/ui/#object/sent_email__v/VBLZ025E82GWBPO", "SE-000279652")</f>
        <v>SE-000279652</v>
      </c>
      <c r="D8921" s="1">
        <v>45925.341099537036</v>
      </c>
      <c r="E8921" s="2">
        <v>1</v>
      </c>
      <c r="F8921" s="2">
        <v>1</v>
      </c>
      <c r="G8921" s="2">
        <v>0</v>
      </c>
      <c r="H8921" s="1" t="s">
        <v>0</v>
      </c>
      <c r="I8921" s="2">
        <v>0</v>
      </c>
      <c r="J8921" s="1">
        <v>45922.64271990741</v>
      </c>
    </row>
    <row r="8922" spans="1:10" x14ac:dyDescent="0.2">
      <c r="A8922" s="4" t="s">
        <v>1</v>
      </c>
      <c r="B8922" s="3" t="str">
        <f>HYPERLINK("https://otsuka-europe-crm.veevavault.com/ui/#object/approved_document__v/V5OZ025E82TPVZ3", "INA - Invitación y programa Simposio SEHH 2025")</f>
        <v>INA - Invitación y programa Simposio SEHH 2025</v>
      </c>
      <c r="C8922" s="3" t="str">
        <f>HYPERLINK("https://otsuka-europe-crm.veevavault.com/ui/#object/sent_email__v/VBLZ025E82GWBPP", "SE-000279653")</f>
        <v>SE-000279653</v>
      </c>
      <c r="D8922" s="1">
        <v>45922.648506944446</v>
      </c>
      <c r="E8922" s="2">
        <v>1</v>
      </c>
      <c r="F8922" s="2">
        <v>1</v>
      </c>
      <c r="G8922" s="2">
        <v>0</v>
      </c>
      <c r="H8922" s="1" t="s">
        <v>0</v>
      </c>
      <c r="I8922" s="2">
        <v>0</v>
      </c>
      <c r="J8922" s="1">
        <v>45922.642858796295</v>
      </c>
    </row>
    <row r="8923" spans="1:10" x14ac:dyDescent="0.2">
      <c r="A8923" s="4" t="s">
        <v>1</v>
      </c>
      <c r="B8923" s="3" t="str">
        <f>HYPERLINK("https://otsuka-europe-crm.veevavault.com/ui/#object/approved_document__v/V5OZ025E82TPVZ3", "INA - Invitación y programa Simposio SEHH 2025")</f>
        <v>INA - Invitación y programa Simposio SEHH 2025</v>
      </c>
      <c r="C8923" s="3" t="str">
        <f>HYPERLINK("https://otsuka-europe-crm.veevavault.com/ui/#object/sent_email__v/VBLZ025E82GWBPQ", "SE-000279654")</f>
        <v>SE-000279654</v>
      </c>
      <c r="D8923" s="1" t="s">
        <v>0</v>
      </c>
      <c r="E8923" s="2">
        <v>0</v>
      </c>
      <c r="F8923" s="2">
        <v>0</v>
      </c>
      <c r="G8923" s="2">
        <v>0</v>
      </c>
      <c r="H8923" s="1" t="s">
        <v>0</v>
      </c>
      <c r="I8923" s="2">
        <v>0</v>
      </c>
      <c r="J8923" s="1">
        <v>45922.642812500002</v>
      </c>
    </row>
    <row r="8924" spans="1:10" x14ac:dyDescent="0.2">
      <c r="A8924" s="4" t="s">
        <v>1</v>
      </c>
      <c r="B8924" s="3" t="str">
        <f>HYPERLINK("https://otsuka-europe-crm.veevavault.com/ui/#object/approved_document__v/V5OZ025E82TPVZ3", "INA - Invitación y programa Simposio SEHH 2025")</f>
        <v>INA - Invitación y programa Simposio SEHH 2025</v>
      </c>
      <c r="C8924" s="3" t="str">
        <f>HYPERLINK("https://otsuka-europe-crm.veevavault.com/ui/#object/sent_email__v/VBLZ025E82GWBPR", "SE-000279655")</f>
        <v>SE-000279655</v>
      </c>
      <c r="D8924" s="1">
        <v>45922.934386574074</v>
      </c>
      <c r="E8924" s="2">
        <v>1</v>
      </c>
      <c r="F8924" s="2">
        <v>1</v>
      </c>
      <c r="G8924" s="2">
        <v>0</v>
      </c>
      <c r="H8924" s="1" t="s">
        <v>0</v>
      </c>
      <c r="I8924" s="2">
        <v>0</v>
      </c>
      <c r="J8924" s="1">
        <v>45922.642962962964</v>
      </c>
    </row>
    <row r="8925" spans="1:10" x14ac:dyDescent="0.2">
      <c r="A8925" s="4" t="s">
        <v>1</v>
      </c>
      <c r="B8925" s="3" t="str">
        <f>HYPERLINK("https://otsuka-europe-crm.veevavault.com/ui/#object/approved_document__v/V5OZ025E82TPVZ3", "INA - Invitación y programa Simposio SEHH 2025")</f>
        <v>INA - Invitación y programa Simposio SEHH 2025</v>
      </c>
      <c r="C8925" s="3" t="str">
        <f>HYPERLINK("https://otsuka-europe-crm.veevavault.com/ui/#object/sent_email__v/VBLZ025E82GWBPS", "SE-000279656")</f>
        <v>SE-000279656</v>
      </c>
      <c r="D8925" s="1">
        <v>45925.030243055553</v>
      </c>
      <c r="E8925" s="2">
        <v>1</v>
      </c>
      <c r="F8925" s="2">
        <v>1</v>
      </c>
      <c r="G8925" s="2">
        <v>0</v>
      </c>
      <c r="H8925" s="1" t="s">
        <v>0</v>
      </c>
      <c r="I8925" s="2">
        <v>0</v>
      </c>
      <c r="J8925" s="1">
        <v>45922.642824074072</v>
      </c>
    </row>
    <row r="8926" spans="1:10" x14ac:dyDescent="0.2">
      <c r="A8926" s="4" t="s">
        <v>1</v>
      </c>
      <c r="B8926" s="3" t="str">
        <f>HYPERLINK("https://otsuka-europe-crm.veevavault.com/ui/#object/approved_document__v/V5OZ025E82TPVZ3", "INA - Invitación y programa Simposio SEHH 2025")</f>
        <v>INA - Invitación y programa Simposio SEHH 2025</v>
      </c>
      <c r="C8926" s="3" t="str">
        <f>HYPERLINK("https://otsuka-europe-crm.veevavault.com/ui/#object/sent_email__v/VBLZ025E82GWBPT", "SE-000279657")</f>
        <v>SE-000279657</v>
      </c>
      <c r="D8926" s="1">
        <v>45922.951689814814</v>
      </c>
      <c r="E8926" s="2">
        <v>1</v>
      </c>
      <c r="F8926" s="2">
        <v>3</v>
      </c>
      <c r="G8926" s="2">
        <v>0</v>
      </c>
      <c r="H8926" s="1" t="s">
        <v>0</v>
      </c>
      <c r="I8926" s="2">
        <v>0</v>
      </c>
      <c r="J8926" s="1">
        <v>45922.64298611111</v>
      </c>
    </row>
    <row r="8927" spans="1:10" x14ac:dyDescent="0.2">
      <c r="A8927" s="4" t="s">
        <v>1</v>
      </c>
      <c r="B8927" s="3" t="str">
        <f>HYPERLINK("https://otsuka-europe-crm.veevavault.com/ui/#object/approved_document__v/V5OZ025E82TPVZ3", "INA - Invitación y programa Simposio SEHH 2025")</f>
        <v>INA - Invitación y programa Simposio SEHH 2025</v>
      </c>
      <c r="C8927" s="3" t="str">
        <f>HYPERLINK("https://otsuka-europe-crm.veevavault.com/ui/#object/sent_email__v/VBLZ025E82GWBPU", "SE-000279658")</f>
        <v>SE-000279658</v>
      </c>
      <c r="D8927" s="1">
        <v>45922.740370370368</v>
      </c>
      <c r="E8927" s="2">
        <v>1</v>
      </c>
      <c r="F8927" s="2">
        <v>1</v>
      </c>
      <c r="G8927" s="2">
        <v>0</v>
      </c>
      <c r="H8927" s="1" t="s">
        <v>0</v>
      </c>
      <c r="I8927" s="2">
        <v>0</v>
      </c>
      <c r="J8927" s="1">
        <v>45922.642835648148</v>
      </c>
    </row>
    <row r="8928" spans="1:10" x14ac:dyDescent="0.2">
      <c r="A8928" s="4" t="s">
        <v>1</v>
      </c>
      <c r="B8928" s="3" t="str">
        <f>HYPERLINK("https://otsuka-europe-crm.veevavault.com/ui/#object/approved_document__v/V5OZ025E82TPVZ3", "INA - Invitación y programa Simposio SEHH 2025")</f>
        <v>INA - Invitación y programa Simposio SEHH 2025</v>
      </c>
      <c r="C8928" s="3" t="str">
        <f>HYPERLINK("https://otsuka-europe-crm.veevavault.com/ui/#object/sent_email__v/VBLZ025E82GWBPV", "SE-000279659")</f>
        <v>SE-000279659</v>
      </c>
      <c r="D8928" s="1">
        <v>45923.599236111113</v>
      </c>
      <c r="E8928" s="2">
        <v>1</v>
      </c>
      <c r="F8928" s="2">
        <v>1</v>
      </c>
      <c r="G8928" s="2">
        <v>0</v>
      </c>
      <c r="H8928" s="1" t="s">
        <v>0</v>
      </c>
      <c r="I8928" s="2">
        <v>0</v>
      </c>
      <c r="J8928" s="1">
        <v>45922.642939814818</v>
      </c>
    </row>
    <row r="8929" spans="1:10" x14ac:dyDescent="0.2">
      <c r="A8929" s="4" t="s">
        <v>1</v>
      </c>
      <c r="B8929" s="3" t="str">
        <f>HYPERLINK("https://otsuka-europe-crm.veevavault.com/ui/#object/approved_document__v/V5OZ025E82TPVZ3", "INA - Invitación y programa Simposio SEHH 2025")</f>
        <v>INA - Invitación y programa Simposio SEHH 2025</v>
      </c>
      <c r="C8929" s="3" t="str">
        <f>HYPERLINK("https://otsuka-europe-crm.veevavault.com/ui/#object/sent_email__v/VBLZ025E82GWBPW", "SE-000279660")</f>
        <v>SE-000279660</v>
      </c>
      <c r="D8929" s="1" t="s">
        <v>0</v>
      </c>
      <c r="E8929" s="2">
        <v>0</v>
      </c>
      <c r="F8929" s="2">
        <v>0</v>
      </c>
      <c r="G8929" s="2">
        <v>0</v>
      </c>
      <c r="H8929" s="1" t="s">
        <v>0</v>
      </c>
      <c r="I8929" s="2">
        <v>0</v>
      </c>
      <c r="J8929" s="1">
        <v>45922.642777777779</v>
      </c>
    </row>
    <row r="8930" spans="1:10" x14ac:dyDescent="0.2">
      <c r="A8930" s="4" t="s">
        <v>1</v>
      </c>
      <c r="B8930" s="3" t="str">
        <f>HYPERLINK("https://otsuka-europe-crm.veevavault.com/ui/#object/approved_document__v/V5OZ025E82TPVZ3", "INA - Invitación y programa Simposio SEHH 2025")</f>
        <v>INA - Invitación y programa Simposio SEHH 2025</v>
      </c>
      <c r="C8930" s="3" t="str">
        <f>HYPERLINK("https://otsuka-europe-crm.veevavault.com/ui/#object/sent_email__v/VBLZ025E82GWBX9", "SE-000279725")</f>
        <v>SE-000279725</v>
      </c>
      <c r="D8930" s="1">
        <v>45943.881296296298</v>
      </c>
      <c r="E8930" s="2">
        <v>1</v>
      </c>
      <c r="F8930" s="2">
        <v>1</v>
      </c>
      <c r="G8930" s="2">
        <v>0</v>
      </c>
      <c r="H8930" s="1" t="s">
        <v>0</v>
      </c>
      <c r="I8930" s="2">
        <v>0</v>
      </c>
      <c r="J8930" s="1">
        <v>45922.643969907411</v>
      </c>
    </row>
    <row r="8931" spans="1:10" x14ac:dyDescent="0.2">
      <c r="A8931" s="4" t="s">
        <v>1</v>
      </c>
      <c r="B8931" s="3" t="str">
        <f>HYPERLINK("https://otsuka-europe-crm.veevavault.com/ui/#object/approved_document__v/V5OZ025E82TPVZ3", "INA - Invitación y programa Simposio SEHH 2025")</f>
        <v>INA - Invitación y programa Simposio SEHH 2025</v>
      </c>
      <c r="C8931" s="3" t="str">
        <f>HYPERLINK("https://otsuka-europe-crm.veevavault.com/ui/#object/sent_email__v/VBLZ025E82GWBXA", "SE-000279726")</f>
        <v>SE-000279726</v>
      </c>
      <c r="D8931" s="1">
        <v>45936.553182870368</v>
      </c>
      <c r="E8931" s="2">
        <v>1</v>
      </c>
      <c r="F8931" s="2">
        <v>1</v>
      </c>
      <c r="G8931" s="2">
        <v>0</v>
      </c>
      <c r="H8931" s="1" t="s">
        <v>0</v>
      </c>
      <c r="I8931" s="2">
        <v>0</v>
      </c>
      <c r="J8931" s="1">
        <v>45922.643854166665</v>
      </c>
    </row>
    <row r="8932" spans="1:10" x14ac:dyDescent="0.2">
      <c r="A8932" s="4" t="s">
        <v>1</v>
      </c>
      <c r="B8932" s="3" t="str">
        <f>HYPERLINK("https://otsuka-europe-crm.veevavault.com/ui/#object/approved_document__v/V5OZ025E82TPVZ3", "INA - Invitación y programa Simposio SEHH 2025")</f>
        <v>INA - Invitación y programa Simposio SEHH 2025</v>
      </c>
      <c r="C8932" s="3" t="str">
        <f>HYPERLINK("https://otsuka-europe-crm.veevavault.com/ui/#object/sent_email__v/VBLZ025E82GWBXB", "SE-000279727")</f>
        <v>SE-000279727</v>
      </c>
      <c r="D8932" s="1">
        <v>45923.309918981482</v>
      </c>
      <c r="E8932" s="2">
        <v>1</v>
      </c>
      <c r="F8932" s="2">
        <v>1</v>
      </c>
      <c r="G8932" s="2">
        <v>0</v>
      </c>
      <c r="H8932" s="1" t="s">
        <v>0</v>
      </c>
      <c r="I8932" s="2">
        <v>0</v>
      </c>
      <c r="J8932" s="1">
        <v>45922.643993055557</v>
      </c>
    </row>
    <row r="8933" spans="1:10" x14ac:dyDescent="0.2">
      <c r="A8933" s="4" t="s">
        <v>1</v>
      </c>
      <c r="B8933" s="3" t="str">
        <f>HYPERLINK("https://otsuka-europe-crm.veevavault.com/ui/#object/approved_document__v/V5OZ025E82TPVZ3", "INA - Invitación y programa Simposio SEHH 2025")</f>
        <v>INA - Invitación y programa Simposio SEHH 2025</v>
      </c>
      <c r="C8933" s="3" t="str">
        <f>HYPERLINK("https://otsuka-europe-crm.veevavault.com/ui/#object/sent_email__v/VBLZ025E82GWBXC", "SE-000279728")</f>
        <v>SE-000279728</v>
      </c>
      <c r="D8933" s="1" t="s">
        <v>0</v>
      </c>
      <c r="E8933" s="2">
        <v>0</v>
      </c>
      <c r="F8933" s="2">
        <v>0</v>
      </c>
      <c r="G8933" s="2">
        <v>0</v>
      </c>
      <c r="H8933" s="1" t="s">
        <v>0</v>
      </c>
      <c r="I8933" s="2">
        <v>0</v>
      </c>
      <c r="J8933" s="1">
        <v>45922.643877314818</v>
      </c>
    </row>
    <row r="8934" spans="1:10" x14ac:dyDescent="0.2">
      <c r="A8934" s="4" t="s">
        <v>1</v>
      </c>
      <c r="B8934" s="3" t="str">
        <f>HYPERLINK("https://otsuka-europe-crm.veevavault.com/ui/#object/approved_document__v/V5OZ025E82TPVZ3", "INA - Invitación y programa Simposio SEHH 2025")</f>
        <v>INA - Invitación y programa Simposio SEHH 2025</v>
      </c>
      <c r="C8934" s="3" t="str">
        <f>HYPERLINK("https://otsuka-europe-crm.veevavault.com/ui/#object/sent_email__v/VBLZ025E82GWBXD", "SE-000279729")</f>
        <v>SE-000279729</v>
      </c>
      <c r="D8934" s="1">
        <v>45922.700046296297</v>
      </c>
      <c r="E8934" s="2">
        <v>1</v>
      </c>
      <c r="F8934" s="2">
        <v>1</v>
      </c>
      <c r="G8934" s="2">
        <v>0</v>
      </c>
      <c r="H8934" s="1" t="s">
        <v>0</v>
      </c>
      <c r="I8934" s="2">
        <v>0</v>
      </c>
      <c r="J8934" s="1">
        <v>45922.643993055557</v>
      </c>
    </row>
    <row r="8935" spans="1:10" x14ac:dyDescent="0.2">
      <c r="A8935" s="4" t="s">
        <v>1</v>
      </c>
      <c r="B8935" s="3" t="str">
        <f>HYPERLINK("https://otsuka-europe-crm.veevavault.com/ui/#object/approved_document__v/V5OZ025E82TPVZ3", "INA - Invitación y programa Simposio SEHH 2025")</f>
        <v>INA - Invitación y programa Simposio SEHH 2025</v>
      </c>
      <c r="C8935" s="3" t="str">
        <f>HYPERLINK("https://otsuka-europe-crm.veevavault.com/ui/#object/sent_email__v/VBLZ025E82GWBXE", "SE-000279730")</f>
        <v>SE-000279730</v>
      </c>
      <c r="D8935" s="1">
        <v>45922.896064814813</v>
      </c>
      <c r="E8935" s="2">
        <v>1</v>
      </c>
      <c r="F8935" s="2">
        <v>1</v>
      </c>
      <c r="G8935" s="2">
        <v>0</v>
      </c>
      <c r="H8935" s="1" t="s">
        <v>0</v>
      </c>
      <c r="I8935" s="2">
        <v>0</v>
      </c>
      <c r="J8935" s="1">
        <v>45922.643865740742</v>
      </c>
    </row>
    <row r="8936" spans="1:10" x14ac:dyDescent="0.2">
      <c r="A8936" s="4" t="s">
        <v>1</v>
      </c>
      <c r="B8936" s="3" t="str">
        <f>HYPERLINK("https://otsuka-europe-crm.veevavault.com/ui/#object/approved_document__v/V5OZ025E82TPVZ3", "INA - Invitación y programa Simposio SEHH 2025")</f>
        <v>INA - Invitación y programa Simposio SEHH 2025</v>
      </c>
      <c r="C8936" s="3" t="str">
        <f>HYPERLINK("https://otsuka-europe-crm.veevavault.com/ui/#object/sent_email__v/VBLZ025E82GWBXF", "SE-000279731")</f>
        <v>SE-000279731</v>
      </c>
      <c r="D8936" s="1">
        <v>45929.414756944447</v>
      </c>
      <c r="E8936" s="2">
        <v>1</v>
      </c>
      <c r="F8936" s="2">
        <v>1</v>
      </c>
      <c r="G8936" s="2">
        <v>0</v>
      </c>
      <c r="H8936" s="1" t="s">
        <v>0</v>
      </c>
      <c r="I8936" s="2">
        <v>0</v>
      </c>
      <c r="J8936" s="1">
        <v>45922.644004629627</v>
      </c>
    </row>
    <row r="8937" spans="1:10" x14ac:dyDescent="0.2">
      <c r="A8937" s="4" t="s">
        <v>1</v>
      </c>
      <c r="B8937" s="3" t="str">
        <f>HYPERLINK("https://otsuka-europe-crm.veevavault.com/ui/#object/approved_document__v/V5OZ025E82TPVZ3", "INA - Invitación y programa Simposio SEHH 2025")</f>
        <v>INA - Invitación y programa Simposio SEHH 2025</v>
      </c>
      <c r="C8937" s="3" t="str">
        <f>HYPERLINK("https://otsuka-europe-crm.veevavault.com/ui/#object/sent_email__v/VBLZ025E82GWBXG", "SE-000279732")</f>
        <v>SE-000279732</v>
      </c>
      <c r="D8937" s="1">
        <v>45922.730034722219</v>
      </c>
      <c r="E8937" s="2">
        <v>1</v>
      </c>
      <c r="F8937" s="2">
        <v>1</v>
      </c>
      <c r="G8937" s="2">
        <v>0</v>
      </c>
      <c r="H8937" s="1" t="s">
        <v>0</v>
      </c>
      <c r="I8937" s="2">
        <v>0</v>
      </c>
      <c r="J8937" s="1">
        <v>45922.643888888888</v>
      </c>
    </row>
    <row r="8938" spans="1:10" x14ac:dyDescent="0.2">
      <c r="A8938" s="4" t="s">
        <v>1</v>
      </c>
      <c r="B8938" s="3" t="str">
        <f>HYPERLINK("https://otsuka-europe-crm.veevavault.com/ui/#object/approved_document__v/V5OZ025E82TPVZ3", "INA - Invitación y programa Simposio SEHH 2025")</f>
        <v>INA - Invitación y programa Simposio SEHH 2025</v>
      </c>
      <c r="C8938" s="3" t="str">
        <f>HYPERLINK("https://otsuka-europe-crm.veevavault.com/ui/#object/sent_email__v/VBLZ025E82GWBXH", "SE-000279733")</f>
        <v>SE-000279733</v>
      </c>
      <c r="D8938" s="1" t="s">
        <v>0</v>
      </c>
      <c r="E8938" s="2">
        <v>0</v>
      </c>
      <c r="F8938" s="2">
        <v>0</v>
      </c>
      <c r="G8938" s="2">
        <v>0</v>
      </c>
      <c r="H8938" s="1" t="s">
        <v>0</v>
      </c>
      <c r="I8938" s="2">
        <v>0</v>
      </c>
      <c r="J8938" s="1">
        <v>45922.644016203703</v>
      </c>
    </row>
    <row r="8939" spans="1:10" x14ac:dyDescent="0.2">
      <c r="A8939" s="4" t="s">
        <v>1</v>
      </c>
      <c r="B8939" s="3" t="str">
        <f>HYPERLINK("https://otsuka-europe-crm.veevavault.com/ui/#object/approved_document__v/V5OZ025E82TPVZ3", "INA - Invitación y programa Simposio SEHH 2025")</f>
        <v>INA - Invitación y programa Simposio SEHH 2025</v>
      </c>
      <c r="C8939" s="3" t="str">
        <f>HYPERLINK("https://otsuka-europe-crm.veevavault.com/ui/#object/sent_email__v/VBLZ025E82GWBXI", "SE-000279734")</f>
        <v>SE-000279734</v>
      </c>
      <c r="D8939" s="1">
        <v>45922.91002314815</v>
      </c>
      <c r="E8939" s="2">
        <v>1</v>
      </c>
      <c r="F8939" s="2">
        <v>1</v>
      </c>
      <c r="G8939" s="2">
        <v>0</v>
      </c>
      <c r="H8939" s="1" t="s">
        <v>0</v>
      </c>
      <c r="I8939" s="2">
        <v>0</v>
      </c>
      <c r="J8939" s="1">
        <v>45922.643900462965</v>
      </c>
    </row>
    <row r="8940" spans="1:10" x14ac:dyDescent="0.2">
      <c r="A8940" s="4" t="s">
        <v>1</v>
      </c>
      <c r="B8940" s="3" t="str">
        <f>HYPERLINK("https://otsuka-europe-crm.veevavault.com/ui/#object/approved_document__v/V5OZ025E82TPVZ3", "INA - Invitación y programa Simposio SEHH 2025")</f>
        <v>INA - Invitación y programa Simposio SEHH 2025</v>
      </c>
      <c r="C8940" s="3" t="str">
        <f>HYPERLINK("https://otsuka-europe-crm.veevavault.com/ui/#object/sent_email__v/VBLZ025E82GWBXJ", "SE-000279735")</f>
        <v>SE-000279735</v>
      </c>
      <c r="D8940" s="1">
        <v>45922.846261574072</v>
      </c>
      <c r="E8940" s="2">
        <v>1</v>
      </c>
      <c r="F8940" s="2">
        <v>2</v>
      </c>
      <c r="G8940" s="2">
        <v>0</v>
      </c>
      <c r="H8940" s="1" t="s">
        <v>0</v>
      </c>
      <c r="I8940" s="2">
        <v>0</v>
      </c>
      <c r="J8940" s="1">
        <v>45922.64403935185</v>
      </c>
    </row>
    <row r="8941" spans="1:10" x14ac:dyDescent="0.2">
      <c r="A8941" s="4" t="s">
        <v>1</v>
      </c>
      <c r="B8941" s="3" t="str">
        <f>HYPERLINK("https://otsuka-europe-crm.veevavault.com/ui/#object/approved_document__v/V5OZ025E82TPVZ3", "INA - Invitación y programa Simposio SEHH 2025")</f>
        <v>INA - Invitación y programa Simposio SEHH 2025</v>
      </c>
      <c r="C8941" s="3" t="str">
        <f>HYPERLINK("https://otsuka-europe-crm.veevavault.com/ui/#object/sent_email__v/VBLZ025E82GWBXK", "SE-000279736")</f>
        <v>SE-000279736</v>
      </c>
      <c r="D8941" s="1">
        <v>45922.717268518521</v>
      </c>
      <c r="E8941" s="2">
        <v>1</v>
      </c>
      <c r="F8941" s="2">
        <v>1</v>
      </c>
      <c r="G8941" s="2">
        <v>0</v>
      </c>
      <c r="H8941" s="1" t="s">
        <v>0</v>
      </c>
      <c r="I8941" s="2">
        <v>0</v>
      </c>
      <c r="J8941" s="1">
        <v>45922.643969907411</v>
      </c>
    </row>
    <row r="8942" spans="1:10" x14ac:dyDescent="0.2">
      <c r="A8942" s="4" t="s">
        <v>1</v>
      </c>
      <c r="B8942" s="3" t="str">
        <f>HYPERLINK("https://otsuka-europe-crm.veevavault.com/ui/#object/approved_document__v/V5OZ025E82TPVZ3", "INA - Invitación y programa Simposio SEHH 2025")</f>
        <v>INA - Invitación y programa Simposio SEHH 2025</v>
      </c>
      <c r="C8942" s="3" t="str">
        <f>HYPERLINK("https://otsuka-europe-crm.veevavault.com/ui/#object/sent_email__v/VBLZ025E82GWBXL", "SE-000279737")</f>
        <v>SE-000279737</v>
      </c>
      <c r="D8942" s="1">
        <v>45937.930312500001</v>
      </c>
      <c r="E8942" s="2">
        <v>1</v>
      </c>
      <c r="F8942" s="2">
        <v>2</v>
      </c>
      <c r="G8942" s="2">
        <v>0</v>
      </c>
      <c r="H8942" s="1" t="s">
        <v>0</v>
      </c>
      <c r="I8942" s="2">
        <v>0</v>
      </c>
      <c r="J8942" s="1">
        <v>45922.643842592595</v>
      </c>
    </row>
    <row r="8943" spans="1:10" x14ac:dyDescent="0.2">
      <c r="A8943" s="4" t="s">
        <v>1</v>
      </c>
      <c r="B8943" s="3" t="str">
        <f>HYPERLINK("https://otsuka-europe-crm.veevavault.com/ui/#object/approved_document__v/V5OZ025E82TPVZ3", "INA - Invitación y programa Simposio SEHH 2025")</f>
        <v>INA - Invitación y programa Simposio SEHH 2025</v>
      </c>
      <c r="C8943" s="3" t="str">
        <f>HYPERLINK("https://otsuka-europe-crm.veevavault.com/ui/#object/sent_email__v/VBLZ025E82GWBXM", "SE-000279738")</f>
        <v>SE-000279738</v>
      </c>
      <c r="D8943" s="1" t="s">
        <v>0</v>
      </c>
      <c r="E8943" s="2">
        <v>0</v>
      </c>
      <c r="F8943" s="2">
        <v>0</v>
      </c>
      <c r="G8943" s="2">
        <v>0</v>
      </c>
      <c r="H8943" s="1" t="s">
        <v>0</v>
      </c>
      <c r="I8943" s="2">
        <v>0</v>
      </c>
      <c r="J8943" s="1">
        <v>45922.643958333334</v>
      </c>
    </row>
    <row r="8944" spans="1:10" x14ac:dyDescent="0.2">
      <c r="A8944" s="4" t="s">
        <v>1</v>
      </c>
      <c r="B8944" s="3" t="str">
        <f>HYPERLINK("https://otsuka-europe-crm.veevavault.com/ui/#object/approved_document__v/V5OZ025E82TPVZ3", "INA - Invitación y programa Simposio SEHH 2025")</f>
        <v>INA - Invitación y programa Simposio SEHH 2025</v>
      </c>
      <c r="C8944" s="3" t="str">
        <f>HYPERLINK("https://otsuka-europe-crm.veevavault.com/ui/#object/sent_email__v/VBLZ025E82GWBXN", "SE-000279739")</f>
        <v>SE-000279739</v>
      </c>
      <c r="D8944" s="1">
        <v>45923.81689814815</v>
      </c>
      <c r="E8944" s="2">
        <v>1</v>
      </c>
      <c r="F8944" s="2">
        <v>1</v>
      </c>
      <c r="G8944" s="2">
        <v>0</v>
      </c>
      <c r="H8944" s="1" t="s">
        <v>0</v>
      </c>
      <c r="I8944" s="2">
        <v>0</v>
      </c>
      <c r="J8944" s="1">
        <v>45922.643819444442</v>
      </c>
    </row>
    <row r="8945" spans="1:10" x14ac:dyDescent="0.2">
      <c r="A8945" s="4" t="s">
        <v>1</v>
      </c>
      <c r="B8945" s="3" t="str">
        <f>HYPERLINK("https://otsuka-europe-crm.veevavault.com/ui/#object/approved_document__v/V5OZ025E82TPVZ3", "INA - Invitación y programa Simposio SEHH 2025")</f>
        <v>INA - Invitación y programa Simposio SEHH 2025</v>
      </c>
      <c r="C8945" s="3" t="str">
        <f>HYPERLINK("https://otsuka-europe-crm.veevavault.com/ui/#object/sent_email__v/VBLZ025E82GWBXO", "SE-000279740")</f>
        <v>SE-000279740</v>
      </c>
      <c r="D8945" s="1" t="s">
        <v>0</v>
      </c>
      <c r="E8945" s="2">
        <v>0</v>
      </c>
      <c r="F8945" s="2">
        <v>0</v>
      </c>
      <c r="G8945" s="2">
        <v>0</v>
      </c>
      <c r="H8945" s="1" t="s">
        <v>0</v>
      </c>
      <c r="I8945" s="2">
        <v>0</v>
      </c>
      <c r="J8945" s="1">
        <v>45922.643935185188</v>
      </c>
    </row>
    <row r="8946" spans="1:10" x14ac:dyDescent="0.2">
      <c r="A8946" s="4" t="s">
        <v>1</v>
      </c>
      <c r="B8946" s="3" t="str">
        <f>HYPERLINK("https://otsuka-europe-crm.veevavault.com/ui/#object/approved_document__v/V5OZ025E82TPVZ3", "INA - Invitación y programa Simposio SEHH 2025")</f>
        <v>INA - Invitación y programa Simposio SEHH 2025</v>
      </c>
      <c r="C8946" s="3" t="str">
        <f>HYPERLINK("https://otsuka-europe-crm.veevavault.com/ui/#object/sent_email__v/VBLZ025E82GWBXP", "SE-000279741")</f>
        <v>SE-000279741</v>
      </c>
      <c r="D8946" s="1">
        <v>45925.866446759261</v>
      </c>
      <c r="E8946" s="2">
        <v>1</v>
      </c>
      <c r="F8946" s="2">
        <v>1</v>
      </c>
      <c r="G8946" s="2">
        <v>1</v>
      </c>
      <c r="H8946" s="1">
        <v>45925.867013888892</v>
      </c>
      <c r="I8946" s="2">
        <v>1</v>
      </c>
      <c r="J8946" s="1">
        <v>45922.643831018519</v>
      </c>
    </row>
    <row r="8947" spans="1:10" x14ac:dyDescent="0.2">
      <c r="A8947" s="4" t="s">
        <v>1</v>
      </c>
      <c r="B8947" s="3" t="str">
        <f>HYPERLINK("https://otsuka-europe-crm.veevavault.com/ui/#object/approved_document__v/V5OZ025E82TPVZ3", "INA - Invitación y programa Simposio SEHH 2025")</f>
        <v>INA - Invitación y programa Simposio SEHH 2025</v>
      </c>
      <c r="C8947" s="3" t="str">
        <f>HYPERLINK("https://otsuka-europe-crm.veevavault.com/ui/#object/sent_email__v/VBLZ025E82GWBXQ", "SE-000279742")</f>
        <v>SE-000279742</v>
      </c>
      <c r="D8947" s="1">
        <v>45922.956493055557</v>
      </c>
      <c r="E8947" s="2">
        <v>1</v>
      </c>
      <c r="F8947" s="2">
        <v>1</v>
      </c>
      <c r="G8947" s="2">
        <v>0</v>
      </c>
      <c r="H8947" s="1" t="s">
        <v>0</v>
      </c>
      <c r="I8947" s="2">
        <v>0</v>
      </c>
      <c r="J8947" s="1">
        <v>45922.643946759257</v>
      </c>
    </row>
    <row r="8948" spans="1:10" x14ac:dyDescent="0.2">
      <c r="A8948" s="4" t="s">
        <v>1</v>
      </c>
      <c r="B8948" s="3" t="str">
        <f>HYPERLINK("https://otsuka-europe-crm.veevavault.com/ui/#object/approved_document__v/V5OZ025E82TPVZ3", "INA - Invitación y programa Simposio SEHH 2025")</f>
        <v>INA - Invitación y programa Simposio SEHH 2025</v>
      </c>
      <c r="C8948" s="3" t="str">
        <f>HYPERLINK("https://otsuka-europe-crm.veevavault.com/ui/#object/sent_email__v/VBLZ025E82GWBXR", "SE-000279743")</f>
        <v>SE-000279743</v>
      </c>
      <c r="D8948" s="1" t="s">
        <v>0</v>
      </c>
      <c r="E8948" s="2">
        <v>0</v>
      </c>
      <c r="F8948" s="2">
        <v>0</v>
      </c>
      <c r="G8948" s="2">
        <v>0</v>
      </c>
      <c r="H8948" s="1" t="s">
        <v>0</v>
      </c>
      <c r="I8948" s="2">
        <v>0</v>
      </c>
      <c r="J8948" s="1">
        <v>45922.644074074073</v>
      </c>
    </row>
    <row r="8949" spans="1:10" x14ac:dyDescent="0.2">
      <c r="A8949" s="4" t="s">
        <v>1</v>
      </c>
      <c r="B8949" s="3" t="str">
        <f>HYPERLINK("https://otsuka-europe-crm.veevavault.com/ui/#object/approved_document__v/V5OZ025E82TPVZ3", "INA - Invitación y programa Simposio SEHH 2025")</f>
        <v>INA - Invitación y programa Simposio SEHH 2025</v>
      </c>
      <c r="C8949" s="3" t="str">
        <f>HYPERLINK("https://otsuka-europe-crm.veevavault.com/ui/#object/sent_email__v/VBLZ025E82GWBXS", "SE-000279744")</f>
        <v>SE-000279744</v>
      </c>
      <c r="D8949" s="1">
        <v>45972.504351851851</v>
      </c>
      <c r="E8949" s="2">
        <v>1</v>
      </c>
      <c r="F8949" s="2">
        <v>1</v>
      </c>
      <c r="G8949" s="2">
        <v>0</v>
      </c>
      <c r="H8949" s="1" t="s">
        <v>0</v>
      </c>
      <c r="I8949" s="2">
        <v>0</v>
      </c>
      <c r="J8949" s="1">
        <v>45922.643923611111</v>
      </c>
    </row>
    <row r="8950" spans="1:10" x14ac:dyDescent="0.2">
      <c r="A8950" s="4" t="s">
        <v>1</v>
      </c>
      <c r="B8950" s="3" t="str">
        <f>HYPERLINK("https://otsuka-europe-crm.veevavault.com/ui/#object/approved_document__v/V5OZ025E82TPVZ3", "INA - Invitación y programa Simposio SEHH 2025")</f>
        <v>INA - Invitación y programa Simposio SEHH 2025</v>
      </c>
      <c r="C8950" s="3" t="str">
        <f>HYPERLINK("https://otsuka-europe-crm.veevavault.com/ui/#object/sent_email__v/VBLZ025E82GWBXT", "SE-000279745")</f>
        <v>SE-000279745</v>
      </c>
      <c r="D8950" s="1">
        <v>45922.652372685188</v>
      </c>
      <c r="E8950" s="2">
        <v>1</v>
      </c>
      <c r="F8950" s="2">
        <v>1</v>
      </c>
      <c r="G8950" s="2">
        <v>1</v>
      </c>
      <c r="H8950" s="1">
        <v>45922.65247685185</v>
      </c>
      <c r="I8950" s="2">
        <v>1</v>
      </c>
      <c r="J8950" s="1">
        <v>45922.644062500003</v>
      </c>
    </row>
    <row r="8951" spans="1:10" x14ac:dyDescent="0.2">
      <c r="A8951" s="4" t="s">
        <v>1</v>
      </c>
      <c r="B8951" s="3" t="str">
        <f>HYPERLINK("https://otsuka-europe-crm.veevavault.com/ui/#object/approved_document__v/V5OZ025E82TPVZ3", "INA - Invitación y programa Simposio SEHH 2025")</f>
        <v>INA - Invitación y programa Simposio SEHH 2025</v>
      </c>
      <c r="C8951" s="3" t="str">
        <f>HYPERLINK("https://otsuka-europe-crm.veevavault.com/ui/#object/sent_email__v/VBLZ025E82GWBXU", "SE-000279746")</f>
        <v>SE-000279746</v>
      </c>
      <c r="D8951" s="1">
        <v>45967.930925925924</v>
      </c>
      <c r="E8951" s="2">
        <v>1</v>
      </c>
      <c r="F8951" s="2">
        <v>2</v>
      </c>
      <c r="G8951" s="2">
        <v>0</v>
      </c>
      <c r="H8951" s="1" t="s">
        <v>0</v>
      </c>
      <c r="I8951" s="2">
        <v>0</v>
      </c>
      <c r="J8951" s="1">
        <v>45922.644050925926</v>
      </c>
    </row>
    <row r="8952" spans="1:10" x14ac:dyDescent="0.2">
      <c r="A8952" s="4" t="s">
        <v>1</v>
      </c>
      <c r="B8952" s="3" t="str">
        <f>HYPERLINK("https://otsuka-europe-crm.veevavault.com/ui/#object/approved_document__v/V5OZ025E82TPVZ3", "INA - Invitación y programa Simposio SEHH 2025")</f>
        <v>INA - Invitación y programa Simposio SEHH 2025</v>
      </c>
      <c r="C8952" s="3" t="str">
        <f>HYPERLINK("https://otsuka-europe-crm.veevavault.com/ui/#object/sent_email__v/VBLZ025E82GWBXV", "SE-000279747")</f>
        <v>SE-000279747</v>
      </c>
      <c r="D8952" s="1">
        <v>45938.015763888892</v>
      </c>
      <c r="E8952" s="2">
        <v>1</v>
      </c>
      <c r="F8952" s="2">
        <v>1</v>
      </c>
      <c r="G8952" s="2">
        <v>1</v>
      </c>
      <c r="H8952" s="1">
        <v>45938.015763888892</v>
      </c>
      <c r="I8952" s="2">
        <v>1</v>
      </c>
      <c r="J8952" s="1">
        <v>45922.643900462965</v>
      </c>
    </row>
    <row r="8953" spans="1:10" x14ac:dyDescent="0.2">
      <c r="A8953" s="4" t="s">
        <v>1</v>
      </c>
      <c r="B8953" s="3" t="str">
        <f>HYPERLINK("https://otsuka-europe-crm.veevavault.com/ui/#object/approved_document__v/V5OZ025E82TPVZ3", "INA - Invitación y programa Simposio SEHH 2025")</f>
        <v>INA - Invitación y programa Simposio SEHH 2025</v>
      </c>
      <c r="C8953" s="3" t="str">
        <f>HYPERLINK("https://otsuka-europe-crm.veevavault.com/ui/#object/sent_email__v/VBLZ025E82GWBXW", "SE-000279748")</f>
        <v>SE-000279748</v>
      </c>
      <c r="D8953" s="1" t="s">
        <v>0</v>
      </c>
      <c r="E8953" s="2">
        <v>0</v>
      </c>
      <c r="F8953" s="2">
        <v>0</v>
      </c>
      <c r="G8953" s="2">
        <v>0</v>
      </c>
      <c r="H8953" s="1" t="s">
        <v>0</v>
      </c>
      <c r="I8953" s="2">
        <v>0</v>
      </c>
      <c r="J8953" s="1">
        <v>45922.64403935185</v>
      </c>
    </row>
    <row r="8954" spans="1:10" x14ac:dyDescent="0.2">
      <c r="A8954" s="4" t="s">
        <v>1</v>
      </c>
      <c r="B8954" s="3" t="str">
        <f>HYPERLINK("https://otsuka-europe-crm.veevavault.com/ui/#object/approved_document__v/V5OZ025E82TPVZ3", "INA - Invitación y programa Simposio SEHH 2025")</f>
        <v>INA - Invitación y programa Simposio SEHH 2025</v>
      </c>
      <c r="C8954" s="3" t="str">
        <f>HYPERLINK("https://otsuka-europe-crm.veevavault.com/ui/#object/sent_email__v/VBLZ025E82GWBXX", "SE-000279749")</f>
        <v>SE-000279749</v>
      </c>
      <c r="D8954" s="1" t="s">
        <v>0</v>
      </c>
      <c r="E8954" s="2">
        <v>0</v>
      </c>
      <c r="F8954" s="2">
        <v>0</v>
      </c>
      <c r="G8954" s="2">
        <v>0</v>
      </c>
      <c r="H8954" s="1" t="s">
        <v>0</v>
      </c>
      <c r="I8954" s="2">
        <v>0</v>
      </c>
      <c r="J8954" s="1">
        <v>45922.643912037034</v>
      </c>
    </row>
    <row r="8955" spans="1:10" x14ac:dyDescent="0.2">
      <c r="A8955" s="4" t="s">
        <v>1</v>
      </c>
      <c r="B8955" s="3" t="str">
        <f>HYPERLINK("https://otsuka-europe-crm.veevavault.com/ui/#object/approved_document__v/V5OZ025E82TPVZ3", "INA - Invitación y programa Simposio SEHH 2025")</f>
        <v>INA - Invitación y programa Simposio SEHH 2025</v>
      </c>
      <c r="C8955" s="3" t="str">
        <f>HYPERLINK("https://otsuka-europe-crm.veevavault.com/ui/#object/sent_email__v/VBLZ025E82GWBXY", "SE-000279750")</f>
        <v>SE-000279750</v>
      </c>
      <c r="D8955" s="1" t="s">
        <v>0</v>
      </c>
      <c r="E8955" s="2">
        <v>0</v>
      </c>
      <c r="F8955" s="2">
        <v>0</v>
      </c>
      <c r="G8955" s="2">
        <v>0</v>
      </c>
      <c r="H8955" s="1" t="s">
        <v>0</v>
      </c>
      <c r="I8955" s="2">
        <v>0</v>
      </c>
      <c r="J8955" s="1">
        <v>45922.64402777778</v>
      </c>
    </row>
    <row r="8956" spans="1:10" x14ac:dyDescent="0.2">
      <c r="A8956" s="4" t="s">
        <v>1</v>
      </c>
      <c r="B8956" s="3" t="str">
        <f>HYPERLINK("https://otsuka-europe-crm.veevavault.com/ui/#object/approved_document__v/V5OZ025E82TPVZ3", "INA - Invitación y programa Simposio SEHH 2025")</f>
        <v>INA - Invitación y programa Simposio SEHH 2025</v>
      </c>
      <c r="C8956" s="3" t="str">
        <f>HYPERLINK("https://otsuka-europe-crm.veevavault.com/ui/#object/sent_email__v/VBLZ025E82GWBXZ", "SE-000279751")</f>
        <v>SE-000279751</v>
      </c>
      <c r="D8956" s="1" t="s">
        <v>0</v>
      </c>
      <c r="E8956" s="2">
        <v>0</v>
      </c>
      <c r="F8956" s="2">
        <v>0</v>
      </c>
      <c r="G8956" s="2">
        <v>0</v>
      </c>
      <c r="H8956" s="1" t="s">
        <v>0</v>
      </c>
      <c r="I8956" s="2">
        <v>0</v>
      </c>
      <c r="J8956" s="1">
        <v>45922.643865740742</v>
      </c>
    </row>
    <row r="8957" spans="1:10" x14ac:dyDescent="0.2">
      <c r="A8957" s="4" t="s">
        <v>1</v>
      </c>
      <c r="B8957" s="3" t="str">
        <f>HYPERLINK("https://otsuka-europe-crm.veevavault.com/ui/#object/approved_document__v/V5OZ025E82TPVZ3", "INA - Invitación y programa Simposio SEHH 2025")</f>
        <v>INA - Invitación y programa Simposio SEHH 2025</v>
      </c>
      <c r="C8957" s="3" t="str">
        <f>HYPERLINK("https://otsuka-europe-crm.veevavault.com/ui/#object/sent_email__v/VBLZ025E82GWBY0", "SE-000279752")</f>
        <v>SE-000279752</v>
      </c>
      <c r="D8957" s="1">
        <v>45923.28497685185</v>
      </c>
      <c r="E8957" s="2">
        <v>1</v>
      </c>
      <c r="F8957" s="2">
        <v>2</v>
      </c>
      <c r="G8957" s="2">
        <v>0</v>
      </c>
      <c r="H8957" s="1" t="s">
        <v>0</v>
      </c>
      <c r="I8957" s="2">
        <v>0</v>
      </c>
      <c r="J8957" s="1">
        <v>45922.643993055557</v>
      </c>
    </row>
    <row r="8958" spans="1:10" x14ac:dyDescent="0.2">
      <c r="A8958" s="4" t="s">
        <v>1</v>
      </c>
      <c r="B8958" s="3" t="str">
        <f>HYPERLINK("https://otsuka-europe-crm.veevavault.com/ui/#object/approved_document__v/V5OZ025E82TPVZ3", "INA - Invitación y programa Simposio SEHH 2025")</f>
        <v>INA - Invitación y programa Simposio SEHH 2025</v>
      </c>
      <c r="C8958" s="3" t="str">
        <f>HYPERLINK("https://otsuka-europe-crm.veevavault.com/ui/#object/sent_email__v/VBLZ025E82GYKH9", "SE-000280419")</f>
        <v>SE-000280419</v>
      </c>
      <c r="D8958" s="1" t="s">
        <v>0</v>
      </c>
      <c r="E8958" s="2">
        <v>0</v>
      </c>
      <c r="F8958" s="2">
        <v>0</v>
      </c>
      <c r="G8958" s="2">
        <v>0</v>
      </c>
      <c r="H8958" s="1" t="s">
        <v>0</v>
      </c>
      <c r="I8958" s="2">
        <v>0</v>
      </c>
      <c r="J8958" s="1">
        <v>45924.510995370372</v>
      </c>
    </row>
    <row r="8959" spans="1:10" x14ac:dyDescent="0.2">
      <c r="A8959" s="4" t="s">
        <v>1</v>
      </c>
      <c r="B8959" s="3" t="str">
        <f>HYPERLINK("https://otsuka-europe-crm.veevavault.com/ui/#object/approved_document__v/V5OZ025E82TPVZ3", "INA - Invitación y programa Simposio SEHH 2025")</f>
        <v>INA - Invitación y programa Simposio SEHH 2025</v>
      </c>
      <c r="C8959" s="3" t="str">
        <f>HYPERLINK("https://otsuka-europe-crm.veevavault.com/ui/#object/sent_email__v/VBLZ025E82GYKHA", "SE-000280420")</f>
        <v>SE-000280420</v>
      </c>
      <c r="D8959" s="1" t="s">
        <v>0</v>
      </c>
      <c r="E8959" s="2">
        <v>0</v>
      </c>
      <c r="F8959" s="2">
        <v>0</v>
      </c>
      <c r="G8959" s="2">
        <v>0</v>
      </c>
      <c r="H8959" s="1" t="s">
        <v>0</v>
      </c>
      <c r="I8959" s="2">
        <v>0</v>
      </c>
      <c r="J8959" s="1">
        <v>45924.510995370372</v>
      </c>
    </row>
    <row r="8960" spans="1:10" x14ac:dyDescent="0.2">
      <c r="A8960" s="4" t="s">
        <v>1</v>
      </c>
      <c r="B8960" s="3" t="str">
        <f>HYPERLINK("https://otsuka-europe-crm.veevavault.com/ui/#object/approved_document__v/V5OZ025E82TPVZ3", "INA - Invitación y programa Simposio SEHH 2025")</f>
        <v>INA - Invitación y programa Simposio SEHH 2025</v>
      </c>
      <c r="C8960" s="3" t="str">
        <f>HYPERLINK("https://otsuka-europe-crm.veevavault.com/ui/#object/sent_email__v/VBLZ025E82GYKHB", "SE-000280421")</f>
        <v>SE-000280421</v>
      </c>
      <c r="D8960" s="1" t="s">
        <v>0</v>
      </c>
      <c r="E8960" s="2">
        <v>0</v>
      </c>
      <c r="F8960" s="2">
        <v>0</v>
      </c>
      <c r="G8960" s="2">
        <v>0</v>
      </c>
      <c r="H8960" s="1" t="s">
        <v>0</v>
      </c>
      <c r="I8960" s="2">
        <v>0</v>
      </c>
      <c r="J8960" s="1">
        <v>45924.510960648149</v>
      </c>
    </row>
    <row r="8961" spans="1:10" x14ac:dyDescent="0.2">
      <c r="A8961" s="4" t="s">
        <v>1</v>
      </c>
      <c r="B8961" s="3" t="str">
        <f>HYPERLINK("https://otsuka-europe-crm.veevavault.com/ui/#object/approved_document__v/V5OZ025E82TPVZ3", "INA - Invitación y programa Simposio SEHH 2025")</f>
        <v>INA - Invitación y programa Simposio SEHH 2025</v>
      </c>
      <c r="C8961" s="3" t="str">
        <f>HYPERLINK("https://otsuka-europe-crm.veevavault.com/ui/#object/sent_email__v/VBLZ025E82GYKHC", "SE-000280422")</f>
        <v>SE-000280422</v>
      </c>
      <c r="D8961" s="1">
        <v>45925.359594907408</v>
      </c>
      <c r="E8961" s="2">
        <v>1</v>
      </c>
      <c r="F8961" s="2">
        <v>6</v>
      </c>
      <c r="G8961" s="2">
        <v>1</v>
      </c>
      <c r="H8961" s="1">
        <v>45924.633796296293</v>
      </c>
      <c r="I8961" s="2">
        <v>1</v>
      </c>
      <c r="J8961" s="1">
        <v>45924.510879629626</v>
      </c>
    </row>
    <row r="8962" spans="1:10" x14ac:dyDescent="0.2">
      <c r="A8962" s="4" t="s">
        <v>1</v>
      </c>
      <c r="B8962" s="3" t="str">
        <f>HYPERLINK("https://otsuka-europe-crm.veevavault.com/ui/#object/approved_document__v/V5OZ025E82TPVZ3", "INA - Invitación y programa Simposio SEHH 2025")</f>
        <v>INA - Invitación y programa Simposio SEHH 2025</v>
      </c>
      <c r="C8962" s="3" t="str">
        <f>HYPERLINK("https://otsuka-europe-crm.veevavault.com/ui/#object/sent_email__v/VBLZ025E82GYKHD", "SE-000280423")</f>
        <v>SE-000280423</v>
      </c>
      <c r="D8962" s="1" t="s">
        <v>0</v>
      </c>
      <c r="E8962" s="2">
        <v>0</v>
      </c>
      <c r="F8962" s="2">
        <v>0</v>
      </c>
      <c r="G8962" s="2">
        <v>0</v>
      </c>
      <c r="H8962" s="1" t="s">
        <v>0</v>
      </c>
      <c r="I8962" s="2">
        <v>0</v>
      </c>
      <c r="J8962" s="1">
        <v>45924.510868055557</v>
      </c>
    </row>
    <row r="8963" spans="1:10" x14ac:dyDescent="0.2">
      <c r="A8963" s="4" t="s">
        <v>1</v>
      </c>
      <c r="B8963" s="3" t="str">
        <f>HYPERLINK("https://otsuka-europe-crm.veevavault.com/ui/#object/approved_document__v/V5OZ025E82TPVZ3", "INA - Invitación y programa Simposio SEHH 2025")</f>
        <v>INA - Invitación y programa Simposio SEHH 2025</v>
      </c>
      <c r="C8963" s="3" t="str">
        <f>HYPERLINK("https://otsuka-europe-crm.veevavault.com/ui/#object/sent_email__v/VBLZ025E82GYKHE", "SE-000280424")</f>
        <v>SE-000280424</v>
      </c>
      <c r="D8963" s="1">
        <v>45943.828634259262</v>
      </c>
      <c r="E8963" s="2">
        <v>1</v>
      </c>
      <c r="F8963" s="2">
        <v>4</v>
      </c>
      <c r="G8963" s="2">
        <v>0</v>
      </c>
      <c r="H8963" s="1" t="s">
        <v>0</v>
      </c>
      <c r="I8963" s="2">
        <v>0</v>
      </c>
      <c r="J8963" s="1">
        <v>45924.510914351849</v>
      </c>
    </row>
    <row r="8964" spans="1:10" x14ac:dyDescent="0.2">
      <c r="A8964" s="4" t="s">
        <v>1</v>
      </c>
      <c r="B8964" s="3" t="str">
        <f>HYPERLINK("https://otsuka-europe-crm.veevavault.com/ui/#object/approved_document__v/V5OZ025E82TPVZ3", "INA - Invitación y programa Simposio SEHH 2025")</f>
        <v>INA - Invitación y programa Simposio SEHH 2025</v>
      </c>
      <c r="C8964" s="3" t="str">
        <f>HYPERLINK("https://otsuka-europe-crm.veevavault.com/ui/#object/sent_email__v/VBLZ025E82GYKHF", "SE-000280425")</f>
        <v>SE-000280425</v>
      </c>
      <c r="D8964" s="1">
        <v>45925.358414351853</v>
      </c>
      <c r="E8964" s="2">
        <v>1</v>
      </c>
      <c r="F8964" s="2">
        <v>4</v>
      </c>
      <c r="G8964" s="2">
        <v>0</v>
      </c>
      <c r="H8964" s="1" t="s">
        <v>0</v>
      </c>
      <c r="I8964" s="2">
        <v>0</v>
      </c>
      <c r="J8964" s="1">
        <v>45924.510914351849</v>
      </c>
    </row>
    <row r="8965" spans="1:10" x14ac:dyDescent="0.2">
      <c r="A8965" s="4" t="s">
        <v>1</v>
      </c>
      <c r="B8965" s="3" t="str">
        <f>HYPERLINK("https://otsuka-europe-crm.veevavault.com/ui/#object/approved_document__v/V5OZ025E82TPVZ3", "INA - Invitación y programa Simposio SEHH 2025")</f>
        <v>INA - Invitación y programa Simposio SEHH 2025</v>
      </c>
      <c r="C8965" s="3" t="str">
        <f>HYPERLINK("https://otsuka-europe-crm.veevavault.com/ui/#object/sent_email__v/VBLZ025E82GYKHG", "SE-000280426")</f>
        <v>SE-000280426</v>
      </c>
      <c r="D8965" s="1">
        <v>45925.48642361111</v>
      </c>
      <c r="E8965" s="2">
        <v>1</v>
      </c>
      <c r="F8965" s="2">
        <v>2</v>
      </c>
      <c r="G8965" s="2">
        <v>0</v>
      </c>
      <c r="H8965" s="1" t="s">
        <v>0</v>
      </c>
      <c r="I8965" s="2">
        <v>0</v>
      </c>
      <c r="J8965" s="1">
        <v>45924.510821759257</v>
      </c>
    </row>
    <row r="8966" spans="1:10" x14ac:dyDescent="0.2">
      <c r="A8966" s="4" t="s">
        <v>1</v>
      </c>
      <c r="B8966" s="3" t="str">
        <f>HYPERLINK("https://otsuka-europe-crm.veevavault.com/ui/#object/approved_document__v/V5OZ025E82TPVZ3", "INA - Invitación y programa Simposio SEHH 2025")</f>
        <v>INA - Invitación y programa Simposio SEHH 2025</v>
      </c>
      <c r="C8966" s="3" t="str">
        <f>HYPERLINK("https://otsuka-europe-crm.veevavault.com/ui/#object/sent_email__v/VBLZ025E82GYKHH", "SE-000280427")</f>
        <v>SE-000280427</v>
      </c>
      <c r="D8966" s="1" t="s">
        <v>0</v>
      </c>
      <c r="E8966" s="2">
        <v>0</v>
      </c>
      <c r="F8966" s="2">
        <v>0</v>
      </c>
      <c r="G8966" s="2">
        <v>0</v>
      </c>
      <c r="H8966" s="1" t="s">
        <v>0</v>
      </c>
      <c r="I8966" s="2">
        <v>0</v>
      </c>
      <c r="J8966" s="1">
        <v>45924.51090277778</v>
      </c>
    </row>
    <row r="8967" spans="1:10" x14ac:dyDescent="0.2">
      <c r="A8967" s="4" t="s">
        <v>1</v>
      </c>
      <c r="B8967" s="3" t="str">
        <f>HYPERLINK("https://otsuka-europe-crm.veevavault.com/ui/#object/approved_document__v/V5OZ025E82TPVZ3", "INA - Invitación y programa Simposio SEHH 2025")</f>
        <v>INA - Invitación y programa Simposio SEHH 2025</v>
      </c>
      <c r="C8967" s="3" t="str">
        <f>HYPERLINK("https://otsuka-europe-crm.veevavault.com/ui/#object/sent_email__v/VBLZ025E82GYKHI", "SE-000280428")</f>
        <v>SE-000280428</v>
      </c>
      <c r="D8967" s="1" t="s">
        <v>0</v>
      </c>
      <c r="E8967" s="2">
        <v>0</v>
      </c>
      <c r="F8967" s="2">
        <v>0</v>
      </c>
      <c r="G8967" s="2">
        <v>0</v>
      </c>
      <c r="H8967" s="1" t="s">
        <v>0</v>
      </c>
      <c r="I8967" s="2">
        <v>0</v>
      </c>
      <c r="J8967" s="1">
        <v>45924.510891203703</v>
      </c>
    </row>
    <row r="8968" spans="1:10" x14ac:dyDescent="0.2">
      <c r="A8968" s="4" t="s">
        <v>1</v>
      </c>
      <c r="B8968" s="3" t="str">
        <f>HYPERLINK("https://otsuka-europe-crm.veevavault.com/ui/#object/approved_document__v/V5OZ025E82TPVZ3", "INA - Invitación y programa Simposio SEHH 2025")</f>
        <v>INA - Invitación y programa Simposio SEHH 2025</v>
      </c>
      <c r="C8968" s="3" t="str">
        <f>HYPERLINK("https://otsuka-europe-crm.veevavault.com/ui/#object/sent_email__v/VBLZ025E82GYKHJ", "SE-000280429")</f>
        <v>SE-000280429</v>
      </c>
      <c r="D8968" s="1">
        <v>45924.635439814818</v>
      </c>
      <c r="E8968" s="2">
        <v>1</v>
      </c>
      <c r="F8968" s="2">
        <v>1</v>
      </c>
      <c r="G8968" s="2">
        <v>0</v>
      </c>
      <c r="H8968" s="1" t="s">
        <v>0</v>
      </c>
      <c r="I8968" s="2">
        <v>0</v>
      </c>
      <c r="J8968" s="1">
        <v>45924.510891203703</v>
      </c>
    </row>
    <row r="8969" spans="1:10" x14ac:dyDescent="0.2">
      <c r="A8969" s="4" t="s">
        <v>1</v>
      </c>
      <c r="B8969" s="3" t="str">
        <f>HYPERLINK("https://otsuka-europe-crm.veevavault.com/ui/#object/approved_document__v/V5OZ025E82TPVZ3", "INA - Invitación y programa Simposio SEHH 2025")</f>
        <v>INA - Invitación y programa Simposio SEHH 2025</v>
      </c>
      <c r="C8969" s="3" t="str">
        <f>HYPERLINK("https://otsuka-europe-crm.veevavault.com/ui/#object/sent_email__v/VBLZ025E82GYKHK", "SE-000280430")</f>
        <v>SE-000280430</v>
      </c>
      <c r="D8969" s="1">
        <v>45925.895775462966</v>
      </c>
      <c r="E8969" s="2">
        <v>1</v>
      </c>
      <c r="F8969" s="2">
        <v>3</v>
      </c>
      <c r="G8969" s="2">
        <v>0</v>
      </c>
      <c r="H8969" s="1" t="s">
        <v>0</v>
      </c>
      <c r="I8969" s="2">
        <v>0</v>
      </c>
      <c r="J8969" s="1">
        <v>45924.510844907411</v>
      </c>
    </row>
    <row r="8970" spans="1:10" x14ac:dyDescent="0.2">
      <c r="A8970" s="4" t="s">
        <v>1</v>
      </c>
      <c r="B8970" s="3" t="str">
        <f>HYPERLINK("https://otsuka-europe-crm.veevavault.com/ui/#object/approved_document__v/V5OZ025E82TPVZ3", "INA - Invitación y programa Simposio SEHH 2025")</f>
        <v>INA - Invitación y programa Simposio SEHH 2025</v>
      </c>
      <c r="C8970" s="3" t="str">
        <f>HYPERLINK("https://otsuka-europe-crm.veevavault.com/ui/#object/sent_email__v/VBLZ025E82GYKHL", "SE-000280431")</f>
        <v>SE-000280431</v>
      </c>
      <c r="D8970" s="1">
        <v>45924.587962962964</v>
      </c>
      <c r="E8970" s="2">
        <v>1</v>
      </c>
      <c r="F8970" s="2">
        <v>1</v>
      </c>
      <c r="G8970" s="2">
        <v>0</v>
      </c>
      <c r="H8970" s="1" t="s">
        <v>0</v>
      </c>
      <c r="I8970" s="2">
        <v>0</v>
      </c>
      <c r="J8970" s="1">
        <v>45924.510833333334</v>
      </c>
    </row>
    <row r="8971" spans="1:10" x14ac:dyDescent="0.2">
      <c r="A8971" s="4" t="s">
        <v>1</v>
      </c>
      <c r="B8971" s="3" t="str">
        <f>HYPERLINK("https://otsuka-europe-crm.veevavault.com/ui/#object/approved_document__v/V5OZ025E82TPVZ3", "INA - Invitación y programa Simposio SEHH 2025")</f>
        <v>INA - Invitación y programa Simposio SEHH 2025</v>
      </c>
      <c r="C8971" s="3" t="str">
        <f>HYPERLINK("https://otsuka-europe-crm.veevavault.com/ui/#object/sent_email__v/VBLZ025E82GYKHM", "SE-000280432")</f>
        <v>SE-000280432</v>
      </c>
      <c r="D8971" s="1">
        <v>45974.366388888891</v>
      </c>
      <c r="E8971" s="2">
        <v>1</v>
      </c>
      <c r="F8971" s="2">
        <v>8</v>
      </c>
      <c r="G8971" s="2">
        <v>0</v>
      </c>
      <c r="H8971" s="1" t="s">
        <v>0</v>
      </c>
      <c r="I8971" s="2">
        <v>0</v>
      </c>
      <c r="J8971" s="1">
        <v>45924.510844907411</v>
      </c>
    </row>
    <row r="8972" spans="1:10" x14ac:dyDescent="0.2">
      <c r="A8972" s="4" t="s">
        <v>1</v>
      </c>
      <c r="B8972" s="3" t="str">
        <f>HYPERLINK("https://otsuka-europe-crm.veevavault.com/ui/#object/approved_document__v/V5OZ025E82TPVZ3", "INA - Invitación y programa Simposio SEHH 2025")</f>
        <v>INA - Invitación y programa Simposio SEHH 2025</v>
      </c>
      <c r="C8972" s="3" t="str">
        <f>HYPERLINK("https://otsuka-europe-crm.veevavault.com/ui/#object/sent_email__v/VBLZ025E82GYKHN", "SE-000280433")</f>
        <v>SE-000280433</v>
      </c>
      <c r="D8972" s="1">
        <v>45924.643993055557</v>
      </c>
      <c r="E8972" s="2">
        <v>1</v>
      </c>
      <c r="F8972" s="2">
        <v>1</v>
      </c>
      <c r="G8972" s="2">
        <v>0</v>
      </c>
      <c r="H8972" s="1" t="s">
        <v>0</v>
      </c>
      <c r="I8972" s="2">
        <v>0</v>
      </c>
      <c r="J8972" s="1">
        <v>45924.510868055557</v>
      </c>
    </row>
    <row r="8973" spans="1:10" x14ac:dyDescent="0.2">
      <c r="A8973" s="4" t="s">
        <v>1</v>
      </c>
      <c r="B8973" s="3" t="str">
        <f>HYPERLINK("https://otsuka-europe-crm.veevavault.com/ui/#object/approved_document__v/V5OZ025E82TPVZ3", "INA - Invitación y programa Simposio SEHH 2025")</f>
        <v>INA - Invitación y programa Simposio SEHH 2025</v>
      </c>
      <c r="C8973" s="3" t="str">
        <f>HYPERLINK("https://otsuka-europe-crm.veevavault.com/ui/#object/sent_email__v/VBLZ025E82GYKHO", "SE-000280434")</f>
        <v>SE-000280434</v>
      </c>
      <c r="D8973" s="1">
        <v>45929.277569444443</v>
      </c>
      <c r="E8973" s="2">
        <v>1</v>
      </c>
      <c r="F8973" s="2">
        <v>1</v>
      </c>
      <c r="G8973" s="2">
        <v>0</v>
      </c>
      <c r="H8973" s="1" t="s">
        <v>0</v>
      </c>
      <c r="I8973" s="2">
        <v>0</v>
      </c>
      <c r="J8973" s="1">
        <v>45924.510949074072</v>
      </c>
    </row>
    <row r="8974" spans="1:10" x14ac:dyDescent="0.2">
      <c r="A8974" s="4" t="s">
        <v>1</v>
      </c>
      <c r="B8974" s="3" t="str">
        <f>HYPERLINK("https://otsuka-europe-crm.veevavault.com/ui/#object/approved_document__v/V5OZ025E82TPVZ3", "INA - Invitación y programa Simposio SEHH 2025")</f>
        <v>INA - Invitación y programa Simposio SEHH 2025</v>
      </c>
      <c r="C8974" s="3" t="str">
        <f>HYPERLINK("https://otsuka-europe-crm.veevavault.com/ui/#object/sent_email__v/VBLZ025E82GYKHP", "SE-000280435")</f>
        <v>SE-000280435</v>
      </c>
      <c r="D8974" s="1">
        <v>45924.590995370374</v>
      </c>
      <c r="E8974" s="2">
        <v>1</v>
      </c>
      <c r="F8974" s="2">
        <v>1</v>
      </c>
      <c r="G8974" s="2">
        <v>0</v>
      </c>
      <c r="H8974" s="1" t="s">
        <v>0</v>
      </c>
      <c r="I8974" s="2">
        <v>0</v>
      </c>
      <c r="J8974" s="1">
        <v>45924.510960648149</v>
      </c>
    </row>
    <row r="8975" spans="1:10" x14ac:dyDescent="0.2">
      <c r="A8975" s="4" t="s">
        <v>1</v>
      </c>
      <c r="B8975" s="3" t="str">
        <f>HYPERLINK("https://otsuka-europe-crm.veevavault.com/ui/#object/approved_document__v/V5OZ025E82TPVZ3", "INA - Invitación y programa Simposio SEHH 2025")</f>
        <v>INA - Invitación y programa Simposio SEHH 2025</v>
      </c>
      <c r="C8975" s="3" t="str">
        <f>HYPERLINK("https://otsuka-europe-crm.veevavault.com/ui/#object/sent_email__v/VBLZ025E82GYKHQ", "SE-000280436")</f>
        <v>SE-000280436</v>
      </c>
      <c r="D8975" s="1" t="s">
        <v>0</v>
      </c>
      <c r="E8975" s="2">
        <v>0</v>
      </c>
      <c r="F8975" s="2">
        <v>0</v>
      </c>
      <c r="G8975" s="2">
        <v>0</v>
      </c>
      <c r="H8975" s="1" t="s">
        <v>0</v>
      </c>
      <c r="I8975" s="2">
        <v>0</v>
      </c>
      <c r="J8975" s="1">
        <v>45924.510937500003</v>
      </c>
    </row>
    <row r="8976" spans="1:10" x14ac:dyDescent="0.2">
      <c r="A8976" s="4" t="s">
        <v>1</v>
      </c>
      <c r="B8976" s="3" t="str">
        <f>HYPERLINK("https://otsuka-europe-crm.veevavault.com/ui/#object/approved_document__v/V5OZ025E82TPVZ3", "INA - Invitación y programa Simposio SEHH 2025")</f>
        <v>INA - Invitación y programa Simposio SEHH 2025</v>
      </c>
      <c r="C8976" s="3" t="str">
        <f>HYPERLINK("https://otsuka-europe-crm.veevavault.com/ui/#object/sent_email__v/VBLZ025E82GYKHR", "SE-000280437")</f>
        <v>SE-000280437</v>
      </c>
      <c r="D8976" s="1">
        <v>45925.318124999998</v>
      </c>
      <c r="E8976" s="2">
        <v>1</v>
      </c>
      <c r="F8976" s="2">
        <v>2</v>
      </c>
      <c r="G8976" s="2">
        <v>0</v>
      </c>
      <c r="H8976" s="1" t="s">
        <v>0</v>
      </c>
      <c r="I8976" s="2">
        <v>0</v>
      </c>
      <c r="J8976" s="1">
        <v>45924.510925925926</v>
      </c>
    </row>
    <row r="8977" spans="1:10" x14ac:dyDescent="0.2">
      <c r="A8977" s="4" t="s">
        <v>1</v>
      </c>
      <c r="B8977" s="3" t="str">
        <f>HYPERLINK("https://otsuka-europe-crm.veevavault.com/ui/#object/approved_document__v/V5OZ025E82TPVZ3", "INA - Invitación y programa Simposio SEHH 2025")</f>
        <v>INA - Invitación y programa Simposio SEHH 2025</v>
      </c>
      <c r="C8977" s="3" t="str">
        <f>HYPERLINK("https://otsuka-europe-crm.veevavault.com/ui/#object/sent_email__v/VBLZ025E82GYKHS", "SE-000280438")</f>
        <v>SE-000280438</v>
      </c>
      <c r="D8977" s="1" t="s">
        <v>0</v>
      </c>
      <c r="E8977" s="2">
        <v>0</v>
      </c>
      <c r="F8977" s="2">
        <v>0</v>
      </c>
      <c r="G8977" s="2">
        <v>0</v>
      </c>
      <c r="H8977" s="1" t="s">
        <v>0</v>
      </c>
      <c r="I8977" s="2">
        <v>0</v>
      </c>
      <c r="J8977" s="1">
        <v>45924.510972222219</v>
      </c>
    </row>
    <row r="8978" spans="1:10" x14ac:dyDescent="0.2">
      <c r="A8978" s="4" t="s">
        <v>1</v>
      </c>
      <c r="B8978" s="3" t="str">
        <f>HYPERLINK("https://otsuka-europe-crm.veevavault.com/ui/#object/approved_document__v/V5OZ025E82TPVZ3", "INA - Invitación y programa Simposio SEHH 2025")</f>
        <v>INA - Invitación y programa Simposio SEHH 2025</v>
      </c>
      <c r="C8978" s="3" t="str">
        <f>HYPERLINK("https://otsuka-europe-crm.veevavault.com/ui/#object/sent_email__v/VBLZ025E82GYKHT", "SE-000280439")</f>
        <v>SE-000280439</v>
      </c>
      <c r="D8978" s="1">
        <v>45949.574120370373</v>
      </c>
      <c r="E8978" s="2">
        <v>1</v>
      </c>
      <c r="F8978" s="2">
        <v>3</v>
      </c>
      <c r="G8978" s="2">
        <v>1</v>
      </c>
      <c r="H8978" s="1">
        <v>45924.545671296299</v>
      </c>
      <c r="I8978" s="2">
        <v>1</v>
      </c>
      <c r="J8978" s="1">
        <v>45924.510983796295</v>
      </c>
    </row>
    <row r="8979" spans="1:10" x14ac:dyDescent="0.2">
      <c r="A8979" s="4" t="s">
        <v>1</v>
      </c>
      <c r="B8979" s="3" t="str">
        <f>HYPERLINK("https://otsuka-europe-crm.veevavault.com/ui/#object/approved_document__v/V5OZ025E82TPVZ3", "INA - Invitación y programa Simposio SEHH 2025")</f>
        <v>INA - Invitación y programa Simposio SEHH 2025</v>
      </c>
      <c r="C8979" s="3" t="str">
        <f>HYPERLINK("https://otsuka-europe-crm.veevavault.com/ui/#object/sent_email__v/VBLZ025E82GZ4XD", "SE-000280490")</f>
        <v>SE-000280490</v>
      </c>
      <c r="D8979" s="1" t="s">
        <v>0</v>
      </c>
      <c r="E8979" s="2">
        <v>0</v>
      </c>
      <c r="F8979" s="2">
        <v>0</v>
      </c>
      <c r="G8979" s="2">
        <v>0</v>
      </c>
      <c r="H8979" s="1" t="s">
        <v>0</v>
      </c>
      <c r="I8979" s="2">
        <v>0</v>
      </c>
      <c r="J8979" s="1">
        <v>45924.682233796295</v>
      </c>
    </row>
    <row r="8980" spans="1:10" x14ac:dyDescent="0.2">
      <c r="A8980" s="4" t="s">
        <v>1</v>
      </c>
      <c r="B8980" s="3" t="str">
        <f>HYPERLINK("https://otsuka-europe-crm.veevavault.com/ui/#object/approved_document__v/V5OZ025E82TPVZ3", "INA - Invitación y programa Simposio SEHH 2025")</f>
        <v>INA - Invitación y programa Simposio SEHH 2025</v>
      </c>
      <c r="C8980" s="3" t="str">
        <f>HYPERLINK("https://otsuka-europe-crm.veevavault.com/ui/#object/sent_email__v/VBLZ025E82GZ4XE", "SE-000280491")</f>
        <v>SE-000280491</v>
      </c>
      <c r="D8980" s="1" t="s">
        <v>0</v>
      </c>
      <c r="E8980" s="2">
        <v>0</v>
      </c>
      <c r="F8980" s="2">
        <v>0</v>
      </c>
      <c r="G8980" s="2">
        <v>0</v>
      </c>
      <c r="H8980" s="1" t="s">
        <v>0</v>
      </c>
      <c r="I8980" s="2">
        <v>0</v>
      </c>
      <c r="J8980" s="1">
        <v>45924.682245370372</v>
      </c>
    </row>
    <row r="8981" spans="1:10" x14ac:dyDescent="0.2">
      <c r="A8981" s="4" t="s">
        <v>1</v>
      </c>
      <c r="B8981" s="3" t="str">
        <f>HYPERLINK("https://otsuka-europe-crm.veevavault.com/ui/#object/approved_document__v/V5OZ025E82TPVZ3", "INA - Invitación y programa Simposio SEHH 2025")</f>
        <v>INA - Invitación y programa Simposio SEHH 2025</v>
      </c>
      <c r="C8981" s="3" t="str">
        <f>HYPERLINK("https://otsuka-europe-crm.veevavault.com/ui/#object/sent_email__v/VBLZ025E82GZ4XF", "SE-000280492")</f>
        <v>SE-000280492</v>
      </c>
      <c r="D8981" s="1" t="s">
        <v>0</v>
      </c>
      <c r="E8981" s="2">
        <v>0</v>
      </c>
      <c r="F8981" s="2">
        <v>0</v>
      </c>
      <c r="G8981" s="2">
        <v>0</v>
      </c>
      <c r="H8981" s="1" t="s">
        <v>0</v>
      </c>
      <c r="I8981" s="2">
        <v>0</v>
      </c>
      <c r="J8981" s="1">
        <v>45924.682245370372</v>
      </c>
    </row>
    <row r="8982" spans="1:10" x14ac:dyDescent="0.2">
      <c r="A8982" s="4" t="s">
        <v>1</v>
      </c>
      <c r="B8982" s="3" t="str">
        <f>HYPERLINK("https://otsuka-europe-crm.veevavault.com/ui/#object/approved_document__v/V5OZ025E82TPVZ3", "INA - Invitación y programa Simposio SEHH 2025")</f>
        <v>INA - Invitación y programa Simposio SEHH 2025</v>
      </c>
      <c r="C8982" s="3" t="str">
        <f>HYPERLINK("https://otsuka-europe-crm.veevavault.com/ui/#object/sent_email__v/VBLZ025E82GZ4XG", "SE-000280493")</f>
        <v>SE-000280493</v>
      </c>
      <c r="D8982" s="1" t="s">
        <v>0</v>
      </c>
      <c r="E8982" s="2">
        <v>0</v>
      </c>
      <c r="F8982" s="2">
        <v>0</v>
      </c>
      <c r="G8982" s="2">
        <v>0</v>
      </c>
      <c r="H8982" s="1" t="s">
        <v>0</v>
      </c>
      <c r="I8982" s="2">
        <v>0</v>
      </c>
      <c r="J8982" s="1">
        <v>45924.682268518518</v>
      </c>
    </row>
    <row r="8983" spans="1:10" x14ac:dyDescent="0.2">
      <c r="A8983" s="4" t="s">
        <v>1</v>
      </c>
      <c r="B8983" s="3" t="str">
        <f>HYPERLINK("https://otsuka-europe-crm.veevavault.com/ui/#object/approved_document__v/V5OZ025E82TPVZ3", "INA - Invitación y programa Simposio SEHH 2025")</f>
        <v>INA - Invitación y programa Simposio SEHH 2025</v>
      </c>
      <c r="C8983" s="3" t="str">
        <f>HYPERLINK("https://otsuka-europe-crm.veevavault.com/ui/#object/sent_email__v/VBLZ025E82GZ4XH", "SE-000280494")</f>
        <v>SE-000280494</v>
      </c>
      <c r="D8983" s="1">
        <v>45924.752372685187</v>
      </c>
      <c r="E8983" s="2">
        <v>1</v>
      </c>
      <c r="F8983" s="2">
        <v>1</v>
      </c>
      <c r="G8983" s="2">
        <v>1</v>
      </c>
      <c r="H8983" s="1">
        <v>45924.752372685187</v>
      </c>
      <c r="I8983" s="2">
        <v>1</v>
      </c>
      <c r="J8983" s="1">
        <v>45924.682268518518</v>
      </c>
    </row>
    <row r="8984" spans="1:10" x14ac:dyDescent="0.2">
      <c r="A8984" s="4" t="s">
        <v>1</v>
      </c>
      <c r="B8984" s="3" t="str">
        <f>HYPERLINK("https://otsuka-europe-crm.veevavault.com/ui/#object/approved_document__v/V5OZ025E82TPVZ3", "INA - Invitación y programa Simposio SEHH 2025")</f>
        <v>INA - Invitación y programa Simposio SEHH 2025</v>
      </c>
      <c r="C8984" s="3" t="str">
        <f>HYPERLINK("https://otsuka-europe-crm.veevavault.com/ui/#object/sent_email__v/VBLZ025E82GZ4XI", "SE-000280495")</f>
        <v>SE-000280495</v>
      </c>
      <c r="D8984" s="1" t="s">
        <v>0</v>
      </c>
      <c r="E8984" s="2">
        <v>0</v>
      </c>
      <c r="F8984" s="2">
        <v>0</v>
      </c>
      <c r="G8984" s="2">
        <v>0</v>
      </c>
      <c r="H8984" s="1" t="s">
        <v>0</v>
      </c>
      <c r="I8984" s="2">
        <v>0</v>
      </c>
      <c r="J8984" s="1">
        <v>45924.682291666664</v>
      </c>
    </row>
    <row r="8985" spans="1:10" x14ac:dyDescent="0.2">
      <c r="A8985" s="4" t="s">
        <v>1</v>
      </c>
      <c r="B8985" s="3" t="str">
        <f>HYPERLINK("https://otsuka-europe-crm.veevavault.com/ui/#object/approved_document__v/V5OZ025E82TPVZ3", "INA - Invitación y programa Simposio SEHH 2025")</f>
        <v>INA - Invitación y programa Simposio SEHH 2025</v>
      </c>
      <c r="C8985" s="3" t="str">
        <f>HYPERLINK("https://otsuka-europe-crm.veevavault.com/ui/#object/sent_email__v/VBLZ025E82GZ4XJ", "SE-000280496")</f>
        <v>SE-000280496</v>
      </c>
      <c r="D8985" s="1" t="s">
        <v>0</v>
      </c>
      <c r="E8985" s="2">
        <v>0</v>
      </c>
      <c r="F8985" s="2">
        <v>0</v>
      </c>
      <c r="G8985" s="2">
        <v>0</v>
      </c>
      <c r="H8985" s="1" t="s">
        <v>0</v>
      </c>
      <c r="I8985" s="2">
        <v>0</v>
      </c>
      <c r="J8985" s="1">
        <v>45924.682291666664</v>
      </c>
    </row>
    <row r="8986" spans="1:10" x14ac:dyDescent="0.2">
      <c r="A8986" s="4" t="s">
        <v>1</v>
      </c>
      <c r="B8986" s="3" t="str">
        <f>HYPERLINK("https://otsuka-europe-crm.veevavault.com/ui/#object/approved_document__v/V5OZ025E82TPVZ3", "INA - Invitación y programa Simposio SEHH 2025")</f>
        <v>INA - Invitación y programa Simposio SEHH 2025</v>
      </c>
      <c r="C8986" s="3" t="str">
        <f>HYPERLINK("https://otsuka-europe-crm.veevavault.com/ui/#object/sent_email__v/VBLZ025E82GZ4XK", "SE-000280497")</f>
        <v>SE-000280497</v>
      </c>
      <c r="D8986" s="1" t="s">
        <v>0</v>
      </c>
      <c r="E8986" s="2">
        <v>0</v>
      </c>
      <c r="F8986" s="2">
        <v>0</v>
      </c>
      <c r="G8986" s="2">
        <v>0</v>
      </c>
      <c r="H8986" s="1" t="s">
        <v>0</v>
      </c>
      <c r="I8986" s="2">
        <v>0</v>
      </c>
      <c r="J8986" s="1">
        <v>45924.682303240741</v>
      </c>
    </row>
    <row r="8987" spans="1:10" x14ac:dyDescent="0.2">
      <c r="A8987" s="4" t="s">
        <v>1</v>
      </c>
      <c r="B8987" s="3" t="str">
        <f>HYPERLINK("https://otsuka-europe-crm.veevavault.com/ui/#object/approved_document__v/V5OZ025E82TPVZ3", "INA - Invitación y programa Simposio SEHH 2025")</f>
        <v>INA - Invitación y programa Simposio SEHH 2025</v>
      </c>
      <c r="C8987" s="3" t="str">
        <f>HYPERLINK("https://otsuka-europe-crm.veevavault.com/ui/#object/sent_email__v/VBLZ025E82GZ4XL", "SE-000280498")</f>
        <v>SE-000280498</v>
      </c>
      <c r="D8987" s="1" t="s">
        <v>0</v>
      </c>
      <c r="E8987" s="2">
        <v>0</v>
      </c>
      <c r="F8987" s="2">
        <v>0</v>
      </c>
      <c r="G8987" s="2">
        <v>0</v>
      </c>
      <c r="H8987" s="1" t="s">
        <v>0</v>
      </c>
      <c r="I8987" s="2">
        <v>0</v>
      </c>
      <c r="J8987" s="1">
        <v>45924.682303240741</v>
      </c>
    </row>
    <row r="8988" spans="1:10" x14ac:dyDescent="0.2">
      <c r="A8988" s="4" t="s">
        <v>1</v>
      </c>
      <c r="B8988" s="3" t="str">
        <f>HYPERLINK("https://otsuka-europe-crm.veevavault.com/ui/#object/approved_document__v/V5OZ025E82TPVZ3", "INA - Invitación y programa Simposio SEHH 2025")</f>
        <v>INA - Invitación y programa Simposio SEHH 2025</v>
      </c>
      <c r="C8988" s="3" t="str">
        <f>HYPERLINK("https://otsuka-europe-crm.veevavault.com/ui/#object/sent_email__v/VBLZ025E82GZ4XM", "SE-000280499")</f>
        <v>SE-000280499</v>
      </c>
      <c r="D8988" s="1" t="s">
        <v>0</v>
      </c>
      <c r="E8988" s="2">
        <v>0</v>
      </c>
      <c r="F8988" s="2">
        <v>0</v>
      </c>
      <c r="G8988" s="2">
        <v>0</v>
      </c>
      <c r="H8988" s="1" t="s">
        <v>0</v>
      </c>
      <c r="I8988" s="2">
        <v>0</v>
      </c>
      <c r="J8988" s="1">
        <v>45924.682314814818</v>
      </c>
    </row>
    <row r="8989" spans="1:10" x14ac:dyDescent="0.2">
      <c r="A8989" s="4" t="s">
        <v>1</v>
      </c>
      <c r="B8989" s="3" t="str">
        <f>HYPERLINK("https://otsuka-europe-crm.veevavault.com/ui/#object/approved_document__v/V5OZ025E82TPVZ3", "INA - Invitación y programa Simposio SEHH 2025")</f>
        <v>INA - Invitación y programa Simposio SEHH 2025</v>
      </c>
      <c r="C8989" s="3" t="str">
        <f>HYPERLINK("https://otsuka-europe-crm.veevavault.com/ui/#object/sent_email__v/VBLZ025E82GZ4XN", "SE-000280500")</f>
        <v>SE-000280500</v>
      </c>
      <c r="D8989" s="1">
        <v>45924.713020833333</v>
      </c>
      <c r="E8989" s="2">
        <v>1</v>
      </c>
      <c r="F8989" s="2">
        <v>2</v>
      </c>
      <c r="G8989" s="2">
        <v>0</v>
      </c>
      <c r="H8989" s="1" t="s">
        <v>0</v>
      </c>
      <c r="I8989" s="2">
        <v>0</v>
      </c>
      <c r="J8989" s="1">
        <v>45924.682337962964</v>
      </c>
    </row>
    <row r="8990" spans="1:10" x14ac:dyDescent="0.2">
      <c r="A8990" s="4" t="s">
        <v>1</v>
      </c>
      <c r="B8990" s="3" t="str">
        <f>HYPERLINK("https://otsuka-europe-crm.veevavault.com/ui/#object/approved_document__v/V5OZ025E82TPVZ3", "INA - Invitación y programa Simposio SEHH 2025")</f>
        <v>INA - Invitación y programa Simposio SEHH 2025</v>
      </c>
      <c r="C8990" s="3" t="str">
        <f>HYPERLINK("https://otsuka-europe-crm.veevavault.com/ui/#object/sent_email__v/VBLZ025E82GZ4XO", "SE-000280501")</f>
        <v>SE-000280501</v>
      </c>
      <c r="D8990" s="1" t="s">
        <v>0</v>
      </c>
      <c r="E8990" s="2">
        <v>0</v>
      </c>
      <c r="F8990" s="2">
        <v>0</v>
      </c>
      <c r="G8990" s="2">
        <v>0</v>
      </c>
      <c r="H8990" s="1" t="s">
        <v>0</v>
      </c>
      <c r="I8990" s="2">
        <v>0</v>
      </c>
      <c r="J8990" s="1">
        <v>45924.682337962964</v>
      </c>
    </row>
    <row r="8991" spans="1:10" x14ac:dyDescent="0.2">
      <c r="A8991" s="4" t="s">
        <v>1</v>
      </c>
      <c r="B8991" s="3" t="str">
        <f>HYPERLINK("https://otsuka-europe-crm.veevavault.com/ui/#object/approved_document__v/V5OZ025E82TPVZ3", "INA - Invitación y programa Simposio SEHH 2025")</f>
        <v>INA - Invitación y programa Simposio SEHH 2025</v>
      </c>
      <c r="C8991" s="3" t="str">
        <f>HYPERLINK("https://otsuka-europe-crm.veevavault.com/ui/#object/sent_email__v/VBLZ025E82GZ4XP", "SE-000280502")</f>
        <v>SE-000280502</v>
      </c>
      <c r="D8991" s="1">
        <v>45924.702418981484</v>
      </c>
      <c r="E8991" s="2">
        <v>1</v>
      </c>
      <c r="F8991" s="2">
        <v>1</v>
      </c>
      <c r="G8991" s="2">
        <v>1</v>
      </c>
      <c r="H8991" s="1">
        <v>45924.702418981484</v>
      </c>
      <c r="I8991" s="2">
        <v>1</v>
      </c>
      <c r="J8991" s="1">
        <v>45924.68236111111</v>
      </c>
    </row>
    <row r="8992" spans="1:10" x14ac:dyDescent="0.2">
      <c r="A8992" s="4" t="s">
        <v>1</v>
      </c>
      <c r="B8992" s="3" t="str">
        <f>HYPERLINK("https://otsuka-europe-crm.veevavault.com/ui/#object/approved_document__v/V5OZ025E82TPVZ3", "INA - Invitación y programa Simposio SEHH 2025")</f>
        <v>INA - Invitación y programa Simposio SEHH 2025</v>
      </c>
      <c r="C8992" s="3" t="str">
        <f>HYPERLINK("https://otsuka-europe-crm.veevavault.com/ui/#object/sent_email__v/VBLZ025E82GZ4XQ", "SE-000280503")</f>
        <v>SE-000280503</v>
      </c>
      <c r="D8992" s="1" t="s">
        <v>0</v>
      </c>
      <c r="E8992" s="2">
        <v>0</v>
      </c>
      <c r="F8992" s="2">
        <v>0</v>
      </c>
      <c r="G8992" s="2">
        <v>0</v>
      </c>
      <c r="H8992" s="1" t="s">
        <v>0</v>
      </c>
      <c r="I8992" s="2">
        <v>0</v>
      </c>
      <c r="J8992" s="1">
        <v>45924.68236111111</v>
      </c>
    </row>
    <row r="8993" spans="1:10" x14ac:dyDescent="0.2">
      <c r="A8993" s="4" t="s">
        <v>1</v>
      </c>
      <c r="B8993" s="3" t="str">
        <f>HYPERLINK("https://otsuka-europe-crm.veevavault.com/ui/#object/approved_document__v/V5OZ025E82TPVZ3", "INA - Invitación y programa Simposio SEHH 2025")</f>
        <v>INA - Invitación y programa Simposio SEHH 2025</v>
      </c>
      <c r="C8993" s="3" t="str">
        <f>HYPERLINK("https://otsuka-europe-crm.veevavault.com/ui/#object/sent_email__v/VBLZ025E82GZ4XR", "SE-000280504")</f>
        <v>SE-000280504</v>
      </c>
      <c r="D8993" s="1" t="s">
        <v>0</v>
      </c>
      <c r="E8993" s="2">
        <v>0</v>
      </c>
      <c r="F8993" s="2">
        <v>0</v>
      </c>
      <c r="G8993" s="2">
        <v>0</v>
      </c>
      <c r="H8993" s="1" t="s">
        <v>0</v>
      </c>
      <c r="I8993" s="2">
        <v>0</v>
      </c>
      <c r="J8993" s="1">
        <v>45924.68236111111</v>
      </c>
    </row>
    <row r="8994" spans="1:10" x14ac:dyDescent="0.2">
      <c r="A8994" s="4" t="s">
        <v>1</v>
      </c>
      <c r="B8994" s="3" t="str">
        <f>HYPERLINK("https://otsuka-europe-crm.veevavault.com/ui/#object/approved_document__v/V5OZ025E82TPVZ3", "INA - Invitación y programa Simposio SEHH 2025")</f>
        <v>INA - Invitación y programa Simposio SEHH 2025</v>
      </c>
      <c r="C8994" s="3" t="str">
        <f>HYPERLINK("https://otsuka-europe-crm.veevavault.com/ui/#object/sent_email__v/VBLZ025E82GZ4XS", "SE-000280505")</f>
        <v>SE-000280505</v>
      </c>
      <c r="D8994" s="1" t="s">
        <v>0</v>
      </c>
      <c r="E8994" s="2">
        <v>0</v>
      </c>
      <c r="F8994" s="2">
        <v>0</v>
      </c>
      <c r="G8994" s="2">
        <v>0</v>
      </c>
      <c r="H8994" s="1" t="s">
        <v>0</v>
      </c>
      <c r="I8994" s="2">
        <v>0</v>
      </c>
      <c r="J8994" s="1">
        <v>45924.682372685187</v>
      </c>
    </row>
    <row r="8995" spans="1:10" x14ac:dyDescent="0.2">
      <c r="A8995" s="4" t="s">
        <v>1</v>
      </c>
      <c r="B8995" s="3" t="str">
        <f>HYPERLINK("https://otsuka-europe-crm.veevavault.com/ui/#object/approved_document__v/V5OZ025E82TPVZ3", "INA - Invitación y programa Simposio SEHH 2025")</f>
        <v>INA - Invitación y programa Simposio SEHH 2025</v>
      </c>
      <c r="C8995" s="3" t="str">
        <f>HYPERLINK("https://otsuka-europe-crm.veevavault.com/ui/#object/sent_email__v/VBLZ025E82GZ4XT", "SE-000280506")</f>
        <v>SE-000280506</v>
      </c>
      <c r="D8995" s="1" t="s">
        <v>0</v>
      </c>
      <c r="E8995" s="2">
        <v>0</v>
      </c>
      <c r="F8995" s="2">
        <v>0</v>
      </c>
      <c r="G8995" s="2">
        <v>0</v>
      </c>
      <c r="H8995" s="1" t="s">
        <v>0</v>
      </c>
      <c r="I8995" s="2">
        <v>0</v>
      </c>
      <c r="J8995" s="1">
        <v>45924.682384259257</v>
      </c>
    </row>
    <row r="8996" spans="1:10" x14ac:dyDescent="0.2">
      <c r="A8996" s="4" t="s">
        <v>1</v>
      </c>
      <c r="B8996" s="3" t="str">
        <f>HYPERLINK("https://otsuka-europe-crm.veevavault.com/ui/#object/approved_document__v/V5OZ025E82TPVZ3", "INA - Invitación y programa Simposio SEHH 2025")</f>
        <v>INA - Invitación y programa Simposio SEHH 2025</v>
      </c>
      <c r="C8996" s="3" t="str">
        <f>HYPERLINK("https://otsuka-europe-crm.veevavault.com/ui/#object/sent_email__v/VBLZ025E82GZ4XU", "SE-000280507")</f>
        <v>SE-000280507</v>
      </c>
      <c r="D8996" s="1" t="s">
        <v>0</v>
      </c>
      <c r="E8996" s="2">
        <v>0</v>
      </c>
      <c r="F8996" s="2">
        <v>0</v>
      </c>
      <c r="G8996" s="2">
        <v>0</v>
      </c>
      <c r="H8996" s="1" t="s">
        <v>0</v>
      </c>
      <c r="I8996" s="2">
        <v>0</v>
      </c>
      <c r="J8996" s="1">
        <v>45924.682395833333</v>
      </c>
    </row>
    <row r="8997" spans="1:10" x14ac:dyDescent="0.2">
      <c r="A8997" s="4" t="s">
        <v>1</v>
      </c>
      <c r="B8997" s="3" t="str">
        <f>HYPERLINK("https://otsuka-europe-crm.veevavault.com/ui/#object/approved_document__v/V5OZ025E82TPVZ3", "INA - Invitación y programa Simposio SEHH 2025")</f>
        <v>INA - Invitación y programa Simposio SEHH 2025</v>
      </c>
      <c r="C8997" s="3" t="str">
        <f>HYPERLINK("https://otsuka-europe-crm.veevavault.com/ui/#object/sent_email__v/VBLZ025E82GZ4XV", "SE-000280508")</f>
        <v>SE-000280508</v>
      </c>
      <c r="D8997" s="1" t="s">
        <v>0</v>
      </c>
      <c r="E8997" s="2">
        <v>0</v>
      </c>
      <c r="F8997" s="2">
        <v>0</v>
      </c>
      <c r="G8997" s="2">
        <v>0</v>
      </c>
      <c r="H8997" s="1" t="s">
        <v>0</v>
      </c>
      <c r="I8997" s="2">
        <v>0</v>
      </c>
      <c r="J8997" s="1">
        <v>45924.68240740741</v>
      </c>
    </row>
    <row r="8998" spans="1:10" x14ac:dyDescent="0.2">
      <c r="A8998" s="4" t="s">
        <v>1</v>
      </c>
      <c r="B8998" s="3" t="str">
        <f>HYPERLINK("https://otsuka-europe-crm.veevavault.com/ui/#object/approved_document__v/V5OZ025E82TPVZ3", "INA - Invitación y programa Simposio SEHH 2025")</f>
        <v>INA - Invitación y programa Simposio SEHH 2025</v>
      </c>
      <c r="C8998" s="3" t="str">
        <f>HYPERLINK("https://otsuka-europe-crm.veevavault.com/ui/#object/sent_email__v/VBLZ025E82GZ4XW", "SE-000280509")</f>
        <v>SE-000280509</v>
      </c>
      <c r="D8998" s="1" t="s">
        <v>0</v>
      </c>
      <c r="E8998" s="2">
        <v>0</v>
      </c>
      <c r="F8998" s="2">
        <v>0</v>
      </c>
      <c r="G8998" s="2">
        <v>0</v>
      </c>
      <c r="H8998" s="1" t="s">
        <v>0</v>
      </c>
      <c r="I8998" s="2">
        <v>0</v>
      </c>
      <c r="J8998" s="1">
        <v>45924.68241898148</v>
      </c>
    </row>
    <row r="8999" spans="1:10" x14ac:dyDescent="0.2">
      <c r="A8999" s="4" t="s">
        <v>1</v>
      </c>
      <c r="B8999" s="3" t="str">
        <f>HYPERLINK("https://otsuka-europe-crm.veevavault.com/ui/#object/approved_document__v/V5OZ025E82TPVZ3", "INA - Invitación y programa Simposio SEHH 2025")</f>
        <v>INA - Invitación y programa Simposio SEHH 2025</v>
      </c>
      <c r="C8999" s="3" t="str">
        <f>HYPERLINK("https://otsuka-europe-crm.veevavault.com/ui/#object/sent_email__v/VBLZ025E82GZ4XX", "SE-000280510")</f>
        <v>SE-000280510</v>
      </c>
      <c r="D8999" s="1" t="s">
        <v>0</v>
      </c>
      <c r="E8999" s="2">
        <v>0</v>
      </c>
      <c r="F8999" s="2">
        <v>0</v>
      </c>
      <c r="G8999" s="2">
        <v>0</v>
      </c>
      <c r="H8999" s="1" t="s">
        <v>0</v>
      </c>
      <c r="I8999" s="2">
        <v>0</v>
      </c>
      <c r="J8999" s="1">
        <v>45924.682430555556</v>
      </c>
    </row>
    <row r="9000" spans="1:10" x14ac:dyDescent="0.2">
      <c r="A9000" s="4" t="s">
        <v>1</v>
      </c>
      <c r="B9000" s="3" t="str">
        <f>HYPERLINK("https://otsuka-europe-crm.veevavault.com/ui/#object/approved_document__v/V5OZ025E82TPVZ3", "INA - Invitación y programa Simposio SEHH 2025")</f>
        <v>INA - Invitación y programa Simposio SEHH 2025</v>
      </c>
      <c r="C9000" s="3" t="str">
        <f>HYPERLINK("https://otsuka-europe-crm.veevavault.com/ui/#object/sent_email__v/VBLZ025E82GZ4XY", "SE-000280511")</f>
        <v>SE-000280511</v>
      </c>
      <c r="D9000" s="1" t="s">
        <v>0</v>
      </c>
      <c r="E9000" s="2">
        <v>0</v>
      </c>
      <c r="F9000" s="2">
        <v>0</v>
      </c>
      <c r="G9000" s="2">
        <v>0</v>
      </c>
      <c r="H9000" s="1" t="s">
        <v>0</v>
      </c>
      <c r="I9000" s="2">
        <v>0</v>
      </c>
      <c r="J9000" s="1">
        <v>45924.682430555556</v>
      </c>
    </row>
    <row r="9001" spans="1:10" x14ac:dyDescent="0.2">
      <c r="A9001" s="4" t="s">
        <v>1</v>
      </c>
      <c r="B9001" s="3" t="str">
        <f>HYPERLINK("https://otsuka-europe-crm.veevavault.com/ui/#object/approved_document__v/V5OZ025E82TPVZ3", "INA - Invitación y programa Simposio SEHH 2025")</f>
        <v>INA - Invitación y programa Simposio SEHH 2025</v>
      </c>
      <c r="C9001" s="3" t="str">
        <f>HYPERLINK("https://otsuka-europe-crm.veevavault.com/ui/#object/sent_email__v/VBLZ025E82GZ4XZ", "SE-000280512")</f>
        <v>SE-000280512</v>
      </c>
      <c r="D9001" s="1">
        <v>45926.562777777777</v>
      </c>
      <c r="E9001" s="2">
        <v>1</v>
      </c>
      <c r="F9001" s="2">
        <v>1</v>
      </c>
      <c r="G9001" s="2">
        <v>1</v>
      </c>
      <c r="H9001" s="1">
        <v>45926.562928240739</v>
      </c>
      <c r="I9001" s="2">
        <v>1</v>
      </c>
      <c r="J9001" s="1">
        <v>45924.682453703703</v>
      </c>
    </row>
    <row r="9002" spans="1:10" x14ac:dyDescent="0.2">
      <c r="A9002" s="4" t="s">
        <v>1</v>
      </c>
      <c r="B9002" s="3" t="str">
        <f>HYPERLINK("https://otsuka-europe-crm.veevavault.com/ui/#object/approved_document__v/V5OZ025E82TPVZ3", "INA - Invitación y programa Simposio SEHH 2025")</f>
        <v>INA - Invitación y programa Simposio SEHH 2025</v>
      </c>
      <c r="C9002" s="3" t="str">
        <f>HYPERLINK("https://otsuka-europe-crm.veevavault.com/ui/#object/sent_email__v/VBLZ025E82GZ4Y0", "SE-000280513")</f>
        <v>SE-000280513</v>
      </c>
      <c r="D9002" s="1">
        <v>45924.714942129627</v>
      </c>
      <c r="E9002" s="2">
        <v>1</v>
      </c>
      <c r="F9002" s="2">
        <v>1</v>
      </c>
      <c r="G9002" s="2">
        <v>0</v>
      </c>
      <c r="H9002" s="1" t="s">
        <v>0</v>
      </c>
      <c r="I9002" s="2">
        <v>0</v>
      </c>
      <c r="J9002" s="1">
        <v>45924.68246527778</v>
      </c>
    </row>
    <row r="9003" spans="1:10" x14ac:dyDescent="0.2">
      <c r="A9003" s="4" t="s">
        <v>1</v>
      </c>
      <c r="B9003" s="3" t="str">
        <f>HYPERLINK("https://otsuka-europe-crm.veevavault.com/ui/#object/approved_document__v/V5OZ025E82TPVZ3", "INA - Invitación y programa Simposio SEHH 2025")</f>
        <v>INA - Invitación y programa Simposio SEHH 2025</v>
      </c>
      <c r="C9003" s="3" t="str">
        <f>HYPERLINK("https://otsuka-europe-crm.veevavault.com/ui/#object/sent_email__v/VBLZ025E82GZ4Y1", "SE-000280514")</f>
        <v>SE-000280514</v>
      </c>
      <c r="D9003" s="1" t="s">
        <v>0</v>
      </c>
      <c r="E9003" s="2">
        <v>0</v>
      </c>
      <c r="F9003" s="2">
        <v>0</v>
      </c>
      <c r="G9003" s="2">
        <v>0</v>
      </c>
      <c r="H9003" s="1" t="s">
        <v>0</v>
      </c>
      <c r="I9003" s="2">
        <v>0</v>
      </c>
      <c r="J9003" s="1">
        <v>45924.682476851849</v>
      </c>
    </row>
    <row r="9004" spans="1:10" x14ac:dyDescent="0.2">
      <c r="A9004" s="4" t="s">
        <v>1</v>
      </c>
      <c r="B9004" s="3" t="str">
        <f>HYPERLINK("https://otsuka-europe-crm.veevavault.com/ui/#object/approved_document__v/V5OZ025E82TPVZ3", "INA - Invitación y programa Simposio SEHH 2025")</f>
        <v>INA - Invitación y programa Simposio SEHH 2025</v>
      </c>
      <c r="C9004" s="3" t="str">
        <f>HYPERLINK("https://otsuka-europe-crm.veevavault.com/ui/#object/sent_email__v/VBLZ025E82GZ4Y2", "SE-000280515")</f>
        <v>SE-000280515</v>
      </c>
      <c r="D9004" s="1">
        <v>45924.901562500003</v>
      </c>
      <c r="E9004" s="2">
        <v>1</v>
      </c>
      <c r="F9004" s="2">
        <v>1</v>
      </c>
      <c r="G9004" s="2">
        <v>0</v>
      </c>
      <c r="H9004" s="1" t="s">
        <v>0</v>
      </c>
      <c r="I9004" s="2">
        <v>0</v>
      </c>
      <c r="J9004" s="1">
        <v>45924.682476851849</v>
      </c>
    </row>
    <row r="9005" spans="1:10" x14ac:dyDescent="0.2">
      <c r="A9005" s="4" t="s">
        <v>1</v>
      </c>
      <c r="B9005" s="3" t="str">
        <f>HYPERLINK("https://otsuka-europe-crm.veevavault.com/ui/#object/approved_document__v/V5OZ025E82TPVZ3", "INA - Invitación y programa Simposio SEHH 2025")</f>
        <v>INA - Invitación y programa Simposio SEHH 2025</v>
      </c>
      <c r="C9005" s="3" t="str">
        <f>HYPERLINK("https://otsuka-europe-crm.veevavault.com/ui/#object/sent_email__v/VBLZ025E82GZ4Y3", "SE-000280516")</f>
        <v>SE-000280516</v>
      </c>
      <c r="D9005" s="1">
        <v>45925.305486111109</v>
      </c>
      <c r="E9005" s="2">
        <v>1</v>
      </c>
      <c r="F9005" s="2">
        <v>2</v>
      </c>
      <c r="G9005" s="2">
        <v>1</v>
      </c>
      <c r="H9005" s="1">
        <v>45924.685659722221</v>
      </c>
      <c r="I9005" s="2">
        <v>2</v>
      </c>
      <c r="J9005" s="1">
        <v>45924.682488425926</v>
      </c>
    </row>
    <row r="9006" spans="1:10" x14ac:dyDescent="0.2">
      <c r="A9006" s="4" t="s">
        <v>1</v>
      </c>
      <c r="B9006" s="3" t="str">
        <f>HYPERLINK("https://otsuka-europe-crm.veevavault.com/ui/#object/approved_document__v/V5OZ025E82TPVZ3", "INA - Invitación y programa Simposio SEHH 2025")</f>
        <v>INA - Invitación y programa Simposio SEHH 2025</v>
      </c>
      <c r="C9006" s="3" t="str">
        <f>HYPERLINK("https://otsuka-europe-crm.veevavault.com/ui/#object/sent_email__v/VBLZ025E82GZ4Y4", "SE-000280517")</f>
        <v>SE-000280517</v>
      </c>
      <c r="D9006" s="1" t="s">
        <v>0</v>
      </c>
      <c r="E9006" s="2">
        <v>0</v>
      </c>
      <c r="F9006" s="2">
        <v>0</v>
      </c>
      <c r="G9006" s="2">
        <v>0</v>
      </c>
      <c r="H9006" s="1" t="s">
        <v>0</v>
      </c>
      <c r="I9006" s="2">
        <v>0</v>
      </c>
      <c r="J9006" s="1">
        <v>45924.682500000003</v>
      </c>
    </row>
    <row r="9007" spans="1:10" x14ac:dyDescent="0.2">
      <c r="A9007" s="4" t="s">
        <v>1</v>
      </c>
      <c r="B9007" s="3" t="str">
        <f>HYPERLINK("https://otsuka-europe-crm.veevavault.com/ui/#object/approved_document__v/V5OZ025E82TPVZ3", "INA - Invitación y programa Simposio SEHH 2025")</f>
        <v>INA - Invitación y programa Simposio SEHH 2025</v>
      </c>
      <c r="C9007" s="3" t="str">
        <f>HYPERLINK("https://otsuka-europe-crm.veevavault.com/ui/#object/sent_email__v/VBLZ025E82GZ4Y5", "SE-000280518")</f>
        <v>SE-000280518</v>
      </c>
      <c r="D9007" s="1">
        <v>45930.751701388886</v>
      </c>
      <c r="E9007" s="2">
        <v>1</v>
      </c>
      <c r="F9007" s="2">
        <v>1</v>
      </c>
      <c r="G9007" s="2">
        <v>0</v>
      </c>
      <c r="H9007" s="1" t="s">
        <v>0</v>
      </c>
      <c r="I9007" s="2">
        <v>0</v>
      </c>
      <c r="J9007" s="1">
        <v>45924.682511574072</v>
      </c>
    </row>
    <row r="9008" spans="1:10" x14ac:dyDescent="0.2">
      <c r="A9008" s="4" t="s">
        <v>1</v>
      </c>
      <c r="B9008" s="3" t="str">
        <f>HYPERLINK("https://otsuka-europe-crm.veevavault.com/ui/#object/approved_document__v/V5OZ025E82TPVZ3", "INA - Invitación y programa Simposio SEHH 2025")</f>
        <v>INA - Invitación y programa Simposio SEHH 2025</v>
      </c>
      <c r="C9008" s="3" t="str">
        <f>HYPERLINK("https://otsuka-europe-crm.veevavault.com/ui/#object/sent_email__v/VBLZ025E82GZ4Y6", "SE-000280519")</f>
        <v>SE-000280519</v>
      </c>
      <c r="D9008" s="1">
        <v>45944.446493055555</v>
      </c>
      <c r="E9008" s="2">
        <v>1</v>
      </c>
      <c r="F9008" s="2">
        <v>2</v>
      </c>
      <c r="G9008" s="2">
        <v>0</v>
      </c>
      <c r="H9008" s="1" t="s">
        <v>0</v>
      </c>
      <c r="I9008" s="2">
        <v>0</v>
      </c>
      <c r="J9008" s="1">
        <v>45924.682523148149</v>
      </c>
    </row>
    <row r="9009" spans="1:10" x14ac:dyDescent="0.2">
      <c r="A9009" s="4" t="s">
        <v>1</v>
      </c>
      <c r="B9009" s="3" t="str">
        <f>HYPERLINK("https://otsuka-europe-crm.veevavault.com/ui/#object/approved_document__v/V5OZ025E82TPVZ3", "INA - Invitación y programa Simposio SEHH 2025")</f>
        <v>INA - Invitación y programa Simposio SEHH 2025</v>
      </c>
      <c r="C9009" s="3" t="str">
        <f>HYPERLINK("https://otsuka-europe-crm.veevavault.com/ui/#object/sent_email__v/VBLZ025E82GZ4Y7", "SE-000280520")</f>
        <v>SE-000280520</v>
      </c>
      <c r="D9009" s="1">
        <v>45924.711446759262</v>
      </c>
      <c r="E9009" s="2">
        <v>1</v>
      </c>
      <c r="F9009" s="2">
        <v>3</v>
      </c>
      <c r="G9009" s="2">
        <v>0</v>
      </c>
      <c r="H9009" s="1" t="s">
        <v>0</v>
      </c>
      <c r="I9009" s="2">
        <v>0</v>
      </c>
      <c r="J9009" s="1">
        <v>45924.682523148149</v>
      </c>
    </row>
    <row r="9010" spans="1:10" x14ac:dyDescent="0.2">
      <c r="A9010" s="4" t="s">
        <v>1</v>
      </c>
      <c r="B9010" s="3" t="str">
        <f>HYPERLINK("https://otsuka-europe-crm.veevavault.com/ui/#object/approved_document__v/V5OZ025E82TPVZ3", "INA - Invitación y programa Simposio SEHH 2025")</f>
        <v>INA - Invitación y programa Simposio SEHH 2025</v>
      </c>
      <c r="C9010" s="3" t="str">
        <f>HYPERLINK("https://otsuka-europe-crm.veevavault.com/ui/#object/sent_email__v/VBLZ025E82GZ4Y8", "SE-000280521")</f>
        <v>SE-000280521</v>
      </c>
      <c r="D9010" s="1">
        <v>45924.695034722223</v>
      </c>
      <c r="E9010" s="2">
        <v>1</v>
      </c>
      <c r="F9010" s="2">
        <v>1</v>
      </c>
      <c r="G9010" s="2">
        <v>1</v>
      </c>
      <c r="H9010" s="1">
        <v>45924.840081018519</v>
      </c>
      <c r="I9010" s="2">
        <v>2</v>
      </c>
      <c r="J9010" s="1">
        <v>45924.682534722226</v>
      </c>
    </row>
    <row r="9011" spans="1:10" x14ac:dyDescent="0.2">
      <c r="A9011" s="4" t="s">
        <v>1</v>
      </c>
      <c r="B9011" s="3" t="str">
        <f>HYPERLINK("https://otsuka-europe-crm.veevavault.com/ui/#object/approved_document__v/V5OZ025E82TPVZ3", "INA - Invitación y programa Simposio SEHH 2025")</f>
        <v>INA - Invitación y programa Simposio SEHH 2025</v>
      </c>
      <c r="C9011" s="3" t="str">
        <f>HYPERLINK("https://otsuka-europe-crm.veevavault.com/ui/#object/sent_email__v/VBLZ025E82GZ4Y9", "SE-000280522")</f>
        <v>SE-000280522</v>
      </c>
      <c r="D9011" s="1" t="s">
        <v>0</v>
      </c>
      <c r="E9011" s="2">
        <v>0</v>
      </c>
      <c r="F9011" s="2">
        <v>0</v>
      </c>
      <c r="G9011" s="2">
        <v>0</v>
      </c>
      <c r="H9011" s="1" t="s">
        <v>0</v>
      </c>
      <c r="I9011" s="2">
        <v>0</v>
      </c>
      <c r="J9011" s="1">
        <v>45924.682546296295</v>
      </c>
    </row>
    <row r="9012" spans="1:10" x14ac:dyDescent="0.2">
      <c r="A9012" s="4" t="s">
        <v>1</v>
      </c>
      <c r="B9012" s="3" t="str">
        <f>HYPERLINK("https://otsuka-europe-crm.veevavault.com/ui/#object/approved_document__v/V5OZ025E82TPVZ3", "INA - Invitación y programa Simposio SEHH 2025")</f>
        <v>INA - Invitación y programa Simposio SEHH 2025</v>
      </c>
      <c r="C9012" s="3" t="str">
        <f>HYPERLINK("https://otsuka-europe-crm.veevavault.com/ui/#object/sent_email__v/VBLZ025E82GZ4YA", "SE-000280523")</f>
        <v>SE-000280523</v>
      </c>
      <c r="D9012" s="1" t="s">
        <v>0</v>
      </c>
      <c r="E9012" s="2">
        <v>0</v>
      </c>
      <c r="F9012" s="2">
        <v>0</v>
      </c>
      <c r="G9012" s="2">
        <v>0</v>
      </c>
      <c r="H9012" s="1" t="s">
        <v>0</v>
      </c>
      <c r="I9012" s="2">
        <v>0</v>
      </c>
      <c r="J9012" s="1">
        <v>45924.682557870372</v>
      </c>
    </row>
    <row r="9013" spans="1:10" x14ac:dyDescent="0.2">
      <c r="A9013" s="4" t="s">
        <v>1</v>
      </c>
      <c r="B9013" s="3" t="str">
        <f>HYPERLINK("https://otsuka-europe-crm.veevavault.com/ui/#object/approved_document__v/V5OZ025E82TPVZ3", "INA - Invitación y programa Simposio SEHH 2025")</f>
        <v>INA - Invitación y programa Simposio SEHH 2025</v>
      </c>
      <c r="C9013" s="3" t="str">
        <f>HYPERLINK("https://otsuka-europe-crm.veevavault.com/ui/#object/sent_email__v/VBLZ025E82GZ4YB", "SE-000280524")</f>
        <v>SE-000280524</v>
      </c>
      <c r="D9013" s="1" t="s">
        <v>0</v>
      </c>
      <c r="E9013" s="2">
        <v>0</v>
      </c>
      <c r="F9013" s="2">
        <v>0</v>
      </c>
      <c r="G9013" s="2">
        <v>0</v>
      </c>
      <c r="H9013" s="1" t="s">
        <v>0</v>
      </c>
      <c r="I9013" s="2">
        <v>0</v>
      </c>
      <c r="J9013" s="1">
        <v>45924.682557870372</v>
      </c>
    </row>
    <row r="9014" spans="1:10" x14ac:dyDescent="0.2">
      <c r="A9014" s="4" t="s">
        <v>1</v>
      </c>
      <c r="B9014" s="3" t="str">
        <f>HYPERLINK("https://otsuka-europe-crm.veevavault.com/ui/#object/approved_document__v/V5OZ025E82TPVZ3", "INA - Invitación y programa Simposio SEHH 2025")</f>
        <v>INA - Invitación y programa Simposio SEHH 2025</v>
      </c>
      <c r="C9014" s="3" t="str">
        <f>HYPERLINK("https://otsuka-europe-crm.veevavault.com/ui/#object/sent_email__v/VBLZ025E82H1FKD", "SE-000281045")</f>
        <v>SE-000281045</v>
      </c>
      <c r="D9014" s="1" t="s">
        <v>0</v>
      </c>
      <c r="E9014" s="2">
        <v>0</v>
      </c>
      <c r="F9014" s="2">
        <v>0</v>
      </c>
      <c r="G9014" s="2">
        <v>0</v>
      </c>
      <c r="H9014" s="1" t="s">
        <v>0</v>
      </c>
      <c r="I9014" s="2">
        <v>0</v>
      </c>
      <c r="J9014" s="1">
        <v>45926.461412037039</v>
      </c>
    </row>
    <row r="9015" spans="1:10" x14ac:dyDescent="0.2">
      <c r="A9015" s="4" t="s">
        <v>1</v>
      </c>
      <c r="B9015" s="3" t="str">
        <f>HYPERLINK("https://otsuka-europe-crm.veevavault.com/ui/#object/approved_document__v/V5OZ025E82TPVZ3", "INA - Invitación y programa Simposio SEHH 2025")</f>
        <v>INA - Invitación y programa Simposio SEHH 2025</v>
      </c>
      <c r="C9015" s="3" t="str">
        <f>HYPERLINK("https://otsuka-europe-crm.veevavault.com/ui/#object/sent_email__v/VBLZ025E82H1JCI", "SE-000281168")</f>
        <v>SE-000281168</v>
      </c>
      <c r="D9015" s="1" t="s">
        <v>0</v>
      </c>
      <c r="E9015" s="2">
        <v>0</v>
      </c>
      <c r="F9015" s="2">
        <v>0</v>
      </c>
      <c r="G9015" s="2">
        <v>0</v>
      </c>
      <c r="H9015" s="1" t="s">
        <v>0</v>
      </c>
      <c r="I9015" s="2">
        <v>0</v>
      </c>
      <c r="J9015" s="1">
        <v>45926.486875000002</v>
      </c>
    </row>
    <row r="9016" spans="1:10" x14ac:dyDescent="0.2">
      <c r="A9016" s="4" t="s">
        <v>1</v>
      </c>
      <c r="B9016" s="3" t="str">
        <f>HYPERLINK("https://otsuka-europe-crm.veevavault.com/ui/#object/approved_document__v/V5OZ025E82TPVZ3", "INA - Invitación y programa Simposio SEHH 2025")</f>
        <v>INA - Invitación y programa Simposio SEHH 2025</v>
      </c>
      <c r="C9016" s="3" t="str">
        <f>HYPERLINK("https://otsuka-europe-crm.veevavault.com/ui/#object/sent_email__v/VBLZ025E82H1JCJ", "SE-000281169")</f>
        <v>SE-000281169</v>
      </c>
      <c r="D9016" s="1" t="s">
        <v>0</v>
      </c>
      <c r="E9016" s="2">
        <v>0</v>
      </c>
      <c r="F9016" s="2">
        <v>0</v>
      </c>
      <c r="G9016" s="2">
        <v>0</v>
      </c>
      <c r="H9016" s="1" t="s">
        <v>0</v>
      </c>
      <c r="I9016" s="2">
        <v>0</v>
      </c>
      <c r="J9016" s="1">
        <v>45926.486886574072</v>
      </c>
    </row>
    <row r="9017" spans="1:10" x14ac:dyDescent="0.2">
      <c r="A9017" s="4" t="s">
        <v>1</v>
      </c>
      <c r="B9017" s="3" t="str">
        <f>HYPERLINK("https://otsuka-europe-crm.veevavault.com/ui/#object/approved_document__v/V5OZ025E82TPVZ3", "INA - Invitación y programa Simposio SEHH 2025")</f>
        <v>INA - Invitación y programa Simposio SEHH 2025</v>
      </c>
      <c r="C9017" s="3" t="str">
        <f>HYPERLINK("https://otsuka-europe-crm.veevavault.com/ui/#object/sent_email__v/VBLZ025E82H1JCK", "SE-000281170")</f>
        <v>SE-000281170</v>
      </c>
      <c r="D9017" s="1">
        <v>45926.500578703701</v>
      </c>
      <c r="E9017" s="2">
        <v>1</v>
      </c>
      <c r="F9017" s="2">
        <v>2</v>
      </c>
      <c r="G9017" s="2">
        <v>1</v>
      </c>
      <c r="H9017" s="1">
        <v>45926.48709490741</v>
      </c>
      <c r="I9017" s="2">
        <v>3</v>
      </c>
      <c r="J9017" s="1">
        <v>45926.486898148149</v>
      </c>
    </row>
    <row r="9018" spans="1:10" x14ac:dyDescent="0.2">
      <c r="A9018" s="4" t="s">
        <v>1</v>
      </c>
      <c r="B9018" s="3" t="str">
        <f>HYPERLINK("https://otsuka-europe-crm.veevavault.com/ui/#object/approved_document__v/V5OZ025E82TPVZ3", "INA - Invitación y programa Simposio SEHH 2025")</f>
        <v>INA - Invitación y programa Simposio SEHH 2025</v>
      </c>
      <c r="C9018" s="3" t="str">
        <f>HYPERLINK("https://otsuka-europe-crm.veevavault.com/ui/#object/sent_email__v/VBLZ025E82H1JCL", "SE-000281171")</f>
        <v>SE-000281171</v>
      </c>
      <c r="D9018" s="1" t="s">
        <v>0</v>
      </c>
      <c r="E9018" s="2">
        <v>0</v>
      </c>
      <c r="F9018" s="2">
        <v>0</v>
      </c>
      <c r="G9018" s="2">
        <v>0</v>
      </c>
      <c r="H9018" s="1" t="s">
        <v>0</v>
      </c>
      <c r="I9018" s="2">
        <v>0</v>
      </c>
      <c r="J9018" s="1">
        <v>45926.486898148149</v>
      </c>
    </row>
    <row r="9019" spans="1:10" x14ac:dyDescent="0.2">
      <c r="A9019" s="4" t="s">
        <v>1</v>
      </c>
      <c r="B9019" s="3" t="str">
        <f>HYPERLINK("https://otsuka-europe-crm.veevavault.com/ui/#object/approved_document__v/V5OZ025E82TPVZ3", "INA - Invitación y programa Simposio SEHH 2025")</f>
        <v>INA - Invitación y programa Simposio SEHH 2025</v>
      </c>
      <c r="C9019" s="3" t="str">
        <f>HYPERLINK("https://otsuka-europe-crm.veevavault.com/ui/#object/sent_email__v/VBLZ025E82H1JCM", "SE-000281172")</f>
        <v>SE-000281172</v>
      </c>
      <c r="D9019" s="1" t="s">
        <v>0</v>
      </c>
      <c r="E9019" s="2">
        <v>0</v>
      </c>
      <c r="F9019" s="2">
        <v>0</v>
      </c>
      <c r="G9019" s="2">
        <v>0</v>
      </c>
      <c r="H9019" s="1" t="s">
        <v>0</v>
      </c>
      <c r="I9019" s="2">
        <v>0</v>
      </c>
      <c r="J9019" s="1">
        <v>45926.486909722225</v>
      </c>
    </row>
    <row r="9020" spans="1:10" x14ac:dyDescent="0.2">
      <c r="A9020" s="4" t="s">
        <v>1</v>
      </c>
      <c r="B9020" s="3" t="str">
        <f>HYPERLINK("https://otsuka-europe-crm.veevavault.com/ui/#object/approved_document__v/V5OZ025E82TPVZ3", "INA - Invitación y programa Simposio SEHH 2025")</f>
        <v>INA - Invitación y programa Simposio SEHH 2025</v>
      </c>
      <c r="C9020" s="3" t="str">
        <f>HYPERLINK("https://otsuka-europe-crm.veevavault.com/ui/#object/sent_email__v/VBLZ025E82H1JCN", "SE-000281173")</f>
        <v>SE-000281173</v>
      </c>
      <c r="D9020" s="1" t="s">
        <v>0</v>
      </c>
      <c r="E9020" s="2">
        <v>0</v>
      </c>
      <c r="F9020" s="2">
        <v>0</v>
      </c>
      <c r="G9020" s="2">
        <v>0</v>
      </c>
      <c r="H9020" s="1" t="s">
        <v>0</v>
      </c>
      <c r="I9020" s="2">
        <v>0</v>
      </c>
      <c r="J9020" s="1">
        <v>45926.486921296295</v>
      </c>
    </row>
    <row r="9021" spans="1:10" x14ac:dyDescent="0.2">
      <c r="A9021" s="4" t="s">
        <v>1</v>
      </c>
      <c r="B9021" s="3" t="str">
        <f>HYPERLINK("https://otsuka-europe-crm.veevavault.com/ui/#object/approved_document__v/V5OZ025E82TPVZ3", "INA - Invitación y programa Simposio SEHH 2025")</f>
        <v>INA - Invitación y programa Simposio SEHH 2025</v>
      </c>
      <c r="C9021" s="3" t="str">
        <f>HYPERLINK("https://otsuka-europe-crm.veevavault.com/ui/#object/sent_email__v/VBLZ025E82H1JCO", "SE-000281174")</f>
        <v>SE-000281174</v>
      </c>
      <c r="D9021" s="1" t="s">
        <v>0</v>
      </c>
      <c r="E9021" s="2">
        <v>0</v>
      </c>
      <c r="F9021" s="2">
        <v>0</v>
      </c>
      <c r="G9021" s="2">
        <v>0</v>
      </c>
      <c r="H9021" s="1" t="s">
        <v>0</v>
      </c>
      <c r="I9021" s="2">
        <v>0</v>
      </c>
      <c r="J9021" s="1">
        <v>45926.486932870372</v>
      </c>
    </row>
    <row r="9022" spans="1:10" x14ac:dyDescent="0.2">
      <c r="A9022" s="4" t="s">
        <v>1</v>
      </c>
      <c r="B9022" s="3" t="str">
        <f>HYPERLINK("https://otsuka-europe-crm.veevavault.com/ui/#object/approved_document__v/V5OZ025E82TPVZ3", "INA - Invitación y programa Simposio SEHH 2025")</f>
        <v>INA - Invitación y programa Simposio SEHH 2025</v>
      </c>
      <c r="C9022" s="3" t="str">
        <f>HYPERLINK("https://otsuka-europe-crm.veevavault.com/ui/#object/sent_email__v/VBLZ025E82H1JCP", "SE-000281175")</f>
        <v>SE-000281175</v>
      </c>
      <c r="D9022" s="1" t="s">
        <v>0</v>
      </c>
      <c r="E9022" s="2">
        <v>0</v>
      </c>
      <c r="F9022" s="2">
        <v>0</v>
      </c>
      <c r="G9022" s="2">
        <v>0</v>
      </c>
      <c r="H9022" s="1" t="s">
        <v>0</v>
      </c>
      <c r="I9022" s="2">
        <v>0</v>
      </c>
      <c r="J9022" s="1">
        <v>45926.486944444441</v>
      </c>
    </row>
    <row r="9023" spans="1:10" x14ac:dyDescent="0.2">
      <c r="A9023" s="4" t="s">
        <v>1</v>
      </c>
      <c r="B9023" s="3" t="str">
        <f>HYPERLINK("https://otsuka-europe-crm.veevavault.com/ui/#object/approved_document__v/V5OZ025E82TPVZ3", "INA - Invitación y programa Simposio SEHH 2025")</f>
        <v>INA - Invitación y programa Simposio SEHH 2025</v>
      </c>
      <c r="C9023" s="3" t="str">
        <f>HYPERLINK("https://otsuka-europe-crm.veevavault.com/ui/#object/sent_email__v/VBLZ025E82H1JCQ", "SE-000281176")</f>
        <v>SE-000281176</v>
      </c>
      <c r="D9023" s="1" t="s">
        <v>0</v>
      </c>
      <c r="E9023" s="2">
        <v>0</v>
      </c>
      <c r="F9023" s="2">
        <v>0</v>
      </c>
      <c r="G9023" s="2">
        <v>0</v>
      </c>
      <c r="H9023" s="1" t="s">
        <v>0</v>
      </c>
      <c r="I9023" s="2">
        <v>0</v>
      </c>
      <c r="J9023" s="1">
        <v>45926.486956018518</v>
      </c>
    </row>
    <row r="9024" spans="1:10" x14ac:dyDescent="0.2">
      <c r="A9024" s="4" t="s">
        <v>1</v>
      </c>
      <c r="B9024" s="3" t="str">
        <f>HYPERLINK("https://otsuka-europe-crm.veevavault.com/ui/#object/approved_document__v/V5OZ025E82TPVZ3", "INA - Invitación y programa Simposio SEHH 2025")</f>
        <v>INA - Invitación y programa Simposio SEHH 2025</v>
      </c>
      <c r="C9024" s="3" t="str">
        <f>HYPERLINK("https://otsuka-europe-crm.veevavault.com/ui/#object/sent_email__v/VBLZ025E82H1JCR", "SE-000281177")</f>
        <v>SE-000281177</v>
      </c>
      <c r="D9024" s="1">
        <v>45931.488865740743</v>
      </c>
      <c r="E9024" s="2">
        <v>1</v>
      </c>
      <c r="F9024" s="2">
        <v>2</v>
      </c>
      <c r="G9024" s="2">
        <v>1</v>
      </c>
      <c r="H9024" s="1">
        <v>45931.489120370374</v>
      </c>
      <c r="I9024" s="2">
        <v>1</v>
      </c>
      <c r="J9024" s="1">
        <v>45926.486967592595</v>
      </c>
    </row>
    <row r="9025" spans="1:10" x14ac:dyDescent="0.2">
      <c r="A9025" s="4" t="s">
        <v>1</v>
      </c>
      <c r="B9025" s="3" t="str">
        <f>HYPERLINK("https://otsuka-europe-crm.veevavault.com/ui/#object/approved_document__v/V5OZ025E82TPVZ3", "INA - Invitación y programa Simposio SEHH 2025")</f>
        <v>INA - Invitación y programa Simposio SEHH 2025</v>
      </c>
      <c r="C9025" s="3" t="str">
        <f>HYPERLINK("https://otsuka-europe-crm.veevavault.com/ui/#object/sent_email__v/VBLZ025E82H1JCS", "SE-000281178")</f>
        <v>SE-000281178</v>
      </c>
      <c r="D9025" s="1" t="s">
        <v>0</v>
      </c>
      <c r="E9025" s="2">
        <v>0</v>
      </c>
      <c r="F9025" s="2">
        <v>0</v>
      </c>
      <c r="G9025" s="2">
        <v>0</v>
      </c>
      <c r="H9025" s="1" t="s">
        <v>0</v>
      </c>
      <c r="I9025" s="2">
        <v>0</v>
      </c>
      <c r="J9025" s="1">
        <v>45926.486967592595</v>
      </c>
    </row>
    <row r="9026" spans="1:10" x14ac:dyDescent="0.2">
      <c r="A9026" s="4" t="s">
        <v>1</v>
      </c>
      <c r="B9026" s="3" t="str">
        <f>HYPERLINK("https://otsuka-europe-crm.veevavault.com/ui/#object/approved_document__v/V5OZ025E82TPVZ3", "INA - Invitación y programa Simposio SEHH 2025")</f>
        <v>INA - Invitación y programa Simposio SEHH 2025</v>
      </c>
      <c r="C9026" s="3" t="str">
        <f>HYPERLINK("https://otsuka-europe-crm.veevavault.com/ui/#object/sent_email__v/VBLZ025E82H1JCT", "SE-000281179")</f>
        <v>SE-000281179</v>
      </c>
      <c r="D9026" s="1">
        <v>45930.049675925926</v>
      </c>
      <c r="E9026" s="2">
        <v>1</v>
      </c>
      <c r="F9026" s="2">
        <v>1</v>
      </c>
      <c r="G9026" s="2">
        <v>0</v>
      </c>
      <c r="H9026" s="1" t="s">
        <v>0</v>
      </c>
      <c r="I9026" s="2">
        <v>0</v>
      </c>
      <c r="J9026" s="1">
        <v>45926.486979166664</v>
      </c>
    </row>
    <row r="9027" spans="1:10" x14ac:dyDescent="0.2">
      <c r="A9027" s="4" t="s">
        <v>1</v>
      </c>
      <c r="B9027" s="3" t="str">
        <f>HYPERLINK("https://otsuka-europe-crm.veevavault.com/ui/#object/approved_document__v/V5OZ025E82TPVZ3", "INA - Invitación y programa Simposio SEHH 2025")</f>
        <v>INA - Invitación y programa Simposio SEHH 2025</v>
      </c>
      <c r="C9027" s="3" t="str">
        <f>HYPERLINK("https://otsuka-europe-crm.veevavault.com/ui/#object/sent_email__v/VBLZ025E82H1JCU", "SE-000281180")</f>
        <v>SE-000281180</v>
      </c>
      <c r="D9027" s="1" t="s">
        <v>0</v>
      </c>
      <c r="E9027" s="2">
        <v>0</v>
      </c>
      <c r="F9027" s="2">
        <v>0</v>
      </c>
      <c r="G9027" s="2">
        <v>0</v>
      </c>
      <c r="H9027" s="1" t="s">
        <v>0</v>
      </c>
      <c r="I9027" s="2">
        <v>0</v>
      </c>
      <c r="J9027" s="1">
        <v>45926.486990740741</v>
      </c>
    </row>
    <row r="9028" spans="1:10" x14ac:dyDescent="0.2">
      <c r="A9028" s="4" t="s">
        <v>1</v>
      </c>
      <c r="B9028" s="3" t="str">
        <f>HYPERLINK("https://otsuka-europe-crm.veevavault.com/ui/#object/approved_document__v/V5OZ025E82TPVZ3", "INA - Invitación y programa Simposio SEHH 2025")</f>
        <v>INA - Invitación y programa Simposio SEHH 2025</v>
      </c>
      <c r="C9028" s="3" t="str">
        <f>HYPERLINK("https://otsuka-europe-crm.veevavault.com/ui/#object/sent_email__v/VBLZ025E82H1JCV", "SE-000281181")</f>
        <v>SE-000281181</v>
      </c>
      <c r="D9028" s="1" t="s">
        <v>0</v>
      </c>
      <c r="E9028" s="2">
        <v>0</v>
      </c>
      <c r="F9028" s="2">
        <v>0</v>
      </c>
      <c r="G9028" s="2">
        <v>0</v>
      </c>
      <c r="H9028" s="1" t="s">
        <v>0</v>
      </c>
      <c r="I9028" s="2">
        <v>0</v>
      </c>
      <c r="J9028" s="1">
        <v>45926.487013888887</v>
      </c>
    </row>
    <row r="9029" spans="1:10" x14ac:dyDescent="0.2">
      <c r="A9029" s="4" t="s">
        <v>1</v>
      </c>
      <c r="B9029" s="3" t="str">
        <f>HYPERLINK("https://otsuka-europe-crm.veevavault.com/ui/#object/approved_document__v/V5OZ025E82TPVZ3", "INA - Invitación y programa Simposio SEHH 2025")</f>
        <v>INA - Invitación y programa Simposio SEHH 2025</v>
      </c>
      <c r="C9029" s="3" t="str">
        <f>HYPERLINK("https://otsuka-europe-crm.veevavault.com/ui/#object/sent_email__v/VBLZ025E82H1JCW", "SE-000281182")</f>
        <v>SE-000281182</v>
      </c>
      <c r="D9029" s="1" t="s">
        <v>0</v>
      </c>
      <c r="E9029" s="2">
        <v>0</v>
      </c>
      <c r="F9029" s="2">
        <v>0</v>
      </c>
      <c r="G9029" s="2">
        <v>0</v>
      </c>
      <c r="H9029" s="1" t="s">
        <v>0</v>
      </c>
      <c r="I9029" s="2">
        <v>0</v>
      </c>
      <c r="J9029" s="1">
        <v>45926.487013888887</v>
      </c>
    </row>
    <row r="9030" spans="1:10" x14ac:dyDescent="0.2">
      <c r="A9030" s="4" t="s">
        <v>1</v>
      </c>
      <c r="B9030" s="3" t="str">
        <f>HYPERLINK("https://otsuka-europe-crm.veevavault.com/ui/#object/approved_document__v/V5OZ025E82TPVZ3", "INA - Invitación y programa Simposio SEHH 2025")</f>
        <v>INA - Invitación y programa Simposio SEHH 2025</v>
      </c>
      <c r="C9030" s="3" t="str">
        <f>HYPERLINK("https://otsuka-europe-crm.veevavault.com/ui/#object/sent_email__v/VBLZ025E82H1JCX", "SE-000281183")</f>
        <v>SE-000281183</v>
      </c>
      <c r="D9030" s="1" t="s">
        <v>0</v>
      </c>
      <c r="E9030" s="2">
        <v>0</v>
      </c>
      <c r="F9030" s="2">
        <v>0</v>
      </c>
      <c r="G9030" s="2">
        <v>0</v>
      </c>
      <c r="H9030" s="1" t="s">
        <v>0</v>
      </c>
      <c r="I9030" s="2">
        <v>0</v>
      </c>
      <c r="J9030" s="1">
        <v>45926.487025462964</v>
      </c>
    </row>
    <row r="9031" spans="1:10" x14ac:dyDescent="0.2">
      <c r="A9031" s="4" t="s">
        <v>1</v>
      </c>
      <c r="B9031" s="3" t="str">
        <f>HYPERLINK("https://otsuka-europe-crm.veevavault.com/ui/#object/approved_document__v/V5OZ025E82TPVZ3", "INA - Invitación y programa Simposio SEHH 2025")</f>
        <v>INA - Invitación y programa Simposio SEHH 2025</v>
      </c>
      <c r="C9031" s="3" t="str">
        <f>HYPERLINK("https://otsuka-europe-crm.veevavault.com/ui/#object/sent_email__v/VBLZ025E82H1JCY", "SE-000281184")</f>
        <v>SE-000281184</v>
      </c>
      <c r="D9031" s="1" t="s">
        <v>0</v>
      </c>
      <c r="E9031" s="2">
        <v>0</v>
      </c>
      <c r="F9031" s="2">
        <v>0</v>
      </c>
      <c r="G9031" s="2">
        <v>0</v>
      </c>
      <c r="H9031" s="1" t="s">
        <v>0</v>
      </c>
      <c r="I9031" s="2">
        <v>0</v>
      </c>
      <c r="J9031" s="1">
        <v>45926.487037037034</v>
      </c>
    </row>
    <row r="9032" spans="1:10" x14ac:dyDescent="0.2">
      <c r="A9032" s="4" t="s">
        <v>1</v>
      </c>
      <c r="B9032" s="3" t="str">
        <f>HYPERLINK("https://otsuka-europe-crm.veevavault.com/ui/#object/approved_document__v/V5OZ025E82TPVZ3", "INA - Invitación y programa Simposio SEHH 2025")</f>
        <v>INA - Invitación y programa Simposio SEHH 2025</v>
      </c>
      <c r="C9032" s="3" t="str">
        <f>HYPERLINK("https://otsuka-europe-crm.veevavault.com/ui/#object/sent_email__v/VBLZ025E82H1JCZ", "SE-000281185")</f>
        <v>SE-000281185</v>
      </c>
      <c r="D9032" s="1">
        <v>45926.533958333333</v>
      </c>
      <c r="E9032" s="2">
        <v>1</v>
      </c>
      <c r="F9032" s="2">
        <v>1</v>
      </c>
      <c r="G9032" s="2">
        <v>1</v>
      </c>
      <c r="H9032" s="1">
        <v>45926.533958333333</v>
      </c>
      <c r="I9032" s="2">
        <v>1</v>
      </c>
      <c r="J9032" s="1">
        <v>45926.48704861111</v>
      </c>
    </row>
    <row r="9033" spans="1:10" x14ac:dyDescent="0.2">
      <c r="A9033" s="4" t="s">
        <v>1</v>
      </c>
      <c r="B9033" s="3" t="str">
        <f>HYPERLINK("https://otsuka-europe-crm.veevavault.com/ui/#object/approved_document__v/V5OZ025E82TPVZ3", "INA - Invitación y programa Simposio SEHH 2025")</f>
        <v>INA - Invitación y programa Simposio SEHH 2025</v>
      </c>
      <c r="C9033" s="3" t="str">
        <f>HYPERLINK("https://otsuka-europe-crm.veevavault.com/ui/#object/sent_email__v/VBLZ025E82H1JD0", "SE-000281186")</f>
        <v>SE-000281186</v>
      </c>
      <c r="D9033" s="1" t="s">
        <v>0</v>
      </c>
      <c r="E9033" s="2">
        <v>0</v>
      </c>
      <c r="F9033" s="2">
        <v>0</v>
      </c>
      <c r="G9033" s="2">
        <v>0</v>
      </c>
      <c r="H9033" s="1" t="s">
        <v>0</v>
      </c>
      <c r="I9033" s="2">
        <v>0</v>
      </c>
      <c r="J9033" s="1">
        <v>45926.48704861111</v>
      </c>
    </row>
    <row r="9034" spans="1:10" x14ac:dyDescent="0.2">
      <c r="A9034" s="4" t="s">
        <v>1</v>
      </c>
      <c r="B9034" s="3" t="str">
        <f>HYPERLINK("https://otsuka-europe-crm.veevavault.com/ui/#object/approved_document__v/V5OZ025E82TPVZ3", "INA - Invitación y programa Simposio SEHH 2025")</f>
        <v>INA - Invitación y programa Simposio SEHH 2025</v>
      </c>
      <c r="C9034" s="3" t="str">
        <f>HYPERLINK("https://otsuka-europe-crm.veevavault.com/ui/#object/sent_email__v/VBLZ025E82H1JD1", "SE-000281187")</f>
        <v>SE-000281187</v>
      </c>
      <c r="D9034" s="1" t="s">
        <v>0</v>
      </c>
      <c r="E9034" s="2">
        <v>0</v>
      </c>
      <c r="F9034" s="2">
        <v>0</v>
      </c>
      <c r="G9034" s="2">
        <v>0</v>
      </c>
      <c r="H9034" s="1" t="s">
        <v>0</v>
      </c>
      <c r="I9034" s="2">
        <v>0</v>
      </c>
      <c r="J9034" s="1">
        <v>45926.487060185187</v>
      </c>
    </row>
    <row r="9035" spans="1:10" x14ac:dyDescent="0.2">
      <c r="A9035" s="4" t="s">
        <v>1</v>
      </c>
      <c r="B9035" s="3" t="str">
        <f>HYPERLINK("https://otsuka-europe-crm.veevavault.com/ui/#object/approved_document__v/V5OZ025E82TPVZ3", "INA - Invitación y programa Simposio SEHH 2025")</f>
        <v>INA - Invitación y programa Simposio SEHH 2025</v>
      </c>
      <c r="C9035" s="3" t="str">
        <f>HYPERLINK("https://otsuka-europe-crm.veevavault.com/ui/#object/sent_email__v/VBLZ025E82H1JD2", "SE-000281188")</f>
        <v>SE-000281188</v>
      </c>
      <c r="D9035" s="1" t="s">
        <v>0</v>
      </c>
      <c r="E9035" s="2">
        <v>0</v>
      </c>
      <c r="F9035" s="2">
        <v>0</v>
      </c>
      <c r="G9035" s="2">
        <v>0</v>
      </c>
      <c r="H9035" s="1" t="s">
        <v>0</v>
      </c>
      <c r="I9035" s="2">
        <v>0</v>
      </c>
      <c r="J9035" s="1">
        <v>45926.487071759257</v>
      </c>
    </row>
    <row r="9036" spans="1:10" x14ac:dyDescent="0.2">
      <c r="A9036" s="4" t="s">
        <v>1</v>
      </c>
      <c r="B9036" s="3" t="str">
        <f>HYPERLINK("https://otsuka-europe-crm.veevavault.com/ui/#object/approved_document__v/V5OZ025E82TPVZ3", "INA - Invitación y programa Simposio SEHH 2025")</f>
        <v>INA - Invitación y programa Simposio SEHH 2025</v>
      </c>
      <c r="C9036" s="3" t="str">
        <f>HYPERLINK("https://otsuka-europe-crm.veevavault.com/ui/#object/sent_email__v/VBLZ025E82H1JD3", "SE-000281189")</f>
        <v>SE-000281189</v>
      </c>
      <c r="D9036" s="1" t="s">
        <v>0</v>
      </c>
      <c r="E9036" s="2">
        <v>0</v>
      </c>
      <c r="F9036" s="2">
        <v>0</v>
      </c>
      <c r="G9036" s="2">
        <v>0</v>
      </c>
      <c r="H9036" s="1" t="s">
        <v>0</v>
      </c>
      <c r="I9036" s="2">
        <v>0</v>
      </c>
      <c r="J9036" s="1">
        <v>45926.487083333333</v>
      </c>
    </row>
    <row r="9037" spans="1:10" x14ac:dyDescent="0.2">
      <c r="A9037" s="4" t="s">
        <v>1</v>
      </c>
      <c r="B9037" s="3" t="str">
        <f>HYPERLINK("https://otsuka-europe-crm.veevavault.com/ui/#object/approved_document__v/V5OZ025E82TPVZ3", "INA - Invitación y programa Simposio SEHH 2025")</f>
        <v>INA - Invitación y programa Simposio SEHH 2025</v>
      </c>
      <c r="C9037" s="3" t="str">
        <f>HYPERLINK("https://otsuka-europe-crm.veevavault.com/ui/#object/sent_email__v/VBLZ025E82H1JD4", "SE-000281190")</f>
        <v>SE-000281190</v>
      </c>
      <c r="D9037" s="1" t="s">
        <v>0</v>
      </c>
      <c r="E9037" s="2">
        <v>0</v>
      </c>
      <c r="F9037" s="2">
        <v>0</v>
      </c>
      <c r="G9037" s="2">
        <v>0</v>
      </c>
      <c r="H9037" s="1" t="s">
        <v>0</v>
      </c>
      <c r="I9037" s="2">
        <v>0</v>
      </c>
      <c r="J9037" s="1">
        <v>45926.48709490741</v>
      </c>
    </row>
    <row r="9038" spans="1:10" x14ac:dyDescent="0.2">
      <c r="A9038" s="4" t="s">
        <v>1</v>
      </c>
      <c r="B9038" s="3" t="str">
        <f>HYPERLINK("https://otsuka-europe-crm.veevavault.com/ui/#object/approved_document__v/V5OZ025E82TPVZ3", "INA - Invitación y programa Simposio SEHH 2025")</f>
        <v>INA - Invitación y programa Simposio SEHH 2025</v>
      </c>
      <c r="C9038" s="3" t="str">
        <f>HYPERLINK("https://otsuka-europe-crm.veevavault.com/ui/#object/sent_email__v/VBLZ025E82H1JD5", "SE-000281191")</f>
        <v>SE-000281191</v>
      </c>
      <c r="D9038" s="1" t="s">
        <v>0</v>
      </c>
      <c r="E9038" s="2">
        <v>0</v>
      </c>
      <c r="F9038" s="2">
        <v>0</v>
      </c>
      <c r="G9038" s="2">
        <v>0</v>
      </c>
      <c r="H9038" s="1" t="s">
        <v>0</v>
      </c>
      <c r="I9038" s="2">
        <v>0</v>
      </c>
      <c r="J9038" s="1">
        <v>45926.48710648148</v>
      </c>
    </row>
    <row r="9039" spans="1:10" x14ac:dyDescent="0.2">
      <c r="A9039" s="4" t="s">
        <v>1</v>
      </c>
      <c r="B9039" s="3" t="str">
        <f>HYPERLINK("https://otsuka-europe-crm.veevavault.com/ui/#object/approved_document__v/V5OZ025E82TPVZ3", "INA - Invitación y programa Simposio SEHH 2025")</f>
        <v>INA - Invitación y programa Simposio SEHH 2025</v>
      </c>
      <c r="C9039" s="3" t="str">
        <f>HYPERLINK("https://otsuka-europe-crm.veevavault.com/ui/#object/sent_email__v/VBLZ025E82H1JD6", "SE-000281192")</f>
        <v>SE-000281192</v>
      </c>
      <c r="D9039" s="1" t="s">
        <v>0</v>
      </c>
      <c r="E9039" s="2">
        <v>0</v>
      </c>
      <c r="F9039" s="2">
        <v>0</v>
      </c>
      <c r="G9039" s="2">
        <v>0</v>
      </c>
      <c r="H9039" s="1" t="s">
        <v>0</v>
      </c>
      <c r="I9039" s="2">
        <v>0</v>
      </c>
      <c r="J9039" s="1">
        <v>45926.487118055556</v>
      </c>
    </row>
    <row r="9040" spans="1:10" x14ac:dyDescent="0.2">
      <c r="A9040" s="4" t="s">
        <v>1</v>
      </c>
      <c r="B9040" s="3" t="str">
        <f>HYPERLINK("https://otsuka-europe-crm.veevavault.com/ui/#object/approved_document__v/V5OZ025E82TPVZ3", "INA - Invitación y programa Simposio SEHH 2025")</f>
        <v>INA - Invitación y programa Simposio SEHH 2025</v>
      </c>
      <c r="C9040" s="3" t="str">
        <f>HYPERLINK("https://otsuka-europe-crm.veevavault.com/ui/#object/sent_email__v/VBLZ025E82H1JD7", "SE-000281193")</f>
        <v>SE-000281193</v>
      </c>
      <c r="D9040" s="1" t="s">
        <v>0</v>
      </c>
      <c r="E9040" s="2">
        <v>0</v>
      </c>
      <c r="F9040" s="2">
        <v>0</v>
      </c>
      <c r="G9040" s="2">
        <v>0</v>
      </c>
      <c r="H9040" s="1" t="s">
        <v>0</v>
      </c>
      <c r="I9040" s="2">
        <v>0</v>
      </c>
      <c r="J9040" s="1">
        <v>45926.487129629626</v>
      </c>
    </row>
    <row r="9041" spans="1:10" x14ac:dyDescent="0.2">
      <c r="A9041" s="4" t="s">
        <v>1</v>
      </c>
      <c r="B9041" s="3" t="str">
        <f>HYPERLINK("https://otsuka-europe-crm.veevavault.com/ui/#object/approved_document__v/V5OZ025E82TPVZ3", "INA - Invitación y programa Simposio SEHH 2025")</f>
        <v>INA - Invitación y programa Simposio SEHH 2025</v>
      </c>
      <c r="C9041" s="3" t="str">
        <f>HYPERLINK("https://otsuka-europe-crm.veevavault.com/ui/#object/sent_email__v/VBLZ025E82H1JD8", "SE-000281194")</f>
        <v>SE-000281194</v>
      </c>
      <c r="D9041" s="1" t="s">
        <v>0</v>
      </c>
      <c r="E9041" s="2">
        <v>0</v>
      </c>
      <c r="F9041" s="2">
        <v>0</v>
      </c>
      <c r="G9041" s="2">
        <v>0</v>
      </c>
      <c r="H9041" s="1" t="s">
        <v>0</v>
      </c>
      <c r="I9041" s="2">
        <v>0</v>
      </c>
      <c r="J9041" s="1">
        <v>45926.487141203703</v>
      </c>
    </row>
    <row r="9042" spans="1:10" x14ac:dyDescent="0.2">
      <c r="A9042" s="4" t="s">
        <v>1</v>
      </c>
      <c r="B9042" s="3" t="str">
        <f>HYPERLINK("https://otsuka-europe-crm.veevavault.com/ui/#object/approved_document__v/V5OZ025E82TPVZ3", "INA - Invitación y programa Simposio SEHH 2025")</f>
        <v>INA - Invitación y programa Simposio SEHH 2025</v>
      </c>
      <c r="C9042" s="3" t="str">
        <f>HYPERLINK("https://otsuka-europe-crm.veevavault.com/ui/#object/sent_email__v/VBLZ025E82H1JD9", "SE-000281195")</f>
        <v>SE-000281195</v>
      </c>
      <c r="D9042" s="1" t="s">
        <v>0</v>
      </c>
      <c r="E9042" s="2">
        <v>0</v>
      </c>
      <c r="F9042" s="2">
        <v>0</v>
      </c>
      <c r="G9042" s="2">
        <v>0</v>
      </c>
      <c r="H9042" s="1" t="s">
        <v>0</v>
      </c>
      <c r="I9042" s="2">
        <v>0</v>
      </c>
      <c r="J9042" s="1">
        <v>45926.487141203703</v>
      </c>
    </row>
    <row r="9043" spans="1:10" x14ac:dyDescent="0.2">
      <c r="A9043" s="4" t="s">
        <v>1</v>
      </c>
      <c r="B9043" s="3" t="str">
        <f>HYPERLINK("https://otsuka-europe-crm.veevavault.com/ui/#object/approved_document__v/V5OZ025E82TPVZ3", "INA - Invitación y programa Simposio SEHH 2025")</f>
        <v>INA - Invitación y programa Simposio SEHH 2025</v>
      </c>
      <c r="C9043" s="3" t="str">
        <f>HYPERLINK("https://otsuka-europe-crm.veevavault.com/ui/#object/sent_email__v/VBLZ025E82H1JDA", "SE-000281196")</f>
        <v>SE-000281196</v>
      </c>
      <c r="D9043" s="1" t="s">
        <v>0</v>
      </c>
      <c r="E9043" s="2">
        <v>0</v>
      </c>
      <c r="F9043" s="2">
        <v>0</v>
      </c>
      <c r="G9043" s="2">
        <v>0</v>
      </c>
      <c r="H9043" s="1" t="s">
        <v>0</v>
      </c>
      <c r="I9043" s="2">
        <v>0</v>
      </c>
      <c r="J9043" s="1">
        <v>45926.487164351849</v>
      </c>
    </row>
    <row r="9044" spans="1:10" x14ac:dyDescent="0.2">
      <c r="A9044" s="4" t="s">
        <v>1</v>
      </c>
      <c r="B9044" s="3" t="str">
        <f>HYPERLINK("https://otsuka-europe-crm.veevavault.com/ui/#object/approved_document__v/V5OZ025E82TPVZ3", "INA - Invitación y programa Simposio SEHH 2025")</f>
        <v>INA - Invitación y programa Simposio SEHH 2025</v>
      </c>
      <c r="C9044" s="3" t="str">
        <f>HYPERLINK("https://otsuka-europe-crm.veevavault.com/ui/#object/sent_email__v/VBLZ025E82H1JDB", "SE-000281197")</f>
        <v>SE-000281197</v>
      </c>
      <c r="D9044" s="1" t="s">
        <v>0</v>
      </c>
      <c r="E9044" s="2">
        <v>0</v>
      </c>
      <c r="F9044" s="2">
        <v>0</v>
      </c>
      <c r="G9044" s="2">
        <v>0</v>
      </c>
      <c r="H9044" s="1" t="s">
        <v>0</v>
      </c>
      <c r="I9044" s="2">
        <v>0</v>
      </c>
      <c r="J9044" s="1">
        <v>45926.487164351849</v>
      </c>
    </row>
    <row r="9045" spans="1:10" x14ac:dyDescent="0.2">
      <c r="A9045" s="4" t="s">
        <v>1</v>
      </c>
      <c r="B9045" s="3" t="str">
        <f>HYPERLINK("https://otsuka-europe-crm.veevavault.com/ui/#object/approved_document__v/V5OZ025E82TPVZ3", "INA - Invitación y programa Simposio SEHH 2025")</f>
        <v>INA - Invitación y programa Simposio SEHH 2025</v>
      </c>
      <c r="C9045" s="3" t="str">
        <f>HYPERLINK("https://otsuka-europe-crm.veevavault.com/ui/#object/sent_email__v/VBLZ025E82H1P21", "SE-000281242")</f>
        <v>SE-000281242</v>
      </c>
      <c r="D9045" s="1" t="s">
        <v>0</v>
      </c>
      <c r="E9045" s="2">
        <v>0</v>
      </c>
      <c r="F9045" s="2">
        <v>0</v>
      </c>
      <c r="G9045" s="2">
        <v>0</v>
      </c>
      <c r="H9045" s="1" t="s">
        <v>0</v>
      </c>
      <c r="I9045" s="2">
        <v>0</v>
      </c>
      <c r="J9045" s="1">
        <v>45926.519641203704</v>
      </c>
    </row>
    <row r="9046" spans="1:10" x14ac:dyDescent="0.2">
      <c r="A9046" s="4" t="s">
        <v>1</v>
      </c>
      <c r="B9046" s="3" t="str">
        <f>HYPERLINK("https://otsuka-europe-crm.veevavault.com/ui/#object/approved_document__v/V5OZ025E82TPVZ3", "INA - Invitación y programa Simposio SEHH 2025")</f>
        <v>INA - Invitación y programa Simposio SEHH 2025</v>
      </c>
      <c r="C9046" s="3" t="str">
        <f>HYPERLINK("https://otsuka-europe-crm.veevavault.com/ui/#object/sent_email__v/VBLZ025E82H1P22", "SE-000281243")</f>
        <v>SE-000281243</v>
      </c>
      <c r="D9046" s="1" t="s">
        <v>0</v>
      </c>
      <c r="E9046" s="2">
        <v>0</v>
      </c>
      <c r="F9046" s="2">
        <v>0</v>
      </c>
      <c r="G9046" s="2">
        <v>0</v>
      </c>
      <c r="H9046" s="1" t="s">
        <v>0</v>
      </c>
      <c r="I9046" s="2">
        <v>0</v>
      </c>
      <c r="J9046" s="1">
        <v>45926.519641203704</v>
      </c>
    </row>
    <row r="9047" spans="1:10" x14ac:dyDescent="0.2">
      <c r="A9047" s="4" t="s">
        <v>1</v>
      </c>
      <c r="B9047" s="3" t="str">
        <f>HYPERLINK("https://otsuka-europe-crm.veevavault.com/ui/#object/approved_document__v/V5OZ025E82TPVZ3", "INA - Invitación y programa Simposio SEHH 2025")</f>
        <v>INA - Invitación y programa Simposio SEHH 2025</v>
      </c>
      <c r="C9047" s="3" t="str">
        <f>HYPERLINK("https://otsuka-europe-crm.veevavault.com/ui/#object/sent_email__v/VBLZ025E82H1P23", "SE-000281244")</f>
        <v>SE-000281244</v>
      </c>
      <c r="D9047" s="1" t="s">
        <v>0</v>
      </c>
      <c r="E9047" s="2">
        <v>0</v>
      </c>
      <c r="F9047" s="2">
        <v>0</v>
      </c>
      <c r="G9047" s="2">
        <v>0</v>
      </c>
      <c r="H9047" s="1" t="s">
        <v>0</v>
      </c>
      <c r="I9047" s="2">
        <v>0</v>
      </c>
      <c r="J9047" s="1">
        <v>45926.519641203704</v>
      </c>
    </row>
    <row r="9048" spans="1:10" x14ac:dyDescent="0.2">
      <c r="A9048" s="4" t="s">
        <v>1</v>
      </c>
      <c r="B9048" s="3" t="str">
        <f>HYPERLINK("https://otsuka-europe-crm.veevavault.com/ui/#object/approved_document__v/V5OZ025E82TPVZ3", "INA - Invitación y programa Simposio SEHH 2025")</f>
        <v>INA - Invitación y programa Simposio SEHH 2025</v>
      </c>
      <c r="C9048" s="3" t="str">
        <f>HYPERLINK("https://otsuka-europe-crm.veevavault.com/ui/#object/sent_email__v/VBLZ025E82H1P24", "SE-000281245")</f>
        <v>SE-000281245</v>
      </c>
      <c r="D9048" s="1" t="s">
        <v>0</v>
      </c>
      <c r="E9048" s="2">
        <v>0</v>
      </c>
      <c r="F9048" s="2">
        <v>0</v>
      </c>
      <c r="G9048" s="2">
        <v>0</v>
      </c>
      <c r="H9048" s="1" t="s">
        <v>0</v>
      </c>
      <c r="I9048" s="2">
        <v>0</v>
      </c>
      <c r="J9048" s="1">
        <v>45926.519641203704</v>
      </c>
    </row>
    <row r="9049" spans="1:10" x14ac:dyDescent="0.2">
      <c r="A9049" s="4" t="s">
        <v>1</v>
      </c>
      <c r="B9049" s="3" t="str">
        <f>HYPERLINK("https://otsuka-europe-crm.veevavault.com/ui/#object/approved_document__v/V5OZ025E82TPVZ3", "INA - Invitación y programa Simposio SEHH 2025")</f>
        <v>INA - Invitación y programa Simposio SEHH 2025</v>
      </c>
      <c r="C9049" s="3" t="str">
        <f>HYPERLINK("https://otsuka-europe-crm.veevavault.com/ui/#object/sent_email__v/VBLZ025E82H1P25", "SE-000281246")</f>
        <v>SE-000281246</v>
      </c>
      <c r="D9049" s="1" t="s">
        <v>0</v>
      </c>
      <c r="E9049" s="2">
        <v>0</v>
      </c>
      <c r="F9049" s="2">
        <v>0</v>
      </c>
      <c r="G9049" s="2">
        <v>0</v>
      </c>
      <c r="H9049" s="1" t="s">
        <v>0</v>
      </c>
      <c r="I9049" s="2">
        <v>0</v>
      </c>
      <c r="J9049" s="1">
        <v>45926.51966435185</v>
      </c>
    </row>
    <row r="9050" spans="1:10" x14ac:dyDescent="0.2">
      <c r="A9050" s="4" t="s">
        <v>1</v>
      </c>
      <c r="B9050" s="3" t="str">
        <f>HYPERLINK("https://otsuka-europe-crm.veevavault.com/ui/#object/approved_document__v/V5OZ025E82TPVZ3", "INA - Invitación y programa Simposio SEHH 2025")</f>
        <v>INA - Invitación y programa Simposio SEHH 2025</v>
      </c>
      <c r="C9050" s="3" t="str">
        <f>HYPERLINK("https://otsuka-europe-crm.veevavault.com/ui/#object/sent_email__v/VBLZ025E82H1P26", "SE-000281247")</f>
        <v>SE-000281247</v>
      </c>
      <c r="D9050" s="1" t="s">
        <v>0</v>
      </c>
      <c r="E9050" s="2">
        <v>0</v>
      </c>
      <c r="F9050" s="2">
        <v>0</v>
      </c>
      <c r="G9050" s="2">
        <v>0</v>
      </c>
      <c r="H9050" s="1" t="s">
        <v>0</v>
      </c>
      <c r="I9050" s="2">
        <v>0</v>
      </c>
      <c r="J9050" s="1">
        <v>45926.51966435185</v>
      </c>
    </row>
    <row r="9051" spans="1:10" x14ac:dyDescent="0.2">
      <c r="A9051" s="4" t="s">
        <v>1</v>
      </c>
      <c r="B9051" s="3" t="str">
        <f>HYPERLINK("https://otsuka-europe-crm.veevavault.com/ui/#object/approved_document__v/V5OZ025E82TPVZ3", "INA - Invitación y programa Simposio SEHH 2025")</f>
        <v>INA - Invitación y programa Simposio SEHH 2025</v>
      </c>
      <c r="C9051" s="3" t="str">
        <f>HYPERLINK("https://otsuka-europe-crm.veevavault.com/ui/#object/sent_email__v/VBLZ025E82H1P27", "SE-000281248")</f>
        <v>SE-000281248</v>
      </c>
      <c r="D9051" s="1" t="s">
        <v>0</v>
      </c>
      <c r="E9051" s="2">
        <v>0</v>
      </c>
      <c r="F9051" s="2">
        <v>0</v>
      </c>
      <c r="G9051" s="2">
        <v>0</v>
      </c>
      <c r="H9051" s="1" t="s">
        <v>0</v>
      </c>
      <c r="I9051" s="2">
        <v>0</v>
      </c>
      <c r="J9051" s="1">
        <v>45926.519675925927</v>
      </c>
    </row>
    <row r="9052" spans="1:10" x14ac:dyDescent="0.2">
      <c r="A9052" s="4" t="s">
        <v>1</v>
      </c>
      <c r="B9052" s="3" t="str">
        <f>HYPERLINK("https://otsuka-europe-crm.veevavault.com/ui/#object/approved_document__v/V5OZ025E82TPVZ3", "INA - Invitación y programa Simposio SEHH 2025")</f>
        <v>INA - Invitación y programa Simposio SEHH 2025</v>
      </c>
      <c r="C9052" s="3" t="str">
        <f>HYPERLINK("https://otsuka-europe-crm.veevavault.com/ui/#object/sent_email__v/VBLZ025E82H1P28", "SE-000281249")</f>
        <v>SE-000281249</v>
      </c>
      <c r="D9052" s="1" t="s">
        <v>0</v>
      </c>
      <c r="E9052" s="2">
        <v>0</v>
      </c>
      <c r="F9052" s="2">
        <v>0</v>
      </c>
      <c r="G9052" s="2">
        <v>0</v>
      </c>
      <c r="H9052" s="1" t="s">
        <v>0</v>
      </c>
      <c r="I9052" s="2">
        <v>0</v>
      </c>
      <c r="J9052" s="1">
        <v>45926.519687499997</v>
      </c>
    </row>
    <row r="9053" spans="1:10" x14ac:dyDescent="0.2">
      <c r="A9053" s="4" t="s">
        <v>1</v>
      </c>
      <c r="B9053" s="3" t="str">
        <f>HYPERLINK("https://otsuka-europe-crm.veevavault.com/ui/#object/approved_document__v/V5OZ025E82TPVZ3", "INA - Invitación y programa Simposio SEHH 2025")</f>
        <v>INA - Invitación y programa Simposio SEHH 2025</v>
      </c>
      <c r="C9053" s="3" t="str">
        <f>HYPERLINK("https://otsuka-europe-crm.veevavault.com/ui/#object/sent_email__v/VBLZ025E82H1P29", "SE-000281250")</f>
        <v>SE-000281250</v>
      </c>
      <c r="D9053" s="1" t="s">
        <v>0</v>
      </c>
      <c r="E9053" s="2">
        <v>0</v>
      </c>
      <c r="F9053" s="2">
        <v>0</v>
      </c>
      <c r="G9053" s="2">
        <v>0</v>
      </c>
      <c r="H9053" s="1" t="s">
        <v>0</v>
      </c>
      <c r="I9053" s="2">
        <v>0</v>
      </c>
      <c r="J9053" s="1">
        <v>45926.519699074073</v>
      </c>
    </row>
    <row r="9054" spans="1:10" x14ac:dyDescent="0.2">
      <c r="A9054" s="4" t="s">
        <v>1</v>
      </c>
      <c r="B9054" s="3" t="str">
        <f>HYPERLINK("https://otsuka-europe-crm.veevavault.com/ui/#object/approved_document__v/V5OZ025E82TPVZ3", "INA - Invitación y programa Simposio SEHH 2025")</f>
        <v>INA - Invitación y programa Simposio SEHH 2025</v>
      </c>
      <c r="C9054" s="3" t="str">
        <f>HYPERLINK("https://otsuka-europe-crm.veevavault.com/ui/#object/sent_email__v/VBLZ025E82H1P2A", "SE-000281251")</f>
        <v>SE-000281251</v>
      </c>
      <c r="D9054" s="1" t="s">
        <v>0</v>
      </c>
      <c r="E9054" s="2">
        <v>0</v>
      </c>
      <c r="F9054" s="2">
        <v>0</v>
      </c>
      <c r="G9054" s="2">
        <v>0</v>
      </c>
      <c r="H9054" s="1" t="s">
        <v>0</v>
      </c>
      <c r="I9054" s="2">
        <v>0</v>
      </c>
      <c r="J9054" s="1">
        <v>45926.519699074073</v>
      </c>
    </row>
    <row r="9055" spans="1:10" x14ac:dyDescent="0.2">
      <c r="A9055" s="4" t="s">
        <v>1</v>
      </c>
      <c r="B9055" s="3" t="str">
        <f>HYPERLINK("https://otsuka-europe-crm.veevavault.com/ui/#object/approved_document__v/V5OZ025E82TPVZ3", "INA - Invitación y programa Simposio SEHH 2025")</f>
        <v>INA - Invitación y programa Simposio SEHH 2025</v>
      </c>
      <c r="C9055" s="3" t="str">
        <f>HYPERLINK("https://otsuka-europe-crm.veevavault.com/ui/#object/sent_email__v/VBLZ025E82H1P2B", "SE-000281252")</f>
        <v>SE-000281252</v>
      </c>
      <c r="D9055" s="1" t="s">
        <v>0</v>
      </c>
      <c r="E9055" s="2">
        <v>0</v>
      </c>
      <c r="F9055" s="2">
        <v>0</v>
      </c>
      <c r="G9055" s="2">
        <v>0</v>
      </c>
      <c r="H9055" s="1" t="s">
        <v>0</v>
      </c>
      <c r="I9055" s="2">
        <v>0</v>
      </c>
      <c r="J9055" s="1">
        <v>45926.51972222222</v>
      </c>
    </row>
    <row r="9056" spans="1:10" x14ac:dyDescent="0.2">
      <c r="A9056" s="4" t="s">
        <v>1</v>
      </c>
      <c r="B9056" s="3" t="str">
        <f>HYPERLINK("https://otsuka-europe-crm.veevavault.com/ui/#object/approved_document__v/V5OZ025E82TPVZ3", "INA - Invitación y programa Simposio SEHH 2025")</f>
        <v>INA - Invitación y programa Simposio SEHH 2025</v>
      </c>
      <c r="C9056" s="3" t="str">
        <f>HYPERLINK("https://otsuka-europe-crm.veevavault.com/ui/#object/sent_email__v/VBLZ025E82H1P2C", "SE-000281253")</f>
        <v>SE-000281253</v>
      </c>
      <c r="D9056" s="1" t="s">
        <v>0</v>
      </c>
      <c r="E9056" s="2">
        <v>0</v>
      </c>
      <c r="F9056" s="2">
        <v>0</v>
      </c>
      <c r="G9056" s="2">
        <v>0</v>
      </c>
      <c r="H9056" s="1" t="s">
        <v>0</v>
      </c>
      <c r="I9056" s="2">
        <v>0</v>
      </c>
      <c r="J9056" s="1">
        <v>45926.51972222222</v>
      </c>
    </row>
    <row r="9057" spans="1:10" x14ac:dyDescent="0.2">
      <c r="A9057" s="4" t="s">
        <v>1</v>
      </c>
      <c r="B9057" s="3" t="str">
        <f>HYPERLINK("https://otsuka-europe-crm.veevavault.com/ui/#object/approved_document__v/V5OZ025E82TPVZ3", "INA - Invitación y programa Simposio SEHH 2025")</f>
        <v>INA - Invitación y programa Simposio SEHH 2025</v>
      </c>
      <c r="C9057" s="3" t="str">
        <f>HYPERLINK("https://otsuka-europe-crm.veevavault.com/ui/#object/sent_email__v/VBLZ025E82H1P2D", "SE-000281254")</f>
        <v>SE-000281254</v>
      </c>
      <c r="D9057" s="1" t="s">
        <v>0</v>
      </c>
      <c r="E9057" s="2">
        <v>0</v>
      </c>
      <c r="F9057" s="2">
        <v>0</v>
      </c>
      <c r="G9057" s="2">
        <v>0</v>
      </c>
      <c r="H9057" s="1" t="s">
        <v>0</v>
      </c>
      <c r="I9057" s="2">
        <v>0</v>
      </c>
      <c r="J9057" s="1">
        <v>45926.519733796296</v>
      </c>
    </row>
    <row r="9058" spans="1:10" x14ac:dyDescent="0.2">
      <c r="A9058" s="4" t="s">
        <v>1</v>
      </c>
      <c r="B9058" s="3" t="str">
        <f>HYPERLINK("https://otsuka-europe-crm.veevavault.com/ui/#object/approved_document__v/V5OZ025E82TPVZ3", "INA - Invitación y programa Simposio SEHH 2025")</f>
        <v>INA - Invitación y programa Simposio SEHH 2025</v>
      </c>
      <c r="C9058" s="3" t="str">
        <f>HYPERLINK("https://otsuka-europe-crm.veevavault.com/ui/#object/sent_email__v/VBLZ025E82H1P2E", "SE-000281255")</f>
        <v>SE-000281255</v>
      </c>
      <c r="D9058" s="1" t="s">
        <v>0</v>
      </c>
      <c r="E9058" s="2">
        <v>0</v>
      </c>
      <c r="F9058" s="2">
        <v>0</v>
      </c>
      <c r="G9058" s="2">
        <v>0</v>
      </c>
      <c r="H9058" s="1" t="s">
        <v>0</v>
      </c>
      <c r="I9058" s="2">
        <v>0</v>
      </c>
      <c r="J9058" s="1">
        <v>45926.519745370373</v>
      </c>
    </row>
    <row r="9059" spans="1:10" x14ac:dyDescent="0.2">
      <c r="A9059" s="4" t="s">
        <v>1</v>
      </c>
      <c r="B9059" s="3" t="str">
        <f>HYPERLINK("https://otsuka-europe-crm.veevavault.com/ui/#object/approved_document__v/V5OZ025E82TPVZ3", "INA - Invitación y programa Simposio SEHH 2025")</f>
        <v>INA - Invitación y programa Simposio SEHH 2025</v>
      </c>
      <c r="C9059" s="3" t="str">
        <f>HYPERLINK("https://otsuka-europe-crm.veevavault.com/ui/#object/sent_email__v/VBLZ025E82H1P2F", "SE-000281256")</f>
        <v>SE-000281256</v>
      </c>
      <c r="D9059" s="1" t="s">
        <v>0</v>
      </c>
      <c r="E9059" s="2">
        <v>0</v>
      </c>
      <c r="F9059" s="2">
        <v>0</v>
      </c>
      <c r="G9059" s="2">
        <v>0</v>
      </c>
      <c r="H9059" s="1" t="s">
        <v>0</v>
      </c>
      <c r="I9059" s="2">
        <v>0</v>
      </c>
      <c r="J9059" s="1">
        <v>45926.519745370373</v>
      </c>
    </row>
    <row r="9060" spans="1:10" x14ac:dyDescent="0.2">
      <c r="A9060" s="4" t="s">
        <v>1</v>
      </c>
      <c r="B9060" s="3" t="str">
        <f>HYPERLINK("https://otsuka-europe-crm.veevavault.com/ui/#object/approved_document__v/V5OZ025E82TPVZ3", "INA - Invitación y programa Simposio SEHH 2025")</f>
        <v>INA - Invitación y programa Simposio SEHH 2025</v>
      </c>
      <c r="C9060" s="3" t="str">
        <f>HYPERLINK("https://otsuka-europe-crm.veevavault.com/ui/#object/sent_email__v/VBLZ025E82H1PAD", "SE-000281309")</f>
        <v>SE-000281309</v>
      </c>
      <c r="D9060" s="1" t="s">
        <v>0</v>
      </c>
      <c r="E9060" s="2">
        <v>0</v>
      </c>
      <c r="F9060" s="2">
        <v>0</v>
      </c>
      <c r="G9060" s="2">
        <v>0</v>
      </c>
      <c r="H9060" s="1" t="s">
        <v>0</v>
      </c>
      <c r="I9060" s="2">
        <v>0</v>
      </c>
      <c r="J9060" s="1">
        <v>45926.520787037036</v>
      </c>
    </row>
    <row r="9061" spans="1:10" x14ac:dyDescent="0.2">
      <c r="A9061" s="4" t="s">
        <v>1</v>
      </c>
      <c r="B9061" s="3" t="str">
        <f>HYPERLINK("https://otsuka-europe-crm.veevavault.com/ui/#object/approved_document__v/V5OZ025E82TPVZ3", "INA - Invitación y programa Simposio SEHH 2025")</f>
        <v>INA - Invitación y programa Simposio SEHH 2025</v>
      </c>
      <c r="C9061" s="3" t="str">
        <f>HYPERLINK("https://otsuka-europe-crm.veevavault.com/ui/#object/sent_email__v/VBLZ025E82H1PAE", "SE-000281310")</f>
        <v>SE-000281310</v>
      </c>
      <c r="D9061" s="1" t="s">
        <v>0</v>
      </c>
      <c r="E9061" s="2">
        <v>0</v>
      </c>
      <c r="F9061" s="2">
        <v>0</v>
      </c>
      <c r="G9061" s="2">
        <v>0</v>
      </c>
      <c r="H9061" s="1" t="s">
        <v>0</v>
      </c>
      <c r="I9061" s="2">
        <v>0</v>
      </c>
      <c r="J9061" s="1">
        <v>45926.520787037036</v>
      </c>
    </row>
    <row r="9062" spans="1:10" x14ac:dyDescent="0.2">
      <c r="A9062" s="4" t="s">
        <v>1</v>
      </c>
      <c r="B9062" s="3" t="str">
        <f>HYPERLINK("https://otsuka-europe-crm.veevavault.com/ui/#object/approved_document__v/V5OZ025E82TPVZ3", "INA - Invitación y programa Simposio SEHH 2025")</f>
        <v>INA - Invitación y programa Simposio SEHH 2025</v>
      </c>
      <c r="C9062" s="3" t="str">
        <f>HYPERLINK("https://otsuka-europe-crm.veevavault.com/ui/#object/sent_email__v/VBLZ025E82H1PAF", "SE-000281311")</f>
        <v>SE-000281311</v>
      </c>
      <c r="D9062" s="1" t="s">
        <v>0</v>
      </c>
      <c r="E9062" s="2">
        <v>0</v>
      </c>
      <c r="F9062" s="2">
        <v>0</v>
      </c>
      <c r="G9062" s="2">
        <v>0</v>
      </c>
      <c r="H9062" s="1" t="s">
        <v>0</v>
      </c>
      <c r="I9062" s="2">
        <v>0</v>
      </c>
      <c r="J9062" s="1">
        <v>45926.520798611113</v>
      </c>
    </row>
    <row r="9063" spans="1:10" x14ac:dyDescent="0.2">
      <c r="A9063" s="4" t="s">
        <v>1</v>
      </c>
      <c r="B9063" s="3" t="str">
        <f>HYPERLINK("https://otsuka-europe-crm.veevavault.com/ui/#object/approved_document__v/V5OZ025E82TPVZ3", "INA - Invitación y programa Simposio SEHH 2025")</f>
        <v>INA - Invitación y programa Simposio SEHH 2025</v>
      </c>
      <c r="C9063" s="3" t="str">
        <f>HYPERLINK("https://otsuka-europe-crm.veevavault.com/ui/#object/sent_email__v/VBLZ025E82H1PAG", "SE-000281312")</f>
        <v>SE-000281312</v>
      </c>
      <c r="D9063" s="1" t="s">
        <v>0</v>
      </c>
      <c r="E9063" s="2">
        <v>0</v>
      </c>
      <c r="F9063" s="2">
        <v>0</v>
      </c>
      <c r="G9063" s="2">
        <v>0</v>
      </c>
      <c r="H9063" s="1" t="s">
        <v>0</v>
      </c>
      <c r="I9063" s="2">
        <v>0</v>
      </c>
      <c r="J9063" s="1">
        <v>45926.520810185182</v>
      </c>
    </row>
    <row r="9064" spans="1:10" x14ac:dyDescent="0.2">
      <c r="A9064" s="4" t="s">
        <v>1</v>
      </c>
      <c r="B9064" s="3" t="str">
        <f>HYPERLINK("https://otsuka-europe-crm.veevavault.com/ui/#object/approved_document__v/V5OZ025E82TPVZ3", "INA - Invitación y programa Simposio SEHH 2025")</f>
        <v>INA - Invitación y programa Simposio SEHH 2025</v>
      </c>
      <c r="C9064" s="3" t="str">
        <f>HYPERLINK("https://otsuka-europe-crm.veevavault.com/ui/#object/sent_email__v/VBLZ025E82H1PAH", "SE-000281313")</f>
        <v>SE-000281313</v>
      </c>
      <c r="D9064" s="1" t="s">
        <v>0</v>
      </c>
      <c r="E9064" s="2">
        <v>0</v>
      </c>
      <c r="F9064" s="2">
        <v>0</v>
      </c>
      <c r="G9064" s="2">
        <v>0</v>
      </c>
      <c r="H9064" s="1" t="s">
        <v>0</v>
      </c>
      <c r="I9064" s="2">
        <v>0</v>
      </c>
      <c r="J9064" s="1">
        <v>45926.520821759259</v>
      </c>
    </row>
    <row r="9065" spans="1:10" x14ac:dyDescent="0.2">
      <c r="A9065" s="4" t="s">
        <v>1</v>
      </c>
      <c r="B9065" s="3" t="str">
        <f>HYPERLINK("https://otsuka-europe-crm.veevavault.com/ui/#object/approved_document__v/V5OZ025E82TPVZ3", "INA - Invitación y programa Simposio SEHH 2025")</f>
        <v>INA - Invitación y programa Simposio SEHH 2025</v>
      </c>
      <c r="C9065" s="3" t="str">
        <f>HYPERLINK("https://otsuka-europe-crm.veevavault.com/ui/#object/sent_email__v/VBLZ025E82H1PAI", "SE-000281314")</f>
        <v>SE-000281314</v>
      </c>
      <c r="D9065" s="1" t="s">
        <v>0</v>
      </c>
      <c r="E9065" s="2">
        <v>0</v>
      </c>
      <c r="F9065" s="2">
        <v>0</v>
      </c>
      <c r="G9065" s="2">
        <v>0</v>
      </c>
      <c r="H9065" s="1" t="s">
        <v>0</v>
      </c>
      <c r="I9065" s="2">
        <v>0</v>
      </c>
      <c r="J9065" s="1">
        <v>45926.520821759259</v>
      </c>
    </row>
    <row r="9066" spans="1:10" x14ac:dyDescent="0.2">
      <c r="A9066" s="4" t="s">
        <v>1</v>
      </c>
      <c r="B9066" s="3" t="str">
        <f>HYPERLINK("https://otsuka-europe-crm.veevavault.com/ui/#object/approved_document__v/V5OZ025E82TPVZ3", "INA - Invitación y programa Simposio SEHH 2025")</f>
        <v>INA - Invitación y programa Simposio SEHH 2025</v>
      </c>
      <c r="C9066" s="3" t="str">
        <f>HYPERLINK("https://otsuka-europe-crm.veevavault.com/ui/#object/sent_email__v/VBLZ025E82H1PAJ", "SE-000281315")</f>
        <v>SE-000281315</v>
      </c>
      <c r="D9066" s="1">
        <v>45995.418414351851</v>
      </c>
      <c r="E9066" s="2">
        <v>1</v>
      </c>
      <c r="F9066" s="2">
        <v>15</v>
      </c>
      <c r="G9066" s="2">
        <v>1</v>
      </c>
      <c r="H9066" s="1">
        <v>45973.586446759262</v>
      </c>
      <c r="I9066" s="2">
        <v>1</v>
      </c>
      <c r="J9066" s="1">
        <v>45926.520844907405</v>
      </c>
    </row>
    <row r="9067" spans="1:10" x14ac:dyDescent="0.2">
      <c r="A9067" s="4" t="s">
        <v>1</v>
      </c>
      <c r="B9067" s="3" t="str">
        <f>HYPERLINK("https://otsuka-europe-crm.veevavault.com/ui/#object/approved_document__v/V5OZ025E82TPVZ3", "INA - Invitación y programa Simposio SEHH 2025")</f>
        <v>INA - Invitación y programa Simposio SEHH 2025</v>
      </c>
      <c r="C9067" s="3" t="str">
        <f>HYPERLINK("https://otsuka-europe-crm.veevavault.com/ui/#object/sent_email__v/VBLZ025E82H1PAK", "SE-000281316")</f>
        <v>SE-000281316</v>
      </c>
      <c r="D9067" s="1" t="s">
        <v>0</v>
      </c>
      <c r="E9067" s="2">
        <v>0</v>
      </c>
      <c r="F9067" s="2">
        <v>0</v>
      </c>
      <c r="G9067" s="2">
        <v>0</v>
      </c>
      <c r="H9067" s="1" t="s">
        <v>0</v>
      </c>
      <c r="I9067" s="2">
        <v>0</v>
      </c>
      <c r="J9067" s="1">
        <v>45926.520844907405</v>
      </c>
    </row>
    <row r="9068" spans="1:10" x14ac:dyDescent="0.2">
      <c r="A9068" s="4" t="s">
        <v>1</v>
      </c>
      <c r="B9068" s="3" t="str">
        <f>HYPERLINK("https://otsuka-europe-crm.veevavault.com/ui/#object/approved_document__v/V5OZ025E82TPVZ3", "INA - Invitación y programa Simposio SEHH 2025")</f>
        <v>INA - Invitación y programa Simposio SEHH 2025</v>
      </c>
      <c r="C9068" s="3" t="str">
        <f>HYPERLINK("https://otsuka-europe-crm.veevavault.com/ui/#object/sent_email__v/VBLZ025E82H1PAL", "SE-000281317")</f>
        <v>SE-000281317</v>
      </c>
      <c r="D9068" s="1" t="s">
        <v>0</v>
      </c>
      <c r="E9068" s="2">
        <v>0</v>
      </c>
      <c r="F9068" s="2">
        <v>0</v>
      </c>
      <c r="G9068" s="2">
        <v>0</v>
      </c>
      <c r="H9068" s="1" t="s">
        <v>0</v>
      </c>
      <c r="I9068" s="2">
        <v>0</v>
      </c>
      <c r="J9068" s="1">
        <v>45926.520856481482</v>
      </c>
    </row>
    <row r="9069" spans="1:10" x14ac:dyDescent="0.2">
      <c r="A9069" s="4" t="s">
        <v>1</v>
      </c>
      <c r="B9069" s="3" t="str">
        <f>HYPERLINK("https://otsuka-europe-crm.veevavault.com/ui/#object/approved_document__v/V5OZ025E82TPVZ3", "INA - Invitación y programa Simposio SEHH 2025")</f>
        <v>INA - Invitación y programa Simposio SEHH 2025</v>
      </c>
      <c r="C9069" s="3" t="str">
        <f>HYPERLINK("https://otsuka-europe-crm.veevavault.com/ui/#object/sent_email__v/VBLZ025E82H1PAM", "SE-000281318")</f>
        <v>SE-000281318</v>
      </c>
      <c r="D9069" s="1" t="s">
        <v>0</v>
      </c>
      <c r="E9069" s="2">
        <v>0</v>
      </c>
      <c r="F9069" s="2">
        <v>0</v>
      </c>
      <c r="G9069" s="2">
        <v>0</v>
      </c>
      <c r="H9069" s="1" t="s">
        <v>0</v>
      </c>
      <c r="I9069" s="2">
        <v>0</v>
      </c>
      <c r="J9069" s="1">
        <v>45926.520868055559</v>
      </c>
    </row>
    <row r="9070" spans="1:10" x14ac:dyDescent="0.2">
      <c r="A9070" s="4" t="s">
        <v>1</v>
      </c>
      <c r="B9070" s="3" t="str">
        <f>HYPERLINK("https://otsuka-europe-crm.veevavault.com/ui/#object/approved_document__v/V5OZ025E82TPVZ3", "INA - Invitación y programa Simposio SEHH 2025")</f>
        <v>INA - Invitación y programa Simposio SEHH 2025</v>
      </c>
      <c r="C9070" s="3" t="str">
        <f>HYPERLINK("https://otsuka-europe-crm.veevavault.com/ui/#object/sent_email__v/VBLZ025E82H1PAN", "SE-000281319")</f>
        <v>SE-000281319</v>
      </c>
      <c r="D9070" s="1" t="s">
        <v>0</v>
      </c>
      <c r="E9070" s="2">
        <v>0</v>
      </c>
      <c r="F9070" s="2">
        <v>0</v>
      </c>
      <c r="G9070" s="2">
        <v>0</v>
      </c>
      <c r="H9070" s="1" t="s">
        <v>0</v>
      </c>
      <c r="I9070" s="2">
        <v>0</v>
      </c>
      <c r="J9070" s="1">
        <v>45926.520879629628</v>
      </c>
    </row>
    <row r="9071" spans="1:10" x14ac:dyDescent="0.2">
      <c r="A9071" s="4" t="s">
        <v>1</v>
      </c>
      <c r="B9071" s="3" t="str">
        <f>HYPERLINK("https://otsuka-europe-crm.veevavault.com/ui/#object/approved_document__v/V5OZ025E82TPVZ3", "INA - Invitación y programa Simposio SEHH 2025")</f>
        <v>INA - Invitación y programa Simposio SEHH 2025</v>
      </c>
      <c r="C9071" s="3" t="str">
        <f>HYPERLINK("https://otsuka-europe-crm.veevavault.com/ui/#object/sent_email__v/VBLZ025E82H1PAO", "SE-000281320")</f>
        <v>SE-000281320</v>
      </c>
      <c r="D9071" s="1" t="s">
        <v>0</v>
      </c>
      <c r="E9071" s="2">
        <v>0</v>
      </c>
      <c r="F9071" s="2">
        <v>0</v>
      </c>
      <c r="G9071" s="2">
        <v>0</v>
      </c>
      <c r="H9071" s="1" t="s">
        <v>0</v>
      </c>
      <c r="I9071" s="2">
        <v>0</v>
      </c>
      <c r="J9071" s="1">
        <v>45926.520891203705</v>
      </c>
    </row>
    <row r="9072" spans="1:10" x14ac:dyDescent="0.2">
      <c r="A9072" s="4" t="s">
        <v>1</v>
      </c>
      <c r="B9072" s="3" t="str">
        <f>HYPERLINK("https://otsuka-europe-crm.veevavault.com/ui/#object/approved_document__v/V5OZ025E82TPVZ3", "INA - Invitación y programa Simposio SEHH 2025")</f>
        <v>INA - Invitación y programa Simposio SEHH 2025</v>
      </c>
      <c r="C9072" s="3" t="str">
        <f>HYPERLINK("https://otsuka-europe-crm.veevavault.com/ui/#object/sent_email__v/VBLZ025E82H1PAP", "SE-000281321")</f>
        <v>SE-000281321</v>
      </c>
      <c r="D9072" s="1" t="s">
        <v>0</v>
      </c>
      <c r="E9072" s="2">
        <v>0</v>
      </c>
      <c r="F9072" s="2">
        <v>0</v>
      </c>
      <c r="G9072" s="2">
        <v>0</v>
      </c>
      <c r="H9072" s="1" t="s">
        <v>0</v>
      </c>
      <c r="I9072" s="2">
        <v>0</v>
      </c>
      <c r="J9072" s="1">
        <v>45926.520902777775</v>
      </c>
    </row>
    <row r="9073" spans="1:10" x14ac:dyDescent="0.2">
      <c r="A9073" s="4" t="s">
        <v>1</v>
      </c>
      <c r="B9073" s="3" t="str">
        <f>HYPERLINK("https://otsuka-europe-crm.veevavault.com/ui/#object/approved_document__v/V5OZ025E82TPVZ3", "INA - Invitación y programa Simposio SEHH 2025")</f>
        <v>INA - Invitación y programa Simposio SEHH 2025</v>
      </c>
      <c r="C9073" s="3" t="str">
        <f>HYPERLINK("https://otsuka-europe-crm.veevavault.com/ui/#object/sent_email__v/VBLZ025E82H1PAQ", "SE-000281322")</f>
        <v>SE-000281322</v>
      </c>
      <c r="D9073" s="1" t="s">
        <v>0</v>
      </c>
      <c r="E9073" s="2">
        <v>0</v>
      </c>
      <c r="F9073" s="2">
        <v>0</v>
      </c>
      <c r="G9073" s="2">
        <v>0</v>
      </c>
      <c r="H9073" s="1" t="s">
        <v>0</v>
      </c>
      <c r="I9073" s="2">
        <v>0</v>
      </c>
      <c r="J9073" s="1">
        <v>45926.520914351851</v>
      </c>
    </row>
    <row r="9074" spans="1:10" x14ac:dyDescent="0.2">
      <c r="A9074" s="4" t="s">
        <v>1</v>
      </c>
      <c r="B9074" s="3" t="str">
        <f>HYPERLINK("https://otsuka-europe-crm.veevavault.com/ui/#object/approved_document__v/V5OZ025E82TPVZ3", "INA - Invitación y programa Simposio SEHH 2025")</f>
        <v>INA - Invitación y programa Simposio SEHH 2025</v>
      </c>
      <c r="C9074" s="3" t="str">
        <f>HYPERLINK("https://otsuka-europe-crm.veevavault.com/ui/#object/sent_email__v/VBLZ025E82H1PAR", "SE-000281323")</f>
        <v>SE-000281323</v>
      </c>
      <c r="D9074" s="1" t="s">
        <v>0</v>
      </c>
      <c r="E9074" s="2">
        <v>0</v>
      </c>
      <c r="F9074" s="2">
        <v>0</v>
      </c>
      <c r="G9074" s="2">
        <v>0</v>
      </c>
      <c r="H9074" s="1" t="s">
        <v>0</v>
      </c>
      <c r="I9074" s="2">
        <v>0</v>
      </c>
      <c r="J9074" s="1">
        <v>45926.520925925928</v>
      </c>
    </row>
    <row r="9075" spans="1:10" x14ac:dyDescent="0.2">
      <c r="A9075" s="4" t="s">
        <v>1</v>
      </c>
      <c r="B9075" s="3" t="str">
        <f>HYPERLINK("https://otsuka-europe-crm.veevavault.com/ui/#object/approved_document__v/V5OZ025E82TPVZ3", "INA - Invitación y programa Simposio SEHH 2025")</f>
        <v>INA - Invitación y programa Simposio SEHH 2025</v>
      </c>
      <c r="C9075" s="3" t="str">
        <f>HYPERLINK("https://otsuka-europe-crm.veevavault.com/ui/#object/sent_email__v/VBLZ025E82H1PAS", "SE-000281324")</f>
        <v>SE-000281324</v>
      </c>
      <c r="D9075" s="1" t="s">
        <v>0</v>
      </c>
      <c r="E9075" s="2">
        <v>0</v>
      </c>
      <c r="F9075" s="2">
        <v>0</v>
      </c>
      <c r="G9075" s="2">
        <v>0</v>
      </c>
      <c r="H9075" s="1" t="s">
        <v>0</v>
      </c>
      <c r="I9075" s="2">
        <v>0</v>
      </c>
      <c r="J9075" s="1">
        <v>45926.520937499998</v>
      </c>
    </row>
    <row r="9076" spans="1:10" x14ac:dyDescent="0.2">
      <c r="A9076" s="4" t="s">
        <v>1</v>
      </c>
      <c r="B9076" s="3" t="str">
        <f>HYPERLINK("https://otsuka-europe-crm.veevavault.com/ui/#object/approved_document__v/V5OZ025E82TPVZ3", "INA - Invitación y programa Simposio SEHH 2025")</f>
        <v>INA - Invitación y programa Simposio SEHH 2025</v>
      </c>
      <c r="C9076" s="3" t="str">
        <f>HYPERLINK("https://otsuka-europe-crm.veevavault.com/ui/#object/sent_email__v/VBLZ025E82H1PAT", "SE-000281325")</f>
        <v>SE-000281325</v>
      </c>
      <c r="D9076" s="1" t="s">
        <v>0</v>
      </c>
      <c r="E9076" s="2">
        <v>0</v>
      </c>
      <c r="F9076" s="2">
        <v>0</v>
      </c>
      <c r="G9076" s="2">
        <v>0</v>
      </c>
      <c r="H9076" s="1" t="s">
        <v>0</v>
      </c>
      <c r="I9076" s="2">
        <v>0</v>
      </c>
      <c r="J9076" s="1">
        <v>45926.520937499998</v>
      </c>
    </row>
    <row r="9077" spans="1:10" x14ac:dyDescent="0.2">
      <c r="A9077" s="4" t="s">
        <v>1</v>
      </c>
      <c r="B9077" s="3" t="str">
        <f>HYPERLINK("https://otsuka-europe-crm.veevavault.com/ui/#object/approved_document__v/V5OZ025E82TPVZ3", "INA - Invitación y programa Simposio SEHH 2025")</f>
        <v>INA - Invitación y programa Simposio SEHH 2025</v>
      </c>
      <c r="C9077" s="3" t="str">
        <f>HYPERLINK("https://otsuka-europe-crm.veevavault.com/ui/#object/sent_email__v/VBLZ025E82H1PAU", "SE-000281326")</f>
        <v>SE-000281326</v>
      </c>
      <c r="D9077" s="1" t="s">
        <v>0</v>
      </c>
      <c r="E9077" s="2">
        <v>0</v>
      </c>
      <c r="F9077" s="2">
        <v>0</v>
      </c>
      <c r="G9077" s="2">
        <v>0</v>
      </c>
      <c r="H9077" s="1" t="s">
        <v>0</v>
      </c>
      <c r="I9077" s="2">
        <v>0</v>
      </c>
      <c r="J9077" s="1">
        <v>45926.520949074074</v>
      </c>
    </row>
    <row r="9078" spans="1:10" x14ac:dyDescent="0.2">
      <c r="A9078" s="4" t="s">
        <v>1</v>
      </c>
      <c r="B9078" s="3" t="str">
        <f>HYPERLINK("https://otsuka-europe-crm.veevavault.com/ui/#object/approved_document__v/V5OZ025E82TPVZ3", "INA - Invitación y programa Simposio SEHH 2025")</f>
        <v>INA - Invitación y programa Simposio SEHH 2025</v>
      </c>
      <c r="C9078" s="3" t="str">
        <f>HYPERLINK("https://otsuka-europe-crm.veevavault.com/ui/#object/sent_email__v/VBLZ025E82H1PAV", "SE-000281327")</f>
        <v>SE-000281327</v>
      </c>
      <c r="D9078" s="1" t="s">
        <v>0</v>
      </c>
      <c r="E9078" s="2">
        <v>0</v>
      </c>
      <c r="F9078" s="2">
        <v>0</v>
      </c>
      <c r="G9078" s="2">
        <v>0</v>
      </c>
      <c r="H9078" s="1" t="s">
        <v>0</v>
      </c>
      <c r="I9078" s="2">
        <v>0</v>
      </c>
      <c r="J9078" s="1">
        <v>45926.520960648151</v>
      </c>
    </row>
    <row r="9079" spans="1:10" x14ac:dyDescent="0.2">
      <c r="A9079" s="4" t="s">
        <v>1</v>
      </c>
      <c r="B9079" s="3" t="str">
        <f>HYPERLINK("https://otsuka-europe-crm.veevavault.com/ui/#object/approved_document__v/V5OZ025E82TPVZ3", "INA - Invitación y programa Simposio SEHH 2025")</f>
        <v>INA - Invitación y programa Simposio SEHH 2025</v>
      </c>
      <c r="C9079" s="3" t="str">
        <f>HYPERLINK("https://otsuka-europe-crm.veevavault.com/ui/#object/sent_email__v/VBLZ025E82H1PAW", "SE-000281328")</f>
        <v>SE-000281328</v>
      </c>
      <c r="D9079" s="1" t="s">
        <v>0</v>
      </c>
      <c r="E9079" s="2">
        <v>0</v>
      </c>
      <c r="F9079" s="2">
        <v>0</v>
      </c>
      <c r="G9079" s="2">
        <v>0</v>
      </c>
      <c r="H9079" s="1" t="s">
        <v>0</v>
      </c>
      <c r="I9079" s="2">
        <v>0</v>
      </c>
      <c r="J9079" s="1">
        <v>45926.520972222221</v>
      </c>
    </row>
    <row r="9080" spans="1:10" x14ac:dyDescent="0.2">
      <c r="A9080" s="4" t="s">
        <v>1</v>
      </c>
      <c r="B9080" s="3" t="str">
        <f>HYPERLINK("https://otsuka-europe-crm.veevavault.com/ui/#object/approved_document__v/V5OZ025E82TPVZ3", "INA - Invitación y programa Simposio SEHH 2025")</f>
        <v>INA - Invitación y programa Simposio SEHH 2025</v>
      </c>
      <c r="C9080" s="3" t="str">
        <f>HYPERLINK("https://otsuka-europe-crm.veevavault.com/ui/#object/sent_email__v/VBLZ025E82H1PAX", "SE-000281329")</f>
        <v>SE-000281329</v>
      </c>
      <c r="D9080" s="1" t="s">
        <v>0</v>
      </c>
      <c r="E9080" s="2">
        <v>0</v>
      </c>
      <c r="F9080" s="2">
        <v>0</v>
      </c>
      <c r="G9080" s="2">
        <v>0</v>
      </c>
      <c r="H9080" s="1" t="s">
        <v>0</v>
      </c>
      <c r="I9080" s="2">
        <v>0</v>
      </c>
      <c r="J9080" s="1">
        <v>45926.520983796298</v>
      </c>
    </row>
    <row r="9081" spans="1:10" x14ac:dyDescent="0.2">
      <c r="A9081" s="4" t="s">
        <v>1</v>
      </c>
      <c r="B9081" s="3" t="str">
        <f>HYPERLINK("https://otsuka-europe-crm.veevavault.com/ui/#object/approved_document__v/V5OZ025E82TPVZ3", "INA - Invitación y programa Simposio SEHH 2025")</f>
        <v>INA - Invitación y programa Simposio SEHH 2025</v>
      </c>
      <c r="C9081" s="3" t="str">
        <f>HYPERLINK("https://otsuka-europe-crm.veevavault.com/ui/#object/sent_email__v/VBLZ025E82H1PAY", "SE-000281330")</f>
        <v>SE-000281330</v>
      </c>
      <c r="D9081" s="1">
        <v>45936.608576388891</v>
      </c>
      <c r="E9081" s="2">
        <v>1</v>
      </c>
      <c r="F9081" s="2">
        <v>1</v>
      </c>
      <c r="G9081" s="2">
        <v>0</v>
      </c>
      <c r="H9081" s="1" t="s">
        <v>0</v>
      </c>
      <c r="I9081" s="2">
        <v>0</v>
      </c>
      <c r="J9081" s="1">
        <v>45926.520983796298</v>
      </c>
    </row>
    <row r="9082" spans="1:10" x14ac:dyDescent="0.2">
      <c r="A9082" s="4" t="s">
        <v>1</v>
      </c>
      <c r="B9082" s="3" t="str">
        <f>HYPERLINK("https://otsuka-europe-crm.veevavault.com/ui/#object/approved_document__v/V5OZ025E82TPVZ3", "INA - Invitación y programa Simposio SEHH 2025")</f>
        <v>INA - Invitación y programa Simposio SEHH 2025</v>
      </c>
      <c r="C9082" s="3" t="str">
        <f>HYPERLINK("https://otsuka-europe-crm.veevavault.com/ui/#object/sent_email__v/VBLZ025E82H1PAZ", "SE-000281331")</f>
        <v>SE-000281331</v>
      </c>
      <c r="D9082" s="1" t="s">
        <v>0</v>
      </c>
      <c r="E9082" s="2">
        <v>0</v>
      </c>
      <c r="F9082" s="2">
        <v>0</v>
      </c>
      <c r="G9082" s="2">
        <v>0</v>
      </c>
      <c r="H9082" s="1" t="s">
        <v>0</v>
      </c>
      <c r="I9082" s="2">
        <v>0</v>
      </c>
      <c r="J9082" s="1">
        <v>45926.521006944444</v>
      </c>
    </row>
    <row r="9083" spans="1:10" x14ac:dyDescent="0.2">
      <c r="A9083" s="4" t="s">
        <v>1</v>
      </c>
      <c r="B9083" s="3" t="str">
        <f>HYPERLINK("https://otsuka-europe-crm.veevavault.com/ui/#object/approved_document__v/V5OZ025E82TPVZ3", "INA - Invitación y programa Simposio SEHH 2025")</f>
        <v>INA - Invitación y programa Simposio SEHH 2025</v>
      </c>
      <c r="C9083" s="3" t="str">
        <f>HYPERLINK("https://otsuka-europe-crm.veevavault.com/ui/#object/sent_email__v/VBLZ025E82H1PB0", "SE-000281332")</f>
        <v>SE-000281332</v>
      </c>
      <c r="D9083" s="1" t="s">
        <v>0</v>
      </c>
      <c r="E9083" s="2">
        <v>0</v>
      </c>
      <c r="F9083" s="2">
        <v>0</v>
      </c>
      <c r="G9083" s="2">
        <v>0</v>
      </c>
      <c r="H9083" s="1" t="s">
        <v>0</v>
      </c>
      <c r="I9083" s="2">
        <v>0</v>
      </c>
      <c r="J9083" s="1">
        <v>45926.521006944444</v>
      </c>
    </row>
    <row r="9084" spans="1:10" x14ac:dyDescent="0.2">
      <c r="A9084" s="4" t="s">
        <v>1</v>
      </c>
      <c r="B9084" s="3" t="str">
        <f>HYPERLINK("https://otsuka-europe-crm.veevavault.com/ui/#object/approved_document__v/V5OZ025E82TPVZ3", "INA - Invitación y programa Simposio SEHH 2025")</f>
        <v>INA - Invitación y programa Simposio SEHH 2025</v>
      </c>
      <c r="C9084" s="3" t="str">
        <f>HYPERLINK("https://otsuka-europe-crm.veevavault.com/ui/#object/sent_email__v/VBLZ025E82H1PB1", "SE-000281333")</f>
        <v>SE-000281333</v>
      </c>
      <c r="D9084" s="1" t="s">
        <v>0</v>
      </c>
      <c r="E9084" s="2">
        <v>0</v>
      </c>
      <c r="F9084" s="2">
        <v>0</v>
      </c>
      <c r="G9084" s="2">
        <v>0</v>
      </c>
      <c r="H9084" s="1" t="s">
        <v>0</v>
      </c>
      <c r="I9084" s="2">
        <v>0</v>
      </c>
      <c r="J9084" s="1">
        <v>45926.521018518521</v>
      </c>
    </row>
    <row r="9085" spans="1:10" x14ac:dyDescent="0.2">
      <c r="A9085" s="4" t="s">
        <v>1</v>
      </c>
      <c r="B9085" s="3" t="str">
        <f>HYPERLINK("https://otsuka-europe-crm.veevavault.com/ui/#object/approved_document__v/V5OZ025E82TPVZ3", "INA - Invitación y programa Simposio SEHH 2025")</f>
        <v>INA - Invitación y programa Simposio SEHH 2025</v>
      </c>
      <c r="C9085" s="3" t="str">
        <f>HYPERLINK("https://otsuka-europe-crm.veevavault.com/ui/#object/sent_email__v/VBLZ025E82H1PB2", "SE-000281334")</f>
        <v>SE-000281334</v>
      </c>
      <c r="D9085" s="1" t="s">
        <v>0</v>
      </c>
      <c r="E9085" s="2">
        <v>0</v>
      </c>
      <c r="F9085" s="2">
        <v>0</v>
      </c>
      <c r="G9085" s="2">
        <v>0</v>
      </c>
      <c r="H9085" s="1" t="s">
        <v>0</v>
      </c>
      <c r="I9085" s="2">
        <v>0</v>
      </c>
      <c r="J9085" s="1">
        <v>45926.52103009259</v>
      </c>
    </row>
    <row r="9086" spans="1:10" x14ac:dyDescent="0.2">
      <c r="A9086" s="4" t="s">
        <v>1</v>
      </c>
      <c r="B9086" s="3" t="str">
        <f>HYPERLINK("https://otsuka-europe-crm.veevavault.com/ui/#object/approved_document__v/V5OZ025E82TPVZ3", "INA - Invitación y programa Simposio SEHH 2025")</f>
        <v>INA - Invitación y programa Simposio SEHH 2025</v>
      </c>
      <c r="C9086" s="3" t="str">
        <f>HYPERLINK("https://otsuka-europe-crm.veevavault.com/ui/#object/sent_email__v/VBLZ025E82H1PB3", "SE-000281335")</f>
        <v>SE-000281335</v>
      </c>
      <c r="D9086" s="1" t="s">
        <v>0</v>
      </c>
      <c r="E9086" s="2">
        <v>0</v>
      </c>
      <c r="F9086" s="2">
        <v>0</v>
      </c>
      <c r="G9086" s="2">
        <v>0</v>
      </c>
      <c r="H9086" s="1" t="s">
        <v>0</v>
      </c>
      <c r="I9086" s="2">
        <v>0</v>
      </c>
      <c r="J9086" s="1">
        <v>45926.521053240744</v>
      </c>
    </row>
    <row r="9087" spans="1:10" x14ac:dyDescent="0.2">
      <c r="A9087" s="4" t="s">
        <v>1</v>
      </c>
      <c r="B9087" s="3" t="str">
        <f>HYPERLINK("https://otsuka-europe-crm.veevavault.com/ui/#object/approved_document__v/V5OZ025E82TPVZ3", "INA - Invitación y programa Simposio SEHH 2025")</f>
        <v>INA - Invitación y programa Simposio SEHH 2025</v>
      </c>
      <c r="C9087" s="3" t="str">
        <f>HYPERLINK("https://otsuka-europe-crm.veevavault.com/ui/#object/sent_email__v/VBLZ025E82H1PB4", "SE-000281336")</f>
        <v>SE-000281336</v>
      </c>
      <c r="D9087" s="1" t="s">
        <v>0</v>
      </c>
      <c r="E9087" s="2">
        <v>0</v>
      </c>
      <c r="F9087" s="2">
        <v>0</v>
      </c>
      <c r="G9087" s="2">
        <v>0</v>
      </c>
      <c r="H9087" s="1" t="s">
        <v>0</v>
      </c>
      <c r="I9087" s="2">
        <v>0</v>
      </c>
      <c r="J9087" s="1">
        <v>45926.521053240744</v>
      </c>
    </row>
    <row r="9088" spans="1:10" x14ac:dyDescent="0.2">
      <c r="A9088" s="4" t="s">
        <v>1</v>
      </c>
      <c r="B9088" s="3" t="str">
        <f>HYPERLINK("https://otsuka-europe-crm.veevavault.com/ui/#object/approved_document__v/V5OZ025E82TPVZ3", "INA - Invitación y programa Simposio SEHH 2025")</f>
        <v>INA - Invitación y programa Simposio SEHH 2025</v>
      </c>
      <c r="C9088" s="3" t="str">
        <f>HYPERLINK("https://otsuka-europe-crm.veevavault.com/ui/#object/sent_email__v/VBLZ025E82H1PB5", "SE-000281337")</f>
        <v>SE-000281337</v>
      </c>
      <c r="D9088" s="1" t="s">
        <v>0</v>
      </c>
      <c r="E9088" s="2">
        <v>0</v>
      </c>
      <c r="F9088" s="2">
        <v>0</v>
      </c>
      <c r="G9088" s="2">
        <v>0</v>
      </c>
      <c r="H9088" s="1" t="s">
        <v>0</v>
      </c>
      <c r="I9088" s="2">
        <v>0</v>
      </c>
      <c r="J9088" s="1">
        <v>45926.521064814813</v>
      </c>
    </row>
    <row r="9089" spans="1:10" x14ac:dyDescent="0.2">
      <c r="A9089" s="4" t="s">
        <v>1</v>
      </c>
      <c r="B9089" s="3" t="str">
        <f>HYPERLINK("https://otsuka-europe-crm.veevavault.com/ui/#object/approved_document__v/V5OZ025E82TPVZ3", "INA - Invitación y programa Simposio SEHH 2025")</f>
        <v>INA - Invitación y programa Simposio SEHH 2025</v>
      </c>
      <c r="C9089" s="3" t="str">
        <f>HYPERLINK("https://otsuka-europe-crm.veevavault.com/ui/#object/sent_email__v/VBLZ025E82H1PB6", "SE-000281338")</f>
        <v>SE-000281338</v>
      </c>
      <c r="D9089" s="1" t="s">
        <v>0</v>
      </c>
      <c r="E9089" s="2">
        <v>0</v>
      </c>
      <c r="F9089" s="2">
        <v>0</v>
      </c>
      <c r="G9089" s="2">
        <v>0</v>
      </c>
      <c r="H9089" s="1" t="s">
        <v>0</v>
      </c>
      <c r="I9089" s="2">
        <v>0</v>
      </c>
      <c r="J9089" s="1">
        <v>45926.521064814813</v>
      </c>
    </row>
    <row r="9090" spans="1:10" x14ac:dyDescent="0.2">
      <c r="A9090" s="4" t="s">
        <v>1</v>
      </c>
      <c r="B9090" s="3" t="str">
        <f>HYPERLINK("https://otsuka-europe-crm.veevavault.com/ui/#object/approved_document__v/V5OZ025E82TPVZ3", "INA - Invitación y programa Simposio SEHH 2025")</f>
        <v>INA - Invitación y programa Simposio SEHH 2025</v>
      </c>
      <c r="C9090" s="3" t="str">
        <f>HYPERLINK("https://otsuka-europe-crm.veevavault.com/ui/#object/sent_email__v/VBLZ025E82H1PB7", "SE-000281339")</f>
        <v>SE-000281339</v>
      </c>
      <c r="D9090" s="1" t="s">
        <v>0</v>
      </c>
      <c r="E9090" s="2">
        <v>0</v>
      </c>
      <c r="F9090" s="2">
        <v>0</v>
      </c>
      <c r="G9090" s="2">
        <v>0</v>
      </c>
      <c r="H9090" s="1" t="s">
        <v>0</v>
      </c>
      <c r="I9090" s="2">
        <v>0</v>
      </c>
      <c r="J9090" s="1">
        <v>45926.52107638889</v>
      </c>
    </row>
    <row r="9091" spans="1:10" x14ac:dyDescent="0.2">
      <c r="A9091" s="4" t="s">
        <v>1</v>
      </c>
      <c r="B9091" s="3" t="str">
        <f>HYPERLINK("https://otsuka-europe-crm.veevavault.com/ui/#object/approved_document__v/V5OZ025E82TPVZ3", "INA - Invitación y programa Simposio SEHH 2025")</f>
        <v>INA - Invitación y programa Simposio SEHH 2025</v>
      </c>
      <c r="C9091" s="3" t="str">
        <f>HYPERLINK("https://otsuka-europe-crm.veevavault.com/ui/#object/sent_email__v/VBLZ025E82H1PB8", "SE-000281340")</f>
        <v>SE-000281340</v>
      </c>
      <c r="D9091" s="1" t="s">
        <v>0</v>
      </c>
      <c r="E9091" s="2">
        <v>0</v>
      </c>
      <c r="F9091" s="2">
        <v>0</v>
      </c>
      <c r="G9091" s="2">
        <v>0</v>
      </c>
      <c r="H9091" s="1" t="s">
        <v>0</v>
      </c>
      <c r="I9091" s="2">
        <v>0</v>
      </c>
      <c r="J9091" s="1">
        <v>45926.521087962959</v>
      </c>
    </row>
    <row r="9092" spans="1:10" x14ac:dyDescent="0.2">
      <c r="A9092" s="4" t="s">
        <v>1</v>
      </c>
      <c r="B9092" s="3" t="str">
        <f>HYPERLINK("https://otsuka-europe-crm.veevavault.com/ui/#object/approved_document__v/V5OZ025E82TPVZ3", "INA - Invitación y programa Simposio SEHH 2025")</f>
        <v>INA - Invitación y programa Simposio SEHH 2025</v>
      </c>
      <c r="C9092" s="3" t="str">
        <f>HYPERLINK("https://otsuka-europe-crm.veevavault.com/ui/#object/sent_email__v/VBLZ025E82H1PB9", "SE-000281341")</f>
        <v>SE-000281341</v>
      </c>
      <c r="D9092" s="1" t="s">
        <v>0</v>
      </c>
      <c r="E9092" s="2">
        <v>0</v>
      </c>
      <c r="F9092" s="2">
        <v>0</v>
      </c>
      <c r="G9092" s="2">
        <v>0</v>
      </c>
      <c r="H9092" s="1" t="s">
        <v>0</v>
      </c>
      <c r="I9092" s="2">
        <v>0</v>
      </c>
      <c r="J9092" s="1">
        <v>45926.521099537036</v>
      </c>
    </row>
    <row r="9093" spans="1:10" x14ac:dyDescent="0.2">
      <c r="A9093" s="4" t="s">
        <v>1</v>
      </c>
      <c r="B9093" s="3" t="str">
        <f>HYPERLINK("https://otsuka-europe-crm.veevavault.com/ui/#object/approved_document__v/V5OZ025E82TPVZ3", "INA - Invitación y programa Simposio SEHH 2025")</f>
        <v>INA - Invitación y programa Simposio SEHH 2025</v>
      </c>
      <c r="C9093" s="3" t="str">
        <f>HYPERLINK("https://otsuka-europe-crm.veevavault.com/ui/#object/sent_email__v/VBLZ025E82H1PBA", "SE-000281342")</f>
        <v>SE-000281342</v>
      </c>
      <c r="D9093" s="1" t="s">
        <v>0</v>
      </c>
      <c r="E9093" s="2">
        <v>0</v>
      </c>
      <c r="F9093" s="2">
        <v>0</v>
      </c>
      <c r="G9093" s="2">
        <v>0</v>
      </c>
      <c r="H9093" s="1" t="s">
        <v>0</v>
      </c>
      <c r="I9093" s="2">
        <v>0</v>
      </c>
      <c r="J9093" s="1">
        <v>45926.521111111113</v>
      </c>
    </row>
    <row r="9094" spans="1:10" x14ac:dyDescent="0.2">
      <c r="A9094" s="4" t="s">
        <v>1</v>
      </c>
      <c r="B9094" s="3" t="str">
        <f>HYPERLINK("https://otsuka-europe-crm.veevavault.com/ui/#object/approved_document__v/V5OZ025E82TPVZ3", "INA - Invitación y programa Simposio SEHH 2025")</f>
        <v>INA - Invitación y programa Simposio SEHH 2025</v>
      </c>
      <c r="C9094" s="3" t="str">
        <f>HYPERLINK("https://otsuka-europe-crm.veevavault.com/ui/#object/sent_email__v/VBLZ025E82H1PBB", "SE-000281343")</f>
        <v>SE-000281343</v>
      </c>
      <c r="D9094" s="1" t="s">
        <v>0</v>
      </c>
      <c r="E9094" s="2">
        <v>0</v>
      </c>
      <c r="F9094" s="2">
        <v>0</v>
      </c>
      <c r="G9094" s="2">
        <v>0</v>
      </c>
      <c r="H9094" s="1" t="s">
        <v>0</v>
      </c>
      <c r="I9094" s="2">
        <v>0</v>
      </c>
      <c r="J9094" s="1">
        <v>45926.521122685182</v>
      </c>
    </row>
    <row r="9095" spans="1:10" x14ac:dyDescent="0.2">
      <c r="A9095" s="4" t="s">
        <v>1</v>
      </c>
      <c r="B9095" s="3" t="str">
        <f>HYPERLINK("https://otsuka-europe-crm.veevavault.com/ui/#object/approved_document__v/V5OZ025E82TPVZ3", "INA - Invitación y programa Simposio SEHH 2025")</f>
        <v>INA - Invitación y programa Simposio SEHH 2025</v>
      </c>
      <c r="C9095" s="3" t="str">
        <f>HYPERLINK("https://otsuka-europe-crm.veevavault.com/ui/#object/sent_email__v/VBLZ025E82H1PBC", "SE-000281344")</f>
        <v>SE-000281344</v>
      </c>
      <c r="D9095" s="1">
        <v>45974.667893518519</v>
      </c>
      <c r="E9095" s="2">
        <v>1</v>
      </c>
      <c r="F9095" s="2">
        <v>10</v>
      </c>
      <c r="G9095" s="2">
        <v>1</v>
      </c>
      <c r="H9095" s="1">
        <v>45974.668344907404</v>
      </c>
      <c r="I9095" s="2">
        <v>1</v>
      </c>
      <c r="J9095" s="1">
        <v>45926.521122685182</v>
      </c>
    </row>
    <row r="9096" spans="1:10" x14ac:dyDescent="0.2">
      <c r="A9096" s="4" t="s">
        <v>1</v>
      </c>
      <c r="B9096" s="3" t="str">
        <f>HYPERLINK("https://otsuka-europe-crm.veevavault.com/ui/#object/approved_document__v/V5OZ025E82TPVZ3", "INA - Invitación y programa Simposio SEHH 2025")</f>
        <v>INA - Invitación y programa Simposio SEHH 2025</v>
      </c>
      <c r="C9096" s="3" t="str">
        <f>HYPERLINK("https://otsuka-europe-crm.veevavault.com/ui/#object/sent_email__v/VBLZ025E82H1PBD", "SE-000281345")</f>
        <v>SE-000281345</v>
      </c>
      <c r="D9096" s="1" t="s">
        <v>0</v>
      </c>
      <c r="E9096" s="2">
        <v>0</v>
      </c>
      <c r="F9096" s="2">
        <v>0</v>
      </c>
      <c r="G9096" s="2">
        <v>0</v>
      </c>
      <c r="H9096" s="1" t="s">
        <v>0</v>
      </c>
      <c r="I9096" s="2">
        <v>0</v>
      </c>
      <c r="J9096" s="1">
        <v>45926.521145833336</v>
      </c>
    </row>
    <row r="9097" spans="1:10" x14ac:dyDescent="0.2">
      <c r="A9097" s="4" t="s">
        <v>1</v>
      </c>
      <c r="B9097" s="3" t="str">
        <f>HYPERLINK("https://otsuka-europe-crm.veevavault.com/ui/#object/approved_document__v/V5OZ025E82TPVZ3", "INA - Invitación y programa Simposio SEHH 2025")</f>
        <v>INA - Invitación y programa Simposio SEHH 2025</v>
      </c>
      <c r="C9097" s="3" t="str">
        <f>HYPERLINK("https://otsuka-europe-crm.veevavault.com/ui/#object/sent_email__v/VBLZ025E82H4ECT", "SE-000281734")</f>
        <v>SE-000281734</v>
      </c>
      <c r="D9097" s="1">
        <v>45930.394143518519</v>
      </c>
      <c r="E9097" s="2">
        <v>1</v>
      </c>
      <c r="F9097" s="2">
        <v>2</v>
      </c>
      <c r="G9097" s="2">
        <v>0</v>
      </c>
      <c r="H9097" s="1" t="s">
        <v>0</v>
      </c>
      <c r="I9097" s="2">
        <v>0</v>
      </c>
      <c r="J9097" s="1">
        <v>45930.356805555559</v>
      </c>
    </row>
    <row r="9098" spans="1:10" x14ac:dyDescent="0.2">
      <c r="A9098" s="4" t="s">
        <v>1</v>
      </c>
      <c r="B9098" s="3" t="str">
        <f>HYPERLINK("https://otsuka-europe-crm.veevavault.com/ui/#object/approved_document__v/V5OZ025E82TPVZ3", "INA - Invitación y programa Simposio SEHH 2025")</f>
        <v>INA - Invitación y programa Simposio SEHH 2025</v>
      </c>
      <c r="C9098" s="3" t="str">
        <f>HYPERLINK("https://otsuka-europe-crm.veevavault.com/ui/#object/sent_email__v/VBLZ025E82H4FA5", "SE-000281745")</f>
        <v>SE-000281745</v>
      </c>
      <c r="D9098" s="1" t="s">
        <v>0</v>
      </c>
      <c r="E9098" s="2">
        <v>0</v>
      </c>
      <c r="F9098" s="2">
        <v>0</v>
      </c>
      <c r="G9098" s="2">
        <v>0</v>
      </c>
      <c r="H9098" s="1" t="s">
        <v>0</v>
      </c>
      <c r="I9098" s="2">
        <v>0</v>
      </c>
      <c r="J9098" s="1">
        <v>45930.358449074076</v>
      </c>
    </row>
    <row r="9099" spans="1:10" x14ac:dyDescent="0.2">
      <c r="A9099" s="4" t="s">
        <v>1</v>
      </c>
      <c r="B9099" s="3" t="str">
        <f>HYPERLINK("https://otsuka-europe-crm.veevavault.com/ui/#object/approved_document__v/V5OZ025E82TPVZ3", "INA - Invitación y programa Simposio SEHH 2025")</f>
        <v>INA - Invitación y programa Simposio SEHH 2025</v>
      </c>
      <c r="C9099" s="3" t="str">
        <f>HYPERLINK("https://otsuka-europe-crm.veevavault.com/ui/#object/sent_email__v/VBLZ025E82H4FTL", "SE-000281751")</f>
        <v>SE-000281751</v>
      </c>
      <c r="D9099" s="1">
        <v>45930.392650462964</v>
      </c>
      <c r="E9099" s="2">
        <v>1</v>
      </c>
      <c r="F9099" s="2">
        <v>1</v>
      </c>
      <c r="G9099" s="2">
        <v>1</v>
      </c>
      <c r="H9099" s="1">
        <v>45930.392650462964</v>
      </c>
      <c r="I9099" s="2">
        <v>1</v>
      </c>
      <c r="J9099" s="1">
        <v>45930.363067129627</v>
      </c>
    </row>
    <row r="9100" spans="1:10" x14ac:dyDescent="0.2">
      <c r="A9100" s="4" t="s">
        <v>1</v>
      </c>
      <c r="B9100" s="3" t="str">
        <f>HYPERLINK("https://otsuka-europe-crm.veevavault.com/ui/#object/approved_document__v/V5OZ025E82TPVZ3", "INA - Invitación y programa Simposio SEHH 2025")</f>
        <v>INA - Invitación y programa Simposio SEHH 2025</v>
      </c>
      <c r="C9100" s="3" t="str">
        <f>HYPERLINK("https://otsuka-europe-crm.veevavault.com/ui/#object/sent_email__v/VBLZ025E82H4WSP", "SE-000281937")</f>
        <v>SE-000281937</v>
      </c>
      <c r="D9100" s="1" t="s">
        <v>0</v>
      </c>
      <c r="E9100" s="2">
        <v>0</v>
      </c>
      <c r="F9100" s="2">
        <v>0</v>
      </c>
      <c r="G9100" s="2">
        <v>0</v>
      </c>
      <c r="H9100" s="1" t="s">
        <v>0</v>
      </c>
      <c r="I9100" s="2">
        <v>0</v>
      </c>
      <c r="J9100" s="1">
        <v>45930.491030092591</v>
      </c>
    </row>
    <row r="9101" spans="1:10" x14ac:dyDescent="0.2">
      <c r="A9101" s="4" t="s">
        <v>1</v>
      </c>
      <c r="B9101" s="3" t="str">
        <f>HYPERLINK("https://otsuka-europe-crm.veevavault.com/ui/#object/approved_document__v/V5OZ025E82TPVZ3", "INA - Invitación y programa Simposio SEHH 2025")</f>
        <v>INA - Invitación y programa Simposio SEHH 2025</v>
      </c>
      <c r="C9101" s="3" t="str">
        <f>HYPERLINK("https://otsuka-europe-crm.veevavault.com/ui/#object/sent_email__v/VBLZ025E82H4WSQ", "SE-000281938")</f>
        <v>SE-000281938</v>
      </c>
      <c r="D9101" s="1" t="s">
        <v>0</v>
      </c>
      <c r="E9101" s="2">
        <v>0</v>
      </c>
      <c r="F9101" s="2">
        <v>0</v>
      </c>
      <c r="G9101" s="2">
        <v>0</v>
      </c>
      <c r="H9101" s="1" t="s">
        <v>0</v>
      </c>
      <c r="I9101" s="2">
        <v>0</v>
      </c>
      <c r="J9101" s="1">
        <v>45930.491064814814</v>
      </c>
    </row>
    <row r="9102" spans="1:10" x14ac:dyDescent="0.2">
      <c r="A9102" s="4" t="s">
        <v>1</v>
      </c>
      <c r="B9102" s="3" t="str">
        <f>HYPERLINK("https://otsuka-europe-crm.veevavault.com/ui/#object/approved_document__v/V5OZ025E82TPVZ3", "INA - Invitación y programa Simposio SEHH 2025")</f>
        <v>INA - Invitación y programa Simposio SEHH 2025</v>
      </c>
      <c r="C9102" s="3" t="str">
        <f>HYPERLINK("https://otsuka-europe-crm.veevavault.com/ui/#object/sent_email__v/VBLZ025E82H4WSR", "SE-000281939")</f>
        <v>SE-000281939</v>
      </c>
      <c r="D9102" s="1" t="s">
        <v>0</v>
      </c>
      <c r="E9102" s="2">
        <v>0</v>
      </c>
      <c r="F9102" s="2">
        <v>0</v>
      </c>
      <c r="G9102" s="2">
        <v>0</v>
      </c>
      <c r="H9102" s="1" t="s">
        <v>0</v>
      </c>
      <c r="I9102" s="2">
        <v>0</v>
      </c>
      <c r="J9102" s="1">
        <v>45930.491076388891</v>
      </c>
    </row>
    <row r="9103" spans="1:10" x14ac:dyDescent="0.2">
      <c r="A9103" s="4" t="s">
        <v>1</v>
      </c>
      <c r="B9103" s="3" t="str">
        <f>HYPERLINK("https://otsuka-europe-crm.veevavault.com/ui/#object/approved_document__v/V5OZ025E82TPVZ3", "INA - Invitación y programa Simposio SEHH 2025")</f>
        <v>INA - Invitación y programa Simposio SEHH 2025</v>
      </c>
      <c r="C9103" s="3" t="str">
        <f>HYPERLINK("https://otsuka-europe-crm.veevavault.com/ui/#object/sent_email__v/VBLZ025E82H4WSS", "SE-000281940")</f>
        <v>SE-000281940</v>
      </c>
      <c r="D9103" s="1" t="s">
        <v>0</v>
      </c>
      <c r="E9103" s="2">
        <v>0</v>
      </c>
      <c r="F9103" s="2">
        <v>0</v>
      </c>
      <c r="G9103" s="2">
        <v>0</v>
      </c>
      <c r="H9103" s="1" t="s">
        <v>0</v>
      </c>
      <c r="I9103" s="2">
        <v>0</v>
      </c>
      <c r="J9103" s="1">
        <v>45930.491053240738</v>
      </c>
    </row>
    <row r="9104" spans="1:10" x14ac:dyDescent="0.2">
      <c r="A9104" s="4" t="s">
        <v>1</v>
      </c>
      <c r="B9104" s="3" t="str">
        <f>HYPERLINK("https://otsuka-europe-crm.veevavault.com/ui/#object/approved_document__v/V5OZ025E82TPVZ3", "INA - Invitación y programa Simposio SEHH 2025")</f>
        <v>INA - Invitación y programa Simposio SEHH 2025</v>
      </c>
      <c r="C9104" s="3" t="str">
        <f>HYPERLINK("https://otsuka-europe-crm.veevavault.com/ui/#object/sent_email__v/VBLZ025E82H4WST", "SE-000281941")</f>
        <v>SE-000281941</v>
      </c>
      <c r="D9104" s="1" t="s">
        <v>0</v>
      </c>
      <c r="E9104" s="2">
        <v>0</v>
      </c>
      <c r="F9104" s="2">
        <v>0</v>
      </c>
      <c r="G9104" s="2">
        <v>0</v>
      </c>
      <c r="H9104" s="1" t="s">
        <v>0</v>
      </c>
      <c r="I9104" s="2">
        <v>0</v>
      </c>
      <c r="J9104" s="1">
        <v>45930.491087962961</v>
      </c>
    </row>
    <row r="9105" spans="1:10" x14ac:dyDescent="0.2">
      <c r="A9105" s="4" t="s">
        <v>1</v>
      </c>
      <c r="B9105" s="3" t="str">
        <f>HYPERLINK("https://otsuka-europe-crm.veevavault.com/ui/#object/approved_document__v/V5OZ025E82TPVZ3", "INA - Invitación y programa Simposio SEHH 2025")</f>
        <v>INA - Invitación y programa Simposio SEHH 2025</v>
      </c>
      <c r="C9105" s="3" t="str">
        <f>HYPERLINK("https://otsuka-europe-crm.veevavault.com/ui/#object/sent_email__v/VBLZ025E82H4WSU", "SE-000281942")</f>
        <v>SE-000281942</v>
      </c>
      <c r="D9105" s="1" t="s">
        <v>0</v>
      </c>
      <c r="E9105" s="2">
        <v>0</v>
      </c>
      <c r="F9105" s="2">
        <v>0</v>
      </c>
      <c r="G9105" s="2">
        <v>0</v>
      </c>
      <c r="H9105" s="1" t="s">
        <v>0</v>
      </c>
      <c r="I9105" s="2">
        <v>0</v>
      </c>
      <c r="J9105" s="1">
        <v>45930.490995370368</v>
      </c>
    </row>
    <row r="9106" spans="1:10" x14ac:dyDescent="0.2">
      <c r="A9106" s="4" t="s">
        <v>1</v>
      </c>
      <c r="B9106" s="3" t="str">
        <f>HYPERLINK("https://otsuka-europe-crm.veevavault.com/ui/#object/approved_document__v/V5OZ025E82TPVZ3", "INA - Invitación y programa Simposio SEHH 2025")</f>
        <v>INA - Invitación y programa Simposio SEHH 2025</v>
      </c>
      <c r="C9106" s="3" t="str">
        <f>HYPERLINK("https://otsuka-europe-crm.veevavault.com/ui/#object/sent_email__v/VBLZ025E82H4WSV", "SE-000281943")</f>
        <v>SE-000281943</v>
      </c>
      <c r="D9106" s="1" t="s">
        <v>0</v>
      </c>
      <c r="E9106" s="2">
        <v>0</v>
      </c>
      <c r="F9106" s="2">
        <v>0</v>
      </c>
      <c r="G9106" s="2">
        <v>0</v>
      </c>
      <c r="H9106" s="1" t="s">
        <v>0</v>
      </c>
      <c r="I9106" s="2">
        <v>0</v>
      </c>
      <c r="J9106" s="1">
        <v>45930.491053240738</v>
      </c>
    </row>
    <row r="9107" spans="1:10" x14ac:dyDescent="0.2">
      <c r="A9107" s="4" t="s">
        <v>1</v>
      </c>
      <c r="B9107" s="3" t="str">
        <f>HYPERLINK("https://otsuka-europe-crm.veevavault.com/ui/#object/approved_document__v/V5OZ025E82TPVZ3", "INA - Invitación y programa Simposio SEHH 2025")</f>
        <v>INA - Invitación y programa Simposio SEHH 2025</v>
      </c>
      <c r="C9107" s="3" t="str">
        <f>HYPERLINK("https://otsuka-europe-crm.veevavault.com/ui/#object/sent_email__v/VBLZ025E82H4WSW", "SE-000281944")</f>
        <v>SE-000281944</v>
      </c>
      <c r="D9107" s="1" t="s">
        <v>0</v>
      </c>
      <c r="E9107" s="2">
        <v>0</v>
      </c>
      <c r="F9107" s="2">
        <v>0</v>
      </c>
      <c r="G9107" s="2">
        <v>0</v>
      </c>
      <c r="H9107" s="1" t="s">
        <v>0</v>
      </c>
      <c r="I9107" s="2">
        <v>0</v>
      </c>
      <c r="J9107" s="1">
        <v>45930.491041666668</v>
      </c>
    </row>
    <row r="9108" spans="1:10" x14ac:dyDescent="0.2">
      <c r="A9108" s="4" t="s">
        <v>1</v>
      </c>
      <c r="B9108" s="3" t="str">
        <f>HYPERLINK("https://otsuka-europe-crm.veevavault.com/ui/#object/approved_document__v/V5OZ025E82TPVZ3", "INA - Invitación y programa Simposio SEHH 2025")</f>
        <v>INA - Invitación y programa Simposio SEHH 2025</v>
      </c>
      <c r="C9108" s="3" t="str">
        <f>HYPERLINK("https://otsuka-europe-crm.veevavault.com/ui/#object/sent_email__v/VBLZ025E82H4WSX", "SE-000281945")</f>
        <v>SE-000281945</v>
      </c>
      <c r="D9108" s="1">
        <v>45933.584120370368</v>
      </c>
      <c r="E9108" s="2">
        <v>1</v>
      </c>
      <c r="F9108" s="2">
        <v>1</v>
      </c>
      <c r="G9108" s="2">
        <v>1</v>
      </c>
      <c r="H9108" s="1">
        <v>45933.584178240744</v>
      </c>
      <c r="I9108" s="2">
        <v>2</v>
      </c>
      <c r="J9108" s="1">
        <v>45930.491041666668</v>
      </c>
    </row>
    <row r="9109" spans="1:10" x14ac:dyDescent="0.2">
      <c r="A9109" s="4" t="s">
        <v>1</v>
      </c>
      <c r="B9109" s="3" t="str">
        <f>HYPERLINK("https://otsuka-europe-crm.veevavault.com/ui/#object/approved_document__v/V5OZ025E82TPVZ3", "INA - Invitación y programa Simposio SEHH 2025")</f>
        <v>INA - Invitación y programa Simposio SEHH 2025</v>
      </c>
      <c r="C9109" s="3" t="str">
        <f>HYPERLINK("https://otsuka-europe-crm.veevavault.com/ui/#object/sent_email__v/VBLZ025E82H4WSY", "SE-000281946")</f>
        <v>SE-000281946</v>
      </c>
      <c r="D9109" s="1" t="s">
        <v>0</v>
      </c>
      <c r="E9109" s="2">
        <v>0</v>
      </c>
      <c r="F9109" s="2">
        <v>0</v>
      </c>
      <c r="G9109" s="2">
        <v>0</v>
      </c>
      <c r="H9109" s="1" t="s">
        <v>0</v>
      </c>
      <c r="I9109" s="2">
        <v>0</v>
      </c>
      <c r="J9109" s="1">
        <v>45930.490937499999</v>
      </c>
    </row>
    <row r="9110" spans="1:10" x14ac:dyDescent="0.2">
      <c r="A9110" s="4" t="s">
        <v>1</v>
      </c>
      <c r="B9110" s="3" t="str">
        <f>HYPERLINK("https://otsuka-europe-crm.veevavault.com/ui/#object/approved_document__v/V5OZ025E82TPVZ3", "INA - Invitación y programa Simposio SEHH 2025")</f>
        <v>INA - Invitación y programa Simposio SEHH 2025</v>
      </c>
      <c r="C9110" s="3" t="str">
        <f>HYPERLINK("https://otsuka-europe-crm.veevavault.com/ui/#object/sent_email__v/VBLZ025E82H4WSZ", "SE-000281947")</f>
        <v>SE-000281947</v>
      </c>
      <c r="D9110" s="1" t="s">
        <v>0</v>
      </c>
      <c r="E9110" s="2">
        <v>0</v>
      </c>
      <c r="F9110" s="2">
        <v>0</v>
      </c>
      <c r="G9110" s="2">
        <v>0</v>
      </c>
      <c r="H9110" s="1" t="s">
        <v>0</v>
      </c>
      <c r="I9110" s="2">
        <v>0</v>
      </c>
      <c r="J9110" s="1">
        <v>45930.490937499999</v>
      </c>
    </row>
    <row r="9111" spans="1:10" x14ac:dyDescent="0.2">
      <c r="A9111" s="4" t="s">
        <v>1</v>
      </c>
      <c r="B9111" s="3" t="str">
        <f>HYPERLINK("https://otsuka-europe-crm.veevavault.com/ui/#object/approved_document__v/V5OZ025E82TPVZ3", "INA - Invitación y programa Simposio SEHH 2025")</f>
        <v>INA - Invitación y programa Simposio SEHH 2025</v>
      </c>
      <c r="C9111" s="3" t="str">
        <f>HYPERLINK("https://otsuka-europe-crm.veevavault.com/ui/#object/sent_email__v/VBLZ025E82H4WT0", "SE-000281948")</f>
        <v>SE-000281948</v>
      </c>
      <c r="D9111" s="1" t="s">
        <v>0</v>
      </c>
      <c r="E9111" s="2">
        <v>0</v>
      </c>
      <c r="F9111" s="2">
        <v>0</v>
      </c>
      <c r="G9111" s="2">
        <v>0</v>
      </c>
      <c r="H9111" s="1" t="s">
        <v>0</v>
      </c>
      <c r="I9111" s="2">
        <v>0</v>
      </c>
      <c r="J9111" s="1">
        <v>45930.490983796299</v>
      </c>
    </row>
    <row r="9112" spans="1:10" x14ac:dyDescent="0.2">
      <c r="A9112" s="4" t="s">
        <v>1</v>
      </c>
      <c r="B9112" s="3" t="str">
        <f>HYPERLINK("https://otsuka-europe-crm.veevavault.com/ui/#object/approved_document__v/V5OZ025E82TPVZ3", "INA - Invitación y programa Simposio SEHH 2025")</f>
        <v>INA - Invitación y programa Simposio SEHH 2025</v>
      </c>
      <c r="C9112" s="3" t="str">
        <f>HYPERLINK("https://otsuka-europe-crm.veevavault.com/ui/#object/sent_email__v/VBLZ025E82H4WT1", "SE-000281949")</f>
        <v>SE-000281949</v>
      </c>
      <c r="D9112" s="1" t="s">
        <v>0</v>
      </c>
      <c r="E9112" s="2">
        <v>0</v>
      </c>
      <c r="F9112" s="2">
        <v>0</v>
      </c>
      <c r="G9112" s="2">
        <v>0</v>
      </c>
      <c r="H9112" s="1" t="s">
        <v>0</v>
      </c>
      <c r="I9112" s="2">
        <v>0</v>
      </c>
      <c r="J9112" s="1">
        <v>45930.490983796299</v>
      </c>
    </row>
    <row r="9113" spans="1:10" x14ac:dyDescent="0.2">
      <c r="A9113" s="4" t="s">
        <v>1</v>
      </c>
      <c r="B9113" s="3" t="str">
        <f>HYPERLINK("https://otsuka-europe-crm.veevavault.com/ui/#object/approved_document__v/V5OZ025E82TPVZ3", "INA - Invitación y programa Simposio SEHH 2025")</f>
        <v>INA - Invitación y programa Simposio SEHH 2025</v>
      </c>
      <c r="C9113" s="3" t="str">
        <f>HYPERLINK("https://otsuka-europe-crm.veevavault.com/ui/#object/sent_email__v/VBLZ025E82H4WT2", "SE-000281950")</f>
        <v>SE-000281950</v>
      </c>
      <c r="D9113" s="1" t="s">
        <v>0</v>
      </c>
      <c r="E9113" s="2">
        <v>0</v>
      </c>
      <c r="F9113" s="2">
        <v>0</v>
      </c>
      <c r="G9113" s="2">
        <v>0</v>
      </c>
      <c r="H9113" s="1" t="s">
        <v>0</v>
      </c>
      <c r="I9113" s="2">
        <v>0</v>
      </c>
      <c r="J9113" s="1">
        <v>45930.490983796299</v>
      </c>
    </row>
    <row r="9114" spans="1:10" x14ac:dyDescent="0.2">
      <c r="A9114" s="4" t="s">
        <v>1</v>
      </c>
      <c r="B9114" s="3" t="str">
        <f>HYPERLINK("https://otsuka-europe-crm.veevavault.com/ui/#object/approved_document__v/V5OZ025E82TPVZ3", "INA - Invitación y programa Simposio SEHH 2025")</f>
        <v>INA - Invitación y programa Simposio SEHH 2025</v>
      </c>
      <c r="C9114" s="3" t="str">
        <f>HYPERLINK("https://otsuka-europe-crm.veevavault.com/ui/#object/sent_email__v/VBLZ025E82H4WT3", "SE-000281951")</f>
        <v>SE-000281951</v>
      </c>
      <c r="D9114" s="1" t="s">
        <v>0</v>
      </c>
      <c r="E9114" s="2">
        <v>0</v>
      </c>
      <c r="F9114" s="2">
        <v>0</v>
      </c>
      <c r="G9114" s="2">
        <v>0</v>
      </c>
      <c r="H9114" s="1" t="s">
        <v>0</v>
      </c>
      <c r="I9114" s="2">
        <v>0</v>
      </c>
      <c r="J9114" s="1">
        <v>45930.491018518522</v>
      </c>
    </row>
    <row r="9115" spans="1:10" x14ac:dyDescent="0.2">
      <c r="A9115" s="4" t="s">
        <v>1</v>
      </c>
      <c r="B9115" s="3" t="str">
        <f>HYPERLINK("https://otsuka-europe-crm.veevavault.com/ui/#object/approved_document__v/V5OZ025E82TPVZ3", "INA - Invitación y programa Simposio SEHH 2025")</f>
        <v>INA - Invitación y programa Simposio SEHH 2025</v>
      </c>
      <c r="C9115" s="3" t="str">
        <f>HYPERLINK("https://otsuka-europe-crm.veevavault.com/ui/#object/sent_email__v/VBLZ025E82H4WT4", "SE-000281952")</f>
        <v>SE-000281952</v>
      </c>
      <c r="D9115" s="1" t="s">
        <v>0</v>
      </c>
      <c r="E9115" s="2">
        <v>0</v>
      </c>
      <c r="F9115" s="2">
        <v>0</v>
      </c>
      <c r="G9115" s="2">
        <v>0</v>
      </c>
      <c r="H9115" s="1" t="s">
        <v>0</v>
      </c>
      <c r="I9115" s="2">
        <v>0</v>
      </c>
      <c r="J9115" s="1">
        <v>45930.491006944445</v>
      </c>
    </row>
    <row r="9116" spans="1:10" x14ac:dyDescent="0.2">
      <c r="A9116" s="4" t="s">
        <v>1</v>
      </c>
      <c r="B9116" s="3" t="str">
        <f>HYPERLINK("https://otsuka-europe-crm.veevavault.com/ui/#object/approved_document__v/V5OZ025E82TPVZ3", "INA - Invitación y programa Simposio SEHH 2025")</f>
        <v>INA - Invitación y programa Simposio SEHH 2025</v>
      </c>
      <c r="C9116" s="3" t="str">
        <f>HYPERLINK("https://otsuka-europe-crm.veevavault.com/ui/#object/sent_email__v/VBLZ025E82H4WT5", "SE-000281953")</f>
        <v>SE-000281953</v>
      </c>
      <c r="D9116" s="1" t="s">
        <v>0</v>
      </c>
      <c r="E9116" s="2">
        <v>0</v>
      </c>
      <c r="F9116" s="2">
        <v>0</v>
      </c>
      <c r="G9116" s="2">
        <v>0</v>
      </c>
      <c r="H9116" s="1" t="s">
        <v>0</v>
      </c>
      <c r="I9116" s="2">
        <v>0</v>
      </c>
      <c r="J9116" s="1">
        <v>45930.490995370368</v>
      </c>
    </row>
    <row r="9117" spans="1:10" x14ac:dyDescent="0.2">
      <c r="A9117" s="4" t="s">
        <v>1</v>
      </c>
      <c r="B9117" s="3" t="str">
        <f>HYPERLINK("https://otsuka-europe-crm.veevavault.com/ui/#object/approved_document__v/V5OZ025E82TPVZ3", "INA - Invitación y programa Simposio SEHH 2025")</f>
        <v>INA - Invitación y programa Simposio SEHH 2025</v>
      </c>
      <c r="C9117" s="3" t="str">
        <f>HYPERLINK("https://otsuka-europe-crm.veevavault.com/ui/#object/sent_email__v/VBLZ025E82H4WT6", "SE-000281954")</f>
        <v>SE-000281954</v>
      </c>
      <c r="D9117" s="1" t="s">
        <v>0</v>
      </c>
      <c r="E9117" s="2">
        <v>0</v>
      </c>
      <c r="F9117" s="2">
        <v>0</v>
      </c>
      <c r="G9117" s="2">
        <v>0</v>
      </c>
      <c r="H9117" s="1" t="s">
        <v>0</v>
      </c>
      <c r="I9117" s="2">
        <v>0</v>
      </c>
      <c r="J9117" s="1">
        <v>45930.490925925929</v>
      </c>
    </row>
    <row r="9118" spans="1:10" x14ac:dyDescent="0.2">
      <c r="A9118" s="4" t="s">
        <v>1</v>
      </c>
      <c r="B9118" s="3" t="str">
        <f>HYPERLINK("https://otsuka-europe-crm.veevavault.com/ui/#object/approved_document__v/V5OZ025E82TPVZ3", "INA - Invitación y programa Simposio SEHH 2025")</f>
        <v>INA - Invitación y programa Simposio SEHH 2025</v>
      </c>
      <c r="C9118" s="3" t="str">
        <f>HYPERLINK("https://otsuka-europe-crm.veevavault.com/ui/#object/sent_email__v/VBLZ025E82H4WT7", "SE-000281955")</f>
        <v>SE-000281955</v>
      </c>
      <c r="D9118" s="1" t="s">
        <v>0</v>
      </c>
      <c r="E9118" s="2">
        <v>0</v>
      </c>
      <c r="F9118" s="2">
        <v>0</v>
      </c>
      <c r="G9118" s="2">
        <v>0</v>
      </c>
      <c r="H9118" s="1" t="s">
        <v>0</v>
      </c>
      <c r="I9118" s="2">
        <v>0</v>
      </c>
      <c r="J9118" s="1">
        <v>45930.490914351853</v>
      </c>
    </row>
    <row r="9119" spans="1:10" x14ac:dyDescent="0.2">
      <c r="A9119" s="4" t="s">
        <v>1</v>
      </c>
      <c r="B9119" s="3" t="str">
        <f>HYPERLINK("https://otsuka-europe-crm.veevavault.com/ui/#object/approved_document__v/V5OZ025E82TPVZ3", "INA - Invitación y programa Simposio SEHH 2025")</f>
        <v>INA - Invitación y programa Simposio SEHH 2025</v>
      </c>
      <c r="C9119" s="3" t="str">
        <f>HYPERLINK("https://otsuka-europe-crm.veevavault.com/ui/#object/sent_email__v/VBLZ025E82H4WT8", "SE-000281956")</f>
        <v>SE-000281956</v>
      </c>
      <c r="D9119" s="1" t="s">
        <v>0</v>
      </c>
      <c r="E9119" s="2">
        <v>0</v>
      </c>
      <c r="F9119" s="2">
        <v>0</v>
      </c>
      <c r="G9119" s="2">
        <v>0</v>
      </c>
      <c r="H9119" s="1" t="s">
        <v>0</v>
      </c>
      <c r="I9119" s="2">
        <v>0</v>
      </c>
      <c r="J9119" s="1">
        <v>45930.490937499999</v>
      </c>
    </row>
    <row r="9120" spans="1:10" x14ac:dyDescent="0.2">
      <c r="A9120" s="4" t="s">
        <v>1</v>
      </c>
      <c r="B9120" s="3" t="str">
        <f>HYPERLINK("https://otsuka-europe-crm.veevavault.com/ui/#object/approved_document__v/V5OZ025E82TPVZ3", "INA - Invitación y programa Simposio SEHH 2025")</f>
        <v>INA - Invitación y programa Simposio SEHH 2025</v>
      </c>
      <c r="C9120" s="3" t="str">
        <f>HYPERLINK("https://otsuka-europe-crm.veevavault.com/ui/#object/sent_email__v/VBLZ025E82H4X3T", "SE-000281965")</f>
        <v>SE-000281965</v>
      </c>
      <c r="D9120" s="1" t="s">
        <v>0</v>
      </c>
      <c r="E9120" s="2">
        <v>0</v>
      </c>
      <c r="F9120" s="2">
        <v>0</v>
      </c>
      <c r="G9120" s="2">
        <v>0</v>
      </c>
      <c r="H9120" s="1" t="s">
        <v>0</v>
      </c>
      <c r="I9120" s="2">
        <v>0</v>
      </c>
      <c r="J9120" s="1">
        <v>45930.491666666669</v>
      </c>
    </row>
    <row r="9121" spans="1:10" x14ac:dyDescent="0.2">
      <c r="A9121" s="4" t="s">
        <v>1</v>
      </c>
      <c r="B9121" s="3" t="str">
        <f>HYPERLINK("https://otsuka-europe-crm.veevavault.com/ui/#object/approved_document__v/V5OZ025E82TPVZ3", "INA - Invitación y programa Simposio SEHH 2025")</f>
        <v>INA - Invitación y programa Simposio SEHH 2025</v>
      </c>
      <c r="C9121" s="3" t="str">
        <f>HYPERLINK("https://otsuka-europe-crm.veevavault.com/ui/#object/sent_email__v/VBLZ025E82H4X3U", "SE-000281966")</f>
        <v>SE-000281966</v>
      </c>
      <c r="D9121" s="1" t="s">
        <v>0</v>
      </c>
      <c r="E9121" s="2">
        <v>0</v>
      </c>
      <c r="F9121" s="2">
        <v>0</v>
      </c>
      <c r="G9121" s="2">
        <v>0</v>
      </c>
      <c r="H9121" s="1" t="s">
        <v>0</v>
      </c>
      <c r="I9121" s="2">
        <v>0</v>
      </c>
      <c r="J9121" s="1">
        <v>45930.491712962961</v>
      </c>
    </row>
    <row r="9122" spans="1:10" x14ac:dyDescent="0.2">
      <c r="A9122" s="4" t="s">
        <v>1</v>
      </c>
      <c r="B9122" s="3" t="str">
        <f>HYPERLINK("https://otsuka-europe-crm.veevavault.com/ui/#object/approved_document__v/V5OZ025E82TPVZ3", "INA - Invitación y programa Simposio SEHH 2025")</f>
        <v>INA - Invitación y programa Simposio SEHH 2025</v>
      </c>
      <c r="C9122" s="3" t="str">
        <f>HYPERLINK("https://otsuka-europe-crm.veevavault.com/ui/#object/sent_email__v/VBLZ025E82H4X3V", "SE-000281967")</f>
        <v>SE-000281967</v>
      </c>
      <c r="D9122" s="1" t="s">
        <v>0</v>
      </c>
      <c r="E9122" s="2">
        <v>0</v>
      </c>
      <c r="F9122" s="2">
        <v>0</v>
      </c>
      <c r="G9122" s="2">
        <v>0</v>
      </c>
      <c r="H9122" s="1" t="s">
        <v>0</v>
      </c>
      <c r="I9122" s="2">
        <v>0</v>
      </c>
      <c r="J9122" s="1">
        <v>45930.491643518515</v>
      </c>
    </row>
    <row r="9123" spans="1:10" x14ac:dyDescent="0.2">
      <c r="A9123" s="4" t="s">
        <v>1</v>
      </c>
      <c r="B9123" s="3" t="str">
        <f>HYPERLINK("https://otsuka-europe-crm.veevavault.com/ui/#object/approved_document__v/V5OZ025E82TPVZ3", "INA - Invitación y programa Simposio SEHH 2025")</f>
        <v>INA - Invitación y programa Simposio SEHH 2025</v>
      </c>
      <c r="C9123" s="3" t="str">
        <f>HYPERLINK("https://otsuka-europe-crm.veevavault.com/ui/#object/sent_email__v/VBLZ025E82H4X3W", "SE-000281968")</f>
        <v>SE-000281968</v>
      </c>
      <c r="D9123" s="1" t="s">
        <v>0</v>
      </c>
      <c r="E9123" s="2">
        <v>0</v>
      </c>
      <c r="F9123" s="2">
        <v>0</v>
      </c>
      <c r="G9123" s="2">
        <v>0</v>
      </c>
      <c r="H9123" s="1" t="s">
        <v>0</v>
      </c>
      <c r="I9123" s="2">
        <v>0</v>
      </c>
      <c r="J9123" s="1">
        <v>45930.491655092592</v>
      </c>
    </row>
    <row r="9124" spans="1:10" x14ac:dyDescent="0.2">
      <c r="A9124" s="4" t="s">
        <v>1</v>
      </c>
      <c r="B9124" s="3" t="str">
        <f>HYPERLINK("https://otsuka-europe-crm.veevavault.com/ui/#object/approved_document__v/V5OZ025E82TPVZ3", "INA - Invitación y programa Simposio SEHH 2025")</f>
        <v>INA - Invitación y programa Simposio SEHH 2025</v>
      </c>
      <c r="C9124" s="3" t="str">
        <f>HYPERLINK("https://otsuka-europe-crm.veevavault.com/ui/#object/sent_email__v/VBLZ025E82H4X3X", "SE-000281969")</f>
        <v>SE-000281969</v>
      </c>
      <c r="D9124" s="1">
        <v>46070.523009259261</v>
      </c>
      <c r="E9124" s="2">
        <v>1</v>
      </c>
      <c r="F9124" s="2">
        <v>41</v>
      </c>
      <c r="G9124" s="2">
        <v>1</v>
      </c>
      <c r="H9124" s="1">
        <v>45930.684293981481</v>
      </c>
      <c r="I9124" s="2">
        <v>2</v>
      </c>
      <c r="J9124" s="1">
        <v>45930.491701388892</v>
      </c>
    </row>
    <row r="9125" spans="1:10" x14ac:dyDescent="0.2">
      <c r="A9125" s="4" t="s">
        <v>1</v>
      </c>
      <c r="B9125" s="3" t="str">
        <f>HYPERLINK("https://otsuka-europe-crm.veevavault.com/ui/#object/approved_document__v/V5OZ025E82TPVZ3", "INA - Invitación y programa Simposio SEHH 2025")</f>
        <v>INA - Invitación y programa Simposio SEHH 2025</v>
      </c>
      <c r="C9125" s="3" t="str">
        <f>HYPERLINK("https://otsuka-europe-crm.veevavault.com/ui/#object/sent_email__v/VBLZ025E82H4X3Y", "SE-000281970")</f>
        <v>SE-000281970</v>
      </c>
      <c r="D9125" s="1" t="s">
        <v>0</v>
      </c>
      <c r="E9125" s="2">
        <v>0</v>
      </c>
      <c r="F9125" s="2">
        <v>0</v>
      </c>
      <c r="G9125" s="2">
        <v>0</v>
      </c>
      <c r="H9125" s="1" t="s">
        <v>0</v>
      </c>
      <c r="I9125" s="2">
        <v>0</v>
      </c>
      <c r="J9125" s="1">
        <v>45930.491666666669</v>
      </c>
    </row>
    <row r="9126" spans="1:10" x14ac:dyDescent="0.2">
      <c r="A9126" s="4" t="s">
        <v>1</v>
      </c>
      <c r="B9126" s="3" t="str">
        <f>HYPERLINK("https://otsuka-europe-crm.veevavault.com/ui/#object/approved_document__v/V5OZ025E82TPVZ3", "INA - Invitación y programa Simposio SEHH 2025")</f>
        <v>INA - Invitación y programa Simposio SEHH 2025</v>
      </c>
      <c r="C9126" s="3" t="str">
        <f>HYPERLINK("https://otsuka-europe-crm.veevavault.com/ui/#object/sent_email__v/VBLZ025E82H4X3Z", "SE-000281971")</f>
        <v>SE-000281971</v>
      </c>
      <c r="D9126" s="1" t="s">
        <v>0</v>
      </c>
      <c r="E9126" s="2">
        <v>0</v>
      </c>
      <c r="F9126" s="2">
        <v>0</v>
      </c>
      <c r="G9126" s="2">
        <v>0</v>
      </c>
      <c r="H9126" s="1" t="s">
        <v>0</v>
      </c>
      <c r="I9126" s="2">
        <v>0</v>
      </c>
      <c r="J9126" s="1">
        <v>45930.491967592592</v>
      </c>
    </row>
    <row r="9127" spans="1:10" x14ac:dyDescent="0.2">
      <c r="A9127" s="4" t="s">
        <v>1</v>
      </c>
      <c r="B9127" s="3" t="str">
        <f>HYPERLINK("https://otsuka-europe-crm.veevavault.com/ui/#object/approved_document__v/V5OZ025E82TPVZ3", "INA - Invitación y programa Simposio SEHH 2025")</f>
        <v>INA - Invitación y programa Simposio SEHH 2025</v>
      </c>
      <c r="C9127" s="3" t="str">
        <f>HYPERLINK("https://otsuka-europe-crm.veevavault.com/ui/#object/sent_email__v/VBLZ025E82H78O6", "SE-000282747")</f>
        <v>SE-000282747</v>
      </c>
      <c r="D9127" s="1">
        <v>45932.337060185186</v>
      </c>
      <c r="E9127" s="2">
        <v>1</v>
      </c>
      <c r="F9127" s="2">
        <v>1</v>
      </c>
      <c r="G9127" s="2">
        <v>1</v>
      </c>
      <c r="H9127" s="1">
        <v>45932.337233796294</v>
      </c>
      <c r="I9127" s="2">
        <v>1</v>
      </c>
      <c r="J9127" s="1">
        <v>45932.334351851852</v>
      </c>
    </row>
    <row r="9128" spans="1:10" x14ac:dyDescent="0.2">
      <c r="A9128" s="4" t="s">
        <v>1</v>
      </c>
      <c r="B9128" s="3" t="str">
        <f>HYPERLINK("https://otsuka-europe-crm.veevavault.com/ui/#object/approved_document__v/V5OZ025E82TPVZ3", "INA - Invitación y programa Simposio SEHH 2025")</f>
        <v>INA - Invitación y programa Simposio SEHH 2025</v>
      </c>
      <c r="C9128" s="3" t="str">
        <f>HYPERLINK("https://otsuka-europe-crm.veevavault.com/ui/#object/sent_email__v/VBLZ025E82H78Z9", "SE-000282748")</f>
        <v>SE-000282748</v>
      </c>
      <c r="D9128" s="1">
        <v>45932.917129629626</v>
      </c>
      <c r="E9128" s="2">
        <v>1</v>
      </c>
      <c r="F9128" s="2">
        <v>1</v>
      </c>
      <c r="G9128" s="2">
        <v>1</v>
      </c>
      <c r="H9128" s="1">
        <v>45932.917129629626</v>
      </c>
      <c r="I9128" s="2">
        <v>1</v>
      </c>
      <c r="J9128" s="1">
        <v>45932.335243055553</v>
      </c>
    </row>
    <row r="9129" spans="1:10" x14ac:dyDescent="0.2">
      <c r="A9129" s="4" t="s">
        <v>1</v>
      </c>
      <c r="B9129" s="3" t="str">
        <f>HYPERLINK("https://otsuka-europe-crm.veevavault.com/ui/#object/approved_document__v/V5OZ025E82TPVZ3", "INA - Invitación y programa Simposio SEHH 2025")</f>
        <v>INA - Invitación y programa Simposio SEHH 2025</v>
      </c>
      <c r="C9129" s="3" t="str">
        <f>HYPERLINK("https://otsuka-europe-crm.veevavault.com/ui/#object/sent_email__v/VBLZ025E82H7921", "SE-000282749")</f>
        <v>SE-000282749</v>
      </c>
      <c r="D9129" s="1">
        <v>45932.550706018519</v>
      </c>
      <c r="E9129" s="2">
        <v>1</v>
      </c>
      <c r="F9129" s="2">
        <v>1</v>
      </c>
      <c r="G9129" s="2">
        <v>0</v>
      </c>
      <c r="H9129" s="1" t="s">
        <v>0</v>
      </c>
      <c r="I9129" s="2">
        <v>0</v>
      </c>
      <c r="J9129" s="1">
        <v>45932.336898148147</v>
      </c>
    </row>
    <row r="9130" spans="1:10" x14ac:dyDescent="0.2">
      <c r="A9130" s="4" t="s">
        <v>1</v>
      </c>
      <c r="B9130" s="3" t="str">
        <f>HYPERLINK("https://otsuka-europe-crm.veevavault.com/ui/#object/approved_document__v/V5OZ025E82TPVZ3", "INA - Invitación y programa Simposio SEHH 2025")</f>
        <v>INA - Invitación y programa Simposio SEHH 2025</v>
      </c>
      <c r="C9130" s="3" t="str">
        <f>HYPERLINK("https://otsuka-europe-crm.veevavault.com/ui/#object/sent_email__v/VBLZ025E82H9AIH", "SE-000283188")</f>
        <v>SE-000283188</v>
      </c>
      <c r="D9130" s="1" t="s">
        <v>0</v>
      </c>
      <c r="E9130" s="2">
        <v>0</v>
      </c>
      <c r="F9130" s="2">
        <v>0</v>
      </c>
      <c r="G9130" s="2">
        <v>0</v>
      </c>
      <c r="H9130" s="1" t="s">
        <v>0</v>
      </c>
      <c r="I9130" s="2">
        <v>0</v>
      </c>
      <c r="J9130" s="1">
        <v>45933.396481481483</v>
      </c>
    </row>
    <row r="9131" spans="1:10" x14ac:dyDescent="0.2">
      <c r="A9131" s="4" t="s">
        <v>1</v>
      </c>
      <c r="B9131" s="3" t="str">
        <f>HYPERLINK("https://otsuka-europe-crm.veevavault.com/ui/#object/approved_document__v/V5OZ025E82TPVZ3", "INA - Invitación y programa Simposio SEHH 2025")</f>
        <v>INA - Invitación y programa Simposio SEHH 2025</v>
      </c>
      <c r="C9131" s="3" t="str">
        <f>HYPERLINK("https://otsuka-europe-crm.veevavault.com/ui/#object/sent_email__v/VBLZ025E82H9AII", "SE-000283189")</f>
        <v>SE-000283189</v>
      </c>
      <c r="D9131" s="1" t="s">
        <v>0</v>
      </c>
      <c r="E9131" s="2">
        <v>0</v>
      </c>
      <c r="F9131" s="2">
        <v>0</v>
      </c>
      <c r="G9131" s="2">
        <v>0</v>
      </c>
      <c r="H9131" s="1" t="s">
        <v>0</v>
      </c>
      <c r="I9131" s="2">
        <v>0</v>
      </c>
      <c r="J9131" s="1">
        <v>45933.396550925929</v>
      </c>
    </row>
    <row r="9132" spans="1:10" x14ac:dyDescent="0.2">
      <c r="A9132" s="4" t="s">
        <v>1</v>
      </c>
      <c r="B9132" s="3" t="str">
        <f>HYPERLINK("https://otsuka-europe-crm.veevavault.com/ui/#object/approved_document__v/V5OZ025E82TPVZ3", "INA - Invitación y programa Simposio SEHH 2025")</f>
        <v>INA - Invitación y programa Simposio SEHH 2025</v>
      </c>
      <c r="C9132" s="3" t="str">
        <f>HYPERLINK("https://otsuka-europe-crm.veevavault.com/ui/#object/sent_email__v/VBLZ025E82H9AIJ", "SE-000283190")</f>
        <v>SE-000283190</v>
      </c>
      <c r="D9132" s="1" t="s">
        <v>0</v>
      </c>
      <c r="E9132" s="2">
        <v>0</v>
      </c>
      <c r="F9132" s="2">
        <v>0</v>
      </c>
      <c r="G9132" s="2">
        <v>0</v>
      </c>
      <c r="H9132" s="1" t="s">
        <v>0</v>
      </c>
      <c r="I9132" s="2">
        <v>0</v>
      </c>
      <c r="J9132" s="1">
        <v>45933.396539351852</v>
      </c>
    </row>
    <row r="9133" spans="1:10" x14ac:dyDescent="0.2">
      <c r="A9133" s="4" t="s">
        <v>1</v>
      </c>
      <c r="B9133" s="3" t="str">
        <f>HYPERLINK("https://otsuka-europe-crm.veevavault.com/ui/#object/approved_document__v/V5OZ025E82TPVZ3", "INA - Invitación y programa Simposio SEHH 2025")</f>
        <v>INA - Invitación y programa Simposio SEHH 2025</v>
      </c>
      <c r="C9133" s="3" t="str">
        <f>HYPERLINK("https://otsuka-europe-crm.veevavault.com/ui/#object/sent_email__v/VBLZ025E82H9AIK", "SE-000283191")</f>
        <v>SE-000283191</v>
      </c>
      <c r="D9133" s="1">
        <v>45933.625</v>
      </c>
      <c r="E9133" s="2">
        <v>1</v>
      </c>
      <c r="F9133" s="2">
        <v>2</v>
      </c>
      <c r="G9133" s="2">
        <v>0</v>
      </c>
      <c r="H9133" s="1" t="s">
        <v>0</v>
      </c>
      <c r="I9133" s="2">
        <v>0</v>
      </c>
      <c r="J9133" s="1">
        <v>45933.396562499998</v>
      </c>
    </row>
    <row r="9134" spans="1:10" x14ac:dyDescent="0.2">
      <c r="A9134" s="4" t="s">
        <v>1</v>
      </c>
      <c r="B9134" s="3" t="str">
        <f>HYPERLINK("https://otsuka-europe-crm.veevavault.com/ui/#object/approved_document__v/V5OZ025E82TPVZ3", "INA - Invitación y programa Simposio SEHH 2025")</f>
        <v>INA - Invitación y programa Simposio SEHH 2025</v>
      </c>
      <c r="C9134" s="3" t="str">
        <f>HYPERLINK("https://otsuka-europe-crm.veevavault.com/ui/#object/sent_email__v/VBLZ025E82H9AIL", "SE-000283192")</f>
        <v>SE-000283192</v>
      </c>
      <c r="D9134" s="1">
        <v>45933.601018518515</v>
      </c>
      <c r="E9134" s="2">
        <v>1</v>
      </c>
      <c r="F9134" s="2">
        <v>1</v>
      </c>
      <c r="G9134" s="2">
        <v>0</v>
      </c>
      <c r="H9134" s="1" t="s">
        <v>0</v>
      </c>
      <c r="I9134" s="2">
        <v>0</v>
      </c>
      <c r="J9134" s="1">
        <v>45933.396562499998</v>
      </c>
    </row>
    <row r="9135" spans="1:10" x14ac:dyDescent="0.2">
      <c r="A9135" s="4" t="s">
        <v>1</v>
      </c>
      <c r="B9135" s="3" t="str">
        <f>HYPERLINK("https://otsuka-europe-crm.veevavault.com/ui/#object/approved_document__v/V5OZ025E82TPVZ3", "INA - Invitación y programa Simposio SEHH 2025")</f>
        <v>INA - Invitación y programa Simposio SEHH 2025</v>
      </c>
      <c r="C9135" s="3" t="str">
        <f>HYPERLINK("https://otsuka-europe-crm.veevavault.com/ui/#object/sent_email__v/VBLZ025E82H9AIM", "SE-000283193")</f>
        <v>SE-000283193</v>
      </c>
      <c r="D9135" s="1" t="s">
        <v>0</v>
      </c>
      <c r="E9135" s="2">
        <v>0</v>
      </c>
      <c r="F9135" s="2">
        <v>0</v>
      </c>
      <c r="G9135" s="2">
        <v>0</v>
      </c>
      <c r="H9135" s="1" t="s">
        <v>0</v>
      </c>
      <c r="I9135" s="2">
        <v>0</v>
      </c>
      <c r="J9135" s="1">
        <v>45933.396562499998</v>
      </c>
    </row>
    <row r="9136" spans="1:10" x14ac:dyDescent="0.2">
      <c r="A9136" s="4" t="s">
        <v>1</v>
      </c>
      <c r="B9136" s="3" t="str">
        <f>HYPERLINK("https://otsuka-europe-crm.veevavault.com/ui/#object/approved_document__v/V5OZ025E82TPVZ3", "INA - Invitación y programa Simposio SEHH 2025")</f>
        <v>INA - Invitación y programa Simposio SEHH 2025</v>
      </c>
      <c r="C9136" s="3" t="str">
        <f>HYPERLINK("https://otsuka-europe-crm.veevavault.com/ui/#object/sent_email__v/VBLZ025E82H9AIN", "SE-000283194")</f>
        <v>SE-000283194</v>
      </c>
      <c r="D9136" s="1">
        <v>45936.789884259262</v>
      </c>
      <c r="E9136" s="2">
        <v>1</v>
      </c>
      <c r="F9136" s="2">
        <v>1</v>
      </c>
      <c r="G9136" s="2">
        <v>0</v>
      </c>
      <c r="H9136" s="1" t="s">
        <v>0</v>
      </c>
      <c r="I9136" s="2">
        <v>0</v>
      </c>
      <c r="J9136" s="1">
        <v>45933.396574074075</v>
      </c>
    </row>
    <row r="9137" spans="1:10" x14ac:dyDescent="0.2">
      <c r="A9137" s="4" t="s">
        <v>1</v>
      </c>
      <c r="B9137" s="3" t="str">
        <f>HYPERLINK("https://otsuka-europe-crm.veevavault.com/ui/#object/approved_document__v/V5OZ025E82TPVZ3", "INA - Invitación y programa Simposio SEHH 2025")</f>
        <v>INA - Invitación y programa Simposio SEHH 2025</v>
      </c>
      <c r="C9137" s="3" t="str">
        <f>HYPERLINK("https://otsuka-europe-crm.veevavault.com/ui/#object/sent_email__v/VBLZ025E82H9AIO", "SE-000283195")</f>
        <v>SE-000283195</v>
      </c>
      <c r="D9137" s="1">
        <v>45933.408865740741</v>
      </c>
      <c r="E9137" s="2">
        <v>1</v>
      </c>
      <c r="F9137" s="2">
        <v>1</v>
      </c>
      <c r="G9137" s="2">
        <v>0</v>
      </c>
      <c r="H9137" s="1" t="s">
        <v>0</v>
      </c>
      <c r="I9137" s="2">
        <v>0</v>
      </c>
      <c r="J9137" s="1">
        <v>45933.396562499998</v>
      </c>
    </row>
    <row r="9138" spans="1:10" x14ac:dyDescent="0.2">
      <c r="A9138" s="4" t="s">
        <v>1</v>
      </c>
      <c r="B9138" s="3" t="str">
        <f>HYPERLINK("https://otsuka-europe-crm.veevavault.com/ui/#object/approved_document__v/V5OZ025E82TPVZ3", "INA - Invitación y programa Simposio SEHH 2025")</f>
        <v>INA - Invitación y programa Simposio SEHH 2025</v>
      </c>
      <c r="C9138" s="3" t="str">
        <f>HYPERLINK("https://otsuka-europe-crm.veevavault.com/ui/#object/sent_email__v/VBLZ025E82H9AIP", "SE-000283196")</f>
        <v>SE-000283196</v>
      </c>
      <c r="D9138" s="1">
        <v>45933.410312499997</v>
      </c>
      <c r="E9138" s="2">
        <v>1</v>
      </c>
      <c r="F9138" s="2">
        <v>1</v>
      </c>
      <c r="G9138" s="2">
        <v>0</v>
      </c>
      <c r="H9138" s="1" t="s">
        <v>0</v>
      </c>
      <c r="I9138" s="2">
        <v>0</v>
      </c>
      <c r="J9138" s="1">
        <v>45933.396435185183</v>
      </c>
    </row>
    <row r="9139" spans="1:10" x14ac:dyDescent="0.2">
      <c r="A9139" s="4" t="s">
        <v>1</v>
      </c>
      <c r="B9139" s="3" t="str">
        <f>HYPERLINK("https://otsuka-europe-crm.veevavault.com/ui/#object/approved_document__v/V5OZ025E82TPVZ3", "INA - Invitación y programa Simposio SEHH 2025")</f>
        <v>INA - Invitación y programa Simposio SEHH 2025</v>
      </c>
      <c r="C9139" s="3" t="str">
        <f>HYPERLINK("https://otsuka-europe-crm.veevavault.com/ui/#object/sent_email__v/VBLZ025E82H9AIQ", "SE-000283197")</f>
        <v>SE-000283197</v>
      </c>
      <c r="D9139" s="1" t="s">
        <v>0</v>
      </c>
      <c r="E9139" s="2">
        <v>0</v>
      </c>
      <c r="F9139" s="2">
        <v>0</v>
      </c>
      <c r="G9139" s="2">
        <v>0</v>
      </c>
      <c r="H9139" s="1" t="s">
        <v>0</v>
      </c>
      <c r="I9139" s="2">
        <v>0</v>
      </c>
      <c r="J9139" s="1">
        <v>45933.396435185183</v>
      </c>
    </row>
    <row r="9140" spans="1:10" x14ac:dyDescent="0.2">
      <c r="A9140" s="4" t="s">
        <v>1</v>
      </c>
      <c r="B9140" s="3" t="str">
        <f>HYPERLINK("https://otsuka-europe-crm.veevavault.com/ui/#object/approved_document__v/V5OZ025E82TPVZ3", "INA - Invitación y programa Simposio SEHH 2025")</f>
        <v>INA - Invitación y programa Simposio SEHH 2025</v>
      </c>
      <c r="C9140" s="3" t="str">
        <f>HYPERLINK("https://otsuka-europe-crm.veevavault.com/ui/#object/sent_email__v/VBLZ025E82H9AIR", "SE-000283198")</f>
        <v>SE-000283198</v>
      </c>
      <c r="D9140" s="1">
        <v>45933.403101851851</v>
      </c>
      <c r="E9140" s="2">
        <v>1</v>
      </c>
      <c r="F9140" s="2">
        <v>2</v>
      </c>
      <c r="G9140" s="2">
        <v>0</v>
      </c>
      <c r="H9140" s="1" t="s">
        <v>0</v>
      </c>
      <c r="I9140" s="2">
        <v>0</v>
      </c>
      <c r="J9140" s="1">
        <v>45933.396423611113</v>
      </c>
    </row>
    <row r="9141" spans="1:10" x14ac:dyDescent="0.2">
      <c r="A9141" s="4" t="s">
        <v>1</v>
      </c>
      <c r="B9141" s="3" t="str">
        <f>HYPERLINK("https://otsuka-europe-crm.veevavault.com/ui/#object/approved_document__v/V5OZ025E82TPVZ3", "INA - Invitación y programa Simposio SEHH 2025")</f>
        <v>INA - Invitación y programa Simposio SEHH 2025</v>
      </c>
      <c r="C9141" s="3" t="str">
        <f>HYPERLINK("https://otsuka-europe-crm.veevavault.com/ui/#object/sent_email__v/VBLZ025E82H9AIS", "SE-000283199")</f>
        <v>SE-000283199</v>
      </c>
      <c r="D9141" s="1">
        <v>45933.482407407406</v>
      </c>
      <c r="E9141" s="2">
        <v>1</v>
      </c>
      <c r="F9141" s="2">
        <v>1</v>
      </c>
      <c r="G9141" s="2">
        <v>0</v>
      </c>
      <c r="H9141" s="1" t="s">
        <v>0</v>
      </c>
      <c r="I9141" s="2">
        <v>0</v>
      </c>
      <c r="J9141" s="1">
        <v>45933.396412037036</v>
      </c>
    </row>
    <row r="9142" spans="1:10" x14ac:dyDescent="0.2">
      <c r="A9142" s="4" t="s">
        <v>1</v>
      </c>
      <c r="B9142" s="3" t="str">
        <f>HYPERLINK("https://otsuka-europe-crm.veevavault.com/ui/#object/approved_document__v/V5OZ025E82TPVZ3", "INA - Invitación y programa Simposio SEHH 2025")</f>
        <v>INA - Invitación y programa Simposio SEHH 2025</v>
      </c>
      <c r="C9142" s="3" t="str">
        <f>HYPERLINK("https://otsuka-europe-crm.veevavault.com/ui/#object/sent_email__v/VBLZ025E82H9AIT", "SE-000283200")</f>
        <v>SE-000283200</v>
      </c>
      <c r="D9142" s="1">
        <v>45933.450590277775</v>
      </c>
      <c r="E9142" s="2">
        <v>1</v>
      </c>
      <c r="F9142" s="2">
        <v>1</v>
      </c>
      <c r="G9142" s="2">
        <v>0</v>
      </c>
      <c r="H9142" s="1" t="s">
        <v>0</v>
      </c>
      <c r="I9142" s="2">
        <v>0</v>
      </c>
      <c r="J9142" s="1">
        <v>45933.396458333336</v>
      </c>
    </row>
    <row r="9143" spans="1:10" x14ac:dyDescent="0.2">
      <c r="A9143" s="4" t="s">
        <v>1</v>
      </c>
      <c r="B9143" s="3" t="str">
        <f>HYPERLINK("https://otsuka-europe-crm.veevavault.com/ui/#object/approved_document__v/V5OZ025E82TPVZ3", "INA - Invitación y programa Simposio SEHH 2025")</f>
        <v>INA - Invitación y programa Simposio SEHH 2025</v>
      </c>
      <c r="C9143" s="3" t="str">
        <f>HYPERLINK("https://otsuka-europe-crm.veevavault.com/ui/#object/sent_email__v/VBLZ025E82H9AIU", "SE-000283201")</f>
        <v>SE-000283201</v>
      </c>
      <c r="D9143" s="1">
        <v>45939.355543981481</v>
      </c>
      <c r="E9143" s="2">
        <v>1</v>
      </c>
      <c r="F9143" s="2">
        <v>2</v>
      </c>
      <c r="G9143" s="2">
        <v>0</v>
      </c>
      <c r="H9143" s="1" t="s">
        <v>0</v>
      </c>
      <c r="I9143" s="2">
        <v>0</v>
      </c>
      <c r="J9143" s="1">
        <v>45933.396458333336</v>
      </c>
    </row>
    <row r="9144" spans="1:10" x14ac:dyDescent="0.2">
      <c r="A9144" s="4" t="s">
        <v>1</v>
      </c>
      <c r="B9144" s="3" t="str">
        <f>HYPERLINK("https://otsuka-europe-crm.veevavault.com/ui/#object/approved_document__v/V5OZ025E82TPVZ3", "INA - Invitación y programa Simposio SEHH 2025")</f>
        <v>INA - Invitación y programa Simposio SEHH 2025</v>
      </c>
      <c r="C9144" s="3" t="str">
        <f>HYPERLINK("https://otsuka-europe-crm.veevavault.com/ui/#object/sent_email__v/VBLZ025E82H9AIV", "SE-000283202")</f>
        <v>SE-000283202</v>
      </c>
      <c r="D9144" s="1">
        <v>45933.463217592594</v>
      </c>
      <c r="E9144" s="2">
        <v>1</v>
      </c>
      <c r="F9144" s="2">
        <v>2</v>
      </c>
      <c r="G9144" s="2">
        <v>0</v>
      </c>
      <c r="H9144" s="1" t="s">
        <v>0</v>
      </c>
      <c r="I9144" s="2">
        <v>0</v>
      </c>
      <c r="J9144" s="1">
        <v>45933.396435185183</v>
      </c>
    </row>
    <row r="9145" spans="1:10" x14ac:dyDescent="0.2">
      <c r="A9145" s="4" t="s">
        <v>1</v>
      </c>
      <c r="B9145" s="3" t="str">
        <f>HYPERLINK("https://otsuka-europe-crm.veevavault.com/ui/#object/approved_document__v/V5OZ025E82TPVZ3", "INA - Invitación y programa Simposio SEHH 2025")</f>
        <v>INA - Invitación y programa Simposio SEHH 2025</v>
      </c>
      <c r="C9145" s="3" t="str">
        <f>HYPERLINK("https://otsuka-europe-crm.veevavault.com/ui/#object/sent_email__v/VBLZ025E82H9AIW", "SE-000283203")</f>
        <v>SE-000283203</v>
      </c>
      <c r="D9145" s="1" t="s">
        <v>0</v>
      </c>
      <c r="E9145" s="2">
        <v>0</v>
      </c>
      <c r="F9145" s="2">
        <v>0</v>
      </c>
      <c r="G9145" s="2">
        <v>0</v>
      </c>
      <c r="H9145" s="1" t="s">
        <v>0</v>
      </c>
      <c r="I9145" s="2">
        <v>0</v>
      </c>
      <c r="J9145" s="1">
        <v>45933.396458333336</v>
      </c>
    </row>
    <row r="9146" spans="1:10" x14ac:dyDescent="0.2">
      <c r="A9146" s="4" t="s">
        <v>1</v>
      </c>
      <c r="B9146" s="3" t="str">
        <f>HYPERLINK("https://otsuka-europe-crm.veevavault.com/ui/#object/approved_document__v/V5OZ025E82TPVZ3", "INA - Invitación y programa Simposio SEHH 2025")</f>
        <v>INA - Invitación y programa Simposio SEHH 2025</v>
      </c>
      <c r="C9146" s="3" t="str">
        <f>HYPERLINK("https://otsuka-europe-crm.veevavault.com/ui/#object/sent_email__v/VBLZ025E82H9AIX", "SE-000283204")</f>
        <v>SE-000283204</v>
      </c>
      <c r="D9146" s="1">
        <v>45933.560937499999</v>
      </c>
      <c r="E9146" s="2">
        <v>1</v>
      </c>
      <c r="F9146" s="2">
        <v>1</v>
      </c>
      <c r="G9146" s="2">
        <v>0</v>
      </c>
      <c r="H9146" s="1" t="s">
        <v>0</v>
      </c>
      <c r="I9146" s="2">
        <v>0</v>
      </c>
      <c r="J9146" s="1">
        <v>45933.396469907406</v>
      </c>
    </row>
    <row r="9147" spans="1:10" x14ac:dyDescent="0.2">
      <c r="A9147" s="4" t="s">
        <v>1</v>
      </c>
      <c r="B9147" s="3" t="str">
        <f>HYPERLINK("https://otsuka-europe-crm.veevavault.com/ui/#object/approved_document__v/V5OZ025E82TPVZ3", "INA - Invitación y programa Simposio SEHH 2025")</f>
        <v>INA - Invitación y programa Simposio SEHH 2025</v>
      </c>
      <c r="C9147" s="3" t="str">
        <f>HYPERLINK("https://otsuka-europe-crm.veevavault.com/ui/#object/sent_email__v/VBLZ025E82H9AIY", "SE-000283205")</f>
        <v>SE-000283205</v>
      </c>
      <c r="D9147" s="1">
        <v>45942.039085648146</v>
      </c>
      <c r="E9147" s="2">
        <v>1</v>
      </c>
      <c r="F9147" s="2">
        <v>1</v>
      </c>
      <c r="G9147" s="2">
        <v>0</v>
      </c>
      <c r="H9147" s="1" t="s">
        <v>0</v>
      </c>
      <c r="I9147" s="2">
        <v>0</v>
      </c>
      <c r="J9147" s="1">
        <v>45933.396585648145</v>
      </c>
    </row>
    <row r="9148" spans="1:10" x14ac:dyDescent="0.2">
      <c r="A9148" s="4" t="s">
        <v>1</v>
      </c>
      <c r="B9148" s="3" t="str">
        <f>HYPERLINK("https://otsuka-europe-crm.veevavault.com/ui/#object/approved_document__v/V5OZ025E82TPVZ3", "INA - Invitación y programa Simposio SEHH 2025")</f>
        <v>INA - Invitación y programa Simposio SEHH 2025</v>
      </c>
      <c r="C9148" s="3" t="str">
        <f>HYPERLINK("https://otsuka-europe-crm.veevavault.com/ui/#object/sent_email__v/VBLZ025E82H9AIZ", "SE-000283206")</f>
        <v>SE-000283206</v>
      </c>
      <c r="D9148" s="1">
        <v>45933.416030092594</v>
      </c>
      <c r="E9148" s="2">
        <v>1</v>
      </c>
      <c r="F9148" s="2">
        <v>1</v>
      </c>
      <c r="G9148" s="2">
        <v>0</v>
      </c>
      <c r="H9148" s="1" t="s">
        <v>0</v>
      </c>
      <c r="I9148" s="2">
        <v>0</v>
      </c>
      <c r="J9148" s="1">
        <v>45933.396539351852</v>
      </c>
    </row>
    <row r="9149" spans="1:10" x14ac:dyDescent="0.2">
      <c r="A9149" s="4" t="s">
        <v>1</v>
      </c>
      <c r="B9149" s="3" t="str">
        <f>HYPERLINK("https://otsuka-europe-crm.veevavault.com/ui/#object/approved_document__v/V5OZ025E82TPVZ3", "INA - Invitación y programa Simposio SEHH 2025")</f>
        <v>INA - Invitación y programa Simposio SEHH 2025</v>
      </c>
      <c r="C9149" s="3" t="str">
        <f>HYPERLINK("https://otsuka-europe-crm.veevavault.com/ui/#object/sent_email__v/VBLZ025E82H9AJ0", "SE-000283207")</f>
        <v>SE-000283207</v>
      </c>
      <c r="D9149" s="1" t="s">
        <v>0</v>
      </c>
      <c r="E9149" s="2">
        <v>0</v>
      </c>
      <c r="F9149" s="2">
        <v>0</v>
      </c>
      <c r="G9149" s="2">
        <v>0</v>
      </c>
      <c r="H9149" s="1" t="s">
        <v>0</v>
      </c>
      <c r="I9149" s="2">
        <v>0</v>
      </c>
      <c r="J9149" s="1">
        <v>45933.396608796298</v>
      </c>
    </row>
    <row r="9150" spans="1:10" x14ac:dyDescent="0.2">
      <c r="A9150" s="4" t="s">
        <v>1</v>
      </c>
      <c r="B9150" s="3" t="str">
        <f>HYPERLINK("https://otsuka-europe-crm.veevavault.com/ui/#object/approved_document__v/V5OZ025E82TPVZ3", "INA - Invitación y programa Simposio SEHH 2025")</f>
        <v>INA - Invitación y programa Simposio SEHH 2025</v>
      </c>
      <c r="C9150" s="3" t="str">
        <f>HYPERLINK("https://otsuka-europe-crm.veevavault.com/ui/#object/sent_email__v/VBLZ025E82H9AJ1", "SE-000283208")</f>
        <v>SE-000283208</v>
      </c>
      <c r="D9150" s="1">
        <v>45936.655949074076</v>
      </c>
      <c r="E9150" s="2">
        <v>1</v>
      </c>
      <c r="F9150" s="2">
        <v>4</v>
      </c>
      <c r="G9150" s="2">
        <v>0</v>
      </c>
      <c r="H9150" s="1" t="s">
        <v>0</v>
      </c>
      <c r="I9150" s="2">
        <v>0</v>
      </c>
      <c r="J9150" s="1">
        <v>45933.396585648145</v>
      </c>
    </row>
    <row r="9151" spans="1:10" x14ac:dyDescent="0.2">
      <c r="A9151" s="4" t="s">
        <v>1</v>
      </c>
      <c r="B9151" s="3" t="str">
        <f>HYPERLINK("https://otsuka-europe-crm.veevavault.com/ui/#object/approved_document__v/V5OZ025E82TPVZ3", "INA - Invitación y programa Simposio SEHH 2025")</f>
        <v>INA - Invitación y programa Simposio SEHH 2025</v>
      </c>
      <c r="C9151" s="3" t="str">
        <f>HYPERLINK("https://otsuka-europe-crm.veevavault.com/ui/#object/sent_email__v/VBLZ025E82H9AJ2", "SE-000283209")</f>
        <v>SE-000283209</v>
      </c>
      <c r="D9151" s="1" t="s">
        <v>0</v>
      </c>
      <c r="E9151" s="2">
        <v>0</v>
      </c>
      <c r="F9151" s="2">
        <v>0</v>
      </c>
      <c r="G9151" s="2">
        <v>0</v>
      </c>
      <c r="H9151" s="1" t="s">
        <v>0</v>
      </c>
      <c r="I9151" s="2">
        <v>0</v>
      </c>
      <c r="J9151" s="1">
        <v>45933.396597222221</v>
      </c>
    </row>
    <row r="9152" spans="1:10" x14ac:dyDescent="0.2">
      <c r="A9152" s="4" t="s">
        <v>1</v>
      </c>
      <c r="B9152" s="3" t="str">
        <f>HYPERLINK("https://otsuka-europe-crm.veevavault.com/ui/#object/approved_document__v/V5OZ025E82TPVZ3", "INA - Invitación y programa Simposio SEHH 2025")</f>
        <v>INA - Invitación y programa Simposio SEHH 2025</v>
      </c>
      <c r="C9152" s="3" t="str">
        <f>HYPERLINK("https://otsuka-europe-crm.veevavault.com/ui/#object/sent_email__v/VBLZ025E82H9AJ3", "SE-000283210")</f>
        <v>SE-000283210</v>
      </c>
      <c r="D9152" s="1">
        <v>45949.57309027778</v>
      </c>
      <c r="E9152" s="2">
        <v>1</v>
      </c>
      <c r="F9152" s="2">
        <v>4</v>
      </c>
      <c r="G9152" s="2">
        <v>0</v>
      </c>
      <c r="H9152" s="1" t="s">
        <v>0</v>
      </c>
      <c r="I9152" s="2">
        <v>0</v>
      </c>
      <c r="J9152" s="1">
        <v>45933.396574074075</v>
      </c>
    </row>
    <row r="9153" spans="1:10" x14ac:dyDescent="0.2">
      <c r="A9153" s="4" t="s">
        <v>1</v>
      </c>
      <c r="B9153" s="3" t="str">
        <f>HYPERLINK("https://otsuka-europe-crm.veevavault.com/ui/#object/approved_document__v/V5OZ025E82TPVZ3", "INA - Invitación y programa Simposio SEHH 2025")</f>
        <v>INA - Invitación y programa Simposio SEHH 2025</v>
      </c>
      <c r="C9153" s="3" t="str">
        <f>HYPERLINK("https://otsuka-europe-crm.veevavault.com/ui/#object/sent_email__v/VBLZ025E82HB3PP", "SE-000283469")</f>
        <v>SE-000283469</v>
      </c>
      <c r="D9153" s="1" t="s">
        <v>0</v>
      </c>
      <c r="E9153" s="2">
        <v>0</v>
      </c>
      <c r="F9153" s="2">
        <v>0</v>
      </c>
      <c r="G9153" s="2">
        <v>0</v>
      </c>
      <c r="H9153" s="1" t="s">
        <v>0</v>
      </c>
      <c r="I9153" s="2">
        <v>0</v>
      </c>
      <c r="J9153" s="1">
        <v>45936.408854166664</v>
      </c>
    </row>
    <row r="9154" spans="1:10" x14ac:dyDescent="0.2">
      <c r="A9154" s="4" t="s">
        <v>1</v>
      </c>
      <c r="B9154" s="3" t="str">
        <f>HYPERLINK("https://otsuka-europe-crm.veevavault.com/ui/#object/approved_document__v/V5OZ025E82TPVZ3", "INA - Invitación y programa Simposio SEHH 2025")</f>
        <v>INA - Invitación y programa Simposio SEHH 2025</v>
      </c>
      <c r="C9154" s="3" t="str">
        <f>HYPERLINK("https://otsuka-europe-crm.veevavault.com/ui/#object/sent_email__v/VBLZ025E82HB3PQ", "SE-000283470")</f>
        <v>SE-000283470</v>
      </c>
      <c r="D9154" s="1">
        <v>45966.470856481479</v>
      </c>
      <c r="E9154" s="2">
        <v>1</v>
      </c>
      <c r="F9154" s="2">
        <v>5</v>
      </c>
      <c r="G9154" s="2">
        <v>1</v>
      </c>
      <c r="H9154" s="1">
        <v>45936.409594907411</v>
      </c>
      <c r="I9154" s="2">
        <v>1</v>
      </c>
      <c r="J9154" s="1">
        <v>45936.408854166664</v>
      </c>
    </row>
    <row r="9155" spans="1:10" x14ac:dyDescent="0.2">
      <c r="A9155" s="4" t="s">
        <v>1</v>
      </c>
      <c r="B9155" s="3" t="str">
        <f>HYPERLINK("https://otsuka-europe-crm.veevavault.com/ui/#object/approved_document__v/V5OZ025E82TPVZ3", "INA - Invitación y programa Simposio SEHH 2025")</f>
        <v>INA - Invitación y programa Simposio SEHH 2025</v>
      </c>
      <c r="C9155" s="3" t="str">
        <f>HYPERLINK("https://otsuka-europe-crm.veevavault.com/ui/#object/sent_email__v/VBLZ025E82HB3PR", "SE-000283471")</f>
        <v>SE-000283471</v>
      </c>
      <c r="D9155" s="1" t="s">
        <v>0</v>
      </c>
      <c r="E9155" s="2">
        <v>0</v>
      </c>
      <c r="F9155" s="2">
        <v>0</v>
      </c>
      <c r="G9155" s="2">
        <v>0</v>
      </c>
      <c r="H9155" s="1" t="s">
        <v>0</v>
      </c>
      <c r="I9155" s="2">
        <v>0</v>
      </c>
      <c r="J9155" s="1">
        <v>45936.408854166664</v>
      </c>
    </row>
    <row r="9156" spans="1:10" x14ac:dyDescent="0.2">
      <c r="A9156" s="4" t="s">
        <v>1</v>
      </c>
      <c r="B9156" s="3" t="str">
        <f>HYPERLINK("https://otsuka-europe-crm.veevavault.com/ui/#object/approved_document__v/V5OZ025E82TPVZ3", "INA - Invitación y programa Simposio SEHH 2025")</f>
        <v>INA - Invitación y programa Simposio SEHH 2025</v>
      </c>
      <c r="C9156" s="3" t="str">
        <f>HYPERLINK("https://otsuka-europe-crm.veevavault.com/ui/#object/sent_email__v/VBLZ025E82HB4N1", "SE-000283478")</f>
        <v>SE-000283478</v>
      </c>
      <c r="D9156" s="1" t="s">
        <v>0</v>
      </c>
      <c r="E9156" s="2">
        <v>0</v>
      </c>
      <c r="F9156" s="2">
        <v>0</v>
      </c>
      <c r="G9156" s="2">
        <v>0</v>
      </c>
      <c r="H9156" s="1" t="s">
        <v>0</v>
      </c>
      <c r="I9156" s="2">
        <v>0</v>
      </c>
      <c r="J9156" s="1">
        <v>45936.413993055554</v>
      </c>
    </row>
    <row r="9157" spans="1:10" x14ac:dyDescent="0.2">
      <c r="A9157" s="4" t="s">
        <v>1</v>
      </c>
      <c r="B9157" s="3" t="str">
        <f>HYPERLINK("https://otsuka-europe-crm.veevavault.com/ui/#object/approved_document__v/V5OZ025E82TPVZ3", "INA - Invitación y programa Simposio SEHH 2025")</f>
        <v>INA - Invitación y programa Simposio SEHH 2025</v>
      </c>
      <c r="C9157" s="3" t="str">
        <f>HYPERLINK("https://otsuka-europe-crm.veevavault.com/ui/#object/sent_email__v/VBLZ025E82HB4N2", "SE-000283479")</f>
        <v>SE-000283479</v>
      </c>
      <c r="D9157" s="1">
        <v>46009.341168981482</v>
      </c>
      <c r="E9157" s="2">
        <v>1</v>
      </c>
      <c r="F9157" s="2">
        <v>13</v>
      </c>
      <c r="G9157" s="2">
        <v>0</v>
      </c>
      <c r="H9157" s="1" t="s">
        <v>0</v>
      </c>
      <c r="I9157" s="2">
        <v>0</v>
      </c>
      <c r="J9157" s="1">
        <v>45936.414004629631</v>
      </c>
    </row>
    <row r="9158" spans="1:10" x14ac:dyDescent="0.2">
      <c r="A9158" s="4" t="s">
        <v>1</v>
      </c>
      <c r="B9158" s="3" t="str">
        <f>HYPERLINK("https://otsuka-europe-crm.veevavault.com/ui/#object/approved_document__v/V5OZ025E82TPVZ3", "INA - Invitación y programa Simposio SEHH 2025")</f>
        <v>INA - Invitación y programa Simposio SEHH 2025</v>
      </c>
      <c r="C9158" s="3" t="str">
        <f>HYPERLINK("https://otsuka-europe-crm.veevavault.com/ui/#object/sent_email__v/VBLZ025E82HB4N3", "SE-000283480")</f>
        <v>SE-000283480</v>
      </c>
      <c r="D9158" s="1" t="s">
        <v>0</v>
      </c>
      <c r="E9158" s="2">
        <v>0</v>
      </c>
      <c r="F9158" s="2">
        <v>0</v>
      </c>
      <c r="G9158" s="2">
        <v>0</v>
      </c>
      <c r="H9158" s="1" t="s">
        <v>0</v>
      </c>
      <c r="I9158" s="2">
        <v>0</v>
      </c>
      <c r="J9158" s="1">
        <v>45936.4140162037</v>
      </c>
    </row>
    <row r="9159" spans="1:10" x14ac:dyDescent="0.2">
      <c r="A9159" s="4" t="s">
        <v>1</v>
      </c>
      <c r="B9159" s="3" t="str">
        <f>HYPERLINK("https://otsuka-europe-crm.veevavault.com/ui/#object/approved_document__v/V5OZ025E82TPVZ3", "INA - Invitación y programa Simposio SEHH 2025")</f>
        <v>INA - Invitación y programa Simposio SEHH 2025</v>
      </c>
      <c r="C9159" s="3" t="str">
        <f>HYPERLINK("https://otsuka-europe-crm.veevavault.com/ui/#object/sent_email__v/VBLZ025E82HB4Y5", "SE-000283481")</f>
        <v>SE-000283481</v>
      </c>
      <c r="D9159" s="1" t="s">
        <v>0</v>
      </c>
      <c r="E9159" s="2">
        <v>0</v>
      </c>
      <c r="F9159" s="2">
        <v>0</v>
      </c>
      <c r="G9159" s="2">
        <v>0</v>
      </c>
      <c r="H9159" s="1" t="s">
        <v>0</v>
      </c>
      <c r="I9159" s="2">
        <v>0</v>
      </c>
      <c r="J9159" s="1">
        <v>45936.414594907408</v>
      </c>
    </row>
    <row r="9160" spans="1:10" x14ac:dyDescent="0.2">
      <c r="A9160" s="4" t="s">
        <v>1</v>
      </c>
      <c r="B9160" s="3" t="str">
        <f>HYPERLINK("https://otsuka-europe-crm.veevavault.com/ui/#object/approved_document__v/V5OZ025E82TPVZ3", "INA - Invitación y programa Simposio SEHH 2025")</f>
        <v>INA - Invitación y programa Simposio SEHH 2025</v>
      </c>
      <c r="C9160" s="3" t="str">
        <f>HYPERLINK("https://otsuka-europe-crm.veevavault.com/ui/#object/sent_email__v/VBLZ025E82HB53P", "SE-000283482")</f>
        <v>SE-000283482</v>
      </c>
      <c r="D9160" s="1">
        <v>45937.364282407405</v>
      </c>
      <c r="E9160" s="2">
        <v>1</v>
      </c>
      <c r="F9160" s="2">
        <v>2</v>
      </c>
      <c r="G9160" s="2">
        <v>0</v>
      </c>
      <c r="H9160" s="1" t="s">
        <v>0</v>
      </c>
      <c r="I9160" s="2">
        <v>0</v>
      </c>
      <c r="J9160" s="1">
        <v>45936.415509259263</v>
      </c>
    </row>
    <row r="9161" spans="1:10" x14ac:dyDescent="0.2">
      <c r="A9161" s="4" t="s">
        <v>1</v>
      </c>
      <c r="B9161" s="3" t="str">
        <f>HYPERLINK("https://otsuka-europe-crm.veevavault.com/ui/#object/approved_document__v/V5OZ025E82TPVZ3", "INA - Invitación y programa Simposio SEHH 2025")</f>
        <v>INA - Invitación y programa Simposio SEHH 2025</v>
      </c>
      <c r="C9161" s="3" t="str">
        <f>HYPERLINK("https://otsuka-europe-crm.veevavault.com/ui/#object/sent_email__v/VBLZ025E82HB53Q", "SE-000283483")</f>
        <v>SE-000283483</v>
      </c>
      <c r="D9161" s="1">
        <v>45944.368356481478</v>
      </c>
      <c r="E9161" s="2">
        <v>1</v>
      </c>
      <c r="F9161" s="2">
        <v>1</v>
      </c>
      <c r="G9161" s="2">
        <v>0</v>
      </c>
      <c r="H9161" s="1" t="s">
        <v>0</v>
      </c>
      <c r="I9161" s="2">
        <v>0</v>
      </c>
      <c r="J9161" s="1">
        <v>45936.415520833332</v>
      </c>
    </row>
    <row r="9162" spans="1:10" x14ac:dyDescent="0.2">
      <c r="A9162" s="4" t="s">
        <v>1</v>
      </c>
      <c r="B9162" s="3" t="str">
        <f>HYPERLINK("https://otsuka-europe-crm.veevavault.com/ui/#object/approved_document__v/V5OZ025E82TPVZ3", "INA - Invitación y programa Simposio SEHH 2025")</f>
        <v>INA - Invitación y programa Simposio SEHH 2025</v>
      </c>
      <c r="C9162" s="3" t="str">
        <f>HYPERLINK("https://otsuka-europe-crm.veevavault.com/ui/#object/sent_email__v/VBLZ025E82HB53R", "SE-000283484")</f>
        <v>SE-000283484</v>
      </c>
      <c r="D9162" s="1" t="s">
        <v>0</v>
      </c>
      <c r="E9162" s="2">
        <v>0</v>
      </c>
      <c r="F9162" s="2">
        <v>0</v>
      </c>
      <c r="G9162" s="2">
        <v>0</v>
      </c>
      <c r="H9162" s="1" t="s">
        <v>0</v>
      </c>
      <c r="I9162" s="2">
        <v>0</v>
      </c>
      <c r="J9162" s="1">
        <v>45936.415532407409</v>
      </c>
    </row>
    <row r="9163" spans="1:10" x14ac:dyDescent="0.2">
      <c r="A9163" s="4" t="s">
        <v>1</v>
      </c>
      <c r="B9163" s="3" t="str">
        <f>HYPERLINK("https://otsuka-europe-crm.veevavault.com/ui/#object/approved_document__v/V5OZ025E82TPVZ3", "INA - Invitación y programa Simposio SEHH 2025")</f>
        <v>INA - Invitación y programa Simposio SEHH 2025</v>
      </c>
      <c r="C9163" s="3" t="str">
        <f>HYPERLINK("https://otsuka-europe-crm.veevavault.com/ui/#object/sent_email__v/VBLZ025E82HB53S", "SE-000283485")</f>
        <v>SE-000283485</v>
      </c>
      <c r="D9163" s="1" t="s">
        <v>0</v>
      </c>
      <c r="E9163" s="2">
        <v>0</v>
      </c>
      <c r="F9163" s="2">
        <v>0</v>
      </c>
      <c r="G9163" s="2">
        <v>0</v>
      </c>
      <c r="H9163" s="1" t="s">
        <v>0</v>
      </c>
      <c r="I9163" s="2">
        <v>0</v>
      </c>
      <c r="J9163" s="1">
        <v>45936.415543981479</v>
      </c>
    </row>
    <row r="9164" spans="1:10" x14ac:dyDescent="0.2">
      <c r="A9164" s="4" t="s">
        <v>1</v>
      </c>
      <c r="B9164" s="3" t="str">
        <f>HYPERLINK("https://otsuka-europe-crm.veevavault.com/ui/#object/approved_document__v/V5OZ025E82TPVZ3", "INA - Invitación y programa Simposio SEHH 2025")</f>
        <v>INA - Invitación y programa Simposio SEHH 2025</v>
      </c>
      <c r="C9164" s="3" t="str">
        <f>HYPERLINK("https://otsuka-europe-crm.veevavault.com/ui/#object/sent_email__v/VBLZ025E82HB53T", "SE-000283486")</f>
        <v>SE-000283486</v>
      </c>
      <c r="D9164" s="1" t="s">
        <v>0</v>
      </c>
      <c r="E9164" s="2">
        <v>0</v>
      </c>
      <c r="F9164" s="2">
        <v>0</v>
      </c>
      <c r="G9164" s="2">
        <v>0</v>
      </c>
      <c r="H9164" s="1" t="s">
        <v>0</v>
      </c>
      <c r="I9164" s="2">
        <v>0</v>
      </c>
      <c r="J9164" s="1">
        <v>45936.415543981479</v>
      </c>
    </row>
    <row r="9165" spans="1:10" x14ac:dyDescent="0.2">
      <c r="A9165" s="4" t="s">
        <v>1</v>
      </c>
      <c r="B9165" s="3" t="str">
        <f>HYPERLINK("https://otsuka-europe-crm.veevavault.com/ui/#object/approved_document__v/V5OZ025E82TPVZ3", "INA - Invitación y programa Simposio SEHH 2025")</f>
        <v>INA - Invitación y programa Simposio SEHH 2025</v>
      </c>
      <c r="C9165" s="3" t="str">
        <f>HYPERLINK("https://otsuka-europe-crm.veevavault.com/ui/#object/sent_email__v/VBLZ025E82HB53U", "SE-000283487")</f>
        <v>SE-000283487</v>
      </c>
      <c r="D9165" s="1">
        <v>45936.49291666667</v>
      </c>
      <c r="E9165" s="2">
        <v>1</v>
      </c>
      <c r="F9165" s="2">
        <v>2</v>
      </c>
      <c r="G9165" s="2">
        <v>0</v>
      </c>
      <c r="H9165" s="1" t="s">
        <v>0</v>
      </c>
      <c r="I9165" s="2">
        <v>0</v>
      </c>
      <c r="J9165" s="1">
        <v>45936.415555555555</v>
      </c>
    </row>
    <row r="9166" spans="1:10" x14ac:dyDescent="0.2">
      <c r="A9166" s="4" t="s">
        <v>1</v>
      </c>
      <c r="B9166" s="3" t="str">
        <f>HYPERLINK("https://otsuka-europe-crm.veevavault.com/ui/#object/approved_document__v/V5OZ025E82TPVZ3", "INA - Invitación y programa Simposio SEHH 2025")</f>
        <v>INA - Invitación y programa Simposio SEHH 2025</v>
      </c>
      <c r="C9166" s="3" t="str">
        <f>HYPERLINK("https://otsuka-europe-crm.veevavault.com/ui/#object/sent_email__v/VBLZ025E82HB53V", "SE-000283488")</f>
        <v>SE-000283488</v>
      </c>
      <c r="D9166" s="1">
        <v>45936.456076388888</v>
      </c>
      <c r="E9166" s="2">
        <v>1</v>
      </c>
      <c r="F9166" s="2">
        <v>1</v>
      </c>
      <c r="G9166" s="2">
        <v>1</v>
      </c>
      <c r="H9166" s="1">
        <v>45936.456076388888</v>
      </c>
      <c r="I9166" s="2">
        <v>1</v>
      </c>
      <c r="J9166" s="1">
        <v>45936.415555555555</v>
      </c>
    </row>
    <row r="9167" spans="1:10" x14ac:dyDescent="0.2">
      <c r="A9167" s="4" t="s">
        <v>1</v>
      </c>
      <c r="B9167" s="3" t="str">
        <f>HYPERLINK("https://otsuka-europe-crm.veevavault.com/ui/#object/approved_document__v/V5OZ025E82TPVZ3", "INA - Invitación y programa Simposio SEHH 2025")</f>
        <v>INA - Invitación y programa Simposio SEHH 2025</v>
      </c>
      <c r="C9167" s="3" t="str">
        <f>HYPERLINK("https://otsuka-europe-crm.veevavault.com/ui/#object/sent_email__v/VBLZ025E82HB53W", "SE-000283489")</f>
        <v>SE-000283489</v>
      </c>
      <c r="D9167" s="1" t="s">
        <v>0</v>
      </c>
      <c r="E9167" s="2">
        <v>0</v>
      </c>
      <c r="F9167" s="2">
        <v>0</v>
      </c>
      <c r="G9167" s="2">
        <v>0</v>
      </c>
      <c r="H9167" s="1" t="s">
        <v>0</v>
      </c>
      <c r="I9167" s="2">
        <v>0</v>
      </c>
      <c r="J9167" s="1">
        <v>45936.415567129632</v>
      </c>
    </row>
    <row r="9168" spans="1:10" x14ac:dyDescent="0.2">
      <c r="A9168" s="4" t="s">
        <v>1</v>
      </c>
      <c r="B9168" s="3" t="str">
        <f>HYPERLINK("https://otsuka-europe-crm.veevavault.com/ui/#object/approved_document__v/V5OZ025E82TPVZ3", "INA - Invitación y programa Simposio SEHH 2025")</f>
        <v>INA - Invitación y programa Simposio SEHH 2025</v>
      </c>
      <c r="C9168" s="3" t="str">
        <f>HYPERLINK("https://otsuka-europe-crm.veevavault.com/ui/#object/sent_email__v/VBLZ025E82HB53X", "SE-000283490")</f>
        <v>SE-000283490</v>
      </c>
      <c r="D9168" s="1">
        <v>45936.923148148147</v>
      </c>
      <c r="E9168" s="2">
        <v>1</v>
      </c>
      <c r="F9168" s="2">
        <v>3</v>
      </c>
      <c r="G9168" s="2">
        <v>0</v>
      </c>
      <c r="H9168" s="1" t="s">
        <v>0</v>
      </c>
      <c r="I9168" s="2">
        <v>0</v>
      </c>
      <c r="J9168" s="1">
        <v>45936.415578703702</v>
      </c>
    </row>
    <row r="9169" spans="1:10" x14ac:dyDescent="0.2">
      <c r="A9169" s="4" t="s">
        <v>1</v>
      </c>
      <c r="B9169" s="3" t="str">
        <f>HYPERLINK("https://otsuka-europe-crm.veevavault.com/ui/#object/approved_document__v/V5OZ025E82TPVZ3", "INA - Invitación y programa Simposio SEHH 2025")</f>
        <v>INA - Invitación y programa Simposio SEHH 2025</v>
      </c>
      <c r="C9169" s="3" t="str">
        <f>HYPERLINK("https://otsuka-europe-crm.veevavault.com/ui/#object/sent_email__v/VBLZ025E82HB53Y", "SE-000283491")</f>
        <v>SE-000283491</v>
      </c>
      <c r="D9169" s="1">
        <v>45936.415648148148</v>
      </c>
      <c r="E9169" s="2">
        <v>1</v>
      </c>
      <c r="F9169" s="2">
        <v>4</v>
      </c>
      <c r="G9169" s="2">
        <v>1</v>
      </c>
      <c r="H9169" s="1">
        <v>45936.415729166663</v>
      </c>
      <c r="I9169" s="2">
        <v>10</v>
      </c>
      <c r="J9169" s="1">
        <v>45936.415590277778</v>
      </c>
    </row>
    <row r="9170" spans="1:10" x14ac:dyDescent="0.2">
      <c r="A9170" s="4" t="s">
        <v>1</v>
      </c>
      <c r="B9170" s="3" t="str">
        <f>HYPERLINK("https://otsuka-europe-crm.veevavault.com/ui/#object/approved_document__v/V5OZ025E82TPVZ3", "INA - Invitación y programa Simposio SEHH 2025")</f>
        <v>INA - Invitación y programa Simposio SEHH 2025</v>
      </c>
      <c r="C9170" s="3" t="str">
        <f>HYPERLINK("https://otsuka-europe-crm.veevavault.com/ui/#object/sent_email__v/VBLZ025E82HB53Z", "SE-000283492")</f>
        <v>SE-000283492</v>
      </c>
      <c r="D9170" s="1">
        <v>45936.617650462962</v>
      </c>
      <c r="E9170" s="2">
        <v>1</v>
      </c>
      <c r="F9170" s="2">
        <v>2</v>
      </c>
      <c r="G9170" s="2">
        <v>0</v>
      </c>
      <c r="H9170" s="1" t="s">
        <v>0</v>
      </c>
      <c r="I9170" s="2">
        <v>0</v>
      </c>
      <c r="J9170" s="1">
        <v>45936.415601851855</v>
      </c>
    </row>
    <row r="9171" spans="1:10" x14ac:dyDescent="0.2">
      <c r="A9171" s="4" t="s">
        <v>1</v>
      </c>
      <c r="B9171" s="3" t="str">
        <f>HYPERLINK("https://otsuka-europe-crm.veevavault.com/ui/#object/approved_document__v/V5OZ025E82TPVZ3", "INA - Invitación y programa Simposio SEHH 2025")</f>
        <v>INA - Invitación y programa Simposio SEHH 2025</v>
      </c>
      <c r="C9171" s="3" t="str">
        <f>HYPERLINK("https://otsuka-europe-crm.veevavault.com/ui/#object/sent_email__v/VBLZ025E82HB540", "SE-000283493")</f>
        <v>SE-000283493</v>
      </c>
      <c r="D9171" s="1">
        <v>45938.919687499998</v>
      </c>
      <c r="E9171" s="2">
        <v>1</v>
      </c>
      <c r="F9171" s="2">
        <v>1</v>
      </c>
      <c r="G9171" s="2">
        <v>0</v>
      </c>
      <c r="H9171" s="1" t="s">
        <v>0</v>
      </c>
      <c r="I9171" s="2">
        <v>0</v>
      </c>
      <c r="J9171" s="1">
        <v>45936.415613425925</v>
      </c>
    </row>
    <row r="9172" spans="1:10" x14ac:dyDescent="0.2">
      <c r="A9172" s="4" t="s">
        <v>1</v>
      </c>
      <c r="B9172" s="3" t="str">
        <f>HYPERLINK("https://otsuka-europe-crm.veevavault.com/ui/#object/approved_document__v/V5OZ025E82TPVZ3", "INA - Invitación y programa Simposio SEHH 2025")</f>
        <v>INA - Invitación y programa Simposio SEHH 2025</v>
      </c>
      <c r="C9172" s="3" t="str">
        <f>HYPERLINK("https://otsuka-europe-crm.veevavault.com/ui/#object/sent_email__v/VBLZ025E82HB63T", "SE-000283494")</f>
        <v>SE-000283494</v>
      </c>
      <c r="D9172" s="1">
        <v>45936.487037037034</v>
      </c>
      <c r="E9172" s="2">
        <v>1</v>
      </c>
      <c r="F9172" s="2">
        <v>1</v>
      </c>
      <c r="G9172" s="2">
        <v>0</v>
      </c>
      <c r="H9172" s="1" t="s">
        <v>0</v>
      </c>
      <c r="I9172" s="2">
        <v>0</v>
      </c>
      <c r="J9172" s="1">
        <v>45936.418078703704</v>
      </c>
    </row>
    <row r="9173" spans="1:10" x14ac:dyDescent="0.2">
      <c r="A9173" s="4" t="s">
        <v>1</v>
      </c>
      <c r="B9173" s="3" t="str">
        <f>HYPERLINK("https://otsuka-europe-crm.veevavault.com/ui/#object/approved_document__v/V5OZ025E82TPVZ3", "INA - Invitación y programa Simposio SEHH 2025")</f>
        <v>INA - Invitación y programa Simposio SEHH 2025</v>
      </c>
      <c r="C9173" s="3" t="str">
        <f>HYPERLINK("https://otsuka-europe-crm.veevavault.com/ui/#object/sent_email__v/VBLZ025E82HB63U", "SE-000283495")</f>
        <v>SE-000283495</v>
      </c>
      <c r="D9173" s="1">
        <v>45936.847986111112</v>
      </c>
      <c r="E9173" s="2">
        <v>1</v>
      </c>
      <c r="F9173" s="2">
        <v>1</v>
      </c>
      <c r="G9173" s="2">
        <v>0</v>
      </c>
      <c r="H9173" s="1" t="s">
        <v>0</v>
      </c>
      <c r="I9173" s="2">
        <v>0</v>
      </c>
      <c r="J9173" s="1">
        <v>45936.418090277781</v>
      </c>
    </row>
    <row r="9174" spans="1:10" x14ac:dyDescent="0.2">
      <c r="A9174" s="4" t="s">
        <v>1</v>
      </c>
      <c r="B9174" s="3" t="str">
        <f>HYPERLINK("https://otsuka-europe-crm.veevavault.com/ui/#object/approved_document__v/V5OZ025E82TPVZ3", "INA - Invitación y programa Simposio SEHH 2025")</f>
        <v>INA - Invitación y programa Simposio SEHH 2025</v>
      </c>
      <c r="C9174" s="3" t="str">
        <f>HYPERLINK("https://otsuka-europe-crm.veevavault.com/ui/#object/sent_email__v/VBLZ025E82HB6EX", "SE-000283496")</f>
        <v>SE-000283496</v>
      </c>
      <c r="D9174" s="1">
        <v>45937.972013888888</v>
      </c>
      <c r="E9174" s="2">
        <v>1</v>
      </c>
      <c r="F9174" s="2">
        <v>2</v>
      </c>
      <c r="G9174" s="2">
        <v>0</v>
      </c>
      <c r="H9174" s="1" t="s">
        <v>0</v>
      </c>
      <c r="I9174" s="2">
        <v>0</v>
      </c>
      <c r="J9174" s="1">
        <v>45936.431168981479</v>
      </c>
    </row>
    <row r="9175" spans="1:10" x14ac:dyDescent="0.2">
      <c r="A9175" s="4" t="s">
        <v>1</v>
      </c>
      <c r="B9175" s="3" t="str">
        <f>HYPERLINK("https://otsuka-europe-crm.veevavault.com/ui/#object/approved_document__v/V5OZ025E82TPVZ3", "INA - Invitación y programa Simposio SEHH 2025")</f>
        <v>INA - Invitación y programa Simposio SEHH 2025</v>
      </c>
      <c r="C9175" s="3" t="str">
        <f>HYPERLINK("https://otsuka-europe-crm.veevavault.com/ui/#object/sent_email__v/VBLZ025E82HB6EY", "SE-000283497")</f>
        <v>SE-000283497</v>
      </c>
      <c r="D9175" s="1">
        <v>45943.616944444446</v>
      </c>
      <c r="E9175" s="2">
        <v>1</v>
      </c>
      <c r="F9175" s="2">
        <v>1</v>
      </c>
      <c r="G9175" s="2">
        <v>0</v>
      </c>
      <c r="H9175" s="1" t="s">
        <v>0</v>
      </c>
      <c r="I9175" s="2">
        <v>0</v>
      </c>
      <c r="J9175" s="1">
        <v>45936.426458333335</v>
      </c>
    </row>
    <row r="9176" spans="1:10" x14ac:dyDescent="0.2">
      <c r="A9176" s="4" t="s">
        <v>1</v>
      </c>
      <c r="B9176" s="3" t="str">
        <f>HYPERLINK("https://otsuka-europe-crm.veevavault.com/ui/#object/approved_document__v/V5OZ025E82TPVZ3", "INA - Invitación y programa Simposio SEHH 2025")</f>
        <v>INA - Invitación y programa Simposio SEHH 2025</v>
      </c>
      <c r="C9176" s="3" t="str">
        <f>HYPERLINK("https://otsuka-europe-crm.veevavault.com/ui/#object/sent_email__v/VBLZ025E82HB6EZ", "SE-000283498")</f>
        <v>SE-000283498</v>
      </c>
      <c r="D9176" s="1">
        <v>45957.733090277776</v>
      </c>
      <c r="E9176" s="2">
        <v>1</v>
      </c>
      <c r="F9176" s="2">
        <v>2</v>
      </c>
      <c r="G9176" s="2">
        <v>0</v>
      </c>
      <c r="H9176" s="1" t="s">
        <v>0</v>
      </c>
      <c r="I9176" s="2">
        <v>0</v>
      </c>
      <c r="J9176" s="1">
        <v>45936.431203703702</v>
      </c>
    </row>
    <row r="9177" spans="1:10" x14ac:dyDescent="0.2">
      <c r="A9177" s="4" t="s">
        <v>1</v>
      </c>
      <c r="B9177" s="3" t="str">
        <f>HYPERLINK("https://otsuka-europe-crm.veevavault.com/ui/#object/approved_document__v/V5OZ025E82TPVZ3", "INA - Invitación y programa Simposio SEHH 2025")</f>
        <v>INA - Invitación y programa Simposio SEHH 2025</v>
      </c>
      <c r="C9177" s="3" t="str">
        <f>HYPERLINK("https://otsuka-europe-crm.veevavault.com/ui/#object/sent_email__v/VBLZ025E82HB6F0", "SE-000283499")</f>
        <v>SE-000283499</v>
      </c>
      <c r="D9177" s="1">
        <v>45936.955289351848</v>
      </c>
      <c r="E9177" s="2">
        <v>1</v>
      </c>
      <c r="F9177" s="2">
        <v>1</v>
      </c>
      <c r="G9177" s="2">
        <v>0</v>
      </c>
      <c r="H9177" s="1" t="s">
        <v>0</v>
      </c>
      <c r="I9177" s="2">
        <v>0</v>
      </c>
      <c r="J9177" s="1">
        <v>45936.430983796294</v>
      </c>
    </row>
    <row r="9178" spans="1:10" x14ac:dyDescent="0.2">
      <c r="A9178" s="4" t="s">
        <v>1</v>
      </c>
      <c r="B9178" s="3" t="str">
        <f>HYPERLINK("https://otsuka-europe-crm.veevavault.com/ui/#object/approved_document__v/V5OZ025E82TPVZ3", "INA - Invitación y programa Simposio SEHH 2025")</f>
        <v>INA - Invitación y programa Simposio SEHH 2025</v>
      </c>
      <c r="C9178" s="3" t="str">
        <f>HYPERLINK("https://otsuka-europe-crm.veevavault.com/ui/#object/sent_email__v/VBLZ025E82HB6F1", "SE-000283500")</f>
        <v>SE-000283500</v>
      </c>
      <c r="D9178" s="1" t="s">
        <v>0</v>
      </c>
      <c r="E9178" s="2">
        <v>0</v>
      </c>
      <c r="F9178" s="2">
        <v>0</v>
      </c>
      <c r="G9178" s="2">
        <v>0</v>
      </c>
      <c r="H9178" s="1" t="s">
        <v>0</v>
      </c>
      <c r="I9178" s="2">
        <v>0</v>
      </c>
      <c r="J9178" s="1">
        <v>45936.431111111109</v>
      </c>
    </row>
    <row r="9179" spans="1:10" x14ac:dyDescent="0.2">
      <c r="A9179" s="4" t="s">
        <v>1</v>
      </c>
      <c r="B9179" s="3" t="str">
        <f>HYPERLINK("https://otsuka-europe-crm.veevavault.com/ui/#object/approved_document__v/V5OZ025E82TPVZ3", "INA - Invitación y programa Simposio SEHH 2025")</f>
        <v>INA - Invitación y programa Simposio SEHH 2025</v>
      </c>
      <c r="C9179" s="3" t="str">
        <f>HYPERLINK("https://otsuka-europe-crm.veevavault.com/ui/#object/sent_email__v/VBLZ025E82HB6F2", "SE-000283501")</f>
        <v>SE-000283501</v>
      </c>
      <c r="D9179" s="1" t="s">
        <v>0</v>
      </c>
      <c r="E9179" s="2">
        <v>0</v>
      </c>
      <c r="F9179" s="2">
        <v>0</v>
      </c>
      <c r="G9179" s="2">
        <v>0</v>
      </c>
      <c r="H9179" s="1" t="s">
        <v>0</v>
      </c>
      <c r="I9179" s="2">
        <v>0</v>
      </c>
      <c r="J9179" s="1">
        <v>45936.43074074074</v>
      </c>
    </row>
    <row r="9180" spans="1:10" x14ac:dyDescent="0.2">
      <c r="A9180" s="4" t="s">
        <v>1</v>
      </c>
      <c r="B9180" s="3" t="str">
        <f>HYPERLINK("https://otsuka-europe-crm.veevavault.com/ui/#object/approved_document__v/V5OZ025E82TPVZ3", "INA - Invitación y programa Simposio SEHH 2025")</f>
        <v>INA - Invitación y programa Simposio SEHH 2025</v>
      </c>
      <c r="C9180" s="3" t="str">
        <f>HYPERLINK("https://otsuka-europe-crm.veevavault.com/ui/#object/sent_email__v/VBLZ025E82HB6F3", "SE-000283502")</f>
        <v>SE-000283502</v>
      </c>
      <c r="D9180" s="1">
        <v>45936.591446759259</v>
      </c>
      <c r="E9180" s="2">
        <v>1</v>
      </c>
      <c r="F9180" s="2">
        <v>1</v>
      </c>
      <c r="G9180" s="2">
        <v>0</v>
      </c>
      <c r="H9180" s="1" t="s">
        <v>0</v>
      </c>
      <c r="I9180" s="2">
        <v>0</v>
      </c>
      <c r="J9180" s="1">
        <v>45936.431030092594</v>
      </c>
    </row>
    <row r="9181" spans="1:10" x14ac:dyDescent="0.2">
      <c r="A9181" s="4" t="s">
        <v>1</v>
      </c>
      <c r="B9181" s="3" t="str">
        <f>HYPERLINK("https://otsuka-europe-crm.veevavault.com/ui/#object/approved_document__v/V5OZ025E82TPVZ3", "INA - Invitación y programa Simposio SEHH 2025")</f>
        <v>INA - Invitación y programa Simposio SEHH 2025</v>
      </c>
      <c r="C9181" s="3" t="str">
        <f>HYPERLINK("https://otsuka-europe-crm.veevavault.com/ui/#object/sent_email__v/VBLZ025E82HB6F4", "SE-000283503")</f>
        <v>SE-000283503</v>
      </c>
      <c r="D9181" s="1">
        <v>45968.45108796296</v>
      </c>
      <c r="E9181" s="2">
        <v>1</v>
      </c>
      <c r="F9181" s="2">
        <v>1</v>
      </c>
      <c r="G9181" s="2">
        <v>0</v>
      </c>
      <c r="H9181" s="1" t="s">
        <v>0</v>
      </c>
      <c r="I9181" s="2">
        <v>0</v>
      </c>
      <c r="J9181" s="1">
        <v>45936.431134259263</v>
      </c>
    </row>
    <row r="9182" spans="1:10" x14ac:dyDescent="0.2">
      <c r="A9182" s="4" t="s">
        <v>1</v>
      </c>
      <c r="B9182" s="3" t="str">
        <f>HYPERLINK("https://otsuka-europe-crm.veevavault.com/ui/#object/approved_document__v/V5OZ025E82TPVZ3", "INA - Invitación y programa Simposio SEHH 2025")</f>
        <v>INA - Invitación y programa Simposio SEHH 2025</v>
      </c>
      <c r="C9182" s="3" t="str">
        <f>HYPERLINK("https://otsuka-europe-crm.veevavault.com/ui/#object/sent_email__v/VBLZ025E82HB6F5", "SE-000283504")</f>
        <v>SE-000283504</v>
      </c>
      <c r="D9182" s="1">
        <v>45936.496412037035</v>
      </c>
      <c r="E9182" s="2">
        <v>1</v>
      </c>
      <c r="F9182" s="2">
        <v>1</v>
      </c>
      <c r="G9182" s="2">
        <v>0</v>
      </c>
      <c r="H9182" s="1" t="s">
        <v>0</v>
      </c>
      <c r="I9182" s="2">
        <v>0</v>
      </c>
      <c r="J9182" s="1">
        <v>45936.431111111109</v>
      </c>
    </row>
    <row r="9183" spans="1:10" x14ac:dyDescent="0.2">
      <c r="A9183" s="4" t="s">
        <v>1</v>
      </c>
      <c r="B9183" s="3" t="str">
        <f>HYPERLINK("https://otsuka-europe-crm.veevavault.com/ui/#object/approved_document__v/V5OZ025E82TPVZ3", "INA - Invitación y programa Simposio SEHH 2025")</f>
        <v>INA - Invitación y programa Simposio SEHH 2025</v>
      </c>
      <c r="C9183" s="3" t="str">
        <f>HYPERLINK("https://otsuka-europe-crm.veevavault.com/ui/#object/sent_email__v/VBLZ025E82HB6F6", "SE-000283505")</f>
        <v>SE-000283505</v>
      </c>
      <c r="D9183" s="1">
        <v>45936.435613425929</v>
      </c>
      <c r="E9183" s="2">
        <v>1</v>
      </c>
      <c r="F9183" s="2">
        <v>1</v>
      </c>
      <c r="G9183" s="2">
        <v>0</v>
      </c>
      <c r="H9183" s="1" t="s">
        <v>0</v>
      </c>
      <c r="I9183" s="2">
        <v>0</v>
      </c>
      <c r="J9183" s="1">
        <v>45936.431215277778</v>
      </c>
    </row>
    <row r="9184" spans="1:10" x14ac:dyDescent="0.2">
      <c r="A9184" s="4" t="s">
        <v>1</v>
      </c>
      <c r="B9184" s="3" t="str">
        <f>HYPERLINK("https://otsuka-europe-crm.veevavault.com/ui/#object/approved_document__v/V5OZ025E82TPVZ3", "INA - Invitación y programa Simposio SEHH 2025")</f>
        <v>INA - Invitación y programa Simposio SEHH 2025</v>
      </c>
      <c r="C9184" s="3" t="str">
        <f>HYPERLINK("https://otsuka-europe-crm.veevavault.com/ui/#object/sent_email__v/VBLZ025E82HB6F7", "SE-000283506")</f>
        <v>SE-000283506</v>
      </c>
      <c r="D9184" s="1" t="s">
        <v>0</v>
      </c>
      <c r="E9184" s="2">
        <v>0</v>
      </c>
      <c r="F9184" s="2">
        <v>0</v>
      </c>
      <c r="G9184" s="2">
        <v>0</v>
      </c>
      <c r="H9184" s="1" t="s">
        <v>0</v>
      </c>
      <c r="I9184" s="2">
        <v>0</v>
      </c>
      <c r="J9184" s="1">
        <v>45936.431377314817</v>
      </c>
    </row>
    <row r="9185" spans="1:10" x14ac:dyDescent="0.2">
      <c r="A9185" s="4" t="s">
        <v>1</v>
      </c>
      <c r="B9185" s="3" t="str">
        <f>HYPERLINK("https://otsuka-europe-crm.veevavault.com/ui/#object/approved_document__v/V5OZ025E82TPVZ3", "INA - Invitación y programa Simposio SEHH 2025")</f>
        <v>INA - Invitación y programa Simposio SEHH 2025</v>
      </c>
      <c r="C9185" s="3" t="str">
        <f>HYPERLINK("https://otsuka-europe-crm.veevavault.com/ui/#object/sent_email__v/VBLZ025E82HB6F8", "SE-000283507")</f>
        <v>SE-000283507</v>
      </c>
      <c r="D9185" s="1" t="s">
        <v>0</v>
      </c>
      <c r="E9185" s="2">
        <v>0</v>
      </c>
      <c r="F9185" s="2">
        <v>0</v>
      </c>
      <c r="G9185" s="2">
        <v>0</v>
      </c>
      <c r="H9185" s="1" t="s">
        <v>0</v>
      </c>
      <c r="I9185" s="2">
        <v>0</v>
      </c>
      <c r="J9185" s="1">
        <v>45936.426990740743</v>
      </c>
    </row>
    <row r="9186" spans="1:10" x14ac:dyDescent="0.2">
      <c r="A9186" s="4" t="s">
        <v>1</v>
      </c>
      <c r="B9186" s="3" t="str">
        <f>HYPERLINK("https://otsuka-europe-crm.veevavault.com/ui/#object/approved_document__v/V5OZ025E82TPVZ3", "INA - Invitación y programa Simposio SEHH 2025")</f>
        <v>INA - Invitación y programa Simposio SEHH 2025</v>
      </c>
      <c r="C9186" s="3" t="str">
        <f>HYPERLINK("https://otsuka-europe-crm.veevavault.com/ui/#object/sent_email__v/VBLZ025E82HB6F9", "SE-000283508")</f>
        <v>SE-000283508</v>
      </c>
      <c r="D9186" s="1">
        <v>45936.616747685184</v>
      </c>
      <c r="E9186" s="2">
        <v>1</v>
      </c>
      <c r="F9186" s="2">
        <v>1</v>
      </c>
      <c r="G9186" s="2">
        <v>0</v>
      </c>
      <c r="H9186" s="1" t="s">
        <v>0</v>
      </c>
      <c r="I9186" s="2">
        <v>0</v>
      </c>
      <c r="J9186" s="1">
        <v>45936.431006944447</v>
      </c>
    </row>
    <row r="9187" spans="1:10" x14ac:dyDescent="0.2">
      <c r="A9187" s="4" t="s">
        <v>1</v>
      </c>
      <c r="B9187" s="3" t="str">
        <f>HYPERLINK("https://otsuka-europe-crm.veevavault.com/ui/#object/approved_document__v/V5OZ025E82TPVZ3", "INA - Invitación y programa Simposio SEHH 2025")</f>
        <v>INA - Invitación y programa Simposio SEHH 2025</v>
      </c>
      <c r="C9187" s="3" t="str">
        <f>HYPERLINK("https://otsuka-europe-crm.veevavault.com/ui/#object/sent_email__v/VBLZ025E82HB6FA", "SE-000283509")</f>
        <v>SE-000283509</v>
      </c>
      <c r="D9187" s="1">
        <v>45936.44090277778</v>
      </c>
      <c r="E9187" s="2">
        <v>1</v>
      </c>
      <c r="F9187" s="2">
        <v>1</v>
      </c>
      <c r="G9187" s="2">
        <v>1</v>
      </c>
      <c r="H9187" s="1">
        <v>45936.441030092596</v>
      </c>
      <c r="I9187" s="2">
        <v>1</v>
      </c>
      <c r="J9187" s="1">
        <v>45936.431145833332</v>
      </c>
    </row>
    <row r="9188" spans="1:10" x14ac:dyDescent="0.2">
      <c r="A9188" s="4" t="s">
        <v>1</v>
      </c>
      <c r="B9188" s="3" t="str">
        <f>HYPERLINK("https://otsuka-europe-crm.veevavault.com/ui/#object/approved_document__v/V5OZ025E82TPVZ3", "INA - Invitación y programa Simposio SEHH 2025")</f>
        <v>INA - Invitación y programa Simposio SEHH 2025</v>
      </c>
      <c r="C9188" s="3" t="str">
        <f>HYPERLINK("https://otsuka-europe-crm.veevavault.com/ui/#object/sent_email__v/VBLZ025E82HB6FB", "SE-000283510")</f>
        <v>SE-000283510</v>
      </c>
      <c r="D9188" s="1">
        <v>45938.057962962965</v>
      </c>
      <c r="E9188" s="2">
        <v>1</v>
      </c>
      <c r="F9188" s="2">
        <v>4</v>
      </c>
      <c r="G9188" s="2">
        <v>0</v>
      </c>
      <c r="H9188" s="1" t="s">
        <v>0</v>
      </c>
      <c r="I9188" s="2">
        <v>0</v>
      </c>
      <c r="J9188" s="1">
        <v>45936.426527777781</v>
      </c>
    </row>
    <row r="9189" spans="1:10" x14ac:dyDescent="0.2">
      <c r="A9189" s="4" t="s">
        <v>1</v>
      </c>
      <c r="B9189" s="3" t="str">
        <f>HYPERLINK("https://otsuka-europe-crm.veevavault.com/ui/#object/approved_document__v/V5OZ025E82TPVZ3", "INA - Invitación y programa Simposio SEHH 2025")</f>
        <v>INA - Invitación y programa Simposio SEHH 2025</v>
      </c>
      <c r="C9189" s="3" t="str">
        <f>HYPERLINK("https://otsuka-europe-crm.veevavault.com/ui/#object/sent_email__v/VBLZ025E82HB6FC", "SE-000283511")</f>
        <v>SE-000283511</v>
      </c>
      <c r="D9189" s="1" t="s">
        <v>0</v>
      </c>
      <c r="E9189" s="2">
        <v>0</v>
      </c>
      <c r="F9189" s="2">
        <v>0</v>
      </c>
      <c r="G9189" s="2">
        <v>0</v>
      </c>
      <c r="H9189" s="1" t="s">
        <v>0</v>
      </c>
      <c r="I9189" s="2">
        <v>0</v>
      </c>
      <c r="J9189" s="1">
        <v>45936.431006944447</v>
      </c>
    </row>
    <row r="9190" spans="1:10" x14ac:dyDescent="0.2">
      <c r="A9190" s="4" t="s">
        <v>1</v>
      </c>
      <c r="B9190" s="3" t="str">
        <f>HYPERLINK("https://otsuka-europe-crm.veevavault.com/ui/#object/approved_document__v/V5OZ025E82TPVZ3", "INA - Invitación y programa Simposio SEHH 2025")</f>
        <v>INA - Invitación y programa Simposio SEHH 2025</v>
      </c>
      <c r="C9190" s="3" t="str">
        <f>HYPERLINK("https://otsuka-europe-crm.veevavault.com/ui/#object/sent_email__v/VBLZ025E82HB6FD", "SE-000283512")</f>
        <v>SE-000283512</v>
      </c>
      <c r="D9190" s="1">
        <v>45936.448067129626</v>
      </c>
      <c r="E9190" s="2">
        <v>1</v>
      </c>
      <c r="F9190" s="2">
        <v>1</v>
      </c>
      <c r="G9190" s="2">
        <v>0</v>
      </c>
      <c r="H9190" s="1" t="s">
        <v>0</v>
      </c>
      <c r="I9190" s="2">
        <v>0</v>
      </c>
      <c r="J9190" s="1">
        <v>45936.428553240738</v>
      </c>
    </row>
    <row r="9191" spans="1:10" x14ac:dyDescent="0.2">
      <c r="A9191" s="4" t="s">
        <v>1</v>
      </c>
      <c r="B9191" s="3" t="str">
        <f>HYPERLINK("https://otsuka-europe-crm.veevavault.com/ui/#object/approved_document__v/V5OZ025E82TPVZ3", "INA - Invitación y programa Simposio SEHH 2025")</f>
        <v>INA - Invitación y programa Simposio SEHH 2025</v>
      </c>
      <c r="C9191" s="3" t="str">
        <f>HYPERLINK("https://otsuka-europe-crm.veevavault.com/ui/#object/sent_email__v/VBLZ025E82HB6FE", "SE-000283513")</f>
        <v>SE-000283513</v>
      </c>
      <c r="D9191" s="1" t="s">
        <v>0</v>
      </c>
      <c r="E9191" s="2">
        <v>0</v>
      </c>
      <c r="F9191" s="2">
        <v>0</v>
      </c>
      <c r="G9191" s="2">
        <v>0</v>
      </c>
      <c r="H9191" s="1" t="s">
        <v>0</v>
      </c>
      <c r="I9191" s="2">
        <v>0</v>
      </c>
      <c r="J9191" s="1">
        <v>45936.427916666667</v>
      </c>
    </row>
    <row r="9192" spans="1:10" x14ac:dyDescent="0.2">
      <c r="A9192" s="4" t="s">
        <v>1</v>
      </c>
      <c r="B9192" s="3" t="str">
        <f>HYPERLINK("https://otsuka-europe-crm.veevavault.com/ui/#object/approved_document__v/V5OZ025E82TPVZ3", "INA - Invitación y programa Simposio SEHH 2025")</f>
        <v>INA - Invitación y programa Simposio SEHH 2025</v>
      </c>
      <c r="C9192" s="3" t="str">
        <f>HYPERLINK("https://otsuka-europe-crm.veevavault.com/ui/#object/sent_email__v/VBLZ025E82HB6FF", "SE-000283514")</f>
        <v>SE-000283514</v>
      </c>
      <c r="D9192" s="1">
        <v>45936.825185185182</v>
      </c>
      <c r="E9192" s="2">
        <v>1</v>
      </c>
      <c r="F9192" s="2">
        <v>1</v>
      </c>
      <c r="G9192" s="2">
        <v>0</v>
      </c>
      <c r="H9192" s="1" t="s">
        <v>0</v>
      </c>
      <c r="I9192" s="2">
        <v>0</v>
      </c>
      <c r="J9192" s="1">
        <v>45936.431134259263</v>
      </c>
    </row>
    <row r="9193" spans="1:10" x14ac:dyDescent="0.2">
      <c r="A9193" s="4" t="s">
        <v>1</v>
      </c>
      <c r="B9193" s="3" t="str">
        <f>HYPERLINK("https://otsuka-europe-crm.veevavault.com/ui/#object/approved_document__v/V5OZ025E82TPVZ3", "INA - Invitación y programa Simposio SEHH 2025")</f>
        <v>INA - Invitación y programa Simposio SEHH 2025</v>
      </c>
      <c r="C9193" s="3" t="str">
        <f>HYPERLINK("https://otsuka-europe-crm.veevavault.com/ui/#object/sent_email__v/VBLZ025E82HB6FG", "SE-000283515")</f>
        <v>SE-000283515</v>
      </c>
      <c r="D9193" s="1">
        <v>45936.574733796297</v>
      </c>
      <c r="E9193" s="2">
        <v>1</v>
      </c>
      <c r="F9193" s="2">
        <v>2</v>
      </c>
      <c r="G9193" s="2">
        <v>0</v>
      </c>
      <c r="H9193" s="1" t="s">
        <v>0</v>
      </c>
      <c r="I9193" s="2">
        <v>0</v>
      </c>
      <c r="J9193" s="1">
        <v>45936.429571759261</v>
      </c>
    </row>
    <row r="9194" spans="1:10" x14ac:dyDescent="0.2">
      <c r="A9194" s="4" t="s">
        <v>1</v>
      </c>
      <c r="B9194" s="3" t="str">
        <f>HYPERLINK("https://otsuka-europe-crm.veevavault.com/ui/#object/approved_document__v/V5OZ025E82TPVZ3", "INA - Invitación y programa Simposio SEHH 2025")</f>
        <v>INA - Invitación y programa Simposio SEHH 2025</v>
      </c>
      <c r="C9194" s="3" t="str">
        <f>HYPERLINK("https://otsuka-europe-crm.veevavault.com/ui/#object/sent_email__v/VBLZ025E82HB6FH", "SE-000283516")</f>
        <v>SE-000283516</v>
      </c>
      <c r="D9194" s="1">
        <v>45936.88380787037</v>
      </c>
      <c r="E9194" s="2">
        <v>1</v>
      </c>
      <c r="F9194" s="2">
        <v>1</v>
      </c>
      <c r="G9194" s="2">
        <v>0</v>
      </c>
      <c r="H9194" s="1" t="s">
        <v>0</v>
      </c>
      <c r="I9194" s="2">
        <v>0</v>
      </c>
      <c r="J9194" s="1">
        <v>45936.430543981478</v>
      </c>
    </row>
    <row r="9195" spans="1:10" x14ac:dyDescent="0.2">
      <c r="A9195" s="4" t="s">
        <v>1</v>
      </c>
      <c r="B9195" s="3" t="str">
        <f>HYPERLINK("https://otsuka-europe-crm.veevavault.com/ui/#object/approved_document__v/V5OZ025E82TPVZ3", "INA - Invitación y programa Simposio SEHH 2025")</f>
        <v>INA - Invitación y programa Simposio SEHH 2025</v>
      </c>
      <c r="C9195" s="3" t="str">
        <f>HYPERLINK("https://otsuka-europe-crm.veevavault.com/ui/#object/sent_email__v/VBLZ025E82HB6FI", "SE-000283517")</f>
        <v>SE-000283517</v>
      </c>
      <c r="D9195" s="1">
        <v>45941.885277777779</v>
      </c>
      <c r="E9195" s="2">
        <v>1</v>
      </c>
      <c r="F9195" s="2">
        <v>2</v>
      </c>
      <c r="G9195" s="2">
        <v>1</v>
      </c>
      <c r="H9195" s="1">
        <v>45936.455150462964</v>
      </c>
      <c r="I9195" s="2">
        <v>1</v>
      </c>
      <c r="J9195" s="1">
        <v>45936.431030092594</v>
      </c>
    </row>
    <row r="9196" spans="1:10" x14ac:dyDescent="0.2">
      <c r="A9196" s="4" t="s">
        <v>1</v>
      </c>
      <c r="B9196" s="3" t="str">
        <f>HYPERLINK("https://otsuka-europe-crm.veevavault.com/ui/#object/approved_document__v/V5OZ025E82TPVZ3", "INA - Invitación y programa Simposio SEHH 2025")</f>
        <v>INA - Invitación y programa Simposio SEHH 2025</v>
      </c>
      <c r="C9196" s="3" t="str">
        <f>HYPERLINK("https://otsuka-europe-crm.veevavault.com/ui/#object/sent_email__v/VBLZ025E82HB6FJ", "SE-000283518")</f>
        <v>SE-000283518</v>
      </c>
      <c r="D9196" s="1" t="s">
        <v>0</v>
      </c>
      <c r="E9196" s="2">
        <v>0</v>
      </c>
      <c r="F9196" s="2">
        <v>0</v>
      </c>
      <c r="G9196" s="2">
        <v>0</v>
      </c>
      <c r="H9196" s="1" t="s">
        <v>0</v>
      </c>
      <c r="I9196" s="2">
        <v>0</v>
      </c>
      <c r="J9196" s="1">
        <v>45936.430439814816</v>
      </c>
    </row>
    <row r="9197" spans="1:10" x14ac:dyDescent="0.2">
      <c r="A9197" s="4" t="s">
        <v>1</v>
      </c>
      <c r="B9197" s="3" t="str">
        <f>HYPERLINK("https://otsuka-europe-crm.veevavault.com/ui/#object/approved_document__v/V5OZ025E82TPVZ3", "INA - Invitación y programa Simposio SEHH 2025")</f>
        <v>INA - Invitación y programa Simposio SEHH 2025</v>
      </c>
      <c r="C9197" s="3" t="str">
        <f>HYPERLINK("https://otsuka-europe-crm.veevavault.com/ui/#object/sent_email__v/VBLZ025E82HB6FK", "SE-000283519")</f>
        <v>SE-000283519</v>
      </c>
      <c r="D9197" s="1">
        <v>45936.746261574073</v>
      </c>
      <c r="E9197" s="2">
        <v>1</v>
      </c>
      <c r="F9197" s="2">
        <v>3</v>
      </c>
      <c r="G9197" s="2">
        <v>0</v>
      </c>
      <c r="H9197" s="1" t="s">
        <v>0</v>
      </c>
      <c r="I9197" s="2">
        <v>0</v>
      </c>
      <c r="J9197" s="1">
        <v>45936.431076388886</v>
      </c>
    </row>
    <row r="9198" spans="1:10" x14ac:dyDescent="0.2">
      <c r="A9198" s="4" t="s">
        <v>1</v>
      </c>
      <c r="B9198" s="3" t="str">
        <f>HYPERLINK("https://otsuka-europe-crm.veevavault.com/ui/#object/approved_document__v/V5OZ025E82TPVZ3", "INA - Invitación y programa Simposio SEHH 2025")</f>
        <v>INA - Invitación y programa Simposio SEHH 2025</v>
      </c>
      <c r="C9198" s="3" t="str">
        <f>HYPERLINK("https://otsuka-europe-crm.veevavault.com/ui/#object/sent_email__v/VBLZ025E82HB6FL", "SE-000283520")</f>
        <v>SE-000283520</v>
      </c>
      <c r="D9198" s="1" t="s">
        <v>0</v>
      </c>
      <c r="E9198" s="2">
        <v>0</v>
      </c>
      <c r="F9198" s="2">
        <v>0</v>
      </c>
      <c r="G9198" s="2">
        <v>0</v>
      </c>
      <c r="H9198" s="1" t="s">
        <v>0</v>
      </c>
      <c r="I9198" s="2">
        <v>0</v>
      </c>
      <c r="J9198" s="1">
        <v>45936.431145833332</v>
      </c>
    </row>
    <row r="9199" spans="1:10" x14ac:dyDescent="0.2">
      <c r="A9199" s="4" t="s">
        <v>1</v>
      </c>
      <c r="B9199" s="3" t="str">
        <f>HYPERLINK("https://otsuka-europe-crm.veevavault.com/ui/#object/approved_document__v/V5OZ025E82TPVZ3", "INA - Invitación y programa Simposio SEHH 2025")</f>
        <v>INA - Invitación y programa Simposio SEHH 2025</v>
      </c>
      <c r="C9199" s="3" t="str">
        <f>HYPERLINK("https://otsuka-europe-crm.veevavault.com/ui/#object/sent_email__v/VBLZ025E82HB6FM", "SE-000283521")</f>
        <v>SE-000283521</v>
      </c>
      <c r="D9199" s="1">
        <v>45937.342060185183</v>
      </c>
      <c r="E9199" s="2">
        <v>1</v>
      </c>
      <c r="F9199" s="2">
        <v>7</v>
      </c>
      <c r="G9199" s="2">
        <v>0</v>
      </c>
      <c r="H9199" s="1" t="s">
        <v>0</v>
      </c>
      <c r="I9199" s="2">
        <v>0</v>
      </c>
      <c r="J9199" s="1">
        <v>45936.431030092594</v>
      </c>
    </row>
    <row r="9200" spans="1:10" x14ac:dyDescent="0.2">
      <c r="A9200" s="4" t="s">
        <v>1</v>
      </c>
      <c r="B9200" s="3" t="str">
        <f>HYPERLINK("https://otsuka-europe-crm.veevavault.com/ui/#object/approved_document__v/V5OZ025E82TPVZ3", "INA - Invitación y programa Simposio SEHH 2025")</f>
        <v>INA - Invitación y programa Simposio SEHH 2025</v>
      </c>
      <c r="C9200" s="3" t="str">
        <f>HYPERLINK("https://otsuka-europe-crm.veevavault.com/ui/#object/sent_email__v/VBLZ025E82HB6FN", "SE-000283522")</f>
        <v>SE-000283522</v>
      </c>
      <c r="D9200" s="1" t="s">
        <v>0</v>
      </c>
      <c r="E9200" s="2">
        <v>0</v>
      </c>
      <c r="F9200" s="2">
        <v>0</v>
      </c>
      <c r="G9200" s="2">
        <v>0</v>
      </c>
      <c r="H9200" s="1" t="s">
        <v>0</v>
      </c>
      <c r="I9200" s="2">
        <v>0</v>
      </c>
      <c r="J9200" s="1">
        <v>45936.431377314817</v>
      </c>
    </row>
    <row r="9201" spans="1:10" x14ac:dyDescent="0.2">
      <c r="A9201" s="4" t="s">
        <v>1</v>
      </c>
      <c r="B9201" s="3" t="str">
        <f>HYPERLINK("https://otsuka-europe-crm.veevavault.com/ui/#object/approved_document__v/V5OZ025E82TPVZ3", "INA - Invitación y programa Simposio SEHH 2025")</f>
        <v>INA - Invitación y programa Simposio SEHH 2025</v>
      </c>
      <c r="C9201" s="3" t="str">
        <f>HYPERLINK("https://otsuka-europe-crm.veevavault.com/ui/#object/sent_email__v/VBLZ025E82HB6FO", "SE-000283523")</f>
        <v>SE-000283523</v>
      </c>
      <c r="D9201" s="1" t="s">
        <v>0</v>
      </c>
      <c r="E9201" s="2">
        <v>0</v>
      </c>
      <c r="F9201" s="2">
        <v>0</v>
      </c>
      <c r="G9201" s="2">
        <v>0</v>
      </c>
      <c r="H9201" s="1" t="s">
        <v>0</v>
      </c>
      <c r="I9201" s="2">
        <v>0</v>
      </c>
      <c r="J9201" s="1">
        <v>45936.431192129632</v>
      </c>
    </row>
    <row r="9202" spans="1:10" x14ac:dyDescent="0.2">
      <c r="A9202" s="4" t="s">
        <v>1</v>
      </c>
      <c r="B9202" s="3" t="str">
        <f>HYPERLINK("https://otsuka-europe-crm.veevavault.com/ui/#object/approved_document__v/V5OZ025E82TPVZ3", "INA - Invitación y programa Simposio SEHH 2025")</f>
        <v>INA - Invitación y programa Simposio SEHH 2025</v>
      </c>
      <c r="C9202" s="3" t="str">
        <f>HYPERLINK("https://otsuka-europe-crm.veevavault.com/ui/#object/sent_email__v/VBLZ025E82HB6FP", "SE-000283524")</f>
        <v>SE-000283524</v>
      </c>
      <c r="D9202" s="1" t="s">
        <v>0</v>
      </c>
      <c r="E9202" s="2">
        <v>0</v>
      </c>
      <c r="F9202" s="2">
        <v>0</v>
      </c>
      <c r="G9202" s="2">
        <v>0</v>
      </c>
      <c r="H9202" s="1" t="s">
        <v>0</v>
      </c>
      <c r="I9202" s="2">
        <v>0</v>
      </c>
      <c r="J9202" s="1">
        <v>45936.431226851855</v>
      </c>
    </row>
    <row r="9203" spans="1:10" x14ac:dyDescent="0.2">
      <c r="A9203" s="4" t="s">
        <v>1</v>
      </c>
      <c r="B9203" s="3" t="str">
        <f>HYPERLINK("https://otsuka-europe-crm.veevavault.com/ui/#object/approved_document__v/V5OZ025E82TPVZ3", "INA - Invitación y programa Simposio SEHH 2025")</f>
        <v>INA - Invitación y programa Simposio SEHH 2025</v>
      </c>
      <c r="C9203" s="3" t="str">
        <f>HYPERLINK("https://otsuka-europe-crm.veevavault.com/ui/#object/sent_email__v/VBLZ025E82HB6N9", "SE-000283525")</f>
        <v>SE-000283525</v>
      </c>
      <c r="D9203" s="1" t="s">
        <v>0</v>
      </c>
      <c r="E9203" s="2">
        <v>0</v>
      </c>
      <c r="F9203" s="2">
        <v>0</v>
      </c>
      <c r="G9203" s="2">
        <v>0</v>
      </c>
      <c r="H9203" s="1" t="s">
        <v>0</v>
      </c>
      <c r="I9203" s="2">
        <v>0</v>
      </c>
      <c r="J9203" s="1">
        <v>45936.431296296294</v>
      </c>
    </row>
    <row r="9204" spans="1:10" x14ac:dyDescent="0.2">
      <c r="A9204" s="4" t="s">
        <v>1</v>
      </c>
      <c r="B9204" s="3" t="str">
        <f>HYPERLINK("https://otsuka-europe-crm.veevavault.com/ui/#object/approved_document__v/V5OZ025E82TPVZ3", "INA - Invitación y programa Simposio SEHH 2025")</f>
        <v>INA - Invitación y programa Simposio SEHH 2025</v>
      </c>
      <c r="C9204" s="3" t="str">
        <f>HYPERLINK("https://otsuka-europe-crm.veevavault.com/ui/#object/sent_email__v/VBLZ025E82HCIK9", "SE-000283660")</f>
        <v>SE-000283660</v>
      </c>
      <c r="D9204" s="1">
        <v>45937.339398148149</v>
      </c>
      <c r="E9204" s="2">
        <v>1</v>
      </c>
      <c r="F9204" s="2">
        <v>1</v>
      </c>
      <c r="G9204" s="2">
        <v>0</v>
      </c>
      <c r="H9204" s="1" t="s">
        <v>0</v>
      </c>
      <c r="I9204" s="2">
        <v>0</v>
      </c>
      <c r="J9204" s="1">
        <v>45937.33152777778</v>
      </c>
    </row>
    <row r="9205" spans="1:10" x14ac:dyDescent="0.2">
      <c r="A9205" s="4" t="s">
        <v>1</v>
      </c>
      <c r="B9205" s="3" t="str">
        <f>HYPERLINK("https://otsuka-europe-crm.veevavault.com/ui/#object/approved_document__v/V5OZ025E82TPVZ3", "INA - Invitación y programa Simposio SEHH 2025")</f>
        <v>INA - Invitación y programa Simposio SEHH 2025</v>
      </c>
      <c r="C9205" s="3" t="str">
        <f>HYPERLINK("https://otsuka-europe-crm.veevavault.com/ui/#object/sent_email__v/VBLZ025E82HCIKA", "SE-000283661")</f>
        <v>SE-000283661</v>
      </c>
      <c r="D9205" s="1">
        <v>45940.397777777776</v>
      </c>
      <c r="E9205" s="2">
        <v>1</v>
      </c>
      <c r="F9205" s="2">
        <v>1</v>
      </c>
      <c r="G9205" s="2">
        <v>0</v>
      </c>
      <c r="H9205" s="1" t="s">
        <v>0</v>
      </c>
      <c r="I9205" s="2">
        <v>0</v>
      </c>
      <c r="J9205" s="1">
        <v>45937.33152777778</v>
      </c>
    </row>
    <row r="9206" spans="1:10" x14ac:dyDescent="0.2">
      <c r="A9206" s="4" t="s">
        <v>1</v>
      </c>
      <c r="B9206" s="3" t="str">
        <f>HYPERLINK("https://otsuka-europe-crm.veevavault.com/ui/#object/approved_document__v/V5OZ025E82TPVZ3", "INA - Invitación y programa Simposio SEHH 2025")</f>
        <v>INA - Invitación y programa Simposio SEHH 2025</v>
      </c>
      <c r="C9206" s="3" t="str">
        <f>HYPERLINK("https://otsuka-europe-crm.veevavault.com/ui/#object/sent_email__v/VBLZ025E82HCIKB", "SE-000283662")</f>
        <v>SE-000283662</v>
      </c>
      <c r="D9206" s="1">
        <v>45937.331574074073</v>
      </c>
      <c r="E9206" s="2">
        <v>1</v>
      </c>
      <c r="F9206" s="2">
        <v>1</v>
      </c>
      <c r="G9206" s="2">
        <v>0</v>
      </c>
      <c r="H9206" s="1" t="s">
        <v>0</v>
      </c>
      <c r="I9206" s="2">
        <v>0</v>
      </c>
      <c r="J9206" s="1">
        <v>45937.331493055557</v>
      </c>
    </row>
    <row r="9207" spans="1:10" x14ac:dyDescent="0.2">
      <c r="A9207" s="4" t="s">
        <v>1</v>
      </c>
      <c r="B9207" s="3" t="str">
        <f>HYPERLINK("https://otsuka-europe-crm.veevavault.com/ui/#object/approved_document__v/V5OZ025E82TPVZ3", "INA - Invitación y programa Simposio SEHH 2025")</f>
        <v>INA - Invitación y programa Simposio SEHH 2025</v>
      </c>
      <c r="C9207" s="3" t="str">
        <f>HYPERLINK("https://otsuka-europe-crm.veevavault.com/ui/#object/sent_email__v/VBLZ025E82HCIKC", "SE-000283663")</f>
        <v>SE-000283663</v>
      </c>
      <c r="D9207" s="1">
        <v>45937.332013888888</v>
      </c>
      <c r="E9207" s="2">
        <v>1</v>
      </c>
      <c r="F9207" s="2">
        <v>1</v>
      </c>
      <c r="G9207" s="2">
        <v>0</v>
      </c>
      <c r="H9207" s="1" t="s">
        <v>0</v>
      </c>
      <c r="I9207" s="2">
        <v>0</v>
      </c>
      <c r="J9207" s="1">
        <v>45937.331504629627</v>
      </c>
    </row>
    <row r="9208" spans="1:10" x14ac:dyDescent="0.2">
      <c r="A9208" s="4" t="s">
        <v>1</v>
      </c>
      <c r="B9208" s="3" t="str">
        <f>HYPERLINK("https://otsuka-europe-crm.veevavault.com/ui/#object/approved_document__v/V5OZ025E82TPVZ3", "INA - Invitación y programa Simposio SEHH 2025")</f>
        <v>INA - Invitación y programa Simposio SEHH 2025</v>
      </c>
      <c r="C9208" s="3" t="str">
        <f>HYPERLINK("https://otsuka-europe-crm.veevavault.com/ui/#object/sent_email__v/VBLZ025E82HCIKD", "SE-000283664")</f>
        <v>SE-000283664</v>
      </c>
      <c r="D9208" s="1" t="s">
        <v>0</v>
      </c>
      <c r="E9208" s="2">
        <v>0</v>
      </c>
      <c r="F9208" s="2">
        <v>0</v>
      </c>
      <c r="G9208" s="2">
        <v>0</v>
      </c>
      <c r="H9208" s="1" t="s">
        <v>0</v>
      </c>
      <c r="I9208" s="2">
        <v>0</v>
      </c>
      <c r="J9208" s="1">
        <v>45937.331516203703</v>
      </c>
    </row>
    <row r="9209" spans="1:10" x14ac:dyDescent="0.2">
      <c r="A9209" s="4" t="s">
        <v>1</v>
      </c>
      <c r="B9209" s="3" t="str">
        <f>HYPERLINK("https://otsuka-europe-crm.veevavault.com/ui/#object/approved_document__v/V5OZ025E82TPVZ3", "INA - Invitación y programa Simposio SEHH 2025")</f>
        <v>INA - Invitación y programa Simposio SEHH 2025</v>
      </c>
      <c r="C9209" s="3" t="str">
        <f>HYPERLINK("https://otsuka-europe-crm.veevavault.com/ui/#object/sent_email__v/VBLZ025E82HCIKE", "SE-000283665")</f>
        <v>SE-000283665</v>
      </c>
      <c r="D9209" s="1">
        <v>45937.684317129628</v>
      </c>
      <c r="E9209" s="2">
        <v>1</v>
      </c>
      <c r="F9209" s="2">
        <v>1</v>
      </c>
      <c r="G9209" s="2">
        <v>0</v>
      </c>
      <c r="H9209" s="1" t="s">
        <v>0</v>
      </c>
      <c r="I9209" s="2">
        <v>0</v>
      </c>
      <c r="J9209" s="1">
        <v>45937.331504629627</v>
      </c>
    </row>
    <row r="9210" spans="1:10" x14ac:dyDescent="0.2">
      <c r="A9210" s="4" t="s">
        <v>1</v>
      </c>
      <c r="B9210" s="3" t="str">
        <f>HYPERLINK("https://otsuka-europe-crm.veevavault.com/ui/#object/approved_document__v/V5OZ025E82TPVZ3", "INA - Invitación y programa Simposio SEHH 2025")</f>
        <v>INA - Invitación y programa Simposio SEHH 2025</v>
      </c>
      <c r="C9210" s="3" t="str">
        <f>HYPERLINK("https://otsuka-europe-crm.veevavault.com/ui/#object/sent_email__v/VBLZ025E82HCIKF", "SE-000283666")</f>
        <v>SE-000283666</v>
      </c>
      <c r="D9210" s="1" t="s">
        <v>0</v>
      </c>
      <c r="E9210" s="2">
        <v>0</v>
      </c>
      <c r="F9210" s="2">
        <v>0</v>
      </c>
      <c r="G9210" s="2">
        <v>0</v>
      </c>
      <c r="H9210" s="1" t="s">
        <v>0</v>
      </c>
      <c r="I9210" s="2">
        <v>0</v>
      </c>
      <c r="J9210" s="1">
        <v>45937.331458333334</v>
      </c>
    </row>
    <row r="9211" spans="1:10" x14ac:dyDescent="0.2">
      <c r="A9211" s="4" t="s">
        <v>1</v>
      </c>
      <c r="B9211" s="3" t="str">
        <f>HYPERLINK("https://otsuka-europe-crm.veevavault.com/ui/#object/approved_document__v/V5OZ025E82TPVZ3", "INA - Invitación y programa Simposio SEHH 2025")</f>
        <v>INA - Invitación y programa Simposio SEHH 2025</v>
      </c>
      <c r="C9211" s="3" t="str">
        <f>HYPERLINK("https://otsuka-europe-crm.veevavault.com/ui/#object/sent_email__v/VBLZ025E82HCIKG", "SE-000283667")</f>
        <v>SE-000283667</v>
      </c>
      <c r="D9211" s="1">
        <v>45937.458981481483</v>
      </c>
      <c r="E9211" s="2">
        <v>1</v>
      </c>
      <c r="F9211" s="2">
        <v>2</v>
      </c>
      <c r="G9211" s="2">
        <v>0</v>
      </c>
      <c r="H9211" s="1" t="s">
        <v>0</v>
      </c>
      <c r="I9211" s="2">
        <v>0</v>
      </c>
      <c r="J9211" s="1">
        <v>45937.331469907411</v>
      </c>
    </row>
    <row r="9212" spans="1:10" x14ac:dyDescent="0.2">
      <c r="A9212" s="4" t="s">
        <v>1</v>
      </c>
      <c r="B9212" s="3" t="str">
        <f>HYPERLINK("https://otsuka-europe-crm.veevavault.com/ui/#object/approved_document__v/V5OZ025E82TPVZ3", "INA - Invitación y programa Simposio SEHH 2025")</f>
        <v>INA - Invitación y programa Simposio SEHH 2025</v>
      </c>
      <c r="C9212" s="3" t="str">
        <f>HYPERLINK("https://otsuka-europe-crm.veevavault.com/ui/#object/sent_email__v/VBLZ025E82HCIKH", "SE-000283668")</f>
        <v>SE-000283668</v>
      </c>
      <c r="D9212" s="1" t="s">
        <v>0</v>
      </c>
      <c r="E9212" s="2">
        <v>0</v>
      </c>
      <c r="F9212" s="2">
        <v>0</v>
      </c>
      <c r="G9212" s="2">
        <v>0</v>
      </c>
      <c r="H9212" s="1" t="s">
        <v>0</v>
      </c>
      <c r="I9212" s="2">
        <v>0</v>
      </c>
      <c r="J9212" s="1">
        <v>45937.33148148148</v>
      </c>
    </row>
    <row r="9213" spans="1:10" x14ac:dyDescent="0.2">
      <c r="A9213" s="4" t="s">
        <v>1</v>
      </c>
      <c r="B9213" s="3" t="str">
        <f>HYPERLINK("https://otsuka-europe-crm.veevavault.com/ui/#object/approved_document__v/V5OZ025E82TPVZ3", "INA - Invitación y programa Simposio SEHH 2025")</f>
        <v>INA - Invitación y programa Simposio SEHH 2025</v>
      </c>
      <c r="C9213" s="3" t="str">
        <f>HYPERLINK("https://otsuka-europe-crm.veevavault.com/ui/#object/sent_email__v/VBLZ025E82HCIKI", "SE-000283669")</f>
        <v>SE-000283669</v>
      </c>
      <c r="D9213" s="1">
        <v>45948.446203703701</v>
      </c>
      <c r="E9213" s="2">
        <v>1</v>
      </c>
      <c r="F9213" s="2">
        <v>3</v>
      </c>
      <c r="G9213" s="2">
        <v>0</v>
      </c>
      <c r="H9213" s="1" t="s">
        <v>0</v>
      </c>
      <c r="I9213" s="2">
        <v>0</v>
      </c>
      <c r="J9213" s="1">
        <v>45937.33148148148</v>
      </c>
    </row>
    <row r="9214" spans="1:10" x14ac:dyDescent="0.2">
      <c r="A9214" s="4" t="s">
        <v>1</v>
      </c>
      <c r="B9214" s="3" t="str">
        <f>HYPERLINK("https://otsuka-europe-crm.veevavault.com/ui/#object/approved_document__v/V5OZ025E82TPVZ3", "INA - Invitación y programa Simposio SEHH 2025")</f>
        <v>INA - Invitación y programa Simposio SEHH 2025</v>
      </c>
      <c r="C9214" s="3" t="str">
        <f>HYPERLINK("https://otsuka-europe-crm.veevavault.com/ui/#object/sent_email__v/VBLZ025E82HCIKJ", "SE-000283670")</f>
        <v>SE-000283670</v>
      </c>
      <c r="D9214" s="1">
        <v>45937.378113425926</v>
      </c>
      <c r="E9214" s="2">
        <v>1</v>
      </c>
      <c r="F9214" s="2">
        <v>1</v>
      </c>
      <c r="G9214" s="2">
        <v>0</v>
      </c>
      <c r="H9214" s="1" t="s">
        <v>0</v>
      </c>
      <c r="I9214" s="2">
        <v>0</v>
      </c>
      <c r="J9214" s="1">
        <v>45937.331423611111</v>
      </c>
    </row>
    <row r="9215" spans="1:10" x14ac:dyDescent="0.2">
      <c r="A9215" s="4" t="s">
        <v>1</v>
      </c>
      <c r="B9215" s="3" t="str">
        <f>HYPERLINK("https://otsuka-europe-crm.veevavault.com/ui/#object/approved_document__v/V5OZ025E82TPVZ3", "INA - Invitación y programa Simposio SEHH 2025")</f>
        <v>INA - Invitación y programa Simposio SEHH 2025</v>
      </c>
      <c r="C9215" s="3" t="str">
        <f>HYPERLINK("https://otsuka-europe-crm.veevavault.com/ui/#object/sent_email__v/VBLZ025E82HCIKK", "SE-000283671")</f>
        <v>SE-000283671</v>
      </c>
      <c r="D9215" s="1">
        <v>45937.337939814817</v>
      </c>
      <c r="E9215" s="2">
        <v>1</v>
      </c>
      <c r="F9215" s="2">
        <v>1</v>
      </c>
      <c r="G9215" s="2">
        <v>1</v>
      </c>
      <c r="H9215" s="1">
        <v>45937.339594907404</v>
      </c>
      <c r="I9215" s="2">
        <v>3</v>
      </c>
      <c r="J9215" s="1">
        <v>45937.331435185188</v>
      </c>
    </row>
    <row r="9216" spans="1:10" x14ac:dyDescent="0.2">
      <c r="A9216" s="4" t="s">
        <v>1</v>
      </c>
      <c r="B9216" s="3" t="str">
        <f>HYPERLINK("https://otsuka-europe-crm.veevavault.com/ui/#object/approved_document__v/V5OZ025E82TPVZ3", "INA - Invitación y programa Simposio SEHH 2025")</f>
        <v>INA - Invitación y programa Simposio SEHH 2025</v>
      </c>
      <c r="C9216" s="3" t="str">
        <f>HYPERLINK("https://otsuka-europe-crm.veevavault.com/ui/#object/sent_email__v/VBLZ025E82HCIKL", "SE-000283672")</f>
        <v>SE-000283672</v>
      </c>
      <c r="D9216" s="1">
        <v>45937.33148148148</v>
      </c>
      <c r="E9216" s="2">
        <v>1</v>
      </c>
      <c r="F9216" s="2">
        <v>1</v>
      </c>
      <c r="G9216" s="2">
        <v>0</v>
      </c>
      <c r="H9216" s="1" t="s">
        <v>0</v>
      </c>
      <c r="I9216" s="2">
        <v>0</v>
      </c>
      <c r="J9216" s="1">
        <v>45937.331412037034</v>
      </c>
    </row>
    <row r="9217" spans="1:10" x14ac:dyDescent="0.2">
      <c r="A9217" s="4" t="s">
        <v>1</v>
      </c>
      <c r="B9217" s="3" t="str">
        <f>HYPERLINK("https://otsuka-europe-crm.veevavault.com/ui/#object/approved_document__v/V5OZ025E82TPVZ3", "INA - Invitación y programa Simposio SEHH 2025")</f>
        <v>INA - Invitación y programa Simposio SEHH 2025</v>
      </c>
      <c r="C9217" s="3" t="str">
        <f>HYPERLINK("https://otsuka-europe-crm.veevavault.com/ui/#object/sent_email__v/VBLZ025E82HCIKM", "SE-000283673")</f>
        <v>SE-000283673</v>
      </c>
      <c r="D9217" s="1" t="s">
        <v>0</v>
      </c>
      <c r="E9217" s="2">
        <v>0</v>
      </c>
      <c r="F9217" s="2">
        <v>0</v>
      </c>
      <c r="G9217" s="2">
        <v>0</v>
      </c>
      <c r="H9217" s="1" t="s">
        <v>0</v>
      </c>
      <c r="I9217" s="2">
        <v>0</v>
      </c>
      <c r="J9217" s="1">
        <v>45937.331423611111</v>
      </c>
    </row>
    <row r="9218" spans="1:10" x14ac:dyDescent="0.2">
      <c r="A9218" s="4" t="s">
        <v>1</v>
      </c>
      <c r="B9218" s="3" t="str">
        <f>HYPERLINK("https://otsuka-europe-crm.veevavault.com/ui/#object/approved_document__v/V5OZ025E82TPVZ3", "INA - Invitación y programa Simposio SEHH 2025")</f>
        <v>INA - Invitación y programa Simposio SEHH 2025</v>
      </c>
      <c r="C9218" s="3" t="str">
        <f>HYPERLINK("https://otsuka-europe-crm.veevavault.com/ui/#object/sent_email__v/VBLZ025E82HCIKN", "SE-000283674")</f>
        <v>SE-000283674</v>
      </c>
      <c r="D9218" s="1">
        <v>45937.354201388887</v>
      </c>
      <c r="E9218" s="2">
        <v>1</v>
      </c>
      <c r="F9218" s="2">
        <v>2</v>
      </c>
      <c r="G9218" s="2">
        <v>0</v>
      </c>
      <c r="H9218" s="1" t="s">
        <v>0</v>
      </c>
      <c r="I9218" s="2">
        <v>0</v>
      </c>
      <c r="J9218" s="1">
        <v>45937.331423611111</v>
      </c>
    </row>
    <row r="9219" spans="1:10" x14ac:dyDescent="0.2">
      <c r="A9219" s="4" t="s">
        <v>1</v>
      </c>
      <c r="B9219" s="3" t="str">
        <f>HYPERLINK("https://otsuka-europe-crm.veevavault.com/ui/#object/approved_document__v/V5OZ025E82TPVZ3", "INA - Invitación y programa Simposio SEHH 2025")</f>
        <v>INA - Invitación y programa Simposio SEHH 2025</v>
      </c>
      <c r="C9219" s="3" t="str">
        <f>HYPERLINK("https://otsuka-europe-crm.veevavault.com/ui/#object/sent_email__v/VBLZ025E82HCIKO", "SE-000283675")</f>
        <v>SE-000283675</v>
      </c>
      <c r="D9219" s="1">
        <v>45937.352465277778</v>
      </c>
      <c r="E9219" s="2">
        <v>1</v>
      </c>
      <c r="F9219" s="2">
        <v>1</v>
      </c>
      <c r="G9219" s="2">
        <v>0</v>
      </c>
      <c r="H9219" s="1" t="s">
        <v>0</v>
      </c>
      <c r="I9219" s="2">
        <v>0</v>
      </c>
      <c r="J9219" s="1">
        <v>45937.331435185188</v>
      </c>
    </row>
    <row r="9220" spans="1:10" x14ac:dyDescent="0.2">
      <c r="A9220" s="4" t="s">
        <v>1</v>
      </c>
      <c r="B9220" s="3" t="str">
        <f>HYPERLINK("https://otsuka-europe-crm.veevavault.com/ui/#object/approved_document__v/V5OZ025E82TPVZ3", "INA - Invitación y programa Simposio SEHH 2025")</f>
        <v>INA - Invitación y programa Simposio SEHH 2025</v>
      </c>
      <c r="C9220" s="3" t="str">
        <f>HYPERLINK("https://otsuka-europe-crm.veevavault.com/ui/#object/sent_email__v/VBLZ025E82HCIKP", "SE-000283676")</f>
        <v>SE-000283676</v>
      </c>
      <c r="D9220" s="1">
        <v>45949.80574074074</v>
      </c>
      <c r="E9220" s="2">
        <v>1</v>
      </c>
      <c r="F9220" s="2">
        <v>2</v>
      </c>
      <c r="G9220" s="2">
        <v>0</v>
      </c>
      <c r="H9220" s="1" t="s">
        <v>0</v>
      </c>
      <c r="I9220" s="2">
        <v>0</v>
      </c>
      <c r="J9220" s="1">
        <v>45937.331446759257</v>
      </c>
    </row>
    <row r="9221" spans="1:10" x14ac:dyDescent="0.2">
      <c r="A9221" s="4" t="s">
        <v>1</v>
      </c>
      <c r="B9221" s="3" t="str">
        <f>HYPERLINK("https://otsuka-europe-crm.veevavault.com/ui/#object/approved_document__v/V5OZ025E82TPVZ3", "INA - Invitación y programa Simposio SEHH 2025")</f>
        <v>INA - Invitación y programa Simposio SEHH 2025</v>
      </c>
      <c r="C9221" s="3" t="str">
        <f>HYPERLINK("https://otsuka-europe-crm.veevavault.com/ui/#object/sent_email__v/VBLZ025E82HCIKQ", "SE-000283677")</f>
        <v>SE-000283677</v>
      </c>
      <c r="D9221" s="1">
        <v>45937.897094907406</v>
      </c>
      <c r="E9221" s="2">
        <v>1</v>
      </c>
      <c r="F9221" s="2">
        <v>1</v>
      </c>
      <c r="G9221" s="2">
        <v>0</v>
      </c>
      <c r="H9221" s="1" t="s">
        <v>0</v>
      </c>
      <c r="I9221" s="2">
        <v>0</v>
      </c>
      <c r="J9221" s="1">
        <v>45937.331458333334</v>
      </c>
    </row>
    <row r="9222" spans="1:10" x14ac:dyDescent="0.2">
      <c r="A9222" s="4" t="s">
        <v>1</v>
      </c>
      <c r="B9222" s="3" t="str">
        <f>HYPERLINK("https://otsuka-europe-crm.veevavault.com/ui/#object/approved_document__v/V5OZ025E82TPVZ3", "INA - Invitación y programa Simposio SEHH 2025")</f>
        <v>INA - Invitación y programa Simposio SEHH 2025</v>
      </c>
      <c r="C9222" s="3" t="str">
        <f>HYPERLINK("https://otsuka-europe-crm.veevavault.com/ui/#object/sent_email__v/VBLZ025E82HCIN1", "SE-000283678")</f>
        <v>SE-000283678</v>
      </c>
      <c r="D9222" s="1">
        <v>45937.339247685188</v>
      </c>
      <c r="E9222" s="2">
        <v>1</v>
      </c>
      <c r="F9222" s="2">
        <v>1</v>
      </c>
      <c r="G9222" s="2">
        <v>0</v>
      </c>
      <c r="H9222" s="1" t="s">
        <v>0</v>
      </c>
      <c r="I9222" s="2">
        <v>0</v>
      </c>
      <c r="J9222" s="1">
        <v>45937.332256944443</v>
      </c>
    </row>
    <row r="9223" spans="1:10" x14ac:dyDescent="0.2">
      <c r="A9223" s="4" t="s">
        <v>1</v>
      </c>
      <c r="B9223" s="3" t="str">
        <f>HYPERLINK("https://otsuka-europe-crm.veevavault.com/ui/#object/approved_document__v/V5OZ025E82TPVZ3", "INA - Invitación y programa Simposio SEHH 2025")</f>
        <v>INA - Invitación y programa Simposio SEHH 2025</v>
      </c>
      <c r="C9223" s="3" t="str">
        <f>HYPERLINK("https://otsuka-europe-crm.veevavault.com/ui/#object/sent_email__v/VBLZ025E82HCIN2", "SE-000283679")</f>
        <v>SE-000283679</v>
      </c>
      <c r="D9223" s="1">
        <v>45937.342673611114</v>
      </c>
      <c r="E9223" s="2">
        <v>1</v>
      </c>
      <c r="F9223" s="2">
        <v>1</v>
      </c>
      <c r="G9223" s="2">
        <v>0</v>
      </c>
      <c r="H9223" s="1" t="s">
        <v>0</v>
      </c>
      <c r="I9223" s="2">
        <v>0</v>
      </c>
      <c r="J9223" s="1">
        <v>45937.332418981481</v>
      </c>
    </row>
    <row r="9224" spans="1:10" x14ac:dyDescent="0.2">
      <c r="A9224" s="4" t="s">
        <v>1</v>
      </c>
      <c r="B9224" s="3" t="str">
        <f>HYPERLINK("https://otsuka-europe-crm.veevavault.com/ui/#object/approved_document__v/V5OZ025E82TPVZ3", "INA - Invitación y programa Simposio SEHH 2025")</f>
        <v>INA - Invitación y programa Simposio SEHH 2025</v>
      </c>
      <c r="C9224" s="3" t="str">
        <f>HYPERLINK("https://otsuka-europe-crm.veevavault.com/ui/#object/sent_email__v/VBLZ025E82HCIN3", "SE-000283680")</f>
        <v>SE-000283680</v>
      </c>
      <c r="D9224" s="1" t="s">
        <v>0</v>
      </c>
      <c r="E9224" s="2">
        <v>0</v>
      </c>
      <c r="F9224" s="2">
        <v>0</v>
      </c>
      <c r="G9224" s="2">
        <v>0</v>
      </c>
      <c r="H9224" s="1" t="s">
        <v>0</v>
      </c>
      <c r="I9224" s="2">
        <v>0</v>
      </c>
      <c r="J9224" s="1">
        <v>45937.332280092596</v>
      </c>
    </row>
    <row r="9225" spans="1:10" x14ac:dyDescent="0.2">
      <c r="A9225" s="4" t="s">
        <v>1</v>
      </c>
      <c r="B9225" s="3" t="str">
        <f>HYPERLINK("https://otsuka-europe-crm.veevavault.com/ui/#object/approved_document__v/V5OZ025E82TPVZ3", "INA - Invitación y programa Simposio SEHH 2025")</f>
        <v>INA - Invitación y programa Simposio SEHH 2025</v>
      </c>
      <c r="C9225" s="3" t="str">
        <f>HYPERLINK("https://otsuka-europe-crm.veevavault.com/ui/#object/sent_email__v/VBLZ025E82HCIN4", "SE-000283681")</f>
        <v>SE-000283681</v>
      </c>
      <c r="D9225" s="1">
        <v>45965.733530092592</v>
      </c>
      <c r="E9225" s="2">
        <v>1</v>
      </c>
      <c r="F9225" s="2">
        <v>4</v>
      </c>
      <c r="G9225" s="2">
        <v>0</v>
      </c>
      <c r="H9225" s="1" t="s">
        <v>0</v>
      </c>
      <c r="I9225" s="2">
        <v>0</v>
      </c>
      <c r="J9225" s="1">
        <v>45937.332256944443</v>
      </c>
    </row>
    <row r="9226" spans="1:10" x14ac:dyDescent="0.2">
      <c r="A9226" s="4" t="s">
        <v>1</v>
      </c>
      <c r="B9226" s="3" t="str">
        <f>HYPERLINK("https://otsuka-europe-crm.veevavault.com/ui/#object/approved_document__v/V5OZ025E82TPVZ3", "INA - Invitación y programa Simposio SEHH 2025")</f>
        <v>INA - Invitación y programa Simposio SEHH 2025</v>
      </c>
      <c r="C9226" s="3" t="str">
        <f>HYPERLINK("https://otsuka-europe-crm.veevavault.com/ui/#object/sent_email__v/VBLZ025E82HCIN5", "SE-000283682")</f>
        <v>SE-000283682</v>
      </c>
      <c r="D9226" s="1" t="s">
        <v>0</v>
      </c>
      <c r="E9226" s="2">
        <v>0</v>
      </c>
      <c r="F9226" s="2">
        <v>0</v>
      </c>
      <c r="G9226" s="2">
        <v>0</v>
      </c>
      <c r="H9226" s="1" t="s">
        <v>0</v>
      </c>
      <c r="I9226" s="2">
        <v>0</v>
      </c>
      <c r="J9226" s="1">
        <v>45937.332395833335</v>
      </c>
    </row>
    <row r="9227" spans="1:10" x14ac:dyDescent="0.2">
      <c r="A9227" s="4" t="s">
        <v>1</v>
      </c>
      <c r="B9227" s="3" t="str">
        <f>HYPERLINK("https://otsuka-europe-crm.veevavault.com/ui/#object/approved_document__v/V5OZ025E82TPVZ3", "INA - Invitación y programa Simposio SEHH 2025")</f>
        <v>INA - Invitación y programa Simposio SEHH 2025</v>
      </c>
      <c r="C9227" s="3" t="str">
        <f>HYPERLINK("https://otsuka-europe-crm.veevavault.com/ui/#object/sent_email__v/VBLZ025E82HCIN6", "SE-000283683")</f>
        <v>SE-000283683</v>
      </c>
      <c r="D9227" s="1">
        <v>45937.340474537035</v>
      </c>
      <c r="E9227" s="2">
        <v>1</v>
      </c>
      <c r="F9227" s="2">
        <v>1</v>
      </c>
      <c r="G9227" s="2">
        <v>0</v>
      </c>
      <c r="H9227" s="1" t="s">
        <v>0</v>
      </c>
      <c r="I9227" s="2">
        <v>0</v>
      </c>
      <c r="J9227" s="1">
        <v>45937.332233796296</v>
      </c>
    </row>
    <row r="9228" spans="1:10" x14ac:dyDescent="0.2">
      <c r="A9228" s="4" t="s">
        <v>1</v>
      </c>
      <c r="B9228" s="3" t="str">
        <f>HYPERLINK("https://otsuka-europe-crm.veevavault.com/ui/#object/approved_document__v/V5OZ025E82TPVZ3", "INA - Invitación y programa Simposio SEHH 2025")</f>
        <v>INA - Invitación y programa Simposio SEHH 2025</v>
      </c>
      <c r="C9228" s="3" t="str">
        <f>HYPERLINK("https://otsuka-europe-crm.veevavault.com/ui/#object/sent_email__v/VBLZ025E82HCIN7", "SE-000283684")</f>
        <v>SE-000283684</v>
      </c>
      <c r="D9228" s="1" t="s">
        <v>0</v>
      </c>
      <c r="E9228" s="2">
        <v>0</v>
      </c>
      <c r="F9228" s="2">
        <v>0</v>
      </c>
      <c r="G9228" s="2">
        <v>0</v>
      </c>
      <c r="H9228" s="1" t="s">
        <v>0</v>
      </c>
      <c r="I9228" s="2">
        <v>0</v>
      </c>
      <c r="J9228" s="1">
        <v>45937.332372685189</v>
      </c>
    </row>
    <row r="9229" spans="1:10" x14ac:dyDescent="0.2">
      <c r="A9229" s="4" t="s">
        <v>1</v>
      </c>
      <c r="B9229" s="3" t="str">
        <f>HYPERLINK("https://otsuka-europe-crm.veevavault.com/ui/#object/approved_document__v/V5OZ025E82TPVZ3", "INA - Invitación y programa Simposio SEHH 2025")</f>
        <v>INA - Invitación y programa Simposio SEHH 2025</v>
      </c>
      <c r="C9229" s="3" t="str">
        <f>HYPERLINK("https://otsuka-europe-crm.veevavault.com/ui/#object/sent_email__v/VBLZ025E82HCIN8", "SE-000283685")</f>
        <v>SE-000283685</v>
      </c>
      <c r="D9229" s="1">
        <v>45937.454965277779</v>
      </c>
      <c r="E9229" s="2">
        <v>1</v>
      </c>
      <c r="F9229" s="2">
        <v>1</v>
      </c>
      <c r="G9229" s="2">
        <v>1</v>
      </c>
      <c r="H9229" s="1">
        <v>45937.495381944442</v>
      </c>
      <c r="I9229" s="2">
        <v>2</v>
      </c>
      <c r="J9229" s="1">
        <v>45937.33221064815</v>
      </c>
    </row>
    <row r="9230" spans="1:10" x14ac:dyDescent="0.2">
      <c r="A9230" s="4" t="s">
        <v>1</v>
      </c>
      <c r="B9230" s="3" t="str">
        <f>HYPERLINK("https://otsuka-europe-crm.veevavault.com/ui/#object/approved_document__v/V5OZ025E82TPVZ3", "INA - Invitación y programa Simposio SEHH 2025")</f>
        <v>INA - Invitación y programa Simposio SEHH 2025</v>
      </c>
      <c r="C9230" s="3" t="str">
        <f>HYPERLINK("https://otsuka-europe-crm.veevavault.com/ui/#object/sent_email__v/VBLZ025E82HCIN9", "SE-000283686")</f>
        <v>SE-000283686</v>
      </c>
      <c r="D9230" s="1" t="s">
        <v>0</v>
      </c>
      <c r="E9230" s="2">
        <v>0</v>
      </c>
      <c r="F9230" s="2">
        <v>0</v>
      </c>
      <c r="G9230" s="2">
        <v>0</v>
      </c>
      <c r="H9230" s="1" t="s">
        <v>0</v>
      </c>
      <c r="I9230" s="2">
        <v>0</v>
      </c>
      <c r="J9230" s="1">
        <v>45937.332372685189</v>
      </c>
    </row>
    <row r="9231" spans="1:10" x14ac:dyDescent="0.2">
      <c r="A9231" s="4" t="s">
        <v>1</v>
      </c>
      <c r="B9231" s="3" t="str">
        <f>HYPERLINK("https://otsuka-europe-crm.veevavault.com/ui/#object/approved_document__v/V5OZ025E82TPVZ3", "INA - Invitación y programa Simposio SEHH 2025")</f>
        <v>INA - Invitación y programa Simposio SEHH 2025</v>
      </c>
      <c r="C9231" s="3" t="str">
        <f>HYPERLINK("https://otsuka-europe-crm.veevavault.com/ui/#object/sent_email__v/VBLZ025E82HCINA", "SE-000283687")</f>
        <v>SE-000283687</v>
      </c>
      <c r="D9231" s="1">
        <v>45937.962210648147</v>
      </c>
      <c r="E9231" s="2">
        <v>1</v>
      </c>
      <c r="F9231" s="2">
        <v>2</v>
      </c>
      <c r="G9231" s="2">
        <v>0</v>
      </c>
      <c r="H9231" s="1" t="s">
        <v>0</v>
      </c>
      <c r="I9231" s="2">
        <v>0</v>
      </c>
      <c r="J9231" s="1">
        <v>45937.33222222222</v>
      </c>
    </row>
    <row r="9232" spans="1:10" x14ac:dyDescent="0.2">
      <c r="A9232" s="4" t="s">
        <v>1</v>
      </c>
      <c r="B9232" s="3" t="str">
        <f>HYPERLINK("https://otsuka-europe-crm.veevavault.com/ui/#object/approved_document__v/V5OZ025E82TPVZ3", "INA - Invitación y programa Simposio SEHH 2025")</f>
        <v>INA - Invitación y programa Simposio SEHH 2025</v>
      </c>
      <c r="C9232" s="3" t="str">
        <f>HYPERLINK("https://otsuka-europe-crm.veevavault.com/ui/#object/sent_email__v/VBLZ025E82HCINB", "SE-000283688")</f>
        <v>SE-000283688</v>
      </c>
      <c r="D9232" s="1" t="s">
        <v>0</v>
      </c>
      <c r="E9232" s="2">
        <v>0</v>
      </c>
      <c r="F9232" s="2">
        <v>0</v>
      </c>
      <c r="G9232" s="2">
        <v>0</v>
      </c>
      <c r="H9232" s="1" t="s">
        <v>0</v>
      </c>
      <c r="I9232" s="2">
        <v>0</v>
      </c>
      <c r="J9232" s="1">
        <v>45937.332337962966</v>
      </c>
    </row>
    <row r="9233" spans="1:10" x14ac:dyDescent="0.2">
      <c r="A9233" s="4" t="s">
        <v>1</v>
      </c>
      <c r="B9233" s="3" t="str">
        <f>HYPERLINK("https://otsuka-europe-crm.veevavault.com/ui/#object/approved_document__v/V5OZ025E82TPVZ3", "INA - Invitación y programa Simposio SEHH 2025")</f>
        <v>INA - Invitación y programa Simposio SEHH 2025</v>
      </c>
      <c r="C9233" s="3" t="str">
        <f>HYPERLINK("https://otsuka-europe-crm.veevavault.com/ui/#object/sent_email__v/VBLZ025E82HCINC", "SE-000283689")</f>
        <v>SE-000283689</v>
      </c>
      <c r="D9233" s="1" t="s">
        <v>0</v>
      </c>
      <c r="E9233" s="2">
        <v>0</v>
      </c>
      <c r="F9233" s="2">
        <v>0</v>
      </c>
      <c r="G9233" s="2">
        <v>0</v>
      </c>
      <c r="H9233" s="1" t="s">
        <v>0</v>
      </c>
      <c r="I9233" s="2">
        <v>0</v>
      </c>
      <c r="J9233" s="1">
        <v>45937.332187499997</v>
      </c>
    </row>
    <row r="9234" spans="1:10" x14ac:dyDescent="0.2">
      <c r="A9234" s="4" t="s">
        <v>1</v>
      </c>
      <c r="B9234" s="3" t="str">
        <f>HYPERLINK("https://otsuka-europe-crm.veevavault.com/ui/#object/approved_document__v/V5OZ025E82TPVZ3", "INA - Invitación y programa Simposio SEHH 2025")</f>
        <v>INA - Invitación y programa Simposio SEHH 2025</v>
      </c>
      <c r="C9234" s="3" t="str">
        <f>HYPERLINK("https://otsuka-europe-crm.veevavault.com/ui/#object/sent_email__v/VBLZ025E82HCIND", "SE-000283690")</f>
        <v>SE-000283690</v>
      </c>
      <c r="D9234" s="1" t="s">
        <v>0</v>
      </c>
      <c r="E9234" s="2">
        <v>0</v>
      </c>
      <c r="F9234" s="2">
        <v>0</v>
      </c>
      <c r="G9234" s="2">
        <v>0</v>
      </c>
      <c r="H9234" s="1" t="s">
        <v>0</v>
      </c>
      <c r="I9234" s="2">
        <v>0</v>
      </c>
      <c r="J9234" s="1">
        <v>45937.332314814812</v>
      </c>
    </row>
    <row r="9235" spans="1:10" x14ac:dyDescent="0.2">
      <c r="A9235" s="4" t="s">
        <v>1</v>
      </c>
      <c r="B9235" s="3" t="str">
        <f>HYPERLINK("https://otsuka-europe-crm.veevavault.com/ui/#object/approved_document__v/V5OZ025E82TPVZ3", "INA - Invitación y programa Simposio SEHH 2025")</f>
        <v>INA - Invitación y programa Simposio SEHH 2025</v>
      </c>
      <c r="C9235" s="3" t="str">
        <f>HYPERLINK("https://otsuka-europe-crm.veevavault.com/ui/#object/sent_email__v/VBLZ025E82HCINE", "SE-000283691")</f>
        <v>SE-000283691</v>
      </c>
      <c r="D9235" s="1">
        <v>45937.33556712963</v>
      </c>
      <c r="E9235" s="2">
        <v>1</v>
      </c>
      <c r="F9235" s="2">
        <v>2</v>
      </c>
      <c r="G9235" s="2">
        <v>0</v>
      </c>
      <c r="H9235" s="1" t="s">
        <v>0</v>
      </c>
      <c r="I9235" s="2">
        <v>0</v>
      </c>
      <c r="J9235" s="1">
        <v>45937.332175925927</v>
      </c>
    </row>
    <row r="9236" spans="1:10" x14ac:dyDescent="0.2">
      <c r="A9236" s="4" t="s">
        <v>1</v>
      </c>
      <c r="B9236" s="3" t="str">
        <f>HYPERLINK("https://otsuka-europe-crm.veevavault.com/ui/#object/approved_document__v/V5OZ025E82TPVZ3", "INA - Invitación y programa Simposio SEHH 2025")</f>
        <v>INA - Invitación y programa Simposio SEHH 2025</v>
      </c>
      <c r="C9236" s="3" t="str">
        <f>HYPERLINK("https://otsuka-europe-crm.veevavault.com/ui/#object/sent_email__v/VBLZ025E82HCINF", "SE-000283692")</f>
        <v>SE-000283692</v>
      </c>
      <c r="D9236" s="1">
        <v>45980.92392361111</v>
      </c>
      <c r="E9236" s="2">
        <v>1</v>
      </c>
      <c r="F9236" s="2">
        <v>3</v>
      </c>
      <c r="G9236" s="2">
        <v>0</v>
      </c>
      <c r="H9236" s="1" t="s">
        <v>0</v>
      </c>
      <c r="I9236" s="2">
        <v>0</v>
      </c>
      <c r="J9236" s="1">
        <v>45937.332349537035</v>
      </c>
    </row>
    <row r="9237" spans="1:10" x14ac:dyDescent="0.2">
      <c r="A9237" s="4" t="s">
        <v>1</v>
      </c>
      <c r="B9237" s="3" t="str">
        <f>HYPERLINK("https://otsuka-europe-crm.veevavault.com/ui/#object/approved_document__v/V5OZ025E82TPVZ3", "INA - Invitación y programa Simposio SEHH 2025")</f>
        <v>INA - Invitación y programa Simposio SEHH 2025</v>
      </c>
      <c r="C9237" s="3" t="str">
        <f>HYPERLINK("https://otsuka-europe-crm.veevavault.com/ui/#object/sent_email__v/VBLZ025E82HCING", "SE-000283693")</f>
        <v>SE-000283693</v>
      </c>
      <c r="D9237" s="1" t="s">
        <v>0</v>
      </c>
      <c r="E9237" s="2">
        <v>0</v>
      </c>
      <c r="F9237" s="2">
        <v>0</v>
      </c>
      <c r="G9237" s="2">
        <v>0</v>
      </c>
      <c r="H9237" s="1" t="s">
        <v>0</v>
      </c>
      <c r="I9237" s="2">
        <v>0</v>
      </c>
      <c r="J9237" s="1">
        <v>45937.332199074073</v>
      </c>
    </row>
    <row r="9238" spans="1:10" x14ac:dyDescent="0.2">
      <c r="A9238" s="4" t="s">
        <v>1</v>
      </c>
      <c r="B9238" s="3" t="str">
        <f>HYPERLINK("https://otsuka-europe-crm.veevavault.com/ui/#object/approved_document__v/V5OZ025E82TPVZ3", "INA - Invitación y programa Simposio SEHH 2025")</f>
        <v>INA - Invitación y programa Simposio SEHH 2025</v>
      </c>
      <c r="C9238" s="3" t="str">
        <f>HYPERLINK("https://otsuka-europe-crm.veevavault.com/ui/#object/sent_email__v/VBLZ025E82HCINH", "SE-000283694")</f>
        <v>SE-000283694</v>
      </c>
      <c r="D9238" s="1">
        <v>45937.684317129628</v>
      </c>
      <c r="E9238" s="2">
        <v>1</v>
      </c>
      <c r="F9238" s="2">
        <v>1</v>
      </c>
      <c r="G9238" s="2">
        <v>0</v>
      </c>
      <c r="H9238" s="1" t="s">
        <v>0</v>
      </c>
      <c r="I9238" s="2">
        <v>0</v>
      </c>
      <c r="J9238" s="1">
        <v>45937.332349537035</v>
      </c>
    </row>
    <row r="9239" spans="1:10" x14ac:dyDescent="0.2">
      <c r="A9239" s="4" t="s">
        <v>1</v>
      </c>
      <c r="B9239" s="3" t="str">
        <f>HYPERLINK("https://otsuka-europe-crm.veevavault.com/ui/#object/approved_document__v/V5OZ025E82TPVZ3", "INA - Invitación y programa Simposio SEHH 2025")</f>
        <v>INA - Invitación y programa Simposio SEHH 2025</v>
      </c>
      <c r="C9239" s="3" t="str">
        <f>HYPERLINK("https://otsuka-europe-crm.veevavault.com/ui/#object/sent_email__v/VBLZ025E82HCINI", "SE-000283695")</f>
        <v>SE-000283695</v>
      </c>
      <c r="D9239" s="1" t="s">
        <v>0</v>
      </c>
      <c r="E9239" s="2">
        <v>0</v>
      </c>
      <c r="F9239" s="2">
        <v>0</v>
      </c>
      <c r="G9239" s="2">
        <v>0</v>
      </c>
      <c r="H9239" s="1" t="s">
        <v>0</v>
      </c>
      <c r="I9239" s="2">
        <v>0</v>
      </c>
      <c r="J9239" s="1">
        <v>45937.332326388889</v>
      </c>
    </row>
    <row r="9240" spans="1:10" x14ac:dyDescent="0.2">
      <c r="A9240" s="4" t="s">
        <v>1</v>
      </c>
      <c r="B9240" s="3" t="str">
        <f>HYPERLINK("https://otsuka-europe-crm.veevavault.com/ui/#object/approved_document__v/V5OZ025E82TPVZ3", "INA - Invitación y programa Simposio SEHH 2025")</f>
        <v>INA - Invitación y programa Simposio SEHH 2025</v>
      </c>
      <c r="C9240" s="3" t="str">
        <f>HYPERLINK("https://otsuka-europe-crm.veevavault.com/ui/#object/sent_email__v/VBLZ025E82HCINJ", "SE-000283696")</f>
        <v>SE-000283696</v>
      </c>
      <c r="D9240" s="1">
        <v>45937.595138888886</v>
      </c>
      <c r="E9240" s="2">
        <v>1</v>
      </c>
      <c r="F9240" s="2">
        <v>1</v>
      </c>
      <c r="G9240" s="2">
        <v>1</v>
      </c>
      <c r="H9240" s="1">
        <v>45937.595219907409</v>
      </c>
      <c r="I9240" s="2">
        <v>1</v>
      </c>
      <c r="J9240" s="1">
        <v>45937.332175925927</v>
      </c>
    </row>
    <row r="9241" spans="1:10" x14ac:dyDescent="0.2">
      <c r="A9241" s="4" t="s">
        <v>1</v>
      </c>
      <c r="B9241" s="3" t="str">
        <f>HYPERLINK("https://otsuka-europe-crm.veevavault.com/ui/#object/approved_document__v/V5OZ025E82TPVZ3", "INA - Invitación y programa Simposio SEHH 2025")</f>
        <v>INA - Invitación y programa Simposio SEHH 2025</v>
      </c>
      <c r="C9241" s="3" t="str">
        <f>HYPERLINK("https://otsuka-europe-crm.veevavault.com/ui/#object/sent_email__v/VBLZ025E82HCINK", "SE-000283697")</f>
        <v>SE-000283697</v>
      </c>
      <c r="D9241" s="1" t="s">
        <v>0</v>
      </c>
      <c r="E9241" s="2">
        <v>0</v>
      </c>
      <c r="F9241" s="2">
        <v>0</v>
      </c>
      <c r="G9241" s="2">
        <v>0</v>
      </c>
      <c r="H9241" s="1" t="s">
        <v>0</v>
      </c>
      <c r="I9241" s="2">
        <v>0</v>
      </c>
      <c r="J9241" s="1">
        <v>45937.332326388889</v>
      </c>
    </row>
    <row r="9242" spans="1:10" x14ac:dyDescent="0.2">
      <c r="A9242" s="4" t="s">
        <v>1</v>
      </c>
      <c r="B9242" s="3" t="str">
        <f>HYPERLINK("https://otsuka-europe-crm.veevavault.com/ui/#object/approved_document__v/V5OZ025E82TPVZ3", "INA - Invitación y programa Simposio SEHH 2025")</f>
        <v>INA - Invitación y programa Simposio SEHH 2025</v>
      </c>
      <c r="C9242" s="3" t="str">
        <f>HYPERLINK("https://otsuka-europe-crm.veevavault.com/ui/#object/sent_email__v/VBLZ025E82HCINL", "SE-000283698")</f>
        <v>SE-000283698</v>
      </c>
      <c r="D9242" s="1" t="s">
        <v>0</v>
      </c>
      <c r="E9242" s="2">
        <v>0</v>
      </c>
      <c r="F9242" s="2">
        <v>0</v>
      </c>
      <c r="G9242" s="2">
        <v>0</v>
      </c>
      <c r="H9242" s="1" t="s">
        <v>0</v>
      </c>
      <c r="I9242" s="2">
        <v>0</v>
      </c>
      <c r="J9242" s="1">
        <v>45937.332245370373</v>
      </c>
    </row>
    <row r="9243" spans="1:10" x14ac:dyDescent="0.2">
      <c r="A9243" s="4" t="s">
        <v>1</v>
      </c>
      <c r="B9243" s="3" t="str">
        <f>HYPERLINK("https://otsuka-europe-crm.veevavault.com/ui/#object/approved_document__v/V5OZ025E82TPVZ3", "INA - Invitación y programa Simposio SEHH 2025")</f>
        <v>INA - Invitación y programa Simposio SEHH 2025</v>
      </c>
      <c r="C9243" s="3" t="str">
        <f>HYPERLINK("https://otsuka-europe-crm.veevavault.com/ui/#object/sent_email__v/VBLZ025E82HCINM", "SE-000283699")</f>
        <v>SE-000283699</v>
      </c>
      <c r="D9243" s="1" t="s">
        <v>0</v>
      </c>
      <c r="E9243" s="2">
        <v>0</v>
      </c>
      <c r="F9243" s="2">
        <v>0</v>
      </c>
      <c r="G9243" s="2">
        <v>0</v>
      </c>
      <c r="H9243" s="1" t="s">
        <v>0</v>
      </c>
      <c r="I9243" s="2">
        <v>0</v>
      </c>
      <c r="J9243" s="1">
        <v>45937.332407407404</v>
      </c>
    </row>
    <row r="9244" spans="1:10" x14ac:dyDescent="0.2">
      <c r="A9244" s="4" t="s">
        <v>1</v>
      </c>
      <c r="B9244" s="3" t="str">
        <f>HYPERLINK("https://otsuka-europe-crm.veevavault.com/ui/#object/approved_document__v/V5OZ025E82TPVZ3", "INA - Invitación y programa Simposio SEHH 2025")</f>
        <v>INA - Invitación y programa Simposio SEHH 2025</v>
      </c>
      <c r="C9244" s="3" t="str">
        <f>HYPERLINK("https://otsuka-europe-crm.veevavault.com/ui/#object/sent_email__v/VBLZ025E82HCINN", "SE-000283700")</f>
        <v>SE-000283700</v>
      </c>
      <c r="D9244" s="1" t="s">
        <v>0</v>
      </c>
      <c r="E9244" s="2">
        <v>0</v>
      </c>
      <c r="F9244" s="2">
        <v>0</v>
      </c>
      <c r="G9244" s="2">
        <v>0</v>
      </c>
      <c r="H9244" s="1" t="s">
        <v>0</v>
      </c>
      <c r="I9244" s="2">
        <v>0</v>
      </c>
      <c r="J9244" s="1">
        <v>45937.332268518519</v>
      </c>
    </row>
    <row r="9245" spans="1:10" x14ac:dyDescent="0.2">
      <c r="A9245" s="4" t="s">
        <v>1</v>
      </c>
      <c r="B9245" s="3" t="str">
        <f>HYPERLINK("https://otsuka-europe-crm.veevavault.com/ui/#object/approved_document__v/V5OZ025E82TPVZ3", "INA - Invitación y programa Simposio SEHH 2025")</f>
        <v>INA - Invitación y programa Simposio SEHH 2025</v>
      </c>
      <c r="C9245" s="3" t="str">
        <f>HYPERLINK("https://otsuka-europe-crm.veevavault.com/ui/#object/sent_email__v/VBLZ025E82HCINO", "SE-000283701")</f>
        <v>SE-000283701</v>
      </c>
      <c r="D9245" s="1" t="s">
        <v>0</v>
      </c>
      <c r="E9245" s="2">
        <v>0</v>
      </c>
      <c r="F9245" s="2">
        <v>0</v>
      </c>
      <c r="G9245" s="2">
        <v>0</v>
      </c>
      <c r="H9245" s="1" t="s">
        <v>0</v>
      </c>
      <c r="I9245" s="2">
        <v>0</v>
      </c>
      <c r="J9245" s="1">
        <v>45937.332361111112</v>
      </c>
    </row>
    <row r="9246" spans="1:10" x14ac:dyDescent="0.2">
      <c r="A9246" s="4" t="s">
        <v>1</v>
      </c>
      <c r="B9246" s="3" t="str">
        <f>HYPERLINK("https://otsuka-europe-crm.veevavault.com/ui/#object/approved_document__v/V5OZ025E82TPVZ3", "INA - Invitación y programa Simposio SEHH 2025")</f>
        <v>INA - Invitación y programa Simposio SEHH 2025</v>
      </c>
      <c r="C9246" s="3" t="str">
        <f>HYPERLINK("https://otsuka-europe-crm.veevavault.com/ui/#object/sent_email__v/VBLZ025E82HCINP", "SE-000283702")</f>
        <v>SE-000283702</v>
      </c>
      <c r="D9246" s="1">
        <v>45948.446203703701</v>
      </c>
      <c r="E9246" s="2">
        <v>1</v>
      </c>
      <c r="F9246" s="2">
        <v>3</v>
      </c>
      <c r="G9246" s="2">
        <v>0</v>
      </c>
      <c r="H9246" s="1" t="s">
        <v>0</v>
      </c>
      <c r="I9246" s="2">
        <v>0</v>
      </c>
      <c r="J9246" s="1">
        <v>45937.332280092596</v>
      </c>
    </row>
    <row r="9247" spans="1:10" x14ac:dyDescent="0.2">
      <c r="A9247" s="4" t="s">
        <v>1</v>
      </c>
      <c r="B9247" s="3" t="str">
        <f>HYPERLINK("https://otsuka-europe-crm.veevavault.com/ui/#object/approved_document__v/V5OZ025E82TPVZ3", "INA - Invitación y programa Simposio SEHH 2025")</f>
        <v>INA - Invitación y programa Simposio SEHH 2025</v>
      </c>
      <c r="C9247" s="3" t="str">
        <f>HYPERLINK("https://otsuka-europe-crm.veevavault.com/ui/#object/sent_email__v/VBLZ025E82HCINQ", "SE-000283703")</f>
        <v>SE-000283703</v>
      </c>
      <c r="D9247" s="1">
        <v>45937.378101851849</v>
      </c>
      <c r="E9247" s="2">
        <v>1</v>
      </c>
      <c r="F9247" s="2">
        <v>1</v>
      </c>
      <c r="G9247" s="2">
        <v>0</v>
      </c>
      <c r="H9247" s="1" t="s">
        <v>0</v>
      </c>
      <c r="I9247" s="2">
        <v>0</v>
      </c>
      <c r="J9247" s="1">
        <v>45937.332430555558</v>
      </c>
    </row>
    <row r="9248" spans="1:10" x14ac:dyDescent="0.2">
      <c r="A9248" s="4" t="s">
        <v>1</v>
      </c>
      <c r="B9248" s="3" t="str">
        <f>HYPERLINK("https://otsuka-europe-crm.veevavault.com/ui/#object/approved_document__v/V5OZ025E82TPVZ3", "INA - Invitación y programa Simposio SEHH 2025")</f>
        <v>INA - Invitación y programa Simposio SEHH 2025</v>
      </c>
      <c r="C9248" s="3" t="str">
        <f>HYPERLINK("https://otsuka-europe-crm.veevavault.com/ui/#object/sent_email__v/VBLZ025E82HCINR", "SE-000283704")</f>
        <v>SE-000283704</v>
      </c>
      <c r="D9248" s="1">
        <v>45937.337939814817</v>
      </c>
      <c r="E9248" s="2">
        <v>1</v>
      </c>
      <c r="F9248" s="2">
        <v>1</v>
      </c>
      <c r="G9248" s="2">
        <v>0</v>
      </c>
      <c r="H9248" s="1" t="s">
        <v>0</v>
      </c>
      <c r="I9248" s="2">
        <v>0</v>
      </c>
      <c r="J9248" s="1">
        <v>45937.332233796296</v>
      </c>
    </row>
    <row r="9249" spans="1:10" x14ac:dyDescent="0.2">
      <c r="A9249" s="4" t="s">
        <v>1</v>
      </c>
      <c r="B9249" s="3" t="str">
        <f>HYPERLINK("https://otsuka-europe-crm.veevavault.com/ui/#object/approved_document__v/V5OZ025E82TPVZ3", "INA - Invitación y programa Simposio SEHH 2025")</f>
        <v>INA - Invitación y programa Simposio SEHH 2025</v>
      </c>
      <c r="C9249" s="3" t="str">
        <f>HYPERLINK("https://otsuka-europe-crm.veevavault.com/ui/#object/sent_email__v/VBLZ025E82HCINS", "SE-000283705")</f>
        <v>SE-000283705</v>
      </c>
      <c r="D9249" s="1">
        <v>45937.33315972222</v>
      </c>
      <c r="E9249" s="2">
        <v>1</v>
      </c>
      <c r="F9249" s="2">
        <v>1</v>
      </c>
      <c r="G9249" s="2">
        <v>0</v>
      </c>
      <c r="H9249" s="1" t="s">
        <v>0</v>
      </c>
      <c r="I9249" s="2">
        <v>0</v>
      </c>
      <c r="J9249" s="1">
        <v>45937.332407407404</v>
      </c>
    </row>
    <row r="9250" spans="1:10" x14ac:dyDescent="0.2">
      <c r="A9250" s="4" t="s">
        <v>1</v>
      </c>
      <c r="B9250" s="3" t="str">
        <f>HYPERLINK("https://otsuka-europe-crm.veevavault.com/ui/#object/approved_document__v/V5OZ025E82TPVZ3", "INA - Invitación y programa Simposio SEHH 2025")</f>
        <v>INA - Invitación y programa Simposio SEHH 2025</v>
      </c>
      <c r="C9250" s="3" t="str">
        <f>HYPERLINK("https://otsuka-europe-crm.veevavault.com/ui/#object/sent_email__v/VBLZ025E82HCINT", "SE-000283706")</f>
        <v>SE-000283706</v>
      </c>
      <c r="D9250" s="1" t="s">
        <v>0</v>
      </c>
      <c r="E9250" s="2">
        <v>0</v>
      </c>
      <c r="F9250" s="2">
        <v>0</v>
      </c>
      <c r="G9250" s="2">
        <v>0</v>
      </c>
      <c r="H9250" s="1" t="s">
        <v>0</v>
      </c>
      <c r="I9250" s="2">
        <v>0</v>
      </c>
      <c r="J9250" s="1">
        <v>45937.332430555558</v>
      </c>
    </row>
    <row r="9251" spans="1:10" x14ac:dyDescent="0.2">
      <c r="A9251" s="4" t="s">
        <v>1</v>
      </c>
      <c r="B9251" s="3" t="str">
        <f>HYPERLINK("https://otsuka-europe-crm.veevavault.com/ui/#object/approved_document__v/V5OZ025E82TPVZ3", "INA - Invitación y programa Simposio SEHH 2025")</f>
        <v>INA - Invitación y programa Simposio SEHH 2025</v>
      </c>
      <c r="C9251" s="3" t="str">
        <f>HYPERLINK("https://otsuka-europe-crm.veevavault.com/ui/#object/sent_email__v/VBLZ025E82HCINU", "SE-000283707")</f>
        <v>SE-000283707</v>
      </c>
      <c r="D9251" s="1" t="s">
        <v>0</v>
      </c>
      <c r="E9251" s="2">
        <v>0</v>
      </c>
      <c r="F9251" s="2">
        <v>0</v>
      </c>
      <c r="G9251" s="2">
        <v>0</v>
      </c>
      <c r="H9251" s="1" t="s">
        <v>0</v>
      </c>
      <c r="I9251" s="2">
        <v>0</v>
      </c>
      <c r="J9251" s="1">
        <v>45937.332291666666</v>
      </c>
    </row>
    <row r="9252" spans="1:10" x14ac:dyDescent="0.2">
      <c r="A9252" s="4" t="s">
        <v>1</v>
      </c>
      <c r="B9252" s="3" t="str">
        <f>HYPERLINK("https://otsuka-europe-crm.veevavault.com/ui/#object/approved_document__v/V5OZ025E82TPVZ3", "INA - Invitación y programa Simposio SEHH 2025")</f>
        <v>INA - Invitación y programa Simposio SEHH 2025</v>
      </c>
      <c r="C9252" s="3" t="str">
        <f>HYPERLINK("https://otsuka-europe-crm.veevavault.com/ui/#object/sent_email__v/VBLZ025E82HCINV", "SE-000283708")</f>
        <v>SE-000283708</v>
      </c>
      <c r="D9252" s="1">
        <v>45937.354201388887</v>
      </c>
      <c r="E9252" s="2">
        <v>1</v>
      </c>
      <c r="F9252" s="2">
        <v>2</v>
      </c>
      <c r="G9252" s="2">
        <v>0</v>
      </c>
      <c r="H9252" s="1" t="s">
        <v>0</v>
      </c>
      <c r="I9252" s="2">
        <v>0</v>
      </c>
      <c r="J9252" s="1">
        <v>45937.332442129627</v>
      </c>
    </row>
    <row r="9253" spans="1:10" x14ac:dyDescent="0.2">
      <c r="A9253" s="4" t="s">
        <v>1</v>
      </c>
      <c r="B9253" s="3" t="str">
        <f>HYPERLINK("https://otsuka-europe-crm.veevavault.com/ui/#object/approved_document__v/V5OZ025E82TPVZ3", "INA - Invitación y programa Simposio SEHH 2025")</f>
        <v>INA - Invitación y programa Simposio SEHH 2025</v>
      </c>
      <c r="C9253" s="3" t="str">
        <f>HYPERLINK("https://otsuka-europe-crm.veevavault.com/ui/#object/sent_email__v/VBLZ025E82HCINW", "SE-000283709")</f>
        <v>SE-000283709</v>
      </c>
      <c r="D9253" s="1">
        <v>45937.661898148152</v>
      </c>
      <c r="E9253" s="2">
        <v>1</v>
      </c>
      <c r="F9253" s="2">
        <v>1</v>
      </c>
      <c r="G9253" s="2">
        <v>0</v>
      </c>
      <c r="H9253" s="1" t="s">
        <v>0</v>
      </c>
      <c r="I9253" s="2">
        <v>0</v>
      </c>
      <c r="J9253" s="1">
        <v>45937.332303240742</v>
      </c>
    </row>
    <row r="9254" spans="1:10" x14ac:dyDescent="0.2">
      <c r="A9254" s="4" t="s">
        <v>1</v>
      </c>
      <c r="B9254" s="3" t="str">
        <f>HYPERLINK("https://otsuka-europe-crm.veevavault.com/ui/#object/approved_document__v/V5OZ025E82TPVZ3", "INA - Invitación y programa Simposio SEHH 2025")</f>
        <v>INA - Invitación y programa Simposio SEHH 2025</v>
      </c>
      <c r="C9254" s="3" t="str">
        <f>HYPERLINK("https://otsuka-europe-crm.veevavault.com/ui/#object/sent_email__v/VBLZ025E82HCINX", "SE-000283710")</f>
        <v>SE-000283710</v>
      </c>
      <c r="D9254" s="1">
        <v>45949.80574074074</v>
      </c>
      <c r="E9254" s="2">
        <v>1</v>
      </c>
      <c r="F9254" s="2">
        <v>2</v>
      </c>
      <c r="G9254" s="2">
        <v>0</v>
      </c>
      <c r="H9254" s="1" t="s">
        <v>0</v>
      </c>
      <c r="I9254" s="2">
        <v>0</v>
      </c>
      <c r="J9254" s="1">
        <v>45937.332384259258</v>
      </c>
    </row>
    <row r="9255" spans="1:10" x14ac:dyDescent="0.2">
      <c r="A9255" s="4" t="s">
        <v>1</v>
      </c>
      <c r="B9255" s="3" t="str">
        <f>HYPERLINK("https://otsuka-europe-crm.veevavault.com/ui/#object/approved_document__v/V5OZ025E82TPVZ3", "INA - Invitación y programa Simposio SEHH 2025")</f>
        <v>INA - Invitación y programa Simposio SEHH 2025</v>
      </c>
      <c r="C9255" s="3" t="str">
        <f>HYPERLINK("https://otsuka-europe-crm.veevavault.com/ui/#object/sent_email__v/VBLZ025E82HCINY", "SE-000283711")</f>
        <v>SE-000283711</v>
      </c>
      <c r="D9255" s="1">
        <v>45937.897094907406</v>
      </c>
      <c r="E9255" s="2">
        <v>1</v>
      </c>
      <c r="F9255" s="2">
        <v>1</v>
      </c>
      <c r="G9255" s="2">
        <v>0</v>
      </c>
      <c r="H9255" s="1" t="s">
        <v>0</v>
      </c>
      <c r="I9255" s="2">
        <v>0</v>
      </c>
      <c r="J9255" s="1">
        <v>45937.33221064815</v>
      </c>
    </row>
    <row r="9256" spans="1:10" x14ac:dyDescent="0.2">
      <c r="A9256" s="4" t="s">
        <v>1</v>
      </c>
      <c r="B9256" s="3" t="str">
        <f>HYPERLINK("https://otsuka-europe-crm.veevavault.com/ui/#object/approved_document__v/V5OZ025E82TPVZ3", "INA - Invitación y programa Simposio SEHH 2025")</f>
        <v>INA - Invitación y programa Simposio SEHH 2025</v>
      </c>
      <c r="C9256" s="3" t="str">
        <f>HYPERLINK("https://otsuka-europe-crm.veevavault.com/ui/#object/sent_email__v/VBLZ025E82HCISL", "SE-000283714")</f>
        <v>SE-000283714</v>
      </c>
      <c r="D9256" s="1">
        <v>45937.653483796297</v>
      </c>
      <c r="E9256" s="2">
        <v>1</v>
      </c>
      <c r="F9256" s="2">
        <v>1</v>
      </c>
      <c r="G9256" s="2">
        <v>0</v>
      </c>
      <c r="H9256" s="1" t="s">
        <v>0</v>
      </c>
      <c r="I9256" s="2">
        <v>0</v>
      </c>
      <c r="J9256" s="1">
        <v>45937.332962962966</v>
      </c>
    </row>
    <row r="9257" spans="1:10" x14ac:dyDescent="0.2">
      <c r="A9257" s="4" t="s">
        <v>1</v>
      </c>
      <c r="B9257" s="3" t="str">
        <f>HYPERLINK("https://otsuka-europe-crm.veevavault.com/ui/#object/approved_document__v/V5OZ025E82TPVZ3", "INA - Invitación y programa Simposio SEHH 2025")</f>
        <v>INA - Invitación y programa Simposio SEHH 2025</v>
      </c>
      <c r="C9257" s="3" t="str">
        <f>HYPERLINK("https://otsuka-europe-crm.veevavault.com/ui/#object/sent_email__v/VBLZ025E82HCISM", "SE-000283715")</f>
        <v>SE-000283715</v>
      </c>
      <c r="D9257" s="1">
        <v>45937.67769675926</v>
      </c>
      <c r="E9257" s="2">
        <v>1</v>
      </c>
      <c r="F9257" s="2">
        <v>2</v>
      </c>
      <c r="G9257" s="2">
        <v>0</v>
      </c>
      <c r="H9257" s="1" t="s">
        <v>0</v>
      </c>
      <c r="I9257" s="2">
        <v>0</v>
      </c>
      <c r="J9257" s="1">
        <v>45937.332951388889</v>
      </c>
    </row>
    <row r="9258" spans="1:10" x14ac:dyDescent="0.2">
      <c r="A9258" s="4" t="s">
        <v>1</v>
      </c>
      <c r="B9258" s="3" t="str">
        <f>HYPERLINK("https://otsuka-europe-crm.veevavault.com/ui/#object/approved_document__v/V5OZ025E82TPVZ3", "INA - Invitación y programa Simposio SEHH 2025")</f>
        <v>INA - Invitación y programa Simposio SEHH 2025</v>
      </c>
      <c r="C9258" s="3" t="str">
        <f>HYPERLINK("https://otsuka-europe-crm.veevavault.com/ui/#object/sent_email__v/VBLZ025E82HCISN", "SE-000283716")</f>
        <v>SE-000283716</v>
      </c>
      <c r="D9258" s="1" t="s">
        <v>0</v>
      </c>
      <c r="E9258" s="2">
        <v>0</v>
      </c>
      <c r="F9258" s="2">
        <v>0</v>
      </c>
      <c r="G9258" s="2">
        <v>0</v>
      </c>
      <c r="H9258" s="1" t="s">
        <v>0</v>
      </c>
      <c r="I9258" s="2">
        <v>0</v>
      </c>
      <c r="J9258" s="1">
        <v>45937.332939814813</v>
      </c>
    </row>
    <row r="9259" spans="1:10" x14ac:dyDescent="0.2">
      <c r="A9259" s="4" t="s">
        <v>1</v>
      </c>
      <c r="B9259" s="3" t="str">
        <f>HYPERLINK("https://otsuka-europe-crm.veevavault.com/ui/#object/approved_document__v/V5OZ025E82TPVZ3", "INA - Invitación y programa Simposio SEHH 2025")</f>
        <v>INA - Invitación y programa Simposio SEHH 2025</v>
      </c>
      <c r="C9259" s="3" t="str">
        <f>HYPERLINK("https://otsuka-europe-crm.veevavault.com/ui/#object/sent_email__v/VBLZ025E82HCISO", "SE-000283717")</f>
        <v>SE-000283717</v>
      </c>
      <c r="D9259" s="1" t="s">
        <v>0</v>
      </c>
      <c r="E9259" s="2">
        <v>0</v>
      </c>
      <c r="F9259" s="2">
        <v>0</v>
      </c>
      <c r="G9259" s="2">
        <v>0</v>
      </c>
      <c r="H9259" s="1" t="s">
        <v>0</v>
      </c>
      <c r="I9259" s="2">
        <v>0</v>
      </c>
      <c r="J9259" s="1">
        <v>45937.332986111112</v>
      </c>
    </row>
    <row r="9260" spans="1:10" x14ac:dyDescent="0.2">
      <c r="A9260" s="4" t="s">
        <v>1</v>
      </c>
      <c r="B9260" s="3" t="str">
        <f>HYPERLINK("https://otsuka-europe-crm.veevavault.com/ui/#object/approved_document__v/V5OZ025E82TPVZ3", "INA - Invitación y programa Simposio SEHH 2025")</f>
        <v>INA - Invitación y programa Simposio SEHH 2025</v>
      </c>
      <c r="C9260" s="3" t="str">
        <f>HYPERLINK("https://otsuka-europe-crm.veevavault.com/ui/#object/sent_email__v/VBLZ025E82HCISP", "SE-000283718")</f>
        <v>SE-000283718</v>
      </c>
      <c r="D9260" s="1" t="s">
        <v>0</v>
      </c>
      <c r="E9260" s="2">
        <v>0</v>
      </c>
      <c r="F9260" s="2">
        <v>0</v>
      </c>
      <c r="G9260" s="2">
        <v>0</v>
      </c>
      <c r="H9260" s="1" t="s">
        <v>0</v>
      </c>
      <c r="I9260" s="2">
        <v>0</v>
      </c>
      <c r="J9260" s="1">
        <v>45937.332962962966</v>
      </c>
    </row>
    <row r="9261" spans="1:10" x14ac:dyDescent="0.2">
      <c r="A9261" s="4" t="s">
        <v>1</v>
      </c>
      <c r="B9261" s="3" t="str">
        <f>HYPERLINK("https://otsuka-europe-crm.veevavault.com/ui/#object/approved_document__v/V5OZ025E82TPVZ3", "INA - Invitación y programa Simposio SEHH 2025")</f>
        <v>INA - Invitación y programa Simposio SEHH 2025</v>
      </c>
      <c r="C9261" s="3" t="str">
        <f>HYPERLINK("https://otsuka-europe-crm.veevavault.com/ui/#object/sent_email__v/VBLZ025E82HCISQ", "SE-000283719")</f>
        <v>SE-000283719</v>
      </c>
      <c r="D9261" s="1">
        <v>45937.636597222219</v>
      </c>
      <c r="E9261" s="2">
        <v>1</v>
      </c>
      <c r="F9261" s="2">
        <v>3</v>
      </c>
      <c r="G9261" s="2">
        <v>0</v>
      </c>
      <c r="H9261" s="1" t="s">
        <v>0</v>
      </c>
      <c r="I9261" s="2">
        <v>0</v>
      </c>
      <c r="J9261" s="1">
        <v>45937.332986111112</v>
      </c>
    </row>
    <row r="9262" spans="1:10" x14ac:dyDescent="0.2">
      <c r="A9262" s="4" t="s">
        <v>1</v>
      </c>
      <c r="B9262" s="3" t="str">
        <f>HYPERLINK("https://otsuka-europe-crm.veevavault.com/ui/#object/approved_document__v/V5OZ025E82TPVZ3", "INA - Invitación y programa Simposio SEHH 2025")</f>
        <v>INA - Invitación y programa Simposio SEHH 2025</v>
      </c>
      <c r="C9262" s="3" t="str">
        <f>HYPERLINK("https://otsuka-europe-crm.veevavault.com/ui/#object/sent_email__v/VBLZ025E82HCISR", "SE-000283720")</f>
        <v>SE-000283720</v>
      </c>
      <c r="D9262" s="1">
        <v>45937.391724537039</v>
      </c>
      <c r="E9262" s="2">
        <v>1</v>
      </c>
      <c r="F9262" s="2">
        <v>1</v>
      </c>
      <c r="G9262" s="2">
        <v>0</v>
      </c>
      <c r="H9262" s="1" t="s">
        <v>0</v>
      </c>
      <c r="I9262" s="2">
        <v>0</v>
      </c>
      <c r="J9262" s="1">
        <v>45937.332997685182</v>
      </c>
    </row>
    <row r="9263" spans="1:10" x14ac:dyDescent="0.2">
      <c r="A9263" s="4" t="s">
        <v>1</v>
      </c>
      <c r="B9263" s="3" t="str">
        <f>HYPERLINK("https://otsuka-europe-crm.veevavault.com/ui/#object/approved_document__v/V5OZ025E82TPVZ3", "INA - Invitación y programa Simposio SEHH 2025")</f>
        <v>INA - Invitación y programa Simposio SEHH 2025</v>
      </c>
      <c r="C9263" s="3" t="str">
        <f>HYPERLINK("https://otsuka-europe-crm.veevavault.com/ui/#object/sent_email__v/VBLZ025E82HCRO1", "SE-000283993")</f>
        <v>SE-000283993</v>
      </c>
      <c r="D9263" s="1">
        <v>45937.398460648146</v>
      </c>
      <c r="E9263" s="2">
        <v>1</v>
      </c>
      <c r="F9263" s="2">
        <v>1</v>
      </c>
      <c r="G9263" s="2">
        <v>0</v>
      </c>
      <c r="H9263" s="1" t="s">
        <v>0</v>
      </c>
      <c r="I9263" s="2">
        <v>0</v>
      </c>
      <c r="J9263" s="1">
        <v>45937.398379629631</v>
      </c>
    </row>
    <row r="9264" spans="1:10" x14ac:dyDescent="0.2">
      <c r="A9264" s="4" t="s">
        <v>1</v>
      </c>
      <c r="B9264" s="3" t="str">
        <f>HYPERLINK("https://otsuka-europe-crm.veevavault.com/ui/#object/approved_document__v/V5OZ025E82TPVZ3", "INA - Invitación y programa Simposio SEHH 2025")</f>
        <v>INA - Invitación y programa Simposio SEHH 2025</v>
      </c>
      <c r="C9264" s="3" t="str">
        <f>HYPERLINK("https://otsuka-europe-crm.veevavault.com/ui/#object/sent_email__v/VBLZ025E82HCRO2", "SE-000283994")</f>
        <v>SE-000283994</v>
      </c>
      <c r="D9264" s="1">
        <v>45937.44195601852</v>
      </c>
      <c r="E9264" s="2">
        <v>1</v>
      </c>
      <c r="F9264" s="2">
        <v>1</v>
      </c>
      <c r="G9264" s="2">
        <v>0</v>
      </c>
      <c r="H9264" s="1" t="s">
        <v>0</v>
      </c>
      <c r="I9264" s="2">
        <v>0</v>
      </c>
      <c r="J9264" s="1">
        <v>45937.398576388892</v>
      </c>
    </row>
    <row r="9265" spans="1:10" x14ac:dyDescent="0.2">
      <c r="A9265" s="4" t="s">
        <v>1</v>
      </c>
      <c r="B9265" s="3" t="str">
        <f>HYPERLINK("https://otsuka-europe-crm.veevavault.com/ui/#object/approved_document__v/V5OZ025E82TPVZ3", "INA - Invitación y programa Simposio SEHH 2025")</f>
        <v>INA - Invitación y programa Simposio SEHH 2025</v>
      </c>
      <c r="C9265" s="3" t="str">
        <f>HYPERLINK("https://otsuka-europe-crm.veevavault.com/ui/#object/sent_email__v/VBLZ025E82HCRO3", "SE-000283995")</f>
        <v>SE-000283995</v>
      </c>
      <c r="D9265" s="1">
        <v>45937.826944444445</v>
      </c>
      <c r="E9265" s="2">
        <v>1</v>
      </c>
      <c r="F9265" s="2">
        <v>2</v>
      </c>
      <c r="G9265" s="2">
        <v>0</v>
      </c>
      <c r="H9265" s="1" t="s">
        <v>0</v>
      </c>
      <c r="I9265" s="2">
        <v>0</v>
      </c>
      <c r="J9265" s="1">
        <v>45937.398414351854</v>
      </c>
    </row>
    <row r="9266" spans="1:10" x14ac:dyDescent="0.2">
      <c r="A9266" s="4" t="s">
        <v>1</v>
      </c>
      <c r="B9266" s="3" t="str">
        <f>HYPERLINK("https://otsuka-europe-crm.veevavault.com/ui/#object/approved_document__v/V5OZ025E82TPVZ3", "INA - Invitación y programa Simposio SEHH 2025")</f>
        <v>INA - Invitación y programa Simposio SEHH 2025</v>
      </c>
      <c r="C9266" s="3" t="str">
        <f>HYPERLINK("https://otsuka-europe-crm.veevavault.com/ui/#object/sent_email__v/VBLZ025E82HCRO4", "SE-000283996")</f>
        <v>SE-000283996</v>
      </c>
      <c r="D9266" s="1">
        <v>45946.470381944448</v>
      </c>
      <c r="E9266" s="2">
        <v>1</v>
      </c>
      <c r="F9266" s="2">
        <v>4</v>
      </c>
      <c r="G9266" s="2">
        <v>0</v>
      </c>
      <c r="H9266" s="1" t="s">
        <v>0</v>
      </c>
      <c r="I9266" s="2">
        <v>0</v>
      </c>
      <c r="J9266" s="1">
        <v>45937.398599537039</v>
      </c>
    </row>
    <row r="9267" spans="1:10" x14ac:dyDescent="0.2">
      <c r="A9267" s="4" t="s">
        <v>1</v>
      </c>
      <c r="B9267" s="3" t="str">
        <f>HYPERLINK("https://otsuka-europe-crm.veevavault.com/ui/#object/approved_document__v/V5OZ025E82TPVZ3", "INA - Invitación y programa Simposio SEHH 2025")</f>
        <v>INA - Invitación y programa Simposio SEHH 2025</v>
      </c>
      <c r="C9267" s="3" t="str">
        <f>HYPERLINK("https://otsuka-europe-crm.veevavault.com/ui/#object/sent_email__v/VBLZ025E82HCRO5", "SE-000283997")</f>
        <v>SE-000283997</v>
      </c>
      <c r="D9267" s="1" t="s">
        <v>0</v>
      </c>
      <c r="E9267" s="2">
        <v>0</v>
      </c>
      <c r="F9267" s="2">
        <v>0</v>
      </c>
      <c r="G9267" s="2">
        <v>0</v>
      </c>
      <c r="H9267" s="1" t="s">
        <v>0</v>
      </c>
      <c r="I9267" s="2">
        <v>0</v>
      </c>
      <c r="J9267" s="1">
        <v>45937.398449074077</v>
      </c>
    </row>
    <row r="9268" spans="1:10" x14ac:dyDescent="0.2">
      <c r="A9268" s="4" t="s">
        <v>1</v>
      </c>
      <c r="B9268" s="3" t="str">
        <f>HYPERLINK("https://otsuka-europe-crm.veevavault.com/ui/#object/approved_document__v/V5OZ025E82TPVZ3", "INA - Invitación y programa Simposio SEHH 2025")</f>
        <v>INA - Invitación y programa Simposio SEHH 2025</v>
      </c>
      <c r="C9268" s="3" t="str">
        <f>HYPERLINK("https://otsuka-europe-crm.veevavault.com/ui/#object/sent_email__v/VBLZ025E82HCRO6", "SE-000283998")</f>
        <v>SE-000283998</v>
      </c>
      <c r="D9268" s="1">
        <v>45937.401134259257</v>
      </c>
      <c r="E9268" s="2">
        <v>1</v>
      </c>
      <c r="F9268" s="2">
        <v>1</v>
      </c>
      <c r="G9268" s="2">
        <v>0</v>
      </c>
      <c r="H9268" s="1" t="s">
        <v>0</v>
      </c>
      <c r="I9268" s="2">
        <v>0</v>
      </c>
      <c r="J9268" s="1">
        <v>45937.398541666669</v>
      </c>
    </row>
    <row r="9269" spans="1:10" x14ac:dyDescent="0.2">
      <c r="A9269" s="4" t="s">
        <v>1</v>
      </c>
      <c r="B9269" s="3" t="str">
        <f>HYPERLINK("https://otsuka-europe-crm.veevavault.com/ui/#object/approved_document__v/V5OZ025E82TPVZ3", "INA - Invitación y programa Simposio SEHH 2025")</f>
        <v>INA - Invitación y programa Simposio SEHH 2025</v>
      </c>
      <c r="C9269" s="3" t="str">
        <f>HYPERLINK("https://otsuka-europe-crm.veevavault.com/ui/#object/sent_email__v/VBLZ025E82HCRO7", "SE-000283999")</f>
        <v>SE-000283999</v>
      </c>
      <c r="D9269" s="1" t="s">
        <v>0</v>
      </c>
      <c r="E9269" s="2">
        <v>0</v>
      </c>
      <c r="F9269" s="2">
        <v>0</v>
      </c>
      <c r="G9269" s="2">
        <v>0</v>
      </c>
      <c r="H9269" s="1" t="s">
        <v>0</v>
      </c>
      <c r="I9269" s="2">
        <v>0</v>
      </c>
      <c r="J9269" s="1">
        <v>45937.3984375</v>
      </c>
    </row>
    <row r="9270" spans="1:10" x14ac:dyDescent="0.2">
      <c r="A9270" s="4" t="s">
        <v>1</v>
      </c>
      <c r="B9270" s="3" t="str">
        <f>HYPERLINK("https://otsuka-europe-crm.veevavault.com/ui/#object/approved_document__v/V5OZ025E82TPVZ3", "INA - Invitación y programa Simposio SEHH 2025")</f>
        <v>INA - Invitación y programa Simposio SEHH 2025</v>
      </c>
      <c r="C9270" s="3" t="str">
        <f>HYPERLINK("https://otsuka-europe-crm.veevavault.com/ui/#object/sent_email__v/VBLZ025E82HCRO8", "SE-000284000")</f>
        <v>SE-000284000</v>
      </c>
      <c r="D9270" s="1">
        <v>45939.377372685187</v>
      </c>
      <c r="E9270" s="2">
        <v>1</v>
      </c>
      <c r="F9270" s="2">
        <v>6</v>
      </c>
      <c r="G9270" s="2">
        <v>0</v>
      </c>
      <c r="H9270" s="1" t="s">
        <v>0</v>
      </c>
      <c r="I9270" s="2">
        <v>0</v>
      </c>
      <c r="J9270" s="1">
        <v>45937.398587962962</v>
      </c>
    </row>
    <row r="9271" spans="1:10" x14ac:dyDescent="0.2">
      <c r="A9271" s="4" t="s">
        <v>1</v>
      </c>
      <c r="B9271" s="3" t="str">
        <f>HYPERLINK("https://otsuka-europe-crm.veevavault.com/ui/#object/approved_document__v/V5OZ025E82TPVZ3", "INA - Invitación y programa Simposio SEHH 2025")</f>
        <v>INA - Invitación y programa Simposio SEHH 2025</v>
      </c>
      <c r="C9271" s="3" t="str">
        <f>HYPERLINK("https://otsuka-europe-crm.veevavault.com/ui/#object/sent_email__v/VBLZ025E82HCRO9", "SE-000284001")</f>
        <v>SE-000284001</v>
      </c>
      <c r="D9271" s="1" t="s">
        <v>0</v>
      </c>
      <c r="E9271" s="2">
        <v>0</v>
      </c>
      <c r="F9271" s="2">
        <v>0</v>
      </c>
      <c r="G9271" s="2">
        <v>0</v>
      </c>
      <c r="H9271" s="1" t="s">
        <v>0</v>
      </c>
      <c r="I9271" s="2">
        <v>0</v>
      </c>
      <c r="J9271" s="1">
        <v>45937.398425925923</v>
      </c>
    </row>
    <row r="9272" spans="1:10" x14ac:dyDescent="0.2">
      <c r="A9272" s="4" t="s">
        <v>1</v>
      </c>
      <c r="B9272" s="3" t="str">
        <f>HYPERLINK("https://otsuka-europe-crm.veevavault.com/ui/#object/approved_document__v/V5OZ025E82TPVZ3", "INA - Invitación y programa Simposio SEHH 2025")</f>
        <v>INA - Invitación y programa Simposio SEHH 2025</v>
      </c>
      <c r="C9272" s="3" t="str">
        <f>HYPERLINK("https://otsuka-europe-crm.veevavault.com/ui/#object/sent_email__v/VBLZ025E82HCROA", "SE-000284002")</f>
        <v>SE-000284002</v>
      </c>
      <c r="D9272" s="1">
        <v>45941.281701388885</v>
      </c>
      <c r="E9272" s="2">
        <v>1</v>
      </c>
      <c r="F9272" s="2">
        <v>1</v>
      </c>
      <c r="G9272" s="2">
        <v>0</v>
      </c>
      <c r="H9272" s="1" t="s">
        <v>0</v>
      </c>
      <c r="I9272" s="2">
        <v>0</v>
      </c>
      <c r="J9272" s="1">
        <v>45937.398553240739</v>
      </c>
    </row>
    <row r="9273" spans="1:10" x14ac:dyDescent="0.2">
      <c r="A9273" s="4" t="s">
        <v>1</v>
      </c>
      <c r="B9273" s="3" t="str">
        <f>HYPERLINK("https://otsuka-europe-crm.veevavault.com/ui/#object/approved_document__v/V5OZ025E82TPVZ3", "INA - Invitación y programa Simposio SEHH 2025")</f>
        <v>INA - Invitación y programa Simposio SEHH 2025</v>
      </c>
      <c r="C9273" s="3" t="str">
        <f>HYPERLINK("https://otsuka-europe-crm.veevavault.com/ui/#object/sent_email__v/VBLZ025E82HCROB", "SE-000284003")</f>
        <v>SE-000284003</v>
      </c>
      <c r="D9273" s="1" t="s">
        <v>0</v>
      </c>
      <c r="E9273" s="2">
        <v>0</v>
      </c>
      <c r="F9273" s="2">
        <v>0</v>
      </c>
      <c r="G9273" s="2">
        <v>0</v>
      </c>
      <c r="H9273" s="1" t="s">
        <v>0</v>
      </c>
      <c r="I9273" s="2">
        <v>0</v>
      </c>
      <c r="J9273" s="1">
        <v>45937.398402777777</v>
      </c>
    </row>
    <row r="9274" spans="1:10" x14ac:dyDescent="0.2">
      <c r="A9274" s="4" t="s">
        <v>1</v>
      </c>
      <c r="B9274" s="3" t="str">
        <f>HYPERLINK("https://otsuka-europe-crm.veevavault.com/ui/#object/approved_document__v/V5OZ025E82TPVZ3", "INA - Invitación y programa Simposio SEHH 2025")</f>
        <v>INA - Invitación y programa Simposio SEHH 2025</v>
      </c>
      <c r="C9274" s="3" t="str">
        <f>HYPERLINK("https://otsuka-europe-crm.veevavault.com/ui/#object/sent_email__v/VBLZ025E82HCROC", "SE-000284004")</f>
        <v>SE-000284004</v>
      </c>
      <c r="D9274" s="1" t="s">
        <v>0</v>
      </c>
      <c r="E9274" s="2">
        <v>0</v>
      </c>
      <c r="F9274" s="2">
        <v>0</v>
      </c>
      <c r="G9274" s="2">
        <v>0</v>
      </c>
      <c r="H9274" s="1" t="s">
        <v>0</v>
      </c>
      <c r="I9274" s="2">
        <v>0</v>
      </c>
      <c r="J9274" s="1">
        <v>45937.398530092592</v>
      </c>
    </row>
    <row r="9275" spans="1:10" x14ac:dyDescent="0.2">
      <c r="A9275" s="4" t="s">
        <v>1</v>
      </c>
      <c r="B9275" s="3" t="str">
        <f>HYPERLINK("https://otsuka-europe-crm.veevavault.com/ui/#object/approved_document__v/V5OZ025E82TPVZ3", "INA - Invitación y programa Simposio SEHH 2025")</f>
        <v>INA - Invitación y programa Simposio SEHH 2025</v>
      </c>
      <c r="C9275" s="3" t="str">
        <f>HYPERLINK("https://otsuka-europe-crm.veevavault.com/ui/#object/sent_email__v/VBLZ025E82HCROD", "SE-000284005")</f>
        <v>SE-000284005</v>
      </c>
      <c r="D9275" s="1">
        <v>45939.824814814812</v>
      </c>
      <c r="E9275" s="2">
        <v>1</v>
      </c>
      <c r="F9275" s="2">
        <v>5</v>
      </c>
      <c r="G9275" s="2">
        <v>1</v>
      </c>
      <c r="H9275" s="1">
        <v>45937.598865740743</v>
      </c>
      <c r="I9275" s="2">
        <v>1</v>
      </c>
      <c r="J9275" s="1">
        <v>45937.398402777777</v>
      </c>
    </row>
    <row r="9276" spans="1:10" x14ac:dyDescent="0.2">
      <c r="A9276" s="4" t="s">
        <v>1</v>
      </c>
      <c r="B9276" s="3" t="str">
        <f>HYPERLINK("https://otsuka-europe-crm.veevavault.com/ui/#object/approved_document__v/V5OZ025E82TPVZ3", "INA - Invitación y programa Simposio SEHH 2025")</f>
        <v>INA - Invitación y programa Simposio SEHH 2025</v>
      </c>
      <c r="C9276" s="3" t="str">
        <f>HYPERLINK("https://otsuka-europe-crm.veevavault.com/ui/#object/sent_email__v/VBLZ025E82HCROE", "SE-000284006")</f>
        <v>SE-000284006</v>
      </c>
      <c r="D9276" s="1">
        <v>45937.406724537039</v>
      </c>
      <c r="E9276" s="2">
        <v>1</v>
      </c>
      <c r="F9276" s="2">
        <v>1</v>
      </c>
      <c r="G9276" s="2">
        <v>0</v>
      </c>
      <c r="H9276" s="1" t="s">
        <v>0</v>
      </c>
      <c r="I9276" s="2">
        <v>0</v>
      </c>
      <c r="J9276" s="1">
        <v>45937.398530092592</v>
      </c>
    </row>
    <row r="9277" spans="1:10" x14ac:dyDescent="0.2">
      <c r="A9277" s="4" t="s">
        <v>1</v>
      </c>
      <c r="B9277" s="3" t="str">
        <f>HYPERLINK("https://otsuka-europe-crm.veevavault.com/ui/#object/approved_document__v/V5OZ025E82TPVZ3", "INA - Invitación y programa Simposio SEHH 2025")</f>
        <v>INA - Invitación y programa Simposio SEHH 2025</v>
      </c>
      <c r="C9277" s="3" t="str">
        <f>HYPERLINK("https://otsuka-europe-crm.veevavault.com/ui/#object/sent_email__v/VBLZ025E82HCROF", "SE-000284007")</f>
        <v>SE-000284007</v>
      </c>
      <c r="D9277" s="1" t="s">
        <v>0</v>
      </c>
      <c r="E9277" s="2">
        <v>0</v>
      </c>
      <c r="F9277" s="2">
        <v>0</v>
      </c>
      <c r="G9277" s="2">
        <v>0</v>
      </c>
      <c r="H9277" s="1" t="s">
        <v>0</v>
      </c>
      <c r="I9277" s="2">
        <v>0</v>
      </c>
      <c r="J9277" s="1">
        <v>45937.398368055554</v>
      </c>
    </row>
    <row r="9278" spans="1:10" x14ac:dyDescent="0.2">
      <c r="A9278" s="4" t="s">
        <v>1</v>
      </c>
      <c r="B9278" s="3" t="str">
        <f>HYPERLINK("https://otsuka-europe-crm.veevavault.com/ui/#object/approved_document__v/V5OZ025E82TPVZ3", "INA - Invitación y programa Simposio SEHH 2025")</f>
        <v>INA - Invitación y programa Simposio SEHH 2025</v>
      </c>
      <c r="C9278" s="3" t="str">
        <f>HYPERLINK("https://otsuka-europe-crm.veevavault.com/ui/#object/sent_email__v/VBLZ025E82HCROG", "SE-000284008")</f>
        <v>SE-000284008</v>
      </c>
      <c r="D9278" s="1">
        <v>45937.652372685188</v>
      </c>
      <c r="E9278" s="2">
        <v>1</v>
      </c>
      <c r="F9278" s="2">
        <v>1</v>
      </c>
      <c r="G9278" s="2">
        <v>0</v>
      </c>
      <c r="H9278" s="1" t="s">
        <v>0</v>
      </c>
      <c r="I9278" s="2">
        <v>0</v>
      </c>
      <c r="J9278" s="1">
        <v>45937.398495370369</v>
      </c>
    </row>
    <row r="9279" spans="1:10" x14ac:dyDescent="0.2">
      <c r="A9279" s="4" t="s">
        <v>1</v>
      </c>
      <c r="B9279" s="3" t="str">
        <f>HYPERLINK("https://otsuka-europe-crm.veevavault.com/ui/#object/approved_document__v/V5OZ025E82TPVZ3", "INA - Invitación y programa Simposio SEHH 2025")</f>
        <v>INA - Invitación y programa Simposio SEHH 2025</v>
      </c>
      <c r="C9279" s="3" t="str">
        <f>HYPERLINK("https://otsuka-europe-crm.veevavault.com/ui/#object/sent_email__v/VBLZ025E82HCROH", "SE-000284009")</f>
        <v>SE-000284009</v>
      </c>
      <c r="D9279" s="1" t="s">
        <v>0</v>
      </c>
      <c r="E9279" s="2">
        <v>0</v>
      </c>
      <c r="F9279" s="2">
        <v>0</v>
      </c>
      <c r="G9279" s="2">
        <v>0</v>
      </c>
      <c r="H9279" s="1" t="s">
        <v>0</v>
      </c>
      <c r="I9279" s="2">
        <v>0</v>
      </c>
      <c r="J9279" s="1">
        <v>45937.398402777777</v>
      </c>
    </row>
    <row r="9280" spans="1:10" x14ac:dyDescent="0.2">
      <c r="A9280" s="4" t="s">
        <v>1</v>
      </c>
      <c r="B9280" s="3" t="str">
        <f>HYPERLINK("https://otsuka-europe-crm.veevavault.com/ui/#object/approved_document__v/V5OZ025E82TPVZ3", "INA - Invitación y programa Simposio SEHH 2025")</f>
        <v>INA - Invitación y programa Simposio SEHH 2025</v>
      </c>
      <c r="C9280" s="3" t="str">
        <f>HYPERLINK("https://otsuka-europe-crm.veevavault.com/ui/#object/sent_email__v/VBLZ025E82HCROI", "SE-000284010")</f>
        <v>SE-000284010</v>
      </c>
      <c r="D9280" s="1">
        <v>45937.4378125</v>
      </c>
      <c r="E9280" s="2">
        <v>1</v>
      </c>
      <c r="F9280" s="2">
        <v>2</v>
      </c>
      <c r="G9280" s="2">
        <v>0</v>
      </c>
      <c r="H9280" s="1" t="s">
        <v>0</v>
      </c>
      <c r="I9280" s="2">
        <v>0</v>
      </c>
      <c r="J9280" s="1">
        <v>45937.398518518516</v>
      </c>
    </row>
    <row r="9281" spans="1:10" x14ac:dyDescent="0.2">
      <c r="A9281" s="4" t="s">
        <v>1</v>
      </c>
      <c r="B9281" s="3" t="str">
        <f>HYPERLINK("https://otsuka-europe-crm.veevavault.com/ui/#object/approved_document__v/V5OZ025E82TPVZ3", "INA - Invitación y programa Simposio SEHH 2025")</f>
        <v>INA - Invitación y programa Simposio SEHH 2025</v>
      </c>
      <c r="C9281" s="3" t="str">
        <f>HYPERLINK("https://otsuka-europe-crm.veevavault.com/ui/#object/sent_email__v/VBLZ025E82HCROJ", "SE-000284011")</f>
        <v>SE-000284011</v>
      </c>
      <c r="D9281" s="1">
        <v>45937.431446759256</v>
      </c>
      <c r="E9281" s="2">
        <v>1</v>
      </c>
      <c r="F9281" s="2">
        <v>1</v>
      </c>
      <c r="G9281" s="2">
        <v>0</v>
      </c>
      <c r="H9281" s="1" t="s">
        <v>0</v>
      </c>
      <c r="I9281" s="2">
        <v>0</v>
      </c>
      <c r="J9281" s="1">
        <v>45937.398344907408</v>
      </c>
    </row>
    <row r="9282" spans="1:10" x14ac:dyDescent="0.2">
      <c r="A9282" s="4" t="s">
        <v>1</v>
      </c>
      <c r="B9282" s="3" t="str">
        <f>HYPERLINK("https://otsuka-europe-crm.veevavault.com/ui/#object/approved_document__v/V5OZ025E82TPVZ3", "INA - Invitación y programa Simposio SEHH 2025")</f>
        <v>INA - Invitación y programa Simposio SEHH 2025</v>
      </c>
      <c r="C9282" s="3" t="str">
        <f>HYPERLINK("https://otsuka-europe-crm.veevavault.com/ui/#object/sent_email__v/VBLZ025E82HCROK", "SE-000284012")</f>
        <v>SE-000284012</v>
      </c>
      <c r="D9282" s="1">
        <v>45937.439918981479</v>
      </c>
      <c r="E9282" s="2">
        <v>1</v>
      </c>
      <c r="F9282" s="2">
        <v>2</v>
      </c>
      <c r="G9282" s="2">
        <v>1</v>
      </c>
      <c r="H9282" s="1">
        <v>45937.439918981479</v>
      </c>
      <c r="I9282" s="2">
        <v>1</v>
      </c>
      <c r="J9282" s="1">
        <v>45937.398472222223</v>
      </c>
    </row>
    <row r="9283" spans="1:10" x14ac:dyDescent="0.2">
      <c r="A9283" s="4" t="s">
        <v>1</v>
      </c>
      <c r="B9283" s="3" t="str">
        <f>HYPERLINK("https://otsuka-europe-crm.veevavault.com/ui/#object/approved_document__v/V5OZ025E82TPVZ3", "INA - Invitación y programa Simposio SEHH 2025")</f>
        <v>INA - Invitación y programa Simposio SEHH 2025</v>
      </c>
      <c r="C9283" s="3" t="str">
        <f>HYPERLINK("https://otsuka-europe-crm.veevavault.com/ui/#object/sent_email__v/VBLZ025E82HCROL", "SE-000284013")</f>
        <v>SE-000284013</v>
      </c>
      <c r="D9283" s="1">
        <v>45937.41033564815</v>
      </c>
      <c r="E9283" s="2">
        <v>1</v>
      </c>
      <c r="F9283" s="2">
        <v>2</v>
      </c>
      <c r="G9283" s="2">
        <v>0</v>
      </c>
      <c r="H9283" s="1" t="s">
        <v>0</v>
      </c>
      <c r="I9283" s="2">
        <v>0</v>
      </c>
      <c r="J9283" s="1">
        <v>45937.398344907408</v>
      </c>
    </row>
    <row r="9284" spans="1:10" x14ac:dyDescent="0.2">
      <c r="A9284" s="4" t="s">
        <v>1</v>
      </c>
      <c r="B9284" s="3" t="str">
        <f>HYPERLINK("https://otsuka-europe-crm.veevavault.com/ui/#object/approved_document__v/V5OZ025E82TPVZ3", "INA - Invitación y programa Simposio SEHH 2025")</f>
        <v>INA - Invitación y programa Simposio SEHH 2025</v>
      </c>
      <c r="C9284" s="3" t="str">
        <f>HYPERLINK("https://otsuka-europe-crm.veevavault.com/ui/#object/sent_email__v/VBLZ025E82HCROM", "SE-000284014")</f>
        <v>SE-000284014</v>
      </c>
      <c r="D9284" s="1">
        <v>45938.399560185186</v>
      </c>
      <c r="E9284" s="2">
        <v>1</v>
      </c>
      <c r="F9284" s="2">
        <v>4</v>
      </c>
      <c r="G9284" s="2">
        <v>1</v>
      </c>
      <c r="H9284" s="1">
        <v>45937.400833333333</v>
      </c>
      <c r="I9284" s="2">
        <v>1</v>
      </c>
      <c r="J9284" s="1">
        <v>45937.398472222223</v>
      </c>
    </row>
    <row r="9285" spans="1:10" x14ac:dyDescent="0.2">
      <c r="A9285" s="4" t="s">
        <v>1</v>
      </c>
      <c r="B9285" s="3" t="str">
        <f>HYPERLINK("https://otsuka-europe-crm.veevavault.com/ui/#object/approved_document__v/V5OZ025E82TPVZ3", "INA - Invitación y programa Simposio SEHH 2025")</f>
        <v>INA - Invitación y programa Simposio SEHH 2025</v>
      </c>
      <c r="C9285" s="3" t="str">
        <f>HYPERLINK("https://otsuka-europe-crm.veevavault.com/ui/#object/sent_email__v/VBLZ025E82HCRON", "SE-000284015")</f>
        <v>SE-000284015</v>
      </c>
      <c r="D9285" s="1">
        <v>45937.407858796294</v>
      </c>
      <c r="E9285" s="2">
        <v>1</v>
      </c>
      <c r="F9285" s="2">
        <v>2</v>
      </c>
      <c r="G9285" s="2">
        <v>0</v>
      </c>
      <c r="H9285" s="1" t="s">
        <v>0</v>
      </c>
      <c r="I9285" s="2">
        <v>0</v>
      </c>
      <c r="J9285" s="1">
        <v>45937.398344907408</v>
      </c>
    </row>
    <row r="9286" spans="1:10" x14ac:dyDescent="0.2">
      <c r="A9286" s="4" t="s">
        <v>1</v>
      </c>
      <c r="B9286" s="3" t="str">
        <f>HYPERLINK("https://otsuka-europe-crm.veevavault.com/ui/#object/approved_document__v/V5OZ025E82TPVZ3", "INA - Invitación y programa Simposio SEHH 2025")</f>
        <v>INA - Invitación y programa Simposio SEHH 2025</v>
      </c>
      <c r="C9286" s="3" t="str">
        <f>HYPERLINK("https://otsuka-europe-crm.veevavault.com/ui/#object/sent_email__v/VBLZ025E82HCROO", "SE-000284016")</f>
        <v>SE-000284016</v>
      </c>
      <c r="D9286" s="1" t="s">
        <v>0</v>
      </c>
      <c r="E9286" s="2">
        <v>0</v>
      </c>
      <c r="F9286" s="2">
        <v>0</v>
      </c>
      <c r="G9286" s="2">
        <v>0</v>
      </c>
      <c r="H9286" s="1" t="s">
        <v>0</v>
      </c>
      <c r="I9286" s="2">
        <v>0</v>
      </c>
      <c r="J9286" s="1">
        <v>45937.398495370369</v>
      </c>
    </row>
    <row r="9287" spans="1:10" x14ac:dyDescent="0.2">
      <c r="A9287" s="4" t="s">
        <v>1</v>
      </c>
      <c r="B9287" s="3" t="str">
        <f>HYPERLINK("https://otsuka-europe-crm.veevavault.com/ui/#object/approved_document__v/V5OZ025E82TPVZ3", "INA - Invitación y programa Simposio SEHH 2025")</f>
        <v>INA - Invitación y programa Simposio SEHH 2025</v>
      </c>
      <c r="C9287" s="3" t="str">
        <f>HYPERLINK("https://otsuka-europe-crm.veevavault.com/ui/#object/sent_email__v/VBLZ025E82HCROP", "SE-000284017")</f>
        <v>SE-000284017</v>
      </c>
      <c r="D9287" s="1">
        <v>45937.441099537034</v>
      </c>
      <c r="E9287" s="2">
        <v>1</v>
      </c>
      <c r="F9287" s="2">
        <v>2</v>
      </c>
      <c r="G9287" s="2">
        <v>0</v>
      </c>
      <c r="H9287" s="1" t="s">
        <v>0</v>
      </c>
      <c r="I9287" s="2">
        <v>0</v>
      </c>
      <c r="J9287" s="1">
        <v>45937.398356481484</v>
      </c>
    </row>
    <row r="9288" spans="1:10" x14ac:dyDescent="0.2">
      <c r="A9288" s="4" t="s">
        <v>1</v>
      </c>
      <c r="B9288" s="3" t="str">
        <f>HYPERLINK("https://otsuka-europe-crm.veevavault.com/ui/#object/approved_document__v/V5OZ025E82TPVZ3", "INA - Invitación y programa Simposio SEHH 2025")</f>
        <v>INA - Invitación y programa Simposio SEHH 2025</v>
      </c>
      <c r="C9288" s="3" t="str">
        <f>HYPERLINK("https://otsuka-europe-crm.veevavault.com/ui/#object/sent_email__v/VBLZ025E82HCROQ", "SE-000284018")</f>
        <v>SE-000284018</v>
      </c>
      <c r="D9288" s="1" t="s">
        <v>0</v>
      </c>
      <c r="E9288" s="2">
        <v>0</v>
      </c>
      <c r="F9288" s="2">
        <v>0</v>
      </c>
      <c r="G9288" s="2">
        <v>0</v>
      </c>
      <c r="H9288" s="1" t="s">
        <v>0</v>
      </c>
      <c r="I9288" s="2">
        <v>0</v>
      </c>
      <c r="J9288" s="1">
        <v>45937.398495370369</v>
      </c>
    </row>
    <row r="9289" spans="1:10" x14ac:dyDescent="0.2">
      <c r="A9289" s="4" t="s">
        <v>1</v>
      </c>
      <c r="B9289" s="3" t="str">
        <f>HYPERLINK("https://otsuka-europe-crm.veevavault.com/ui/#object/approved_document__v/V5OZ025E82TPVZ3", "INA - Invitación y programa Simposio SEHH 2025")</f>
        <v>INA - Invitación y programa Simposio SEHH 2025</v>
      </c>
      <c r="C9289" s="3" t="str">
        <f>HYPERLINK("https://otsuka-europe-crm.veevavault.com/ui/#object/sent_email__v/VBLZ025E82HCROR", "SE-000284019")</f>
        <v>SE-000284019</v>
      </c>
      <c r="D9289" s="1" t="s">
        <v>0</v>
      </c>
      <c r="E9289" s="2">
        <v>0</v>
      </c>
      <c r="F9289" s="2">
        <v>0</v>
      </c>
      <c r="G9289" s="2">
        <v>0</v>
      </c>
      <c r="H9289" s="1" t="s">
        <v>0</v>
      </c>
      <c r="I9289" s="2">
        <v>0</v>
      </c>
      <c r="J9289" s="1">
        <v>45937.398599537039</v>
      </c>
    </row>
    <row r="9290" spans="1:10" x14ac:dyDescent="0.2">
      <c r="A9290" s="4" t="s">
        <v>1</v>
      </c>
      <c r="B9290" s="3" t="str">
        <f>HYPERLINK("https://otsuka-europe-crm.veevavault.com/ui/#object/approved_document__v/V5OZ025E82TPVZ3", "INA - Invitación y programa Simposio SEHH 2025")</f>
        <v>INA - Invitación y programa Simposio SEHH 2025</v>
      </c>
      <c r="C9290" s="3" t="str">
        <f>HYPERLINK("https://otsuka-europe-crm.veevavault.com/ui/#object/sent_email__v/VBLZ025E82HCROS", "SE-000284020")</f>
        <v>SE-000284020</v>
      </c>
      <c r="D9290" s="1">
        <v>45942.832951388889</v>
      </c>
      <c r="E9290" s="2">
        <v>1</v>
      </c>
      <c r="F9290" s="2">
        <v>6</v>
      </c>
      <c r="G9290" s="2">
        <v>0</v>
      </c>
      <c r="H9290" s="1" t="s">
        <v>0</v>
      </c>
      <c r="I9290" s="2">
        <v>0</v>
      </c>
      <c r="J9290" s="1">
        <v>45937.398460648146</v>
      </c>
    </row>
    <row r="9291" spans="1:10" x14ac:dyDescent="0.2">
      <c r="A9291" s="4" t="s">
        <v>1</v>
      </c>
      <c r="B9291" s="3" t="str">
        <f>HYPERLINK("https://otsuka-europe-crm.veevavault.com/ui/#object/approved_document__v/V5OZ025E82TPVZ3", "INA - Invitación y programa Simposio SEHH 2025")</f>
        <v>INA - Invitación y programa Simposio SEHH 2025</v>
      </c>
      <c r="C9291" s="3" t="str">
        <f>HYPERLINK("https://otsuka-europe-crm.veevavault.com/ui/#object/sent_email__v/VBLZ025E82HCROT", "SE-000284021")</f>
        <v>SE-000284021</v>
      </c>
      <c r="D9291" s="1">
        <v>45964.290289351855</v>
      </c>
      <c r="E9291" s="2">
        <v>1</v>
      </c>
      <c r="F9291" s="2">
        <v>4</v>
      </c>
      <c r="G9291" s="2">
        <v>0</v>
      </c>
      <c r="H9291" s="1" t="s">
        <v>0</v>
      </c>
      <c r="I9291" s="2">
        <v>0</v>
      </c>
      <c r="J9291" s="1">
        <v>45937.398564814815</v>
      </c>
    </row>
    <row r="9292" spans="1:10" x14ac:dyDescent="0.2">
      <c r="A9292" s="4" t="s">
        <v>1</v>
      </c>
      <c r="B9292" s="3" t="str">
        <f>HYPERLINK("https://otsuka-europe-crm.veevavault.com/ui/#object/approved_document__v/V5OZ025E82TPVZ3", "INA - Invitación y programa Simposio SEHH 2025")</f>
        <v>INA - Invitación y programa Simposio SEHH 2025</v>
      </c>
      <c r="C9292" s="3" t="str">
        <f>HYPERLINK("https://otsuka-europe-crm.veevavault.com/ui/#object/sent_email__v/VBLZ025E82HCROU", "SE-000284022")</f>
        <v>SE-000284022</v>
      </c>
      <c r="D9292" s="1" t="s">
        <v>0</v>
      </c>
      <c r="E9292" s="2">
        <v>0</v>
      </c>
      <c r="F9292" s="2">
        <v>0</v>
      </c>
      <c r="G9292" s="2">
        <v>0</v>
      </c>
      <c r="H9292" s="1" t="s">
        <v>0</v>
      </c>
      <c r="I9292" s="2">
        <v>0</v>
      </c>
      <c r="J9292" s="1">
        <v>45937.398425925923</v>
      </c>
    </row>
    <row r="9293" spans="1:10" x14ac:dyDescent="0.2">
      <c r="A9293" s="4" t="s">
        <v>1</v>
      </c>
      <c r="B9293" s="3" t="str">
        <f>HYPERLINK("https://otsuka-europe-crm.veevavault.com/ui/#object/approved_document__v/V5OZ025E82TPVZ3", "INA - Invitación y programa Simposio SEHH 2025")</f>
        <v>INA - Invitación y programa Simposio SEHH 2025</v>
      </c>
      <c r="C9293" s="3" t="str">
        <f>HYPERLINK("https://otsuka-europe-crm.veevavault.com/ui/#object/sent_email__v/VBLZ025E82HCROV", "SE-000284023")</f>
        <v>SE-000284023</v>
      </c>
      <c r="D9293" s="1" t="s">
        <v>0</v>
      </c>
      <c r="E9293" s="2">
        <v>0</v>
      </c>
      <c r="F9293" s="2">
        <v>0</v>
      </c>
      <c r="G9293" s="2">
        <v>0</v>
      </c>
      <c r="H9293" s="1" t="s">
        <v>0</v>
      </c>
      <c r="I9293" s="2">
        <v>0</v>
      </c>
      <c r="J9293" s="1">
        <v>45937.398553240739</v>
      </c>
    </row>
    <row r="9294" spans="1:10" x14ac:dyDescent="0.2">
      <c r="A9294" s="4" t="s">
        <v>1</v>
      </c>
      <c r="B9294" s="3" t="str">
        <f>HYPERLINK("https://otsuka-europe-crm.veevavault.com/ui/#object/approved_document__v/V5OZ025E82TPVZ3", "INA - Invitación y programa Simposio SEHH 2025")</f>
        <v>INA - Invitación y programa Simposio SEHH 2025</v>
      </c>
      <c r="C9294" s="3" t="str">
        <f>HYPERLINK("https://otsuka-europe-crm.veevavault.com/ui/#object/sent_email__v/VBLZ025E82HCROW", "SE-000284024")</f>
        <v>SE-000284024</v>
      </c>
      <c r="D9294" s="1" t="s">
        <v>0</v>
      </c>
      <c r="E9294" s="2">
        <v>0</v>
      </c>
      <c r="F9294" s="2">
        <v>0</v>
      </c>
      <c r="G9294" s="2">
        <v>0</v>
      </c>
      <c r="H9294" s="1" t="s">
        <v>0</v>
      </c>
      <c r="I9294" s="2">
        <v>0</v>
      </c>
      <c r="J9294" s="1">
        <v>45937.398414351854</v>
      </c>
    </row>
    <row r="9295" spans="1:10" x14ac:dyDescent="0.2">
      <c r="A9295" s="4" t="s">
        <v>1</v>
      </c>
      <c r="B9295" s="3" t="str">
        <f>HYPERLINK("https://otsuka-europe-crm.veevavault.com/ui/#object/approved_document__v/V5OZ025E82TPVZ3", "INA - Invitación y programa Simposio SEHH 2025")</f>
        <v>INA - Invitación y programa Simposio SEHH 2025</v>
      </c>
      <c r="C9295" s="3" t="str">
        <f>HYPERLINK("https://otsuka-europe-crm.veevavault.com/ui/#object/sent_email__v/VBLZ025E82HD4PH", "SE-000284232")</f>
        <v>SE-000284232</v>
      </c>
      <c r="D9295" s="1" t="s">
        <v>0</v>
      </c>
      <c r="E9295" s="2">
        <v>0</v>
      </c>
      <c r="F9295" s="2">
        <v>0</v>
      </c>
      <c r="G9295" s="2">
        <v>0</v>
      </c>
      <c r="H9295" s="1" t="s">
        <v>0</v>
      </c>
      <c r="I9295" s="2">
        <v>0</v>
      </c>
      <c r="J9295" s="1">
        <v>45937.476504629631</v>
      </c>
    </row>
    <row r="9296" spans="1:10" x14ac:dyDescent="0.2">
      <c r="A9296" s="4" t="s">
        <v>1</v>
      </c>
      <c r="B9296" s="3" t="str">
        <f>HYPERLINK("https://otsuka-europe-crm.veevavault.com/ui/#object/approved_document__v/V5OZ025E82TPVZ3", "INA - Invitación y programa Simposio SEHH 2025")</f>
        <v>INA - Invitación y programa Simposio SEHH 2025</v>
      </c>
      <c r="C9296" s="3" t="str">
        <f>HYPERLINK("https://otsuka-europe-crm.veevavault.com/ui/#object/sent_email__v/VBLZ025E82HD4PI", "SE-000284233")</f>
        <v>SE-000284233</v>
      </c>
      <c r="D9296" s="1">
        <v>45968.970949074072</v>
      </c>
      <c r="E9296" s="2">
        <v>1</v>
      </c>
      <c r="F9296" s="2">
        <v>6</v>
      </c>
      <c r="G9296" s="2">
        <v>1</v>
      </c>
      <c r="H9296" s="1">
        <v>45938.438807870371</v>
      </c>
      <c r="I9296" s="2">
        <v>1</v>
      </c>
      <c r="J9296" s="1">
        <v>45937.476504629631</v>
      </c>
    </row>
    <row r="9297" spans="1:10" x14ac:dyDescent="0.2">
      <c r="A9297" s="4" t="s">
        <v>1</v>
      </c>
      <c r="B9297" s="3" t="str">
        <f>HYPERLINK("https://otsuka-europe-crm.veevavault.com/ui/#object/approved_document__v/V5OZ025E82TPVZ3", "INA - Invitación y programa Simposio SEHH 2025")</f>
        <v>INA - Invitación y programa Simposio SEHH 2025</v>
      </c>
      <c r="C9297" s="3" t="str">
        <f>HYPERLINK("https://otsuka-europe-crm.veevavault.com/ui/#object/sent_email__v/VBLZ025E82HD4PJ", "SE-000284234")</f>
        <v>SE-000284234</v>
      </c>
      <c r="D9297" s="1" t="s">
        <v>0</v>
      </c>
      <c r="E9297" s="2">
        <v>0</v>
      </c>
      <c r="F9297" s="2">
        <v>0</v>
      </c>
      <c r="G9297" s="2">
        <v>0</v>
      </c>
      <c r="H9297" s="1" t="s">
        <v>0</v>
      </c>
      <c r="I9297" s="2">
        <v>0</v>
      </c>
      <c r="J9297" s="1">
        <v>45937.476504629631</v>
      </c>
    </row>
    <row r="9298" spans="1:10" x14ac:dyDescent="0.2">
      <c r="A9298" s="4" t="s">
        <v>1</v>
      </c>
      <c r="B9298" s="3" t="str">
        <f>HYPERLINK("https://otsuka-europe-crm.veevavault.com/ui/#object/approved_document__v/V5OZ025E82TPVZ3", "INA - Invitación y programa Simposio SEHH 2025")</f>
        <v>INA - Invitación y programa Simposio SEHH 2025</v>
      </c>
      <c r="C9298" s="3" t="str">
        <f>HYPERLINK("https://otsuka-europe-crm.veevavault.com/ui/#object/sent_email__v/VBLZ025E82HD4PK", "SE-000284235")</f>
        <v>SE-000284235</v>
      </c>
      <c r="D9298" s="1" t="s">
        <v>0</v>
      </c>
      <c r="E9298" s="2">
        <v>0</v>
      </c>
      <c r="F9298" s="2">
        <v>0</v>
      </c>
      <c r="G9298" s="2">
        <v>0</v>
      </c>
      <c r="H9298" s="1" t="s">
        <v>0</v>
      </c>
      <c r="I9298" s="2">
        <v>0</v>
      </c>
      <c r="J9298" s="1">
        <v>45937.476504629631</v>
      </c>
    </row>
    <row r="9299" spans="1:10" x14ac:dyDescent="0.2">
      <c r="A9299" s="4" t="s">
        <v>1</v>
      </c>
      <c r="B9299" s="3" t="str">
        <f>HYPERLINK("https://otsuka-europe-crm.veevavault.com/ui/#object/approved_document__v/V5OZ025E82TPVZ3", "INA - Invitación y programa Simposio SEHH 2025")</f>
        <v>INA - Invitación y programa Simposio SEHH 2025</v>
      </c>
      <c r="C9299" s="3" t="str">
        <f>HYPERLINK("https://otsuka-europe-crm.veevavault.com/ui/#object/sent_email__v/VBLZ025E82HCWRE", "SE-000284236")</f>
        <v>SE-000284236</v>
      </c>
      <c r="D9299" s="1">
        <v>45940.454432870371</v>
      </c>
      <c r="E9299" s="2">
        <v>1</v>
      </c>
      <c r="F9299" s="2">
        <v>4</v>
      </c>
      <c r="G9299" s="2">
        <v>1</v>
      </c>
      <c r="H9299" s="1">
        <v>45940.454525462963</v>
      </c>
      <c r="I9299" s="2">
        <v>11</v>
      </c>
      <c r="J9299" s="1">
        <v>45937.478981481479</v>
      </c>
    </row>
    <row r="9300" spans="1:10" x14ac:dyDescent="0.2">
      <c r="A9300" s="4" t="s">
        <v>1</v>
      </c>
      <c r="B9300" s="3" t="str">
        <f>HYPERLINK("https://otsuka-europe-crm.veevavault.com/ui/#object/approved_document__v/V5OZ025E82TPVZ3", "INA - Invitación y programa Simposio SEHH 2025")</f>
        <v>INA - Invitación y programa Simposio SEHH 2025</v>
      </c>
      <c r="C9300" s="3" t="str">
        <f>HYPERLINK("https://otsuka-europe-crm.veevavault.com/ui/#object/sent_email__v/VBLZ025E82HCWRF", "SE-000284237")</f>
        <v>SE-000284237</v>
      </c>
      <c r="D9300" s="1">
        <v>45937.479131944441</v>
      </c>
      <c r="E9300" s="2">
        <v>1</v>
      </c>
      <c r="F9300" s="2">
        <v>2</v>
      </c>
      <c r="G9300" s="2">
        <v>1</v>
      </c>
      <c r="H9300" s="1">
        <v>45937.479351851849</v>
      </c>
      <c r="I9300" s="2">
        <v>7</v>
      </c>
      <c r="J9300" s="1">
        <v>45937.478993055556</v>
      </c>
    </row>
    <row r="9301" spans="1:10" x14ac:dyDescent="0.2">
      <c r="A9301" s="4" t="s">
        <v>1</v>
      </c>
      <c r="B9301" s="3" t="str">
        <f>HYPERLINK("https://otsuka-europe-crm.veevavault.com/ui/#object/approved_document__v/V5OZ025E82TPVZ3", "INA - Invitación y programa Simposio SEHH 2025")</f>
        <v>INA - Invitación y programa Simposio SEHH 2025</v>
      </c>
      <c r="C9301" s="3" t="str">
        <f>HYPERLINK("https://otsuka-europe-crm.veevavault.com/ui/#object/sent_email__v/VBLZ025E82HCWRG", "SE-000284238")</f>
        <v>SE-000284238</v>
      </c>
      <c r="D9301" s="1">
        <v>45937.634606481479</v>
      </c>
      <c r="E9301" s="2">
        <v>1</v>
      </c>
      <c r="F9301" s="2">
        <v>1</v>
      </c>
      <c r="G9301" s="2">
        <v>0</v>
      </c>
      <c r="H9301" s="1" t="s">
        <v>0</v>
      </c>
      <c r="I9301" s="2">
        <v>0</v>
      </c>
      <c r="J9301" s="1">
        <v>45937.479016203702</v>
      </c>
    </row>
    <row r="9302" spans="1:10" x14ac:dyDescent="0.2">
      <c r="A9302" s="4" t="s">
        <v>1</v>
      </c>
      <c r="B9302" s="3" t="str">
        <f>HYPERLINK("https://otsuka-europe-crm.veevavault.com/ui/#object/approved_document__v/V5OZ025E82TPVZ3", "INA - Invitación y programa Simposio SEHH 2025")</f>
        <v>INA - Invitación y programa Simposio SEHH 2025</v>
      </c>
      <c r="C9302" s="3" t="str">
        <f>HYPERLINK("https://otsuka-europe-crm.veevavault.com/ui/#object/sent_email__v/VBLZ025E82HCWRH", "SE-000284239")</f>
        <v>SE-000284239</v>
      </c>
      <c r="D9302" s="1">
        <v>45937.479201388887</v>
      </c>
      <c r="E9302" s="2">
        <v>1</v>
      </c>
      <c r="F9302" s="2">
        <v>2</v>
      </c>
      <c r="G9302" s="2">
        <v>1</v>
      </c>
      <c r="H9302" s="1">
        <v>45937.479189814818</v>
      </c>
      <c r="I9302" s="2">
        <v>6</v>
      </c>
      <c r="J9302" s="1">
        <v>45937.479039351849</v>
      </c>
    </row>
    <row r="9303" spans="1:10" x14ac:dyDescent="0.2">
      <c r="A9303" s="4" t="s">
        <v>1</v>
      </c>
      <c r="B9303" s="3" t="str">
        <f>HYPERLINK("https://otsuka-europe-crm.veevavault.com/ui/#object/approved_document__v/V5OZ025E82TPVZ3", "INA - Invitación y programa Simposio SEHH 2025")</f>
        <v>INA - Invitación y programa Simposio SEHH 2025</v>
      </c>
      <c r="C9303" s="3" t="str">
        <f>HYPERLINK("https://otsuka-europe-crm.veevavault.com/ui/#object/sent_email__v/VBLZ025E82HD50L", "SE-000284240")</f>
        <v>SE-000284240</v>
      </c>
      <c r="D9303" s="1">
        <v>45937.536180555559</v>
      </c>
      <c r="E9303" s="2">
        <v>1</v>
      </c>
      <c r="F9303" s="2">
        <v>2</v>
      </c>
      <c r="G9303" s="2">
        <v>1</v>
      </c>
      <c r="H9303" s="1">
        <v>45937.536296296297</v>
      </c>
      <c r="I9303" s="2">
        <v>1</v>
      </c>
      <c r="J9303" s="1">
        <v>45937.479618055557</v>
      </c>
    </row>
    <row r="9304" spans="1:10" x14ac:dyDescent="0.2">
      <c r="A9304" s="4" t="s">
        <v>1</v>
      </c>
      <c r="B9304" s="3" t="str">
        <f>HYPERLINK("https://otsuka-europe-crm.veevavault.com/ui/#object/approved_document__v/V5OZ025E82TPVZ3", "INA - Invitación y programa Simposio SEHH 2025")</f>
        <v>INA - Invitación y programa Simposio SEHH 2025</v>
      </c>
      <c r="C9304" s="3" t="str">
        <f>HYPERLINK("https://otsuka-europe-crm.veevavault.com/ui/#object/sent_email__v/VBLZ025E82HD50M", "SE-000284241")</f>
        <v>SE-000284241</v>
      </c>
      <c r="D9304" s="1" t="s">
        <v>0</v>
      </c>
      <c r="E9304" s="2">
        <v>0</v>
      </c>
      <c r="F9304" s="2">
        <v>0</v>
      </c>
      <c r="G9304" s="2">
        <v>0</v>
      </c>
      <c r="H9304" s="1" t="s">
        <v>0</v>
      </c>
      <c r="I9304" s="2">
        <v>0</v>
      </c>
      <c r="J9304" s="1">
        <v>45937.479618055557</v>
      </c>
    </row>
    <row r="9305" spans="1:10" x14ac:dyDescent="0.2">
      <c r="A9305" s="4" t="s">
        <v>1</v>
      </c>
      <c r="B9305" s="3" t="str">
        <f>HYPERLINK("https://otsuka-europe-crm.veevavault.com/ui/#object/approved_document__v/V5OZ025E82TPVZ3", "INA - Invitación y programa Simposio SEHH 2025")</f>
        <v>INA - Invitación y programa Simposio SEHH 2025</v>
      </c>
      <c r="C9305" s="3" t="str">
        <f>HYPERLINK("https://otsuka-europe-crm.veevavault.com/ui/#object/sent_email__v/VBLZ025E82HD50N", "SE-000284242")</f>
        <v>SE-000284242</v>
      </c>
      <c r="D9305" s="1">
        <v>45939.351620370369</v>
      </c>
      <c r="E9305" s="2">
        <v>1</v>
      </c>
      <c r="F9305" s="2">
        <v>4</v>
      </c>
      <c r="G9305" s="2">
        <v>1</v>
      </c>
      <c r="H9305" s="1">
        <v>45937.865185185183</v>
      </c>
      <c r="I9305" s="2">
        <v>1</v>
      </c>
      <c r="J9305" s="1">
        <v>45937.479618055557</v>
      </c>
    </row>
    <row r="9306" spans="1:10" x14ac:dyDescent="0.2">
      <c r="A9306" s="4" t="s">
        <v>1</v>
      </c>
      <c r="B9306" s="3" t="str">
        <f>HYPERLINK("https://otsuka-europe-crm.veevavault.com/ui/#object/approved_document__v/V5OZ025E82TPVZ3", "INA - Invitación y programa Simposio SEHH 2025")</f>
        <v>INA - Invitación y programa Simposio SEHH 2025</v>
      </c>
      <c r="C9306" s="3" t="str">
        <f>HYPERLINK("https://otsuka-europe-crm.veevavault.com/ui/#object/sent_email__v/VBLZ025E82HD5BP", "SE-000284243")</f>
        <v>SE-000284243</v>
      </c>
      <c r="D9306" s="1" t="s">
        <v>0</v>
      </c>
      <c r="E9306" s="2">
        <v>0</v>
      </c>
      <c r="F9306" s="2">
        <v>0</v>
      </c>
      <c r="G9306" s="2">
        <v>0</v>
      </c>
      <c r="H9306" s="1" t="s">
        <v>0</v>
      </c>
      <c r="I9306" s="2">
        <v>0</v>
      </c>
      <c r="J9306" s="1">
        <v>45937.481226851851</v>
      </c>
    </row>
    <row r="9307" spans="1:10" x14ac:dyDescent="0.2">
      <c r="A9307" s="4" t="s">
        <v>1</v>
      </c>
      <c r="B9307" s="3" t="str">
        <f>HYPERLINK("https://otsuka-europe-crm.veevavault.com/ui/#object/approved_document__v/V5OZ025E82TPVZ3", "INA - Invitación y programa Simposio SEHH 2025")</f>
        <v>INA - Invitación y programa Simposio SEHH 2025</v>
      </c>
      <c r="C9307" s="3" t="str">
        <f>HYPERLINK("https://otsuka-europe-crm.veevavault.com/ui/#object/sent_email__v/VBLZ025E82HD6V9", "SE-000284244")</f>
        <v>SE-000284244</v>
      </c>
      <c r="D9307" s="1" t="s">
        <v>0</v>
      </c>
      <c r="E9307" s="2">
        <v>0</v>
      </c>
      <c r="F9307" s="2">
        <v>0</v>
      </c>
      <c r="G9307" s="2">
        <v>0</v>
      </c>
      <c r="H9307" s="1" t="s">
        <v>0</v>
      </c>
      <c r="I9307" s="2">
        <v>0</v>
      </c>
      <c r="J9307" s="1">
        <v>45937.49391203704</v>
      </c>
    </row>
    <row r="9308" spans="1:10" x14ac:dyDescent="0.2">
      <c r="A9308" s="4" t="s">
        <v>1</v>
      </c>
      <c r="B9308" s="3" t="str">
        <f>HYPERLINK("https://otsuka-europe-crm.veevavault.com/ui/#object/approved_document__v/V5OZ025E82TPVZ3", "INA - Invitación y programa Simposio SEHH 2025")</f>
        <v>INA - Invitación y programa Simposio SEHH 2025</v>
      </c>
      <c r="C9308" s="3" t="str">
        <f>HYPERLINK("https://otsuka-europe-crm.veevavault.com/ui/#object/sent_email__v/VBLZ025E82HD6VA", "SE-000284245")</f>
        <v>SE-000284245</v>
      </c>
      <c r="D9308" s="1" t="s">
        <v>0</v>
      </c>
      <c r="E9308" s="2">
        <v>0</v>
      </c>
      <c r="F9308" s="2">
        <v>0</v>
      </c>
      <c r="G9308" s="2">
        <v>0</v>
      </c>
      <c r="H9308" s="1" t="s">
        <v>0</v>
      </c>
      <c r="I9308" s="2">
        <v>0</v>
      </c>
      <c r="J9308" s="1">
        <v>45937.49391203704</v>
      </c>
    </row>
    <row r="9309" spans="1:10" x14ac:dyDescent="0.2">
      <c r="A9309" s="4" t="s">
        <v>1</v>
      </c>
      <c r="B9309" s="3" t="str">
        <f>HYPERLINK("https://otsuka-europe-crm.veevavault.com/ui/#object/approved_document__v/V5OZ025E82TPVZ3", "INA - Invitación y programa Simposio SEHH 2025")</f>
        <v>INA - Invitación y programa Simposio SEHH 2025</v>
      </c>
      <c r="C9309" s="3" t="str">
        <f>HYPERLINK("https://otsuka-europe-crm.veevavault.com/ui/#object/sent_email__v/VBLZ025E82HD6VB", "SE-000284246")</f>
        <v>SE-000284246</v>
      </c>
      <c r="D9309" s="1" t="s">
        <v>0</v>
      </c>
      <c r="E9309" s="2">
        <v>0</v>
      </c>
      <c r="F9309" s="2">
        <v>0</v>
      </c>
      <c r="G9309" s="2">
        <v>0</v>
      </c>
      <c r="H9309" s="1" t="s">
        <v>0</v>
      </c>
      <c r="I9309" s="2">
        <v>0</v>
      </c>
      <c r="J9309" s="1">
        <v>45937.493935185186</v>
      </c>
    </row>
    <row r="9310" spans="1:10" x14ac:dyDescent="0.2">
      <c r="A9310" s="4" t="s">
        <v>1</v>
      </c>
      <c r="B9310" s="3" t="str">
        <f>HYPERLINK("https://otsuka-europe-crm.veevavault.com/ui/#object/approved_document__v/V5OZ025E82TPVZ3", "INA - Invitación y programa Simposio SEHH 2025")</f>
        <v>INA - Invitación y programa Simposio SEHH 2025</v>
      </c>
      <c r="C9310" s="3" t="str">
        <f>HYPERLINK("https://otsuka-europe-crm.veevavault.com/ui/#object/sent_email__v/VBLZ025E82HD6VC", "SE-000284247")</f>
        <v>SE-000284247</v>
      </c>
      <c r="D9310" s="1" t="s">
        <v>0</v>
      </c>
      <c r="E9310" s="2">
        <v>0</v>
      </c>
      <c r="F9310" s="2">
        <v>0</v>
      </c>
      <c r="G9310" s="2">
        <v>0</v>
      </c>
      <c r="H9310" s="1" t="s">
        <v>0</v>
      </c>
      <c r="I9310" s="2">
        <v>0</v>
      </c>
      <c r="J9310" s="1">
        <v>45937.493935185186</v>
      </c>
    </row>
    <row r="9311" spans="1:10" x14ac:dyDescent="0.2">
      <c r="A9311" s="4" t="s">
        <v>1</v>
      </c>
      <c r="B9311" s="3" t="str">
        <f>HYPERLINK("https://otsuka-europe-crm.veevavault.com/ui/#object/approved_document__v/V5OZ025E82TPVZ3", "INA - Invitación y programa Simposio SEHH 2025")</f>
        <v>INA - Invitación y programa Simposio SEHH 2025</v>
      </c>
      <c r="C9311" s="3" t="str">
        <f>HYPERLINK("https://otsuka-europe-crm.veevavault.com/ui/#object/sent_email__v/VBLZ025E82HD6VD", "SE-000284248")</f>
        <v>SE-000284248</v>
      </c>
      <c r="D9311" s="1" t="s">
        <v>0</v>
      </c>
      <c r="E9311" s="2">
        <v>0</v>
      </c>
      <c r="F9311" s="2">
        <v>0</v>
      </c>
      <c r="G9311" s="2">
        <v>0</v>
      </c>
      <c r="H9311" s="1" t="s">
        <v>0</v>
      </c>
      <c r="I9311" s="2">
        <v>0</v>
      </c>
      <c r="J9311" s="1">
        <v>45937.493935185186</v>
      </c>
    </row>
    <row r="9312" spans="1:10" x14ac:dyDescent="0.2">
      <c r="A9312" s="4" t="s">
        <v>1</v>
      </c>
      <c r="B9312" s="3" t="str">
        <f>HYPERLINK("https://otsuka-europe-crm.veevavault.com/ui/#object/approved_document__v/V5OZ025E82TPVZ3", "INA - Invitación y programa Simposio SEHH 2025")</f>
        <v>INA - Invitación y programa Simposio SEHH 2025</v>
      </c>
      <c r="C9312" s="3" t="str">
        <f>HYPERLINK("https://otsuka-europe-crm.veevavault.com/ui/#object/sent_email__v/VBLZ025E82HD6VE", "SE-000284249")</f>
        <v>SE-000284249</v>
      </c>
      <c r="D9312" s="1" t="s">
        <v>0</v>
      </c>
      <c r="E9312" s="2">
        <v>0</v>
      </c>
      <c r="F9312" s="2">
        <v>0</v>
      </c>
      <c r="G9312" s="2">
        <v>0</v>
      </c>
      <c r="H9312" s="1" t="s">
        <v>0</v>
      </c>
      <c r="I9312" s="2">
        <v>0</v>
      </c>
      <c r="J9312" s="1">
        <v>45937.493935185186</v>
      </c>
    </row>
    <row r="9313" spans="1:10" x14ac:dyDescent="0.2">
      <c r="A9313" s="4" t="s">
        <v>1</v>
      </c>
      <c r="B9313" s="3" t="str">
        <f>HYPERLINK("https://otsuka-europe-crm.veevavault.com/ui/#object/approved_document__v/V5OZ025E82TPVZ3", "INA - Invitación y programa Simposio SEHH 2025")</f>
        <v>INA - Invitación y programa Simposio SEHH 2025</v>
      </c>
      <c r="C9313" s="3" t="str">
        <f>HYPERLINK("https://otsuka-europe-crm.veevavault.com/ui/#object/sent_email__v/VBLZ025E82HD6VF", "SE-000284250")</f>
        <v>SE-000284250</v>
      </c>
      <c r="D9313" s="1" t="s">
        <v>0</v>
      </c>
      <c r="E9313" s="2">
        <v>0</v>
      </c>
      <c r="F9313" s="2">
        <v>0</v>
      </c>
      <c r="G9313" s="2">
        <v>0</v>
      </c>
      <c r="H9313" s="1" t="s">
        <v>0</v>
      </c>
      <c r="I9313" s="2">
        <v>0</v>
      </c>
      <c r="J9313" s="1">
        <v>45937.493946759256</v>
      </c>
    </row>
    <row r="9314" spans="1:10" x14ac:dyDescent="0.2">
      <c r="A9314" s="4" t="s">
        <v>1</v>
      </c>
      <c r="B9314" s="3" t="str">
        <f>HYPERLINK("https://otsuka-europe-crm.veevavault.com/ui/#object/approved_document__v/V5OZ025E82TPVZ3", "INA - Invitación y programa Simposio SEHH 2025")</f>
        <v>INA - Invitación y programa Simposio SEHH 2025</v>
      </c>
      <c r="C9314" s="3" t="str">
        <f>HYPERLINK("https://otsuka-europe-crm.veevavault.com/ui/#object/sent_email__v/VBLZ025E82HD6VG", "SE-000284251")</f>
        <v>SE-000284251</v>
      </c>
      <c r="D9314" s="1" t="s">
        <v>0</v>
      </c>
      <c r="E9314" s="2">
        <v>0</v>
      </c>
      <c r="F9314" s="2">
        <v>0</v>
      </c>
      <c r="G9314" s="2">
        <v>0</v>
      </c>
      <c r="H9314" s="1" t="s">
        <v>0</v>
      </c>
      <c r="I9314" s="2">
        <v>0</v>
      </c>
      <c r="J9314" s="1">
        <v>45937.493958333333</v>
      </c>
    </row>
    <row r="9315" spans="1:10" x14ac:dyDescent="0.2">
      <c r="A9315" s="4" t="s">
        <v>1</v>
      </c>
      <c r="B9315" s="3" t="str">
        <f>HYPERLINK("https://otsuka-europe-crm.veevavault.com/ui/#object/approved_document__v/V5OZ025E82TPVZ3", "INA - Invitación y programa Simposio SEHH 2025")</f>
        <v>INA - Invitación y programa Simposio SEHH 2025</v>
      </c>
      <c r="C9315" s="3" t="str">
        <f>HYPERLINK("https://otsuka-europe-crm.veevavault.com/ui/#object/sent_email__v/VBLZ025E82HD6VH", "SE-000284252")</f>
        <v>SE-000284252</v>
      </c>
      <c r="D9315" s="1" t="s">
        <v>0</v>
      </c>
      <c r="E9315" s="2">
        <v>0</v>
      </c>
      <c r="F9315" s="2">
        <v>0</v>
      </c>
      <c r="G9315" s="2">
        <v>0</v>
      </c>
      <c r="H9315" s="1" t="s">
        <v>0</v>
      </c>
      <c r="I9315" s="2">
        <v>0</v>
      </c>
      <c r="J9315" s="1">
        <v>45937.493981481479</v>
      </c>
    </row>
    <row r="9316" spans="1:10" x14ac:dyDescent="0.2">
      <c r="A9316" s="4" t="s">
        <v>1</v>
      </c>
      <c r="B9316" s="3" t="str">
        <f>HYPERLINK("https://otsuka-europe-crm.veevavault.com/ui/#object/approved_document__v/V5OZ025E82TPVZ3", "INA - Invitación y programa Simposio SEHH 2025")</f>
        <v>INA - Invitación y programa Simposio SEHH 2025</v>
      </c>
      <c r="C9316" s="3" t="str">
        <f>HYPERLINK("https://otsuka-europe-crm.veevavault.com/ui/#object/sent_email__v/VBLZ025E82HD6VI", "SE-000284253")</f>
        <v>SE-000284253</v>
      </c>
      <c r="D9316" s="1" t="s">
        <v>0</v>
      </c>
      <c r="E9316" s="2">
        <v>0</v>
      </c>
      <c r="F9316" s="2">
        <v>0</v>
      </c>
      <c r="G9316" s="2">
        <v>0</v>
      </c>
      <c r="H9316" s="1" t="s">
        <v>0</v>
      </c>
      <c r="I9316" s="2">
        <v>0</v>
      </c>
      <c r="J9316" s="1">
        <v>45937.493981481479</v>
      </c>
    </row>
    <row r="9317" spans="1:10" x14ac:dyDescent="0.2">
      <c r="A9317" s="4" t="s">
        <v>1</v>
      </c>
      <c r="B9317" s="3" t="str">
        <f>HYPERLINK("https://otsuka-europe-crm.veevavault.com/ui/#object/approved_document__v/V5OZ025E82TPVZ3", "INA - Invitación y programa Simposio SEHH 2025")</f>
        <v>INA - Invitación y programa Simposio SEHH 2025</v>
      </c>
      <c r="C9317" s="3" t="str">
        <f>HYPERLINK("https://otsuka-europe-crm.veevavault.com/ui/#object/sent_email__v/VBLZ025E82HD6VJ", "SE-000284254")</f>
        <v>SE-000284254</v>
      </c>
      <c r="D9317" s="1" t="s">
        <v>0</v>
      </c>
      <c r="E9317" s="2">
        <v>0</v>
      </c>
      <c r="F9317" s="2">
        <v>0</v>
      </c>
      <c r="G9317" s="2">
        <v>0</v>
      </c>
      <c r="H9317" s="1" t="s">
        <v>0</v>
      </c>
      <c r="I9317" s="2">
        <v>0</v>
      </c>
      <c r="J9317" s="1">
        <v>45937.493981481479</v>
      </c>
    </row>
    <row r="9318" spans="1:10" x14ac:dyDescent="0.2">
      <c r="A9318" s="4" t="s">
        <v>1</v>
      </c>
      <c r="B9318" s="3" t="str">
        <f>HYPERLINK("https://otsuka-europe-crm.veevavault.com/ui/#object/approved_document__v/V5OZ025E82TPVZ3", "INA - Invitación y programa Simposio SEHH 2025")</f>
        <v>INA - Invitación y programa Simposio SEHH 2025</v>
      </c>
      <c r="C9318" s="3" t="str">
        <f>HYPERLINK("https://otsuka-europe-crm.veevavault.com/ui/#object/sent_email__v/VBLZ025E82HD6VK", "SE-000284255")</f>
        <v>SE-000284255</v>
      </c>
      <c r="D9318" s="1" t="s">
        <v>0</v>
      </c>
      <c r="E9318" s="2">
        <v>0</v>
      </c>
      <c r="F9318" s="2">
        <v>0</v>
      </c>
      <c r="G9318" s="2">
        <v>0</v>
      </c>
      <c r="H9318" s="1" t="s">
        <v>0</v>
      </c>
      <c r="I9318" s="2">
        <v>0</v>
      </c>
      <c r="J9318" s="1">
        <v>45937.493993055556</v>
      </c>
    </row>
    <row r="9319" spans="1:10" x14ac:dyDescent="0.2">
      <c r="A9319" s="4" t="s">
        <v>1</v>
      </c>
      <c r="B9319" s="3" t="str">
        <f>HYPERLINK("https://otsuka-europe-crm.veevavault.com/ui/#object/approved_document__v/V5OZ025E82TPVZ3", "INA - Invitación y programa Simposio SEHH 2025")</f>
        <v>INA - Invitación y programa Simposio SEHH 2025</v>
      </c>
      <c r="C9319" s="3" t="str">
        <f>HYPERLINK("https://otsuka-europe-crm.veevavault.com/ui/#object/sent_email__v/VBLZ025E82HD6VL", "SE-000284256")</f>
        <v>SE-000284256</v>
      </c>
      <c r="D9319" s="1" t="s">
        <v>0</v>
      </c>
      <c r="E9319" s="2">
        <v>0</v>
      </c>
      <c r="F9319" s="2">
        <v>0</v>
      </c>
      <c r="G9319" s="2">
        <v>0</v>
      </c>
      <c r="H9319" s="1" t="s">
        <v>0</v>
      </c>
      <c r="I9319" s="2">
        <v>0</v>
      </c>
      <c r="J9319" s="1">
        <v>45937.494004629632</v>
      </c>
    </row>
    <row r="9320" spans="1:10" x14ac:dyDescent="0.2">
      <c r="A9320" s="4" t="s">
        <v>1</v>
      </c>
      <c r="B9320" s="3" t="str">
        <f>HYPERLINK("https://otsuka-europe-crm.veevavault.com/ui/#object/approved_document__v/V5OZ025E82TPVZ3", "INA - Invitación y programa Simposio SEHH 2025")</f>
        <v>INA - Invitación y programa Simposio SEHH 2025</v>
      </c>
      <c r="C9320" s="3" t="str">
        <f>HYPERLINK("https://otsuka-europe-crm.veevavault.com/ui/#object/sent_email__v/VBLZ025E82HD6VM", "SE-000284257")</f>
        <v>SE-000284257</v>
      </c>
      <c r="D9320" s="1" t="s">
        <v>0</v>
      </c>
      <c r="E9320" s="2">
        <v>0</v>
      </c>
      <c r="F9320" s="2">
        <v>0</v>
      </c>
      <c r="G9320" s="2">
        <v>0</v>
      </c>
      <c r="H9320" s="1" t="s">
        <v>0</v>
      </c>
      <c r="I9320" s="2">
        <v>0</v>
      </c>
      <c r="J9320" s="1">
        <v>45937.494050925925</v>
      </c>
    </row>
    <row r="9321" spans="1:10" x14ac:dyDescent="0.2">
      <c r="A9321" s="4" t="s">
        <v>1</v>
      </c>
      <c r="B9321" s="3" t="str">
        <f>HYPERLINK("https://otsuka-europe-crm.veevavault.com/ui/#object/approved_document__v/V5OZ025E82TPVZ3", "INA - Invitación y programa Simposio SEHH 2025")</f>
        <v>INA - Invitación y programa Simposio SEHH 2025</v>
      </c>
      <c r="C9321" s="3" t="str">
        <f>HYPERLINK("https://otsuka-europe-crm.veevavault.com/ui/#object/sent_email__v/VBLZ025E82HD6VN", "SE-000284258")</f>
        <v>SE-000284258</v>
      </c>
      <c r="D9321" s="1" t="s">
        <v>0</v>
      </c>
      <c r="E9321" s="2">
        <v>0</v>
      </c>
      <c r="F9321" s="2">
        <v>0</v>
      </c>
      <c r="G9321" s="2">
        <v>0</v>
      </c>
      <c r="H9321" s="1" t="s">
        <v>0</v>
      </c>
      <c r="I9321" s="2">
        <v>0</v>
      </c>
      <c r="J9321" s="1">
        <v>45937.494027777779</v>
      </c>
    </row>
    <row r="9322" spans="1:10" x14ac:dyDescent="0.2">
      <c r="A9322" s="4" t="s">
        <v>1</v>
      </c>
      <c r="B9322" s="3" t="str">
        <f>HYPERLINK("https://otsuka-europe-crm.veevavault.com/ui/#object/approved_document__v/V5OZ025E82TPVZ3", "INA - Invitación y programa Simposio SEHH 2025")</f>
        <v>INA - Invitación y programa Simposio SEHH 2025</v>
      </c>
      <c r="C9322" s="3" t="str">
        <f>HYPERLINK("https://otsuka-europe-crm.veevavault.com/ui/#object/sent_email__v/VBLZ025E82HD6VO", "SE-000284259")</f>
        <v>SE-000284259</v>
      </c>
      <c r="D9322" s="1" t="s">
        <v>0</v>
      </c>
      <c r="E9322" s="2">
        <v>0</v>
      </c>
      <c r="F9322" s="2">
        <v>0</v>
      </c>
      <c r="G9322" s="2">
        <v>0</v>
      </c>
      <c r="H9322" s="1" t="s">
        <v>0</v>
      </c>
      <c r="I9322" s="2">
        <v>0</v>
      </c>
      <c r="J9322" s="1">
        <v>45937.494328703702</v>
      </c>
    </row>
    <row r="9323" spans="1:10" x14ac:dyDescent="0.2">
      <c r="A9323" s="4" t="s">
        <v>1</v>
      </c>
      <c r="B9323" s="3" t="str">
        <f>HYPERLINK("https://otsuka-europe-crm.veevavault.com/ui/#object/approved_document__v/V5OZ025E82TPVZ3", "INA - Invitación y programa Simposio SEHH 2025")</f>
        <v>INA - Invitación y programa Simposio SEHH 2025</v>
      </c>
      <c r="C9323" s="3" t="str">
        <f>HYPERLINK("https://otsuka-europe-crm.veevavault.com/ui/#object/sent_email__v/VBLZ025E82HD6VP", "SE-000284260")</f>
        <v>SE-000284260</v>
      </c>
      <c r="D9323" s="1" t="s">
        <v>0</v>
      </c>
      <c r="E9323" s="2">
        <v>0</v>
      </c>
      <c r="F9323" s="2">
        <v>0</v>
      </c>
      <c r="G9323" s="2">
        <v>0</v>
      </c>
      <c r="H9323" s="1" t="s">
        <v>0</v>
      </c>
      <c r="I9323" s="2">
        <v>0</v>
      </c>
      <c r="J9323" s="1">
        <v>45937.494340277779</v>
      </c>
    </row>
    <row r="9324" spans="1:10" x14ac:dyDescent="0.2">
      <c r="A9324" s="4" t="s">
        <v>1</v>
      </c>
      <c r="B9324" s="3" t="str">
        <f>HYPERLINK("https://otsuka-europe-crm.veevavault.com/ui/#object/approved_document__v/V5OZ025E82TPVZ3", "INA - Invitación y programa Simposio SEHH 2025")</f>
        <v>INA - Invitación y programa Simposio SEHH 2025</v>
      </c>
      <c r="C9324" s="3" t="str">
        <f>HYPERLINK("https://otsuka-europe-crm.veevavault.com/ui/#object/sent_email__v/VBLZ025E82HD6VQ", "SE-000284261")</f>
        <v>SE-000284261</v>
      </c>
      <c r="D9324" s="1" t="s">
        <v>0</v>
      </c>
      <c r="E9324" s="2">
        <v>0</v>
      </c>
      <c r="F9324" s="2">
        <v>0</v>
      </c>
      <c r="G9324" s="2">
        <v>0</v>
      </c>
      <c r="H9324" s="1" t="s">
        <v>0</v>
      </c>
      <c r="I9324" s="2">
        <v>0</v>
      </c>
      <c r="J9324" s="1">
        <v>45937.494351851848</v>
      </c>
    </row>
    <row r="9325" spans="1:10" x14ac:dyDescent="0.2">
      <c r="A9325" s="4" t="s">
        <v>1</v>
      </c>
      <c r="B9325" s="3" t="str">
        <f>HYPERLINK("https://otsuka-europe-crm.veevavault.com/ui/#object/approved_document__v/V5OZ025E82TPVZ3", "INA - Invitación y programa Simposio SEHH 2025")</f>
        <v>INA - Invitación y programa Simposio SEHH 2025</v>
      </c>
      <c r="C9325" s="3" t="str">
        <f>HYPERLINK("https://otsuka-europe-crm.veevavault.com/ui/#object/sent_email__v/VBLZ025E82HD6VR", "SE-000284262")</f>
        <v>SE-000284262</v>
      </c>
      <c r="D9325" s="1" t="s">
        <v>0</v>
      </c>
      <c r="E9325" s="2">
        <v>0</v>
      </c>
      <c r="F9325" s="2">
        <v>0</v>
      </c>
      <c r="G9325" s="2">
        <v>0</v>
      </c>
      <c r="H9325" s="1" t="s">
        <v>0</v>
      </c>
      <c r="I9325" s="2">
        <v>0</v>
      </c>
      <c r="J9325" s="1">
        <v>45937.494351851848</v>
      </c>
    </row>
    <row r="9326" spans="1:10" x14ac:dyDescent="0.2">
      <c r="A9326" s="4" t="s">
        <v>1</v>
      </c>
      <c r="B9326" s="3" t="str">
        <f>HYPERLINK("https://otsuka-europe-crm.veevavault.com/ui/#object/approved_document__v/V5OZ025E82TPVZ3", "INA - Invitación y programa Simposio SEHH 2025")</f>
        <v>INA - Invitación y programa Simposio SEHH 2025</v>
      </c>
      <c r="C9326" s="3" t="str">
        <f>HYPERLINK("https://otsuka-europe-crm.veevavault.com/ui/#object/sent_email__v/VBLZ025E82HD6VS", "SE-000284263")</f>
        <v>SE-000284263</v>
      </c>
      <c r="D9326" s="1" t="s">
        <v>0</v>
      </c>
      <c r="E9326" s="2">
        <v>0</v>
      </c>
      <c r="F9326" s="2">
        <v>0</v>
      </c>
      <c r="G9326" s="2">
        <v>0</v>
      </c>
      <c r="H9326" s="1" t="s">
        <v>0</v>
      </c>
      <c r="I9326" s="2">
        <v>0</v>
      </c>
      <c r="J9326" s="1">
        <v>45937.494363425925</v>
      </c>
    </row>
    <row r="9327" spans="1:10" x14ac:dyDescent="0.2">
      <c r="A9327" s="4" t="s">
        <v>1</v>
      </c>
      <c r="B9327" s="3" t="str">
        <f>HYPERLINK("https://otsuka-europe-crm.veevavault.com/ui/#object/approved_document__v/V5OZ025E82TPVZ3", "INA - Invitación y programa Simposio SEHH 2025")</f>
        <v>INA - Invitación y programa Simposio SEHH 2025</v>
      </c>
      <c r="C9327" s="3" t="str">
        <f>HYPERLINK("https://otsuka-europe-crm.veevavault.com/ui/#object/sent_email__v/VBLZ025E82HD6VT", "SE-000284264")</f>
        <v>SE-000284264</v>
      </c>
      <c r="D9327" s="1" t="s">
        <v>0</v>
      </c>
      <c r="E9327" s="2">
        <v>0</v>
      </c>
      <c r="F9327" s="2">
        <v>0</v>
      </c>
      <c r="G9327" s="2">
        <v>0</v>
      </c>
      <c r="H9327" s="1" t="s">
        <v>0</v>
      </c>
      <c r="I9327" s="2">
        <v>0</v>
      </c>
      <c r="J9327" s="1">
        <v>45937.494375000002</v>
      </c>
    </row>
    <row r="9328" spans="1:10" x14ac:dyDescent="0.2">
      <c r="A9328" s="4" t="s">
        <v>1</v>
      </c>
      <c r="B9328" s="3" t="str">
        <f>HYPERLINK("https://otsuka-europe-crm.veevavault.com/ui/#object/approved_document__v/V5OZ025E82TPVZ3", "INA - Invitación y programa Simposio SEHH 2025")</f>
        <v>INA - Invitación y programa Simposio SEHH 2025</v>
      </c>
      <c r="C9328" s="3" t="str">
        <f>HYPERLINK("https://otsuka-europe-crm.veevavault.com/ui/#object/sent_email__v/VBLZ025E82HD6VU", "SE-000284265")</f>
        <v>SE-000284265</v>
      </c>
      <c r="D9328" s="1" t="s">
        <v>0</v>
      </c>
      <c r="E9328" s="2">
        <v>0</v>
      </c>
      <c r="F9328" s="2">
        <v>0</v>
      </c>
      <c r="G9328" s="2">
        <v>0</v>
      </c>
      <c r="H9328" s="1" t="s">
        <v>0</v>
      </c>
      <c r="I9328" s="2">
        <v>0</v>
      </c>
      <c r="J9328" s="1">
        <v>45937.494386574072</v>
      </c>
    </row>
    <row r="9329" spans="1:10" x14ac:dyDescent="0.2">
      <c r="A9329" s="4" t="s">
        <v>1</v>
      </c>
      <c r="B9329" s="3" t="str">
        <f>HYPERLINK("https://otsuka-europe-crm.veevavault.com/ui/#object/approved_document__v/V5OZ025E82TPVZ3", "INA - Invitación y programa Simposio SEHH 2025")</f>
        <v>INA - Invitación y programa Simposio SEHH 2025</v>
      </c>
      <c r="C9329" s="3" t="str">
        <f>HYPERLINK("https://otsuka-europe-crm.veevavault.com/ui/#object/sent_email__v/VBLZ025E82HD6VV", "SE-000284266")</f>
        <v>SE-000284266</v>
      </c>
      <c r="D9329" s="1" t="s">
        <v>0</v>
      </c>
      <c r="E9329" s="2">
        <v>0</v>
      </c>
      <c r="F9329" s="2">
        <v>0</v>
      </c>
      <c r="G9329" s="2">
        <v>0</v>
      </c>
      <c r="H9329" s="1" t="s">
        <v>0</v>
      </c>
      <c r="I9329" s="2">
        <v>0</v>
      </c>
      <c r="J9329" s="1">
        <v>45937.494398148148</v>
      </c>
    </row>
    <row r="9330" spans="1:10" x14ac:dyDescent="0.2">
      <c r="A9330" s="4" t="s">
        <v>1</v>
      </c>
      <c r="B9330" s="3" t="str">
        <f>HYPERLINK("https://otsuka-europe-crm.veevavault.com/ui/#object/approved_document__v/V5OZ025E82TPVZ3", "INA - Invitación y programa Simposio SEHH 2025")</f>
        <v>INA - Invitación y programa Simposio SEHH 2025</v>
      </c>
      <c r="C9330" s="3" t="str">
        <f>HYPERLINK("https://otsuka-europe-crm.veevavault.com/ui/#object/sent_email__v/VBLZ025E82HD6VW", "SE-000284267")</f>
        <v>SE-000284267</v>
      </c>
      <c r="D9330" s="1" t="s">
        <v>0</v>
      </c>
      <c r="E9330" s="2">
        <v>0</v>
      </c>
      <c r="F9330" s="2">
        <v>0</v>
      </c>
      <c r="G9330" s="2">
        <v>0</v>
      </c>
      <c r="H9330" s="1" t="s">
        <v>0</v>
      </c>
      <c r="I9330" s="2">
        <v>0</v>
      </c>
      <c r="J9330" s="1">
        <v>45937.494409722225</v>
      </c>
    </row>
    <row r="9331" spans="1:10" x14ac:dyDescent="0.2">
      <c r="A9331" s="4" t="s">
        <v>1</v>
      </c>
      <c r="B9331" s="3" t="str">
        <f>HYPERLINK("https://otsuka-europe-crm.veevavault.com/ui/#object/approved_document__v/V5OZ025E82TPVZ3", "INA - Invitación y programa Simposio SEHH 2025")</f>
        <v>INA - Invitación y programa Simposio SEHH 2025</v>
      </c>
      <c r="C9331" s="3" t="str">
        <f>HYPERLINK("https://otsuka-europe-crm.veevavault.com/ui/#object/sent_email__v/VBLZ025E82HD6VX", "SE-000284268")</f>
        <v>SE-000284268</v>
      </c>
      <c r="D9331" s="1" t="s">
        <v>0</v>
      </c>
      <c r="E9331" s="2">
        <v>0</v>
      </c>
      <c r="F9331" s="2">
        <v>0</v>
      </c>
      <c r="G9331" s="2">
        <v>0</v>
      </c>
      <c r="H9331" s="1" t="s">
        <v>0</v>
      </c>
      <c r="I9331" s="2">
        <v>0</v>
      </c>
      <c r="J9331" s="1">
        <v>45937.494421296295</v>
      </c>
    </row>
    <row r="9332" spans="1:10" x14ac:dyDescent="0.2">
      <c r="A9332" s="4" t="s">
        <v>1</v>
      </c>
      <c r="B9332" s="3" t="str">
        <f>HYPERLINK("https://otsuka-europe-crm.veevavault.com/ui/#object/approved_document__v/V5OZ025E82TPVZ3", "INA - Invitación y programa Simposio SEHH 2025")</f>
        <v>INA - Invitación y programa Simposio SEHH 2025</v>
      </c>
      <c r="C9332" s="3" t="str">
        <f>HYPERLINK("https://otsuka-europe-crm.veevavault.com/ui/#object/sent_email__v/VBLZ025E82HD6VY", "SE-000284269")</f>
        <v>SE-000284269</v>
      </c>
      <c r="D9332" s="1" t="s">
        <v>0</v>
      </c>
      <c r="E9332" s="2">
        <v>0</v>
      </c>
      <c r="F9332" s="2">
        <v>0</v>
      </c>
      <c r="G9332" s="2">
        <v>0</v>
      </c>
      <c r="H9332" s="1" t="s">
        <v>0</v>
      </c>
      <c r="I9332" s="2">
        <v>0</v>
      </c>
      <c r="J9332" s="1">
        <v>45937.494421296295</v>
      </c>
    </row>
    <row r="9333" spans="1:10" x14ac:dyDescent="0.2">
      <c r="A9333" s="4" t="s">
        <v>1</v>
      </c>
      <c r="B9333" s="3" t="str">
        <f>HYPERLINK("https://otsuka-europe-crm.veevavault.com/ui/#object/approved_document__v/V5OZ025E82TPVZ3", "INA - Invitación y programa Simposio SEHH 2025")</f>
        <v>INA - Invitación y programa Simposio SEHH 2025</v>
      </c>
      <c r="C9333" s="3" t="str">
        <f>HYPERLINK("https://otsuka-europe-crm.veevavault.com/ui/#object/sent_email__v/VBLZ025E82HD6VZ", "SE-000284270")</f>
        <v>SE-000284270</v>
      </c>
      <c r="D9333" s="1" t="s">
        <v>0</v>
      </c>
      <c r="E9333" s="2">
        <v>0</v>
      </c>
      <c r="F9333" s="2">
        <v>0</v>
      </c>
      <c r="G9333" s="2">
        <v>0</v>
      </c>
      <c r="H9333" s="1" t="s">
        <v>0</v>
      </c>
      <c r="I9333" s="2">
        <v>0</v>
      </c>
      <c r="J9333" s="1">
        <v>45937.494432870371</v>
      </c>
    </row>
    <row r="9334" spans="1:10" x14ac:dyDescent="0.2">
      <c r="A9334" s="4" t="s">
        <v>1</v>
      </c>
      <c r="B9334" s="3" t="str">
        <f>HYPERLINK("https://otsuka-europe-crm.veevavault.com/ui/#object/approved_document__v/V5OZ025E82TPVZ3", "INA - Invitación y programa Simposio SEHH 2025")</f>
        <v>INA - Invitación y programa Simposio SEHH 2025</v>
      </c>
      <c r="C9334" s="3" t="str">
        <f>HYPERLINK("https://otsuka-europe-crm.veevavault.com/ui/#object/sent_email__v/VBLZ025E82HD6W0", "SE-000284271")</f>
        <v>SE-000284271</v>
      </c>
      <c r="D9334" s="1" t="s">
        <v>0</v>
      </c>
      <c r="E9334" s="2">
        <v>0</v>
      </c>
      <c r="F9334" s="2">
        <v>0</v>
      </c>
      <c r="G9334" s="2">
        <v>0</v>
      </c>
      <c r="H9334" s="1" t="s">
        <v>0</v>
      </c>
      <c r="I9334" s="2">
        <v>0</v>
      </c>
      <c r="J9334" s="1">
        <v>45937.494444444441</v>
      </c>
    </row>
    <row r="9335" spans="1:10" x14ac:dyDescent="0.2">
      <c r="A9335" s="4" t="s">
        <v>1</v>
      </c>
      <c r="B9335" s="3" t="str">
        <f>HYPERLINK("https://otsuka-europe-crm.veevavault.com/ui/#object/approved_document__v/V5OZ025E82TPVZ3", "INA - Invitación y programa Simposio SEHH 2025")</f>
        <v>INA - Invitación y programa Simposio SEHH 2025</v>
      </c>
      <c r="C9335" s="3" t="str">
        <f>HYPERLINK("https://otsuka-europe-crm.veevavault.com/ui/#object/sent_email__v/VBLZ025E82HD6W1", "SE-000284272")</f>
        <v>SE-000284272</v>
      </c>
      <c r="D9335" s="1" t="s">
        <v>0</v>
      </c>
      <c r="E9335" s="2">
        <v>0</v>
      </c>
      <c r="F9335" s="2">
        <v>0</v>
      </c>
      <c r="G9335" s="2">
        <v>0</v>
      </c>
      <c r="H9335" s="1" t="s">
        <v>0</v>
      </c>
      <c r="I9335" s="2">
        <v>0</v>
      </c>
      <c r="J9335" s="1">
        <v>45937.494456018518</v>
      </c>
    </row>
    <row r="9336" spans="1:10" x14ac:dyDescent="0.2">
      <c r="A9336" s="4" t="s">
        <v>1</v>
      </c>
      <c r="B9336" s="3" t="str">
        <f>HYPERLINK("https://otsuka-europe-crm.veevavault.com/ui/#object/approved_document__v/V5OZ025E82TPVZ3", "INA - Invitación y programa Simposio SEHH 2025")</f>
        <v>INA - Invitación y programa Simposio SEHH 2025</v>
      </c>
      <c r="C9336" s="3" t="str">
        <f>HYPERLINK("https://otsuka-europe-crm.veevavault.com/ui/#object/sent_email__v/VBLZ025E82HD6W2", "SE-000284273")</f>
        <v>SE-000284273</v>
      </c>
      <c r="D9336" s="1" t="s">
        <v>0</v>
      </c>
      <c r="E9336" s="2">
        <v>0</v>
      </c>
      <c r="F9336" s="2">
        <v>0</v>
      </c>
      <c r="G9336" s="2">
        <v>0</v>
      </c>
      <c r="H9336" s="1" t="s">
        <v>0</v>
      </c>
      <c r="I9336" s="2">
        <v>0</v>
      </c>
      <c r="J9336" s="1">
        <v>45937.494456018518</v>
      </c>
    </row>
    <row r="9337" spans="1:10" x14ac:dyDescent="0.2">
      <c r="A9337" s="4" t="s">
        <v>1</v>
      </c>
      <c r="B9337" s="3" t="str">
        <f>HYPERLINK("https://otsuka-europe-crm.veevavault.com/ui/#object/approved_document__v/V5OZ025E82TPVZ3", "INA - Invitación y programa Simposio SEHH 2025")</f>
        <v>INA - Invitación y programa Simposio SEHH 2025</v>
      </c>
      <c r="C9337" s="3" t="str">
        <f>HYPERLINK("https://otsuka-europe-crm.veevavault.com/ui/#object/sent_email__v/VBLZ025E82HD6W3", "SE-000284274")</f>
        <v>SE-000284274</v>
      </c>
      <c r="D9337" s="1" t="s">
        <v>0</v>
      </c>
      <c r="E9337" s="2">
        <v>0</v>
      </c>
      <c r="F9337" s="2">
        <v>0</v>
      </c>
      <c r="G9337" s="2">
        <v>0</v>
      </c>
      <c r="H9337" s="1" t="s">
        <v>0</v>
      </c>
      <c r="I9337" s="2">
        <v>0</v>
      </c>
      <c r="J9337" s="1">
        <v>45937.494467592594</v>
      </c>
    </row>
    <row r="9338" spans="1:10" x14ac:dyDescent="0.2">
      <c r="A9338" s="4" t="s">
        <v>1</v>
      </c>
      <c r="B9338" s="3" t="str">
        <f>HYPERLINK("https://otsuka-europe-crm.veevavault.com/ui/#object/approved_document__v/V5OZ025E82TPVZ3", "INA - Invitación y programa Simposio SEHH 2025")</f>
        <v>INA - Invitación y programa Simposio SEHH 2025</v>
      </c>
      <c r="C9338" s="3" t="str">
        <f>HYPERLINK("https://otsuka-europe-crm.veevavault.com/ui/#object/sent_email__v/VBLZ025E82HD6W4", "SE-000284275")</f>
        <v>SE-000284275</v>
      </c>
      <c r="D9338" s="1" t="s">
        <v>0</v>
      </c>
      <c r="E9338" s="2">
        <v>0</v>
      </c>
      <c r="F9338" s="2">
        <v>0</v>
      </c>
      <c r="G9338" s="2">
        <v>0</v>
      </c>
      <c r="H9338" s="1" t="s">
        <v>0</v>
      </c>
      <c r="I9338" s="2">
        <v>0</v>
      </c>
      <c r="J9338" s="1">
        <v>45937.494490740741</v>
      </c>
    </row>
    <row r="9339" spans="1:10" x14ac:dyDescent="0.2">
      <c r="A9339" s="4" t="s">
        <v>1</v>
      </c>
      <c r="B9339" s="3" t="str">
        <f>HYPERLINK("https://otsuka-europe-crm.veevavault.com/ui/#object/approved_document__v/V5OZ025E82TPVZ3", "INA - Invitación y programa Simposio SEHH 2025")</f>
        <v>INA - Invitación y programa Simposio SEHH 2025</v>
      </c>
      <c r="C9339" s="3" t="str">
        <f>HYPERLINK("https://otsuka-europe-crm.veevavault.com/ui/#object/sent_email__v/VBLZ025E82HD6W5", "SE-000284276")</f>
        <v>SE-000284276</v>
      </c>
      <c r="D9339" s="1" t="s">
        <v>0</v>
      </c>
      <c r="E9339" s="2">
        <v>0</v>
      </c>
      <c r="F9339" s="2">
        <v>0</v>
      </c>
      <c r="G9339" s="2">
        <v>0</v>
      </c>
      <c r="H9339" s="1" t="s">
        <v>0</v>
      </c>
      <c r="I9339" s="2">
        <v>0</v>
      </c>
      <c r="J9339" s="1">
        <v>45937.494490740741</v>
      </c>
    </row>
    <row r="9340" spans="1:10" x14ac:dyDescent="0.2">
      <c r="A9340" s="4" t="s">
        <v>1</v>
      </c>
      <c r="B9340" s="3" t="str">
        <f>HYPERLINK("https://otsuka-europe-crm.veevavault.com/ui/#object/approved_document__v/V5OZ025E82TPVZ3", "INA - Invitación y programa Simposio SEHH 2025")</f>
        <v>INA - Invitación y programa Simposio SEHH 2025</v>
      </c>
      <c r="C9340" s="3" t="str">
        <f>HYPERLINK("https://otsuka-europe-crm.veevavault.com/ui/#object/sent_email__v/VBLZ025E82HD6W6", "SE-000284277")</f>
        <v>SE-000284277</v>
      </c>
      <c r="D9340" s="1" t="s">
        <v>0</v>
      </c>
      <c r="E9340" s="2">
        <v>0</v>
      </c>
      <c r="F9340" s="2">
        <v>0</v>
      </c>
      <c r="G9340" s="2">
        <v>0</v>
      </c>
      <c r="H9340" s="1" t="s">
        <v>0</v>
      </c>
      <c r="I9340" s="2">
        <v>0</v>
      </c>
      <c r="J9340" s="1">
        <v>45937.494502314818</v>
      </c>
    </row>
    <row r="9341" spans="1:10" x14ac:dyDescent="0.2">
      <c r="A9341" s="4" t="s">
        <v>1</v>
      </c>
      <c r="B9341" s="3" t="str">
        <f>HYPERLINK("https://otsuka-europe-crm.veevavault.com/ui/#object/approved_document__v/V5OZ025E82TPVZ3", "INA - Invitación y programa Simposio SEHH 2025")</f>
        <v>INA - Invitación y programa Simposio SEHH 2025</v>
      </c>
      <c r="C9341" s="3" t="str">
        <f>HYPERLINK("https://otsuka-europe-crm.veevavault.com/ui/#object/sent_email__v/VBLZ025E82HD6W7", "SE-000284278")</f>
        <v>SE-000284278</v>
      </c>
      <c r="D9341" s="1" t="s">
        <v>0</v>
      </c>
      <c r="E9341" s="2">
        <v>0</v>
      </c>
      <c r="F9341" s="2">
        <v>0</v>
      </c>
      <c r="G9341" s="2">
        <v>0</v>
      </c>
      <c r="H9341" s="1" t="s">
        <v>0</v>
      </c>
      <c r="I9341" s="2">
        <v>0</v>
      </c>
      <c r="J9341" s="1">
        <v>45937.494513888887</v>
      </c>
    </row>
    <row r="9342" spans="1:10" x14ac:dyDescent="0.2">
      <c r="A9342" s="4" t="s">
        <v>1</v>
      </c>
      <c r="B9342" s="3" t="str">
        <f>HYPERLINK("https://otsuka-europe-crm.veevavault.com/ui/#object/approved_document__v/V5OZ025E82TPVZ3", "INA - Invitación y programa Simposio SEHH 2025")</f>
        <v>INA - Invitación y programa Simposio SEHH 2025</v>
      </c>
      <c r="C9342" s="3" t="str">
        <f>HYPERLINK("https://otsuka-europe-crm.veevavault.com/ui/#object/sent_email__v/VBLZ025E82HD6W8", "SE-000284279")</f>
        <v>SE-000284279</v>
      </c>
      <c r="D9342" s="1" t="s">
        <v>0</v>
      </c>
      <c r="E9342" s="2">
        <v>0</v>
      </c>
      <c r="F9342" s="2">
        <v>0</v>
      </c>
      <c r="G9342" s="2">
        <v>0</v>
      </c>
      <c r="H9342" s="1" t="s">
        <v>0</v>
      </c>
      <c r="I9342" s="2">
        <v>0</v>
      </c>
      <c r="J9342" s="1">
        <v>45937.494525462964</v>
      </c>
    </row>
    <row r="9343" spans="1:10" x14ac:dyDescent="0.2">
      <c r="A9343" s="4" t="s">
        <v>1</v>
      </c>
      <c r="B9343" s="3" t="str">
        <f>HYPERLINK("https://otsuka-europe-crm.veevavault.com/ui/#object/approved_document__v/V5OZ025E82TPVZ3", "INA - Invitación y programa Simposio SEHH 2025")</f>
        <v>INA - Invitación y programa Simposio SEHH 2025</v>
      </c>
      <c r="C9343" s="3" t="str">
        <f>HYPERLINK("https://otsuka-europe-crm.veevavault.com/ui/#object/sent_email__v/VBLZ025E82HD6W9", "SE-000284280")</f>
        <v>SE-000284280</v>
      </c>
      <c r="D9343" s="1" t="s">
        <v>0</v>
      </c>
      <c r="E9343" s="2">
        <v>0</v>
      </c>
      <c r="F9343" s="2">
        <v>0</v>
      </c>
      <c r="G9343" s="2">
        <v>0</v>
      </c>
      <c r="H9343" s="1" t="s">
        <v>0</v>
      </c>
      <c r="I9343" s="2">
        <v>0</v>
      </c>
      <c r="J9343" s="1">
        <v>45937.494525462964</v>
      </c>
    </row>
    <row r="9344" spans="1:10" x14ac:dyDescent="0.2">
      <c r="A9344" s="4" t="s">
        <v>1</v>
      </c>
      <c r="B9344" s="3" t="str">
        <f>HYPERLINK("https://otsuka-europe-crm.veevavault.com/ui/#object/approved_document__v/V5OZ025E82TPVZ3", "INA - Invitación y programa Simposio SEHH 2025")</f>
        <v>INA - Invitación y programa Simposio SEHH 2025</v>
      </c>
      <c r="C9344" s="3" t="str">
        <f>HYPERLINK("https://otsuka-europe-crm.veevavault.com/ui/#object/sent_email__v/VBLZ025E82HD6WA", "SE-000284281")</f>
        <v>SE-000284281</v>
      </c>
      <c r="D9344" s="1" t="s">
        <v>0</v>
      </c>
      <c r="E9344" s="2">
        <v>0</v>
      </c>
      <c r="F9344" s="2">
        <v>0</v>
      </c>
      <c r="G9344" s="2">
        <v>0</v>
      </c>
      <c r="H9344" s="1" t="s">
        <v>0</v>
      </c>
      <c r="I9344" s="2">
        <v>0</v>
      </c>
      <c r="J9344" s="1">
        <v>45937.494537037041</v>
      </c>
    </row>
    <row r="9345" spans="1:10" x14ac:dyDescent="0.2">
      <c r="A9345" s="4" t="s">
        <v>1</v>
      </c>
      <c r="B9345" s="3" t="str">
        <f>HYPERLINK("https://otsuka-europe-crm.veevavault.com/ui/#object/approved_document__v/V5OZ025E82TPVZ3", "INA - Invitación y programa Simposio SEHH 2025")</f>
        <v>INA - Invitación y programa Simposio SEHH 2025</v>
      </c>
      <c r="C9345" s="3" t="str">
        <f>HYPERLINK("https://otsuka-europe-crm.veevavault.com/ui/#object/sent_email__v/VBLZ025E82HD6WB", "SE-000284282")</f>
        <v>SE-000284282</v>
      </c>
      <c r="D9345" s="1" t="s">
        <v>0</v>
      </c>
      <c r="E9345" s="2">
        <v>0</v>
      </c>
      <c r="F9345" s="2">
        <v>0</v>
      </c>
      <c r="G9345" s="2">
        <v>0</v>
      </c>
      <c r="H9345" s="1" t="s">
        <v>0</v>
      </c>
      <c r="I9345" s="2">
        <v>0</v>
      </c>
      <c r="J9345" s="1">
        <v>45937.49454861111</v>
      </c>
    </row>
    <row r="9346" spans="1:10" x14ac:dyDescent="0.2">
      <c r="A9346" s="4" t="s">
        <v>1</v>
      </c>
      <c r="B9346" s="3" t="str">
        <f>HYPERLINK("https://otsuka-europe-crm.veevavault.com/ui/#object/approved_document__v/V5OZ025E82TPVZ3", "INA - Invitación y programa Simposio SEHH 2025")</f>
        <v>INA - Invitación y programa Simposio SEHH 2025</v>
      </c>
      <c r="C9346" s="3" t="str">
        <f>HYPERLINK("https://otsuka-europe-crm.veevavault.com/ui/#object/sent_email__v/VBLZ025E82HD6WC", "SE-000284283")</f>
        <v>SE-000284283</v>
      </c>
      <c r="D9346" s="1" t="s">
        <v>0</v>
      </c>
      <c r="E9346" s="2">
        <v>0</v>
      </c>
      <c r="F9346" s="2">
        <v>0</v>
      </c>
      <c r="G9346" s="2">
        <v>0</v>
      </c>
      <c r="H9346" s="1" t="s">
        <v>0</v>
      </c>
      <c r="I9346" s="2">
        <v>0</v>
      </c>
      <c r="J9346" s="1">
        <v>45937.494571759256</v>
      </c>
    </row>
    <row r="9347" spans="1:10" x14ac:dyDescent="0.2">
      <c r="A9347" s="4" t="s">
        <v>1</v>
      </c>
      <c r="B9347" s="3" t="str">
        <f>HYPERLINK("https://otsuka-europe-crm.veevavault.com/ui/#object/approved_document__v/V5OZ025E82TPVZ3", "INA - Invitación y programa Simposio SEHH 2025")</f>
        <v>INA - Invitación y programa Simposio SEHH 2025</v>
      </c>
      <c r="C9347" s="3" t="str">
        <f>HYPERLINK("https://otsuka-europe-crm.veevavault.com/ui/#object/sent_email__v/VBLZ025E82HD6WD", "SE-000284284")</f>
        <v>SE-000284284</v>
      </c>
      <c r="D9347" s="1" t="s">
        <v>0</v>
      </c>
      <c r="E9347" s="2">
        <v>0</v>
      </c>
      <c r="F9347" s="2">
        <v>0</v>
      </c>
      <c r="G9347" s="2">
        <v>0</v>
      </c>
      <c r="H9347" s="1" t="s">
        <v>0</v>
      </c>
      <c r="I9347" s="2">
        <v>0</v>
      </c>
      <c r="J9347" s="1">
        <v>45937.494571759256</v>
      </c>
    </row>
    <row r="9348" spans="1:10" x14ac:dyDescent="0.2">
      <c r="A9348" s="4" t="s">
        <v>1</v>
      </c>
      <c r="B9348" s="3" t="str">
        <f>HYPERLINK("https://otsuka-europe-crm.veevavault.com/ui/#object/approved_document__v/V5OZ025E82TPVZ3", "INA - Invitación y programa Simposio SEHH 2025")</f>
        <v>INA - Invitación y programa Simposio SEHH 2025</v>
      </c>
      <c r="C9348" s="3" t="str">
        <f>HYPERLINK("https://otsuka-europe-crm.veevavault.com/ui/#object/sent_email__v/VBLZ025E82HD6WE", "SE-000284285")</f>
        <v>SE-000284285</v>
      </c>
      <c r="D9348" s="1" t="s">
        <v>0</v>
      </c>
      <c r="E9348" s="2">
        <v>0</v>
      </c>
      <c r="F9348" s="2">
        <v>0</v>
      </c>
      <c r="G9348" s="2">
        <v>0</v>
      </c>
      <c r="H9348" s="1" t="s">
        <v>0</v>
      </c>
      <c r="I9348" s="2">
        <v>0</v>
      </c>
      <c r="J9348" s="1">
        <v>45937.494571759256</v>
      </c>
    </row>
    <row r="9349" spans="1:10" x14ac:dyDescent="0.2">
      <c r="A9349" s="4" t="s">
        <v>1</v>
      </c>
      <c r="B9349" s="3" t="str">
        <f>HYPERLINK("https://otsuka-europe-crm.veevavault.com/ui/#object/approved_document__v/V5OZ025E82TPVZ3", "INA - Invitación y programa Simposio SEHH 2025")</f>
        <v>INA - Invitación y programa Simposio SEHH 2025</v>
      </c>
      <c r="C9349" s="3" t="str">
        <f>HYPERLINK("https://otsuka-europe-crm.veevavault.com/ui/#object/sent_email__v/VBLZ025E82HD6WF", "SE-000284286")</f>
        <v>SE-000284286</v>
      </c>
      <c r="D9349" s="1" t="s">
        <v>0</v>
      </c>
      <c r="E9349" s="2">
        <v>0</v>
      </c>
      <c r="F9349" s="2">
        <v>0</v>
      </c>
      <c r="G9349" s="2">
        <v>0</v>
      </c>
      <c r="H9349" s="1" t="s">
        <v>0</v>
      </c>
      <c r="I9349" s="2">
        <v>0</v>
      </c>
      <c r="J9349" s="1">
        <v>45937.494583333333</v>
      </c>
    </row>
    <row r="9350" spans="1:10" x14ac:dyDescent="0.2">
      <c r="A9350" s="4" t="s">
        <v>1</v>
      </c>
      <c r="B9350" s="3" t="str">
        <f>HYPERLINK("https://otsuka-europe-crm.veevavault.com/ui/#object/approved_document__v/V5OZ025E82TPVZ3", "INA - Invitación y programa Simposio SEHH 2025")</f>
        <v>INA - Invitación y programa Simposio SEHH 2025</v>
      </c>
      <c r="C9350" s="3" t="str">
        <f>HYPERLINK("https://otsuka-europe-crm.veevavault.com/ui/#object/sent_email__v/VBLZ025E82HD6WG", "SE-000284287")</f>
        <v>SE-000284287</v>
      </c>
      <c r="D9350" s="1" t="s">
        <v>0</v>
      </c>
      <c r="E9350" s="2">
        <v>0</v>
      </c>
      <c r="F9350" s="2">
        <v>0</v>
      </c>
      <c r="G9350" s="2">
        <v>0</v>
      </c>
      <c r="H9350" s="1" t="s">
        <v>0</v>
      </c>
      <c r="I9350" s="2">
        <v>0</v>
      </c>
      <c r="J9350" s="1">
        <v>45937.494722222225</v>
      </c>
    </row>
    <row r="9351" spans="1:10" x14ac:dyDescent="0.2">
      <c r="A9351" s="4" t="s">
        <v>1</v>
      </c>
      <c r="B9351" s="3" t="str">
        <f>HYPERLINK("https://otsuka-europe-crm.veevavault.com/ui/#object/approved_document__v/V5OZ025E82TPVZ3", "INA - Invitación y programa Simposio SEHH 2025")</f>
        <v>INA - Invitación y programa Simposio SEHH 2025</v>
      </c>
      <c r="C9351" s="3" t="str">
        <f>HYPERLINK("https://otsuka-europe-crm.veevavault.com/ui/#object/sent_email__v/VBLZ025E82HD6WH", "SE-000284288")</f>
        <v>SE-000284288</v>
      </c>
      <c r="D9351" s="1" t="s">
        <v>0</v>
      </c>
      <c r="E9351" s="2">
        <v>0</v>
      </c>
      <c r="F9351" s="2">
        <v>0</v>
      </c>
      <c r="G9351" s="2">
        <v>0</v>
      </c>
      <c r="H9351" s="1" t="s">
        <v>0</v>
      </c>
      <c r="I9351" s="2">
        <v>0</v>
      </c>
      <c r="J9351" s="1">
        <v>45937.494710648149</v>
      </c>
    </row>
    <row r="9352" spans="1:10" x14ac:dyDescent="0.2">
      <c r="A9352" s="4" t="s">
        <v>1</v>
      </c>
      <c r="B9352" s="3" t="str">
        <f>HYPERLINK("https://otsuka-europe-crm.veevavault.com/ui/#object/approved_document__v/V5OZ025E82TPVZ3", "INA - Invitación y programa Simposio SEHH 2025")</f>
        <v>INA - Invitación y programa Simposio SEHH 2025</v>
      </c>
      <c r="C9352" s="3" t="str">
        <f>HYPERLINK("https://otsuka-europe-crm.veevavault.com/ui/#object/sent_email__v/VBLZ025E82HD6WI", "SE-000284289")</f>
        <v>SE-000284289</v>
      </c>
      <c r="D9352" s="1" t="s">
        <v>0</v>
      </c>
      <c r="E9352" s="2">
        <v>0</v>
      </c>
      <c r="F9352" s="2">
        <v>0</v>
      </c>
      <c r="G9352" s="2">
        <v>0</v>
      </c>
      <c r="H9352" s="1" t="s">
        <v>0</v>
      </c>
      <c r="I9352" s="2">
        <v>0</v>
      </c>
      <c r="J9352" s="1">
        <v>45937.494722222225</v>
      </c>
    </row>
    <row r="9353" spans="1:10" x14ac:dyDescent="0.2">
      <c r="A9353" s="4" t="s">
        <v>1</v>
      </c>
      <c r="B9353" s="3" t="str">
        <f>HYPERLINK("https://otsuka-europe-crm.veevavault.com/ui/#object/approved_document__v/V5OZ025E82TPVZ3", "INA - Invitación y programa Simposio SEHH 2025")</f>
        <v>INA - Invitación y programa Simposio SEHH 2025</v>
      </c>
      <c r="C9353" s="3" t="str">
        <f>HYPERLINK("https://otsuka-europe-crm.veevavault.com/ui/#object/sent_email__v/VBLZ025E82HD6WJ", "SE-000284290")</f>
        <v>SE-000284290</v>
      </c>
      <c r="D9353" s="1" t="s">
        <v>0</v>
      </c>
      <c r="E9353" s="2">
        <v>0</v>
      </c>
      <c r="F9353" s="2">
        <v>0</v>
      </c>
      <c r="G9353" s="2">
        <v>0</v>
      </c>
      <c r="H9353" s="1" t="s">
        <v>0</v>
      </c>
      <c r="I9353" s="2">
        <v>0</v>
      </c>
      <c r="J9353" s="1">
        <v>45937.494722222225</v>
      </c>
    </row>
    <row r="9354" spans="1:10" x14ac:dyDescent="0.2">
      <c r="A9354" s="4" t="s">
        <v>1</v>
      </c>
      <c r="B9354" s="3" t="str">
        <f>HYPERLINK("https://otsuka-europe-crm.veevavault.com/ui/#object/approved_document__v/V5OZ025E82TPVZ3", "INA - Invitación y programa Simposio SEHH 2025")</f>
        <v>INA - Invitación y programa Simposio SEHH 2025</v>
      </c>
      <c r="C9354" s="3" t="str">
        <f>HYPERLINK("https://otsuka-europe-crm.veevavault.com/ui/#object/sent_email__v/VBLZ025E82HD6WK", "SE-000284291")</f>
        <v>SE-000284291</v>
      </c>
      <c r="D9354" s="1" t="s">
        <v>0</v>
      </c>
      <c r="E9354" s="2">
        <v>0</v>
      </c>
      <c r="F9354" s="2">
        <v>0</v>
      </c>
      <c r="G9354" s="2">
        <v>0</v>
      </c>
      <c r="H9354" s="1" t="s">
        <v>0</v>
      </c>
      <c r="I9354" s="2">
        <v>0</v>
      </c>
      <c r="J9354" s="1">
        <v>45937.494768518518</v>
      </c>
    </row>
    <row r="9355" spans="1:10" x14ac:dyDescent="0.2">
      <c r="A9355" s="4" t="s">
        <v>1</v>
      </c>
      <c r="B9355" s="3" t="str">
        <f>HYPERLINK("https://otsuka-europe-crm.veevavault.com/ui/#object/approved_document__v/V5OZ025E82TPVZ3", "INA - Invitación y programa Simposio SEHH 2025")</f>
        <v>INA - Invitación y programa Simposio SEHH 2025</v>
      </c>
      <c r="C9355" s="3" t="str">
        <f>HYPERLINK("https://otsuka-europe-crm.veevavault.com/ui/#object/sent_email__v/VBLZ025E82HD6WL", "SE-000284292")</f>
        <v>SE-000284292</v>
      </c>
      <c r="D9355" s="1" t="s">
        <v>0</v>
      </c>
      <c r="E9355" s="2">
        <v>0</v>
      </c>
      <c r="F9355" s="2">
        <v>0</v>
      </c>
      <c r="G9355" s="2">
        <v>0</v>
      </c>
      <c r="H9355" s="1" t="s">
        <v>0</v>
      </c>
      <c r="I9355" s="2">
        <v>0</v>
      </c>
      <c r="J9355" s="1">
        <v>45937.494722222225</v>
      </c>
    </row>
    <row r="9356" spans="1:10" x14ac:dyDescent="0.2">
      <c r="A9356" s="4" t="s">
        <v>1</v>
      </c>
      <c r="B9356" s="3" t="str">
        <f>HYPERLINK("https://otsuka-europe-crm.veevavault.com/ui/#object/approved_document__v/V5OZ025E82TPVZ3", "INA - Invitación y programa Simposio SEHH 2025")</f>
        <v>INA - Invitación y programa Simposio SEHH 2025</v>
      </c>
      <c r="C9356" s="3" t="str">
        <f>HYPERLINK("https://otsuka-europe-crm.veevavault.com/ui/#object/sent_email__v/VBLZ025E82HD6WM", "SE-000284293")</f>
        <v>SE-000284293</v>
      </c>
      <c r="D9356" s="1" t="s">
        <v>0</v>
      </c>
      <c r="E9356" s="2">
        <v>0</v>
      </c>
      <c r="F9356" s="2">
        <v>0</v>
      </c>
      <c r="G9356" s="2">
        <v>0</v>
      </c>
      <c r="H9356" s="1" t="s">
        <v>0</v>
      </c>
      <c r="I9356" s="2">
        <v>0</v>
      </c>
      <c r="J9356" s="1">
        <v>45937.494756944441</v>
      </c>
    </row>
    <row r="9357" spans="1:10" x14ac:dyDescent="0.2">
      <c r="A9357" s="4" t="s">
        <v>1</v>
      </c>
      <c r="B9357" s="3" t="str">
        <f>HYPERLINK("https://otsuka-europe-crm.veevavault.com/ui/#object/approved_document__v/V5OZ025E82TPVZ3", "INA - Invitación y programa Simposio SEHH 2025")</f>
        <v>INA - Invitación y programa Simposio SEHH 2025</v>
      </c>
      <c r="C9357" s="3" t="str">
        <f>HYPERLINK("https://otsuka-europe-crm.veevavault.com/ui/#object/sent_email__v/VBLZ025E82HD6WN", "SE-000284294")</f>
        <v>SE-000284294</v>
      </c>
      <c r="D9357" s="1" t="s">
        <v>0</v>
      </c>
      <c r="E9357" s="2">
        <v>0</v>
      </c>
      <c r="F9357" s="2">
        <v>0</v>
      </c>
      <c r="G9357" s="2">
        <v>0</v>
      </c>
      <c r="H9357" s="1" t="s">
        <v>0</v>
      </c>
      <c r="I9357" s="2">
        <v>0</v>
      </c>
      <c r="J9357" s="1">
        <v>45937.494756944441</v>
      </c>
    </row>
    <row r="9358" spans="1:10" x14ac:dyDescent="0.2">
      <c r="A9358" s="4" t="s">
        <v>1</v>
      </c>
      <c r="B9358" s="3" t="str">
        <f>HYPERLINK("https://otsuka-europe-crm.veevavault.com/ui/#object/approved_document__v/V5OZ025E82TPVZ3", "INA - Invitación y programa Simposio SEHH 2025")</f>
        <v>INA - Invitación y programa Simposio SEHH 2025</v>
      </c>
      <c r="C9358" s="3" t="str">
        <f>HYPERLINK("https://otsuka-europe-crm.veevavault.com/ui/#object/sent_email__v/VBLZ025E82HD6WO", "SE-000284295")</f>
        <v>SE-000284295</v>
      </c>
      <c r="D9358" s="1" t="s">
        <v>0</v>
      </c>
      <c r="E9358" s="2">
        <v>0</v>
      </c>
      <c r="F9358" s="2">
        <v>0</v>
      </c>
      <c r="G9358" s="2">
        <v>0</v>
      </c>
      <c r="H9358" s="1" t="s">
        <v>0</v>
      </c>
      <c r="I9358" s="2">
        <v>0</v>
      </c>
      <c r="J9358" s="1">
        <v>45937.494722222225</v>
      </c>
    </row>
    <row r="9359" spans="1:10" x14ac:dyDescent="0.2">
      <c r="A9359" s="4" t="s">
        <v>1</v>
      </c>
      <c r="B9359" s="3" t="str">
        <f>HYPERLINK("https://otsuka-europe-crm.veevavault.com/ui/#object/approved_document__v/V5O00000000T002", "INA - VAE Videos Simposio SEHH 2025")</f>
        <v>INA - VAE Videos Simposio SEHH 2025</v>
      </c>
      <c r="C9359" s="3" t="str">
        <f>HYPERLINK("https://otsuka-europe-crm.veevavault.com/ui/#object/sent_email__v/VBL00000001G289", "SE-001405516")</f>
        <v>SE-001405516</v>
      </c>
      <c r="D9359" s="1" t="s">
        <v>0</v>
      </c>
      <c r="E9359" s="2">
        <v>0</v>
      </c>
      <c r="F9359" s="2">
        <v>0</v>
      </c>
      <c r="G9359" s="2">
        <v>0</v>
      </c>
      <c r="H9359" s="1" t="s">
        <v>0</v>
      </c>
      <c r="I9359" s="2">
        <v>0</v>
      </c>
      <c r="J9359" s="1">
        <v>46076.303865740738</v>
      </c>
    </row>
    <row r="9360" spans="1:10" x14ac:dyDescent="0.2">
      <c r="A9360" s="4" t="s">
        <v>1</v>
      </c>
      <c r="B9360" s="3" t="str">
        <f>HYPERLINK("https://otsuka-europe-crm.veevavault.com/ui/#object/approved_document__v/V5O00000000T002", "INA - VAE Videos Simposio SEHH 2025")</f>
        <v>INA - VAE Videos Simposio SEHH 2025</v>
      </c>
      <c r="C9360" s="3" t="str">
        <f>HYPERLINK("https://otsuka-europe-crm.veevavault.com/ui/#object/sent_email__v/VBL00000001F321", "SE-001405993")</f>
        <v>SE-001405993</v>
      </c>
      <c r="D9360" s="1" t="s">
        <v>0</v>
      </c>
      <c r="E9360" s="2">
        <v>0</v>
      </c>
      <c r="F9360" s="2">
        <v>0</v>
      </c>
      <c r="G9360" s="2">
        <v>0</v>
      </c>
      <c r="H9360" s="1" t="s">
        <v>0</v>
      </c>
      <c r="I9360" s="2">
        <v>0</v>
      </c>
      <c r="J9360" s="1">
        <v>46077.539189814815</v>
      </c>
    </row>
    <row r="9361" spans="1:10" x14ac:dyDescent="0.2">
      <c r="A9361" s="4" t="s">
        <v>1</v>
      </c>
      <c r="B9361" s="3" t="str">
        <f>HYPERLINK("https://otsuka-europe-crm.veevavault.com/ui/#object/approved_document__v/V5O00000000T002", "INA - VAE Videos Simposio SEHH 2025")</f>
        <v>INA - VAE Videos Simposio SEHH 2025</v>
      </c>
      <c r="C9361" s="3" t="str">
        <f>HYPERLINK("https://otsuka-europe-crm.veevavault.com/ui/#object/sent_email__v/VBL00000001F322", "SE-001405994")</f>
        <v>SE-001405994</v>
      </c>
      <c r="D9361" s="1">
        <v>46077.878321759257</v>
      </c>
      <c r="E9361" s="2">
        <v>1</v>
      </c>
      <c r="F9361" s="2">
        <v>2</v>
      </c>
      <c r="G9361" s="2">
        <v>0</v>
      </c>
      <c r="H9361" s="1" t="s">
        <v>0</v>
      </c>
      <c r="I9361" s="2">
        <v>0</v>
      </c>
      <c r="J9361" s="1">
        <v>46077.539340277777</v>
      </c>
    </row>
    <row r="9362" spans="1:10" x14ac:dyDescent="0.2">
      <c r="A9362" s="4" t="s">
        <v>1</v>
      </c>
      <c r="B9362" s="3" t="str">
        <f>HYPERLINK("https://otsuka-europe-crm.veevavault.com/ui/#object/approved_document__v/V5O00000000T002", "INA - VAE Videos Simposio SEHH 2025")</f>
        <v>INA - VAE Videos Simposio SEHH 2025</v>
      </c>
      <c r="C9362" s="3" t="str">
        <f>HYPERLINK("https://otsuka-europe-crm.veevavault.com/ui/#object/sent_email__v/VBL00000001F323", "SE-001405995")</f>
        <v>SE-001405995</v>
      </c>
      <c r="D9362" s="1">
        <v>46077.606400462966</v>
      </c>
      <c r="E9362" s="2">
        <v>1</v>
      </c>
      <c r="F9362" s="2">
        <v>3</v>
      </c>
      <c r="G9362" s="2">
        <v>0</v>
      </c>
      <c r="H9362" s="1" t="s">
        <v>0</v>
      </c>
      <c r="I9362" s="2">
        <v>0</v>
      </c>
      <c r="J9362" s="1">
        <v>46077.539525462962</v>
      </c>
    </row>
    <row r="9363" spans="1:10" x14ac:dyDescent="0.2">
      <c r="A9363" s="4" t="s">
        <v>1</v>
      </c>
      <c r="B9363" s="3" t="str">
        <f>HYPERLINK("https://otsuka-europe-crm.veevavault.com/ui/#object/approved_document__v/V5O00000000T002", "INA - VAE Videos Simposio SEHH 2025")</f>
        <v>INA - VAE Videos Simposio SEHH 2025</v>
      </c>
      <c r="C9363" s="3" t="str">
        <f>HYPERLINK("https://otsuka-europe-crm.veevavault.com/ui/#object/sent_email__v/VBL00000001F324", "SE-001405996")</f>
        <v>SE-001405996</v>
      </c>
      <c r="D9363" s="1" t="s">
        <v>0</v>
      </c>
      <c r="E9363" s="2">
        <v>0</v>
      </c>
      <c r="F9363" s="2">
        <v>0</v>
      </c>
      <c r="G9363" s="2">
        <v>0</v>
      </c>
      <c r="H9363" s="1" t="s">
        <v>0</v>
      </c>
      <c r="I9363" s="2">
        <v>0</v>
      </c>
      <c r="J9363" s="1">
        <v>46077.53974537037</v>
      </c>
    </row>
    <row r="9364" spans="1:10" x14ac:dyDescent="0.2">
      <c r="A9364" s="4" t="s">
        <v>1</v>
      </c>
      <c r="B9364" s="3" t="str">
        <f>HYPERLINK("https://otsuka-europe-crm.veevavault.com/ui/#object/approved_document__v/V5O00000000T002", "INA - VAE Videos Simposio SEHH 2025")</f>
        <v>INA - VAE Videos Simposio SEHH 2025</v>
      </c>
      <c r="C9364" s="3" t="str">
        <f>HYPERLINK("https://otsuka-europe-crm.veevavault.com/ui/#object/sent_email__v/VBL00000001F325", "SE-001405997")</f>
        <v>SE-001405997</v>
      </c>
      <c r="D9364" s="1">
        <v>46077.642384259256</v>
      </c>
      <c r="E9364" s="2">
        <v>1</v>
      </c>
      <c r="F9364" s="2">
        <v>2</v>
      </c>
      <c r="G9364" s="2">
        <v>0</v>
      </c>
      <c r="H9364" s="1" t="s">
        <v>0</v>
      </c>
      <c r="I9364" s="2">
        <v>0</v>
      </c>
      <c r="J9364" s="1">
        <v>46077.540011574078</v>
      </c>
    </row>
    <row r="9365" spans="1:10" x14ac:dyDescent="0.2">
      <c r="A9365" s="4" t="s">
        <v>1</v>
      </c>
      <c r="B9365" s="3" t="str">
        <f>HYPERLINK("https://otsuka-europe-crm.veevavault.com/ui/#object/approved_document__v/V5O00000000T002", "INA - VAE Videos Simposio SEHH 2025")</f>
        <v>INA - VAE Videos Simposio SEHH 2025</v>
      </c>
      <c r="C9365" s="3" t="str">
        <f>HYPERLINK("https://otsuka-europe-crm.veevavault.com/ui/#object/sent_email__v/VBL00000001F326", "SE-001405998")</f>
        <v>SE-001405998</v>
      </c>
      <c r="D9365" s="1">
        <v>46077.552175925928</v>
      </c>
      <c r="E9365" s="2">
        <v>1</v>
      </c>
      <c r="F9365" s="2">
        <v>1</v>
      </c>
      <c r="G9365" s="2">
        <v>0</v>
      </c>
      <c r="H9365" s="1" t="s">
        <v>0</v>
      </c>
      <c r="I9365" s="2">
        <v>0</v>
      </c>
      <c r="J9365" s="1">
        <v>46077.540254629632</v>
      </c>
    </row>
    <row r="9366" spans="1:10" x14ac:dyDescent="0.2">
      <c r="A9366" s="4" t="s">
        <v>1</v>
      </c>
      <c r="B9366" s="3" t="str">
        <f>HYPERLINK("https://otsuka-europe-crm.veevavault.com/ui/#object/approved_document__v/V5O00000000T002", "INA - VAE Videos Simposio SEHH 2025")</f>
        <v>INA - VAE Videos Simposio SEHH 2025</v>
      </c>
      <c r="C9366" s="3" t="str">
        <f>HYPERLINK("https://otsuka-europe-crm.veevavault.com/ui/#object/sent_email__v/VBL00000001F327", "SE-001405999")</f>
        <v>SE-001405999</v>
      </c>
      <c r="D9366" s="1">
        <v>46077.541319444441</v>
      </c>
      <c r="E9366" s="2">
        <v>1</v>
      </c>
      <c r="F9366" s="2">
        <v>1</v>
      </c>
      <c r="G9366" s="2">
        <v>0</v>
      </c>
      <c r="H9366" s="1" t="s">
        <v>0</v>
      </c>
      <c r="I9366" s="2">
        <v>0</v>
      </c>
      <c r="J9366" s="1">
        <v>46077.540520833332</v>
      </c>
    </row>
    <row r="9367" spans="1:10" x14ac:dyDescent="0.2">
      <c r="A9367" s="4" t="s">
        <v>1</v>
      </c>
      <c r="B9367" s="3" t="str">
        <f>HYPERLINK("https://otsuka-europe-crm.veevavault.com/ui/#object/approved_document__v/V5O00000000T002", "INA - VAE Videos Simposio SEHH 2025")</f>
        <v>INA - VAE Videos Simposio SEHH 2025</v>
      </c>
      <c r="C9367" s="3" t="str">
        <f>HYPERLINK("https://otsuka-europe-crm.veevavault.com/ui/#object/sent_email__v/VBL00000001F328", "SE-001406000")</f>
        <v>SE-001406000</v>
      </c>
      <c r="D9367" s="1">
        <v>46077.559733796297</v>
      </c>
      <c r="E9367" s="2">
        <v>1</v>
      </c>
      <c r="F9367" s="2">
        <v>2</v>
      </c>
      <c r="G9367" s="2">
        <v>0</v>
      </c>
      <c r="H9367" s="1" t="s">
        <v>0</v>
      </c>
      <c r="I9367" s="2">
        <v>0</v>
      </c>
      <c r="J9367" s="1">
        <v>46077.540763888886</v>
      </c>
    </row>
    <row r="9368" spans="1:10" x14ac:dyDescent="0.2">
      <c r="A9368" s="4" t="s">
        <v>1</v>
      </c>
      <c r="B9368" s="3" t="str">
        <f>HYPERLINK("https://otsuka-europe-crm.veevavault.com/ui/#object/approved_document__v/V5O00000000T002", "INA - VAE Videos Simposio SEHH 2025")</f>
        <v>INA - VAE Videos Simposio SEHH 2025</v>
      </c>
      <c r="C9368" s="3" t="str">
        <f>HYPERLINK("https://otsuka-europe-crm.veevavault.com/ui/#object/sent_email__v/VBL00000001F329", "SE-001406001")</f>
        <v>SE-001406001</v>
      </c>
      <c r="D9368" s="1">
        <v>46077.58829861111</v>
      </c>
      <c r="E9368" s="2">
        <v>1</v>
      </c>
      <c r="F9368" s="2">
        <v>1</v>
      </c>
      <c r="G9368" s="2">
        <v>0</v>
      </c>
      <c r="H9368" s="1" t="s">
        <v>0</v>
      </c>
      <c r="I9368" s="2">
        <v>0</v>
      </c>
      <c r="J9368" s="1">
        <v>46077.54010416667</v>
      </c>
    </row>
    <row r="9369" spans="1:10" x14ac:dyDescent="0.2">
      <c r="A9369" s="4" t="s">
        <v>1</v>
      </c>
      <c r="B9369" s="3" t="str">
        <f>HYPERLINK("https://otsuka-europe-crm.veevavault.com/ui/#object/approved_document__v/V5O00000000T002", "INA - VAE Videos Simposio SEHH 2025")</f>
        <v>INA - VAE Videos Simposio SEHH 2025</v>
      </c>
      <c r="C9369" s="3" t="str">
        <f>HYPERLINK("https://otsuka-europe-crm.veevavault.com/ui/#object/sent_email__v/VBL00000001F330", "SE-001406002")</f>
        <v>SE-001406002</v>
      </c>
      <c r="D9369" s="1" t="s">
        <v>0</v>
      </c>
      <c r="E9369" s="2">
        <v>0</v>
      </c>
      <c r="F9369" s="2">
        <v>0</v>
      </c>
      <c r="G9369" s="2">
        <v>0</v>
      </c>
      <c r="H9369" s="1" t="s">
        <v>0</v>
      </c>
      <c r="I9369" s="2">
        <v>0</v>
      </c>
      <c r="J9369" s="1">
        <v>46077.540983796294</v>
      </c>
    </row>
    <row r="9370" spans="1:10" x14ac:dyDescent="0.2">
      <c r="A9370" s="4" t="s">
        <v>1</v>
      </c>
      <c r="B9370" s="3" t="str">
        <f>HYPERLINK("https://otsuka-europe-crm.veevavault.com/ui/#object/approved_document__v/V5O00000000T002", "INA - VAE Videos Simposio SEHH 2025")</f>
        <v>INA - VAE Videos Simposio SEHH 2025</v>
      </c>
      <c r="C9370" s="3" t="str">
        <f>HYPERLINK("https://otsuka-europe-crm.veevavault.com/ui/#object/sent_email__v/VBL00000001F331", "SE-001406003")</f>
        <v>SE-001406003</v>
      </c>
      <c r="D9370" s="1" t="s">
        <v>0</v>
      </c>
      <c r="E9370" s="2">
        <v>0</v>
      </c>
      <c r="F9370" s="2">
        <v>0</v>
      </c>
      <c r="G9370" s="2">
        <v>0</v>
      </c>
      <c r="H9370" s="1" t="s">
        <v>0</v>
      </c>
      <c r="I9370" s="2">
        <v>0</v>
      </c>
      <c r="J9370" s="1">
        <v>46077.541238425925</v>
      </c>
    </row>
    <row r="9371" spans="1:10" x14ac:dyDescent="0.2">
      <c r="A9371" s="4" t="s">
        <v>1</v>
      </c>
      <c r="B9371" s="3" t="str">
        <f>HYPERLINK("https://otsuka-europe-crm.veevavault.com/ui/#object/approved_document__v/V5O00000000T002", "INA - VAE Videos Simposio SEHH 2025")</f>
        <v>INA - VAE Videos Simposio SEHH 2025</v>
      </c>
      <c r="C9371" s="3" t="str">
        <f>HYPERLINK("https://otsuka-europe-crm.veevavault.com/ui/#object/sent_email__v/VBL00000001F332", "SE-001406004")</f>
        <v>SE-001406004</v>
      </c>
      <c r="D9371" s="1">
        <v>46077.904363425929</v>
      </c>
      <c r="E9371" s="2">
        <v>1</v>
      </c>
      <c r="F9371" s="2">
        <v>1</v>
      </c>
      <c r="G9371" s="2">
        <v>0</v>
      </c>
      <c r="H9371" s="1" t="s">
        <v>0</v>
      </c>
      <c r="I9371" s="2">
        <v>0</v>
      </c>
      <c r="J9371" s="1">
        <v>46077.541527777779</v>
      </c>
    </row>
    <row r="9372" spans="1:10" x14ac:dyDescent="0.2">
      <c r="A9372" s="4" t="s">
        <v>1</v>
      </c>
      <c r="B9372" s="3" t="str">
        <f>HYPERLINK("https://otsuka-europe-crm.veevavault.com/ui/#object/approved_document__v/V5O00000000T002", "INA - VAE Videos Simposio SEHH 2025")</f>
        <v>INA - VAE Videos Simposio SEHH 2025</v>
      </c>
      <c r="C9372" s="3" t="str">
        <f>HYPERLINK("https://otsuka-europe-crm.veevavault.com/ui/#object/sent_email__v/VBL00000001F333", "SE-001406005")</f>
        <v>SE-001406005</v>
      </c>
      <c r="D9372" s="1">
        <v>46077.549016203702</v>
      </c>
      <c r="E9372" s="2">
        <v>1</v>
      </c>
      <c r="F9372" s="2">
        <v>1</v>
      </c>
      <c r="G9372" s="2">
        <v>0</v>
      </c>
      <c r="H9372" s="1" t="s">
        <v>0</v>
      </c>
      <c r="I9372" s="2">
        <v>0</v>
      </c>
      <c r="J9372" s="1">
        <v>46077.542199074072</v>
      </c>
    </row>
    <row r="9373" spans="1:10" x14ac:dyDescent="0.2">
      <c r="A9373" s="4" t="s">
        <v>1</v>
      </c>
      <c r="B9373" s="3" t="str">
        <f>HYPERLINK("https://otsuka-europe-crm.veevavault.com/ui/#object/approved_document__v/V5O00000000T002", "INA - VAE Videos Simposio SEHH 2025")</f>
        <v>INA - VAE Videos Simposio SEHH 2025</v>
      </c>
      <c r="C9373" s="3" t="str">
        <f>HYPERLINK("https://otsuka-europe-crm.veevavault.com/ui/#object/sent_email__v/VBL00000001F334", "SE-001406006")</f>
        <v>SE-001406006</v>
      </c>
      <c r="D9373" s="1">
        <v>46078.336736111109</v>
      </c>
      <c r="E9373" s="2">
        <v>1</v>
      </c>
      <c r="F9373" s="2">
        <v>2</v>
      </c>
      <c r="G9373" s="2">
        <v>0</v>
      </c>
      <c r="H9373" s="1" t="s">
        <v>0</v>
      </c>
      <c r="I9373" s="2">
        <v>0</v>
      </c>
      <c r="J9373" s="1">
        <v>46077.542372685188</v>
      </c>
    </row>
    <row r="9374" spans="1:10" x14ac:dyDescent="0.2">
      <c r="A9374" s="4" t="s">
        <v>1</v>
      </c>
      <c r="B9374" s="3" t="str">
        <f>HYPERLINK("https://otsuka-europe-crm.veevavault.com/ui/#object/approved_document__v/V5O00000000T002", "INA - VAE Videos Simposio SEHH 2025")</f>
        <v>INA - VAE Videos Simposio SEHH 2025</v>
      </c>
      <c r="C9374" s="3" t="str">
        <f>HYPERLINK("https://otsuka-europe-crm.veevavault.com/ui/#object/sent_email__v/VBL00000001F335", "SE-001406007")</f>
        <v>SE-001406007</v>
      </c>
      <c r="D9374" s="1">
        <v>46077.941064814811</v>
      </c>
      <c r="E9374" s="2">
        <v>1</v>
      </c>
      <c r="F9374" s="2">
        <v>2</v>
      </c>
      <c r="G9374" s="2">
        <v>0</v>
      </c>
      <c r="H9374" s="1" t="s">
        <v>0</v>
      </c>
      <c r="I9374" s="2">
        <v>0</v>
      </c>
      <c r="J9374" s="1">
        <v>46077.542546296296</v>
      </c>
    </row>
    <row r="9375" spans="1:10" x14ac:dyDescent="0.2">
      <c r="A9375" s="4" t="s">
        <v>1</v>
      </c>
      <c r="B9375" s="3" t="str">
        <f>HYPERLINK("https://otsuka-europe-crm.veevavault.com/ui/#object/approved_document__v/V5O00000000T002", "INA - VAE Videos Simposio SEHH 2025")</f>
        <v>INA - VAE Videos Simposio SEHH 2025</v>
      </c>
      <c r="C9375" s="3" t="str">
        <f>HYPERLINK("https://otsuka-europe-crm.veevavault.com/ui/#object/sent_email__v/VBL00000001F336", "SE-001406008")</f>
        <v>SE-001406008</v>
      </c>
      <c r="D9375" s="1" t="s">
        <v>0</v>
      </c>
      <c r="E9375" s="2">
        <v>0</v>
      </c>
      <c r="F9375" s="2">
        <v>0</v>
      </c>
      <c r="G9375" s="2">
        <v>0</v>
      </c>
      <c r="H9375" s="1" t="s">
        <v>0</v>
      </c>
      <c r="I9375" s="2">
        <v>0</v>
      </c>
      <c r="J9375" s="1">
        <v>46077.542708333334</v>
      </c>
    </row>
    <row r="9376" spans="1:10" x14ac:dyDescent="0.2">
      <c r="A9376" s="4" t="s">
        <v>1</v>
      </c>
      <c r="B9376" s="3" t="str">
        <f>HYPERLINK("https://otsuka-europe-crm.veevavault.com/ui/#object/approved_document__v/V5O00000000T002", "INA - VAE Videos Simposio SEHH 2025")</f>
        <v>INA - VAE Videos Simposio SEHH 2025</v>
      </c>
      <c r="C9376" s="3" t="str">
        <f>HYPERLINK("https://otsuka-europe-crm.veevavault.com/ui/#object/sent_email__v/VBL00000001G518", "SE-001406009")</f>
        <v>SE-001406009</v>
      </c>
      <c r="D9376" s="1">
        <v>46077.741354166668</v>
      </c>
      <c r="E9376" s="2">
        <v>1</v>
      </c>
      <c r="F9376" s="2">
        <v>2</v>
      </c>
      <c r="G9376" s="2">
        <v>0</v>
      </c>
      <c r="H9376" s="1" t="s">
        <v>0</v>
      </c>
      <c r="I9376" s="2">
        <v>0</v>
      </c>
      <c r="J9376" s="1">
        <v>46077.542905092596</v>
      </c>
    </row>
    <row r="9377" spans="1:10" x14ac:dyDescent="0.2">
      <c r="A9377" s="4" t="s">
        <v>1</v>
      </c>
      <c r="B9377" s="3" t="str">
        <f>HYPERLINK("https://otsuka-europe-crm.veevavault.com/ui/#object/approved_document__v/V5O00000000T002", "INA - VAE Videos Simposio SEHH 2025")</f>
        <v>INA - VAE Videos Simposio SEHH 2025</v>
      </c>
      <c r="C9377" s="3" t="str">
        <f>HYPERLINK("https://otsuka-europe-crm.veevavault.com/ui/#object/sent_email__v/VBL00000001F337", "SE-001406010")</f>
        <v>SE-001406010</v>
      </c>
      <c r="D9377" s="1">
        <v>46077.567037037035</v>
      </c>
      <c r="E9377" s="2">
        <v>1</v>
      </c>
      <c r="F9377" s="2">
        <v>1</v>
      </c>
      <c r="G9377" s="2">
        <v>0</v>
      </c>
      <c r="H9377" s="1" t="s">
        <v>0</v>
      </c>
      <c r="I9377" s="2">
        <v>0</v>
      </c>
      <c r="J9377" s="1">
        <v>46077.543344907404</v>
      </c>
    </row>
    <row r="9378" spans="1:10" x14ac:dyDescent="0.2">
      <c r="A9378" s="4" t="s">
        <v>1</v>
      </c>
      <c r="B9378" s="3" t="str">
        <f>HYPERLINK("https://otsuka-europe-crm.veevavault.com/ui/#object/approved_document__v/V5O00000000T002", "INA - VAE Videos Simposio SEHH 2025")</f>
        <v>INA - VAE Videos Simposio SEHH 2025</v>
      </c>
      <c r="C9378" s="3" t="str">
        <f>HYPERLINK("https://otsuka-europe-crm.veevavault.com/ui/#object/sent_email__v/VBL00000001F338", "SE-001406011")</f>
        <v>SE-001406011</v>
      </c>
      <c r="D9378" s="1" t="s">
        <v>0</v>
      </c>
      <c r="E9378" s="2">
        <v>0</v>
      </c>
      <c r="F9378" s="2">
        <v>0</v>
      </c>
      <c r="G9378" s="2">
        <v>0</v>
      </c>
      <c r="H9378" s="1" t="s">
        <v>0</v>
      </c>
      <c r="I9378" s="2">
        <v>0</v>
      </c>
      <c r="J9378" s="1">
        <v>46077.543495370373</v>
      </c>
    </row>
    <row r="9379" spans="1:10" x14ac:dyDescent="0.2">
      <c r="A9379" s="4" t="s">
        <v>1</v>
      </c>
      <c r="B9379" s="3" t="str">
        <f>HYPERLINK("https://otsuka-europe-crm.veevavault.com/ui/#object/approved_document__v/V5O00000000T002", "INA - VAE Videos Simposio SEHH 2025")</f>
        <v>INA - VAE Videos Simposio SEHH 2025</v>
      </c>
      <c r="C9379" s="3" t="str">
        <f>HYPERLINK("https://otsuka-europe-crm.veevavault.com/ui/#object/sent_email__v/VBL00000001F554", "SE-001406558")</f>
        <v>SE-001406558</v>
      </c>
      <c r="D9379" s="1">
        <v>46078.592638888891</v>
      </c>
      <c r="E9379" s="2">
        <v>1</v>
      </c>
      <c r="F9379" s="2">
        <v>1</v>
      </c>
      <c r="G9379" s="2">
        <v>0</v>
      </c>
      <c r="H9379" s="1" t="s">
        <v>0</v>
      </c>
      <c r="I9379" s="2">
        <v>0</v>
      </c>
      <c r="J9379" s="1">
        <v>46078.565405092595</v>
      </c>
    </row>
    <row r="9380" spans="1:10" x14ac:dyDescent="0.2">
      <c r="A9380" s="4" t="s">
        <v>1</v>
      </c>
      <c r="B9380" s="3" t="str">
        <f>HYPERLINK("https://otsuka-europe-crm.veevavault.com/ui/#object/approved_document__v/V5O00000000T002", "INA - VAE Videos Simposio SEHH 2025")</f>
        <v>INA - VAE Videos Simposio SEHH 2025</v>
      </c>
      <c r="C9380" s="3" t="str">
        <f>HYPERLINK("https://otsuka-europe-crm.veevavault.com/ui/#object/sent_email__v/VBL00000001F555", "SE-001406559")</f>
        <v>SE-001406559</v>
      </c>
      <c r="D9380" s="1" t="s">
        <v>0</v>
      </c>
      <c r="E9380" s="2">
        <v>0</v>
      </c>
      <c r="F9380" s="2">
        <v>0</v>
      </c>
      <c r="G9380" s="2">
        <v>0</v>
      </c>
      <c r="H9380" s="1" t="s">
        <v>0</v>
      </c>
      <c r="I9380" s="2">
        <v>0</v>
      </c>
      <c r="J9380" s="1">
        <v>46078.565659722219</v>
      </c>
    </row>
    <row r="9381" spans="1:10" x14ac:dyDescent="0.2">
      <c r="A9381" s="4" t="s">
        <v>1</v>
      </c>
      <c r="B9381" s="3" t="str">
        <f>HYPERLINK("https://otsuka-europe-crm.veevavault.com/ui/#object/approved_document__v/V5O00000000T002", "INA - VAE Videos Simposio SEHH 2025")</f>
        <v>INA - VAE Videos Simposio SEHH 2025</v>
      </c>
      <c r="C9381" s="3" t="str">
        <f>HYPERLINK("https://otsuka-europe-crm.veevavault.com/ui/#object/sent_email__v/VBL00000001F556", "SE-001406560")</f>
        <v>SE-001406560</v>
      </c>
      <c r="D9381" s="1" t="s">
        <v>0</v>
      </c>
      <c r="E9381" s="2">
        <v>0</v>
      </c>
      <c r="F9381" s="2">
        <v>0</v>
      </c>
      <c r="G9381" s="2">
        <v>0</v>
      </c>
      <c r="H9381" s="1" t="s">
        <v>0</v>
      </c>
      <c r="I9381" s="2">
        <v>0</v>
      </c>
      <c r="J9381" s="1">
        <v>46078.565925925926</v>
      </c>
    </row>
    <row r="9382" spans="1:10" x14ac:dyDescent="0.2">
      <c r="A9382" s="4" t="s">
        <v>1</v>
      </c>
      <c r="B9382" s="3" t="str">
        <f>HYPERLINK("https://otsuka-europe-crm.veevavault.com/ui/#object/approved_document__v/V5O00000000T002", "INA - VAE Videos Simposio SEHH 2025")</f>
        <v>INA - VAE Videos Simposio SEHH 2025</v>
      </c>
      <c r="C9382" s="3" t="str">
        <f>HYPERLINK("https://otsuka-europe-crm.veevavault.com/ui/#object/sent_email__v/VBL00000001F557", "SE-001406561")</f>
        <v>SE-001406561</v>
      </c>
      <c r="D9382" s="1">
        <v>46078.983194444445</v>
      </c>
      <c r="E9382" s="2">
        <v>1</v>
      </c>
      <c r="F9382" s="2">
        <v>1</v>
      </c>
      <c r="G9382" s="2">
        <v>0</v>
      </c>
      <c r="H9382" s="1" t="s">
        <v>0</v>
      </c>
      <c r="I9382" s="2">
        <v>0</v>
      </c>
      <c r="J9382" s="1">
        <v>46078.566134259258</v>
      </c>
    </row>
    <row r="9383" spans="1:10" x14ac:dyDescent="0.2">
      <c r="A9383" s="4" t="s">
        <v>1</v>
      </c>
      <c r="B9383" s="3" t="str">
        <f>HYPERLINK("https://otsuka-europe-crm.veevavault.com/ui/#object/approved_document__v/V5O00000000T002", "INA - VAE Videos Simposio SEHH 2025")</f>
        <v>INA - VAE Videos Simposio SEHH 2025</v>
      </c>
      <c r="C9383" s="3" t="str">
        <f>HYPERLINK("https://otsuka-europe-crm.veevavault.com/ui/#object/sent_email__v/VBL00000001F558", "SE-001406562")</f>
        <v>SE-001406562</v>
      </c>
      <c r="D9383" s="1" t="s">
        <v>0</v>
      </c>
      <c r="E9383" s="2">
        <v>0</v>
      </c>
      <c r="F9383" s="2">
        <v>0</v>
      </c>
      <c r="G9383" s="2">
        <v>0</v>
      </c>
      <c r="H9383" s="1" t="s">
        <v>0</v>
      </c>
      <c r="I9383" s="2">
        <v>0</v>
      </c>
      <c r="J9383" s="1">
        <v>46078.566307870373</v>
      </c>
    </row>
    <row r="9384" spans="1:10" x14ac:dyDescent="0.2">
      <c r="A9384" s="4" t="s">
        <v>1</v>
      </c>
      <c r="B9384" s="3" t="str">
        <f>HYPERLINK("https://otsuka-europe-crm.veevavault.com/ui/#object/approved_document__v/V5O00000000T002", "INA - VAE Videos Simposio SEHH 2025")</f>
        <v>INA - VAE Videos Simposio SEHH 2025</v>
      </c>
      <c r="C9384" s="3" t="str">
        <f>HYPERLINK("https://otsuka-europe-crm.veevavault.com/ui/#object/sent_email__v/VBL00000001F559", "SE-001406563")</f>
        <v>SE-001406563</v>
      </c>
      <c r="D9384" s="1" t="s">
        <v>0</v>
      </c>
      <c r="E9384" s="2">
        <v>0</v>
      </c>
      <c r="F9384" s="2">
        <v>0</v>
      </c>
      <c r="G9384" s="2">
        <v>0</v>
      </c>
      <c r="H9384" s="1" t="s">
        <v>0</v>
      </c>
      <c r="I9384" s="2">
        <v>0</v>
      </c>
      <c r="J9384" s="1">
        <v>46078.566458333335</v>
      </c>
    </row>
    <row r="9385" spans="1:10" x14ac:dyDescent="0.2">
      <c r="A9385" s="4" t="s">
        <v>1</v>
      </c>
      <c r="B9385" s="3" t="str">
        <f>HYPERLINK("https://otsuka-europe-crm.veevavault.com/ui/#object/approved_document__v/V5O00000000T002", "INA - VAE Videos Simposio SEHH 2025")</f>
        <v>INA - VAE Videos Simposio SEHH 2025</v>
      </c>
      <c r="C9385" s="3" t="str">
        <f>HYPERLINK("https://otsuka-europe-crm.veevavault.com/ui/#object/sent_email__v/VBL00000001F560", "SE-001406564")</f>
        <v>SE-001406564</v>
      </c>
      <c r="D9385" s="1">
        <v>46078.580138888887</v>
      </c>
      <c r="E9385" s="2">
        <v>1</v>
      </c>
      <c r="F9385" s="2">
        <v>3</v>
      </c>
      <c r="G9385" s="2">
        <v>0</v>
      </c>
      <c r="H9385" s="1" t="s">
        <v>0</v>
      </c>
      <c r="I9385" s="2">
        <v>0</v>
      </c>
      <c r="J9385" s="1">
        <v>46078.566620370373</v>
      </c>
    </row>
    <row r="9386" spans="1:10" x14ac:dyDescent="0.2">
      <c r="A9386" s="4" t="s">
        <v>1</v>
      </c>
      <c r="B9386" s="3" t="str">
        <f>HYPERLINK("https://otsuka-europe-crm.veevavault.com/ui/#object/approved_document__v/V5O00000000T002", "INA - VAE Videos Simposio SEHH 2025")</f>
        <v>INA - VAE Videos Simposio SEHH 2025</v>
      </c>
      <c r="C9386" s="3" t="str">
        <f>HYPERLINK("https://otsuka-europe-crm.veevavault.com/ui/#object/sent_email__v/VBL00000001F561", "SE-001406565")</f>
        <v>SE-001406565</v>
      </c>
      <c r="D9386" s="1">
        <v>46079.373888888891</v>
      </c>
      <c r="E9386" s="2">
        <v>1</v>
      </c>
      <c r="F9386" s="2">
        <v>1</v>
      </c>
      <c r="G9386" s="2">
        <v>0</v>
      </c>
      <c r="H9386" s="1" t="s">
        <v>0</v>
      </c>
      <c r="I9386" s="2">
        <v>0</v>
      </c>
      <c r="J9386" s="1">
        <v>46078.566793981481</v>
      </c>
    </row>
    <row r="9387" spans="1:10" x14ac:dyDescent="0.2">
      <c r="A9387" s="4" t="s">
        <v>1</v>
      </c>
      <c r="B9387" s="3" t="str">
        <f>HYPERLINK("https://otsuka-europe-crm.veevavault.com/ui/#object/approved_document__v/V5O00000000T002", "INA - VAE Videos Simposio SEHH 2025")</f>
        <v>INA - VAE Videos Simposio SEHH 2025</v>
      </c>
      <c r="C9387" s="3" t="str">
        <f>HYPERLINK("https://otsuka-europe-crm.veevavault.com/ui/#object/sent_email__v/VBL00000001F562", "SE-001406566")</f>
        <v>SE-001406566</v>
      </c>
      <c r="D9387" s="1" t="s">
        <v>0</v>
      </c>
      <c r="E9387" s="2">
        <v>0</v>
      </c>
      <c r="F9387" s="2">
        <v>0</v>
      </c>
      <c r="G9387" s="2">
        <v>0</v>
      </c>
      <c r="H9387" s="1" t="s">
        <v>0</v>
      </c>
      <c r="I9387" s="2">
        <v>0</v>
      </c>
      <c r="J9387" s="1">
        <v>46078.566967592589</v>
      </c>
    </row>
    <row r="9388" spans="1:10" x14ac:dyDescent="0.2">
      <c r="A9388" s="4" t="s">
        <v>1</v>
      </c>
      <c r="B9388" s="3" t="str">
        <f>HYPERLINK("https://otsuka-europe-crm.veevavault.com/ui/#object/approved_document__v/V5O00000000T002", "INA - VAE Videos Simposio SEHH 2025")</f>
        <v>INA - VAE Videos Simposio SEHH 2025</v>
      </c>
      <c r="C9388" s="3" t="str">
        <f>HYPERLINK("https://otsuka-europe-crm.veevavault.com/ui/#object/sent_email__v/VBL00000001F563", "SE-001406567")</f>
        <v>SE-001406567</v>
      </c>
      <c r="D9388" s="1" t="s">
        <v>0</v>
      </c>
      <c r="E9388" s="2">
        <v>0</v>
      </c>
      <c r="F9388" s="2">
        <v>0</v>
      </c>
      <c r="G9388" s="2">
        <v>0</v>
      </c>
      <c r="H9388" s="1" t="s">
        <v>0</v>
      </c>
      <c r="I9388" s="2">
        <v>0</v>
      </c>
      <c r="J9388" s="1">
        <v>46078.567129629628</v>
      </c>
    </row>
    <row r="9389" spans="1:10" x14ac:dyDescent="0.2">
      <c r="A9389" s="4" t="s">
        <v>1</v>
      </c>
      <c r="B9389" s="3" t="str">
        <f>HYPERLINK("https://otsuka-europe-crm.veevavault.com/ui/#object/approved_document__v/V5O00000000T002", "INA - VAE Videos Simposio SEHH 2025")</f>
        <v>INA - VAE Videos Simposio SEHH 2025</v>
      </c>
      <c r="C9389" s="3" t="str">
        <f>HYPERLINK("https://otsuka-europe-crm.veevavault.com/ui/#object/sent_email__v/VBL00000001F564", "SE-001406568")</f>
        <v>SE-001406568</v>
      </c>
      <c r="D9389" s="1" t="s">
        <v>0</v>
      </c>
      <c r="E9389" s="2">
        <v>0</v>
      </c>
      <c r="F9389" s="2">
        <v>0</v>
      </c>
      <c r="G9389" s="2">
        <v>0</v>
      </c>
      <c r="H9389" s="1" t="s">
        <v>0</v>
      </c>
      <c r="I9389" s="2">
        <v>0</v>
      </c>
      <c r="J9389" s="1">
        <v>46078.567303240743</v>
      </c>
    </row>
    <row r="9390" spans="1:10" x14ac:dyDescent="0.2">
      <c r="A9390" s="4" t="s">
        <v>1</v>
      </c>
      <c r="B9390" s="3" t="str">
        <f>HYPERLINK("https://otsuka-europe-crm.veevavault.com/ui/#object/approved_document__v/V5O00000000T002", "INA - VAE Videos Simposio SEHH 2025")</f>
        <v>INA - VAE Videos Simposio SEHH 2025</v>
      </c>
      <c r="C9390" s="3" t="str">
        <f>HYPERLINK("https://otsuka-europe-crm.veevavault.com/ui/#object/sent_email__v/VBL00000001F565", "SE-001406569")</f>
        <v>SE-001406569</v>
      </c>
      <c r="D9390" s="1">
        <v>46078.924108796295</v>
      </c>
      <c r="E9390" s="2">
        <v>1</v>
      </c>
      <c r="F9390" s="2">
        <v>1</v>
      </c>
      <c r="G9390" s="2">
        <v>0</v>
      </c>
      <c r="H9390" s="1" t="s">
        <v>0</v>
      </c>
      <c r="I9390" s="2">
        <v>0</v>
      </c>
      <c r="J9390" s="1">
        <v>46078.567465277774</v>
      </c>
    </row>
    <row r="9391" spans="1:10" x14ac:dyDescent="0.2">
      <c r="A9391" s="4" t="s">
        <v>1</v>
      </c>
      <c r="B9391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391" s="3" t="str">
        <f>HYPERLINK("https://otsuka-europe-crm.veevavault.com/ui/#object/sent_email__v/VBLZ025E82GF63L", "SE-000255284")</f>
        <v>SE-000255284</v>
      </c>
      <c r="D9391" s="1">
        <v>45904.496828703705</v>
      </c>
      <c r="E9391" s="2">
        <v>1</v>
      </c>
      <c r="F9391" s="2">
        <v>1</v>
      </c>
      <c r="G9391" s="2">
        <v>0</v>
      </c>
      <c r="H9391" s="1" t="s">
        <v>0</v>
      </c>
      <c r="I9391" s="2">
        <v>0</v>
      </c>
      <c r="J9391" s="1">
        <v>45904.483483796299</v>
      </c>
    </row>
    <row r="9392" spans="1:10" x14ac:dyDescent="0.2">
      <c r="A9392" s="4" t="s">
        <v>1</v>
      </c>
      <c r="B9392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392" s="3" t="str">
        <f>HYPERLINK("https://otsuka-europe-crm.veevavault.com/ui/#object/sent_email__v/VBLZ025E82GF63M", "SE-000255285")</f>
        <v>SE-000255285</v>
      </c>
      <c r="D9392" s="1">
        <v>45904.563530092593</v>
      </c>
      <c r="E9392" s="2">
        <v>1</v>
      </c>
      <c r="F9392" s="2">
        <v>1</v>
      </c>
      <c r="G9392" s="2">
        <v>0</v>
      </c>
      <c r="H9392" s="1" t="s">
        <v>0</v>
      </c>
      <c r="I9392" s="2">
        <v>0</v>
      </c>
      <c r="J9392" s="1">
        <v>45904.483460648145</v>
      </c>
    </row>
    <row r="9393" spans="1:10" x14ac:dyDescent="0.2">
      <c r="A9393" s="4" t="s">
        <v>1</v>
      </c>
      <c r="B9393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393" s="3" t="str">
        <f>HYPERLINK("https://otsuka-europe-crm.veevavault.com/ui/#object/sent_email__v/VBLZ025E82GF63N", "SE-000255286")</f>
        <v>SE-000255286</v>
      </c>
      <c r="D9393" s="1">
        <v>45953.727789351855</v>
      </c>
      <c r="E9393" s="2">
        <v>1</v>
      </c>
      <c r="F9393" s="2">
        <v>6</v>
      </c>
      <c r="G9393" s="2">
        <v>1</v>
      </c>
      <c r="H9393" s="1">
        <v>45953.727824074071</v>
      </c>
      <c r="I9393" s="2">
        <v>8</v>
      </c>
      <c r="J9393" s="1">
        <v>45904.483472222222</v>
      </c>
    </row>
    <row r="9394" spans="1:10" x14ac:dyDescent="0.2">
      <c r="A9394" s="4" t="s">
        <v>1</v>
      </c>
      <c r="B9394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394" s="3" t="str">
        <f>HYPERLINK("https://otsuka-europe-crm.veevavault.com/ui/#object/sent_email__v/VBLZ025E82GF63O", "SE-000255287")</f>
        <v>SE-000255287</v>
      </c>
      <c r="D9394" s="1">
        <v>45904.672476851854</v>
      </c>
      <c r="E9394" s="2">
        <v>1</v>
      </c>
      <c r="F9394" s="2">
        <v>1</v>
      </c>
      <c r="G9394" s="2">
        <v>0</v>
      </c>
      <c r="H9394" s="1" t="s">
        <v>0</v>
      </c>
      <c r="I9394" s="2">
        <v>0</v>
      </c>
      <c r="J9394" s="1">
        <v>45904.483506944445</v>
      </c>
    </row>
    <row r="9395" spans="1:10" x14ac:dyDescent="0.2">
      <c r="A9395" s="4" t="s">
        <v>1</v>
      </c>
      <c r="B9395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395" s="3" t="str">
        <f>HYPERLINK("https://otsuka-europe-crm.veevavault.com/ui/#object/sent_email__v/VBLZ025E82GF63P", "SE-000255288")</f>
        <v>SE-000255288</v>
      </c>
      <c r="D9395" s="1" t="s">
        <v>0</v>
      </c>
      <c r="E9395" s="2">
        <v>0</v>
      </c>
      <c r="F9395" s="2">
        <v>0</v>
      </c>
      <c r="G9395" s="2">
        <v>0</v>
      </c>
      <c r="H9395" s="1" t="s">
        <v>0</v>
      </c>
      <c r="I9395" s="2">
        <v>0</v>
      </c>
      <c r="J9395" s="1">
        <v>45904.483483796299</v>
      </c>
    </row>
    <row r="9396" spans="1:10" x14ac:dyDescent="0.2">
      <c r="A9396" s="4" t="s">
        <v>1</v>
      </c>
      <c r="B9396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396" s="3" t="str">
        <f>HYPERLINK("https://otsuka-europe-crm.veevavault.com/ui/#object/sent_email__v/VBLZ025E82GF63Q", "SE-000255289")</f>
        <v>SE-000255289</v>
      </c>
      <c r="D9396" s="1" t="s">
        <v>0</v>
      </c>
      <c r="E9396" s="2">
        <v>0</v>
      </c>
      <c r="F9396" s="2">
        <v>0</v>
      </c>
      <c r="G9396" s="2">
        <v>0</v>
      </c>
      <c r="H9396" s="1" t="s">
        <v>0</v>
      </c>
      <c r="I9396" s="2">
        <v>0</v>
      </c>
      <c r="J9396" s="1">
        <v>45904.483553240738</v>
      </c>
    </row>
    <row r="9397" spans="1:10" x14ac:dyDescent="0.2">
      <c r="A9397" s="4" t="s">
        <v>1</v>
      </c>
      <c r="B9397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397" s="3" t="str">
        <f>HYPERLINK("https://otsuka-europe-crm.veevavault.com/ui/#object/sent_email__v/VBLZ025E82GF63R", "SE-000255290")</f>
        <v>SE-000255290</v>
      </c>
      <c r="D9397" s="1">
        <v>45904.538171296299</v>
      </c>
      <c r="E9397" s="2">
        <v>1</v>
      </c>
      <c r="F9397" s="2">
        <v>1</v>
      </c>
      <c r="G9397" s="2">
        <v>0</v>
      </c>
      <c r="H9397" s="1" t="s">
        <v>0</v>
      </c>
      <c r="I9397" s="2">
        <v>0</v>
      </c>
      <c r="J9397" s="1">
        <v>45904.483553240738</v>
      </c>
    </row>
    <row r="9398" spans="1:10" x14ac:dyDescent="0.2">
      <c r="A9398" s="4" t="s">
        <v>1</v>
      </c>
      <c r="B9398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398" s="3" t="str">
        <f>HYPERLINK("https://otsuka-europe-crm.veevavault.com/ui/#object/sent_email__v/VBLZ025E82GF63S", "SE-000255291")</f>
        <v>SE-000255291</v>
      </c>
      <c r="D9398" s="1" t="s">
        <v>0</v>
      </c>
      <c r="E9398" s="2">
        <v>0</v>
      </c>
      <c r="F9398" s="2">
        <v>0</v>
      </c>
      <c r="G9398" s="2">
        <v>0</v>
      </c>
      <c r="H9398" s="1" t="s">
        <v>0</v>
      </c>
      <c r="I9398" s="2">
        <v>0</v>
      </c>
      <c r="J9398" s="1">
        <v>45904.483506944445</v>
      </c>
    </row>
    <row r="9399" spans="1:10" x14ac:dyDescent="0.2">
      <c r="A9399" s="4" t="s">
        <v>1</v>
      </c>
      <c r="B9399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399" s="3" t="str">
        <f>HYPERLINK("https://otsuka-europe-crm.veevavault.com/ui/#object/sent_email__v/VBLZ025E82GF63T", "SE-000255292")</f>
        <v>SE-000255292</v>
      </c>
      <c r="D9399" s="1">
        <v>45904.761921296296</v>
      </c>
      <c r="E9399" s="2">
        <v>1</v>
      </c>
      <c r="F9399" s="2">
        <v>3</v>
      </c>
      <c r="G9399" s="2">
        <v>0</v>
      </c>
      <c r="H9399" s="1" t="s">
        <v>0</v>
      </c>
      <c r="I9399" s="2">
        <v>0</v>
      </c>
      <c r="J9399" s="1">
        <v>45904.483530092592</v>
      </c>
    </row>
    <row r="9400" spans="1:10" x14ac:dyDescent="0.2">
      <c r="A9400" s="4" t="s">
        <v>1</v>
      </c>
      <c r="B9400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00" s="3" t="str">
        <f>HYPERLINK("https://otsuka-europe-crm.veevavault.com/ui/#object/sent_email__v/VBLZ025E82GF63U", "SE-000255293")</f>
        <v>SE-000255293</v>
      </c>
      <c r="D9400" s="1">
        <v>45905.539942129632</v>
      </c>
      <c r="E9400" s="2">
        <v>1</v>
      </c>
      <c r="F9400" s="2">
        <v>2</v>
      </c>
      <c r="G9400" s="2">
        <v>0</v>
      </c>
      <c r="H9400" s="1" t="s">
        <v>0</v>
      </c>
      <c r="I9400" s="2">
        <v>0</v>
      </c>
      <c r="J9400" s="1">
        <v>45904.483587962961</v>
      </c>
    </row>
    <row r="9401" spans="1:10" x14ac:dyDescent="0.2">
      <c r="A9401" s="4" t="s">
        <v>1</v>
      </c>
      <c r="B9401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01" s="3" t="str">
        <f>HYPERLINK("https://otsuka-europe-crm.veevavault.com/ui/#object/sent_email__v/VBLZ025E82GF63V", "SE-000255294")</f>
        <v>SE-000255294</v>
      </c>
      <c r="D9401" s="1" t="s">
        <v>0</v>
      </c>
      <c r="E9401" s="2">
        <v>0</v>
      </c>
      <c r="F9401" s="2">
        <v>0</v>
      </c>
      <c r="G9401" s="2">
        <v>0</v>
      </c>
      <c r="H9401" s="1" t="s">
        <v>0</v>
      </c>
      <c r="I9401" s="2">
        <v>0</v>
      </c>
      <c r="J9401" s="1">
        <v>45904.483587962961</v>
      </c>
    </row>
    <row r="9402" spans="1:10" x14ac:dyDescent="0.2">
      <c r="A9402" s="4" t="s">
        <v>1</v>
      </c>
      <c r="B9402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02" s="3" t="str">
        <f>HYPERLINK("https://otsuka-europe-crm.veevavault.com/ui/#object/sent_email__v/VBLZ025E82GF63W", "SE-000255295")</f>
        <v>SE-000255295</v>
      </c>
      <c r="D9402" s="1">
        <v>45904.643877314818</v>
      </c>
      <c r="E9402" s="2">
        <v>1</v>
      </c>
      <c r="F9402" s="2">
        <v>1</v>
      </c>
      <c r="G9402" s="2">
        <v>0</v>
      </c>
      <c r="H9402" s="1" t="s">
        <v>0</v>
      </c>
      <c r="I9402" s="2">
        <v>0</v>
      </c>
      <c r="J9402" s="1">
        <v>45904.483599537038</v>
      </c>
    </row>
    <row r="9403" spans="1:10" x14ac:dyDescent="0.2">
      <c r="A9403" s="4" t="s">
        <v>1</v>
      </c>
      <c r="B9403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03" s="3" t="str">
        <f>HYPERLINK("https://otsuka-europe-crm.veevavault.com/ui/#object/sent_email__v/VBLZ025E82GF63X", "SE-000255296")</f>
        <v>SE-000255296</v>
      </c>
      <c r="D9403" s="1">
        <v>45908.01734953704</v>
      </c>
      <c r="E9403" s="2">
        <v>1</v>
      </c>
      <c r="F9403" s="2">
        <v>5</v>
      </c>
      <c r="G9403" s="2">
        <v>1</v>
      </c>
      <c r="H9403" s="1">
        <v>45904.566678240742</v>
      </c>
      <c r="I9403" s="2">
        <v>3</v>
      </c>
      <c r="J9403" s="1">
        <v>45904.483634259261</v>
      </c>
    </row>
    <row r="9404" spans="1:10" x14ac:dyDescent="0.2">
      <c r="A9404" s="4" t="s">
        <v>1</v>
      </c>
      <c r="B9404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04" s="3" t="str">
        <f>HYPERLINK("https://otsuka-europe-crm.veevavault.com/ui/#object/sent_email__v/VBLZ025E82GF63Y", "SE-000255297")</f>
        <v>SE-000255297</v>
      </c>
      <c r="D9404" s="1">
        <v>45904.497800925928</v>
      </c>
      <c r="E9404" s="2">
        <v>1</v>
      </c>
      <c r="F9404" s="2">
        <v>1</v>
      </c>
      <c r="G9404" s="2">
        <v>0</v>
      </c>
      <c r="H9404" s="1" t="s">
        <v>0</v>
      </c>
      <c r="I9404" s="2">
        <v>0</v>
      </c>
      <c r="J9404" s="1">
        <v>45904.483622685184</v>
      </c>
    </row>
    <row r="9405" spans="1:10" x14ac:dyDescent="0.2">
      <c r="A9405" s="4" t="s">
        <v>1</v>
      </c>
      <c r="B9405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05" s="3" t="str">
        <f>HYPERLINK("https://otsuka-europe-crm.veevavault.com/ui/#object/sent_email__v/VBLZ025E82GF63Z", "SE-000255298")</f>
        <v>SE-000255298</v>
      </c>
      <c r="D9405" s="1">
        <v>45924.766435185185</v>
      </c>
      <c r="E9405" s="2">
        <v>1</v>
      </c>
      <c r="F9405" s="2">
        <v>3</v>
      </c>
      <c r="G9405" s="2">
        <v>0</v>
      </c>
      <c r="H9405" s="1" t="s">
        <v>0</v>
      </c>
      <c r="I9405" s="2">
        <v>0</v>
      </c>
      <c r="J9405" s="1">
        <v>45904.483622685184</v>
      </c>
    </row>
    <row r="9406" spans="1:10" x14ac:dyDescent="0.2">
      <c r="A9406" s="4" t="s">
        <v>1</v>
      </c>
      <c r="B9406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06" s="3" t="str">
        <f>HYPERLINK("https://otsuka-europe-crm.veevavault.com/ui/#object/sent_email__v/VBLZ025E82GF640", "SE-000255299")</f>
        <v>SE-000255299</v>
      </c>
      <c r="D9406" s="1">
        <v>45912.247233796297</v>
      </c>
      <c r="E9406" s="2">
        <v>1</v>
      </c>
      <c r="F9406" s="2">
        <v>1</v>
      </c>
      <c r="G9406" s="2">
        <v>0</v>
      </c>
      <c r="H9406" s="1" t="s">
        <v>0</v>
      </c>
      <c r="I9406" s="2">
        <v>0</v>
      </c>
      <c r="J9406" s="1">
        <v>45904.483576388891</v>
      </c>
    </row>
    <row r="9407" spans="1:10" x14ac:dyDescent="0.2">
      <c r="A9407" s="4" t="s">
        <v>1</v>
      </c>
      <c r="B9407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07" s="3" t="str">
        <f>HYPERLINK("https://otsuka-europe-crm.veevavault.com/ui/#object/sent_email__v/VBLZ025E82GF641", "SE-000255300")</f>
        <v>SE-000255300</v>
      </c>
      <c r="D9407" s="1" t="s">
        <v>0</v>
      </c>
      <c r="E9407" s="2">
        <v>0</v>
      </c>
      <c r="F9407" s="2">
        <v>0</v>
      </c>
      <c r="G9407" s="2">
        <v>0</v>
      </c>
      <c r="H9407" s="1" t="s">
        <v>0</v>
      </c>
      <c r="I9407" s="2">
        <v>0</v>
      </c>
      <c r="J9407" s="1">
        <v>45904.483599537038</v>
      </c>
    </row>
    <row r="9408" spans="1:10" x14ac:dyDescent="0.2">
      <c r="A9408" s="4" t="s">
        <v>1</v>
      </c>
      <c r="B9408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08" s="3" t="str">
        <f>HYPERLINK("https://otsuka-europe-crm.veevavault.com/ui/#object/sent_email__v/VBLZ025E82GF642", "SE-000255301")</f>
        <v>SE-000255301</v>
      </c>
      <c r="D9408" s="1">
        <v>45904.509560185186</v>
      </c>
      <c r="E9408" s="2">
        <v>1</v>
      </c>
      <c r="F9408" s="2">
        <v>1</v>
      </c>
      <c r="G9408" s="2">
        <v>0</v>
      </c>
      <c r="H9408" s="1" t="s">
        <v>0</v>
      </c>
      <c r="I9408" s="2">
        <v>0</v>
      </c>
      <c r="J9408" s="1">
        <v>45904.483518518522</v>
      </c>
    </row>
    <row r="9409" spans="1:10" x14ac:dyDescent="0.2">
      <c r="A9409" s="4" t="s">
        <v>1</v>
      </c>
      <c r="B9409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09" s="3" t="str">
        <f>HYPERLINK("https://otsuka-europe-crm.veevavault.com/ui/#object/sent_email__v/VBLZ025E82GF643", "SE-000255302")</f>
        <v>SE-000255302</v>
      </c>
      <c r="D9409" s="1">
        <v>45904.483576388891</v>
      </c>
      <c r="E9409" s="2">
        <v>1</v>
      </c>
      <c r="F9409" s="2">
        <v>1</v>
      </c>
      <c r="G9409" s="2">
        <v>0</v>
      </c>
      <c r="H9409" s="1" t="s">
        <v>0</v>
      </c>
      <c r="I9409" s="2">
        <v>0</v>
      </c>
      <c r="J9409" s="1">
        <v>45904.483506944445</v>
      </c>
    </row>
    <row r="9410" spans="1:10" x14ac:dyDescent="0.2">
      <c r="A9410" s="4" t="s">
        <v>1</v>
      </c>
      <c r="B9410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10" s="3" t="str">
        <f>HYPERLINK("https://otsuka-europe-crm.veevavault.com/ui/#object/sent_email__v/VBLZ025E82GF644", "SE-000255303")</f>
        <v>SE-000255303</v>
      </c>
      <c r="D9410" s="1">
        <v>45904.517187500001</v>
      </c>
      <c r="E9410" s="2">
        <v>1</v>
      </c>
      <c r="F9410" s="2">
        <v>1</v>
      </c>
      <c r="G9410" s="2">
        <v>0</v>
      </c>
      <c r="H9410" s="1" t="s">
        <v>0</v>
      </c>
      <c r="I9410" s="2">
        <v>0</v>
      </c>
      <c r="J9410" s="1">
        <v>45904.483530092592</v>
      </c>
    </row>
    <row r="9411" spans="1:10" x14ac:dyDescent="0.2">
      <c r="A9411" s="4" t="s">
        <v>1</v>
      </c>
      <c r="B9411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11" s="3" t="str">
        <f>HYPERLINK("https://otsuka-europe-crm.veevavault.com/ui/#object/sent_email__v/VBLZ025E82GF645", "SE-000255304")</f>
        <v>SE-000255304</v>
      </c>
      <c r="D9411" s="1" t="s">
        <v>0</v>
      </c>
      <c r="E9411" s="2">
        <v>0</v>
      </c>
      <c r="F9411" s="2">
        <v>0</v>
      </c>
      <c r="G9411" s="2">
        <v>0</v>
      </c>
      <c r="H9411" s="1" t="s">
        <v>0</v>
      </c>
      <c r="I9411" s="2">
        <v>0</v>
      </c>
      <c r="J9411" s="1">
        <v>45904.483553240738</v>
      </c>
    </row>
    <row r="9412" spans="1:10" x14ac:dyDescent="0.2">
      <c r="A9412" s="4" t="s">
        <v>1</v>
      </c>
      <c r="B9412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12" s="3" t="str">
        <f>HYPERLINK("https://otsuka-europe-crm.veevavault.com/ui/#object/sent_email__v/VBLZ025E82GF646", "SE-000255305")</f>
        <v>SE-000255305</v>
      </c>
      <c r="D9412" s="1">
        <v>45904.508067129631</v>
      </c>
      <c r="E9412" s="2">
        <v>1</v>
      </c>
      <c r="F9412" s="2">
        <v>1</v>
      </c>
      <c r="G9412" s="2">
        <v>0</v>
      </c>
      <c r="H9412" s="1" t="s">
        <v>0</v>
      </c>
      <c r="I9412" s="2">
        <v>0</v>
      </c>
      <c r="J9412" s="1">
        <v>45904.483472222222</v>
      </c>
    </row>
    <row r="9413" spans="1:10" x14ac:dyDescent="0.2">
      <c r="A9413" s="4" t="s">
        <v>1</v>
      </c>
      <c r="B9413" s="3" t="str">
        <f>HYPERLINK("https://otsuka-europe-crm.veevavault.com/ui/#object/approved_document__v/V5OZ025E82O1YJD", "INA - Videos Primeras experiencias con decitabina oral")</f>
        <v>INA - Videos Primeras experiencias con decitabina oral</v>
      </c>
      <c r="C9413" s="3" t="str">
        <f>HYPERLINK("https://otsuka-europe-crm.veevavault.com/ui/#object/sent_email__v/VBLZ025E82GF647", "SE-000255306")</f>
        <v>SE-000255306</v>
      </c>
      <c r="D9413" s="1">
        <v>45931.651898148149</v>
      </c>
      <c r="E9413" s="2">
        <v>1</v>
      </c>
      <c r="F9413" s="2">
        <v>2</v>
      </c>
      <c r="G9413" s="2">
        <v>0</v>
      </c>
      <c r="H9413" s="1" t="s">
        <v>0</v>
      </c>
      <c r="I9413" s="2">
        <v>0</v>
      </c>
      <c r="J9413" s="1">
        <v>45904.483483796299</v>
      </c>
    </row>
    <row r="9414" spans="1:10" x14ac:dyDescent="0.2">
      <c r="A9414" s="4" t="s">
        <v>1</v>
      </c>
      <c r="B9414" s="3" t="str">
        <f>HYPERLINK("https://otsuka-europe-crm.veevavault.com/ui/#object/approved_document__v/V5OZ025E82QPECB", "Invitación IX Jornada UHB 2025")</f>
        <v>Invitación IX Jornada UHB 2025</v>
      </c>
      <c r="C9414" s="3" t="str">
        <f>HYPERLINK("https://otsuka-europe-crm.veevavault.com/ui/#object/sent_email__v/VBLZ025E82GBFGD", "SE-000254895")</f>
        <v>SE-000254895</v>
      </c>
      <c r="D9414" s="1">
        <v>45902.4684375</v>
      </c>
      <c r="E9414" s="2">
        <v>1</v>
      </c>
      <c r="F9414" s="2">
        <v>3</v>
      </c>
      <c r="G9414" s="2">
        <v>1</v>
      </c>
      <c r="H9414" s="1">
        <v>45902.325185185182</v>
      </c>
      <c r="I9414" s="2">
        <v>1</v>
      </c>
      <c r="J9414" s="1">
        <v>45901.262916666667</v>
      </c>
    </row>
    <row r="9415" spans="1:10" x14ac:dyDescent="0.2">
      <c r="A9415" s="4" t="s">
        <v>1</v>
      </c>
      <c r="B9415" s="3" t="str">
        <f>HYPERLINK("https://otsuka-europe-crm.veevavault.com/ui/#object/approved_document__v/V5OZ025E82QPECB", "Invitación IX Jornada UHB 2025")</f>
        <v>Invitación IX Jornada UHB 2025</v>
      </c>
      <c r="C9415" s="3" t="str">
        <f>HYPERLINK("https://otsuka-europe-crm.veevavault.com/ui/#object/sent_email__v/VBLZ025E82GBFJ5", "SE-000254896")</f>
        <v>SE-000254896</v>
      </c>
      <c r="D9415" s="1">
        <v>45935.508518518516</v>
      </c>
      <c r="E9415" s="2">
        <v>1</v>
      </c>
      <c r="F9415" s="2">
        <v>4</v>
      </c>
      <c r="G9415" s="2">
        <v>0</v>
      </c>
      <c r="H9415" s="1" t="s">
        <v>0</v>
      </c>
      <c r="I9415" s="2">
        <v>0</v>
      </c>
      <c r="J9415" s="1">
        <v>45901.263333333336</v>
      </c>
    </row>
    <row r="9416" spans="1:10" x14ac:dyDescent="0.2">
      <c r="A9416" s="4" t="s">
        <v>1</v>
      </c>
      <c r="B9416" s="3" t="str">
        <f>HYPERLINK("https://otsuka-europe-crm.veevavault.com/ui/#object/approved_document__v/V5OZ025E82QPECB", "Invitación IX Jornada UHB 2025")</f>
        <v>Invitación IX Jornada UHB 2025</v>
      </c>
      <c r="C9416" s="3" t="str">
        <f>HYPERLINK("https://otsuka-europe-crm.veevavault.com/ui/#object/sent_email__v/VBLZ025E82GBFLX", "SE-000254897")</f>
        <v>SE-000254897</v>
      </c>
      <c r="D9416" s="1">
        <v>45909.242013888892</v>
      </c>
      <c r="E9416" s="2">
        <v>1</v>
      </c>
      <c r="F9416" s="2">
        <v>3</v>
      </c>
      <c r="G9416" s="2">
        <v>0</v>
      </c>
      <c r="H9416" s="1" t="s">
        <v>0</v>
      </c>
      <c r="I9416" s="2">
        <v>0</v>
      </c>
      <c r="J9416" s="1">
        <v>45901.263541666667</v>
      </c>
    </row>
    <row r="9417" spans="1:10" x14ac:dyDescent="0.2">
      <c r="A9417" s="4" t="s">
        <v>1</v>
      </c>
      <c r="B9417" s="3" t="str">
        <f>HYPERLINK("https://otsuka-europe-crm.veevavault.com/ui/#object/approved_document__v/V5OZ025E82QPECB", "Invitación IX Jornada UHB 2025")</f>
        <v>Invitación IX Jornada UHB 2025</v>
      </c>
      <c r="C9417" s="3" t="str">
        <f>HYPERLINK("https://otsuka-europe-crm.veevavault.com/ui/#object/sent_email__v/VBLZ025E82GBFZT", "SE-000254902")</f>
        <v>SE-000254902</v>
      </c>
      <c r="D9417" s="1">
        <v>45901.777581018519</v>
      </c>
      <c r="E9417" s="2">
        <v>1</v>
      </c>
      <c r="F9417" s="2">
        <v>1</v>
      </c>
      <c r="G9417" s="2">
        <v>1</v>
      </c>
      <c r="H9417" s="1">
        <v>45901.777581018519</v>
      </c>
      <c r="I9417" s="2">
        <v>1</v>
      </c>
      <c r="J9417" s="1">
        <v>45901.349386574075</v>
      </c>
    </row>
    <row r="9418" spans="1:10" x14ac:dyDescent="0.2">
      <c r="A9418" s="4" t="s">
        <v>1</v>
      </c>
      <c r="B9418" s="3" t="str">
        <f>HYPERLINK("https://otsuka-europe-crm.veevavault.com/ui/#object/approved_document__v/V5OZ025E82QPECB", "Invitación IX Jornada UHB 2025")</f>
        <v>Invitación IX Jornada UHB 2025</v>
      </c>
      <c r="C9418" s="3" t="str">
        <f>HYPERLINK("https://otsuka-europe-crm.veevavault.com/ui/#object/sent_email__v/VBLZ025E82GCNCX", "SE-000254941")</f>
        <v>SE-000254941</v>
      </c>
      <c r="D9418" s="1" t="s">
        <v>0</v>
      </c>
      <c r="E9418" s="2">
        <v>0</v>
      </c>
      <c r="F9418" s="2">
        <v>0</v>
      </c>
      <c r="G9418" s="2">
        <v>0</v>
      </c>
      <c r="H9418" s="1" t="s">
        <v>0</v>
      </c>
      <c r="I9418" s="2">
        <v>0</v>
      </c>
      <c r="J9418" s="1">
        <v>45902.409270833334</v>
      </c>
    </row>
    <row r="9419" spans="1:10" x14ac:dyDescent="0.2">
      <c r="A9419" s="4" t="s">
        <v>1</v>
      </c>
      <c r="B9419" s="3" t="str">
        <f>HYPERLINK("https://otsuka-europe-crm.veevavault.com/ui/#object/approved_document__v/V5OZ025E82QPECB", "Invitación IX Jornada UHB 2025")</f>
        <v>Invitación IX Jornada UHB 2025</v>
      </c>
      <c r="C9419" s="3" t="str">
        <f>HYPERLINK("https://otsuka-europe-crm.veevavault.com/ui/#object/sent_email__v/VBLZ025E82GCNCY", "SE-000254942")</f>
        <v>SE-000254942</v>
      </c>
      <c r="D9419" s="1">
        <v>45902.668252314812</v>
      </c>
      <c r="E9419" s="2">
        <v>1</v>
      </c>
      <c r="F9419" s="2">
        <v>4</v>
      </c>
      <c r="G9419" s="2">
        <v>0</v>
      </c>
      <c r="H9419" s="1" t="s">
        <v>0</v>
      </c>
      <c r="I9419" s="2">
        <v>0</v>
      </c>
      <c r="J9419" s="1">
        <v>45902.409259259257</v>
      </c>
    </row>
    <row r="9420" spans="1:10" x14ac:dyDescent="0.2">
      <c r="A9420" s="4" t="s">
        <v>1</v>
      </c>
      <c r="B9420" s="3" t="str">
        <f>HYPERLINK("https://otsuka-europe-crm.veevavault.com/ui/#object/approved_document__v/V5OZ025E82QPECB", "Invitación IX Jornada UHB 2025")</f>
        <v>Invitación IX Jornada UHB 2025</v>
      </c>
      <c r="C9420" s="3" t="str">
        <f>HYPERLINK("https://otsuka-europe-crm.veevavault.com/ui/#object/sent_email__v/VBLZ025E82GCNCZ", "SE-000254943")</f>
        <v>SE-000254943</v>
      </c>
      <c r="D9420" s="1" t="s">
        <v>0</v>
      </c>
      <c r="E9420" s="2">
        <v>0</v>
      </c>
      <c r="F9420" s="2">
        <v>0</v>
      </c>
      <c r="G9420" s="2">
        <v>0</v>
      </c>
      <c r="H9420" s="1" t="s">
        <v>0</v>
      </c>
      <c r="I9420" s="2">
        <v>0</v>
      </c>
      <c r="J9420" s="1">
        <v>45902.409247685187</v>
      </c>
    </row>
    <row r="9421" spans="1:10" x14ac:dyDescent="0.2">
      <c r="A9421" s="4" t="s">
        <v>1</v>
      </c>
      <c r="B9421" s="3" t="str">
        <f>HYPERLINK("https://otsuka-europe-crm.veevavault.com/ui/#object/approved_document__v/V5OZ025E82QPECB", "Invitación IX Jornada UHB 2025")</f>
        <v>Invitación IX Jornada UHB 2025</v>
      </c>
      <c r="C9421" s="3" t="str">
        <f>HYPERLINK("https://otsuka-europe-crm.veevavault.com/ui/#object/sent_email__v/VBLZ025E82GCND0", "SE-000254944")</f>
        <v>SE-000254944</v>
      </c>
      <c r="D9421" s="1" t="s">
        <v>0</v>
      </c>
      <c r="E9421" s="2">
        <v>0</v>
      </c>
      <c r="F9421" s="2">
        <v>0</v>
      </c>
      <c r="G9421" s="2">
        <v>0</v>
      </c>
      <c r="H9421" s="1" t="s">
        <v>0</v>
      </c>
      <c r="I9421" s="2">
        <v>0</v>
      </c>
      <c r="J9421" s="1">
        <v>45902.409259259257</v>
      </c>
    </row>
    <row r="9422" spans="1:10" x14ac:dyDescent="0.2">
      <c r="A9422" s="4" t="s">
        <v>1</v>
      </c>
      <c r="B9422" s="3" t="str">
        <f>HYPERLINK("https://otsuka-europe-crm.veevavault.com/ui/#object/approved_document__v/V5OZ025E82QPECB", "Invitación IX Jornada UHB 2025")</f>
        <v>Invitación IX Jornada UHB 2025</v>
      </c>
      <c r="C9422" s="3" t="str">
        <f>HYPERLINK("https://otsuka-europe-crm.veevavault.com/ui/#object/sent_email__v/VBLZ025E82GCND1", "SE-000254945")</f>
        <v>SE-000254945</v>
      </c>
      <c r="D9422" s="1" t="s">
        <v>0</v>
      </c>
      <c r="E9422" s="2">
        <v>0</v>
      </c>
      <c r="F9422" s="2">
        <v>0</v>
      </c>
      <c r="G9422" s="2">
        <v>0</v>
      </c>
      <c r="H9422" s="1" t="s">
        <v>0</v>
      </c>
      <c r="I9422" s="2">
        <v>0</v>
      </c>
      <c r="J9422" s="1">
        <v>45902.409270833334</v>
      </c>
    </row>
    <row r="9423" spans="1:10" x14ac:dyDescent="0.2">
      <c r="A9423" s="4" t="s">
        <v>1</v>
      </c>
      <c r="B9423" s="3" t="str">
        <f>HYPERLINK("https://otsuka-europe-crm.veevavault.com/ui/#object/approved_document__v/V5OZ025E82QPECB", "Invitación IX Jornada UHB 2025")</f>
        <v>Invitación IX Jornada UHB 2025</v>
      </c>
      <c r="C9423" s="3" t="str">
        <f>HYPERLINK("https://otsuka-europe-crm.veevavault.com/ui/#object/sent_email__v/VBLZ025E82GCND2", "SE-000254946")</f>
        <v>SE-000254946</v>
      </c>
      <c r="D9423" s="1">
        <v>45902.429236111115</v>
      </c>
      <c r="E9423" s="2">
        <v>1</v>
      </c>
      <c r="F9423" s="2">
        <v>1</v>
      </c>
      <c r="G9423" s="2">
        <v>1</v>
      </c>
      <c r="H9423" s="1">
        <v>45902.429236111115</v>
      </c>
      <c r="I9423" s="2">
        <v>1</v>
      </c>
      <c r="J9423" s="1">
        <v>45902.409259259257</v>
      </c>
    </row>
    <row r="9424" spans="1:10" x14ac:dyDescent="0.2">
      <c r="A9424" s="4" t="s">
        <v>1</v>
      </c>
      <c r="B9424" s="3" t="str">
        <f>HYPERLINK("https://otsuka-europe-crm.veevavault.com/ui/#object/approved_document__v/V5OZ025E82QPECB", "Invitación IX Jornada UHB 2025")</f>
        <v>Invitación IX Jornada UHB 2025</v>
      </c>
      <c r="C9424" s="3" t="str">
        <f>HYPERLINK("https://otsuka-europe-crm.veevavault.com/ui/#object/sent_email__v/VBLZ025E82GCNTL", "SE-000254947")</f>
        <v>SE-000254947</v>
      </c>
      <c r="D9424" s="1" t="s">
        <v>0</v>
      </c>
      <c r="E9424" s="2">
        <v>0</v>
      </c>
      <c r="F9424" s="2">
        <v>0</v>
      </c>
      <c r="G9424" s="2">
        <v>0</v>
      </c>
      <c r="H9424" s="1" t="s">
        <v>0</v>
      </c>
      <c r="I9424" s="2">
        <v>0</v>
      </c>
      <c r="J9424" s="1">
        <v>45902.411041666666</v>
      </c>
    </row>
    <row r="9425" spans="1:10" x14ac:dyDescent="0.2">
      <c r="A9425" s="4" t="s">
        <v>1</v>
      </c>
      <c r="B9425" s="3" t="str">
        <f>HYPERLINK("https://otsuka-europe-crm.veevavault.com/ui/#object/approved_document__v/V5OZ025E82QPECB", "Invitación IX Jornada UHB 2025")</f>
        <v>Invitación IX Jornada UHB 2025</v>
      </c>
      <c r="C9425" s="3" t="str">
        <f>HYPERLINK("https://otsuka-europe-crm.veevavault.com/ui/#object/sent_email__v/VBLZ025E82GCNTM", "SE-000254948")</f>
        <v>SE-000254948</v>
      </c>
      <c r="D9425" s="1" t="s">
        <v>0</v>
      </c>
      <c r="E9425" s="2">
        <v>0</v>
      </c>
      <c r="F9425" s="2">
        <v>0</v>
      </c>
      <c r="G9425" s="2">
        <v>0</v>
      </c>
      <c r="H9425" s="1" t="s">
        <v>0</v>
      </c>
      <c r="I9425" s="2">
        <v>0</v>
      </c>
      <c r="J9425" s="1">
        <v>45902.411041666666</v>
      </c>
    </row>
    <row r="9426" spans="1:10" x14ac:dyDescent="0.2">
      <c r="A9426" s="4" t="s">
        <v>1</v>
      </c>
      <c r="B9426" s="3" t="str">
        <f>HYPERLINK("https://otsuka-europe-crm.veevavault.com/ui/#object/approved_document__v/V5OZ025E82QPECB", "Invitación IX Jornada UHB 2025")</f>
        <v>Invitación IX Jornada UHB 2025</v>
      </c>
      <c r="C9426" s="3" t="str">
        <f>HYPERLINK("https://otsuka-europe-crm.veevavault.com/ui/#object/sent_email__v/VBLZ025E82GCNTN", "SE-000254949")</f>
        <v>SE-000254949</v>
      </c>
      <c r="D9426" s="1">
        <v>45903.6721412037</v>
      </c>
      <c r="E9426" s="2">
        <v>1</v>
      </c>
      <c r="F9426" s="2">
        <v>2</v>
      </c>
      <c r="G9426" s="2">
        <v>0</v>
      </c>
      <c r="H9426" s="1" t="s">
        <v>0</v>
      </c>
      <c r="I9426" s="2">
        <v>0</v>
      </c>
      <c r="J9426" s="1">
        <v>45902.411076388889</v>
      </c>
    </row>
    <row r="9427" spans="1:10" x14ac:dyDescent="0.2">
      <c r="A9427" s="4" t="s">
        <v>1</v>
      </c>
      <c r="B9427" s="3" t="str">
        <f>HYPERLINK("https://otsuka-europe-crm.veevavault.com/ui/#object/approved_document__v/V5OZ025E82QPECB", "Invitación IX Jornada UHB 2025")</f>
        <v>Invitación IX Jornada UHB 2025</v>
      </c>
      <c r="C9427" s="3" t="str">
        <f>HYPERLINK("https://otsuka-europe-crm.veevavault.com/ui/#object/sent_email__v/VBLZ025E82GCNTO", "SE-000254950")</f>
        <v>SE-000254950</v>
      </c>
      <c r="D9427" s="1" t="s">
        <v>0</v>
      </c>
      <c r="E9427" s="2">
        <v>0</v>
      </c>
      <c r="F9427" s="2">
        <v>0</v>
      </c>
      <c r="G9427" s="2">
        <v>0</v>
      </c>
      <c r="H9427" s="1" t="s">
        <v>0</v>
      </c>
      <c r="I9427" s="2">
        <v>0</v>
      </c>
      <c r="J9427" s="1">
        <v>45902.411076388889</v>
      </c>
    </row>
    <row r="9428" spans="1:10" x14ac:dyDescent="0.2">
      <c r="A9428" s="4" t="s">
        <v>1</v>
      </c>
      <c r="B9428" s="3" t="str">
        <f>HYPERLINK("https://otsuka-europe-crm.veevavault.com/ui/#object/approved_document__v/V5OZ025E82QPECB", "Invitación IX Jornada UHB 2025")</f>
        <v>Invitación IX Jornada UHB 2025</v>
      </c>
      <c r="C9428" s="3" t="str">
        <f>HYPERLINK("https://otsuka-europe-crm.veevavault.com/ui/#object/sent_email__v/VBLZ025E82GCNTP", "SE-000254951")</f>
        <v>SE-000254951</v>
      </c>
      <c r="D9428" s="1">
        <v>45902.423055555555</v>
      </c>
      <c r="E9428" s="2">
        <v>1</v>
      </c>
      <c r="F9428" s="2">
        <v>1</v>
      </c>
      <c r="G9428" s="2">
        <v>0</v>
      </c>
      <c r="H9428" s="1" t="s">
        <v>0</v>
      </c>
      <c r="I9428" s="2">
        <v>0</v>
      </c>
      <c r="J9428" s="1">
        <v>45902.411053240743</v>
      </c>
    </row>
    <row r="9429" spans="1:10" x14ac:dyDescent="0.2">
      <c r="A9429" s="4" t="s">
        <v>1</v>
      </c>
      <c r="B9429" s="3" t="str">
        <f>HYPERLINK("https://otsuka-europe-crm.veevavault.com/ui/#object/approved_document__v/V5OZ025E82QPECB", "Invitación IX Jornada UHB 2025")</f>
        <v>Invitación IX Jornada UHB 2025</v>
      </c>
      <c r="C9429" s="3" t="str">
        <f>HYPERLINK("https://otsuka-europe-crm.veevavault.com/ui/#object/sent_email__v/VBLZ025E82GCNTQ", "SE-000254952")</f>
        <v>SE-000254952</v>
      </c>
      <c r="D9429" s="1" t="s">
        <v>0</v>
      </c>
      <c r="E9429" s="2">
        <v>0</v>
      </c>
      <c r="F9429" s="2">
        <v>0</v>
      </c>
      <c r="G9429" s="2">
        <v>0</v>
      </c>
      <c r="H9429" s="1" t="s">
        <v>0</v>
      </c>
      <c r="I9429" s="2">
        <v>0</v>
      </c>
      <c r="J9429" s="1">
        <v>45902.411041666666</v>
      </c>
    </row>
    <row r="9430" spans="1:10" x14ac:dyDescent="0.2">
      <c r="A9430" s="4" t="s">
        <v>1</v>
      </c>
      <c r="B9430" s="3" t="str">
        <f>HYPERLINK("https://otsuka-europe-crm.veevavault.com/ui/#object/approved_document__v/V5OZ025E82QPECB", "Invitación IX Jornada UHB 2025")</f>
        <v>Invitación IX Jornada UHB 2025</v>
      </c>
      <c r="C9430" s="3" t="str">
        <f>HYPERLINK("https://otsuka-europe-crm.veevavault.com/ui/#object/sent_email__v/VBLZ025E82GCNTR", "SE-000254953")</f>
        <v>SE-000254953</v>
      </c>
      <c r="D9430" s="1">
        <v>45902.549479166664</v>
      </c>
      <c r="E9430" s="2">
        <v>1</v>
      </c>
      <c r="F9430" s="2">
        <v>2</v>
      </c>
      <c r="G9430" s="2">
        <v>0</v>
      </c>
      <c r="H9430" s="1" t="s">
        <v>0</v>
      </c>
      <c r="I9430" s="2">
        <v>0</v>
      </c>
      <c r="J9430" s="1">
        <v>45902.411053240743</v>
      </c>
    </row>
    <row r="9431" spans="1:10" x14ac:dyDescent="0.2">
      <c r="A9431" s="4" t="s">
        <v>1</v>
      </c>
      <c r="B9431" s="3" t="str">
        <f>HYPERLINK("https://otsuka-europe-crm.veevavault.com/ui/#object/approved_document__v/V5OZ025E82QPECB", "Invitación IX Jornada UHB 2025")</f>
        <v>Invitación IX Jornada UHB 2025</v>
      </c>
      <c r="C9431" s="3" t="str">
        <f>HYPERLINK("https://otsuka-europe-crm.veevavault.com/ui/#object/sent_email__v/VBLZ025E82GCNTS", "SE-000254954")</f>
        <v>SE-000254954</v>
      </c>
      <c r="D9431" s="1">
        <v>45903.064293981479</v>
      </c>
      <c r="E9431" s="2">
        <v>1</v>
      </c>
      <c r="F9431" s="2">
        <v>4</v>
      </c>
      <c r="G9431" s="2">
        <v>0</v>
      </c>
      <c r="H9431" s="1" t="s">
        <v>0</v>
      </c>
      <c r="I9431" s="2">
        <v>0</v>
      </c>
      <c r="J9431" s="1">
        <v>45902.411030092589</v>
      </c>
    </row>
    <row r="9432" spans="1:10" x14ac:dyDescent="0.2">
      <c r="A9432" s="4" t="s">
        <v>1</v>
      </c>
      <c r="B9432" s="3" t="str">
        <f>HYPERLINK("https://otsuka-europe-crm.veevavault.com/ui/#object/approved_document__v/V5OZ025E82QPECB", "Invitación IX Jornada UHB 2025")</f>
        <v>Invitación IX Jornada UHB 2025</v>
      </c>
      <c r="C9432" s="3" t="str">
        <f>HYPERLINK("https://otsuka-europe-crm.veevavault.com/ui/#object/sent_email__v/VBLZ025E82GCP21", "SE-000254956")</f>
        <v>SE-000254956</v>
      </c>
      <c r="D9432" s="1">
        <v>45902.853831018518</v>
      </c>
      <c r="E9432" s="2">
        <v>1</v>
      </c>
      <c r="F9432" s="2">
        <v>2</v>
      </c>
      <c r="G9432" s="2">
        <v>0</v>
      </c>
      <c r="H9432" s="1" t="s">
        <v>0</v>
      </c>
      <c r="I9432" s="2">
        <v>0</v>
      </c>
      <c r="J9432" s="1">
        <v>45902.420335648145</v>
      </c>
    </row>
    <row r="9433" spans="1:10" x14ac:dyDescent="0.2">
      <c r="A9433" s="4" t="s">
        <v>1</v>
      </c>
      <c r="B9433" s="3" t="str">
        <f>HYPERLINK("https://otsuka-europe-crm.veevavault.com/ui/#object/approved_document__v/V5OZ025E82QPECB", "Invitación IX Jornada UHB 2025")</f>
        <v>Invitación IX Jornada UHB 2025</v>
      </c>
      <c r="C9433" s="3" t="str">
        <f>HYPERLINK("https://otsuka-europe-crm.veevavault.com/ui/#object/sent_email__v/VBLZ025E82GCP22", "SE-000254957")</f>
        <v>SE-000254957</v>
      </c>
      <c r="D9433" s="1" t="s">
        <v>0</v>
      </c>
      <c r="E9433" s="2">
        <v>0</v>
      </c>
      <c r="F9433" s="2">
        <v>0</v>
      </c>
      <c r="G9433" s="2">
        <v>0</v>
      </c>
      <c r="H9433" s="1" t="s">
        <v>0</v>
      </c>
      <c r="I9433" s="2">
        <v>0</v>
      </c>
      <c r="J9433" s="1">
        <v>45902.420335648145</v>
      </c>
    </row>
    <row r="9434" spans="1:10" x14ac:dyDescent="0.2">
      <c r="A9434" s="4" t="s">
        <v>1</v>
      </c>
      <c r="B9434" s="3" t="str">
        <f>HYPERLINK("https://otsuka-europe-crm.veevavault.com/ui/#object/approved_document__v/V5OZ025E82QPECB", "Invitación IX Jornada UHB 2025")</f>
        <v>Invitación IX Jornada UHB 2025</v>
      </c>
      <c r="C9434" s="3" t="str">
        <f>HYPERLINK("https://otsuka-europe-crm.veevavault.com/ui/#object/sent_email__v/VBLZ025E82GCP23", "SE-000254958")</f>
        <v>SE-000254958</v>
      </c>
      <c r="D9434" s="1" t="s">
        <v>0</v>
      </c>
      <c r="E9434" s="2">
        <v>0</v>
      </c>
      <c r="F9434" s="2">
        <v>0</v>
      </c>
      <c r="G9434" s="2">
        <v>0</v>
      </c>
      <c r="H9434" s="1" t="s">
        <v>0</v>
      </c>
      <c r="I9434" s="2">
        <v>0</v>
      </c>
      <c r="J9434" s="1">
        <v>45902.420370370368</v>
      </c>
    </row>
    <row r="9435" spans="1:10" x14ac:dyDescent="0.2">
      <c r="A9435" s="4" t="s">
        <v>1</v>
      </c>
      <c r="B9435" s="3" t="str">
        <f>HYPERLINK("https://otsuka-europe-crm.veevavault.com/ui/#object/approved_document__v/V5OZ025E82QPECB", "Invitación IX Jornada UHB 2025")</f>
        <v>Invitación IX Jornada UHB 2025</v>
      </c>
      <c r="C9435" s="3" t="str">
        <f>HYPERLINK("https://otsuka-europe-crm.veevavault.com/ui/#object/sent_email__v/VBLZ025E82GCR51", "SE-000254961")</f>
        <v>SE-000254961</v>
      </c>
      <c r="D9435" s="1" t="s">
        <v>0</v>
      </c>
      <c r="E9435" s="2">
        <v>0</v>
      </c>
      <c r="F9435" s="2">
        <v>0</v>
      </c>
      <c r="G9435" s="2">
        <v>0</v>
      </c>
      <c r="H9435" s="1" t="s">
        <v>0</v>
      </c>
      <c r="I9435" s="2">
        <v>0</v>
      </c>
      <c r="J9435" s="1">
        <v>45902.431712962964</v>
      </c>
    </row>
    <row r="9436" spans="1:10" x14ac:dyDescent="0.2">
      <c r="A9436" s="4" t="s">
        <v>1</v>
      </c>
      <c r="B9436" s="3" t="str">
        <f>HYPERLINK("https://otsuka-europe-crm.veevavault.com/ui/#object/approved_document__v/V5OZ025E82QPECB", "Invitación IX Jornada UHB 2025")</f>
        <v>Invitación IX Jornada UHB 2025</v>
      </c>
      <c r="C9436" s="3" t="str">
        <f>HYPERLINK("https://otsuka-europe-crm.veevavault.com/ui/#object/sent_email__v/VBLZ025E82GDYNP", "SE-000255200")</f>
        <v>SE-000255200</v>
      </c>
      <c r="D9436" s="1">
        <v>45903.587002314816</v>
      </c>
      <c r="E9436" s="2">
        <v>1</v>
      </c>
      <c r="F9436" s="2">
        <v>4</v>
      </c>
      <c r="G9436" s="2">
        <v>1</v>
      </c>
      <c r="H9436" s="1">
        <v>45903.587071759262</v>
      </c>
      <c r="I9436" s="2">
        <v>2</v>
      </c>
      <c r="J9436" s="1">
        <v>45903.466064814813</v>
      </c>
    </row>
    <row r="9437" spans="1:10" x14ac:dyDescent="0.2">
      <c r="A9437" s="4" t="s">
        <v>1</v>
      </c>
      <c r="B9437" s="3" t="str">
        <f>HYPERLINK("https://otsuka-europe-crm.veevavault.com/ui/#object/approved_document__v/V5OZ025E82QPECB", "Invitación IX Jornada UHB 2025")</f>
        <v>Invitación IX Jornada UHB 2025</v>
      </c>
      <c r="C9437" s="3" t="str">
        <f>HYPERLINK("https://otsuka-europe-crm.veevavault.com/ui/#object/sent_email__v/VBLZ025E82GE37L", "SE-000255202")</f>
        <v>SE-000255202</v>
      </c>
      <c r="D9437" s="1">
        <v>45916.341122685182</v>
      </c>
      <c r="E9437" s="2">
        <v>1</v>
      </c>
      <c r="F9437" s="2">
        <v>10</v>
      </c>
      <c r="G9437" s="2">
        <v>1</v>
      </c>
      <c r="H9437" s="1">
        <v>45915.527187500003</v>
      </c>
      <c r="I9437" s="2">
        <v>11</v>
      </c>
      <c r="J9437" s="1">
        <v>45903.519293981481</v>
      </c>
    </row>
    <row r="9438" spans="1:10" x14ac:dyDescent="0.2">
      <c r="A9438" s="4" t="s">
        <v>1</v>
      </c>
      <c r="B9438" s="3" t="str">
        <f>HYPERLINK("https://otsuka-europe-crm.veevavault.com/ui/#object/approved_document__v/V5OZ025E82QPECB", "Invitación IX Jornada UHB 2025")</f>
        <v>Invitación IX Jornada UHB 2025</v>
      </c>
      <c r="C9438" s="3" t="str">
        <f>HYPERLINK("https://otsuka-europe-crm.veevavault.com/ui/#object/sent_email__v/VBLZ025E82GE3FX", "SE-000255204")</f>
        <v>SE-000255204</v>
      </c>
      <c r="D9438" s="1">
        <v>45910.721550925926</v>
      </c>
      <c r="E9438" s="2">
        <v>1</v>
      </c>
      <c r="F9438" s="2">
        <v>9</v>
      </c>
      <c r="G9438" s="2">
        <v>0</v>
      </c>
      <c r="H9438" s="1" t="s">
        <v>0</v>
      </c>
      <c r="I9438" s="2">
        <v>0</v>
      </c>
      <c r="J9438" s="1">
        <v>45903.520046296297</v>
      </c>
    </row>
    <row r="9439" spans="1:10" x14ac:dyDescent="0.2">
      <c r="A9439" s="4" t="s">
        <v>1</v>
      </c>
      <c r="B9439" s="3" t="str">
        <f>HYPERLINK("https://otsuka-europe-crm.veevavault.com/ui/#object/approved_document__v/V5OZ025E82QPECB", "Invitación IX Jornada UHB 2025")</f>
        <v>Invitación IX Jornada UHB 2025</v>
      </c>
      <c r="C9439" s="3" t="str">
        <f>HYPERLINK("https://otsuka-europe-crm.veevavault.com/ui/#object/sent_email__v/VBLZ025E82GE3IP", "SE-000255205")</f>
        <v>SE-000255205</v>
      </c>
      <c r="D9439" s="1">
        <v>45906.800497685188</v>
      </c>
      <c r="E9439" s="2">
        <v>1</v>
      </c>
      <c r="F9439" s="2">
        <v>1</v>
      </c>
      <c r="G9439" s="2">
        <v>0</v>
      </c>
      <c r="H9439" s="1" t="s">
        <v>0</v>
      </c>
      <c r="I9439" s="2">
        <v>0</v>
      </c>
      <c r="J9439" s="1">
        <v>45903.520682870374</v>
      </c>
    </row>
    <row r="9440" spans="1:10" x14ac:dyDescent="0.2">
      <c r="A9440" s="4" t="s">
        <v>1</v>
      </c>
      <c r="B9440" s="3" t="str">
        <f>HYPERLINK("https://otsuka-europe-crm.veevavault.com/ui/#object/approved_document__v/V5OZ025E82QPECB", "Invitación IX Jornada UHB 2025")</f>
        <v>Invitación IX Jornada UHB 2025</v>
      </c>
      <c r="C9440" s="3" t="str">
        <f>HYPERLINK("https://otsuka-europe-crm.veevavault.com/ui/#object/sent_email__v/VBLZ025E82GE2ZA", "SE-000255207")</f>
        <v>SE-000255207</v>
      </c>
      <c r="D9440" s="1" t="s">
        <v>0</v>
      </c>
      <c r="E9440" s="2">
        <v>0</v>
      </c>
      <c r="F9440" s="2">
        <v>0</v>
      </c>
      <c r="G9440" s="2">
        <v>0</v>
      </c>
      <c r="H9440" s="1" t="s">
        <v>0</v>
      </c>
      <c r="I9440" s="2">
        <v>0</v>
      </c>
      <c r="J9440" s="1">
        <v>45903.520937499998</v>
      </c>
    </row>
    <row r="9441" spans="1:10" x14ac:dyDescent="0.2">
      <c r="A9441" s="4" t="s">
        <v>1</v>
      </c>
      <c r="B9441" s="3" t="str">
        <f>HYPERLINK("https://otsuka-europe-crm.veevavault.com/ui/#object/approved_document__v/V5OZ025E82QPECB", "Invitación IX Jornada UHB 2025")</f>
        <v>Invitación IX Jornada UHB 2025</v>
      </c>
      <c r="C9441" s="3" t="str">
        <f>HYPERLINK("https://otsuka-europe-crm.veevavault.com/ui/#object/sent_email__v/VBLZ025E82GEUG5", "SE-000255248")</f>
        <v>SE-000255248</v>
      </c>
      <c r="D9441" s="1">
        <v>45906.295370370368</v>
      </c>
      <c r="E9441" s="2">
        <v>1</v>
      </c>
      <c r="F9441" s="2">
        <v>2</v>
      </c>
      <c r="G9441" s="2">
        <v>1</v>
      </c>
      <c r="H9441" s="1">
        <v>45906.295532407406</v>
      </c>
      <c r="I9441" s="2">
        <v>1</v>
      </c>
      <c r="J9441" s="1">
        <v>45904.374351851853</v>
      </c>
    </row>
    <row r="9442" spans="1:10" x14ac:dyDescent="0.2">
      <c r="A9442" s="4" t="s">
        <v>1</v>
      </c>
      <c r="B9442" s="3" t="str">
        <f>HYPERLINK("https://otsuka-europe-crm.veevavault.com/ui/#object/approved_document__v/V5OZ025E82QPECB", "Invitación IX Jornada UHB 2025")</f>
        <v>Invitación IX Jornada UHB 2025</v>
      </c>
      <c r="C9442" s="3" t="str">
        <f>HYPERLINK("https://otsuka-europe-crm.veevavault.com/ui/#object/sent_email__v/VBLZ025E82GEUG6", "SE-000255249")</f>
        <v>SE-000255249</v>
      </c>
      <c r="D9442" s="1">
        <v>45904.58693287037</v>
      </c>
      <c r="E9442" s="2">
        <v>1</v>
      </c>
      <c r="F9442" s="2">
        <v>1</v>
      </c>
      <c r="G9442" s="2">
        <v>0</v>
      </c>
      <c r="H9442" s="1" t="s">
        <v>0</v>
      </c>
      <c r="I9442" s="2">
        <v>0</v>
      </c>
      <c r="J9442" s="1">
        <v>45904.374351851853</v>
      </c>
    </row>
    <row r="9443" spans="1:10" x14ac:dyDescent="0.2">
      <c r="A9443" s="4" t="s">
        <v>1</v>
      </c>
      <c r="B9443" s="3" t="str">
        <f>HYPERLINK("https://otsuka-europe-crm.veevavault.com/ui/#object/approved_document__v/V5OZ025E82QPECB", "Invitación IX Jornada UHB 2025")</f>
        <v>Invitación IX Jornada UHB 2025</v>
      </c>
      <c r="C9443" s="3" t="str">
        <f>HYPERLINK("https://otsuka-europe-crm.veevavault.com/ui/#object/sent_email__v/VBLZ025E82GEUG7", "SE-000255250")</f>
        <v>SE-000255250</v>
      </c>
      <c r="D9443" s="1">
        <v>45904.484259259261</v>
      </c>
      <c r="E9443" s="2">
        <v>1</v>
      </c>
      <c r="F9443" s="2">
        <v>2</v>
      </c>
      <c r="G9443" s="2">
        <v>0</v>
      </c>
      <c r="H9443" s="1" t="s">
        <v>0</v>
      </c>
      <c r="I9443" s="2">
        <v>0</v>
      </c>
      <c r="J9443" s="1">
        <v>45904.374351851853</v>
      </c>
    </row>
    <row r="9444" spans="1:10" x14ac:dyDescent="0.2">
      <c r="A9444" s="4" t="s">
        <v>1</v>
      </c>
      <c r="B9444" s="3" t="str">
        <f>HYPERLINK("https://otsuka-europe-crm.veevavault.com/ui/#object/approved_document__v/V5OZ025E82QPECB", "Invitación IX Jornada UHB 2025")</f>
        <v>Invitación IX Jornada UHB 2025</v>
      </c>
      <c r="C9444" s="3" t="str">
        <f>HYPERLINK("https://otsuka-europe-crm.veevavault.com/ui/#object/sent_email__v/VBLZ025E82GEUG8", "SE-000255251")</f>
        <v>SE-000255251</v>
      </c>
      <c r="D9444" s="1" t="s">
        <v>0</v>
      </c>
      <c r="E9444" s="2">
        <v>0</v>
      </c>
      <c r="F9444" s="2">
        <v>0</v>
      </c>
      <c r="G9444" s="2">
        <v>0</v>
      </c>
      <c r="H9444" s="1" t="s">
        <v>0</v>
      </c>
      <c r="I9444" s="2">
        <v>0</v>
      </c>
      <c r="J9444" s="1">
        <v>45904.374363425923</v>
      </c>
    </row>
    <row r="9445" spans="1:10" x14ac:dyDescent="0.2">
      <c r="A9445" s="4" t="s">
        <v>1</v>
      </c>
      <c r="B9445" s="3" t="str">
        <f>HYPERLINK("https://otsuka-europe-crm.veevavault.com/ui/#object/approved_document__v/V5OZ025E82QPECB", "Invitación IX Jornada UHB 2025")</f>
        <v>Invitación IX Jornada UHB 2025</v>
      </c>
      <c r="C9445" s="3" t="str">
        <f>HYPERLINK("https://otsuka-europe-crm.veevavault.com/ui/#object/sent_email__v/VBLZ025E82GEUG9", "SE-000255252")</f>
        <v>SE-000255252</v>
      </c>
      <c r="D9445" s="1">
        <v>45904.377500000002</v>
      </c>
      <c r="E9445" s="2">
        <v>1</v>
      </c>
      <c r="F9445" s="2">
        <v>1</v>
      </c>
      <c r="G9445" s="2">
        <v>1</v>
      </c>
      <c r="H9445" s="1">
        <v>45904.394432870373</v>
      </c>
      <c r="I9445" s="2">
        <v>2</v>
      </c>
      <c r="J9445" s="1">
        <v>45904.374386574076</v>
      </c>
    </row>
    <row r="9446" spans="1:10" x14ac:dyDescent="0.2">
      <c r="A9446" s="4" t="s">
        <v>1</v>
      </c>
      <c r="B9446" s="3" t="str">
        <f>HYPERLINK("https://otsuka-europe-crm.veevavault.com/ui/#object/approved_document__v/V5OZ025E82QPECB", "Invitación IX Jornada UHB 2025")</f>
        <v>Invitación IX Jornada UHB 2025</v>
      </c>
      <c r="C9446" s="3" t="str">
        <f>HYPERLINK("https://otsuka-europe-crm.veevavault.com/ui/#object/sent_email__v/VBLZ025E82GEUGA", "SE-000255253")</f>
        <v>SE-000255253</v>
      </c>
      <c r="D9446" s="1" t="s">
        <v>0</v>
      </c>
      <c r="E9446" s="2">
        <v>0</v>
      </c>
      <c r="F9446" s="2">
        <v>0</v>
      </c>
      <c r="G9446" s="2">
        <v>0</v>
      </c>
      <c r="H9446" s="1" t="s">
        <v>0</v>
      </c>
      <c r="I9446" s="2">
        <v>0</v>
      </c>
      <c r="J9446" s="1">
        <v>45904.374386574076</v>
      </c>
    </row>
    <row r="9447" spans="1:10" x14ac:dyDescent="0.2">
      <c r="A9447" s="4" t="s">
        <v>1</v>
      </c>
      <c r="B9447" s="3" t="str">
        <f>HYPERLINK("https://otsuka-europe-crm.veevavault.com/ui/#object/approved_document__v/V5OZ025E82QPECB", "Invitación IX Jornada UHB 2025")</f>
        <v>Invitación IX Jornada UHB 2025</v>
      </c>
      <c r="C9447" s="3" t="str">
        <f>HYPERLINK("https://otsuka-europe-crm.veevavault.com/ui/#object/sent_email__v/VBLZ025E82GEULP", "SE-000255254")</f>
        <v>SE-000255254</v>
      </c>
      <c r="D9447" s="1">
        <v>45949.619097222225</v>
      </c>
      <c r="E9447" s="2">
        <v>1</v>
      </c>
      <c r="F9447" s="2">
        <v>4</v>
      </c>
      <c r="G9447" s="2">
        <v>1</v>
      </c>
      <c r="H9447" s="1">
        <v>45904.63758101852</v>
      </c>
      <c r="I9447" s="2">
        <v>1</v>
      </c>
      <c r="J9447" s="1">
        <v>45904.375057870369</v>
      </c>
    </row>
    <row r="9448" spans="1:10" x14ac:dyDescent="0.2">
      <c r="A9448" s="4" t="s">
        <v>1</v>
      </c>
      <c r="B9448" s="3" t="str">
        <f>HYPERLINK("https://otsuka-europe-crm.veevavault.com/ui/#object/approved_document__v/V5OZ025E82QPECB", "Invitación IX Jornada UHB 2025")</f>
        <v>Invitación IX Jornada UHB 2025</v>
      </c>
      <c r="C9448" s="3" t="str">
        <f>HYPERLINK("https://otsuka-europe-crm.veevavault.com/ui/#object/sent_email__v/VBLZ025E82GEULQ", "SE-000255255")</f>
        <v>SE-000255255</v>
      </c>
      <c r="D9448" s="1" t="s">
        <v>0</v>
      </c>
      <c r="E9448" s="2">
        <v>0</v>
      </c>
      <c r="F9448" s="2">
        <v>0</v>
      </c>
      <c r="G9448" s="2">
        <v>0</v>
      </c>
      <c r="H9448" s="1" t="s">
        <v>0</v>
      </c>
      <c r="I9448" s="2">
        <v>0</v>
      </c>
      <c r="J9448" s="1">
        <v>45904.375057870369</v>
      </c>
    </row>
    <row r="9449" spans="1:10" x14ac:dyDescent="0.2">
      <c r="A9449" s="4" t="s">
        <v>1</v>
      </c>
      <c r="B9449" s="3" t="str">
        <f>HYPERLINK("https://otsuka-europe-crm.veevavault.com/ui/#object/approved_document__v/V5OZ025E82QPECB", "Invitación IX Jornada UHB 2025")</f>
        <v>Invitación IX Jornada UHB 2025</v>
      </c>
      <c r="C9449" s="3" t="str">
        <f>HYPERLINK("https://otsuka-europe-crm.veevavault.com/ui/#object/sent_email__v/VBLZ025E82GEULR", "SE-000255256")</f>
        <v>SE-000255256</v>
      </c>
      <c r="D9449" s="1" t="s">
        <v>0</v>
      </c>
      <c r="E9449" s="2">
        <v>0</v>
      </c>
      <c r="F9449" s="2">
        <v>0</v>
      </c>
      <c r="G9449" s="2">
        <v>0</v>
      </c>
      <c r="H9449" s="1" t="s">
        <v>0</v>
      </c>
      <c r="I9449" s="2">
        <v>0</v>
      </c>
      <c r="J9449" s="1">
        <v>45904.375057870369</v>
      </c>
    </row>
    <row r="9450" spans="1:10" x14ac:dyDescent="0.2">
      <c r="A9450" s="4" t="s">
        <v>1</v>
      </c>
      <c r="B9450" s="3" t="str">
        <f>HYPERLINK("https://otsuka-europe-crm.veevavault.com/ui/#object/approved_document__v/V5OZ025E82QPECB", "Invitación IX Jornada UHB 2025")</f>
        <v>Invitación IX Jornada UHB 2025</v>
      </c>
      <c r="C9450" s="3" t="str">
        <f>HYPERLINK("https://otsuka-europe-crm.veevavault.com/ui/#object/sent_email__v/VBLZ025E82GEULS", "SE-000255257")</f>
        <v>SE-000255257</v>
      </c>
      <c r="D9450" s="1">
        <v>45909.539942129632</v>
      </c>
      <c r="E9450" s="2">
        <v>1</v>
      </c>
      <c r="F9450" s="2">
        <v>5</v>
      </c>
      <c r="G9450" s="2">
        <v>1</v>
      </c>
      <c r="H9450" s="1">
        <v>45904.705196759256</v>
      </c>
      <c r="I9450" s="2">
        <v>1</v>
      </c>
      <c r="J9450" s="1">
        <v>45904.375057870369</v>
      </c>
    </row>
    <row r="9451" spans="1:10" x14ac:dyDescent="0.2">
      <c r="A9451" s="4" t="s">
        <v>1</v>
      </c>
      <c r="B9451" s="3" t="str">
        <f>HYPERLINK("https://otsuka-europe-crm.veevavault.com/ui/#object/approved_document__v/V5OZ025E82QPECB", "Invitación IX Jornada UHB 2025")</f>
        <v>Invitación IX Jornada UHB 2025</v>
      </c>
      <c r="C9451" s="3" t="str">
        <f>HYPERLINK("https://otsuka-europe-crm.veevavault.com/ui/#object/sent_email__v/VBLZ025E82GEULT", "SE-000255258")</f>
        <v>SE-000255258</v>
      </c>
      <c r="D9451" s="1">
        <v>45904.379351851851</v>
      </c>
      <c r="E9451" s="2">
        <v>1</v>
      </c>
      <c r="F9451" s="2">
        <v>1</v>
      </c>
      <c r="G9451" s="2">
        <v>0</v>
      </c>
      <c r="H9451" s="1" t="s">
        <v>0</v>
      </c>
      <c r="I9451" s="2">
        <v>0</v>
      </c>
      <c r="J9451" s="1">
        <v>45904.375069444446</v>
      </c>
    </row>
    <row r="9452" spans="1:10" x14ac:dyDescent="0.2">
      <c r="A9452" s="4" t="s">
        <v>1</v>
      </c>
      <c r="B9452" s="3" t="str">
        <f>HYPERLINK("https://otsuka-europe-crm.veevavault.com/ui/#object/approved_document__v/V5OZ025E82QPECB", "Invitación IX Jornada UHB 2025")</f>
        <v>Invitación IX Jornada UHB 2025</v>
      </c>
      <c r="C9452" s="3" t="str">
        <f>HYPERLINK("https://otsuka-europe-crm.veevavault.com/ui/#object/sent_email__v/VBLZ025E82GEULU", "SE-000255259")</f>
        <v>SE-000255259</v>
      </c>
      <c r="D9452" s="1" t="s">
        <v>0</v>
      </c>
      <c r="E9452" s="2">
        <v>0</v>
      </c>
      <c r="F9452" s="2">
        <v>0</v>
      </c>
      <c r="G9452" s="2">
        <v>0</v>
      </c>
      <c r="H9452" s="1" t="s">
        <v>0</v>
      </c>
      <c r="I9452" s="2">
        <v>0</v>
      </c>
      <c r="J9452" s="1">
        <v>45904.375081018516</v>
      </c>
    </row>
    <row r="9453" spans="1:10" x14ac:dyDescent="0.2">
      <c r="A9453" s="4" t="s">
        <v>1</v>
      </c>
      <c r="B9453" s="3" t="str">
        <f>HYPERLINK("https://otsuka-europe-crm.veevavault.com/ui/#object/approved_document__v/V5OZ025E82QPECB", "Invitación IX Jornada UHB 2025")</f>
        <v>Invitación IX Jornada UHB 2025</v>
      </c>
      <c r="C9453" s="3" t="str">
        <f>HYPERLINK("https://otsuka-europe-crm.veevavault.com/ui/#object/sent_email__v/VBLZ025E82GEUOH", "SE-000255260")</f>
        <v>SE-000255260</v>
      </c>
      <c r="D9453" s="1" t="s">
        <v>0</v>
      </c>
      <c r="E9453" s="2">
        <v>0</v>
      </c>
      <c r="F9453" s="2">
        <v>0</v>
      </c>
      <c r="G9453" s="2">
        <v>0</v>
      </c>
      <c r="H9453" s="1" t="s">
        <v>0</v>
      </c>
      <c r="I9453" s="2">
        <v>0</v>
      </c>
      <c r="J9453" s="1">
        <v>45904.375891203701</v>
      </c>
    </row>
    <row r="9454" spans="1:10" x14ac:dyDescent="0.2">
      <c r="A9454" s="4" t="s">
        <v>1</v>
      </c>
      <c r="B9454" s="3" t="str">
        <f>HYPERLINK("https://otsuka-europe-crm.veevavault.com/ui/#object/approved_document__v/V5OZ025E82QPECB", "Invitación IX Jornada UHB 2025")</f>
        <v>Invitación IX Jornada UHB 2025</v>
      </c>
      <c r="C9454" s="3" t="str">
        <f>HYPERLINK("https://otsuka-europe-crm.veevavault.com/ui/#object/sent_email__v/VBLZ025E82GEUOI", "SE-000255261")</f>
        <v>SE-000255261</v>
      </c>
      <c r="D9454" s="1" t="s">
        <v>0</v>
      </c>
      <c r="E9454" s="2">
        <v>0</v>
      </c>
      <c r="F9454" s="2">
        <v>0</v>
      </c>
      <c r="G9454" s="2">
        <v>0</v>
      </c>
      <c r="H9454" s="1" t="s">
        <v>0</v>
      </c>
      <c r="I9454" s="2">
        <v>0</v>
      </c>
      <c r="J9454" s="1">
        <v>45904.375891203701</v>
      </c>
    </row>
    <row r="9455" spans="1:10" x14ac:dyDescent="0.2">
      <c r="A9455" s="4" t="s">
        <v>1</v>
      </c>
      <c r="B9455" s="3" t="str">
        <f>HYPERLINK("https://otsuka-europe-crm.veevavault.com/ui/#object/approved_document__v/V5OZ025E82QPECB", "Invitación IX Jornada UHB 2025")</f>
        <v>Invitación IX Jornada UHB 2025</v>
      </c>
      <c r="C9455" s="3" t="str">
        <f>HYPERLINK("https://otsuka-europe-crm.veevavault.com/ui/#object/sent_email__v/VBLZ025E82GEUOJ", "SE-000255262")</f>
        <v>SE-000255262</v>
      </c>
      <c r="D9455" s="1">
        <v>45904.415312500001</v>
      </c>
      <c r="E9455" s="2">
        <v>1</v>
      </c>
      <c r="F9455" s="2">
        <v>1</v>
      </c>
      <c r="G9455" s="2">
        <v>1</v>
      </c>
      <c r="H9455" s="1">
        <v>45904.415312500001</v>
      </c>
      <c r="I9455" s="2">
        <v>1</v>
      </c>
      <c r="J9455" s="1">
        <v>45904.375891203701</v>
      </c>
    </row>
    <row r="9456" spans="1:10" x14ac:dyDescent="0.2">
      <c r="A9456" s="4" t="s">
        <v>1</v>
      </c>
      <c r="B9456" s="3" t="str">
        <f>HYPERLINK("https://otsuka-europe-crm.veevavault.com/ui/#object/approved_document__v/V5OZ025E82QPECB", "Invitación IX Jornada UHB 2025")</f>
        <v>Invitación IX Jornada UHB 2025</v>
      </c>
      <c r="C9456" s="3" t="str">
        <f>HYPERLINK("https://otsuka-europe-crm.veevavault.com/ui/#object/sent_email__v/VBLZ025E82GEUOK", "SE-000255263")</f>
        <v>SE-000255263</v>
      </c>
      <c r="D9456" s="1">
        <v>45904.988796296297</v>
      </c>
      <c r="E9456" s="2">
        <v>1</v>
      </c>
      <c r="F9456" s="2">
        <v>1</v>
      </c>
      <c r="G9456" s="2">
        <v>0</v>
      </c>
      <c r="H9456" s="1" t="s">
        <v>0</v>
      </c>
      <c r="I9456" s="2">
        <v>0</v>
      </c>
      <c r="J9456" s="1">
        <v>45904.375902777778</v>
      </c>
    </row>
    <row r="9457" spans="1:10" x14ac:dyDescent="0.2">
      <c r="A9457" s="4" t="s">
        <v>1</v>
      </c>
      <c r="B9457" s="3" t="str">
        <f>HYPERLINK("https://otsuka-europe-crm.veevavault.com/ui/#object/approved_document__v/V5OZ025E82QPECB", "Invitación IX Jornada UHB 2025")</f>
        <v>Invitación IX Jornada UHB 2025</v>
      </c>
      <c r="C9457" s="3" t="str">
        <f>HYPERLINK("https://otsuka-europe-crm.veevavault.com/ui/#object/sent_email__v/VBLZ025E82GEUOL", "SE-000255264")</f>
        <v>SE-000255264</v>
      </c>
      <c r="D9457" s="1">
        <v>45905.446712962963</v>
      </c>
      <c r="E9457" s="2">
        <v>1</v>
      </c>
      <c r="F9457" s="2">
        <v>1</v>
      </c>
      <c r="G9457" s="2">
        <v>0</v>
      </c>
      <c r="H9457" s="1" t="s">
        <v>0</v>
      </c>
      <c r="I9457" s="2">
        <v>0</v>
      </c>
      <c r="J9457" s="1">
        <v>45904.375937500001</v>
      </c>
    </row>
    <row r="9458" spans="1:10" x14ac:dyDescent="0.2">
      <c r="A9458" s="4" t="s">
        <v>1</v>
      </c>
      <c r="B9458" s="3" t="str">
        <f>HYPERLINK("https://otsuka-europe-crm.veevavault.com/ui/#object/approved_document__v/V5OZ025E82QPECB", "Invitación IX Jornada UHB 2025")</f>
        <v>Invitación IX Jornada UHB 2025</v>
      </c>
      <c r="C9458" s="3" t="str">
        <f>HYPERLINK("https://otsuka-europe-crm.veevavault.com/ui/#object/sent_email__v/VBLZ025E82GEUR9", "SE-000255265")</f>
        <v>SE-000255265</v>
      </c>
      <c r="D9458" s="1" t="s">
        <v>0</v>
      </c>
      <c r="E9458" s="2">
        <v>0</v>
      </c>
      <c r="F9458" s="2">
        <v>0</v>
      </c>
      <c r="G9458" s="2">
        <v>0</v>
      </c>
      <c r="H9458" s="1" t="s">
        <v>0</v>
      </c>
      <c r="I9458" s="2">
        <v>0</v>
      </c>
      <c r="J9458" s="1">
        <v>45904.376493055555</v>
      </c>
    </row>
    <row r="9459" spans="1:10" x14ac:dyDescent="0.2">
      <c r="A9459" s="4" t="s">
        <v>1</v>
      </c>
      <c r="B9459" s="3" t="str">
        <f>HYPERLINK("https://otsuka-europe-crm.veevavault.com/ui/#object/approved_document__v/V5OZ025E82QPECB", "Invitación IX Jornada UHB 2025")</f>
        <v>Invitación IX Jornada UHB 2025</v>
      </c>
      <c r="C9459" s="3" t="str">
        <f>HYPERLINK("https://otsuka-europe-crm.veevavault.com/ui/#object/sent_email__v/VBLZ025E82GEURA", "SE-000255266")</f>
        <v>SE-000255266</v>
      </c>
      <c r="D9459" s="1">
        <v>45904.394687499997</v>
      </c>
      <c r="E9459" s="2">
        <v>1</v>
      </c>
      <c r="F9459" s="2">
        <v>1</v>
      </c>
      <c r="G9459" s="2">
        <v>1</v>
      </c>
      <c r="H9459" s="1">
        <v>45904.769571759258</v>
      </c>
      <c r="I9459" s="2">
        <v>1</v>
      </c>
      <c r="J9459" s="1">
        <v>45904.376504629632</v>
      </c>
    </row>
    <row r="9460" spans="1:10" x14ac:dyDescent="0.2">
      <c r="A9460" s="4" t="s">
        <v>1</v>
      </c>
      <c r="B9460" s="3" t="str">
        <f>HYPERLINK("https://otsuka-europe-crm.veevavault.com/ui/#object/approved_document__v/V5OZ025E82QPECB", "Invitación IX Jornada UHB 2025")</f>
        <v>Invitación IX Jornada UHB 2025</v>
      </c>
      <c r="C9460" s="3" t="str">
        <f>HYPERLINK("https://otsuka-europe-crm.veevavault.com/ui/#object/sent_email__v/VBLZ025E82GEURB", "SE-000255267")</f>
        <v>SE-000255267</v>
      </c>
      <c r="D9460" s="1">
        <v>45904.400925925926</v>
      </c>
      <c r="E9460" s="2">
        <v>1</v>
      </c>
      <c r="F9460" s="2">
        <v>1</v>
      </c>
      <c r="G9460" s="2">
        <v>1</v>
      </c>
      <c r="H9460" s="1">
        <v>45904.400925925926</v>
      </c>
      <c r="I9460" s="2">
        <v>1</v>
      </c>
      <c r="J9460" s="1">
        <v>45904.376504629632</v>
      </c>
    </row>
    <row r="9461" spans="1:10" x14ac:dyDescent="0.2">
      <c r="A9461" s="4" t="s">
        <v>1</v>
      </c>
      <c r="B9461" s="3" t="str">
        <f>HYPERLINK("https://otsuka-europe-crm.veevavault.com/ui/#object/approved_document__v/V5OZ025E82QPECB", "Invitación IX Jornada UHB 2025")</f>
        <v>Invitación IX Jornada UHB 2025</v>
      </c>
      <c r="C9461" s="3" t="str">
        <f>HYPERLINK("https://otsuka-europe-crm.veevavault.com/ui/#object/sent_email__v/VBLZ025E82GEURC", "SE-000255268")</f>
        <v>SE-000255268</v>
      </c>
      <c r="D9461" s="1">
        <v>45909.388414351852</v>
      </c>
      <c r="E9461" s="2">
        <v>1</v>
      </c>
      <c r="F9461" s="2">
        <v>3</v>
      </c>
      <c r="G9461" s="2">
        <v>0</v>
      </c>
      <c r="H9461" s="1" t="s">
        <v>0</v>
      </c>
      <c r="I9461" s="2">
        <v>0</v>
      </c>
      <c r="J9461" s="1">
        <v>45904.376516203702</v>
      </c>
    </row>
    <row r="9462" spans="1:10" x14ac:dyDescent="0.2">
      <c r="A9462" s="4" t="s">
        <v>1</v>
      </c>
      <c r="B9462" s="3" t="str">
        <f>HYPERLINK("https://otsuka-europe-crm.veevavault.com/ui/#object/approved_document__v/V5OZ025E82QPECB", "Invitación IX Jornada UHB 2025")</f>
        <v>Invitación IX Jornada UHB 2025</v>
      </c>
      <c r="C9462" s="3" t="str">
        <f>HYPERLINK("https://otsuka-europe-crm.veevavault.com/ui/#object/sent_email__v/VBLZ025E82GESFZ", "SE-000255269")</f>
        <v>SE-000255269</v>
      </c>
      <c r="D9462" s="1">
        <v>45925.802905092591</v>
      </c>
      <c r="E9462" s="2">
        <v>1</v>
      </c>
      <c r="F9462" s="2">
        <v>1</v>
      </c>
      <c r="G9462" s="2">
        <v>1</v>
      </c>
      <c r="H9462" s="1">
        <v>45925.802905092591</v>
      </c>
      <c r="I9462" s="2">
        <v>1</v>
      </c>
      <c r="J9462" s="1">
        <v>45904.377303240741</v>
      </c>
    </row>
    <row r="9463" spans="1:10" x14ac:dyDescent="0.2">
      <c r="A9463" s="4" t="s">
        <v>1</v>
      </c>
      <c r="B9463" s="3" t="str">
        <f>HYPERLINK("https://otsuka-europe-crm.veevavault.com/ui/#object/approved_document__v/V5OZ025E82QPECB", "Invitación IX Jornada UHB 2025")</f>
        <v>Invitación IX Jornada UHB 2025</v>
      </c>
      <c r="C9463" s="3" t="str">
        <f>HYPERLINK("https://otsuka-europe-crm.veevavault.com/ui/#object/sent_email__v/VBLZ025E82GESG0", "SE-000255270")</f>
        <v>SE-000255270</v>
      </c>
      <c r="D9463" s="1">
        <v>45904.394537037035</v>
      </c>
      <c r="E9463" s="2">
        <v>1</v>
      </c>
      <c r="F9463" s="2">
        <v>2</v>
      </c>
      <c r="G9463" s="2">
        <v>1</v>
      </c>
      <c r="H9463" s="1">
        <v>45904.394745370373</v>
      </c>
      <c r="I9463" s="2">
        <v>1</v>
      </c>
      <c r="J9463" s="1">
        <v>45904.377314814818</v>
      </c>
    </row>
    <row r="9464" spans="1:10" x14ac:dyDescent="0.2">
      <c r="A9464" s="4" t="s">
        <v>1</v>
      </c>
      <c r="B9464" s="3" t="str">
        <f>HYPERLINK("https://otsuka-europe-crm.veevavault.com/ui/#object/approved_document__v/V5OZ025E82QPECB", "Invitación IX Jornada UHB 2025")</f>
        <v>Invitación IX Jornada UHB 2025</v>
      </c>
      <c r="C9464" s="3" t="str">
        <f>HYPERLINK("https://otsuka-europe-crm.veevavault.com/ui/#object/sent_email__v/VBLZ025E82GESG1", "SE-000255271")</f>
        <v>SE-000255271</v>
      </c>
      <c r="D9464" s="1" t="s">
        <v>0</v>
      </c>
      <c r="E9464" s="2">
        <v>0</v>
      </c>
      <c r="F9464" s="2">
        <v>0</v>
      </c>
      <c r="G9464" s="2">
        <v>0</v>
      </c>
      <c r="H9464" s="1" t="s">
        <v>0</v>
      </c>
      <c r="I9464" s="2">
        <v>0</v>
      </c>
      <c r="J9464" s="1">
        <v>45904.377326388887</v>
      </c>
    </row>
    <row r="9465" spans="1:10" x14ac:dyDescent="0.2">
      <c r="A9465" s="4" t="s">
        <v>1</v>
      </c>
      <c r="B9465" s="3" t="str">
        <f>HYPERLINK("https://otsuka-europe-crm.veevavault.com/ui/#object/approved_document__v/V5OZ025E82QPECB", "Invitación IX Jornada UHB 2025")</f>
        <v>Invitación IX Jornada UHB 2025</v>
      </c>
      <c r="C9465" s="3" t="str">
        <f>HYPERLINK("https://otsuka-europe-crm.veevavault.com/ui/#object/sent_email__v/VBLZ025E82GESG2", "SE-000255272")</f>
        <v>SE-000255272</v>
      </c>
      <c r="D9465" s="1">
        <v>45904.500787037039</v>
      </c>
      <c r="E9465" s="2">
        <v>1</v>
      </c>
      <c r="F9465" s="2">
        <v>10</v>
      </c>
      <c r="G9465" s="2">
        <v>0</v>
      </c>
      <c r="H9465" s="1" t="s">
        <v>0</v>
      </c>
      <c r="I9465" s="2">
        <v>0</v>
      </c>
      <c r="J9465" s="1">
        <v>45904.377384259256</v>
      </c>
    </row>
    <row r="9466" spans="1:10" x14ac:dyDescent="0.2">
      <c r="A9466" s="4" t="s">
        <v>1</v>
      </c>
      <c r="B9466" s="3" t="str">
        <f>HYPERLINK("https://otsuka-europe-crm.veevavault.com/ui/#object/approved_document__v/V5OZ025E82QPECB", "Invitación IX Jornada UHB 2025")</f>
        <v>Invitación IX Jornada UHB 2025</v>
      </c>
      <c r="C9466" s="3" t="str">
        <f>HYPERLINK("https://otsuka-europe-crm.veevavault.com/ui/#object/sent_email__v/VBLZ025E82GESG3", "SE-000255273")</f>
        <v>SE-000255273</v>
      </c>
      <c r="D9466" s="1">
        <v>45904.52611111111</v>
      </c>
      <c r="E9466" s="2">
        <v>1</v>
      </c>
      <c r="F9466" s="2">
        <v>2</v>
      </c>
      <c r="G9466" s="2">
        <v>1</v>
      </c>
      <c r="H9466" s="1">
        <v>45904.413773148146</v>
      </c>
      <c r="I9466" s="2">
        <v>1</v>
      </c>
      <c r="J9466" s="1">
        <v>45904.377395833333</v>
      </c>
    </row>
    <row r="9467" spans="1:10" x14ac:dyDescent="0.2">
      <c r="A9467" s="4" t="s">
        <v>1</v>
      </c>
      <c r="B9467" s="3" t="str">
        <f>HYPERLINK("https://otsuka-europe-crm.veevavault.com/ui/#object/approved_document__v/V5OZ025E82QPECB", "Invitación IX Jornada UHB 2025")</f>
        <v>Invitación IX Jornada UHB 2025</v>
      </c>
      <c r="C9467" s="3" t="str">
        <f>HYPERLINK("https://otsuka-europe-crm.veevavault.com/ui/#object/sent_email__v/VBLZ025E82GI97L", "SE-000255586")</f>
        <v>SE-000255586</v>
      </c>
      <c r="D9467" s="1">
        <v>46029.752349537041</v>
      </c>
      <c r="E9467" s="2">
        <v>1</v>
      </c>
      <c r="F9467" s="2">
        <v>3</v>
      </c>
      <c r="G9467" s="2">
        <v>0</v>
      </c>
      <c r="H9467" s="1" t="s">
        <v>0</v>
      </c>
      <c r="I9467" s="2">
        <v>0</v>
      </c>
      <c r="J9467" s="1">
        <v>45909.31386574074</v>
      </c>
    </row>
    <row r="9468" spans="1:10" x14ac:dyDescent="0.2">
      <c r="A9468" s="4" t="s">
        <v>1</v>
      </c>
      <c r="B9468" s="3" t="str">
        <f>HYPERLINK("https://otsuka-europe-crm.veevavault.com/ui/#object/approved_document__v/V5OZ025E82QPECB", "Invitación IX Jornada UHB 2025")</f>
        <v>Invitación IX Jornada UHB 2025</v>
      </c>
      <c r="C9468" s="3" t="str">
        <f>HYPERLINK("https://otsuka-europe-crm.veevavault.com/ui/#object/sent_email__v/VBLZ025E82GI97M", "SE-000255587")</f>
        <v>SE-000255587</v>
      </c>
      <c r="D9468" s="1">
        <v>45909.399363425924</v>
      </c>
      <c r="E9468" s="2">
        <v>1</v>
      </c>
      <c r="F9468" s="2">
        <v>3</v>
      </c>
      <c r="G9468" s="2">
        <v>0</v>
      </c>
      <c r="H9468" s="1" t="s">
        <v>0</v>
      </c>
      <c r="I9468" s="2">
        <v>0</v>
      </c>
      <c r="J9468" s="1">
        <v>45909.313842592594</v>
      </c>
    </row>
    <row r="9469" spans="1:10" x14ac:dyDescent="0.2">
      <c r="A9469" s="4" t="s">
        <v>1</v>
      </c>
      <c r="B9469" s="3" t="str">
        <f>HYPERLINK("https://otsuka-europe-crm.veevavault.com/ui/#object/approved_document__v/V5OZ025E82QPECB", "Invitación IX Jornada UHB 2025")</f>
        <v>Invitación IX Jornada UHB 2025</v>
      </c>
      <c r="C9469" s="3" t="str">
        <f>HYPERLINK("https://otsuka-europe-crm.veevavault.com/ui/#object/sent_email__v/VBLZ025E82GI97N", "SE-000255588")</f>
        <v>SE-000255588</v>
      </c>
      <c r="D9469" s="1">
        <v>45909.486550925925</v>
      </c>
      <c r="E9469" s="2">
        <v>1</v>
      </c>
      <c r="F9469" s="2">
        <v>2</v>
      </c>
      <c r="G9469" s="2">
        <v>1</v>
      </c>
      <c r="H9469" s="1">
        <v>45909.376782407409</v>
      </c>
      <c r="I9469" s="2">
        <v>1</v>
      </c>
      <c r="J9469" s="1">
        <v>45909.313842592594</v>
      </c>
    </row>
    <row r="9470" spans="1:10" x14ac:dyDescent="0.2">
      <c r="A9470" s="4" t="s">
        <v>1</v>
      </c>
      <c r="B9470" s="3" t="str">
        <f>HYPERLINK("https://otsuka-europe-crm.veevavault.com/ui/#object/approved_document__v/V5OZ025E82QPECB", "Invitación IX Jornada UHB 2025")</f>
        <v>Invitación IX Jornada UHB 2025</v>
      </c>
      <c r="C9470" s="3" t="str">
        <f>HYPERLINK("https://otsuka-europe-crm.veevavault.com/ui/#object/sent_email__v/VBLZ025E82GI97O", "SE-000255589")</f>
        <v>SE-000255589</v>
      </c>
      <c r="D9470" s="1">
        <v>45930.768113425926</v>
      </c>
      <c r="E9470" s="2">
        <v>1</v>
      </c>
      <c r="F9470" s="2">
        <v>4</v>
      </c>
      <c r="G9470" s="2">
        <v>1</v>
      </c>
      <c r="H9470" s="1">
        <v>45927.514699074076</v>
      </c>
      <c r="I9470" s="2">
        <v>6</v>
      </c>
      <c r="J9470" s="1">
        <v>45909.313854166663</v>
      </c>
    </row>
    <row r="9471" spans="1:10" x14ac:dyDescent="0.2">
      <c r="A9471" s="4" t="s">
        <v>1</v>
      </c>
      <c r="B9471" s="3" t="str">
        <f>HYPERLINK("https://otsuka-europe-crm.veevavault.com/ui/#object/approved_document__v/V5OZ025E82QPECB", "Invitación IX Jornada UHB 2025")</f>
        <v>Invitación IX Jornada UHB 2025</v>
      </c>
      <c r="C9471" s="3" t="str">
        <f>HYPERLINK("https://otsuka-europe-crm.veevavault.com/ui/#object/sent_email__v/VBLZ025E82GI97P", "SE-000255590")</f>
        <v>SE-000255590</v>
      </c>
      <c r="D9471" s="1">
        <v>45910.526817129627</v>
      </c>
      <c r="E9471" s="2">
        <v>1</v>
      </c>
      <c r="F9471" s="2">
        <v>1</v>
      </c>
      <c r="G9471" s="2">
        <v>1</v>
      </c>
      <c r="H9471" s="1">
        <v>45925.415960648148</v>
      </c>
      <c r="I9471" s="2">
        <v>3</v>
      </c>
      <c r="J9471" s="1">
        <v>45909.313842592594</v>
      </c>
    </row>
    <row r="9472" spans="1:10" x14ac:dyDescent="0.2">
      <c r="A9472" s="4" t="s">
        <v>1</v>
      </c>
      <c r="B9472" s="3" t="str">
        <f>HYPERLINK("https://otsuka-europe-crm.veevavault.com/ui/#object/approved_document__v/V5OZ025E82QPECB", "Invitación IX Jornada UHB 2025")</f>
        <v>Invitación IX Jornada UHB 2025</v>
      </c>
      <c r="C9472" s="3" t="str">
        <f>HYPERLINK("https://otsuka-europe-crm.veevavault.com/ui/#object/sent_email__v/VBLZ025E82GLKT5", "SE-000256006")</f>
        <v>SE-000256006</v>
      </c>
      <c r="D9472" s="1" t="s">
        <v>0</v>
      </c>
      <c r="E9472" s="2">
        <v>0</v>
      </c>
      <c r="F9472" s="2">
        <v>0</v>
      </c>
      <c r="G9472" s="2">
        <v>0</v>
      </c>
      <c r="H9472" s="1" t="s">
        <v>0</v>
      </c>
      <c r="I9472" s="2">
        <v>0</v>
      </c>
      <c r="J9472" s="1">
        <v>45912.313171296293</v>
      </c>
    </row>
    <row r="9473" spans="1:10" x14ac:dyDescent="0.2">
      <c r="A9473" s="4" t="s">
        <v>1</v>
      </c>
      <c r="B9473" s="3" t="str">
        <f>HYPERLINK("https://otsuka-europe-crm.veevavault.com/ui/#object/approved_document__v/V5OZ025E82QPECB", "Invitación IX Jornada UHB 2025")</f>
        <v>Invitación IX Jornada UHB 2025</v>
      </c>
      <c r="C9473" s="3" t="str">
        <f>HYPERLINK("https://otsuka-europe-crm.veevavault.com/ui/#object/sent_email__v/VBLZ025E82GPAG9", "SE-000275656")</f>
        <v>SE-000275656</v>
      </c>
      <c r="D9473" s="1">
        <v>45916.718900462962</v>
      </c>
      <c r="E9473" s="2">
        <v>1</v>
      </c>
      <c r="F9473" s="2">
        <v>2</v>
      </c>
      <c r="G9473" s="2">
        <v>0</v>
      </c>
      <c r="H9473" s="1" t="s">
        <v>0</v>
      </c>
      <c r="I9473" s="2">
        <v>0</v>
      </c>
      <c r="J9473" s="1">
        <v>45916.451180555552</v>
      </c>
    </row>
    <row r="9474" spans="1:10" x14ac:dyDescent="0.2">
      <c r="A9474" s="4" t="s">
        <v>1</v>
      </c>
      <c r="B9474" s="3" t="str">
        <f>HYPERLINK("https://otsuka-europe-crm.veevavault.com/ui/#object/approved_document__v/V5OZ025E82QPECB", "Invitación IX Jornada UHB 2025")</f>
        <v>Invitación IX Jornada UHB 2025</v>
      </c>
      <c r="C9474" s="3" t="str">
        <f>HYPERLINK("https://otsuka-europe-crm.veevavault.com/ui/#object/sent_email__v/VBLZ025E82GWQ9X", "SE-000279772")</f>
        <v>SE-000279772</v>
      </c>
      <c r="D9474" s="1">
        <v>45926.664375</v>
      </c>
      <c r="E9474" s="2">
        <v>1</v>
      </c>
      <c r="F9474" s="2">
        <v>4</v>
      </c>
      <c r="G9474" s="2">
        <v>1</v>
      </c>
      <c r="H9474" s="1">
        <v>45924.704826388886</v>
      </c>
      <c r="I9474" s="2">
        <v>1</v>
      </c>
      <c r="J9474" s="1">
        <v>45922.884548611109</v>
      </c>
    </row>
    <row r="9475" spans="1:10" x14ac:dyDescent="0.2">
      <c r="A9475" s="4" t="s">
        <v>1</v>
      </c>
      <c r="B9475" s="3" t="str">
        <f>HYPERLINK("https://otsuka-europe-crm.veevavault.com/ui/#object/approved_document__v/V5OZ025E82QPECB", "Invitación IX Jornada UHB 2025")</f>
        <v>Invitación IX Jornada UHB 2025</v>
      </c>
      <c r="C9475" s="3" t="str">
        <f>HYPERLINK("https://otsuka-europe-crm.veevavault.com/ui/#object/sent_email__v/VBLZ025E82GXGQP", "SE-000280183")</f>
        <v>SE-000280183</v>
      </c>
      <c r="D9475" s="1">
        <v>45926.76289351852</v>
      </c>
      <c r="E9475" s="2">
        <v>1</v>
      </c>
      <c r="F9475" s="2">
        <v>14</v>
      </c>
      <c r="G9475" s="2">
        <v>1</v>
      </c>
      <c r="H9475" s="1">
        <v>45924.875567129631</v>
      </c>
      <c r="I9475" s="2">
        <v>2</v>
      </c>
      <c r="J9475" s="1">
        <v>45923.571006944447</v>
      </c>
    </row>
    <row r="9476" spans="1:10" x14ac:dyDescent="0.2">
      <c r="A9476" s="4" t="s">
        <v>1</v>
      </c>
      <c r="B9476" s="3" t="str">
        <f>HYPERLINK("https://otsuka-europe-crm.veevavault.com/ui/#object/approved_document__v/V5OZ025E82QPECB", "Invitación IX Jornada UHB 2025")</f>
        <v>Invitación IX Jornada UHB 2025</v>
      </c>
      <c r="C9476" s="3" t="str">
        <f>HYPERLINK("https://otsuka-europe-crm.veevavault.com/ui/#object/sent_email__v/VBLZ025E82GXGQQ", "SE-000280184")</f>
        <v>SE-000280184</v>
      </c>
      <c r="D9476" s="1">
        <v>45926.396006944444</v>
      </c>
      <c r="E9476" s="2">
        <v>1</v>
      </c>
      <c r="F9476" s="2">
        <v>7</v>
      </c>
      <c r="G9476" s="2">
        <v>1</v>
      </c>
      <c r="H9476" s="1">
        <v>45923.693668981483</v>
      </c>
      <c r="I9476" s="2">
        <v>2</v>
      </c>
      <c r="J9476" s="1">
        <v>45923.571018518516</v>
      </c>
    </row>
    <row r="9477" spans="1:10" x14ac:dyDescent="0.2">
      <c r="A9477" s="4" t="s">
        <v>1</v>
      </c>
      <c r="B9477" s="3" t="str">
        <f>HYPERLINK("https://otsuka-europe-crm.veevavault.com/ui/#object/approved_document__v/V5OZ025E82QPECB", "Invitación IX Jornada UHB 2025")</f>
        <v>Invitación IX Jornada UHB 2025</v>
      </c>
      <c r="C9477" s="3" t="str">
        <f>HYPERLINK("https://otsuka-europe-crm.veevavault.com/ui/#object/sent_email__v/VBLZ025E82GXGQR", "SE-000280185")</f>
        <v>SE-000280185</v>
      </c>
      <c r="D9477" s="1">
        <v>46078.517812500002</v>
      </c>
      <c r="E9477" s="2">
        <v>1</v>
      </c>
      <c r="F9477" s="2">
        <v>5</v>
      </c>
      <c r="G9477" s="2">
        <v>0</v>
      </c>
      <c r="H9477" s="1" t="s">
        <v>0</v>
      </c>
      <c r="I9477" s="2">
        <v>0</v>
      </c>
      <c r="J9477" s="1">
        <v>45923.571018518516</v>
      </c>
    </row>
    <row r="9478" spans="1:10" x14ac:dyDescent="0.2">
      <c r="A9478" s="4" t="s">
        <v>1</v>
      </c>
      <c r="B9478" s="3" t="str">
        <f>HYPERLINK("https://otsuka-europe-crm.veevavault.com/ui/#object/approved_document__v/V5OZ025E82QPECB", "Invitación IX Jornada UHB 2025")</f>
        <v>Invitación IX Jornada UHB 2025</v>
      </c>
      <c r="C9478" s="3" t="str">
        <f>HYPERLINK("https://otsuka-europe-crm.veevavault.com/ui/#object/sent_email__v/VBLZ025E82GXGQS", "SE-000280186")</f>
        <v>SE-000280186</v>
      </c>
      <c r="D9478" s="1">
        <v>45927.013611111113</v>
      </c>
      <c r="E9478" s="2">
        <v>1</v>
      </c>
      <c r="F9478" s="2">
        <v>4</v>
      </c>
      <c r="G9478" s="2">
        <v>1</v>
      </c>
      <c r="H9478" s="1">
        <v>45927.475601851853</v>
      </c>
      <c r="I9478" s="2">
        <v>2</v>
      </c>
      <c r="J9478" s="1">
        <v>45923.571030092593</v>
      </c>
    </row>
    <row r="9479" spans="1:10" x14ac:dyDescent="0.2">
      <c r="A9479" s="4" t="s">
        <v>1</v>
      </c>
      <c r="B9479" s="3" t="str">
        <f>HYPERLINK("https://otsuka-europe-crm.veevavault.com/ui/#object/approved_document__v/V5OZ025E82QPECB", "Invitación IX Jornada UHB 2025")</f>
        <v>Invitación IX Jornada UHB 2025</v>
      </c>
      <c r="C9479" s="3" t="str">
        <f>HYPERLINK("https://otsuka-europe-crm.veevavault.com/ui/#object/sent_email__v/VBLZ025E82H1W8D", "SE-000281432")</f>
        <v>SE-000281432</v>
      </c>
      <c r="D9479" s="1" t="s">
        <v>0</v>
      </c>
      <c r="E9479" s="2">
        <v>0</v>
      </c>
      <c r="F9479" s="2">
        <v>0</v>
      </c>
      <c r="G9479" s="2">
        <v>0</v>
      </c>
      <c r="H9479" s="1" t="s">
        <v>0</v>
      </c>
      <c r="I9479" s="2">
        <v>0</v>
      </c>
      <c r="J9479" s="1">
        <v>45926.608171296299</v>
      </c>
    </row>
    <row r="9480" spans="1:10" x14ac:dyDescent="0.2">
      <c r="A9480" s="4" t="s">
        <v>1</v>
      </c>
      <c r="B9480" s="3" t="str">
        <f>HYPERLINK("https://otsuka-europe-crm.veevavault.com/ui/#object/approved_document__v/V5O00000000L011", "Libro IA en psiquiatría")</f>
        <v>Libro IA en psiquiatría</v>
      </c>
      <c r="C9480" s="3" t="str">
        <f>HYPERLINK("https://otsuka-europe-crm.veevavault.com/ui/#object/sent_email__v/VBL000000015322", "SE-001400846")</f>
        <v>SE-001400846</v>
      </c>
      <c r="D9480" s="1" t="s">
        <v>0</v>
      </c>
      <c r="E9480" s="2">
        <v>0</v>
      </c>
      <c r="F9480" s="2">
        <v>0</v>
      </c>
      <c r="G9480" s="2">
        <v>0</v>
      </c>
      <c r="H9480" s="1" t="s">
        <v>0</v>
      </c>
      <c r="I9480" s="2">
        <v>0</v>
      </c>
      <c r="J9480" s="1">
        <v>46045.361608796295</v>
      </c>
    </row>
    <row r="9481" spans="1:10" x14ac:dyDescent="0.2">
      <c r="A9481" s="4" t="s">
        <v>1</v>
      </c>
      <c r="B9481" s="3" t="str">
        <f>HYPERLINK("https://otsuka-europe-crm.veevavault.com/ui/#object/approved_document__v/V5O00000000L011", "Libro IA en psiquiatría")</f>
        <v>Libro IA en psiquiatría</v>
      </c>
      <c r="C9481" s="3" t="str">
        <f>HYPERLINK("https://otsuka-europe-crm.veevavault.com/ui/#object/sent_email__v/VBL000000015613", "SE-001401422")</f>
        <v>SE-001401422</v>
      </c>
      <c r="D9481" s="1" t="s">
        <v>0</v>
      </c>
      <c r="E9481" s="2">
        <v>0</v>
      </c>
      <c r="F9481" s="2">
        <v>0</v>
      </c>
      <c r="G9481" s="2">
        <v>0</v>
      </c>
      <c r="H9481" s="1" t="s">
        <v>0</v>
      </c>
      <c r="I9481" s="2">
        <v>0</v>
      </c>
      <c r="J9481" s="1">
        <v>46049.379930555559</v>
      </c>
    </row>
    <row r="9482" spans="1:10" x14ac:dyDescent="0.2">
      <c r="A9482" s="4" t="s">
        <v>1</v>
      </c>
      <c r="B9482" s="3" t="str">
        <f>HYPERLINK("https://otsuka-europe-crm.veevavault.com/ui/#object/approved_document__v/V5O00000000L011", "Libro IA en psiquiatría")</f>
        <v>Libro IA en psiquiatría</v>
      </c>
      <c r="C9482" s="3" t="str">
        <f>HYPERLINK("https://otsuka-europe-crm.veevavault.com/ui/#object/sent_email__v/VBL000000015614", "SE-001401423")</f>
        <v>SE-001401423</v>
      </c>
      <c r="D9482" s="1">
        <v>46049.701122685183</v>
      </c>
      <c r="E9482" s="2">
        <v>1</v>
      </c>
      <c r="F9482" s="2">
        <v>2</v>
      </c>
      <c r="G9482" s="2">
        <v>0</v>
      </c>
      <c r="H9482" s="1" t="s">
        <v>0</v>
      </c>
      <c r="I9482" s="2">
        <v>0</v>
      </c>
      <c r="J9482" s="1">
        <v>46049.379942129628</v>
      </c>
    </row>
    <row r="9483" spans="1:10" x14ac:dyDescent="0.2">
      <c r="A9483" s="4" t="s">
        <v>1</v>
      </c>
      <c r="B9483" s="3" t="str">
        <f>HYPERLINK("https://otsuka-europe-crm.veevavault.com/ui/#object/approved_document__v/V5O00000000L011", "Libro IA en psiquiatría")</f>
        <v>Libro IA en psiquiatría</v>
      </c>
      <c r="C9483" s="3" t="str">
        <f>HYPERLINK("https://otsuka-europe-crm.veevavault.com/ui/#object/sent_email__v/VBL000000015615", "SE-001401424")</f>
        <v>SE-001401424</v>
      </c>
      <c r="D9483" s="1">
        <v>46050.37027777778</v>
      </c>
      <c r="E9483" s="2">
        <v>1</v>
      </c>
      <c r="F9483" s="2">
        <v>2</v>
      </c>
      <c r="G9483" s="2">
        <v>0</v>
      </c>
      <c r="H9483" s="1" t="s">
        <v>0</v>
      </c>
      <c r="I9483" s="2">
        <v>0</v>
      </c>
      <c r="J9483" s="1">
        <v>46049.379872685182</v>
      </c>
    </row>
    <row r="9484" spans="1:10" x14ac:dyDescent="0.2">
      <c r="A9484" s="4" t="s">
        <v>1</v>
      </c>
      <c r="B9484" s="3" t="str">
        <f>HYPERLINK("https://otsuka-europe-crm.veevavault.com/ui/#object/approved_document__v/V5O00000000L011", "Libro IA en psiquiatría")</f>
        <v>Libro IA en psiquiatría</v>
      </c>
      <c r="C9484" s="3" t="str">
        <f>HYPERLINK("https://otsuka-europe-crm.veevavault.com/ui/#object/sent_email__v/VBL000000015616", "SE-001401425")</f>
        <v>SE-001401425</v>
      </c>
      <c r="D9484" s="1" t="s">
        <v>0</v>
      </c>
      <c r="E9484" s="2">
        <v>0</v>
      </c>
      <c r="F9484" s="2">
        <v>0</v>
      </c>
      <c r="G9484" s="2">
        <v>0</v>
      </c>
      <c r="H9484" s="1" t="s">
        <v>0</v>
      </c>
      <c r="I9484" s="2">
        <v>0</v>
      </c>
      <c r="J9484" s="1">
        <v>46049.379930555559</v>
      </c>
    </row>
    <row r="9485" spans="1:10" x14ac:dyDescent="0.2">
      <c r="A9485" s="4" t="s">
        <v>1</v>
      </c>
      <c r="B9485" s="3" t="str">
        <f>HYPERLINK("https://otsuka-europe-crm.veevavault.com/ui/#object/approved_document__v/V5O00000000L011", "Libro IA en psiquiatría")</f>
        <v>Libro IA en psiquiatría</v>
      </c>
      <c r="C9485" s="3" t="str">
        <f>HYPERLINK("https://otsuka-europe-crm.veevavault.com/ui/#object/sent_email__v/VBL000000015617", "SE-001401426")</f>
        <v>SE-001401426</v>
      </c>
      <c r="D9485" s="1">
        <v>46049.393738425926</v>
      </c>
      <c r="E9485" s="2">
        <v>1</v>
      </c>
      <c r="F9485" s="2">
        <v>2</v>
      </c>
      <c r="G9485" s="2">
        <v>0</v>
      </c>
      <c r="H9485" s="1" t="s">
        <v>0</v>
      </c>
      <c r="I9485" s="2">
        <v>0</v>
      </c>
      <c r="J9485" s="1">
        <v>46049.379930555559</v>
      </c>
    </row>
    <row r="9486" spans="1:10" x14ac:dyDescent="0.2">
      <c r="A9486" s="4" t="s">
        <v>1</v>
      </c>
      <c r="B9486" s="3" t="str">
        <f>HYPERLINK("https://otsuka-europe-crm.veevavault.com/ui/#object/approved_document__v/V5O00000000L011", "Libro IA en psiquiatría")</f>
        <v>Libro IA en psiquiatría</v>
      </c>
      <c r="C9486" s="3" t="str">
        <f>HYPERLINK("https://otsuka-europe-crm.veevavault.com/ui/#object/sent_email__v/VBL000000015618", "SE-001401427")</f>
        <v>SE-001401427</v>
      </c>
      <c r="D9486" s="1" t="s">
        <v>0</v>
      </c>
      <c r="E9486" s="2">
        <v>0</v>
      </c>
      <c r="F9486" s="2">
        <v>0</v>
      </c>
      <c r="G9486" s="2">
        <v>0</v>
      </c>
      <c r="H9486" s="1" t="s">
        <v>0</v>
      </c>
      <c r="I9486" s="2">
        <v>0</v>
      </c>
      <c r="J9486" s="1">
        <v>46049.379872685182</v>
      </c>
    </row>
    <row r="9487" spans="1:10" x14ac:dyDescent="0.2">
      <c r="A9487" s="4" t="s">
        <v>1</v>
      </c>
      <c r="B9487" s="3" t="str">
        <f>HYPERLINK("https://otsuka-europe-crm.veevavault.com/ui/#object/approved_document__v/V5O00000000L011", "Libro IA en psiquiatría")</f>
        <v>Libro IA en psiquiatría</v>
      </c>
      <c r="C9487" s="3" t="str">
        <f>HYPERLINK("https://otsuka-europe-crm.veevavault.com/ui/#object/sent_email__v/VBL000000015619", "SE-001401428")</f>
        <v>SE-001401428</v>
      </c>
      <c r="D9487" s="1" t="s">
        <v>0</v>
      </c>
      <c r="E9487" s="2">
        <v>0</v>
      </c>
      <c r="F9487" s="2">
        <v>0</v>
      </c>
      <c r="G9487" s="2">
        <v>0</v>
      </c>
      <c r="H9487" s="1" t="s">
        <v>0</v>
      </c>
      <c r="I9487" s="2">
        <v>0</v>
      </c>
      <c r="J9487" s="1">
        <v>46049.379907407405</v>
      </c>
    </row>
    <row r="9488" spans="1:10" x14ac:dyDescent="0.2">
      <c r="A9488" s="4" t="s">
        <v>1</v>
      </c>
      <c r="B9488" s="3" t="str">
        <f>HYPERLINK("https://otsuka-europe-crm.veevavault.com/ui/#object/approved_document__v/V5O00000000L011", "Libro IA en psiquiatría")</f>
        <v>Libro IA en psiquiatría</v>
      </c>
      <c r="C9488" s="3" t="str">
        <f>HYPERLINK("https://otsuka-europe-crm.veevavault.com/ui/#object/sent_email__v/VBL000000015620", "SE-001401429")</f>
        <v>SE-001401429</v>
      </c>
      <c r="D9488" s="1" t="s">
        <v>0</v>
      </c>
      <c r="E9488" s="2">
        <v>0</v>
      </c>
      <c r="F9488" s="2">
        <v>0</v>
      </c>
      <c r="G9488" s="2">
        <v>0</v>
      </c>
      <c r="H9488" s="1" t="s">
        <v>0</v>
      </c>
      <c r="I9488" s="2">
        <v>0</v>
      </c>
      <c r="J9488" s="1">
        <v>46049.379861111112</v>
      </c>
    </row>
    <row r="9489" spans="1:10" x14ac:dyDescent="0.2">
      <c r="A9489" s="4" t="s">
        <v>1</v>
      </c>
      <c r="B9489" s="3" t="str">
        <f>HYPERLINK("https://otsuka-europe-crm.veevavault.com/ui/#object/approved_document__v/V5O00000000L011", "Libro IA en psiquiatría")</f>
        <v>Libro IA en psiquiatría</v>
      </c>
      <c r="C9489" s="3" t="str">
        <f>HYPERLINK("https://otsuka-europe-crm.veevavault.com/ui/#object/sent_email__v/VBL000000015621", "SE-001401430")</f>
        <v>SE-001401430</v>
      </c>
      <c r="D9489" s="1">
        <v>46062.763252314813</v>
      </c>
      <c r="E9489" s="2">
        <v>1</v>
      </c>
      <c r="F9489" s="2">
        <v>19</v>
      </c>
      <c r="G9489" s="2">
        <v>1</v>
      </c>
      <c r="H9489" s="1">
        <v>46049.568101851852</v>
      </c>
      <c r="I9489" s="2">
        <v>3</v>
      </c>
      <c r="J9489" s="1">
        <v>46049.379814814813</v>
      </c>
    </row>
    <row r="9490" spans="1:10" x14ac:dyDescent="0.2">
      <c r="A9490" s="4" t="s">
        <v>1</v>
      </c>
      <c r="B9490" s="3" t="str">
        <f>HYPERLINK("https://otsuka-europe-crm.veevavault.com/ui/#object/approved_document__v/V5O00000000L011", "Libro IA en psiquiatría")</f>
        <v>Libro IA en psiquiatría</v>
      </c>
      <c r="C9490" s="3" t="str">
        <f>HYPERLINK("https://otsuka-europe-crm.veevavault.com/ui/#object/sent_email__v/VBL000000015622", "SE-001401431")</f>
        <v>SE-001401431</v>
      </c>
      <c r="D9490" s="1">
        <v>46049.597812499997</v>
      </c>
      <c r="E9490" s="2">
        <v>1</v>
      </c>
      <c r="F9490" s="2">
        <v>1</v>
      </c>
      <c r="G9490" s="2">
        <v>0</v>
      </c>
      <c r="H9490" s="1" t="s">
        <v>0</v>
      </c>
      <c r="I9490" s="2">
        <v>0</v>
      </c>
      <c r="J9490" s="1">
        <v>46049.379930555559</v>
      </c>
    </row>
    <row r="9491" spans="1:10" x14ac:dyDescent="0.2">
      <c r="A9491" s="4" t="s">
        <v>1</v>
      </c>
      <c r="B9491" s="3" t="str">
        <f>HYPERLINK("https://otsuka-europe-crm.veevavault.com/ui/#object/approved_document__v/V5O00000000L011", "Libro IA en psiquiatría")</f>
        <v>Libro IA en psiquiatría</v>
      </c>
      <c r="C9491" s="3" t="str">
        <f>HYPERLINK("https://otsuka-europe-crm.veevavault.com/ui/#object/sent_email__v/VBL000000015623", "SE-001401432")</f>
        <v>SE-001401432</v>
      </c>
      <c r="D9491" s="1">
        <v>46049.78261574074</v>
      </c>
      <c r="E9491" s="2">
        <v>1</v>
      </c>
      <c r="F9491" s="2">
        <v>3</v>
      </c>
      <c r="G9491" s="2">
        <v>0</v>
      </c>
      <c r="H9491" s="1" t="s">
        <v>0</v>
      </c>
      <c r="I9491" s="2">
        <v>0</v>
      </c>
      <c r="J9491" s="1">
        <v>46049.379861111112</v>
      </c>
    </row>
    <row r="9492" spans="1:10" x14ac:dyDescent="0.2">
      <c r="A9492" s="4" t="s">
        <v>1</v>
      </c>
      <c r="B9492" s="3" t="str">
        <f>HYPERLINK("https://otsuka-europe-crm.veevavault.com/ui/#object/approved_document__v/V5O00000000L011", "Libro IA en psiquiatría")</f>
        <v>Libro IA en psiquiatría</v>
      </c>
      <c r="C9492" s="3" t="str">
        <f>HYPERLINK("https://otsuka-europe-crm.veevavault.com/ui/#object/sent_email__v/VBL000000015624", "SE-001401433")</f>
        <v>SE-001401433</v>
      </c>
      <c r="D9492" s="1" t="s">
        <v>0</v>
      </c>
      <c r="E9492" s="2">
        <v>0</v>
      </c>
      <c r="F9492" s="2">
        <v>0</v>
      </c>
      <c r="G9492" s="2">
        <v>0</v>
      </c>
      <c r="H9492" s="1" t="s">
        <v>0</v>
      </c>
      <c r="I9492" s="2">
        <v>0</v>
      </c>
      <c r="J9492" s="1">
        <v>46049.379872685182</v>
      </c>
    </row>
    <row r="9493" spans="1:10" x14ac:dyDescent="0.2">
      <c r="A9493" s="4" t="s">
        <v>1</v>
      </c>
      <c r="B9493" s="3" t="str">
        <f>HYPERLINK("https://otsuka-europe-crm.veevavault.com/ui/#object/approved_document__v/V5O00000000L011", "Libro IA en psiquiatría")</f>
        <v>Libro IA en psiquiatría</v>
      </c>
      <c r="C9493" s="3" t="str">
        <f>HYPERLINK("https://otsuka-europe-crm.veevavault.com/ui/#object/sent_email__v/VBL000000015625", "SE-001401434")</f>
        <v>SE-001401434</v>
      </c>
      <c r="D9493" s="1">
        <v>46049.950821759259</v>
      </c>
      <c r="E9493" s="2">
        <v>1</v>
      </c>
      <c r="F9493" s="2">
        <v>1</v>
      </c>
      <c r="G9493" s="2">
        <v>0</v>
      </c>
      <c r="H9493" s="1" t="s">
        <v>0</v>
      </c>
      <c r="I9493" s="2">
        <v>0</v>
      </c>
      <c r="J9493" s="1">
        <v>46049.379942129628</v>
      </c>
    </row>
    <row r="9494" spans="1:10" x14ac:dyDescent="0.2">
      <c r="A9494" s="4" t="s">
        <v>1</v>
      </c>
      <c r="B9494" s="3" t="str">
        <f>HYPERLINK("https://otsuka-europe-crm.veevavault.com/ui/#object/approved_document__v/V5O00000000L011", "Libro IA en psiquiatría")</f>
        <v>Libro IA en psiquiatría</v>
      </c>
      <c r="C9494" s="3" t="str">
        <f>HYPERLINK("https://otsuka-europe-crm.veevavault.com/ui/#object/sent_email__v/VBL000000015626", "SE-001401435")</f>
        <v>SE-001401435</v>
      </c>
      <c r="D9494" s="1">
        <v>46049.833148148151</v>
      </c>
      <c r="E9494" s="2">
        <v>1</v>
      </c>
      <c r="F9494" s="2">
        <v>1</v>
      </c>
      <c r="G9494" s="2">
        <v>0</v>
      </c>
      <c r="H9494" s="1" t="s">
        <v>0</v>
      </c>
      <c r="I9494" s="2">
        <v>0</v>
      </c>
      <c r="J9494" s="1">
        <v>46049.379861111112</v>
      </c>
    </row>
    <row r="9495" spans="1:10" x14ac:dyDescent="0.2">
      <c r="A9495" s="4" t="s">
        <v>1</v>
      </c>
      <c r="B9495" s="3" t="str">
        <f>HYPERLINK("https://otsuka-europe-crm.veevavault.com/ui/#object/approved_document__v/V5O00000000L011", "Libro IA en psiquiatría")</f>
        <v>Libro IA en psiquiatría</v>
      </c>
      <c r="C9495" s="3" t="str">
        <f>HYPERLINK("https://otsuka-europe-crm.veevavault.com/ui/#object/sent_email__v/VBL000000015627", "SE-001401436")</f>
        <v>SE-001401436</v>
      </c>
      <c r="D9495" s="1">
        <v>46049.796099537038</v>
      </c>
      <c r="E9495" s="2">
        <v>1</v>
      </c>
      <c r="F9495" s="2">
        <v>1</v>
      </c>
      <c r="G9495" s="2">
        <v>0</v>
      </c>
      <c r="H9495" s="1" t="s">
        <v>0</v>
      </c>
      <c r="I9495" s="2">
        <v>0</v>
      </c>
      <c r="J9495" s="1">
        <v>46049.379826388889</v>
      </c>
    </row>
    <row r="9496" spans="1:10" x14ac:dyDescent="0.2">
      <c r="A9496" s="4" t="s">
        <v>1</v>
      </c>
      <c r="B9496" s="3" t="str">
        <f>HYPERLINK("https://otsuka-europe-crm.veevavault.com/ui/#object/approved_document__v/V5O00000000L011", "Libro IA en psiquiatría")</f>
        <v>Libro IA en psiquiatría</v>
      </c>
      <c r="C9496" s="3" t="str">
        <f>HYPERLINK("https://otsuka-europe-crm.veevavault.com/ui/#object/sent_email__v/VBL000000015628", "SE-001401437")</f>
        <v>SE-001401437</v>
      </c>
      <c r="D9496" s="1" t="s">
        <v>0</v>
      </c>
      <c r="E9496" s="2">
        <v>0</v>
      </c>
      <c r="F9496" s="2">
        <v>0</v>
      </c>
      <c r="G9496" s="2">
        <v>0</v>
      </c>
      <c r="H9496" s="1" t="s">
        <v>0</v>
      </c>
      <c r="I9496" s="2">
        <v>0</v>
      </c>
      <c r="J9496" s="1">
        <v>46049.379826388889</v>
      </c>
    </row>
    <row r="9497" spans="1:10" x14ac:dyDescent="0.2">
      <c r="A9497" s="4" t="s">
        <v>1</v>
      </c>
      <c r="B9497" s="3" t="str">
        <f>HYPERLINK("https://otsuka-europe-crm.veevavault.com/ui/#object/approved_document__v/V5O00000000L011", "Libro IA en psiquiatría")</f>
        <v>Libro IA en psiquiatría</v>
      </c>
      <c r="C9497" s="3" t="str">
        <f>HYPERLINK("https://otsuka-europe-crm.veevavault.com/ui/#object/sent_email__v/VBL000000015629", "SE-001401438")</f>
        <v>SE-001401438</v>
      </c>
      <c r="D9497" s="1" t="s">
        <v>0</v>
      </c>
      <c r="E9497" s="2">
        <v>0</v>
      </c>
      <c r="F9497" s="2">
        <v>0</v>
      </c>
      <c r="G9497" s="2">
        <v>0</v>
      </c>
      <c r="H9497" s="1" t="s">
        <v>0</v>
      </c>
      <c r="I9497" s="2">
        <v>0</v>
      </c>
      <c r="J9497" s="1">
        <v>46049.379826388889</v>
      </c>
    </row>
    <row r="9498" spans="1:10" x14ac:dyDescent="0.2">
      <c r="A9498" s="4" t="s">
        <v>1</v>
      </c>
      <c r="B9498" s="3" t="str">
        <f>HYPERLINK("https://otsuka-europe-crm.veevavault.com/ui/#object/approved_document__v/V5O00000000L011", "Libro IA en psiquiatría")</f>
        <v>Libro IA en psiquiatría</v>
      </c>
      <c r="C9498" s="3" t="str">
        <f>HYPERLINK("https://otsuka-europe-crm.veevavault.com/ui/#object/sent_email__v/VBL000000015630", "SE-001401439")</f>
        <v>SE-001401439</v>
      </c>
      <c r="D9498" s="1" t="s">
        <v>0</v>
      </c>
      <c r="E9498" s="2">
        <v>0</v>
      </c>
      <c r="F9498" s="2">
        <v>0</v>
      </c>
      <c r="G9498" s="2">
        <v>0</v>
      </c>
      <c r="H9498" s="1" t="s">
        <v>0</v>
      </c>
      <c r="I9498" s="2">
        <v>0</v>
      </c>
      <c r="J9498" s="1">
        <v>46049.379918981482</v>
      </c>
    </row>
    <row r="9499" spans="1:10" x14ac:dyDescent="0.2">
      <c r="A9499" s="4" t="s">
        <v>1</v>
      </c>
      <c r="B9499" s="3" t="str">
        <f>HYPERLINK("https://otsuka-europe-crm.veevavault.com/ui/#object/approved_document__v/V5O00000000L011", "Libro IA en psiquiatría")</f>
        <v>Libro IA en psiquiatría</v>
      </c>
      <c r="C9499" s="3" t="str">
        <f>HYPERLINK("https://otsuka-europe-crm.veevavault.com/ui/#object/sent_email__v/VBL000000015631", "SE-001401440")</f>
        <v>SE-001401440</v>
      </c>
      <c r="D9499" s="1" t="s">
        <v>0</v>
      </c>
      <c r="E9499" s="2">
        <v>0</v>
      </c>
      <c r="F9499" s="2">
        <v>0</v>
      </c>
      <c r="G9499" s="2">
        <v>0</v>
      </c>
      <c r="H9499" s="1" t="s">
        <v>0</v>
      </c>
      <c r="I9499" s="2">
        <v>0</v>
      </c>
      <c r="J9499" s="1">
        <v>46049.379930555559</v>
      </c>
    </row>
    <row r="9500" spans="1:10" x14ac:dyDescent="0.2">
      <c r="A9500" s="4" t="s">
        <v>1</v>
      </c>
      <c r="B9500" s="3" t="str">
        <f>HYPERLINK("https://otsuka-europe-crm.veevavault.com/ui/#object/approved_document__v/V5O00000000L011", "Libro IA en psiquiatría")</f>
        <v>Libro IA en psiquiatría</v>
      </c>
      <c r="C9500" s="3" t="str">
        <f>HYPERLINK("https://otsuka-europe-crm.veevavault.com/ui/#object/sent_email__v/VBL000000015632", "SE-001401441")</f>
        <v>SE-001401441</v>
      </c>
      <c r="D9500" s="1">
        <v>46050.3746875</v>
      </c>
      <c r="E9500" s="2">
        <v>1</v>
      </c>
      <c r="F9500" s="2">
        <v>5</v>
      </c>
      <c r="G9500" s="2">
        <v>0</v>
      </c>
      <c r="H9500" s="1" t="s">
        <v>0</v>
      </c>
      <c r="I9500" s="2">
        <v>0</v>
      </c>
      <c r="J9500" s="1">
        <v>46049.379814814813</v>
      </c>
    </row>
    <row r="9501" spans="1:10" x14ac:dyDescent="0.2">
      <c r="A9501" s="4" t="s">
        <v>1</v>
      </c>
      <c r="B9501" s="3" t="str">
        <f>HYPERLINK("https://otsuka-europe-crm.veevavault.com/ui/#object/approved_document__v/V5O00000000L011", "Libro IA en psiquiatría")</f>
        <v>Libro IA en psiquiatría</v>
      </c>
      <c r="C9501" s="3" t="str">
        <f>HYPERLINK("https://otsuka-europe-crm.veevavault.com/ui/#object/sent_email__v/VBL000000015633", "SE-001401442")</f>
        <v>SE-001401442</v>
      </c>
      <c r="D9501" s="1" t="s">
        <v>0</v>
      </c>
      <c r="E9501" s="2">
        <v>0</v>
      </c>
      <c r="F9501" s="2">
        <v>0</v>
      </c>
      <c r="G9501" s="2">
        <v>0</v>
      </c>
      <c r="H9501" s="1" t="s">
        <v>0</v>
      </c>
      <c r="I9501" s="2">
        <v>0</v>
      </c>
      <c r="J9501" s="1">
        <v>46049.379814814813</v>
      </c>
    </row>
    <row r="9502" spans="1:10" x14ac:dyDescent="0.2">
      <c r="A9502" s="4" t="s">
        <v>1</v>
      </c>
      <c r="B9502" s="3" t="str">
        <f>HYPERLINK("https://otsuka-europe-crm.veevavault.com/ui/#object/approved_document__v/V5O00000000L011", "Libro IA en psiquiatría")</f>
        <v>Libro IA en psiquiatría</v>
      </c>
      <c r="C9502" s="3" t="str">
        <f>HYPERLINK("https://otsuka-europe-crm.veevavault.com/ui/#object/sent_email__v/VBL000000015634", "SE-001401443")</f>
        <v>SE-001401443</v>
      </c>
      <c r="D9502" s="1">
        <v>46051.647766203707</v>
      </c>
      <c r="E9502" s="2">
        <v>1</v>
      </c>
      <c r="F9502" s="2">
        <v>1</v>
      </c>
      <c r="G9502" s="2">
        <v>0</v>
      </c>
      <c r="H9502" s="1" t="s">
        <v>0</v>
      </c>
      <c r="I9502" s="2">
        <v>0</v>
      </c>
      <c r="J9502" s="1">
        <v>46049.379918981482</v>
      </c>
    </row>
    <row r="9503" spans="1:10" x14ac:dyDescent="0.2">
      <c r="A9503" s="4" t="s">
        <v>1</v>
      </c>
      <c r="B9503" s="3" t="str">
        <f>HYPERLINK("https://otsuka-europe-crm.veevavault.com/ui/#object/approved_document__v/V5O00000000L011", "Libro IA en psiquiatría")</f>
        <v>Libro IA en psiquiatría</v>
      </c>
      <c r="C9503" s="3" t="str">
        <f>HYPERLINK("https://otsuka-europe-crm.veevavault.com/ui/#object/sent_email__v/VBL000000015635", "SE-001401444")</f>
        <v>SE-001401444</v>
      </c>
      <c r="D9503" s="1">
        <v>46049.4450462963</v>
      </c>
      <c r="E9503" s="2">
        <v>1</v>
      </c>
      <c r="F9503" s="2">
        <v>2</v>
      </c>
      <c r="G9503" s="2">
        <v>1</v>
      </c>
      <c r="H9503" s="1">
        <v>46049.445289351854</v>
      </c>
      <c r="I9503" s="2">
        <v>1</v>
      </c>
      <c r="J9503" s="1">
        <v>46049.379930555559</v>
      </c>
    </row>
    <row r="9504" spans="1:10" x14ac:dyDescent="0.2">
      <c r="A9504" s="4" t="s">
        <v>1</v>
      </c>
      <c r="B9504" s="3" t="str">
        <f>HYPERLINK("https://otsuka-europe-crm.veevavault.com/ui/#object/approved_document__v/V5O00000000L011", "Libro IA en psiquiatría")</f>
        <v>Libro IA en psiquiatría</v>
      </c>
      <c r="C9504" s="3" t="str">
        <f>HYPERLINK("https://otsuka-europe-crm.veevavault.com/ui/#object/sent_email__v/VBL000000015636", "SE-001401445")</f>
        <v>SE-001401445</v>
      </c>
      <c r="D9504" s="1" t="s">
        <v>0</v>
      </c>
      <c r="E9504" s="2">
        <v>0</v>
      </c>
      <c r="F9504" s="2">
        <v>0</v>
      </c>
      <c r="G9504" s="2">
        <v>0</v>
      </c>
      <c r="H9504" s="1" t="s">
        <v>0</v>
      </c>
      <c r="I9504" s="2">
        <v>0</v>
      </c>
      <c r="J9504" s="1">
        <v>46049.379826388889</v>
      </c>
    </row>
    <row r="9505" spans="1:10" x14ac:dyDescent="0.2">
      <c r="A9505" s="4" t="s">
        <v>1</v>
      </c>
      <c r="B9505" s="3" t="str">
        <f>HYPERLINK("https://otsuka-europe-crm.veevavault.com/ui/#object/approved_document__v/V5O00000000L011", "Libro IA en psiquiatría")</f>
        <v>Libro IA en psiquiatría</v>
      </c>
      <c r="C9505" s="3" t="str">
        <f>HYPERLINK("https://otsuka-europe-crm.veevavault.com/ui/#object/sent_email__v/VBL000000015637", "SE-001401446")</f>
        <v>SE-001401446</v>
      </c>
      <c r="D9505" s="1" t="s">
        <v>0</v>
      </c>
      <c r="E9505" s="2">
        <v>0</v>
      </c>
      <c r="F9505" s="2">
        <v>0</v>
      </c>
      <c r="G9505" s="2">
        <v>0</v>
      </c>
      <c r="H9505" s="1" t="s">
        <v>0</v>
      </c>
      <c r="I9505" s="2">
        <v>0</v>
      </c>
      <c r="J9505" s="1">
        <v>46049.379826388889</v>
      </c>
    </row>
    <row r="9506" spans="1:10" x14ac:dyDescent="0.2">
      <c r="A9506" s="4" t="s">
        <v>1</v>
      </c>
      <c r="B9506" s="3" t="str">
        <f>HYPERLINK("https://otsuka-europe-crm.veevavault.com/ui/#object/approved_document__v/V5O00000000L011", "Libro IA en psiquiatría")</f>
        <v>Libro IA en psiquiatría</v>
      </c>
      <c r="C9506" s="3" t="str">
        <f>HYPERLINK("https://otsuka-europe-crm.veevavault.com/ui/#object/sent_email__v/VBL000000015638", "SE-001401447")</f>
        <v>SE-001401447</v>
      </c>
      <c r="D9506" s="1">
        <v>46049.6403587963</v>
      </c>
      <c r="E9506" s="2">
        <v>1</v>
      </c>
      <c r="F9506" s="2">
        <v>1</v>
      </c>
      <c r="G9506" s="2">
        <v>1</v>
      </c>
      <c r="H9506" s="1">
        <v>46049.640613425923</v>
      </c>
      <c r="I9506" s="2">
        <v>1</v>
      </c>
      <c r="J9506" s="1">
        <v>46049.379814814813</v>
      </c>
    </row>
    <row r="9507" spans="1:10" x14ac:dyDescent="0.2">
      <c r="A9507" s="4" t="s">
        <v>1</v>
      </c>
      <c r="B9507" s="3" t="str">
        <f>HYPERLINK("https://otsuka-europe-crm.veevavault.com/ui/#object/approved_document__v/V5O00000000L011", "Libro IA en psiquiatría")</f>
        <v>Libro IA en psiquiatría</v>
      </c>
      <c r="C9507" s="3" t="str">
        <f>HYPERLINK("https://otsuka-europe-crm.veevavault.com/ui/#object/sent_email__v/VBL000000015639", "SE-001401448")</f>
        <v>SE-001401448</v>
      </c>
      <c r="D9507" s="1">
        <v>46049.389837962961</v>
      </c>
      <c r="E9507" s="2">
        <v>1</v>
      </c>
      <c r="F9507" s="2">
        <v>1</v>
      </c>
      <c r="G9507" s="2">
        <v>1</v>
      </c>
      <c r="H9507" s="1">
        <v>46049.389837962961</v>
      </c>
      <c r="I9507" s="2">
        <v>1</v>
      </c>
      <c r="J9507" s="1">
        <v>46049.379826388889</v>
      </c>
    </row>
    <row r="9508" spans="1:10" x14ac:dyDescent="0.2">
      <c r="A9508" s="4" t="s">
        <v>1</v>
      </c>
      <c r="B9508" s="3" t="str">
        <f>HYPERLINK("https://otsuka-europe-crm.veevavault.com/ui/#object/approved_document__v/V5O00000000L011", "Libro IA en psiquiatría")</f>
        <v>Libro IA en psiquiatría</v>
      </c>
      <c r="C9508" s="3" t="str">
        <f>HYPERLINK("https://otsuka-europe-crm.veevavault.com/ui/#object/sent_email__v/VBL000000015640", "SE-001401449")</f>
        <v>SE-001401449</v>
      </c>
      <c r="D9508" s="1">
        <v>46052.178993055553</v>
      </c>
      <c r="E9508" s="2">
        <v>1</v>
      </c>
      <c r="F9508" s="2">
        <v>1</v>
      </c>
      <c r="G9508" s="2">
        <v>0</v>
      </c>
      <c r="H9508" s="1" t="s">
        <v>0</v>
      </c>
      <c r="I9508" s="2">
        <v>0</v>
      </c>
      <c r="J9508" s="1">
        <v>46049.379861111112</v>
      </c>
    </row>
    <row r="9509" spans="1:10" x14ac:dyDescent="0.2">
      <c r="A9509" s="4" t="s">
        <v>1</v>
      </c>
      <c r="B9509" s="3" t="str">
        <f>HYPERLINK("https://otsuka-europe-crm.veevavault.com/ui/#object/approved_document__v/V5O00000000L011", "Libro IA en psiquiatría")</f>
        <v>Libro IA en psiquiatría</v>
      </c>
      <c r="C9509" s="3" t="str">
        <f>HYPERLINK("https://otsuka-europe-crm.veevavault.com/ui/#object/sent_email__v/VBL000000015641", "SE-001401450")</f>
        <v>SE-001401450</v>
      </c>
      <c r="D9509" s="1" t="s">
        <v>0</v>
      </c>
      <c r="E9509" s="2">
        <v>0</v>
      </c>
      <c r="F9509" s="2">
        <v>0</v>
      </c>
      <c r="G9509" s="2">
        <v>0</v>
      </c>
      <c r="H9509" s="1" t="s">
        <v>0</v>
      </c>
      <c r="I9509" s="2">
        <v>0</v>
      </c>
      <c r="J9509" s="1">
        <v>46049.379814814813</v>
      </c>
    </row>
    <row r="9510" spans="1:10" x14ac:dyDescent="0.2">
      <c r="A9510" s="4" t="s">
        <v>1</v>
      </c>
      <c r="B9510" s="3" t="str">
        <f>HYPERLINK("https://otsuka-europe-crm.veevavault.com/ui/#object/approved_document__v/V5O00000000L011", "Libro IA en psiquiatría")</f>
        <v>Libro IA en psiquiatría</v>
      </c>
      <c r="C9510" s="3" t="str">
        <f>HYPERLINK("https://otsuka-europe-crm.veevavault.com/ui/#object/sent_email__v/VBL000000015642", "SE-001401451")</f>
        <v>SE-001401451</v>
      </c>
      <c r="D9510" s="1" t="s">
        <v>0</v>
      </c>
      <c r="E9510" s="2">
        <v>0</v>
      </c>
      <c r="F9510" s="2">
        <v>0</v>
      </c>
      <c r="G9510" s="2">
        <v>0</v>
      </c>
      <c r="H9510" s="1" t="s">
        <v>0</v>
      </c>
      <c r="I9510" s="2">
        <v>0</v>
      </c>
      <c r="J9510" s="1">
        <v>46049.379814814813</v>
      </c>
    </row>
    <row r="9511" spans="1:10" x14ac:dyDescent="0.2">
      <c r="A9511" s="4" t="s">
        <v>1</v>
      </c>
      <c r="B9511" s="3" t="str">
        <f>HYPERLINK("https://otsuka-europe-crm.veevavault.com/ui/#object/approved_document__v/V5O00000000L011", "Libro IA en psiquiatría")</f>
        <v>Libro IA en psiquiatría</v>
      </c>
      <c r="C9511" s="3" t="str">
        <f>HYPERLINK("https://otsuka-europe-crm.veevavault.com/ui/#object/sent_email__v/VBL000000015643", "SE-001401452")</f>
        <v>SE-001401452</v>
      </c>
      <c r="D9511" s="1" t="s">
        <v>0</v>
      </c>
      <c r="E9511" s="2">
        <v>0</v>
      </c>
      <c r="F9511" s="2">
        <v>0</v>
      </c>
      <c r="G9511" s="2">
        <v>0</v>
      </c>
      <c r="H9511" s="1" t="s">
        <v>0</v>
      </c>
      <c r="I9511" s="2">
        <v>0</v>
      </c>
      <c r="J9511" s="1">
        <v>46049.379907407405</v>
      </c>
    </row>
    <row r="9512" spans="1:10" x14ac:dyDescent="0.2">
      <c r="A9512" s="4" t="s">
        <v>1</v>
      </c>
      <c r="B9512" s="3" t="str">
        <f>HYPERLINK("https://otsuka-europe-crm.veevavault.com/ui/#object/approved_document__v/V5O00000000L011", "Libro IA en psiquiatría")</f>
        <v>Libro IA en psiquiatría</v>
      </c>
      <c r="C9512" s="3" t="str">
        <f>HYPERLINK("https://otsuka-europe-crm.veevavault.com/ui/#object/sent_email__v/VBL000000015644", "SE-001401453")</f>
        <v>SE-001401453</v>
      </c>
      <c r="D9512" s="1" t="s">
        <v>0</v>
      </c>
      <c r="E9512" s="2">
        <v>0</v>
      </c>
      <c r="F9512" s="2">
        <v>0</v>
      </c>
      <c r="G9512" s="2">
        <v>0</v>
      </c>
      <c r="H9512" s="1" t="s">
        <v>0</v>
      </c>
      <c r="I9512" s="2">
        <v>0</v>
      </c>
      <c r="J9512" s="1">
        <v>46049.379826388889</v>
      </c>
    </row>
    <row r="9513" spans="1:10" x14ac:dyDescent="0.2">
      <c r="A9513" s="4" t="s">
        <v>1</v>
      </c>
      <c r="B9513" s="3" t="str">
        <f>HYPERLINK("https://otsuka-europe-crm.veevavault.com/ui/#object/approved_document__v/V5O00000000L011", "Libro IA en psiquiatría")</f>
        <v>Libro IA en psiquiatría</v>
      </c>
      <c r="C9513" s="3" t="str">
        <f>HYPERLINK("https://otsuka-europe-crm.veevavault.com/ui/#object/sent_email__v/VBL000000015645", "SE-001401454")</f>
        <v>SE-001401454</v>
      </c>
      <c r="D9513" s="1">
        <v>46049.480671296296</v>
      </c>
      <c r="E9513" s="2">
        <v>1</v>
      </c>
      <c r="F9513" s="2">
        <v>1</v>
      </c>
      <c r="G9513" s="2">
        <v>0</v>
      </c>
      <c r="H9513" s="1" t="s">
        <v>0</v>
      </c>
      <c r="I9513" s="2">
        <v>0</v>
      </c>
      <c r="J9513" s="1">
        <v>46049.379861111112</v>
      </c>
    </row>
    <row r="9514" spans="1:10" x14ac:dyDescent="0.2">
      <c r="A9514" s="4" t="s">
        <v>1</v>
      </c>
      <c r="B9514" s="3" t="str">
        <f>HYPERLINK("https://otsuka-europe-crm.veevavault.com/ui/#object/approved_document__v/V5O00000000L011", "Libro IA en psiquiatría")</f>
        <v>Libro IA en psiquiatría</v>
      </c>
      <c r="C9514" s="3" t="str">
        <f>HYPERLINK("https://otsuka-europe-crm.veevavault.com/ui/#object/sent_email__v/VBL000000015646", "SE-001401455")</f>
        <v>SE-001401455</v>
      </c>
      <c r="D9514" s="1">
        <v>46049.948993055557</v>
      </c>
      <c r="E9514" s="2">
        <v>1</v>
      </c>
      <c r="F9514" s="2">
        <v>3</v>
      </c>
      <c r="G9514" s="2">
        <v>0</v>
      </c>
      <c r="H9514" s="1" t="s">
        <v>0</v>
      </c>
      <c r="I9514" s="2">
        <v>0</v>
      </c>
      <c r="J9514" s="1">
        <v>46049.379814814813</v>
      </c>
    </row>
    <row r="9515" spans="1:10" x14ac:dyDescent="0.2">
      <c r="A9515" s="4" t="s">
        <v>1</v>
      </c>
      <c r="B9515" s="3" t="str">
        <f>HYPERLINK("https://otsuka-europe-crm.veevavault.com/ui/#object/approved_document__v/V5O00000000L011", "Libro IA en psiquiatría")</f>
        <v>Libro IA en psiquiatría</v>
      </c>
      <c r="C9515" s="3" t="str">
        <f>HYPERLINK("https://otsuka-europe-crm.veevavault.com/ui/#object/sent_email__v/VBL000000015647", "SE-001401456")</f>
        <v>SE-001401456</v>
      </c>
      <c r="D9515" s="1" t="s">
        <v>0</v>
      </c>
      <c r="E9515" s="2">
        <v>0</v>
      </c>
      <c r="F9515" s="2">
        <v>0</v>
      </c>
      <c r="G9515" s="2">
        <v>0</v>
      </c>
      <c r="H9515" s="1" t="s">
        <v>0</v>
      </c>
      <c r="I9515" s="2">
        <v>0</v>
      </c>
      <c r="J9515" s="1">
        <v>46049.379942129628</v>
      </c>
    </row>
    <row r="9516" spans="1:10" x14ac:dyDescent="0.2">
      <c r="A9516" s="4" t="s">
        <v>1</v>
      </c>
      <c r="B9516" s="3" t="str">
        <f>HYPERLINK("https://otsuka-europe-crm.veevavault.com/ui/#object/approved_document__v/V5O00000000L011", "Libro IA en psiquiatría")</f>
        <v>Libro IA en psiquiatría</v>
      </c>
      <c r="C9516" s="3" t="str">
        <f>HYPERLINK("https://otsuka-europe-crm.veevavault.com/ui/#object/sent_email__v/VBL000000015648", "SE-001401457")</f>
        <v>SE-001401457</v>
      </c>
      <c r="D9516" s="1">
        <v>46049.392800925925</v>
      </c>
      <c r="E9516" s="2">
        <v>1</v>
      </c>
      <c r="F9516" s="2">
        <v>2</v>
      </c>
      <c r="G9516" s="2">
        <v>0</v>
      </c>
      <c r="H9516" s="1" t="s">
        <v>0</v>
      </c>
      <c r="I9516" s="2">
        <v>0</v>
      </c>
      <c r="J9516" s="1">
        <v>46049.379918981482</v>
      </c>
    </row>
    <row r="9517" spans="1:10" x14ac:dyDescent="0.2">
      <c r="A9517" s="4" t="s">
        <v>1</v>
      </c>
      <c r="B9517" s="3" t="str">
        <f>HYPERLINK("https://otsuka-europe-crm.veevavault.com/ui/#object/approved_document__v/V5O00000000L011", "Libro IA en psiquiatría")</f>
        <v>Libro IA en psiquiatría</v>
      </c>
      <c r="C9517" s="3" t="str">
        <f>HYPERLINK("https://otsuka-europe-crm.veevavault.com/ui/#object/sent_email__v/VBL000000015649", "SE-001401458")</f>
        <v>SE-001401458</v>
      </c>
      <c r="D9517" s="1">
        <v>46049.467974537038</v>
      </c>
      <c r="E9517" s="2">
        <v>1</v>
      </c>
      <c r="F9517" s="2">
        <v>1</v>
      </c>
      <c r="G9517" s="2">
        <v>0</v>
      </c>
      <c r="H9517" s="1" t="s">
        <v>0</v>
      </c>
      <c r="I9517" s="2">
        <v>0</v>
      </c>
      <c r="J9517" s="1">
        <v>46049.379814814813</v>
      </c>
    </row>
    <row r="9518" spans="1:10" x14ac:dyDescent="0.2">
      <c r="A9518" s="4" t="s">
        <v>1</v>
      </c>
      <c r="B9518" s="3" t="str">
        <f>HYPERLINK("https://otsuka-europe-crm.veevavault.com/ui/#object/approved_document__v/V5O00000000L011", "Libro IA en psiquiatría")</f>
        <v>Libro IA en psiquiatría</v>
      </c>
      <c r="C9518" s="3" t="str">
        <f>HYPERLINK("https://otsuka-europe-crm.veevavault.com/ui/#object/sent_email__v/VBL000000015650", "SE-001401459")</f>
        <v>SE-001401459</v>
      </c>
      <c r="D9518" s="1" t="s">
        <v>0</v>
      </c>
      <c r="E9518" s="2">
        <v>0</v>
      </c>
      <c r="F9518" s="2">
        <v>0</v>
      </c>
      <c r="G9518" s="2">
        <v>0</v>
      </c>
      <c r="H9518" s="1" t="s">
        <v>0</v>
      </c>
      <c r="I9518" s="2">
        <v>0</v>
      </c>
      <c r="J9518" s="1">
        <v>46049.379814814813</v>
      </c>
    </row>
    <row r="9519" spans="1:10" x14ac:dyDescent="0.2">
      <c r="A9519" s="4" t="s">
        <v>1</v>
      </c>
      <c r="B9519" s="3" t="str">
        <f>HYPERLINK("https://otsuka-europe-crm.veevavault.com/ui/#object/approved_document__v/V5O00000000L011", "Libro IA en psiquiatría")</f>
        <v>Libro IA en psiquiatría</v>
      </c>
      <c r="C9519" s="3" t="str">
        <f>HYPERLINK("https://otsuka-europe-crm.veevavault.com/ui/#object/sent_email__v/VBL000000015651", "SE-001401460")</f>
        <v>SE-001401460</v>
      </c>
      <c r="D9519" s="1">
        <v>46049.581736111111</v>
      </c>
      <c r="E9519" s="2">
        <v>1</v>
      </c>
      <c r="F9519" s="2">
        <v>3</v>
      </c>
      <c r="G9519" s="2">
        <v>0</v>
      </c>
      <c r="H9519" s="1" t="s">
        <v>0</v>
      </c>
      <c r="I9519" s="2">
        <v>0</v>
      </c>
      <c r="J9519" s="1">
        <v>46049.379826388889</v>
      </c>
    </row>
    <row r="9520" spans="1:10" x14ac:dyDescent="0.2">
      <c r="A9520" s="4" t="s">
        <v>1</v>
      </c>
      <c r="B9520" s="3" t="str">
        <f>HYPERLINK("https://otsuka-europe-crm.veevavault.com/ui/#object/approved_document__v/V5O00000000L011", "Libro IA en psiquiatría")</f>
        <v>Libro IA en psiquiatría</v>
      </c>
      <c r="C9520" s="3" t="str">
        <f>HYPERLINK("https://otsuka-europe-crm.veevavault.com/ui/#object/sent_email__v/VBL000000015652", "SE-001401461")</f>
        <v>SE-001401461</v>
      </c>
      <c r="D9520" s="1" t="s">
        <v>0</v>
      </c>
      <c r="E9520" s="2">
        <v>0</v>
      </c>
      <c r="F9520" s="2">
        <v>0</v>
      </c>
      <c r="G9520" s="2">
        <v>0</v>
      </c>
      <c r="H9520" s="1" t="s">
        <v>0</v>
      </c>
      <c r="I9520" s="2">
        <v>0</v>
      </c>
      <c r="J9520" s="1">
        <v>46049.379814814813</v>
      </c>
    </row>
    <row r="9521" spans="1:10" x14ac:dyDescent="0.2">
      <c r="A9521" s="4" t="s">
        <v>1</v>
      </c>
      <c r="B9521" s="3" t="str">
        <f>HYPERLINK("https://otsuka-europe-crm.veevavault.com/ui/#object/approved_document__v/V5O00000000L011", "Libro IA en psiquiatría")</f>
        <v>Libro IA en psiquiatría</v>
      </c>
      <c r="C9521" s="3" t="str">
        <f>HYPERLINK("https://otsuka-europe-crm.veevavault.com/ui/#object/sent_email__v/VBL000000015653", "SE-001401462")</f>
        <v>SE-001401462</v>
      </c>
      <c r="D9521" s="1">
        <v>46050.728368055556</v>
      </c>
      <c r="E9521" s="2">
        <v>1</v>
      </c>
      <c r="F9521" s="2">
        <v>1</v>
      </c>
      <c r="G9521" s="2">
        <v>0</v>
      </c>
      <c r="H9521" s="1" t="s">
        <v>0</v>
      </c>
      <c r="I9521" s="2">
        <v>0</v>
      </c>
      <c r="J9521" s="1">
        <v>46049.379814814813</v>
      </c>
    </row>
    <row r="9522" spans="1:10" x14ac:dyDescent="0.2">
      <c r="A9522" s="4" t="s">
        <v>1</v>
      </c>
      <c r="B9522" s="3" t="str">
        <f>HYPERLINK("https://otsuka-europe-crm.veevavault.com/ui/#object/approved_document__v/V5O00000000L011", "Libro IA en psiquiatría")</f>
        <v>Libro IA en psiquiatría</v>
      </c>
      <c r="C9522" s="3" t="str">
        <f>HYPERLINK("https://otsuka-europe-crm.veevavault.com/ui/#object/sent_email__v/VBL000000015654", "SE-001401463")</f>
        <v>SE-001401463</v>
      </c>
      <c r="D9522" s="1" t="s">
        <v>0</v>
      </c>
      <c r="E9522" s="2">
        <v>0</v>
      </c>
      <c r="F9522" s="2">
        <v>0</v>
      </c>
      <c r="G9522" s="2">
        <v>0</v>
      </c>
      <c r="H9522" s="1" t="s">
        <v>0</v>
      </c>
      <c r="I9522" s="2">
        <v>0</v>
      </c>
      <c r="J9522" s="1">
        <v>46049.379907407405</v>
      </c>
    </row>
    <row r="9523" spans="1:10" x14ac:dyDescent="0.2">
      <c r="A9523" s="4" t="s">
        <v>1</v>
      </c>
      <c r="B9523" s="3" t="str">
        <f>HYPERLINK("https://otsuka-europe-crm.veevavault.com/ui/#object/approved_document__v/V5O00000000L011", "Libro IA en psiquiatría")</f>
        <v>Libro IA en psiquiatría</v>
      </c>
      <c r="C9523" s="3" t="str">
        <f>HYPERLINK("https://otsuka-europe-crm.veevavault.com/ui/#object/sent_email__v/VBL000000015655", "SE-001401464")</f>
        <v>SE-001401464</v>
      </c>
      <c r="D9523" s="1">
        <v>46050.002002314817</v>
      </c>
      <c r="E9523" s="2">
        <v>1</v>
      </c>
      <c r="F9523" s="2">
        <v>1</v>
      </c>
      <c r="G9523" s="2">
        <v>0</v>
      </c>
      <c r="H9523" s="1" t="s">
        <v>0</v>
      </c>
      <c r="I9523" s="2">
        <v>0</v>
      </c>
      <c r="J9523" s="1">
        <v>46049.379814814813</v>
      </c>
    </row>
    <row r="9524" spans="1:10" x14ac:dyDescent="0.2">
      <c r="A9524" s="4" t="s">
        <v>1</v>
      </c>
      <c r="B9524" s="3" t="str">
        <f>HYPERLINK("https://otsuka-europe-crm.veevavault.com/ui/#object/approved_document__v/V5O00000000L011", "Libro IA en psiquiatría")</f>
        <v>Libro IA en psiquiatría</v>
      </c>
      <c r="C9524" s="3" t="str">
        <f>HYPERLINK("https://otsuka-europe-crm.veevavault.com/ui/#object/sent_email__v/VBL000000015656", "SE-001401465")</f>
        <v>SE-001401465</v>
      </c>
      <c r="D9524" s="1" t="s">
        <v>0</v>
      </c>
      <c r="E9524" s="2">
        <v>0</v>
      </c>
      <c r="F9524" s="2">
        <v>0</v>
      </c>
      <c r="G9524" s="2">
        <v>0</v>
      </c>
      <c r="H9524" s="1" t="s">
        <v>0</v>
      </c>
      <c r="I9524" s="2">
        <v>0</v>
      </c>
      <c r="J9524" s="1">
        <v>46049.379814814813</v>
      </c>
    </row>
    <row r="9525" spans="1:10" x14ac:dyDescent="0.2">
      <c r="A9525" s="4" t="s">
        <v>1</v>
      </c>
      <c r="B9525" s="3" t="str">
        <f>HYPERLINK("https://otsuka-europe-crm.veevavault.com/ui/#object/approved_document__v/V5O00000000L011", "Libro IA en psiquiatría")</f>
        <v>Libro IA en psiquiatría</v>
      </c>
      <c r="C9525" s="3" t="str">
        <f>HYPERLINK("https://otsuka-europe-crm.veevavault.com/ui/#object/sent_email__v/VBL000000015657", "SE-001401466")</f>
        <v>SE-001401466</v>
      </c>
      <c r="D9525" s="1">
        <v>46050.028935185182</v>
      </c>
      <c r="E9525" s="2">
        <v>1</v>
      </c>
      <c r="F9525" s="2">
        <v>3</v>
      </c>
      <c r="G9525" s="2">
        <v>0</v>
      </c>
      <c r="H9525" s="1" t="s">
        <v>0</v>
      </c>
      <c r="I9525" s="2">
        <v>0</v>
      </c>
      <c r="J9525" s="1">
        <v>46049.379814814813</v>
      </c>
    </row>
    <row r="9526" spans="1:10" x14ac:dyDescent="0.2">
      <c r="A9526" s="4" t="s">
        <v>1</v>
      </c>
      <c r="B9526" s="3" t="str">
        <f>HYPERLINK("https://otsuka-europe-crm.veevavault.com/ui/#object/approved_document__v/V5O00000000L011", "Libro IA en psiquiatría")</f>
        <v>Libro IA en psiquiatría</v>
      </c>
      <c r="C9526" s="3" t="str">
        <f>HYPERLINK("https://otsuka-europe-crm.veevavault.com/ui/#object/sent_email__v/VBL000000015658", "SE-001401467")</f>
        <v>SE-001401467</v>
      </c>
      <c r="D9526" s="1" t="s">
        <v>0</v>
      </c>
      <c r="E9526" s="2">
        <v>0</v>
      </c>
      <c r="F9526" s="2">
        <v>0</v>
      </c>
      <c r="G9526" s="2">
        <v>0</v>
      </c>
      <c r="H9526" s="1" t="s">
        <v>0</v>
      </c>
      <c r="I9526" s="2">
        <v>0</v>
      </c>
      <c r="J9526" s="1">
        <v>46049.379918981482</v>
      </c>
    </row>
    <row r="9527" spans="1:10" x14ac:dyDescent="0.2">
      <c r="A9527" s="4" t="s">
        <v>1</v>
      </c>
      <c r="B9527" s="3" t="str">
        <f>HYPERLINK("https://otsuka-europe-crm.veevavault.com/ui/#object/approved_document__v/V5O00000000L011", "Libro IA en psiquiatría")</f>
        <v>Libro IA en psiquiatría</v>
      </c>
      <c r="C9527" s="3" t="str">
        <f>HYPERLINK("https://otsuka-europe-crm.veevavault.com/ui/#object/sent_email__v/VBL000000015659", "SE-001401468")</f>
        <v>SE-001401468</v>
      </c>
      <c r="D9527" s="1">
        <v>46049.417662037034</v>
      </c>
      <c r="E9527" s="2">
        <v>1</v>
      </c>
      <c r="F9527" s="2">
        <v>2</v>
      </c>
      <c r="G9527" s="2">
        <v>0</v>
      </c>
      <c r="H9527" s="1" t="s">
        <v>0</v>
      </c>
      <c r="I9527" s="2">
        <v>0</v>
      </c>
      <c r="J9527" s="1">
        <v>46049.379814814813</v>
      </c>
    </row>
    <row r="9528" spans="1:10" x14ac:dyDescent="0.2">
      <c r="A9528" s="4" t="s">
        <v>1</v>
      </c>
      <c r="B9528" s="3" t="str">
        <f>HYPERLINK("https://otsuka-europe-crm.veevavault.com/ui/#object/approved_document__v/V5O00000000L011", "Libro IA en psiquiatría")</f>
        <v>Libro IA en psiquiatría</v>
      </c>
      <c r="C9528" s="3" t="str">
        <f>HYPERLINK("https://otsuka-europe-crm.veevavault.com/ui/#object/sent_email__v/VBL000000015660", "SE-001401469")</f>
        <v>SE-001401469</v>
      </c>
      <c r="D9528" s="1" t="s">
        <v>0</v>
      </c>
      <c r="E9528" s="2">
        <v>0</v>
      </c>
      <c r="F9528" s="2">
        <v>0</v>
      </c>
      <c r="G9528" s="2">
        <v>0</v>
      </c>
      <c r="H9528" s="1" t="s">
        <v>0</v>
      </c>
      <c r="I9528" s="2">
        <v>0</v>
      </c>
      <c r="J9528" s="1">
        <v>46049.379918981482</v>
      </c>
    </row>
    <row r="9529" spans="1:10" x14ac:dyDescent="0.2">
      <c r="A9529" s="4" t="s">
        <v>1</v>
      </c>
      <c r="B9529" s="3" t="str">
        <f>HYPERLINK("https://otsuka-europe-crm.veevavault.com/ui/#object/approved_document__v/V5O00000000L011", "Libro IA en psiquiatría")</f>
        <v>Libro IA en psiquiatría</v>
      </c>
      <c r="C9529" s="3" t="str">
        <f>HYPERLINK("https://otsuka-europe-crm.veevavault.com/ui/#object/sent_email__v/VBL000000015661", "SE-001401470")</f>
        <v>SE-001401470</v>
      </c>
      <c r="D9529" s="1">
        <v>46049.398900462962</v>
      </c>
      <c r="E9529" s="2">
        <v>1</v>
      </c>
      <c r="F9529" s="2">
        <v>2</v>
      </c>
      <c r="G9529" s="2">
        <v>1</v>
      </c>
      <c r="H9529" s="1">
        <v>46049.399143518516</v>
      </c>
      <c r="I9529" s="2">
        <v>1</v>
      </c>
      <c r="J9529" s="1">
        <v>46049.379872685182</v>
      </c>
    </row>
    <row r="9530" spans="1:10" x14ac:dyDescent="0.2">
      <c r="A9530" s="4" t="s">
        <v>1</v>
      </c>
      <c r="B9530" s="3" t="str">
        <f>HYPERLINK("https://otsuka-europe-crm.veevavault.com/ui/#object/approved_document__v/V5O00000000L011", "Libro IA en psiquiatría")</f>
        <v>Libro IA en psiquiatría</v>
      </c>
      <c r="C9530" s="3" t="str">
        <f>HYPERLINK("https://otsuka-europe-crm.veevavault.com/ui/#object/sent_email__v/VBL000000015662", "SE-001401471")</f>
        <v>SE-001401471</v>
      </c>
      <c r="D9530" s="1" t="s">
        <v>0</v>
      </c>
      <c r="E9530" s="2">
        <v>0</v>
      </c>
      <c r="F9530" s="2">
        <v>0</v>
      </c>
      <c r="G9530" s="2">
        <v>0</v>
      </c>
      <c r="H9530" s="1" t="s">
        <v>0</v>
      </c>
      <c r="I9530" s="2">
        <v>0</v>
      </c>
      <c r="J9530" s="1">
        <v>46049.379884259259</v>
      </c>
    </row>
    <row r="9531" spans="1:10" x14ac:dyDescent="0.2">
      <c r="A9531" s="4" t="s">
        <v>1</v>
      </c>
      <c r="B9531" s="3" t="str">
        <f>HYPERLINK("https://otsuka-europe-crm.veevavault.com/ui/#object/approved_document__v/V5O00000000L011", "Libro IA en psiquiatría")</f>
        <v>Libro IA en psiquiatría</v>
      </c>
      <c r="C9531" s="3" t="str">
        <f>HYPERLINK("https://otsuka-europe-crm.veevavault.com/ui/#object/sent_email__v/VBL000000015663", "SE-001401472")</f>
        <v>SE-001401472</v>
      </c>
      <c r="D9531" s="1" t="s">
        <v>0</v>
      </c>
      <c r="E9531" s="2">
        <v>0</v>
      </c>
      <c r="F9531" s="2">
        <v>0</v>
      </c>
      <c r="G9531" s="2">
        <v>0</v>
      </c>
      <c r="H9531" s="1" t="s">
        <v>0</v>
      </c>
      <c r="I9531" s="2">
        <v>0</v>
      </c>
      <c r="J9531" s="1">
        <v>46049.379872685182</v>
      </c>
    </row>
    <row r="9532" spans="1:10" x14ac:dyDescent="0.2">
      <c r="A9532" s="4" t="s">
        <v>1</v>
      </c>
      <c r="B9532" s="3" t="str">
        <f>HYPERLINK("https://otsuka-europe-crm.veevavault.com/ui/#object/approved_document__v/V5O00000000L011", "Libro IA en psiquiatría")</f>
        <v>Libro IA en psiquiatría</v>
      </c>
      <c r="C9532" s="3" t="str">
        <f>HYPERLINK("https://otsuka-europe-crm.veevavault.com/ui/#object/sent_email__v/VBL000000015664", "SE-001401473")</f>
        <v>SE-001401473</v>
      </c>
      <c r="D9532" s="1">
        <v>46049.773587962962</v>
      </c>
      <c r="E9532" s="2">
        <v>1</v>
      </c>
      <c r="F9532" s="2">
        <v>1</v>
      </c>
      <c r="G9532" s="2">
        <v>0</v>
      </c>
      <c r="H9532" s="1" t="s">
        <v>0</v>
      </c>
      <c r="I9532" s="2">
        <v>0</v>
      </c>
      <c r="J9532" s="1">
        <v>46049.379861111112</v>
      </c>
    </row>
    <row r="9533" spans="1:10" x14ac:dyDescent="0.2">
      <c r="A9533" s="4" t="s">
        <v>1</v>
      </c>
      <c r="B9533" s="3" t="str">
        <f>HYPERLINK("https://otsuka-europe-crm.veevavault.com/ui/#object/approved_document__v/V5O00000000L011", "Libro IA en psiquiatría")</f>
        <v>Libro IA en psiquiatría</v>
      </c>
      <c r="C9533" s="3" t="str">
        <f>HYPERLINK("https://otsuka-europe-crm.veevavault.com/ui/#object/sent_email__v/VBL000000015665", "SE-001401474")</f>
        <v>SE-001401474</v>
      </c>
      <c r="D9533" s="1">
        <v>46049.433009259257</v>
      </c>
      <c r="E9533" s="2">
        <v>1</v>
      </c>
      <c r="F9533" s="2">
        <v>1</v>
      </c>
      <c r="G9533" s="2">
        <v>0</v>
      </c>
      <c r="H9533" s="1" t="s">
        <v>0</v>
      </c>
      <c r="I9533" s="2">
        <v>0</v>
      </c>
      <c r="J9533" s="1">
        <v>46049.379872685182</v>
      </c>
    </row>
    <row r="9534" spans="1:10" x14ac:dyDescent="0.2">
      <c r="A9534" s="4" t="s">
        <v>1</v>
      </c>
      <c r="B9534" s="3" t="str">
        <f>HYPERLINK("https://otsuka-europe-crm.veevavault.com/ui/#object/approved_document__v/V5O00000000L011", "Libro IA en psiquiatría")</f>
        <v>Libro IA en psiquiatría</v>
      </c>
      <c r="C9534" s="3" t="str">
        <f>HYPERLINK("https://otsuka-europe-crm.veevavault.com/ui/#object/sent_email__v/VBL000000015666", "SE-001401475")</f>
        <v>SE-001401475</v>
      </c>
      <c r="D9534" s="1" t="s">
        <v>0</v>
      </c>
      <c r="E9534" s="2">
        <v>0</v>
      </c>
      <c r="F9534" s="2">
        <v>0</v>
      </c>
      <c r="G9534" s="2">
        <v>0</v>
      </c>
      <c r="H9534" s="1" t="s">
        <v>0</v>
      </c>
      <c r="I9534" s="2">
        <v>0</v>
      </c>
      <c r="J9534" s="1">
        <v>46049.379907407405</v>
      </c>
    </row>
    <row r="9535" spans="1:10" x14ac:dyDescent="0.2">
      <c r="A9535" s="4" t="s">
        <v>1</v>
      </c>
      <c r="B9535" s="3" t="str">
        <f>HYPERLINK("https://otsuka-europe-crm.veevavault.com/ui/#object/approved_document__v/V5O00000000L011", "Libro IA en psiquiatría")</f>
        <v>Libro IA en psiquiatría</v>
      </c>
      <c r="C9535" s="3" t="str">
        <f>HYPERLINK("https://otsuka-europe-crm.veevavault.com/ui/#object/sent_email__v/VBL000000015667", "SE-001401476")</f>
        <v>SE-001401476</v>
      </c>
      <c r="D9535" s="1">
        <v>46050.296747685185</v>
      </c>
      <c r="E9535" s="2">
        <v>1</v>
      </c>
      <c r="F9535" s="2">
        <v>1</v>
      </c>
      <c r="G9535" s="2">
        <v>0</v>
      </c>
      <c r="H9535" s="1" t="s">
        <v>0</v>
      </c>
      <c r="I9535" s="2">
        <v>0</v>
      </c>
      <c r="J9535" s="1">
        <v>46049.379872685182</v>
      </c>
    </row>
    <row r="9536" spans="1:10" x14ac:dyDescent="0.2">
      <c r="A9536" s="4" t="s">
        <v>1</v>
      </c>
      <c r="B9536" s="3" t="str">
        <f>HYPERLINK("https://otsuka-europe-crm.veevavault.com/ui/#object/approved_document__v/V5O00000000L011", "Libro IA en psiquiatría")</f>
        <v>Libro IA en psiquiatría</v>
      </c>
      <c r="C9536" s="3" t="str">
        <f>HYPERLINK("https://otsuka-europe-crm.veevavault.com/ui/#object/sent_email__v/VBL000000015668", "SE-001401477")</f>
        <v>SE-001401477</v>
      </c>
      <c r="D9536" s="1" t="s">
        <v>0</v>
      </c>
      <c r="E9536" s="2">
        <v>0</v>
      </c>
      <c r="F9536" s="2">
        <v>0</v>
      </c>
      <c r="G9536" s="2">
        <v>0</v>
      </c>
      <c r="H9536" s="1" t="s">
        <v>0</v>
      </c>
      <c r="I9536" s="2">
        <v>0</v>
      </c>
      <c r="J9536" s="1">
        <v>46049.379861111112</v>
      </c>
    </row>
    <row r="9537" spans="1:10" x14ac:dyDescent="0.2">
      <c r="A9537" s="4" t="s">
        <v>1</v>
      </c>
      <c r="B9537" s="3" t="str">
        <f>HYPERLINK("https://otsuka-europe-crm.veevavault.com/ui/#object/approved_document__v/V5O00000000L011", "Libro IA en psiquiatría")</f>
        <v>Libro IA en psiquiatría</v>
      </c>
      <c r="C9537" s="3" t="str">
        <f>HYPERLINK("https://otsuka-europe-crm.veevavault.com/ui/#object/sent_email__v/VBL000000015669", "SE-001401478")</f>
        <v>SE-001401478</v>
      </c>
      <c r="D9537" s="1">
        <v>46067.770578703705</v>
      </c>
      <c r="E9537" s="2">
        <v>1</v>
      </c>
      <c r="F9537" s="2">
        <v>1</v>
      </c>
      <c r="G9537" s="2">
        <v>0</v>
      </c>
      <c r="H9537" s="1" t="s">
        <v>0</v>
      </c>
      <c r="I9537" s="2">
        <v>0</v>
      </c>
      <c r="J9537" s="1">
        <v>46049.379861111112</v>
      </c>
    </row>
    <row r="9538" spans="1:10" x14ac:dyDescent="0.2">
      <c r="A9538" s="4" t="s">
        <v>1</v>
      </c>
      <c r="B9538" s="3" t="str">
        <f>HYPERLINK("https://otsuka-europe-crm.veevavault.com/ui/#object/approved_document__v/V5O00000000L011", "Libro IA en psiquiatría")</f>
        <v>Libro IA en psiquiatría</v>
      </c>
      <c r="C9538" s="3" t="str">
        <f>HYPERLINK("https://otsuka-europe-crm.veevavault.com/ui/#object/sent_email__v/VBL000000015670", "SE-001401479")</f>
        <v>SE-001401479</v>
      </c>
      <c r="D9538" s="1">
        <v>46049.549826388888</v>
      </c>
      <c r="E9538" s="2">
        <v>1</v>
      </c>
      <c r="F9538" s="2">
        <v>5</v>
      </c>
      <c r="G9538" s="2">
        <v>0</v>
      </c>
      <c r="H9538" s="1" t="s">
        <v>0</v>
      </c>
      <c r="I9538" s="2">
        <v>0</v>
      </c>
      <c r="J9538" s="1">
        <v>46049.379918981482</v>
      </c>
    </row>
    <row r="9539" spans="1:10" x14ac:dyDescent="0.2">
      <c r="A9539" s="4" t="s">
        <v>1</v>
      </c>
      <c r="B9539" s="3" t="str">
        <f>HYPERLINK("https://otsuka-europe-crm.veevavault.com/ui/#object/approved_document__v/V5O00000000L011", "Libro IA en psiquiatría")</f>
        <v>Libro IA en psiquiatría</v>
      </c>
      <c r="C9539" s="3" t="str">
        <f>HYPERLINK("https://otsuka-europe-crm.veevavault.com/ui/#object/sent_email__v/VBL000000015671", "SE-001401480")</f>
        <v>SE-001401480</v>
      </c>
      <c r="D9539" s="1" t="s">
        <v>0</v>
      </c>
      <c r="E9539" s="2">
        <v>0</v>
      </c>
      <c r="F9539" s="2">
        <v>0</v>
      </c>
      <c r="G9539" s="2">
        <v>0</v>
      </c>
      <c r="H9539" s="1" t="s">
        <v>0</v>
      </c>
      <c r="I9539" s="2">
        <v>0</v>
      </c>
      <c r="J9539" s="1">
        <v>46049.379942129628</v>
      </c>
    </row>
    <row r="9540" spans="1:10" x14ac:dyDescent="0.2">
      <c r="A9540" s="4" t="s">
        <v>1</v>
      </c>
      <c r="B9540" s="3" t="str">
        <f>HYPERLINK("https://otsuka-europe-crm.veevavault.com/ui/#object/approved_document__v/V5O00000000L011", "Libro IA en psiquiatría")</f>
        <v>Libro IA en psiquiatría</v>
      </c>
      <c r="C9540" s="3" t="str">
        <f>HYPERLINK("https://otsuka-europe-crm.veevavault.com/ui/#object/sent_email__v/VBL000000015672", "SE-001401481")</f>
        <v>SE-001401481</v>
      </c>
      <c r="D9540" s="1" t="s">
        <v>0</v>
      </c>
      <c r="E9540" s="2">
        <v>0</v>
      </c>
      <c r="F9540" s="2">
        <v>0</v>
      </c>
      <c r="G9540" s="2">
        <v>0</v>
      </c>
      <c r="H9540" s="1" t="s">
        <v>0</v>
      </c>
      <c r="I9540" s="2">
        <v>0</v>
      </c>
      <c r="J9540" s="1">
        <v>46049.379861111112</v>
      </c>
    </row>
    <row r="9541" spans="1:10" x14ac:dyDescent="0.2">
      <c r="A9541" s="4" t="s">
        <v>1</v>
      </c>
      <c r="B9541" s="3" t="str">
        <f>HYPERLINK("https://otsuka-europe-crm.veevavault.com/ui/#object/approved_document__v/V5O00000000L011", "Libro IA en psiquiatría")</f>
        <v>Libro IA en psiquiatría</v>
      </c>
      <c r="C9541" s="3" t="str">
        <f>HYPERLINK("https://otsuka-europe-crm.veevavault.com/ui/#object/sent_email__v/VBL000000015673", "SE-001401482")</f>
        <v>SE-001401482</v>
      </c>
      <c r="D9541" s="1">
        <v>46049.574282407404</v>
      </c>
      <c r="E9541" s="2">
        <v>1</v>
      </c>
      <c r="F9541" s="2">
        <v>1</v>
      </c>
      <c r="G9541" s="2">
        <v>0</v>
      </c>
      <c r="H9541" s="1" t="s">
        <v>0</v>
      </c>
      <c r="I9541" s="2">
        <v>0</v>
      </c>
      <c r="J9541" s="1">
        <v>46049.379861111112</v>
      </c>
    </row>
    <row r="9542" spans="1:10" x14ac:dyDescent="0.2">
      <c r="A9542" s="4" t="s">
        <v>1</v>
      </c>
      <c r="B9542" s="3" t="str">
        <f>HYPERLINK("https://otsuka-europe-crm.veevavault.com/ui/#object/approved_document__v/V5O00000000L011", "Libro IA en psiquiatría")</f>
        <v>Libro IA en psiquiatría</v>
      </c>
      <c r="C9542" s="3" t="str">
        <f>HYPERLINK("https://otsuka-europe-crm.veevavault.com/ui/#object/sent_email__v/VBL000000015674", "SE-001401483")</f>
        <v>SE-001401483</v>
      </c>
      <c r="D9542" s="1">
        <v>46055.767500000002</v>
      </c>
      <c r="E9542" s="2">
        <v>1</v>
      </c>
      <c r="F9542" s="2">
        <v>2</v>
      </c>
      <c r="G9542" s="2">
        <v>0</v>
      </c>
      <c r="H9542" s="1" t="s">
        <v>0</v>
      </c>
      <c r="I9542" s="2">
        <v>0</v>
      </c>
      <c r="J9542" s="1">
        <v>46049.379895833335</v>
      </c>
    </row>
    <row r="9543" spans="1:10" x14ac:dyDescent="0.2">
      <c r="A9543" s="4" t="s">
        <v>1</v>
      </c>
      <c r="B9543" s="3" t="str">
        <f>HYPERLINK("https://otsuka-europe-crm.veevavault.com/ui/#object/approved_document__v/V5O00000000L011", "Libro IA en psiquiatría")</f>
        <v>Libro IA en psiquiatría</v>
      </c>
      <c r="C9543" s="3" t="str">
        <f>HYPERLINK("https://otsuka-europe-crm.veevavault.com/ui/#object/sent_email__v/VBL000000015675", "SE-001401484")</f>
        <v>SE-001401484</v>
      </c>
      <c r="D9543" s="1">
        <v>46049.423506944448</v>
      </c>
      <c r="E9543" s="2">
        <v>1</v>
      </c>
      <c r="F9543" s="2">
        <v>1</v>
      </c>
      <c r="G9543" s="2">
        <v>0</v>
      </c>
      <c r="H9543" s="1" t="s">
        <v>0</v>
      </c>
      <c r="I9543" s="2">
        <v>0</v>
      </c>
      <c r="J9543" s="1">
        <v>46049.379826388889</v>
      </c>
    </row>
    <row r="9544" spans="1:10" x14ac:dyDescent="0.2">
      <c r="A9544" s="4" t="s">
        <v>1</v>
      </c>
      <c r="B9544" s="3" t="str">
        <f>HYPERLINK("https://otsuka-europe-crm.veevavault.com/ui/#object/approved_document__v/V5O00000000L011", "Libro IA en psiquiatría")</f>
        <v>Libro IA en psiquiatría</v>
      </c>
      <c r="C9544" s="3" t="str">
        <f>HYPERLINK("https://otsuka-europe-crm.veevavault.com/ui/#object/sent_email__v/VBL000000015676", "SE-001401485")</f>
        <v>SE-001401485</v>
      </c>
      <c r="D9544" s="1">
        <v>46072.059502314813</v>
      </c>
      <c r="E9544" s="2">
        <v>1</v>
      </c>
      <c r="F9544" s="2">
        <v>5</v>
      </c>
      <c r="G9544" s="2">
        <v>0</v>
      </c>
      <c r="H9544" s="1" t="s">
        <v>0</v>
      </c>
      <c r="I9544" s="2">
        <v>0</v>
      </c>
      <c r="J9544" s="1">
        <v>46049.379907407405</v>
      </c>
    </row>
    <row r="9545" spans="1:10" x14ac:dyDescent="0.2">
      <c r="A9545" s="4" t="s">
        <v>1</v>
      </c>
      <c r="B9545" s="3" t="str">
        <f>HYPERLINK("https://otsuka-europe-crm.veevavault.com/ui/#object/approved_document__v/V5O00000000L011", "Libro IA en psiquiatría")</f>
        <v>Libro IA en psiquiatría</v>
      </c>
      <c r="C9545" s="3" t="str">
        <f>HYPERLINK("https://otsuka-europe-crm.veevavault.com/ui/#object/sent_email__v/VBL000000015677", "SE-001401486")</f>
        <v>SE-001401486</v>
      </c>
      <c r="D9545" s="1" t="s">
        <v>0</v>
      </c>
      <c r="E9545" s="2">
        <v>0</v>
      </c>
      <c r="F9545" s="2">
        <v>0</v>
      </c>
      <c r="G9545" s="2">
        <v>0</v>
      </c>
      <c r="H9545" s="1" t="s">
        <v>0</v>
      </c>
      <c r="I9545" s="2">
        <v>0</v>
      </c>
      <c r="J9545" s="1">
        <v>46049.379861111112</v>
      </c>
    </row>
    <row r="9546" spans="1:10" x14ac:dyDescent="0.2">
      <c r="A9546" s="4" t="s">
        <v>1</v>
      </c>
      <c r="B9546" s="3" t="str">
        <f>HYPERLINK("https://otsuka-europe-crm.veevavault.com/ui/#object/approved_document__v/V5O00000000L011", "Libro IA en psiquiatría")</f>
        <v>Libro IA en psiquiatría</v>
      </c>
      <c r="C9546" s="3" t="str">
        <f>HYPERLINK("https://otsuka-europe-crm.veevavault.com/ui/#object/sent_email__v/VBL000000015678", "SE-001401487")</f>
        <v>SE-001401487</v>
      </c>
      <c r="D9546" s="1">
        <v>46049.716805555552</v>
      </c>
      <c r="E9546" s="2">
        <v>1</v>
      </c>
      <c r="F9546" s="2">
        <v>2</v>
      </c>
      <c r="G9546" s="2">
        <v>0</v>
      </c>
      <c r="H9546" s="1" t="s">
        <v>0</v>
      </c>
      <c r="I9546" s="2">
        <v>0</v>
      </c>
      <c r="J9546" s="1">
        <v>46049.379930555559</v>
      </c>
    </row>
    <row r="9547" spans="1:10" x14ac:dyDescent="0.2">
      <c r="A9547" s="4" t="s">
        <v>1</v>
      </c>
      <c r="B9547" s="3" t="str">
        <f>HYPERLINK("https://otsuka-europe-crm.veevavault.com/ui/#object/approved_document__v/V5O00000000L011", "Libro IA en psiquiatría")</f>
        <v>Libro IA en psiquiatría</v>
      </c>
      <c r="C9547" s="3" t="str">
        <f>HYPERLINK("https://otsuka-europe-crm.veevavault.com/ui/#object/sent_email__v/VBL000000015679", "SE-001401488")</f>
        <v>SE-001401488</v>
      </c>
      <c r="D9547" s="1">
        <v>46049.785069444442</v>
      </c>
      <c r="E9547" s="2">
        <v>1</v>
      </c>
      <c r="F9547" s="2">
        <v>1</v>
      </c>
      <c r="G9547" s="2">
        <v>0</v>
      </c>
      <c r="H9547" s="1" t="s">
        <v>0</v>
      </c>
      <c r="I9547" s="2">
        <v>0</v>
      </c>
      <c r="J9547" s="1">
        <v>46049.379861111112</v>
      </c>
    </row>
    <row r="9548" spans="1:10" x14ac:dyDescent="0.2">
      <c r="A9548" s="4" t="s">
        <v>1</v>
      </c>
      <c r="B9548" s="3" t="str">
        <f>HYPERLINK("https://otsuka-europe-crm.veevavault.com/ui/#object/approved_document__v/V5O00000000L011", "Libro IA en psiquiatría")</f>
        <v>Libro IA en psiquiatría</v>
      </c>
      <c r="C9548" s="3" t="str">
        <f>HYPERLINK("https://otsuka-europe-crm.veevavault.com/ui/#object/sent_email__v/VBL000000015680", "SE-001401489")</f>
        <v>SE-001401489</v>
      </c>
      <c r="D9548" s="1">
        <v>46049.842268518521</v>
      </c>
      <c r="E9548" s="2">
        <v>1</v>
      </c>
      <c r="F9548" s="2">
        <v>1</v>
      </c>
      <c r="G9548" s="2">
        <v>0</v>
      </c>
      <c r="H9548" s="1" t="s">
        <v>0</v>
      </c>
      <c r="I9548" s="2">
        <v>0</v>
      </c>
      <c r="J9548" s="1">
        <v>46049.379814814813</v>
      </c>
    </row>
    <row r="9549" spans="1:10" x14ac:dyDescent="0.2">
      <c r="A9549" s="4" t="s">
        <v>1</v>
      </c>
      <c r="B9549" s="3" t="str">
        <f>HYPERLINK("https://otsuka-europe-crm.veevavault.com/ui/#object/approved_document__v/V5O00000000L011", "Libro IA en psiquiatría")</f>
        <v>Libro IA en psiquiatría</v>
      </c>
      <c r="C9549" s="3" t="str">
        <f>HYPERLINK("https://otsuka-europe-crm.veevavault.com/ui/#object/sent_email__v/VBL000000015681", "SE-001401490")</f>
        <v>SE-001401490</v>
      </c>
      <c r="D9549" s="1" t="s">
        <v>0</v>
      </c>
      <c r="E9549" s="2">
        <v>0</v>
      </c>
      <c r="F9549" s="2">
        <v>0</v>
      </c>
      <c r="G9549" s="2">
        <v>0</v>
      </c>
      <c r="H9549" s="1" t="s">
        <v>0</v>
      </c>
      <c r="I9549" s="2">
        <v>0</v>
      </c>
      <c r="J9549" s="1">
        <v>46049.379814814813</v>
      </c>
    </row>
    <row r="9550" spans="1:10" x14ac:dyDescent="0.2">
      <c r="A9550" s="4" t="s">
        <v>1</v>
      </c>
      <c r="B9550" s="3" t="str">
        <f>HYPERLINK("https://otsuka-europe-crm.veevavault.com/ui/#object/approved_document__v/V5O00000000L011", "Libro IA en psiquiatría")</f>
        <v>Libro IA en psiquiatría</v>
      </c>
      <c r="C9550" s="3" t="str">
        <f>HYPERLINK("https://otsuka-europe-crm.veevavault.com/ui/#object/sent_email__v/VBL000000015682", "SE-001401491")</f>
        <v>SE-001401491</v>
      </c>
      <c r="D9550" s="1">
        <v>46049.39403935185</v>
      </c>
      <c r="E9550" s="2">
        <v>1</v>
      </c>
      <c r="F9550" s="2">
        <v>2</v>
      </c>
      <c r="G9550" s="2">
        <v>1</v>
      </c>
      <c r="H9550" s="1">
        <v>46049.393958333334</v>
      </c>
      <c r="I9550" s="2">
        <v>1</v>
      </c>
      <c r="J9550" s="1">
        <v>46049.379826388889</v>
      </c>
    </row>
    <row r="9551" spans="1:10" x14ac:dyDescent="0.2">
      <c r="A9551" s="4" t="s">
        <v>1</v>
      </c>
      <c r="B9551" s="3" t="str">
        <f>HYPERLINK("https://otsuka-europe-crm.veevavault.com/ui/#object/approved_document__v/V5O00000000L011", "Libro IA en psiquiatría")</f>
        <v>Libro IA en psiquiatría</v>
      </c>
      <c r="C9551" s="3" t="str">
        <f>HYPERLINK("https://otsuka-europe-crm.veevavault.com/ui/#object/sent_email__v/VBL000000015683", "SE-001401492")</f>
        <v>SE-001401492</v>
      </c>
      <c r="D9551" s="1" t="s">
        <v>0</v>
      </c>
      <c r="E9551" s="2">
        <v>0</v>
      </c>
      <c r="F9551" s="2">
        <v>0</v>
      </c>
      <c r="G9551" s="2">
        <v>0</v>
      </c>
      <c r="H9551" s="1" t="s">
        <v>0</v>
      </c>
      <c r="I9551" s="2">
        <v>0</v>
      </c>
      <c r="J9551" s="1">
        <v>46049.379930555559</v>
      </c>
    </row>
    <row r="9552" spans="1:10" x14ac:dyDescent="0.2">
      <c r="A9552" s="4" t="s">
        <v>1</v>
      </c>
      <c r="B9552" s="3" t="str">
        <f>HYPERLINK("https://otsuka-europe-crm.veevavault.com/ui/#object/approved_document__v/V5O00000000L011", "Libro IA en psiquiatría")</f>
        <v>Libro IA en psiquiatría</v>
      </c>
      <c r="C9552" s="3" t="str">
        <f>HYPERLINK("https://otsuka-europe-crm.veevavault.com/ui/#object/sent_email__v/VBL000000015684", "SE-001401493")</f>
        <v>SE-001401493</v>
      </c>
      <c r="D9552" s="1" t="s">
        <v>0</v>
      </c>
      <c r="E9552" s="2">
        <v>0</v>
      </c>
      <c r="F9552" s="2">
        <v>0</v>
      </c>
      <c r="G9552" s="2">
        <v>0</v>
      </c>
      <c r="H9552" s="1" t="s">
        <v>0</v>
      </c>
      <c r="I9552" s="2">
        <v>0</v>
      </c>
      <c r="J9552" s="1">
        <v>46049.379826388889</v>
      </c>
    </row>
    <row r="9553" spans="1:10" x14ac:dyDescent="0.2">
      <c r="A9553" s="4" t="s">
        <v>1</v>
      </c>
      <c r="B9553" s="3" t="str">
        <f>HYPERLINK("https://otsuka-europe-crm.veevavault.com/ui/#object/approved_document__v/V5O00000000L011", "Libro IA en psiquiatría")</f>
        <v>Libro IA en psiquiatría</v>
      </c>
      <c r="C9553" s="3" t="str">
        <f>HYPERLINK("https://otsuka-europe-crm.veevavault.com/ui/#object/sent_email__v/VBL000000015685", "SE-001401494")</f>
        <v>SE-001401494</v>
      </c>
      <c r="D9553" s="1">
        <v>46049.835648148146</v>
      </c>
      <c r="E9553" s="2">
        <v>1</v>
      </c>
      <c r="F9553" s="2">
        <v>2</v>
      </c>
      <c r="G9553" s="2">
        <v>1</v>
      </c>
      <c r="H9553" s="1">
        <v>46049.402812499997</v>
      </c>
      <c r="I9553" s="2">
        <v>2</v>
      </c>
      <c r="J9553" s="1">
        <v>46049.379826388889</v>
      </c>
    </row>
    <row r="9554" spans="1:10" x14ac:dyDescent="0.2">
      <c r="A9554" s="4" t="s">
        <v>1</v>
      </c>
      <c r="B9554" s="3" t="str">
        <f>HYPERLINK("https://otsuka-europe-crm.veevavault.com/ui/#object/approved_document__v/V5O00000000L011", "Libro IA en psiquiatría")</f>
        <v>Libro IA en psiquiatría</v>
      </c>
      <c r="C9554" s="3" t="str">
        <f>HYPERLINK("https://otsuka-europe-crm.veevavault.com/ui/#object/sent_email__v/VBL000000015686", "SE-001401495")</f>
        <v>SE-001401495</v>
      </c>
      <c r="D9554" s="1">
        <v>46050.344212962962</v>
      </c>
      <c r="E9554" s="2">
        <v>1</v>
      </c>
      <c r="F9554" s="2">
        <v>1</v>
      </c>
      <c r="G9554" s="2">
        <v>1</v>
      </c>
      <c r="H9554" s="1">
        <v>46050.344375000001</v>
      </c>
      <c r="I9554" s="2">
        <v>1</v>
      </c>
      <c r="J9554" s="1">
        <v>46049.379814814813</v>
      </c>
    </row>
    <row r="9555" spans="1:10" x14ac:dyDescent="0.2">
      <c r="A9555" s="4" t="s">
        <v>1</v>
      </c>
      <c r="B9555" s="3" t="str">
        <f>HYPERLINK("https://otsuka-europe-crm.veevavault.com/ui/#object/approved_document__v/V5O00000000L011", "Libro IA en psiquiatría")</f>
        <v>Libro IA en psiquiatría</v>
      </c>
      <c r="C9555" s="3" t="str">
        <f>HYPERLINK("https://otsuka-europe-crm.veevavault.com/ui/#object/sent_email__v/VBL000000015687", "SE-001401496")</f>
        <v>SE-001401496</v>
      </c>
      <c r="D9555" s="1">
        <v>46071.011979166666</v>
      </c>
      <c r="E9555" s="2">
        <v>1</v>
      </c>
      <c r="F9555" s="2">
        <v>3</v>
      </c>
      <c r="G9555" s="2">
        <v>1</v>
      </c>
      <c r="H9555" s="1">
        <v>46049.807835648149</v>
      </c>
      <c r="I9555" s="2">
        <v>1</v>
      </c>
      <c r="J9555" s="1">
        <v>46049.379814814813</v>
      </c>
    </row>
    <row r="9556" spans="1:10" x14ac:dyDescent="0.2">
      <c r="A9556" s="4" t="s">
        <v>1</v>
      </c>
      <c r="B9556" s="3" t="str">
        <f>HYPERLINK("https://otsuka-europe-crm.veevavault.com/ui/#object/approved_document__v/V5O00000000L011", "Libro IA en psiquiatría")</f>
        <v>Libro IA en psiquiatría</v>
      </c>
      <c r="C9556" s="3" t="str">
        <f>HYPERLINK("https://otsuka-europe-crm.veevavault.com/ui/#object/sent_email__v/VBL000000015688", "SE-001401497")</f>
        <v>SE-001401497</v>
      </c>
      <c r="D9556" s="1">
        <v>46049.525706018518</v>
      </c>
      <c r="E9556" s="2">
        <v>1</v>
      </c>
      <c r="F9556" s="2">
        <v>1</v>
      </c>
      <c r="G9556" s="2">
        <v>1</v>
      </c>
      <c r="H9556" s="1">
        <v>46051.623784722222</v>
      </c>
      <c r="I9556" s="2">
        <v>1</v>
      </c>
      <c r="J9556" s="1">
        <v>46049.379826388889</v>
      </c>
    </row>
    <row r="9557" spans="1:10" x14ac:dyDescent="0.2">
      <c r="A9557" s="4" t="s">
        <v>1</v>
      </c>
      <c r="B9557" s="3" t="str">
        <f>HYPERLINK("https://otsuka-europe-crm.veevavault.com/ui/#object/approved_document__v/V5O00000000L011", "Libro IA en psiquiatría")</f>
        <v>Libro IA en psiquiatría</v>
      </c>
      <c r="C9557" s="3" t="str">
        <f>HYPERLINK("https://otsuka-europe-crm.veevavault.com/ui/#object/sent_email__v/VBL000000015690", "SE-001401499")</f>
        <v>SE-001401499</v>
      </c>
      <c r="D9557" s="1" t="s">
        <v>0</v>
      </c>
      <c r="E9557" s="2">
        <v>0</v>
      </c>
      <c r="F9557" s="2">
        <v>0</v>
      </c>
      <c r="G9557" s="2">
        <v>0</v>
      </c>
      <c r="H9557" s="1" t="s">
        <v>0</v>
      </c>
      <c r="I9557" s="2">
        <v>0</v>
      </c>
      <c r="J9557" s="1">
        <v>46049.379918981482</v>
      </c>
    </row>
    <row r="9558" spans="1:10" x14ac:dyDescent="0.2">
      <c r="A9558" s="4" t="s">
        <v>1</v>
      </c>
      <c r="B9558" s="3" t="str">
        <f>HYPERLINK("https://otsuka-europe-crm.veevavault.com/ui/#object/approved_document__v/V5O00000000L011", "Libro IA en psiquiatría")</f>
        <v>Libro IA en psiquiatría</v>
      </c>
      <c r="C9558" s="3" t="str">
        <f>HYPERLINK("https://otsuka-europe-crm.veevavault.com/ui/#object/sent_email__v/VBL000000015691", "SE-001401500")</f>
        <v>SE-001401500</v>
      </c>
      <c r="D9558" s="1" t="s">
        <v>0</v>
      </c>
      <c r="E9558" s="2">
        <v>0</v>
      </c>
      <c r="F9558" s="2">
        <v>0</v>
      </c>
      <c r="G9558" s="2">
        <v>0</v>
      </c>
      <c r="H9558" s="1" t="s">
        <v>0</v>
      </c>
      <c r="I9558" s="2">
        <v>0</v>
      </c>
      <c r="J9558" s="1">
        <v>46049.379965277774</v>
      </c>
    </row>
    <row r="9559" spans="1:10" x14ac:dyDescent="0.2">
      <c r="A9559" s="4" t="s">
        <v>1</v>
      </c>
      <c r="B9559" s="3" t="str">
        <f>HYPERLINK("https://otsuka-europe-crm.veevavault.com/ui/#object/approved_document__v/V5O00000000L011", "Libro IA en psiquiatría")</f>
        <v>Libro IA en psiquiatría</v>
      </c>
      <c r="C9559" s="3" t="str">
        <f>HYPERLINK("https://otsuka-europe-crm.veevavault.com/ui/#object/sent_email__v/VBL000000015692", "SE-001401501")</f>
        <v>SE-001401501</v>
      </c>
      <c r="D9559" s="1">
        <v>46049.780312499999</v>
      </c>
      <c r="E9559" s="2">
        <v>1</v>
      </c>
      <c r="F9559" s="2">
        <v>3</v>
      </c>
      <c r="G9559" s="2">
        <v>0</v>
      </c>
      <c r="H9559" s="1" t="s">
        <v>0</v>
      </c>
      <c r="I9559" s="2">
        <v>0</v>
      </c>
      <c r="J9559" s="1">
        <v>46049.379872685182</v>
      </c>
    </row>
    <row r="9560" spans="1:10" x14ac:dyDescent="0.2">
      <c r="A9560" s="4" t="s">
        <v>1</v>
      </c>
      <c r="B9560" s="3" t="str">
        <f>HYPERLINK("https://otsuka-europe-crm.veevavault.com/ui/#object/approved_document__v/V5O00000000L011", "Libro IA en psiquiatría")</f>
        <v>Libro IA en psiquiatría</v>
      </c>
      <c r="C9560" s="3" t="str">
        <f>HYPERLINK("https://otsuka-europe-crm.veevavault.com/ui/#object/sent_email__v/VBL000000015693", "SE-001401502")</f>
        <v>SE-001401502</v>
      </c>
      <c r="D9560" s="1">
        <v>46049.74554398148</v>
      </c>
      <c r="E9560" s="2">
        <v>1</v>
      </c>
      <c r="F9560" s="2">
        <v>1</v>
      </c>
      <c r="G9560" s="2">
        <v>0</v>
      </c>
      <c r="H9560" s="1" t="s">
        <v>0</v>
      </c>
      <c r="I9560" s="2">
        <v>0</v>
      </c>
      <c r="J9560" s="1">
        <v>46049.379930555559</v>
      </c>
    </row>
    <row r="9561" spans="1:10" x14ac:dyDescent="0.2">
      <c r="A9561" s="4" t="s">
        <v>1</v>
      </c>
      <c r="B9561" s="3" t="str">
        <f>HYPERLINK("https://otsuka-europe-crm.veevavault.com/ui/#object/approved_document__v/V5O00000000L011", "Libro IA en psiquiatría")</f>
        <v>Libro IA en psiquiatría</v>
      </c>
      <c r="C9561" s="3" t="str">
        <f>HYPERLINK("https://otsuka-europe-crm.veevavault.com/ui/#object/sent_email__v/VBL000000015694", "SE-001401503")</f>
        <v>SE-001401503</v>
      </c>
      <c r="D9561" s="1">
        <v>46055.39638888889</v>
      </c>
      <c r="E9561" s="2">
        <v>1</v>
      </c>
      <c r="F9561" s="2">
        <v>1</v>
      </c>
      <c r="G9561" s="2">
        <v>0</v>
      </c>
      <c r="H9561" s="1" t="s">
        <v>0</v>
      </c>
      <c r="I9561" s="2">
        <v>0</v>
      </c>
      <c r="J9561" s="1">
        <v>46049.379918981482</v>
      </c>
    </row>
    <row r="9562" spans="1:10" x14ac:dyDescent="0.2">
      <c r="A9562" s="4" t="s">
        <v>1</v>
      </c>
      <c r="B9562" s="3" t="str">
        <f>HYPERLINK("https://otsuka-europe-crm.veevavault.com/ui/#object/approved_document__v/V5O00000000L011", "Libro IA en psiquiatría")</f>
        <v>Libro IA en psiquiatría</v>
      </c>
      <c r="C9562" s="3" t="str">
        <f>HYPERLINK("https://otsuka-europe-crm.veevavault.com/ui/#object/sent_email__v/VBL000000015695", "SE-001401504")</f>
        <v>SE-001401504</v>
      </c>
      <c r="D9562" s="1">
        <v>46049.78696759259</v>
      </c>
      <c r="E9562" s="2">
        <v>1</v>
      </c>
      <c r="F9562" s="2">
        <v>2</v>
      </c>
      <c r="G9562" s="2">
        <v>0</v>
      </c>
      <c r="H9562" s="1" t="s">
        <v>0</v>
      </c>
      <c r="I9562" s="2">
        <v>0</v>
      </c>
      <c r="J9562" s="1">
        <v>46049.379872685182</v>
      </c>
    </row>
    <row r="9563" spans="1:10" x14ac:dyDescent="0.2">
      <c r="A9563" s="4" t="s">
        <v>1</v>
      </c>
      <c r="B9563" s="3" t="str">
        <f>HYPERLINK("https://otsuka-europe-crm.veevavault.com/ui/#object/approved_document__v/V5O00000000L011", "Libro IA en psiquiatría")</f>
        <v>Libro IA en psiquiatría</v>
      </c>
      <c r="C9563" s="3" t="str">
        <f>HYPERLINK("https://otsuka-europe-crm.veevavault.com/ui/#object/sent_email__v/VBL000000015696", "SE-001401505")</f>
        <v>SE-001401505</v>
      </c>
      <c r="D9563" s="1" t="s">
        <v>0</v>
      </c>
      <c r="E9563" s="2">
        <v>0</v>
      </c>
      <c r="F9563" s="2">
        <v>0</v>
      </c>
      <c r="G9563" s="2">
        <v>0</v>
      </c>
      <c r="H9563" s="1" t="s">
        <v>0</v>
      </c>
      <c r="I9563" s="2">
        <v>0</v>
      </c>
      <c r="J9563" s="1">
        <v>46049.379884259259</v>
      </c>
    </row>
    <row r="9564" spans="1:10" x14ac:dyDescent="0.2">
      <c r="A9564" s="4" t="s">
        <v>1</v>
      </c>
      <c r="B9564" s="3" t="str">
        <f>HYPERLINK("https://otsuka-europe-crm.veevavault.com/ui/#object/approved_document__v/V5O00000000L011", "Libro IA en psiquiatría")</f>
        <v>Libro IA en psiquiatría</v>
      </c>
      <c r="C9564" s="3" t="str">
        <f>HYPERLINK("https://otsuka-europe-crm.veevavault.com/ui/#object/sent_email__v/VBL000000015697", "SE-001401506")</f>
        <v>SE-001401506</v>
      </c>
      <c r="D9564" s="1" t="s">
        <v>0</v>
      </c>
      <c r="E9564" s="2">
        <v>0</v>
      </c>
      <c r="F9564" s="2">
        <v>0</v>
      </c>
      <c r="G9564" s="2">
        <v>0</v>
      </c>
      <c r="H9564" s="1" t="s">
        <v>0</v>
      </c>
      <c r="I9564" s="2">
        <v>0</v>
      </c>
      <c r="J9564" s="1">
        <v>46049.379872685182</v>
      </c>
    </row>
    <row r="9565" spans="1:10" x14ac:dyDescent="0.2">
      <c r="A9565" s="4" t="s">
        <v>1</v>
      </c>
      <c r="B9565" s="3" t="str">
        <f>HYPERLINK("https://otsuka-europe-crm.veevavault.com/ui/#object/approved_document__v/V5O00000000L011", "Libro IA en psiquiatría")</f>
        <v>Libro IA en psiquiatría</v>
      </c>
      <c r="C9565" s="3" t="str">
        <f>HYPERLINK("https://otsuka-europe-crm.veevavault.com/ui/#object/sent_email__v/VBL000000015698", "SE-001401507")</f>
        <v>SE-001401507</v>
      </c>
      <c r="D9565" s="1" t="s">
        <v>0</v>
      </c>
      <c r="E9565" s="2">
        <v>0</v>
      </c>
      <c r="F9565" s="2">
        <v>0</v>
      </c>
      <c r="G9565" s="2">
        <v>0</v>
      </c>
      <c r="H9565" s="1" t="s">
        <v>0</v>
      </c>
      <c r="I9565" s="2">
        <v>0</v>
      </c>
      <c r="J9565" s="1">
        <v>46049.379872685182</v>
      </c>
    </row>
    <row r="9566" spans="1:10" x14ac:dyDescent="0.2">
      <c r="A9566" s="4" t="s">
        <v>1</v>
      </c>
      <c r="B9566" s="3" t="str">
        <f>HYPERLINK("https://otsuka-europe-crm.veevavault.com/ui/#object/approved_document__v/V5O00000000L011", "Libro IA en psiquiatría")</f>
        <v>Libro IA en psiquiatría</v>
      </c>
      <c r="C9566" s="3" t="str">
        <f>HYPERLINK("https://otsuka-europe-crm.veevavault.com/ui/#object/sent_email__v/VBL000000015699", "SE-001401508")</f>
        <v>SE-001401508</v>
      </c>
      <c r="D9566" s="1" t="s">
        <v>0</v>
      </c>
      <c r="E9566" s="2">
        <v>0</v>
      </c>
      <c r="F9566" s="2">
        <v>0</v>
      </c>
      <c r="G9566" s="2">
        <v>0</v>
      </c>
      <c r="H9566" s="1" t="s">
        <v>0</v>
      </c>
      <c r="I9566" s="2">
        <v>0</v>
      </c>
      <c r="J9566" s="1">
        <v>46049.379849537036</v>
      </c>
    </row>
    <row r="9567" spans="1:10" x14ac:dyDescent="0.2">
      <c r="A9567" s="4" t="s">
        <v>1</v>
      </c>
      <c r="B9567" s="3" t="str">
        <f>HYPERLINK("https://otsuka-europe-crm.veevavault.com/ui/#object/approved_document__v/V5O00000000L011", "Libro IA en psiquiatría")</f>
        <v>Libro IA en psiquiatría</v>
      </c>
      <c r="C9567" s="3" t="str">
        <f>HYPERLINK("https://otsuka-europe-crm.veevavault.com/ui/#object/sent_email__v/VBL000000015700", "SE-001401509")</f>
        <v>SE-001401509</v>
      </c>
      <c r="D9567" s="1">
        <v>46049.380729166667</v>
      </c>
      <c r="E9567" s="2">
        <v>1</v>
      </c>
      <c r="F9567" s="2">
        <v>2</v>
      </c>
      <c r="G9567" s="2">
        <v>0</v>
      </c>
      <c r="H9567" s="1" t="s">
        <v>0</v>
      </c>
      <c r="I9567" s="2">
        <v>0</v>
      </c>
      <c r="J9567" s="1">
        <v>46049.379965277774</v>
      </c>
    </row>
    <row r="9568" spans="1:10" x14ac:dyDescent="0.2">
      <c r="A9568" s="4" t="s">
        <v>1</v>
      </c>
      <c r="B9568" s="3" t="str">
        <f>HYPERLINK("https://otsuka-europe-crm.veevavault.com/ui/#object/approved_document__v/V5O00000000L011", "Libro IA en psiquiatría")</f>
        <v>Libro IA en psiquiatría</v>
      </c>
      <c r="C9568" s="3" t="str">
        <f>HYPERLINK("https://otsuka-europe-crm.veevavault.com/ui/#object/sent_email__v/VBL000000015701", "SE-001401510")</f>
        <v>SE-001401510</v>
      </c>
      <c r="D9568" s="1">
        <v>46049.920925925922</v>
      </c>
      <c r="E9568" s="2">
        <v>1</v>
      </c>
      <c r="F9568" s="2">
        <v>1</v>
      </c>
      <c r="G9568" s="2">
        <v>0</v>
      </c>
      <c r="H9568" s="1" t="s">
        <v>0</v>
      </c>
      <c r="I9568" s="2">
        <v>0</v>
      </c>
      <c r="J9568" s="1">
        <v>46049.379907407405</v>
      </c>
    </row>
    <row r="9569" spans="1:10" x14ac:dyDescent="0.2">
      <c r="A9569" s="4" t="s">
        <v>1</v>
      </c>
      <c r="B9569" s="3" t="str">
        <f>HYPERLINK("https://otsuka-europe-crm.veevavault.com/ui/#object/approved_document__v/V5O00000000L011", "Libro IA en psiquiatría")</f>
        <v>Libro IA en psiquiatría</v>
      </c>
      <c r="C9569" s="3" t="str">
        <f>HYPERLINK("https://otsuka-europe-crm.veevavault.com/ui/#object/sent_email__v/VBL000000015702", "SE-001401511")</f>
        <v>SE-001401511</v>
      </c>
      <c r="D9569" s="1" t="s">
        <v>0</v>
      </c>
      <c r="E9569" s="2">
        <v>0</v>
      </c>
      <c r="F9569" s="2">
        <v>0</v>
      </c>
      <c r="G9569" s="2">
        <v>0</v>
      </c>
      <c r="H9569" s="1" t="s">
        <v>0</v>
      </c>
      <c r="I9569" s="2">
        <v>0</v>
      </c>
      <c r="J9569" s="1">
        <v>46049.379930555559</v>
      </c>
    </row>
    <row r="9570" spans="1:10" x14ac:dyDescent="0.2">
      <c r="A9570" s="4" t="s">
        <v>1</v>
      </c>
      <c r="B9570" s="3" t="str">
        <f>HYPERLINK("https://otsuka-europe-crm.veevavault.com/ui/#object/approved_document__v/V5O00000000L011", "Libro IA en psiquiatría")</f>
        <v>Libro IA en psiquiatría</v>
      </c>
      <c r="C9570" s="3" t="str">
        <f>HYPERLINK("https://otsuka-europe-crm.veevavault.com/ui/#object/sent_email__v/VBL000000015703", "SE-001401512")</f>
        <v>SE-001401512</v>
      </c>
      <c r="D9570" s="1">
        <v>46051.920023148145</v>
      </c>
      <c r="E9570" s="2">
        <v>1</v>
      </c>
      <c r="F9570" s="2">
        <v>3</v>
      </c>
      <c r="G9570" s="2">
        <v>0</v>
      </c>
      <c r="H9570" s="1" t="s">
        <v>0</v>
      </c>
      <c r="I9570" s="2">
        <v>0</v>
      </c>
      <c r="J9570" s="1">
        <v>46049.379976851851</v>
      </c>
    </row>
    <row r="9571" spans="1:10" x14ac:dyDescent="0.2">
      <c r="A9571" s="4" t="s">
        <v>1</v>
      </c>
      <c r="B9571" s="3" t="str">
        <f>HYPERLINK("https://otsuka-europe-crm.veevavault.com/ui/#object/approved_document__v/V5O00000000L011", "Libro IA en psiquiatría")</f>
        <v>Libro IA en psiquiatría</v>
      </c>
      <c r="C9571" s="3" t="str">
        <f>HYPERLINK("https://otsuka-europe-crm.veevavault.com/ui/#object/sent_email__v/VBL000000015704", "SE-001401513")</f>
        <v>SE-001401513</v>
      </c>
      <c r="D9571" s="1">
        <v>46049.394988425927</v>
      </c>
      <c r="E9571" s="2">
        <v>1</v>
      </c>
      <c r="F9571" s="2">
        <v>2</v>
      </c>
      <c r="G9571" s="2">
        <v>0</v>
      </c>
      <c r="H9571" s="1" t="s">
        <v>0</v>
      </c>
      <c r="I9571" s="2">
        <v>0</v>
      </c>
      <c r="J9571" s="1">
        <v>46049.379872685182</v>
      </c>
    </row>
    <row r="9572" spans="1:10" x14ac:dyDescent="0.2">
      <c r="A9572" s="4" t="s">
        <v>1</v>
      </c>
      <c r="B9572" s="3" t="str">
        <f>HYPERLINK("https://otsuka-europe-crm.veevavault.com/ui/#object/approved_document__v/V5O00000000L011", "Libro IA en psiquiatría")</f>
        <v>Libro IA en psiquiatría</v>
      </c>
      <c r="C9572" s="3" t="str">
        <f>HYPERLINK("https://otsuka-europe-crm.veevavault.com/ui/#object/sent_email__v/VBL000000015705", "SE-001401514")</f>
        <v>SE-001401514</v>
      </c>
      <c r="D9572" s="1">
        <v>46062.763252314813</v>
      </c>
      <c r="E9572" s="2">
        <v>1</v>
      </c>
      <c r="F9572" s="2">
        <v>6</v>
      </c>
      <c r="G9572" s="2">
        <v>0</v>
      </c>
      <c r="H9572" s="1" t="s">
        <v>0</v>
      </c>
      <c r="I9572" s="2">
        <v>0</v>
      </c>
      <c r="J9572" s="1">
        <v>46049.379930555559</v>
      </c>
    </row>
    <row r="9573" spans="1:10" x14ac:dyDescent="0.2">
      <c r="A9573" s="4" t="s">
        <v>1</v>
      </c>
      <c r="B9573" s="3" t="str">
        <f>HYPERLINK("https://otsuka-europe-crm.veevavault.com/ui/#object/approved_document__v/V5O00000000L011", "Libro IA en psiquiatría")</f>
        <v>Libro IA en psiquiatría</v>
      </c>
      <c r="C9573" s="3" t="str">
        <f>HYPERLINK("https://otsuka-europe-crm.veevavault.com/ui/#object/sent_email__v/VBL000000015706", "SE-001401515")</f>
        <v>SE-001401515</v>
      </c>
      <c r="D9573" s="1">
        <v>46049.610532407409</v>
      </c>
      <c r="E9573" s="2">
        <v>1</v>
      </c>
      <c r="F9573" s="2">
        <v>2</v>
      </c>
      <c r="G9573" s="2">
        <v>1</v>
      </c>
      <c r="H9573" s="1">
        <v>46049.610532407409</v>
      </c>
      <c r="I9573" s="2">
        <v>1</v>
      </c>
      <c r="J9573" s="1">
        <v>46049.379872685182</v>
      </c>
    </row>
    <row r="9574" spans="1:10" x14ac:dyDescent="0.2">
      <c r="A9574" s="4" t="s">
        <v>1</v>
      </c>
      <c r="B9574" s="3" t="str">
        <f>HYPERLINK("https://otsuka-europe-crm.veevavault.com/ui/#object/approved_document__v/V5O00000000L011", "Libro IA en psiquiatría")</f>
        <v>Libro IA en psiquiatría</v>
      </c>
      <c r="C9574" s="3" t="str">
        <f>HYPERLINK("https://otsuka-europe-crm.veevavault.com/ui/#object/sent_email__v/VBL000000015707", "SE-001401516")</f>
        <v>SE-001401516</v>
      </c>
      <c r="D9574" s="1">
        <v>46065.77380787037</v>
      </c>
      <c r="E9574" s="2">
        <v>1</v>
      </c>
      <c r="F9574" s="2">
        <v>2</v>
      </c>
      <c r="G9574" s="2">
        <v>0</v>
      </c>
      <c r="H9574" s="1" t="s">
        <v>0</v>
      </c>
      <c r="I9574" s="2">
        <v>0</v>
      </c>
      <c r="J9574" s="1">
        <v>46049.379861111112</v>
      </c>
    </row>
    <row r="9575" spans="1:10" x14ac:dyDescent="0.2">
      <c r="A9575" s="4" t="s">
        <v>1</v>
      </c>
      <c r="B9575" s="3" t="str">
        <f>HYPERLINK("https://otsuka-europe-crm.veevavault.com/ui/#object/approved_document__v/V5O00000000L011", "Libro IA en psiquiatría")</f>
        <v>Libro IA en psiquiatría</v>
      </c>
      <c r="C9575" s="3" t="str">
        <f>HYPERLINK("https://otsuka-europe-crm.veevavault.com/ui/#object/sent_email__v/VBL000000015708", "SE-001401517")</f>
        <v>SE-001401517</v>
      </c>
      <c r="D9575" s="1">
        <v>46049.964224537034</v>
      </c>
      <c r="E9575" s="2">
        <v>1</v>
      </c>
      <c r="F9575" s="2">
        <v>2</v>
      </c>
      <c r="G9575" s="2">
        <v>0</v>
      </c>
      <c r="H9575" s="1" t="s">
        <v>0</v>
      </c>
      <c r="I9575" s="2">
        <v>0</v>
      </c>
      <c r="J9575" s="1">
        <v>46049.379861111112</v>
      </c>
    </row>
    <row r="9576" spans="1:10" x14ac:dyDescent="0.2">
      <c r="A9576" s="4" t="s">
        <v>1</v>
      </c>
      <c r="B9576" s="3" t="str">
        <f>HYPERLINK("https://otsuka-europe-crm.veevavault.com/ui/#object/approved_document__v/V5O00000000L011", "Libro IA en psiquiatría")</f>
        <v>Libro IA en psiquiatría</v>
      </c>
      <c r="C9576" s="3" t="str">
        <f>HYPERLINK("https://otsuka-europe-crm.veevavault.com/ui/#object/sent_email__v/VBL000000015709", "SE-001401518")</f>
        <v>SE-001401518</v>
      </c>
      <c r="D9576" s="1">
        <v>46049.385659722226</v>
      </c>
      <c r="E9576" s="2">
        <v>1</v>
      </c>
      <c r="F9576" s="2">
        <v>1</v>
      </c>
      <c r="G9576" s="2">
        <v>0</v>
      </c>
      <c r="H9576" s="1" t="s">
        <v>0</v>
      </c>
      <c r="I9576" s="2">
        <v>0</v>
      </c>
      <c r="J9576" s="1">
        <v>46049.379872685182</v>
      </c>
    </row>
    <row r="9577" spans="1:10" x14ac:dyDescent="0.2">
      <c r="A9577" s="4" t="s">
        <v>1</v>
      </c>
      <c r="B9577" s="3" t="str">
        <f>HYPERLINK("https://otsuka-europe-crm.veevavault.com/ui/#object/approved_document__v/V5O00000000L011", "Libro IA en psiquiatría")</f>
        <v>Libro IA en psiquiatría</v>
      </c>
      <c r="C9577" s="3" t="str">
        <f>HYPERLINK("https://otsuka-europe-crm.veevavault.com/ui/#object/sent_email__v/VBL000000015710", "SE-001401519")</f>
        <v>SE-001401519</v>
      </c>
      <c r="D9577" s="1">
        <v>46052.441064814811</v>
      </c>
      <c r="E9577" s="2">
        <v>1</v>
      </c>
      <c r="F9577" s="2">
        <v>3</v>
      </c>
      <c r="G9577" s="2">
        <v>0</v>
      </c>
      <c r="H9577" s="1" t="s">
        <v>0</v>
      </c>
      <c r="I9577" s="2">
        <v>0</v>
      </c>
      <c r="J9577" s="1">
        <v>46049.379918981482</v>
      </c>
    </row>
    <row r="9578" spans="1:10" x14ac:dyDescent="0.2">
      <c r="A9578" s="4" t="s">
        <v>1</v>
      </c>
      <c r="B9578" s="3" t="str">
        <f>HYPERLINK("https://otsuka-europe-crm.veevavault.com/ui/#object/approved_document__v/V5O00000000L011", "Libro IA en psiquiatría")</f>
        <v>Libro IA en psiquiatría</v>
      </c>
      <c r="C9578" s="3" t="str">
        <f>HYPERLINK("https://otsuka-europe-crm.veevavault.com/ui/#object/sent_email__v/VBL000000015711", "SE-001401520")</f>
        <v>SE-001401520</v>
      </c>
      <c r="D9578" s="1">
        <v>46074.816944444443</v>
      </c>
      <c r="E9578" s="2">
        <v>1</v>
      </c>
      <c r="F9578" s="2">
        <v>5</v>
      </c>
      <c r="G9578" s="2">
        <v>0</v>
      </c>
      <c r="H9578" s="1" t="s">
        <v>0</v>
      </c>
      <c r="I9578" s="2">
        <v>0</v>
      </c>
      <c r="J9578" s="1">
        <v>46049.379872685182</v>
      </c>
    </row>
    <row r="9579" spans="1:10" x14ac:dyDescent="0.2">
      <c r="A9579" s="4" t="s">
        <v>1</v>
      </c>
      <c r="B9579" s="3" t="str">
        <f>HYPERLINK("https://otsuka-europe-crm.veevavault.com/ui/#object/approved_document__v/V5O00000000L011", "Libro IA en psiquiatría")</f>
        <v>Libro IA en psiquiatría</v>
      </c>
      <c r="C9579" s="3" t="str">
        <f>HYPERLINK("https://otsuka-europe-crm.veevavault.com/ui/#object/sent_email__v/VBL000000015712", "SE-001401521")</f>
        <v>SE-001401521</v>
      </c>
      <c r="D9579" s="1">
        <v>46056.776238425926</v>
      </c>
      <c r="E9579" s="2">
        <v>1</v>
      </c>
      <c r="F9579" s="2">
        <v>2</v>
      </c>
      <c r="G9579" s="2">
        <v>0</v>
      </c>
      <c r="H9579" s="1" t="s">
        <v>0</v>
      </c>
      <c r="I9579" s="2">
        <v>0</v>
      </c>
      <c r="J9579" s="1">
        <v>46049.379861111112</v>
      </c>
    </row>
    <row r="9580" spans="1:10" x14ac:dyDescent="0.2">
      <c r="A9580" s="4" t="s">
        <v>1</v>
      </c>
      <c r="B9580" s="3" t="str">
        <f>HYPERLINK("https://otsuka-europe-crm.veevavault.com/ui/#object/approved_document__v/V5O00000000L011", "Libro IA en psiquiatría")</f>
        <v>Libro IA en psiquiatría</v>
      </c>
      <c r="C9580" s="3" t="str">
        <f>HYPERLINK("https://otsuka-europe-crm.veevavault.com/ui/#object/sent_email__v/VBL000000015713", "SE-001401522")</f>
        <v>SE-001401522</v>
      </c>
      <c r="D9580" s="1">
        <v>46050.807569444441</v>
      </c>
      <c r="E9580" s="2">
        <v>1</v>
      </c>
      <c r="F9580" s="2">
        <v>3</v>
      </c>
      <c r="G9580" s="2">
        <v>0</v>
      </c>
      <c r="H9580" s="1" t="s">
        <v>0</v>
      </c>
      <c r="I9580" s="2">
        <v>0</v>
      </c>
      <c r="J9580" s="1">
        <v>46049.379872685182</v>
      </c>
    </row>
    <row r="9581" spans="1:10" x14ac:dyDescent="0.2">
      <c r="A9581" s="4" t="s">
        <v>1</v>
      </c>
      <c r="B9581" s="3" t="str">
        <f>HYPERLINK("https://otsuka-europe-crm.veevavault.com/ui/#object/approved_document__v/V5O00000000L011", "Libro IA en psiquiatría")</f>
        <v>Libro IA en psiquiatría</v>
      </c>
      <c r="C9581" s="3" t="str">
        <f>HYPERLINK("https://otsuka-europe-crm.veevavault.com/ui/#object/sent_email__v/VBL000000015714", "SE-001401523")</f>
        <v>SE-001401523</v>
      </c>
      <c r="D9581" s="1" t="s">
        <v>0</v>
      </c>
      <c r="E9581" s="2">
        <v>0</v>
      </c>
      <c r="F9581" s="2">
        <v>0</v>
      </c>
      <c r="G9581" s="2">
        <v>0</v>
      </c>
      <c r="H9581" s="1" t="s">
        <v>0</v>
      </c>
      <c r="I9581" s="2">
        <v>0</v>
      </c>
      <c r="J9581" s="1">
        <v>46049.379872685182</v>
      </c>
    </row>
    <row r="9582" spans="1:10" x14ac:dyDescent="0.2">
      <c r="A9582" s="4" t="s">
        <v>1</v>
      </c>
      <c r="B9582" s="3" t="str">
        <f>HYPERLINK("https://otsuka-europe-crm.veevavault.com/ui/#object/approved_document__v/V5O00000000L011", "Libro IA en psiquiatría")</f>
        <v>Libro IA en psiquiatría</v>
      </c>
      <c r="C9582" s="3" t="str">
        <f>HYPERLINK("https://otsuka-europe-crm.veevavault.com/ui/#object/sent_email__v/VBL000000015715", "SE-001401524")</f>
        <v>SE-001401524</v>
      </c>
      <c r="D9582" s="1" t="s">
        <v>0</v>
      </c>
      <c r="E9582" s="2">
        <v>0</v>
      </c>
      <c r="F9582" s="2">
        <v>0</v>
      </c>
      <c r="G9582" s="2">
        <v>0</v>
      </c>
      <c r="H9582" s="1" t="s">
        <v>0</v>
      </c>
      <c r="I9582" s="2">
        <v>0</v>
      </c>
      <c r="J9582" s="1">
        <v>46049.379861111112</v>
      </c>
    </row>
    <row r="9583" spans="1:10" x14ac:dyDescent="0.2">
      <c r="A9583" s="4" t="s">
        <v>1</v>
      </c>
      <c r="B9583" s="3" t="str">
        <f>HYPERLINK("https://otsuka-europe-crm.veevavault.com/ui/#object/approved_document__v/V5O00000000L011", "Libro IA en psiquiatría")</f>
        <v>Libro IA en psiquiatría</v>
      </c>
      <c r="C9583" s="3" t="str">
        <f>HYPERLINK("https://otsuka-europe-crm.veevavault.com/ui/#object/sent_email__v/VBL000000015716", "SE-001401525")</f>
        <v>SE-001401525</v>
      </c>
      <c r="D9583" s="1" t="s">
        <v>0</v>
      </c>
      <c r="E9583" s="2">
        <v>0</v>
      </c>
      <c r="F9583" s="2">
        <v>0</v>
      </c>
      <c r="G9583" s="2">
        <v>0</v>
      </c>
      <c r="H9583" s="1" t="s">
        <v>0</v>
      </c>
      <c r="I9583" s="2">
        <v>0</v>
      </c>
      <c r="J9583" s="1">
        <v>46049.379872685182</v>
      </c>
    </row>
    <row r="9584" spans="1:10" x14ac:dyDescent="0.2">
      <c r="A9584" s="4" t="s">
        <v>1</v>
      </c>
      <c r="B9584" s="3" t="str">
        <f>HYPERLINK("https://otsuka-europe-crm.veevavault.com/ui/#object/approved_document__v/V5O00000000L011", "Libro IA en psiquiatría")</f>
        <v>Libro IA en psiquiatría</v>
      </c>
      <c r="C9584" s="3" t="str">
        <f>HYPERLINK("https://otsuka-europe-crm.veevavault.com/ui/#object/sent_email__v/VBL000000015717", "SE-001401526")</f>
        <v>SE-001401526</v>
      </c>
      <c r="D9584" s="1" t="s">
        <v>0</v>
      </c>
      <c r="E9584" s="2">
        <v>0</v>
      </c>
      <c r="F9584" s="2">
        <v>0</v>
      </c>
      <c r="G9584" s="2">
        <v>0</v>
      </c>
      <c r="H9584" s="1" t="s">
        <v>0</v>
      </c>
      <c r="I9584" s="2">
        <v>0</v>
      </c>
      <c r="J9584" s="1">
        <v>46049.379918981482</v>
      </c>
    </row>
    <row r="9585" spans="1:10" x14ac:dyDescent="0.2">
      <c r="A9585" s="4" t="s">
        <v>1</v>
      </c>
      <c r="B9585" s="3" t="str">
        <f>HYPERLINK("https://otsuka-europe-crm.veevavault.com/ui/#object/approved_document__v/V5O00000000L011", "Libro IA en psiquiatría")</f>
        <v>Libro IA en psiquiatría</v>
      </c>
      <c r="C9585" s="3" t="str">
        <f>HYPERLINK("https://otsuka-europe-crm.veevavault.com/ui/#object/sent_email__v/VBL000000015718", "SE-001401527")</f>
        <v>SE-001401527</v>
      </c>
      <c r="D9585" s="1">
        <v>46054.360092592593</v>
      </c>
      <c r="E9585" s="2">
        <v>1</v>
      </c>
      <c r="F9585" s="2">
        <v>1</v>
      </c>
      <c r="G9585" s="2">
        <v>0</v>
      </c>
      <c r="H9585" s="1" t="s">
        <v>0</v>
      </c>
      <c r="I9585" s="2">
        <v>0</v>
      </c>
      <c r="J9585" s="1">
        <v>46049.379814814813</v>
      </c>
    </row>
    <row r="9586" spans="1:10" x14ac:dyDescent="0.2">
      <c r="A9586" s="4" t="s">
        <v>1</v>
      </c>
      <c r="B9586" s="3" t="str">
        <f>HYPERLINK("https://otsuka-europe-crm.veevavault.com/ui/#object/approved_document__v/V5O00000000L011", "Libro IA en psiquiatría")</f>
        <v>Libro IA en psiquiatría</v>
      </c>
      <c r="C9586" s="3" t="str">
        <f>HYPERLINK("https://otsuka-europe-crm.veevavault.com/ui/#object/sent_email__v/VBL000000016846", "SE-001401529")</f>
        <v>SE-001401529</v>
      </c>
      <c r="D9586" s="1" t="s">
        <v>0</v>
      </c>
      <c r="E9586" s="2">
        <v>0</v>
      </c>
      <c r="F9586" s="2">
        <v>0</v>
      </c>
      <c r="G9586" s="2">
        <v>0</v>
      </c>
      <c r="H9586" s="1" t="s">
        <v>0</v>
      </c>
      <c r="I9586" s="2">
        <v>0</v>
      </c>
      <c r="J9586" s="1">
        <v>46049.379826388889</v>
      </c>
    </row>
    <row r="9587" spans="1:10" x14ac:dyDescent="0.2">
      <c r="A9587" s="4" t="s">
        <v>1</v>
      </c>
      <c r="B9587" s="3" t="str">
        <f>HYPERLINK("https://otsuka-europe-crm.veevavault.com/ui/#object/approved_document__v/V5O00000000L011", "Libro IA en psiquiatría")</f>
        <v>Libro IA en psiquiatría</v>
      </c>
      <c r="C9587" s="3" t="str">
        <f>HYPERLINK("https://otsuka-europe-crm.veevavault.com/ui/#object/sent_email__v/VBL000000016847", "SE-001401530")</f>
        <v>SE-001401530</v>
      </c>
      <c r="D9587" s="1">
        <v>46049.500011574077</v>
      </c>
      <c r="E9587" s="2">
        <v>1</v>
      </c>
      <c r="F9587" s="2">
        <v>1</v>
      </c>
      <c r="G9587" s="2">
        <v>0</v>
      </c>
      <c r="H9587" s="1" t="s">
        <v>0</v>
      </c>
      <c r="I9587" s="2">
        <v>0</v>
      </c>
      <c r="J9587" s="1">
        <v>46049.379826388889</v>
      </c>
    </row>
    <row r="9588" spans="1:10" x14ac:dyDescent="0.2">
      <c r="A9588" s="4" t="s">
        <v>1</v>
      </c>
      <c r="B9588" s="3" t="str">
        <f>HYPERLINK("https://otsuka-europe-crm.veevavault.com/ui/#object/approved_document__v/V5O00000000L011", "Libro IA en psiquiatría")</f>
        <v>Libro IA en psiquiatría</v>
      </c>
      <c r="C9588" s="3" t="str">
        <f>HYPERLINK("https://otsuka-europe-crm.veevavault.com/ui/#object/sent_email__v/VBL000000016848", "SE-001401531")</f>
        <v>SE-001401531</v>
      </c>
      <c r="D9588" s="1">
        <v>46049.418576388889</v>
      </c>
      <c r="E9588" s="2">
        <v>1</v>
      </c>
      <c r="F9588" s="2">
        <v>1</v>
      </c>
      <c r="G9588" s="2">
        <v>0</v>
      </c>
      <c r="H9588" s="1" t="s">
        <v>0</v>
      </c>
      <c r="I9588" s="2">
        <v>0</v>
      </c>
      <c r="J9588" s="1">
        <v>46049.379918981482</v>
      </c>
    </row>
    <row r="9589" spans="1:10" x14ac:dyDescent="0.2">
      <c r="A9589" s="4" t="s">
        <v>1</v>
      </c>
      <c r="B9589" s="3" t="str">
        <f>HYPERLINK("https://otsuka-europe-crm.veevavault.com/ui/#object/approved_document__v/V5O00000000L011", "Libro IA en psiquiatría")</f>
        <v>Libro IA en psiquiatría</v>
      </c>
      <c r="C9589" s="3" t="str">
        <f>HYPERLINK("https://otsuka-europe-crm.veevavault.com/ui/#object/sent_email__v/VBL000000016849", "SE-001401532")</f>
        <v>SE-001401532</v>
      </c>
      <c r="D9589" s="1" t="s">
        <v>0</v>
      </c>
      <c r="E9589" s="2">
        <v>0</v>
      </c>
      <c r="F9589" s="2">
        <v>0</v>
      </c>
      <c r="G9589" s="2">
        <v>0</v>
      </c>
      <c r="H9589" s="1" t="s">
        <v>0</v>
      </c>
      <c r="I9589" s="2">
        <v>0</v>
      </c>
      <c r="J9589" s="1">
        <v>46049.379826388889</v>
      </c>
    </row>
    <row r="9590" spans="1:10" x14ac:dyDescent="0.2">
      <c r="A9590" s="4" t="s">
        <v>1</v>
      </c>
      <c r="B9590" s="3" t="str">
        <f>HYPERLINK("https://otsuka-europe-crm.veevavault.com/ui/#object/approved_document__v/V5O00000000L011", "Libro IA en psiquiatría")</f>
        <v>Libro IA en psiquiatría</v>
      </c>
      <c r="C9590" s="3" t="str">
        <f>HYPERLINK("https://otsuka-europe-crm.veevavault.com/ui/#object/sent_email__v/VBL000000016850", "SE-001401533")</f>
        <v>SE-001401533</v>
      </c>
      <c r="D9590" s="1">
        <v>46049.885046296295</v>
      </c>
      <c r="E9590" s="2">
        <v>1</v>
      </c>
      <c r="F9590" s="2">
        <v>1</v>
      </c>
      <c r="G9590" s="2">
        <v>0</v>
      </c>
      <c r="H9590" s="1" t="s">
        <v>0</v>
      </c>
      <c r="I9590" s="2">
        <v>0</v>
      </c>
      <c r="J9590" s="1">
        <v>46049.379861111112</v>
      </c>
    </row>
    <row r="9591" spans="1:10" x14ac:dyDescent="0.2">
      <c r="A9591" s="4" t="s">
        <v>1</v>
      </c>
      <c r="B9591" s="3" t="str">
        <f>HYPERLINK("https://otsuka-europe-crm.veevavault.com/ui/#object/approved_document__v/V5O00000000L011", "Libro IA en psiquiatría")</f>
        <v>Libro IA en psiquiatría</v>
      </c>
      <c r="C9591" s="3" t="str">
        <f>HYPERLINK("https://otsuka-europe-crm.veevavault.com/ui/#object/sent_email__v/VBL000000016851", "SE-001401534")</f>
        <v>SE-001401534</v>
      </c>
      <c r="D9591" s="1" t="s">
        <v>0</v>
      </c>
      <c r="E9591" s="2">
        <v>0</v>
      </c>
      <c r="F9591" s="2">
        <v>0</v>
      </c>
      <c r="G9591" s="2">
        <v>0</v>
      </c>
      <c r="H9591" s="1" t="s">
        <v>0</v>
      </c>
      <c r="I9591" s="2">
        <v>0</v>
      </c>
      <c r="J9591" s="1">
        <v>46049.379826388889</v>
      </c>
    </row>
    <row r="9592" spans="1:10" x14ac:dyDescent="0.2">
      <c r="A9592" s="4" t="s">
        <v>1</v>
      </c>
      <c r="B9592" s="3" t="str">
        <f>HYPERLINK("https://otsuka-europe-crm.veevavault.com/ui/#object/approved_document__v/V5O00000000L011", "Libro IA en psiquiatría")</f>
        <v>Libro IA en psiquiatría</v>
      </c>
      <c r="C9592" s="3" t="str">
        <f>HYPERLINK("https://otsuka-europe-crm.veevavault.com/ui/#object/sent_email__v/VBL000000016852", "SE-001401535")</f>
        <v>SE-001401535</v>
      </c>
      <c r="D9592" s="1">
        <v>46050.414837962962</v>
      </c>
      <c r="E9592" s="2">
        <v>1</v>
      </c>
      <c r="F9592" s="2">
        <v>6</v>
      </c>
      <c r="G9592" s="2">
        <v>1</v>
      </c>
      <c r="H9592" s="1">
        <v>46050.414942129632</v>
      </c>
      <c r="I9592" s="2">
        <v>3</v>
      </c>
      <c r="J9592" s="1">
        <v>46049.379826388889</v>
      </c>
    </row>
    <row r="9593" spans="1:10" x14ac:dyDescent="0.2">
      <c r="A9593" s="4" t="s">
        <v>1</v>
      </c>
      <c r="B9593" s="3" t="str">
        <f>HYPERLINK("https://otsuka-europe-crm.veevavault.com/ui/#object/approved_document__v/V5O00000000L011", "Libro IA en psiquiatría")</f>
        <v>Libro IA en psiquiatría</v>
      </c>
      <c r="C9593" s="3" t="str">
        <f>HYPERLINK("https://otsuka-europe-crm.veevavault.com/ui/#object/sent_email__v/VBL000000016853", "SE-001401536")</f>
        <v>SE-001401536</v>
      </c>
      <c r="D9593" s="1" t="s">
        <v>0</v>
      </c>
      <c r="E9593" s="2">
        <v>0</v>
      </c>
      <c r="F9593" s="2">
        <v>0</v>
      </c>
      <c r="G9593" s="2">
        <v>0</v>
      </c>
      <c r="H9593" s="1" t="s">
        <v>0</v>
      </c>
      <c r="I9593" s="2">
        <v>0</v>
      </c>
      <c r="J9593" s="1">
        <v>46049.379895833335</v>
      </c>
    </row>
    <row r="9594" spans="1:10" x14ac:dyDescent="0.2">
      <c r="A9594" s="4" t="s">
        <v>1</v>
      </c>
      <c r="B9594" s="3" t="str">
        <f>HYPERLINK("https://otsuka-europe-crm.veevavault.com/ui/#object/approved_document__v/V5O00000000L011", "Libro IA en psiquiatría")</f>
        <v>Libro IA en psiquiatría</v>
      </c>
      <c r="C9594" s="3" t="str">
        <f>HYPERLINK("https://otsuka-europe-crm.veevavault.com/ui/#object/sent_email__v/VBL000000016854", "SE-001401537")</f>
        <v>SE-001401537</v>
      </c>
      <c r="D9594" s="1">
        <v>46054.427511574075</v>
      </c>
      <c r="E9594" s="2">
        <v>1</v>
      </c>
      <c r="F9594" s="2">
        <v>2</v>
      </c>
      <c r="G9594" s="2">
        <v>0</v>
      </c>
      <c r="H9594" s="1" t="s">
        <v>0</v>
      </c>
      <c r="I9594" s="2">
        <v>0</v>
      </c>
      <c r="J9594" s="1">
        <v>46049.379942129628</v>
      </c>
    </row>
    <row r="9595" spans="1:10" x14ac:dyDescent="0.2">
      <c r="A9595" s="4" t="s">
        <v>1</v>
      </c>
      <c r="B9595" s="3" t="str">
        <f>HYPERLINK("https://otsuka-europe-crm.veevavault.com/ui/#object/approved_document__v/V5O00000000L011", "Libro IA en psiquiatría")</f>
        <v>Libro IA en psiquiatría</v>
      </c>
      <c r="C9595" s="3" t="str">
        <f>HYPERLINK("https://otsuka-europe-crm.veevavault.com/ui/#object/sent_email__v/VBL000000016855", "SE-001401538")</f>
        <v>SE-001401538</v>
      </c>
      <c r="D9595" s="1">
        <v>46062.839768518519</v>
      </c>
      <c r="E9595" s="2">
        <v>1</v>
      </c>
      <c r="F9595" s="2">
        <v>3</v>
      </c>
      <c r="G9595" s="2">
        <v>0</v>
      </c>
      <c r="H9595" s="1" t="s">
        <v>0</v>
      </c>
      <c r="I9595" s="2">
        <v>0</v>
      </c>
      <c r="J9595" s="1">
        <v>46049.379814814813</v>
      </c>
    </row>
    <row r="9596" spans="1:10" x14ac:dyDescent="0.2">
      <c r="A9596" s="4" t="s">
        <v>1</v>
      </c>
      <c r="B9596" s="3" t="str">
        <f>HYPERLINK("https://otsuka-europe-crm.veevavault.com/ui/#object/approved_document__v/V5O00000000L011", "Libro IA en psiquiatría")</f>
        <v>Libro IA en psiquiatría</v>
      </c>
      <c r="C9596" s="3" t="str">
        <f>HYPERLINK("https://otsuka-europe-crm.veevavault.com/ui/#object/sent_email__v/VBL000000016856", "SE-001401539")</f>
        <v>SE-001401539</v>
      </c>
      <c r="D9596" s="1" t="s">
        <v>0</v>
      </c>
      <c r="E9596" s="2">
        <v>0</v>
      </c>
      <c r="F9596" s="2">
        <v>0</v>
      </c>
      <c r="G9596" s="2">
        <v>0</v>
      </c>
      <c r="H9596" s="1" t="s">
        <v>0</v>
      </c>
      <c r="I9596" s="2">
        <v>0</v>
      </c>
      <c r="J9596" s="1">
        <v>46049.379953703705</v>
      </c>
    </row>
    <row r="9597" spans="1:10" x14ac:dyDescent="0.2">
      <c r="A9597" s="4" t="s">
        <v>1</v>
      </c>
      <c r="B9597" s="3" t="str">
        <f>HYPERLINK("https://otsuka-europe-crm.veevavault.com/ui/#object/approved_document__v/V5O00000000L011", "Libro IA en psiquiatría")</f>
        <v>Libro IA en psiquiatría</v>
      </c>
      <c r="C9597" s="3" t="str">
        <f>HYPERLINK("https://otsuka-europe-crm.veevavault.com/ui/#object/sent_email__v/VBL000000016857", "SE-001401540")</f>
        <v>SE-001401540</v>
      </c>
      <c r="D9597" s="1" t="s">
        <v>0</v>
      </c>
      <c r="E9597" s="2">
        <v>0</v>
      </c>
      <c r="F9597" s="2">
        <v>0</v>
      </c>
      <c r="G9597" s="2">
        <v>0</v>
      </c>
      <c r="H9597" s="1" t="s">
        <v>0</v>
      </c>
      <c r="I9597" s="2">
        <v>0</v>
      </c>
      <c r="J9597" s="1">
        <v>46049.379814814813</v>
      </c>
    </row>
    <row r="9598" spans="1:10" x14ac:dyDescent="0.2">
      <c r="A9598" s="4" t="s">
        <v>1</v>
      </c>
      <c r="B9598" s="3" t="str">
        <f>HYPERLINK("https://otsuka-europe-crm.veevavault.com/ui/#object/approved_document__v/V5O00000000L011", "Libro IA en psiquiatría")</f>
        <v>Libro IA en psiquiatría</v>
      </c>
      <c r="C9598" s="3" t="str">
        <f>HYPERLINK("https://otsuka-europe-crm.veevavault.com/ui/#object/sent_email__v/VBL000000016858", "SE-001401541")</f>
        <v>SE-001401541</v>
      </c>
      <c r="D9598" s="1">
        <v>46050.873113425929</v>
      </c>
      <c r="E9598" s="2">
        <v>1</v>
      </c>
      <c r="F9598" s="2">
        <v>1</v>
      </c>
      <c r="G9598" s="2">
        <v>1</v>
      </c>
      <c r="H9598" s="1">
        <v>46050.873298611114</v>
      </c>
      <c r="I9598" s="2">
        <v>1</v>
      </c>
      <c r="J9598" s="1">
        <v>46049.379814814813</v>
      </c>
    </row>
    <row r="9599" spans="1:10" x14ac:dyDescent="0.2">
      <c r="A9599" s="4" t="s">
        <v>1</v>
      </c>
      <c r="B9599" s="3" t="str">
        <f>HYPERLINK("https://otsuka-europe-crm.veevavault.com/ui/#object/approved_document__v/V5O00000000L011", "Libro IA en psiquiatría")</f>
        <v>Libro IA en psiquiatría</v>
      </c>
      <c r="C9599" s="3" t="str">
        <f>HYPERLINK("https://otsuka-europe-crm.veevavault.com/ui/#object/sent_email__v/VBL000000016859", "SE-001401542")</f>
        <v>SE-001401542</v>
      </c>
      <c r="D9599" s="1" t="s">
        <v>0</v>
      </c>
      <c r="E9599" s="2">
        <v>0</v>
      </c>
      <c r="F9599" s="2">
        <v>0</v>
      </c>
      <c r="G9599" s="2">
        <v>0</v>
      </c>
      <c r="H9599" s="1" t="s">
        <v>0</v>
      </c>
      <c r="I9599" s="2">
        <v>0</v>
      </c>
      <c r="J9599" s="1">
        <v>46049.379814814813</v>
      </c>
    </row>
    <row r="9600" spans="1:10" x14ac:dyDescent="0.2">
      <c r="A9600" s="4" t="s">
        <v>1</v>
      </c>
      <c r="B9600" s="3" t="str">
        <f>HYPERLINK("https://otsuka-europe-crm.veevavault.com/ui/#object/approved_document__v/V5O00000000L011", "Libro IA en psiquiatría")</f>
        <v>Libro IA en psiquiatría</v>
      </c>
      <c r="C9600" s="3" t="str">
        <f>HYPERLINK("https://otsuka-europe-crm.veevavault.com/ui/#object/sent_email__v/VBL000000016860", "SE-001401543")</f>
        <v>SE-001401543</v>
      </c>
      <c r="D9600" s="1" t="s">
        <v>0</v>
      </c>
      <c r="E9600" s="2">
        <v>0</v>
      </c>
      <c r="F9600" s="2">
        <v>0</v>
      </c>
      <c r="G9600" s="2">
        <v>0</v>
      </c>
      <c r="H9600" s="1" t="s">
        <v>0</v>
      </c>
      <c r="I9600" s="2">
        <v>0</v>
      </c>
      <c r="J9600" s="1">
        <v>46049.379826388889</v>
      </c>
    </row>
    <row r="9601" spans="1:10" x14ac:dyDescent="0.2">
      <c r="A9601" s="4" t="s">
        <v>1</v>
      </c>
      <c r="B9601" s="3" t="str">
        <f>HYPERLINK("https://otsuka-europe-crm.veevavault.com/ui/#object/approved_document__v/V5O00000000L011", "Libro IA en psiquiatría")</f>
        <v>Libro IA en psiquiatría</v>
      </c>
      <c r="C9601" s="3" t="str">
        <f>HYPERLINK("https://otsuka-europe-crm.veevavault.com/ui/#object/sent_email__v/VBL000000016861", "SE-001401544")</f>
        <v>SE-001401544</v>
      </c>
      <c r="D9601" s="1">
        <v>46062.763252314813</v>
      </c>
      <c r="E9601" s="2">
        <v>1</v>
      </c>
      <c r="F9601" s="2">
        <v>5</v>
      </c>
      <c r="G9601" s="2">
        <v>1</v>
      </c>
      <c r="H9601" s="1">
        <v>46049.644618055558</v>
      </c>
      <c r="I9601" s="2">
        <v>2</v>
      </c>
      <c r="J9601" s="1">
        <v>46049.379918981482</v>
      </c>
    </row>
    <row r="9602" spans="1:10" x14ac:dyDescent="0.2">
      <c r="A9602" s="4" t="s">
        <v>1</v>
      </c>
      <c r="B9602" s="3" t="str">
        <f>HYPERLINK("https://otsuka-europe-crm.veevavault.com/ui/#object/approved_document__v/V5O00000000L011", "Libro IA en psiquiatría")</f>
        <v>Libro IA en psiquiatría</v>
      </c>
      <c r="C9602" s="3" t="str">
        <f>HYPERLINK("https://otsuka-europe-crm.veevavault.com/ui/#object/sent_email__v/VBL000000016862", "SE-001401545")</f>
        <v>SE-001401545</v>
      </c>
      <c r="D9602" s="1">
        <v>46049.850462962961</v>
      </c>
      <c r="E9602" s="2">
        <v>1</v>
      </c>
      <c r="F9602" s="2">
        <v>1</v>
      </c>
      <c r="G9602" s="2">
        <v>0</v>
      </c>
      <c r="H9602" s="1" t="s">
        <v>0</v>
      </c>
      <c r="I9602" s="2">
        <v>0</v>
      </c>
      <c r="J9602" s="1">
        <v>46049.379918981482</v>
      </c>
    </row>
    <row r="9603" spans="1:10" x14ac:dyDescent="0.2">
      <c r="A9603" s="4" t="s">
        <v>1</v>
      </c>
      <c r="B9603" s="3" t="str">
        <f>HYPERLINK("https://otsuka-europe-crm.veevavault.com/ui/#object/approved_document__v/V5O00000000L011", "Libro IA en psiquiatría")</f>
        <v>Libro IA en psiquiatría</v>
      </c>
      <c r="C9603" s="3" t="str">
        <f>HYPERLINK("https://otsuka-europe-crm.veevavault.com/ui/#object/sent_email__v/VBL000000016863", "SE-001401546")</f>
        <v>SE-001401546</v>
      </c>
      <c r="D9603" s="1">
        <v>46049.995682870373</v>
      </c>
      <c r="E9603" s="2">
        <v>1</v>
      </c>
      <c r="F9603" s="2">
        <v>3</v>
      </c>
      <c r="G9603" s="2">
        <v>1</v>
      </c>
      <c r="H9603" s="1">
        <v>46049.834687499999</v>
      </c>
      <c r="I9603" s="2">
        <v>1</v>
      </c>
      <c r="J9603" s="1">
        <v>46049.379930555559</v>
      </c>
    </row>
    <row r="9604" spans="1:10" x14ac:dyDescent="0.2">
      <c r="A9604" s="4" t="s">
        <v>1</v>
      </c>
      <c r="B9604" s="3" t="str">
        <f>HYPERLINK("https://otsuka-europe-crm.veevavault.com/ui/#object/approved_document__v/V5O00000000L011", "Libro IA en psiquiatría")</f>
        <v>Libro IA en psiquiatría</v>
      </c>
      <c r="C9604" s="3" t="str">
        <f>HYPERLINK("https://otsuka-europe-crm.veevavault.com/ui/#object/sent_email__v/VBL000000016864", "SE-001401547")</f>
        <v>SE-001401547</v>
      </c>
      <c r="D9604" s="1">
        <v>46049.69604166667</v>
      </c>
      <c r="E9604" s="2">
        <v>1</v>
      </c>
      <c r="F9604" s="2">
        <v>4</v>
      </c>
      <c r="G9604" s="2">
        <v>0</v>
      </c>
      <c r="H9604" s="1" t="s">
        <v>0</v>
      </c>
      <c r="I9604" s="2">
        <v>0</v>
      </c>
      <c r="J9604" s="1">
        <v>46049.379907407405</v>
      </c>
    </row>
    <row r="9605" spans="1:10" x14ac:dyDescent="0.2">
      <c r="A9605" s="4" t="s">
        <v>1</v>
      </c>
      <c r="B9605" s="3" t="str">
        <f>HYPERLINK("https://otsuka-europe-crm.veevavault.com/ui/#object/approved_document__v/V5O00000000L011", "Libro IA en psiquiatría")</f>
        <v>Libro IA en psiquiatría</v>
      </c>
      <c r="C9605" s="3" t="str">
        <f>HYPERLINK("https://otsuka-europe-crm.veevavault.com/ui/#object/sent_email__v/VBL000000016865", "SE-001401548")</f>
        <v>SE-001401548</v>
      </c>
      <c r="D9605" s="1">
        <v>46067.382731481484</v>
      </c>
      <c r="E9605" s="2">
        <v>1</v>
      </c>
      <c r="F9605" s="2">
        <v>2</v>
      </c>
      <c r="G9605" s="2">
        <v>0</v>
      </c>
      <c r="H9605" s="1" t="s">
        <v>0</v>
      </c>
      <c r="I9605" s="2">
        <v>0</v>
      </c>
      <c r="J9605" s="1">
        <v>46049.379814814813</v>
      </c>
    </row>
    <row r="9606" spans="1:10" x14ac:dyDescent="0.2">
      <c r="A9606" s="4" t="s">
        <v>1</v>
      </c>
      <c r="B9606" s="3" t="str">
        <f>HYPERLINK("https://otsuka-europe-crm.veevavault.com/ui/#object/approved_document__v/V5O00000000L011", "Libro IA en psiquiatría")</f>
        <v>Libro IA en psiquiatría</v>
      </c>
      <c r="C9606" s="3" t="str">
        <f>HYPERLINK("https://otsuka-europe-crm.veevavault.com/ui/#object/sent_email__v/VBL000000016866", "SE-001401549")</f>
        <v>SE-001401549</v>
      </c>
      <c r="D9606" s="1">
        <v>46049.96298611111</v>
      </c>
      <c r="E9606" s="2">
        <v>1</v>
      </c>
      <c r="F9606" s="2">
        <v>1</v>
      </c>
      <c r="G9606" s="2">
        <v>0</v>
      </c>
      <c r="H9606" s="1" t="s">
        <v>0</v>
      </c>
      <c r="I9606" s="2">
        <v>0</v>
      </c>
      <c r="J9606" s="1">
        <v>46049.379814814813</v>
      </c>
    </row>
    <row r="9607" spans="1:10" x14ac:dyDescent="0.2">
      <c r="A9607" s="4" t="s">
        <v>1</v>
      </c>
      <c r="B9607" s="3" t="str">
        <f>HYPERLINK("https://otsuka-europe-crm.veevavault.com/ui/#object/approved_document__v/V5O00000000L011", "Libro IA en psiquiatría")</f>
        <v>Libro IA en psiquiatría</v>
      </c>
      <c r="C9607" s="3" t="str">
        <f>HYPERLINK("https://otsuka-europe-crm.veevavault.com/ui/#object/sent_email__v/VBL000000016867", "SE-001401550")</f>
        <v>SE-001401550</v>
      </c>
      <c r="D9607" s="1">
        <v>46049.382268518515</v>
      </c>
      <c r="E9607" s="2">
        <v>1</v>
      </c>
      <c r="F9607" s="2">
        <v>1</v>
      </c>
      <c r="G9607" s="2">
        <v>1</v>
      </c>
      <c r="H9607" s="1">
        <v>46050.460046296299</v>
      </c>
      <c r="I9607" s="2">
        <v>1</v>
      </c>
      <c r="J9607" s="1">
        <v>46049.379918981482</v>
      </c>
    </row>
    <row r="9608" spans="1:10" x14ac:dyDescent="0.2">
      <c r="A9608" s="4" t="s">
        <v>1</v>
      </c>
      <c r="B9608" s="3" t="str">
        <f>HYPERLINK("https://otsuka-europe-crm.veevavault.com/ui/#object/approved_document__v/V5O00000000L011", "Libro IA en psiquiatría")</f>
        <v>Libro IA en psiquiatría</v>
      </c>
      <c r="C9608" s="3" t="str">
        <f>HYPERLINK("https://otsuka-europe-crm.veevavault.com/ui/#object/sent_email__v/VBL000000016869", "SE-001401552")</f>
        <v>SE-001401552</v>
      </c>
      <c r="D9608" s="1" t="s">
        <v>0</v>
      </c>
      <c r="E9608" s="2">
        <v>0</v>
      </c>
      <c r="F9608" s="2">
        <v>0</v>
      </c>
      <c r="G9608" s="2">
        <v>0</v>
      </c>
      <c r="H9608" s="1" t="s">
        <v>0</v>
      </c>
      <c r="I9608" s="2">
        <v>0</v>
      </c>
      <c r="J9608" s="1">
        <v>46049.379814814813</v>
      </c>
    </row>
    <row r="9609" spans="1:10" x14ac:dyDescent="0.2">
      <c r="A9609" s="4" t="s">
        <v>1</v>
      </c>
      <c r="B9609" s="3" t="str">
        <f>HYPERLINK("https://otsuka-europe-crm.veevavault.com/ui/#object/approved_document__v/V5O00000000L011", "Libro IA en psiquiatría")</f>
        <v>Libro IA en psiquiatría</v>
      </c>
      <c r="C9609" s="3" t="str">
        <f>HYPERLINK("https://otsuka-europe-crm.veevavault.com/ui/#object/sent_email__v/VBL000000016870", "SE-001401553")</f>
        <v>SE-001401553</v>
      </c>
      <c r="D9609" s="1" t="s">
        <v>0</v>
      </c>
      <c r="E9609" s="2">
        <v>0</v>
      </c>
      <c r="F9609" s="2">
        <v>0</v>
      </c>
      <c r="G9609" s="2">
        <v>0</v>
      </c>
      <c r="H9609" s="1" t="s">
        <v>0</v>
      </c>
      <c r="I9609" s="2">
        <v>0</v>
      </c>
      <c r="J9609" s="1">
        <v>46049.379861111112</v>
      </c>
    </row>
    <row r="9610" spans="1:10" x14ac:dyDescent="0.2">
      <c r="A9610" s="4" t="s">
        <v>1</v>
      </c>
      <c r="B9610" s="3" t="str">
        <f>HYPERLINK("https://otsuka-europe-crm.veevavault.com/ui/#object/approved_document__v/V5O00000000L011", "Libro IA en psiquiatría")</f>
        <v>Libro IA en psiquiatría</v>
      </c>
      <c r="C9610" s="3" t="str">
        <f>HYPERLINK("https://otsuka-europe-crm.veevavault.com/ui/#object/sent_email__v/VBL000000016871", "SE-001401554")</f>
        <v>SE-001401554</v>
      </c>
      <c r="D9610" s="1">
        <v>46056.319675925923</v>
      </c>
      <c r="E9610" s="2">
        <v>1</v>
      </c>
      <c r="F9610" s="2">
        <v>2</v>
      </c>
      <c r="G9610" s="2">
        <v>0</v>
      </c>
      <c r="H9610" s="1" t="s">
        <v>0</v>
      </c>
      <c r="I9610" s="2">
        <v>0</v>
      </c>
      <c r="J9610" s="1">
        <v>46049.379918981482</v>
      </c>
    </row>
    <row r="9611" spans="1:10" x14ac:dyDescent="0.2">
      <c r="A9611" s="4" t="s">
        <v>1</v>
      </c>
      <c r="B9611" s="3" t="str">
        <f>HYPERLINK("https://otsuka-europe-crm.veevavault.com/ui/#object/approved_document__v/V5O00000000L011", "Libro IA en psiquiatría")</f>
        <v>Libro IA en psiquiatría</v>
      </c>
      <c r="C9611" s="3" t="str">
        <f>HYPERLINK("https://otsuka-europe-crm.veevavault.com/ui/#object/sent_email__v/VBL000000016872", "SE-001401555")</f>
        <v>SE-001401555</v>
      </c>
      <c r="D9611" s="1">
        <v>46049.532604166663</v>
      </c>
      <c r="E9611" s="2">
        <v>1</v>
      </c>
      <c r="F9611" s="2">
        <v>1</v>
      </c>
      <c r="G9611" s="2">
        <v>0</v>
      </c>
      <c r="H9611" s="1" t="s">
        <v>0</v>
      </c>
      <c r="I9611" s="2">
        <v>0</v>
      </c>
      <c r="J9611" s="1">
        <v>46049.379965277774</v>
      </c>
    </row>
    <row r="9612" spans="1:10" x14ac:dyDescent="0.2">
      <c r="A9612" s="4" t="s">
        <v>1</v>
      </c>
      <c r="B9612" s="3" t="str">
        <f>HYPERLINK("https://otsuka-europe-crm.veevavault.com/ui/#object/approved_document__v/V5O00000000L011", "Libro IA en psiquiatría")</f>
        <v>Libro IA en psiquiatría</v>
      </c>
      <c r="C9612" s="3" t="str">
        <f>HYPERLINK("https://otsuka-europe-crm.veevavault.com/ui/#object/sent_email__v/VBL000000016873", "SE-001401556")</f>
        <v>SE-001401556</v>
      </c>
      <c r="D9612" s="1" t="s">
        <v>0</v>
      </c>
      <c r="E9612" s="2">
        <v>0</v>
      </c>
      <c r="F9612" s="2">
        <v>0</v>
      </c>
      <c r="G9612" s="2">
        <v>0</v>
      </c>
      <c r="H9612" s="1" t="s">
        <v>0</v>
      </c>
      <c r="I9612" s="2">
        <v>0</v>
      </c>
      <c r="J9612" s="1">
        <v>46049.379953703705</v>
      </c>
    </row>
    <row r="9613" spans="1:10" x14ac:dyDescent="0.2">
      <c r="A9613" s="4" t="s">
        <v>1</v>
      </c>
      <c r="B9613" s="3" t="str">
        <f>HYPERLINK("https://otsuka-europe-crm.veevavault.com/ui/#object/approved_document__v/V5O00000000L011", "Libro IA en psiquiatría")</f>
        <v>Libro IA en psiquiatría</v>
      </c>
      <c r="C9613" s="3" t="str">
        <f>HYPERLINK("https://otsuka-europe-crm.veevavault.com/ui/#object/sent_email__v/VBL000000016874", "SE-001401557")</f>
        <v>SE-001401557</v>
      </c>
      <c r="D9613" s="1" t="s">
        <v>0</v>
      </c>
      <c r="E9613" s="2">
        <v>0</v>
      </c>
      <c r="F9613" s="2">
        <v>0</v>
      </c>
      <c r="G9613" s="2">
        <v>0</v>
      </c>
      <c r="H9613" s="1" t="s">
        <v>0</v>
      </c>
      <c r="I9613" s="2">
        <v>0</v>
      </c>
      <c r="J9613" s="1">
        <v>46049.379849537036</v>
      </c>
    </row>
    <row r="9614" spans="1:10" x14ac:dyDescent="0.2">
      <c r="A9614" s="4" t="s">
        <v>1</v>
      </c>
      <c r="B9614" s="3" t="str">
        <f>HYPERLINK("https://otsuka-europe-crm.veevavault.com/ui/#object/approved_document__v/V5O00000000L011", "Libro IA en psiquiatría")</f>
        <v>Libro IA en psiquiatría</v>
      </c>
      <c r="C9614" s="3" t="str">
        <f>HYPERLINK("https://otsuka-europe-crm.veevavault.com/ui/#object/sent_email__v/VBL000000016875", "SE-001401558")</f>
        <v>SE-001401558</v>
      </c>
      <c r="D9614" s="1" t="s">
        <v>0</v>
      </c>
      <c r="E9614" s="2">
        <v>0</v>
      </c>
      <c r="F9614" s="2">
        <v>0</v>
      </c>
      <c r="G9614" s="2">
        <v>0</v>
      </c>
      <c r="H9614" s="1" t="s">
        <v>0</v>
      </c>
      <c r="I9614" s="2">
        <v>0</v>
      </c>
      <c r="J9614" s="1">
        <v>46049.379884259259</v>
      </c>
    </row>
    <row r="9615" spans="1:10" x14ac:dyDescent="0.2">
      <c r="A9615" s="4" t="s">
        <v>1</v>
      </c>
      <c r="B9615" s="3" t="str">
        <f>HYPERLINK("https://otsuka-europe-crm.veevavault.com/ui/#object/approved_document__v/V5O00000000L011", "Libro IA en psiquiatría")</f>
        <v>Libro IA en psiquiatría</v>
      </c>
      <c r="C9615" s="3" t="str">
        <f>HYPERLINK("https://otsuka-europe-crm.veevavault.com/ui/#object/sent_email__v/VBL000000016876", "SE-001401559")</f>
        <v>SE-001401559</v>
      </c>
      <c r="D9615" s="1">
        <v>46049.471562500003</v>
      </c>
      <c r="E9615" s="2">
        <v>1</v>
      </c>
      <c r="F9615" s="2">
        <v>3</v>
      </c>
      <c r="G9615" s="2">
        <v>1</v>
      </c>
      <c r="H9615" s="1">
        <v>46049.471562500003</v>
      </c>
      <c r="I9615" s="2">
        <v>1</v>
      </c>
      <c r="J9615" s="1">
        <v>46049.379884259259</v>
      </c>
    </row>
    <row r="9616" spans="1:10" x14ac:dyDescent="0.2">
      <c r="A9616" s="4" t="s">
        <v>1</v>
      </c>
      <c r="B9616" s="3" t="str">
        <f>HYPERLINK("https://otsuka-europe-crm.veevavault.com/ui/#object/approved_document__v/V5O00000000L011", "Libro IA en psiquiatría")</f>
        <v>Libro IA en psiquiatría</v>
      </c>
      <c r="C9616" s="3" t="str">
        <f>HYPERLINK("https://otsuka-europe-crm.veevavault.com/ui/#object/sent_email__v/VBL000000016877", "SE-001401560")</f>
        <v>SE-001401560</v>
      </c>
      <c r="D9616" s="1" t="s">
        <v>0</v>
      </c>
      <c r="E9616" s="2">
        <v>0</v>
      </c>
      <c r="F9616" s="2">
        <v>0</v>
      </c>
      <c r="G9616" s="2">
        <v>0</v>
      </c>
      <c r="H9616" s="1" t="s">
        <v>0</v>
      </c>
      <c r="I9616" s="2">
        <v>0</v>
      </c>
      <c r="J9616" s="1">
        <v>46049.379918981482</v>
      </c>
    </row>
    <row r="9617" spans="1:10" x14ac:dyDescent="0.2">
      <c r="A9617" s="4" t="s">
        <v>1</v>
      </c>
      <c r="B9617" s="3" t="str">
        <f>HYPERLINK("https://otsuka-europe-crm.veevavault.com/ui/#object/approved_document__v/V5O00000000L011", "Libro IA en psiquiatría")</f>
        <v>Libro IA en psiquiatría</v>
      </c>
      <c r="C9617" s="3" t="str">
        <f>HYPERLINK("https://otsuka-europe-crm.veevavault.com/ui/#object/sent_email__v/VBL000000016878", "SE-001401561")</f>
        <v>SE-001401561</v>
      </c>
      <c r="D9617" s="1" t="s">
        <v>0</v>
      </c>
      <c r="E9617" s="2">
        <v>0</v>
      </c>
      <c r="F9617" s="2">
        <v>0</v>
      </c>
      <c r="G9617" s="2">
        <v>0</v>
      </c>
      <c r="H9617" s="1" t="s">
        <v>0</v>
      </c>
      <c r="I9617" s="2">
        <v>0</v>
      </c>
      <c r="J9617" s="1">
        <v>46049.379872685182</v>
      </c>
    </row>
    <row r="9618" spans="1:10" x14ac:dyDescent="0.2">
      <c r="A9618" s="4" t="s">
        <v>1</v>
      </c>
      <c r="B9618" s="3" t="str">
        <f>HYPERLINK("https://otsuka-europe-crm.veevavault.com/ui/#object/approved_document__v/V5O00000000L011", "Libro IA en psiquiatría")</f>
        <v>Libro IA en psiquiatría</v>
      </c>
      <c r="C9618" s="3" t="str">
        <f>HYPERLINK("https://otsuka-europe-crm.veevavault.com/ui/#object/sent_email__v/VBL000000016879", "SE-001401562")</f>
        <v>SE-001401562</v>
      </c>
      <c r="D9618" s="1">
        <v>46050.13653935185</v>
      </c>
      <c r="E9618" s="2">
        <v>1</v>
      </c>
      <c r="F9618" s="2">
        <v>2</v>
      </c>
      <c r="G9618" s="2">
        <v>0</v>
      </c>
      <c r="H9618" s="1" t="s">
        <v>0</v>
      </c>
      <c r="I9618" s="2">
        <v>0</v>
      </c>
      <c r="J9618" s="1">
        <v>46049.379872685182</v>
      </c>
    </row>
    <row r="9619" spans="1:10" x14ac:dyDescent="0.2">
      <c r="A9619" s="4" t="s">
        <v>1</v>
      </c>
      <c r="B9619" s="3" t="str">
        <f>HYPERLINK("https://otsuka-europe-crm.veevavault.com/ui/#object/approved_document__v/V5O00000000L011", "Libro IA en psiquiatría")</f>
        <v>Libro IA en psiquiatría</v>
      </c>
      <c r="C9619" s="3" t="str">
        <f>HYPERLINK("https://otsuka-europe-crm.veevavault.com/ui/#object/sent_email__v/VBL000000016880", "SE-001401563")</f>
        <v>SE-001401563</v>
      </c>
      <c r="D9619" s="1" t="s">
        <v>0</v>
      </c>
      <c r="E9619" s="2">
        <v>0</v>
      </c>
      <c r="F9619" s="2">
        <v>0</v>
      </c>
      <c r="G9619" s="2">
        <v>0</v>
      </c>
      <c r="H9619" s="1" t="s">
        <v>0</v>
      </c>
      <c r="I9619" s="2">
        <v>0</v>
      </c>
      <c r="J9619" s="1">
        <v>46049.379872685182</v>
      </c>
    </row>
    <row r="9620" spans="1:10" x14ac:dyDescent="0.2">
      <c r="A9620" s="4" t="s">
        <v>1</v>
      </c>
      <c r="B9620" s="3" t="str">
        <f>HYPERLINK("https://otsuka-europe-crm.veevavault.com/ui/#object/approved_document__v/V5O00000000L011", "Libro IA en psiquiatría")</f>
        <v>Libro IA en psiquiatría</v>
      </c>
      <c r="C9620" s="3" t="str">
        <f>HYPERLINK("https://otsuka-europe-crm.veevavault.com/ui/#object/sent_email__v/VBL000000016881", "SE-001401564")</f>
        <v>SE-001401564</v>
      </c>
      <c r="D9620" s="1">
        <v>46049.434861111113</v>
      </c>
      <c r="E9620" s="2">
        <v>1</v>
      </c>
      <c r="F9620" s="2">
        <v>2</v>
      </c>
      <c r="G9620" s="2">
        <v>0</v>
      </c>
      <c r="H9620" s="1" t="s">
        <v>0</v>
      </c>
      <c r="I9620" s="2">
        <v>0</v>
      </c>
      <c r="J9620" s="1">
        <v>46049.379895833335</v>
      </c>
    </row>
    <row r="9621" spans="1:10" x14ac:dyDescent="0.2">
      <c r="A9621" s="4" t="s">
        <v>1</v>
      </c>
      <c r="B9621" s="3" t="str">
        <f>HYPERLINK("https://otsuka-europe-crm.veevavault.com/ui/#object/approved_document__v/V5O00000000L011", "Libro IA en psiquiatría")</f>
        <v>Libro IA en psiquiatría</v>
      </c>
      <c r="C9621" s="3" t="str">
        <f>HYPERLINK("https://otsuka-europe-crm.veevavault.com/ui/#object/sent_email__v/VBL000000016882", "SE-001401565")</f>
        <v>SE-001401565</v>
      </c>
      <c r="D9621" s="1">
        <v>46049.3984837963</v>
      </c>
      <c r="E9621" s="2">
        <v>1</v>
      </c>
      <c r="F9621" s="2">
        <v>1</v>
      </c>
      <c r="G9621" s="2">
        <v>0</v>
      </c>
      <c r="H9621" s="1" t="s">
        <v>0</v>
      </c>
      <c r="I9621" s="2">
        <v>0</v>
      </c>
      <c r="J9621" s="1">
        <v>46049.379918981482</v>
      </c>
    </row>
    <row r="9622" spans="1:10" x14ac:dyDescent="0.2">
      <c r="A9622" s="4" t="s">
        <v>1</v>
      </c>
      <c r="B9622" s="3" t="str">
        <f>HYPERLINK("https://otsuka-europe-crm.veevavault.com/ui/#object/approved_document__v/V5O00000000L011", "Libro IA en psiquiatría")</f>
        <v>Libro IA en psiquiatría</v>
      </c>
      <c r="C9622" s="3" t="str">
        <f>HYPERLINK("https://otsuka-europe-crm.veevavault.com/ui/#object/sent_email__v/VBL000000016883", "SE-001401566")</f>
        <v>SE-001401566</v>
      </c>
      <c r="D9622" s="1" t="s">
        <v>0</v>
      </c>
      <c r="E9622" s="2">
        <v>0</v>
      </c>
      <c r="F9622" s="2">
        <v>0</v>
      </c>
      <c r="G9622" s="2">
        <v>0</v>
      </c>
      <c r="H9622" s="1" t="s">
        <v>0</v>
      </c>
      <c r="I9622" s="2">
        <v>0</v>
      </c>
      <c r="J9622" s="1">
        <v>46049.379872685182</v>
      </c>
    </row>
    <row r="9623" spans="1:10" x14ac:dyDescent="0.2">
      <c r="A9623" s="4" t="s">
        <v>1</v>
      </c>
      <c r="B9623" s="3" t="str">
        <f>HYPERLINK("https://otsuka-europe-crm.veevavault.com/ui/#object/approved_document__v/V5O00000000L011", "Libro IA en psiquiatría")</f>
        <v>Libro IA en psiquiatría</v>
      </c>
      <c r="C9623" s="3" t="str">
        <f>HYPERLINK("https://otsuka-europe-crm.veevavault.com/ui/#object/sent_email__v/VBL000000016884", "SE-001401567")</f>
        <v>SE-001401567</v>
      </c>
      <c r="D9623" s="1" t="s">
        <v>0</v>
      </c>
      <c r="E9623" s="2">
        <v>0</v>
      </c>
      <c r="F9623" s="2">
        <v>0</v>
      </c>
      <c r="G9623" s="2">
        <v>0</v>
      </c>
      <c r="H9623" s="1" t="s">
        <v>0</v>
      </c>
      <c r="I9623" s="2">
        <v>0</v>
      </c>
      <c r="J9623" s="1">
        <v>46049.379872685182</v>
      </c>
    </row>
    <row r="9624" spans="1:10" x14ac:dyDescent="0.2">
      <c r="A9624" s="4" t="s">
        <v>1</v>
      </c>
      <c r="B9624" s="3" t="str">
        <f>HYPERLINK("https://otsuka-europe-crm.veevavault.com/ui/#object/approved_document__v/V5O00000000L011", "Libro IA en psiquiatría")</f>
        <v>Libro IA en psiquiatría</v>
      </c>
      <c r="C9624" s="3" t="str">
        <f>HYPERLINK("https://otsuka-europe-crm.veevavault.com/ui/#object/sent_email__v/VBL000000016885", "SE-001401568")</f>
        <v>SE-001401568</v>
      </c>
      <c r="D9624" s="1">
        <v>46049.790983796294</v>
      </c>
      <c r="E9624" s="2">
        <v>1</v>
      </c>
      <c r="F9624" s="2">
        <v>3</v>
      </c>
      <c r="G9624" s="2">
        <v>1</v>
      </c>
      <c r="H9624" s="1">
        <v>46049.472094907411</v>
      </c>
      <c r="I9624" s="2">
        <v>1</v>
      </c>
      <c r="J9624" s="1">
        <v>46049.379953703705</v>
      </c>
    </row>
    <row r="9625" spans="1:10" x14ac:dyDescent="0.2">
      <c r="A9625" s="4" t="s">
        <v>1</v>
      </c>
      <c r="B9625" s="3" t="str">
        <f>HYPERLINK("https://otsuka-europe-crm.veevavault.com/ui/#object/approved_document__v/V5O00000000L011", "Libro IA en psiquiatría")</f>
        <v>Libro IA en psiquiatría</v>
      </c>
      <c r="C9625" s="3" t="str">
        <f>HYPERLINK("https://otsuka-europe-crm.veevavault.com/ui/#object/sent_email__v/VBL000000016886", "SE-001401569")</f>
        <v>SE-001401569</v>
      </c>
      <c r="D9625" s="1" t="s">
        <v>0</v>
      </c>
      <c r="E9625" s="2">
        <v>0</v>
      </c>
      <c r="F9625" s="2">
        <v>0</v>
      </c>
      <c r="G9625" s="2">
        <v>0</v>
      </c>
      <c r="H9625" s="1" t="s">
        <v>0</v>
      </c>
      <c r="I9625" s="2">
        <v>0</v>
      </c>
      <c r="J9625" s="1">
        <v>46049.379965277774</v>
      </c>
    </row>
    <row r="9626" spans="1:10" x14ac:dyDescent="0.2">
      <c r="A9626" s="4" t="s">
        <v>1</v>
      </c>
      <c r="B9626" s="3" t="str">
        <f>HYPERLINK("https://otsuka-europe-crm.veevavault.com/ui/#object/approved_document__v/V5O00000000L011", "Libro IA en psiquiatría")</f>
        <v>Libro IA en psiquiatría</v>
      </c>
      <c r="C9626" s="3" t="str">
        <f>HYPERLINK("https://otsuka-europe-crm.veevavault.com/ui/#object/sent_email__v/VBL000000016887", "SE-001401570")</f>
        <v>SE-001401570</v>
      </c>
      <c r="D9626" s="1">
        <v>46050.406574074077</v>
      </c>
      <c r="E9626" s="2">
        <v>1</v>
      </c>
      <c r="F9626" s="2">
        <v>1</v>
      </c>
      <c r="G9626" s="2">
        <v>0</v>
      </c>
      <c r="H9626" s="1" t="s">
        <v>0</v>
      </c>
      <c r="I9626" s="2">
        <v>0</v>
      </c>
      <c r="J9626" s="1">
        <v>46049.379861111112</v>
      </c>
    </row>
    <row r="9627" spans="1:10" x14ac:dyDescent="0.2">
      <c r="A9627" s="4" t="s">
        <v>1</v>
      </c>
      <c r="B9627" s="3" t="str">
        <f>HYPERLINK("https://otsuka-europe-crm.veevavault.com/ui/#object/approved_document__v/V5O00000000L011", "Libro IA en psiquiatría")</f>
        <v>Libro IA en psiquiatría</v>
      </c>
      <c r="C9627" s="3" t="str">
        <f>HYPERLINK("https://otsuka-europe-crm.veevavault.com/ui/#object/sent_email__v/VBL000000016888", "SE-001401571")</f>
        <v>SE-001401571</v>
      </c>
      <c r="D9627" s="1">
        <v>46049.581597222219</v>
      </c>
      <c r="E9627" s="2">
        <v>1</v>
      </c>
      <c r="F9627" s="2">
        <v>1</v>
      </c>
      <c r="G9627" s="2">
        <v>0</v>
      </c>
      <c r="H9627" s="1" t="s">
        <v>0</v>
      </c>
      <c r="I9627" s="2">
        <v>0</v>
      </c>
      <c r="J9627" s="1">
        <v>46049.379814814813</v>
      </c>
    </row>
    <row r="9628" spans="1:10" x14ac:dyDescent="0.2">
      <c r="A9628" s="4" t="s">
        <v>1</v>
      </c>
      <c r="B9628" s="3" t="str">
        <f>HYPERLINK("https://otsuka-europe-crm.veevavault.com/ui/#object/approved_document__v/V5O00000000L011", "Libro IA en psiquiatría")</f>
        <v>Libro IA en psiquiatría</v>
      </c>
      <c r="C9628" s="3" t="str">
        <f>HYPERLINK("https://otsuka-europe-crm.veevavault.com/ui/#object/sent_email__v/VBL000000016889", "SE-001401572")</f>
        <v>SE-001401572</v>
      </c>
      <c r="D9628" s="1">
        <v>46049.385740740741</v>
      </c>
      <c r="E9628" s="2">
        <v>1</v>
      </c>
      <c r="F9628" s="2">
        <v>1</v>
      </c>
      <c r="G9628" s="2">
        <v>0</v>
      </c>
      <c r="H9628" s="1" t="s">
        <v>0</v>
      </c>
      <c r="I9628" s="2">
        <v>0</v>
      </c>
      <c r="J9628" s="1">
        <v>46049.379814814813</v>
      </c>
    </row>
    <row r="9629" spans="1:10" x14ac:dyDescent="0.2">
      <c r="A9629" s="4" t="s">
        <v>1</v>
      </c>
      <c r="B9629" s="3" t="str">
        <f>HYPERLINK("https://otsuka-europe-crm.veevavault.com/ui/#object/approved_document__v/V5O00000000L011", "Libro IA en psiquiatría")</f>
        <v>Libro IA en psiquiatría</v>
      </c>
      <c r="C9629" s="3" t="str">
        <f>HYPERLINK("https://otsuka-europe-crm.veevavault.com/ui/#object/sent_email__v/VBL000000016890", "SE-001401573")</f>
        <v>SE-001401573</v>
      </c>
      <c r="D9629" s="1">
        <v>46050.442060185182</v>
      </c>
      <c r="E9629" s="2">
        <v>1</v>
      </c>
      <c r="F9629" s="2">
        <v>2</v>
      </c>
      <c r="G9629" s="2">
        <v>1</v>
      </c>
      <c r="H9629" s="1">
        <v>46049.654490740744</v>
      </c>
      <c r="I9629" s="2">
        <v>2</v>
      </c>
      <c r="J9629" s="1">
        <v>46049.379918981482</v>
      </c>
    </row>
    <row r="9630" spans="1:10" x14ac:dyDescent="0.2">
      <c r="A9630" s="4" t="s">
        <v>1</v>
      </c>
      <c r="B9630" s="3" t="str">
        <f>HYPERLINK("https://otsuka-europe-crm.veevavault.com/ui/#object/approved_document__v/V5O00000000L011", "Libro IA en psiquiatría")</f>
        <v>Libro IA en psiquiatría</v>
      </c>
      <c r="C9630" s="3" t="str">
        <f>HYPERLINK("https://otsuka-europe-crm.veevavault.com/ui/#object/sent_email__v/VBL000000016891", "SE-001401574")</f>
        <v>SE-001401574</v>
      </c>
      <c r="D9630" s="1">
        <v>46052.78019675926</v>
      </c>
      <c r="E9630" s="2">
        <v>1</v>
      </c>
      <c r="F9630" s="2">
        <v>2</v>
      </c>
      <c r="G9630" s="2">
        <v>1</v>
      </c>
      <c r="H9630" s="1">
        <v>46049.553240740737</v>
      </c>
      <c r="I9630" s="2">
        <v>1</v>
      </c>
      <c r="J9630" s="1">
        <v>46049.379826388889</v>
      </c>
    </row>
    <row r="9631" spans="1:10" x14ac:dyDescent="0.2">
      <c r="A9631" s="4" t="s">
        <v>1</v>
      </c>
      <c r="B9631" s="3" t="str">
        <f>HYPERLINK("https://otsuka-europe-crm.veevavault.com/ui/#object/approved_document__v/V5O00000000L011", "Libro IA en psiquiatría")</f>
        <v>Libro IA en psiquiatría</v>
      </c>
      <c r="C9631" s="3" t="str">
        <f>HYPERLINK("https://otsuka-europe-crm.veevavault.com/ui/#object/sent_email__v/VBL000000016892", "SE-001401575")</f>
        <v>SE-001401575</v>
      </c>
      <c r="D9631" s="1">
        <v>46049.385208333333</v>
      </c>
      <c r="E9631" s="2">
        <v>1</v>
      </c>
      <c r="F9631" s="2">
        <v>1</v>
      </c>
      <c r="G9631" s="2">
        <v>0</v>
      </c>
      <c r="H9631" s="1" t="s">
        <v>0</v>
      </c>
      <c r="I9631" s="2">
        <v>0</v>
      </c>
      <c r="J9631" s="1">
        <v>46049.379907407405</v>
      </c>
    </row>
    <row r="9632" spans="1:10" x14ac:dyDescent="0.2">
      <c r="A9632" s="4" t="s">
        <v>1</v>
      </c>
      <c r="B9632" s="3" t="str">
        <f>HYPERLINK("https://otsuka-europe-crm.veevavault.com/ui/#object/approved_document__v/V5O00000000L011", "Libro IA en psiquiatría")</f>
        <v>Libro IA en psiquiatría</v>
      </c>
      <c r="C9632" s="3" t="str">
        <f>HYPERLINK("https://otsuka-europe-crm.veevavault.com/ui/#object/sent_email__v/VBL000000016893", "SE-001401576")</f>
        <v>SE-001401576</v>
      </c>
      <c r="D9632" s="1">
        <v>46065.960740740738</v>
      </c>
      <c r="E9632" s="2">
        <v>1</v>
      </c>
      <c r="F9632" s="2">
        <v>1</v>
      </c>
      <c r="G9632" s="2">
        <v>0</v>
      </c>
      <c r="H9632" s="1" t="s">
        <v>0</v>
      </c>
      <c r="I9632" s="2">
        <v>0</v>
      </c>
      <c r="J9632" s="1">
        <v>46049.379814814813</v>
      </c>
    </row>
    <row r="9633" spans="1:10" x14ac:dyDescent="0.2">
      <c r="A9633" s="4" t="s">
        <v>1</v>
      </c>
      <c r="B9633" s="3" t="str">
        <f>HYPERLINK("https://otsuka-europe-crm.veevavault.com/ui/#object/approved_document__v/V5O00000000L011", "Libro IA en psiquiatría")</f>
        <v>Libro IA en psiquiatría</v>
      </c>
      <c r="C9633" s="3" t="str">
        <f>HYPERLINK("https://otsuka-europe-crm.veevavault.com/ui/#object/sent_email__v/VBL000000016894", "SE-001401577")</f>
        <v>SE-001401577</v>
      </c>
      <c r="D9633" s="1" t="s">
        <v>0</v>
      </c>
      <c r="E9633" s="2">
        <v>0</v>
      </c>
      <c r="F9633" s="2">
        <v>0</v>
      </c>
      <c r="G9633" s="2">
        <v>0</v>
      </c>
      <c r="H9633" s="1" t="s">
        <v>0</v>
      </c>
      <c r="I9633" s="2">
        <v>0</v>
      </c>
      <c r="J9633" s="1">
        <v>46049.379826388889</v>
      </c>
    </row>
    <row r="9634" spans="1:10" x14ac:dyDescent="0.2">
      <c r="A9634" s="4" t="s">
        <v>1</v>
      </c>
      <c r="B9634" s="3" t="str">
        <f>HYPERLINK("https://otsuka-europe-crm.veevavault.com/ui/#object/approved_document__v/V5O00000000L011", "Libro IA en psiquiatría")</f>
        <v>Libro IA en psiquiatría</v>
      </c>
      <c r="C9634" s="3" t="str">
        <f>HYPERLINK("https://otsuka-europe-crm.veevavault.com/ui/#object/sent_email__v/VBL000000016895", "SE-001401578")</f>
        <v>SE-001401578</v>
      </c>
      <c r="D9634" s="1">
        <v>46052.460648148146</v>
      </c>
      <c r="E9634" s="2">
        <v>1</v>
      </c>
      <c r="F9634" s="2">
        <v>1</v>
      </c>
      <c r="G9634" s="2">
        <v>0</v>
      </c>
      <c r="H9634" s="1" t="s">
        <v>0</v>
      </c>
      <c r="I9634" s="2">
        <v>0</v>
      </c>
      <c r="J9634" s="1">
        <v>46049.379930555559</v>
      </c>
    </row>
    <row r="9635" spans="1:10" x14ac:dyDescent="0.2">
      <c r="A9635" s="4" t="s">
        <v>1</v>
      </c>
      <c r="B9635" s="3" t="str">
        <f>HYPERLINK("https://otsuka-europe-crm.veevavault.com/ui/#object/approved_document__v/V5O00000000L011", "Libro IA en psiquiatría")</f>
        <v>Libro IA en psiquiatría</v>
      </c>
      <c r="C9635" s="3" t="str">
        <f>HYPERLINK("https://otsuka-europe-crm.veevavault.com/ui/#object/sent_email__v/VBL000000016896", "SE-001401579")</f>
        <v>SE-001401579</v>
      </c>
      <c r="D9635" s="1" t="s">
        <v>0</v>
      </c>
      <c r="E9635" s="2">
        <v>0</v>
      </c>
      <c r="F9635" s="2">
        <v>0</v>
      </c>
      <c r="G9635" s="2">
        <v>0</v>
      </c>
      <c r="H9635" s="1" t="s">
        <v>0</v>
      </c>
      <c r="I9635" s="2">
        <v>0</v>
      </c>
      <c r="J9635" s="1">
        <v>46049.379814814813</v>
      </c>
    </row>
    <row r="9636" spans="1:10" x14ac:dyDescent="0.2">
      <c r="A9636" s="4" t="s">
        <v>1</v>
      </c>
      <c r="B9636" s="3" t="str">
        <f>HYPERLINK("https://otsuka-europe-crm.veevavault.com/ui/#object/approved_document__v/V5O00000000L011", "Libro IA en psiquiatría")</f>
        <v>Libro IA en psiquiatría</v>
      </c>
      <c r="C9636" s="3" t="str">
        <f>HYPERLINK("https://otsuka-europe-crm.veevavault.com/ui/#object/sent_email__v/VBL000000016897", "SE-001401580")</f>
        <v>SE-001401580</v>
      </c>
      <c r="D9636" s="1">
        <v>46049.904606481483</v>
      </c>
      <c r="E9636" s="2">
        <v>1</v>
      </c>
      <c r="F9636" s="2">
        <v>3</v>
      </c>
      <c r="G9636" s="2">
        <v>0</v>
      </c>
      <c r="H9636" s="1" t="s">
        <v>0</v>
      </c>
      <c r="I9636" s="2">
        <v>0</v>
      </c>
      <c r="J9636" s="1">
        <v>46049.379814814813</v>
      </c>
    </row>
    <row r="9637" spans="1:10" x14ac:dyDescent="0.2">
      <c r="A9637" s="4" t="s">
        <v>1</v>
      </c>
      <c r="B9637" s="3" t="str">
        <f>HYPERLINK("https://otsuka-europe-crm.veevavault.com/ui/#object/approved_document__v/V5O00000000L011", "Libro IA en psiquiatría")</f>
        <v>Libro IA en psiquiatría</v>
      </c>
      <c r="C9637" s="3" t="str">
        <f>HYPERLINK("https://otsuka-europe-crm.veevavault.com/ui/#object/sent_email__v/VBL000000015720", "SE-001401581")</f>
        <v>SE-001401581</v>
      </c>
      <c r="D9637" s="1" t="s">
        <v>0</v>
      </c>
      <c r="E9637" s="2">
        <v>0</v>
      </c>
      <c r="F9637" s="2">
        <v>0</v>
      </c>
      <c r="G9637" s="2">
        <v>0</v>
      </c>
      <c r="H9637" s="1" t="s">
        <v>0</v>
      </c>
      <c r="I9637" s="2">
        <v>0</v>
      </c>
      <c r="J9637" s="1">
        <v>46049.379907407405</v>
      </c>
    </row>
    <row r="9638" spans="1:10" x14ac:dyDescent="0.2">
      <c r="A9638" s="4" t="s">
        <v>1</v>
      </c>
      <c r="B9638" s="3" t="str">
        <f>HYPERLINK("https://otsuka-europe-crm.veevavault.com/ui/#object/approved_document__v/V5O00000000L011", "Libro IA en psiquiatría")</f>
        <v>Libro IA en psiquiatría</v>
      </c>
      <c r="C9638" s="3" t="str">
        <f>HYPERLINK("https://otsuka-europe-crm.veevavault.com/ui/#object/sent_email__v/VBL000000015721", "SE-001401582")</f>
        <v>SE-001401582</v>
      </c>
      <c r="D9638" s="1">
        <v>46049.400659722225</v>
      </c>
      <c r="E9638" s="2">
        <v>1</v>
      </c>
      <c r="F9638" s="2">
        <v>1</v>
      </c>
      <c r="G9638" s="2">
        <v>0</v>
      </c>
      <c r="H9638" s="1" t="s">
        <v>0</v>
      </c>
      <c r="I9638" s="2">
        <v>0</v>
      </c>
      <c r="J9638" s="1">
        <v>46049.379918981482</v>
      </c>
    </row>
    <row r="9639" spans="1:10" x14ac:dyDescent="0.2">
      <c r="A9639" s="4" t="s">
        <v>1</v>
      </c>
      <c r="B9639" s="3" t="str">
        <f>HYPERLINK("https://otsuka-europe-crm.veevavault.com/ui/#object/approved_document__v/V5O00000000L011", "Libro IA en psiquiatría")</f>
        <v>Libro IA en psiquiatría</v>
      </c>
      <c r="C9639" s="3" t="str">
        <f>HYPERLINK("https://otsuka-europe-crm.veevavault.com/ui/#object/sent_email__v/VBL000000015722", "SE-001401583")</f>
        <v>SE-001401583</v>
      </c>
      <c r="D9639" s="1">
        <v>46057.669814814813</v>
      </c>
      <c r="E9639" s="2">
        <v>1</v>
      </c>
      <c r="F9639" s="2">
        <v>7</v>
      </c>
      <c r="G9639" s="2">
        <v>1</v>
      </c>
      <c r="H9639" s="1">
        <v>46057.669861111113</v>
      </c>
      <c r="I9639" s="2">
        <v>5</v>
      </c>
      <c r="J9639" s="1">
        <v>46049.379930555559</v>
      </c>
    </row>
    <row r="9640" spans="1:10" x14ac:dyDescent="0.2">
      <c r="A9640" s="4" t="s">
        <v>1</v>
      </c>
      <c r="B9640" s="3" t="str">
        <f>HYPERLINK("https://otsuka-europe-crm.veevavault.com/ui/#object/approved_document__v/V5O00000000L011", "Libro IA en psiquiatría")</f>
        <v>Libro IA en psiquiatría</v>
      </c>
      <c r="C9640" s="3" t="str">
        <f>HYPERLINK("https://otsuka-europe-crm.veevavault.com/ui/#object/sent_email__v/VBL000000015723", "SE-001401584")</f>
        <v>SE-001401584</v>
      </c>
      <c r="D9640" s="1">
        <v>46049.481562499997</v>
      </c>
      <c r="E9640" s="2">
        <v>1</v>
      </c>
      <c r="F9640" s="2">
        <v>1</v>
      </c>
      <c r="G9640" s="2">
        <v>1</v>
      </c>
      <c r="H9640" s="1">
        <v>46049.535219907404</v>
      </c>
      <c r="I9640" s="2">
        <v>2</v>
      </c>
      <c r="J9640" s="1">
        <v>46049.379942129628</v>
      </c>
    </row>
    <row r="9641" spans="1:10" x14ac:dyDescent="0.2">
      <c r="A9641" s="4" t="s">
        <v>1</v>
      </c>
      <c r="B9641" s="3" t="str">
        <f>HYPERLINK("https://otsuka-europe-crm.veevavault.com/ui/#object/approved_document__v/V5O00000000L011", "Libro IA en psiquiatría")</f>
        <v>Libro IA en psiquiatría</v>
      </c>
      <c r="C9641" s="3" t="str">
        <f>HYPERLINK("https://otsuka-europe-crm.veevavault.com/ui/#object/sent_email__v/VBL000000015724", "SE-001401585")</f>
        <v>SE-001401585</v>
      </c>
      <c r="D9641" s="1">
        <v>46050.335405092592</v>
      </c>
      <c r="E9641" s="2">
        <v>1</v>
      </c>
      <c r="F9641" s="2">
        <v>1</v>
      </c>
      <c r="G9641" s="2">
        <v>0</v>
      </c>
      <c r="H9641" s="1" t="s">
        <v>0</v>
      </c>
      <c r="I9641" s="2">
        <v>0</v>
      </c>
      <c r="J9641" s="1">
        <v>46049.379826388889</v>
      </c>
    </row>
    <row r="9642" spans="1:10" x14ac:dyDescent="0.2">
      <c r="A9642" s="4" t="s">
        <v>1</v>
      </c>
      <c r="B9642" s="3" t="str">
        <f>HYPERLINK("https://otsuka-europe-crm.veevavault.com/ui/#object/approved_document__v/V5O00000000L011", "Libro IA en psiquiatría")</f>
        <v>Libro IA en psiquiatría</v>
      </c>
      <c r="C9642" s="3" t="str">
        <f>HYPERLINK("https://otsuka-europe-crm.veevavault.com/ui/#object/sent_email__v/VBL000000015725", "SE-001401586")</f>
        <v>SE-001401586</v>
      </c>
      <c r="D9642" s="1">
        <v>46049.607754629629</v>
      </c>
      <c r="E9642" s="2">
        <v>1</v>
      </c>
      <c r="F9642" s="2">
        <v>1</v>
      </c>
      <c r="G9642" s="2">
        <v>0</v>
      </c>
      <c r="H9642" s="1" t="s">
        <v>0</v>
      </c>
      <c r="I9642" s="2">
        <v>0</v>
      </c>
      <c r="J9642" s="1">
        <v>46049.379814814813</v>
      </c>
    </row>
    <row r="9643" spans="1:10" x14ac:dyDescent="0.2">
      <c r="A9643" s="4" t="s">
        <v>1</v>
      </c>
      <c r="B9643" s="3" t="str">
        <f>HYPERLINK("https://otsuka-europe-crm.veevavault.com/ui/#object/approved_document__v/V5O00000000L011", "Libro IA en psiquiatría")</f>
        <v>Libro IA en psiquiatría</v>
      </c>
      <c r="C9643" s="3" t="str">
        <f>HYPERLINK("https://otsuka-europe-crm.veevavault.com/ui/#object/sent_email__v/VBL000000015726", "SE-001401587")</f>
        <v>SE-001401587</v>
      </c>
      <c r="D9643" s="1" t="s">
        <v>0</v>
      </c>
      <c r="E9643" s="2">
        <v>0</v>
      </c>
      <c r="F9643" s="2">
        <v>0</v>
      </c>
      <c r="G9643" s="2">
        <v>0</v>
      </c>
      <c r="H9643" s="1" t="s">
        <v>0</v>
      </c>
      <c r="I9643" s="2">
        <v>0</v>
      </c>
      <c r="J9643" s="1">
        <v>46049.379965277774</v>
      </c>
    </row>
    <row r="9644" spans="1:10" x14ac:dyDescent="0.2">
      <c r="A9644" s="4" t="s">
        <v>1</v>
      </c>
      <c r="B9644" s="3" t="str">
        <f>HYPERLINK("https://otsuka-europe-crm.veevavault.com/ui/#object/approved_document__v/V5O00000000L011", "Libro IA en psiquiatría")</f>
        <v>Libro IA en psiquiatría</v>
      </c>
      <c r="C9644" s="3" t="str">
        <f>HYPERLINK("https://otsuka-europe-crm.veevavault.com/ui/#object/sent_email__v/VBL000000015727", "SE-001401588")</f>
        <v>SE-001401588</v>
      </c>
      <c r="D9644" s="1">
        <v>46049.540555555555</v>
      </c>
      <c r="E9644" s="2">
        <v>1</v>
      </c>
      <c r="F9644" s="2">
        <v>1</v>
      </c>
      <c r="G9644" s="2">
        <v>1</v>
      </c>
      <c r="H9644" s="1">
        <v>46049.541412037041</v>
      </c>
      <c r="I9644" s="2">
        <v>2</v>
      </c>
      <c r="J9644" s="1">
        <v>46049.379918981482</v>
      </c>
    </row>
    <row r="9645" spans="1:10" x14ac:dyDescent="0.2">
      <c r="A9645" s="4" t="s">
        <v>1</v>
      </c>
      <c r="B9645" s="3" t="str">
        <f>HYPERLINK("https://otsuka-europe-crm.veevavault.com/ui/#object/approved_document__v/V5O00000000L011", "Libro IA en psiquiatría")</f>
        <v>Libro IA en psiquiatría</v>
      </c>
      <c r="C9645" s="3" t="str">
        <f>HYPERLINK("https://otsuka-europe-crm.veevavault.com/ui/#object/sent_email__v/VBL000000015728", "SE-001401589")</f>
        <v>SE-001401589</v>
      </c>
      <c r="D9645" s="1">
        <v>46050.035381944443</v>
      </c>
      <c r="E9645" s="2">
        <v>1</v>
      </c>
      <c r="F9645" s="2">
        <v>5</v>
      </c>
      <c r="G9645" s="2">
        <v>0</v>
      </c>
      <c r="H9645" s="1" t="s">
        <v>0</v>
      </c>
      <c r="I9645" s="2">
        <v>0</v>
      </c>
      <c r="J9645" s="1">
        <v>46049.379872685182</v>
      </c>
    </row>
    <row r="9646" spans="1:10" x14ac:dyDescent="0.2">
      <c r="A9646" s="4" t="s">
        <v>1</v>
      </c>
      <c r="B9646" s="3" t="str">
        <f>HYPERLINK("https://otsuka-europe-crm.veevavault.com/ui/#object/approved_document__v/V5O00000000L011", "Libro IA en psiquiatría")</f>
        <v>Libro IA en psiquiatría</v>
      </c>
      <c r="C9646" s="3" t="str">
        <f>HYPERLINK("https://otsuka-europe-crm.veevavault.com/ui/#object/sent_email__v/VBL000000015729", "SE-001401590")</f>
        <v>SE-001401590</v>
      </c>
      <c r="D9646" s="1">
        <v>46049.940046296295</v>
      </c>
      <c r="E9646" s="2">
        <v>1</v>
      </c>
      <c r="F9646" s="2">
        <v>1</v>
      </c>
      <c r="G9646" s="2">
        <v>0</v>
      </c>
      <c r="H9646" s="1" t="s">
        <v>0</v>
      </c>
      <c r="I9646" s="2">
        <v>0</v>
      </c>
      <c r="J9646" s="1">
        <v>46049.379930555559</v>
      </c>
    </row>
    <row r="9647" spans="1:10" x14ac:dyDescent="0.2">
      <c r="A9647" s="4" t="s">
        <v>1</v>
      </c>
      <c r="B9647" s="3" t="str">
        <f>HYPERLINK("https://otsuka-europe-crm.veevavault.com/ui/#object/approved_document__v/V5O00000000L011", "Libro IA en psiquiatría")</f>
        <v>Libro IA en psiquiatría</v>
      </c>
      <c r="C9647" s="3" t="str">
        <f>HYPERLINK("https://otsuka-europe-crm.veevavault.com/ui/#object/sent_email__v/VBL000000015730", "SE-001401591")</f>
        <v>SE-001401591</v>
      </c>
      <c r="D9647" s="1">
        <v>46049.664050925923</v>
      </c>
      <c r="E9647" s="2">
        <v>1</v>
      </c>
      <c r="F9647" s="2">
        <v>1</v>
      </c>
      <c r="G9647" s="2">
        <v>1</v>
      </c>
      <c r="H9647" s="1">
        <v>46049.664050925923</v>
      </c>
      <c r="I9647" s="2">
        <v>1</v>
      </c>
      <c r="J9647" s="1">
        <v>46049.379918981482</v>
      </c>
    </row>
    <row r="9648" spans="1:10" x14ac:dyDescent="0.2">
      <c r="A9648" s="4" t="s">
        <v>1</v>
      </c>
      <c r="B9648" s="3" t="str">
        <f>HYPERLINK("https://otsuka-europe-crm.veevavault.com/ui/#object/approved_document__v/V5O00000000L011", "Libro IA en psiquiatría")</f>
        <v>Libro IA en psiquiatría</v>
      </c>
      <c r="C9648" s="3" t="str">
        <f>HYPERLINK("https://otsuka-europe-crm.veevavault.com/ui/#object/sent_email__v/VBL000000015731", "SE-001401592")</f>
        <v>SE-001401592</v>
      </c>
      <c r="D9648" s="1">
        <v>46049.392222222225</v>
      </c>
      <c r="E9648" s="2">
        <v>1</v>
      </c>
      <c r="F9648" s="2">
        <v>2</v>
      </c>
      <c r="G9648" s="2">
        <v>1</v>
      </c>
      <c r="H9648" s="1">
        <v>46049.392222222225</v>
      </c>
      <c r="I9648" s="2">
        <v>1</v>
      </c>
      <c r="J9648" s="1">
        <v>46049.379872685182</v>
      </c>
    </row>
    <row r="9649" spans="1:10" x14ac:dyDescent="0.2">
      <c r="A9649" s="4" t="s">
        <v>1</v>
      </c>
      <c r="B9649" s="3" t="str">
        <f>HYPERLINK("https://otsuka-europe-crm.veevavault.com/ui/#object/approved_document__v/V5O00000000L011", "Libro IA en psiquiatría")</f>
        <v>Libro IA en psiquiatría</v>
      </c>
      <c r="C9649" s="3" t="str">
        <f>HYPERLINK("https://otsuka-europe-crm.veevavault.com/ui/#object/sent_email__v/VBL000000015732", "SE-001401593")</f>
        <v>SE-001401593</v>
      </c>
      <c r="D9649" s="1">
        <v>46049.600428240738</v>
      </c>
      <c r="E9649" s="2">
        <v>1</v>
      </c>
      <c r="F9649" s="2">
        <v>1</v>
      </c>
      <c r="G9649" s="2">
        <v>0</v>
      </c>
      <c r="H9649" s="1" t="s">
        <v>0</v>
      </c>
      <c r="I9649" s="2">
        <v>0</v>
      </c>
      <c r="J9649" s="1">
        <v>46049.379953703705</v>
      </c>
    </row>
    <row r="9650" spans="1:10" x14ac:dyDescent="0.2">
      <c r="A9650" s="4" t="s">
        <v>1</v>
      </c>
      <c r="B9650" s="3" t="str">
        <f>HYPERLINK("https://otsuka-europe-crm.veevavault.com/ui/#object/approved_document__v/V5O00000000L011", "Libro IA en psiquiatría")</f>
        <v>Libro IA en psiquiatría</v>
      </c>
      <c r="C9650" s="3" t="str">
        <f>HYPERLINK("https://otsuka-europe-crm.veevavault.com/ui/#object/sent_email__v/VBL000000015733", "SE-001401594")</f>
        <v>SE-001401594</v>
      </c>
      <c r="D9650" s="1">
        <v>46049.3909375</v>
      </c>
      <c r="E9650" s="2">
        <v>1</v>
      </c>
      <c r="F9650" s="2">
        <v>1</v>
      </c>
      <c r="G9650" s="2">
        <v>0</v>
      </c>
      <c r="H9650" s="1" t="s">
        <v>0</v>
      </c>
      <c r="I9650" s="2">
        <v>0</v>
      </c>
      <c r="J9650" s="1">
        <v>46049.379872685182</v>
      </c>
    </row>
    <row r="9651" spans="1:10" x14ac:dyDescent="0.2">
      <c r="A9651" s="4" t="s">
        <v>1</v>
      </c>
      <c r="B9651" s="3" t="str">
        <f>HYPERLINK("https://otsuka-europe-crm.veevavault.com/ui/#object/approved_document__v/V5O00000000L011", "Libro IA en psiquiatría")</f>
        <v>Libro IA en psiquiatría</v>
      </c>
      <c r="C9651" s="3" t="str">
        <f>HYPERLINK("https://otsuka-europe-crm.veevavault.com/ui/#object/sent_email__v/VBL000000015734", "SE-001401595")</f>
        <v>SE-001401595</v>
      </c>
      <c r="D9651" s="1">
        <v>46049.407708333332</v>
      </c>
      <c r="E9651" s="2">
        <v>1</v>
      </c>
      <c r="F9651" s="2">
        <v>3</v>
      </c>
      <c r="G9651" s="2">
        <v>1</v>
      </c>
      <c r="H9651" s="1">
        <v>46049.407534722224</v>
      </c>
      <c r="I9651" s="2">
        <v>1</v>
      </c>
      <c r="J9651" s="1">
        <v>46049.379872685182</v>
      </c>
    </row>
    <row r="9652" spans="1:10" x14ac:dyDescent="0.2">
      <c r="A9652" s="4" t="s">
        <v>1</v>
      </c>
      <c r="B9652" s="3" t="str">
        <f>HYPERLINK("https://otsuka-europe-crm.veevavault.com/ui/#object/approved_document__v/V5O00000000L011", "Libro IA en psiquiatría")</f>
        <v>Libro IA en psiquiatría</v>
      </c>
      <c r="C9652" s="3" t="str">
        <f>HYPERLINK("https://otsuka-europe-crm.veevavault.com/ui/#object/sent_email__v/VBL000000015735", "SE-001401596")</f>
        <v>SE-001401596</v>
      </c>
      <c r="D9652" s="1">
        <v>46049.404583333337</v>
      </c>
      <c r="E9652" s="2">
        <v>1</v>
      </c>
      <c r="F9652" s="2">
        <v>1</v>
      </c>
      <c r="G9652" s="2">
        <v>0</v>
      </c>
      <c r="H9652" s="1" t="s">
        <v>0</v>
      </c>
      <c r="I9652" s="2">
        <v>0</v>
      </c>
      <c r="J9652" s="1">
        <v>46049.379918981482</v>
      </c>
    </row>
    <row r="9653" spans="1:10" x14ac:dyDescent="0.2">
      <c r="A9653" s="4" t="s">
        <v>1</v>
      </c>
      <c r="B9653" s="3" t="str">
        <f>HYPERLINK("https://otsuka-europe-crm.veevavault.com/ui/#object/approved_document__v/V5O00000000L011", "Libro IA en psiquiatría")</f>
        <v>Libro IA en psiquiatría</v>
      </c>
      <c r="C9653" s="3" t="str">
        <f>HYPERLINK("https://otsuka-europe-crm.veevavault.com/ui/#object/sent_email__v/VBL000000015736", "SE-001401597")</f>
        <v>SE-001401597</v>
      </c>
      <c r="D9653" s="1" t="s">
        <v>0</v>
      </c>
      <c r="E9653" s="2">
        <v>0</v>
      </c>
      <c r="F9653" s="2">
        <v>0</v>
      </c>
      <c r="G9653" s="2">
        <v>0</v>
      </c>
      <c r="H9653" s="1" t="s">
        <v>0</v>
      </c>
      <c r="I9653" s="2">
        <v>0</v>
      </c>
      <c r="J9653" s="1">
        <v>46049.379965277774</v>
      </c>
    </row>
    <row r="9654" spans="1:10" x14ac:dyDescent="0.2">
      <c r="A9654" s="4" t="s">
        <v>1</v>
      </c>
      <c r="B9654" s="3" t="str">
        <f>HYPERLINK("https://otsuka-europe-crm.veevavault.com/ui/#object/approved_document__v/V5O00000000L011", "Libro IA en psiquiatría")</f>
        <v>Libro IA en psiquiatría</v>
      </c>
      <c r="C9654" s="3" t="str">
        <f>HYPERLINK("https://otsuka-europe-crm.veevavault.com/ui/#object/sent_email__v/VBL000000015737", "SE-001401598")</f>
        <v>SE-001401598</v>
      </c>
      <c r="D9654" s="1">
        <v>46072.738541666666</v>
      </c>
      <c r="E9654" s="2">
        <v>1</v>
      </c>
      <c r="F9654" s="2">
        <v>3</v>
      </c>
      <c r="G9654" s="2">
        <v>0</v>
      </c>
      <c r="H9654" s="1" t="s">
        <v>0</v>
      </c>
      <c r="I9654" s="2">
        <v>0</v>
      </c>
      <c r="J9654" s="1">
        <v>46049.379861111112</v>
      </c>
    </row>
    <row r="9655" spans="1:10" x14ac:dyDescent="0.2">
      <c r="A9655" s="4" t="s">
        <v>1</v>
      </c>
      <c r="B9655" s="3" t="str">
        <f>HYPERLINK("https://otsuka-europe-crm.veevavault.com/ui/#object/approved_document__v/V5O00000000L011", "Libro IA en psiquiatría")</f>
        <v>Libro IA en psiquiatría</v>
      </c>
      <c r="C9655" s="3" t="str">
        <f>HYPERLINK("https://otsuka-europe-crm.veevavault.com/ui/#object/sent_email__v/VBL000000015738", "SE-001401599")</f>
        <v>SE-001401599</v>
      </c>
      <c r="D9655" s="1">
        <v>46066.404363425929</v>
      </c>
      <c r="E9655" s="2">
        <v>1</v>
      </c>
      <c r="F9655" s="2">
        <v>7</v>
      </c>
      <c r="G9655" s="2">
        <v>1</v>
      </c>
      <c r="H9655" s="1">
        <v>46049.396192129629</v>
      </c>
      <c r="I9655" s="2">
        <v>2</v>
      </c>
      <c r="J9655" s="1">
        <v>46049.379884259259</v>
      </c>
    </row>
    <row r="9656" spans="1:10" x14ac:dyDescent="0.2">
      <c r="A9656" s="4" t="s">
        <v>1</v>
      </c>
      <c r="B9656" s="3" t="str">
        <f>HYPERLINK("https://otsuka-europe-crm.veevavault.com/ui/#object/approved_document__v/V5O00000000L011", "Libro IA en psiquiatría")</f>
        <v>Libro IA en psiquiatría</v>
      </c>
      <c r="C9656" s="3" t="str">
        <f>HYPERLINK("https://otsuka-europe-crm.veevavault.com/ui/#object/sent_email__v/VBL000000015739", "SE-001401600")</f>
        <v>SE-001401600</v>
      </c>
      <c r="D9656" s="1">
        <v>46049.751446759263</v>
      </c>
      <c r="E9656" s="2">
        <v>1</v>
      </c>
      <c r="F9656" s="2">
        <v>3</v>
      </c>
      <c r="G9656" s="2">
        <v>1</v>
      </c>
      <c r="H9656" s="1">
        <v>46049.751608796294</v>
      </c>
      <c r="I9656" s="2">
        <v>3</v>
      </c>
      <c r="J9656" s="1">
        <v>46049.379861111112</v>
      </c>
    </row>
    <row r="9657" spans="1:10" x14ac:dyDescent="0.2">
      <c r="A9657" s="4" t="s">
        <v>1</v>
      </c>
      <c r="B9657" s="3" t="str">
        <f>HYPERLINK("https://otsuka-europe-crm.veevavault.com/ui/#object/approved_document__v/V5O00000000L011", "Libro IA en psiquiatría")</f>
        <v>Libro IA en psiquiatría</v>
      </c>
      <c r="C9657" s="3" t="str">
        <f>HYPERLINK("https://otsuka-europe-crm.veevavault.com/ui/#object/sent_email__v/VBL000000015740", "SE-001401601")</f>
        <v>SE-001401601</v>
      </c>
      <c r="D9657" s="1">
        <v>46049.967256944445</v>
      </c>
      <c r="E9657" s="2">
        <v>1</v>
      </c>
      <c r="F9657" s="2">
        <v>2</v>
      </c>
      <c r="G9657" s="2">
        <v>1</v>
      </c>
      <c r="H9657" s="1">
        <v>46049.693819444445</v>
      </c>
      <c r="I9657" s="2">
        <v>1</v>
      </c>
      <c r="J9657" s="1">
        <v>46049.379907407405</v>
      </c>
    </row>
    <row r="9658" spans="1:10" x14ac:dyDescent="0.2">
      <c r="A9658" s="4" t="s">
        <v>1</v>
      </c>
      <c r="B9658" s="3" t="str">
        <f>HYPERLINK("https://otsuka-europe-crm.veevavault.com/ui/#object/approved_document__v/V5O00000000L011", "Libro IA en psiquiatría")</f>
        <v>Libro IA en psiquiatría</v>
      </c>
      <c r="C9658" s="3" t="str">
        <f>HYPERLINK("https://otsuka-europe-crm.veevavault.com/ui/#object/sent_email__v/VBL000000015741", "SE-001401602")</f>
        <v>SE-001401602</v>
      </c>
      <c r="D9658" s="1">
        <v>46049.602372685185</v>
      </c>
      <c r="E9658" s="2">
        <v>1</v>
      </c>
      <c r="F9658" s="2">
        <v>1</v>
      </c>
      <c r="G9658" s="2">
        <v>0</v>
      </c>
      <c r="H9658" s="1" t="s">
        <v>0</v>
      </c>
      <c r="I9658" s="2">
        <v>0</v>
      </c>
      <c r="J9658" s="1">
        <v>46049.379861111112</v>
      </c>
    </row>
    <row r="9659" spans="1:10" x14ac:dyDescent="0.2">
      <c r="A9659" s="4" t="s">
        <v>1</v>
      </c>
      <c r="B9659" s="3" t="str">
        <f>HYPERLINK("https://otsuka-europe-crm.veevavault.com/ui/#object/approved_document__v/V5O00000000L011", "Libro IA en psiquiatría")</f>
        <v>Libro IA en psiquiatría</v>
      </c>
      <c r="C9659" s="3" t="str">
        <f>HYPERLINK("https://otsuka-europe-crm.veevavault.com/ui/#object/sent_email__v/VBL000000015742", "SE-001401603")</f>
        <v>SE-001401603</v>
      </c>
      <c r="D9659" s="1">
        <v>46049.40896990741</v>
      </c>
      <c r="E9659" s="2">
        <v>1</v>
      </c>
      <c r="F9659" s="2">
        <v>1</v>
      </c>
      <c r="G9659" s="2">
        <v>0</v>
      </c>
      <c r="H9659" s="1" t="s">
        <v>0</v>
      </c>
      <c r="I9659" s="2">
        <v>0</v>
      </c>
      <c r="J9659" s="1">
        <v>46049.379918981482</v>
      </c>
    </row>
    <row r="9660" spans="1:10" x14ac:dyDescent="0.2">
      <c r="A9660" s="4" t="s">
        <v>1</v>
      </c>
      <c r="B9660" s="3" t="str">
        <f>HYPERLINK("https://otsuka-europe-crm.veevavault.com/ui/#object/approved_document__v/V5O00000000L011", "Libro IA en psiquiatría")</f>
        <v>Libro IA en psiquiatría</v>
      </c>
      <c r="C9660" s="3" t="str">
        <f>HYPERLINK("https://otsuka-europe-crm.veevavault.com/ui/#object/sent_email__v/VBL000000015743", "SE-001401604")</f>
        <v>SE-001401604</v>
      </c>
      <c r="D9660" s="1">
        <v>46049.427546296298</v>
      </c>
      <c r="E9660" s="2">
        <v>1</v>
      </c>
      <c r="F9660" s="2">
        <v>4</v>
      </c>
      <c r="G9660" s="2">
        <v>0</v>
      </c>
      <c r="H9660" s="1" t="s">
        <v>0</v>
      </c>
      <c r="I9660" s="2">
        <v>0</v>
      </c>
      <c r="J9660" s="1">
        <v>46049.379814814813</v>
      </c>
    </row>
    <row r="9661" spans="1:10" x14ac:dyDescent="0.2">
      <c r="A9661" s="4" t="s">
        <v>1</v>
      </c>
      <c r="B9661" s="3" t="str">
        <f>HYPERLINK("https://otsuka-europe-crm.veevavault.com/ui/#object/approved_document__v/V5O00000000L011", "Libro IA en psiquiatría")</f>
        <v>Libro IA en psiquiatría</v>
      </c>
      <c r="C9661" s="3" t="str">
        <f>HYPERLINK("https://otsuka-europe-crm.veevavault.com/ui/#object/sent_email__v/VBL000000015744", "SE-001401605")</f>
        <v>SE-001401605</v>
      </c>
      <c r="D9661" s="1">
        <v>46049.409363425926</v>
      </c>
      <c r="E9661" s="2">
        <v>1</v>
      </c>
      <c r="F9661" s="2">
        <v>1</v>
      </c>
      <c r="G9661" s="2">
        <v>0</v>
      </c>
      <c r="H9661" s="1" t="s">
        <v>0</v>
      </c>
      <c r="I9661" s="2">
        <v>0</v>
      </c>
      <c r="J9661" s="1">
        <v>46049.379872685182</v>
      </c>
    </row>
    <row r="9662" spans="1:10" x14ac:dyDescent="0.2">
      <c r="A9662" s="4" t="s">
        <v>1</v>
      </c>
      <c r="B9662" s="3" t="str">
        <f>HYPERLINK("https://otsuka-europe-crm.veevavault.com/ui/#object/approved_document__v/V5O00000000L011", "Libro IA en psiquiatría")</f>
        <v>Libro IA en psiquiatría</v>
      </c>
      <c r="C9662" s="3" t="str">
        <f>HYPERLINK("https://otsuka-europe-crm.veevavault.com/ui/#object/sent_email__v/VBL000000015745", "SE-001401606")</f>
        <v>SE-001401606</v>
      </c>
      <c r="D9662" s="1">
        <v>46079.331562500003</v>
      </c>
      <c r="E9662" s="2">
        <v>1</v>
      </c>
      <c r="F9662" s="2">
        <v>4</v>
      </c>
      <c r="G9662" s="2">
        <v>0</v>
      </c>
      <c r="H9662" s="1" t="s">
        <v>0</v>
      </c>
      <c r="I9662" s="2">
        <v>0</v>
      </c>
      <c r="J9662" s="1">
        <v>46049.379907407405</v>
      </c>
    </row>
    <row r="9663" spans="1:10" x14ac:dyDescent="0.2">
      <c r="A9663" s="4" t="s">
        <v>1</v>
      </c>
      <c r="B9663" s="3" t="str">
        <f>HYPERLINK("https://otsuka-europe-crm.veevavault.com/ui/#object/approved_document__v/V5O00000000L011", "Libro IA en psiquiatría")</f>
        <v>Libro IA en psiquiatría</v>
      </c>
      <c r="C9663" s="3" t="str">
        <f>HYPERLINK("https://otsuka-europe-crm.veevavault.com/ui/#object/sent_email__v/VBL000000015746", "SE-001401607")</f>
        <v>SE-001401607</v>
      </c>
      <c r="D9663" s="1">
        <v>46049.719988425924</v>
      </c>
      <c r="E9663" s="2">
        <v>1</v>
      </c>
      <c r="F9663" s="2">
        <v>1</v>
      </c>
      <c r="G9663" s="2">
        <v>0</v>
      </c>
      <c r="H9663" s="1" t="s">
        <v>0</v>
      </c>
      <c r="I9663" s="2">
        <v>0</v>
      </c>
      <c r="J9663" s="1">
        <v>46049.379872685182</v>
      </c>
    </row>
    <row r="9664" spans="1:10" x14ac:dyDescent="0.2">
      <c r="A9664" s="4" t="s">
        <v>1</v>
      </c>
      <c r="B9664" s="3" t="str">
        <f>HYPERLINK("https://otsuka-europe-crm.veevavault.com/ui/#object/approved_document__v/V5O00000000L011", "Libro IA en psiquiatría")</f>
        <v>Libro IA en psiquiatría</v>
      </c>
      <c r="C9664" s="3" t="str">
        <f>HYPERLINK("https://otsuka-europe-crm.veevavault.com/ui/#object/sent_email__v/VBL000000015747", "SE-001401608")</f>
        <v>SE-001401608</v>
      </c>
      <c r="D9664" s="1">
        <v>46052.311793981484</v>
      </c>
      <c r="E9664" s="2">
        <v>1</v>
      </c>
      <c r="F9664" s="2">
        <v>3</v>
      </c>
      <c r="G9664" s="2">
        <v>1</v>
      </c>
      <c r="H9664" s="1">
        <v>46049.448020833333</v>
      </c>
      <c r="I9664" s="2">
        <v>1</v>
      </c>
      <c r="J9664" s="1">
        <v>46049.379861111112</v>
      </c>
    </row>
    <row r="9665" spans="1:10" x14ac:dyDescent="0.2">
      <c r="A9665" s="4" t="s">
        <v>1</v>
      </c>
      <c r="B9665" s="3" t="str">
        <f>HYPERLINK("https://otsuka-europe-crm.veevavault.com/ui/#object/approved_document__v/V5O00000000L011", "Libro IA en psiquiatría")</f>
        <v>Libro IA en psiquiatría</v>
      </c>
      <c r="C9665" s="3" t="str">
        <f>HYPERLINK("https://otsuka-europe-crm.veevavault.com/ui/#object/sent_email__v/VBL000000015748", "SE-001401609")</f>
        <v>SE-001401609</v>
      </c>
      <c r="D9665" s="1">
        <v>46049.474606481483</v>
      </c>
      <c r="E9665" s="2">
        <v>1</v>
      </c>
      <c r="F9665" s="2">
        <v>2</v>
      </c>
      <c r="G9665" s="2">
        <v>1</v>
      </c>
      <c r="H9665" s="1">
        <v>46049.474606481483</v>
      </c>
      <c r="I9665" s="2">
        <v>1</v>
      </c>
      <c r="J9665" s="1">
        <v>46049.379814814813</v>
      </c>
    </row>
    <row r="9666" spans="1:10" x14ac:dyDescent="0.2">
      <c r="A9666" s="4" t="s">
        <v>1</v>
      </c>
      <c r="B9666" s="3" t="str">
        <f>HYPERLINK("https://otsuka-europe-crm.veevavault.com/ui/#object/approved_document__v/V5O00000000L011", "Libro IA en psiquiatría")</f>
        <v>Libro IA en psiquiatría</v>
      </c>
      <c r="C9666" s="3" t="str">
        <f>HYPERLINK("https://otsuka-europe-crm.veevavault.com/ui/#object/sent_email__v/VBL000000015749", "SE-001401610")</f>
        <v>SE-001401610</v>
      </c>
      <c r="D9666" s="1">
        <v>46049.428749999999</v>
      </c>
      <c r="E9666" s="2">
        <v>1</v>
      </c>
      <c r="F9666" s="2">
        <v>2</v>
      </c>
      <c r="G9666" s="2">
        <v>0</v>
      </c>
      <c r="H9666" s="1" t="s">
        <v>0</v>
      </c>
      <c r="I9666" s="2">
        <v>0</v>
      </c>
      <c r="J9666" s="1">
        <v>46049.379918981482</v>
      </c>
    </row>
    <row r="9667" spans="1:10" x14ac:dyDescent="0.2">
      <c r="A9667" s="4" t="s">
        <v>1</v>
      </c>
      <c r="B9667" s="3" t="str">
        <f>HYPERLINK("https://otsuka-europe-crm.veevavault.com/ui/#object/approved_document__v/V5O00000000L011", "Libro IA en psiquiatría")</f>
        <v>Libro IA en psiquiatría</v>
      </c>
      <c r="C9667" s="3" t="str">
        <f>HYPERLINK("https://otsuka-europe-crm.veevavault.com/ui/#object/sent_email__v/VBL000000015750", "SE-001401611")</f>
        <v>SE-001401611</v>
      </c>
      <c r="D9667" s="1">
        <v>46050.802025462966</v>
      </c>
      <c r="E9667" s="2">
        <v>1</v>
      </c>
      <c r="F9667" s="2">
        <v>2</v>
      </c>
      <c r="G9667" s="2">
        <v>0</v>
      </c>
      <c r="H9667" s="1" t="s">
        <v>0</v>
      </c>
      <c r="I9667" s="2">
        <v>0</v>
      </c>
      <c r="J9667" s="1">
        <v>46049.379814814813</v>
      </c>
    </row>
    <row r="9668" spans="1:10" x14ac:dyDescent="0.2">
      <c r="A9668" s="4" t="s">
        <v>1</v>
      </c>
      <c r="B9668" s="3" t="str">
        <f>HYPERLINK("https://otsuka-europe-crm.veevavault.com/ui/#object/approved_document__v/V5O00000000L011", "Libro IA en psiquiatría")</f>
        <v>Libro IA en psiquiatría</v>
      </c>
      <c r="C9668" s="3" t="str">
        <f>HYPERLINK("https://otsuka-europe-crm.veevavault.com/ui/#object/sent_email__v/VBL000000015751", "SE-001401612")</f>
        <v>SE-001401612</v>
      </c>
      <c r="D9668" s="1" t="s">
        <v>0</v>
      </c>
      <c r="E9668" s="2">
        <v>0</v>
      </c>
      <c r="F9668" s="2">
        <v>0</v>
      </c>
      <c r="G9668" s="2">
        <v>0</v>
      </c>
      <c r="H9668" s="1" t="s">
        <v>0</v>
      </c>
      <c r="I9668" s="2">
        <v>0</v>
      </c>
      <c r="J9668" s="1">
        <v>46049.379814814813</v>
      </c>
    </row>
    <row r="9669" spans="1:10" x14ac:dyDescent="0.2">
      <c r="A9669" s="4" t="s">
        <v>1</v>
      </c>
      <c r="B9669" s="3" t="str">
        <f>HYPERLINK("https://otsuka-europe-crm.veevavault.com/ui/#object/approved_document__v/V5O00000000L011", "Libro IA en psiquiatría")</f>
        <v>Libro IA en psiquiatría</v>
      </c>
      <c r="C9669" s="3" t="str">
        <f>HYPERLINK("https://otsuka-europe-crm.veevavault.com/ui/#object/sent_email__v/VBL000000015752", "SE-001401613")</f>
        <v>SE-001401613</v>
      </c>
      <c r="D9669" s="1">
        <v>46051.736400462964</v>
      </c>
      <c r="E9669" s="2">
        <v>1</v>
      </c>
      <c r="F9669" s="2">
        <v>3</v>
      </c>
      <c r="G9669" s="2">
        <v>0</v>
      </c>
      <c r="H9669" s="1" t="s">
        <v>0</v>
      </c>
      <c r="I9669" s="2">
        <v>0</v>
      </c>
      <c r="J9669" s="1">
        <v>46049.379826388889</v>
      </c>
    </row>
    <row r="9670" spans="1:10" x14ac:dyDescent="0.2">
      <c r="A9670" s="4" t="s">
        <v>1</v>
      </c>
      <c r="B9670" s="3" t="str">
        <f>HYPERLINK("https://otsuka-europe-crm.veevavault.com/ui/#object/approved_document__v/V5O00000000L011", "Libro IA en psiquiatría")</f>
        <v>Libro IA en psiquiatría</v>
      </c>
      <c r="C9670" s="3" t="str">
        <f>HYPERLINK("https://otsuka-europe-crm.veevavault.com/ui/#object/sent_email__v/VBL000000015753", "SE-001401614")</f>
        <v>SE-001401614</v>
      </c>
      <c r="D9670" s="1">
        <v>46054.906956018516</v>
      </c>
      <c r="E9670" s="2">
        <v>1</v>
      </c>
      <c r="F9670" s="2">
        <v>4</v>
      </c>
      <c r="G9670" s="2">
        <v>1</v>
      </c>
      <c r="H9670" s="1">
        <v>46049.572604166664</v>
      </c>
      <c r="I9670" s="2">
        <v>1</v>
      </c>
      <c r="J9670" s="1">
        <v>46049.379895833335</v>
      </c>
    </row>
    <row r="9671" spans="1:10" x14ac:dyDescent="0.2">
      <c r="A9671" s="4" t="s">
        <v>1</v>
      </c>
      <c r="B9671" s="3" t="str">
        <f>HYPERLINK("https://otsuka-europe-crm.veevavault.com/ui/#object/approved_document__v/V5O00000000L011", "Libro IA en psiquiatría")</f>
        <v>Libro IA en psiquiatría</v>
      </c>
      <c r="C9671" s="3" t="str">
        <f>HYPERLINK("https://otsuka-europe-crm.veevavault.com/ui/#object/sent_email__v/VBL000000019096", "SE-001402410")</f>
        <v>SE-001402410</v>
      </c>
      <c r="D9671" s="1" t="s">
        <v>0</v>
      </c>
      <c r="E9671" s="2">
        <v>0</v>
      </c>
      <c r="F9671" s="2">
        <v>0</v>
      </c>
      <c r="G9671" s="2">
        <v>0</v>
      </c>
      <c r="H9671" s="1" t="s">
        <v>0</v>
      </c>
      <c r="I9671" s="2">
        <v>0</v>
      </c>
      <c r="J9671" s="1">
        <v>46055.922268518516</v>
      </c>
    </row>
    <row r="9672" spans="1:10" x14ac:dyDescent="0.2">
      <c r="A9672" s="4" t="s">
        <v>1</v>
      </c>
      <c r="B9672" s="3" t="str">
        <f>HYPERLINK("https://otsuka-europe-crm.veevavault.com/ui/#object/approved_document__v/V5O00000000L011", "Libro IA en psiquiatría")</f>
        <v>Libro IA en psiquiatría</v>
      </c>
      <c r="C9672" s="3" t="str">
        <f>HYPERLINK("https://otsuka-europe-crm.veevavault.com/ui/#object/sent_email__v/VBL000000019097", "SE-001402411")</f>
        <v>SE-001402411</v>
      </c>
      <c r="D9672" s="1">
        <v>46056.866770833331</v>
      </c>
      <c r="E9672" s="2">
        <v>1</v>
      </c>
      <c r="F9672" s="2">
        <v>2</v>
      </c>
      <c r="G9672" s="2">
        <v>0</v>
      </c>
      <c r="H9672" s="1" t="s">
        <v>0</v>
      </c>
      <c r="I9672" s="2">
        <v>0</v>
      </c>
      <c r="J9672" s="1">
        <v>46055.922442129631</v>
      </c>
    </row>
    <row r="9673" spans="1:10" x14ac:dyDescent="0.2">
      <c r="A9673" s="4" t="s">
        <v>1</v>
      </c>
      <c r="B9673" s="3" t="str">
        <f>HYPERLINK("https://otsuka-europe-crm.veevavault.com/ui/#object/approved_document__v/V5O00000000L011", "Libro IA en psiquiatría")</f>
        <v>Libro IA en psiquiatría</v>
      </c>
      <c r="C9673" s="3" t="str">
        <f>HYPERLINK("https://otsuka-europe-crm.veevavault.com/ui/#object/sent_email__v/VBL000000019098", "SE-001402412")</f>
        <v>SE-001402412</v>
      </c>
      <c r="D9673" s="1" t="s">
        <v>0</v>
      </c>
      <c r="E9673" s="2">
        <v>0</v>
      </c>
      <c r="F9673" s="2">
        <v>0</v>
      </c>
      <c r="G9673" s="2">
        <v>0</v>
      </c>
      <c r="H9673" s="1" t="s">
        <v>0</v>
      </c>
      <c r="I9673" s="2">
        <v>0</v>
      </c>
      <c r="J9673" s="1">
        <v>46055.922592592593</v>
      </c>
    </row>
    <row r="9674" spans="1:10" x14ac:dyDescent="0.2">
      <c r="A9674" s="4" t="s">
        <v>1</v>
      </c>
      <c r="B9674" s="3" t="str">
        <f>HYPERLINK("https://otsuka-europe-crm.veevavault.com/ui/#object/approved_document__v/V5O00000000L011", "Libro IA en psiquiatría")</f>
        <v>Libro IA en psiquiatría</v>
      </c>
      <c r="C9674" s="3" t="str">
        <f>HYPERLINK("https://otsuka-europe-crm.veevavault.com/ui/#object/sent_email__v/VBL000000019099", "SE-001402413")</f>
        <v>SE-001402413</v>
      </c>
      <c r="D9674" s="1" t="s">
        <v>0</v>
      </c>
      <c r="E9674" s="2">
        <v>0</v>
      </c>
      <c r="F9674" s="2">
        <v>0</v>
      </c>
      <c r="G9674" s="2">
        <v>0</v>
      </c>
      <c r="H9674" s="1" t="s">
        <v>0</v>
      </c>
      <c r="I9674" s="2">
        <v>0</v>
      </c>
      <c r="J9674" s="1">
        <v>46055.922777777778</v>
      </c>
    </row>
    <row r="9675" spans="1:10" x14ac:dyDescent="0.2">
      <c r="A9675" s="4" t="s">
        <v>1</v>
      </c>
      <c r="B9675" s="3" t="str">
        <f>HYPERLINK("https://otsuka-europe-crm.veevavault.com/ui/#object/approved_document__v/V5O00000000L011", "Libro IA en psiquiatría")</f>
        <v>Libro IA en psiquiatría</v>
      </c>
      <c r="C9675" s="3" t="str">
        <f>HYPERLINK("https://otsuka-europe-crm.veevavault.com/ui/#object/sent_email__v/VBL000000019100", "SE-001402414")</f>
        <v>SE-001402414</v>
      </c>
      <c r="D9675" s="1">
        <v>46055.923761574071</v>
      </c>
      <c r="E9675" s="2">
        <v>1</v>
      </c>
      <c r="F9675" s="2">
        <v>1</v>
      </c>
      <c r="G9675" s="2">
        <v>0</v>
      </c>
      <c r="H9675" s="1" t="s">
        <v>0</v>
      </c>
      <c r="I9675" s="2">
        <v>0</v>
      </c>
      <c r="J9675" s="1">
        <v>46055.92292824074</v>
      </c>
    </row>
    <row r="9676" spans="1:10" x14ac:dyDescent="0.2">
      <c r="A9676" s="4" t="s">
        <v>1</v>
      </c>
      <c r="B9676" s="3" t="str">
        <f>HYPERLINK("https://otsuka-europe-crm.veevavault.com/ui/#object/approved_document__v/V5O00000000L011", "Libro IA en psiquiatría")</f>
        <v>Libro IA en psiquiatría</v>
      </c>
      <c r="C9676" s="3" t="str">
        <f>HYPERLINK("https://otsuka-europe-crm.veevavault.com/ui/#object/sent_email__v/VBL000000019101", "SE-001402415")</f>
        <v>SE-001402415</v>
      </c>
      <c r="D9676" s="1">
        <v>46062.774525462963</v>
      </c>
      <c r="E9676" s="2">
        <v>1</v>
      </c>
      <c r="F9676" s="2">
        <v>1</v>
      </c>
      <c r="G9676" s="2">
        <v>1</v>
      </c>
      <c r="H9676" s="1">
        <v>46062.774548611109</v>
      </c>
      <c r="I9676" s="2">
        <v>1</v>
      </c>
      <c r="J9676" s="1">
        <v>46055.923113425924</v>
      </c>
    </row>
    <row r="9677" spans="1:10" x14ac:dyDescent="0.2">
      <c r="A9677" s="4" t="s">
        <v>1</v>
      </c>
      <c r="B9677" s="3" t="str">
        <f>HYPERLINK("https://otsuka-europe-crm.veevavault.com/ui/#object/approved_document__v/V5O00000000L011", "Libro IA en psiquiatría")</f>
        <v>Libro IA en psiquiatría</v>
      </c>
      <c r="C9677" s="3" t="str">
        <f>HYPERLINK("https://otsuka-europe-crm.veevavault.com/ui/#object/sent_email__v/VBL000000019102", "SE-001402416")</f>
        <v>SE-001402416</v>
      </c>
      <c r="D9677" s="1">
        <v>46055.923437500001</v>
      </c>
      <c r="E9677" s="2">
        <v>1</v>
      </c>
      <c r="F9677" s="2">
        <v>2</v>
      </c>
      <c r="G9677" s="2">
        <v>0</v>
      </c>
      <c r="H9677" s="1" t="s">
        <v>0</v>
      </c>
      <c r="I9677" s="2">
        <v>0</v>
      </c>
      <c r="J9677" s="1">
        <v>46055.923275462963</v>
      </c>
    </row>
    <row r="9678" spans="1:10" x14ac:dyDescent="0.2">
      <c r="A9678" s="4" t="s">
        <v>1</v>
      </c>
      <c r="B9678" s="3" t="str">
        <f>HYPERLINK("https://otsuka-europe-crm.veevavault.com/ui/#object/approved_document__v/V5O00000000L011", "Libro IA en psiquiatría")</f>
        <v>Libro IA en psiquiatría</v>
      </c>
      <c r="C9678" s="3" t="str">
        <f>HYPERLINK("https://otsuka-europe-crm.veevavault.com/ui/#object/sent_email__v/VBL000000019103", "SE-001402417")</f>
        <v>SE-001402417</v>
      </c>
      <c r="D9678" s="1" t="s">
        <v>0</v>
      </c>
      <c r="E9678" s="2">
        <v>0</v>
      </c>
      <c r="F9678" s="2">
        <v>0</v>
      </c>
      <c r="G9678" s="2">
        <v>0</v>
      </c>
      <c r="H9678" s="1" t="s">
        <v>0</v>
      </c>
      <c r="I9678" s="2">
        <v>0</v>
      </c>
      <c r="J9678" s="1">
        <v>46055.923449074071</v>
      </c>
    </row>
    <row r="9679" spans="1:10" x14ac:dyDescent="0.2">
      <c r="A9679" s="4" t="s">
        <v>1</v>
      </c>
      <c r="B9679" s="3" t="str">
        <f>HYPERLINK("https://otsuka-europe-crm.veevavault.com/ui/#object/approved_document__v/V5O00000000L011", "Libro IA en psiquiatría")</f>
        <v>Libro IA en psiquiatría</v>
      </c>
      <c r="C9679" s="3" t="str">
        <f>HYPERLINK("https://otsuka-europe-crm.veevavault.com/ui/#object/sent_email__v/VBL000000019104", "SE-001402418")</f>
        <v>SE-001402418</v>
      </c>
      <c r="D9679" s="1">
        <v>46056.377916666665</v>
      </c>
      <c r="E9679" s="2">
        <v>1</v>
      </c>
      <c r="F9679" s="2">
        <v>1</v>
      </c>
      <c r="G9679" s="2">
        <v>0</v>
      </c>
      <c r="H9679" s="1" t="s">
        <v>0</v>
      </c>
      <c r="I9679" s="2">
        <v>0</v>
      </c>
      <c r="J9679" s="1">
        <v>46055.923622685186</v>
      </c>
    </row>
    <row r="9680" spans="1:10" x14ac:dyDescent="0.2">
      <c r="A9680" s="4" t="s">
        <v>1</v>
      </c>
      <c r="B9680" s="3" t="str">
        <f>HYPERLINK("https://otsuka-europe-crm.veevavault.com/ui/#object/approved_document__v/V5O00000000L011", "Libro IA en psiquiatría")</f>
        <v>Libro IA en psiquiatría</v>
      </c>
      <c r="C9680" s="3" t="str">
        <f>HYPERLINK("https://otsuka-europe-crm.veevavault.com/ui/#object/sent_email__v/VBL000000019105", "SE-001402419")</f>
        <v>SE-001402419</v>
      </c>
      <c r="D9680" s="1">
        <v>46057.602581018517</v>
      </c>
      <c r="E9680" s="2">
        <v>1</v>
      </c>
      <c r="F9680" s="2">
        <v>2</v>
      </c>
      <c r="G9680" s="2">
        <v>0</v>
      </c>
      <c r="H9680" s="1" t="s">
        <v>0</v>
      </c>
      <c r="I9680" s="2">
        <v>0</v>
      </c>
      <c r="J9680" s="1">
        <v>46055.923784722225</v>
      </c>
    </row>
    <row r="9681" spans="1:10" x14ac:dyDescent="0.2">
      <c r="A9681" s="4" t="s">
        <v>1</v>
      </c>
      <c r="B9681" s="3" t="str">
        <f>HYPERLINK("https://otsuka-europe-crm.veevavault.com/ui/#object/approved_document__v/V5O00000000L011", "Libro IA en psiquiatría")</f>
        <v>Libro IA en psiquiatría</v>
      </c>
      <c r="C9681" s="3" t="str">
        <f>HYPERLINK("https://otsuka-europe-crm.veevavault.com/ui/#object/sent_email__v/VBL000000019106", "SE-001402420")</f>
        <v>SE-001402420</v>
      </c>
      <c r="D9681" s="1">
        <v>46077.60633101852</v>
      </c>
      <c r="E9681" s="2">
        <v>1</v>
      </c>
      <c r="F9681" s="2">
        <v>1</v>
      </c>
      <c r="G9681" s="2">
        <v>0</v>
      </c>
      <c r="H9681" s="1" t="s">
        <v>0</v>
      </c>
      <c r="I9681" s="2">
        <v>0</v>
      </c>
      <c r="J9681" s="1">
        <v>46055.923958333333</v>
      </c>
    </row>
    <row r="9682" spans="1:10" x14ac:dyDescent="0.2">
      <c r="A9682" s="4" t="s">
        <v>1</v>
      </c>
      <c r="B9682" s="3" t="str">
        <f>HYPERLINK("https://otsuka-europe-crm.veevavault.com/ui/#object/approved_document__v/V5O00000000L011", "Libro IA en psiquiatría")</f>
        <v>Libro IA en psiquiatría</v>
      </c>
      <c r="C9682" s="3" t="str">
        <f>HYPERLINK("https://otsuka-europe-crm.veevavault.com/ui/#object/sent_email__v/VBL000000019107", "SE-001402421")</f>
        <v>SE-001402421</v>
      </c>
      <c r="D9682" s="1" t="s">
        <v>0</v>
      </c>
      <c r="E9682" s="2">
        <v>0</v>
      </c>
      <c r="F9682" s="2">
        <v>0</v>
      </c>
      <c r="G9682" s="2">
        <v>0</v>
      </c>
      <c r="H9682" s="1" t="s">
        <v>0</v>
      </c>
      <c r="I9682" s="2">
        <v>0</v>
      </c>
      <c r="J9682" s="1">
        <v>46055.924131944441</v>
      </c>
    </row>
    <row r="9683" spans="1:10" x14ac:dyDescent="0.2">
      <c r="A9683" s="4" t="s">
        <v>1</v>
      </c>
      <c r="B9683" s="3" t="str">
        <f>HYPERLINK("https://otsuka-europe-crm.veevavault.com/ui/#object/approved_document__v/V5O00000000L011", "Libro IA en psiquiatría")</f>
        <v>Libro IA en psiquiatría</v>
      </c>
      <c r="C9683" s="3" t="str">
        <f>HYPERLINK("https://otsuka-europe-crm.veevavault.com/ui/#object/sent_email__v/VBL000000019108", "SE-001402422")</f>
        <v>SE-001402422</v>
      </c>
      <c r="D9683" s="1" t="s">
        <v>0</v>
      </c>
      <c r="E9683" s="2">
        <v>0</v>
      </c>
      <c r="F9683" s="2">
        <v>0</v>
      </c>
      <c r="G9683" s="2">
        <v>0</v>
      </c>
      <c r="H9683" s="1" t="s">
        <v>0</v>
      </c>
      <c r="I9683" s="2">
        <v>0</v>
      </c>
      <c r="J9683" s="1">
        <v>46055.924305555556</v>
      </c>
    </row>
    <row r="9684" spans="1:10" x14ac:dyDescent="0.2">
      <c r="A9684" s="4" t="s">
        <v>1</v>
      </c>
      <c r="B9684" s="3" t="str">
        <f>HYPERLINK("https://otsuka-europe-crm.veevavault.com/ui/#object/approved_document__v/V5O00000000L011", "Libro IA en psiquiatría")</f>
        <v>Libro IA en psiquiatría</v>
      </c>
      <c r="C9684" s="3" t="str">
        <f>HYPERLINK("https://otsuka-europe-crm.veevavault.com/ui/#object/sent_email__v/VBL000000019109", "SE-001402423")</f>
        <v>SE-001402423</v>
      </c>
      <c r="D9684" s="1" t="s">
        <v>0</v>
      </c>
      <c r="E9684" s="2">
        <v>0</v>
      </c>
      <c r="F9684" s="2">
        <v>0</v>
      </c>
      <c r="G9684" s="2">
        <v>0</v>
      </c>
      <c r="H9684" s="1" t="s">
        <v>0</v>
      </c>
      <c r="I9684" s="2">
        <v>0</v>
      </c>
      <c r="J9684" s="1">
        <v>46055.924467592595</v>
      </c>
    </row>
    <row r="9685" spans="1:10" x14ac:dyDescent="0.2">
      <c r="A9685" s="4" t="s">
        <v>1</v>
      </c>
      <c r="B9685" s="3" t="str">
        <f>HYPERLINK("https://otsuka-europe-crm.veevavault.com/ui/#object/approved_document__v/V5O00000000L011", "Libro IA en psiquiatría")</f>
        <v>Libro IA en psiquiatría</v>
      </c>
      <c r="C9685" s="3" t="str">
        <f>HYPERLINK("https://otsuka-europe-crm.veevavault.com/ui/#object/sent_email__v/VBL000000019110", "SE-001402424")</f>
        <v>SE-001402424</v>
      </c>
      <c r="D9685" s="1">
        <v>46074.446574074071</v>
      </c>
      <c r="E9685" s="2">
        <v>1</v>
      </c>
      <c r="F9685" s="2">
        <v>13</v>
      </c>
      <c r="G9685" s="2">
        <v>1</v>
      </c>
      <c r="H9685" s="1">
        <v>46057.629583333335</v>
      </c>
      <c r="I9685" s="2">
        <v>3</v>
      </c>
      <c r="J9685" s="1">
        <v>46055.924641203703</v>
      </c>
    </row>
    <row r="9686" spans="1:10" x14ac:dyDescent="0.2">
      <c r="A9686" s="4" t="s">
        <v>1</v>
      </c>
      <c r="B9686" s="3" t="str">
        <f>HYPERLINK("https://otsuka-europe-crm.veevavault.com/ui/#object/approved_document__v/V5O00000000L011", "Libro IA en psiquiatría")</f>
        <v>Libro IA en psiquiatría</v>
      </c>
      <c r="C9686" s="3" t="str">
        <f>HYPERLINK("https://otsuka-europe-crm.veevavault.com/ui/#object/sent_email__v/VBL000000019111", "SE-001402425")</f>
        <v>SE-001402425</v>
      </c>
      <c r="D9686" s="1" t="s">
        <v>0</v>
      </c>
      <c r="E9686" s="2">
        <v>0</v>
      </c>
      <c r="F9686" s="2">
        <v>0</v>
      </c>
      <c r="G9686" s="2">
        <v>0</v>
      </c>
      <c r="H9686" s="1" t="s">
        <v>0</v>
      </c>
      <c r="I9686" s="2">
        <v>0</v>
      </c>
      <c r="J9686" s="1">
        <v>46055.924803240741</v>
      </c>
    </row>
    <row r="9687" spans="1:10" x14ac:dyDescent="0.2">
      <c r="A9687" s="4" t="s">
        <v>1</v>
      </c>
      <c r="B9687" s="3" t="str">
        <f>HYPERLINK("https://otsuka-europe-crm.veevavault.com/ui/#object/approved_document__v/V5O00000000L011", "Libro IA en psiquiatría")</f>
        <v>Libro IA en psiquiatría</v>
      </c>
      <c r="C9687" s="3" t="str">
        <f>HYPERLINK("https://otsuka-europe-crm.veevavault.com/ui/#object/sent_email__v/VBL000000019112", "SE-001402426")</f>
        <v>SE-001402426</v>
      </c>
      <c r="D9687" s="1" t="s">
        <v>0</v>
      </c>
      <c r="E9687" s="2">
        <v>0</v>
      </c>
      <c r="F9687" s="2">
        <v>0</v>
      </c>
      <c r="G9687" s="2">
        <v>0</v>
      </c>
      <c r="H9687" s="1" t="s">
        <v>0</v>
      </c>
      <c r="I9687" s="2">
        <v>0</v>
      </c>
      <c r="J9687" s="1">
        <v>46055.924988425926</v>
      </c>
    </row>
    <row r="9688" spans="1:10" x14ac:dyDescent="0.2">
      <c r="A9688" s="4" t="s">
        <v>1</v>
      </c>
      <c r="B9688" s="3" t="str">
        <f>HYPERLINK("https://otsuka-europe-crm.veevavault.com/ui/#object/approved_document__v/V5O00000000L011", "Libro IA en psiquiatría")</f>
        <v>Libro IA en psiquiatría</v>
      </c>
      <c r="C9688" s="3" t="str">
        <f>HYPERLINK("https://otsuka-europe-crm.veevavault.com/ui/#object/sent_email__v/VBL000000019113", "SE-001402427")</f>
        <v>SE-001402427</v>
      </c>
      <c r="D9688" s="1">
        <v>46056.274988425925</v>
      </c>
      <c r="E9688" s="2">
        <v>1</v>
      </c>
      <c r="F9688" s="2">
        <v>1</v>
      </c>
      <c r="G9688" s="2">
        <v>1</v>
      </c>
      <c r="H9688" s="1">
        <v>46056.275439814817</v>
      </c>
      <c r="I9688" s="2">
        <v>1</v>
      </c>
      <c r="J9688" s="1">
        <v>46055.925150462965</v>
      </c>
    </row>
    <row r="9689" spans="1:10" x14ac:dyDescent="0.2">
      <c r="A9689" s="4" t="s">
        <v>1</v>
      </c>
      <c r="B9689" s="3" t="str">
        <f>HYPERLINK("https://otsuka-europe-crm.veevavault.com/ui/#object/approved_document__v/V5O00000000L011", "Libro IA en psiquiatría")</f>
        <v>Libro IA en psiquiatría</v>
      </c>
      <c r="C9689" s="3" t="str">
        <f>HYPERLINK("https://otsuka-europe-crm.veevavault.com/ui/#object/sent_email__v/VBL000000019114", "SE-001402428")</f>
        <v>SE-001402428</v>
      </c>
      <c r="D9689" s="1">
        <v>46056.424687500003</v>
      </c>
      <c r="E9689" s="2">
        <v>1</v>
      </c>
      <c r="F9689" s="2">
        <v>1</v>
      </c>
      <c r="G9689" s="2">
        <v>1</v>
      </c>
      <c r="H9689" s="1">
        <v>46056.424687500003</v>
      </c>
      <c r="I9689" s="2">
        <v>1</v>
      </c>
      <c r="J9689" s="1">
        <v>46055.925312500003</v>
      </c>
    </row>
    <row r="9690" spans="1:10" x14ac:dyDescent="0.2">
      <c r="A9690" s="4" t="s">
        <v>1</v>
      </c>
      <c r="B9690" s="3" t="str">
        <f>HYPERLINK("https://otsuka-europe-crm.veevavault.com/ui/#object/approved_document__v/V5O00000000L011", "Libro IA en psiquiatría")</f>
        <v>Libro IA en psiquiatría</v>
      </c>
      <c r="C9690" s="3" t="str">
        <f>HYPERLINK("https://otsuka-europe-crm.veevavault.com/ui/#object/sent_email__v/VBL000000019115", "SE-001402429")</f>
        <v>SE-001402429</v>
      </c>
      <c r="D9690" s="1">
        <v>46055.985729166663</v>
      </c>
      <c r="E9690" s="2">
        <v>1</v>
      </c>
      <c r="F9690" s="2">
        <v>3</v>
      </c>
      <c r="G9690" s="2">
        <v>0</v>
      </c>
      <c r="H9690" s="1" t="s">
        <v>0</v>
      </c>
      <c r="I9690" s="2">
        <v>0</v>
      </c>
      <c r="J9690" s="1">
        <v>46055.925486111111</v>
      </c>
    </row>
    <row r="9691" spans="1:10" x14ac:dyDescent="0.2">
      <c r="A9691" s="4" t="s">
        <v>1</v>
      </c>
      <c r="B9691" s="3" t="str">
        <f>HYPERLINK("https://otsuka-europe-crm.veevavault.com/ui/#object/approved_document__v/V5O00000000L011", "Libro IA en psiquiatría")</f>
        <v>Libro IA en psiquiatría</v>
      </c>
      <c r="C9691" s="3" t="str">
        <f>HYPERLINK("https://otsuka-europe-crm.veevavault.com/ui/#object/sent_email__v/VBL000000019116", "SE-001402430")</f>
        <v>SE-001402430</v>
      </c>
      <c r="D9691" s="1">
        <v>46056.608148148145</v>
      </c>
      <c r="E9691" s="2">
        <v>1</v>
      </c>
      <c r="F9691" s="2">
        <v>6</v>
      </c>
      <c r="G9691" s="2">
        <v>1</v>
      </c>
      <c r="H9691" s="1">
        <v>46056.607916666668</v>
      </c>
      <c r="I9691" s="2">
        <v>1</v>
      </c>
      <c r="J9691" s="1">
        <v>46055.92564814815</v>
      </c>
    </row>
    <row r="9692" spans="1:10" x14ac:dyDescent="0.2">
      <c r="A9692" s="4" t="s">
        <v>1</v>
      </c>
      <c r="B9692" s="3" t="str">
        <f>HYPERLINK("https://otsuka-europe-crm.veevavault.com/ui/#object/approved_document__v/V5O00000000L011", "Libro IA en psiquiatría")</f>
        <v>Libro IA en psiquiatría</v>
      </c>
      <c r="C9692" s="3" t="str">
        <f>HYPERLINK("https://otsuka-europe-crm.veevavault.com/ui/#object/sent_email__v/VBL000000019117", "SE-001402431")</f>
        <v>SE-001402431</v>
      </c>
      <c r="D9692" s="1">
        <v>46059.533101851855</v>
      </c>
      <c r="E9692" s="2">
        <v>1</v>
      </c>
      <c r="F9692" s="2">
        <v>2</v>
      </c>
      <c r="G9692" s="2">
        <v>1</v>
      </c>
      <c r="H9692" s="1">
        <v>46059.533391203702</v>
      </c>
      <c r="I9692" s="2">
        <v>2</v>
      </c>
      <c r="J9692" s="1">
        <v>46055.925821759258</v>
      </c>
    </row>
    <row r="9693" spans="1:10" x14ac:dyDescent="0.2">
      <c r="A9693" s="4" t="s">
        <v>1</v>
      </c>
      <c r="B9693" s="3" t="str">
        <f>HYPERLINK("https://otsuka-europe-crm.veevavault.com/ui/#object/approved_document__v/V5O00000000L011", "Libro IA en psiquiatría")</f>
        <v>Libro IA en psiquiatría</v>
      </c>
      <c r="C9693" s="3" t="str">
        <f>HYPERLINK("https://otsuka-europe-crm.veevavault.com/ui/#object/sent_email__v/VBL000000019118", "SE-001402432")</f>
        <v>SE-001402432</v>
      </c>
      <c r="D9693" s="1" t="s">
        <v>0</v>
      </c>
      <c r="E9693" s="2">
        <v>0</v>
      </c>
      <c r="F9693" s="2">
        <v>0</v>
      </c>
      <c r="G9693" s="2">
        <v>0</v>
      </c>
      <c r="H9693" s="1" t="s">
        <v>0</v>
      </c>
      <c r="I9693" s="2">
        <v>0</v>
      </c>
      <c r="J9693" s="1">
        <v>46055.925995370373</v>
      </c>
    </row>
    <row r="9694" spans="1:10" x14ac:dyDescent="0.2">
      <c r="A9694" s="4" t="s">
        <v>1</v>
      </c>
      <c r="B9694" s="3" t="str">
        <f>HYPERLINK("https://otsuka-europe-crm.veevavault.com/ui/#object/approved_document__v/V5O00000000L011", "Libro IA en psiquiatría")</f>
        <v>Libro IA en psiquiatría</v>
      </c>
      <c r="C9694" s="3" t="str">
        <f>HYPERLINK("https://otsuka-europe-crm.veevavault.com/ui/#object/sent_email__v/VBL000000019119", "SE-001402433")</f>
        <v>SE-001402433</v>
      </c>
      <c r="D9694" s="1" t="s">
        <v>0</v>
      </c>
      <c r="E9694" s="2">
        <v>0</v>
      </c>
      <c r="F9694" s="2">
        <v>0</v>
      </c>
      <c r="G9694" s="2">
        <v>0</v>
      </c>
      <c r="H9694" s="1" t="s">
        <v>0</v>
      </c>
      <c r="I9694" s="2">
        <v>0</v>
      </c>
      <c r="J9694" s="1">
        <v>46055.926157407404</v>
      </c>
    </row>
    <row r="9695" spans="1:10" x14ac:dyDescent="0.2">
      <c r="A9695" s="4" t="s">
        <v>1</v>
      </c>
      <c r="B9695" s="3" t="str">
        <f>HYPERLINK("https://otsuka-europe-crm.veevavault.com/ui/#object/approved_document__v/V5O00000000L011", "Libro IA en psiquiatría")</f>
        <v>Libro IA en psiquiatría</v>
      </c>
      <c r="C9695" s="3" t="str">
        <f>HYPERLINK("https://otsuka-europe-crm.veevavault.com/ui/#object/sent_email__v/VBL000000019120", "SE-001402434")</f>
        <v>SE-001402434</v>
      </c>
      <c r="D9695" s="1">
        <v>46055.984270833331</v>
      </c>
      <c r="E9695" s="2">
        <v>1</v>
      </c>
      <c r="F9695" s="2">
        <v>1</v>
      </c>
      <c r="G9695" s="2">
        <v>0</v>
      </c>
      <c r="H9695" s="1" t="s">
        <v>0</v>
      </c>
      <c r="I9695" s="2">
        <v>0</v>
      </c>
      <c r="J9695" s="1">
        <v>46055.926342592589</v>
      </c>
    </row>
    <row r="9696" spans="1:10" x14ac:dyDescent="0.2">
      <c r="A9696" s="4" t="s">
        <v>1</v>
      </c>
      <c r="B9696" s="3" t="str">
        <f>HYPERLINK("https://otsuka-europe-crm.veevavault.com/ui/#object/approved_document__v/V5O00000000L011", "Libro IA en psiquiatría")</f>
        <v>Libro IA en psiquiatría</v>
      </c>
      <c r="C9696" s="3" t="str">
        <f>HYPERLINK("https://otsuka-europe-crm.veevavault.com/ui/#object/sent_email__v/VBL000000019121", "SE-001402435")</f>
        <v>SE-001402435</v>
      </c>
      <c r="D9696" s="1">
        <v>46057.375439814816</v>
      </c>
      <c r="E9696" s="2">
        <v>1</v>
      </c>
      <c r="F9696" s="2">
        <v>3</v>
      </c>
      <c r="G9696" s="2">
        <v>1</v>
      </c>
      <c r="H9696" s="1">
        <v>46057.375833333332</v>
      </c>
      <c r="I9696" s="2">
        <v>2</v>
      </c>
      <c r="J9696" s="1">
        <v>46055.926504629628</v>
      </c>
    </row>
    <row r="9697" spans="1:10" x14ac:dyDescent="0.2">
      <c r="A9697" s="4" t="s">
        <v>1</v>
      </c>
      <c r="B9697" s="3" t="str">
        <f>HYPERLINK("https://otsuka-europe-crm.veevavault.com/ui/#object/approved_document__v/V5O00000000L011", "Libro IA en psiquiatría")</f>
        <v>Libro IA en psiquiatría</v>
      </c>
      <c r="C9697" s="3" t="str">
        <f>HYPERLINK("https://otsuka-europe-crm.veevavault.com/ui/#object/sent_email__v/VBL000000019122", "SE-001402436")</f>
        <v>SE-001402436</v>
      </c>
      <c r="D9697" s="1" t="s">
        <v>0</v>
      </c>
      <c r="E9697" s="2">
        <v>0</v>
      </c>
      <c r="F9697" s="2">
        <v>0</v>
      </c>
      <c r="G9697" s="2">
        <v>0</v>
      </c>
      <c r="H9697" s="1" t="s">
        <v>0</v>
      </c>
      <c r="I9697" s="2">
        <v>0</v>
      </c>
      <c r="J9697" s="1">
        <v>46055.926666666666</v>
      </c>
    </row>
    <row r="9698" spans="1:10" x14ac:dyDescent="0.2">
      <c r="A9698" s="4" t="s">
        <v>1</v>
      </c>
      <c r="B9698" s="3" t="str">
        <f>HYPERLINK("https://otsuka-europe-crm.veevavault.com/ui/#object/approved_document__v/V5O00000000L011", "Libro IA en psiquiatría")</f>
        <v>Libro IA en psiquiatría</v>
      </c>
      <c r="C9698" s="3" t="str">
        <f>HYPERLINK("https://otsuka-europe-crm.veevavault.com/ui/#object/sent_email__v/VBL000000019123", "SE-001402437")</f>
        <v>SE-001402437</v>
      </c>
      <c r="D9698" s="1" t="s">
        <v>0</v>
      </c>
      <c r="E9698" s="2">
        <v>0</v>
      </c>
      <c r="F9698" s="2">
        <v>0</v>
      </c>
      <c r="G9698" s="2">
        <v>0</v>
      </c>
      <c r="H9698" s="1" t="s">
        <v>0</v>
      </c>
      <c r="I9698" s="2">
        <v>0</v>
      </c>
      <c r="J9698" s="1">
        <v>46055.926840277774</v>
      </c>
    </row>
    <row r="9699" spans="1:10" x14ac:dyDescent="0.2">
      <c r="A9699" s="4" t="s">
        <v>1</v>
      </c>
      <c r="B9699" s="3" t="str">
        <f>HYPERLINK("https://otsuka-europe-crm.veevavault.com/ui/#object/approved_document__v/V5O00000000L011", "Libro IA en psiquiatría")</f>
        <v>Libro IA en psiquiatría</v>
      </c>
      <c r="C9699" s="3" t="str">
        <f>HYPERLINK("https://otsuka-europe-crm.veevavault.com/ui/#object/sent_email__v/VBL000000019124", "SE-001402438")</f>
        <v>SE-001402438</v>
      </c>
      <c r="D9699" s="1">
        <v>46071.749074074076</v>
      </c>
      <c r="E9699" s="2">
        <v>1</v>
      </c>
      <c r="F9699" s="2">
        <v>3</v>
      </c>
      <c r="G9699" s="2">
        <v>0</v>
      </c>
      <c r="H9699" s="1" t="s">
        <v>0</v>
      </c>
      <c r="I9699" s="2">
        <v>0</v>
      </c>
      <c r="J9699" s="1">
        <v>46055.927002314813</v>
      </c>
    </row>
    <row r="9700" spans="1:10" x14ac:dyDescent="0.2">
      <c r="A9700" s="4" t="s">
        <v>1</v>
      </c>
      <c r="B9700" s="3" t="str">
        <f>HYPERLINK("https://otsuka-europe-crm.veevavault.com/ui/#object/approved_document__v/V5O00000000L011", "Libro IA en psiquiatría")</f>
        <v>Libro IA en psiquiatría</v>
      </c>
      <c r="C9700" s="3" t="str">
        <f>HYPERLINK("https://otsuka-europe-crm.veevavault.com/ui/#object/sent_email__v/VBL000000019125", "SE-001402439")</f>
        <v>SE-001402439</v>
      </c>
      <c r="D9700" s="1" t="s">
        <v>0</v>
      </c>
      <c r="E9700" s="2">
        <v>0</v>
      </c>
      <c r="F9700" s="2">
        <v>0</v>
      </c>
      <c r="G9700" s="2">
        <v>0</v>
      </c>
      <c r="H9700" s="1" t="s">
        <v>0</v>
      </c>
      <c r="I9700" s="2">
        <v>0</v>
      </c>
      <c r="J9700" s="1">
        <v>46055.927164351851</v>
      </c>
    </row>
    <row r="9701" spans="1:10" x14ac:dyDescent="0.2">
      <c r="A9701" s="4" t="s">
        <v>1</v>
      </c>
      <c r="B9701" s="3" t="str">
        <f>HYPERLINK("https://otsuka-europe-crm.veevavault.com/ui/#object/approved_document__v/V5O00000000L011", "Libro IA en psiquiatría")</f>
        <v>Libro IA en psiquiatría</v>
      </c>
      <c r="C9701" s="3" t="str">
        <f>HYPERLINK("https://otsuka-europe-crm.veevavault.com/ui/#object/sent_email__v/VBL000000019126", "SE-001402440")</f>
        <v>SE-001402440</v>
      </c>
      <c r="D9701" s="1" t="s">
        <v>0</v>
      </c>
      <c r="E9701" s="2">
        <v>0</v>
      </c>
      <c r="F9701" s="2">
        <v>0</v>
      </c>
      <c r="G9701" s="2">
        <v>0</v>
      </c>
      <c r="H9701" s="1" t="s">
        <v>0</v>
      </c>
      <c r="I9701" s="2">
        <v>0</v>
      </c>
      <c r="J9701" s="1">
        <v>46055.927337962959</v>
      </c>
    </row>
    <row r="9702" spans="1:10" x14ac:dyDescent="0.2">
      <c r="A9702" s="4" t="s">
        <v>1</v>
      </c>
      <c r="B9702" s="3" t="str">
        <f>HYPERLINK("https://otsuka-europe-crm.veevavault.com/ui/#object/approved_document__v/V5O00000000L011", "Libro IA en psiquiatría")</f>
        <v>Libro IA en psiquiatría</v>
      </c>
      <c r="C9702" s="3" t="str">
        <f>HYPERLINK("https://otsuka-europe-crm.veevavault.com/ui/#object/sent_email__v/VBL000000019127", "SE-001402441")</f>
        <v>SE-001402441</v>
      </c>
      <c r="D9702" s="1" t="s">
        <v>0</v>
      </c>
      <c r="E9702" s="2">
        <v>0</v>
      </c>
      <c r="F9702" s="2">
        <v>0</v>
      </c>
      <c r="G9702" s="2">
        <v>0</v>
      </c>
      <c r="H9702" s="1" t="s">
        <v>0</v>
      </c>
      <c r="I9702" s="2">
        <v>0</v>
      </c>
      <c r="J9702" s="1">
        <v>46055.927511574075</v>
      </c>
    </row>
    <row r="9703" spans="1:10" x14ac:dyDescent="0.2">
      <c r="A9703" s="4" t="s">
        <v>1</v>
      </c>
      <c r="B9703" s="3" t="str">
        <f>HYPERLINK("https://otsuka-europe-crm.veevavault.com/ui/#object/approved_document__v/V5O00000000L011", "Libro IA en psiquiatría")</f>
        <v>Libro IA en psiquiatría</v>
      </c>
      <c r="C9703" s="3" t="str">
        <f>HYPERLINK("https://otsuka-europe-crm.veevavault.com/ui/#object/sent_email__v/VBL000000019128", "SE-001402442")</f>
        <v>SE-001402442</v>
      </c>
      <c r="D9703" s="1" t="s">
        <v>0</v>
      </c>
      <c r="E9703" s="2">
        <v>0</v>
      </c>
      <c r="F9703" s="2">
        <v>0</v>
      </c>
      <c r="G9703" s="2">
        <v>0</v>
      </c>
      <c r="H9703" s="1" t="s">
        <v>0</v>
      </c>
      <c r="I9703" s="2">
        <v>0</v>
      </c>
      <c r="J9703" s="1">
        <v>46055.927673611113</v>
      </c>
    </row>
    <row r="9704" spans="1:10" x14ac:dyDescent="0.2">
      <c r="A9704" s="4" t="s">
        <v>1</v>
      </c>
      <c r="B9704" s="3" t="str">
        <f>HYPERLINK("https://otsuka-europe-crm.veevavault.com/ui/#object/approved_document__v/V5O00000000L011", "Libro IA en psiquiatría")</f>
        <v>Libro IA en psiquiatría</v>
      </c>
      <c r="C9704" s="3" t="str">
        <f>HYPERLINK("https://otsuka-europe-crm.veevavault.com/ui/#object/sent_email__v/VBL000000019129", "SE-001402443")</f>
        <v>SE-001402443</v>
      </c>
      <c r="D9704" s="1">
        <v>46056.609942129631</v>
      </c>
      <c r="E9704" s="2">
        <v>1</v>
      </c>
      <c r="F9704" s="2">
        <v>3</v>
      </c>
      <c r="G9704" s="2">
        <v>0</v>
      </c>
      <c r="H9704" s="1" t="s">
        <v>0</v>
      </c>
      <c r="I9704" s="2">
        <v>0</v>
      </c>
      <c r="J9704" s="1">
        <v>46055.927835648145</v>
      </c>
    </row>
    <row r="9705" spans="1:10" x14ac:dyDescent="0.2">
      <c r="A9705" s="4" t="s">
        <v>1</v>
      </c>
      <c r="B9705" s="3" t="str">
        <f>HYPERLINK("https://otsuka-europe-crm.veevavault.com/ui/#object/approved_document__v/V5O00000000L011", "Libro IA en psiquiatría")</f>
        <v>Libro IA en psiquiatría</v>
      </c>
      <c r="C9705" s="3" t="str">
        <f>HYPERLINK("https://otsuka-europe-crm.veevavault.com/ui/#object/sent_email__v/VBL000000019130", "SE-001402444")</f>
        <v>SE-001402444</v>
      </c>
      <c r="D9705" s="1">
        <v>46056.387291666666</v>
      </c>
      <c r="E9705" s="2">
        <v>1</v>
      </c>
      <c r="F9705" s="2">
        <v>2</v>
      </c>
      <c r="G9705" s="2">
        <v>0</v>
      </c>
      <c r="H9705" s="1" t="s">
        <v>0</v>
      </c>
      <c r="I9705" s="2">
        <v>0</v>
      </c>
      <c r="J9705" s="1">
        <v>46055.92800925926</v>
      </c>
    </row>
    <row r="9706" spans="1:10" x14ac:dyDescent="0.2">
      <c r="A9706" s="4" t="s">
        <v>1</v>
      </c>
      <c r="B9706" s="3" t="str">
        <f>HYPERLINK("https://otsuka-europe-crm.veevavault.com/ui/#object/approved_document__v/V5O00000000L011", "Libro IA en psiquiatría")</f>
        <v>Libro IA en psiquiatría</v>
      </c>
      <c r="C9706" s="3" t="str">
        <f>HYPERLINK("https://otsuka-europe-crm.veevavault.com/ui/#object/sent_email__v/VBL000000019131", "SE-001402445")</f>
        <v>SE-001402445</v>
      </c>
      <c r="D9706" s="1" t="s">
        <v>0</v>
      </c>
      <c r="E9706" s="2">
        <v>0</v>
      </c>
      <c r="F9706" s="2">
        <v>0</v>
      </c>
      <c r="G9706" s="2">
        <v>0</v>
      </c>
      <c r="H9706" s="1" t="s">
        <v>0</v>
      </c>
      <c r="I9706" s="2">
        <v>0</v>
      </c>
      <c r="J9706" s="1">
        <v>46055.928182870368</v>
      </c>
    </row>
    <row r="9707" spans="1:10" x14ac:dyDescent="0.2">
      <c r="A9707" s="4" t="s">
        <v>1</v>
      </c>
      <c r="B9707" s="3" t="str">
        <f>HYPERLINK("https://otsuka-europe-crm.veevavault.com/ui/#object/approved_document__v/V5O00000000L011", "Libro IA en psiquiatría")</f>
        <v>Libro IA en psiquiatría</v>
      </c>
      <c r="C9707" s="3" t="str">
        <f>HYPERLINK("https://otsuka-europe-crm.veevavault.com/ui/#object/sent_email__v/VBL000000019132", "SE-001402446")</f>
        <v>SE-001402446</v>
      </c>
      <c r="D9707" s="1">
        <v>46056.267592592594</v>
      </c>
      <c r="E9707" s="2">
        <v>1</v>
      </c>
      <c r="F9707" s="2">
        <v>2</v>
      </c>
      <c r="G9707" s="2">
        <v>0</v>
      </c>
      <c r="H9707" s="1" t="s">
        <v>0</v>
      </c>
      <c r="I9707" s="2">
        <v>0</v>
      </c>
      <c r="J9707" s="1">
        <v>46055.928368055553</v>
      </c>
    </row>
    <row r="9708" spans="1:10" x14ac:dyDescent="0.2">
      <c r="A9708" s="4" t="s">
        <v>1</v>
      </c>
      <c r="B9708" s="3" t="str">
        <f>HYPERLINK("https://otsuka-europe-crm.veevavault.com/ui/#object/approved_document__v/V5O00000000L011", "Libro IA en psiquiatría")</f>
        <v>Libro IA en psiquiatría</v>
      </c>
      <c r="C9708" s="3" t="str">
        <f>HYPERLINK("https://otsuka-europe-crm.veevavault.com/ui/#object/sent_email__v/VBL000000019133", "SE-001402447")</f>
        <v>SE-001402447</v>
      </c>
      <c r="D9708" s="1">
        <v>46058.486157407409</v>
      </c>
      <c r="E9708" s="2">
        <v>1</v>
      </c>
      <c r="F9708" s="2">
        <v>2</v>
      </c>
      <c r="G9708" s="2">
        <v>1</v>
      </c>
      <c r="H9708" s="1">
        <v>46058.486238425925</v>
      </c>
      <c r="I9708" s="2">
        <v>1</v>
      </c>
      <c r="J9708" s="1">
        <v>46055.928530092591</v>
      </c>
    </row>
    <row r="9709" spans="1:10" x14ac:dyDescent="0.2">
      <c r="A9709" s="4" t="s">
        <v>1</v>
      </c>
      <c r="B9709" s="3" t="str">
        <f>HYPERLINK("https://otsuka-europe-crm.veevavault.com/ui/#object/approved_document__v/V5O00000000L011", "Libro IA en psiquiatría")</f>
        <v>Libro IA en psiquiatría</v>
      </c>
      <c r="C9709" s="3" t="str">
        <f>HYPERLINK("https://otsuka-europe-crm.veevavault.com/ui/#object/sent_email__v/VBL000000019134", "SE-001402448")</f>
        <v>SE-001402448</v>
      </c>
      <c r="D9709" s="1">
        <v>46056.31622685185</v>
      </c>
      <c r="E9709" s="2">
        <v>1</v>
      </c>
      <c r="F9709" s="2">
        <v>2</v>
      </c>
      <c r="G9709" s="2">
        <v>0</v>
      </c>
      <c r="H9709" s="1" t="s">
        <v>0</v>
      </c>
      <c r="I9709" s="2">
        <v>0</v>
      </c>
      <c r="J9709" s="1">
        <v>46055.928680555553</v>
      </c>
    </row>
    <row r="9710" spans="1:10" x14ac:dyDescent="0.2">
      <c r="A9710" s="4" t="s">
        <v>1</v>
      </c>
      <c r="B9710" s="3" t="str">
        <f>HYPERLINK("https://otsuka-europe-crm.veevavault.com/ui/#object/approved_document__v/V5O00000000L011", "Libro IA en psiquiatría")</f>
        <v>Libro IA en psiquiatría</v>
      </c>
      <c r="C9710" s="3" t="str">
        <f>HYPERLINK("https://otsuka-europe-crm.veevavault.com/ui/#object/sent_email__v/VBL000000019135", "SE-001402449")</f>
        <v>SE-001402449</v>
      </c>
      <c r="D9710" s="1" t="s">
        <v>0</v>
      </c>
      <c r="E9710" s="2">
        <v>0</v>
      </c>
      <c r="F9710" s="2">
        <v>0</v>
      </c>
      <c r="G9710" s="2">
        <v>0</v>
      </c>
      <c r="H9710" s="1" t="s">
        <v>0</v>
      </c>
      <c r="I9710" s="2">
        <v>0</v>
      </c>
      <c r="J9710" s="1">
        <v>46055.928854166668</v>
      </c>
    </row>
    <row r="9711" spans="1:10" x14ac:dyDescent="0.2">
      <c r="A9711" s="4" t="s">
        <v>1</v>
      </c>
      <c r="B9711" s="3" t="str">
        <f>HYPERLINK("https://otsuka-europe-crm.veevavault.com/ui/#object/approved_document__v/V5O00000000L011", "Libro IA en psiquiatría")</f>
        <v>Libro IA en psiquiatría</v>
      </c>
      <c r="C9711" s="3" t="str">
        <f>HYPERLINK("https://otsuka-europe-crm.veevavault.com/ui/#object/sent_email__v/VBL000000019136", "SE-001402450")</f>
        <v>SE-001402450</v>
      </c>
      <c r="D9711" s="1" t="s">
        <v>0</v>
      </c>
      <c r="E9711" s="2">
        <v>0</v>
      </c>
      <c r="F9711" s="2">
        <v>0</v>
      </c>
      <c r="G9711" s="2">
        <v>0</v>
      </c>
      <c r="H9711" s="1" t="s">
        <v>0</v>
      </c>
      <c r="I9711" s="2">
        <v>0</v>
      </c>
      <c r="J9711" s="1">
        <v>46055.929027777776</v>
      </c>
    </row>
    <row r="9712" spans="1:10" x14ac:dyDescent="0.2">
      <c r="A9712" s="4" t="s">
        <v>1</v>
      </c>
      <c r="B9712" s="3" t="str">
        <f>HYPERLINK("https://otsuka-europe-crm.veevavault.com/ui/#object/approved_document__v/V5O00000000L011", "Libro IA en psiquiatría")</f>
        <v>Libro IA en psiquiatría</v>
      </c>
      <c r="C9712" s="3" t="str">
        <f>HYPERLINK("https://otsuka-europe-crm.veevavault.com/ui/#object/sent_email__v/VBL000000019137", "SE-001402451")</f>
        <v>SE-001402451</v>
      </c>
      <c r="D9712" s="1" t="s">
        <v>0</v>
      </c>
      <c r="E9712" s="2">
        <v>0</v>
      </c>
      <c r="F9712" s="2">
        <v>0</v>
      </c>
      <c r="G9712" s="2">
        <v>0</v>
      </c>
      <c r="H9712" s="1" t="s">
        <v>0</v>
      </c>
      <c r="I9712" s="2">
        <v>0</v>
      </c>
      <c r="J9712" s="1">
        <v>46055.929189814815</v>
      </c>
    </row>
    <row r="9713" spans="1:10" x14ac:dyDescent="0.2">
      <c r="A9713" s="4" t="s">
        <v>1</v>
      </c>
      <c r="B9713" s="3" t="str">
        <f>HYPERLINK("https://otsuka-europe-crm.veevavault.com/ui/#object/approved_document__v/V5O00000000L011", "Libro IA en psiquiatría")</f>
        <v>Libro IA en psiquiatría</v>
      </c>
      <c r="C9713" s="3" t="str">
        <f>HYPERLINK("https://otsuka-europe-crm.veevavault.com/ui/#object/sent_email__v/VBL000000019138", "SE-001402452")</f>
        <v>SE-001402452</v>
      </c>
      <c r="D9713" s="1" t="s">
        <v>0</v>
      </c>
      <c r="E9713" s="2">
        <v>0</v>
      </c>
      <c r="F9713" s="2">
        <v>0</v>
      </c>
      <c r="G9713" s="2">
        <v>0</v>
      </c>
      <c r="H9713" s="1" t="s">
        <v>0</v>
      </c>
      <c r="I9713" s="2">
        <v>0</v>
      </c>
      <c r="J9713" s="1">
        <v>46055.929363425923</v>
      </c>
    </row>
    <row r="9714" spans="1:10" x14ac:dyDescent="0.2">
      <c r="A9714" s="4" t="s">
        <v>1</v>
      </c>
      <c r="B9714" s="3" t="str">
        <f>HYPERLINK("https://otsuka-europe-crm.veevavault.com/ui/#object/approved_document__v/V5O00000000L011", "Libro IA en psiquiatría")</f>
        <v>Libro IA en psiquiatría</v>
      </c>
      <c r="C9714" s="3" t="str">
        <f>HYPERLINK("https://otsuka-europe-crm.veevavault.com/ui/#object/sent_email__v/VBL000000019139", "SE-001402453")</f>
        <v>SE-001402453</v>
      </c>
      <c r="D9714" s="1">
        <v>46056.893391203703</v>
      </c>
      <c r="E9714" s="2">
        <v>1</v>
      </c>
      <c r="F9714" s="2">
        <v>3</v>
      </c>
      <c r="G9714" s="2">
        <v>0</v>
      </c>
      <c r="H9714" s="1" t="s">
        <v>0</v>
      </c>
      <c r="I9714" s="2">
        <v>0</v>
      </c>
      <c r="J9714" s="1">
        <v>46055.929548611108</v>
      </c>
    </row>
    <row r="9715" spans="1:10" x14ac:dyDescent="0.2">
      <c r="A9715" s="4" t="s">
        <v>1</v>
      </c>
      <c r="B9715" s="3" t="str">
        <f>HYPERLINK("https://otsuka-europe-crm.veevavault.com/ui/#object/approved_document__v/V5O00000000L011", "Libro IA en psiquiatría")</f>
        <v>Libro IA en psiquiatría</v>
      </c>
      <c r="C9715" s="3" t="str">
        <f>HYPERLINK("https://otsuka-europe-crm.veevavault.com/ui/#object/sent_email__v/VBL000000019140", "SE-001402454")</f>
        <v>SE-001402454</v>
      </c>
      <c r="D9715" s="1">
        <v>46057.377511574072</v>
      </c>
      <c r="E9715" s="2">
        <v>1</v>
      </c>
      <c r="F9715" s="2">
        <v>2</v>
      </c>
      <c r="G9715" s="2">
        <v>0</v>
      </c>
      <c r="H9715" s="1" t="s">
        <v>0</v>
      </c>
      <c r="I9715" s="2">
        <v>0</v>
      </c>
      <c r="J9715" s="1">
        <v>46055.929722222223</v>
      </c>
    </row>
    <row r="9716" spans="1:10" x14ac:dyDescent="0.2">
      <c r="A9716" s="4" t="s">
        <v>1</v>
      </c>
      <c r="B9716" s="3" t="str">
        <f>HYPERLINK("https://otsuka-europe-crm.veevavault.com/ui/#object/approved_document__v/V5O00000000L011", "Libro IA en psiquiatría")</f>
        <v>Libro IA en psiquiatría</v>
      </c>
      <c r="C9716" s="3" t="str">
        <f>HYPERLINK("https://otsuka-europe-crm.veevavault.com/ui/#object/sent_email__v/VBL000000019141", "SE-001402455")</f>
        <v>SE-001402455</v>
      </c>
      <c r="D9716" s="1">
        <v>46056.312118055554</v>
      </c>
      <c r="E9716" s="2">
        <v>1</v>
      </c>
      <c r="F9716" s="2">
        <v>1</v>
      </c>
      <c r="G9716" s="2">
        <v>1</v>
      </c>
      <c r="H9716" s="1">
        <v>46056.312118055554</v>
      </c>
      <c r="I9716" s="2">
        <v>1</v>
      </c>
      <c r="J9716" s="1">
        <v>46055.929895833331</v>
      </c>
    </row>
    <row r="9717" spans="1:10" x14ac:dyDescent="0.2">
      <c r="A9717" s="4" t="s">
        <v>1</v>
      </c>
      <c r="B9717" s="3" t="str">
        <f>HYPERLINK("https://otsuka-europe-crm.veevavault.com/ui/#object/approved_document__v/V5O00000000L011", "Libro IA en psiquiatría")</f>
        <v>Libro IA en psiquiatría</v>
      </c>
      <c r="C9717" s="3" t="str">
        <f>HYPERLINK("https://otsuka-europe-crm.veevavault.com/ui/#object/sent_email__v/VBL000000019142", "SE-001402456")</f>
        <v>SE-001402456</v>
      </c>
      <c r="D9717" s="1" t="s">
        <v>0</v>
      </c>
      <c r="E9717" s="2">
        <v>0</v>
      </c>
      <c r="F9717" s="2">
        <v>0</v>
      </c>
      <c r="G9717" s="2">
        <v>0</v>
      </c>
      <c r="H9717" s="1" t="s">
        <v>0</v>
      </c>
      <c r="I9717" s="2">
        <v>0</v>
      </c>
      <c r="J9717" s="1">
        <v>46055.930081018516</v>
      </c>
    </row>
    <row r="9718" spans="1:10" x14ac:dyDescent="0.2">
      <c r="A9718" s="4" t="s">
        <v>1</v>
      </c>
      <c r="B9718" s="3" t="str">
        <f>HYPERLINK("https://otsuka-europe-crm.veevavault.com/ui/#object/approved_document__v/V5O00000000L011", "Libro IA en psiquiatría")</f>
        <v>Libro IA en psiquiatría</v>
      </c>
      <c r="C9718" s="3" t="str">
        <f>HYPERLINK("https://otsuka-europe-crm.veevavault.com/ui/#object/sent_email__v/VBL000000019143", "SE-001402457")</f>
        <v>SE-001402457</v>
      </c>
      <c r="D9718" s="1" t="s">
        <v>0</v>
      </c>
      <c r="E9718" s="2">
        <v>0</v>
      </c>
      <c r="F9718" s="2">
        <v>0</v>
      </c>
      <c r="G9718" s="2">
        <v>0</v>
      </c>
      <c r="H9718" s="1" t="s">
        <v>0</v>
      </c>
      <c r="I9718" s="2">
        <v>0</v>
      </c>
      <c r="J9718" s="1">
        <v>46055.930231481485</v>
      </c>
    </row>
    <row r="9719" spans="1:10" x14ac:dyDescent="0.2">
      <c r="A9719" s="4" t="s">
        <v>1</v>
      </c>
      <c r="B9719" s="3" t="str">
        <f>HYPERLINK("https://otsuka-europe-crm.veevavault.com/ui/#object/approved_document__v/V5O00000000L011", "Libro IA en psiquiatría")</f>
        <v>Libro IA en psiquiatría</v>
      </c>
      <c r="C9719" s="3" t="str">
        <f>HYPERLINK("https://otsuka-europe-crm.veevavault.com/ui/#object/sent_email__v/VBL000000019144", "SE-001402458")</f>
        <v>SE-001402458</v>
      </c>
      <c r="D9719" s="1">
        <v>46056.324988425928</v>
      </c>
      <c r="E9719" s="2">
        <v>1</v>
      </c>
      <c r="F9719" s="2">
        <v>1</v>
      </c>
      <c r="G9719" s="2">
        <v>0</v>
      </c>
      <c r="H9719" s="1" t="s">
        <v>0</v>
      </c>
      <c r="I9719" s="2">
        <v>0</v>
      </c>
      <c r="J9719" s="1">
        <v>46055.930405092593</v>
      </c>
    </row>
    <row r="9720" spans="1:10" x14ac:dyDescent="0.2">
      <c r="A9720" s="4" t="s">
        <v>1</v>
      </c>
      <c r="B9720" s="3" t="str">
        <f>HYPERLINK("https://otsuka-europe-crm.veevavault.com/ui/#object/approved_document__v/V5O00000000L011", "Libro IA en psiquiatría")</f>
        <v>Libro IA en psiquiatría</v>
      </c>
      <c r="C9720" s="3" t="str">
        <f>HYPERLINK("https://otsuka-europe-crm.veevavault.com/ui/#object/sent_email__v/VBL000000019145", "SE-001402459")</f>
        <v>SE-001402459</v>
      </c>
      <c r="D9720" s="1">
        <v>46057.310659722221</v>
      </c>
      <c r="E9720" s="2">
        <v>1</v>
      </c>
      <c r="F9720" s="2">
        <v>1</v>
      </c>
      <c r="G9720" s="2">
        <v>0</v>
      </c>
      <c r="H9720" s="1" t="s">
        <v>0</v>
      </c>
      <c r="I9720" s="2">
        <v>0</v>
      </c>
      <c r="J9720" s="1">
        <v>46055.930578703701</v>
      </c>
    </row>
    <row r="9721" spans="1:10" x14ac:dyDescent="0.2">
      <c r="A9721" s="4" t="s">
        <v>1</v>
      </c>
      <c r="B9721" s="3" t="str">
        <f>HYPERLINK("https://otsuka-europe-crm.veevavault.com/ui/#object/approved_document__v/V5O00000000L011", "Libro IA en psiquiatría")</f>
        <v>Libro IA en psiquiatría</v>
      </c>
      <c r="C9721" s="3" t="str">
        <f>HYPERLINK("https://otsuka-europe-crm.veevavault.com/ui/#object/sent_email__v/VBL000000019146", "SE-001402460")</f>
        <v>SE-001402460</v>
      </c>
      <c r="D9721" s="1" t="s">
        <v>0</v>
      </c>
      <c r="E9721" s="2">
        <v>0</v>
      </c>
      <c r="F9721" s="2">
        <v>0</v>
      </c>
      <c r="G9721" s="2">
        <v>0</v>
      </c>
      <c r="H9721" s="1" t="s">
        <v>0</v>
      </c>
      <c r="I9721" s="2">
        <v>0</v>
      </c>
      <c r="J9721" s="1">
        <v>46055.93074074074</v>
      </c>
    </row>
    <row r="9722" spans="1:10" x14ac:dyDescent="0.2">
      <c r="A9722" s="4" t="s">
        <v>1</v>
      </c>
      <c r="B9722" s="3" t="str">
        <f>HYPERLINK("https://otsuka-europe-crm.veevavault.com/ui/#object/approved_document__v/V5O00000000L011", "Libro IA en psiquiatría")</f>
        <v>Libro IA en psiquiatría</v>
      </c>
      <c r="C9722" s="3" t="str">
        <f>HYPERLINK("https://otsuka-europe-crm.veevavault.com/ui/#object/sent_email__v/VBL000000019147", "SE-001402461")</f>
        <v>SE-001402461</v>
      </c>
      <c r="D9722" s="1">
        <v>46056.26871527778</v>
      </c>
      <c r="E9722" s="2">
        <v>1</v>
      </c>
      <c r="F9722" s="2">
        <v>1</v>
      </c>
      <c r="G9722" s="2">
        <v>0</v>
      </c>
      <c r="H9722" s="1" t="s">
        <v>0</v>
      </c>
      <c r="I9722" s="2">
        <v>0</v>
      </c>
      <c r="J9722" s="1">
        <v>46055.930914351855</v>
      </c>
    </row>
    <row r="9723" spans="1:10" x14ac:dyDescent="0.2">
      <c r="A9723" s="4" t="s">
        <v>1</v>
      </c>
      <c r="B9723" s="3" t="str">
        <f>HYPERLINK("https://otsuka-europe-crm.veevavault.com/ui/#object/approved_document__v/V5O00000000L011", "Libro IA en psiquiatría")</f>
        <v>Libro IA en psiquiatría</v>
      </c>
      <c r="C9723" s="3" t="str">
        <f>HYPERLINK("https://otsuka-europe-crm.veevavault.com/ui/#object/sent_email__v/VBL000000019148", "SE-001402462")</f>
        <v>SE-001402462</v>
      </c>
      <c r="D9723" s="1">
        <v>46056.701481481483</v>
      </c>
      <c r="E9723" s="2">
        <v>1</v>
      </c>
      <c r="F9723" s="2">
        <v>1</v>
      </c>
      <c r="G9723" s="2">
        <v>1</v>
      </c>
      <c r="H9723" s="1">
        <v>46056.703009259261</v>
      </c>
      <c r="I9723" s="2">
        <v>2</v>
      </c>
      <c r="J9723" s="1">
        <v>46055.931076388886</v>
      </c>
    </row>
    <row r="9724" spans="1:10" x14ac:dyDescent="0.2">
      <c r="A9724" s="4" t="s">
        <v>1</v>
      </c>
      <c r="B9724" s="3" t="str">
        <f>HYPERLINK("https://otsuka-europe-crm.veevavault.com/ui/#object/approved_document__v/V5O00000000L011", "Libro IA en psiquiatría")</f>
        <v>Libro IA en psiquiatría</v>
      </c>
      <c r="C9724" s="3" t="str">
        <f>HYPERLINK("https://otsuka-europe-crm.veevavault.com/ui/#object/sent_email__v/VBL000000019149", "SE-001402463")</f>
        <v>SE-001402463</v>
      </c>
      <c r="D9724" s="1">
        <v>46055.954363425924</v>
      </c>
      <c r="E9724" s="2">
        <v>1</v>
      </c>
      <c r="F9724" s="2">
        <v>2</v>
      </c>
      <c r="G9724" s="2">
        <v>0</v>
      </c>
      <c r="H9724" s="1" t="s">
        <v>0</v>
      </c>
      <c r="I9724" s="2">
        <v>0</v>
      </c>
      <c r="J9724" s="1">
        <v>46055.931250000001</v>
      </c>
    </row>
    <row r="9725" spans="1:10" x14ac:dyDescent="0.2">
      <c r="A9725" s="4" t="s">
        <v>1</v>
      </c>
      <c r="B9725" s="3" t="str">
        <f>HYPERLINK("https://otsuka-europe-crm.veevavault.com/ui/#object/approved_document__v/V5O00000000L011", "Libro IA en psiquiatría")</f>
        <v>Libro IA en psiquiatría</v>
      </c>
      <c r="C9725" s="3" t="str">
        <f>HYPERLINK("https://otsuka-europe-crm.veevavault.com/ui/#object/sent_email__v/VBL000000019150", "SE-001402464")</f>
        <v>SE-001402464</v>
      </c>
      <c r="D9725" s="1">
        <v>46066.474444444444</v>
      </c>
      <c r="E9725" s="2">
        <v>1</v>
      </c>
      <c r="F9725" s="2">
        <v>2</v>
      </c>
      <c r="G9725" s="2">
        <v>1</v>
      </c>
      <c r="H9725" s="1">
        <v>46066.474699074075</v>
      </c>
      <c r="I9725" s="2">
        <v>3</v>
      </c>
      <c r="J9725" s="1">
        <v>46055.931435185186</v>
      </c>
    </row>
    <row r="9726" spans="1:10" x14ac:dyDescent="0.2">
      <c r="A9726" s="4" t="s">
        <v>1</v>
      </c>
      <c r="B9726" s="3" t="str">
        <f>HYPERLINK("https://otsuka-europe-crm.veevavault.com/ui/#object/approved_document__v/V5O00000000L011", "Libro IA en psiquiatría")</f>
        <v>Libro IA en psiquiatría</v>
      </c>
      <c r="C9726" s="3" t="str">
        <f>HYPERLINK("https://otsuka-europe-crm.veevavault.com/ui/#object/sent_email__v/VBL000000019151", "SE-001402465")</f>
        <v>SE-001402465</v>
      </c>
      <c r="D9726" s="1" t="s">
        <v>0</v>
      </c>
      <c r="E9726" s="2">
        <v>0</v>
      </c>
      <c r="F9726" s="2">
        <v>0</v>
      </c>
      <c r="G9726" s="2">
        <v>0</v>
      </c>
      <c r="H9726" s="1" t="s">
        <v>0</v>
      </c>
      <c r="I9726" s="2">
        <v>0</v>
      </c>
      <c r="J9726" s="1">
        <v>46055.931608796294</v>
      </c>
    </row>
    <row r="9727" spans="1:10" x14ac:dyDescent="0.2">
      <c r="A9727" s="4" t="s">
        <v>1</v>
      </c>
      <c r="B9727" s="3" t="str">
        <f>HYPERLINK("https://otsuka-europe-crm.veevavault.com/ui/#object/approved_document__v/V5O00000000L011", "Libro IA en psiquiatría")</f>
        <v>Libro IA en psiquiatría</v>
      </c>
      <c r="C9727" s="3" t="str">
        <f>HYPERLINK("https://otsuka-europe-crm.veevavault.com/ui/#object/sent_email__v/VBL000000019152", "SE-001402466")</f>
        <v>SE-001402466</v>
      </c>
      <c r="D9727" s="1" t="s">
        <v>0</v>
      </c>
      <c r="E9727" s="2">
        <v>0</v>
      </c>
      <c r="F9727" s="2">
        <v>0</v>
      </c>
      <c r="G9727" s="2">
        <v>0</v>
      </c>
      <c r="H9727" s="1" t="s">
        <v>0</v>
      </c>
      <c r="I9727" s="2">
        <v>0</v>
      </c>
      <c r="J9727" s="1">
        <v>46055.931770833333</v>
      </c>
    </row>
    <row r="9728" spans="1:10" x14ac:dyDescent="0.2">
      <c r="A9728" s="4" t="s">
        <v>1</v>
      </c>
      <c r="B9728" s="3" t="str">
        <f>HYPERLINK("https://otsuka-europe-crm.veevavault.com/ui/#object/approved_document__v/V5O00000000L011", "Libro IA en psiquiatría")</f>
        <v>Libro IA en psiquiatría</v>
      </c>
      <c r="C9728" s="3" t="str">
        <f>HYPERLINK("https://otsuka-europe-crm.veevavault.com/ui/#object/sent_email__v/VBL000000019153", "SE-001402467")</f>
        <v>SE-001402467</v>
      </c>
      <c r="D9728" s="1">
        <v>46059.41064814815</v>
      </c>
      <c r="E9728" s="2">
        <v>1</v>
      </c>
      <c r="F9728" s="2">
        <v>9</v>
      </c>
      <c r="G9728" s="2">
        <v>1</v>
      </c>
      <c r="H9728" s="1">
        <v>46057.863229166665</v>
      </c>
      <c r="I9728" s="2">
        <v>4</v>
      </c>
      <c r="J9728" s="1">
        <v>46055.931944444441</v>
      </c>
    </row>
    <row r="9729" spans="1:10" x14ac:dyDescent="0.2">
      <c r="A9729" s="4" t="s">
        <v>1</v>
      </c>
      <c r="B9729" s="3" t="str">
        <f>HYPERLINK("https://otsuka-europe-crm.veevavault.com/ui/#object/approved_document__v/V5O00000000L011", "Libro IA en psiquiatría")</f>
        <v>Libro IA en psiquiatría</v>
      </c>
      <c r="C9729" s="3" t="str">
        <f>HYPERLINK("https://otsuka-europe-crm.veevavault.com/ui/#object/sent_email__v/VBL000000019154", "SE-001402468")</f>
        <v>SE-001402468</v>
      </c>
      <c r="D9729" s="1">
        <v>46055.934363425928</v>
      </c>
      <c r="E9729" s="2">
        <v>1</v>
      </c>
      <c r="F9729" s="2">
        <v>2</v>
      </c>
      <c r="G9729" s="2">
        <v>1</v>
      </c>
      <c r="H9729" s="1">
        <v>46055.934583333335</v>
      </c>
      <c r="I9729" s="2">
        <v>1</v>
      </c>
      <c r="J9729" s="1">
        <v>46055.932118055556</v>
      </c>
    </row>
    <row r="9730" spans="1:10" x14ac:dyDescent="0.2">
      <c r="A9730" s="4" t="s">
        <v>1</v>
      </c>
      <c r="B9730" s="3" t="str">
        <f>HYPERLINK("https://otsuka-europe-crm.veevavault.com/ui/#object/approved_document__v/V5O00000000L011", "Libro IA en psiquiatría")</f>
        <v>Libro IA en psiquiatría</v>
      </c>
      <c r="C9730" s="3" t="str">
        <f>HYPERLINK("https://otsuka-europe-crm.veevavault.com/ui/#object/sent_email__v/VBL000000019155", "SE-001402469")</f>
        <v>SE-001402469</v>
      </c>
      <c r="D9730" s="1" t="s">
        <v>0</v>
      </c>
      <c r="E9730" s="2">
        <v>0</v>
      </c>
      <c r="F9730" s="2">
        <v>0</v>
      </c>
      <c r="G9730" s="2">
        <v>0</v>
      </c>
      <c r="H9730" s="1" t="s">
        <v>0</v>
      </c>
      <c r="I9730" s="2">
        <v>0</v>
      </c>
      <c r="J9730" s="1">
        <v>46055.932280092595</v>
      </c>
    </row>
    <row r="9731" spans="1:10" x14ac:dyDescent="0.2">
      <c r="A9731" s="4" t="s">
        <v>1</v>
      </c>
      <c r="B9731" s="3" t="str">
        <f>HYPERLINK("https://otsuka-europe-crm.veevavault.com/ui/#object/approved_document__v/V5O00000000L011", "Libro IA en psiquiatría")</f>
        <v>Libro IA en psiquiatría</v>
      </c>
      <c r="C9731" s="3" t="str">
        <f>HYPERLINK("https://otsuka-europe-crm.veevavault.com/ui/#object/sent_email__v/VBL000000019156", "SE-001402470")</f>
        <v>SE-001402470</v>
      </c>
      <c r="D9731" s="1">
        <v>46055.990868055553</v>
      </c>
      <c r="E9731" s="2">
        <v>1</v>
      </c>
      <c r="F9731" s="2">
        <v>1</v>
      </c>
      <c r="G9731" s="2">
        <v>0</v>
      </c>
      <c r="H9731" s="1" t="s">
        <v>0</v>
      </c>
      <c r="I9731" s="2">
        <v>0</v>
      </c>
      <c r="J9731" s="1">
        <v>46055.932442129626</v>
      </c>
    </row>
    <row r="9732" spans="1:10" x14ac:dyDescent="0.2">
      <c r="A9732" s="4" t="s">
        <v>1</v>
      </c>
      <c r="B9732" s="3" t="str">
        <f>HYPERLINK("https://otsuka-europe-crm.veevavault.com/ui/#object/approved_document__v/V5O00000000L011", "Libro IA en psiquiatría")</f>
        <v>Libro IA en psiquiatría</v>
      </c>
      <c r="C9732" s="3" t="str">
        <f>HYPERLINK("https://otsuka-europe-crm.veevavault.com/ui/#object/sent_email__v/VBL000000019157", "SE-001402471")</f>
        <v>SE-001402471</v>
      </c>
      <c r="D9732" s="1">
        <v>46074.417430555557</v>
      </c>
      <c r="E9732" s="2">
        <v>1</v>
      </c>
      <c r="F9732" s="2">
        <v>6</v>
      </c>
      <c r="G9732" s="2">
        <v>0</v>
      </c>
      <c r="H9732" s="1" t="s">
        <v>0</v>
      </c>
      <c r="I9732" s="2">
        <v>0</v>
      </c>
      <c r="J9732" s="1">
        <v>46055.932604166665</v>
      </c>
    </row>
    <row r="9733" spans="1:10" x14ac:dyDescent="0.2">
      <c r="A9733" s="4" t="s">
        <v>1</v>
      </c>
      <c r="B9733" s="3" t="str">
        <f>HYPERLINK("https://otsuka-europe-crm.veevavault.com/ui/#object/approved_document__v/V5O00000000L011", "Libro IA en psiquiatría")</f>
        <v>Libro IA en psiquiatría</v>
      </c>
      <c r="C9733" s="3" t="str">
        <f>HYPERLINK("https://otsuka-europe-crm.veevavault.com/ui/#object/sent_email__v/VBL000000019158", "SE-001402472")</f>
        <v>SE-001402472</v>
      </c>
      <c r="D9733" s="1">
        <v>46056.379062499997</v>
      </c>
      <c r="E9733" s="2">
        <v>1</v>
      </c>
      <c r="F9733" s="2">
        <v>1</v>
      </c>
      <c r="G9733" s="2">
        <v>0</v>
      </c>
      <c r="H9733" s="1" t="s">
        <v>0</v>
      </c>
      <c r="I9733" s="2">
        <v>0</v>
      </c>
      <c r="J9733" s="1">
        <v>46055.93277777778</v>
      </c>
    </row>
    <row r="9734" spans="1:10" x14ac:dyDescent="0.2">
      <c r="A9734" s="4" t="s">
        <v>1</v>
      </c>
      <c r="B9734" s="3" t="str">
        <f>HYPERLINK("https://otsuka-europe-crm.veevavault.com/ui/#object/approved_document__v/V5O00000000L011", "Libro IA en psiquiatría")</f>
        <v>Libro IA en psiquiatría</v>
      </c>
      <c r="C9734" s="3" t="str">
        <f>HYPERLINK("https://otsuka-europe-crm.veevavault.com/ui/#object/sent_email__v/VBL000000019159", "SE-001402473")</f>
        <v>SE-001402473</v>
      </c>
      <c r="D9734" s="1">
        <v>46073.580358796295</v>
      </c>
      <c r="E9734" s="2">
        <v>1</v>
      </c>
      <c r="F9734" s="2">
        <v>3</v>
      </c>
      <c r="G9734" s="2">
        <v>0</v>
      </c>
      <c r="H9734" s="1" t="s">
        <v>0</v>
      </c>
      <c r="I9734" s="2">
        <v>0</v>
      </c>
      <c r="J9734" s="1">
        <v>46055.932962962965</v>
      </c>
    </row>
    <row r="9735" spans="1:10" x14ac:dyDescent="0.2">
      <c r="A9735" s="4" t="s">
        <v>1</v>
      </c>
      <c r="B9735" s="3" t="str">
        <f>HYPERLINK("https://otsuka-europe-crm.veevavault.com/ui/#object/approved_document__v/V5O00000000L011", "Libro IA en psiquiatría")</f>
        <v>Libro IA en psiquiatría</v>
      </c>
      <c r="C9735" s="3" t="str">
        <f>HYPERLINK("https://otsuka-europe-crm.veevavault.com/ui/#object/sent_email__v/VBL000000019160", "SE-001402474")</f>
        <v>SE-001402474</v>
      </c>
      <c r="D9735" s="1" t="s">
        <v>0</v>
      </c>
      <c r="E9735" s="2">
        <v>0</v>
      </c>
      <c r="F9735" s="2">
        <v>0</v>
      </c>
      <c r="G9735" s="2">
        <v>0</v>
      </c>
      <c r="H9735" s="1" t="s">
        <v>0</v>
      </c>
      <c r="I9735" s="2">
        <v>0</v>
      </c>
      <c r="J9735" s="1">
        <v>46055.933136574073</v>
      </c>
    </row>
    <row r="9736" spans="1:10" x14ac:dyDescent="0.2">
      <c r="A9736" s="4" t="s">
        <v>1</v>
      </c>
      <c r="B9736" s="3" t="str">
        <f>HYPERLINK("https://otsuka-europe-crm.veevavault.com/ui/#object/approved_document__v/V5O00000000L011", "Libro IA en psiquiatría")</f>
        <v>Libro IA en psiquiatría</v>
      </c>
      <c r="C9736" s="3" t="str">
        <f>HYPERLINK("https://otsuka-europe-crm.veevavault.com/ui/#object/sent_email__v/VBL000000019161", "SE-001402475")</f>
        <v>SE-001402475</v>
      </c>
      <c r="D9736" s="1" t="s">
        <v>0</v>
      </c>
      <c r="E9736" s="2">
        <v>0</v>
      </c>
      <c r="F9736" s="2">
        <v>0</v>
      </c>
      <c r="G9736" s="2">
        <v>0</v>
      </c>
      <c r="H9736" s="1" t="s">
        <v>0</v>
      </c>
      <c r="I9736" s="2">
        <v>0</v>
      </c>
      <c r="J9736" s="1">
        <v>46055.933287037034</v>
      </c>
    </row>
    <row r="9737" spans="1:10" x14ac:dyDescent="0.2">
      <c r="A9737" s="4" t="s">
        <v>1</v>
      </c>
      <c r="B9737" s="3" t="str">
        <f>HYPERLINK("https://otsuka-europe-crm.veevavault.com/ui/#object/approved_document__v/V5O00000000L011", "Libro IA en psiquiatría")</f>
        <v>Libro IA en psiquiatría</v>
      </c>
      <c r="C9737" s="3" t="str">
        <f>HYPERLINK("https://otsuka-europe-crm.veevavault.com/ui/#object/sent_email__v/VBL000000019162", "SE-001402476")</f>
        <v>SE-001402476</v>
      </c>
      <c r="D9737" s="1" t="s">
        <v>0</v>
      </c>
      <c r="E9737" s="2">
        <v>0</v>
      </c>
      <c r="F9737" s="2">
        <v>0</v>
      </c>
      <c r="G9737" s="2">
        <v>0</v>
      </c>
      <c r="H9737" s="1" t="s">
        <v>0</v>
      </c>
      <c r="I9737" s="2">
        <v>0</v>
      </c>
      <c r="J9737" s="1">
        <v>46055.933449074073</v>
      </c>
    </row>
    <row r="9738" spans="1:10" x14ac:dyDescent="0.2">
      <c r="A9738" s="4" t="s">
        <v>1</v>
      </c>
      <c r="B9738" s="3" t="str">
        <f>HYPERLINK("https://otsuka-europe-crm.veevavault.com/ui/#object/approved_document__v/V5O00000000L011", "Libro IA en psiquiatría")</f>
        <v>Libro IA en psiquiatría</v>
      </c>
      <c r="C9738" s="3" t="str">
        <f>HYPERLINK("https://otsuka-europe-crm.veevavault.com/ui/#object/sent_email__v/VBL000000019163", "SE-001402477")</f>
        <v>SE-001402477</v>
      </c>
      <c r="D9738" s="1">
        <v>46056.259745370371</v>
      </c>
      <c r="E9738" s="2">
        <v>1</v>
      </c>
      <c r="F9738" s="2">
        <v>1</v>
      </c>
      <c r="G9738" s="2">
        <v>0</v>
      </c>
      <c r="H9738" s="1" t="s">
        <v>0</v>
      </c>
      <c r="I9738" s="2">
        <v>0</v>
      </c>
      <c r="J9738" s="1">
        <v>46055.933622685188</v>
      </c>
    </row>
    <row r="9739" spans="1:10" x14ac:dyDescent="0.2">
      <c r="A9739" s="4" t="s">
        <v>1</v>
      </c>
      <c r="B9739" s="3" t="str">
        <f>HYPERLINK("https://otsuka-europe-crm.veevavault.com/ui/#object/approved_document__v/V5O00000000L011", "Libro IA en psiquiatría")</f>
        <v>Libro IA en psiquiatría</v>
      </c>
      <c r="C9739" s="3" t="str">
        <f>HYPERLINK("https://otsuka-europe-crm.veevavault.com/ui/#object/sent_email__v/VBL000000019164", "SE-001402478")</f>
        <v>SE-001402478</v>
      </c>
      <c r="D9739" s="1">
        <v>46056.314652777779</v>
      </c>
      <c r="E9739" s="2">
        <v>1</v>
      </c>
      <c r="F9739" s="2">
        <v>2</v>
      </c>
      <c r="G9739" s="2">
        <v>0</v>
      </c>
      <c r="H9739" s="1" t="s">
        <v>0</v>
      </c>
      <c r="I9739" s="2">
        <v>0</v>
      </c>
      <c r="J9739" s="1">
        <v>46055.933819444443</v>
      </c>
    </row>
    <row r="9740" spans="1:10" x14ac:dyDescent="0.2">
      <c r="A9740" s="4" t="s">
        <v>1</v>
      </c>
      <c r="B9740" s="3" t="str">
        <f>HYPERLINK("https://otsuka-europe-crm.veevavault.com/ui/#object/approved_document__v/V5O00000000L011", "Libro IA en psiquiatría")</f>
        <v>Libro IA en psiquiatría</v>
      </c>
      <c r="C9740" s="3" t="str">
        <f>HYPERLINK("https://otsuka-europe-crm.veevavault.com/ui/#object/sent_email__v/VBL000000019165", "SE-001402479")</f>
        <v>SE-001402479</v>
      </c>
      <c r="D9740" s="1">
        <v>46055.987164351849</v>
      </c>
      <c r="E9740" s="2">
        <v>1</v>
      </c>
      <c r="F9740" s="2">
        <v>1</v>
      </c>
      <c r="G9740" s="2">
        <v>1</v>
      </c>
      <c r="H9740" s="1">
        <v>46056.675266203703</v>
      </c>
      <c r="I9740" s="2">
        <v>1</v>
      </c>
      <c r="J9740" s="1">
        <v>46055.933958333335</v>
      </c>
    </row>
    <row r="9741" spans="1:10" x14ac:dyDescent="0.2">
      <c r="A9741" s="4" t="s">
        <v>1</v>
      </c>
      <c r="B9741" s="3" t="str">
        <f>HYPERLINK("https://otsuka-europe-crm.veevavault.com/ui/#object/approved_document__v/V5O00000000L011", "Libro IA en psiquiatría")</f>
        <v>Libro IA en psiquiatría</v>
      </c>
      <c r="C9741" s="3" t="str">
        <f>HYPERLINK("https://otsuka-europe-crm.veevavault.com/ui/#object/sent_email__v/VBL000000019166", "SE-001402480")</f>
        <v>SE-001402480</v>
      </c>
      <c r="D9741" s="1">
        <v>46056.346863425926</v>
      </c>
      <c r="E9741" s="2">
        <v>1</v>
      </c>
      <c r="F9741" s="2">
        <v>1</v>
      </c>
      <c r="G9741" s="2">
        <v>1</v>
      </c>
      <c r="H9741" s="1">
        <v>46057.492523148147</v>
      </c>
      <c r="I9741" s="2">
        <v>2</v>
      </c>
      <c r="J9741" s="1">
        <v>46055.934120370373</v>
      </c>
    </row>
    <row r="9742" spans="1:10" x14ac:dyDescent="0.2">
      <c r="A9742" s="4" t="s">
        <v>1</v>
      </c>
      <c r="B9742" s="3" t="str">
        <f>HYPERLINK("https://otsuka-europe-crm.veevavault.com/ui/#object/approved_document__v/V5O00000000L011", "Libro IA en psiquiatría")</f>
        <v>Libro IA en psiquiatría</v>
      </c>
      <c r="C9742" s="3" t="str">
        <f>HYPERLINK("https://otsuka-europe-crm.veevavault.com/ui/#object/sent_email__v/VBL000000019167", "SE-001402481")</f>
        <v>SE-001402481</v>
      </c>
      <c r="D9742" s="1">
        <v>46055.953344907408</v>
      </c>
      <c r="E9742" s="2">
        <v>1</v>
      </c>
      <c r="F9742" s="2">
        <v>1</v>
      </c>
      <c r="G9742" s="2">
        <v>0</v>
      </c>
      <c r="H9742" s="1" t="s">
        <v>0</v>
      </c>
      <c r="I9742" s="2">
        <v>0</v>
      </c>
      <c r="J9742" s="1">
        <v>46055.934293981481</v>
      </c>
    </row>
    <row r="9743" spans="1:10" x14ac:dyDescent="0.2">
      <c r="A9743" s="4" t="s">
        <v>1</v>
      </c>
      <c r="B9743" s="3" t="str">
        <f>HYPERLINK("https://otsuka-europe-crm.veevavault.com/ui/#object/approved_document__v/V5O00000000L011", "Libro IA en psiquiatría")</f>
        <v>Libro IA en psiquiatría</v>
      </c>
      <c r="C9743" s="3" t="str">
        <f>HYPERLINK("https://otsuka-europe-crm.veevavault.com/ui/#object/sent_email__v/VBL000000019168", "SE-001402482")</f>
        <v>SE-001402482</v>
      </c>
      <c r="D9743" s="1">
        <v>46056.674814814818</v>
      </c>
      <c r="E9743" s="2">
        <v>1</v>
      </c>
      <c r="F9743" s="2">
        <v>1</v>
      </c>
      <c r="G9743" s="2">
        <v>0</v>
      </c>
      <c r="H9743" s="1" t="s">
        <v>0</v>
      </c>
      <c r="I9743" s="2">
        <v>0</v>
      </c>
      <c r="J9743" s="1">
        <v>46055.934467592589</v>
      </c>
    </row>
    <row r="9744" spans="1:10" x14ac:dyDescent="0.2">
      <c r="A9744" s="4" t="s">
        <v>1</v>
      </c>
      <c r="B9744" s="3" t="str">
        <f>HYPERLINK("https://otsuka-europe-crm.veevavault.com/ui/#object/approved_document__v/V5O00000000L011", "Libro IA en psiquiatría")</f>
        <v>Libro IA en psiquiatría</v>
      </c>
      <c r="C9744" s="3" t="str">
        <f>HYPERLINK("https://otsuka-europe-crm.veevavault.com/ui/#object/sent_email__v/VBL000000019169", "SE-001402483")</f>
        <v>SE-001402483</v>
      </c>
      <c r="D9744" s="1">
        <v>46056.458877314813</v>
      </c>
      <c r="E9744" s="2">
        <v>1</v>
      </c>
      <c r="F9744" s="2">
        <v>1</v>
      </c>
      <c r="G9744" s="2">
        <v>1</v>
      </c>
      <c r="H9744" s="1">
        <v>46056.459039351852</v>
      </c>
      <c r="I9744" s="2">
        <v>1</v>
      </c>
      <c r="J9744" s="1">
        <v>46055.934629629628</v>
      </c>
    </row>
    <row r="9745" spans="1:10" x14ac:dyDescent="0.2">
      <c r="A9745" s="4" t="s">
        <v>1</v>
      </c>
      <c r="B9745" s="3" t="str">
        <f>HYPERLINK("https://otsuka-europe-crm.veevavault.com/ui/#object/approved_document__v/V5O00000000L011", "Libro IA en psiquiatría")</f>
        <v>Libro IA en psiquiatría</v>
      </c>
      <c r="C9745" s="3" t="str">
        <f>HYPERLINK("https://otsuka-europe-crm.veevavault.com/ui/#object/sent_email__v/VBL000000019170", "SE-001402484")</f>
        <v>SE-001402484</v>
      </c>
      <c r="D9745" s="1" t="s">
        <v>0</v>
      </c>
      <c r="E9745" s="2">
        <v>0</v>
      </c>
      <c r="F9745" s="2">
        <v>0</v>
      </c>
      <c r="G9745" s="2">
        <v>0</v>
      </c>
      <c r="H9745" s="1" t="s">
        <v>0</v>
      </c>
      <c r="I9745" s="2">
        <v>0</v>
      </c>
      <c r="J9745" s="1">
        <v>46055.934791666667</v>
      </c>
    </row>
    <row r="9746" spans="1:10" x14ac:dyDescent="0.2">
      <c r="A9746" s="4" t="s">
        <v>1</v>
      </c>
      <c r="B9746" s="3" t="str">
        <f>HYPERLINK("https://otsuka-europe-crm.veevavault.com/ui/#object/approved_document__v/V5O00000000L011", "Libro IA en psiquiatría")</f>
        <v>Libro IA en psiquiatría</v>
      </c>
      <c r="C9746" s="3" t="str">
        <f>HYPERLINK("https://otsuka-europe-crm.veevavault.com/ui/#object/sent_email__v/VBL000000019171", "SE-001402485")</f>
        <v>SE-001402485</v>
      </c>
      <c r="D9746" s="1" t="s">
        <v>0</v>
      </c>
      <c r="E9746" s="2">
        <v>0</v>
      </c>
      <c r="F9746" s="2">
        <v>0</v>
      </c>
      <c r="G9746" s="2">
        <v>0</v>
      </c>
      <c r="H9746" s="1" t="s">
        <v>0</v>
      </c>
      <c r="I9746" s="2">
        <v>0</v>
      </c>
      <c r="J9746" s="1">
        <v>46055.934976851851</v>
      </c>
    </row>
    <row r="9747" spans="1:10" x14ac:dyDescent="0.2">
      <c r="A9747" s="4" t="s">
        <v>1</v>
      </c>
      <c r="B9747" s="3" t="str">
        <f>HYPERLINK("https://otsuka-europe-crm.veevavault.com/ui/#object/approved_document__v/V5O00000000L011", "Libro IA en psiquiatría")</f>
        <v>Libro IA en psiquiatría</v>
      </c>
      <c r="C9747" s="3" t="str">
        <f>HYPERLINK("https://otsuka-europe-crm.veevavault.com/ui/#object/sent_email__v/VBL000000019172", "SE-001402486")</f>
        <v>SE-001402486</v>
      </c>
      <c r="D9747" s="1">
        <v>46056.129143518519</v>
      </c>
      <c r="E9747" s="2">
        <v>1</v>
      </c>
      <c r="F9747" s="2">
        <v>1</v>
      </c>
      <c r="G9747" s="2">
        <v>1</v>
      </c>
      <c r="H9747" s="1">
        <v>46056.129340277781</v>
      </c>
      <c r="I9747" s="2">
        <v>1</v>
      </c>
      <c r="J9747" s="1">
        <v>46055.93513888889</v>
      </c>
    </row>
    <row r="9748" spans="1:10" x14ac:dyDescent="0.2">
      <c r="A9748" s="4" t="s">
        <v>1</v>
      </c>
      <c r="B9748" s="3" t="str">
        <f>HYPERLINK("https://otsuka-europe-crm.veevavault.com/ui/#object/approved_document__v/V5O00000000L011", "Libro IA en psiquiatría")</f>
        <v>Libro IA en psiquiatría</v>
      </c>
      <c r="C9748" s="3" t="str">
        <f>HYPERLINK("https://otsuka-europe-crm.veevavault.com/ui/#object/sent_email__v/VBL000000019173", "SE-001402487")</f>
        <v>SE-001402487</v>
      </c>
      <c r="D9748" s="1">
        <v>46056.889062499999</v>
      </c>
      <c r="E9748" s="2">
        <v>1</v>
      </c>
      <c r="F9748" s="2">
        <v>1</v>
      </c>
      <c r="G9748" s="2">
        <v>0</v>
      </c>
      <c r="H9748" s="1" t="s">
        <v>0</v>
      </c>
      <c r="I9748" s="2">
        <v>0</v>
      </c>
      <c r="J9748" s="1">
        <v>46055.935312499998</v>
      </c>
    </row>
    <row r="9749" spans="1:10" x14ac:dyDescent="0.2">
      <c r="A9749" s="4" t="s">
        <v>1</v>
      </c>
      <c r="B9749" s="3" t="str">
        <f>HYPERLINK("https://otsuka-europe-crm.veevavault.com/ui/#object/approved_document__v/V5O00000000L011", "Libro IA en psiquiatría")</f>
        <v>Libro IA en psiquiatría</v>
      </c>
      <c r="C9749" s="3" t="str">
        <f>HYPERLINK("https://otsuka-europe-crm.veevavault.com/ui/#object/sent_email__v/VBL000000019174", "SE-001402488")</f>
        <v>SE-001402488</v>
      </c>
      <c r="D9749" s="1">
        <v>46069.515127314815</v>
      </c>
      <c r="E9749" s="2">
        <v>1</v>
      </c>
      <c r="F9749" s="2">
        <v>2</v>
      </c>
      <c r="G9749" s="2">
        <v>1</v>
      </c>
      <c r="H9749" s="1">
        <v>46069.515717592592</v>
      </c>
      <c r="I9749" s="2">
        <v>1</v>
      </c>
      <c r="J9749" s="1">
        <v>46055.935474537036</v>
      </c>
    </row>
    <row r="9750" spans="1:10" x14ac:dyDescent="0.2">
      <c r="A9750" s="4" t="s">
        <v>1</v>
      </c>
      <c r="B9750" s="3" t="str">
        <f>HYPERLINK("https://otsuka-europe-crm.veevavault.com/ui/#object/approved_document__v/V5O00000000L011", "Libro IA en psiquiatría")</f>
        <v>Libro IA en psiquiatría</v>
      </c>
      <c r="C9750" s="3" t="str">
        <f>HYPERLINK("https://otsuka-europe-crm.veevavault.com/ui/#object/sent_email__v/VBL000000019175", "SE-001402489")</f>
        <v>SE-001402489</v>
      </c>
      <c r="D9750" s="1">
        <v>46056.261840277781</v>
      </c>
      <c r="E9750" s="2">
        <v>1</v>
      </c>
      <c r="F9750" s="2">
        <v>1</v>
      </c>
      <c r="G9750" s="2">
        <v>0</v>
      </c>
      <c r="H9750" s="1" t="s">
        <v>0</v>
      </c>
      <c r="I9750" s="2">
        <v>0</v>
      </c>
      <c r="J9750" s="1">
        <v>46055.935648148145</v>
      </c>
    </row>
    <row r="9751" spans="1:10" x14ac:dyDescent="0.2">
      <c r="A9751" s="4" t="s">
        <v>1</v>
      </c>
      <c r="B9751" s="3" t="str">
        <f>HYPERLINK("https://otsuka-europe-crm.veevavault.com/ui/#object/approved_document__v/V5O00000000L011", "Libro IA en psiquiatría")</f>
        <v>Libro IA en psiquiatría</v>
      </c>
      <c r="C9751" s="3" t="str">
        <f>HYPERLINK("https://otsuka-europe-crm.veevavault.com/ui/#object/sent_email__v/VBL000000019176", "SE-001402490")</f>
        <v>SE-001402490</v>
      </c>
      <c r="D9751" s="1" t="s">
        <v>0</v>
      </c>
      <c r="E9751" s="2">
        <v>0</v>
      </c>
      <c r="F9751" s="2">
        <v>0</v>
      </c>
      <c r="G9751" s="2">
        <v>0</v>
      </c>
      <c r="H9751" s="1" t="s">
        <v>0</v>
      </c>
      <c r="I9751" s="2">
        <v>0</v>
      </c>
      <c r="J9751" s="1">
        <v>46055.93582175926</v>
      </c>
    </row>
    <row r="9752" spans="1:10" x14ac:dyDescent="0.2">
      <c r="A9752" s="4" t="s">
        <v>1</v>
      </c>
      <c r="B9752" s="3" t="str">
        <f>HYPERLINK("https://otsuka-europe-crm.veevavault.com/ui/#object/approved_document__v/V5O00000000L011", "Libro IA en psiquiatría")</f>
        <v>Libro IA en psiquiatría</v>
      </c>
      <c r="C9752" s="3" t="str">
        <f>HYPERLINK("https://otsuka-europe-crm.veevavault.com/ui/#object/sent_email__v/VBL000000019177", "SE-001402491")</f>
        <v>SE-001402491</v>
      </c>
      <c r="D9752" s="1" t="s">
        <v>0</v>
      </c>
      <c r="E9752" s="2">
        <v>0</v>
      </c>
      <c r="F9752" s="2">
        <v>0</v>
      </c>
      <c r="G9752" s="2">
        <v>0</v>
      </c>
      <c r="H9752" s="1" t="s">
        <v>0</v>
      </c>
      <c r="I9752" s="2">
        <v>0</v>
      </c>
      <c r="J9752" s="1">
        <v>46055.935972222222</v>
      </c>
    </row>
    <row r="9753" spans="1:10" x14ac:dyDescent="0.2">
      <c r="A9753" s="4" t="s">
        <v>1</v>
      </c>
      <c r="B9753" s="3" t="str">
        <f>HYPERLINK("https://otsuka-europe-crm.veevavault.com/ui/#object/approved_document__v/V5O00000000L011", "Libro IA en psiquiatría")</f>
        <v>Libro IA en psiquiatría</v>
      </c>
      <c r="C9753" s="3" t="str">
        <f>HYPERLINK("https://otsuka-europe-crm.veevavault.com/ui/#object/sent_email__v/VBL000000019178", "SE-001402492")</f>
        <v>SE-001402492</v>
      </c>
      <c r="D9753" s="1" t="s">
        <v>0</v>
      </c>
      <c r="E9753" s="2">
        <v>0</v>
      </c>
      <c r="F9753" s="2">
        <v>0</v>
      </c>
      <c r="G9753" s="2">
        <v>0</v>
      </c>
      <c r="H9753" s="1" t="s">
        <v>0</v>
      </c>
      <c r="I9753" s="2">
        <v>0</v>
      </c>
      <c r="J9753" s="1">
        <v>46055.936168981483</v>
      </c>
    </row>
    <row r="9754" spans="1:10" x14ac:dyDescent="0.2">
      <c r="A9754" s="4" t="s">
        <v>1</v>
      </c>
      <c r="B9754" s="3" t="str">
        <f>HYPERLINK("https://otsuka-europe-crm.veevavault.com/ui/#object/approved_document__v/V5O00000000L011", "Libro IA en psiquiatría")</f>
        <v>Libro IA en psiquiatría</v>
      </c>
      <c r="C9754" s="3" t="str">
        <f>HYPERLINK("https://otsuka-europe-crm.veevavault.com/ui/#object/sent_email__v/VBL000000019179", "SE-001402493")</f>
        <v>SE-001402493</v>
      </c>
      <c r="D9754" s="1" t="s">
        <v>0</v>
      </c>
      <c r="E9754" s="2">
        <v>0</v>
      </c>
      <c r="F9754" s="2">
        <v>0</v>
      </c>
      <c r="G9754" s="2">
        <v>0</v>
      </c>
      <c r="H9754" s="1" t="s">
        <v>0</v>
      </c>
      <c r="I9754" s="2">
        <v>0</v>
      </c>
      <c r="J9754" s="1">
        <v>46055.936319444445</v>
      </c>
    </row>
    <row r="9755" spans="1:10" x14ac:dyDescent="0.2">
      <c r="A9755" s="4" t="s">
        <v>1</v>
      </c>
      <c r="B9755" s="3" t="str">
        <f>HYPERLINK("https://otsuka-europe-crm.veevavault.com/ui/#object/approved_document__v/V5O00000000L011", "Libro IA en psiquiatría")</f>
        <v>Libro IA en psiquiatría</v>
      </c>
      <c r="C9755" s="3" t="str">
        <f>HYPERLINK("https://otsuka-europe-crm.veevavault.com/ui/#object/sent_email__v/VBL000000019180", "SE-001402494")</f>
        <v>SE-001402494</v>
      </c>
      <c r="D9755" s="1">
        <v>46055.936956018515</v>
      </c>
      <c r="E9755" s="2">
        <v>1</v>
      </c>
      <c r="F9755" s="2">
        <v>2</v>
      </c>
      <c r="G9755" s="2">
        <v>1</v>
      </c>
      <c r="H9755" s="1">
        <v>46055.974363425928</v>
      </c>
      <c r="I9755" s="2">
        <v>1</v>
      </c>
      <c r="J9755" s="1">
        <v>46055.936481481483</v>
      </c>
    </row>
    <row r="9756" spans="1:10" x14ac:dyDescent="0.2">
      <c r="A9756" s="4" t="s">
        <v>1</v>
      </c>
      <c r="B9756" s="3" t="str">
        <f>HYPERLINK("https://otsuka-europe-crm.veevavault.com/ui/#object/approved_document__v/V5O00000000L011", "Libro IA en psiquiatría")</f>
        <v>Libro IA en psiquiatría</v>
      </c>
      <c r="C9756" s="3" t="str">
        <f>HYPERLINK("https://otsuka-europe-crm.veevavault.com/ui/#object/sent_email__v/VBL000000019181", "SE-001402495")</f>
        <v>SE-001402495</v>
      </c>
      <c r="D9756" s="1">
        <v>46056.337939814817</v>
      </c>
      <c r="E9756" s="2">
        <v>1</v>
      </c>
      <c r="F9756" s="2">
        <v>1</v>
      </c>
      <c r="G9756" s="2">
        <v>1</v>
      </c>
      <c r="H9756" s="1">
        <v>46064.209745370368</v>
      </c>
      <c r="I9756" s="2">
        <v>9</v>
      </c>
      <c r="J9756" s="1">
        <v>46055.936655092592</v>
      </c>
    </row>
    <row r="9757" spans="1:10" x14ac:dyDescent="0.2">
      <c r="A9757" s="4" t="s">
        <v>1</v>
      </c>
      <c r="B9757" s="3" t="str">
        <f>HYPERLINK("https://otsuka-europe-crm.veevavault.com/ui/#object/approved_document__v/V5O00000000L011", "Libro IA en psiquiatría")</f>
        <v>Libro IA en psiquiatría</v>
      </c>
      <c r="C9757" s="3" t="str">
        <f>HYPERLINK("https://otsuka-europe-crm.veevavault.com/ui/#object/sent_email__v/VBL000000019182", "SE-001402496")</f>
        <v>SE-001402496</v>
      </c>
      <c r="D9757" s="1">
        <v>46060.593414351853</v>
      </c>
      <c r="E9757" s="2">
        <v>1</v>
      </c>
      <c r="F9757" s="2">
        <v>2</v>
      </c>
      <c r="G9757" s="2">
        <v>0</v>
      </c>
      <c r="H9757" s="1" t="s">
        <v>0</v>
      </c>
      <c r="I9757" s="2">
        <v>0</v>
      </c>
      <c r="J9757" s="1">
        <v>46055.936828703707</v>
      </c>
    </row>
    <row r="9758" spans="1:10" x14ac:dyDescent="0.2">
      <c r="A9758" s="4" t="s">
        <v>1</v>
      </c>
      <c r="B9758" s="3" t="str">
        <f>HYPERLINK("https://otsuka-europe-crm.veevavault.com/ui/#object/approved_document__v/V5O00000000L011", "Libro IA en psiquiatría")</f>
        <v>Libro IA en psiquiatría</v>
      </c>
      <c r="C9758" s="3" t="str">
        <f>HYPERLINK("https://otsuka-europe-crm.veevavault.com/ui/#object/sent_email__v/VBL000000019183", "SE-001402497")</f>
        <v>SE-001402497</v>
      </c>
      <c r="D9758" s="1" t="s">
        <v>0</v>
      </c>
      <c r="E9758" s="2">
        <v>0</v>
      </c>
      <c r="F9758" s="2">
        <v>0</v>
      </c>
      <c r="G9758" s="2">
        <v>0</v>
      </c>
      <c r="H9758" s="1" t="s">
        <v>0</v>
      </c>
      <c r="I9758" s="2">
        <v>0</v>
      </c>
      <c r="J9758" s="1">
        <v>46055.937013888892</v>
      </c>
    </row>
    <row r="9759" spans="1:10" x14ac:dyDescent="0.2">
      <c r="A9759" s="4" t="s">
        <v>1</v>
      </c>
      <c r="B9759" s="3" t="str">
        <f>HYPERLINK("https://otsuka-europe-crm.veevavault.com/ui/#object/approved_document__v/V5O00000000L011", "Libro IA en psiquiatría")</f>
        <v>Libro IA en psiquiatría</v>
      </c>
      <c r="C9759" s="3" t="str">
        <f>HYPERLINK("https://otsuka-europe-crm.veevavault.com/ui/#object/sent_email__v/VBL000000019184", "SE-001402498")</f>
        <v>SE-001402498</v>
      </c>
      <c r="D9759" s="1">
        <v>46056.822511574072</v>
      </c>
      <c r="E9759" s="2">
        <v>1</v>
      </c>
      <c r="F9759" s="2">
        <v>1</v>
      </c>
      <c r="G9759" s="2">
        <v>0</v>
      </c>
      <c r="H9759" s="1" t="s">
        <v>0</v>
      </c>
      <c r="I9759" s="2">
        <v>0</v>
      </c>
      <c r="J9759" s="1">
        <v>46055.937164351853</v>
      </c>
    </row>
    <row r="9760" spans="1:10" x14ac:dyDescent="0.2">
      <c r="A9760" s="4" t="s">
        <v>1</v>
      </c>
      <c r="B9760" s="3" t="str">
        <f>HYPERLINK("https://otsuka-europe-crm.veevavault.com/ui/#object/approved_document__v/V5O00000000L011", "Libro IA en psiquiatría")</f>
        <v>Libro IA en psiquiatría</v>
      </c>
      <c r="C9760" s="3" t="str">
        <f>HYPERLINK("https://otsuka-europe-crm.veevavault.com/ui/#object/sent_email__v/VBL000000019185", "SE-001402499")</f>
        <v>SE-001402499</v>
      </c>
      <c r="D9760" s="1" t="s">
        <v>0</v>
      </c>
      <c r="E9760" s="2">
        <v>0</v>
      </c>
      <c r="F9760" s="2">
        <v>0</v>
      </c>
      <c r="G9760" s="2">
        <v>0</v>
      </c>
      <c r="H9760" s="1" t="s">
        <v>0</v>
      </c>
      <c r="I9760" s="2">
        <v>0</v>
      </c>
      <c r="J9760" s="1">
        <v>46055.937337962961</v>
      </c>
    </row>
    <row r="9761" spans="1:10" x14ac:dyDescent="0.2">
      <c r="A9761" s="4" t="s">
        <v>1</v>
      </c>
      <c r="B9761" s="3" t="str">
        <f>HYPERLINK("https://otsuka-europe-crm.veevavault.com/ui/#object/approved_document__v/V5O00000000L011", "Libro IA en psiquiatría")</f>
        <v>Libro IA en psiquiatría</v>
      </c>
      <c r="C9761" s="3" t="str">
        <f>HYPERLINK("https://otsuka-europe-crm.veevavault.com/ui/#object/sent_email__v/VBL000000019186", "SE-001402500")</f>
        <v>SE-001402500</v>
      </c>
      <c r="D9761" s="1">
        <v>46060.620243055557</v>
      </c>
      <c r="E9761" s="2">
        <v>1</v>
      </c>
      <c r="F9761" s="2">
        <v>3</v>
      </c>
      <c r="G9761" s="2">
        <v>1</v>
      </c>
      <c r="H9761" s="1">
        <v>46056.727210648147</v>
      </c>
      <c r="I9761" s="2">
        <v>1</v>
      </c>
      <c r="J9761" s="1">
        <v>46055.937523148146</v>
      </c>
    </row>
    <row r="9762" spans="1:10" x14ac:dyDescent="0.2">
      <c r="A9762" s="4" t="s">
        <v>1</v>
      </c>
      <c r="B9762" s="3" t="str">
        <f>HYPERLINK("https://otsuka-europe-crm.veevavault.com/ui/#object/approved_document__v/V5O00000000L011", "Libro IA en psiquiatría")</f>
        <v>Libro IA en psiquiatría</v>
      </c>
      <c r="C9762" s="3" t="str">
        <f>HYPERLINK("https://otsuka-europe-crm.veevavault.com/ui/#object/sent_email__v/VBL000000019187", "SE-001402501")</f>
        <v>SE-001402501</v>
      </c>
      <c r="D9762" s="1">
        <v>46056.38821759259</v>
      </c>
      <c r="E9762" s="2">
        <v>1</v>
      </c>
      <c r="F9762" s="2">
        <v>2</v>
      </c>
      <c r="G9762" s="2">
        <v>0</v>
      </c>
      <c r="H9762" s="1" t="s">
        <v>0</v>
      </c>
      <c r="I9762" s="2">
        <v>0</v>
      </c>
      <c r="J9762" s="1">
        <v>46055.937696759262</v>
      </c>
    </row>
    <row r="9763" spans="1:10" x14ac:dyDescent="0.2">
      <c r="A9763" s="4" t="s">
        <v>1</v>
      </c>
      <c r="B9763" s="3" t="str">
        <f>HYPERLINK("https://otsuka-europe-crm.veevavault.com/ui/#object/approved_document__v/V5O00000000L011", "Libro IA en psiquiatría")</f>
        <v>Libro IA en psiquiatría</v>
      </c>
      <c r="C9763" s="3" t="str">
        <f>HYPERLINK("https://otsuka-europe-crm.veevavault.com/ui/#object/sent_email__v/VBL000000019188", "SE-001402502")</f>
        <v>SE-001402502</v>
      </c>
      <c r="D9763" s="1">
        <v>46061.743414351855</v>
      </c>
      <c r="E9763" s="2">
        <v>1</v>
      </c>
      <c r="F9763" s="2">
        <v>2</v>
      </c>
      <c r="G9763" s="2">
        <v>0</v>
      </c>
      <c r="H9763" s="1" t="s">
        <v>0</v>
      </c>
      <c r="I9763" s="2">
        <v>0</v>
      </c>
      <c r="J9763" s="1">
        <v>46055.937858796293</v>
      </c>
    </row>
    <row r="9764" spans="1:10" x14ac:dyDescent="0.2">
      <c r="A9764" s="4" t="s">
        <v>1</v>
      </c>
      <c r="B9764" s="3" t="str">
        <f>HYPERLINK("https://otsuka-europe-crm.veevavault.com/ui/#object/approved_document__v/V5O00000000L011", "Libro IA en psiquiatría")</f>
        <v>Libro IA en psiquiatría</v>
      </c>
      <c r="C9764" s="3" t="str">
        <f>HYPERLINK("https://otsuka-europe-crm.veevavault.com/ui/#object/sent_email__v/VBL000000019189", "SE-001402503")</f>
        <v>SE-001402503</v>
      </c>
      <c r="D9764" s="1" t="s">
        <v>0</v>
      </c>
      <c r="E9764" s="2">
        <v>0</v>
      </c>
      <c r="F9764" s="2">
        <v>0</v>
      </c>
      <c r="G9764" s="2">
        <v>0</v>
      </c>
      <c r="H9764" s="1" t="s">
        <v>0</v>
      </c>
      <c r="I9764" s="2">
        <v>0</v>
      </c>
      <c r="J9764" s="1">
        <v>46055.938020833331</v>
      </c>
    </row>
    <row r="9765" spans="1:10" x14ac:dyDescent="0.2">
      <c r="A9765" s="4" t="s">
        <v>1</v>
      </c>
      <c r="B9765" s="3" t="str">
        <f>HYPERLINK("https://otsuka-europe-crm.veevavault.com/ui/#object/approved_document__v/V5O00000000L011", "Libro IA en psiquiatría")</f>
        <v>Libro IA en psiquiatría</v>
      </c>
      <c r="C9765" s="3" t="str">
        <f>HYPERLINK("https://otsuka-europe-crm.veevavault.com/ui/#object/sent_email__v/VBL000000019190", "SE-001402504")</f>
        <v>SE-001402504</v>
      </c>
      <c r="D9765" s="1">
        <v>46055.994328703702</v>
      </c>
      <c r="E9765" s="2">
        <v>1</v>
      </c>
      <c r="F9765" s="2">
        <v>2</v>
      </c>
      <c r="G9765" s="2">
        <v>1</v>
      </c>
      <c r="H9765" s="1">
        <v>46056.007800925923</v>
      </c>
      <c r="I9765" s="2">
        <v>2</v>
      </c>
      <c r="J9765" s="1">
        <v>46055.938194444447</v>
      </c>
    </row>
    <row r="9766" spans="1:10" x14ac:dyDescent="0.2">
      <c r="A9766" s="4" t="s">
        <v>1</v>
      </c>
      <c r="B9766" s="3" t="str">
        <f>HYPERLINK("https://otsuka-europe-crm.veevavault.com/ui/#object/approved_document__v/V5O00000000L011", "Libro IA en psiquiatría")</f>
        <v>Libro IA en psiquiatría</v>
      </c>
      <c r="C9766" s="3" t="str">
        <f>HYPERLINK("https://otsuka-europe-crm.veevavault.com/ui/#object/sent_email__v/VBL000000019191", "SE-001402505")</f>
        <v>SE-001402505</v>
      </c>
      <c r="D9766" s="1">
        <v>46056.368715277778</v>
      </c>
      <c r="E9766" s="2">
        <v>1</v>
      </c>
      <c r="F9766" s="2">
        <v>1</v>
      </c>
      <c r="G9766" s="2">
        <v>0</v>
      </c>
      <c r="H9766" s="1" t="s">
        <v>0</v>
      </c>
      <c r="I9766" s="2">
        <v>0</v>
      </c>
      <c r="J9766" s="1">
        <v>46055.938368055555</v>
      </c>
    </row>
    <row r="9767" spans="1:10" x14ac:dyDescent="0.2">
      <c r="A9767" s="4" t="s">
        <v>1</v>
      </c>
      <c r="B9767" s="3" t="str">
        <f>HYPERLINK("https://otsuka-europe-crm.veevavault.com/ui/#object/approved_document__v/V5O00000000L011", "Libro IA en psiquiatría")</f>
        <v>Libro IA en psiquiatría</v>
      </c>
      <c r="C9767" s="3" t="str">
        <f>HYPERLINK("https://otsuka-europe-crm.veevavault.com/ui/#object/sent_email__v/VBL000000019192", "SE-001402506")</f>
        <v>SE-001402506</v>
      </c>
      <c r="D9767" s="1">
        <v>46056.649155092593</v>
      </c>
      <c r="E9767" s="2">
        <v>1</v>
      </c>
      <c r="F9767" s="2">
        <v>2</v>
      </c>
      <c r="G9767" s="2">
        <v>0</v>
      </c>
      <c r="H9767" s="1" t="s">
        <v>0</v>
      </c>
      <c r="I9767" s="2">
        <v>0</v>
      </c>
      <c r="J9767" s="1">
        <v>46055.93854166667</v>
      </c>
    </row>
    <row r="9768" spans="1:10" x14ac:dyDescent="0.2">
      <c r="A9768" s="4" t="s">
        <v>1</v>
      </c>
      <c r="B9768" s="3" t="str">
        <f>HYPERLINK("https://otsuka-europe-crm.veevavault.com/ui/#object/approved_document__v/V5O00000000L011", "Libro IA en psiquiatría")</f>
        <v>Libro IA en psiquiatría</v>
      </c>
      <c r="C9768" s="3" t="str">
        <f>HYPERLINK("https://otsuka-europe-crm.veevavault.com/ui/#object/sent_email__v/VBL000000019193", "SE-001402507")</f>
        <v>SE-001402507</v>
      </c>
      <c r="D9768" s="1">
        <v>46056.324675925927</v>
      </c>
      <c r="E9768" s="2">
        <v>1</v>
      </c>
      <c r="F9768" s="2">
        <v>1</v>
      </c>
      <c r="G9768" s="2">
        <v>0</v>
      </c>
      <c r="H9768" s="1" t="s">
        <v>0</v>
      </c>
      <c r="I9768" s="2">
        <v>0</v>
      </c>
      <c r="J9768" s="1">
        <v>46055.938715277778</v>
      </c>
    </row>
    <row r="9769" spans="1:10" x14ac:dyDescent="0.2">
      <c r="A9769" s="4" t="s">
        <v>1</v>
      </c>
      <c r="B9769" s="3" t="str">
        <f>HYPERLINK("https://otsuka-europe-crm.veevavault.com/ui/#object/approved_document__v/V5O00000000L011", "Libro IA en psiquiatría")</f>
        <v>Libro IA en psiquiatría</v>
      </c>
      <c r="C9769" s="3" t="str">
        <f>HYPERLINK("https://otsuka-europe-crm.veevavault.com/ui/#object/sent_email__v/VBL000000019194", "SE-001402508")</f>
        <v>SE-001402508</v>
      </c>
      <c r="D9769" s="1">
        <v>46057.724502314813</v>
      </c>
      <c r="E9769" s="2">
        <v>1</v>
      </c>
      <c r="F9769" s="2">
        <v>3</v>
      </c>
      <c r="G9769" s="2">
        <v>1</v>
      </c>
      <c r="H9769" s="1">
        <v>46057.724641203706</v>
      </c>
      <c r="I9769" s="2">
        <v>1</v>
      </c>
      <c r="J9769" s="1">
        <v>46055.938877314817</v>
      </c>
    </row>
    <row r="9770" spans="1:10" x14ac:dyDescent="0.2">
      <c r="A9770" s="4" t="s">
        <v>1</v>
      </c>
      <c r="B9770" s="3" t="str">
        <f>HYPERLINK("https://otsuka-europe-crm.veevavault.com/ui/#object/approved_document__v/V5O00000000L011", "Libro IA en psiquiatría")</f>
        <v>Libro IA en psiquiatría</v>
      </c>
      <c r="C9770" s="3" t="str">
        <f>HYPERLINK("https://otsuka-europe-crm.veevavault.com/ui/#object/sent_email__v/VBL000000019195", "SE-001402509")</f>
        <v>SE-001402509</v>
      </c>
      <c r="D9770" s="1">
        <v>46068.358275462961</v>
      </c>
      <c r="E9770" s="2">
        <v>1</v>
      </c>
      <c r="F9770" s="2">
        <v>4</v>
      </c>
      <c r="G9770" s="2">
        <v>0</v>
      </c>
      <c r="H9770" s="1" t="s">
        <v>0</v>
      </c>
      <c r="I9770" s="2">
        <v>0</v>
      </c>
      <c r="J9770" s="1">
        <v>46055.939039351855</v>
      </c>
    </row>
    <row r="9771" spans="1:10" x14ac:dyDescent="0.2">
      <c r="A9771" s="4" t="s">
        <v>1</v>
      </c>
      <c r="B9771" s="3" t="str">
        <f>HYPERLINK("https://otsuka-europe-crm.veevavault.com/ui/#object/approved_document__v/V5O00000000L011", "Libro IA en psiquiatría")</f>
        <v>Libro IA en psiquiatría</v>
      </c>
      <c r="C9771" s="3" t="str">
        <f>HYPERLINK("https://otsuka-europe-crm.veevavault.com/ui/#object/sent_email__v/VBL000000019196", "SE-001402510")</f>
        <v>SE-001402510</v>
      </c>
      <c r="D9771" s="1" t="s">
        <v>0</v>
      </c>
      <c r="E9771" s="2">
        <v>0</v>
      </c>
      <c r="F9771" s="2">
        <v>0</v>
      </c>
      <c r="G9771" s="2">
        <v>0</v>
      </c>
      <c r="H9771" s="1" t="s">
        <v>0</v>
      </c>
      <c r="I9771" s="2">
        <v>0</v>
      </c>
      <c r="J9771" s="1">
        <v>46055.939212962963</v>
      </c>
    </row>
    <row r="9772" spans="1:10" x14ac:dyDescent="0.2">
      <c r="A9772" s="4" t="s">
        <v>1</v>
      </c>
      <c r="B9772" s="3" t="str">
        <f>HYPERLINK("https://otsuka-europe-crm.veevavault.com/ui/#object/approved_document__v/V5O00000000L011", "Libro IA en psiquiatría")</f>
        <v>Libro IA en psiquiatría</v>
      </c>
      <c r="C9772" s="3" t="str">
        <f>HYPERLINK("https://otsuka-europe-crm.veevavault.com/ui/#object/sent_email__v/VBL000000019197", "SE-001402511")</f>
        <v>SE-001402511</v>
      </c>
      <c r="D9772" s="1">
        <v>46055.973321759258</v>
      </c>
      <c r="E9772" s="2">
        <v>1</v>
      </c>
      <c r="F9772" s="2">
        <v>1</v>
      </c>
      <c r="G9772" s="2">
        <v>0</v>
      </c>
      <c r="H9772" s="1" t="s">
        <v>0</v>
      </c>
      <c r="I9772" s="2">
        <v>0</v>
      </c>
      <c r="J9772" s="1">
        <v>46055.939386574071</v>
      </c>
    </row>
    <row r="9773" spans="1:10" x14ac:dyDescent="0.2">
      <c r="A9773" s="4" t="s">
        <v>1</v>
      </c>
      <c r="B9773" s="3" t="str">
        <f>HYPERLINK("https://otsuka-europe-crm.veevavault.com/ui/#object/approved_document__v/V5O00000000L011", "Libro IA en psiquiatría")</f>
        <v>Libro IA en psiquiatría</v>
      </c>
      <c r="C9773" s="3" t="str">
        <f>HYPERLINK("https://otsuka-europe-crm.veevavault.com/ui/#object/sent_email__v/VBL000000019198", "SE-001402512")</f>
        <v>SE-001402512</v>
      </c>
      <c r="D9773" s="1">
        <v>46057.730543981481</v>
      </c>
      <c r="E9773" s="2">
        <v>1</v>
      </c>
      <c r="F9773" s="2">
        <v>10</v>
      </c>
      <c r="G9773" s="2">
        <v>0</v>
      </c>
      <c r="H9773" s="1" t="s">
        <v>0</v>
      </c>
      <c r="I9773" s="2">
        <v>0</v>
      </c>
      <c r="J9773" s="1">
        <v>46055.93954861111</v>
      </c>
    </row>
    <row r="9774" spans="1:10" x14ac:dyDescent="0.2">
      <c r="A9774" s="4" t="s">
        <v>1</v>
      </c>
      <c r="B9774" s="3" t="str">
        <f>HYPERLINK("https://otsuka-europe-crm.veevavault.com/ui/#object/approved_document__v/V5O00000000L011", "Libro IA en psiquiatría")</f>
        <v>Libro IA en psiquiatría</v>
      </c>
      <c r="C9774" s="3" t="str">
        <f>HYPERLINK("https://otsuka-europe-crm.veevavault.com/ui/#object/sent_email__v/VBL000000019199", "SE-001402513")</f>
        <v>SE-001402513</v>
      </c>
      <c r="D9774" s="1">
        <v>46060.354317129626</v>
      </c>
      <c r="E9774" s="2">
        <v>1</v>
      </c>
      <c r="F9774" s="2">
        <v>1</v>
      </c>
      <c r="G9774" s="2">
        <v>0</v>
      </c>
      <c r="H9774" s="1" t="s">
        <v>0</v>
      </c>
      <c r="I9774" s="2">
        <v>0</v>
      </c>
      <c r="J9774" s="1">
        <v>46055.939710648148</v>
      </c>
    </row>
    <row r="9775" spans="1:10" x14ac:dyDescent="0.2">
      <c r="A9775" s="4" t="s">
        <v>1</v>
      </c>
      <c r="B9775" s="3" t="str">
        <f>HYPERLINK("https://otsuka-europe-crm.veevavault.com/ui/#object/approved_document__v/V5O00000000L011", "Libro IA en psiquiatría")</f>
        <v>Libro IA en psiquiatría</v>
      </c>
      <c r="C9775" s="3" t="str">
        <f>HYPERLINK("https://otsuka-europe-crm.veevavault.com/ui/#object/sent_email__v/VBL000000019200", "SE-001402514")</f>
        <v>SE-001402514</v>
      </c>
      <c r="D9775" s="1">
        <v>46057.891296296293</v>
      </c>
      <c r="E9775" s="2">
        <v>1</v>
      </c>
      <c r="F9775" s="2">
        <v>2</v>
      </c>
      <c r="G9775" s="2">
        <v>0</v>
      </c>
      <c r="H9775" s="1" t="s">
        <v>0</v>
      </c>
      <c r="I9775" s="2">
        <v>0</v>
      </c>
      <c r="J9775" s="1">
        <v>46055.939895833333</v>
      </c>
    </row>
    <row r="9776" spans="1:10" x14ac:dyDescent="0.2">
      <c r="A9776" s="4" t="s">
        <v>1</v>
      </c>
      <c r="B9776" s="3" t="str">
        <f>HYPERLINK("https://otsuka-europe-crm.veevavault.com/ui/#object/approved_document__v/V5O00000000L011", "Libro IA en psiquiatría")</f>
        <v>Libro IA en psiquiatría</v>
      </c>
      <c r="C9776" s="3" t="str">
        <f>HYPERLINK("https://otsuka-europe-crm.veevavault.com/ui/#object/sent_email__v/VBL000000019201", "SE-001402515")</f>
        <v>SE-001402515</v>
      </c>
      <c r="D9776" s="1">
        <v>46056.484895833331</v>
      </c>
      <c r="E9776" s="2">
        <v>1</v>
      </c>
      <c r="F9776" s="2">
        <v>1</v>
      </c>
      <c r="G9776" s="2">
        <v>1</v>
      </c>
      <c r="H9776" s="1">
        <v>46056.484895833331</v>
      </c>
      <c r="I9776" s="2">
        <v>1</v>
      </c>
      <c r="J9776" s="1">
        <v>46055.940069444441</v>
      </c>
    </row>
    <row r="9777" spans="1:10" x14ac:dyDescent="0.2">
      <c r="A9777" s="4" t="s">
        <v>1</v>
      </c>
      <c r="B9777" s="3" t="str">
        <f>HYPERLINK("https://otsuka-europe-crm.veevavault.com/ui/#object/approved_document__v/V5O00000000L011", "Libro IA en psiquiatría")</f>
        <v>Libro IA en psiquiatría</v>
      </c>
      <c r="C9777" s="3" t="str">
        <f>HYPERLINK("https://otsuka-europe-crm.veevavault.com/ui/#object/sent_email__v/VBL000000019202", "SE-001402516")</f>
        <v>SE-001402516</v>
      </c>
      <c r="D9777" s="1" t="s">
        <v>0</v>
      </c>
      <c r="E9777" s="2">
        <v>0</v>
      </c>
      <c r="F9777" s="2">
        <v>0</v>
      </c>
      <c r="G9777" s="2">
        <v>0</v>
      </c>
      <c r="H9777" s="1" t="s">
        <v>0</v>
      </c>
      <c r="I9777" s="2">
        <v>0</v>
      </c>
      <c r="J9777" s="1">
        <v>46055.94023148148</v>
      </c>
    </row>
    <row r="9778" spans="1:10" x14ac:dyDescent="0.2">
      <c r="A9778" s="4" t="s">
        <v>1</v>
      </c>
      <c r="B9778" s="3" t="str">
        <f>HYPERLINK("https://otsuka-europe-crm.veevavault.com/ui/#object/approved_document__v/V5O00000000L011", "Libro IA en psiquiatría")</f>
        <v>Libro IA en psiquiatría</v>
      </c>
      <c r="C9778" s="3" t="str">
        <f>HYPERLINK("https://otsuka-europe-crm.veevavault.com/ui/#object/sent_email__v/VBL000000019203", "SE-001402517")</f>
        <v>SE-001402517</v>
      </c>
      <c r="D9778" s="1" t="s">
        <v>0</v>
      </c>
      <c r="E9778" s="2">
        <v>0</v>
      </c>
      <c r="F9778" s="2">
        <v>0</v>
      </c>
      <c r="G9778" s="2">
        <v>0</v>
      </c>
      <c r="H9778" s="1" t="s">
        <v>0</v>
      </c>
      <c r="I9778" s="2">
        <v>0</v>
      </c>
      <c r="J9778" s="1">
        <v>46055.940416666665</v>
      </c>
    </row>
    <row r="9779" spans="1:10" x14ac:dyDescent="0.2">
      <c r="A9779" s="4" t="s">
        <v>1</v>
      </c>
      <c r="B9779" s="3" t="str">
        <f>HYPERLINK("https://otsuka-europe-crm.veevavault.com/ui/#object/approved_document__v/V5O00000000L011", "Libro IA en psiquiatría")</f>
        <v>Libro IA en psiquiatría</v>
      </c>
      <c r="C9779" s="3" t="str">
        <f>HYPERLINK("https://otsuka-europe-crm.veevavault.com/ui/#object/sent_email__v/VBL000000019204", "SE-001402518")</f>
        <v>SE-001402518</v>
      </c>
      <c r="D9779" s="1">
        <v>46056.389432870368</v>
      </c>
      <c r="E9779" s="2">
        <v>1</v>
      </c>
      <c r="F9779" s="2">
        <v>1</v>
      </c>
      <c r="G9779" s="2">
        <v>1</v>
      </c>
      <c r="H9779" s="1">
        <v>46056.38962962963</v>
      </c>
      <c r="I9779" s="2">
        <v>1</v>
      </c>
      <c r="J9779" s="1">
        <v>46055.940567129626</v>
      </c>
    </row>
    <row r="9780" spans="1:10" x14ac:dyDescent="0.2">
      <c r="A9780" s="4" t="s">
        <v>1</v>
      </c>
      <c r="B9780" s="3" t="str">
        <f>HYPERLINK("https://otsuka-europe-crm.veevavault.com/ui/#object/approved_document__v/V5O00000000L011", "Libro IA en psiquiatría")</f>
        <v>Libro IA en psiquiatría</v>
      </c>
      <c r="C9780" s="3" t="str">
        <f>HYPERLINK("https://otsuka-europe-crm.veevavault.com/ui/#object/sent_email__v/VBL000000019205", "SE-001402519")</f>
        <v>SE-001402519</v>
      </c>
      <c r="D9780" s="1">
        <v>46056.478009259263</v>
      </c>
      <c r="E9780" s="2">
        <v>1</v>
      </c>
      <c r="F9780" s="2">
        <v>1</v>
      </c>
      <c r="G9780" s="2">
        <v>0</v>
      </c>
      <c r="H9780" s="1" t="s">
        <v>0</v>
      </c>
      <c r="I9780" s="2">
        <v>0</v>
      </c>
      <c r="J9780" s="1">
        <v>46055.940740740742</v>
      </c>
    </row>
    <row r="9781" spans="1:10" x14ac:dyDescent="0.2">
      <c r="A9781" s="4" t="s">
        <v>1</v>
      </c>
      <c r="B9781" s="3" t="str">
        <f>HYPERLINK("https://otsuka-europe-crm.veevavault.com/ui/#object/approved_document__v/V5O00000000L011", "Libro IA en psiquiatría")</f>
        <v>Libro IA en psiquiatría</v>
      </c>
      <c r="C9781" s="3" t="str">
        <f>HYPERLINK("https://otsuka-europe-crm.veevavault.com/ui/#object/sent_email__v/VBL000000019206", "SE-001402520")</f>
        <v>SE-001402520</v>
      </c>
      <c r="D9781" s="1">
        <v>46057.661504629628</v>
      </c>
      <c r="E9781" s="2">
        <v>1</v>
      </c>
      <c r="F9781" s="2">
        <v>1</v>
      </c>
      <c r="G9781" s="2">
        <v>0</v>
      </c>
      <c r="H9781" s="1" t="s">
        <v>0</v>
      </c>
      <c r="I9781" s="2">
        <v>0</v>
      </c>
      <c r="J9781" s="1">
        <v>46055.94091435185</v>
      </c>
    </row>
    <row r="9782" spans="1:10" x14ac:dyDescent="0.2">
      <c r="A9782" s="4" t="s">
        <v>1</v>
      </c>
      <c r="B9782" s="3" t="str">
        <f>HYPERLINK("https://otsuka-europe-crm.veevavault.com/ui/#object/approved_document__v/V5O00000000L011", "Libro IA en psiquiatría")</f>
        <v>Libro IA en psiquiatría</v>
      </c>
      <c r="C9782" s="3" t="str">
        <f>HYPERLINK("https://otsuka-europe-crm.veevavault.com/ui/#object/sent_email__v/VBL000000019207", "SE-001402521")</f>
        <v>SE-001402521</v>
      </c>
      <c r="D9782" s="1" t="s">
        <v>0</v>
      </c>
      <c r="E9782" s="2">
        <v>0</v>
      </c>
      <c r="F9782" s="2">
        <v>0</v>
      </c>
      <c r="G9782" s="2">
        <v>0</v>
      </c>
      <c r="H9782" s="1" t="s">
        <v>0</v>
      </c>
      <c r="I9782" s="2">
        <v>0</v>
      </c>
      <c r="J9782" s="1">
        <v>46055.941087962965</v>
      </c>
    </row>
    <row r="9783" spans="1:10" x14ac:dyDescent="0.2">
      <c r="A9783" s="4" t="s">
        <v>1</v>
      </c>
      <c r="B9783" s="3" t="str">
        <f>HYPERLINK("https://otsuka-europe-crm.veevavault.com/ui/#object/approved_document__v/V5O00000000L011", "Libro IA en psiquiatría")</f>
        <v>Libro IA en psiquiatría</v>
      </c>
      <c r="C9783" s="3" t="str">
        <f>HYPERLINK("https://otsuka-europe-crm.veevavault.com/ui/#object/sent_email__v/VBL000000019208", "SE-001402522")</f>
        <v>SE-001402522</v>
      </c>
      <c r="D9783" s="1">
        <v>46076.082754629628</v>
      </c>
      <c r="E9783" s="2">
        <v>1</v>
      </c>
      <c r="F9783" s="2">
        <v>7</v>
      </c>
      <c r="G9783" s="2">
        <v>0</v>
      </c>
      <c r="H9783" s="1" t="s">
        <v>0</v>
      </c>
      <c r="I9783" s="2">
        <v>0</v>
      </c>
      <c r="J9783" s="1">
        <v>46055.941250000003</v>
      </c>
    </row>
    <row r="9784" spans="1:10" x14ac:dyDescent="0.2">
      <c r="A9784" s="4" t="s">
        <v>1</v>
      </c>
      <c r="B9784" s="3" t="str">
        <f>HYPERLINK("https://otsuka-europe-crm.veevavault.com/ui/#object/approved_document__v/V5O00000000L011", "Libro IA en psiquiatría")</f>
        <v>Libro IA en psiquiatría</v>
      </c>
      <c r="C9784" s="3" t="str">
        <f>HYPERLINK("https://otsuka-europe-crm.veevavault.com/ui/#object/sent_email__v/VBL000000019209", "SE-001402523")</f>
        <v>SE-001402523</v>
      </c>
      <c r="D9784" s="1" t="s">
        <v>0</v>
      </c>
      <c r="E9784" s="2">
        <v>0</v>
      </c>
      <c r="F9784" s="2">
        <v>0</v>
      </c>
      <c r="G9784" s="2">
        <v>0</v>
      </c>
      <c r="H9784" s="1" t="s">
        <v>0</v>
      </c>
      <c r="I9784" s="2">
        <v>0</v>
      </c>
      <c r="J9784" s="1">
        <v>46055.941423611112</v>
      </c>
    </row>
    <row r="9785" spans="1:10" x14ac:dyDescent="0.2">
      <c r="A9785" s="4" t="s">
        <v>1</v>
      </c>
      <c r="B9785" s="3" t="str">
        <f>HYPERLINK("https://otsuka-europe-crm.veevavault.com/ui/#object/approved_document__v/V5O00000000L011", "Libro IA en psiquiatría")</f>
        <v>Libro IA en psiquiatría</v>
      </c>
      <c r="C9785" s="3" t="str">
        <f>HYPERLINK("https://otsuka-europe-crm.veevavault.com/ui/#object/sent_email__v/VBL000000019210", "SE-001402524")</f>
        <v>SE-001402524</v>
      </c>
      <c r="D9785" s="1" t="s">
        <v>0</v>
      </c>
      <c r="E9785" s="2">
        <v>0</v>
      </c>
      <c r="F9785" s="2">
        <v>0</v>
      </c>
      <c r="G9785" s="2">
        <v>0</v>
      </c>
      <c r="H9785" s="1" t="s">
        <v>0</v>
      </c>
      <c r="I9785" s="2">
        <v>0</v>
      </c>
      <c r="J9785" s="1">
        <v>46055.94158564815</v>
      </c>
    </row>
    <row r="9786" spans="1:10" x14ac:dyDescent="0.2">
      <c r="A9786" s="4" t="s">
        <v>1</v>
      </c>
      <c r="B9786" s="3" t="str">
        <f>HYPERLINK("https://otsuka-europe-crm.veevavault.com/ui/#object/approved_document__v/V5O00000000L011", "Libro IA en psiquiatría")</f>
        <v>Libro IA en psiquiatría</v>
      </c>
      <c r="C9786" s="3" t="str">
        <f>HYPERLINK("https://otsuka-europe-crm.veevavault.com/ui/#object/sent_email__v/VBL000000019211", "SE-001402525")</f>
        <v>SE-001402525</v>
      </c>
      <c r="D9786" s="1">
        <v>46056.606041666666</v>
      </c>
      <c r="E9786" s="2">
        <v>1</v>
      </c>
      <c r="F9786" s="2">
        <v>1</v>
      </c>
      <c r="G9786" s="2">
        <v>0</v>
      </c>
      <c r="H9786" s="1" t="s">
        <v>0</v>
      </c>
      <c r="I9786" s="2">
        <v>0</v>
      </c>
      <c r="J9786" s="1">
        <v>46055.941759259258</v>
      </c>
    </row>
    <row r="9787" spans="1:10" x14ac:dyDescent="0.2">
      <c r="A9787" s="4" t="s">
        <v>1</v>
      </c>
      <c r="B9787" s="3" t="str">
        <f>HYPERLINK("https://otsuka-europe-crm.veevavault.com/ui/#object/approved_document__v/V5O00000000L011", "Libro IA en psiquiatría")</f>
        <v>Libro IA en psiquiatría</v>
      </c>
      <c r="C9787" s="3" t="str">
        <f>HYPERLINK("https://otsuka-europe-crm.veevavault.com/ui/#object/sent_email__v/VBL000000019212", "SE-001402526")</f>
        <v>SE-001402526</v>
      </c>
      <c r="D9787" s="1">
        <v>46059.978460648148</v>
      </c>
      <c r="E9787" s="2">
        <v>1</v>
      </c>
      <c r="F9787" s="2">
        <v>4</v>
      </c>
      <c r="G9787" s="2">
        <v>1</v>
      </c>
      <c r="H9787" s="1">
        <v>46056.903402777774</v>
      </c>
      <c r="I9787" s="2">
        <v>1</v>
      </c>
      <c r="J9787" s="1">
        <v>46055.941932870373</v>
      </c>
    </row>
    <row r="9788" spans="1:10" x14ac:dyDescent="0.2">
      <c r="A9788" s="4" t="s">
        <v>1</v>
      </c>
      <c r="B9788" s="3" t="str">
        <f>HYPERLINK("https://otsuka-europe-crm.veevavault.com/ui/#object/approved_document__v/V5O00000000L011", "Libro IA en psiquiatría")</f>
        <v>Libro IA en psiquiatría</v>
      </c>
      <c r="C9788" s="3" t="str">
        <f>HYPERLINK("https://otsuka-europe-crm.veevavault.com/ui/#object/sent_email__v/VBL000000019213", "SE-001402527")</f>
        <v>SE-001402527</v>
      </c>
      <c r="D9788" s="1">
        <v>46078.427210648151</v>
      </c>
      <c r="E9788" s="2">
        <v>1</v>
      </c>
      <c r="F9788" s="2">
        <v>5</v>
      </c>
      <c r="G9788" s="2">
        <v>1</v>
      </c>
      <c r="H9788" s="1">
        <v>46057.328333333331</v>
      </c>
      <c r="I9788" s="2">
        <v>1</v>
      </c>
      <c r="J9788" s="1">
        <v>46055.942094907405</v>
      </c>
    </row>
    <row r="9789" spans="1:10" x14ac:dyDescent="0.2">
      <c r="A9789" s="4" t="s">
        <v>1</v>
      </c>
      <c r="B9789" s="3" t="str">
        <f>HYPERLINK("https://otsuka-europe-crm.veevavault.com/ui/#object/approved_document__v/V5O00000000L011", "Libro IA en psiquiatría")</f>
        <v>Libro IA en psiquiatría</v>
      </c>
      <c r="C9789" s="3" t="str">
        <f>HYPERLINK("https://otsuka-europe-crm.veevavault.com/ui/#object/sent_email__v/VBL000000019214", "SE-001402528")</f>
        <v>SE-001402528</v>
      </c>
      <c r="D9789" s="1">
        <v>46059.937013888892</v>
      </c>
      <c r="E9789" s="2">
        <v>1</v>
      </c>
      <c r="F9789" s="2">
        <v>26</v>
      </c>
      <c r="G9789" s="2">
        <v>1</v>
      </c>
      <c r="H9789" s="1">
        <v>46059.671782407408</v>
      </c>
      <c r="I9789" s="2">
        <v>4</v>
      </c>
      <c r="J9789" s="1">
        <v>46055.942245370374</v>
      </c>
    </row>
    <row r="9790" spans="1:10" x14ac:dyDescent="0.2">
      <c r="A9790" s="4" t="s">
        <v>1</v>
      </c>
      <c r="B9790" s="3" t="str">
        <f>HYPERLINK("https://otsuka-europe-crm.veevavault.com/ui/#object/approved_document__v/V5O00000000L011", "Libro IA en psiquiatría")</f>
        <v>Libro IA en psiquiatría</v>
      </c>
      <c r="C9790" s="3" t="str">
        <f>HYPERLINK("https://otsuka-europe-crm.veevavault.com/ui/#object/sent_email__v/VBL000000019215", "SE-001402529")</f>
        <v>SE-001402529</v>
      </c>
      <c r="D9790" s="1">
        <v>46056.826423611114</v>
      </c>
      <c r="E9790" s="2">
        <v>1</v>
      </c>
      <c r="F9790" s="2">
        <v>1</v>
      </c>
      <c r="G9790" s="2">
        <v>0</v>
      </c>
      <c r="H9790" s="1" t="s">
        <v>0</v>
      </c>
      <c r="I9790" s="2">
        <v>0</v>
      </c>
      <c r="J9790" s="1">
        <v>46055.942430555559</v>
      </c>
    </row>
    <row r="9791" spans="1:10" x14ac:dyDescent="0.2">
      <c r="A9791" s="4" t="s">
        <v>1</v>
      </c>
      <c r="B9791" s="3" t="str">
        <f>HYPERLINK("https://otsuka-europe-crm.veevavault.com/ui/#object/approved_document__v/V5O00000000L011", "Libro IA en psiquiatría")</f>
        <v>Libro IA en psiquiatría</v>
      </c>
      <c r="C9791" s="3" t="str">
        <f>HYPERLINK("https://otsuka-europe-crm.veevavault.com/ui/#object/sent_email__v/VBL000000019216", "SE-001402530")</f>
        <v>SE-001402530</v>
      </c>
      <c r="D9791" s="1" t="s">
        <v>0</v>
      </c>
      <c r="E9791" s="2">
        <v>0</v>
      </c>
      <c r="F9791" s="2">
        <v>0</v>
      </c>
      <c r="G9791" s="2">
        <v>0</v>
      </c>
      <c r="H9791" s="1" t="s">
        <v>0</v>
      </c>
      <c r="I9791" s="2">
        <v>0</v>
      </c>
      <c r="J9791" s="1">
        <v>46055.94259259259</v>
      </c>
    </row>
    <row r="9792" spans="1:10" x14ac:dyDescent="0.2">
      <c r="A9792" s="4" t="s">
        <v>1</v>
      </c>
      <c r="B9792" s="3" t="str">
        <f>HYPERLINK("https://otsuka-europe-crm.veevavault.com/ui/#object/approved_document__v/V5O00000000L011", "Libro IA en psiquiatría")</f>
        <v>Libro IA en psiquiatría</v>
      </c>
      <c r="C9792" s="3" t="str">
        <f>HYPERLINK("https://otsuka-europe-crm.veevavault.com/ui/#object/sent_email__v/VBL000000019217", "SE-001402531")</f>
        <v>SE-001402531</v>
      </c>
      <c r="D9792" s="1">
        <v>46057.542719907404</v>
      </c>
      <c r="E9792" s="2">
        <v>1</v>
      </c>
      <c r="F9792" s="2">
        <v>1</v>
      </c>
      <c r="G9792" s="2">
        <v>0</v>
      </c>
      <c r="H9792" s="1" t="s">
        <v>0</v>
      </c>
      <c r="I9792" s="2">
        <v>0</v>
      </c>
      <c r="J9792" s="1">
        <v>46055.942766203705</v>
      </c>
    </row>
    <row r="9793" spans="1:10" x14ac:dyDescent="0.2">
      <c r="A9793" s="4" t="s">
        <v>1</v>
      </c>
      <c r="B9793" s="3" t="str">
        <f>HYPERLINK("https://otsuka-europe-crm.veevavault.com/ui/#object/approved_document__v/V5O00000000L011", "Libro IA en psiquiatría")</f>
        <v>Libro IA en psiquiatría</v>
      </c>
      <c r="C9793" s="3" t="str">
        <f>HYPERLINK("https://otsuka-europe-crm.veevavault.com/ui/#object/sent_email__v/VBL000000019218", "SE-001402532")</f>
        <v>SE-001402532</v>
      </c>
      <c r="D9793" s="1">
        <v>46056.262187499997</v>
      </c>
      <c r="E9793" s="2">
        <v>1</v>
      </c>
      <c r="F9793" s="2">
        <v>1</v>
      </c>
      <c r="G9793" s="2">
        <v>0</v>
      </c>
      <c r="H9793" s="1" t="s">
        <v>0</v>
      </c>
      <c r="I9793" s="2">
        <v>0</v>
      </c>
      <c r="J9793" s="1">
        <v>46055.942939814813</v>
      </c>
    </row>
    <row r="9794" spans="1:10" x14ac:dyDescent="0.2">
      <c r="A9794" s="4" t="s">
        <v>1</v>
      </c>
      <c r="B9794" s="3" t="str">
        <f>HYPERLINK("https://otsuka-europe-crm.veevavault.com/ui/#object/approved_document__v/V5O00000000L011", "Libro IA en psiquiatría")</f>
        <v>Libro IA en psiquiatría</v>
      </c>
      <c r="C9794" s="3" t="str">
        <f>HYPERLINK("https://otsuka-europe-crm.veevavault.com/ui/#object/sent_email__v/VBL000000019219", "SE-001402533")</f>
        <v>SE-001402533</v>
      </c>
      <c r="D9794" s="1" t="s">
        <v>0</v>
      </c>
      <c r="E9794" s="2">
        <v>0</v>
      </c>
      <c r="F9794" s="2">
        <v>0</v>
      </c>
      <c r="G9794" s="2">
        <v>0</v>
      </c>
      <c r="H9794" s="1" t="s">
        <v>0</v>
      </c>
      <c r="I9794" s="2">
        <v>0</v>
      </c>
      <c r="J9794" s="1">
        <v>46055.943101851852</v>
      </c>
    </row>
    <row r="9795" spans="1:10" x14ac:dyDescent="0.2">
      <c r="A9795" s="4" t="s">
        <v>1</v>
      </c>
      <c r="B9795" s="3" t="str">
        <f>HYPERLINK("https://otsuka-europe-crm.veevavault.com/ui/#object/approved_document__v/V5O00000000L011", "Libro IA en psiquiatría")</f>
        <v>Libro IA en psiquiatría</v>
      </c>
      <c r="C9795" s="3" t="str">
        <f>HYPERLINK("https://otsuka-europe-crm.veevavault.com/ui/#object/sent_email__v/VBL000000019220", "SE-001402534")</f>
        <v>SE-001402534</v>
      </c>
      <c r="D9795" s="1">
        <v>46057.849444444444</v>
      </c>
      <c r="E9795" s="2">
        <v>1</v>
      </c>
      <c r="F9795" s="2">
        <v>1</v>
      </c>
      <c r="G9795" s="2">
        <v>1</v>
      </c>
      <c r="H9795" s="1">
        <v>46064.856921296298</v>
      </c>
      <c r="I9795" s="2">
        <v>2</v>
      </c>
      <c r="J9795" s="1">
        <v>46055.94326388889</v>
      </c>
    </row>
    <row r="9796" spans="1:10" x14ac:dyDescent="0.2">
      <c r="A9796" s="4" t="s">
        <v>1</v>
      </c>
      <c r="B9796" s="3" t="str">
        <f>HYPERLINK("https://otsuka-europe-crm.veevavault.com/ui/#object/approved_document__v/V5O00000000L011", "Libro IA en psiquiatría")</f>
        <v>Libro IA en psiquiatría</v>
      </c>
      <c r="C9796" s="3" t="str">
        <f>HYPERLINK("https://otsuka-europe-crm.veevavault.com/ui/#object/sent_email__v/VBL000000019221", "SE-001402535")</f>
        <v>SE-001402535</v>
      </c>
      <c r="D9796" s="1" t="s">
        <v>0</v>
      </c>
      <c r="E9796" s="2">
        <v>0</v>
      </c>
      <c r="F9796" s="2">
        <v>0</v>
      </c>
      <c r="G9796" s="2">
        <v>0</v>
      </c>
      <c r="H9796" s="1" t="s">
        <v>0</v>
      </c>
      <c r="I9796" s="2">
        <v>0</v>
      </c>
      <c r="J9796" s="1">
        <v>46055.943437499998</v>
      </c>
    </row>
    <row r="9797" spans="1:10" x14ac:dyDescent="0.2">
      <c r="A9797" s="4" t="s">
        <v>1</v>
      </c>
      <c r="B9797" s="3" t="str">
        <f>HYPERLINK("https://otsuka-europe-crm.veevavault.com/ui/#object/approved_document__v/V5O00000000L011", "Libro IA en psiquiatría")</f>
        <v>Libro IA en psiquiatría</v>
      </c>
      <c r="C9797" s="3" t="str">
        <f>HYPERLINK("https://otsuka-europe-crm.veevavault.com/ui/#object/sent_email__v/VBL000000019222", "SE-001402536")</f>
        <v>SE-001402536</v>
      </c>
      <c r="D9797" s="1" t="s">
        <v>0</v>
      </c>
      <c r="E9797" s="2">
        <v>0</v>
      </c>
      <c r="F9797" s="2">
        <v>0</v>
      </c>
      <c r="G9797" s="2">
        <v>0</v>
      </c>
      <c r="H9797" s="1" t="s">
        <v>0</v>
      </c>
      <c r="I9797" s="2">
        <v>0</v>
      </c>
      <c r="J9797" s="1">
        <v>46055.943611111114</v>
      </c>
    </row>
    <row r="9798" spans="1:10" x14ac:dyDescent="0.2">
      <c r="A9798" s="4" t="s">
        <v>1</v>
      </c>
      <c r="B9798" s="3" t="str">
        <f>HYPERLINK("https://otsuka-europe-crm.veevavault.com/ui/#object/approved_document__v/V5O00000000L011", "Libro IA en psiquiatría")</f>
        <v>Libro IA en psiquiatría</v>
      </c>
      <c r="C9798" s="3" t="str">
        <f>HYPERLINK("https://otsuka-europe-crm.veevavault.com/ui/#object/sent_email__v/VBL000000019223", "SE-001402537")</f>
        <v>SE-001402537</v>
      </c>
      <c r="D9798" s="1">
        <v>46062.885092592594</v>
      </c>
      <c r="E9798" s="2">
        <v>1</v>
      </c>
      <c r="F9798" s="2">
        <v>2</v>
      </c>
      <c r="G9798" s="2">
        <v>0</v>
      </c>
      <c r="H9798" s="1" t="s">
        <v>0</v>
      </c>
      <c r="I9798" s="2">
        <v>0</v>
      </c>
      <c r="J9798" s="1">
        <v>46055.943773148145</v>
      </c>
    </row>
    <row r="9799" spans="1:10" x14ac:dyDescent="0.2">
      <c r="A9799" s="4" t="s">
        <v>1</v>
      </c>
      <c r="B9799" s="3" t="str">
        <f>HYPERLINK("https://otsuka-europe-crm.veevavault.com/ui/#object/approved_document__v/V5O00000000L011", "Libro IA en psiquiatría")</f>
        <v>Libro IA en psiquiatría</v>
      </c>
      <c r="C9799" s="3" t="str">
        <f>HYPERLINK("https://otsuka-europe-crm.veevavault.com/ui/#object/sent_email__v/VBL000000019224", "SE-001402538")</f>
        <v>SE-001402538</v>
      </c>
      <c r="D9799" s="1">
        <v>46060.687800925924</v>
      </c>
      <c r="E9799" s="2">
        <v>1</v>
      </c>
      <c r="F9799" s="2">
        <v>3</v>
      </c>
      <c r="G9799" s="2">
        <v>0</v>
      </c>
      <c r="H9799" s="1" t="s">
        <v>0</v>
      </c>
      <c r="I9799" s="2">
        <v>0</v>
      </c>
      <c r="J9799" s="1">
        <v>46055.94394675926</v>
      </c>
    </row>
    <row r="9800" spans="1:10" x14ac:dyDescent="0.2">
      <c r="A9800" s="4" t="s">
        <v>1</v>
      </c>
      <c r="B9800" s="3" t="str">
        <f>HYPERLINK("https://otsuka-europe-crm.veevavault.com/ui/#object/approved_document__v/V5O00000000L011", "Libro IA en psiquiatría")</f>
        <v>Libro IA en psiquiatría</v>
      </c>
      <c r="C9800" s="3" t="str">
        <f>HYPERLINK("https://otsuka-europe-crm.veevavault.com/ui/#object/sent_email__v/VBL000000019225", "SE-001402539")</f>
        <v>SE-001402539</v>
      </c>
      <c r="D9800" s="1">
        <v>46056.308819444443</v>
      </c>
      <c r="E9800" s="2">
        <v>1</v>
      </c>
      <c r="F9800" s="2">
        <v>1</v>
      </c>
      <c r="G9800" s="2">
        <v>0</v>
      </c>
      <c r="H9800" s="1" t="s">
        <v>0</v>
      </c>
      <c r="I9800" s="2">
        <v>0</v>
      </c>
      <c r="J9800" s="1">
        <v>46055.944108796299</v>
      </c>
    </row>
    <row r="9801" spans="1:10" x14ac:dyDescent="0.2">
      <c r="A9801" s="4" t="s">
        <v>1</v>
      </c>
      <c r="B9801" s="3" t="str">
        <f>HYPERLINK("https://otsuka-europe-crm.veevavault.com/ui/#object/approved_document__v/V5O00000000L011", "Libro IA en psiquiatría")</f>
        <v>Libro IA en psiquiatría</v>
      </c>
      <c r="C9801" s="3" t="str">
        <f>HYPERLINK("https://otsuka-europe-crm.veevavault.com/ui/#object/sent_email__v/VBL000000019226", "SE-001402540")</f>
        <v>SE-001402540</v>
      </c>
      <c r="D9801" s="1">
        <v>46056.089502314811</v>
      </c>
      <c r="E9801" s="2">
        <v>1</v>
      </c>
      <c r="F9801" s="2">
        <v>2</v>
      </c>
      <c r="G9801" s="2">
        <v>0</v>
      </c>
      <c r="H9801" s="1" t="s">
        <v>0</v>
      </c>
      <c r="I9801" s="2">
        <v>0</v>
      </c>
      <c r="J9801" s="1">
        <v>46055.94427083333</v>
      </c>
    </row>
    <row r="9802" spans="1:10" x14ac:dyDescent="0.2">
      <c r="A9802" s="4" t="s">
        <v>1</v>
      </c>
      <c r="B9802" s="3" t="str">
        <f>HYPERLINK("https://otsuka-europe-crm.veevavault.com/ui/#object/approved_document__v/V5O00000000L011", "Libro IA en psiquiatría")</f>
        <v>Libro IA en psiquiatría</v>
      </c>
      <c r="C9802" s="3" t="str">
        <f>HYPERLINK("https://otsuka-europe-crm.veevavault.com/ui/#object/sent_email__v/VBL000000019227", "SE-001402541")</f>
        <v>SE-001402541</v>
      </c>
      <c r="D9802" s="1">
        <v>46056.53496527778</v>
      </c>
      <c r="E9802" s="2">
        <v>1</v>
      </c>
      <c r="F9802" s="2">
        <v>2</v>
      </c>
      <c r="G9802" s="2">
        <v>1</v>
      </c>
      <c r="H9802" s="1">
        <v>46056.53496527778</v>
      </c>
      <c r="I9802" s="2">
        <v>1</v>
      </c>
      <c r="J9802" s="1">
        <v>46055.944444444445</v>
      </c>
    </row>
    <row r="9803" spans="1:10" x14ac:dyDescent="0.2">
      <c r="A9803" s="4" t="s">
        <v>1</v>
      </c>
      <c r="B9803" s="3" t="str">
        <f>HYPERLINK("https://otsuka-europe-crm.veevavault.com/ui/#object/approved_document__v/V5O00000000L011", "Libro IA en psiquiatría")</f>
        <v>Libro IA en psiquiatría</v>
      </c>
      <c r="C9803" s="3" t="str">
        <f>HYPERLINK("https://otsuka-europe-crm.veevavault.com/ui/#object/sent_email__v/VBL000000019228", "SE-001402542")</f>
        <v>SE-001402542</v>
      </c>
      <c r="D9803" s="1" t="s">
        <v>0</v>
      </c>
      <c r="E9803" s="2">
        <v>0</v>
      </c>
      <c r="F9803" s="2">
        <v>0</v>
      </c>
      <c r="G9803" s="2">
        <v>0</v>
      </c>
      <c r="H9803" s="1" t="s">
        <v>0</v>
      </c>
      <c r="I9803" s="2">
        <v>0</v>
      </c>
      <c r="J9803" s="1">
        <v>46055.944618055553</v>
      </c>
    </row>
    <row r="9804" spans="1:10" x14ac:dyDescent="0.2">
      <c r="A9804" s="4" t="s">
        <v>1</v>
      </c>
      <c r="B9804" s="3" t="str">
        <f>HYPERLINK("https://otsuka-europe-crm.veevavault.com/ui/#object/approved_document__v/V5O00000000L011", "Libro IA en psiquiatría")</f>
        <v>Libro IA en psiquiatría</v>
      </c>
      <c r="C9804" s="3" t="str">
        <f>HYPERLINK("https://otsuka-europe-crm.veevavault.com/ui/#object/sent_email__v/VBL000000019229", "SE-001402543")</f>
        <v>SE-001402543</v>
      </c>
      <c r="D9804" s="1">
        <v>46075.600601851853</v>
      </c>
      <c r="E9804" s="2">
        <v>1</v>
      </c>
      <c r="F9804" s="2">
        <v>10</v>
      </c>
      <c r="G9804" s="2">
        <v>1</v>
      </c>
      <c r="H9804" s="1">
        <v>46056.640092592592</v>
      </c>
      <c r="I9804" s="2">
        <v>1</v>
      </c>
      <c r="J9804" s="1">
        <v>46055.944780092592</v>
      </c>
    </row>
    <row r="9805" spans="1:10" x14ac:dyDescent="0.2">
      <c r="A9805" s="4" t="s">
        <v>1</v>
      </c>
      <c r="B9805" s="3" t="str">
        <f>HYPERLINK("https://otsuka-europe-crm.veevavault.com/ui/#object/approved_document__v/V5O00000000L011", "Libro IA en psiquiatría")</f>
        <v>Libro IA en psiquiatría</v>
      </c>
      <c r="C9805" s="3" t="str">
        <f>HYPERLINK("https://otsuka-europe-crm.veevavault.com/ui/#object/sent_email__v/VBL000000019230", "SE-001402544")</f>
        <v>SE-001402544</v>
      </c>
      <c r="D9805" s="1">
        <v>46057.633923611109</v>
      </c>
      <c r="E9805" s="2">
        <v>1</v>
      </c>
      <c r="F9805" s="2">
        <v>1</v>
      </c>
      <c r="G9805" s="2">
        <v>0</v>
      </c>
      <c r="H9805" s="1" t="s">
        <v>0</v>
      </c>
      <c r="I9805" s="2">
        <v>0</v>
      </c>
      <c r="J9805" s="1">
        <v>46055.944953703707</v>
      </c>
    </row>
    <row r="9806" spans="1:10" x14ac:dyDescent="0.2">
      <c r="A9806" s="4" t="s">
        <v>1</v>
      </c>
      <c r="B9806" s="3" t="str">
        <f>HYPERLINK("https://otsuka-europe-crm.veevavault.com/ui/#object/approved_document__v/V5O00000000L011", "Libro IA en psiquiatría")</f>
        <v>Libro IA en psiquiatría</v>
      </c>
      <c r="C9806" s="3" t="str">
        <f>HYPERLINK("https://otsuka-europe-crm.veevavault.com/ui/#object/sent_email__v/VBL000000019231", "SE-001402545")</f>
        <v>SE-001402545</v>
      </c>
      <c r="D9806" s="1">
        <v>46055.981365740743</v>
      </c>
      <c r="E9806" s="2">
        <v>1</v>
      </c>
      <c r="F9806" s="2">
        <v>1</v>
      </c>
      <c r="G9806" s="2">
        <v>0</v>
      </c>
      <c r="H9806" s="1" t="s">
        <v>0</v>
      </c>
      <c r="I9806" s="2">
        <v>0</v>
      </c>
      <c r="J9806" s="1">
        <v>46055.945115740738</v>
      </c>
    </row>
    <row r="9807" spans="1:10" x14ac:dyDescent="0.2">
      <c r="A9807" s="4" t="s">
        <v>1</v>
      </c>
      <c r="B9807" s="3" t="str">
        <f>HYPERLINK("https://otsuka-europe-crm.veevavault.com/ui/#object/approved_document__v/V5O00000000L011", "Libro IA en psiquiatría")</f>
        <v>Libro IA en psiquiatría</v>
      </c>
      <c r="C9807" s="3" t="str">
        <f>HYPERLINK("https://otsuka-europe-crm.veevavault.com/ui/#object/sent_email__v/VBL000000019232", "SE-001402546")</f>
        <v>SE-001402546</v>
      </c>
      <c r="D9807" s="1">
        <v>46056.344351851854</v>
      </c>
      <c r="E9807" s="2">
        <v>1</v>
      </c>
      <c r="F9807" s="2">
        <v>1</v>
      </c>
      <c r="G9807" s="2">
        <v>0</v>
      </c>
      <c r="H9807" s="1" t="s">
        <v>0</v>
      </c>
      <c r="I9807" s="2">
        <v>0</v>
      </c>
      <c r="J9807" s="1">
        <v>46055.945300925923</v>
      </c>
    </row>
    <row r="9808" spans="1:10" x14ac:dyDescent="0.2">
      <c r="A9808" s="4" t="s">
        <v>1</v>
      </c>
      <c r="B9808" s="3" t="str">
        <f>HYPERLINK("https://otsuka-europe-crm.veevavault.com/ui/#object/approved_document__v/V5O00000000L011", "Libro IA en psiquiatría")</f>
        <v>Libro IA en psiquiatría</v>
      </c>
      <c r="C9808" s="3" t="str">
        <f>HYPERLINK("https://otsuka-europe-crm.veevavault.com/ui/#object/sent_email__v/VBL000000019233", "SE-001402547")</f>
        <v>SE-001402547</v>
      </c>
      <c r="D9808" s="1">
        <v>46079.035682870373</v>
      </c>
      <c r="E9808" s="2">
        <v>1</v>
      </c>
      <c r="F9808" s="2">
        <v>2</v>
      </c>
      <c r="G9808" s="2">
        <v>1</v>
      </c>
      <c r="H9808" s="1">
        <v>46056.309953703705</v>
      </c>
      <c r="I9808" s="2">
        <v>1</v>
      </c>
      <c r="J9808" s="1">
        <v>46055.945462962962</v>
      </c>
    </row>
    <row r="9809" spans="1:10" x14ac:dyDescent="0.2">
      <c r="A9809" s="4" t="s">
        <v>1</v>
      </c>
      <c r="B9809" s="3" t="str">
        <f>HYPERLINK("https://otsuka-europe-crm.veevavault.com/ui/#object/approved_document__v/V5O00000000L011", "Libro IA en psiquiatría")</f>
        <v>Libro IA en psiquiatría</v>
      </c>
      <c r="C9809" s="3" t="str">
        <f>HYPERLINK("https://otsuka-europe-crm.veevavault.com/ui/#object/sent_email__v/VBL00000001C494", "SE-001403936")</f>
        <v>SE-001403936</v>
      </c>
      <c r="D9809" s="1">
        <v>46065.971041666664</v>
      </c>
      <c r="E9809" s="2">
        <v>1</v>
      </c>
      <c r="F9809" s="2">
        <v>8</v>
      </c>
      <c r="G9809" s="2">
        <v>1</v>
      </c>
      <c r="H9809" s="1">
        <v>46065.898425925923</v>
      </c>
      <c r="I9809" s="2">
        <v>1</v>
      </c>
      <c r="J9809" s="1">
        <v>46065.524340277778</v>
      </c>
    </row>
    <row r="9810" spans="1:10" x14ac:dyDescent="0.2">
      <c r="A9810" s="4" t="s">
        <v>1</v>
      </c>
      <c r="B9810" s="3" t="str">
        <f>HYPERLINK("https://otsuka-europe-crm.veevavault.com/ui/#object/approved_document__v/V5O00000000L011", "Libro IA en psiquiatría")</f>
        <v>Libro IA en psiquiatría</v>
      </c>
      <c r="C9810" s="3" t="str">
        <f>HYPERLINK("https://otsuka-europe-crm.veevavault.com/ui/#object/sent_email__v/VBL00000001E478", "SE-001405018")</f>
        <v>SE-001405018</v>
      </c>
      <c r="D9810" s="1">
        <v>46072.576736111114</v>
      </c>
      <c r="E9810" s="2">
        <v>1</v>
      </c>
      <c r="F9810" s="2">
        <v>1</v>
      </c>
      <c r="G9810" s="2">
        <v>0</v>
      </c>
      <c r="H9810" s="1" t="s">
        <v>0</v>
      </c>
      <c r="I9810" s="2">
        <v>0</v>
      </c>
      <c r="J9810" s="1">
        <v>46072.506828703707</v>
      </c>
    </row>
    <row r="9811" spans="1:10" x14ac:dyDescent="0.2">
      <c r="A9811" s="4" t="s">
        <v>1</v>
      </c>
      <c r="B9811" s="3" t="str">
        <f>HYPERLINK("https://otsuka-europe-crm.veevavault.com/ui/#object/approved_document__v/V5O00000000L011", "Libro IA en psiquiatría")</f>
        <v>Libro IA en psiquiatría</v>
      </c>
      <c r="C9811" s="3" t="str">
        <f>HYPERLINK("https://otsuka-europe-crm.veevavault.com/ui/#object/sent_email__v/VBL00000001E479", "SE-001405019")</f>
        <v>SE-001405019</v>
      </c>
      <c r="D9811" s="1">
        <v>46072.922071759262</v>
      </c>
      <c r="E9811" s="2">
        <v>1</v>
      </c>
      <c r="F9811" s="2">
        <v>1</v>
      </c>
      <c r="G9811" s="2">
        <v>0</v>
      </c>
      <c r="H9811" s="1" t="s">
        <v>0</v>
      </c>
      <c r="I9811" s="2">
        <v>0</v>
      </c>
      <c r="J9811" s="1">
        <v>46072.507013888891</v>
      </c>
    </row>
    <row r="9812" spans="1:10" x14ac:dyDescent="0.2">
      <c r="A9812" s="4" t="s">
        <v>1</v>
      </c>
      <c r="B9812" s="3" t="str">
        <f>HYPERLINK("https://otsuka-europe-crm.veevavault.com/ui/#object/approved_document__v/V5O00000000L011", "Libro IA en psiquiatría")</f>
        <v>Libro IA en psiquiatría</v>
      </c>
      <c r="C9812" s="3" t="str">
        <f>HYPERLINK("https://otsuka-europe-crm.veevavault.com/ui/#object/sent_email__v/VBL00000001E480", "SE-001405020")</f>
        <v>SE-001405020</v>
      </c>
      <c r="D9812" s="1" t="s">
        <v>0</v>
      </c>
      <c r="E9812" s="2">
        <v>0</v>
      </c>
      <c r="F9812" s="2">
        <v>0</v>
      </c>
      <c r="G9812" s="2">
        <v>0</v>
      </c>
      <c r="H9812" s="1" t="s">
        <v>0</v>
      </c>
      <c r="I9812" s="2">
        <v>0</v>
      </c>
      <c r="J9812" s="1">
        <v>46072.507268518515</v>
      </c>
    </row>
    <row r="9813" spans="1:10" x14ac:dyDescent="0.2">
      <c r="A9813" s="4" t="s">
        <v>1</v>
      </c>
      <c r="B9813" s="3" t="str">
        <f>HYPERLINK("https://otsuka-europe-crm.veevavault.com/ui/#object/approved_document__v/V5O00000000L011", "Libro IA en psiquiatría")</f>
        <v>Libro IA en psiquiatría</v>
      </c>
      <c r="C9813" s="3" t="str">
        <f>HYPERLINK("https://otsuka-europe-crm.veevavault.com/ui/#object/sent_email__v/VBL00000001E481", "SE-001405021")</f>
        <v>SE-001405021</v>
      </c>
      <c r="D9813" s="1">
        <v>46073.53087962963</v>
      </c>
      <c r="E9813" s="2">
        <v>1</v>
      </c>
      <c r="F9813" s="2">
        <v>2</v>
      </c>
      <c r="G9813" s="2">
        <v>0</v>
      </c>
      <c r="H9813" s="1" t="s">
        <v>0</v>
      </c>
      <c r="I9813" s="2">
        <v>0</v>
      </c>
      <c r="J9813" s="1">
        <v>46072.507476851853</v>
      </c>
    </row>
    <row r="9814" spans="1:10" x14ac:dyDescent="0.2">
      <c r="A9814" s="4" t="s">
        <v>1</v>
      </c>
      <c r="B9814" s="3" t="str">
        <f>HYPERLINK("https://otsuka-europe-crm.veevavault.com/ui/#object/approved_document__v/V5O00000000L011", "Libro IA en psiquiatría")</f>
        <v>Libro IA en psiquiatría</v>
      </c>
      <c r="C9814" s="3" t="str">
        <f>HYPERLINK("https://otsuka-europe-crm.veevavault.com/ui/#object/sent_email__v/VBL00000001E482", "SE-001405022")</f>
        <v>SE-001405022</v>
      </c>
      <c r="D9814" s="1">
        <v>46072.511307870373</v>
      </c>
      <c r="E9814" s="2">
        <v>1</v>
      </c>
      <c r="F9814" s="2">
        <v>1</v>
      </c>
      <c r="G9814" s="2">
        <v>0</v>
      </c>
      <c r="H9814" s="1" t="s">
        <v>0</v>
      </c>
      <c r="I9814" s="2">
        <v>0</v>
      </c>
      <c r="J9814" s="1">
        <v>46072.507638888892</v>
      </c>
    </row>
    <row r="9815" spans="1:10" x14ac:dyDescent="0.2">
      <c r="A9815" s="4" t="s">
        <v>1</v>
      </c>
      <c r="B9815" s="3" t="str">
        <f>HYPERLINK("https://otsuka-europe-crm.veevavault.com/ui/#object/approved_document__v/V5O00000000L011", "Libro IA en psiquiatría")</f>
        <v>Libro IA en psiquiatría</v>
      </c>
      <c r="C9815" s="3" t="str">
        <f>HYPERLINK("https://otsuka-europe-crm.veevavault.com/ui/#object/sent_email__v/VBL00000001E483", "SE-001405023")</f>
        <v>SE-001405023</v>
      </c>
      <c r="D9815" s="1">
        <v>46072.763680555552</v>
      </c>
      <c r="E9815" s="2">
        <v>1</v>
      </c>
      <c r="F9815" s="2">
        <v>1</v>
      </c>
      <c r="G9815" s="2">
        <v>0</v>
      </c>
      <c r="H9815" s="1" t="s">
        <v>0</v>
      </c>
      <c r="I9815" s="2">
        <v>0</v>
      </c>
      <c r="J9815" s="1">
        <v>46072.5078125</v>
      </c>
    </row>
    <row r="9816" spans="1:10" x14ac:dyDescent="0.2">
      <c r="A9816" s="4" t="s">
        <v>1</v>
      </c>
      <c r="B9816" s="3" t="str">
        <f>HYPERLINK("https://otsuka-europe-crm.veevavault.com/ui/#object/approved_document__v/V5O00000000L011", "Libro IA en psiquiatría")</f>
        <v>Libro IA en psiquiatría</v>
      </c>
      <c r="C9816" s="3" t="str">
        <f>HYPERLINK("https://otsuka-europe-crm.veevavault.com/ui/#object/sent_email__v/VBL00000001E484", "SE-001405024")</f>
        <v>SE-001405024</v>
      </c>
      <c r="D9816" s="1" t="s">
        <v>0</v>
      </c>
      <c r="E9816" s="2">
        <v>0</v>
      </c>
      <c r="F9816" s="2">
        <v>0</v>
      </c>
      <c r="G9816" s="2">
        <v>0</v>
      </c>
      <c r="H9816" s="1" t="s">
        <v>0</v>
      </c>
      <c r="I9816" s="2">
        <v>0</v>
      </c>
      <c r="J9816" s="1">
        <v>46072.507962962962</v>
      </c>
    </row>
    <row r="9817" spans="1:10" x14ac:dyDescent="0.2">
      <c r="A9817" s="4" t="s">
        <v>1</v>
      </c>
      <c r="B9817" s="3" t="str">
        <f>HYPERLINK("https://otsuka-europe-crm.veevavault.com/ui/#object/approved_document__v/V5O00000000L011", "Libro IA en psiquiatría")</f>
        <v>Libro IA en psiquiatría</v>
      </c>
      <c r="C9817" s="3" t="str">
        <f>HYPERLINK("https://otsuka-europe-crm.veevavault.com/ui/#object/sent_email__v/VBL00000001E485", "SE-001405025")</f>
        <v>SE-001405025</v>
      </c>
      <c r="D9817" s="1">
        <v>46078.947951388887</v>
      </c>
      <c r="E9817" s="2">
        <v>1</v>
      </c>
      <c r="F9817" s="2">
        <v>13</v>
      </c>
      <c r="G9817" s="2">
        <v>0</v>
      </c>
      <c r="H9817" s="1" t="s">
        <v>0</v>
      </c>
      <c r="I9817" s="2">
        <v>0</v>
      </c>
      <c r="J9817" s="1">
        <v>46072.508136574077</v>
      </c>
    </row>
    <row r="9818" spans="1:10" x14ac:dyDescent="0.2">
      <c r="A9818" s="4" t="s">
        <v>1</v>
      </c>
      <c r="B9818" s="3" t="str">
        <f>HYPERLINK("https://otsuka-europe-crm.veevavault.com/ui/#object/approved_document__v/V5O00000000L011", "Libro IA en psiquiatría")</f>
        <v>Libro IA en psiquiatría</v>
      </c>
      <c r="C9818" s="3" t="str">
        <f>HYPERLINK("https://otsuka-europe-crm.veevavault.com/ui/#object/sent_email__v/VBL00000001E486", "SE-001405026")</f>
        <v>SE-001405026</v>
      </c>
      <c r="D9818" s="1" t="s">
        <v>0</v>
      </c>
      <c r="E9818" s="2">
        <v>0</v>
      </c>
      <c r="F9818" s="2">
        <v>0</v>
      </c>
      <c r="G9818" s="2">
        <v>0</v>
      </c>
      <c r="H9818" s="1" t="s">
        <v>0</v>
      </c>
      <c r="I9818" s="2">
        <v>0</v>
      </c>
      <c r="J9818" s="1">
        <v>46072.508298611108</v>
      </c>
    </row>
    <row r="9819" spans="1:10" x14ac:dyDescent="0.2">
      <c r="A9819" s="4" t="s">
        <v>1</v>
      </c>
      <c r="B9819" s="3" t="str">
        <f>HYPERLINK("https://otsuka-europe-crm.veevavault.com/ui/#object/approved_document__v/V5O00000000L011", "Libro IA en psiquiatría")</f>
        <v>Libro IA en psiquiatría</v>
      </c>
      <c r="C9819" s="3" t="str">
        <f>HYPERLINK("https://otsuka-europe-crm.veevavault.com/ui/#object/sent_email__v/VBL00000001E487", "SE-001405027")</f>
        <v>SE-001405027</v>
      </c>
      <c r="D9819" s="1">
        <v>46074.348078703704</v>
      </c>
      <c r="E9819" s="2">
        <v>1</v>
      </c>
      <c r="F9819" s="2">
        <v>2</v>
      </c>
      <c r="G9819" s="2">
        <v>0</v>
      </c>
      <c r="H9819" s="1" t="s">
        <v>0</v>
      </c>
      <c r="I9819" s="2">
        <v>0</v>
      </c>
      <c r="J9819" s="1">
        <v>46072.508472222224</v>
      </c>
    </row>
    <row r="9820" spans="1:10" x14ac:dyDescent="0.2">
      <c r="A9820" s="4" t="s">
        <v>1</v>
      </c>
      <c r="B9820" s="3" t="str">
        <f>HYPERLINK("https://otsuka-europe-crm.veevavault.com/ui/#object/approved_document__v/V5O00000000L011", "Libro IA en psiquiatría")</f>
        <v>Libro IA en psiquiatría</v>
      </c>
      <c r="C9820" s="3" t="str">
        <f>HYPERLINK("https://otsuka-europe-crm.veevavault.com/ui/#object/sent_email__v/VBL00000001E488", "SE-001405028")</f>
        <v>SE-001405028</v>
      </c>
      <c r="D9820" s="1" t="s">
        <v>0</v>
      </c>
      <c r="E9820" s="2">
        <v>0</v>
      </c>
      <c r="F9820" s="2">
        <v>0</v>
      </c>
      <c r="G9820" s="2">
        <v>0</v>
      </c>
      <c r="H9820" s="1" t="s">
        <v>0</v>
      </c>
      <c r="I9820" s="2">
        <v>0</v>
      </c>
      <c r="J9820" s="1">
        <v>46072.508645833332</v>
      </c>
    </row>
    <row r="9821" spans="1:10" x14ac:dyDescent="0.2">
      <c r="A9821" s="4" t="s">
        <v>1</v>
      </c>
      <c r="B9821" s="3" t="str">
        <f>HYPERLINK("https://otsuka-europe-crm.veevavault.com/ui/#object/approved_document__v/V5O00000000L011", "Libro IA en psiquiatría")</f>
        <v>Libro IA en psiquiatría</v>
      </c>
      <c r="C9821" s="3" t="str">
        <f>HYPERLINK("https://otsuka-europe-crm.veevavault.com/ui/#object/sent_email__v/VBL00000001E489", "SE-001405029")</f>
        <v>SE-001405029</v>
      </c>
      <c r="D9821" s="1" t="s">
        <v>0</v>
      </c>
      <c r="E9821" s="2">
        <v>0</v>
      </c>
      <c r="F9821" s="2">
        <v>0</v>
      </c>
      <c r="G9821" s="2">
        <v>0</v>
      </c>
      <c r="H9821" s="1" t="s">
        <v>0</v>
      </c>
      <c r="I9821" s="2">
        <v>0</v>
      </c>
      <c r="J9821" s="1">
        <v>46072.50880787037</v>
      </c>
    </row>
    <row r="9822" spans="1:10" x14ac:dyDescent="0.2">
      <c r="A9822" s="4" t="s">
        <v>1</v>
      </c>
      <c r="B9822" s="3" t="str">
        <f>HYPERLINK("https://otsuka-europe-crm.veevavault.com/ui/#object/approved_document__v/V5O00000000L011", "Libro IA en psiquiatría")</f>
        <v>Libro IA en psiquiatría</v>
      </c>
      <c r="C9822" s="3" t="str">
        <f>HYPERLINK("https://otsuka-europe-crm.veevavault.com/ui/#object/sent_email__v/VBL00000001E490", "SE-001405030")</f>
        <v>SE-001405030</v>
      </c>
      <c r="D9822" s="1">
        <v>46072.79310185185</v>
      </c>
      <c r="E9822" s="2">
        <v>1</v>
      </c>
      <c r="F9822" s="2">
        <v>1</v>
      </c>
      <c r="G9822" s="2">
        <v>0</v>
      </c>
      <c r="H9822" s="1" t="s">
        <v>0</v>
      </c>
      <c r="I9822" s="2">
        <v>0</v>
      </c>
      <c r="J9822" s="1">
        <v>46072.508969907409</v>
      </c>
    </row>
    <row r="9823" spans="1:10" x14ac:dyDescent="0.2">
      <c r="A9823" s="4" t="s">
        <v>1</v>
      </c>
      <c r="B9823" s="3" t="str">
        <f>HYPERLINK("https://otsuka-europe-crm.veevavault.com/ui/#object/approved_document__v/V5O00000000L011", "Libro IA en psiquiatría")</f>
        <v>Libro IA en psiquiatría</v>
      </c>
      <c r="C9823" s="3" t="str">
        <f>HYPERLINK("https://otsuka-europe-crm.veevavault.com/ui/#object/sent_email__v/VBL00000001E491", "SE-001405031")</f>
        <v>SE-001405031</v>
      </c>
      <c r="D9823" s="1" t="s">
        <v>0</v>
      </c>
      <c r="E9823" s="2">
        <v>0</v>
      </c>
      <c r="F9823" s="2">
        <v>0</v>
      </c>
      <c r="G9823" s="2">
        <v>0</v>
      </c>
      <c r="H9823" s="1" t="s">
        <v>0</v>
      </c>
      <c r="I9823" s="2">
        <v>0</v>
      </c>
      <c r="J9823" s="1">
        <v>46072.509131944447</v>
      </c>
    </row>
    <row r="9824" spans="1:10" x14ac:dyDescent="0.2">
      <c r="A9824" s="4" t="s">
        <v>1</v>
      </c>
      <c r="B9824" s="3" t="str">
        <f>HYPERLINK("https://otsuka-europe-crm.veevavault.com/ui/#object/approved_document__v/V5O00000000L011", "Libro IA en psiquiatría")</f>
        <v>Libro IA en psiquiatría</v>
      </c>
      <c r="C9824" s="3" t="str">
        <f>HYPERLINK("https://otsuka-europe-crm.veevavault.com/ui/#object/sent_email__v/VBL00000001E492", "SE-001405032")</f>
        <v>SE-001405032</v>
      </c>
      <c r="D9824" s="1" t="s">
        <v>0</v>
      </c>
      <c r="E9824" s="2">
        <v>0</v>
      </c>
      <c r="F9824" s="2">
        <v>0</v>
      </c>
      <c r="G9824" s="2">
        <v>0</v>
      </c>
      <c r="H9824" s="1" t="s">
        <v>0</v>
      </c>
      <c r="I9824" s="2">
        <v>0</v>
      </c>
      <c r="J9824" s="1">
        <v>46072.509305555555</v>
      </c>
    </row>
    <row r="9825" spans="1:10" x14ac:dyDescent="0.2">
      <c r="A9825" s="4" t="s">
        <v>1</v>
      </c>
      <c r="B9825" s="3" t="str">
        <f>HYPERLINK("https://otsuka-europe-crm.veevavault.com/ui/#object/approved_document__v/V5O00000000L011", "Libro IA en psiquiatría")</f>
        <v>Libro IA en psiquiatría</v>
      </c>
      <c r="C9825" s="3" t="str">
        <f>HYPERLINK("https://otsuka-europe-crm.veevavault.com/ui/#object/sent_email__v/VBL00000001E493", "SE-001405033")</f>
        <v>SE-001405033</v>
      </c>
      <c r="D9825" s="1" t="s">
        <v>0</v>
      </c>
      <c r="E9825" s="2">
        <v>0</v>
      </c>
      <c r="F9825" s="2">
        <v>0</v>
      </c>
      <c r="G9825" s="2">
        <v>0</v>
      </c>
      <c r="H9825" s="1" t="s">
        <v>0</v>
      </c>
      <c r="I9825" s="2">
        <v>0</v>
      </c>
      <c r="J9825" s="1">
        <v>46072.509467592594</v>
      </c>
    </row>
    <row r="9826" spans="1:10" x14ac:dyDescent="0.2">
      <c r="A9826" s="4" t="s">
        <v>1</v>
      </c>
      <c r="B9826" s="3" t="str">
        <f>HYPERLINK("https://otsuka-europe-crm.veevavault.com/ui/#object/approved_document__v/V5O00000000L011", "Libro IA en psiquiatría")</f>
        <v>Libro IA en psiquiatría</v>
      </c>
      <c r="C9826" s="3" t="str">
        <f>HYPERLINK("https://otsuka-europe-crm.veevavault.com/ui/#object/sent_email__v/VBL00000001E494", "SE-001405034")</f>
        <v>SE-001405034</v>
      </c>
      <c r="D9826" s="1">
        <v>46072.679039351853</v>
      </c>
      <c r="E9826" s="2">
        <v>1</v>
      </c>
      <c r="F9826" s="2">
        <v>2</v>
      </c>
      <c r="G9826" s="2">
        <v>0</v>
      </c>
      <c r="H9826" s="1" t="s">
        <v>0</v>
      </c>
      <c r="I9826" s="2">
        <v>0</v>
      </c>
      <c r="J9826" s="1">
        <v>46072.509629629632</v>
      </c>
    </row>
    <row r="9827" spans="1:10" x14ac:dyDescent="0.2">
      <c r="A9827" s="4" t="s">
        <v>1</v>
      </c>
      <c r="B9827" s="3" t="str">
        <f>HYPERLINK("https://otsuka-europe-crm.veevavault.com/ui/#object/approved_document__v/V5O00000000L011", "Libro IA en psiquiatría")</f>
        <v>Libro IA en psiquiatría</v>
      </c>
      <c r="C9827" s="3" t="str">
        <f>HYPERLINK("https://otsuka-europe-crm.veevavault.com/ui/#object/sent_email__v/VBL00000001E495", "SE-001405035")</f>
        <v>SE-001405035</v>
      </c>
      <c r="D9827" s="1" t="s">
        <v>0</v>
      </c>
      <c r="E9827" s="2">
        <v>0</v>
      </c>
      <c r="F9827" s="2">
        <v>0</v>
      </c>
      <c r="G9827" s="2">
        <v>0</v>
      </c>
      <c r="H9827" s="1" t="s">
        <v>0</v>
      </c>
      <c r="I9827" s="2">
        <v>0</v>
      </c>
      <c r="J9827" s="1">
        <v>46072.50980324074</v>
      </c>
    </row>
    <row r="9828" spans="1:10" x14ac:dyDescent="0.2">
      <c r="A9828" s="4" t="s">
        <v>1</v>
      </c>
      <c r="B9828" s="3" t="str">
        <f>HYPERLINK("https://otsuka-europe-crm.veevavault.com/ui/#object/approved_document__v/V5O00000000L011", "Libro IA en psiquiatría")</f>
        <v>Libro IA en psiquiatría</v>
      </c>
      <c r="C9828" s="3" t="str">
        <f>HYPERLINK("https://otsuka-europe-crm.veevavault.com/ui/#object/sent_email__v/VBL00000001E496", "SE-001405036")</f>
        <v>SE-001405036</v>
      </c>
      <c r="D9828" s="1" t="s">
        <v>0</v>
      </c>
      <c r="E9828" s="2">
        <v>0</v>
      </c>
      <c r="F9828" s="2">
        <v>0</v>
      </c>
      <c r="G9828" s="2">
        <v>0</v>
      </c>
      <c r="H9828" s="1" t="s">
        <v>0</v>
      </c>
      <c r="I9828" s="2">
        <v>0</v>
      </c>
      <c r="J9828" s="1">
        <v>46072.509965277779</v>
      </c>
    </row>
    <row r="9829" spans="1:10" x14ac:dyDescent="0.2">
      <c r="A9829" s="4" t="s">
        <v>1</v>
      </c>
      <c r="B9829" s="3" t="str">
        <f>HYPERLINK("https://otsuka-europe-crm.veevavault.com/ui/#object/approved_document__v/V5O00000000L011", "Libro IA en psiquiatría")</f>
        <v>Libro IA en psiquiatría</v>
      </c>
      <c r="C9829" s="3" t="str">
        <f>HYPERLINK("https://otsuka-europe-crm.veevavault.com/ui/#object/sent_email__v/VBL00000001D609", "SE-001405037")</f>
        <v>SE-001405037</v>
      </c>
      <c r="D9829" s="1">
        <v>46073.037557870368</v>
      </c>
      <c r="E9829" s="2">
        <v>1</v>
      </c>
      <c r="F9829" s="2">
        <v>1</v>
      </c>
      <c r="G9829" s="2">
        <v>0</v>
      </c>
      <c r="H9829" s="1" t="s">
        <v>0</v>
      </c>
      <c r="I9829" s="2">
        <v>0</v>
      </c>
      <c r="J9829" s="1">
        <v>46072.510312500002</v>
      </c>
    </row>
    <row r="9830" spans="1:10" x14ac:dyDescent="0.2">
      <c r="A9830" s="4" t="s">
        <v>1</v>
      </c>
      <c r="B9830" s="3" t="str">
        <f>HYPERLINK("https://otsuka-europe-crm.veevavault.com/ui/#object/approved_document__v/V5O00000000L011", "Libro IA en psiquiatría")</f>
        <v>Libro IA en psiquiatría</v>
      </c>
      <c r="C9830" s="3" t="str">
        <f>HYPERLINK("https://otsuka-europe-crm.veevavault.com/ui/#object/sent_email__v/VBL00000001D610", "SE-001405038")</f>
        <v>SE-001405038</v>
      </c>
      <c r="D9830" s="1">
        <v>46073.347708333335</v>
      </c>
      <c r="E9830" s="2">
        <v>1</v>
      </c>
      <c r="F9830" s="2">
        <v>1</v>
      </c>
      <c r="G9830" s="2">
        <v>0</v>
      </c>
      <c r="H9830" s="1" t="s">
        <v>0</v>
      </c>
      <c r="I9830" s="2">
        <v>0</v>
      </c>
      <c r="J9830" s="1">
        <v>46072.510462962964</v>
      </c>
    </row>
    <row r="9831" spans="1:10" x14ac:dyDescent="0.2">
      <c r="A9831" s="4" t="s">
        <v>1</v>
      </c>
      <c r="B9831" s="3" t="str">
        <f>HYPERLINK("https://otsuka-europe-crm.veevavault.com/ui/#object/approved_document__v/V5O00000000L011", "Libro IA en psiquiatría")</f>
        <v>Libro IA en psiquiatría</v>
      </c>
      <c r="C9831" s="3" t="str">
        <f>HYPERLINK("https://otsuka-europe-crm.veevavault.com/ui/#object/sent_email__v/VBL00000001D611", "SE-001405039")</f>
        <v>SE-001405039</v>
      </c>
      <c r="D9831" s="1">
        <v>46072.559907407405</v>
      </c>
      <c r="E9831" s="2">
        <v>1</v>
      </c>
      <c r="F9831" s="2">
        <v>1</v>
      </c>
      <c r="G9831" s="2">
        <v>0</v>
      </c>
      <c r="H9831" s="1" t="s">
        <v>0</v>
      </c>
      <c r="I9831" s="2">
        <v>0</v>
      </c>
      <c r="J9831" s="1">
        <v>46072.510636574072</v>
      </c>
    </row>
    <row r="9832" spans="1:10" x14ac:dyDescent="0.2">
      <c r="A9832" s="4" t="s">
        <v>1</v>
      </c>
      <c r="B9832" s="3" t="str">
        <f>HYPERLINK("https://otsuka-europe-crm.veevavault.com/ui/#object/approved_document__v/V5O00000000L011", "Libro IA en psiquiatría")</f>
        <v>Libro IA en psiquiatría</v>
      </c>
      <c r="C9832" s="3" t="str">
        <f>HYPERLINK("https://otsuka-europe-crm.veevavault.com/ui/#object/sent_email__v/VBL00000001D612", "SE-001405040")</f>
        <v>SE-001405040</v>
      </c>
      <c r="D9832" s="1">
        <v>46072.518125000002</v>
      </c>
      <c r="E9832" s="2">
        <v>1</v>
      </c>
      <c r="F9832" s="2">
        <v>2</v>
      </c>
      <c r="G9832" s="2">
        <v>0</v>
      </c>
      <c r="H9832" s="1" t="s">
        <v>0</v>
      </c>
      <c r="I9832" s="2">
        <v>0</v>
      </c>
      <c r="J9832" s="1">
        <v>46072.510798611111</v>
      </c>
    </row>
    <row r="9833" spans="1:10" x14ac:dyDescent="0.2">
      <c r="A9833" s="4" t="s">
        <v>1</v>
      </c>
      <c r="B9833" s="3" t="str">
        <f>HYPERLINK("https://otsuka-europe-crm.veevavault.com/ui/#object/approved_document__v/V5O00000000L011", "Libro IA en psiquiatría")</f>
        <v>Libro IA en psiquiatría</v>
      </c>
      <c r="C9833" s="3" t="str">
        <f>HYPERLINK("https://otsuka-europe-crm.veevavault.com/ui/#object/sent_email__v/VBL00000001D613", "SE-001405041")</f>
        <v>SE-001405041</v>
      </c>
      <c r="D9833" s="1" t="s">
        <v>0</v>
      </c>
      <c r="E9833" s="2">
        <v>0</v>
      </c>
      <c r="F9833" s="2">
        <v>0</v>
      </c>
      <c r="G9833" s="2">
        <v>0</v>
      </c>
      <c r="H9833" s="1" t="s">
        <v>0</v>
      </c>
      <c r="I9833" s="2">
        <v>0</v>
      </c>
      <c r="J9833" s="1">
        <v>46072.510960648149</v>
      </c>
    </row>
    <row r="9834" spans="1:10" x14ac:dyDescent="0.2">
      <c r="A9834" s="4" t="s">
        <v>1</v>
      </c>
      <c r="B9834" s="3" t="str">
        <f>HYPERLINK("https://otsuka-europe-crm.veevavault.com/ui/#object/approved_document__v/V5O00000000L011", "Libro IA en psiquiatría")</f>
        <v>Libro IA en psiquiatría</v>
      </c>
      <c r="C9834" s="3" t="str">
        <f>HYPERLINK("https://otsuka-europe-crm.veevavault.com/ui/#object/sent_email__v/VBL00000001D614", "SE-001405042")</f>
        <v>SE-001405042</v>
      </c>
      <c r="D9834" s="1">
        <v>46072.537476851852</v>
      </c>
      <c r="E9834" s="2">
        <v>1</v>
      </c>
      <c r="F9834" s="2">
        <v>2</v>
      </c>
      <c r="G9834" s="2">
        <v>0</v>
      </c>
      <c r="H9834" s="1" t="s">
        <v>0</v>
      </c>
      <c r="I9834" s="2">
        <v>0</v>
      </c>
      <c r="J9834" s="1">
        <v>46072.511134259257</v>
      </c>
    </row>
    <row r="9835" spans="1:10" x14ac:dyDescent="0.2">
      <c r="A9835" s="4" t="s">
        <v>1</v>
      </c>
      <c r="B9835" s="3" t="str">
        <f>HYPERLINK("https://otsuka-europe-crm.veevavault.com/ui/#object/approved_document__v/V5O00000000L011", "Libro IA en psiquiatría")</f>
        <v>Libro IA en psiquiatría</v>
      </c>
      <c r="C9835" s="3" t="str">
        <f>HYPERLINK("https://otsuka-europe-crm.veevavault.com/ui/#object/sent_email__v/VBL00000001D615", "SE-001405043")</f>
        <v>SE-001405043</v>
      </c>
      <c r="D9835" s="1">
        <v>46072.785231481481</v>
      </c>
      <c r="E9835" s="2">
        <v>1</v>
      </c>
      <c r="F9835" s="2">
        <v>2</v>
      </c>
      <c r="G9835" s="2">
        <v>0</v>
      </c>
      <c r="H9835" s="1" t="s">
        <v>0</v>
      </c>
      <c r="I9835" s="2">
        <v>0</v>
      </c>
      <c r="J9835" s="1">
        <v>46072.511307870373</v>
      </c>
    </row>
    <row r="9836" spans="1:10" x14ac:dyDescent="0.2">
      <c r="A9836" s="4" t="s">
        <v>1</v>
      </c>
      <c r="B9836" s="3" t="str">
        <f>HYPERLINK("https://otsuka-europe-crm.veevavault.com/ui/#object/approved_document__v/V5O00000000L011", "Libro IA en psiquiatría")</f>
        <v>Libro IA en psiquiatría</v>
      </c>
      <c r="C9836" s="3" t="str">
        <f>HYPERLINK("https://otsuka-europe-crm.veevavault.com/ui/#object/sent_email__v/VBL00000001D616", "SE-001405044")</f>
        <v>SE-001405044</v>
      </c>
      <c r="D9836" s="1" t="s">
        <v>0</v>
      </c>
      <c r="E9836" s="2">
        <v>0</v>
      </c>
      <c r="F9836" s="2">
        <v>0</v>
      </c>
      <c r="G9836" s="2">
        <v>0</v>
      </c>
      <c r="H9836" s="1" t="s">
        <v>0</v>
      </c>
      <c r="I9836" s="2">
        <v>0</v>
      </c>
      <c r="J9836" s="1">
        <v>46072.511469907404</v>
      </c>
    </row>
    <row r="9837" spans="1:10" x14ac:dyDescent="0.2">
      <c r="A9837" s="4" t="s">
        <v>1</v>
      </c>
      <c r="B9837" s="3" t="str">
        <f>HYPERLINK("https://otsuka-europe-crm.veevavault.com/ui/#object/approved_document__v/V5O00000000L011", "Libro IA en psiquiatría")</f>
        <v>Libro IA en psiquiatría</v>
      </c>
      <c r="C9837" s="3" t="str">
        <f>HYPERLINK("https://otsuka-europe-crm.veevavault.com/ui/#object/sent_email__v/VBL00000001D617", "SE-001405045")</f>
        <v>SE-001405045</v>
      </c>
      <c r="D9837" s="1" t="s">
        <v>0</v>
      </c>
      <c r="E9837" s="2">
        <v>0</v>
      </c>
      <c r="F9837" s="2">
        <v>0</v>
      </c>
      <c r="G9837" s="2">
        <v>0</v>
      </c>
      <c r="H9837" s="1" t="s">
        <v>0</v>
      </c>
      <c r="I9837" s="2">
        <v>0</v>
      </c>
      <c r="J9837" s="1">
        <v>46072.511631944442</v>
      </c>
    </row>
    <row r="9838" spans="1:10" x14ac:dyDescent="0.2">
      <c r="A9838" s="4" t="s">
        <v>1</v>
      </c>
      <c r="B9838" s="3" t="str">
        <f>HYPERLINK("https://otsuka-europe-crm.veevavault.com/ui/#object/approved_document__v/V5O00000000L011", "Libro IA en psiquiatría")</f>
        <v>Libro IA en psiquiatría</v>
      </c>
      <c r="C9838" s="3" t="str">
        <f>HYPERLINK("https://otsuka-europe-crm.veevavault.com/ui/#object/sent_email__v/VBL00000001D618", "SE-001405046")</f>
        <v>SE-001405046</v>
      </c>
      <c r="D9838" s="1">
        <v>46078.902905092589</v>
      </c>
      <c r="E9838" s="2">
        <v>1</v>
      </c>
      <c r="F9838" s="2">
        <v>1</v>
      </c>
      <c r="G9838" s="2">
        <v>1</v>
      </c>
      <c r="H9838" s="1">
        <v>46078.90320601852</v>
      </c>
      <c r="I9838" s="2">
        <v>1</v>
      </c>
      <c r="J9838" s="1">
        <v>46072.511805555558</v>
      </c>
    </row>
    <row r="9839" spans="1:10" x14ac:dyDescent="0.2">
      <c r="A9839" s="4" t="s">
        <v>1</v>
      </c>
      <c r="B9839" s="3" t="str">
        <f>HYPERLINK("https://otsuka-europe-crm.veevavault.com/ui/#object/approved_document__v/V5O00000000L011", "Libro IA en psiquiatría")</f>
        <v>Libro IA en psiquiatría</v>
      </c>
      <c r="C9839" s="3" t="str">
        <f>HYPERLINK("https://otsuka-europe-crm.veevavault.com/ui/#object/sent_email__v/VBL00000001D619", "SE-001405047")</f>
        <v>SE-001405047</v>
      </c>
      <c r="D9839" s="1" t="s">
        <v>0</v>
      </c>
      <c r="E9839" s="2">
        <v>0</v>
      </c>
      <c r="F9839" s="2">
        <v>0</v>
      </c>
      <c r="G9839" s="2">
        <v>0</v>
      </c>
      <c r="H9839" s="1" t="s">
        <v>0</v>
      </c>
      <c r="I9839" s="2">
        <v>0</v>
      </c>
      <c r="J9839" s="1">
        <v>46072.511967592596</v>
      </c>
    </row>
    <row r="9840" spans="1:10" x14ac:dyDescent="0.2">
      <c r="A9840" s="4" t="s">
        <v>1</v>
      </c>
      <c r="B9840" s="3" t="str">
        <f>HYPERLINK("https://otsuka-europe-crm.veevavault.com/ui/#object/approved_document__v/V5O00000000L011", "Libro IA en psiquiatría")</f>
        <v>Libro IA en psiquiatría</v>
      </c>
      <c r="C9840" s="3" t="str">
        <f>HYPERLINK("https://otsuka-europe-crm.veevavault.com/ui/#object/sent_email__v/VBL00000001D620", "SE-001405048")</f>
        <v>SE-001405048</v>
      </c>
      <c r="D9840" s="1" t="s">
        <v>0</v>
      </c>
      <c r="E9840" s="2">
        <v>0</v>
      </c>
      <c r="F9840" s="2">
        <v>0</v>
      </c>
      <c r="G9840" s="2">
        <v>0</v>
      </c>
      <c r="H9840" s="1" t="s">
        <v>0</v>
      </c>
      <c r="I9840" s="2">
        <v>0</v>
      </c>
      <c r="J9840" s="1">
        <v>46072.512129629627</v>
      </c>
    </row>
    <row r="9841" spans="1:10" x14ac:dyDescent="0.2">
      <c r="A9841" s="4" t="s">
        <v>1</v>
      </c>
      <c r="B9841" s="3" t="str">
        <f>HYPERLINK("https://otsuka-europe-crm.veevavault.com/ui/#object/approved_document__v/V5O00000000L011", "Libro IA en psiquiatría")</f>
        <v>Libro IA en psiquiatría</v>
      </c>
      <c r="C9841" s="3" t="str">
        <f>HYPERLINK("https://otsuka-europe-crm.veevavault.com/ui/#object/sent_email__v/VBL00000001D621", "SE-001405049")</f>
        <v>SE-001405049</v>
      </c>
      <c r="D9841" s="1">
        <v>46072.872314814813</v>
      </c>
      <c r="E9841" s="2">
        <v>1</v>
      </c>
      <c r="F9841" s="2">
        <v>1</v>
      </c>
      <c r="G9841" s="2">
        <v>0</v>
      </c>
      <c r="H9841" s="1" t="s">
        <v>0</v>
      </c>
      <c r="I9841" s="2">
        <v>0</v>
      </c>
      <c r="J9841" s="1">
        <v>46072.512291666666</v>
      </c>
    </row>
    <row r="9842" spans="1:10" x14ac:dyDescent="0.2">
      <c r="A9842" s="4" t="s">
        <v>1</v>
      </c>
      <c r="B9842" s="3" t="str">
        <f>HYPERLINK("https://otsuka-europe-crm.veevavault.com/ui/#object/approved_document__v/V5O00000000L011", "Libro IA en psiquiatría")</f>
        <v>Libro IA en psiquiatría</v>
      </c>
      <c r="C9842" s="3" t="str">
        <f>HYPERLINK("https://otsuka-europe-crm.veevavault.com/ui/#object/sent_email__v/VBL00000001D622", "SE-001405050")</f>
        <v>SE-001405050</v>
      </c>
      <c r="D9842" s="1" t="s">
        <v>0</v>
      </c>
      <c r="E9842" s="2">
        <v>0</v>
      </c>
      <c r="F9842" s="2">
        <v>0</v>
      </c>
      <c r="G9842" s="2">
        <v>0</v>
      </c>
      <c r="H9842" s="1" t="s">
        <v>0</v>
      </c>
      <c r="I9842" s="2">
        <v>0</v>
      </c>
      <c r="J9842" s="1">
        <v>46072.512465277781</v>
      </c>
    </row>
    <row r="9843" spans="1:10" x14ac:dyDescent="0.2">
      <c r="A9843" s="4" t="s">
        <v>1</v>
      </c>
      <c r="B9843" s="3" t="str">
        <f>HYPERLINK("https://otsuka-europe-crm.veevavault.com/ui/#object/approved_document__v/V5O00000000L011", "Libro IA en psiquiatría")</f>
        <v>Libro IA en psiquiatría</v>
      </c>
      <c r="C9843" s="3" t="str">
        <f>HYPERLINK("https://otsuka-europe-crm.veevavault.com/ui/#object/sent_email__v/VBL00000001D623", "SE-001405051")</f>
        <v>SE-001405051</v>
      </c>
      <c r="D9843" s="1">
        <v>46075.37128472222</v>
      </c>
      <c r="E9843" s="2">
        <v>1</v>
      </c>
      <c r="F9843" s="2">
        <v>2</v>
      </c>
      <c r="G9843" s="2">
        <v>0</v>
      </c>
      <c r="H9843" s="1" t="s">
        <v>0</v>
      </c>
      <c r="I9843" s="2">
        <v>0</v>
      </c>
      <c r="J9843" s="1">
        <v>46072.512627314813</v>
      </c>
    </row>
    <row r="9844" spans="1:10" x14ac:dyDescent="0.2">
      <c r="A9844" s="4" t="s">
        <v>1</v>
      </c>
      <c r="B9844" s="3" t="str">
        <f>HYPERLINK("https://otsuka-europe-crm.veevavault.com/ui/#object/approved_document__v/V5O00000000L011", "Libro IA en psiquiatría")</f>
        <v>Libro IA en psiquiatría</v>
      </c>
      <c r="C9844" s="3" t="str">
        <f>HYPERLINK("https://otsuka-europe-crm.veevavault.com/ui/#object/sent_email__v/VBL00000001D624", "SE-001405052")</f>
        <v>SE-001405052</v>
      </c>
      <c r="D9844" s="1">
        <v>46072.643310185187</v>
      </c>
      <c r="E9844" s="2">
        <v>1</v>
      </c>
      <c r="F9844" s="2">
        <v>2</v>
      </c>
      <c r="G9844" s="2">
        <v>0</v>
      </c>
      <c r="H9844" s="1" t="s">
        <v>0</v>
      </c>
      <c r="I9844" s="2">
        <v>0</v>
      </c>
      <c r="J9844" s="1">
        <v>46072.512800925928</v>
      </c>
    </row>
    <row r="9845" spans="1:10" x14ac:dyDescent="0.2">
      <c r="A9845" s="4" t="s">
        <v>1</v>
      </c>
      <c r="B9845" s="3" t="str">
        <f>HYPERLINK("https://otsuka-europe-crm.veevavault.com/ui/#object/approved_document__v/V5O00000000L011", "Libro IA en psiquiatría")</f>
        <v>Libro IA en psiquiatría</v>
      </c>
      <c r="C9845" s="3" t="str">
        <f>HYPERLINK("https://otsuka-europe-crm.veevavault.com/ui/#object/sent_email__v/VBL00000001D625", "SE-001405053")</f>
        <v>SE-001405053</v>
      </c>
      <c r="D9845" s="1">
        <v>46073.400104166663</v>
      </c>
      <c r="E9845" s="2">
        <v>1</v>
      </c>
      <c r="F9845" s="2">
        <v>1</v>
      </c>
      <c r="G9845" s="2">
        <v>0</v>
      </c>
      <c r="H9845" s="1" t="s">
        <v>0</v>
      </c>
      <c r="I9845" s="2">
        <v>0</v>
      </c>
      <c r="J9845" s="1">
        <v>46072.512986111113</v>
      </c>
    </row>
    <row r="9846" spans="1:10" x14ac:dyDescent="0.2">
      <c r="A9846" s="4" t="s">
        <v>1</v>
      </c>
      <c r="B9846" s="3" t="str">
        <f>HYPERLINK("https://otsuka-europe-crm.veevavault.com/ui/#object/approved_document__v/V5O00000000L011", "Libro IA en psiquiatría")</f>
        <v>Libro IA en psiquiatría</v>
      </c>
      <c r="C9846" s="3" t="str">
        <f>HYPERLINK("https://otsuka-europe-crm.veevavault.com/ui/#object/sent_email__v/VBL00000001D626", "SE-001405054")</f>
        <v>SE-001405054</v>
      </c>
      <c r="D9846" s="1" t="s">
        <v>0</v>
      </c>
      <c r="E9846" s="2">
        <v>0</v>
      </c>
      <c r="F9846" s="2">
        <v>0</v>
      </c>
      <c r="G9846" s="2">
        <v>0</v>
      </c>
      <c r="H9846" s="1" t="s">
        <v>0</v>
      </c>
      <c r="I9846" s="2">
        <v>0</v>
      </c>
      <c r="J9846" s="1">
        <v>46072.513136574074</v>
      </c>
    </row>
    <row r="9847" spans="1:10" x14ac:dyDescent="0.2">
      <c r="A9847" s="4" t="s">
        <v>1</v>
      </c>
      <c r="B9847" s="3" t="str">
        <f>HYPERLINK("https://otsuka-europe-crm.veevavault.com/ui/#object/approved_document__v/V5O00000000L011", "Libro IA en psiquiatría")</f>
        <v>Libro IA en psiquiatría</v>
      </c>
      <c r="C9847" s="3" t="str">
        <f>HYPERLINK("https://otsuka-europe-crm.veevavault.com/ui/#object/sent_email__v/VBL00000001D627", "SE-001405055")</f>
        <v>SE-001405055</v>
      </c>
      <c r="D9847" s="1">
        <v>46072.632824074077</v>
      </c>
      <c r="E9847" s="2">
        <v>1</v>
      </c>
      <c r="F9847" s="2">
        <v>2</v>
      </c>
      <c r="G9847" s="2">
        <v>1</v>
      </c>
      <c r="H9847" s="1">
        <v>46072.568738425929</v>
      </c>
      <c r="I9847" s="2">
        <v>1</v>
      </c>
      <c r="J9847" s="1">
        <v>46072.513298611113</v>
      </c>
    </row>
    <row r="9848" spans="1:10" x14ac:dyDescent="0.2">
      <c r="A9848" s="4" t="s">
        <v>1</v>
      </c>
      <c r="B9848" s="3" t="str">
        <f>HYPERLINK("https://otsuka-europe-crm.veevavault.com/ui/#object/approved_document__v/V5O00000000L011", "Libro IA en psiquiatría")</f>
        <v>Libro IA en psiquiatría</v>
      </c>
      <c r="C9848" s="3" t="str">
        <f>HYPERLINK("https://otsuka-europe-crm.veevavault.com/ui/#object/sent_email__v/VBL00000001D628", "SE-001405056")</f>
        <v>SE-001405056</v>
      </c>
      <c r="D9848" s="1">
        <v>46073.643275462964</v>
      </c>
      <c r="E9848" s="2">
        <v>1</v>
      </c>
      <c r="F9848" s="2">
        <v>1</v>
      </c>
      <c r="G9848" s="2">
        <v>0</v>
      </c>
      <c r="H9848" s="1" t="s">
        <v>0</v>
      </c>
      <c r="I9848" s="2">
        <v>0</v>
      </c>
      <c r="J9848" s="1">
        <v>46072.513472222221</v>
      </c>
    </row>
    <row r="9849" spans="1:10" x14ac:dyDescent="0.2">
      <c r="A9849" s="4" t="s">
        <v>1</v>
      </c>
      <c r="B9849" s="3" t="str">
        <f>HYPERLINK("https://otsuka-europe-crm.veevavault.com/ui/#object/approved_document__v/V5O00000000L011", "Libro IA en psiquiatría")</f>
        <v>Libro IA en psiquiatría</v>
      </c>
      <c r="C9849" s="3" t="str">
        <f>HYPERLINK("https://otsuka-europe-crm.veevavault.com/ui/#object/sent_email__v/VBL00000001D629", "SE-001405057")</f>
        <v>SE-001405057</v>
      </c>
      <c r="D9849" s="1">
        <v>46072.868541666663</v>
      </c>
      <c r="E9849" s="2">
        <v>1</v>
      </c>
      <c r="F9849" s="2">
        <v>1</v>
      </c>
      <c r="G9849" s="2">
        <v>0</v>
      </c>
      <c r="H9849" s="1" t="s">
        <v>0</v>
      </c>
      <c r="I9849" s="2">
        <v>0</v>
      </c>
      <c r="J9849" s="1">
        <v>46072.513668981483</v>
      </c>
    </row>
    <row r="9850" spans="1:10" x14ac:dyDescent="0.2">
      <c r="A9850" s="4" t="s">
        <v>1</v>
      </c>
      <c r="B9850" s="3" t="str">
        <f>HYPERLINK("https://otsuka-europe-crm.veevavault.com/ui/#object/approved_document__v/V5O00000000L011", "Libro IA en psiquiatría")</f>
        <v>Libro IA en psiquiatría</v>
      </c>
      <c r="C9850" s="3" t="str">
        <f>HYPERLINK("https://otsuka-europe-crm.veevavault.com/ui/#object/sent_email__v/VBL00000001D630", "SE-001405058")</f>
        <v>SE-001405058</v>
      </c>
      <c r="D9850" s="1">
        <v>46072.557893518519</v>
      </c>
      <c r="E9850" s="2">
        <v>1</v>
      </c>
      <c r="F9850" s="2">
        <v>1</v>
      </c>
      <c r="G9850" s="2">
        <v>0</v>
      </c>
      <c r="H9850" s="1" t="s">
        <v>0</v>
      </c>
      <c r="I9850" s="2">
        <v>0</v>
      </c>
      <c r="J9850" s="1">
        <v>46072.51390046296</v>
      </c>
    </row>
    <row r="9851" spans="1:10" x14ac:dyDescent="0.2">
      <c r="A9851" s="4" t="s">
        <v>1</v>
      </c>
      <c r="B9851" s="3" t="str">
        <f>HYPERLINK("https://otsuka-europe-crm.veevavault.com/ui/#object/approved_document__v/V5O00000000L011", "Libro IA en psiquiatría")</f>
        <v>Libro IA en psiquiatría</v>
      </c>
      <c r="C9851" s="3" t="str">
        <f>HYPERLINK("https://otsuka-europe-crm.veevavault.com/ui/#object/sent_email__v/VBL00000001D631", "SE-001405059")</f>
        <v>SE-001405059</v>
      </c>
      <c r="D9851" s="1" t="s">
        <v>0</v>
      </c>
      <c r="E9851" s="2">
        <v>0</v>
      </c>
      <c r="F9851" s="2">
        <v>0</v>
      </c>
      <c r="G9851" s="2">
        <v>0</v>
      </c>
      <c r="H9851" s="1" t="s">
        <v>0</v>
      </c>
      <c r="I9851" s="2">
        <v>0</v>
      </c>
      <c r="J9851" s="1">
        <v>46072.514074074075</v>
      </c>
    </row>
    <row r="9852" spans="1:10" x14ac:dyDescent="0.2">
      <c r="A9852" s="4" t="s">
        <v>1</v>
      </c>
      <c r="B9852" s="3" t="str">
        <f>HYPERLINK("https://otsuka-europe-crm.veevavault.com/ui/#object/approved_document__v/V5O00000000L011", "Libro IA en psiquiatría")</f>
        <v>Libro IA en psiquiatría</v>
      </c>
      <c r="C9852" s="3" t="str">
        <f>HYPERLINK("https://otsuka-europe-crm.veevavault.com/ui/#object/sent_email__v/VBL00000001D632", "SE-001405060")</f>
        <v>SE-001405060</v>
      </c>
      <c r="D9852" s="1" t="s">
        <v>0</v>
      </c>
      <c r="E9852" s="2">
        <v>0</v>
      </c>
      <c r="F9852" s="2">
        <v>0</v>
      </c>
      <c r="G9852" s="2">
        <v>0</v>
      </c>
      <c r="H9852" s="1" t="s">
        <v>0</v>
      </c>
      <c r="I9852" s="2">
        <v>0</v>
      </c>
      <c r="J9852" s="1">
        <v>46072.514247685183</v>
      </c>
    </row>
    <row r="9853" spans="1:10" x14ac:dyDescent="0.2">
      <c r="A9853" s="4" t="s">
        <v>1</v>
      </c>
      <c r="B9853" s="3" t="str">
        <f>HYPERLINK("https://otsuka-europe-crm.veevavault.com/ui/#object/approved_document__v/V5O00000000L011", "Libro IA en psiquiatría")</f>
        <v>Libro IA en psiquiatría</v>
      </c>
      <c r="C9853" s="3" t="str">
        <f>HYPERLINK("https://otsuka-europe-crm.veevavault.com/ui/#object/sent_email__v/VBL00000001D633", "SE-001405061")</f>
        <v>SE-001405061</v>
      </c>
      <c r="D9853" s="1">
        <v>46073.465405092589</v>
      </c>
      <c r="E9853" s="2">
        <v>1</v>
      </c>
      <c r="F9853" s="2">
        <v>1</v>
      </c>
      <c r="G9853" s="2">
        <v>0</v>
      </c>
      <c r="H9853" s="1" t="s">
        <v>0</v>
      </c>
      <c r="I9853" s="2">
        <v>0</v>
      </c>
      <c r="J9853" s="1">
        <v>46072.514409722222</v>
      </c>
    </row>
    <row r="9854" spans="1:10" x14ac:dyDescent="0.2">
      <c r="A9854" s="4" t="s">
        <v>1</v>
      </c>
      <c r="B9854" s="3" t="str">
        <f>HYPERLINK("https://otsuka-europe-crm.veevavault.com/ui/#object/approved_document__v/V5O00000000L011", "Libro IA en psiquiatría")</f>
        <v>Libro IA en psiquiatría</v>
      </c>
      <c r="C9854" s="3" t="str">
        <f>HYPERLINK("https://otsuka-europe-crm.veevavault.com/ui/#object/sent_email__v/VBL00000001D634", "SE-001405062")</f>
        <v>SE-001405062</v>
      </c>
      <c r="D9854" s="1" t="s">
        <v>0</v>
      </c>
      <c r="E9854" s="2">
        <v>0</v>
      </c>
      <c r="F9854" s="2">
        <v>0</v>
      </c>
      <c r="G9854" s="2">
        <v>0</v>
      </c>
      <c r="H9854" s="1" t="s">
        <v>0</v>
      </c>
      <c r="I9854" s="2">
        <v>0</v>
      </c>
      <c r="J9854" s="1">
        <v>46072.514594907407</v>
      </c>
    </row>
    <row r="9855" spans="1:10" x14ac:dyDescent="0.2">
      <c r="A9855" s="4" t="s">
        <v>1</v>
      </c>
      <c r="B9855" s="3" t="str">
        <f>HYPERLINK("https://otsuka-europe-crm.veevavault.com/ui/#object/approved_document__v/V5O00000000L011", "Libro IA en psiquiatría")</f>
        <v>Libro IA en psiquiatría</v>
      </c>
      <c r="C9855" s="3" t="str">
        <f>HYPERLINK("https://otsuka-europe-crm.veevavault.com/ui/#object/sent_email__v/VBL00000001D635", "SE-001405063")</f>
        <v>SE-001405063</v>
      </c>
      <c r="D9855" s="1">
        <v>46072.534178240741</v>
      </c>
      <c r="E9855" s="2">
        <v>1</v>
      </c>
      <c r="F9855" s="2">
        <v>1</v>
      </c>
      <c r="G9855" s="2">
        <v>1</v>
      </c>
      <c r="H9855" s="1">
        <v>46072.544398148151</v>
      </c>
      <c r="I9855" s="2">
        <v>3</v>
      </c>
      <c r="J9855" s="1">
        <v>46072.514745370368</v>
      </c>
    </row>
    <row r="9856" spans="1:10" x14ac:dyDescent="0.2">
      <c r="A9856" s="4" t="s">
        <v>1</v>
      </c>
      <c r="B9856" s="3" t="str">
        <f>HYPERLINK("https://otsuka-europe-crm.veevavault.com/ui/#object/approved_document__v/V5O00000000L011", "Libro IA en psiquiatría")</f>
        <v>Libro IA en psiquiatría</v>
      </c>
      <c r="C9856" s="3" t="str">
        <f>HYPERLINK("https://otsuka-europe-crm.veevavault.com/ui/#object/sent_email__v/VBL00000001D636", "SE-001405064")</f>
        <v>SE-001405064</v>
      </c>
      <c r="D9856" s="1">
        <v>46072.556273148148</v>
      </c>
      <c r="E9856" s="2">
        <v>1</v>
      </c>
      <c r="F9856" s="2">
        <v>2</v>
      </c>
      <c r="G9856" s="2">
        <v>1</v>
      </c>
      <c r="H9856" s="1">
        <v>46072.556342592594</v>
      </c>
      <c r="I9856" s="2">
        <v>2</v>
      </c>
      <c r="J9856" s="1">
        <v>46072.514918981484</v>
      </c>
    </row>
    <row r="9857" spans="1:10" x14ac:dyDescent="0.2">
      <c r="A9857" s="4" t="s">
        <v>1</v>
      </c>
      <c r="B9857" s="3" t="str">
        <f>HYPERLINK("https://otsuka-europe-crm.veevavault.com/ui/#object/approved_document__v/V5O00000000L011", "Libro IA en psiquiatría")</f>
        <v>Libro IA en psiquiatría</v>
      </c>
      <c r="C9857" s="3" t="str">
        <f>HYPERLINK("https://otsuka-europe-crm.veevavault.com/ui/#object/sent_email__v/VBL00000001D637", "SE-001405065")</f>
        <v>SE-001405065</v>
      </c>
      <c r="D9857" s="1">
        <v>46075.311608796299</v>
      </c>
      <c r="E9857" s="2">
        <v>1</v>
      </c>
      <c r="F9857" s="2">
        <v>2</v>
      </c>
      <c r="G9857" s="2">
        <v>0</v>
      </c>
      <c r="H9857" s="1" t="s">
        <v>0</v>
      </c>
      <c r="I9857" s="2">
        <v>0</v>
      </c>
      <c r="J9857" s="1">
        <v>46072.515081018515</v>
      </c>
    </row>
    <row r="9858" spans="1:10" x14ac:dyDescent="0.2">
      <c r="A9858" s="4" t="s">
        <v>1</v>
      </c>
      <c r="B9858" s="3" t="str">
        <f>HYPERLINK("https://otsuka-europe-crm.veevavault.com/ui/#object/approved_document__v/V5O00000000L011", "Libro IA en psiquiatría")</f>
        <v>Libro IA en psiquiatría</v>
      </c>
      <c r="C9858" s="3" t="str">
        <f>HYPERLINK("https://otsuka-europe-crm.veevavault.com/ui/#object/sent_email__v/VBL00000001D638", "SE-001405066")</f>
        <v>SE-001405066</v>
      </c>
      <c r="D9858" s="1">
        <v>46072.54965277778</v>
      </c>
      <c r="E9858" s="2">
        <v>1</v>
      </c>
      <c r="F9858" s="2">
        <v>1</v>
      </c>
      <c r="G9858" s="2">
        <v>0</v>
      </c>
      <c r="H9858" s="1" t="s">
        <v>0</v>
      </c>
      <c r="I9858" s="2">
        <v>0</v>
      </c>
      <c r="J9858" s="1">
        <v>46072.515243055554</v>
      </c>
    </row>
    <row r="9859" spans="1:10" x14ac:dyDescent="0.2">
      <c r="A9859" s="4" t="s">
        <v>1</v>
      </c>
      <c r="B9859" s="3" t="str">
        <f>HYPERLINK("https://otsuka-europe-crm.veevavault.com/ui/#object/approved_document__v/V5O00000000L011", "Libro IA en psiquiatría")</f>
        <v>Libro IA en psiquiatría</v>
      </c>
      <c r="C9859" s="3" t="str">
        <f>HYPERLINK("https://otsuka-europe-crm.veevavault.com/ui/#object/sent_email__v/VBL00000001D639", "SE-001405067")</f>
        <v>SE-001405067</v>
      </c>
      <c r="D9859" s="1">
        <v>46072.558379629627</v>
      </c>
      <c r="E9859" s="2">
        <v>1</v>
      </c>
      <c r="F9859" s="2">
        <v>3</v>
      </c>
      <c r="G9859" s="2">
        <v>1</v>
      </c>
      <c r="H9859" s="1">
        <v>46072.55840277778</v>
      </c>
      <c r="I9859" s="2">
        <v>1</v>
      </c>
      <c r="J9859" s="1">
        <v>46072.515416666669</v>
      </c>
    </row>
    <row r="9860" spans="1:10" x14ac:dyDescent="0.2">
      <c r="A9860" s="4" t="s">
        <v>1</v>
      </c>
      <c r="B9860" s="3" t="str">
        <f>HYPERLINK("https://otsuka-europe-crm.veevavault.com/ui/#object/approved_document__v/V5O00000000L011", "Libro IA en psiquiatría")</f>
        <v>Libro IA en psiquiatría</v>
      </c>
      <c r="C9860" s="3" t="str">
        <f>HYPERLINK("https://otsuka-europe-crm.veevavault.com/ui/#object/sent_email__v/VBL00000001D640", "SE-001405068")</f>
        <v>SE-001405068</v>
      </c>
      <c r="D9860" s="1" t="s">
        <v>0</v>
      </c>
      <c r="E9860" s="2">
        <v>0</v>
      </c>
      <c r="F9860" s="2">
        <v>0</v>
      </c>
      <c r="G9860" s="2">
        <v>0</v>
      </c>
      <c r="H9860" s="1" t="s">
        <v>0</v>
      </c>
      <c r="I9860" s="2">
        <v>0</v>
      </c>
      <c r="J9860" s="1">
        <v>46072.515590277777</v>
      </c>
    </row>
    <row r="9861" spans="1:10" x14ac:dyDescent="0.2">
      <c r="A9861" s="4" t="s">
        <v>1</v>
      </c>
      <c r="B9861" s="3" t="str">
        <f>HYPERLINK("https://otsuka-europe-crm.veevavault.com/ui/#object/approved_document__v/V5O00000000L011", "Libro IA en psiquiatría")</f>
        <v>Libro IA en psiquiatría</v>
      </c>
      <c r="C9861" s="3" t="str">
        <f>HYPERLINK("https://otsuka-europe-crm.veevavault.com/ui/#object/sent_email__v/VBL00000001D641", "SE-001405069")</f>
        <v>SE-001405069</v>
      </c>
      <c r="D9861" s="1">
        <v>46076.332430555558</v>
      </c>
      <c r="E9861" s="2">
        <v>1</v>
      </c>
      <c r="F9861" s="2">
        <v>2</v>
      </c>
      <c r="G9861" s="2">
        <v>0</v>
      </c>
      <c r="H9861" s="1" t="s">
        <v>0</v>
      </c>
      <c r="I9861" s="2">
        <v>0</v>
      </c>
      <c r="J9861" s="1">
        <v>46072.515752314815</v>
      </c>
    </row>
    <row r="9862" spans="1:10" x14ac:dyDescent="0.2">
      <c r="A9862" s="4" t="s">
        <v>1</v>
      </c>
      <c r="B9862" s="3" t="str">
        <f>HYPERLINK("https://otsuka-europe-crm.veevavault.com/ui/#object/approved_document__v/V5O00000000L011", "Libro IA en psiquiatría")</f>
        <v>Libro IA en psiquiatría</v>
      </c>
      <c r="C9862" s="3" t="str">
        <f>HYPERLINK("https://otsuka-europe-crm.veevavault.com/ui/#object/sent_email__v/VBL00000001D642", "SE-001405070")</f>
        <v>SE-001405070</v>
      </c>
      <c r="D9862" s="1">
        <v>46075.908530092594</v>
      </c>
      <c r="E9862" s="2">
        <v>1</v>
      </c>
      <c r="F9862" s="2">
        <v>3</v>
      </c>
      <c r="G9862" s="2">
        <v>0</v>
      </c>
      <c r="H9862" s="1" t="s">
        <v>0</v>
      </c>
      <c r="I9862" s="2">
        <v>0</v>
      </c>
      <c r="J9862" s="1">
        <v>46072.516006944446</v>
      </c>
    </row>
    <row r="9863" spans="1:10" x14ac:dyDescent="0.2">
      <c r="A9863" s="4" t="s">
        <v>1</v>
      </c>
      <c r="B9863" s="3" t="str">
        <f>HYPERLINK("https://otsuka-europe-crm.veevavault.com/ui/#object/approved_document__v/V5O00000000L011", "Libro IA en psiquiatría")</f>
        <v>Libro IA en psiquiatría</v>
      </c>
      <c r="C9863" s="3" t="str">
        <f>HYPERLINK("https://otsuka-europe-crm.veevavault.com/ui/#object/sent_email__v/VBL00000001D643", "SE-001405071")</f>
        <v>SE-001405071</v>
      </c>
      <c r="D9863" s="1">
        <v>46072.614305555559</v>
      </c>
      <c r="E9863" s="2">
        <v>1</v>
      </c>
      <c r="F9863" s="2">
        <v>1</v>
      </c>
      <c r="G9863" s="2">
        <v>1</v>
      </c>
      <c r="H9863" s="1">
        <v>46072.614560185182</v>
      </c>
      <c r="I9863" s="2">
        <v>1</v>
      </c>
      <c r="J9863" s="1">
        <v>46072.516250000001</v>
      </c>
    </row>
    <row r="9864" spans="1:10" x14ac:dyDescent="0.2">
      <c r="A9864" s="4" t="s">
        <v>1</v>
      </c>
      <c r="B9864" s="3" t="str">
        <f>HYPERLINK("https://otsuka-europe-crm.veevavault.com/ui/#object/approved_document__v/V5O00000000L011", "Libro IA en psiquiatría")</f>
        <v>Libro IA en psiquiatría</v>
      </c>
      <c r="C9864" s="3" t="str">
        <f>HYPERLINK("https://otsuka-europe-crm.veevavault.com/ui/#object/sent_email__v/VBL00000001D644", "SE-001405072")</f>
        <v>SE-001405072</v>
      </c>
      <c r="D9864" s="1">
        <v>46073.374490740738</v>
      </c>
      <c r="E9864" s="2">
        <v>1</v>
      </c>
      <c r="F9864" s="2">
        <v>1</v>
      </c>
      <c r="G9864" s="2">
        <v>1</v>
      </c>
      <c r="H9864" s="1">
        <v>46073.374490740738</v>
      </c>
      <c r="I9864" s="2">
        <v>1</v>
      </c>
      <c r="J9864" s="1">
        <v>46072.516504629632</v>
      </c>
    </row>
    <row r="9865" spans="1:10" x14ac:dyDescent="0.2">
      <c r="A9865" s="4" t="s">
        <v>1</v>
      </c>
      <c r="B9865" s="3" t="str">
        <f>HYPERLINK("https://otsuka-europe-crm.veevavault.com/ui/#object/approved_document__v/V5O00000000L011", "Libro IA en psiquiatría")</f>
        <v>Libro IA en psiquiatría</v>
      </c>
      <c r="C9865" s="3" t="str">
        <f>HYPERLINK("https://otsuka-europe-crm.veevavault.com/ui/#object/sent_email__v/VBL00000001D645", "SE-001405073")</f>
        <v>SE-001405073</v>
      </c>
      <c r="D9865" s="1">
        <v>46072.665879629632</v>
      </c>
      <c r="E9865" s="2">
        <v>1</v>
      </c>
      <c r="F9865" s="2">
        <v>3</v>
      </c>
      <c r="G9865" s="2">
        <v>0</v>
      </c>
      <c r="H9865" s="1" t="s">
        <v>0</v>
      </c>
      <c r="I9865" s="2">
        <v>0</v>
      </c>
      <c r="J9865" s="1">
        <v>46072.516747685186</v>
      </c>
    </row>
    <row r="9866" spans="1:10" x14ac:dyDescent="0.2">
      <c r="A9866" s="4" t="s">
        <v>1</v>
      </c>
      <c r="B9866" s="3" t="str">
        <f>HYPERLINK("https://otsuka-europe-crm.veevavault.com/ui/#object/approved_document__v/V5O00000000L011", "Libro IA en psiquiatría")</f>
        <v>Libro IA en psiquiatría</v>
      </c>
      <c r="C9866" s="3" t="str">
        <f>HYPERLINK("https://otsuka-europe-crm.veevavault.com/ui/#object/sent_email__v/VBL00000001D646", "SE-001405074")</f>
        <v>SE-001405074</v>
      </c>
      <c r="D9866" s="1">
        <v>46072.921863425923</v>
      </c>
      <c r="E9866" s="2">
        <v>1</v>
      </c>
      <c r="F9866" s="2">
        <v>1</v>
      </c>
      <c r="G9866" s="2">
        <v>0</v>
      </c>
      <c r="H9866" s="1" t="s">
        <v>0</v>
      </c>
      <c r="I9866" s="2">
        <v>0</v>
      </c>
      <c r="J9866" s="1">
        <v>46072.517002314817</v>
      </c>
    </row>
    <row r="9867" spans="1:10" x14ac:dyDescent="0.2">
      <c r="A9867" s="4" t="s">
        <v>1</v>
      </c>
      <c r="B9867" s="3" t="str">
        <f>HYPERLINK("https://otsuka-europe-crm.veevavault.com/ui/#object/approved_document__v/V5O00000000L011", "Libro IA en psiquiatría")</f>
        <v>Libro IA en psiquiatría</v>
      </c>
      <c r="C9867" s="3" t="str">
        <f>HYPERLINK("https://otsuka-europe-crm.veevavault.com/ui/#object/sent_email__v/VBL00000001D647", "SE-001405075")</f>
        <v>SE-001405075</v>
      </c>
      <c r="D9867" s="1" t="s">
        <v>0</v>
      </c>
      <c r="E9867" s="2">
        <v>0</v>
      </c>
      <c r="F9867" s="2">
        <v>0</v>
      </c>
      <c r="G9867" s="2">
        <v>0</v>
      </c>
      <c r="H9867" s="1" t="s">
        <v>0</v>
      </c>
      <c r="I9867" s="2">
        <v>0</v>
      </c>
      <c r="J9867" s="1">
        <v>46072.517256944448</v>
      </c>
    </row>
    <row r="9868" spans="1:10" x14ac:dyDescent="0.2">
      <c r="A9868" s="4" t="s">
        <v>1</v>
      </c>
      <c r="B9868" s="3" t="str">
        <f>HYPERLINK("https://otsuka-europe-crm.veevavault.com/ui/#object/approved_document__v/V5O00000000L011", "Libro IA en psiquiatría")</f>
        <v>Libro IA en psiquiatría</v>
      </c>
      <c r="C9868" s="3" t="str">
        <f>HYPERLINK("https://otsuka-europe-crm.veevavault.com/ui/#object/sent_email__v/VBL00000001D648", "SE-001405076")</f>
        <v>SE-001405076</v>
      </c>
      <c r="D9868" s="1">
        <v>46073.265127314815</v>
      </c>
      <c r="E9868" s="2">
        <v>1</v>
      </c>
      <c r="F9868" s="2">
        <v>1</v>
      </c>
      <c r="G9868" s="2">
        <v>0</v>
      </c>
      <c r="H9868" s="1" t="s">
        <v>0</v>
      </c>
      <c r="I9868" s="2">
        <v>0</v>
      </c>
      <c r="J9868" s="1">
        <v>46072.517476851855</v>
      </c>
    </row>
    <row r="9869" spans="1:10" x14ac:dyDescent="0.2">
      <c r="A9869" s="4" t="s">
        <v>1</v>
      </c>
      <c r="B9869" s="3" t="str">
        <f>HYPERLINK("https://otsuka-europe-crm.veevavault.com/ui/#object/approved_document__v/V5O00000000L011", "Libro IA en psiquiatría")</f>
        <v>Libro IA en psiquiatría</v>
      </c>
      <c r="C9869" s="3" t="str">
        <f>HYPERLINK("https://otsuka-europe-crm.veevavault.com/ui/#object/sent_email__v/VBL00000001D649", "SE-001405077")</f>
        <v>SE-001405077</v>
      </c>
      <c r="D9869" s="1">
        <v>46072.622002314813</v>
      </c>
      <c r="E9869" s="2">
        <v>1</v>
      </c>
      <c r="F9869" s="2">
        <v>3</v>
      </c>
      <c r="G9869" s="2">
        <v>0</v>
      </c>
      <c r="H9869" s="1" t="s">
        <v>0</v>
      </c>
      <c r="I9869" s="2">
        <v>0</v>
      </c>
      <c r="J9869" s="1">
        <v>46072.517708333333</v>
      </c>
    </row>
    <row r="9870" spans="1:10" x14ac:dyDescent="0.2">
      <c r="A9870" s="4" t="s">
        <v>1</v>
      </c>
      <c r="B9870" s="3" t="str">
        <f>HYPERLINK("https://otsuka-europe-crm.veevavault.com/ui/#object/approved_document__v/V5O00000000L011", "Libro IA en psiquiatría")</f>
        <v>Libro IA en psiquiatría</v>
      </c>
      <c r="C9870" s="3" t="str">
        <f>HYPERLINK("https://otsuka-europe-crm.veevavault.com/ui/#object/sent_email__v/VBL00000001D650", "SE-001405078")</f>
        <v>SE-001405078</v>
      </c>
      <c r="D9870" s="1">
        <v>46076.048078703701</v>
      </c>
      <c r="E9870" s="2">
        <v>1</v>
      </c>
      <c r="F9870" s="2">
        <v>4</v>
      </c>
      <c r="G9870" s="2">
        <v>1</v>
      </c>
      <c r="H9870" s="1">
        <v>46072.652743055558</v>
      </c>
      <c r="I9870" s="2">
        <v>1</v>
      </c>
      <c r="J9870" s="1">
        <v>46072.517893518518</v>
      </c>
    </row>
    <row r="9871" spans="1:10" x14ac:dyDescent="0.2">
      <c r="A9871" s="4" t="s">
        <v>1</v>
      </c>
      <c r="B9871" s="3" t="str">
        <f>HYPERLINK("https://otsuka-europe-crm.veevavault.com/ui/#object/approved_document__v/V5O00000000L011", "Libro IA en psiquiatría")</f>
        <v>Libro IA en psiquiatría</v>
      </c>
      <c r="C9871" s="3" t="str">
        <f>HYPERLINK("https://otsuka-europe-crm.veevavault.com/ui/#object/sent_email__v/VBL00000001D651", "SE-001405079")</f>
        <v>SE-001405079</v>
      </c>
      <c r="D9871" s="1" t="s">
        <v>0</v>
      </c>
      <c r="E9871" s="2">
        <v>0</v>
      </c>
      <c r="F9871" s="2">
        <v>0</v>
      </c>
      <c r="G9871" s="2">
        <v>0</v>
      </c>
      <c r="H9871" s="1" t="s">
        <v>0</v>
      </c>
      <c r="I9871" s="2">
        <v>0</v>
      </c>
      <c r="J9871" s="1">
        <v>46072.518067129633</v>
      </c>
    </row>
    <row r="9872" spans="1:10" x14ac:dyDescent="0.2">
      <c r="A9872" s="4" t="s">
        <v>1</v>
      </c>
      <c r="B9872" s="3" t="str">
        <f>HYPERLINK("https://otsuka-europe-crm.veevavault.com/ui/#object/approved_document__v/V5O00000000L011", "Libro IA en psiquiatría")</f>
        <v>Libro IA en psiquiatría</v>
      </c>
      <c r="C9872" s="3" t="str">
        <f>HYPERLINK("https://otsuka-europe-crm.veevavault.com/ui/#object/sent_email__v/VBL00000001D652", "SE-001405080")</f>
        <v>SE-001405080</v>
      </c>
      <c r="D9872" s="1">
        <v>46073.039710648147</v>
      </c>
      <c r="E9872" s="2">
        <v>1</v>
      </c>
      <c r="F9872" s="2">
        <v>1</v>
      </c>
      <c r="G9872" s="2">
        <v>0</v>
      </c>
      <c r="H9872" s="1" t="s">
        <v>0</v>
      </c>
      <c r="I9872" s="2">
        <v>0</v>
      </c>
      <c r="J9872" s="1">
        <v>46072.518229166664</v>
      </c>
    </row>
    <row r="9873" spans="1:10" x14ac:dyDescent="0.2">
      <c r="A9873" s="4" t="s">
        <v>1</v>
      </c>
      <c r="B9873" s="3" t="str">
        <f>HYPERLINK("https://otsuka-europe-crm.veevavault.com/ui/#object/approved_document__v/V5O00000000L011", "Libro IA en psiquiatría")</f>
        <v>Libro IA en psiquiatría</v>
      </c>
      <c r="C9873" s="3" t="str">
        <f>HYPERLINK("https://otsuka-europe-crm.veevavault.com/ui/#object/sent_email__v/VBL00000001D653", "SE-001405081")</f>
        <v>SE-001405081</v>
      </c>
      <c r="D9873" s="1">
        <v>46072.620694444442</v>
      </c>
      <c r="E9873" s="2">
        <v>1</v>
      </c>
      <c r="F9873" s="2">
        <v>2</v>
      </c>
      <c r="G9873" s="2">
        <v>0</v>
      </c>
      <c r="H9873" s="1" t="s">
        <v>0</v>
      </c>
      <c r="I9873" s="2">
        <v>0</v>
      </c>
      <c r="J9873" s="1">
        <v>46072.51840277778</v>
      </c>
    </row>
    <row r="9874" spans="1:10" x14ac:dyDescent="0.2">
      <c r="A9874" s="4" t="s">
        <v>1</v>
      </c>
      <c r="B9874" s="3" t="str">
        <f>HYPERLINK("https://otsuka-europe-crm.veevavault.com/ui/#object/approved_document__v/V5O00000000L011", "Libro IA en psiquiatría")</f>
        <v>Libro IA en psiquiatría</v>
      </c>
      <c r="C9874" s="3" t="str">
        <f>HYPERLINK("https://otsuka-europe-crm.veevavault.com/ui/#object/sent_email__v/VBL00000001D654", "SE-001405082")</f>
        <v>SE-001405082</v>
      </c>
      <c r="D9874" s="1" t="s">
        <v>0</v>
      </c>
      <c r="E9874" s="2">
        <v>0</v>
      </c>
      <c r="F9874" s="2">
        <v>0</v>
      </c>
      <c r="G9874" s="2">
        <v>0</v>
      </c>
      <c r="H9874" s="1" t="s">
        <v>0</v>
      </c>
      <c r="I9874" s="2">
        <v>0</v>
      </c>
      <c r="J9874" s="1">
        <v>46072.518576388888</v>
      </c>
    </row>
    <row r="9875" spans="1:10" x14ac:dyDescent="0.2">
      <c r="A9875" s="4" t="s">
        <v>1</v>
      </c>
      <c r="B9875" s="3" t="str">
        <f>HYPERLINK("https://otsuka-europe-crm.veevavault.com/ui/#object/approved_document__v/V5O00000000L011", "Libro IA en psiquiatría")</f>
        <v>Libro IA en psiquiatría</v>
      </c>
      <c r="C9875" s="3" t="str">
        <f>HYPERLINK("https://otsuka-europe-crm.veevavault.com/ui/#object/sent_email__v/VBL00000001D655", "SE-001405083")</f>
        <v>SE-001405083</v>
      </c>
      <c r="D9875" s="1">
        <v>46072.91306712963</v>
      </c>
      <c r="E9875" s="2">
        <v>1</v>
      </c>
      <c r="F9875" s="2">
        <v>2</v>
      </c>
      <c r="G9875" s="2">
        <v>0</v>
      </c>
      <c r="H9875" s="1" t="s">
        <v>0</v>
      </c>
      <c r="I9875" s="2">
        <v>0</v>
      </c>
      <c r="J9875" s="1">
        <v>46072.518738425926</v>
      </c>
    </row>
    <row r="9876" spans="1:10" x14ac:dyDescent="0.2">
      <c r="A9876" s="4" t="s">
        <v>1</v>
      </c>
      <c r="B9876" s="3" t="str">
        <f>HYPERLINK("https://otsuka-europe-crm.veevavault.com/ui/#object/approved_document__v/V5O00000000L011", "Libro IA en psiquiatría")</f>
        <v>Libro IA en psiquiatría</v>
      </c>
      <c r="C9876" s="3" t="str">
        <f>HYPERLINK("https://otsuka-europe-crm.veevavault.com/ui/#object/sent_email__v/VBL00000001D656", "SE-001405084")</f>
        <v>SE-001405084</v>
      </c>
      <c r="D9876" s="1">
        <v>46072.627604166664</v>
      </c>
      <c r="E9876" s="2">
        <v>1</v>
      </c>
      <c r="F9876" s="2">
        <v>2</v>
      </c>
      <c r="G9876" s="2">
        <v>1</v>
      </c>
      <c r="H9876" s="1">
        <v>46072.62773148148</v>
      </c>
      <c r="I9876" s="2">
        <v>3</v>
      </c>
      <c r="J9876" s="1">
        <v>46072.518888888888</v>
      </c>
    </row>
    <row r="9877" spans="1:10" x14ac:dyDescent="0.2">
      <c r="A9877" s="4" t="s">
        <v>1</v>
      </c>
      <c r="B9877" s="3" t="str">
        <f>HYPERLINK("https://otsuka-europe-crm.veevavault.com/ui/#object/approved_document__v/V5O00000000L011", "Libro IA en psiquiatría")</f>
        <v>Libro IA en psiquiatría</v>
      </c>
      <c r="C9877" s="3" t="str">
        <f>HYPERLINK("https://otsuka-europe-crm.veevavault.com/ui/#object/sent_email__v/VBL00000001D657", "SE-001405085")</f>
        <v>SE-001405085</v>
      </c>
      <c r="D9877" s="1">
        <v>46072.872187499997</v>
      </c>
      <c r="E9877" s="2">
        <v>1</v>
      </c>
      <c r="F9877" s="2">
        <v>1</v>
      </c>
      <c r="G9877" s="2">
        <v>0</v>
      </c>
      <c r="H9877" s="1" t="s">
        <v>0</v>
      </c>
      <c r="I9877" s="2">
        <v>0</v>
      </c>
      <c r="J9877" s="1">
        <v>46072.519062500003</v>
      </c>
    </row>
    <row r="9878" spans="1:10" x14ac:dyDescent="0.2">
      <c r="A9878" s="4" t="s">
        <v>1</v>
      </c>
      <c r="B9878" s="3" t="str">
        <f>HYPERLINK("https://otsuka-europe-crm.veevavault.com/ui/#object/approved_document__v/V5O00000000L011", "Libro IA en psiquiatría")</f>
        <v>Libro IA en psiquiatría</v>
      </c>
      <c r="C9878" s="3" t="str">
        <f>HYPERLINK("https://otsuka-europe-crm.veevavault.com/ui/#object/sent_email__v/VBL00000001D658", "SE-001405086")</f>
        <v>SE-001405086</v>
      </c>
      <c r="D9878" s="1">
        <v>46072.986828703702</v>
      </c>
      <c r="E9878" s="2">
        <v>1</v>
      </c>
      <c r="F9878" s="2">
        <v>1</v>
      </c>
      <c r="G9878" s="2">
        <v>0</v>
      </c>
      <c r="H9878" s="1" t="s">
        <v>0</v>
      </c>
      <c r="I9878" s="2">
        <v>0</v>
      </c>
      <c r="J9878" s="1">
        <v>46072.519224537034</v>
      </c>
    </row>
    <row r="9879" spans="1:10" x14ac:dyDescent="0.2">
      <c r="A9879" s="4" t="s">
        <v>1</v>
      </c>
      <c r="B9879" s="3" t="str">
        <f>HYPERLINK("https://otsuka-europe-crm.veevavault.com/ui/#object/approved_document__v/V5O00000000L011", "Libro IA en psiquiatría")</f>
        <v>Libro IA en psiquiatría</v>
      </c>
      <c r="C9879" s="3" t="str">
        <f>HYPERLINK("https://otsuka-europe-crm.veevavault.com/ui/#object/sent_email__v/VBL00000001D659", "SE-001405087")</f>
        <v>SE-001405087</v>
      </c>
      <c r="D9879" s="1">
        <v>46078.247395833336</v>
      </c>
      <c r="E9879" s="2">
        <v>1</v>
      </c>
      <c r="F9879" s="2">
        <v>16</v>
      </c>
      <c r="G9879" s="2">
        <v>1</v>
      </c>
      <c r="H9879" s="1">
        <v>46076.477141203701</v>
      </c>
      <c r="I9879" s="2">
        <v>2</v>
      </c>
      <c r="J9879" s="1">
        <v>46072.51939814815</v>
      </c>
    </row>
    <row r="9880" spans="1:10" x14ac:dyDescent="0.2">
      <c r="A9880" s="4" t="s">
        <v>1</v>
      </c>
      <c r="B9880" s="3" t="str">
        <f>HYPERLINK("https://otsuka-europe-crm.veevavault.com/ui/#object/approved_document__v/V5O00000000L011", "Libro IA en psiquiatría")</f>
        <v>Libro IA en psiquiatría</v>
      </c>
      <c r="C9880" s="3" t="str">
        <f>HYPERLINK("https://otsuka-europe-crm.veevavault.com/ui/#object/sent_email__v/VBL00000001D660", "SE-001405088")</f>
        <v>SE-001405088</v>
      </c>
      <c r="D9880" s="1">
        <v>46072.974641203706</v>
      </c>
      <c r="E9880" s="2">
        <v>1</v>
      </c>
      <c r="F9880" s="2">
        <v>1</v>
      </c>
      <c r="G9880" s="2">
        <v>0</v>
      </c>
      <c r="H9880" s="1" t="s">
        <v>0</v>
      </c>
      <c r="I9880" s="2">
        <v>0</v>
      </c>
      <c r="J9880" s="1">
        <v>46072.519560185188</v>
      </c>
    </row>
    <row r="9881" spans="1:10" x14ac:dyDescent="0.2">
      <c r="A9881" s="4" t="s">
        <v>1</v>
      </c>
      <c r="B9881" s="3" t="str">
        <f>HYPERLINK("https://otsuka-europe-crm.veevavault.com/ui/#object/approved_document__v/V5O00000000L011", "Libro IA en psiquiatría")</f>
        <v>Libro IA en psiquiatría</v>
      </c>
      <c r="C9881" s="3" t="str">
        <f>HYPERLINK("https://otsuka-europe-crm.veevavault.com/ui/#object/sent_email__v/VBL00000001D661", "SE-001405089")</f>
        <v>SE-001405089</v>
      </c>
      <c r="D9881" s="1" t="s">
        <v>0</v>
      </c>
      <c r="E9881" s="2">
        <v>0</v>
      </c>
      <c r="F9881" s="2">
        <v>0</v>
      </c>
      <c r="G9881" s="2">
        <v>0</v>
      </c>
      <c r="H9881" s="1" t="s">
        <v>0</v>
      </c>
      <c r="I9881" s="2">
        <v>0</v>
      </c>
      <c r="J9881" s="1">
        <v>46072.51971064815</v>
      </c>
    </row>
    <row r="9882" spans="1:10" x14ac:dyDescent="0.2">
      <c r="A9882" s="4" t="s">
        <v>1</v>
      </c>
      <c r="B9882" s="3" t="str">
        <f>HYPERLINK("https://otsuka-europe-crm.veevavault.com/ui/#object/approved_document__v/V5O00000000L011", "Libro IA en psiquiatría")</f>
        <v>Libro IA en psiquiatría</v>
      </c>
      <c r="C9882" s="3" t="str">
        <f>HYPERLINK("https://otsuka-europe-crm.veevavault.com/ui/#object/sent_email__v/VBL00000001D662", "SE-001405090")</f>
        <v>SE-001405090</v>
      </c>
      <c r="D9882" s="1" t="s">
        <v>0</v>
      </c>
      <c r="E9882" s="2">
        <v>0</v>
      </c>
      <c r="F9882" s="2">
        <v>0</v>
      </c>
      <c r="G9882" s="2">
        <v>0</v>
      </c>
      <c r="H9882" s="1" t="s">
        <v>0</v>
      </c>
      <c r="I9882" s="2">
        <v>0</v>
      </c>
      <c r="J9882" s="1">
        <v>46072.519895833335</v>
      </c>
    </row>
    <row r="9883" spans="1:10" x14ac:dyDescent="0.2">
      <c r="A9883" s="4" t="s">
        <v>1</v>
      </c>
      <c r="B9883" s="3" t="str">
        <f>HYPERLINK("https://otsuka-europe-crm.veevavault.com/ui/#object/approved_document__v/V5O00000000L011", "Libro IA en psiquiatría")</f>
        <v>Libro IA en psiquiatría</v>
      </c>
      <c r="C9883" s="3" t="str">
        <f>HYPERLINK("https://otsuka-europe-crm.veevavault.com/ui/#object/sent_email__v/VBL00000001D663", "SE-001405091")</f>
        <v>SE-001405091</v>
      </c>
      <c r="D9883" s="1" t="s">
        <v>0</v>
      </c>
      <c r="E9883" s="2">
        <v>0</v>
      </c>
      <c r="F9883" s="2">
        <v>0</v>
      </c>
      <c r="G9883" s="2">
        <v>0</v>
      </c>
      <c r="H9883" s="1" t="s">
        <v>0</v>
      </c>
      <c r="I9883" s="2">
        <v>0</v>
      </c>
      <c r="J9883" s="1">
        <v>46072.520046296297</v>
      </c>
    </row>
    <row r="9884" spans="1:10" x14ac:dyDescent="0.2">
      <c r="A9884" s="4" t="s">
        <v>1</v>
      </c>
      <c r="B9884" s="3" t="str">
        <f>HYPERLINK("https://otsuka-europe-crm.veevavault.com/ui/#object/approved_document__v/V5O00000000L011", "Libro IA en psiquiatría")</f>
        <v>Libro IA en psiquiatría</v>
      </c>
      <c r="C9884" s="3" t="str">
        <f>HYPERLINK("https://otsuka-europe-crm.veevavault.com/ui/#object/sent_email__v/VBL00000001D664", "SE-001405092")</f>
        <v>SE-001405092</v>
      </c>
      <c r="D9884" s="1" t="s">
        <v>0</v>
      </c>
      <c r="E9884" s="2">
        <v>0</v>
      </c>
      <c r="F9884" s="2">
        <v>0</v>
      </c>
      <c r="G9884" s="2">
        <v>0</v>
      </c>
      <c r="H9884" s="1" t="s">
        <v>0</v>
      </c>
      <c r="I9884" s="2">
        <v>0</v>
      </c>
      <c r="J9884" s="1">
        <v>46072.520219907405</v>
      </c>
    </row>
    <row r="9885" spans="1:10" x14ac:dyDescent="0.2">
      <c r="A9885" s="4" t="s">
        <v>1</v>
      </c>
      <c r="B9885" s="3" t="str">
        <f>HYPERLINK("https://otsuka-europe-crm.veevavault.com/ui/#object/approved_document__v/V5O00000000L011", "Libro IA en psiquiatría")</f>
        <v>Libro IA en psiquiatría</v>
      </c>
      <c r="C9885" s="3" t="str">
        <f>HYPERLINK("https://otsuka-europe-crm.veevavault.com/ui/#object/sent_email__v/VBL00000001D665", "SE-001405093")</f>
        <v>SE-001405093</v>
      </c>
      <c r="D9885" s="1">
        <v>46077.740567129629</v>
      </c>
      <c r="E9885" s="2">
        <v>1</v>
      </c>
      <c r="F9885" s="2">
        <v>3</v>
      </c>
      <c r="G9885" s="2">
        <v>1</v>
      </c>
      <c r="H9885" s="1">
        <v>46074.521840277775</v>
      </c>
      <c r="I9885" s="2">
        <v>2</v>
      </c>
      <c r="J9885" s="1">
        <v>46072.520381944443</v>
      </c>
    </row>
    <row r="9886" spans="1:10" x14ac:dyDescent="0.2">
      <c r="A9886" s="4" t="s">
        <v>1</v>
      </c>
      <c r="B9886" s="3" t="str">
        <f>HYPERLINK("https://otsuka-europe-crm.veevavault.com/ui/#object/approved_document__v/V5O00000000L011", "Libro IA en psiquiatría")</f>
        <v>Libro IA en psiquiatría</v>
      </c>
      <c r="C9886" s="3" t="str">
        <f>HYPERLINK("https://otsuka-europe-crm.veevavault.com/ui/#object/sent_email__v/VBL00000001D666", "SE-001405094")</f>
        <v>SE-001405094</v>
      </c>
      <c r="D9886" s="1">
        <v>46072.628425925926</v>
      </c>
      <c r="E9886" s="2">
        <v>1</v>
      </c>
      <c r="F9886" s="2">
        <v>1</v>
      </c>
      <c r="G9886" s="2">
        <v>0</v>
      </c>
      <c r="H9886" s="1" t="s">
        <v>0</v>
      </c>
      <c r="I9886" s="2">
        <v>0</v>
      </c>
      <c r="J9886" s="1">
        <v>46072.520543981482</v>
      </c>
    </row>
    <row r="9887" spans="1:10" x14ac:dyDescent="0.2">
      <c r="A9887" s="4" t="s">
        <v>1</v>
      </c>
      <c r="B9887" s="3" t="str">
        <f>HYPERLINK("https://otsuka-europe-crm.veevavault.com/ui/#object/approved_document__v/V5O00000000L011", "Libro IA en psiquiatría")</f>
        <v>Libro IA en psiquiatría</v>
      </c>
      <c r="C9887" s="3" t="str">
        <f>HYPERLINK("https://otsuka-europe-crm.veevavault.com/ui/#object/sent_email__v/VBL00000001D667", "SE-001405095")</f>
        <v>SE-001405095</v>
      </c>
      <c r="D9887" s="1" t="s">
        <v>0</v>
      </c>
      <c r="E9887" s="2">
        <v>0</v>
      </c>
      <c r="F9887" s="2">
        <v>0</v>
      </c>
      <c r="G9887" s="2">
        <v>0</v>
      </c>
      <c r="H9887" s="1" t="s">
        <v>0</v>
      </c>
      <c r="I9887" s="2">
        <v>0</v>
      </c>
      <c r="J9887" s="1">
        <v>46072.52070601852</v>
      </c>
    </row>
    <row r="9888" spans="1:10" x14ac:dyDescent="0.2">
      <c r="A9888" s="4" t="s">
        <v>1</v>
      </c>
      <c r="B9888" s="3" t="str">
        <f>HYPERLINK("https://otsuka-europe-crm.veevavault.com/ui/#object/approved_document__v/V5O00000000L011", "Libro IA en psiquiatría")</f>
        <v>Libro IA en psiquiatría</v>
      </c>
      <c r="C9888" s="3" t="str">
        <f>HYPERLINK("https://otsuka-europe-crm.veevavault.com/ui/#object/sent_email__v/VBL00000001D668", "SE-001405096")</f>
        <v>SE-001405096</v>
      </c>
      <c r="D9888" s="1">
        <v>46078.068668981483</v>
      </c>
      <c r="E9888" s="2">
        <v>1</v>
      </c>
      <c r="F9888" s="2">
        <v>2</v>
      </c>
      <c r="G9888" s="2">
        <v>0</v>
      </c>
      <c r="H9888" s="1" t="s">
        <v>0</v>
      </c>
      <c r="I9888" s="2">
        <v>0</v>
      </c>
      <c r="J9888" s="1">
        <v>46072.520902777775</v>
      </c>
    </row>
    <row r="9889" spans="1:10" x14ac:dyDescent="0.2">
      <c r="A9889" s="4" t="s">
        <v>1</v>
      </c>
      <c r="B9889" s="3" t="str">
        <f>HYPERLINK("https://otsuka-europe-crm.veevavault.com/ui/#object/approved_document__v/V5O00000000L011", "Libro IA en psiquiatría")</f>
        <v>Libro IA en psiquiatría</v>
      </c>
      <c r="C9889" s="3" t="str">
        <f>HYPERLINK("https://otsuka-europe-crm.veevavault.com/ui/#object/sent_email__v/VBL00000001D669", "SE-001405097")</f>
        <v>SE-001405097</v>
      </c>
      <c r="D9889" s="1">
        <v>46072.617384259262</v>
      </c>
      <c r="E9889" s="2">
        <v>1</v>
      </c>
      <c r="F9889" s="2">
        <v>1</v>
      </c>
      <c r="G9889" s="2">
        <v>0</v>
      </c>
      <c r="H9889" s="1" t="s">
        <v>0</v>
      </c>
      <c r="I9889" s="2">
        <v>0</v>
      </c>
      <c r="J9889" s="1">
        <v>46072.521064814813</v>
      </c>
    </row>
    <row r="9890" spans="1:10" x14ac:dyDescent="0.2">
      <c r="A9890" s="4" t="s">
        <v>1</v>
      </c>
      <c r="B9890" s="3" t="str">
        <f>HYPERLINK("https://otsuka-europe-crm.veevavault.com/ui/#object/approved_document__v/V5O00000000L011", "Libro IA en psiquiatría")</f>
        <v>Libro IA en psiquiatría</v>
      </c>
      <c r="C9890" s="3" t="str">
        <f>HYPERLINK("https://otsuka-europe-crm.veevavault.com/ui/#object/sent_email__v/VBL00000001D670", "SE-001405098")</f>
        <v>SE-001405098</v>
      </c>
      <c r="D9890" s="1">
        <v>46072.84952546296</v>
      </c>
      <c r="E9890" s="2">
        <v>1</v>
      </c>
      <c r="F9890" s="2">
        <v>1</v>
      </c>
      <c r="G9890" s="2">
        <v>0</v>
      </c>
      <c r="H9890" s="1" t="s">
        <v>0</v>
      </c>
      <c r="I9890" s="2">
        <v>0</v>
      </c>
      <c r="J9890" s="1">
        <v>46072.521226851852</v>
      </c>
    </row>
    <row r="9891" spans="1:10" x14ac:dyDescent="0.2">
      <c r="A9891" s="4" t="s">
        <v>1</v>
      </c>
      <c r="B9891" s="3" t="str">
        <f>HYPERLINK("https://otsuka-europe-crm.veevavault.com/ui/#object/approved_document__v/V5O00000000L011", "Libro IA en psiquiatría")</f>
        <v>Libro IA en psiquiatría</v>
      </c>
      <c r="C9891" s="3" t="str">
        <f>HYPERLINK("https://otsuka-europe-crm.veevavault.com/ui/#object/sent_email__v/VBL00000001D671", "SE-001405099")</f>
        <v>SE-001405099</v>
      </c>
      <c r="D9891" s="1" t="s">
        <v>0</v>
      </c>
      <c r="E9891" s="2">
        <v>0</v>
      </c>
      <c r="F9891" s="2">
        <v>0</v>
      </c>
      <c r="G9891" s="2">
        <v>0</v>
      </c>
      <c r="H9891" s="1" t="s">
        <v>0</v>
      </c>
      <c r="I9891" s="2">
        <v>0</v>
      </c>
      <c r="J9891" s="1">
        <v>46072.521423611113</v>
      </c>
    </row>
    <row r="9892" spans="1:10" x14ac:dyDescent="0.2">
      <c r="A9892" s="4" t="s">
        <v>1</v>
      </c>
      <c r="B9892" s="3" t="str">
        <f>HYPERLINK("https://otsuka-europe-crm.veevavault.com/ui/#object/approved_document__v/V5O00000000L011", "Libro IA en psiquiatría")</f>
        <v>Libro IA en psiquiatría</v>
      </c>
      <c r="C9892" s="3" t="str">
        <f>HYPERLINK("https://otsuka-europe-crm.veevavault.com/ui/#object/sent_email__v/VBL00000001D672", "SE-001405100")</f>
        <v>SE-001405100</v>
      </c>
      <c r="D9892" s="1" t="s">
        <v>0</v>
      </c>
      <c r="E9892" s="2">
        <v>0</v>
      </c>
      <c r="F9892" s="2">
        <v>0</v>
      </c>
      <c r="G9892" s="2">
        <v>0</v>
      </c>
      <c r="H9892" s="1" t="s">
        <v>0</v>
      </c>
      <c r="I9892" s="2">
        <v>0</v>
      </c>
      <c r="J9892" s="1">
        <v>46072.521574074075</v>
      </c>
    </row>
    <row r="9893" spans="1:10" x14ac:dyDescent="0.2">
      <c r="A9893" s="4" t="s">
        <v>1</v>
      </c>
      <c r="B9893" s="3" t="str">
        <f>HYPERLINK("https://otsuka-europe-crm.veevavault.com/ui/#object/approved_document__v/V5O00000000L011", "Libro IA en psiquiatría")</f>
        <v>Libro IA en psiquiatría</v>
      </c>
      <c r="C9893" s="3" t="str">
        <f>HYPERLINK("https://otsuka-europe-crm.veevavault.com/ui/#object/sent_email__v/VBL00000001D673", "SE-001405101")</f>
        <v>SE-001405101</v>
      </c>
      <c r="D9893" s="1" t="s">
        <v>0</v>
      </c>
      <c r="E9893" s="2">
        <v>0</v>
      </c>
      <c r="F9893" s="2">
        <v>0</v>
      </c>
      <c r="G9893" s="2">
        <v>0</v>
      </c>
      <c r="H9893" s="1" t="s">
        <v>0</v>
      </c>
      <c r="I9893" s="2">
        <v>0</v>
      </c>
      <c r="J9893" s="1">
        <v>46072.521736111114</v>
      </c>
    </row>
    <row r="9894" spans="1:10" x14ac:dyDescent="0.2">
      <c r="A9894" s="4" t="s">
        <v>1</v>
      </c>
      <c r="B9894" s="3" t="str">
        <f>HYPERLINK("https://otsuka-europe-crm.veevavault.com/ui/#object/approved_document__v/V5O00000000L011", "Libro IA en psiquiatría")</f>
        <v>Libro IA en psiquiatría</v>
      </c>
      <c r="C9894" s="3" t="str">
        <f>HYPERLINK("https://otsuka-europe-crm.veevavault.com/ui/#object/sent_email__v/VBL00000001D674", "SE-001405102")</f>
        <v>SE-001405102</v>
      </c>
      <c r="D9894" s="1">
        <v>46072.590810185182</v>
      </c>
      <c r="E9894" s="2">
        <v>1</v>
      </c>
      <c r="F9894" s="2">
        <v>1</v>
      </c>
      <c r="G9894" s="2">
        <v>0</v>
      </c>
      <c r="H9894" s="1" t="s">
        <v>0</v>
      </c>
      <c r="I9894" s="2">
        <v>0</v>
      </c>
      <c r="J9894" s="1">
        <v>46072.521898148145</v>
      </c>
    </row>
    <row r="9895" spans="1:10" x14ac:dyDescent="0.2">
      <c r="A9895" s="4" t="s">
        <v>1</v>
      </c>
      <c r="B9895" s="3" t="str">
        <f>HYPERLINK("https://otsuka-europe-crm.veevavault.com/ui/#object/approved_document__v/V5O00000000L011", "Libro IA en psiquiatría")</f>
        <v>Libro IA en psiquiatría</v>
      </c>
      <c r="C9895" s="3" t="str">
        <f>HYPERLINK("https://otsuka-europe-crm.veevavault.com/ui/#object/sent_email__v/VBL00000001D675", "SE-001405103")</f>
        <v>SE-001405103</v>
      </c>
      <c r="D9895" s="1">
        <v>46073.229363425926</v>
      </c>
      <c r="E9895" s="2">
        <v>1</v>
      </c>
      <c r="F9895" s="2">
        <v>1</v>
      </c>
      <c r="G9895" s="2">
        <v>0</v>
      </c>
      <c r="H9895" s="1" t="s">
        <v>0</v>
      </c>
      <c r="I9895" s="2">
        <v>0</v>
      </c>
      <c r="J9895" s="1">
        <v>46072.522060185183</v>
      </c>
    </row>
    <row r="9896" spans="1:10" x14ac:dyDescent="0.2">
      <c r="A9896" s="4" t="s">
        <v>1</v>
      </c>
      <c r="B9896" s="3" t="str">
        <f>HYPERLINK("https://otsuka-europe-crm.veevavault.com/ui/#object/approved_document__v/V5O00000000L011", "Libro IA en psiquiatría")</f>
        <v>Libro IA en psiquiatría</v>
      </c>
      <c r="C9896" s="3" t="str">
        <f>HYPERLINK("https://otsuka-europe-crm.veevavault.com/ui/#object/sent_email__v/VBL00000001D676", "SE-001405104")</f>
        <v>SE-001405104</v>
      </c>
      <c r="D9896" s="1" t="s">
        <v>0</v>
      </c>
      <c r="E9896" s="2">
        <v>0</v>
      </c>
      <c r="F9896" s="2">
        <v>0</v>
      </c>
      <c r="G9896" s="2">
        <v>0</v>
      </c>
      <c r="H9896" s="1" t="s">
        <v>0</v>
      </c>
      <c r="I9896" s="2">
        <v>0</v>
      </c>
      <c r="J9896" s="1">
        <v>46072.522245370368</v>
      </c>
    </row>
    <row r="9897" spans="1:10" x14ac:dyDescent="0.2">
      <c r="A9897" s="4" t="s">
        <v>1</v>
      </c>
      <c r="B9897" s="3" t="str">
        <f>HYPERLINK("https://otsuka-europe-crm.veevavault.com/ui/#object/approved_document__v/V5O00000000L011", "Libro IA en psiquiatría")</f>
        <v>Libro IA en psiquiatría</v>
      </c>
      <c r="C9897" s="3" t="str">
        <f>HYPERLINK("https://otsuka-europe-crm.veevavault.com/ui/#object/sent_email__v/VBL00000001D677", "SE-001405105")</f>
        <v>SE-001405105</v>
      </c>
      <c r="D9897" s="1" t="s">
        <v>0</v>
      </c>
      <c r="E9897" s="2">
        <v>0</v>
      </c>
      <c r="F9897" s="2">
        <v>0</v>
      </c>
      <c r="G9897" s="2">
        <v>0</v>
      </c>
      <c r="H9897" s="1" t="s">
        <v>0</v>
      </c>
      <c r="I9897" s="2">
        <v>0</v>
      </c>
      <c r="J9897" s="1">
        <v>46072.511284722219</v>
      </c>
    </row>
    <row r="9898" spans="1:10" x14ac:dyDescent="0.2">
      <c r="A9898" s="4" t="s">
        <v>1</v>
      </c>
      <c r="B9898" s="3" t="str">
        <f>HYPERLINK("https://otsuka-europe-crm.veevavault.com/ui/#object/approved_document__v/V5O00000000L011", "Libro IA en psiquiatría")</f>
        <v>Libro IA en psiquiatría</v>
      </c>
      <c r="C9898" s="3" t="str">
        <f>HYPERLINK("https://otsuka-europe-crm.veevavault.com/ui/#object/sent_email__v/VBL00000001D678", "SE-001405106")</f>
        <v>SE-001405106</v>
      </c>
      <c r="D9898" s="1">
        <v>46072.515023148146</v>
      </c>
      <c r="E9898" s="2">
        <v>1</v>
      </c>
      <c r="F9898" s="2">
        <v>1</v>
      </c>
      <c r="G9898" s="2">
        <v>0</v>
      </c>
      <c r="H9898" s="1" t="s">
        <v>0</v>
      </c>
      <c r="I9898" s="2">
        <v>0</v>
      </c>
      <c r="J9898" s="1">
        <v>46072.511446759258</v>
      </c>
    </row>
    <row r="9899" spans="1:10" x14ac:dyDescent="0.2">
      <c r="A9899" s="4" t="s">
        <v>1</v>
      </c>
      <c r="B9899" s="3" t="str">
        <f>HYPERLINK("https://otsuka-europe-crm.veevavault.com/ui/#object/approved_document__v/V5O00000000L011", "Libro IA en psiquiatría")</f>
        <v>Libro IA en psiquiatría</v>
      </c>
      <c r="C9899" s="3" t="str">
        <f>HYPERLINK("https://otsuka-europe-crm.veevavault.com/ui/#object/sent_email__v/VBL00000001D679", "SE-001405107")</f>
        <v>SE-001405107</v>
      </c>
      <c r="D9899" s="1">
        <v>46072.780150462961</v>
      </c>
      <c r="E9899" s="2">
        <v>1</v>
      </c>
      <c r="F9899" s="2">
        <v>2</v>
      </c>
      <c r="G9899" s="2">
        <v>0</v>
      </c>
      <c r="H9899" s="1" t="s">
        <v>0</v>
      </c>
      <c r="I9899" s="2">
        <v>0</v>
      </c>
      <c r="J9899" s="1">
        <v>46072.511620370373</v>
      </c>
    </row>
    <row r="9900" spans="1:10" x14ac:dyDescent="0.2">
      <c r="A9900" s="4" t="s">
        <v>1</v>
      </c>
      <c r="B9900" s="3" t="str">
        <f>HYPERLINK("https://otsuka-europe-crm.veevavault.com/ui/#object/approved_document__v/V5O00000000L011", "Libro IA en psiquiatría")</f>
        <v>Libro IA en psiquiatría</v>
      </c>
      <c r="C9900" s="3" t="str">
        <f>HYPERLINK("https://otsuka-europe-crm.veevavault.com/ui/#object/sent_email__v/VBL00000001D680", "SE-001405108")</f>
        <v>SE-001405108</v>
      </c>
      <c r="D9900" s="1">
        <v>46072.622048611112</v>
      </c>
      <c r="E9900" s="2">
        <v>1</v>
      </c>
      <c r="F9900" s="2">
        <v>1</v>
      </c>
      <c r="G9900" s="2">
        <v>1</v>
      </c>
      <c r="H9900" s="1">
        <v>46072.622048611112</v>
      </c>
      <c r="I9900" s="2">
        <v>1</v>
      </c>
      <c r="J9900" s="1">
        <v>46072.511782407404</v>
      </c>
    </row>
    <row r="9901" spans="1:10" x14ac:dyDescent="0.2">
      <c r="A9901" s="4" t="s">
        <v>1</v>
      </c>
      <c r="B9901" s="3" t="str">
        <f>HYPERLINK("https://otsuka-europe-crm.veevavault.com/ui/#object/approved_document__v/V5O00000000L011", "Libro IA en psiquiatría")</f>
        <v>Libro IA en psiquiatría</v>
      </c>
      <c r="C9901" s="3" t="str">
        <f>HYPERLINK("https://otsuka-europe-crm.veevavault.com/ui/#object/sent_email__v/VBL00000001D681", "SE-001405109")</f>
        <v>SE-001405109</v>
      </c>
      <c r="D9901" s="1" t="s">
        <v>0</v>
      </c>
      <c r="E9901" s="2">
        <v>0</v>
      </c>
      <c r="F9901" s="2">
        <v>0</v>
      </c>
      <c r="G9901" s="2">
        <v>0</v>
      </c>
      <c r="H9901" s="1" t="s">
        <v>0</v>
      </c>
      <c r="I9901" s="2">
        <v>0</v>
      </c>
      <c r="J9901" s="1">
        <v>46072.511944444443</v>
      </c>
    </row>
    <row r="9902" spans="1:10" x14ac:dyDescent="0.2">
      <c r="A9902" s="4" t="s">
        <v>1</v>
      </c>
      <c r="B9902" s="3" t="str">
        <f>HYPERLINK("https://otsuka-europe-crm.veevavault.com/ui/#object/approved_document__v/V5O00000000L011", "Libro IA en psiquiatría")</f>
        <v>Libro IA en psiquiatría</v>
      </c>
      <c r="C9902" s="3" t="str">
        <f>HYPERLINK("https://otsuka-europe-crm.veevavault.com/ui/#object/sent_email__v/VBL00000001D682", "SE-001405110")</f>
        <v>SE-001405110</v>
      </c>
      <c r="D9902" s="1">
        <v>46076.702662037038</v>
      </c>
      <c r="E9902" s="2">
        <v>1</v>
      </c>
      <c r="F9902" s="2">
        <v>3</v>
      </c>
      <c r="G9902" s="2">
        <v>0</v>
      </c>
      <c r="H9902" s="1" t="s">
        <v>0</v>
      </c>
      <c r="I9902" s="2">
        <v>0</v>
      </c>
      <c r="J9902" s="1">
        <v>46072.512118055558</v>
      </c>
    </row>
    <row r="9903" spans="1:10" x14ac:dyDescent="0.2">
      <c r="A9903" s="4" t="s">
        <v>1</v>
      </c>
      <c r="B9903" s="3" t="str">
        <f>HYPERLINK("https://otsuka-europe-crm.veevavault.com/ui/#object/approved_document__v/V5O00000000L011", "Libro IA en psiquiatría")</f>
        <v>Libro IA en psiquiatría</v>
      </c>
      <c r="C9903" s="3" t="str">
        <f>HYPERLINK("https://otsuka-europe-crm.veevavault.com/ui/#object/sent_email__v/VBL00000001D683", "SE-001405111")</f>
        <v>SE-001405111</v>
      </c>
      <c r="D9903" s="1">
        <v>46074.899212962962</v>
      </c>
      <c r="E9903" s="2">
        <v>1</v>
      </c>
      <c r="F9903" s="2">
        <v>2</v>
      </c>
      <c r="G9903" s="2">
        <v>0</v>
      </c>
      <c r="H9903" s="1" t="s">
        <v>0</v>
      </c>
      <c r="I9903" s="2">
        <v>0</v>
      </c>
      <c r="J9903" s="1">
        <v>46072.512280092589</v>
      </c>
    </row>
    <row r="9904" spans="1:10" x14ac:dyDescent="0.2">
      <c r="A9904" s="4" t="s">
        <v>1</v>
      </c>
      <c r="B9904" s="3" t="str">
        <f>HYPERLINK("https://otsuka-europe-crm.veevavault.com/ui/#object/approved_document__v/V5O00000000L011", "Libro IA en psiquiatría")</f>
        <v>Libro IA en psiquiatría</v>
      </c>
      <c r="C9904" s="3" t="str">
        <f>HYPERLINK("https://otsuka-europe-crm.veevavault.com/ui/#object/sent_email__v/VBL00000001D684", "SE-001405112")</f>
        <v>SE-001405112</v>
      </c>
      <c r="D9904" s="1" t="s">
        <v>0</v>
      </c>
      <c r="E9904" s="2">
        <v>0</v>
      </c>
      <c r="F9904" s="2">
        <v>0</v>
      </c>
      <c r="G9904" s="2">
        <v>0</v>
      </c>
      <c r="H9904" s="1" t="s">
        <v>0</v>
      </c>
      <c r="I9904" s="2">
        <v>0</v>
      </c>
      <c r="J9904" s="1">
        <v>46072.512442129628</v>
      </c>
    </row>
    <row r="9905" spans="1:10" x14ac:dyDescent="0.2">
      <c r="A9905" s="4" t="s">
        <v>1</v>
      </c>
      <c r="B9905" s="3" t="str">
        <f>HYPERLINK("https://otsuka-europe-crm.veevavault.com/ui/#object/approved_document__v/V5O00000000L011", "Libro IA en psiquiatría")</f>
        <v>Libro IA en psiquiatría</v>
      </c>
      <c r="C9905" s="3" t="str">
        <f>HYPERLINK("https://otsuka-europe-crm.veevavault.com/ui/#object/sent_email__v/VBL00000001D685", "SE-001405113")</f>
        <v>SE-001405113</v>
      </c>
      <c r="D9905" s="1" t="s">
        <v>0</v>
      </c>
      <c r="E9905" s="2">
        <v>0</v>
      </c>
      <c r="F9905" s="2">
        <v>0</v>
      </c>
      <c r="G9905" s="2">
        <v>0</v>
      </c>
      <c r="H9905" s="1" t="s">
        <v>0</v>
      </c>
      <c r="I9905" s="2">
        <v>0</v>
      </c>
      <c r="J9905" s="1">
        <v>46072.512615740743</v>
      </c>
    </row>
    <row r="9906" spans="1:10" x14ac:dyDescent="0.2">
      <c r="A9906" s="4" t="s">
        <v>1</v>
      </c>
      <c r="B9906" s="3" t="str">
        <f>HYPERLINK("https://otsuka-europe-crm.veevavault.com/ui/#object/approved_document__v/V5O00000000L011", "Libro IA en psiquiatría")</f>
        <v>Libro IA en psiquiatría</v>
      </c>
      <c r="C9906" s="3" t="str">
        <f>HYPERLINK("https://otsuka-europe-crm.veevavault.com/ui/#object/sent_email__v/VBL00000001D686", "SE-001405114")</f>
        <v>SE-001405114</v>
      </c>
      <c r="D9906" s="1" t="s">
        <v>0</v>
      </c>
      <c r="E9906" s="2">
        <v>0</v>
      </c>
      <c r="F9906" s="2">
        <v>0</v>
      </c>
      <c r="G9906" s="2">
        <v>0</v>
      </c>
      <c r="H9906" s="1" t="s">
        <v>0</v>
      </c>
      <c r="I9906" s="2">
        <v>0</v>
      </c>
      <c r="J9906" s="1">
        <v>46072.512777777774</v>
      </c>
    </row>
    <row r="9907" spans="1:10" x14ac:dyDescent="0.2">
      <c r="A9907" s="4" t="s">
        <v>1</v>
      </c>
      <c r="B9907" s="3" t="str">
        <f>HYPERLINK("https://otsuka-europe-crm.veevavault.com/ui/#object/approved_document__v/V5O00000000L011", "Libro IA en psiquiatría")</f>
        <v>Libro IA en psiquiatría</v>
      </c>
      <c r="C9907" s="3" t="str">
        <f>HYPERLINK("https://otsuka-europe-crm.veevavault.com/ui/#object/sent_email__v/VBL00000001D687", "SE-001405115")</f>
        <v>SE-001405115</v>
      </c>
      <c r="D9907" s="1" t="s">
        <v>0</v>
      </c>
      <c r="E9907" s="2">
        <v>0</v>
      </c>
      <c r="F9907" s="2">
        <v>0</v>
      </c>
      <c r="G9907" s="2">
        <v>0</v>
      </c>
      <c r="H9907" s="1" t="s">
        <v>0</v>
      </c>
      <c r="I9907" s="2">
        <v>0</v>
      </c>
      <c r="J9907" s="1">
        <v>46072.512939814813</v>
      </c>
    </row>
    <row r="9908" spans="1:10" x14ac:dyDescent="0.2">
      <c r="A9908" s="4" t="s">
        <v>1</v>
      </c>
      <c r="B9908" s="3" t="str">
        <f>HYPERLINK("https://otsuka-europe-crm.veevavault.com/ui/#object/approved_document__v/V5O000000007002", "LUP - 10 cuestiones para pensar: ¿Dónde quedó la lesión vascular? - nefro")</f>
        <v>LUP - 10 cuestiones para pensar: ¿Dónde quedó la lesión vascular? - nefro</v>
      </c>
      <c r="C9908" s="3" t="str">
        <f>HYPERLINK("https://otsuka-europe-crm.veevavault.com/ui/#object/sent_email__v/VBL00000000J939", "SE-001389478")</f>
        <v>SE-001389478</v>
      </c>
      <c r="D9908" s="1" t="s">
        <v>0</v>
      </c>
      <c r="E9908" s="2">
        <v>0</v>
      </c>
      <c r="F9908" s="2">
        <v>0</v>
      </c>
      <c r="G9908" s="2">
        <v>0</v>
      </c>
      <c r="H9908" s="1" t="s">
        <v>0</v>
      </c>
      <c r="I9908" s="2">
        <v>0</v>
      </c>
      <c r="J9908" s="1">
        <v>45973.34003472222</v>
      </c>
    </row>
    <row r="9909" spans="1:10" x14ac:dyDescent="0.2">
      <c r="A9909" s="4" t="s">
        <v>1</v>
      </c>
      <c r="B990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09" s="3" t="str">
        <f>HYPERLINK("https://otsuka-europe-crm.veevavault.com/ui/#object/sent_email__v/VBL00000000J951", "SE-001389491")</f>
        <v>SE-001389491</v>
      </c>
      <c r="D9909" s="1" t="s">
        <v>0</v>
      </c>
      <c r="E9909" s="2">
        <v>0</v>
      </c>
      <c r="F9909" s="2">
        <v>0</v>
      </c>
      <c r="G9909" s="2">
        <v>0</v>
      </c>
      <c r="H9909" s="1" t="s">
        <v>0</v>
      </c>
      <c r="I9909" s="2">
        <v>0</v>
      </c>
      <c r="J9909" s="1">
        <v>45973.420439814814</v>
      </c>
    </row>
    <row r="9910" spans="1:10" x14ac:dyDescent="0.2">
      <c r="A9910" s="4" t="s">
        <v>1</v>
      </c>
      <c r="B991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10" s="3" t="str">
        <f>HYPERLINK("https://otsuka-europe-crm.veevavault.com/ui/#object/sent_email__v/VBL00000000M506", "SE-001389550")</f>
        <v>SE-001389550</v>
      </c>
      <c r="D9910" s="1" t="s">
        <v>0</v>
      </c>
      <c r="E9910" s="2">
        <v>0</v>
      </c>
      <c r="F9910" s="2">
        <v>0</v>
      </c>
      <c r="G9910" s="2">
        <v>0</v>
      </c>
      <c r="H9910" s="1" t="s">
        <v>0</v>
      </c>
      <c r="I9910" s="2">
        <v>0</v>
      </c>
      <c r="J9910" s="1">
        <v>45973.581192129626</v>
      </c>
    </row>
    <row r="9911" spans="1:10" x14ac:dyDescent="0.2">
      <c r="A9911" s="4" t="s">
        <v>1</v>
      </c>
      <c r="B991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11" s="3" t="str">
        <f>HYPERLINK("https://otsuka-europe-crm.veevavault.com/ui/#object/sent_email__v/VBL00000000M507", "SE-001389551")</f>
        <v>SE-001389551</v>
      </c>
      <c r="D9911" s="1" t="s">
        <v>0</v>
      </c>
      <c r="E9911" s="2">
        <v>0</v>
      </c>
      <c r="F9911" s="2">
        <v>0</v>
      </c>
      <c r="G9911" s="2">
        <v>0</v>
      </c>
      <c r="H9911" s="1" t="s">
        <v>0</v>
      </c>
      <c r="I9911" s="2">
        <v>0</v>
      </c>
      <c r="J9911" s="1">
        <v>45973.581238425926</v>
      </c>
    </row>
    <row r="9912" spans="1:10" x14ac:dyDescent="0.2">
      <c r="A9912" s="4" t="s">
        <v>1</v>
      </c>
      <c r="B991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12" s="3" t="str">
        <f>HYPERLINK("https://otsuka-europe-crm.veevavault.com/ui/#object/sent_email__v/VBL00000000J982", "SE-001389552")</f>
        <v>SE-001389552</v>
      </c>
      <c r="D9912" s="1">
        <v>45973.621469907404</v>
      </c>
      <c r="E9912" s="2">
        <v>1</v>
      </c>
      <c r="F9912" s="2">
        <v>1</v>
      </c>
      <c r="G9912" s="2">
        <v>0</v>
      </c>
      <c r="H9912" s="1" t="s">
        <v>0</v>
      </c>
      <c r="I9912" s="2">
        <v>0</v>
      </c>
      <c r="J9912" s="1">
        <v>45973.581666666665</v>
      </c>
    </row>
    <row r="9913" spans="1:10" x14ac:dyDescent="0.2">
      <c r="A9913" s="4" t="s">
        <v>1</v>
      </c>
      <c r="B991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13" s="3" t="str">
        <f>HYPERLINK("https://otsuka-europe-crm.veevavault.com/ui/#object/sent_email__v/VBL00000000J983", "SE-001389553")</f>
        <v>SE-001389553</v>
      </c>
      <c r="D9913" s="1" t="s">
        <v>0</v>
      </c>
      <c r="E9913" s="2">
        <v>0</v>
      </c>
      <c r="F9913" s="2">
        <v>0</v>
      </c>
      <c r="G9913" s="2">
        <v>0</v>
      </c>
      <c r="H9913" s="1" t="s">
        <v>0</v>
      </c>
      <c r="I9913" s="2">
        <v>0</v>
      </c>
      <c r="J9913" s="1">
        <v>45973.581701388888</v>
      </c>
    </row>
    <row r="9914" spans="1:10" x14ac:dyDescent="0.2">
      <c r="A9914" s="4" t="s">
        <v>1</v>
      </c>
      <c r="B991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14" s="3" t="str">
        <f>HYPERLINK("https://otsuka-europe-crm.veevavault.com/ui/#object/sent_email__v/VBL00000000J984", "SE-001389554")</f>
        <v>SE-001389554</v>
      </c>
      <c r="D9914" s="1">
        <v>45979.318749999999</v>
      </c>
      <c r="E9914" s="2">
        <v>1</v>
      </c>
      <c r="F9914" s="2">
        <v>1</v>
      </c>
      <c r="G9914" s="2">
        <v>0</v>
      </c>
      <c r="H9914" s="1" t="s">
        <v>0</v>
      </c>
      <c r="I9914" s="2">
        <v>0</v>
      </c>
      <c r="J9914" s="1">
        <v>45973.581747685188</v>
      </c>
    </row>
    <row r="9915" spans="1:10" x14ac:dyDescent="0.2">
      <c r="A9915" s="4" t="s">
        <v>1</v>
      </c>
      <c r="B991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15" s="3" t="str">
        <f>HYPERLINK("https://otsuka-europe-crm.veevavault.com/ui/#object/sent_email__v/VBL00000000J985", "SE-001389555")</f>
        <v>SE-001389555</v>
      </c>
      <c r="D9915" s="1" t="s">
        <v>0</v>
      </c>
      <c r="E9915" s="2">
        <v>0</v>
      </c>
      <c r="F9915" s="2">
        <v>0</v>
      </c>
      <c r="G9915" s="2">
        <v>0</v>
      </c>
      <c r="H9915" s="1" t="s">
        <v>0</v>
      </c>
      <c r="I9915" s="2">
        <v>0</v>
      </c>
      <c r="J9915" s="1">
        <v>45973.581793981481</v>
      </c>
    </row>
    <row r="9916" spans="1:10" x14ac:dyDescent="0.2">
      <c r="A9916" s="4" t="s">
        <v>1</v>
      </c>
      <c r="B991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16" s="3" t="str">
        <f>HYPERLINK("https://otsuka-europe-crm.veevavault.com/ui/#object/sent_email__v/VBL00000000J986", "SE-001389556")</f>
        <v>SE-001389556</v>
      </c>
      <c r="D9916" s="1" t="s">
        <v>0</v>
      </c>
      <c r="E9916" s="2">
        <v>0</v>
      </c>
      <c r="F9916" s="2">
        <v>0</v>
      </c>
      <c r="G9916" s="2">
        <v>0</v>
      </c>
      <c r="H9916" s="1" t="s">
        <v>0</v>
      </c>
      <c r="I9916" s="2">
        <v>0</v>
      </c>
      <c r="J9916" s="1">
        <v>45973.583935185183</v>
      </c>
    </row>
    <row r="9917" spans="1:10" x14ac:dyDescent="0.2">
      <c r="A9917" s="4" t="s">
        <v>1</v>
      </c>
      <c r="B991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17" s="3" t="str">
        <f>HYPERLINK("https://otsuka-europe-crm.veevavault.com/ui/#object/sent_email__v/VBL00000000J987", "SE-001389557")</f>
        <v>SE-001389557</v>
      </c>
      <c r="D9917" s="1" t="s">
        <v>0</v>
      </c>
      <c r="E9917" s="2">
        <v>0</v>
      </c>
      <c r="F9917" s="2">
        <v>0</v>
      </c>
      <c r="G9917" s="2">
        <v>0</v>
      </c>
      <c r="H9917" s="1" t="s">
        <v>0</v>
      </c>
      <c r="I9917" s="2">
        <v>0</v>
      </c>
      <c r="J9917" s="1">
        <v>45973.583958333336</v>
      </c>
    </row>
    <row r="9918" spans="1:10" x14ac:dyDescent="0.2">
      <c r="A9918" s="4" t="s">
        <v>1</v>
      </c>
      <c r="B991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18" s="3" t="str">
        <f>HYPERLINK("https://otsuka-europe-crm.veevavault.com/ui/#object/sent_email__v/VBL00000000J988", "SE-001389558")</f>
        <v>SE-001389558</v>
      </c>
      <c r="D9918" s="1">
        <v>45973.666643518518</v>
      </c>
      <c r="E9918" s="2">
        <v>1</v>
      </c>
      <c r="F9918" s="2">
        <v>2</v>
      </c>
      <c r="G9918" s="2">
        <v>0</v>
      </c>
      <c r="H9918" s="1" t="s">
        <v>0</v>
      </c>
      <c r="I9918" s="2">
        <v>0</v>
      </c>
      <c r="J9918" s="1">
        <v>45973.584016203706</v>
      </c>
    </row>
    <row r="9919" spans="1:10" x14ac:dyDescent="0.2">
      <c r="A9919" s="4" t="s">
        <v>1</v>
      </c>
      <c r="B991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19" s="3" t="str">
        <f>HYPERLINK("https://otsuka-europe-crm.veevavault.com/ui/#object/sent_email__v/VBL00000000J989", "SE-001389559")</f>
        <v>SE-001389559</v>
      </c>
      <c r="D9919" s="1" t="s">
        <v>0</v>
      </c>
      <c r="E9919" s="2">
        <v>0</v>
      </c>
      <c r="F9919" s="2">
        <v>0</v>
      </c>
      <c r="G9919" s="2">
        <v>0</v>
      </c>
      <c r="H9919" s="1" t="s">
        <v>0</v>
      </c>
      <c r="I9919" s="2">
        <v>0</v>
      </c>
      <c r="J9919" s="1">
        <v>45973.584050925929</v>
      </c>
    </row>
    <row r="9920" spans="1:10" x14ac:dyDescent="0.2">
      <c r="A9920" s="4" t="s">
        <v>1</v>
      </c>
      <c r="B992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20" s="3" t="str">
        <f>HYPERLINK("https://otsuka-europe-crm.veevavault.com/ui/#object/sent_email__v/VBL00000000M508", "SE-001389560")</f>
        <v>SE-001389560</v>
      </c>
      <c r="D9920" s="1" t="s">
        <v>0</v>
      </c>
      <c r="E9920" s="2">
        <v>0</v>
      </c>
      <c r="F9920" s="2">
        <v>0</v>
      </c>
      <c r="G9920" s="2">
        <v>0</v>
      </c>
      <c r="H9920" s="1" t="s">
        <v>0</v>
      </c>
      <c r="I9920" s="2">
        <v>0</v>
      </c>
      <c r="J9920" s="1">
        <v>45973.585289351853</v>
      </c>
    </row>
    <row r="9921" spans="1:10" x14ac:dyDescent="0.2">
      <c r="A9921" s="4" t="s">
        <v>1</v>
      </c>
      <c r="B992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21" s="3" t="str">
        <f>HYPERLINK("https://otsuka-europe-crm.veevavault.com/ui/#object/sent_email__v/VBL00000000M509", "SE-001389561")</f>
        <v>SE-001389561</v>
      </c>
      <c r="D9921" s="1" t="s">
        <v>0</v>
      </c>
      <c r="E9921" s="2">
        <v>0</v>
      </c>
      <c r="F9921" s="2">
        <v>0</v>
      </c>
      <c r="G9921" s="2">
        <v>0</v>
      </c>
      <c r="H9921" s="1" t="s">
        <v>0</v>
      </c>
      <c r="I9921" s="2">
        <v>0</v>
      </c>
      <c r="J9921" s="1">
        <v>45973.585324074076</v>
      </c>
    </row>
    <row r="9922" spans="1:10" x14ac:dyDescent="0.2">
      <c r="A9922" s="4" t="s">
        <v>1</v>
      </c>
      <c r="B992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22" s="3" t="str">
        <f>HYPERLINK("https://otsuka-europe-crm.veevavault.com/ui/#object/sent_email__v/VBL00000000M510", "SE-001389562")</f>
        <v>SE-001389562</v>
      </c>
      <c r="D9922" s="1" t="s">
        <v>0</v>
      </c>
      <c r="E9922" s="2">
        <v>0</v>
      </c>
      <c r="F9922" s="2">
        <v>0</v>
      </c>
      <c r="G9922" s="2">
        <v>0</v>
      </c>
      <c r="H9922" s="1" t="s">
        <v>0</v>
      </c>
      <c r="I9922" s="2">
        <v>0</v>
      </c>
      <c r="J9922" s="1">
        <v>45973.585370370369</v>
      </c>
    </row>
    <row r="9923" spans="1:10" x14ac:dyDescent="0.2">
      <c r="A9923" s="4" t="s">
        <v>1</v>
      </c>
      <c r="B992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23" s="3" t="str">
        <f>HYPERLINK("https://otsuka-europe-crm.veevavault.com/ui/#object/sent_email__v/VBL00000000M511", "SE-001389563")</f>
        <v>SE-001389563</v>
      </c>
      <c r="D9923" s="1" t="s">
        <v>0</v>
      </c>
      <c r="E9923" s="2">
        <v>0</v>
      </c>
      <c r="F9923" s="2">
        <v>0</v>
      </c>
      <c r="G9923" s="2">
        <v>0</v>
      </c>
      <c r="H9923" s="1" t="s">
        <v>0</v>
      </c>
      <c r="I9923" s="2">
        <v>0</v>
      </c>
      <c r="J9923" s="1">
        <v>45973.585405092592</v>
      </c>
    </row>
    <row r="9924" spans="1:10" x14ac:dyDescent="0.2">
      <c r="A9924" s="4" t="s">
        <v>1</v>
      </c>
      <c r="B992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24" s="3" t="str">
        <f>HYPERLINK("https://otsuka-europe-crm.veevavault.com/ui/#object/sent_email__v/VBL00000000M512", "SE-001389564")</f>
        <v>SE-001389564</v>
      </c>
      <c r="D9924" s="1">
        <v>46021.850995370369</v>
      </c>
      <c r="E9924" s="2">
        <v>1</v>
      </c>
      <c r="F9924" s="2">
        <v>2</v>
      </c>
      <c r="G9924" s="2">
        <v>0</v>
      </c>
      <c r="H9924" s="1" t="s">
        <v>0</v>
      </c>
      <c r="I9924" s="2">
        <v>0</v>
      </c>
      <c r="J9924" s="1">
        <v>45973.585451388892</v>
      </c>
    </row>
    <row r="9925" spans="1:10" x14ac:dyDescent="0.2">
      <c r="A9925" s="4" t="s">
        <v>1</v>
      </c>
      <c r="B992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25" s="3" t="str">
        <f>HYPERLINK("https://otsuka-europe-crm.veevavault.com/ui/#object/sent_email__v/VBL00000000M513", "SE-001389565")</f>
        <v>SE-001389565</v>
      </c>
      <c r="D9925" s="1">
        <v>45973.791550925926</v>
      </c>
      <c r="E9925" s="2">
        <v>1</v>
      </c>
      <c r="F9925" s="2">
        <v>1</v>
      </c>
      <c r="G9925" s="2">
        <v>0</v>
      </c>
      <c r="H9925" s="1" t="s">
        <v>0</v>
      </c>
      <c r="I9925" s="2">
        <v>0</v>
      </c>
      <c r="J9925" s="1">
        <v>45973.587534722225</v>
      </c>
    </row>
    <row r="9926" spans="1:10" x14ac:dyDescent="0.2">
      <c r="A9926" s="4" t="s">
        <v>1</v>
      </c>
      <c r="B992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26" s="3" t="str">
        <f>HYPERLINK("https://otsuka-europe-crm.veevavault.com/ui/#object/sent_email__v/VBL00000000M514", "SE-001389566")</f>
        <v>SE-001389566</v>
      </c>
      <c r="D9926" s="1" t="s">
        <v>0</v>
      </c>
      <c r="E9926" s="2">
        <v>0</v>
      </c>
      <c r="F9926" s="2">
        <v>0</v>
      </c>
      <c r="G9926" s="2">
        <v>0</v>
      </c>
      <c r="H9926" s="1" t="s">
        <v>0</v>
      </c>
      <c r="I9926" s="2">
        <v>0</v>
      </c>
      <c r="J9926" s="1">
        <v>45973.587569444448</v>
      </c>
    </row>
    <row r="9927" spans="1:10" x14ac:dyDescent="0.2">
      <c r="A9927" s="4" t="s">
        <v>1</v>
      </c>
      <c r="B992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27" s="3" t="str">
        <f>HYPERLINK("https://otsuka-europe-crm.veevavault.com/ui/#object/sent_email__v/VBL00000000M515", "SE-001389567")</f>
        <v>SE-001389567</v>
      </c>
      <c r="D9927" s="1">
        <v>45973.761180555557</v>
      </c>
      <c r="E9927" s="2">
        <v>1</v>
      </c>
      <c r="F9927" s="2">
        <v>1</v>
      </c>
      <c r="G9927" s="2">
        <v>0</v>
      </c>
      <c r="H9927" s="1" t="s">
        <v>0</v>
      </c>
      <c r="I9927" s="2">
        <v>0</v>
      </c>
      <c r="J9927" s="1">
        <v>45973.58761574074</v>
      </c>
    </row>
    <row r="9928" spans="1:10" x14ac:dyDescent="0.2">
      <c r="A9928" s="4" t="s">
        <v>1</v>
      </c>
      <c r="B992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28" s="3" t="str">
        <f>HYPERLINK("https://otsuka-europe-crm.veevavault.com/ui/#object/sent_email__v/VBL00000000M516", "SE-001389568")</f>
        <v>SE-001389568</v>
      </c>
      <c r="D9928" s="1" t="s">
        <v>0</v>
      </c>
      <c r="E9928" s="2">
        <v>0</v>
      </c>
      <c r="F9928" s="2">
        <v>0</v>
      </c>
      <c r="G9928" s="2">
        <v>0</v>
      </c>
      <c r="H9928" s="1" t="s">
        <v>0</v>
      </c>
      <c r="I9928" s="2">
        <v>0</v>
      </c>
      <c r="J9928" s="1">
        <v>45973.58766203704</v>
      </c>
    </row>
    <row r="9929" spans="1:10" x14ac:dyDescent="0.2">
      <c r="A9929" s="4" t="s">
        <v>1</v>
      </c>
      <c r="B992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29" s="3" t="str">
        <f>HYPERLINK("https://otsuka-europe-crm.veevavault.com/ui/#object/sent_email__v/VBL00000000M517", "SE-001389569")</f>
        <v>SE-001389569</v>
      </c>
      <c r="D9929" s="1" t="s">
        <v>0</v>
      </c>
      <c r="E9929" s="2">
        <v>0</v>
      </c>
      <c r="F9929" s="2">
        <v>0</v>
      </c>
      <c r="G9929" s="2">
        <v>0</v>
      </c>
      <c r="H9929" s="1" t="s">
        <v>0</v>
      </c>
      <c r="I9929" s="2">
        <v>0</v>
      </c>
      <c r="J9929" s="1">
        <v>45973.587708333333</v>
      </c>
    </row>
    <row r="9930" spans="1:10" x14ac:dyDescent="0.2">
      <c r="A9930" s="4" t="s">
        <v>1</v>
      </c>
      <c r="B993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30" s="3" t="str">
        <f>HYPERLINK("https://otsuka-europe-crm.veevavault.com/ui/#object/sent_email__v/VBL00000000M518", "SE-001389570")</f>
        <v>SE-001389570</v>
      </c>
      <c r="D9930" s="1" t="s">
        <v>0</v>
      </c>
      <c r="E9930" s="2">
        <v>0</v>
      </c>
      <c r="F9930" s="2">
        <v>0</v>
      </c>
      <c r="G9930" s="2">
        <v>0</v>
      </c>
      <c r="H9930" s="1" t="s">
        <v>0</v>
      </c>
      <c r="I9930" s="2">
        <v>0</v>
      </c>
      <c r="J9930" s="1">
        <v>45973.587743055556</v>
      </c>
    </row>
    <row r="9931" spans="1:10" x14ac:dyDescent="0.2">
      <c r="A9931" s="4" t="s">
        <v>1</v>
      </c>
      <c r="B993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31" s="3" t="str">
        <f>HYPERLINK("https://otsuka-europe-crm.veevavault.com/ui/#object/sent_email__v/VBL00000000M519", "SE-001389571")</f>
        <v>SE-001389571</v>
      </c>
      <c r="D9931" s="1">
        <v>45998.235902777778</v>
      </c>
      <c r="E9931" s="2">
        <v>1</v>
      </c>
      <c r="F9931" s="2">
        <v>3</v>
      </c>
      <c r="G9931" s="2">
        <v>0</v>
      </c>
      <c r="H9931" s="1" t="s">
        <v>0</v>
      </c>
      <c r="I9931" s="2">
        <v>0</v>
      </c>
      <c r="J9931" s="1">
        <v>45973.587789351855</v>
      </c>
    </row>
    <row r="9932" spans="1:10" x14ac:dyDescent="0.2">
      <c r="A9932" s="4" t="s">
        <v>1</v>
      </c>
      <c r="B993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32" s="3" t="str">
        <f>HYPERLINK("https://otsuka-europe-crm.veevavault.com/ui/#object/sent_email__v/VBL00000000J990", "SE-001389572")</f>
        <v>SE-001389572</v>
      </c>
      <c r="D9932" s="1">
        <v>45974.143125000002</v>
      </c>
      <c r="E9932" s="2">
        <v>1</v>
      </c>
      <c r="F9932" s="2">
        <v>1</v>
      </c>
      <c r="G9932" s="2">
        <v>0</v>
      </c>
      <c r="H9932" s="1" t="s">
        <v>0</v>
      </c>
      <c r="I9932" s="2">
        <v>0</v>
      </c>
      <c r="J9932" s="1">
        <v>45973.588275462964</v>
      </c>
    </row>
    <row r="9933" spans="1:10" x14ac:dyDescent="0.2">
      <c r="A9933" s="4" t="s">
        <v>1</v>
      </c>
      <c r="B993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33" s="3" t="str">
        <f>HYPERLINK("https://otsuka-europe-crm.veevavault.com/ui/#object/sent_email__v/VBL00000000J991", "SE-001389573")</f>
        <v>SE-001389573</v>
      </c>
      <c r="D9933" s="1" t="s">
        <v>0</v>
      </c>
      <c r="E9933" s="2">
        <v>0</v>
      </c>
      <c r="F9933" s="2">
        <v>0</v>
      </c>
      <c r="G9933" s="2">
        <v>0</v>
      </c>
      <c r="H9933" s="1" t="s">
        <v>0</v>
      </c>
      <c r="I9933" s="2">
        <v>0</v>
      </c>
      <c r="J9933" s="1">
        <v>45973.588356481479</v>
      </c>
    </row>
    <row r="9934" spans="1:10" x14ac:dyDescent="0.2">
      <c r="A9934" s="4" t="s">
        <v>1</v>
      </c>
      <c r="B993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34" s="3" t="str">
        <f>HYPERLINK("https://otsuka-europe-crm.veevavault.com/ui/#object/sent_email__v/VBL00000000J992", "SE-001389574")</f>
        <v>SE-001389574</v>
      </c>
      <c r="D9934" s="1">
        <v>45973.664780092593</v>
      </c>
      <c r="E9934" s="2">
        <v>1</v>
      </c>
      <c r="F9934" s="2">
        <v>1</v>
      </c>
      <c r="G9934" s="2">
        <v>0</v>
      </c>
      <c r="H9934" s="1" t="s">
        <v>0</v>
      </c>
      <c r="I9934" s="2">
        <v>0</v>
      </c>
      <c r="J9934" s="1">
        <v>45973.588425925926</v>
      </c>
    </row>
    <row r="9935" spans="1:10" x14ac:dyDescent="0.2">
      <c r="A9935" s="4" t="s">
        <v>1</v>
      </c>
      <c r="B993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35" s="3" t="str">
        <f>HYPERLINK("https://otsuka-europe-crm.veevavault.com/ui/#object/sent_email__v/VBL00000000J993", "SE-001389575")</f>
        <v>SE-001389575</v>
      </c>
      <c r="D9935" s="1">
        <v>45973.912569444445</v>
      </c>
      <c r="E9935" s="2">
        <v>1</v>
      </c>
      <c r="F9935" s="2">
        <v>4</v>
      </c>
      <c r="G9935" s="2">
        <v>1</v>
      </c>
      <c r="H9935" s="1">
        <v>45973.912615740737</v>
      </c>
      <c r="I9935" s="2">
        <v>2</v>
      </c>
      <c r="J9935" s="1">
        <v>45973.588854166665</v>
      </c>
    </row>
    <row r="9936" spans="1:10" x14ac:dyDescent="0.2">
      <c r="A9936" s="4" t="s">
        <v>1</v>
      </c>
      <c r="B993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36" s="3" t="str">
        <f>HYPERLINK("https://otsuka-europe-crm.veevavault.com/ui/#object/sent_email__v/VBL00000000J994", "SE-001389576")</f>
        <v>SE-001389576</v>
      </c>
      <c r="D9936" s="1">
        <v>45973.957615740743</v>
      </c>
      <c r="E9936" s="2">
        <v>1</v>
      </c>
      <c r="F9936" s="2">
        <v>1</v>
      </c>
      <c r="G9936" s="2">
        <v>0</v>
      </c>
      <c r="H9936" s="1" t="s">
        <v>0</v>
      </c>
      <c r="I9936" s="2">
        <v>0</v>
      </c>
      <c r="J9936" s="1">
        <v>45973.588923611111</v>
      </c>
    </row>
    <row r="9937" spans="1:10" x14ac:dyDescent="0.2">
      <c r="A9937" s="4" t="s">
        <v>1</v>
      </c>
      <c r="B993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37" s="3" t="str">
        <f>HYPERLINK("https://otsuka-europe-crm.veevavault.com/ui/#object/sent_email__v/VBL00000000J995", "SE-001389577")</f>
        <v>SE-001389577</v>
      </c>
      <c r="D9937" s="1" t="s">
        <v>0</v>
      </c>
      <c r="E9937" s="2">
        <v>0</v>
      </c>
      <c r="F9937" s="2">
        <v>0</v>
      </c>
      <c r="G9937" s="2">
        <v>0</v>
      </c>
      <c r="H9937" s="1" t="s">
        <v>0</v>
      </c>
      <c r="I9937" s="2">
        <v>0</v>
      </c>
      <c r="J9937" s="1">
        <v>45973.590474537035</v>
      </c>
    </row>
    <row r="9938" spans="1:10" x14ac:dyDescent="0.2">
      <c r="A9938" s="4" t="s">
        <v>1</v>
      </c>
      <c r="B993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38" s="3" t="str">
        <f>HYPERLINK("https://otsuka-europe-crm.veevavault.com/ui/#object/sent_email__v/VBL00000000J996", "SE-001389578")</f>
        <v>SE-001389578</v>
      </c>
      <c r="D9938" s="1">
        <v>45975.261145833334</v>
      </c>
      <c r="E9938" s="2">
        <v>1</v>
      </c>
      <c r="F9938" s="2">
        <v>1</v>
      </c>
      <c r="G9938" s="2">
        <v>0</v>
      </c>
      <c r="H9938" s="1" t="s">
        <v>0</v>
      </c>
      <c r="I9938" s="2">
        <v>0</v>
      </c>
      <c r="J9938" s="1">
        <v>45973.590532407405</v>
      </c>
    </row>
    <row r="9939" spans="1:10" x14ac:dyDescent="0.2">
      <c r="A9939" s="4" t="s">
        <v>1</v>
      </c>
      <c r="B993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39" s="3" t="str">
        <f>HYPERLINK("https://otsuka-europe-crm.veevavault.com/ui/#object/sent_email__v/VBL00000000M521", "SE-001389581")</f>
        <v>SE-001389581</v>
      </c>
      <c r="D9939" s="1">
        <v>45977.780347222222</v>
      </c>
      <c r="E9939" s="2">
        <v>1</v>
      </c>
      <c r="F9939" s="2">
        <v>2</v>
      </c>
      <c r="G9939" s="2">
        <v>1</v>
      </c>
      <c r="H9939" s="1">
        <v>45977.780833333331</v>
      </c>
      <c r="I9939" s="2">
        <v>1</v>
      </c>
      <c r="J9939" s="1">
        <v>45973.591851851852</v>
      </c>
    </row>
    <row r="9940" spans="1:10" x14ac:dyDescent="0.2">
      <c r="A9940" s="4" t="s">
        <v>1</v>
      </c>
      <c r="B994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40" s="3" t="str">
        <f>HYPERLINK("https://otsuka-europe-crm.veevavault.com/ui/#object/sent_email__v/VBL00000000M522", "SE-001389582")</f>
        <v>SE-001389582</v>
      </c>
      <c r="D9940" s="1">
        <v>45973.607905092591</v>
      </c>
      <c r="E9940" s="2">
        <v>1</v>
      </c>
      <c r="F9940" s="2">
        <v>2</v>
      </c>
      <c r="G9940" s="2">
        <v>0</v>
      </c>
      <c r="H9940" s="1" t="s">
        <v>0</v>
      </c>
      <c r="I9940" s="2">
        <v>0</v>
      </c>
      <c r="J9940" s="1">
        <v>45973.591874999998</v>
      </c>
    </row>
    <row r="9941" spans="1:10" x14ac:dyDescent="0.2">
      <c r="A9941" s="4" t="s">
        <v>1</v>
      </c>
      <c r="B994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41" s="3" t="str">
        <f>HYPERLINK("https://otsuka-europe-crm.veevavault.com/ui/#object/sent_email__v/VBL00000000M523", "SE-001389583")</f>
        <v>SE-001389583</v>
      </c>
      <c r="D9941" s="1" t="s">
        <v>0</v>
      </c>
      <c r="E9941" s="2">
        <v>0</v>
      </c>
      <c r="F9941" s="2">
        <v>0</v>
      </c>
      <c r="G9941" s="2">
        <v>0</v>
      </c>
      <c r="H9941" s="1" t="s">
        <v>0</v>
      </c>
      <c r="I9941" s="2">
        <v>0</v>
      </c>
      <c r="J9941" s="1">
        <v>45973.593657407408</v>
      </c>
    </row>
    <row r="9942" spans="1:10" x14ac:dyDescent="0.2">
      <c r="A9942" s="4" t="s">
        <v>1</v>
      </c>
      <c r="B994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42" s="3" t="str">
        <f>HYPERLINK("https://otsuka-europe-crm.veevavault.com/ui/#object/sent_email__v/VBL00000000M524", "SE-001389584")</f>
        <v>SE-001389584</v>
      </c>
      <c r="D9942" s="1" t="s">
        <v>0</v>
      </c>
      <c r="E9942" s="2">
        <v>0</v>
      </c>
      <c r="F9942" s="2">
        <v>0</v>
      </c>
      <c r="G9942" s="2">
        <v>0</v>
      </c>
      <c r="H9942" s="1" t="s">
        <v>0</v>
      </c>
      <c r="I9942" s="2">
        <v>0</v>
      </c>
      <c r="J9942" s="1">
        <v>45973.593807870369</v>
      </c>
    </row>
    <row r="9943" spans="1:10" x14ac:dyDescent="0.2">
      <c r="A9943" s="4" t="s">
        <v>1</v>
      </c>
      <c r="B994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43" s="3" t="str">
        <f>HYPERLINK("https://otsuka-europe-crm.veevavault.com/ui/#object/sent_email__v/VBL00000000M525", "SE-001389585")</f>
        <v>SE-001389585</v>
      </c>
      <c r="D9943" s="1" t="s">
        <v>0</v>
      </c>
      <c r="E9943" s="2">
        <v>0</v>
      </c>
      <c r="F9943" s="2">
        <v>0</v>
      </c>
      <c r="G9943" s="2">
        <v>0</v>
      </c>
      <c r="H9943" s="1" t="s">
        <v>0</v>
      </c>
      <c r="I9943" s="2">
        <v>0</v>
      </c>
      <c r="J9943" s="1">
        <v>45973.594675925924</v>
      </c>
    </row>
    <row r="9944" spans="1:10" x14ac:dyDescent="0.2">
      <c r="A9944" s="4" t="s">
        <v>1</v>
      </c>
      <c r="B994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44" s="3" t="str">
        <f>HYPERLINK("https://otsuka-europe-crm.veevavault.com/ui/#object/sent_email__v/VBL00000000M527", "SE-001389587")</f>
        <v>SE-001389587</v>
      </c>
      <c r="D9944" s="1" t="s">
        <v>0</v>
      </c>
      <c r="E9944" s="2">
        <v>0</v>
      </c>
      <c r="F9944" s="2">
        <v>0</v>
      </c>
      <c r="G9944" s="2">
        <v>0</v>
      </c>
      <c r="H9944" s="1" t="s">
        <v>0</v>
      </c>
      <c r="I9944" s="2">
        <v>0</v>
      </c>
      <c r="J9944" s="1">
        <v>45973.596736111111</v>
      </c>
    </row>
    <row r="9945" spans="1:10" x14ac:dyDescent="0.2">
      <c r="A9945" s="4" t="s">
        <v>1</v>
      </c>
      <c r="B994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45" s="3" t="str">
        <f>HYPERLINK("https://otsuka-europe-crm.veevavault.com/ui/#object/sent_email__v/VBL00000000M528", "SE-001389588")</f>
        <v>SE-001389588</v>
      </c>
      <c r="D9945" s="1">
        <v>45995.744097222225</v>
      </c>
      <c r="E9945" s="2">
        <v>1</v>
      </c>
      <c r="F9945" s="2">
        <v>1</v>
      </c>
      <c r="G9945" s="2">
        <v>0</v>
      </c>
      <c r="H9945" s="1" t="s">
        <v>0</v>
      </c>
      <c r="I9945" s="2">
        <v>0</v>
      </c>
      <c r="J9945" s="1">
        <v>45973.596759259257</v>
      </c>
    </row>
    <row r="9946" spans="1:10" x14ac:dyDescent="0.2">
      <c r="A9946" s="4" t="s">
        <v>1</v>
      </c>
      <c r="B994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46" s="3" t="str">
        <f>HYPERLINK("https://otsuka-europe-crm.veevavault.com/ui/#object/sent_email__v/VBL00000000M585", "SE-001389646")</f>
        <v>SE-001389646</v>
      </c>
      <c r="D9946" s="1" t="s">
        <v>0</v>
      </c>
      <c r="E9946" s="2">
        <v>0</v>
      </c>
      <c r="F9946" s="2">
        <v>0</v>
      </c>
      <c r="G9946" s="2">
        <v>0</v>
      </c>
      <c r="H9946" s="1" t="s">
        <v>0</v>
      </c>
      <c r="I9946" s="2">
        <v>0</v>
      </c>
      <c r="J9946" s="1">
        <v>45973.600428240738</v>
      </c>
    </row>
    <row r="9947" spans="1:10" x14ac:dyDescent="0.2">
      <c r="A9947" s="4" t="s">
        <v>1</v>
      </c>
      <c r="B994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47" s="3" t="str">
        <f>HYPERLINK("https://otsuka-europe-crm.veevavault.com/ui/#object/sent_email__v/VBL00000000M586", "SE-001389647")</f>
        <v>SE-001389647</v>
      </c>
      <c r="D9947" s="1" t="s">
        <v>0</v>
      </c>
      <c r="E9947" s="2">
        <v>0</v>
      </c>
      <c r="F9947" s="2">
        <v>0</v>
      </c>
      <c r="G9947" s="2">
        <v>0</v>
      </c>
      <c r="H9947" s="1" t="s">
        <v>0</v>
      </c>
      <c r="I9947" s="2">
        <v>0</v>
      </c>
      <c r="J9947" s="1">
        <v>45973.600474537037</v>
      </c>
    </row>
    <row r="9948" spans="1:10" x14ac:dyDescent="0.2">
      <c r="A9948" s="4" t="s">
        <v>1</v>
      </c>
      <c r="B994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48" s="3" t="str">
        <f>HYPERLINK("https://otsuka-europe-crm.veevavault.com/ui/#object/sent_email__v/VBL00000000M587", "SE-001389648")</f>
        <v>SE-001389648</v>
      </c>
      <c r="D9948" s="1" t="s">
        <v>0</v>
      </c>
      <c r="E9948" s="2">
        <v>0</v>
      </c>
      <c r="F9948" s="2">
        <v>0</v>
      </c>
      <c r="G9948" s="2">
        <v>0</v>
      </c>
      <c r="H9948" s="1" t="s">
        <v>0</v>
      </c>
      <c r="I9948" s="2">
        <v>0</v>
      </c>
      <c r="J9948" s="1">
        <v>45973.60050925926</v>
      </c>
    </row>
    <row r="9949" spans="1:10" x14ac:dyDescent="0.2">
      <c r="A9949" s="4" t="s">
        <v>1</v>
      </c>
      <c r="B994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49" s="3" t="str">
        <f>HYPERLINK("https://otsuka-europe-crm.veevavault.com/ui/#object/sent_email__v/VBL00000000M588", "SE-001389649")</f>
        <v>SE-001389649</v>
      </c>
      <c r="D9949" s="1">
        <v>45973.637731481482</v>
      </c>
      <c r="E9949" s="2">
        <v>1</v>
      </c>
      <c r="F9949" s="2">
        <v>1</v>
      </c>
      <c r="G9949" s="2">
        <v>0</v>
      </c>
      <c r="H9949" s="1" t="s">
        <v>0</v>
      </c>
      <c r="I9949" s="2">
        <v>0</v>
      </c>
      <c r="J9949" s="1">
        <v>45973.600555555553</v>
      </c>
    </row>
    <row r="9950" spans="1:10" x14ac:dyDescent="0.2">
      <c r="A9950" s="4" t="s">
        <v>1</v>
      </c>
      <c r="B995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50" s="3" t="str">
        <f>HYPERLINK("https://otsuka-europe-crm.veevavault.com/ui/#object/sent_email__v/VBL00000000M589", "SE-001389650")</f>
        <v>SE-001389650</v>
      </c>
      <c r="D9950" s="1" t="s">
        <v>0</v>
      </c>
      <c r="E9950" s="2">
        <v>0</v>
      </c>
      <c r="F9950" s="2">
        <v>0</v>
      </c>
      <c r="G9950" s="2">
        <v>0</v>
      </c>
      <c r="H9950" s="1" t="s">
        <v>0</v>
      </c>
      <c r="I9950" s="2">
        <v>0</v>
      </c>
      <c r="J9950" s="1">
        <v>45973.600601851853</v>
      </c>
    </row>
    <row r="9951" spans="1:10" x14ac:dyDescent="0.2">
      <c r="A9951" s="4" t="s">
        <v>1</v>
      </c>
      <c r="B995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51" s="3" t="str">
        <f>HYPERLINK("https://otsuka-europe-crm.veevavault.com/ui/#object/sent_email__v/VBL00000000M590", "SE-001389651")</f>
        <v>SE-001389651</v>
      </c>
      <c r="D9951" s="1">
        <v>45973.630520833336</v>
      </c>
      <c r="E9951" s="2">
        <v>1</v>
      </c>
      <c r="F9951" s="2">
        <v>1</v>
      </c>
      <c r="G9951" s="2">
        <v>0</v>
      </c>
      <c r="H9951" s="1" t="s">
        <v>0</v>
      </c>
      <c r="I9951" s="2">
        <v>0</v>
      </c>
      <c r="J9951" s="1">
        <v>45973.600648148145</v>
      </c>
    </row>
    <row r="9952" spans="1:10" x14ac:dyDescent="0.2">
      <c r="A9952" s="4" t="s">
        <v>1</v>
      </c>
      <c r="B995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52" s="3" t="str">
        <f>HYPERLINK("https://otsuka-europe-crm.veevavault.com/ui/#object/sent_email__v/VBL00000000M591", "SE-001389652")</f>
        <v>SE-001389652</v>
      </c>
      <c r="D9952" s="1" t="s">
        <v>0</v>
      </c>
      <c r="E9952" s="2">
        <v>0</v>
      </c>
      <c r="F9952" s="2">
        <v>0</v>
      </c>
      <c r="G9952" s="2">
        <v>0</v>
      </c>
      <c r="H9952" s="1" t="s">
        <v>0</v>
      </c>
      <c r="I9952" s="2">
        <v>0</v>
      </c>
      <c r="J9952" s="1">
        <v>45973.600694444445</v>
      </c>
    </row>
    <row r="9953" spans="1:10" x14ac:dyDescent="0.2">
      <c r="A9953" s="4" t="s">
        <v>1</v>
      </c>
      <c r="B995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53" s="3" t="str">
        <f>HYPERLINK("https://otsuka-europe-crm.veevavault.com/ui/#object/sent_email__v/VBL00000000M592", "SE-001389653")</f>
        <v>SE-001389653</v>
      </c>
      <c r="D9953" s="1" t="s">
        <v>0</v>
      </c>
      <c r="E9953" s="2">
        <v>0</v>
      </c>
      <c r="F9953" s="2">
        <v>0</v>
      </c>
      <c r="G9953" s="2">
        <v>0</v>
      </c>
      <c r="H9953" s="1" t="s">
        <v>0</v>
      </c>
      <c r="I9953" s="2">
        <v>0</v>
      </c>
      <c r="J9953" s="1">
        <v>45973.600775462961</v>
      </c>
    </row>
    <row r="9954" spans="1:10" x14ac:dyDescent="0.2">
      <c r="A9954" s="4" t="s">
        <v>1</v>
      </c>
      <c r="B995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54" s="3" t="str">
        <f>HYPERLINK("https://otsuka-europe-crm.veevavault.com/ui/#object/sent_email__v/VBL00000000M593", "SE-001389654")</f>
        <v>SE-001389654</v>
      </c>
      <c r="D9954" s="1" t="s">
        <v>0</v>
      </c>
      <c r="E9954" s="2">
        <v>0</v>
      </c>
      <c r="F9954" s="2">
        <v>0</v>
      </c>
      <c r="G9954" s="2">
        <v>0</v>
      </c>
      <c r="H9954" s="1" t="s">
        <v>0</v>
      </c>
      <c r="I9954" s="2">
        <v>0</v>
      </c>
      <c r="J9954" s="1">
        <v>45973.600775462961</v>
      </c>
    </row>
    <row r="9955" spans="1:10" x14ac:dyDescent="0.2">
      <c r="A9955" s="4" t="s">
        <v>1</v>
      </c>
      <c r="B995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55" s="3" t="str">
        <f>HYPERLINK("https://otsuka-europe-crm.veevavault.com/ui/#object/sent_email__v/VBL00000000M594", "SE-001389655")</f>
        <v>SE-001389655</v>
      </c>
      <c r="D9955" s="1" t="s">
        <v>0</v>
      </c>
      <c r="E9955" s="2">
        <v>0</v>
      </c>
      <c r="F9955" s="2">
        <v>0</v>
      </c>
      <c r="G9955" s="2">
        <v>0</v>
      </c>
      <c r="H9955" s="1" t="s">
        <v>0</v>
      </c>
      <c r="I9955" s="2">
        <v>0</v>
      </c>
      <c r="J9955" s="1">
        <v>45973.600821759261</v>
      </c>
    </row>
    <row r="9956" spans="1:10" x14ac:dyDescent="0.2">
      <c r="A9956" s="4" t="s">
        <v>1</v>
      </c>
      <c r="B995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56" s="3" t="str">
        <f>HYPERLINK("https://otsuka-europe-crm.veevavault.com/ui/#object/sent_email__v/VBL00000000M595", "SE-001389656")</f>
        <v>SE-001389656</v>
      </c>
      <c r="D9956" s="1">
        <v>45973.602650462963</v>
      </c>
      <c r="E9956" s="2">
        <v>1</v>
      </c>
      <c r="F9956" s="2">
        <v>1</v>
      </c>
      <c r="G9956" s="2">
        <v>0</v>
      </c>
      <c r="H9956" s="1" t="s">
        <v>0</v>
      </c>
      <c r="I9956" s="2">
        <v>0</v>
      </c>
      <c r="J9956" s="1">
        <v>45973.600868055553</v>
      </c>
    </row>
    <row r="9957" spans="1:10" x14ac:dyDescent="0.2">
      <c r="A9957" s="4" t="s">
        <v>1</v>
      </c>
      <c r="B995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57" s="3" t="str">
        <f>HYPERLINK("https://otsuka-europe-crm.veevavault.com/ui/#object/sent_email__v/VBL00000000M596", "SE-001389657")</f>
        <v>SE-001389657</v>
      </c>
      <c r="D9957" s="1" t="s">
        <v>0</v>
      </c>
      <c r="E9957" s="2">
        <v>0</v>
      </c>
      <c r="F9957" s="2">
        <v>0</v>
      </c>
      <c r="G9957" s="2">
        <v>0</v>
      </c>
      <c r="H9957" s="1" t="s">
        <v>0</v>
      </c>
      <c r="I9957" s="2">
        <v>0</v>
      </c>
      <c r="J9957" s="1">
        <v>45973.600902777776</v>
      </c>
    </row>
    <row r="9958" spans="1:10" x14ac:dyDescent="0.2">
      <c r="A9958" s="4" t="s">
        <v>1</v>
      </c>
      <c r="B995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58" s="3" t="str">
        <f>HYPERLINK("https://otsuka-europe-crm.veevavault.com/ui/#object/sent_email__v/VBL00000000M597", "SE-001389658")</f>
        <v>SE-001389658</v>
      </c>
      <c r="D9958" s="1" t="s">
        <v>0</v>
      </c>
      <c r="E9958" s="2">
        <v>0</v>
      </c>
      <c r="F9958" s="2">
        <v>0</v>
      </c>
      <c r="G9958" s="2">
        <v>0</v>
      </c>
      <c r="H9958" s="1" t="s">
        <v>0</v>
      </c>
      <c r="I9958" s="2">
        <v>0</v>
      </c>
      <c r="J9958" s="1">
        <v>45973.600949074076</v>
      </c>
    </row>
    <row r="9959" spans="1:10" x14ac:dyDescent="0.2">
      <c r="A9959" s="4" t="s">
        <v>1</v>
      </c>
      <c r="B995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59" s="3" t="str">
        <f>HYPERLINK("https://otsuka-europe-crm.veevavault.com/ui/#object/sent_email__v/VBL00000000M598", "SE-001389659")</f>
        <v>SE-001389659</v>
      </c>
      <c r="D9959" s="1" t="s">
        <v>0</v>
      </c>
      <c r="E9959" s="2">
        <v>0</v>
      </c>
      <c r="F9959" s="2">
        <v>0</v>
      </c>
      <c r="G9959" s="2">
        <v>0</v>
      </c>
      <c r="H9959" s="1" t="s">
        <v>0</v>
      </c>
      <c r="I9959" s="2">
        <v>0</v>
      </c>
      <c r="J9959" s="1">
        <v>45973.601006944446</v>
      </c>
    </row>
    <row r="9960" spans="1:10" x14ac:dyDescent="0.2">
      <c r="A9960" s="4" t="s">
        <v>1</v>
      </c>
      <c r="B996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60" s="3" t="str">
        <f>HYPERLINK("https://otsuka-europe-crm.veevavault.com/ui/#object/sent_email__v/VBL00000000M599", "SE-001389660")</f>
        <v>SE-001389660</v>
      </c>
      <c r="D9960" s="1" t="s">
        <v>0</v>
      </c>
      <c r="E9960" s="2">
        <v>0</v>
      </c>
      <c r="F9960" s="2">
        <v>0</v>
      </c>
      <c r="G9960" s="2">
        <v>0</v>
      </c>
      <c r="H9960" s="1" t="s">
        <v>0</v>
      </c>
      <c r="I9960" s="2">
        <v>0</v>
      </c>
      <c r="J9960" s="1">
        <v>45973.601053240738</v>
      </c>
    </row>
    <row r="9961" spans="1:10" x14ac:dyDescent="0.2">
      <c r="A9961" s="4" t="s">
        <v>1</v>
      </c>
      <c r="B996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61" s="3" t="str">
        <f>HYPERLINK("https://otsuka-europe-crm.veevavault.com/ui/#object/sent_email__v/VBL00000000M600", "SE-001389661")</f>
        <v>SE-001389661</v>
      </c>
      <c r="D9961" s="1" t="s">
        <v>0</v>
      </c>
      <c r="E9961" s="2">
        <v>0</v>
      </c>
      <c r="F9961" s="2">
        <v>0</v>
      </c>
      <c r="G9961" s="2">
        <v>0</v>
      </c>
      <c r="H9961" s="1" t="s">
        <v>0</v>
      </c>
      <c r="I9961" s="2">
        <v>0</v>
      </c>
      <c r="J9961" s="1">
        <v>45973.601099537038</v>
      </c>
    </row>
    <row r="9962" spans="1:10" x14ac:dyDescent="0.2">
      <c r="A9962" s="4" t="s">
        <v>1</v>
      </c>
      <c r="B996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62" s="3" t="str">
        <f>HYPERLINK("https://otsuka-europe-crm.veevavault.com/ui/#object/sent_email__v/VBL00000000M601", "SE-001389662")</f>
        <v>SE-001389662</v>
      </c>
      <c r="D9962" s="1" t="s">
        <v>0</v>
      </c>
      <c r="E9962" s="2">
        <v>0</v>
      </c>
      <c r="F9962" s="2">
        <v>0</v>
      </c>
      <c r="G9962" s="2">
        <v>0</v>
      </c>
      <c r="H9962" s="1" t="s">
        <v>0</v>
      </c>
      <c r="I9962" s="2">
        <v>0</v>
      </c>
      <c r="J9962" s="1">
        <v>45973.601134259261</v>
      </c>
    </row>
    <row r="9963" spans="1:10" x14ac:dyDescent="0.2">
      <c r="A9963" s="4" t="s">
        <v>1</v>
      </c>
      <c r="B996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63" s="3" t="str">
        <f>HYPERLINK("https://otsuka-europe-crm.veevavault.com/ui/#object/sent_email__v/VBL00000000M602", "SE-001389663")</f>
        <v>SE-001389663</v>
      </c>
      <c r="D9963" s="1" t="s">
        <v>0</v>
      </c>
      <c r="E9963" s="2">
        <v>0</v>
      </c>
      <c r="F9963" s="2">
        <v>0</v>
      </c>
      <c r="G9963" s="2">
        <v>0</v>
      </c>
      <c r="H9963" s="1" t="s">
        <v>0</v>
      </c>
      <c r="I9963" s="2">
        <v>0</v>
      </c>
      <c r="J9963" s="1">
        <v>45973.601180555554</v>
      </c>
    </row>
    <row r="9964" spans="1:10" x14ac:dyDescent="0.2">
      <c r="A9964" s="4" t="s">
        <v>1</v>
      </c>
      <c r="B996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64" s="3" t="str">
        <f>HYPERLINK("https://otsuka-europe-crm.veevavault.com/ui/#object/sent_email__v/VBL00000000M603", "SE-001389664")</f>
        <v>SE-001389664</v>
      </c>
      <c r="D9964" s="1" t="s">
        <v>0</v>
      </c>
      <c r="E9964" s="2">
        <v>0</v>
      </c>
      <c r="F9964" s="2">
        <v>0</v>
      </c>
      <c r="G9964" s="2">
        <v>0</v>
      </c>
      <c r="H9964" s="1" t="s">
        <v>0</v>
      </c>
      <c r="I9964" s="2">
        <v>0</v>
      </c>
      <c r="J9964" s="1">
        <v>45973.601226851853</v>
      </c>
    </row>
    <row r="9965" spans="1:10" x14ac:dyDescent="0.2">
      <c r="A9965" s="4" t="s">
        <v>1</v>
      </c>
      <c r="B996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65" s="3" t="str">
        <f>HYPERLINK("https://otsuka-europe-crm.veevavault.com/ui/#object/sent_email__v/VBL00000000M604", "SE-001389665")</f>
        <v>SE-001389665</v>
      </c>
      <c r="D9965" s="1" t="s">
        <v>0</v>
      </c>
      <c r="E9965" s="2">
        <v>0</v>
      </c>
      <c r="F9965" s="2">
        <v>0</v>
      </c>
      <c r="G9965" s="2">
        <v>0</v>
      </c>
      <c r="H9965" s="1" t="s">
        <v>0</v>
      </c>
      <c r="I9965" s="2">
        <v>0</v>
      </c>
      <c r="J9965" s="1">
        <v>45973.601273148146</v>
      </c>
    </row>
    <row r="9966" spans="1:10" x14ac:dyDescent="0.2">
      <c r="A9966" s="4" t="s">
        <v>1</v>
      </c>
      <c r="B996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66" s="3" t="str">
        <f>HYPERLINK("https://otsuka-europe-crm.veevavault.com/ui/#object/sent_email__v/VBL00000000M605", "SE-001389666")</f>
        <v>SE-001389666</v>
      </c>
      <c r="D9966" s="1" t="s">
        <v>0</v>
      </c>
      <c r="E9966" s="2">
        <v>0</v>
      </c>
      <c r="F9966" s="2">
        <v>0</v>
      </c>
      <c r="G9966" s="2">
        <v>0</v>
      </c>
      <c r="H9966" s="1" t="s">
        <v>0</v>
      </c>
      <c r="I9966" s="2">
        <v>0</v>
      </c>
      <c r="J9966" s="1">
        <v>45973.601307870369</v>
      </c>
    </row>
    <row r="9967" spans="1:10" x14ac:dyDescent="0.2">
      <c r="A9967" s="4" t="s">
        <v>1</v>
      </c>
      <c r="B996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67" s="3" t="str">
        <f>HYPERLINK("https://otsuka-europe-crm.veevavault.com/ui/#object/sent_email__v/VBL00000000M606", "SE-001389667")</f>
        <v>SE-001389667</v>
      </c>
      <c r="D9967" s="1" t="s">
        <v>0</v>
      </c>
      <c r="E9967" s="2">
        <v>0</v>
      </c>
      <c r="F9967" s="2">
        <v>0</v>
      </c>
      <c r="G9967" s="2">
        <v>0</v>
      </c>
      <c r="H9967" s="1" t="s">
        <v>0</v>
      </c>
      <c r="I9967" s="2">
        <v>0</v>
      </c>
      <c r="J9967" s="1">
        <v>45973.601342592592</v>
      </c>
    </row>
    <row r="9968" spans="1:10" x14ac:dyDescent="0.2">
      <c r="A9968" s="4" t="s">
        <v>1</v>
      </c>
      <c r="B996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68" s="3" t="str">
        <f>HYPERLINK("https://otsuka-europe-crm.veevavault.com/ui/#object/sent_email__v/VBL00000000M607", "SE-001389668")</f>
        <v>SE-001389668</v>
      </c>
      <c r="D9968" s="1" t="s">
        <v>0</v>
      </c>
      <c r="E9968" s="2">
        <v>0</v>
      </c>
      <c r="F9968" s="2">
        <v>0</v>
      </c>
      <c r="G9968" s="2">
        <v>0</v>
      </c>
      <c r="H9968" s="1" t="s">
        <v>0</v>
      </c>
      <c r="I9968" s="2">
        <v>0</v>
      </c>
      <c r="J9968" s="1">
        <v>45973.601388888892</v>
      </c>
    </row>
    <row r="9969" spans="1:10" x14ac:dyDescent="0.2">
      <c r="A9969" s="4" t="s">
        <v>1</v>
      </c>
      <c r="B996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69" s="3" t="str">
        <f>HYPERLINK("https://otsuka-europe-crm.veevavault.com/ui/#object/sent_email__v/VBL00000000M608", "SE-001389669")</f>
        <v>SE-001389669</v>
      </c>
      <c r="D9969" s="1" t="s">
        <v>0</v>
      </c>
      <c r="E9969" s="2">
        <v>0</v>
      </c>
      <c r="F9969" s="2">
        <v>0</v>
      </c>
      <c r="G9969" s="2">
        <v>0</v>
      </c>
      <c r="H9969" s="1" t="s">
        <v>0</v>
      </c>
      <c r="I9969" s="2">
        <v>0</v>
      </c>
      <c r="J9969" s="1">
        <v>45973.601435185185</v>
      </c>
    </row>
    <row r="9970" spans="1:10" x14ac:dyDescent="0.2">
      <c r="A9970" s="4" t="s">
        <v>1</v>
      </c>
      <c r="B997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70" s="3" t="str">
        <f>HYPERLINK("https://otsuka-europe-crm.veevavault.com/ui/#object/sent_email__v/VBL00000000M609", "SE-001389670")</f>
        <v>SE-001389670</v>
      </c>
      <c r="D9970" s="1" t="s">
        <v>0</v>
      </c>
      <c r="E9970" s="2">
        <v>0</v>
      </c>
      <c r="F9970" s="2">
        <v>0</v>
      </c>
      <c r="G9970" s="2">
        <v>0</v>
      </c>
      <c r="H9970" s="1" t="s">
        <v>0</v>
      </c>
      <c r="I9970" s="2">
        <v>0</v>
      </c>
      <c r="J9970" s="1">
        <v>45973.601469907408</v>
      </c>
    </row>
    <row r="9971" spans="1:10" x14ac:dyDescent="0.2">
      <c r="A9971" s="4" t="s">
        <v>1</v>
      </c>
      <c r="B997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71" s="3" t="str">
        <f>HYPERLINK("https://otsuka-europe-crm.veevavault.com/ui/#object/sent_email__v/VBL00000000M610", "SE-001389671")</f>
        <v>SE-001389671</v>
      </c>
      <c r="D9971" s="1" t="s">
        <v>0</v>
      </c>
      <c r="E9971" s="2">
        <v>0</v>
      </c>
      <c r="F9971" s="2">
        <v>0</v>
      </c>
      <c r="G9971" s="2">
        <v>0</v>
      </c>
      <c r="H9971" s="1" t="s">
        <v>0</v>
      </c>
      <c r="I9971" s="2">
        <v>0</v>
      </c>
      <c r="J9971" s="1">
        <v>45973.6015162037</v>
      </c>
    </row>
    <row r="9972" spans="1:10" x14ac:dyDescent="0.2">
      <c r="A9972" s="4" t="s">
        <v>1</v>
      </c>
      <c r="B997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72" s="3" t="str">
        <f>HYPERLINK("https://otsuka-europe-crm.veevavault.com/ui/#object/sent_email__v/VBL00000000M611", "SE-001389672")</f>
        <v>SE-001389672</v>
      </c>
      <c r="D9972" s="1" t="s">
        <v>0</v>
      </c>
      <c r="E9972" s="2">
        <v>0</v>
      </c>
      <c r="F9972" s="2">
        <v>0</v>
      </c>
      <c r="G9972" s="2">
        <v>0</v>
      </c>
      <c r="H9972" s="1" t="s">
        <v>0</v>
      </c>
      <c r="I9972" s="2">
        <v>0</v>
      </c>
      <c r="J9972" s="1">
        <v>45973.6015625</v>
      </c>
    </row>
    <row r="9973" spans="1:10" x14ac:dyDescent="0.2">
      <c r="A9973" s="4" t="s">
        <v>1</v>
      </c>
      <c r="B997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73" s="3" t="str">
        <f>HYPERLINK("https://otsuka-europe-crm.veevavault.com/ui/#object/sent_email__v/VBL00000000M612", "SE-001389673")</f>
        <v>SE-001389673</v>
      </c>
      <c r="D9973" s="1">
        <v>45973.911527777775</v>
      </c>
      <c r="E9973" s="2">
        <v>1</v>
      </c>
      <c r="F9973" s="2">
        <v>1</v>
      </c>
      <c r="G9973" s="2">
        <v>0</v>
      </c>
      <c r="H9973" s="1" t="s">
        <v>0</v>
      </c>
      <c r="I9973" s="2">
        <v>0</v>
      </c>
      <c r="J9973" s="1">
        <v>45973.601597222223</v>
      </c>
    </row>
    <row r="9974" spans="1:10" x14ac:dyDescent="0.2">
      <c r="A9974" s="4" t="s">
        <v>1</v>
      </c>
      <c r="B997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74" s="3" t="str">
        <f>HYPERLINK("https://otsuka-europe-crm.veevavault.com/ui/#object/sent_email__v/VBL00000000M613", "SE-001389674")</f>
        <v>SE-001389674</v>
      </c>
      <c r="D9974" s="1" t="s">
        <v>0</v>
      </c>
      <c r="E9974" s="2">
        <v>0</v>
      </c>
      <c r="F9974" s="2">
        <v>0</v>
      </c>
      <c r="G9974" s="2">
        <v>0</v>
      </c>
      <c r="H9974" s="1" t="s">
        <v>0</v>
      </c>
      <c r="I9974" s="2">
        <v>0</v>
      </c>
      <c r="J9974" s="1">
        <v>45973.601643518516</v>
      </c>
    </row>
    <row r="9975" spans="1:10" x14ac:dyDescent="0.2">
      <c r="A9975" s="4" t="s">
        <v>1</v>
      </c>
      <c r="B997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75" s="3" t="str">
        <f>HYPERLINK("https://otsuka-europe-crm.veevavault.com/ui/#object/sent_email__v/VBL00000000M614", "SE-001389675")</f>
        <v>SE-001389675</v>
      </c>
      <c r="D9975" s="1" t="s">
        <v>0</v>
      </c>
      <c r="E9975" s="2">
        <v>0</v>
      </c>
      <c r="F9975" s="2">
        <v>0</v>
      </c>
      <c r="G9975" s="2">
        <v>0</v>
      </c>
      <c r="H9975" s="1" t="s">
        <v>0</v>
      </c>
      <c r="I9975" s="2">
        <v>0</v>
      </c>
      <c r="J9975" s="1">
        <v>45973.601678240739</v>
      </c>
    </row>
    <row r="9976" spans="1:10" x14ac:dyDescent="0.2">
      <c r="A9976" s="4" t="s">
        <v>1</v>
      </c>
      <c r="B997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76" s="3" t="str">
        <f>HYPERLINK("https://otsuka-europe-crm.veevavault.com/ui/#object/sent_email__v/VBL00000000M615", "SE-001389676")</f>
        <v>SE-001389676</v>
      </c>
      <c r="D9976" s="1" t="s">
        <v>0</v>
      </c>
      <c r="E9976" s="2">
        <v>0</v>
      </c>
      <c r="F9976" s="2">
        <v>0</v>
      </c>
      <c r="G9976" s="2">
        <v>0</v>
      </c>
      <c r="H9976" s="1" t="s">
        <v>0</v>
      </c>
      <c r="I9976" s="2">
        <v>0</v>
      </c>
      <c r="J9976" s="1">
        <v>45973.601724537039</v>
      </c>
    </row>
    <row r="9977" spans="1:10" x14ac:dyDescent="0.2">
      <c r="A9977" s="4" t="s">
        <v>1</v>
      </c>
      <c r="B997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77" s="3" t="str">
        <f>HYPERLINK("https://otsuka-europe-crm.veevavault.com/ui/#object/sent_email__v/VBL00000000M616", "SE-001389677")</f>
        <v>SE-001389677</v>
      </c>
      <c r="D9977" s="1" t="s">
        <v>0</v>
      </c>
      <c r="E9977" s="2">
        <v>0</v>
      </c>
      <c r="F9977" s="2">
        <v>0</v>
      </c>
      <c r="G9977" s="2">
        <v>0</v>
      </c>
      <c r="H9977" s="1" t="s">
        <v>0</v>
      </c>
      <c r="I9977" s="2">
        <v>0</v>
      </c>
      <c r="J9977" s="1">
        <v>45973.601770833331</v>
      </c>
    </row>
    <row r="9978" spans="1:10" x14ac:dyDescent="0.2">
      <c r="A9978" s="4" t="s">
        <v>1</v>
      </c>
      <c r="B997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78" s="3" t="str">
        <f>HYPERLINK("https://otsuka-europe-crm.veevavault.com/ui/#object/sent_email__v/VBL00000000M617", "SE-001389678")</f>
        <v>SE-001389678</v>
      </c>
      <c r="D9978" s="1" t="s">
        <v>0</v>
      </c>
      <c r="E9978" s="2">
        <v>0</v>
      </c>
      <c r="F9978" s="2">
        <v>0</v>
      </c>
      <c r="G9978" s="2">
        <v>0</v>
      </c>
      <c r="H9978" s="1" t="s">
        <v>0</v>
      </c>
      <c r="I9978" s="2">
        <v>0</v>
      </c>
      <c r="J9978" s="1">
        <v>45973.601805555554</v>
      </c>
    </row>
    <row r="9979" spans="1:10" x14ac:dyDescent="0.2">
      <c r="A9979" s="4" t="s">
        <v>1</v>
      </c>
      <c r="B997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79" s="3" t="str">
        <f>HYPERLINK("https://otsuka-europe-crm.veevavault.com/ui/#object/sent_email__v/VBL00000000M618", "SE-001389679")</f>
        <v>SE-001389679</v>
      </c>
      <c r="D9979" s="1">
        <v>45978.795983796299</v>
      </c>
      <c r="E9979" s="2">
        <v>1</v>
      </c>
      <c r="F9979" s="2">
        <v>1</v>
      </c>
      <c r="G9979" s="2">
        <v>1</v>
      </c>
      <c r="H9979" s="1">
        <v>45978.795983796299</v>
      </c>
      <c r="I9979" s="2">
        <v>1</v>
      </c>
      <c r="J9979" s="1">
        <v>45973.601851851854</v>
      </c>
    </row>
    <row r="9980" spans="1:10" x14ac:dyDescent="0.2">
      <c r="A9980" s="4" t="s">
        <v>1</v>
      </c>
      <c r="B998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80" s="3" t="str">
        <f>HYPERLINK("https://otsuka-europe-crm.veevavault.com/ui/#object/sent_email__v/VBL00000000M619", "SE-001389680")</f>
        <v>SE-001389680</v>
      </c>
      <c r="D9980" s="1">
        <v>45979.500706018516</v>
      </c>
      <c r="E9980" s="2">
        <v>1</v>
      </c>
      <c r="F9980" s="2">
        <v>1</v>
      </c>
      <c r="G9980" s="2">
        <v>1</v>
      </c>
      <c r="H9980" s="1">
        <v>45979.500879629632</v>
      </c>
      <c r="I9980" s="2">
        <v>1</v>
      </c>
      <c r="J9980" s="1">
        <v>45973.601898148147</v>
      </c>
    </row>
    <row r="9981" spans="1:10" x14ac:dyDescent="0.2">
      <c r="A9981" s="4" t="s">
        <v>1</v>
      </c>
      <c r="B998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81" s="3" t="str">
        <f>HYPERLINK("https://otsuka-europe-crm.veevavault.com/ui/#object/sent_email__v/VBL00000000M620", "SE-001389681")</f>
        <v>SE-001389681</v>
      </c>
      <c r="D9981" s="1" t="s">
        <v>0</v>
      </c>
      <c r="E9981" s="2">
        <v>0</v>
      </c>
      <c r="F9981" s="2">
        <v>0</v>
      </c>
      <c r="G9981" s="2">
        <v>0</v>
      </c>
      <c r="H9981" s="1" t="s">
        <v>0</v>
      </c>
      <c r="I9981" s="2">
        <v>0</v>
      </c>
      <c r="J9981" s="1">
        <v>45973.601967592593</v>
      </c>
    </row>
    <row r="9982" spans="1:10" x14ac:dyDescent="0.2">
      <c r="A9982" s="4" t="s">
        <v>1</v>
      </c>
      <c r="B998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82" s="3" t="str">
        <f>HYPERLINK("https://otsuka-europe-crm.veevavault.com/ui/#object/sent_email__v/VBL00000000M621", "SE-001389682")</f>
        <v>SE-001389682</v>
      </c>
      <c r="D9982" s="1" t="s">
        <v>0</v>
      </c>
      <c r="E9982" s="2">
        <v>0</v>
      </c>
      <c r="F9982" s="2">
        <v>0</v>
      </c>
      <c r="G9982" s="2">
        <v>0</v>
      </c>
      <c r="H9982" s="1" t="s">
        <v>0</v>
      </c>
      <c r="I9982" s="2">
        <v>0</v>
      </c>
      <c r="J9982" s="1">
        <v>45973.602002314816</v>
      </c>
    </row>
    <row r="9983" spans="1:10" x14ac:dyDescent="0.2">
      <c r="A9983" s="4" t="s">
        <v>1</v>
      </c>
      <c r="B998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83" s="3" t="str">
        <f>HYPERLINK("https://otsuka-europe-crm.veevavault.com/ui/#object/sent_email__v/VBL00000000M622", "SE-001389683")</f>
        <v>SE-001389683</v>
      </c>
      <c r="D9983" s="1" t="s">
        <v>0</v>
      </c>
      <c r="E9983" s="2">
        <v>0</v>
      </c>
      <c r="F9983" s="2">
        <v>0</v>
      </c>
      <c r="G9983" s="2">
        <v>0</v>
      </c>
      <c r="H9983" s="1" t="s">
        <v>0</v>
      </c>
      <c r="I9983" s="2">
        <v>0</v>
      </c>
      <c r="J9983" s="1">
        <v>45973.602037037039</v>
      </c>
    </row>
    <row r="9984" spans="1:10" x14ac:dyDescent="0.2">
      <c r="A9984" s="4" t="s">
        <v>1</v>
      </c>
      <c r="B998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84" s="3" t="str">
        <f>HYPERLINK("https://otsuka-europe-crm.veevavault.com/ui/#object/sent_email__v/VBL00000000M623", "SE-001389684")</f>
        <v>SE-001389684</v>
      </c>
      <c r="D9984" s="1" t="s">
        <v>0</v>
      </c>
      <c r="E9984" s="2">
        <v>0</v>
      </c>
      <c r="F9984" s="2">
        <v>0</v>
      </c>
      <c r="G9984" s="2">
        <v>0</v>
      </c>
      <c r="H9984" s="1" t="s">
        <v>0</v>
      </c>
      <c r="I9984" s="2">
        <v>0</v>
      </c>
      <c r="J9984" s="1">
        <v>45973.602071759262</v>
      </c>
    </row>
    <row r="9985" spans="1:10" x14ac:dyDescent="0.2">
      <c r="A9985" s="4" t="s">
        <v>1</v>
      </c>
      <c r="B998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85" s="3" t="str">
        <f>HYPERLINK("https://otsuka-europe-crm.veevavault.com/ui/#object/sent_email__v/VBL00000000M624", "SE-001389685")</f>
        <v>SE-001389685</v>
      </c>
      <c r="D9985" s="1" t="s">
        <v>0</v>
      </c>
      <c r="E9985" s="2">
        <v>0</v>
      </c>
      <c r="F9985" s="2">
        <v>0</v>
      </c>
      <c r="G9985" s="2">
        <v>0</v>
      </c>
      <c r="H9985" s="1" t="s">
        <v>0</v>
      </c>
      <c r="I9985" s="2">
        <v>0</v>
      </c>
      <c r="J9985" s="1">
        <v>45973.602118055554</v>
      </c>
    </row>
    <row r="9986" spans="1:10" x14ac:dyDescent="0.2">
      <c r="A9986" s="4" t="s">
        <v>1</v>
      </c>
      <c r="B998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86" s="3" t="str">
        <f>HYPERLINK("https://otsuka-europe-crm.veevavault.com/ui/#object/sent_email__v/VBL00000000M625", "SE-001389686")</f>
        <v>SE-001389686</v>
      </c>
      <c r="D9986" s="1" t="s">
        <v>0</v>
      </c>
      <c r="E9986" s="2">
        <v>0</v>
      </c>
      <c r="F9986" s="2">
        <v>0</v>
      </c>
      <c r="G9986" s="2">
        <v>0</v>
      </c>
      <c r="H9986" s="1" t="s">
        <v>0</v>
      </c>
      <c r="I9986" s="2">
        <v>0</v>
      </c>
      <c r="J9986" s="1">
        <v>45973.602164351854</v>
      </c>
    </row>
    <row r="9987" spans="1:10" x14ac:dyDescent="0.2">
      <c r="A9987" s="4" t="s">
        <v>1</v>
      </c>
      <c r="B998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87" s="3" t="str">
        <f>HYPERLINK("https://otsuka-europe-crm.veevavault.com/ui/#object/sent_email__v/VBL00000000M626", "SE-001389687")</f>
        <v>SE-001389687</v>
      </c>
      <c r="D9987" s="1">
        <v>45974.76971064815</v>
      </c>
      <c r="E9987" s="2">
        <v>1</v>
      </c>
      <c r="F9987" s="2">
        <v>1</v>
      </c>
      <c r="G9987" s="2">
        <v>0</v>
      </c>
      <c r="H9987" s="1" t="s">
        <v>0</v>
      </c>
      <c r="I9987" s="2">
        <v>0</v>
      </c>
      <c r="J9987" s="1">
        <v>45973.602222222224</v>
      </c>
    </row>
    <row r="9988" spans="1:10" x14ac:dyDescent="0.2">
      <c r="A9988" s="4" t="s">
        <v>1</v>
      </c>
      <c r="B998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88" s="3" t="str">
        <f>HYPERLINK("https://otsuka-europe-crm.veevavault.com/ui/#object/sent_email__v/VBL00000000M627", "SE-001389688")</f>
        <v>SE-001389688</v>
      </c>
      <c r="D9988" s="1" t="s">
        <v>0</v>
      </c>
      <c r="E9988" s="2">
        <v>0</v>
      </c>
      <c r="F9988" s="2">
        <v>0</v>
      </c>
      <c r="G9988" s="2">
        <v>0</v>
      </c>
      <c r="H9988" s="1" t="s">
        <v>0</v>
      </c>
      <c r="I9988" s="2">
        <v>0</v>
      </c>
      <c r="J9988" s="1">
        <v>45973.60224537037</v>
      </c>
    </row>
    <row r="9989" spans="1:10" x14ac:dyDescent="0.2">
      <c r="A9989" s="4" t="s">
        <v>1</v>
      </c>
      <c r="B998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89" s="3" t="str">
        <f>HYPERLINK("https://otsuka-europe-crm.veevavault.com/ui/#object/sent_email__v/VBL00000000M628", "SE-001389689")</f>
        <v>SE-001389689</v>
      </c>
      <c r="D9989" s="1" t="s">
        <v>0</v>
      </c>
      <c r="E9989" s="2">
        <v>0</v>
      </c>
      <c r="F9989" s="2">
        <v>0</v>
      </c>
      <c r="G9989" s="2">
        <v>0</v>
      </c>
      <c r="H9989" s="1" t="s">
        <v>0</v>
      </c>
      <c r="I9989" s="2">
        <v>0</v>
      </c>
      <c r="J9989" s="1">
        <v>45973.602280092593</v>
      </c>
    </row>
    <row r="9990" spans="1:10" x14ac:dyDescent="0.2">
      <c r="A9990" s="4" t="s">
        <v>1</v>
      </c>
      <c r="B999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90" s="3" t="str">
        <f>HYPERLINK("https://otsuka-europe-crm.veevavault.com/ui/#object/sent_email__v/VBL00000000M629", "SE-001389690")</f>
        <v>SE-001389690</v>
      </c>
      <c r="D9990" s="1" t="s">
        <v>0</v>
      </c>
      <c r="E9990" s="2">
        <v>0</v>
      </c>
      <c r="F9990" s="2">
        <v>0</v>
      </c>
      <c r="G9990" s="2">
        <v>0</v>
      </c>
      <c r="H9990" s="1" t="s">
        <v>0</v>
      </c>
      <c r="I9990" s="2">
        <v>0</v>
      </c>
      <c r="J9990" s="1">
        <v>45973.602337962962</v>
      </c>
    </row>
    <row r="9991" spans="1:10" x14ac:dyDescent="0.2">
      <c r="A9991" s="4" t="s">
        <v>1</v>
      </c>
      <c r="B999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91" s="3" t="str">
        <f>HYPERLINK("https://otsuka-europe-crm.veevavault.com/ui/#object/sent_email__v/VBL00000000M630", "SE-001389691")</f>
        <v>SE-001389691</v>
      </c>
      <c r="D9991" s="1" t="s">
        <v>0</v>
      </c>
      <c r="E9991" s="2">
        <v>0</v>
      </c>
      <c r="F9991" s="2">
        <v>0</v>
      </c>
      <c r="G9991" s="2">
        <v>0</v>
      </c>
      <c r="H9991" s="1" t="s">
        <v>0</v>
      </c>
      <c r="I9991" s="2">
        <v>0</v>
      </c>
      <c r="J9991" s="1">
        <v>45973.602361111109</v>
      </c>
    </row>
    <row r="9992" spans="1:10" x14ac:dyDescent="0.2">
      <c r="A9992" s="4" t="s">
        <v>1</v>
      </c>
      <c r="B999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92" s="3" t="str">
        <f>HYPERLINK("https://otsuka-europe-crm.veevavault.com/ui/#object/sent_email__v/VBL00000000M631", "SE-001389692")</f>
        <v>SE-001389692</v>
      </c>
      <c r="D9992" s="1" t="s">
        <v>0</v>
      </c>
      <c r="E9992" s="2">
        <v>0</v>
      </c>
      <c r="F9992" s="2">
        <v>0</v>
      </c>
      <c r="G9992" s="2">
        <v>0</v>
      </c>
      <c r="H9992" s="1" t="s">
        <v>0</v>
      </c>
      <c r="I9992" s="2">
        <v>0</v>
      </c>
      <c r="J9992" s="1">
        <v>45973.602395833332</v>
      </c>
    </row>
    <row r="9993" spans="1:10" x14ac:dyDescent="0.2">
      <c r="A9993" s="4" t="s">
        <v>1</v>
      </c>
      <c r="B999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93" s="3" t="str">
        <f>HYPERLINK("https://otsuka-europe-crm.veevavault.com/ui/#object/sent_email__v/VBL00000000M632", "SE-001389693")</f>
        <v>SE-001389693</v>
      </c>
      <c r="D9993" s="1" t="s">
        <v>0</v>
      </c>
      <c r="E9993" s="2">
        <v>0</v>
      </c>
      <c r="F9993" s="2">
        <v>0</v>
      </c>
      <c r="G9993" s="2">
        <v>0</v>
      </c>
      <c r="H9993" s="1" t="s">
        <v>0</v>
      </c>
      <c r="I9993" s="2">
        <v>0</v>
      </c>
      <c r="J9993" s="1">
        <v>45973.602442129632</v>
      </c>
    </row>
    <row r="9994" spans="1:10" x14ac:dyDescent="0.2">
      <c r="A9994" s="4" t="s">
        <v>1</v>
      </c>
      <c r="B999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94" s="3" t="str">
        <f>HYPERLINK("https://otsuka-europe-crm.veevavault.com/ui/#object/sent_email__v/VBL00000000M633", "SE-001389694")</f>
        <v>SE-001389694</v>
      </c>
      <c r="D9994" s="1" t="s">
        <v>0</v>
      </c>
      <c r="E9994" s="2">
        <v>0</v>
      </c>
      <c r="F9994" s="2">
        <v>0</v>
      </c>
      <c r="G9994" s="2">
        <v>0</v>
      </c>
      <c r="H9994" s="1" t="s">
        <v>0</v>
      </c>
      <c r="I9994" s="2">
        <v>0</v>
      </c>
      <c r="J9994" s="1">
        <v>45973.602488425924</v>
      </c>
    </row>
    <row r="9995" spans="1:10" x14ac:dyDescent="0.2">
      <c r="A9995" s="4" t="s">
        <v>1</v>
      </c>
      <c r="B999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95" s="3" t="str">
        <f>HYPERLINK("https://otsuka-europe-crm.veevavault.com/ui/#object/sent_email__v/VBL00000000M634", "SE-001389695")</f>
        <v>SE-001389695</v>
      </c>
      <c r="D9995" s="1" t="s">
        <v>0</v>
      </c>
      <c r="E9995" s="2">
        <v>0</v>
      </c>
      <c r="F9995" s="2">
        <v>0</v>
      </c>
      <c r="G9995" s="2">
        <v>0</v>
      </c>
      <c r="H9995" s="1" t="s">
        <v>0</v>
      </c>
      <c r="I9995" s="2">
        <v>0</v>
      </c>
      <c r="J9995" s="1">
        <v>45973.602534722224</v>
      </c>
    </row>
    <row r="9996" spans="1:10" x14ac:dyDescent="0.2">
      <c r="A9996" s="4" t="s">
        <v>1</v>
      </c>
      <c r="B999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96" s="3" t="str">
        <f>HYPERLINK("https://otsuka-europe-crm.veevavault.com/ui/#object/sent_email__v/VBL00000000M635", "SE-001389696")</f>
        <v>SE-001389696</v>
      </c>
      <c r="D9996" s="1" t="s">
        <v>0</v>
      </c>
      <c r="E9996" s="2">
        <v>0</v>
      </c>
      <c r="F9996" s="2">
        <v>0</v>
      </c>
      <c r="G9996" s="2">
        <v>0</v>
      </c>
      <c r="H9996" s="1" t="s">
        <v>0</v>
      </c>
      <c r="I9996" s="2">
        <v>0</v>
      </c>
      <c r="J9996" s="1">
        <v>45973.602581018517</v>
      </c>
    </row>
    <row r="9997" spans="1:10" x14ac:dyDescent="0.2">
      <c r="A9997" s="4" t="s">
        <v>1</v>
      </c>
      <c r="B999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97" s="3" t="str">
        <f>HYPERLINK("https://otsuka-europe-crm.veevavault.com/ui/#object/sent_email__v/VBL00000000M636", "SE-001389697")</f>
        <v>SE-001389697</v>
      </c>
      <c r="D9997" s="1" t="s">
        <v>0</v>
      </c>
      <c r="E9997" s="2">
        <v>0</v>
      </c>
      <c r="F9997" s="2">
        <v>0</v>
      </c>
      <c r="G9997" s="2">
        <v>0</v>
      </c>
      <c r="H9997" s="1" t="s">
        <v>0</v>
      </c>
      <c r="I9997" s="2">
        <v>0</v>
      </c>
      <c r="J9997" s="1">
        <v>45973.602627314816</v>
      </c>
    </row>
    <row r="9998" spans="1:10" x14ac:dyDescent="0.2">
      <c r="A9998" s="4" t="s">
        <v>1</v>
      </c>
      <c r="B999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98" s="3" t="str">
        <f>HYPERLINK("https://otsuka-europe-crm.veevavault.com/ui/#object/sent_email__v/VBL00000000M637", "SE-001389698")</f>
        <v>SE-001389698</v>
      </c>
      <c r="D9998" s="1" t="s">
        <v>0</v>
      </c>
      <c r="E9998" s="2">
        <v>0</v>
      </c>
      <c r="F9998" s="2">
        <v>0</v>
      </c>
      <c r="G9998" s="2">
        <v>0</v>
      </c>
      <c r="H9998" s="1" t="s">
        <v>0</v>
      </c>
      <c r="I9998" s="2">
        <v>0</v>
      </c>
      <c r="J9998" s="1">
        <v>45973.602662037039</v>
      </c>
    </row>
    <row r="9999" spans="1:10" x14ac:dyDescent="0.2">
      <c r="A9999" s="4" t="s">
        <v>1</v>
      </c>
      <c r="B999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9999" s="3" t="str">
        <f>HYPERLINK("https://otsuka-europe-crm.veevavault.com/ui/#object/sent_email__v/VBL00000000M638", "SE-001389699")</f>
        <v>SE-001389699</v>
      </c>
      <c r="D9999" s="1" t="s">
        <v>0</v>
      </c>
      <c r="E9999" s="2">
        <v>0</v>
      </c>
      <c r="F9999" s="2">
        <v>0</v>
      </c>
      <c r="G9999" s="2">
        <v>0</v>
      </c>
      <c r="H9999" s="1" t="s">
        <v>0</v>
      </c>
      <c r="I9999" s="2">
        <v>0</v>
      </c>
      <c r="J9999" s="1">
        <v>45973.602696759262</v>
      </c>
    </row>
    <row r="10000" spans="1:10" x14ac:dyDescent="0.2">
      <c r="A10000" s="4" t="s">
        <v>1</v>
      </c>
      <c r="B1000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00" s="3" t="str">
        <f>HYPERLINK("https://otsuka-europe-crm.veevavault.com/ui/#object/sent_email__v/VBL00000000M639", "SE-001389700")</f>
        <v>SE-001389700</v>
      </c>
      <c r="D10000" s="1" t="s">
        <v>0</v>
      </c>
      <c r="E10000" s="2">
        <v>0</v>
      </c>
      <c r="F10000" s="2">
        <v>0</v>
      </c>
      <c r="G10000" s="2">
        <v>0</v>
      </c>
      <c r="H10000" s="1" t="s">
        <v>0</v>
      </c>
      <c r="I10000" s="2">
        <v>0</v>
      </c>
      <c r="J10000" s="1">
        <v>45973.602743055555</v>
      </c>
    </row>
    <row r="10001" spans="1:10" x14ac:dyDescent="0.2">
      <c r="A10001" s="4" t="s">
        <v>1</v>
      </c>
      <c r="B1000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01" s="3" t="str">
        <f>HYPERLINK("https://otsuka-europe-crm.veevavault.com/ui/#object/sent_email__v/VBL00000000N341", "SE-001390518")</f>
        <v>SE-001390518</v>
      </c>
      <c r="D10001" s="1" t="s">
        <v>0</v>
      </c>
      <c r="E10001" s="2">
        <v>0</v>
      </c>
      <c r="F10001" s="2">
        <v>0</v>
      </c>
      <c r="G10001" s="2">
        <v>0</v>
      </c>
      <c r="H10001" s="1" t="s">
        <v>0</v>
      </c>
      <c r="I10001" s="2">
        <v>0</v>
      </c>
      <c r="J10001" s="1">
        <v>45978.371967592589</v>
      </c>
    </row>
    <row r="10002" spans="1:10" x14ac:dyDescent="0.2">
      <c r="A10002" s="4" t="s">
        <v>1</v>
      </c>
      <c r="B1000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02" s="3" t="str">
        <f>HYPERLINK("https://otsuka-europe-crm.veevavault.com/ui/#object/sent_email__v/VBL00000000N342", "SE-001390519")</f>
        <v>SE-001390519</v>
      </c>
      <c r="D10002" s="1" t="s">
        <v>0</v>
      </c>
      <c r="E10002" s="2">
        <v>0</v>
      </c>
      <c r="F10002" s="2">
        <v>0</v>
      </c>
      <c r="G10002" s="2">
        <v>0</v>
      </c>
      <c r="H10002" s="1" t="s">
        <v>0</v>
      </c>
      <c r="I10002" s="2">
        <v>0</v>
      </c>
      <c r="J10002" s="1">
        <v>45978.372002314813</v>
      </c>
    </row>
    <row r="10003" spans="1:10" x14ac:dyDescent="0.2">
      <c r="A10003" s="4" t="s">
        <v>1</v>
      </c>
      <c r="B1000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03" s="3" t="str">
        <f>HYPERLINK("https://otsuka-europe-crm.veevavault.com/ui/#object/sent_email__v/VBL00000000N343", "SE-001390520")</f>
        <v>SE-001390520</v>
      </c>
      <c r="D10003" s="1">
        <v>45978.588703703703</v>
      </c>
      <c r="E10003" s="2">
        <v>1</v>
      </c>
      <c r="F10003" s="2">
        <v>1</v>
      </c>
      <c r="G10003" s="2">
        <v>0</v>
      </c>
      <c r="H10003" s="1" t="s">
        <v>0</v>
      </c>
      <c r="I10003" s="2">
        <v>0</v>
      </c>
      <c r="J10003" s="1">
        <v>45978.372048611112</v>
      </c>
    </row>
    <row r="10004" spans="1:10" x14ac:dyDescent="0.2">
      <c r="A10004" s="4" t="s">
        <v>1</v>
      </c>
      <c r="B1000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04" s="3" t="str">
        <f>HYPERLINK("https://otsuka-europe-crm.veevavault.com/ui/#object/sent_email__v/VBL00000000N344", "SE-001390521")</f>
        <v>SE-001390521</v>
      </c>
      <c r="D10004" s="1">
        <v>45978.372175925928</v>
      </c>
      <c r="E10004" s="2">
        <v>1</v>
      </c>
      <c r="F10004" s="2">
        <v>1</v>
      </c>
      <c r="G10004" s="2">
        <v>0</v>
      </c>
      <c r="H10004" s="1" t="s">
        <v>0</v>
      </c>
      <c r="I10004" s="2">
        <v>0</v>
      </c>
      <c r="J10004" s="1">
        <v>45978.372083333335</v>
      </c>
    </row>
    <row r="10005" spans="1:10" x14ac:dyDescent="0.2">
      <c r="A10005" s="4" t="s">
        <v>1</v>
      </c>
      <c r="B1000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05" s="3" t="str">
        <f>HYPERLINK("https://otsuka-europe-crm.veevavault.com/ui/#object/sent_email__v/VBL00000000N345", "SE-001390522")</f>
        <v>SE-001390522</v>
      </c>
      <c r="D10005" s="1">
        <v>45978.411990740744</v>
      </c>
      <c r="E10005" s="2">
        <v>1</v>
      </c>
      <c r="F10005" s="2">
        <v>1</v>
      </c>
      <c r="G10005" s="2">
        <v>0</v>
      </c>
      <c r="H10005" s="1" t="s">
        <v>0</v>
      </c>
      <c r="I10005" s="2">
        <v>0</v>
      </c>
      <c r="J10005" s="1">
        <v>45978.372129629628</v>
      </c>
    </row>
    <row r="10006" spans="1:10" x14ac:dyDescent="0.2">
      <c r="A10006" s="4" t="s">
        <v>1</v>
      </c>
      <c r="B1000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06" s="3" t="str">
        <f>HYPERLINK("https://otsuka-europe-crm.veevavault.com/ui/#object/sent_email__v/VBL00000000N346", "SE-001390523")</f>
        <v>SE-001390523</v>
      </c>
      <c r="D10006" s="1" t="s">
        <v>0</v>
      </c>
      <c r="E10006" s="2">
        <v>0</v>
      </c>
      <c r="F10006" s="2">
        <v>0</v>
      </c>
      <c r="G10006" s="2">
        <v>0</v>
      </c>
      <c r="H10006" s="1" t="s">
        <v>0</v>
      </c>
      <c r="I10006" s="2">
        <v>0</v>
      </c>
      <c r="J10006" s="1">
        <v>45978.372164351851</v>
      </c>
    </row>
    <row r="10007" spans="1:10" x14ac:dyDescent="0.2">
      <c r="A10007" s="4" t="s">
        <v>1</v>
      </c>
      <c r="B1000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07" s="3" t="str">
        <f>HYPERLINK("https://otsuka-europe-crm.veevavault.com/ui/#object/sent_email__v/VBL00000000N347", "SE-001390524")</f>
        <v>SE-001390524</v>
      </c>
      <c r="D10007" s="1" t="s">
        <v>0</v>
      </c>
      <c r="E10007" s="2">
        <v>0</v>
      </c>
      <c r="F10007" s="2">
        <v>0</v>
      </c>
      <c r="G10007" s="2">
        <v>0</v>
      </c>
      <c r="H10007" s="1" t="s">
        <v>0</v>
      </c>
      <c r="I10007" s="2">
        <v>0</v>
      </c>
      <c r="J10007" s="1">
        <v>45978.372210648151</v>
      </c>
    </row>
    <row r="10008" spans="1:10" x14ac:dyDescent="0.2">
      <c r="A10008" s="4" t="s">
        <v>1</v>
      </c>
      <c r="B1000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08" s="3" t="str">
        <f>HYPERLINK("https://otsuka-europe-crm.veevavault.com/ui/#object/sent_email__v/VBL00000000N348", "SE-001390525")</f>
        <v>SE-001390525</v>
      </c>
      <c r="D10008" s="1">
        <v>46056.823252314818</v>
      </c>
      <c r="E10008" s="2">
        <v>1</v>
      </c>
      <c r="F10008" s="2">
        <v>3</v>
      </c>
      <c r="G10008" s="2">
        <v>0</v>
      </c>
      <c r="H10008" s="1" t="s">
        <v>0</v>
      </c>
      <c r="I10008" s="2">
        <v>0</v>
      </c>
      <c r="J10008" s="1">
        <v>45978.37226851852</v>
      </c>
    </row>
    <row r="10009" spans="1:10" x14ac:dyDescent="0.2">
      <c r="A10009" s="4" t="s">
        <v>1</v>
      </c>
      <c r="B1000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09" s="3" t="str">
        <f>HYPERLINK("https://otsuka-europe-crm.veevavault.com/ui/#object/sent_email__v/VBL00000000N349", "SE-001390526")</f>
        <v>SE-001390526</v>
      </c>
      <c r="D10009" s="1">
        <v>46003.858391203707</v>
      </c>
      <c r="E10009" s="2">
        <v>1</v>
      </c>
      <c r="F10009" s="2">
        <v>2</v>
      </c>
      <c r="G10009" s="2">
        <v>0</v>
      </c>
      <c r="H10009" s="1" t="s">
        <v>0</v>
      </c>
      <c r="I10009" s="2">
        <v>0</v>
      </c>
      <c r="J10009" s="1">
        <v>45978.372291666667</v>
      </c>
    </row>
    <row r="10010" spans="1:10" x14ac:dyDescent="0.2">
      <c r="A10010" s="4" t="s">
        <v>1</v>
      </c>
      <c r="B1001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10" s="3" t="str">
        <f>HYPERLINK("https://otsuka-europe-crm.veevavault.com/ui/#object/sent_email__v/VBL00000000N350", "SE-001390527")</f>
        <v>SE-001390527</v>
      </c>
      <c r="D10010" s="1">
        <v>45978.794722222221</v>
      </c>
      <c r="E10010" s="2">
        <v>1</v>
      </c>
      <c r="F10010" s="2">
        <v>1</v>
      </c>
      <c r="G10010" s="2">
        <v>1</v>
      </c>
      <c r="H10010" s="1">
        <v>45978.795115740744</v>
      </c>
      <c r="I10010" s="2">
        <v>3</v>
      </c>
      <c r="J10010" s="1">
        <v>45978.372337962966</v>
      </c>
    </row>
    <row r="10011" spans="1:10" x14ac:dyDescent="0.2">
      <c r="A10011" s="4" t="s">
        <v>1</v>
      </c>
      <c r="B1001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11" s="3" t="str">
        <f>HYPERLINK("https://otsuka-europe-crm.veevavault.com/ui/#object/sent_email__v/VBL00000000N351", "SE-001390528")</f>
        <v>SE-001390528</v>
      </c>
      <c r="D10011" s="1">
        <v>45978.397280092591</v>
      </c>
      <c r="E10011" s="2">
        <v>1</v>
      </c>
      <c r="F10011" s="2">
        <v>1</v>
      </c>
      <c r="G10011" s="2">
        <v>0</v>
      </c>
      <c r="H10011" s="1" t="s">
        <v>0</v>
      </c>
      <c r="I10011" s="2">
        <v>0</v>
      </c>
      <c r="J10011" s="1">
        <v>45978.372384259259</v>
      </c>
    </row>
    <row r="10012" spans="1:10" x14ac:dyDescent="0.2">
      <c r="A10012" s="4" t="s">
        <v>1</v>
      </c>
      <c r="B1001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12" s="3" t="str">
        <f>HYPERLINK("https://otsuka-europe-crm.veevavault.com/ui/#object/sent_email__v/VBL00000000N352", "SE-001390529")</f>
        <v>SE-001390529</v>
      </c>
      <c r="D10012" s="1" t="s">
        <v>0</v>
      </c>
      <c r="E10012" s="2">
        <v>0</v>
      </c>
      <c r="F10012" s="2">
        <v>0</v>
      </c>
      <c r="G10012" s="2">
        <v>0</v>
      </c>
      <c r="H10012" s="1" t="s">
        <v>0</v>
      </c>
      <c r="I10012" s="2">
        <v>0</v>
      </c>
      <c r="J10012" s="1">
        <v>45978.372430555559</v>
      </c>
    </row>
    <row r="10013" spans="1:10" x14ac:dyDescent="0.2">
      <c r="A10013" s="4" t="s">
        <v>1</v>
      </c>
      <c r="B1001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13" s="3" t="str">
        <f>HYPERLINK("https://otsuka-europe-crm.veevavault.com/ui/#object/sent_email__v/VBL00000000N353", "SE-001390530")</f>
        <v>SE-001390530</v>
      </c>
      <c r="D10013" s="1">
        <v>45978.623067129629</v>
      </c>
      <c r="E10013" s="2">
        <v>1</v>
      </c>
      <c r="F10013" s="2">
        <v>1</v>
      </c>
      <c r="G10013" s="2">
        <v>0</v>
      </c>
      <c r="H10013" s="1" t="s">
        <v>0</v>
      </c>
      <c r="I10013" s="2">
        <v>0</v>
      </c>
      <c r="J10013" s="1">
        <v>45978.372465277775</v>
      </c>
    </row>
    <row r="10014" spans="1:10" x14ac:dyDescent="0.2">
      <c r="A10014" s="4" t="s">
        <v>1</v>
      </c>
      <c r="B1001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14" s="3" t="str">
        <f>HYPERLINK("https://otsuka-europe-crm.veevavault.com/ui/#object/sent_email__v/VBL00000000N354", "SE-001390531")</f>
        <v>SE-001390531</v>
      </c>
      <c r="D10014" s="1">
        <v>45979.6565162037</v>
      </c>
      <c r="E10014" s="2">
        <v>1</v>
      </c>
      <c r="F10014" s="2">
        <v>2</v>
      </c>
      <c r="G10014" s="2">
        <v>0</v>
      </c>
      <c r="H10014" s="1" t="s">
        <v>0</v>
      </c>
      <c r="I10014" s="2">
        <v>0</v>
      </c>
      <c r="J10014" s="1">
        <v>45978.372511574074</v>
      </c>
    </row>
    <row r="10015" spans="1:10" x14ac:dyDescent="0.2">
      <c r="A10015" s="4" t="s">
        <v>1</v>
      </c>
      <c r="B1001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15" s="3" t="str">
        <f>HYPERLINK("https://otsuka-europe-crm.veevavault.com/ui/#object/sent_email__v/VBL00000000N355", "SE-001390532")</f>
        <v>SE-001390532</v>
      </c>
      <c r="D10015" s="1" t="s">
        <v>0</v>
      </c>
      <c r="E10015" s="2">
        <v>0</v>
      </c>
      <c r="F10015" s="2">
        <v>0</v>
      </c>
      <c r="G10015" s="2">
        <v>0</v>
      </c>
      <c r="H10015" s="1" t="s">
        <v>0</v>
      </c>
      <c r="I10015" s="2">
        <v>0</v>
      </c>
      <c r="J10015" s="1">
        <v>45978.372557870367</v>
      </c>
    </row>
    <row r="10016" spans="1:10" x14ac:dyDescent="0.2">
      <c r="A10016" s="4" t="s">
        <v>1</v>
      </c>
      <c r="B1001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16" s="3" t="str">
        <f>HYPERLINK("https://otsuka-europe-crm.veevavault.com/ui/#object/sent_email__v/VBL00000000N356", "SE-001390533")</f>
        <v>SE-001390533</v>
      </c>
      <c r="D10016" s="1" t="s">
        <v>0</v>
      </c>
      <c r="E10016" s="2">
        <v>0</v>
      </c>
      <c r="F10016" s="2">
        <v>0</v>
      </c>
      <c r="G10016" s="2">
        <v>0</v>
      </c>
      <c r="H10016" s="1" t="s">
        <v>0</v>
      </c>
      <c r="I10016" s="2">
        <v>0</v>
      </c>
      <c r="J10016" s="1">
        <v>45978.372627314813</v>
      </c>
    </row>
    <row r="10017" spans="1:10" x14ac:dyDescent="0.2">
      <c r="A10017" s="4" t="s">
        <v>1</v>
      </c>
      <c r="B1001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17" s="3" t="str">
        <f>HYPERLINK("https://otsuka-europe-crm.veevavault.com/ui/#object/sent_email__v/VBL00000000N357", "SE-001390534")</f>
        <v>SE-001390534</v>
      </c>
      <c r="D10017" s="1" t="s">
        <v>0</v>
      </c>
      <c r="E10017" s="2">
        <v>0</v>
      </c>
      <c r="F10017" s="2">
        <v>0</v>
      </c>
      <c r="G10017" s="2">
        <v>0</v>
      </c>
      <c r="H10017" s="1" t="s">
        <v>0</v>
      </c>
      <c r="I10017" s="2">
        <v>0</v>
      </c>
      <c r="J10017" s="1">
        <v>45978.372696759259</v>
      </c>
    </row>
    <row r="10018" spans="1:10" x14ac:dyDescent="0.2">
      <c r="A10018" s="4" t="s">
        <v>1</v>
      </c>
      <c r="B1001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18" s="3" t="str">
        <f>HYPERLINK("https://otsuka-europe-crm.veevavault.com/ui/#object/sent_email__v/VBL00000000N358", "SE-001390535")</f>
        <v>SE-001390535</v>
      </c>
      <c r="D10018" s="1">
        <v>46000.905034722222</v>
      </c>
      <c r="E10018" s="2">
        <v>1</v>
      </c>
      <c r="F10018" s="2">
        <v>2</v>
      </c>
      <c r="G10018" s="2">
        <v>0</v>
      </c>
      <c r="H10018" s="1" t="s">
        <v>0</v>
      </c>
      <c r="I10018" s="2">
        <v>0</v>
      </c>
      <c r="J10018" s="1">
        <v>45978.372766203705</v>
      </c>
    </row>
    <row r="10019" spans="1:10" x14ac:dyDescent="0.2">
      <c r="A10019" s="4" t="s">
        <v>1</v>
      </c>
      <c r="B1001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19" s="3" t="str">
        <f>HYPERLINK("https://otsuka-europe-crm.veevavault.com/ui/#object/sent_email__v/VBL00000000N359", "SE-001390536")</f>
        <v>SE-001390536</v>
      </c>
      <c r="D10019" s="1" t="s">
        <v>0</v>
      </c>
      <c r="E10019" s="2">
        <v>0</v>
      </c>
      <c r="F10019" s="2">
        <v>0</v>
      </c>
      <c r="G10019" s="2">
        <v>0</v>
      </c>
      <c r="H10019" s="1" t="s">
        <v>0</v>
      </c>
      <c r="I10019" s="2">
        <v>0</v>
      </c>
      <c r="J10019" s="1">
        <v>45978.372835648152</v>
      </c>
    </row>
    <row r="10020" spans="1:10" x14ac:dyDescent="0.2">
      <c r="A10020" s="4" t="s">
        <v>1</v>
      </c>
      <c r="B1002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20" s="3" t="str">
        <f>HYPERLINK("https://otsuka-europe-crm.veevavault.com/ui/#object/sent_email__v/VBL00000000N360", "SE-001390537")</f>
        <v>SE-001390537</v>
      </c>
      <c r="D10020" s="1">
        <v>45978.935532407406</v>
      </c>
      <c r="E10020" s="2">
        <v>1</v>
      </c>
      <c r="F10020" s="2">
        <v>1</v>
      </c>
      <c r="G10020" s="2">
        <v>0</v>
      </c>
      <c r="H10020" s="1" t="s">
        <v>0</v>
      </c>
      <c r="I10020" s="2">
        <v>0</v>
      </c>
      <c r="J10020" s="1">
        <v>45978.37290509259</v>
      </c>
    </row>
    <row r="10021" spans="1:10" x14ac:dyDescent="0.2">
      <c r="A10021" s="4" t="s">
        <v>1</v>
      </c>
      <c r="B1002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21" s="3" t="str">
        <f>HYPERLINK("https://otsuka-europe-crm.veevavault.com/ui/#object/sent_email__v/VBL00000000N361", "SE-001390538")</f>
        <v>SE-001390538</v>
      </c>
      <c r="D10021" s="1" t="s">
        <v>0</v>
      </c>
      <c r="E10021" s="2">
        <v>0</v>
      </c>
      <c r="F10021" s="2">
        <v>0</v>
      </c>
      <c r="G10021" s="2">
        <v>0</v>
      </c>
      <c r="H10021" s="1" t="s">
        <v>0</v>
      </c>
      <c r="I10021" s="2">
        <v>0</v>
      </c>
      <c r="J10021" s="1">
        <v>45978.372974537036</v>
      </c>
    </row>
    <row r="10022" spans="1:10" x14ac:dyDescent="0.2">
      <c r="A10022" s="4" t="s">
        <v>1</v>
      </c>
      <c r="B1002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22" s="3" t="str">
        <f>HYPERLINK("https://otsuka-europe-crm.veevavault.com/ui/#object/sent_email__v/VBL00000000N362", "SE-001390539")</f>
        <v>SE-001390539</v>
      </c>
      <c r="D10022" s="1">
        <v>45980.86886574074</v>
      </c>
      <c r="E10022" s="2">
        <v>1</v>
      </c>
      <c r="F10022" s="2">
        <v>2</v>
      </c>
      <c r="G10022" s="2">
        <v>0</v>
      </c>
      <c r="H10022" s="1" t="s">
        <v>0</v>
      </c>
      <c r="I10022" s="2">
        <v>0</v>
      </c>
      <c r="J10022" s="1">
        <v>45978.373055555552</v>
      </c>
    </row>
    <row r="10023" spans="1:10" x14ac:dyDescent="0.2">
      <c r="A10023" s="4" t="s">
        <v>1</v>
      </c>
      <c r="B1002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23" s="3" t="str">
        <f>HYPERLINK("https://otsuka-europe-crm.veevavault.com/ui/#object/sent_email__v/VBL00000000N363", "SE-001390540")</f>
        <v>SE-001390540</v>
      </c>
      <c r="D10023" s="1" t="s">
        <v>0</v>
      </c>
      <c r="E10023" s="2">
        <v>0</v>
      </c>
      <c r="F10023" s="2">
        <v>0</v>
      </c>
      <c r="G10023" s="2">
        <v>0</v>
      </c>
      <c r="H10023" s="1" t="s">
        <v>0</v>
      </c>
      <c r="I10023" s="2">
        <v>0</v>
      </c>
      <c r="J10023" s="1">
        <v>45978.373124999998</v>
      </c>
    </row>
    <row r="10024" spans="1:10" x14ac:dyDescent="0.2">
      <c r="A10024" s="4" t="s">
        <v>1</v>
      </c>
      <c r="B1002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24" s="3" t="str">
        <f>HYPERLINK("https://otsuka-europe-crm.veevavault.com/ui/#object/sent_email__v/VBL00000000N364", "SE-001390541")</f>
        <v>SE-001390541</v>
      </c>
      <c r="D10024" s="1" t="s">
        <v>0</v>
      </c>
      <c r="E10024" s="2">
        <v>0</v>
      </c>
      <c r="F10024" s="2">
        <v>0</v>
      </c>
      <c r="G10024" s="2">
        <v>0</v>
      </c>
      <c r="H10024" s="1" t="s">
        <v>0</v>
      </c>
      <c r="I10024" s="2">
        <v>0</v>
      </c>
      <c r="J10024" s="1">
        <v>45978.373194444444</v>
      </c>
    </row>
    <row r="10025" spans="1:10" x14ac:dyDescent="0.2">
      <c r="A10025" s="4" t="s">
        <v>1</v>
      </c>
      <c r="B1002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25" s="3" t="str">
        <f>HYPERLINK("https://otsuka-europe-crm.veevavault.com/ui/#object/sent_email__v/VBL00000000N365", "SE-001390542")</f>
        <v>SE-001390542</v>
      </c>
      <c r="D10025" s="1" t="s">
        <v>0</v>
      </c>
      <c r="E10025" s="2">
        <v>0</v>
      </c>
      <c r="F10025" s="2">
        <v>0</v>
      </c>
      <c r="G10025" s="2">
        <v>0</v>
      </c>
      <c r="H10025" s="1" t="s">
        <v>0</v>
      </c>
      <c r="I10025" s="2">
        <v>0</v>
      </c>
      <c r="J10025" s="1">
        <v>45978.373263888891</v>
      </c>
    </row>
    <row r="10026" spans="1:10" x14ac:dyDescent="0.2">
      <c r="A10026" s="4" t="s">
        <v>1</v>
      </c>
      <c r="B1002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26" s="3" t="str">
        <f>HYPERLINK("https://otsuka-europe-crm.veevavault.com/ui/#object/sent_email__v/VBL00000000N366", "SE-001390543")</f>
        <v>SE-001390543</v>
      </c>
      <c r="D10026" s="1" t="s">
        <v>0</v>
      </c>
      <c r="E10026" s="2">
        <v>0</v>
      </c>
      <c r="F10026" s="2">
        <v>0</v>
      </c>
      <c r="G10026" s="2">
        <v>0</v>
      </c>
      <c r="H10026" s="1" t="s">
        <v>0</v>
      </c>
      <c r="I10026" s="2">
        <v>0</v>
      </c>
      <c r="J10026" s="1">
        <v>45978.373356481483</v>
      </c>
    </row>
    <row r="10027" spans="1:10" x14ac:dyDescent="0.2">
      <c r="A10027" s="4" t="s">
        <v>1</v>
      </c>
      <c r="B1002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27" s="3" t="str">
        <f>HYPERLINK("https://otsuka-europe-crm.veevavault.com/ui/#object/sent_email__v/VBL00000000N367", "SE-001390544")</f>
        <v>SE-001390544</v>
      </c>
      <c r="D10027" s="1">
        <v>45988.436828703707</v>
      </c>
      <c r="E10027" s="2">
        <v>1</v>
      </c>
      <c r="F10027" s="2">
        <v>1</v>
      </c>
      <c r="G10027" s="2">
        <v>0</v>
      </c>
      <c r="H10027" s="1" t="s">
        <v>0</v>
      </c>
      <c r="I10027" s="2">
        <v>0</v>
      </c>
      <c r="J10027" s="1">
        <v>45978.373414351852</v>
      </c>
    </row>
    <row r="10028" spans="1:10" x14ac:dyDescent="0.2">
      <c r="A10028" s="4" t="s">
        <v>1</v>
      </c>
      <c r="B1002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28" s="3" t="str">
        <f>HYPERLINK("https://otsuka-europe-crm.veevavault.com/ui/#object/sent_email__v/VBL00000000N368", "SE-001390545")</f>
        <v>SE-001390545</v>
      </c>
      <c r="D10028" s="1">
        <v>46037.812326388892</v>
      </c>
      <c r="E10028" s="2">
        <v>1</v>
      </c>
      <c r="F10028" s="2">
        <v>5</v>
      </c>
      <c r="G10028" s="2">
        <v>0</v>
      </c>
      <c r="H10028" s="1" t="s">
        <v>0</v>
      </c>
      <c r="I10028" s="2">
        <v>0</v>
      </c>
      <c r="J10028" s="1">
        <v>45978.373483796298</v>
      </c>
    </row>
    <row r="10029" spans="1:10" x14ac:dyDescent="0.2">
      <c r="A10029" s="4" t="s">
        <v>1</v>
      </c>
      <c r="B1002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29" s="3" t="str">
        <f>HYPERLINK("https://otsuka-europe-crm.veevavault.com/ui/#object/sent_email__v/VBL00000000N369", "SE-001390546")</f>
        <v>SE-001390546</v>
      </c>
      <c r="D10029" s="1">
        <v>45978.901539351849</v>
      </c>
      <c r="E10029" s="2">
        <v>1</v>
      </c>
      <c r="F10029" s="2">
        <v>2</v>
      </c>
      <c r="G10029" s="2">
        <v>0</v>
      </c>
      <c r="H10029" s="1" t="s">
        <v>0</v>
      </c>
      <c r="I10029" s="2">
        <v>0</v>
      </c>
      <c r="J10029" s="1">
        <v>45978.373553240737</v>
      </c>
    </row>
    <row r="10030" spans="1:10" x14ac:dyDescent="0.2">
      <c r="A10030" s="4" t="s">
        <v>1</v>
      </c>
      <c r="B1003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30" s="3" t="str">
        <f>HYPERLINK("https://otsuka-europe-crm.veevavault.com/ui/#object/sent_email__v/VBL00000000N370", "SE-001390547")</f>
        <v>SE-001390547</v>
      </c>
      <c r="D10030" s="1">
        <v>45978.418900462966</v>
      </c>
      <c r="E10030" s="2">
        <v>1</v>
      </c>
      <c r="F10030" s="2">
        <v>1</v>
      </c>
      <c r="G10030" s="2">
        <v>0</v>
      </c>
      <c r="H10030" s="1" t="s">
        <v>0</v>
      </c>
      <c r="I10030" s="2">
        <v>0</v>
      </c>
      <c r="J10030" s="1">
        <v>45978.373622685183</v>
      </c>
    </row>
    <row r="10031" spans="1:10" x14ac:dyDescent="0.2">
      <c r="A10031" s="4" t="s">
        <v>1</v>
      </c>
      <c r="B1003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31" s="3" t="str">
        <f>HYPERLINK("https://otsuka-europe-crm.veevavault.com/ui/#object/sent_email__v/VBL00000000N371", "SE-001390548")</f>
        <v>SE-001390548</v>
      </c>
      <c r="D10031" s="1" t="s">
        <v>0</v>
      </c>
      <c r="E10031" s="2">
        <v>0</v>
      </c>
      <c r="F10031" s="2">
        <v>0</v>
      </c>
      <c r="G10031" s="2">
        <v>0</v>
      </c>
      <c r="H10031" s="1" t="s">
        <v>0</v>
      </c>
      <c r="I10031" s="2">
        <v>0</v>
      </c>
      <c r="J10031" s="1">
        <v>45978.373703703706</v>
      </c>
    </row>
    <row r="10032" spans="1:10" x14ac:dyDescent="0.2">
      <c r="A10032" s="4" t="s">
        <v>1</v>
      </c>
      <c r="B1003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32" s="3" t="str">
        <f>HYPERLINK("https://otsuka-europe-crm.veevavault.com/ui/#object/sent_email__v/VBL00000000N372", "SE-001390549")</f>
        <v>SE-001390549</v>
      </c>
      <c r="D10032" s="1">
        <v>45978.377835648149</v>
      </c>
      <c r="E10032" s="2">
        <v>1</v>
      </c>
      <c r="F10032" s="2">
        <v>1</v>
      </c>
      <c r="G10032" s="2">
        <v>0</v>
      </c>
      <c r="H10032" s="1" t="s">
        <v>0</v>
      </c>
      <c r="I10032" s="2">
        <v>0</v>
      </c>
      <c r="J10032" s="1">
        <v>45978.373761574076</v>
      </c>
    </row>
    <row r="10033" spans="1:10" x14ac:dyDescent="0.2">
      <c r="A10033" s="4" t="s">
        <v>1</v>
      </c>
      <c r="B1003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33" s="3" t="str">
        <f>HYPERLINK("https://otsuka-europe-crm.veevavault.com/ui/#object/sent_email__v/VBL00000000N373", "SE-001390550")</f>
        <v>SE-001390550</v>
      </c>
      <c r="D10033" s="1">
        <v>45978.397789351853</v>
      </c>
      <c r="E10033" s="2">
        <v>1</v>
      </c>
      <c r="F10033" s="2">
        <v>1</v>
      </c>
      <c r="G10033" s="2">
        <v>0</v>
      </c>
      <c r="H10033" s="1" t="s">
        <v>0</v>
      </c>
      <c r="I10033" s="2">
        <v>0</v>
      </c>
      <c r="J10033" s="1">
        <v>45978.373831018522</v>
      </c>
    </row>
    <row r="10034" spans="1:10" x14ac:dyDescent="0.2">
      <c r="A10034" s="4" t="s">
        <v>1</v>
      </c>
      <c r="B1003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34" s="3" t="str">
        <f>HYPERLINK("https://otsuka-europe-crm.veevavault.com/ui/#object/sent_email__v/VBL00000000N374", "SE-001390551")</f>
        <v>SE-001390551</v>
      </c>
      <c r="D10034" s="1">
        <v>45978.605034722219</v>
      </c>
      <c r="E10034" s="2">
        <v>1</v>
      </c>
      <c r="F10034" s="2">
        <v>1</v>
      </c>
      <c r="G10034" s="2">
        <v>0</v>
      </c>
      <c r="H10034" s="1" t="s">
        <v>0</v>
      </c>
      <c r="I10034" s="2">
        <v>0</v>
      </c>
      <c r="J10034" s="1">
        <v>45978.373900462961</v>
      </c>
    </row>
    <row r="10035" spans="1:10" x14ac:dyDescent="0.2">
      <c r="A10035" s="4" t="s">
        <v>1</v>
      </c>
      <c r="B1003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35" s="3" t="str">
        <f>HYPERLINK("https://otsuka-europe-crm.veevavault.com/ui/#object/sent_email__v/VBL00000000N375", "SE-001390552")</f>
        <v>SE-001390552</v>
      </c>
      <c r="D10035" s="1" t="s">
        <v>0</v>
      </c>
      <c r="E10035" s="2">
        <v>0</v>
      </c>
      <c r="F10035" s="2">
        <v>0</v>
      </c>
      <c r="G10035" s="2">
        <v>0</v>
      </c>
      <c r="H10035" s="1" t="s">
        <v>0</v>
      </c>
      <c r="I10035" s="2">
        <v>0</v>
      </c>
      <c r="J10035" s="1">
        <v>45978.373969907407</v>
      </c>
    </row>
    <row r="10036" spans="1:10" x14ac:dyDescent="0.2">
      <c r="A10036" s="4" t="s">
        <v>1</v>
      </c>
      <c r="B1003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36" s="3" t="str">
        <f>HYPERLINK("https://otsuka-europe-crm.veevavault.com/ui/#object/sent_email__v/VBL00000000N376", "SE-001390553")</f>
        <v>SE-001390553</v>
      </c>
      <c r="D10036" s="1">
        <v>46013.518842592595</v>
      </c>
      <c r="E10036" s="2">
        <v>1</v>
      </c>
      <c r="F10036" s="2">
        <v>3</v>
      </c>
      <c r="G10036" s="2">
        <v>0</v>
      </c>
      <c r="H10036" s="1" t="s">
        <v>0</v>
      </c>
      <c r="I10036" s="2">
        <v>0</v>
      </c>
      <c r="J10036" s="1">
        <v>45978.374039351853</v>
      </c>
    </row>
    <row r="10037" spans="1:10" x14ac:dyDescent="0.2">
      <c r="A10037" s="4" t="s">
        <v>1</v>
      </c>
      <c r="B1003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37" s="3" t="str">
        <f>HYPERLINK("https://otsuka-europe-crm.veevavault.com/ui/#object/sent_email__v/VBL00000000N377", "SE-001390554")</f>
        <v>SE-001390554</v>
      </c>
      <c r="D10037" s="1">
        <v>45978.706793981481</v>
      </c>
      <c r="E10037" s="2">
        <v>1</v>
      </c>
      <c r="F10037" s="2">
        <v>1</v>
      </c>
      <c r="G10037" s="2">
        <v>0</v>
      </c>
      <c r="H10037" s="1" t="s">
        <v>0</v>
      </c>
      <c r="I10037" s="2">
        <v>0</v>
      </c>
      <c r="J10037" s="1">
        <v>45978.374120370368</v>
      </c>
    </row>
    <row r="10038" spans="1:10" x14ac:dyDescent="0.2">
      <c r="A10038" s="4" t="s">
        <v>1</v>
      </c>
      <c r="B1003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38" s="3" t="str">
        <f>HYPERLINK("https://otsuka-europe-crm.veevavault.com/ui/#object/sent_email__v/VBL00000000N378", "SE-001390555")</f>
        <v>SE-001390555</v>
      </c>
      <c r="D10038" s="1">
        <v>45978.3828587963</v>
      </c>
      <c r="E10038" s="2">
        <v>1</v>
      </c>
      <c r="F10038" s="2">
        <v>2</v>
      </c>
      <c r="G10038" s="2">
        <v>0</v>
      </c>
      <c r="H10038" s="1" t="s">
        <v>0</v>
      </c>
      <c r="I10038" s="2">
        <v>0</v>
      </c>
      <c r="J10038" s="1">
        <v>45978.374467592592</v>
      </c>
    </row>
    <row r="10039" spans="1:10" x14ac:dyDescent="0.2">
      <c r="A10039" s="4" t="s">
        <v>1</v>
      </c>
      <c r="B1003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39" s="3" t="str">
        <f>HYPERLINK("https://otsuka-europe-crm.veevavault.com/ui/#object/sent_email__v/VBL00000000N379", "SE-001390556")</f>
        <v>SE-001390556</v>
      </c>
      <c r="D10039" s="1" t="s">
        <v>0</v>
      </c>
      <c r="E10039" s="2">
        <v>0</v>
      </c>
      <c r="F10039" s="2">
        <v>0</v>
      </c>
      <c r="G10039" s="2">
        <v>0</v>
      </c>
      <c r="H10039" s="1" t="s">
        <v>0</v>
      </c>
      <c r="I10039" s="2">
        <v>0</v>
      </c>
      <c r="J10039" s="1">
        <v>45978.374259259261</v>
      </c>
    </row>
    <row r="10040" spans="1:10" x14ac:dyDescent="0.2">
      <c r="A10040" s="4" t="s">
        <v>1</v>
      </c>
      <c r="B1004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40" s="3" t="str">
        <f>HYPERLINK("https://otsuka-europe-crm.veevavault.com/ui/#object/sent_email__v/VBL00000000N380", "SE-001390557")</f>
        <v>SE-001390557</v>
      </c>
      <c r="D10040" s="1">
        <v>45978.455428240741</v>
      </c>
      <c r="E10040" s="2">
        <v>1</v>
      </c>
      <c r="F10040" s="2">
        <v>1</v>
      </c>
      <c r="G10040" s="2">
        <v>0</v>
      </c>
      <c r="H10040" s="1" t="s">
        <v>0</v>
      </c>
      <c r="I10040" s="2">
        <v>0</v>
      </c>
      <c r="J10040" s="1">
        <v>45978.374328703707</v>
      </c>
    </row>
    <row r="10041" spans="1:10" x14ac:dyDescent="0.2">
      <c r="A10041" s="4" t="s">
        <v>1</v>
      </c>
      <c r="B1004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41" s="3" t="str">
        <f>HYPERLINK("https://otsuka-europe-crm.veevavault.com/ui/#object/sent_email__v/VBL00000000N381", "SE-001390558")</f>
        <v>SE-001390558</v>
      </c>
      <c r="D10041" s="1">
        <v>45978.39466435185</v>
      </c>
      <c r="E10041" s="2">
        <v>1</v>
      </c>
      <c r="F10041" s="2">
        <v>1</v>
      </c>
      <c r="G10041" s="2">
        <v>0</v>
      </c>
      <c r="H10041" s="1" t="s">
        <v>0</v>
      </c>
      <c r="I10041" s="2">
        <v>0</v>
      </c>
      <c r="J10041" s="1">
        <v>45978.374398148146</v>
      </c>
    </row>
    <row r="10042" spans="1:10" x14ac:dyDescent="0.2">
      <c r="A10042" s="4" t="s">
        <v>1</v>
      </c>
      <c r="B1004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42" s="3" t="str">
        <f>HYPERLINK("https://otsuka-europe-crm.veevavault.com/ui/#object/sent_email__v/VBL00000000N382", "SE-001390559")</f>
        <v>SE-001390559</v>
      </c>
      <c r="D10042" s="1" t="s">
        <v>0</v>
      </c>
      <c r="E10042" s="2">
        <v>0</v>
      </c>
      <c r="F10042" s="2">
        <v>0</v>
      </c>
      <c r="G10042" s="2">
        <v>0</v>
      </c>
      <c r="H10042" s="1" t="s">
        <v>0</v>
      </c>
      <c r="I10042" s="2">
        <v>0</v>
      </c>
      <c r="J10042" s="1">
        <v>45978.374467592592</v>
      </c>
    </row>
    <row r="10043" spans="1:10" x14ac:dyDescent="0.2">
      <c r="A10043" s="4" t="s">
        <v>1</v>
      </c>
      <c r="B1004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43" s="3" t="str">
        <f>HYPERLINK("https://otsuka-europe-crm.veevavault.com/ui/#object/sent_email__v/VBL00000000N383", "SE-001390560")</f>
        <v>SE-001390560</v>
      </c>
      <c r="D10043" s="1">
        <v>45978.833472222221</v>
      </c>
      <c r="E10043" s="2">
        <v>1</v>
      </c>
      <c r="F10043" s="2">
        <v>1</v>
      </c>
      <c r="G10043" s="2">
        <v>0</v>
      </c>
      <c r="H10043" s="1" t="s">
        <v>0</v>
      </c>
      <c r="I10043" s="2">
        <v>0</v>
      </c>
      <c r="J10043" s="1">
        <v>45978.374548611115</v>
      </c>
    </row>
    <row r="10044" spans="1:10" x14ac:dyDescent="0.2">
      <c r="A10044" s="4" t="s">
        <v>1</v>
      </c>
      <c r="B1004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44" s="3" t="str">
        <f>HYPERLINK("https://otsuka-europe-crm.veevavault.com/ui/#object/sent_email__v/VBL00000000N384", "SE-001390561")</f>
        <v>SE-001390561</v>
      </c>
      <c r="D10044" s="1" t="s">
        <v>0</v>
      </c>
      <c r="E10044" s="2">
        <v>0</v>
      </c>
      <c r="F10044" s="2">
        <v>0</v>
      </c>
      <c r="G10044" s="2">
        <v>0</v>
      </c>
      <c r="H10044" s="1" t="s">
        <v>0</v>
      </c>
      <c r="I10044" s="2">
        <v>0</v>
      </c>
      <c r="J10044" s="1">
        <v>45978.37462962963</v>
      </c>
    </row>
    <row r="10045" spans="1:10" x14ac:dyDescent="0.2">
      <c r="A10045" s="4" t="s">
        <v>1</v>
      </c>
      <c r="B1004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45" s="3" t="str">
        <f>HYPERLINK("https://otsuka-europe-crm.veevavault.com/ui/#object/sent_email__v/VBL00000000N385", "SE-001390562")</f>
        <v>SE-001390562</v>
      </c>
      <c r="D10045" s="1" t="s">
        <v>0</v>
      </c>
      <c r="E10045" s="2">
        <v>0</v>
      </c>
      <c r="F10045" s="2">
        <v>0</v>
      </c>
      <c r="G10045" s="2">
        <v>0</v>
      </c>
      <c r="H10045" s="1" t="s">
        <v>0</v>
      </c>
      <c r="I10045" s="2">
        <v>0</v>
      </c>
      <c r="J10045" s="1">
        <v>45978.374675925923</v>
      </c>
    </row>
    <row r="10046" spans="1:10" x14ac:dyDescent="0.2">
      <c r="A10046" s="4" t="s">
        <v>1</v>
      </c>
      <c r="B1004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46" s="3" t="str">
        <f>HYPERLINK("https://otsuka-europe-crm.veevavault.com/ui/#object/sent_email__v/VBL00000000N386", "SE-001390563")</f>
        <v>SE-001390563</v>
      </c>
      <c r="D10046" s="1" t="s">
        <v>0</v>
      </c>
      <c r="E10046" s="2">
        <v>0</v>
      </c>
      <c r="F10046" s="2">
        <v>0</v>
      </c>
      <c r="G10046" s="2">
        <v>0</v>
      </c>
      <c r="H10046" s="1" t="s">
        <v>0</v>
      </c>
      <c r="I10046" s="2">
        <v>0</v>
      </c>
      <c r="J10046" s="1">
        <v>45978.374745370369</v>
      </c>
    </row>
    <row r="10047" spans="1:10" x14ac:dyDescent="0.2">
      <c r="A10047" s="4" t="s">
        <v>1</v>
      </c>
      <c r="B1004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47" s="3" t="str">
        <f>HYPERLINK("https://otsuka-europe-crm.veevavault.com/ui/#object/sent_email__v/VBL00000000N387", "SE-001390564")</f>
        <v>SE-001390564</v>
      </c>
      <c r="D10047" s="1">
        <v>45978.542997685188</v>
      </c>
      <c r="E10047" s="2">
        <v>1</v>
      </c>
      <c r="F10047" s="2">
        <v>2</v>
      </c>
      <c r="G10047" s="2">
        <v>0</v>
      </c>
      <c r="H10047" s="1" t="s">
        <v>0</v>
      </c>
      <c r="I10047" s="2">
        <v>0</v>
      </c>
      <c r="J10047" s="1">
        <v>45978.374814814815</v>
      </c>
    </row>
    <row r="10048" spans="1:10" x14ac:dyDescent="0.2">
      <c r="A10048" s="4" t="s">
        <v>1</v>
      </c>
      <c r="B1004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48" s="3" t="str">
        <f>HYPERLINK("https://otsuka-europe-crm.veevavault.com/ui/#object/sent_email__v/VBL00000000N388", "SE-001390565")</f>
        <v>SE-001390565</v>
      </c>
      <c r="D10048" s="1">
        <v>45978.402256944442</v>
      </c>
      <c r="E10048" s="2">
        <v>1</v>
      </c>
      <c r="F10048" s="2">
        <v>2</v>
      </c>
      <c r="G10048" s="2">
        <v>0</v>
      </c>
      <c r="H10048" s="1" t="s">
        <v>0</v>
      </c>
      <c r="I10048" s="2">
        <v>0</v>
      </c>
      <c r="J10048" s="1">
        <v>45978.374884259261</v>
      </c>
    </row>
    <row r="10049" spans="1:10" x14ac:dyDescent="0.2">
      <c r="A10049" s="4" t="s">
        <v>1</v>
      </c>
      <c r="B1004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49" s="3" t="str">
        <f>HYPERLINK("https://otsuka-europe-crm.veevavault.com/ui/#object/sent_email__v/VBL00000000N389", "SE-001390566")</f>
        <v>SE-001390566</v>
      </c>
      <c r="D10049" s="1" t="s">
        <v>0</v>
      </c>
      <c r="E10049" s="2">
        <v>0</v>
      </c>
      <c r="F10049" s="2">
        <v>0</v>
      </c>
      <c r="G10049" s="2">
        <v>0</v>
      </c>
      <c r="H10049" s="1" t="s">
        <v>0</v>
      </c>
      <c r="I10049" s="2">
        <v>0</v>
      </c>
      <c r="J10049" s="1">
        <v>45978.3749537037</v>
      </c>
    </row>
    <row r="10050" spans="1:10" x14ac:dyDescent="0.2">
      <c r="A10050" s="4" t="s">
        <v>1</v>
      </c>
      <c r="B1005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50" s="3" t="str">
        <f>HYPERLINK("https://otsuka-europe-crm.veevavault.com/ui/#object/sent_email__v/VBL00000000N390", "SE-001390567")</f>
        <v>SE-001390567</v>
      </c>
      <c r="D10050" s="1" t="s">
        <v>0</v>
      </c>
      <c r="E10050" s="2">
        <v>0</v>
      </c>
      <c r="F10050" s="2">
        <v>0</v>
      </c>
      <c r="G10050" s="2">
        <v>0</v>
      </c>
      <c r="H10050" s="1" t="s">
        <v>0</v>
      </c>
      <c r="I10050" s="2">
        <v>0</v>
      </c>
      <c r="J10050" s="1">
        <v>45978.375023148146</v>
      </c>
    </row>
    <row r="10051" spans="1:10" x14ac:dyDescent="0.2">
      <c r="A10051" s="4" t="s">
        <v>1</v>
      </c>
      <c r="B1005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51" s="3" t="str">
        <f>HYPERLINK("https://otsuka-europe-crm.veevavault.com/ui/#object/sent_email__v/VBL00000000N391", "SE-001390568")</f>
        <v>SE-001390568</v>
      </c>
      <c r="D10051" s="1" t="s">
        <v>0</v>
      </c>
      <c r="E10051" s="2">
        <v>0</v>
      </c>
      <c r="F10051" s="2">
        <v>0</v>
      </c>
      <c r="G10051" s="2">
        <v>0</v>
      </c>
      <c r="H10051" s="1" t="s">
        <v>0</v>
      </c>
      <c r="I10051" s="2">
        <v>0</v>
      </c>
      <c r="J10051" s="1">
        <v>45978.375069444446</v>
      </c>
    </row>
    <row r="10052" spans="1:10" x14ac:dyDescent="0.2">
      <c r="A10052" s="4" t="s">
        <v>1</v>
      </c>
      <c r="B1005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52" s="3" t="str">
        <f>HYPERLINK("https://otsuka-europe-crm.veevavault.com/ui/#object/sent_email__v/VBL00000000N392", "SE-001390569")</f>
        <v>SE-001390569</v>
      </c>
      <c r="D10052" s="1" t="s">
        <v>0</v>
      </c>
      <c r="E10052" s="2">
        <v>0</v>
      </c>
      <c r="F10052" s="2">
        <v>0</v>
      </c>
      <c r="G10052" s="2">
        <v>0</v>
      </c>
      <c r="H10052" s="1" t="s">
        <v>0</v>
      </c>
      <c r="I10052" s="2">
        <v>0</v>
      </c>
      <c r="J10052" s="1">
        <v>45978.375115740739</v>
      </c>
    </row>
    <row r="10053" spans="1:10" x14ac:dyDescent="0.2">
      <c r="A10053" s="4" t="s">
        <v>1</v>
      </c>
      <c r="B1005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53" s="3" t="str">
        <f>HYPERLINK("https://otsuka-europe-crm.veevavault.com/ui/#object/sent_email__v/VBL00000000N393", "SE-001390570")</f>
        <v>SE-001390570</v>
      </c>
      <c r="D10053" s="1">
        <v>45986.473634259259</v>
      </c>
      <c r="E10053" s="2">
        <v>1</v>
      </c>
      <c r="F10053" s="2">
        <v>2</v>
      </c>
      <c r="G10053" s="2">
        <v>0</v>
      </c>
      <c r="H10053" s="1" t="s">
        <v>0</v>
      </c>
      <c r="I10053" s="2">
        <v>0</v>
      </c>
      <c r="J10053" s="1">
        <v>45978.375150462962</v>
      </c>
    </row>
    <row r="10054" spans="1:10" x14ac:dyDescent="0.2">
      <c r="A10054" s="4" t="s">
        <v>1</v>
      </c>
      <c r="B1005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54" s="3" t="str">
        <f>HYPERLINK("https://otsuka-europe-crm.veevavault.com/ui/#object/sent_email__v/VBL00000000N394", "SE-001390571")</f>
        <v>SE-001390571</v>
      </c>
      <c r="D10054" s="1" t="s">
        <v>0</v>
      </c>
      <c r="E10054" s="2">
        <v>0</v>
      </c>
      <c r="F10054" s="2">
        <v>0</v>
      </c>
      <c r="G10054" s="2">
        <v>0</v>
      </c>
      <c r="H10054" s="1" t="s">
        <v>0</v>
      </c>
      <c r="I10054" s="2">
        <v>0</v>
      </c>
      <c r="J10054" s="1">
        <v>45978.375196759262</v>
      </c>
    </row>
    <row r="10055" spans="1:10" x14ac:dyDescent="0.2">
      <c r="A10055" s="4" t="s">
        <v>1</v>
      </c>
      <c r="B1005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55" s="3" t="str">
        <f>HYPERLINK("https://otsuka-europe-crm.veevavault.com/ui/#object/sent_email__v/VBL00000000N395", "SE-001390572")</f>
        <v>SE-001390572</v>
      </c>
      <c r="D10055" s="1" t="s">
        <v>0</v>
      </c>
      <c r="E10055" s="2">
        <v>0</v>
      </c>
      <c r="F10055" s="2">
        <v>0</v>
      </c>
      <c r="G10055" s="2">
        <v>0</v>
      </c>
      <c r="H10055" s="1" t="s">
        <v>0</v>
      </c>
      <c r="I10055" s="2">
        <v>0</v>
      </c>
      <c r="J10055" s="1">
        <v>45978.375231481485</v>
      </c>
    </row>
    <row r="10056" spans="1:10" x14ac:dyDescent="0.2">
      <c r="A10056" s="4" t="s">
        <v>1</v>
      </c>
      <c r="B1005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56" s="3" t="str">
        <f>HYPERLINK("https://otsuka-europe-crm.veevavault.com/ui/#object/sent_email__v/VBL00000000N396", "SE-001390573")</f>
        <v>SE-001390573</v>
      </c>
      <c r="D10056" s="1">
        <v>45988.969675925924</v>
      </c>
      <c r="E10056" s="2">
        <v>1</v>
      </c>
      <c r="F10056" s="2">
        <v>2</v>
      </c>
      <c r="G10056" s="2">
        <v>0</v>
      </c>
      <c r="H10056" s="1" t="s">
        <v>0</v>
      </c>
      <c r="I10056" s="2">
        <v>0</v>
      </c>
      <c r="J10056" s="1">
        <v>45978.375277777777</v>
      </c>
    </row>
    <row r="10057" spans="1:10" x14ac:dyDescent="0.2">
      <c r="A10057" s="4" t="s">
        <v>1</v>
      </c>
      <c r="B1005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57" s="3" t="str">
        <f>HYPERLINK("https://otsuka-europe-crm.veevavault.com/ui/#object/sent_email__v/VBL00000000N397", "SE-001390574")</f>
        <v>SE-001390574</v>
      </c>
      <c r="D10057" s="1" t="s">
        <v>0</v>
      </c>
      <c r="E10057" s="2">
        <v>0</v>
      </c>
      <c r="F10057" s="2">
        <v>0</v>
      </c>
      <c r="G10057" s="2">
        <v>0</v>
      </c>
      <c r="H10057" s="1" t="s">
        <v>0</v>
      </c>
      <c r="I10057" s="2">
        <v>0</v>
      </c>
      <c r="J10057" s="1">
        <v>45978.3753125</v>
      </c>
    </row>
    <row r="10058" spans="1:10" x14ac:dyDescent="0.2">
      <c r="A10058" s="4" t="s">
        <v>1</v>
      </c>
      <c r="B1005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58" s="3" t="str">
        <f>HYPERLINK("https://otsuka-europe-crm.veevavault.com/ui/#object/sent_email__v/VBL00000000N398", "SE-001390575")</f>
        <v>SE-001390575</v>
      </c>
      <c r="D10058" s="1" t="s">
        <v>0</v>
      </c>
      <c r="E10058" s="2">
        <v>0</v>
      </c>
      <c r="F10058" s="2">
        <v>0</v>
      </c>
      <c r="G10058" s="2">
        <v>0</v>
      </c>
      <c r="H10058" s="1" t="s">
        <v>0</v>
      </c>
      <c r="I10058" s="2">
        <v>0</v>
      </c>
      <c r="J10058" s="1">
        <v>45978.375347222223</v>
      </c>
    </row>
    <row r="10059" spans="1:10" x14ac:dyDescent="0.2">
      <c r="A10059" s="4" t="s">
        <v>1</v>
      </c>
      <c r="B1005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59" s="3" t="str">
        <f>HYPERLINK("https://otsuka-europe-crm.veevavault.com/ui/#object/sent_email__v/VBL00000000O336", "SE-001390863")</f>
        <v>SE-001390863</v>
      </c>
      <c r="D10059" s="1" t="s">
        <v>0</v>
      </c>
      <c r="E10059" s="2">
        <v>0</v>
      </c>
      <c r="F10059" s="2">
        <v>0</v>
      </c>
      <c r="G10059" s="2">
        <v>0</v>
      </c>
      <c r="H10059" s="1" t="s">
        <v>0</v>
      </c>
      <c r="I10059" s="2">
        <v>0</v>
      </c>
      <c r="J10059" s="1">
        <v>45979.470486111109</v>
      </c>
    </row>
    <row r="10060" spans="1:10" x14ac:dyDescent="0.2">
      <c r="A10060" s="4" t="s">
        <v>1</v>
      </c>
      <c r="B1006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60" s="3" t="str">
        <f>HYPERLINK("https://otsuka-europe-crm.veevavault.com/ui/#object/sent_email__v/VBL00000000O337", "SE-001390864")</f>
        <v>SE-001390864</v>
      </c>
      <c r="D10060" s="1" t="s">
        <v>0</v>
      </c>
      <c r="E10060" s="2">
        <v>0</v>
      </c>
      <c r="F10060" s="2">
        <v>0</v>
      </c>
      <c r="G10060" s="2">
        <v>0</v>
      </c>
      <c r="H10060" s="1" t="s">
        <v>0</v>
      </c>
      <c r="I10060" s="2">
        <v>0</v>
      </c>
      <c r="J10060" s="1">
        <v>45979.470486111109</v>
      </c>
    </row>
    <row r="10061" spans="1:10" x14ac:dyDescent="0.2">
      <c r="A10061" s="4" t="s">
        <v>1</v>
      </c>
      <c r="B1006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61" s="3" t="str">
        <f>HYPERLINK("https://otsuka-europe-crm.veevavault.com/ui/#object/sent_email__v/VBL00000000O338", "SE-001390865")</f>
        <v>SE-001390865</v>
      </c>
      <c r="D10061" s="1" t="s">
        <v>0</v>
      </c>
      <c r="E10061" s="2">
        <v>0</v>
      </c>
      <c r="F10061" s="2">
        <v>0</v>
      </c>
      <c r="G10061" s="2">
        <v>0</v>
      </c>
      <c r="H10061" s="1" t="s">
        <v>0</v>
      </c>
      <c r="I10061" s="2">
        <v>0</v>
      </c>
      <c r="J10061" s="1">
        <v>45979.470486111109</v>
      </c>
    </row>
    <row r="10062" spans="1:10" x14ac:dyDescent="0.2">
      <c r="A10062" s="4" t="s">
        <v>1</v>
      </c>
      <c r="B1006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62" s="3" t="str">
        <f>HYPERLINK("https://otsuka-europe-crm.veevavault.com/ui/#object/sent_email__v/VBL00000000O339", "SE-001390866")</f>
        <v>SE-001390866</v>
      </c>
      <c r="D10062" s="1" t="s">
        <v>0</v>
      </c>
      <c r="E10062" s="2">
        <v>0</v>
      </c>
      <c r="F10062" s="2">
        <v>0</v>
      </c>
      <c r="G10062" s="2">
        <v>0</v>
      </c>
      <c r="H10062" s="1" t="s">
        <v>0</v>
      </c>
      <c r="I10062" s="2">
        <v>0</v>
      </c>
      <c r="J10062" s="1">
        <v>45979.470486111109</v>
      </c>
    </row>
    <row r="10063" spans="1:10" x14ac:dyDescent="0.2">
      <c r="A10063" s="4" t="s">
        <v>1</v>
      </c>
      <c r="B1006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63" s="3" t="str">
        <f>HYPERLINK("https://otsuka-europe-crm.veevavault.com/ui/#object/sent_email__v/VBL00000000O340", "SE-001390867")</f>
        <v>SE-001390867</v>
      </c>
      <c r="D10063" s="1" t="s">
        <v>0</v>
      </c>
      <c r="E10063" s="2">
        <v>0</v>
      </c>
      <c r="F10063" s="2">
        <v>0</v>
      </c>
      <c r="G10063" s="2">
        <v>0</v>
      </c>
      <c r="H10063" s="1" t="s">
        <v>0</v>
      </c>
      <c r="I10063" s="2">
        <v>0</v>
      </c>
      <c r="J10063" s="1">
        <v>45979.470497685186</v>
      </c>
    </row>
    <row r="10064" spans="1:10" x14ac:dyDescent="0.2">
      <c r="A10064" s="4" t="s">
        <v>1</v>
      </c>
      <c r="B1006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64" s="3" t="str">
        <f>HYPERLINK("https://otsuka-europe-crm.veevavault.com/ui/#object/sent_email__v/VBL00000000O341", "SE-001390868")</f>
        <v>SE-001390868</v>
      </c>
      <c r="D10064" s="1" t="s">
        <v>0</v>
      </c>
      <c r="E10064" s="2">
        <v>0</v>
      </c>
      <c r="F10064" s="2">
        <v>0</v>
      </c>
      <c r="G10064" s="2">
        <v>0</v>
      </c>
      <c r="H10064" s="1" t="s">
        <v>0</v>
      </c>
      <c r="I10064" s="2">
        <v>0</v>
      </c>
      <c r="J10064" s="1">
        <v>45979.470486111109</v>
      </c>
    </row>
    <row r="10065" spans="1:10" x14ac:dyDescent="0.2">
      <c r="A10065" s="4" t="s">
        <v>1</v>
      </c>
      <c r="B1006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65" s="3" t="str">
        <f>HYPERLINK("https://otsuka-europe-crm.veevavault.com/ui/#object/sent_email__v/VBL00000000O342", "SE-001390869")</f>
        <v>SE-001390869</v>
      </c>
      <c r="D10065" s="1" t="s">
        <v>0</v>
      </c>
      <c r="E10065" s="2">
        <v>0</v>
      </c>
      <c r="F10065" s="2">
        <v>0</v>
      </c>
      <c r="G10065" s="2">
        <v>0</v>
      </c>
      <c r="H10065" s="1" t="s">
        <v>0</v>
      </c>
      <c r="I10065" s="2">
        <v>0</v>
      </c>
      <c r="J10065" s="1">
        <v>45979.470497685186</v>
      </c>
    </row>
    <row r="10066" spans="1:10" x14ac:dyDescent="0.2">
      <c r="A10066" s="4" t="s">
        <v>1</v>
      </c>
      <c r="B1006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66" s="3" t="str">
        <f>HYPERLINK("https://otsuka-europe-crm.veevavault.com/ui/#object/sent_email__v/VBL00000000O343", "SE-001390870")</f>
        <v>SE-001390870</v>
      </c>
      <c r="D10066" s="1" t="s">
        <v>0</v>
      </c>
      <c r="E10066" s="2">
        <v>0</v>
      </c>
      <c r="F10066" s="2">
        <v>0</v>
      </c>
      <c r="G10066" s="2">
        <v>0</v>
      </c>
      <c r="H10066" s="1" t="s">
        <v>0</v>
      </c>
      <c r="I10066" s="2">
        <v>0</v>
      </c>
      <c r="J10066" s="1">
        <v>45979.470486111109</v>
      </c>
    </row>
    <row r="10067" spans="1:10" x14ac:dyDescent="0.2">
      <c r="A10067" s="4" t="s">
        <v>1</v>
      </c>
      <c r="B1006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67" s="3" t="str">
        <f>HYPERLINK("https://otsuka-europe-crm.veevavault.com/ui/#object/sent_email__v/VBL00000000O344", "SE-001390871")</f>
        <v>SE-001390871</v>
      </c>
      <c r="D10067" s="1" t="s">
        <v>0</v>
      </c>
      <c r="E10067" s="2">
        <v>0</v>
      </c>
      <c r="F10067" s="2">
        <v>0</v>
      </c>
      <c r="G10067" s="2">
        <v>0</v>
      </c>
      <c r="H10067" s="1" t="s">
        <v>0</v>
      </c>
      <c r="I10067" s="2">
        <v>0</v>
      </c>
      <c r="J10067" s="1">
        <v>45979.470486111109</v>
      </c>
    </row>
    <row r="10068" spans="1:10" x14ac:dyDescent="0.2">
      <c r="A10068" s="4" t="s">
        <v>1</v>
      </c>
      <c r="B1006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68" s="3" t="str">
        <f>HYPERLINK("https://otsuka-europe-crm.veevavault.com/ui/#object/sent_email__v/VBL00000000O345", "SE-001390872")</f>
        <v>SE-001390872</v>
      </c>
      <c r="D10068" s="1" t="s">
        <v>0</v>
      </c>
      <c r="E10068" s="2">
        <v>0</v>
      </c>
      <c r="F10068" s="2">
        <v>0</v>
      </c>
      <c r="G10068" s="2">
        <v>0</v>
      </c>
      <c r="H10068" s="1" t="s">
        <v>0</v>
      </c>
      <c r="I10068" s="2">
        <v>0</v>
      </c>
      <c r="J10068" s="1">
        <v>45979.470497685186</v>
      </c>
    </row>
    <row r="10069" spans="1:10" x14ac:dyDescent="0.2">
      <c r="A10069" s="4" t="s">
        <v>1</v>
      </c>
      <c r="B1006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69" s="3" t="str">
        <f>HYPERLINK("https://otsuka-europe-crm.veevavault.com/ui/#object/sent_email__v/VBL00000000O346", "SE-001390873")</f>
        <v>SE-001390873</v>
      </c>
      <c r="D10069" s="1" t="s">
        <v>0</v>
      </c>
      <c r="E10069" s="2">
        <v>0</v>
      </c>
      <c r="F10069" s="2">
        <v>0</v>
      </c>
      <c r="G10069" s="2">
        <v>0</v>
      </c>
      <c r="H10069" s="1" t="s">
        <v>0</v>
      </c>
      <c r="I10069" s="2">
        <v>0</v>
      </c>
      <c r="J10069" s="1">
        <v>45979.470486111109</v>
      </c>
    </row>
    <row r="10070" spans="1:10" x14ac:dyDescent="0.2">
      <c r="A10070" s="4" t="s">
        <v>1</v>
      </c>
      <c r="B1007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70" s="3" t="str">
        <f>HYPERLINK("https://otsuka-europe-crm.veevavault.com/ui/#object/sent_email__v/VBL00000000O347", "SE-001390874")</f>
        <v>SE-001390874</v>
      </c>
      <c r="D10070" s="1" t="s">
        <v>0</v>
      </c>
      <c r="E10070" s="2">
        <v>0</v>
      </c>
      <c r="F10070" s="2">
        <v>0</v>
      </c>
      <c r="G10070" s="2">
        <v>0</v>
      </c>
      <c r="H10070" s="1" t="s">
        <v>0</v>
      </c>
      <c r="I10070" s="2">
        <v>0</v>
      </c>
      <c r="J10070" s="1">
        <v>45979.470486111109</v>
      </c>
    </row>
    <row r="10071" spans="1:10" x14ac:dyDescent="0.2">
      <c r="A10071" s="4" t="s">
        <v>1</v>
      </c>
      <c r="B1007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71" s="3" t="str">
        <f>HYPERLINK("https://otsuka-europe-crm.veevavault.com/ui/#object/sent_email__v/VBL00000000O348", "SE-001390875")</f>
        <v>SE-001390875</v>
      </c>
      <c r="D10071" s="1" t="s">
        <v>0</v>
      </c>
      <c r="E10071" s="2">
        <v>0</v>
      </c>
      <c r="F10071" s="2">
        <v>0</v>
      </c>
      <c r="G10071" s="2">
        <v>0</v>
      </c>
      <c r="H10071" s="1" t="s">
        <v>0</v>
      </c>
      <c r="I10071" s="2">
        <v>0</v>
      </c>
      <c r="J10071" s="1">
        <v>45979.470486111109</v>
      </c>
    </row>
    <row r="10072" spans="1:10" x14ac:dyDescent="0.2">
      <c r="A10072" s="4" t="s">
        <v>1</v>
      </c>
      <c r="B1007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72" s="3" t="str">
        <f>HYPERLINK("https://otsuka-europe-crm.veevavault.com/ui/#object/sent_email__v/VBL00000000O349", "SE-001390876")</f>
        <v>SE-001390876</v>
      </c>
      <c r="D10072" s="1" t="s">
        <v>0</v>
      </c>
      <c r="E10072" s="2">
        <v>0</v>
      </c>
      <c r="F10072" s="2">
        <v>0</v>
      </c>
      <c r="G10072" s="2">
        <v>0</v>
      </c>
      <c r="H10072" s="1" t="s">
        <v>0</v>
      </c>
      <c r="I10072" s="2">
        <v>0</v>
      </c>
      <c r="J10072" s="1">
        <v>45979.470486111109</v>
      </c>
    </row>
    <row r="10073" spans="1:10" x14ac:dyDescent="0.2">
      <c r="A10073" s="4" t="s">
        <v>1</v>
      </c>
      <c r="B1007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73" s="3" t="str">
        <f>HYPERLINK("https://otsuka-europe-crm.veevavault.com/ui/#object/sent_email__v/VBL00000000O350", "SE-001390877")</f>
        <v>SE-001390877</v>
      </c>
      <c r="D10073" s="1" t="s">
        <v>0</v>
      </c>
      <c r="E10073" s="2">
        <v>0</v>
      </c>
      <c r="F10073" s="2">
        <v>0</v>
      </c>
      <c r="G10073" s="2">
        <v>0</v>
      </c>
      <c r="H10073" s="1" t="s">
        <v>0</v>
      </c>
      <c r="I10073" s="2">
        <v>0</v>
      </c>
      <c r="J10073" s="1">
        <v>45979.470497685186</v>
      </c>
    </row>
    <row r="10074" spans="1:10" x14ac:dyDescent="0.2">
      <c r="A10074" s="4" t="s">
        <v>1</v>
      </c>
      <c r="B1007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74" s="3" t="str">
        <f>HYPERLINK("https://otsuka-europe-crm.veevavault.com/ui/#object/sent_email__v/VBL00000000O351", "SE-001390878")</f>
        <v>SE-001390878</v>
      </c>
      <c r="D10074" s="1" t="s">
        <v>0</v>
      </c>
      <c r="E10074" s="2">
        <v>0</v>
      </c>
      <c r="F10074" s="2">
        <v>0</v>
      </c>
      <c r="G10074" s="2">
        <v>0</v>
      </c>
      <c r="H10074" s="1" t="s">
        <v>0</v>
      </c>
      <c r="I10074" s="2">
        <v>0</v>
      </c>
      <c r="J10074" s="1">
        <v>45979.470486111109</v>
      </c>
    </row>
    <row r="10075" spans="1:10" x14ac:dyDescent="0.2">
      <c r="A10075" s="4" t="s">
        <v>1</v>
      </c>
      <c r="B1007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75" s="3" t="str">
        <f>HYPERLINK("https://otsuka-europe-crm.veevavault.com/ui/#object/sent_email__v/VBL00000000O352", "SE-001390879")</f>
        <v>SE-001390879</v>
      </c>
      <c r="D10075" s="1" t="s">
        <v>0</v>
      </c>
      <c r="E10075" s="2">
        <v>0</v>
      </c>
      <c r="F10075" s="2">
        <v>0</v>
      </c>
      <c r="G10075" s="2">
        <v>0</v>
      </c>
      <c r="H10075" s="1" t="s">
        <v>0</v>
      </c>
      <c r="I10075" s="2">
        <v>0</v>
      </c>
      <c r="J10075" s="1">
        <v>45979.470497685186</v>
      </c>
    </row>
    <row r="10076" spans="1:10" x14ac:dyDescent="0.2">
      <c r="A10076" s="4" t="s">
        <v>1</v>
      </c>
      <c r="B1007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76" s="3" t="str">
        <f>HYPERLINK("https://otsuka-europe-crm.veevavault.com/ui/#object/sent_email__v/VBL00000000O353", "SE-001390880")</f>
        <v>SE-001390880</v>
      </c>
      <c r="D10076" s="1" t="s">
        <v>0</v>
      </c>
      <c r="E10076" s="2">
        <v>0</v>
      </c>
      <c r="F10076" s="2">
        <v>0</v>
      </c>
      <c r="G10076" s="2">
        <v>0</v>
      </c>
      <c r="H10076" s="1" t="s">
        <v>0</v>
      </c>
      <c r="I10076" s="2">
        <v>0</v>
      </c>
      <c r="J10076" s="1">
        <v>45979.470497685186</v>
      </c>
    </row>
    <row r="10077" spans="1:10" x14ac:dyDescent="0.2">
      <c r="A10077" s="4" t="s">
        <v>1</v>
      </c>
      <c r="B1007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77" s="3" t="str">
        <f>HYPERLINK("https://otsuka-europe-crm.veevavault.com/ui/#object/sent_email__v/VBL00000000O354", "SE-001390881")</f>
        <v>SE-001390881</v>
      </c>
      <c r="D10077" s="1" t="s">
        <v>0</v>
      </c>
      <c r="E10077" s="2">
        <v>0</v>
      </c>
      <c r="F10077" s="2">
        <v>0</v>
      </c>
      <c r="G10077" s="2">
        <v>0</v>
      </c>
      <c r="H10077" s="1" t="s">
        <v>0</v>
      </c>
      <c r="I10077" s="2">
        <v>0</v>
      </c>
      <c r="J10077" s="1">
        <v>45979.470497685186</v>
      </c>
    </row>
    <row r="10078" spans="1:10" x14ac:dyDescent="0.2">
      <c r="A10078" s="4" t="s">
        <v>1</v>
      </c>
      <c r="B1007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78" s="3" t="str">
        <f>HYPERLINK("https://otsuka-europe-crm.veevavault.com/ui/#object/sent_email__v/VBL00000000O355", "SE-001390882")</f>
        <v>SE-001390882</v>
      </c>
      <c r="D10078" s="1" t="s">
        <v>0</v>
      </c>
      <c r="E10078" s="2">
        <v>0</v>
      </c>
      <c r="F10078" s="2">
        <v>0</v>
      </c>
      <c r="G10078" s="2">
        <v>0</v>
      </c>
      <c r="H10078" s="1" t="s">
        <v>0</v>
      </c>
      <c r="I10078" s="2">
        <v>0</v>
      </c>
      <c r="J10078" s="1">
        <v>45979.470497685186</v>
      </c>
    </row>
    <row r="10079" spans="1:10" x14ac:dyDescent="0.2">
      <c r="A10079" s="4" t="s">
        <v>1</v>
      </c>
      <c r="B1007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79" s="3" t="str">
        <f>HYPERLINK("https://otsuka-europe-crm.veevavault.com/ui/#object/sent_email__v/VBL00000000O356", "SE-001390883")</f>
        <v>SE-001390883</v>
      </c>
      <c r="D10079" s="1" t="s">
        <v>0</v>
      </c>
      <c r="E10079" s="2">
        <v>0</v>
      </c>
      <c r="F10079" s="2">
        <v>0</v>
      </c>
      <c r="G10079" s="2">
        <v>0</v>
      </c>
      <c r="H10079" s="1" t="s">
        <v>0</v>
      </c>
      <c r="I10079" s="2">
        <v>0</v>
      </c>
      <c r="J10079" s="1">
        <v>45979.470497685186</v>
      </c>
    </row>
    <row r="10080" spans="1:10" x14ac:dyDescent="0.2">
      <c r="A10080" s="4" t="s">
        <v>1</v>
      </c>
      <c r="B1008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80" s="3" t="str">
        <f>HYPERLINK("https://otsuka-europe-crm.veevavault.com/ui/#object/sent_email__v/VBL00000000O357", "SE-001390884")</f>
        <v>SE-001390884</v>
      </c>
      <c r="D10080" s="1" t="s">
        <v>0</v>
      </c>
      <c r="E10080" s="2">
        <v>0</v>
      </c>
      <c r="F10080" s="2">
        <v>0</v>
      </c>
      <c r="G10080" s="2">
        <v>0</v>
      </c>
      <c r="H10080" s="1" t="s">
        <v>0</v>
      </c>
      <c r="I10080" s="2">
        <v>0</v>
      </c>
      <c r="J10080" s="1">
        <v>45979.470497685186</v>
      </c>
    </row>
    <row r="10081" spans="1:10" x14ac:dyDescent="0.2">
      <c r="A10081" s="4" t="s">
        <v>1</v>
      </c>
      <c r="B1008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81" s="3" t="str">
        <f>HYPERLINK("https://otsuka-europe-crm.veevavault.com/ui/#object/sent_email__v/VBL00000000O358", "SE-001390885")</f>
        <v>SE-001390885</v>
      </c>
      <c r="D10081" s="1" t="s">
        <v>0</v>
      </c>
      <c r="E10081" s="2">
        <v>0</v>
      </c>
      <c r="F10081" s="2">
        <v>0</v>
      </c>
      <c r="G10081" s="2">
        <v>0</v>
      </c>
      <c r="H10081" s="1" t="s">
        <v>0</v>
      </c>
      <c r="I10081" s="2">
        <v>0</v>
      </c>
      <c r="J10081" s="1">
        <v>45979.470497685186</v>
      </c>
    </row>
    <row r="10082" spans="1:10" x14ac:dyDescent="0.2">
      <c r="A10082" s="4" t="s">
        <v>1</v>
      </c>
      <c r="B1008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82" s="3" t="str">
        <f>HYPERLINK("https://otsuka-europe-crm.veevavault.com/ui/#object/sent_email__v/VBL00000000O359", "SE-001390886")</f>
        <v>SE-001390886</v>
      </c>
      <c r="D10082" s="1" t="s">
        <v>0</v>
      </c>
      <c r="E10082" s="2">
        <v>0</v>
      </c>
      <c r="F10082" s="2">
        <v>0</v>
      </c>
      <c r="G10082" s="2">
        <v>0</v>
      </c>
      <c r="H10082" s="1" t="s">
        <v>0</v>
      </c>
      <c r="I10082" s="2">
        <v>0</v>
      </c>
      <c r="J10082" s="1">
        <v>45979.470497685186</v>
      </c>
    </row>
    <row r="10083" spans="1:10" x14ac:dyDescent="0.2">
      <c r="A10083" s="4" t="s">
        <v>1</v>
      </c>
      <c r="B1008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83" s="3" t="str">
        <f>HYPERLINK("https://otsuka-europe-crm.veevavault.com/ui/#object/sent_email__v/VBL00000000O360", "SE-001390887")</f>
        <v>SE-001390887</v>
      </c>
      <c r="D10083" s="1" t="s">
        <v>0</v>
      </c>
      <c r="E10083" s="2">
        <v>0</v>
      </c>
      <c r="F10083" s="2">
        <v>0</v>
      </c>
      <c r="G10083" s="2">
        <v>0</v>
      </c>
      <c r="H10083" s="1" t="s">
        <v>0</v>
      </c>
      <c r="I10083" s="2">
        <v>0</v>
      </c>
      <c r="J10083" s="1">
        <v>45979.470497685186</v>
      </c>
    </row>
    <row r="10084" spans="1:10" x14ac:dyDescent="0.2">
      <c r="A10084" s="4" t="s">
        <v>1</v>
      </c>
      <c r="B1008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84" s="3" t="str">
        <f>HYPERLINK("https://otsuka-europe-crm.veevavault.com/ui/#object/sent_email__v/VBL00000000O361", "SE-001390888")</f>
        <v>SE-001390888</v>
      </c>
      <c r="D10084" s="1" t="s">
        <v>0</v>
      </c>
      <c r="E10084" s="2">
        <v>0</v>
      </c>
      <c r="F10084" s="2">
        <v>0</v>
      </c>
      <c r="G10084" s="2">
        <v>0</v>
      </c>
      <c r="H10084" s="1" t="s">
        <v>0</v>
      </c>
      <c r="I10084" s="2">
        <v>0</v>
      </c>
      <c r="J10084" s="1">
        <v>45979.470497685186</v>
      </c>
    </row>
    <row r="10085" spans="1:10" x14ac:dyDescent="0.2">
      <c r="A10085" s="4" t="s">
        <v>1</v>
      </c>
      <c r="B1008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85" s="3" t="str">
        <f>HYPERLINK("https://otsuka-europe-crm.veevavault.com/ui/#object/sent_email__v/VBL00000000O362", "SE-001390889")</f>
        <v>SE-001390889</v>
      </c>
      <c r="D10085" s="1" t="s">
        <v>0</v>
      </c>
      <c r="E10085" s="2">
        <v>0</v>
      </c>
      <c r="F10085" s="2">
        <v>0</v>
      </c>
      <c r="G10085" s="2">
        <v>0</v>
      </c>
      <c r="H10085" s="1" t="s">
        <v>0</v>
      </c>
      <c r="I10085" s="2">
        <v>0</v>
      </c>
      <c r="J10085" s="1">
        <v>45979.470497685186</v>
      </c>
    </row>
    <row r="10086" spans="1:10" x14ac:dyDescent="0.2">
      <c r="A10086" s="4" t="s">
        <v>1</v>
      </c>
      <c r="B1008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86" s="3" t="str">
        <f>HYPERLINK("https://otsuka-europe-crm.veevavault.com/ui/#object/sent_email__v/VBL00000000O363", "SE-001390890")</f>
        <v>SE-001390890</v>
      </c>
      <c r="D10086" s="1" t="s">
        <v>0</v>
      </c>
      <c r="E10086" s="2">
        <v>0</v>
      </c>
      <c r="F10086" s="2">
        <v>0</v>
      </c>
      <c r="G10086" s="2">
        <v>0</v>
      </c>
      <c r="H10086" s="1" t="s">
        <v>0</v>
      </c>
      <c r="I10086" s="2">
        <v>0</v>
      </c>
      <c r="J10086" s="1">
        <v>45979.470509259256</v>
      </c>
    </row>
    <row r="10087" spans="1:10" x14ac:dyDescent="0.2">
      <c r="A10087" s="4" t="s">
        <v>1</v>
      </c>
      <c r="B1008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87" s="3" t="str">
        <f>HYPERLINK("https://otsuka-europe-crm.veevavault.com/ui/#object/sent_email__v/VBL00000000O364", "SE-001390891")</f>
        <v>SE-001390891</v>
      </c>
      <c r="D10087" s="1" t="s">
        <v>0</v>
      </c>
      <c r="E10087" s="2">
        <v>0</v>
      </c>
      <c r="F10087" s="2">
        <v>0</v>
      </c>
      <c r="G10087" s="2">
        <v>0</v>
      </c>
      <c r="H10087" s="1" t="s">
        <v>0</v>
      </c>
      <c r="I10087" s="2">
        <v>0</v>
      </c>
      <c r="J10087" s="1">
        <v>45979.470509259256</v>
      </c>
    </row>
    <row r="10088" spans="1:10" x14ac:dyDescent="0.2">
      <c r="A10088" s="4" t="s">
        <v>1</v>
      </c>
      <c r="B1008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88" s="3" t="str">
        <f>HYPERLINK("https://otsuka-europe-crm.veevavault.com/ui/#object/sent_email__v/VBL00000000O365", "SE-001390892")</f>
        <v>SE-001390892</v>
      </c>
      <c r="D10088" s="1" t="s">
        <v>0</v>
      </c>
      <c r="E10088" s="2">
        <v>0</v>
      </c>
      <c r="F10088" s="2">
        <v>0</v>
      </c>
      <c r="G10088" s="2">
        <v>0</v>
      </c>
      <c r="H10088" s="1" t="s">
        <v>0</v>
      </c>
      <c r="I10088" s="2">
        <v>0</v>
      </c>
      <c r="J10088" s="1">
        <v>45979.470509259256</v>
      </c>
    </row>
    <row r="10089" spans="1:10" x14ac:dyDescent="0.2">
      <c r="A10089" s="4" t="s">
        <v>1</v>
      </c>
      <c r="B1008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89" s="3" t="str">
        <f>HYPERLINK("https://otsuka-europe-crm.veevavault.com/ui/#object/sent_email__v/VBL00000000O366", "SE-001390893")</f>
        <v>SE-001390893</v>
      </c>
      <c r="D10089" s="1" t="s">
        <v>0</v>
      </c>
      <c r="E10089" s="2">
        <v>0</v>
      </c>
      <c r="F10089" s="2">
        <v>0</v>
      </c>
      <c r="G10089" s="2">
        <v>0</v>
      </c>
      <c r="H10089" s="1" t="s">
        <v>0</v>
      </c>
      <c r="I10089" s="2">
        <v>0</v>
      </c>
      <c r="J10089" s="1">
        <v>45979.470509259256</v>
      </c>
    </row>
    <row r="10090" spans="1:10" x14ac:dyDescent="0.2">
      <c r="A10090" s="4" t="s">
        <v>1</v>
      </c>
      <c r="B1009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90" s="3" t="str">
        <f>HYPERLINK("https://otsuka-europe-crm.veevavault.com/ui/#object/sent_email__v/VBL00000000O367", "SE-001390894")</f>
        <v>SE-001390894</v>
      </c>
      <c r="D10090" s="1" t="s">
        <v>0</v>
      </c>
      <c r="E10090" s="2">
        <v>0</v>
      </c>
      <c r="F10090" s="2">
        <v>0</v>
      </c>
      <c r="G10090" s="2">
        <v>0</v>
      </c>
      <c r="H10090" s="1" t="s">
        <v>0</v>
      </c>
      <c r="I10090" s="2">
        <v>0</v>
      </c>
      <c r="J10090" s="1">
        <v>45979.470509259256</v>
      </c>
    </row>
    <row r="10091" spans="1:10" x14ac:dyDescent="0.2">
      <c r="A10091" s="4" t="s">
        <v>1</v>
      </c>
      <c r="B1009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91" s="3" t="str">
        <f>HYPERLINK("https://otsuka-europe-crm.veevavault.com/ui/#object/sent_email__v/VBL00000000O368", "SE-001390895")</f>
        <v>SE-001390895</v>
      </c>
      <c r="D10091" s="1" t="s">
        <v>0</v>
      </c>
      <c r="E10091" s="2">
        <v>0</v>
      </c>
      <c r="F10091" s="2">
        <v>0</v>
      </c>
      <c r="G10091" s="2">
        <v>0</v>
      </c>
      <c r="H10091" s="1" t="s">
        <v>0</v>
      </c>
      <c r="I10091" s="2">
        <v>0</v>
      </c>
      <c r="J10091" s="1">
        <v>45979.470509259256</v>
      </c>
    </row>
    <row r="10092" spans="1:10" x14ac:dyDescent="0.2">
      <c r="A10092" s="4" t="s">
        <v>1</v>
      </c>
      <c r="B1009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92" s="3" t="str">
        <f>HYPERLINK("https://otsuka-europe-crm.veevavault.com/ui/#object/sent_email__v/VBL00000000O369", "SE-001390896")</f>
        <v>SE-001390896</v>
      </c>
      <c r="D10092" s="1" t="s">
        <v>0</v>
      </c>
      <c r="E10092" s="2">
        <v>0</v>
      </c>
      <c r="F10092" s="2">
        <v>0</v>
      </c>
      <c r="G10092" s="2">
        <v>0</v>
      </c>
      <c r="H10092" s="1" t="s">
        <v>0</v>
      </c>
      <c r="I10092" s="2">
        <v>0</v>
      </c>
      <c r="J10092" s="1">
        <v>45979.470509259256</v>
      </c>
    </row>
    <row r="10093" spans="1:10" x14ac:dyDescent="0.2">
      <c r="A10093" s="4" t="s">
        <v>1</v>
      </c>
      <c r="B1009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93" s="3" t="str">
        <f>HYPERLINK("https://otsuka-europe-crm.veevavault.com/ui/#object/sent_email__v/VBL00000000O370", "SE-001390897")</f>
        <v>SE-001390897</v>
      </c>
      <c r="D10093" s="1" t="s">
        <v>0</v>
      </c>
      <c r="E10093" s="2">
        <v>0</v>
      </c>
      <c r="F10093" s="2">
        <v>0</v>
      </c>
      <c r="G10093" s="2">
        <v>0</v>
      </c>
      <c r="H10093" s="1" t="s">
        <v>0</v>
      </c>
      <c r="I10093" s="2">
        <v>0</v>
      </c>
      <c r="J10093" s="1">
        <v>45979.470509259256</v>
      </c>
    </row>
    <row r="10094" spans="1:10" x14ac:dyDescent="0.2">
      <c r="A10094" s="4" t="s">
        <v>1</v>
      </c>
      <c r="B1009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94" s="3" t="str">
        <f>HYPERLINK("https://otsuka-europe-crm.veevavault.com/ui/#object/sent_email__v/VBL00000000O371", "SE-001390898")</f>
        <v>SE-001390898</v>
      </c>
      <c r="D10094" s="1" t="s">
        <v>0</v>
      </c>
      <c r="E10094" s="2">
        <v>0</v>
      </c>
      <c r="F10094" s="2">
        <v>0</v>
      </c>
      <c r="G10094" s="2">
        <v>0</v>
      </c>
      <c r="H10094" s="1" t="s">
        <v>0</v>
      </c>
      <c r="I10094" s="2">
        <v>0</v>
      </c>
      <c r="J10094" s="1">
        <v>45979.470509259256</v>
      </c>
    </row>
    <row r="10095" spans="1:10" x14ac:dyDescent="0.2">
      <c r="A10095" s="4" t="s">
        <v>1</v>
      </c>
      <c r="B1009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95" s="3" t="str">
        <f>HYPERLINK("https://otsuka-europe-crm.veevavault.com/ui/#object/sent_email__v/VBL00000000O372", "SE-001390899")</f>
        <v>SE-001390899</v>
      </c>
      <c r="D10095" s="1" t="s">
        <v>0</v>
      </c>
      <c r="E10095" s="2">
        <v>0</v>
      </c>
      <c r="F10095" s="2">
        <v>0</v>
      </c>
      <c r="G10095" s="2">
        <v>0</v>
      </c>
      <c r="H10095" s="1" t="s">
        <v>0</v>
      </c>
      <c r="I10095" s="2">
        <v>0</v>
      </c>
      <c r="J10095" s="1">
        <v>45979.470509259256</v>
      </c>
    </row>
    <row r="10096" spans="1:10" x14ac:dyDescent="0.2">
      <c r="A10096" s="4" t="s">
        <v>1</v>
      </c>
      <c r="B1009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96" s="3" t="str">
        <f>HYPERLINK("https://otsuka-europe-crm.veevavault.com/ui/#object/sent_email__v/VBL00000000O373", "SE-001390900")</f>
        <v>SE-001390900</v>
      </c>
      <c r="D10096" s="1" t="s">
        <v>0</v>
      </c>
      <c r="E10096" s="2">
        <v>0</v>
      </c>
      <c r="F10096" s="2">
        <v>0</v>
      </c>
      <c r="G10096" s="2">
        <v>0</v>
      </c>
      <c r="H10096" s="1" t="s">
        <v>0</v>
      </c>
      <c r="I10096" s="2">
        <v>0</v>
      </c>
      <c r="J10096" s="1">
        <v>45979.470509259256</v>
      </c>
    </row>
    <row r="10097" spans="1:10" x14ac:dyDescent="0.2">
      <c r="A10097" s="4" t="s">
        <v>1</v>
      </c>
      <c r="B1009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97" s="3" t="str">
        <f>HYPERLINK("https://otsuka-europe-crm.veevavault.com/ui/#object/sent_email__v/VBL00000000O374", "SE-001390901")</f>
        <v>SE-001390901</v>
      </c>
      <c r="D10097" s="1" t="s">
        <v>0</v>
      </c>
      <c r="E10097" s="2">
        <v>0</v>
      </c>
      <c r="F10097" s="2">
        <v>0</v>
      </c>
      <c r="G10097" s="2">
        <v>0</v>
      </c>
      <c r="H10097" s="1" t="s">
        <v>0</v>
      </c>
      <c r="I10097" s="2">
        <v>0</v>
      </c>
      <c r="J10097" s="1">
        <v>45979.470520833333</v>
      </c>
    </row>
    <row r="10098" spans="1:10" x14ac:dyDescent="0.2">
      <c r="A10098" s="4" t="s">
        <v>1</v>
      </c>
      <c r="B1009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98" s="3" t="str">
        <f>HYPERLINK("https://otsuka-europe-crm.veevavault.com/ui/#object/sent_email__v/VBL00000000O375", "SE-001390902")</f>
        <v>SE-001390902</v>
      </c>
      <c r="D10098" s="1" t="s">
        <v>0</v>
      </c>
      <c r="E10098" s="2">
        <v>0</v>
      </c>
      <c r="F10098" s="2">
        <v>0</v>
      </c>
      <c r="G10098" s="2">
        <v>0</v>
      </c>
      <c r="H10098" s="1" t="s">
        <v>0</v>
      </c>
      <c r="I10098" s="2">
        <v>0</v>
      </c>
      <c r="J10098" s="1">
        <v>45979.470520833333</v>
      </c>
    </row>
    <row r="10099" spans="1:10" x14ac:dyDescent="0.2">
      <c r="A10099" s="4" t="s">
        <v>1</v>
      </c>
      <c r="B1009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099" s="3" t="str">
        <f>HYPERLINK("https://otsuka-europe-crm.veevavault.com/ui/#object/sent_email__v/VBL00000000O376", "SE-001390903")</f>
        <v>SE-001390903</v>
      </c>
      <c r="D10099" s="1" t="s">
        <v>0</v>
      </c>
      <c r="E10099" s="2">
        <v>0</v>
      </c>
      <c r="F10099" s="2">
        <v>0</v>
      </c>
      <c r="G10099" s="2">
        <v>0</v>
      </c>
      <c r="H10099" s="1" t="s">
        <v>0</v>
      </c>
      <c r="I10099" s="2">
        <v>0</v>
      </c>
      <c r="J10099" s="1">
        <v>45979.470520833333</v>
      </c>
    </row>
    <row r="10100" spans="1:10" x14ac:dyDescent="0.2">
      <c r="A10100" s="4" t="s">
        <v>1</v>
      </c>
      <c r="B1010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00" s="3" t="str">
        <f>HYPERLINK("https://otsuka-europe-crm.veevavault.com/ui/#object/sent_email__v/VBL00000000O377", "SE-001390904")</f>
        <v>SE-001390904</v>
      </c>
      <c r="D10100" s="1" t="s">
        <v>0</v>
      </c>
      <c r="E10100" s="2">
        <v>0</v>
      </c>
      <c r="F10100" s="2">
        <v>0</v>
      </c>
      <c r="G10100" s="2">
        <v>0</v>
      </c>
      <c r="H10100" s="1" t="s">
        <v>0</v>
      </c>
      <c r="I10100" s="2">
        <v>0</v>
      </c>
      <c r="J10100" s="1">
        <v>45979.470520833333</v>
      </c>
    </row>
    <row r="10101" spans="1:10" x14ac:dyDescent="0.2">
      <c r="A10101" s="4" t="s">
        <v>1</v>
      </c>
      <c r="B1010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01" s="3" t="str">
        <f>HYPERLINK("https://otsuka-europe-crm.veevavault.com/ui/#object/sent_email__v/VBL00000000O378", "SE-001390905")</f>
        <v>SE-001390905</v>
      </c>
      <c r="D10101" s="1" t="s">
        <v>0</v>
      </c>
      <c r="E10101" s="2">
        <v>0</v>
      </c>
      <c r="F10101" s="2">
        <v>0</v>
      </c>
      <c r="G10101" s="2">
        <v>0</v>
      </c>
      <c r="H10101" s="1" t="s">
        <v>0</v>
      </c>
      <c r="I10101" s="2">
        <v>0</v>
      </c>
      <c r="J10101" s="1">
        <v>45979.470520833333</v>
      </c>
    </row>
    <row r="10102" spans="1:10" x14ac:dyDescent="0.2">
      <c r="A10102" s="4" t="s">
        <v>1</v>
      </c>
      <c r="B1010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02" s="3" t="str">
        <f>HYPERLINK("https://otsuka-europe-crm.veevavault.com/ui/#object/sent_email__v/VBL00000000O379", "SE-001390906")</f>
        <v>SE-001390906</v>
      </c>
      <c r="D10102" s="1" t="s">
        <v>0</v>
      </c>
      <c r="E10102" s="2">
        <v>0</v>
      </c>
      <c r="F10102" s="2">
        <v>0</v>
      </c>
      <c r="G10102" s="2">
        <v>0</v>
      </c>
      <c r="H10102" s="1" t="s">
        <v>0</v>
      </c>
      <c r="I10102" s="2">
        <v>0</v>
      </c>
      <c r="J10102" s="1">
        <v>45979.470520833333</v>
      </c>
    </row>
    <row r="10103" spans="1:10" x14ac:dyDescent="0.2">
      <c r="A10103" s="4" t="s">
        <v>1</v>
      </c>
      <c r="B1010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03" s="3" t="str">
        <f>HYPERLINK("https://otsuka-europe-crm.veevavault.com/ui/#object/sent_email__v/VBL00000000O380", "SE-001390907")</f>
        <v>SE-001390907</v>
      </c>
      <c r="D10103" s="1" t="s">
        <v>0</v>
      </c>
      <c r="E10103" s="2">
        <v>0</v>
      </c>
      <c r="F10103" s="2">
        <v>0</v>
      </c>
      <c r="G10103" s="2">
        <v>0</v>
      </c>
      <c r="H10103" s="1" t="s">
        <v>0</v>
      </c>
      <c r="I10103" s="2">
        <v>0</v>
      </c>
      <c r="J10103" s="1">
        <v>45979.470520833333</v>
      </c>
    </row>
    <row r="10104" spans="1:10" x14ac:dyDescent="0.2">
      <c r="A10104" s="4" t="s">
        <v>1</v>
      </c>
      <c r="B1010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04" s="3" t="str">
        <f>HYPERLINK("https://otsuka-europe-crm.veevavault.com/ui/#object/sent_email__v/VBL00000000O381", "SE-001390908")</f>
        <v>SE-001390908</v>
      </c>
      <c r="D10104" s="1" t="s">
        <v>0</v>
      </c>
      <c r="E10104" s="2">
        <v>0</v>
      </c>
      <c r="F10104" s="2">
        <v>0</v>
      </c>
      <c r="G10104" s="2">
        <v>0</v>
      </c>
      <c r="H10104" s="1" t="s">
        <v>0</v>
      </c>
      <c r="I10104" s="2">
        <v>0</v>
      </c>
      <c r="J10104" s="1">
        <v>45979.470520833333</v>
      </c>
    </row>
    <row r="10105" spans="1:10" x14ac:dyDescent="0.2">
      <c r="A10105" s="4" t="s">
        <v>1</v>
      </c>
      <c r="B1010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05" s="3" t="str">
        <f>HYPERLINK("https://otsuka-europe-crm.veevavault.com/ui/#object/sent_email__v/VBL00000000O382", "SE-001390909")</f>
        <v>SE-001390909</v>
      </c>
      <c r="D10105" s="1" t="s">
        <v>0</v>
      </c>
      <c r="E10105" s="2">
        <v>0</v>
      </c>
      <c r="F10105" s="2">
        <v>0</v>
      </c>
      <c r="G10105" s="2">
        <v>0</v>
      </c>
      <c r="H10105" s="1" t="s">
        <v>0</v>
      </c>
      <c r="I10105" s="2">
        <v>0</v>
      </c>
      <c r="J10105" s="1">
        <v>45979.470520833333</v>
      </c>
    </row>
    <row r="10106" spans="1:10" x14ac:dyDescent="0.2">
      <c r="A10106" s="4" t="s">
        <v>1</v>
      </c>
      <c r="B1010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06" s="3" t="str">
        <f>HYPERLINK("https://otsuka-europe-crm.veevavault.com/ui/#object/sent_email__v/VBL00000000O383", "SE-001390910")</f>
        <v>SE-001390910</v>
      </c>
      <c r="D10106" s="1" t="s">
        <v>0</v>
      </c>
      <c r="E10106" s="2">
        <v>0</v>
      </c>
      <c r="F10106" s="2">
        <v>0</v>
      </c>
      <c r="G10106" s="2">
        <v>0</v>
      </c>
      <c r="H10106" s="1" t="s">
        <v>0</v>
      </c>
      <c r="I10106" s="2">
        <v>0</v>
      </c>
      <c r="J10106" s="1">
        <v>45979.470520833333</v>
      </c>
    </row>
    <row r="10107" spans="1:10" x14ac:dyDescent="0.2">
      <c r="A10107" s="4" t="s">
        <v>1</v>
      </c>
      <c r="B1010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07" s="3" t="str">
        <f>HYPERLINK("https://otsuka-europe-crm.veevavault.com/ui/#object/sent_email__v/VBL00000000O384", "SE-001390911")</f>
        <v>SE-001390911</v>
      </c>
      <c r="D10107" s="1" t="s">
        <v>0</v>
      </c>
      <c r="E10107" s="2">
        <v>0</v>
      </c>
      <c r="F10107" s="2">
        <v>0</v>
      </c>
      <c r="G10107" s="2">
        <v>0</v>
      </c>
      <c r="H10107" s="1" t="s">
        <v>0</v>
      </c>
      <c r="I10107" s="2">
        <v>0</v>
      </c>
      <c r="J10107" s="1">
        <v>45979.470532407409</v>
      </c>
    </row>
    <row r="10108" spans="1:10" x14ac:dyDescent="0.2">
      <c r="A10108" s="4" t="s">
        <v>1</v>
      </c>
      <c r="B1010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08" s="3" t="str">
        <f>HYPERLINK("https://otsuka-europe-crm.veevavault.com/ui/#object/sent_email__v/VBL00000000O385", "SE-001390912")</f>
        <v>SE-001390912</v>
      </c>
      <c r="D10108" s="1" t="s">
        <v>0</v>
      </c>
      <c r="E10108" s="2">
        <v>0</v>
      </c>
      <c r="F10108" s="2">
        <v>0</v>
      </c>
      <c r="G10108" s="2">
        <v>0</v>
      </c>
      <c r="H10108" s="1" t="s">
        <v>0</v>
      </c>
      <c r="I10108" s="2">
        <v>0</v>
      </c>
      <c r="J10108" s="1">
        <v>45979.470532407409</v>
      </c>
    </row>
    <row r="10109" spans="1:10" x14ac:dyDescent="0.2">
      <c r="A10109" s="4" t="s">
        <v>1</v>
      </c>
      <c r="B1010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09" s="3" t="str">
        <f>HYPERLINK("https://otsuka-europe-crm.veevavault.com/ui/#object/sent_email__v/VBL00000000O386", "SE-001390913")</f>
        <v>SE-001390913</v>
      </c>
      <c r="D10109" s="1" t="s">
        <v>0</v>
      </c>
      <c r="E10109" s="2">
        <v>0</v>
      </c>
      <c r="F10109" s="2">
        <v>0</v>
      </c>
      <c r="G10109" s="2">
        <v>0</v>
      </c>
      <c r="H10109" s="1" t="s">
        <v>0</v>
      </c>
      <c r="I10109" s="2">
        <v>0</v>
      </c>
      <c r="J10109" s="1">
        <v>45979.470532407409</v>
      </c>
    </row>
    <row r="10110" spans="1:10" x14ac:dyDescent="0.2">
      <c r="A10110" s="4" t="s">
        <v>1</v>
      </c>
      <c r="B1011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10" s="3" t="str">
        <f>HYPERLINK("https://otsuka-europe-crm.veevavault.com/ui/#object/sent_email__v/VBL00000000O387", "SE-001390914")</f>
        <v>SE-001390914</v>
      </c>
      <c r="D10110" s="1" t="s">
        <v>0</v>
      </c>
      <c r="E10110" s="2">
        <v>0</v>
      </c>
      <c r="F10110" s="2">
        <v>0</v>
      </c>
      <c r="G10110" s="2">
        <v>0</v>
      </c>
      <c r="H10110" s="1" t="s">
        <v>0</v>
      </c>
      <c r="I10110" s="2">
        <v>0</v>
      </c>
      <c r="J10110" s="1">
        <v>45979.470532407409</v>
      </c>
    </row>
    <row r="10111" spans="1:10" x14ac:dyDescent="0.2">
      <c r="A10111" s="4" t="s">
        <v>1</v>
      </c>
      <c r="B1011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11" s="3" t="str">
        <f>HYPERLINK("https://otsuka-europe-crm.veevavault.com/ui/#object/sent_email__v/VBL00000000O388", "SE-001390915")</f>
        <v>SE-001390915</v>
      </c>
      <c r="D10111" s="1" t="s">
        <v>0</v>
      </c>
      <c r="E10111" s="2">
        <v>0</v>
      </c>
      <c r="F10111" s="2">
        <v>0</v>
      </c>
      <c r="G10111" s="2">
        <v>0</v>
      </c>
      <c r="H10111" s="1" t="s">
        <v>0</v>
      </c>
      <c r="I10111" s="2">
        <v>0</v>
      </c>
      <c r="J10111" s="1">
        <v>45979.470532407409</v>
      </c>
    </row>
    <row r="10112" spans="1:10" x14ac:dyDescent="0.2">
      <c r="A10112" s="4" t="s">
        <v>1</v>
      </c>
      <c r="B1011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12" s="3" t="str">
        <f>HYPERLINK("https://otsuka-europe-crm.veevavault.com/ui/#object/sent_email__v/VBL00000000O389", "SE-001390916")</f>
        <v>SE-001390916</v>
      </c>
      <c r="D10112" s="1" t="s">
        <v>0</v>
      </c>
      <c r="E10112" s="2">
        <v>0</v>
      </c>
      <c r="F10112" s="2">
        <v>0</v>
      </c>
      <c r="G10112" s="2">
        <v>0</v>
      </c>
      <c r="H10112" s="1" t="s">
        <v>0</v>
      </c>
      <c r="I10112" s="2">
        <v>0</v>
      </c>
      <c r="J10112" s="1">
        <v>45979.470532407409</v>
      </c>
    </row>
    <row r="10113" spans="1:10" x14ac:dyDescent="0.2">
      <c r="A10113" s="4" t="s">
        <v>1</v>
      </c>
      <c r="B1011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13" s="3" t="str">
        <f>HYPERLINK("https://otsuka-europe-crm.veevavault.com/ui/#object/sent_email__v/VBL00000000O390", "SE-001390917")</f>
        <v>SE-001390917</v>
      </c>
      <c r="D10113" s="1" t="s">
        <v>0</v>
      </c>
      <c r="E10113" s="2">
        <v>0</v>
      </c>
      <c r="F10113" s="2">
        <v>0</v>
      </c>
      <c r="G10113" s="2">
        <v>0</v>
      </c>
      <c r="H10113" s="1" t="s">
        <v>0</v>
      </c>
      <c r="I10113" s="2">
        <v>0</v>
      </c>
      <c r="J10113" s="1">
        <v>45979.470532407409</v>
      </c>
    </row>
    <row r="10114" spans="1:10" x14ac:dyDescent="0.2">
      <c r="A10114" s="4" t="s">
        <v>1</v>
      </c>
      <c r="B1011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14" s="3" t="str">
        <f>HYPERLINK("https://otsuka-europe-crm.veevavault.com/ui/#object/sent_email__v/VBL00000000O391", "SE-001390918")</f>
        <v>SE-001390918</v>
      </c>
      <c r="D10114" s="1" t="s">
        <v>0</v>
      </c>
      <c r="E10114" s="2">
        <v>0</v>
      </c>
      <c r="F10114" s="2">
        <v>0</v>
      </c>
      <c r="G10114" s="2">
        <v>0</v>
      </c>
      <c r="H10114" s="1" t="s">
        <v>0</v>
      </c>
      <c r="I10114" s="2">
        <v>0</v>
      </c>
      <c r="J10114" s="1">
        <v>45979.470532407409</v>
      </c>
    </row>
    <row r="10115" spans="1:10" x14ac:dyDescent="0.2">
      <c r="A10115" s="4" t="s">
        <v>1</v>
      </c>
      <c r="B1011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15" s="3" t="str">
        <f>HYPERLINK("https://otsuka-europe-crm.veevavault.com/ui/#object/sent_email__v/VBL00000000O392", "SE-001390919")</f>
        <v>SE-001390919</v>
      </c>
      <c r="D10115" s="1" t="s">
        <v>0</v>
      </c>
      <c r="E10115" s="2">
        <v>0</v>
      </c>
      <c r="F10115" s="2">
        <v>0</v>
      </c>
      <c r="G10115" s="2">
        <v>0</v>
      </c>
      <c r="H10115" s="1" t="s">
        <v>0</v>
      </c>
      <c r="I10115" s="2">
        <v>0</v>
      </c>
      <c r="J10115" s="1">
        <v>45979.470532407409</v>
      </c>
    </row>
    <row r="10116" spans="1:10" x14ac:dyDescent="0.2">
      <c r="A10116" s="4" t="s">
        <v>1</v>
      </c>
      <c r="B1011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16" s="3" t="str">
        <f>HYPERLINK("https://otsuka-europe-crm.veevavault.com/ui/#object/sent_email__v/VBL00000000O393", "SE-001390920")</f>
        <v>SE-001390920</v>
      </c>
      <c r="D10116" s="1" t="s">
        <v>0</v>
      </c>
      <c r="E10116" s="2">
        <v>0</v>
      </c>
      <c r="F10116" s="2">
        <v>0</v>
      </c>
      <c r="G10116" s="2">
        <v>0</v>
      </c>
      <c r="H10116" s="1" t="s">
        <v>0</v>
      </c>
      <c r="I10116" s="2">
        <v>0</v>
      </c>
      <c r="J10116" s="1">
        <v>45979.470532407409</v>
      </c>
    </row>
    <row r="10117" spans="1:10" x14ac:dyDescent="0.2">
      <c r="A10117" s="4" t="s">
        <v>1</v>
      </c>
      <c r="B1011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17" s="3" t="str">
        <f>HYPERLINK("https://otsuka-europe-crm.veevavault.com/ui/#object/sent_email__v/VBL00000000O394", "SE-001390921")</f>
        <v>SE-001390921</v>
      </c>
      <c r="D10117" s="1" t="s">
        <v>0</v>
      </c>
      <c r="E10117" s="2">
        <v>0</v>
      </c>
      <c r="F10117" s="2">
        <v>0</v>
      </c>
      <c r="G10117" s="2">
        <v>0</v>
      </c>
      <c r="H10117" s="1" t="s">
        <v>0</v>
      </c>
      <c r="I10117" s="2">
        <v>0</v>
      </c>
      <c r="J10117" s="1">
        <v>45979.470543981479</v>
      </c>
    </row>
    <row r="10118" spans="1:10" x14ac:dyDescent="0.2">
      <c r="A10118" s="4" t="s">
        <v>1</v>
      </c>
      <c r="B1011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18" s="3" t="str">
        <f>HYPERLINK("https://otsuka-europe-crm.veevavault.com/ui/#object/sent_email__v/VBL00000000O395", "SE-001390922")</f>
        <v>SE-001390922</v>
      </c>
      <c r="D10118" s="1" t="s">
        <v>0</v>
      </c>
      <c r="E10118" s="2">
        <v>0</v>
      </c>
      <c r="F10118" s="2">
        <v>0</v>
      </c>
      <c r="G10118" s="2">
        <v>0</v>
      </c>
      <c r="H10118" s="1" t="s">
        <v>0</v>
      </c>
      <c r="I10118" s="2">
        <v>0</v>
      </c>
      <c r="J10118" s="1">
        <v>45979.470543981479</v>
      </c>
    </row>
    <row r="10119" spans="1:10" x14ac:dyDescent="0.2">
      <c r="A10119" s="4" t="s">
        <v>1</v>
      </c>
      <c r="B1011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19" s="3" t="str">
        <f>HYPERLINK("https://otsuka-europe-crm.veevavault.com/ui/#object/sent_email__v/VBL00000000O396", "SE-001390923")</f>
        <v>SE-001390923</v>
      </c>
      <c r="D10119" s="1" t="s">
        <v>0</v>
      </c>
      <c r="E10119" s="2">
        <v>0</v>
      </c>
      <c r="F10119" s="2">
        <v>0</v>
      </c>
      <c r="G10119" s="2">
        <v>0</v>
      </c>
      <c r="H10119" s="1" t="s">
        <v>0</v>
      </c>
      <c r="I10119" s="2">
        <v>0</v>
      </c>
      <c r="J10119" s="1">
        <v>45979.470543981479</v>
      </c>
    </row>
    <row r="10120" spans="1:10" x14ac:dyDescent="0.2">
      <c r="A10120" s="4" t="s">
        <v>1</v>
      </c>
      <c r="B1012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20" s="3" t="str">
        <f>HYPERLINK("https://otsuka-europe-crm.veevavault.com/ui/#object/sent_email__v/VBL00000000O397", "SE-001390924")</f>
        <v>SE-001390924</v>
      </c>
      <c r="D10120" s="1" t="s">
        <v>0</v>
      </c>
      <c r="E10120" s="2">
        <v>0</v>
      </c>
      <c r="F10120" s="2">
        <v>0</v>
      </c>
      <c r="G10120" s="2">
        <v>0</v>
      </c>
      <c r="H10120" s="1" t="s">
        <v>0</v>
      </c>
      <c r="I10120" s="2">
        <v>0</v>
      </c>
      <c r="J10120" s="1">
        <v>45979.470543981479</v>
      </c>
    </row>
    <row r="10121" spans="1:10" x14ac:dyDescent="0.2">
      <c r="A10121" s="4" t="s">
        <v>1</v>
      </c>
      <c r="B1012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21" s="3" t="str">
        <f>HYPERLINK("https://otsuka-europe-crm.veevavault.com/ui/#object/sent_email__v/VBL00000000O398", "SE-001390925")</f>
        <v>SE-001390925</v>
      </c>
      <c r="D10121" s="1" t="s">
        <v>0</v>
      </c>
      <c r="E10121" s="2">
        <v>0</v>
      </c>
      <c r="F10121" s="2">
        <v>0</v>
      </c>
      <c r="G10121" s="2">
        <v>0</v>
      </c>
      <c r="H10121" s="1" t="s">
        <v>0</v>
      </c>
      <c r="I10121" s="2">
        <v>0</v>
      </c>
      <c r="J10121" s="1">
        <v>45979.470543981479</v>
      </c>
    </row>
    <row r="10122" spans="1:10" x14ac:dyDescent="0.2">
      <c r="A10122" s="4" t="s">
        <v>1</v>
      </c>
      <c r="B1012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22" s="3" t="str">
        <f>HYPERLINK("https://otsuka-europe-crm.veevavault.com/ui/#object/sent_email__v/VBL00000000O399", "SE-001390926")</f>
        <v>SE-001390926</v>
      </c>
      <c r="D10122" s="1" t="s">
        <v>0</v>
      </c>
      <c r="E10122" s="2">
        <v>0</v>
      </c>
      <c r="F10122" s="2">
        <v>0</v>
      </c>
      <c r="G10122" s="2">
        <v>0</v>
      </c>
      <c r="H10122" s="1" t="s">
        <v>0</v>
      </c>
      <c r="I10122" s="2">
        <v>0</v>
      </c>
      <c r="J10122" s="1">
        <v>45979.470543981479</v>
      </c>
    </row>
    <row r="10123" spans="1:10" x14ac:dyDescent="0.2">
      <c r="A10123" s="4" t="s">
        <v>1</v>
      </c>
      <c r="B1012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23" s="3" t="str">
        <f>HYPERLINK("https://otsuka-europe-crm.veevavault.com/ui/#object/sent_email__v/VBL00000000O400", "SE-001390927")</f>
        <v>SE-001390927</v>
      </c>
      <c r="D10123" s="1" t="s">
        <v>0</v>
      </c>
      <c r="E10123" s="2">
        <v>0</v>
      </c>
      <c r="F10123" s="2">
        <v>0</v>
      </c>
      <c r="G10123" s="2">
        <v>0</v>
      </c>
      <c r="H10123" s="1" t="s">
        <v>0</v>
      </c>
      <c r="I10123" s="2">
        <v>0</v>
      </c>
      <c r="J10123" s="1">
        <v>45979.470543981479</v>
      </c>
    </row>
    <row r="10124" spans="1:10" x14ac:dyDescent="0.2">
      <c r="A10124" s="4" t="s">
        <v>1</v>
      </c>
      <c r="B1012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24" s="3" t="str">
        <f>HYPERLINK("https://otsuka-europe-crm.veevavault.com/ui/#object/sent_email__v/VBL00000000O401", "SE-001390928")</f>
        <v>SE-001390928</v>
      </c>
      <c r="D10124" s="1" t="s">
        <v>0</v>
      </c>
      <c r="E10124" s="2">
        <v>0</v>
      </c>
      <c r="F10124" s="2">
        <v>0</v>
      </c>
      <c r="G10124" s="2">
        <v>0</v>
      </c>
      <c r="H10124" s="1" t="s">
        <v>0</v>
      </c>
      <c r="I10124" s="2">
        <v>0</v>
      </c>
      <c r="J10124" s="1">
        <v>45979.470543981479</v>
      </c>
    </row>
    <row r="10125" spans="1:10" x14ac:dyDescent="0.2">
      <c r="A10125" s="4" t="s">
        <v>1</v>
      </c>
      <c r="B1012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25" s="3" t="str">
        <f>HYPERLINK("https://otsuka-europe-crm.veevavault.com/ui/#object/sent_email__v/VBL00000000O402", "SE-001390929")</f>
        <v>SE-001390929</v>
      </c>
      <c r="D10125" s="1" t="s">
        <v>0</v>
      </c>
      <c r="E10125" s="2">
        <v>0</v>
      </c>
      <c r="F10125" s="2">
        <v>0</v>
      </c>
      <c r="G10125" s="2">
        <v>0</v>
      </c>
      <c r="H10125" s="1" t="s">
        <v>0</v>
      </c>
      <c r="I10125" s="2">
        <v>0</v>
      </c>
      <c r="J10125" s="1">
        <v>45979.470543981479</v>
      </c>
    </row>
    <row r="10126" spans="1:10" x14ac:dyDescent="0.2">
      <c r="A10126" s="4" t="s">
        <v>1</v>
      </c>
      <c r="B1012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26" s="3" t="str">
        <f>HYPERLINK("https://otsuka-europe-crm.veevavault.com/ui/#object/sent_email__v/VBL00000000O403", "SE-001390930")</f>
        <v>SE-001390930</v>
      </c>
      <c r="D10126" s="1" t="s">
        <v>0</v>
      </c>
      <c r="E10126" s="2">
        <v>0</v>
      </c>
      <c r="F10126" s="2">
        <v>0</v>
      </c>
      <c r="G10126" s="2">
        <v>0</v>
      </c>
      <c r="H10126" s="1" t="s">
        <v>0</v>
      </c>
      <c r="I10126" s="2">
        <v>0</v>
      </c>
      <c r="J10126" s="1">
        <v>45979.470543981479</v>
      </c>
    </row>
    <row r="10127" spans="1:10" x14ac:dyDescent="0.2">
      <c r="A10127" s="4" t="s">
        <v>1</v>
      </c>
      <c r="B1012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27" s="3" t="str">
        <f>HYPERLINK("https://otsuka-europe-crm.veevavault.com/ui/#object/sent_email__v/VBL00000000O404", "SE-001390931")</f>
        <v>SE-001390931</v>
      </c>
      <c r="D10127" s="1" t="s">
        <v>0</v>
      </c>
      <c r="E10127" s="2">
        <v>0</v>
      </c>
      <c r="F10127" s="2">
        <v>0</v>
      </c>
      <c r="G10127" s="2">
        <v>0</v>
      </c>
      <c r="H10127" s="1" t="s">
        <v>0</v>
      </c>
      <c r="I10127" s="2">
        <v>0</v>
      </c>
      <c r="J10127" s="1">
        <v>45979.470555555556</v>
      </c>
    </row>
    <row r="10128" spans="1:10" x14ac:dyDescent="0.2">
      <c r="A10128" s="4" t="s">
        <v>1</v>
      </c>
      <c r="B1012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28" s="3" t="str">
        <f>HYPERLINK("https://otsuka-europe-crm.veevavault.com/ui/#object/sent_email__v/VBL00000000O405", "SE-001390932")</f>
        <v>SE-001390932</v>
      </c>
      <c r="D10128" s="1" t="s">
        <v>0</v>
      </c>
      <c r="E10128" s="2">
        <v>0</v>
      </c>
      <c r="F10128" s="2">
        <v>0</v>
      </c>
      <c r="G10128" s="2">
        <v>0</v>
      </c>
      <c r="H10128" s="1" t="s">
        <v>0</v>
      </c>
      <c r="I10128" s="2">
        <v>0</v>
      </c>
      <c r="J10128" s="1">
        <v>45979.470555555556</v>
      </c>
    </row>
    <row r="10129" spans="1:10" x14ac:dyDescent="0.2">
      <c r="A10129" s="4" t="s">
        <v>1</v>
      </c>
      <c r="B1012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29" s="3" t="str">
        <f>HYPERLINK("https://otsuka-europe-crm.veevavault.com/ui/#object/sent_email__v/VBL00000000O406", "SE-001390933")</f>
        <v>SE-001390933</v>
      </c>
      <c r="D10129" s="1" t="s">
        <v>0</v>
      </c>
      <c r="E10129" s="2">
        <v>0</v>
      </c>
      <c r="F10129" s="2">
        <v>0</v>
      </c>
      <c r="G10129" s="2">
        <v>0</v>
      </c>
      <c r="H10129" s="1" t="s">
        <v>0</v>
      </c>
      <c r="I10129" s="2">
        <v>0</v>
      </c>
      <c r="J10129" s="1">
        <v>45979.472557870373</v>
      </c>
    </row>
    <row r="10130" spans="1:10" x14ac:dyDescent="0.2">
      <c r="A10130" s="4" t="s">
        <v>1</v>
      </c>
      <c r="B1013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30" s="3" t="str">
        <f>HYPERLINK("https://otsuka-europe-crm.veevavault.com/ui/#object/sent_email__v/VBL00000000O407", "SE-001390934")</f>
        <v>SE-001390934</v>
      </c>
      <c r="D10130" s="1" t="s">
        <v>0</v>
      </c>
      <c r="E10130" s="2">
        <v>0</v>
      </c>
      <c r="F10130" s="2">
        <v>0</v>
      </c>
      <c r="G10130" s="2">
        <v>0</v>
      </c>
      <c r="H10130" s="1" t="s">
        <v>0</v>
      </c>
      <c r="I10130" s="2">
        <v>0</v>
      </c>
      <c r="J10130" s="1">
        <v>45979.472546296296</v>
      </c>
    </row>
    <row r="10131" spans="1:10" x14ac:dyDescent="0.2">
      <c r="A10131" s="4" t="s">
        <v>1</v>
      </c>
      <c r="B1013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31" s="3" t="str">
        <f>HYPERLINK("https://otsuka-europe-crm.veevavault.com/ui/#object/sent_email__v/VBL00000000O408", "SE-001390935")</f>
        <v>SE-001390935</v>
      </c>
      <c r="D10131" s="1" t="s">
        <v>0</v>
      </c>
      <c r="E10131" s="2">
        <v>0</v>
      </c>
      <c r="F10131" s="2">
        <v>0</v>
      </c>
      <c r="G10131" s="2">
        <v>0</v>
      </c>
      <c r="H10131" s="1" t="s">
        <v>0</v>
      </c>
      <c r="I10131" s="2">
        <v>0</v>
      </c>
      <c r="J10131" s="1">
        <v>45979.472546296296</v>
      </c>
    </row>
    <row r="10132" spans="1:10" x14ac:dyDescent="0.2">
      <c r="A10132" s="4" t="s">
        <v>1</v>
      </c>
      <c r="B1013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32" s="3" t="str">
        <f>HYPERLINK("https://otsuka-europe-crm.veevavault.com/ui/#object/sent_email__v/VBL00000000O409", "SE-001390936")</f>
        <v>SE-001390936</v>
      </c>
      <c r="D10132" s="1" t="s">
        <v>0</v>
      </c>
      <c r="E10132" s="2">
        <v>0</v>
      </c>
      <c r="F10132" s="2">
        <v>0</v>
      </c>
      <c r="G10132" s="2">
        <v>0</v>
      </c>
      <c r="H10132" s="1" t="s">
        <v>0</v>
      </c>
      <c r="I10132" s="2">
        <v>0</v>
      </c>
      <c r="J10132" s="1">
        <v>45979.472557870373</v>
      </c>
    </row>
    <row r="10133" spans="1:10" x14ac:dyDescent="0.2">
      <c r="A10133" s="4" t="s">
        <v>1</v>
      </c>
      <c r="B1013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33" s="3" t="str">
        <f>HYPERLINK("https://otsuka-europe-crm.veevavault.com/ui/#object/sent_email__v/VBL00000000O410", "SE-001390937")</f>
        <v>SE-001390937</v>
      </c>
      <c r="D10133" s="1" t="s">
        <v>0</v>
      </c>
      <c r="E10133" s="2">
        <v>0</v>
      </c>
      <c r="F10133" s="2">
        <v>0</v>
      </c>
      <c r="G10133" s="2">
        <v>0</v>
      </c>
      <c r="H10133" s="1" t="s">
        <v>0</v>
      </c>
      <c r="I10133" s="2">
        <v>0</v>
      </c>
      <c r="J10133" s="1">
        <v>45979.472557870373</v>
      </c>
    </row>
    <row r="10134" spans="1:10" x14ac:dyDescent="0.2">
      <c r="A10134" s="4" t="s">
        <v>1</v>
      </c>
      <c r="B1013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34" s="3" t="str">
        <f>HYPERLINK("https://otsuka-europe-crm.veevavault.com/ui/#object/sent_email__v/VBL00000000O411", "SE-001390938")</f>
        <v>SE-001390938</v>
      </c>
      <c r="D10134" s="1" t="s">
        <v>0</v>
      </c>
      <c r="E10134" s="2">
        <v>0</v>
      </c>
      <c r="F10134" s="2">
        <v>0</v>
      </c>
      <c r="G10134" s="2">
        <v>0</v>
      </c>
      <c r="H10134" s="1" t="s">
        <v>0</v>
      </c>
      <c r="I10134" s="2">
        <v>0</v>
      </c>
      <c r="J10134" s="1">
        <v>45979.472557870373</v>
      </c>
    </row>
    <row r="10135" spans="1:10" x14ac:dyDescent="0.2">
      <c r="A10135" s="4" t="s">
        <v>1</v>
      </c>
      <c r="B1013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35" s="3" t="str">
        <f>HYPERLINK("https://otsuka-europe-crm.veevavault.com/ui/#object/sent_email__v/VBL00000000O412", "SE-001390939")</f>
        <v>SE-001390939</v>
      </c>
      <c r="D10135" s="1" t="s">
        <v>0</v>
      </c>
      <c r="E10135" s="2">
        <v>0</v>
      </c>
      <c r="F10135" s="2">
        <v>0</v>
      </c>
      <c r="G10135" s="2">
        <v>0</v>
      </c>
      <c r="H10135" s="1" t="s">
        <v>0</v>
      </c>
      <c r="I10135" s="2">
        <v>0</v>
      </c>
      <c r="J10135" s="1">
        <v>45979.472557870373</v>
      </c>
    </row>
    <row r="10136" spans="1:10" x14ac:dyDescent="0.2">
      <c r="A10136" s="4" t="s">
        <v>1</v>
      </c>
      <c r="B1013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36" s="3" t="str">
        <f>HYPERLINK("https://otsuka-europe-crm.veevavault.com/ui/#object/sent_email__v/VBL00000000O413", "SE-001390940")</f>
        <v>SE-001390940</v>
      </c>
      <c r="D10136" s="1" t="s">
        <v>0</v>
      </c>
      <c r="E10136" s="2">
        <v>0</v>
      </c>
      <c r="F10136" s="2">
        <v>0</v>
      </c>
      <c r="G10136" s="2">
        <v>0</v>
      </c>
      <c r="H10136" s="1" t="s">
        <v>0</v>
      </c>
      <c r="I10136" s="2">
        <v>0</v>
      </c>
      <c r="J10136" s="1">
        <v>45979.472557870373</v>
      </c>
    </row>
    <row r="10137" spans="1:10" x14ac:dyDescent="0.2">
      <c r="A10137" s="4" t="s">
        <v>1</v>
      </c>
      <c r="B1013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37" s="3" t="str">
        <f>HYPERLINK("https://otsuka-europe-crm.veevavault.com/ui/#object/sent_email__v/VBL00000000O414", "SE-001390941")</f>
        <v>SE-001390941</v>
      </c>
      <c r="D10137" s="1" t="s">
        <v>0</v>
      </c>
      <c r="E10137" s="2">
        <v>0</v>
      </c>
      <c r="F10137" s="2">
        <v>0</v>
      </c>
      <c r="G10137" s="2">
        <v>0</v>
      </c>
      <c r="H10137" s="1" t="s">
        <v>0</v>
      </c>
      <c r="I10137" s="2">
        <v>0</v>
      </c>
      <c r="J10137" s="1">
        <v>45979.472546296296</v>
      </c>
    </row>
    <row r="10138" spans="1:10" x14ac:dyDescent="0.2">
      <c r="A10138" s="4" t="s">
        <v>1</v>
      </c>
      <c r="B1013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38" s="3" t="str">
        <f>HYPERLINK("https://otsuka-europe-crm.veevavault.com/ui/#object/sent_email__v/VBL00000000O415", "SE-001390942")</f>
        <v>SE-001390942</v>
      </c>
      <c r="D10138" s="1" t="s">
        <v>0</v>
      </c>
      <c r="E10138" s="2">
        <v>0</v>
      </c>
      <c r="F10138" s="2">
        <v>0</v>
      </c>
      <c r="G10138" s="2">
        <v>0</v>
      </c>
      <c r="H10138" s="1" t="s">
        <v>0</v>
      </c>
      <c r="I10138" s="2">
        <v>0</v>
      </c>
      <c r="J10138" s="1">
        <v>45979.472557870373</v>
      </c>
    </row>
    <row r="10139" spans="1:10" x14ac:dyDescent="0.2">
      <c r="A10139" s="4" t="s">
        <v>1</v>
      </c>
      <c r="B1013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39" s="3" t="str">
        <f>HYPERLINK("https://otsuka-europe-crm.veevavault.com/ui/#object/sent_email__v/VBL00000000O416", "SE-001390943")</f>
        <v>SE-001390943</v>
      </c>
      <c r="D10139" s="1" t="s">
        <v>0</v>
      </c>
      <c r="E10139" s="2">
        <v>0</v>
      </c>
      <c r="F10139" s="2">
        <v>0</v>
      </c>
      <c r="G10139" s="2">
        <v>0</v>
      </c>
      <c r="H10139" s="1" t="s">
        <v>0</v>
      </c>
      <c r="I10139" s="2">
        <v>0</v>
      </c>
      <c r="J10139" s="1">
        <v>45979.472557870373</v>
      </c>
    </row>
    <row r="10140" spans="1:10" x14ac:dyDescent="0.2">
      <c r="A10140" s="4" t="s">
        <v>1</v>
      </c>
      <c r="B1014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40" s="3" t="str">
        <f>HYPERLINK("https://otsuka-europe-crm.veevavault.com/ui/#object/sent_email__v/VBL00000000O417", "SE-001390944")</f>
        <v>SE-001390944</v>
      </c>
      <c r="D10140" s="1" t="s">
        <v>0</v>
      </c>
      <c r="E10140" s="2">
        <v>0</v>
      </c>
      <c r="F10140" s="2">
        <v>0</v>
      </c>
      <c r="G10140" s="2">
        <v>0</v>
      </c>
      <c r="H10140" s="1" t="s">
        <v>0</v>
      </c>
      <c r="I10140" s="2">
        <v>0</v>
      </c>
      <c r="J10140" s="1">
        <v>45979.472557870373</v>
      </c>
    </row>
    <row r="10141" spans="1:10" x14ac:dyDescent="0.2">
      <c r="A10141" s="4" t="s">
        <v>1</v>
      </c>
      <c r="B1014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41" s="3" t="str">
        <f>HYPERLINK("https://otsuka-europe-crm.veevavault.com/ui/#object/sent_email__v/VBL00000000O418", "SE-001390945")</f>
        <v>SE-001390945</v>
      </c>
      <c r="D10141" s="1" t="s">
        <v>0</v>
      </c>
      <c r="E10141" s="2">
        <v>0</v>
      </c>
      <c r="F10141" s="2">
        <v>0</v>
      </c>
      <c r="G10141" s="2">
        <v>0</v>
      </c>
      <c r="H10141" s="1" t="s">
        <v>0</v>
      </c>
      <c r="I10141" s="2">
        <v>0</v>
      </c>
      <c r="J10141" s="1">
        <v>45979.472557870373</v>
      </c>
    </row>
    <row r="10142" spans="1:10" x14ac:dyDescent="0.2">
      <c r="A10142" s="4" t="s">
        <v>1</v>
      </c>
      <c r="B1014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42" s="3" t="str">
        <f>HYPERLINK("https://otsuka-europe-crm.veevavault.com/ui/#object/sent_email__v/VBL00000000O419", "SE-001390946")</f>
        <v>SE-001390946</v>
      </c>
      <c r="D10142" s="1" t="s">
        <v>0</v>
      </c>
      <c r="E10142" s="2">
        <v>0</v>
      </c>
      <c r="F10142" s="2">
        <v>0</v>
      </c>
      <c r="G10142" s="2">
        <v>0</v>
      </c>
      <c r="H10142" s="1" t="s">
        <v>0</v>
      </c>
      <c r="I10142" s="2">
        <v>0</v>
      </c>
      <c r="J10142" s="1">
        <v>45979.472557870373</v>
      </c>
    </row>
    <row r="10143" spans="1:10" x14ac:dyDescent="0.2">
      <c r="A10143" s="4" t="s">
        <v>1</v>
      </c>
      <c r="B1014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43" s="3" t="str">
        <f>HYPERLINK("https://otsuka-europe-crm.veevavault.com/ui/#object/sent_email__v/VBL00000000O420", "SE-001390947")</f>
        <v>SE-001390947</v>
      </c>
      <c r="D10143" s="1" t="s">
        <v>0</v>
      </c>
      <c r="E10143" s="2">
        <v>0</v>
      </c>
      <c r="F10143" s="2">
        <v>0</v>
      </c>
      <c r="G10143" s="2">
        <v>0</v>
      </c>
      <c r="H10143" s="1" t="s">
        <v>0</v>
      </c>
      <c r="I10143" s="2">
        <v>0</v>
      </c>
      <c r="J10143" s="1">
        <v>45979.472557870373</v>
      </c>
    </row>
    <row r="10144" spans="1:10" x14ac:dyDescent="0.2">
      <c r="A10144" s="4" t="s">
        <v>1</v>
      </c>
      <c r="B1014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44" s="3" t="str">
        <f>HYPERLINK("https://otsuka-europe-crm.veevavault.com/ui/#object/sent_email__v/VBL00000000O421", "SE-001390948")</f>
        <v>SE-001390948</v>
      </c>
      <c r="D10144" s="1" t="s">
        <v>0</v>
      </c>
      <c r="E10144" s="2">
        <v>0</v>
      </c>
      <c r="F10144" s="2">
        <v>0</v>
      </c>
      <c r="G10144" s="2">
        <v>0</v>
      </c>
      <c r="H10144" s="1" t="s">
        <v>0</v>
      </c>
      <c r="I10144" s="2">
        <v>0</v>
      </c>
      <c r="J10144" s="1">
        <v>45979.472557870373</v>
      </c>
    </row>
    <row r="10145" spans="1:10" x14ac:dyDescent="0.2">
      <c r="A10145" s="4" t="s">
        <v>1</v>
      </c>
      <c r="B1014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45" s="3" t="str">
        <f>HYPERLINK("https://otsuka-europe-crm.veevavault.com/ui/#object/sent_email__v/VBL00000000O422", "SE-001390949")</f>
        <v>SE-001390949</v>
      </c>
      <c r="D10145" s="1" t="s">
        <v>0</v>
      </c>
      <c r="E10145" s="2">
        <v>0</v>
      </c>
      <c r="F10145" s="2">
        <v>0</v>
      </c>
      <c r="G10145" s="2">
        <v>0</v>
      </c>
      <c r="H10145" s="1" t="s">
        <v>0</v>
      </c>
      <c r="I10145" s="2">
        <v>0</v>
      </c>
      <c r="J10145" s="1">
        <v>45979.472557870373</v>
      </c>
    </row>
    <row r="10146" spans="1:10" x14ac:dyDescent="0.2">
      <c r="A10146" s="4" t="s">
        <v>1</v>
      </c>
      <c r="B1014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46" s="3" t="str">
        <f>HYPERLINK("https://otsuka-europe-crm.veevavault.com/ui/#object/sent_email__v/VBL00000000O423", "SE-001390950")</f>
        <v>SE-001390950</v>
      </c>
      <c r="D10146" s="1" t="s">
        <v>0</v>
      </c>
      <c r="E10146" s="2">
        <v>0</v>
      </c>
      <c r="F10146" s="2">
        <v>0</v>
      </c>
      <c r="G10146" s="2">
        <v>0</v>
      </c>
      <c r="H10146" s="1" t="s">
        <v>0</v>
      </c>
      <c r="I10146" s="2">
        <v>0</v>
      </c>
      <c r="J10146" s="1">
        <v>45979.472557870373</v>
      </c>
    </row>
    <row r="10147" spans="1:10" x14ac:dyDescent="0.2">
      <c r="A10147" s="4" t="s">
        <v>1</v>
      </c>
      <c r="B1014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47" s="3" t="str">
        <f>HYPERLINK("https://otsuka-europe-crm.veevavault.com/ui/#object/sent_email__v/VBL00000000O424", "SE-001390951")</f>
        <v>SE-001390951</v>
      </c>
      <c r="D10147" s="1" t="s">
        <v>0</v>
      </c>
      <c r="E10147" s="2">
        <v>0</v>
      </c>
      <c r="F10147" s="2">
        <v>0</v>
      </c>
      <c r="G10147" s="2">
        <v>0</v>
      </c>
      <c r="H10147" s="1" t="s">
        <v>0</v>
      </c>
      <c r="I10147" s="2">
        <v>0</v>
      </c>
      <c r="J10147" s="1">
        <v>45979.472557870373</v>
      </c>
    </row>
    <row r="10148" spans="1:10" x14ac:dyDescent="0.2">
      <c r="A10148" s="4" t="s">
        <v>1</v>
      </c>
      <c r="B1014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48" s="3" t="str">
        <f>HYPERLINK("https://otsuka-europe-crm.veevavault.com/ui/#object/sent_email__v/VBL00000000O425", "SE-001390952")</f>
        <v>SE-001390952</v>
      </c>
      <c r="D10148" s="1" t="s">
        <v>0</v>
      </c>
      <c r="E10148" s="2">
        <v>0</v>
      </c>
      <c r="F10148" s="2">
        <v>0</v>
      </c>
      <c r="G10148" s="2">
        <v>0</v>
      </c>
      <c r="H10148" s="1" t="s">
        <v>0</v>
      </c>
      <c r="I10148" s="2">
        <v>0</v>
      </c>
      <c r="J10148" s="1">
        <v>45979.472557870373</v>
      </c>
    </row>
    <row r="10149" spans="1:10" x14ac:dyDescent="0.2">
      <c r="A10149" s="4" t="s">
        <v>1</v>
      </c>
      <c r="B1014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49" s="3" t="str">
        <f>HYPERLINK("https://otsuka-europe-crm.veevavault.com/ui/#object/sent_email__v/VBL00000000O426", "SE-001390953")</f>
        <v>SE-001390953</v>
      </c>
      <c r="D10149" s="1" t="s">
        <v>0</v>
      </c>
      <c r="E10149" s="2">
        <v>0</v>
      </c>
      <c r="F10149" s="2">
        <v>0</v>
      </c>
      <c r="G10149" s="2">
        <v>0</v>
      </c>
      <c r="H10149" s="1" t="s">
        <v>0</v>
      </c>
      <c r="I10149" s="2">
        <v>0</v>
      </c>
      <c r="J10149" s="1">
        <v>45979.472557870373</v>
      </c>
    </row>
    <row r="10150" spans="1:10" x14ac:dyDescent="0.2">
      <c r="A10150" s="4" t="s">
        <v>1</v>
      </c>
      <c r="B1015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50" s="3" t="str">
        <f>HYPERLINK("https://otsuka-europe-crm.veevavault.com/ui/#object/sent_email__v/VBL00000000O427", "SE-001390954")</f>
        <v>SE-001390954</v>
      </c>
      <c r="D10150" s="1" t="s">
        <v>0</v>
      </c>
      <c r="E10150" s="2">
        <v>0</v>
      </c>
      <c r="F10150" s="2">
        <v>0</v>
      </c>
      <c r="G10150" s="2">
        <v>0</v>
      </c>
      <c r="H10150" s="1" t="s">
        <v>0</v>
      </c>
      <c r="I10150" s="2">
        <v>0</v>
      </c>
      <c r="J10150" s="1">
        <v>45979.472557870373</v>
      </c>
    </row>
    <row r="10151" spans="1:10" x14ac:dyDescent="0.2">
      <c r="A10151" s="4" t="s">
        <v>1</v>
      </c>
      <c r="B1015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51" s="3" t="str">
        <f>HYPERLINK("https://otsuka-europe-crm.veevavault.com/ui/#object/sent_email__v/VBL00000000O428", "SE-001390955")</f>
        <v>SE-001390955</v>
      </c>
      <c r="D10151" s="1" t="s">
        <v>0</v>
      </c>
      <c r="E10151" s="2">
        <v>0</v>
      </c>
      <c r="F10151" s="2">
        <v>0</v>
      </c>
      <c r="G10151" s="2">
        <v>0</v>
      </c>
      <c r="H10151" s="1" t="s">
        <v>0</v>
      </c>
      <c r="I10151" s="2">
        <v>0</v>
      </c>
      <c r="J10151" s="1">
        <v>45979.472569444442</v>
      </c>
    </row>
    <row r="10152" spans="1:10" x14ac:dyDescent="0.2">
      <c r="A10152" s="4" t="s">
        <v>1</v>
      </c>
      <c r="B1015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52" s="3" t="str">
        <f>HYPERLINK("https://otsuka-europe-crm.veevavault.com/ui/#object/sent_email__v/VBL00000000O429", "SE-001390956")</f>
        <v>SE-001390956</v>
      </c>
      <c r="D10152" s="1" t="s">
        <v>0</v>
      </c>
      <c r="E10152" s="2">
        <v>0</v>
      </c>
      <c r="F10152" s="2">
        <v>0</v>
      </c>
      <c r="G10152" s="2">
        <v>0</v>
      </c>
      <c r="H10152" s="1" t="s">
        <v>0</v>
      </c>
      <c r="I10152" s="2">
        <v>0</v>
      </c>
      <c r="J10152" s="1">
        <v>45979.472569444442</v>
      </c>
    </row>
    <row r="10153" spans="1:10" x14ac:dyDescent="0.2">
      <c r="A10153" s="4" t="s">
        <v>1</v>
      </c>
      <c r="B1015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53" s="3" t="str">
        <f>HYPERLINK("https://otsuka-europe-crm.veevavault.com/ui/#object/sent_email__v/VBL00000000O430", "SE-001390957")</f>
        <v>SE-001390957</v>
      </c>
      <c r="D10153" s="1" t="s">
        <v>0</v>
      </c>
      <c r="E10153" s="2">
        <v>0</v>
      </c>
      <c r="F10153" s="2">
        <v>0</v>
      </c>
      <c r="G10153" s="2">
        <v>0</v>
      </c>
      <c r="H10153" s="1" t="s">
        <v>0</v>
      </c>
      <c r="I10153" s="2">
        <v>0</v>
      </c>
      <c r="J10153" s="1">
        <v>45979.472569444442</v>
      </c>
    </row>
    <row r="10154" spans="1:10" x14ac:dyDescent="0.2">
      <c r="A10154" s="4" t="s">
        <v>1</v>
      </c>
      <c r="B1015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54" s="3" t="str">
        <f>HYPERLINK("https://otsuka-europe-crm.veevavault.com/ui/#object/sent_email__v/VBL00000000O431", "SE-001390958")</f>
        <v>SE-001390958</v>
      </c>
      <c r="D10154" s="1" t="s">
        <v>0</v>
      </c>
      <c r="E10154" s="2">
        <v>0</v>
      </c>
      <c r="F10154" s="2">
        <v>0</v>
      </c>
      <c r="G10154" s="2">
        <v>0</v>
      </c>
      <c r="H10154" s="1" t="s">
        <v>0</v>
      </c>
      <c r="I10154" s="2">
        <v>0</v>
      </c>
      <c r="J10154" s="1">
        <v>45979.472569444442</v>
      </c>
    </row>
    <row r="10155" spans="1:10" x14ac:dyDescent="0.2">
      <c r="A10155" s="4" t="s">
        <v>1</v>
      </c>
      <c r="B1015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55" s="3" t="str">
        <f>HYPERLINK("https://otsuka-europe-crm.veevavault.com/ui/#object/sent_email__v/VBL00000000O432", "SE-001390959")</f>
        <v>SE-001390959</v>
      </c>
      <c r="D10155" s="1" t="s">
        <v>0</v>
      </c>
      <c r="E10155" s="2">
        <v>0</v>
      </c>
      <c r="F10155" s="2">
        <v>0</v>
      </c>
      <c r="G10155" s="2">
        <v>0</v>
      </c>
      <c r="H10155" s="1" t="s">
        <v>0</v>
      </c>
      <c r="I10155" s="2">
        <v>0</v>
      </c>
      <c r="J10155" s="1">
        <v>45979.472569444442</v>
      </c>
    </row>
    <row r="10156" spans="1:10" x14ac:dyDescent="0.2">
      <c r="A10156" s="4" t="s">
        <v>1</v>
      </c>
      <c r="B1015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56" s="3" t="str">
        <f>HYPERLINK("https://otsuka-europe-crm.veevavault.com/ui/#object/sent_email__v/VBL00000000O433", "SE-001390960")</f>
        <v>SE-001390960</v>
      </c>
      <c r="D10156" s="1" t="s">
        <v>0</v>
      </c>
      <c r="E10156" s="2">
        <v>0</v>
      </c>
      <c r="F10156" s="2">
        <v>0</v>
      </c>
      <c r="G10156" s="2">
        <v>0</v>
      </c>
      <c r="H10156" s="1" t="s">
        <v>0</v>
      </c>
      <c r="I10156" s="2">
        <v>0</v>
      </c>
      <c r="J10156" s="1">
        <v>45979.472569444442</v>
      </c>
    </row>
    <row r="10157" spans="1:10" x14ac:dyDescent="0.2">
      <c r="A10157" s="4" t="s">
        <v>1</v>
      </c>
      <c r="B1015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57" s="3" t="str">
        <f>HYPERLINK("https://otsuka-europe-crm.veevavault.com/ui/#object/sent_email__v/VBL00000000O434", "SE-001390961")</f>
        <v>SE-001390961</v>
      </c>
      <c r="D10157" s="1" t="s">
        <v>0</v>
      </c>
      <c r="E10157" s="2">
        <v>0</v>
      </c>
      <c r="F10157" s="2">
        <v>0</v>
      </c>
      <c r="G10157" s="2">
        <v>0</v>
      </c>
      <c r="H10157" s="1" t="s">
        <v>0</v>
      </c>
      <c r="I10157" s="2">
        <v>0</v>
      </c>
      <c r="J10157" s="1">
        <v>45979.472569444442</v>
      </c>
    </row>
    <row r="10158" spans="1:10" x14ac:dyDescent="0.2">
      <c r="A10158" s="4" t="s">
        <v>1</v>
      </c>
      <c r="B1015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58" s="3" t="str">
        <f>HYPERLINK("https://otsuka-europe-crm.veevavault.com/ui/#object/sent_email__v/VBL00000000O435", "SE-001390962")</f>
        <v>SE-001390962</v>
      </c>
      <c r="D10158" s="1" t="s">
        <v>0</v>
      </c>
      <c r="E10158" s="2">
        <v>0</v>
      </c>
      <c r="F10158" s="2">
        <v>0</v>
      </c>
      <c r="G10158" s="2">
        <v>0</v>
      </c>
      <c r="H10158" s="1" t="s">
        <v>0</v>
      </c>
      <c r="I10158" s="2">
        <v>0</v>
      </c>
      <c r="J10158" s="1">
        <v>45979.472569444442</v>
      </c>
    </row>
    <row r="10159" spans="1:10" x14ac:dyDescent="0.2">
      <c r="A10159" s="4" t="s">
        <v>1</v>
      </c>
      <c r="B10159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59" s="3" t="str">
        <f>HYPERLINK("https://otsuka-europe-crm.veevavault.com/ui/#object/sent_email__v/VBL00000000O436", "SE-001390963")</f>
        <v>SE-001390963</v>
      </c>
      <c r="D10159" s="1" t="s">
        <v>0</v>
      </c>
      <c r="E10159" s="2">
        <v>0</v>
      </c>
      <c r="F10159" s="2">
        <v>0</v>
      </c>
      <c r="G10159" s="2">
        <v>0</v>
      </c>
      <c r="H10159" s="1" t="s">
        <v>0</v>
      </c>
      <c r="I10159" s="2">
        <v>0</v>
      </c>
      <c r="J10159" s="1">
        <v>45979.472569444442</v>
      </c>
    </row>
    <row r="10160" spans="1:10" x14ac:dyDescent="0.2">
      <c r="A10160" s="4" t="s">
        <v>1</v>
      </c>
      <c r="B10160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60" s="3" t="str">
        <f>HYPERLINK("https://otsuka-europe-crm.veevavault.com/ui/#object/sent_email__v/VBL00000000O437", "SE-001390964")</f>
        <v>SE-001390964</v>
      </c>
      <c r="D10160" s="1" t="s">
        <v>0</v>
      </c>
      <c r="E10160" s="2">
        <v>0</v>
      </c>
      <c r="F10160" s="2">
        <v>0</v>
      </c>
      <c r="G10160" s="2">
        <v>0</v>
      </c>
      <c r="H10160" s="1" t="s">
        <v>0</v>
      </c>
      <c r="I10160" s="2">
        <v>0</v>
      </c>
      <c r="J10160" s="1">
        <v>45979.472581018519</v>
      </c>
    </row>
    <row r="10161" spans="1:10" x14ac:dyDescent="0.2">
      <c r="A10161" s="4" t="s">
        <v>1</v>
      </c>
      <c r="B10161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61" s="3" t="str">
        <f>HYPERLINK("https://otsuka-europe-crm.veevavault.com/ui/#object/sent_email__v/VBL00000000O438", "SE-001390965")</f>
        <v>SE-001390965</v>
      </c>
      <c r="D10161" s="1" t="s">
        <v>0</v>
      </c>
      <c r="E10161" s="2">
        <v>0</v>
      </c>
      <c r="F10161" s="2">
        <v>0</v>
      </c>
      <c r="G10161" s="2">
        <v>0</v>
      </c>
      <c r="H10161" s="1" t="s">
        <v>0</v>
      </c>
      <c r="I10161" s="2">
        <v>0</v>
      </c>
      <c r="J10161" s="1">
        <v>45979.472581018519</v>
      </c>
    </row>
    <row r="10162" spans="1:10" x14ac:dyDescent="0.2">
      <c r="A10162" s="4" t="s">
        <v>1</v>
      </c>
      <c r="B10162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62" s="3" t="str">
        <f>HYPERLINK("https://otsuka-europe-crm.veevavault.com/ui/#object/sent_email__v/VBL00000000O439", "SE-001390966")</f>
        <v>SE-001390966</v>
      </c>
      <c r="D10162" s="1" t="s">
        <v>0</v>
      </c>
      <c r="E10162" s="2">
        <v>0</v>
      </c>
      <c r="F10162" s="2">
        <v>0</v>
      </c>
      <c r="G10162" s="2">
        <v>0</v>
      </c>
      <c r="H10162" s="1" t="s">
        <v>0</v>
      </c>
      <c r="I10162" s="2">
        <v>0</v>
      </c>
      <c r="J10162" s="1">
        <v>45979.472581018519</v>
      </c>
    </row>
    <row r="10163" spans="1:10" x14ac:dyDescent="0.2">
      <c r="A10163" s="4" t="s">
        <v>1</v>
      </c>
      <c r="B10163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63" s="3" t="str">
        <f>HYPERLINK("https://otsuka-europe-crm.veevavault.com/ui/#object/sent_email__v/VBL00000000O440", "SE-001390967")</f>
        <v>SE-001390967</v>
      </c>
      <c r="D10163" s="1" t="s">
        <v>0</v>
      </c>
      <c r="E10163" s="2">
        <v>0</v>
      </c>
      <c r="F10163" s="2">
        <v>0</v>
      </c>
      <c r="G10163" s="2">
        <v>0</v>
      </c>
      <c r="H10163" s="1" t="s">
        <v>0</v>
      </c>
      <c r="I10163" s="2">
        <v>0</v>
      </c>
      <c r="J10163" s="1">
        <v>45979.472581018519</v>
      </c>
    </row>
    <row r="10164" spans="1:10" x14ac:dyDescent="0.2">
      <c r="A10164" s="4" t="s">
        <v>1</v>
      </c>
      <c r="B10164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64" s="3" t="str">
        <f>HYPERLINK("https://otsuka-europe-crm.veevavault.com/ui/#object/sent_email__v/VBL00000000O441", "SE-001390968")</f>
        <v>SE-001390968</v>
      </c>
      <c r="D10164" s="1" t="s">
        <v>0</v>
      </c>
      <c r="E10164" s="2">
        <v>0</v>
      </c>
      <c r="F10164" s="2">
        <v>0</v>
      </c>
      <c r="G10164" s="2">
        <v>0</v>
      </c>
      <c r="H10164" s="1" t="s">
        <v>0</v>
      </c>
      <c r="I10164" s="2">
        <v>0</v>
      </c>
      <c r="J10164" s="1">
        <v>45979.472581018519</v>
      </c>
    </row>
    <row r="10165" spans="1:10" x14ac:dyDescent="0.2">
      <c r="A10165" s="4" t="s">
        <v>1</v>
      </c>
      <c r="B10165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65" s="3" t="str">
        <f>HYPERLINK("https://otsuka-europe-crm.veevavault.com/ui/#object/sent_email__v/VBL00000000O442", "SE-001390969")</f>
        <v>SE-001390969</v>
      </c>
      <c r="D10165" s="1" t="s">
        <v>0</v>
      </c>
      <c r="E10165" s="2">
        <v>0</v>
      </c>
      <c r="F10165" s="2">
        <v>0</v>
      </c>
      <c r="G10165" s="2">
        <v>0</v>
      </c>
      <c r="H10165" s="1" t="s">
        <v>0</v>
      </c>
      <c r="I10165" s="2">
        <v>0</v>
      </c>
      <c r="J10165" s="1">
        <v>45979.472581018519</v>
      </c>
    </row>
    <row r="10166" spans="1:10" x14ac:dyDescent="0.2">
      <c r="A10166" s="4" t="s">
        <v>1</v>
      </c>
      <c r="B10166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66" s="3" t="str">
        <f>HYPERLINK("https://otsuka-europe-crm.veevavault.com/ui/#object/sent_email__v/VBL00000000O443", "SE-001390970")</f>
        <v>SE-001390970</v>
      </c>
      <c r="D10166" s="1" t="s">
        <v>0</v>
      </c>
      <c r="E10166" s="2">
        <v>0</v>
      </c>
      <c r="F10166" s="2">
        <v>0</v>
      </c>
      <c r="G10166" s="2">
        <v>0</v>
      </c>
      <c r="H10166" s="1" t="s">
        <v>0</v>
      </c>
      <c r="I10166" s="2">
        <v>0</v>
      </c>
      <c r="J10166" s="1">
        <v>45979.472581018519</v>
      </c>
    </row>
    <row r="10167" spans="1:10" x14ac:dyDescent="0.2">
      <c r="A10167" s="4" t="s">
        <v>1</v>
      </c>
      <c r="B10167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67" s="3" t="str">
        <f>HYPERLINK("https://otsuka-europe-crm.veevavault.com/ui/#object/sent_email__v/VBL00000000O444", "SE-001390971")</f>
        <v>SE-001390971</v>
      </c>
      <c r="D10167" s="1" t="s">
        <v>0</v>
      </c>
      <c r="E10167" s="2">
        <v>0</v>
      </c>
      <c r="F10167" s="2">
        <v>0</v>
      </c>
      <c r="G10167" s="2">
        <v>0</v>
      </c>
      <c r="H10167" s="1" t="s">
        <v>0</v>
      </c>
      <c r="I10167" s="2">
        <v>0</v>
      </c>
      <c r="J10167" s="1">
        <v>45979.472581018519</v>
      </c>
    </row>
    <row r="10168" spans="1:10" x14ac:dyDescent="0.2">
      <c r="A10168" s="4" t="s">
        <v>1</v>
      </c>
      <c r="B10168" s="3" t="str">
        <f>HYPERLINK("https://otsuka-europe-crm.veevavault.com/ui/#object/approved_document__v/V5O000000007003", "LUP - 10 cuestiones para pensar: ¿Dónde quedó la lesión vascular? - nefro")</f>
        <v>LUP - 10 cuestiones para pensar: ¿Dónde quedó la lesión vascular? - nefro</v>
      </c>
      <c r="C10168" s="3" t="str">
        <f>HYPERLINK("https://otsuka-europe-crm.veevavault.com/ui/#object/sent_email__v/VBL00000000O445", "SE-001390972")</f>
        <v>SE-001390972</v>
      </c>
      <c r="D10168" s="1" t="s">
        <v>0</v>
      </c>
      <c r="E10168" s="2">
        <v>0</v>
      </c>
      <c r="F10168" s="2">
        <v>0</v>
      </c>
      <c r="G10168" s="2">
        <v>0</v>
      </c>
      <c r="H10168" s="1" t="s">
        <v>0</v>
      </c>
      <c r="I10168" s="2">
        <v>0</v>
      </c>
      <c r="J10168" s="1">
        <v>45979.472581018519</v>
      </c>
    </row>
    <row r="10169" spans="1:10" x14ac:dyDescent="0.2">
      <c r="A10169" s="4" t="s">
        <v>1</v>
      </c>
      <c r="B1016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69" s="3" t="str">
        <f>HYPERLINK("https://otsuka-europe-crm.veevavault.com/ui/#object/sent_email__v/VBL00000000X454", "SE-001396320")</f>
        <v>SE-001396320</v>
      </c>
      <c r="D10169" s="1" t="s">
        <v>0</v>
      </c>
      <c r="E10169" s="2">
        <v>0</v>
      </c>
      <c r="F10169" s="2">
        <v>0</v>
      </c>
      <c r="G10169" s="2">
        <v>0</v>
      </c>
      <c r="H10169" s="1" t="s">
        <v>0</v>
      </c>
      <c r="I10169" s="2">
        <v>0</v>
      </c>
      <c r="J10169" s="1">
        <v>46002.645335648151</v>
      </c>
    </row>
    <row r="10170" spans="1:10" x14ac:dyDescent="0.2">
      <c r="A10170" s="4" t="s">
        <v>1</v>
      </c>
      <c r="B1017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70" s="3" t="str">
        <f>HYPERLINK("https://otsuka-europe-crm.veevavault.com/ui/#object/sent_email__v/VBL00000000X455", "SE-001396321")</f>
        <v>SE-001396321</v>
      </c>
      <c r="D10170" s="1" t="s">
        <v>0</v>
      </c>
      <c r="E10170" s="2">
        <v>0</v>
      </c>
      <c r="F10170" s="2">
        <v>0</v>
      </c>
      <c r="G10170" s="2">
        <v>0</v>
      </c>
      <c r="H10170" s="1" t="s">
        <v>0</v>
      </c>
      <c r="I10170" s="2">
        <v>0</v>
      </c>
      <c r="J10170" s="1">
        <v>46002.645335648151</v>
      </c>
    </row>
    <row r="10171" spans="1:10" x14ac:dyDescent="0.2">
      <c r="A10171" s="4" t="s">
        <v>1</v>
      </c>
      <c r="B1017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71" s="3" t="str">
        <f>HYPERLINK("https://otsuka-europe-crm.veevavault.com/ui/#object/sent_email__v/VBL00000000X456", "SE-001396322")</f>
        <v>SE-001396322</v>
      </c>
      <c r="D10171" s="1" t="s">
        <v>0</v>
      </c>
      <c r="E10171" s="2">
        <v>0</v>
      </c>
      <c r="F10171" s="2">
        <v>0</v>
      </c>
      <c r="G10171" s="2">
        <v>0</v>
      </c>
      <c r="H10171" s="1" t="s">
        <v>0</v>
      </c>
      <c r="I10171" s="2">
        <v>0</v>
      </c>
      <c r="J10171" s="1">
        <v>46002.645335648151</v>
      </c>
    </row>
    <row r="10172" spans="1:10" x14ac:dyDescent="0.2">
      <c r="A10172" s="4" t="s">
        <v>1</v>
      </c>
      <c r="B1017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72" s="3" t="str">
        <f>HYPERLINK("https://otsuka-europe-crm.veevavault.com/ui/#object/sent_email__v/VBL00000000X457", "SE-001396323")</f>
        <v>SE-001396323</v>
      </c>
      <c r="D10172" s="1" t="s">
        <v>0</v>
      </c>
      <c r="E10172" s="2">
        <v>0</v>
      </c>
      <c r="F10172" s="2">
        <v>0</v>
      </c>
      <c r="G10172" s="2">
        <v>0</v>
      </c>
      <c r="H10172" s="1" t="s">
        <v>0</v>
      </c>
      <c r="I10172" s="2">
        <v>0</v>
      </c>
      <c r="J10172" s="1">
        <v>46002.645335648151</v>
      </c>
    </row>
    <row r="10173" spans="1:10" x14ac:dyDescent="0.2">
      <c r="A10173" s="4" t="s">
        <v>1</v>
      </c>
      <c r="B1017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73" s="3" t="str">
        <f>HYPERLINK("https://otsuka-europe-crm.veevavault.com/ui/#object/sent_email__v/VBL00000000X458", "SE-001396324")</f>
        <v>SE-001396324</v>
      </c>
      <c r="D10173" s="1" t="s">
        <v>0</v>
      </c>
      <c r="E10173" s="2">
        <v>0</v>
      </c>
      <c r="F10173" s="2">
        <v>0</v>
      </c>
      <c r="G10173" s="2">
        <v>0</v>
      </c>
      <c r="H10173" s="1" t="s">
        <v>0</v>
      </c>
      <c r="I10173" s="2">
        <v>0</v>
      </c>
      <c r="J10173" s="1">
        <v>46002.645335648151</v>
      </c>
    </row>
    <row r="10174" spans="1:10" x14ac:dyDescent="0.2">
      <c r="A10174" s="4" t="s">
        <v>1</v>
      </c>
      <c r="B1017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74" s="3" t="str">
        <f>HYPERLINK("https://otsuka-europe-crm.veevavault.com/ui/#object/sent_email__v/VBL00000000X459", "SE-001396325")</f>
        <v>SE-001396325</v>
      </c>
      <c r="D10174" s="1" t="s">
        <v>0</v>
      </c>
      <c r="E10174" s="2">
        <v>0</v>
      </c>
      <c r="F10174" s="2">
        <v>0</v>
      </c>
      <c r="G10174" s="2">
        <v>0</v>
      </c>
      <c r="H10174" s="1" t="s">
        <v>0</v>
      </c>
      <c r="I10174" s="2">
        <v>0</v>
      </c>
      <c r="J10174" s="1">
        <v>46002.645335648151</v>
      </c>
    </row>
    <row r="10175" spans="1:10" x14ac:dyDescent="0.2">
      <c r="A10175" s="4" t="s">
        <v>1</v>
      </c>
      <c r="B1017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75" s="3" t="str">
        <f>HYPERLINK("https://otsuka-europe-crm.veevavault.com/ui/#object/sent_email__v/VBL00000000X460", "SE-001396326")</f>
        <v>SE-001396326</v>
      </c>
      <c r="D10175" s="1" t="s">
        <v>0</v>
      </c>
      <c r="E10175" s="2">
        <v>0</v>
      </c>
      <c r="F10175" s="2">
        <v>0</v>
      </c>
      <c r="G10175" s="2">
        <v>0</v>
      </c>
      <c r="H10175" s="1" t="s">
        <v>0</v>
      </c>
      <c r="I10175" s="2">
        <v>0</v>
      </c>
      <c r="J10175" s="1">
        <v>46002.645335648151</v>
      </c>
    </row>
    <row r="10176" spans="1:10" x14ac:dyDescent="0.2">
      <c r="A10176" s="4" t="s">
        <v>1</v>
      </c>
      <c r="B1017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76" s="3" t="str">
        <f>HYPERLINK("https://otsuka-europe-crm.veevavault.com/ui/#object/sent_email__v/VBL00000000X461", "SE-001396327")</f>
        <v>SE-001396327</v>
      </c>
      <c r="D10176" s="1" t="s">
        <v>0</v>
      </c>
      <c r="E10176" s="2">
        <v>0</v>
      </c>
      <c r="F10176" s="2">
        <v>0</v>
      </c>
      <c r="G10176" s="2">
        <v>0</v>
      </c>
      <c r="H10176" s="1" t="s">
        <v>0</v>
      </c>
      <c r="I10176" s="2">
        <v>0</v>
      </c>
      <c r="J10176" s="1">
        <v>46002.645335648151</v>
      </c>
    </row>
    <row r="10177" spans="1:10" x14ac:dyDescent="0.2">
      <c r="A10177" s="4" t="s">
        <v>1</v>
      </c>
      <c r="B10177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77" s="3" t="str">
        <f>HYPERLINK("https://otsuka-europe-crm.veevavault.com/ui/#object/sent_email__v/VBL00000000X462", "SE-001396328")</f>
        <v>SE-001396328</v>
      </c>
      <c r="D10177" s="1" t="s">
        <v>0</v>
      </c>
      <c r="E10177" s="2">
        <v>0</v>
      </c>
      <c r="F10177" s="2">
        <v>0</v>
      </c>
      <c r="G10177" s="2">
        <v>0</v>
      </c>
      <c r="H10177" s="1" t="s">
        <v>0</v>
      </c>
      <c r="I10177" s="2">
        <v>0</v>
      </c>
      <c r="J10177" s="1">
        <v>46002.645335648151</v>
      </c>
    </row>
    <row r="10178" spans="1:10" x14ac:dyDescent="0.2">
      <c r="A10178" s="4" t="s">
        <v>1</v>
      </c>
      <c r="B10178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78" s="3" t="str">
        <f>HYPERLINK("https://otsuka-europe-crm.veevavault.com/ui/#object/sent_email__v/VBL00000000X463", "SE-001396329")</f>
        <v>SE-001396329</v>
      </c>
      <c r="D10178" s="1" t="s">
        <v>0</v>
      </c>
      <c r="E10178" s="2">
        <v>0</v>
      </c>
      <c r="F10178" s="2">
        <v>0</v>
      </c>
      <c r="G10178" s="2">
        <v>0</v>
      </c>
      <c r="H10178" s="1" t="s">
        <v>0</v>
      </c>
      <c r="I10178" s="2">
        <v>0</v>
      </c>
      <c r="J10178" s="1">
        <v>46002.645358796297</v>
      </c>
    </row>
    <row r="10179" spans="1:10" x14ac:dyDescent="0.2">
      <c r="A10179" s="4" t="s">
        <v>1</v>
      </c>
      <c r="B1017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79" s="3" t="str">
        <f>HYPERLINK("https://otsuka-europe-crm.veevavault.com/ui/#object/sent_email__v/VBL00000000X464", "SE-001396330")</f>
        <v>SE-001396330</v>
      </c>
      <c r="D10179" s="1" t="s">
        <v>0</v>
      </c>
      <c r="E10179" s="2">
        <v>0</v>
      </c>
      <c r="F10179" s="2">
        <v>0</v>
      </c>
      <c r="G10179" s="2">
        <v>0</v>
      </c>
      <c r="H10179" s="1" t="s">
        <v>0</v>
      </c>
      <c r="I10179" s="2">
        <v>0</v>
      </c>
      <c r="J10179" s="1">
        <v>46002.645358796297</v>
      </c>
    </row>
    <row r="10180" spans="1:10" x14ac:dyDescent="0.2">
      <c r="A10180" s="4" t="s">
        <v>1</v>
      </c>
      <c r="B1018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80" s="3" t="str">
        <f>HYPERLINK("https://otsuka-europe-crm.veevavault.com/ui/#object/sent_email__v/VBL00000000X465", "SE-001396331")</f>
        <v>SE-001396331</v>
      </c>
      <c r="D10180" s="1" t="s">
        <v>0</v>
      </c>
      <c r="E10180" s="2">
        <v>0</v>
      </c>
      <c r="F10180" s="2">
        <v>0</v>
      </c>
      <c r="G10180" s="2">
        <v>0</v>
      </c>
      <c r="H10180" s="1" t="s">
        <v>0</v>
      </c>
      <c r="I10180" s="2">
        <v>0</v>
      </c>
      <c r="J10180" s="1">
        <v>46002.645358796297</v>
      </c>
    </row>
    <row r="10181" spans="1:10" x14ac:dyDescent="0.2">
      <c r="A10181" s="4" t="s">
        <v>1</v>
      </c>
      <c r="B1018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81" s="3" t="str">
        <f>HYPERLINK("https://otsuka-europe-crm.veevavault.com/ui/#object/sent_email__v/VBL00000000X466", "SE-001396332")</f>
        <v>SE-001396332</v>
      </c>
      <c r="D10181" s="1" t="s">
        <v>0</v>
      </c>
      <c r="E10181" s="2">
        <v>0</v>
      </c>
      <c r="F10181" s="2">
        <v>0</v>
      </c>
      <c r="G10181" s="2">
        <v>0</v>
      </c>
      <c r="H10181" s="1" t="s">
        <v>0</v>
      </c>
      <c r="I10181" s="2">
        <v>0</v>
      </c>
      <c r="J10181" s="1">
        <v>46002.645358796297</v>
      </c>
    </row>
    <row r="10182" spans="1:10" x14ac:dyDescent="0.2">
      <c r="A10182" s="4" t="s">
        <v>1</v>
      </c>
      <c r="B1018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82" s="3" t="str">
        <f>HYPERLINK("https://otsuka-europe-crm.veevavault.com/ui/#object/sent_email__v/VBL00000000X467", "SE-001396333")</f>
        <v>SE-001396333</v>
      </c>
      <c r="D10182" s="1" t="s">
        <v>0</v>
      </c>
      <c r="E10182" s="2">
        <v>0</v>
      </c>
      <c r="F10182" s="2">
        <v>0</v>
      </c>
      <c r="G10182" s="2">
        <v>0</v>
      </c>
      <c r="H10182" s="1" t="s">
        <v>0</v>
      </c>
      <c r="I10182" s="2">
        <v>0</v>
      </c>
      <c r="J10182" s="1">
        <v>46002.645358796297</v>
      </c>
    </row>
    <row r="10183" spans="1:10" x14ac:dyDescent="0.2">
      <c r="A10183" s="4" t="s">
        <v>1</v>
      </c>
      <c r="B1018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83" s="3" t="str">
        <f>HYPERLINK("https://otsuka-europe-crm.veevavault.com/ui/#object/sent_email__v/VBL00000000X468", "SE-001396334")</f>
        <v>SE-001396334</v>
      </c>
      <c r="D10183" s="1" t="s">
        <v>0</v>
      </c>
      <c r="E10183" s="2">
        <v>0</v>
      </c>
      <c r="F10183" s="2">
        <v>0</v>
      </c>
      <c r="G10183" s="2">
        <v>0</v>
      </c>
      <c r="H10183" s="1" t="s">
        <v>0</v>
      </c>
      <c r="I10183" s="2">
        <v>0</v>
      </c>
      <c r="J10183" s="1">
        <v>46002.645358796297</v>
      </c>
    </row>
    <row r="10184" spans="1:10" x14ac:dyDescent="0.2">
      <c r="A10184" s="4" t="s">
        <v>1</v>
      </c>
      <c r="B1018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84" s="3" t="str">
        <f>HYPERLINK("https://otsuka-europe-crm.veevavault.com/ui/#object/sent_email__v/VBL00000000X469", "SE-001396335")</f>
        <v>SE-001396335</v>
      </c>
      <c r="D10184" s="1" t="s">
        <v>0</v>
      </c>
      <c r="E10184" s="2">
        <v>0</v>
      </c>
      <c r="F10184" s="2">
        <v>0</v>
      </c>
      <c r="G10184" s="2">
        <v>0</v>
      </c>
      <c r="H10184" s="1" t="s">
        <v>0</v>
      </c>
      <c r="I10184" s="2">
        <v>0</v>
      </c>
      <c r="J10184" s="1">
        <v>46002.645358796297</v>
      </c>
    </row>
    <row r="10185" spans="1:10" x14ac:dyDescent="0.2">
      <c r="A10185" s="4" t="s">
        <v>1</v>
      </c>
      <c r="B1018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85" s="3" t="str">
        <f>HYPERLINK("https://otsuka-europe-crm.veevavault.com/ui/#object/sent_email__v/VBL00000000X470", "SE-001396336")</f>
        <v>SE-001396336</v>
      </c>
      <c r="D10185" s="1" t="s">
        <v>0</v>
      </c>
      <c r="E10185" s="2">
        <v>0</v>
      </c>
      <c r="F10185" s="2">
        <v>0</v>
      </c>
      <c r="G10185" s="2">
        <v>0</v>
      </c>
      <c r="H10185" s="1" t="s">
        <v>0</v>
      </c>
      <c r="I10185" s="2">
        <v>0</v>
      </c>
      <c r="J10185" s="1">
        <v>46002.645358796297</v>
      </c>
    </row>
    <row r="10186" spans="1:10" x14ac:dyDescent="0.2">
      <c r="A10186" s="4" t="s">
        <v>1</v>
      </c>
      <c r="B1018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86" s="3" t="str">
        <f>HYPERLINK("https://otsuka-europe-crm.veevavault.com/ui/#object/sent_email__v/VBL00000000X471", "SE-001396337")</f>
        <v>SE-001396337</v>
      </c>
      <c r="D10186" s="1" t="s">
        <v>0</v>
      </c>
      <c r="E10186" s="2">
        <v>0</v>
      </c>
      <c r="F10186" s="2">
        <v>0</v>
      </c>
      <c r="G10186" s="2">
        <v>0</v>
      </c>
      <c r="H10186" s="1" t="s">
        <v>0</v>
      </c>
      <c r="I10186" s="2">
        <v>0</v>
      </c>
      <c r="J10186" s="1">
        <v>46002.64534722222</v>
      </c>
    </row>
    <row r="10187" spans="1:10" x14ac:dyDescent="0.2">
      <c r="A10187" s="4" t="s">
        <v>1</v>
      </c>
      <c r="B10187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87" s="3" t="str">
        <f>HYPERLINK("https://otsuka-europe-crm.veevavault.com/ui/#object/sent_email__v/VBL00000000X472", "SE-001396338")</f>
        <v>SE-001396338</v>
      </c>
      <c r="D10187" s="1" t="s">
        <v>0</v>
      </c>
      <c r="E10187" s="2">
        <v>0</v>
      </c>
      <c r="F10187" s="2">
        <v>0</v>
      </c>
      <c r="G10187" s="2">
        <v>0</v>
      </c>
      <c r="H10187" s="1" t="s">
        <v>0</v>
      </c>
      <c r="I10187" s="2">
        <v>0</v>
      </c>
      <c r="J10187" s="1">
        <v>46002.645358796297</v>
      </c>
    </row>
    <row r="10188" spans="1:10" x14ac:dyDescent="0.2">
      <c r="A10188" s="4" t="s">
        <v>1</v>
      </c>
      <c r="B10188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88" s="3" t="str">
        <f>HYPERLINK("https://otsuka-europe-crm.veevavault.com/ui/#object/sent_email__v/VBL00000000X473", "SE-001396339")</f>
        <v>SE-001396339</v>
      </c>
      <c r="D10188" s="1" t="s">
        <v>0</v>
      </c>
      <c r="E10188" s="2">
        <v>0</v>
      </c>
      <c r="F10188" s="2">
        <v>0</v>
      </c>
      <c r="G10188" s="2">
        <v>0</v>
      </c>
      <c r="H10188" s="1" t="s">
        <v>0</v>
      </c>
      <c r="I10188" s="2">
        <v>0</v>
      </c>
      <c r="J10188" s="1">
        <v>46002.645358796297</v>
      </c>
    </row>
    <row r="10189" spans="1:10" x14ac:dyDescent="0.2">
      <c r="A10189" s="4" t="s">
        <v>1</v>
      </c>
      <c r="B1018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89" s="3" t="str">
        <f>HYPERLINK("https://otsuka-europe-crm.veevavault.com/ui/#object/sent_email__v/VBL00000000X474", "SE-001396340")</f>
        <v>SE-001396340</v>
      </c>
      <c r="D10189" s="1" t="s">
        <v>0</v>
      </c>
      <c r="E10189" s="2">
        <v>0</v>
      </c>
      <c r="F10189" s="2">
        <v>0</v>
      </c>
      <c r="G10189" s="2">
        <v>0</v>
      </c>
      <c r="H10189" s="1" t="s">
        <v>0</v>
      </c>
      <c r="I10189" s="2">
        <v>0</v>
      </c>
      <c r="J10189" s="1">
        <v>46002.645358796297</v>
      </c>
    </row>
    <row r="10190" spans="1:10" x14ac:dyDescent="0.2">
      <c r="A10190" s="4" t="s">
        <v>1</v>
      </c>
      <c r="B1019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90" s="3" t="str">
        <f>HYPERLINK("https://otsuka-europe-crm.veevavault.com/ui/#object/sent_email__v/VBL00000000X475", "SE-001396341")</f>
        <v>SE-001396341</v>
      </c>
      <c r="D10190" s="1" t="s">
        <v>0</v>
      </c>
      <c r="E10190" s="2">
        <v>0</v>
      </c>
      <c r="F10190" s="2">
        <v>0</v>
      </c>
      <c r="G10190" s="2">
        <v>0</v>
      </c>
      <c r="H10190" s="1" t="s">
        <v>0</v>
      </c>
      <c r="I10190" s="2">
        <v>0</v>
      </c>
      <c r="J10190" s="1">
        <v>46002.645358796297</v>
      </c>
    </row>
    <row r="10191" spans="1:10" x14ac:dyDescent="0.2">
      <c r="A10191" s="4" t="s">
        <v>1</v>
      </c>
      <c r="B1019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91" s="3" t="str">
        <f>HYPERLINK("https://otsuka-europe-crm.veevavault.com/ui/#object/sent_email__v/VBL00000000X476", "SE-001396342")</f>
        <v>SE-001396342</v>
      </c>
      <c r="D10191" s="1" t="s">
        <v>0</v>
      </c>
      <c r="E10191" s="2">
        <v>0</v>
      </c>
      <c r="F10191" s="2">
        <v>0</v>
      </c>
      <c r="G10191" s="2">
        <v>0</v>
      </c>
      <c r="H10191" s="1" t="s">
        <v>0</v>
      </c>
      <c r="I10191" s="2">
        <v>0</v>
      </c>
      <c r="J10191" s="1">
        <v>46002.645358796297</v>
      </c>
    </row>
    <row r="10192" spans="1:10" x14ac:dyDescent="0.2">
      <c r="A10192" s="4" t="s">
        <v>1</v>
      </c>
      <c r="B1019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92" s="3" t="str">
        <f>HYPERLINK("https://otsuka-europe-crm.veevavault.com/ui/#object/sent_email__v/VBL00000000X477", "SE-001396343")</f>
        <v>SE-001396343</v>
      </c>
      <c r="D10192" s="1" t="s">
        <v>0</v>
      </c>
      <c r="E10192" s="2">
        <v>0</v>
      </c>
      <c r="F10192" s="2">
        <v>0</v>
      </c>
      <c r="G10192" s="2">
        <v>0</v>
      </c>
      <c r="H10192" s="1" t="s">
        <v>0</v>
      </c>
      <c r="I10192" s="2">
        <v>0</v>
      </c>
      <c r="J10192" s="1">
        <v>46002.645358796297</v>
      </c>
    </row>
    <row r="10193" spans="1:10" x14ac:dyDescent="0.2">
      <c r="A10193" s="4" t="s">
        <v>1</v>
      </c>
      <c r="B1019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93" s="3" t="str">
        <f>HYPERLINK("https://otsuka-europe-crm.veevavault.com/ui/#object/sent_email__v/VBL00000000X478", "SE-001396344")</f>
        <v>SE-001396344</v>
      </c>
      <c r="D10193" s="1" t="s">
        <v>0</v>
      </c>
      <c r="E10193" s="2">
        <v>0</v>
      </c>
      <c r="F10193" s="2">
        <v>0</v>
      </c>
      <c r="G10193" s="2">
        <v>0</v>
      </c>
      <c r="H10193" s="1" t="s">
        <v>0</v>
      </c>
      <c r="I10193" s="2">
        <v>0</v>
      </c>
      <c r="J10193" s="1">
        <v>46002.645358796297</v>
      </c>
    </row>
    <row r="10194" spans="1:10" x14ac:dyDescent="0.2">
      <c r="A10194" s="4" t="s">
        <v>1</v>
      </c>
      <c r="B1019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94" s="3" t="str">
        <f>HYPERLINK("https://otsuka-europe-crm.veevavault.com/ui/#object/sent_email__v/VBL00000000X479", "SE-001396345")</f>
        <v>SE-001396345</v>
      </c>
      <c r="D10194" s="1" t="s">
        <v>0</v>
      </c>
      <c r="E10194" s="2">
        <v>0</v>
      </c>
      <c r="F10194" s="2">
        <v>0</v>
      </c>
      <c r="G10194" s="2">
        <v>0</v>
      </c>
      <c r="H10194" s="1" t="s">
        <v>0</v>
      </c>
      <c r="I10194" s="2">
        <v>0</v>
      </c>
      <c r="J10194" s="1">
        <v>46002.645358796297</v>
      </c>
    </row>
    <row r="10195" spans="1:10" x14ac:dyDescent="0.2">
      <c r="A10195" s="4" t="s">
        <v>1</v>
      </c>
      <c r="B1019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95" s="3" t="str">
        <f>HYPERLINK("https://otsuka-europe-crm.veevavault.com/ui/#object/sent_email__v/VBL00000000X480", "SE-001396346")</f>
        <v>SE-001396346</v>
      </c>
      <c r="D10195" s="1" t="s">
        <v>0</v>
      </c>
      <c r="E10195" s="2">
        <v>0</v>
      </c>
      <c r="F10195" s="2">
        <v>0</v>
      </c>
      <c r="G10195" s="2">
        <v>0</v>
      </c>
      <c r="H10195" s="1" t="s">
        <v>0</v>
      </c>
      <c r="I10195" s="2">
        <v>0</v>
      </c>
      <c r="J10195" s="1">
        <v>46002.645358796297</v>
      </c>
    </row>
    <row r="10196" spans="1:10" x14ac:dyDescent="0.2">
      <c r="A10196" s="4" t="s">
        <v>1</v>
      </c>
      <c r="B1019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96" s="3" t="str">
        <f>HYPERLINK("https://otsuka-europe-crm.veevavault.com/ui/#object/sent_email__v/VBL00000000X481", "SE-001396347")</f>
        <v>SE-001396347</v>
      </c>
      <c r="D10196" s="1" t="s">
        <v>0</v>
      </c>
      <c r="E10196" s="2">
        <v>0</v>
      </c>
      <c r="F10196" s="2">
        <v>0</v>
      </c>
      <c r="G10196" s="2">
        <v>0</v>
      </c>
      <c r="H10196" s="1" t="s">
        <v>0</v>
      </c>
      <c r="I10196" s="2">
        <v>0</v>
      </c>
      <c r="J10196" s="1">
        <v>46002.645358796297</v>
      </c>
    </row>
    <row r="10197" spans="1:10" x14ac:dyDescent="0.2">
      <c r="A10197" s="4" t="s">
        <v>1</v>
      </c>
      <c r="B10197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97" s="3" t="str">
        <f>HYPERLINK("https://otsuka-europe-crm.veevavault.com/ui/#object/sent_email__v/VBL00000000X482", "SE-001396348")</f>
        <v>SE-001396348</v>
      </c>
      <c r="D10197" s="1" t="s">
        <v>0</v>
      </c>
      <c r="E10197" s="2">
        <v>0</v>
      </c>
      <c r="F10197" s="2">
        <v>0</v>
      </c>
      <c r="G10197" s="2">
        <v>0</v>
      </c>
      <c r="H10197" s="1" t="s">
        <v>0</v>
      </c>
      <c r="I10197" s="2">
        <v>0</v>
      </c>
      <c r="J10197" s="1">
        <v>46002.645358796297</v>
      </c>
    </row>
    <row r="10198" spans="1:10" x14ac:dyDescent="0.2">
      <c r="A10198" s="4" t="s">
        <v>1</v>
      </c>
      <c r="B10198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98" s="3" t="str">
        <f>HYPERLINK("https://otsuka-europe-crm.veevavault.com/ui/#object/sent_email__v/VBL00000000X483", "SE-001396349")</f>
        <v>SE-001396349</v>
      </c>
      <c r="D10198" s="1" t="s">
        <v>0</v>
      </c>
      <c r="E10198" s="2">
        <v>0</v>
      </c>
      <c r="F10198" s="2">
        <v>0</v>
      </c>
      <c r="G10198" s="2">
        <v>0</v>
      </c>
      <c r="H10198" s="1" t="s">
        <v>0</v>
      </c>
      <c r="I10198" s="2">
        <v>0</v>
      </c>
      <c r="J10198" s="1">
        <v>46002.645370370374</v>
      </c>
    </row>
    <row r="10199" spans="1:10" x14ac:dyDescent="0.2">
      <c r="A10199" s="4" t="s">
        <v>1</v>
      </c>
      <c r="B1019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199" s="3" t="str">
        <f>HYPERLINK("https://otsuka-europe-crm.veevavault.com/ui/#object/sent_email__v/VBL00000000X484", "SE-001396350")</f>
        <v>SE-001396350</v>
      </c>
      <c r="D10199" s="1" t="s">
        <v>0</v>
      </c>
      <c r="E10199" s="2">
        <v>0</v>
      </c>
      <c r="F10199" s="2">
        <v>0</v>
      </c>
      <c r="G10199" s="2">
        <v>0</v>
      </c>
      <c r="H10199" s="1" t="s">
        <v>0</v>
      </c>
      <c r="I10199" s="2">
        <v>0</v>
      </c>
      <c r="J10199" s="1">
        <v>46002.645370370374</v>
      </c>
    </row>
    <row r="10200" spans="1:10" x14ac:dyDescent="0.2">
      <c r="A10200" s="4" t="s">
        <v>1</v>
      </c>
      <c r="B1020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00" s="3" t="str">
        <f>HYPERLINK("https://otsuka-europe-crm.veevavault.com/ui/#object/sent_email__v/VBL00000000X485", "SE-001396351")</f>
        <v>SE-001396351</v>
      </c>
      <c r="D10200" s="1" t="s">
        <v>0</v>
      </c>
      <c r="E10200" s="2">
        <v>0</v>
      </c>
      <c r="F10200" s="2">
        <v>0</v>
      </c>
      <c r="G10200" s="2">
        <v>0</v>
      </c>
      <c r="H10200" s="1" t="s">
        <v>0</v>
      </c>
      <c r="I10200" s="2">
        <v>0</v>
      </c>
      <c r="J10200" s="1">
        <v>46002.645370370374</v>
      </c>
    </row>
    <row r="10201" spans="1:10" x14ac:dyDescent="0.2">
      <c r="A10201" s="4" t="s">
        <v>1</v>
      </c>
      <c r="B1020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01" s="3" t="str">
        <f>HYPERLINK("https://otsuka-europe-crm.veevavault.com/ui/#object/sent_email__v/VBL00000000X486", "SE-001396352")</f>
        <v>SE-001396352</v>
      </c>
      <c r="D10201" s="1" t="s">
        <v>0</v>
      </c>
      <c r="E10201" s="2">
        <v>0</v>
      </c>
      <c r="F10201" s="2">
        <v>0</v>
      </c>
      <c r="G10201" s="2">
        <v>0</v>
      </c>
      <c r="H10201" s="1" t="s">
        <v>0</v>
      </c>
      <c r="I10201" s="2">
        <v>0</v>
      </c>
      <c r="J10201" s="1">
        <v>46002.645370370374</v>
      </c>
    </row>
    <row r="10202" spans="1:10" x14ac:dyDescent="0.2">
      <c r="A10202" s="4" t="s">
        <v>1</v>
      </c>
      <c r="B1020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02" s="3" t="str">
        <f>HYPERLINK("https://otsuka-europe-crm.veevavault.com/ui/#object/sent_email__v/VBL00000000X487", "SE-001396353")</f>
        <v>SE-001396353</v>
      </c>
      <c r="D10202" s="1" t="s">
        <v>0</v>
      </c>
      <c r="E10202" s="2">
        <v>0</v>
      </c>
      <c r="F10202" s="2">
        <v>0</v>
      </c>
      <c r="G10202" s="2">
        <v>0</v>
      </c>
      <c r="H10202" s="1" t="s">
        <v>0</v>
      </c>
      <c r="I10202" s="2">
        <v>0</v>
      </c>
      <c r="J10202" s="1">
        <v>46002.645370370374</v>
      </c>
    </row>
    <row r="10203" spans="1:10" x14ac:dyDescent="0.2">
      <c r="A10203" s="4" t="s">
        <v>1</v>
      </c>
      <c r="B1020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03" s="3" t="str">
        <f>HYPERLINK("https://otsuka-europe-crm.veevavault.com/ui/#object/sent_email__v/VBL00000000X488", "SE-001396354")</f>
        <v>SE-001396354</v>
      </c>
      <c r="D10203" s="1" t="s">
        <v>0</v>
      </c>
      <c r="E10203" s="2">
        <v>0</v>
      </c>
      <c r="F10203" s="2">
        <v>0</v>
      </c>
      <c r="G10203" s="2">
        <v>0</v>
      </c>
      <c r="H10203" s="1" t="s">
        <v>0</v>
      </c>
      <c r="I10203" s="2">
        <v>0</v>
      </c>
      <c r="J10203" s="1">
        <v>46002.645370370374</v>
      </c>
    </row>
    <row r="10204" spans="1:10" x14ac:dyDescent="0.2">
      <c r="A10204" s="4" t="s">
        <v>1</v>
      </c>
      <c r="B1020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04" s="3" t="str">
        <f>HYPERLINK("https://otsuka-europe-crm.veevavault.com/ui/#object/sent_email__v/VBL00000000X489", "SE-001396355")</f>
        <v>SE-001396355</v>
      </c>
      <c r="D10204" s="1" t="s">
        <v>0</v>
      </c>
      <c r="E10204" s="2">
        <v>0</v>
      </c>
      <c r="F10204" s="2">
        <v>0</v>
      </c>
      <c r="G10204" s="2">
        <v>0</v>
      </c>
      <c r="H10204" s="1" t="s">
        <v>0</v>
      </c>
      <c r="I10204" s="2">
        <v>0</v>
      </c>
      <c r="J10204" s="1">
        <v>46002.645370370374</v>
      </c>
    </row>
    <row r="10205" spans="1:10" x14ac:dyDescent="0.2">
      <c r="A10205" s="4" t="s">
        <v>1</v>
      </c>
      <c r="B1020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05" s="3" t="str">
        <f>HYPERLINK("https://otsuka-europe-crm.veevavault.com/ui/#object/sent_email__v/VBL00000000X490", "SE-001396356")</f>
        <v>SE-001396356</v>
      </c>
      <c r="D10205" s="1" t="s">
        <v>0</v>
      </c>
      <c r="E10205" s="2">
        <v>0</v>
      </c>
      <c r="F10205" s="2">
        <v>0</v>
      </c>
      <c r="G10205" s="2">
        <v>0</v>
      </c>
      <c r="H10205" s="1" t="s">
        <v>0</v>
      </c>
      <c r="I10205" s="2">
        <v>0</v>
      </c>
      <c r="J10205" s="1">
        <v>46002.645370370374</v>
      </c>
    </row>
    <row r="10206" spans="1:10" x14ac:dyDescent="0.2">
      <c r="A10206" s="4" t="s">
        <v>1</v>
      </c>
      <c r="B1020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06" s="3" t="str">
        <f>HYPERLINK("https://otsuka-europe-crm.veevavault.com/ui/#object/sent_email__v/VBL00000000X491", "SE-001396357")</f>
        <v>SE-001396357</v>
      </c>
      <c r="D10206" s="1" t="s">
        <v>0</v>
      </c>
      <c r="E10206" s="2">
        <v>0</v>
      </c>
      <c r="F10206" s="2">
        <v>0</v>
      </c>
      <c r="G10206" s="2">
        <v>0</v>
      </c>
      <c r="H10206" s="1" t="s">
        <v>0</v>
      </c>
      <c r="I10206" s="2">
        <v>0</v>
      </c>
      <c r="J10206" s="1">
        <v>46002.645370370374</v>
      </c>
    </row>
    <row r="10207" spans="1:10" x14ac:dyDescent="0.2">
      <c r="A10207" s="4" t="s">
        <v>1</v>
      </c>
      <c r="B10207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07" s="3" t="str">
        <f>HYPERLINK("https://otsuka-europe-crm.veevavault.com/ui/#object/sent_email__v/VBL00000000X492", "SE-001396358")</f>
        <v>SE-001396358</v>
      </c>
      <c r="D10207" s="1" t="s">
        <v>0</v>
      </c>
      <c r="E10207" s="2">
        <v>0</v>
      </c>
      <c r="F10207" s="2">
        <v>0</v>
      </c>
      <c r="G10207" s="2">
        <v>0</v>
      </c>
      <c r="H10207" s="1" t="s">
        <v>0</v>
      </c>
      <c r="I10207" s="2">
        <v>0</v>
      </c>
      <c r="J10207" s="1">
        <v>46002.645370370374</v>
      </c>
    </row>
    <row r="10208" spans="1:10" x14ac:dyDescent="0.2">
      <c r="A10208" s="4" t="s">
        <v>1</v>
      </c>
      <c r="B10208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08" s="3" t="str">
        <f>HYPERLINK("https://otsuka-europe-crm.veevavault.com/ui/#object/sent_email__v/VBL00000000X493", "SE-001396359")</f>
        <v>SE-001396359</v>
      </c>
      <c r="D10208" s="1" t="s">
        <v>0</v>
      </c>
      <c r="E10208" s="2">
        <v>0</v>
      </c>
      <c r="F10208" s="2">
        <v>0</v>
      </c>
      <c r="G10208" s="2">
        <v>0</v>
      </c>
      <c r="H10208" s="1" t="s">
        <v>0</v>
      </c>
      <c r="I10208" s="2">
        <v>0</v>
      </c>
      <c r="J10208" s="1">
        <v>46002.645370370374</v>
      </c>
    </row>
    <row r="10209" spans="1:10" x14ac:dyDescent="0.2">
      <c r="A10209" s="4" t="s">
        <v>1</v>
      </c>
      <c r="B1020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09" s="3" t="str">
        <f>HYPERLINK("https://otsuka-europe-crm.veevavault.com/ui/#object/sent_email__v/VBL00000000X500", "SE-001396367")</f>
        <v>SE-001396367</v>
      </c>
      <c r="D10209" s="1" t="s">
        <v>0</v>
      </c>
      <c r="E10209" s="2">
        <v>0</v>
      </c>
      <c r="F10209" s="2">
        <v>0</v>
      </c>
      <c r="G10209" s="2">
        <v>0</v>
      </c>
      <c r="H10209" s="1" t="s">
        <v>0</v>
      </c>
      <c r="I10209" s="2">
        <v>0</v>
      </c>
      <c r="J10209" s="1">
        <v>46002.651331018518</v>
      </c>
    </row>
    <row r="10210" spans="1:10" x14ac:dyDescent="0.2">
      <c r="A10210" s="4" t="s">
        <v>1</v>
      </c>
      <c r="B1021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10" s="3" t="str">
        <f>HYPERLINK("https://otsuka-europe-crm.veevavault.com/ui/#object/sent_email__v/VBL00000000X501", "SE-001396368")</f>
        <v>SE-001396368</v>
      </c>
      <c r="D10210" s="1" t="s">
        <v>0</v>
      </c>
      <c r="E10210" s="2">
        <v>0</v>
      </c>
      <c r="F10210" s="2">
        <v>0</v>
      </c>
      <c r="G10210" s="2">
        <v>0</v>
      </c>
      <c r="H10210" s="1" t="s">
        <v>0</v>
      </c>
      <c r="I10210" s="2">
        <v>0</v>
      </c>
      <c r="J10210" s="1">
        <v>46002.651331018518</v>
      </c>
    </row>
    <row r="10211" spans="1:10" x14ac:dyDescent="0.2">
      <c r="A10211" s="4" t="s">
        <v>1</v>
      </c>
      <c r="B1021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11" s="3" t="str">
        <f>HYPERLINK("https://otsuka-europe-crm.veevavault.com/ui/#object/sent_email__v/VBL00000000X502", "SE-001396369")</f>
        <v>SE-001396369</v>
      </c>
      <c r="D10211" s="1" t="s">
        <v>0</v>
      </c>
      <c r="E10211" s="2">
        <v>0</v>
      </c>
      <c r="F10211" s="2">
        <v>0</v>
      </c>
      <c r="G10211" s="2">
        <v>0</v>
      </c>
      <c r="H10211" s="1" t="s">
        <v>0</v>
      </c>
      <c r="I10211" s="2">
        <v>0</v>
      </c>
      <c r="J10211" s="1">
        <v>46002.651342592595</v>
      </c>
    </row>
    <row r="10212" spans="1:10" x14ac:dyDescent="0.2">
      <c r="A10212" s="4" t="s">
        <v>1</v>
      </c>
      <c r="B1021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12" s="3" t="str">
        <f>HYPERLINK("https://otsuka-europe-crm.veevavault.com/ui/#object/sent_email__v/VBL00000000X503", "SE-001396370")</f>
        <v>SE-001396370</v>
      </c>
      <c r="D10212" s="1" t="s">
        <v>0</v>
      </c>
      <c r="E10212" s="2">
        <v>0</v>
      </c>
      <c r="F10212" s="2">
        <v>0</v>
      </c>
      <c r="G10212" s="2">
        <v>0</v>
      </c>
      <c r="H10212" s="1" t="s">
        <v>0</v>
      </c>
      <c r="I10212" s="2">
        <v>0</v>
      </c>
      <c r="J10212" s="1">
        <v>46002.651331018518</v>
      </c>
    </row>
    <row r="10213" spans="1:10" x14ac:dyDescent="0.2">
      <c r="A10213" s="4" t="s">
        <v>1</v>
      </c>
      <c r="B1021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13" s="3" t="str">
        <f>HYPERLINK("https://otsuka-europe-crm.veevavault.com/ui/#object/sent_email__v/VBL00000000X504", "SE-001396371")</f>
        <v>SE-001396371</v>
      </c>
      <c r="D10213" s="1" t="s">
        <v>0</v>
      </c>
      <c r="E10213" s="2">
        <v>0</v>
      </c>
      <c r="F10213" s="2">
        <v>0</v>
      </c>
      <c r="G10213" s="2">
        <v>0</v>
      </c>
      <c r="H10213" s="1" t="s">
        <v>0</v>
      </c>
      <c r="I10213" s="2">
        <v>0</v>
      </c>
      <c r="J10213" s="1">
        <v>46002.651331018518</v>
      </c>
    </row>
    <row r="10214" spans="1:10" x14ac:dyDescent="0.2">
      <c r="A10214" s="4" t="s">
        <v>1</v>
      </c>
      <c r="B1021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14" s="3" t="str">
        <f>HYPERLINK("https://otsuka-europe-crm.veevavault.com/ui/#object/sent_email__v/VBL00000000X505", "SE-001396372")</f>
        <v>SE-001396372</v>
      </c>
      <c r="D10214" s="1" t="s">
        <v>0</v>
      </c>
      <c r="E10214" s="2">
        <v>0</v>
      </c>
      <c r="F10214" s="2">
        <v>0</v>
      </c>
      <c r="G10214" s="2">
        <v>0</v>
      </c>
      <c r="H10214" s="1" t="s">
        <v>0</v>
      </c>
      <c r="I10214" s="2">
        <v>0</v>
      </c>
      <c r="J10214" s="1">
        <v>46002.651342592595</v>
      </c>
    </row>
    <row r="10215" spans="1:10" x14ac:dyDescent="0.2">
      <c r="A10215" s="4" t="s">
        <v>1</v>
      </c>
      <c r="B1021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15" s="3" t="str">
        <f>HYPERLINK("https://otsuka-europe-crm.veevavault.com/ui/#object/sent_email__v/VBL00000000X506", "SE-001396373")</f>
        <v>SE-001396373</v>
      </c>
      <c r="D10215" s="1" t="s">
        <v>0</v>
      </c>
      <c r="E10215" s="2">
        <v>0</v>
      </c>
      <c r="F10215" s="2">
        <v>0</v>
      </c>
      <c r="G10215" s="2">
        <v>0</v>
      </c>
      <c r="H10215" s="1" t="s">
        <v>0</v>
      </c>
      <c r="I10215" s="2">
        <v>0</v>
      </c>
      <c r="J10215" s="1">
        <v>46002.651342592595</v>
      </c>
    </row>
    <row r="10216" spans="1:10" x14ac:dyDescent="0.2">
      <c r="A10216" s="4" t="s">
        <v>1</v>
      </c>
      <c r="B1021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16" s="3" t="str">
        <f>HYPERLINK("https://otsuka-europe-crm.veevavault.com/ui/#object/sent_email__v/VBL00000000X507", "SE-001396374")</f>
        <v>SE-001396374</v>
      </c>
      <c r="D10216" s="1" t="s">
        <v>0</v>
      </c>
      <c r="E10216" s="2">
        <v>0</v>
      </c>
      <c r="F10216" s="2">
        <v>0</v>
      </c>
      <c r="G10216" s="2">
        <v>0</v>
      </c>
      <c r="H10216" s="1" t="s">
        <v>0</v>
      </c>
      <c r="I10216" s="2">
        <v>0</v>
      </c>
      <c r="J10216" s="1">
        <v>46002.651342592595</v>
      </c>
    </row>
    <row r="10217" spans="1:10" x14ac:dyDescent="0.2">
      <c r="A10217" s="4" t="s">
        <v>1</v>
      </c>
      <c r="B10217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17" s="3" t="str">
        <f>HYPERLINK("https://otsuka-europe-crm.veevavault.com/ui/#object/sent_email__v/VBL00000000X508", "SE-001396375")</f>
        <v>SE-001396375</v>
      </c>
      <c r="D10217" s="1" t="s">
        <v>0</v>
      </c>
      <c r="E10217" s="2">
        <v>0</v>
      </c>
      <c r="F10217" s="2">
        <v>0</v>
      </c>
      <c r="G10217" s="2">
        <v>0</v>
      </c>
      <c r="H10217" s="1" t="s">
        <v>0</v>
      </c>
      <c r="I10217" s="2">
        <v>0</v>
      </c>
      <c r="J10217" s="1">
        <v>46002.651342592595</v>
      </c>
    </row>
    <row r="10218" spans="1:10" x14ac:dyDescent="0.2">
      <c r="A10218" s="4" t="s">
        <v>1</v>
      </c>
      <c r="B10218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18" s="3" t="str">
        <f>HYPERLINK("https://otsuka-europe-crm.veevavault.com/ui/#object/sent_email__v/VBL00000000X509", "SE-001396376")</f>
        <v>SE-001396376</v>
      </c>
      <c r="D10218" s="1" t="s">
        <v>0</v>
      </c>
      <c r="E10218" s="2">
        <v>0</v>
      </c>
      <c r="F10218" s="2">
        <v>0</v>
      </c>
      <c r="G10218" s="2">
        <v>0</v>
      </c>
      <c r="H10218" s="1" t="s">
        <v>0</v>
      </c>
      <c r="I10218" s="2">
        <v>0</v>
      </c>
      <c r="J10218" s="1">
        <v>46002.651342592595</v>
      </c>
    </row>
    <row r="10219" spans="1:10" x14ac:dyDescent="0.2">
      <c r="A10219" s="4" t="s">
        <v>1</v>
      </c>
      <c r="B1021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19" s="3" t="str">
        <f>HYPERLINK("https://otsuka-europe-crm.veevavault.com/ui/#object/sent_email__v/VBL00000000X510", "SE-001396377")</f>
        <v>SE-001396377</v>
      </c>
      <c r="D10219" s="1" t="s">
        <v>0</v>
      </c>
      <c r="E10219" s="2">
        <v>0</v>
      </c>
      <c r="F10219" s="2">
        <v>0</v>
      </c>
      <c r="G10219" s="2">
        <v>0</v>
      </c>
      <c r="H10219" s="1" t="s">
        <v>0</v>
      </c>
      <c r="I10219" s="2">
        <v>0</v>
      </c>
      <c r="J10219" s="1">
        <v>46002.651342592595</v>
      </c>
    </row>
    <row r="10220" spans="1:10" x14ac:dyDescent="0.2">
      <c r="A10220" s="4" t="s">
        <v>1</v>
      </c>
      <c r="B1022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20" s="3" t="str">
        <f>HYPERLINK("https://otsuka-europe-crm.veevavault.com/ui/#object/sent_email__v/VBL00000000X511", "SE-001396378")</f>
        <v>SE-001396378</v>
      </c>
      <c r="D10220" s="1" t="s">
        <v>0</v>
      </c>
      <c r="E10220" s="2">
        <v>0</v>
      </c>
      <c r="F10220" s="2">
        <v>0</v>
      </c>
      <c r="G10220" s="2">
        <v>0</v>
      </c>
      <c r="H10220" s="1" t="s">
        <v>0</v>
      </c>
      <c r="I10220" s="2">
        <v>0</v>
      </c>
      <c r="J10220" s="1">
        <v>46002.651342592595</v>
      </c>
    </row>
    <row r="10221" spans="1:10" x14ac:dyDescent="0.2">
      <c r="A10221" s="4" t="s">
        <v>1</v>
      </c>
      <c r="B1022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21" s="3" t="str">
        <f>HYPERLINK("https://otsuka-europe-crm.veevavault.com/ui/#object/sent_email__v/VBL00000000X512", "SE-001396379")</f>
        <v>SE-001396379</v>
      </c>
      <c r="D10221" s="1" t="s">
        <v>0</v>
      </c>
      <c r="E10221" s="2">
        <v>0</v>
      </c>
      <c r="F10221" s="2">
        <v>0</v>
      </c>
      <c r="G10221" s="2">
        <v>0</v>
      </c>
      <c r="H10221" s="1" t="s">
        <v>0</v>
      </c>
      <c r="I10221" s="2">
        <v>0</v>
      </c>
      <c r="J10221" s="1">
        <v>46002.651342592595</v>
      </c>
    </row>
    <row r="10222" spans="1:10" x14ac:dyDescent="0.2">
      <c r="A10222" s="4" t="s">
        <v>1</v>
      </c>
      <c r="B1022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22" s="3" t="str">
        <f>HYPERLINK("https://otsuka-europe-crm.veevavault.com/ui/#object/sent_email__v/VBL00000000X513", "SE-001396380")</f>
        <v>SE-001396380</v>
      </c>
      <c r="D10222" s="1" t="s">
        <v>0</v>
      </c>
      <c r="E10222" s="2">
        <v>0</v>
      </c>
      <c r="F10222" s="2">
        <v>0</v>
      </c>
      <c r="G10222" s="2">
        <v>0</v>
      </c>
      <c r="H10222" s="1" t="s">
        <v>0</v>
      </c>
      <c r="I10222" s="2">
        <v>0</v>
      </c>
      <c r="J10222" s="1">
        <v>46002.651342592595</v>
      </c>
    </row>
    <row r="10223" spans="1:10" x14ac:dyDescent="0.2">
      <c r="A10223" s="4" t="s">
        <v>1</v>
      </c>
      <c r="B1022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23" s="3" t="str">
        <f>HYPERLINK("https://otsuka-europe-crm.veevavault.com/ui/#object/sent_email__v/VBL00000000X514", "SE-001396381")</f>
        <v>SE-001396381</v>
      </c>
      <c r="D10223" s="1" t="s">
        <v>0</v>
      </c>
      <c r="E10223" s="2">
        <v>0</v>
      </c>
      <c r="F10223" s="2">
        <v>0</v>
      </c>
      <c r="G10223" s="2">
        <v>0</v>
      </c>
      <c r="H10223" s="1" t="s">
        <v>0</v>
      </c>
      <c r="I10223" s="2">
        <v>0</v>
      </c>
      <c r="J10223" s="1">
        <v>46002.651342592595</v>
      </c>
    </row>
    <row r="10224" spans="1:10" x14ac:dyDescent="0.2">
      <c r="A10224" s="4" t="s">
        <v>1</v>
      </c>
      <c r="B1022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24" s="3" t="str">
        <f>HYPERLINK("https://otsuka-europe-crm.veevavault.com/ui/#object/sent_email__v/VBL00000000X515", "SE-001396382")</f>
        <v>SE-001396382</v>
      </c>
      <c r="D10224" s="1" t="s">
        <v>0</v>
      </c>
      <c r="E10224" s="2">
        <v>0</v>
      </c>
      <c r="F10224" s="2">
        <v>0</v>
      </c>
      <c r="G10224" s="2">
        <v>0</v>
      </c>
      <c r="H10224" s="1" t="s">
        <v>0</v>
      </c>
      <c r="I10224" s="2">
        <v>0</v>
      </c>
      <c r="J10224" s="1">
        <v>46002.651342592595</v>
      </c>
    </row>
    <row r="10225" spans="1:10" x14ac:dyDescent="0.2">
      <c r="A10225" s="4" t="s">
        <v>1</v>
      </c>
      <c r="B1022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25" s="3" t="str">
        <f>HYPERLINK("https://otsuka-europe-crm.veevavault.com/ui/#object/sent_email__v/VBL00000000X516", "SE-001396383")</f>
        <v>SE-001396383</v>
      </c>
      <c r="D10225" s="1" t="s">
        <v>0</v>
      </c>
      <c r="E10225" s="2">
        <v>0</v>
      </c>
      <c r="F10225" s="2">
        <v>0</v>
      </c>
      <c r="G10225" s="2">
        <v>0</v>
      </c>
      <c r="H10225" s="1" t="s">
        <v>0</v>
      </c>
      <c r="I10225" s="2">
        <v>0</v>
      </c>
      <c r="J10225" s="1">
        <v>46002.651342592595</v>
      </c>
    </row>
    <row r="10226" spans="1:10" x14ac:dyDescent="0.2">
      <c r="A10226" s="4" t="s">
        <v>1</v>
      </c>
      <c r="B1022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26" s="3" t="str">
        <f>HYPERLINK("https://otsuka-europe-crm.veevavault.com/ui/#object/sent_email__v/VBL00000000X517", "SE-001396384")</f>
        <v>SE-001396384</v>
      </c>
      <c r="D10226" s="1" t="s">
        <v>0</v>
      </c>
      <c r="E10226" s="2">
        <v>0</v>
      </c>
      <c r="F10226" s="2">
        <v>0</v>
      </c>
      <c r="G10226" s="2">
        <v>0</v>
      </c>
      <c r="H10226" s="1" t="s">
        <v>0</v>
      </c>
      <c r="I10226" s="2">
        <v>0</v>
      </c>
      <c r="J10226" s="1">
        <v>46002.651342592595</v>
      </c>
    </row>
    <row r="10227" spans="1:10" x14ac:dyDescent="0.2">
      <c r="A10227" s="4" t="s">
        <v>1</v>
      </c>
      <c r="B10227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27" s="3" t="str">
        <f>HYPERLINK("https://otsuka-europe-crm.veevavault.com/ui/#object/sent_email__v/VBL00000000X518", "SE-001396385")</f>
        <v>SE-001396385</v>
      </c>
      <c r="D10227" s="1" t="s">
        <v>0</v>
      </c>
      <c r="E10227" s="2">
        <v>0</v>
      </c>
      <c r="F10227" s="2">
        <v>0</v>
      </c>
      <c r="G10227" s="2">
        <v>0</v>
      </c>
      <c r="H10227" s="1" t="s">
        <v>0</v>
      </c>
      <c r="I10227" s="2">
        <v>0</v>
      </c>
      <c r="J10227" s="1">
        <v>46002.651365740741</v>
      </c>
    </row>
    <row r="10228" spans="1:10" x14ac:dyDescent="0.2">
      <c r="A10228" s="4" t="s">
        <v>1</v>
      </c>
      <c r="B10228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28" s="3" t="str">
        <f>HYPERLINK("https://otsuka-europe-crm.veevavault.com/ui/#object/sent_email__v/VBL00000000X519", "SE-001396386")</f>
        <v>SE-001396386</v>
      </c>
      <c r="D10228" s="1" t="s">
        <v>0</v>
      </c>
      <c r="E10228" s="2">
        <v>0</v>
      </c>
      <c r="F10228" s="2">
        <v>0</v>
      </c>
      <c r="G10228" s="2">
        <v>0</v>
      </c>
      <c r="H10228" s="1" t="s">
        <v>0</v>
      </c>
      <c r="I10228" s="2">
        <v>0</v>
      </c>
      <c r="J10228" s="1">
        <v>46002.651365740741</v>
      </c>
    </row>
    <row r="10229" spans="1:10" x14ac:dyDescent="0.2">
      <c r="A10229" s="4" t="s">
        <v>1</v>
      </c>
      <c r="B1022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29" s="3" t="str">
        <f>HYPERLINK("https://otsuka-europe-crm.veevavault.com/ui/#object/sent_email__v/VBL00000000X520", "SE-001396387")</f>
        <v>SE-001396387</v>
      </c>
      <c r="D10229" s="1" t="s">
        <v>0</v>
      </c>
      <c r="E10229" s="2">
        <v>0</v>
      </c>
      <c r="F10229" s="2">
        <v>0</v>
      </c>
      <c r="G10229" s="2">
        <v>0</v>
      </c>
      <c r="H10229" s="1" t="s">
        <v>0</v>
      </c>
      <c r="I10229" s="2">
        <v>0</v>
      </c>
      <c r="J10229" s="1">
        <v>46002.651365740741</v>
      </c>
    </row>
    <row r="10230" spans="1:10" x14ac:dyDescent="0.2">
      <c r="A10230" s="4" t="s">
        <v>1</v>
      </c>
      <c r="B1023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30" s="3" t="str">
        <f>HYPERLINK("https://otsuka-europe-crm.veevavault.com/ui/#object/sent_email__v/VBL00000000X521", "SE-001396388")</f>
        <v>SE-001396388</v>
      </c>
      <c r="D10230" s="1" t="s">
        <v>0</v>
      </c>
      <c r="E10230" s="2">
        <v>0</v>
      </c>
      <c r="F10230" s="2">
        <v>0</v>
      </c>
      <c r="G10230" s="2">
        <v>0</v>
      </c>
      <c r="H10230" s="1" t="s">
        <v>0</v>
      </c>
      <c r="I10230" s="2">
        <v>0</v>
      </c>
      <c r="J10230" s="1">
        <v>46002.651365740741</v>
      </c>
    </row>
    <row r="10231" spans="1:10" x14ac:dyDescent="0.2">
      <c r="A10231" s="4" t="s">
        <v>1</v>
      </c>
      <c r="B1023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31" s="3" t="str">
        <f>HYPERLINK("https://otsuka-europe-crm.veevavault.com/ui/#object/sent_email__v/VBL00000000X522", "SE-001396389")</f>
        <v>SE-001396389</v>
      </c>
      <c r="D10231" s="1" t="s">
        <v>0</v>
      </c>
      <c r="E10231" s="2">
        <v>0</v>
      </c>
      <c r="F10231" s="2">
        <v>0</v>
      </c>
      <c r="G10231" s="2">
        <v>0</v>
      </c>
      <c r="H10231" s="1" t="s">
        <v>0</v>
      </c>
      <c r="I10231" s="2">
        <v>0</v>
      </c>
      <c r="J10231" s="1">
        <v>46002.651365740741</v>
      </c>
    </row>
    <row r="10232" spans="1:10" x14ac:dyDescent="0.2">
      <c r="A10232" s="4" t="s">
        <v>1</v>
      </c>
      <c r="B1023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32" s="3" t="str">
        <f>HYPERLINK("https://otsuka-europe-crm.veevavault.com/ui/#object/sent_email__v/VBL00000000X523", "SE-001396390")</f>
        <v>SE-001396390</v>
      </c>
      <c r="D10232" s="1" t="s">
        <v>0</v>
      </c>
      <c r="E10232" s="2">
        <v>0</v>
      </c>
      <c r="F10232" s="2">
        <v>0</v>
      </c>
      <c r="G10232" s="2">
        <v>0</v>
      </c>
      <c r="H10232" s="1" t="s">
        <v>0</v>
      </c>
      <c r="I10232" s="2">
        <v>0</v>
      </c>
      <c r="J10232" s="1">
        <v>46002.651365740741</v>
      </c>
    </row>
    <row r="10233" spans="1:10" x14ac:dyDescent="0.2">
      <c r="A10233" s="4" t="s">
        <v>1</v>
      </c>
      <c r="B1023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33" s="3" t="str">
        <f>HYPERLINK("https://otsuka-europe-crm.veevavault.com/ui/#object/sent_email__v/VBL00000000X524", "SE-001396391")</f>
        <v>SE-001396391</v>
      </c>
      <c r="D10233" s="1" t="s">
        <v>0</v>
      </c>
      <c r="E10233" s="2">
        <v>0</v>
      </c>
      <c r="F10233" s="2">
        <v>0</v>
      </c>
      <c r="G10233" s="2">
        <v>0</v>
      </c>
      <c r="H10233" s="1" t="s">
        <v>0</v>
      </c>
      <c r="I10233" s="2">
        <v>0</v>
      </c>
      <c r="J10233" s="1">
        <v>46002.651365740741</v>
      </c>
    </row>
    <row r="10234" spans="1:10" x14ac:dyDescent="0.2">
      <c r="A10234" s="4" t="s">
        <v>1</v>
      </c>
      <c r="B1023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34" s="3" t="str">
        <f>HYPERLINK("https://otsuka-europe-crm.veevavault.com/ui/#object/sent_email__v/VBL00000000X525", "SE-001396392")</f>
        <v>SE-001396392</v>
      </c>
      <c r="D10234" s="1" t="s">
        <v>0</v>
      </c>
      <c r="E10234" s="2">
        <v>0</v>
      </c>
      <c r="F10234" s="2">
        <v>0</v>
      </c>
      <c r="G10234" s="2">
        <v>0</v>
      </c>
      <c r="H10234" s="1" t="s">
        <v>0</v>
      </c>
      <c r="I10234" s="2">
        <v>0</v>
      </c>
      <c r="J10234" s="1">
        <v>46002.651365740741</v>
      </c>
    </row>
    <row r="10235" spans="1:10" x14ac:dyDescent="0.2">
      <c r="A10235" s="4" t="s">
        <v>1</v>
      </c>
      <c r="B1023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35" s="3" t="str">
        <f>HYPERLINK("https://otsuka-europe-crm.veevavault.com/ui/#object/sent_email__v/VBL00000000X526", "SE-001396393")</f>
        <v>SE-001396393</v>
      </c>
      <c r="D10235" s="1" t="s">
        <v>0</v>
      </c>
      <c r="E10235" s="2">
        <v>0</v>
      </c>
      <c r="F10235" s="2">
        <v>0</v>
      </c>
      <c r="G10235" s="2">
        <v>0</v>
      </c>
      <c r="H10235" s="1" t="s">
        <v>0</v>
      </c>
      <c r="I10235" s="2">
        <v>0</v>
      </c>
      <c r="J10235" s="1">
        <v>46002.651365740741</v>
      </c>
    </row>
    <row r="10236" spans="1:10" x14ac:dyDescent="0.2">
      <c r="A10236" s="4" t="s">
        <v>1</v>
      </c>
      <c r="B1023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36" s="3" t="str">
        <f>HYPERLINK("https://otsuka-europe-crm.veevavault.com/ui/#object/sent_email__v/VBL00000000X527", "SE-001396394")</f>
        <v>SE-001396394</v>
      </c>
      <c r="D10236" s="1" t="s">
        <v>0</v>
      </c>
      <c r="E10236" s="2">
        <v>0</v>
      </c>
      <c r="F10236" s="2">
        <v>0</v>
      </c>
      <c r="G10236" s="2">
        <v>0</v>
      </c>
      <c r="H10236" s="1" t="s">
        <v>0</v>
      </c>
      <c r="I10236" s="2">
        <v>0</v>
      </c>
      <c r="J10236" s="1">
        <v>46002.651365740741</v>
      </c>
    </row>
    <row r="10237" spans="1:10" x14ac:dyDescent="0.2">
      <c r="A10237" s="4" t="s">
        <v>1</v>
      </c>
      <c r="B10237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37" s="3" t="str">
        <f>HYPERLINK("https://otsuka-europe-crm.veevavault.com/ui/#object/sent_email__v/VBL00000000X528", "SE-001396395")</f>
        <v>SE-001396395</v>
      </c>
      <c r="D10237" s="1" t="s">
        <v>0</v>
      </c>
      <c r="E10237" s="2">
        <v>0</v>
      </c>
      <c r="F10237" s="2">
        <v>0</v>
      </c>
      <c r="G10237" s="2">
        <v>0</v>
      </c>
      <c r="H10237" s="1" t="s">
        <v>0</v>
      </c>
      <c r="I10237" s="2">
        <v>0</v>
      </c>
      <c r="J10237" s="1">
        <v>46002.651365740741</v>
      </c>
    </row>
    <row r="10238" spans="1:10" x14ac:dyDescent="0.2">
      <c r="A10238" s="4" t="s">
        <v>1</v>
      </c>
      <c r="B10238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38" s="3" t="str">
        <f>HYPERLINK("https://otsuka-europe-crm.veevavault.com/ui/#object/sent_email__v/VBL00000000X529", "SE-001396396")</f>
        <v>SE-001396396</v>
      </c>
      <c r="D10238" s="1" t="s">
        <v>0</v>
      </c>
      <c r="E10238" s="2">
        <v>0</v>
      </c>
      <c r="F10238" s="2">
        <v>0</v>
      </c>
      <c r="G10238" s="2">
        <v>0</v>
      </c>
      <c r="H10238" s="1" t="s">
        <v>0</v>
      </c>
      <c r="I10238" s="2">
        <v>0</v>
      </c>
      <c r="J10238" s="1">
        <v>46002.651365740741</v>
      </c>
    </row>
    <row r="10239" spans="1:10" x14ac:dyDescent="0.2">
      <c r="A10239" s="4" t="s">
        <v>1</v>
      </c>
      <c r="B1023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39" s="3" t="str">
        <f>HYPERLINK("https://otsuka-europe-crm.veevavault.com/ui/#object/sent_email__v/VBL00000000X530", "SE-001396397")</f>
        <v>SE-001396397</v>
      </c>
      <c r="D10239" s="1" t="s">
        <v>0</v>
      </c>
      <c r="E10239" s="2">
        <v>0</v>
      </c>
      <c r="F10239" s="2">
        <v>0</v>
      </c>
      <c r="G10239" s="2">
        <v>0</v>
      </c>
      <c r="H10239" s="1" t="s">
        <v>0</v>
      </c>
      <c r="I10239" s="2">
        <v>0</v>
      </c>
      <c r="J10239" s="1">
        <v>46002.651365740741</v>
      </c>
    </row>
    <row r="10240" spans="1:10" x14ac:dyDescent="0.2">
      <c r="A10240" s="4" t="s">
        <v>1</v>
      </c>
      <c r="B1024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40" s="3" t="str">
        <f>HYPERLINK("https://otsuka-europe-crm.veevavault.com/ui/#object/sent_email__v/VBL00000000X531", "SE-001396398")</f>
        <v>SE-001396398</v>
      </c>
      <c r="D10240" s="1" t="s">
        <v>0</v>
      </c>
      <c r="E10240" s="2">
        <v>0</v>
      </c>
      <c r="F10240" s="2">
        <v>0</v>
      </c>
      <c r="G10240" s="2">
        <v>0</v>
      </c>
      <c r="H10240" s="1" t="s">
        <v>0</v>
      </c>
      <c r="I10240" s="2">
        <v>0</v>
      </c>
      <c r="J10240" s="1">
        <v>46002.651365740741</v>
      </c>
    </row>
    <row r="10241" spans="1:10" x14ac:dyDescent="0.2">
      <c r="A10241" s="4" t="s">
        <v>1</v>
      </c>
      <c r="B1024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41" s="3" t="str">
        <f>HYPERLINK("https://otsuka-europe-crm.veevavault.com/ui/#object/sent_email__v/VBL00000000X532", "SE-001396399")</f>
        <v>SE-001396399</v>
      </c>
      <c r="D10241" s="1" t="s">
        <v>0</v>
      </c>
      <c r="E10241" s="2">
        <v>0</v>
      </c>
      <c r="F10241" s="2">
        <v>0</v>
      </c>
      <c r="G10241" s="2">
        <v>0</v>
      </c>
      <c r="H10241" s="1" t="s">
        <v>0</v>
      </c>
      <c r="I10241" s="2">
        <v>0</v>
      </c>
      <c r="J10241" s="1">
        <v>46002.651365740741</v>
      </c>
    </row>
    <row r="10242" spans="1:10" x14ac:dyDescent="0.2">
      <c r="A10242" s="4" t="s">
        <v>1</v>
      </c>
      <c r="B1024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42" s="3" t="str">
        <f>HYPERLINK("https://otsuka-europe-crm.veevavault.com/ui/#object/sent_email__v/VBL00000000X533", "SE-001396400")</f>
        <v>SE-001396400</v>
      </c>
      <c r="D10242" s="1" t="s">
        <v>0</v>
      </c>
      <c r="E10242" s="2">
        <v>0</v>
      </c>
      <c r="F10242" s="2">
        <v>0</v>
      </c>
      <c r="G10242" s="2">
        <v>0</v>
      </c>
      <c r="H10242" s="1" t="s">
        <v>0</v>
      </c>
      <c r="I10242" s="2">
        <v>0</v>
      </c>
      <c r="J10242" s="1">
        <v>46002.651365740741</v>
      </c>
    </row>
    <row r="10243" spans="1:10" x14ac:dyDescent="0.2">
      <c r="A10243" s="4" t="s">
        <v>1</v>
      </c>
      <c r="B1024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43" s="3" t="str">
        <f>HYPERLINK("https://otsuka-europe-crm.veevavault.com/ui/#object/sent_email__v/VBL00000000X534", "SE-001396401")</f>
        <v>SE-001396401</v>
      </c>
      <c r="D10243" s="1" t="s">
        <v>0</v>
      </c>
      <c r="E10243" s="2">
        <v>0</v>
      </c>
      <c r="F10243" s="2">
        <v>0</v>
      </c>
      <c r="G10243" s="2">
        <v>0</v>
      </c>
      <c r="H10243" s="1" t="s">
        <v>0</v>
      </c>
      <c r="I10243" s="2">
        <v>0</v>
      </c>
      <c r="J10243" s="1">
        <v>46002.651365740741</v>
      </c>
    </row>
    <row r="10244" spans="1:10" x14ac:dyDescent="0.2">
      <c r="A10244" s="4" t="s">
        <v>1</v>
      </c>
      <c r="B1024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44" s="3" t="str">
        <f>HYPERLINK("https://otsuka-europe-crm.veevavault.com/ui/#object/sent_email__v/VBL00000000X535", "SE-001396402")</f>
        <v>SE-001396402</v>
      </c>
      <c r="D10244" s="1" t="s">
        <v>0</v>
      </c>
      <c r="E10244" s="2">
        <v>0</v>
      </c>
      <c r="F10244" s="2">
        <v>0</v>
      </c>
      <c r="G10244" s="2">
        <v>0</v>
      </c>
      <c r="H10244" s="1" t="s">
        <v>0</v>
      </c>
      <c r="I10244" s="2">
        <v>0</v>
      </c>
      <c r="J10244" s="1">
        <v>46002.651365740741</v>
      </c>
    </row>
    <row r="10245" spans="1:10" x14ac:dyDescent="0.2">
      <c r="A10245" s="4" t="s">
        <v>1</v>
      </c>
      <c r="B1024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45" s="3" t="str">
        <f>HYPERLINK("https://otsuka-europe-crm.veevavault.com/ui/#object/sent_email__v/VBL00000000X536", "SE-001396403")</f>
        <v>SE-001396403</v>
      </c>
      <c r="D10245" s="1" t="s">
        <v>0</v>
      </c>
      <c r="E10245" s="2">
        <v>0</v>
      </c>
      <c r="F10245" s="2">
        <v>0</v>
      </c>
      <c r="G10245" s="2">
        <v>0</v>
      </c>
      <c r="H10245" s="1" t="s">
        <v>0</v>
      </c>
      <c r="I10245" s="2">
        <v>0</v>
      </c>
      <c r="J10245" s="1">
        <v>46002.651365740741</v>
      </c>
    </row>
    <row r="10246" spans="1:10" x14ac:dyDescent="0.2">
      <c r="A10246" s="4" t="s">
        <v>1</v>
      </c>
      <c r="B1024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46" s="3" t="str">
        <f>HYPERLINK("https://otsuka-europe-crm.veevavault.com/ui/#object/sent_email__v/VBL00000000X537", "SE-001396404")</f>
        <v>SE-001396404</v>
      </c>
      <c r="D10246" s="1" t="s">
        <v>0</v>
      </c>
      <c r="E10246" s="2">
        <v>0</v>
      </c>
      <c r="F10246" s="2">
        <v>0</v>
      </c>
      <c r="G10246" s="2">
        <v>0</v>
      </c>
      <c r="H10246" s="1" t="s">
        <v>0</v>
      </c>
      <c r="I10246" s="2">
        <v>0</v>
      </c>
      <c r="J10246" s="1">
        <v>46002.651377314818</v>
      </c>
    </row>
    <row r="10247" spans="1:10" x14ac:dyDescent="0.2">
      <c r="A10247" s="4" t="s">
        <v>1</v>
      </c>
      <c r="B10247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47" s="3" t="str">
        <f>HYPERLINK("https://otsuka-europe-crm.veevavault.com/ui/#object/sent_email__v/VBL00000000X538", "SE-001396405")</f>
        <v>SE-001396405</v>
      </c>
      <c r="D10247" s="1" t="s">
        <v>0</v>
      </c>
      <c r="E10247" s="2">
        <v>0</v>
      </c>
      <c r="F10247" s="2">
        <v>0</v>
      </c>
      <c r="G10247" s="2">
        <v>0</v>
      </c>
      <c r="H10247" s="1" t="s">
        <v>0</v>
      </c>
      <c r="I10247" s="2">
        <v>0</v>
      </c>
      <c r="J10247" s="1">
        <v>46002.651377314818</v>
      </c>
    </row>
    <row r="10248" spans="1:10" x14ac:dyDescent="0.2">
      <c r="A10248" s="4" t="s">
        <v>1</v>
      </c>
      <c r="B10248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48" s="3" t="str">
        <f>HYPERLINK("https://otsuka-europe-crm.veevavault.com/ui/#object/sent_email__v/VBL00000000W406", "SE-001396406")</f>
        <v>SE-001396406</v>
      </c>
      <c r="D10248" s="1" t="s">
        <v>0</v>
      </c>
      <c r="E10248" s="2">
        <v>0</v>
      </c>
      <c r="F10248" s="2">
        <v>0</v>
      </c>
      <c r="G10248" s="2">
        <v>0</v>
      </c>
      <c r="H10248" s="1" t="s">
        <v>0</v>
      </c>
      <c r="I10248" s="2">
        <v>0</v>
      </c>
      <c r="J10248" s="1">
        <v>46002.653946759259</v>
      </c>
    </row>
    <row r="10249" spans="1:10" x14ac:dyDescent="0.2">
      <c r="A10249" s="4" t="s">
        <v>1</v>
      </c>
      <c r="B1024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49" s="3" t="str">
        <f>HYPERLINK("https://otsuka-europe-crm.veevavault.com/ui/#object/sent_email__v/VBL00000000W407", "SE-001396407")</f>
        <v>SE-001396407</v>
      </c>
      <c r="D10249" s="1" t="s">
        <v>0</v>
      </c>
      <c r="E10249" s="2">
        <v>0</v>
      </c>
      <c r="F10249" s="2">
        <v>0</v>
      </c>
      <c r="G10249" s="2">
        <v>0</v>
      </c>
      <c r="H10249" s="1" t="s">
        <v>0</v>
      </c>
      <c r="I10249" s="2">
        <v>0</v>
      </c>
      <c r="J10249" s="1">
        <v>46002.653946759259</v>
      </c>
    </row>
    <row r="10250" spans="1:10" x14ac:dyDescent="0.2">
      <c r="A10250" s="4" t="s">
        <v>1</v>
      </c>
      <c r="B1025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50" s="3" t="str">
        <f>HYPERLINK("https://otsuka-europe-crm.veevavault.com/ui/#object/sent_email__v/VBL00000000W408", "SE-001396408")</f>
        <v>SE-001396408</v>
      </c>
      <c r="D10250" s="1" t="s">
        <v>0</v>
      </c>
      <c r="E10250" s="2">
        <v>0</v>
      </c>
      <c r="F10250" s="2">
        <v>0</v>
      </c>
      <c r="G10250" s="2">
        <v>0</v>
      </c>
      <c r="H10250" s="1" t="s">
        <v>0</v>
      </c>
      <c r="I10250" s="2">
        <v>0</v>
      </c>
      <c r="J10250" s="1">
        <v>46002.653946759259</v>
      </c>
    </row>
    <row r="10251" spans="1:10" x14ac:dyDescent="0.2">
      <c r="A10251" s="4" t="s">
        <v>1</v>
      </c>
      <c r="B1025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51" s="3" t="str">
        <f>HYPERLINK("https://otsuka-europe-crm.veevavault.com/ui/#object/sent_email__v/VBL00000000W409", "SE-001396409")</f>
        <v>SE-001396409</v>
      </c>
      <c r="D10251" s="1" t="s">
        <v>0</v>
      </c>
      <c r="E10251" s="2">
        <v>0</v>
      </c>
      <c r="F10251" s="2">
        <v>0</v>
      </c>
      <c r="G10251" s="2">
        <v>0</v>
      </c>
      <c r="H10251" s="1" t="s">
        <v>0</v>
      </c>
      <c r="I10251" s="2">
        <v>0</v>
      </c>
      <c r="J10251" s="1">
        <v>46002.653946759259</v>
      </c>
    </row>
    <row r="10252" spans="1:10" x14ac:dyDescent="0.2">
      <c r="A10252" s="4" t="s">
        <v>1</v>
      </c>
      <c r="B1025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52" s="3" t="str">
        <f>HYPERLINK("https://otsuka-europe-crm.veevavault.com/ui/#object/sent_email__v/VBL00000000W410", "SE-001396410")</f>
        <v>SE-001396410</v>
      </c>
      <c r="D10252" s="1" t="s">
        <v>0</v>
      </c>
      <c r="E10252" s="2">
        <v>0</v>
      </c>
      <c r="F10252" s="2">
        <v>0</v>
      </c>
      <c r="G10252" s="2">
        <v>0</v>
      </c>
      <c r="H10252" s="1" t="s">
        <v>0</v>
      </c>
      <c r="I10252" s="2">
        <v>0</v>
      </c>
      <c r="J10252" s="1">
        <v>46002.653946759259</v>
      </c>
    </row>
    <row r="10253" spans="1:10" x14ac:dyDescent="0.2">
      <c r="A10253" s="4" t="s">
        <v>1</v>
      </c>
      <c r="B1025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53" s="3" t="str">
        <f>HYPERLINK("https://otsuka-europe-crm.veevavault.com/ui/#object/sent_email__v/VBL00000000W411", "SE-001396411")</f>
        <v>SE-001396411</v>
      </c>
      <c r="D10253" s="1" t="s">
        <v>0</v>
      </c>
      <c r="E10253" s="2">
        <v>0</v>
      </c>
      <c r="F10253" s="2">
        <v>0</v>
      </c>
      <c r="G10253" s="2">
        <v>0</v>
      </c>
      <c r="H10253" s="1" t="s">
        <v>0</v>
      </c>
      <c r="I10253" s="2">
        <v>0</v>
      </c>
      <c r="J10253" s="1">
        <v>46002.653946759259</v>
      </c>
    </row>
    <row r="10254" spans="1:10" x14ac:dyDescent="0.2">
      <c r="A10254" s="4" t="s">
        <v>1</v>
      </c>
      <c r="B1025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54" s="3" t="str">
        <f>HYPERLINK("https://otsuka-europe-crm.veevavault.com/ui/#object/sent_email__v/VBL00000000W412", "SE-001396412")</f>
        <v>SE-001396412</v>
      </c>
      <c r="D10254" s="1" t="s">
        <v>0</v>
      </c>
      <c r="E10254" s="2">
        <v>0</v>
      </c>
      <c r="F10254" s="2">
        <v>0</v>
      </c>
      <c r="G10254" s="2">
        <v>0</v>
      </c>
      <c r="H10254" s="1" t="s">
        <v>0</v>
      </c>
      <c r="I10254" s="2">
        <v>0</v>
      </c>
      <c r="J10254" s="1">
        <v>46002.653946759259</v>
      </c>
    </row>
    <row r="10255" spans="1:10" x14ac:dyDescent="0.2">
      <c r="A10255" s="4" t="s">
        <v>1</v>
      </c>
      <c r="B1025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55" s="3" t="str">
        <f>HYPERLINK("https://otsuka-europe-crm.veevavault.com/ui/#object/sent_email__v/VBL00000000W413", "SE-001396413")</f>
        <v>SE-001396413</v>
      </c>
      <c r="D10255" s="1" t="s">
        <v>0</v>
      </c>
      <c r="E10255" s="2">
        <v>0</v>
      </c>
      <c r="F10255" s="2">
        <v>0</v>
      </c>
      <c r="G10255" s="2">
        <v>0</v>
      </c>
      <c r="H10255" s="1" t="s">
        <v>0</v>
      </c>
      <c r="I10255" s="2">
        <v>0</v>
      </c>
      <c r="J10255" s="1">
        <v>46002.653958333336</v>
      </c>
    </row>
    <row r="10256" spans="1:10" x14ac:dyDescent="0.2">
      <c r="A10256" s="4" t="s">
        <v>1</v>
      </c>
      <c r="B1025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56" s="3" t="str">
        <f>HYPERLINK("https://otsuka-europe-crm.veevavault.com/ui/#object/sent_email__v/VBL00000000W414", "SE-001396414")</f>
        <v>SE-001396414</v>
      </c>
      <c r="D10256" s="1" t="s">
        <v>0</v>
      </c>
      <c r="E10256" s="2">
        <v>0</v>
      </c>
      <c r="F10256" s="2">
        <v>0</v>
      </c>
      <c r="G10256" s="2">
        <v>0</v>
      </c>
      <c r="H10256" s="1" t="s">
        <v>0</v>
      </c>
      <c r="I10256" s="2">
        <v>0</v>
      </c>
      <c r="J10256" s="1">
        <v>46002.653958333336</v>
      </c>
    </row>
    <row r="10257" spans="1:10" x14ac:dyDescent="0.2">
      <c r="A10257" s="4" t="s">
        <v>1</v>
      </c>
      <c r="B10257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57" s="3" t="str">
        <f>HYPERLINK("https://otsuka-europe-crm.veevavault.com/ui/#object/sent_email__v/VBL00000000W415", "SE-001396415")</f>
        <v>SE-001396415</v>
      </c>
      <c r="D10257" s="1" t="s">
        <v>0</v>
      </c>
      <c r="E10257" s="2">
        <v>0</v>
      </c>
      <c r="F10257" s="2">
        <v>0</v>
      </c>
      <c r="G10257" s="2">
        <v>0</v>
      </c>
      <c r="H10257" s="1" t="s">
        <v>0</v>
      </c>
      <c r="I10257" s="2">
        <v>0</v>
      </c>
      <c r="J10257" s="1">
        <v>46002.653958333336</v>
      </c>
    </row>
    <row r="10258" spans="1:10" x14ac:dyDescent="0.2">
      <c r="A10258" s="4" t="s">
        <v>1</v>
      </c>
      <c r="B10258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58" s="3" t="str">
        <f>HYPERLINK("https://otsuka-europe-crm.veevavault.com/ui/#object/sent_email__v/VBL00000000W416", "SE-001396416")</f>
        <v>SE-001396416</v>
      </c>
      <c r="D10258" s="1" t="s">
        <v>0</v>
      </c>
      <c r="E10258" s="2">
        <v>0</v>
      </c>
      <c r="F10258" s="2">
        <v>0</v>
      </c>
      <c r="G10258" s="2">
        <v>0</v>
      </c>
      <c r="H10258" s="1" t="s">
        <v>0</v>
      </c>
      <c r="I10258" s="2">
        <v>0</v>
      </c>
      <c r="J10258" s="1">
        <v>46002.653958333336</v>
      </c>
    </row>
    <row r="10259" spans="1:10" x14ac:dyDescent="0.2">
      <c r="A10259" s="4" t="s">
        <v>1</v>
      </c>
      <c r="B1025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59" s="3" t="str">
        <f>HYPERLINK("https://otsuka-europe-crm.veevavault.com/ui/#object/sent_email__v/VBL00000000W417", "SE-001396417")</f>
        <v>SE-001396417</v>
      </c>
      <c r="D10259" s="1" t="s">
        <v>0</v>
      </c>
      <c r="E10259" s="2">
        <v>0</v>
      </c>
      <c r="F10259" s="2">
        <v>0</v>
      </c>
      <c r="G10259" s="2">
        <v>0</v>
      </c>
      <c r="H10259" s="1" t="s">
        <v>0</v>
      </c>
      <c r="I10259" s="2">
        <v>0</v>
      </c>
      <c r="J10259" s="1">
        <v>46002.653958333336</v>
      </c>
    </row>
    <row r="10260" spans="1:10" x14ac:dyDescent="0.2">
      <c r="A10260" s="4" t="s">
        <v>1</v>
      </c>
      <c r="B1026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60" s="3" t="str">
        <f>HYPERLINK("https://otsuka-europe-crm.veevavault.com/ui/#object/sent_email__v/VBL00000000W418", "SE-001396418")</f>
        <v>SE-001396418</v>
      </c>
      <c r="D10260" s="1" t="s">
        <v>0</v>
      </c>
      <c r="E10260" s="2">
        <v>0</v>
      </c>
      <c r="F10260" s="2">
        <v>0</v>
      </c>
      <c r="G10260" s="2">
        <v>0</v>
      </c>
      <c r="H10260" s="1" t="s">
        <v>0</v>
      </c>
      <c r="I10260" s="2">
        <v>0</v>
      </c>
      <c r="J10260" s="1">
        <v>46002.653958333336</v>
      </c>
    </row>
    <row r="10261" spans="1:10" x14ac:dyDescent="0.2">
      <c r="A10261" s="4" t="s">
        <v>1</v>
      </c>
      <c r="B1026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61" s="3" t="str">
        <f>HYPERLINK("https://otsuka-europe-crm.veevavault.com/ui/#object/sent_email__v/VBL00000000W419", "SE-001396419")</f>
        <v>SE-001396419</v>
      </c>
      <c r="D10261" s="1" t="s">
        <v>0</v>
      </c>
      <c r="E10261" s="2">
        <v>0</v>
      </c>
      <c r="F10261" s="2">
        <v>0</v>
      </c>
      <c r="G10261" s="2">
        <v>0</v>
      </c>
      <c r="H10261" s="1" t="s">
        <v>0</v>
      </c>
      <c r="I10261" s="2">
        <v>0</v>
      </c>
      <c r="J10261" s="1">
        <v>46002.653958333336</v>
      </c>
    </row>
    <row r="10262" spans="1:10" x14ac:dyDescent="0.2">
      <c r="A10262" s="4" t="s">
        <v>1</v>
      </c>
      <c r="B1026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62" s="3" t="str">
        <f>HYPERLINK("https://otsuka-europe-crm.veevavault.com/ui/#object/sent_email__v/VBL00000000W420", "SE-001396420")</f>
        <v>SE-001396420</v>
      </c>
      <c r="D10262" s="1" t="s">
        <v>0</v>
      </c>
      <c r="E10262" s="2">
        <v>0</v>
      </c>
      <c r="F10262" s="2">
        <v>0</v>
      </c>
      <c r="G10262" s="2">
        <v>0</v>
      </c>
      <c r="H10262" s="1" t="s">
        <v>0</v>
      </c>
      <c r="I10262" s="2">
        <v>0</v>
      </c>
      <c r="J10262" s="1">
        <v>46002.653958333336</v>
      </c>
    </row>
    <row r="10263" spans="1:10" x14ac:dyDescent="0.2">
      <c r="A10263" s="4" t="s">
        <v>1</v>
      </c>
      <c r="B1026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63" s="3" t="str">
        <f>HYPERLINK("https://otsuka-europe-crm.veevavault.com/ui/#object/sent_email__v/VBL00000000X548", "SE-001396464")</f>
        <v>SE-001396464</v>
      </c>
      <c r="D10263" s="1" t="s">
        <v>0</v>
      </c>
      <c r="E10263" s="2">
        <v>0</v>
      </c>
      <c r="F10263" s="2">
        <v>0</v>
      </c>
      <c r="G10263" s="2">
        <v>0</v>
      </c>
      <c r="H10263" s="1" t="s">
        <v>0</v>
      </c>
      <c r="I10263" s="2">
        <v>0</v>
      </c>
      <c r="J10263" s="1">
        <v>46002.656400462962</v>
      </c>
    </row>
    <row r="10264" spans="1:10" x14ac:dyDescent="0.2">
      <c r="A10264" s="4" t="s">
        <v>1</v>
      </c>
      <c r="B1026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64" s="3" t="str">
        <f>HYPERLINK("https://otsuka-europe-crm.veevavault.com/ui/#object/sent_email__v/VBL00000000X549", "SE-001396465")</f>
        <v>SE-001396465</v>
      </c>
      <c r="D10264" s="1" t="s">
        <v>0</v>
      </c>
      <c r="E10264" s="2">
        <v>0</v>
      </c>
      <c r="F10264" s="2">
        <v>0</v>
      </c>
      <c r="G10264" s="2">
        <v>0</v>
      </c>
      <c r="H10264" s="1" t="s">
        <v>0</v>
      </c>
      <c r="I10264" s="2">
        <v>0</v>
      </c>
      <c r="J10264" s="1">
        <v>46002.656493055554</v>
      </c>
    </row>
    <row r="10265" spans="1:10" x14ac:dyDescent="0.2">
      <c r="A10265" s="4" t="s">
        <v>1</v>
      </c>
      <c r="B1026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65" s="3" t="str">
        <f>HYPERLINK("https://otsuka-europe-crm.veevavault.com/ui/#object/sent_email__v/VBL00000000X550", "SE-001396466")</f>
        <v>SE-001396466</v>
      </c>
      <c r="D10265" s="1" t="s">
        <v>0</v>
      </c>
      <c r="E10265" s="2">
        <v>0</v>
      </c>
      <c r="F10265" s="2">
        <v>0</v>
      </c>
      <c r="G10265" s="2">
        <v>0</v>
      </c>
      <c r="H10265" s="1" t="s">
        <v>0</v>
      </c>
      <c r="I10265" s="2">
        <v>0</v>
      </c>
      <c r="J10265" s="1">
        <v>46002.656527777777</v>
      </c>
    </row>
    <row r="10266" spans="1:10" x14ac:dyDescent="0.2">
      <c r="A10266" s="4" t="s">
        <v>1</v>
      </c>
      <c r="B1026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66" s="3" t="str">
        <f>HYPERLINK("https://otsuka-europe-crm.veevavault.com/ui/#object/sent_email__v/VBL00000000X551", "SE-001396467")</f>
        <v>SE-001396467</v>
      </c>
      <c r="D10266" s="1" t="s">
        <v>0</v>
      </c>
      <c r="E10266" s="2">
        <v>0</v>
      </c>
      <c r="F10266" s="2">
        <v>0</v>
      </c>
      <c r="G10266" s="2">
        <v>0</v>
      </c>
      <c r="H10266" s="1" t="s">
        <v>0</v>
      </c>
      <c r="I10266" s="2">
        <v>0</v>
      </c>
      <c r="J10266" s="1">
        <v>46002.6565625</v>
      </c>
    </row>
    <row r="10267" spans="1:10" x14ac:dyDescent="0.2">
      <c r="A10267" s="4" t="s">
        <v>1</v>
      </c>
      <c r="B10267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67" s="3" t="str">
        <f>HYPERLINK("https://otsuka-europe-crm.veevavault.com/ui/#object/sent_email__v/VBL00000000X552", "SE-001396468")</f>
        <v>SE-001396468</v>
      </c>
      <c r="D10267" s="1" t="s">
        <v>0</v>
      </c>
      <c r="E10267" s="2">
        <v>0</v>
      </c>
      <c r="F10267" s="2">
        <v>0</v>
      </c>
      <c r="G10267" s="2">
        <v>0</v>
      </c>
      <c r="H10267" s="1" t="s">
        <v>0</v>
      </c>
      <c r="I10267" s="2">
        <v>0</v>
      </c>
      <c r="J10267" s="1">
        <v>46002.65662037037</v>
      </c>
    </row>
    <row r="10268" spans="1:10" x14ac:dyDescent="0.2">
      <c r="A10268" s="4" t="s">
        <v>1</v>
      </c>
      <c r="B10268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68" s="3" t="str">
        <f>HYPERLINK("https://otsuka-europe-crm.veevavault.com/ui/#object/sent_email__v/VBL00000000X553", "SE-001396469")</f>
        <v>SE-001396469</v>
      </c>
      <c r="D10268" s="1" t="s">
        <v>0</v>
      </c>
      <c r="E10268" s="2">
        <v>0</v>
      </c>
      <c r="F10268" s="2">
        <v>0</v>
      </c>
      <c r="G10268" s="2">
        <v>0</v>
      </c>
      <c r="H10268" s="1" t="s">
        <v>0</v>
      </c>
      <c r="I10268" s="2">
        <v>0</v>
      </c>
      <c r="J10268" s="1">
        <v>46002.656643518516</v>
      </c>
    </row>
    <row r="10269" spans="1:10" x14ac:dyDescent="0.2">
      <c r="A10269" s="4" t="s">
        <v>1</v>
      </c>
      <c r="B1026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69" s="3" t="str">
        <f>HYPERLINK("https://otsuka-europe-crm.veevavault.com/ui/#object/sent_email__v/VBL00000000X554", "SE-001396470")</f>
        <v>SE-001396470</v>
      </c>
      <c r="D10269" s="1" t="s">
        <v>0</v>
      </c>
      <c r="E10269" s="2">
        <v>0</v>
      </c>
      <c r="F10269" s="2">
        <v>0</v>
      </c>
      <c r="G10269" s="2">
        <v>0</v>
      </c>
      <c r="H10269" s="1" t="s">
        <v>0</v>
      </c>
      <c r="I10269" s="2">
        <v>0</v>
      </c>
      <c r="J10269" s="1">
        <v>46002.656678240739</v>
      </c>
    </row>
    <row r="10270" spans="1:10" x14ac:dyDescent="0.2">
      <c r="A10270" s="4" t="s">
        <v>1</v>
      </c>
      <c r="B1027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70" s="3" t="str">
        <f>HYPERLINK("https://otsuka-europe-crm.veevavault.com/ui/#object/sent_email__v/VBL00000000X555", "SE-001396471")</f>
        <v>SE-001396471</v>
      </c>
      <c r="D10270" s="1" t="s">
        <v>0</v>
      </c>
      <c r="E10270" s="2">
        <v>0</v>
      </c>
      <c r="F10270" s="2">
        <v>0</v>
      </c>
      <c r="G10270" s="2">
        <v>0</v>
      </c>
      <c r="H10270" s="1" t="s">
        <v>0</v>
      </c>
      <c r="I10270" s="2">
        <v>0</v>
      </c>
      <c r="J10270" s="1">
        <v>46002.656712962962</v>
      </c>
    </row>
    <row r="10271" spans="1:10" x14ac:dyDescent="0.2">
      <c r="A10271" s="4" t="s">
        <v>1</v>
      </c>
      <c r="B1027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71" s="3" t="str">
        <f>HYPERLINK("https://otsuka-europe-crm.veevavault.com/ui/#object/sent_email__v/VBL00000000X556", "SE-001396472")</f>
        <v>SE-001396472</v>
      </c>
      <c r="D10271" s="1" t="s">
        <v>0</v>
      </c>
      <c r="E10271" s="2">
        <v>0</v>
      </c>
      <c r="F10271" s="2">
        <v>0</v>
      </c>
      <c r="G10271" s="2">
        <v>0</v>
      </c>
      <c r="H10271" s="1" t="s">
        <v>0</v>
      </c>
      <c r="I10271" s="2">
        <v>0</v>
      </c>
      <c r="J10271" s="1">
        <v>46002.656747685185</v>
      </c>
    </row>
    <row r="10272" spans="1:10" x14ac:dyDescent="0.2">
      <c r="A10272" s="4" t="s">
        <v>1</v>
      </c>
      <c r="B1027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72" s="3" t="str">
        <f>HYPERLINK("https://otsuka-europe-crm.veevavault.com/ui/#object/sent_email__v/VBL00000000X557", "SE-001396473")</f>
        <v>SE-001396473</v>
      </c>
      <c r="D10272" s="1" t="s">
        <v>0</v>
      </c>
      <c r="E10272" s="2">
        <v>0</v>
      </c>
      <c r="F10272" s="2">
        <v>0</v>
      </c>
      <c r="G10272" s="2">
        <v>0</v>
      </c>
      <c r="H10272" s="1" t="s">
        <v>0</v>
      </c>
      <c r="I10272" s="2">
        <v>0</v>
      </c>
      <c r="J10272" s="1">
        <v>46002.656770833331</v>
      </c>
    </row>
    <row r="10273" spans="1:10" x14ac:dyDescent="0.2">
      <c r="A10273" s="4" t="s">
        <v>1</v>
      </c>
      <c r="B1027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73" s="3" t="str">
        <f>HYPERLINK("https://otsuka-europe-crm.veevavault.com/ui/#object/sent_email__v/VBL00000000X558", "SE-001396474")</f>
        <v>SE-001396474</v>
      </c>
      <c r="D10273" s="1" t="s">
        <v>0</v>
      </c>
      <c r="E10273" s="2">
        <v>0</v>
      </c>
      <c r="F10273" s="2">
        <v>0</v>
      </c>
      <c r="G10273" s="2">
        <v>0</v>
      </c>
      <c r="H10273" s="1" t="s">
        <v>0</v>
      </c>
      <c r="I10273" s="2">
        <v>0</v>
      </c>
      <c r="J10273" s="1">
        <v>46002.656805555554</v>
      </c>
    </row>
    <row r="10274" spans="1:10" x14ac:dyDescent="0.2">
      <c r="A10274" s="4" t="s">
        <v>1</v>
      </c>
      <c r="B1027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74" s="3" t="str">
        <f>HYPERLINK("https://otsuka-europe-crm.veevavault.com/ui/#object/sent_email__v/VBL00000000X559", "SE-001396475")</f>
        <v>SE-001396475</v>
      </c>
      <c r="D10274" s="1" t="s">
        <v>0</v>
      </c>
      <c r="E10274" s="2">
        <v>0</v>
      </c>
      <c r="F10274" s="2">
        <v>0</v>
      </c>
      <c r="G10274" s="2">
        <v>0</v>
      </c>
      <c r="H10274" s="1" t="s">
        <v>0</v>
      </c>
      <c r="I10274" s="2">
        <v>0</v>
      </c>
      <c r="J10274" s="1">
        <v>46002.656828703701</v>
      </c>
    </row>
    <row r="10275" spans="1:10" x14ac:dyDescent="0.2">
      <c r="A10275" s="4" t="s">
        <v>1</v>
      </c>
      <c r="B1027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75" s="3" t="str">
        <f>HYPERLINK("https://otsuka-europe-crm.veevavault.com/ui/#object/sent_email__v/VBL00000000X560", "SE-001396476")</f>
        <v>SE-001396476</v>
      </c>
      <c r="D10275" s="1" t="s">
        <v>0</v>
      </c>
      <c r="E10275" s="2">
        <v>0</v>
      </c>
      <c r="F10275" s="2">
        <v>0</v>
      </c>
      <c r="G10275" s="2">
        <v>0</v>
      </c>
      <c r="H10275" s="1" t="s">
        <v>0</v>
      </c>
      <c r="I10275" s="2">
        <v>0</v>
      </c>
      <c r="J10275" s="1">
        <v>46002.656863425924</v>
      </c>
    </row>
    <row r="10276" spans="1:10" x14ac:dyDescent="0.2">
      <c r="A10276" s="4" t="s">
        <v>1</v>
      </c>
      <c r="B1027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76" s="3" t="str">
        <f>HYPERLINK("https://otsuka-europe-crm.veevavault.com/ui/#object/sent_email__v/VBL00000000X561", "SE-001396477")</f>
        <v>SE-001396477</v>
      </c>
      <c r="D10276" s="1" t="s">
        <v>0</v>
      </c>
      <c r="E10276" s="2">
        <v>0</v>
      </c>
      <c r="F10276" s="2">
        <v>0</v>
      </c>
      <c r="G10276" s="2">
        <v>0</v>
      </c>
      <c r="H10276" s="1" t="s">
        <v>0</v>
      </c>
      <c r="I10276" s="2">
        <v>0</v>
      </c>
      <c r="J10276" s="1">
        <v>46002.656886574077</v>
      </c>
    </row>
    <row r="10277" spans="1:10" x14ac:dyDescent="0.2">
      <c r="A10277" s="4" t="s">
        <v>1</v>
      </c>
      <c r="B10277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77" s="3" t="str">
        <f>HYPERLINK("https://otsuka-europe-crm.veevavault.com/ui/#object/sent_email__v/VBL00000000X562", "SE-001396478")</f>
        <v>SE-001396478</v>
      </c>
      <c r="D10277" s="1" t="s">
        <v>0</v>
      </c>
      <c r="E10277" s="2">
        <v>0</v>
      </c>
      <c r="F10277" s="2">
        <v>0</v>
      </c>
      <c r="G10277" s="2">
        <v>0</v>
      </c>
      <c r="H10277" s="1" t="s">
        <v>0</v>
      </c>
      <c r="I10277" s="2">
        <v>0</v>
      </c>
      <c r="J10277" s="1">
        <v>46002.656909722224</v>
      </c>
    </row>
    <row r="10278" spans="1:10" x14ac:dyDescent="0.2">
      <c r="A10278" s="4" t="s">
        <v>1</v>
      </c>
      <c r="B10278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78" s="3" t="str">
        <f>HYPERLINK("https://otsuka-europe-crm.veevavault.com/ui/#object/sent_email__v/VBL00000000X563", "SE-001396479")</f>
        <v>SE-001396479</v>
      </c>
      <c r="D10278" s="1" t="s">
        <v>0</v>
      </c>
      <c r="E10278" s="2">
        <v>0</v>
      </c>
      <c r="F10278" s="2">
        <v>0</v>
      </c>
      <c r="G10278" s="2">
        <v>0</v>
      </c>
      <c r="H10278" s="1" t="s">
        <v>0</v>
      </c>
      <c r="I10278" s="2">
        <v>0</v>
      </c>
      <c r="J10278" s="1">
        <v>46002.656944444447</v>
      </c>
    </row>
    <row r="10279" spans="1:10" x14ac:dyDescent="0.2">
      <c r="A10279" s="4" t="s">
        <v>1</v>
      </c>
      <c r="B10279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79" s="3" t="str">
        <f>HYPERLINK("https://otsuka-europe-crm.veevavault.com/ui/#object/sent_email__v/VBL00000000X564", "SE-001396480")</f>
        <v>SE-001396480</v>
      </c>
      <c r="D10279" s="1" t="s">
        <v>0</v>
      </c>
      <c r="E10279" s="2">
        <v>0</v>
      </c>
      <c r="F10279" s="2">
        <v>0</v>
      </c>
      <c r="G10279" s="2">
        <v>0</v>
      </c>
      <c r="H10279" s="1" t="s">
        <v>0</v>
      </c>
      <c r="I10279" s="2">
        <v>0</v>
      </c>
      <c r="J10279" s="1">
        <v>46002.656967592593</v>
      </c>
    </row>
    <row r="10280" spans="1:10" x14ac:dyDescent="0.2">
      <c r="A10280" s="4" t="s">
        <v>1</v>
      </c>
      <c r="B10280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80" s="3" t="str">
        <f>HYPERLINK("https://otsuka-europe-crm.veevavault.com/ui/#object/sent_email__v/VBL00000000X565", "SE-001396481")</f>
        <v>SE-001396481</v>
      </c>
      <c r="D10280" s="1" t="s">
        <v>0</v>
      </c>
      <c r="E10280" s="2">
        <v>0</v>
      </c>
      <c r="F10280" s="2">
        <v>0</v>
      </c>
      <c r="G10280" s="2">
        <v>0</v>
      </c>
      <c r="H10280" s="1" t="s">
        <v>0</v>
      </c>
      <c r="I10280" s="2">
        <v>0</v>
      </c>
      <c r="J10280" s="1">
        <v>46002.657002314816</v>
      </c>
    </row>
    <row r="10281" spans="1:10" x14ac:dyDescent="0.2">
      <c r="A10281" s="4" t="s">
        <v>1</v>
      </c>
      <c r="B10281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81" s="3" t="str">
        <f>HYPERLINK("https://otsuka-europe-crm.veevavault.com/ui/#object/sent_email__v/VBL00000000X566", "SE-001396482")</f>
        <v>SE-001396482</v>
      </c>
      <c r="D10281" s="1" t="s">
        <v>0</v>
      </c>
      <c r="E10281" s="2">
        <v>0</v>
      </c>
      <c r="F10281" s="2">
        <v>0</v>
      </c>
      <c r="G10281" s="2">
        <v>0</v>
      </c>
      <c r="H10281" s="1" t="s">
        <v>0</v>
      </c>
      <c r="I10281" s="2">
        <v>0</v>
      </c>
      <c r="J10281" s="1">
        <v>46002.657025462962</v>
      </c>
    </row>
    <row r="10282" spans="1:10" x14ac:dyDescent="0.2">
      <c r="A10282" s="4" t="s">
        <v>1</v>
      </c>
      <c r="B10282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82" s="3" t="str">
        <f>HYPERLINK("https://otsuka-europe-crm.veevavault.com/ui/#object/sent_email__v/VBL00000000X567", "SE-001396483")</f>
        <v>SE-001396483</v>
      </c>
      <c r="D10282" s="1" t="s">
        <v>0</v>
      </c>
      <c r="E10282" s="2">
        <v>0</v>
      </c>
      <c r="F10282" s="2">
        <v>0</v>
      </c>
      <c r="G10282" s="2">
        <v>0</v>
      </c>
      <c r="H10282" s="1" t="s">
        <v>0</v>
      </c>
      <c r="I10282" s="2">
        <v>0</v>
      </c>
      <c r="J10282" s="1">
        <v>46002.657060185185</v>
      </c>
    </row>
    <row r="10283" spans="1:10" x14ac:dyDescent="0.2">
      <c r="A10283" s="4" t="s">
        <v>1</v>
      </c>
      <c r="B10283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83" s="3" t="str">
        <f>HYPERLINK("https://otsuka-europe-crm.veevavault.com/ui/#object/sent_email__v/VBL00000000X568", "SE-001396484")</f>
        <v>SE-001396484</v>
      </c>
      <c r="D10283" s="1" t="s">
        <v>0</v>
      </c>
      <c r="E10283" s="2">
        <v>0</v>
      </c>
      <c r="F10283" s="2">
        <v>0</v>
      </c>
      <c r="G10283" s="2">
        <v>0</v>
      </c>
      <c r="H10283" s="1" t="s">
        <v>0</v>
      </c>
      <c r="I10283" s="2">
        <v>0</v>
      </c>
      <c r="J10283" s="1">
        <v>46002.657083333332</v>
      </c>
    </row>
    <row r="10284" spans="1:10" x14ac:dyDescent="0.2">
      <c r="A10284" s="4" t="s">
        <v>1</v>
      </c>
      <c r="B10284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84" s="3" t="str">
        <f>HYPERLINK("https://otsuka-europe-crm.veevavault.com/ui/#object/sent_email__v/VBL00000000X569", "SE-001396485")</f>
        <v>SE-001396485</v>
      </c>
      <c r="D10284" s="1" t="s">
        <v>0</v>
      </c>
      <c r="E10284" s="2">
        <v>0</v>
      </c>
      <c r="F10284" s="2">
        <v>0</v>
      </c>
      <c r="G10284" s="2">
        <v>0</v>
      </c>
      <c r="H10284" s="1" t="s">
        <v>0</v>
      </c>
      <c r="I10284" s="2">
        <v>0</v>
      </c>
      <c r="J10284" s="1">
        <v>46002.657118055555</v>
      </c>
    </row>
    <row r="10285" spans="1:10" x14ac:dyDescent="0.2">
      <c r="A10285" s="4" t="s">
        <v>1</v>
      </c>
      <c r="B10285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85" s="3" t="str">
        <f>HYPERLINK("https://otsuka-europe-crm.veevavault.com/ui/#object/sent_email__v/VBL00000000X570", "SE-001396486")</f>
        <v>SE-001396486</v>
      </c>
      <c r="D10285" s="1" t="s">
        <v>0</v>
      </c>
      <c r="E10285" s="2">
        <v>0</v>
      </c>
      <c r="F10285" s="2">
        <v>0</v>
      </c>
      <c r="G10285" s="2">
        <v>0</v>
      </c>
      <c r="H10285" s="1" t="s">
        <v>0</v>
      </c>
      <c r="I10285" s="2">
        <v>0</v>
      </c>
      <c r="J10285" s="1">
        <v>46002.657141203701</v>
      </c>
    </row>
    <row r="10286" spans="1:10" x14ac:dyDescent="0.2">
      <c r="A10286" s="4" t="s">
        <v>1</v>
      </c>
      <c r="B10286" s="3" t="str">
        <f>HYPERLINK("https://otsuka-europe-crm.veevavault.com/ui/#object/approved_document__v/V5O00000000D121", "LUP - 10 cuestiones para pensar: ¿Dónde quedó la lesión vascular? - nefro")</f>
        <v>LUP - 10 cuestiones para pensar: ¿Dónde quedó la lesión vascular? - nefro</v>
      </c>
      <c r="C10286" s="3" t="str">
        <f>HYPERLINK("https://otsuka-europe-crm.veevavault.com/ui/#object/sent_email__v/VBL00000000X571", "SE-001396487")</f>
        <v>SE-001396487</v>
      </c>
      <c r="D10286" s="1" t="s">
        <v>0</v>
      </c>
      <c r="E10286" s="2">
        <v>0</v>
      </c>
      <c r="F10286" s="2">
        <v>0</v>
      </c>
      <c r="G10286" s="2">
        <v>0</v>
      </c>
      <c r="H10286" s="1" t="s">
        <v>0</v>
      </c>
      <c r="I10286" s="2">
        <v>0</v>
      </c>
      <c r="J10286" s="1">
        <v>46002.657175925924</v>
      </c>
    </row>
    <row r="10287" spans="1:10" x14ac:dyDescent="0.2">
      <c r="A10287" s="4" t="s">
        <v>1</v>
      </c>
      <c r="B1028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87" s="3" t="str">
        <f>HYPERLINK("https://otsuka-europe-crm.veevavault.com/ui/#object/sent_email__v/VBL00000000M640", "SE-001389701")</f>
        <v>SE-001389701</v>
      </c>
      <c r="D10287" s="1" t="s">
        <v>0</v>
      </c>
      <c r="E10287" s="2">
        <v>0</v>
      </c>
      <c r="F10287" s="2">
        <v>0</v>
      </c>
      <c r="G10287" s="2">
        <v>0</v>
      </c>
      <c r="H10287" s="1" t="s">
        <v>0</v>
      </c>
      <c r="I10287" s="2">
        <v>0</v>
      </c>
      <c r="J10287" s="1">
        <v>45973.600925925923</v>
      </c>
    </row>
    <row r="10288" spans="1:10" x14ac:dyDescent="0.2">
      <c r="A10288" s="4" t="s">
        <v>1</v>
      </c>
      <c r="B1028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88" s="3" t="str">
        <f>HYPERLINK("https://otsuka-europe-crm.veevavault.com/ui/#object/sent_email__v/VBL00000000M641", "SE-001389702")</f>
        <v>SE-001389702</v>
      </c>
      <c r="D10288" s="1" t="s">
        <v>0</v>
      </c>
      <c r="E10288" s="2">
        <v>0</v>
      </c>
      <c r="F10288" s="2">
        <v>0</v>
      </c>
      <c r="G10288" s="2">
        <v>0</v>
      </c>
      <c r="H10288" s="1" t="s">
        <v>0</v>
      </c>
      <c r="I10288" s="2">
        <v>0</v>
      </c>
      <c r="J10288" s="1">
        <v>45973.600972222222</v>
      </c>
    </row>
    <row r="10289" spans="1:10" x14ac:dyDescent="0.2">
      <c r="A10289" s="4" t="s">
        <v>1</v>
      </c>
      <c r="B1028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89" s="3" t="str">
        <f>HYPERLINK("https://otsuka-europe-crm.veevavault.com/ui/#object/sent_email__v/VBL00000000M642", "SE-001389703")</f>
        <v>SE-001389703</v>
      </c>
      <c r="D10289" s="1" t="s">
        <v>0</v>
      </c>
      <c r="E10289" s="2">
        <v>0</v>
      </c>
      <c r="F10289" s="2">
        <v>0</v>
      </c>
      <c r="G10289" s="2">
        <v>0</v>
      </c>
      <c r="H10289" s="1" t="s">
        <v>0</v>
      </c>
      <c r="I10289" s="2">
        <v>0</v>
      </c>
      <c r="J10289" s="1">
        <v>45973.601018518515</v>
      </c>
    </row>
    <row r="10290" spans="1:10" x14ac:dyDescent="0.2">
      <c r="A10290" s="4" t="s">
        <v>1</v>
      </c>
      <c r="B1029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90" s="3" t="str">
        <f>HYPERLINK("https://otsuka-europe-crm.veevavault.com/ui/#object/sent_email__v/VBL00000000M643", "SE-001389704")</f>
        <v>SE-001389704</v>
      </c>
      <c r="D10290" s="1" t="s">
        <v>0</v>
      </c>
      <c r="E10290" s="2">
        <v>0</v>
      </c>
      <c r="F10290" s="2">
        <v>0</v>
      </c>
      <c r="G10290" s="2">
        <v>0</v>
      </c>
      <c r="H10290" s="1" t="s">
        <v>0</v>
      </c>
      <c r="I10290" s="2">
        <v>0</v>
      </c>
      <c r="J10290" s="1">
        <v>45973.601064814815</v>
      </c>
    </row>
    <row r="10291" spans="1:10" x14ac:dyDescent="0.2">
      <c r="A10291" s="4" t="s">
        <v>1</v>
      </c>
      <c r="B1029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91" s="3" t="str">
        <f>HYPERLINK("https://otsuka-europe-crm.veevavault.com/ui/#object/sent_email__v/VBL00000000M644", "SE-001389705")</f>
        <v>SE-001389705</v>
      </c>
      <c r="D10291" s="1">
        <v>45973.789236111108</v>
      </c>
      <c r="E10291" s="2">
        <v>1</v>
      </c>
      <c r="F10291" s="2">
        <v>1</v>
      </c>
      <c r="G10291" s="2">
        <v>0</v>
      </c>
      <c r="H10291" s="1" t="s">
        <v>0</v>
      </c>
      <c r="I10291" s="2">
        <v>0</v>
      </c>
      <c r="J10291" s="1">
        <v>45973.601111111115</v>
      </c>
    </row>
    <row r="10292" spans="1:10" x14ac:dyDescent="0.2">
      <c r="A10292" s="4" t="s">
        <v>1</v>
      </c>
      <c r="B1029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92" s="3" t="str">
        <f>HYPERLINK("https://otsuka-europe-crm.veevavault.com/ui/#object/sent_email__v/VBL00000000M645", "SE-001389706")</f>
        <v>SE-001389706</v>
      </c>
      <c r="D10292" s="1">
        <v>45973.608553240738</v>
      </c>
      <c r="E10292" s="2">
        <v>1</v>
      </c>
      <c r="F10292" s="2">
        <v>1</v>
      </c>
      <c r="G10292" s="2">
        <v>0</v>
      </c>
      <c r="H10292" s="1" t="s">
        <v>0</v>
      </c>
      <c r="I10292" s="2">
        <v>0</v>
      </c>
      <c r="J10292" s="1">
        <v>45973.601157407407</v>
      </c>
    </row>
    <row r="10293" spans="1:10" x14ac:dyDescent="0.2">
      <c r="A10293" s="4" t="s">
        <v>1</v>
      </c>
      <c r="B1029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93" s="3" t="str">
        <f>HYPERLINK("https://otsuka-europe-crm.veevavault.com/ui/#object/sent_email__v/VBL00000000M646", "SE-001389707")</f>
        <v>SE-001389707</v>
      </c>
      <c r="D10293" s="1" t="s">
        <v>0</v>
      </c>
      <c r="E10293" s="2">
        <v>0</v>
      </c>
      <c r="F10293" s="2">
        <v>0</v>
      </c>
      <c r="G10293" s="2">
        <v>0</v>
      </c>
      <c r="H10293" s="1" t="s">
        <v>0</v>
      </c>
      <c r="I10293" s="2">
        <v>0</v>
      </c>
      <c r="J10293" s="1">
        <v>45973.60119212963</v>
      </c>
    </row>
    <row r="10294" spans="1:10" x14ac:dyDescent="0.2">
      <c r="A10294" s="4" t="s">
        <v>1</v>
      </c>
      <c r="B1029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94" s="3" t="str">
        <f>HYPERLINK("https://otsuka-europe-crm.veevavault.com/ui/#object/sent_email__v/VBL00000000M647", "SE-001389708")</f>
        <v>SE-001389708</v>
      </c>
      <c r="D10294" s="1">
        <v>46001.200277777774</v>
      </c>
      <c r="E10294" s="2">
        <v>1</v>
      </c>
      <c r="F10294" s="2">
        <v>2</v>
      </c>
      <c r="G10294" s="2">
        <v>0</v>
      </c>
      <c r="H10294" s="1" t="s">
        <v>0</v>
      </c>
      <c r="I10294" s="2">
        <v>0</v>
      </c>
      <c r="J10294" s="1">
        <v>45973.601226851853</v>
      </c>
    </row>
    <row r="10295" spans="1:10" x14ac:dyDescent="0.2">
      <c r="A10295" s="4" t="s">
        <v>1</v>
      </c>
      <c r="B1029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95" s="3" t="str">
        <f>HYPERLINK("https://otsuka-europe-crm.veevavault.com/ui/#object/sent_email__v/VBL00000000M648", "SE-001389709")</f>
        <v>SE-001389709</v>
      </c>
      <c r="D10295" s="1" t="s">
        <v>0</v>
      </c>
      <c r="E10295" s="2">
        <v>0</v>
      </c>
      <c r="F10295" s="2">
        <v>0</v>
      </c>
      <c r="G10295" s="2">
        <v>0</v>
      </c>
      <c r="H10295" s="1" t="s">
        <v>0</v>
      </c>
      <c r="I10295" s="2">
        <v>0</v>
      </c>
      <c r="J10295" s="1">
        <v>45973.601273148146</v>
      </c>
    </row>
    <row r="10296" spans="1:10" x14ac:dyDescent="0.2">
      <c r="A10296" s="4" t="s">
        <v>1</v>
      </c>
      <c r="B1029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96" s="3" t="str">
        <f>HYPERLINK("https://otsuka-europe-crm.veevavault.com/ui/#object/sent_email__v/VBL00000000M649", "SE-001389710")</f>
        <v>SE-001389710</v>
      </c>
      <c r="D10296" s="1" t="s">
        <v>0</v>
      </c>
      <c r="E10296" s="2">
        <v>0</v>
      </c>
      <c r="F10296" s="2">
        <v>0</v>
      </c>
      <c r="G10296" s="2">
        <v>0</v>
      </c>
      <c r="H10296" s="1" t="s">
        <v>0</v>
      </c>
      <c r="I10296" s="2">
        <v>0</v>
      </c>
      <c r="J10296" s="1">
        <v>45973.601319444446</v>
      </c>
    </row>
    <row r="10297" spans="1:10" x14ac:dyDescent="0.2">
      <c r="A10297" s="4" t="s">
        <v>1</v>
      </c>
      <c r="B1029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97" s="3" t="str">
        <f>HYPERLINK("https://otsuka-europe-crm.veevavault.com/ui/#object/sent_email__v/VBL00000000O137", "SE-001390576")</f>
        <v>SE-001390576</v>
      </c>
      <c r="D10297" s="1" t="s">
        <v>0</v>
      </c>
      <c r="E10297" s="2">
        <v>0</v>
      </c>
      <c r="F10297" s="2">
        <v>0</v>
      </c>
      <c r="G10297" s="2">
        <v>0</v>
      </c>
      <c r="H10297" s="1" t="s">
        <v>0</v>
      </c>
      <c r="I10297" s="2">
        <v>0</v>
      </c>
      <c r="J10297" s="1">
        <v>45978.372569444444</v>
      </c>
    </row>
    <row r="10298" spans="1:10" x14ac:dyDescent="0.2">
      <c r="A10298" s="4" t="s">
        <v>1</v>
      </c>
      <c r="B1029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98" s="3" t="str">
        <f>HYPERLINK("https://otsuka-europe-crm.veevavault.com/ui/#object/sent_email__v/VBL00000000O138", "SE-001390577")</f>
        <v>SE-001390577</v>
      </c>
      <c r="D10298" s="1">
        <v>45978.855393518519</v>
      </c>
      <c r="E10298" s="2">
        <v>1</v>
      </c>
      <c r="F10298" s="2">
        <v>1</v>
      </c>
      <c r="G10298" s="2">
        <v>0</v>
      </c>
      <c r="H10298" s="1" t="s">
        <v>0</v>
      </c>
      <c r="I10298" s="2">
        <v>0</v>
      </c>
      <c r="J10298" s="1">
        <v>45978.372627314813</v>
      </c>
    </row>
    <row r="10299" spans="1:10" x14ac:dyDescent="0.2">
      <c r="A10299" s="4" t="s">
        <v>1</v>
      </c>
      <c r="B1029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299" s="3" t="str">
        <f>HYPERLINK("https://otsuka-europe-crm.veevavault.com/ui/#object/sent_email__v/VBL00000000O139", "SE-001390578")</f>
        <v>SE-001390578</v>
      </c>
      <c r="D10299" s="1">
        <v>46042.452800925923</v>
      </c>
      <c r="E10299" s="2">
        <v>1</v>
      </c>
      <c r="F10299" s="2">
        <v>6</v>
      </c>
      <c r="G10299" s="2">
        <v>0</v>
      </c>
      <c r="H10299" s="1" t="s">
        <v>0</v>
      </c>
      <c r="I10299" s="2">
        <v>0</v>
      </c>
      <c r="J10299" s="1">
        <v>45978.372696759259</v>
      </c>
    </row>
    <row r="10300" spans="1:10" x14ac:dyDescent="0.2">
      <c r="A10300" s="4" t="s">
        <v>1</v>
      </c>
      <c r="B1030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00" s="3" t="str">
        <f>HYPERLINK("https://otsuka-europe-crm.veevavault.com/ui/#object/sent_email__v/VBL00000000O140", "SE-001390579")</f>
        <v>SE-001390579</v>
      </c>
      <c r="D10300" s="1">
        <v>45978.426979166667</v>
      </c>
      <c r="E10300" s="2">
        <v>1</v>
      </c>
      <c r="F10300" s="2">
        <v>1</v>
      </c>
      <c r="G10300" s="2">
        <v>0</v>
      </c>
      <c r="H10300" s="1" t="s">
        <v>0</v>
      </c>
      <c r="I10300" s="2">
        <v>0</v>
      </c>
      <c r="J10300" s="1">
        <v>45978.372766203705</v>
      </c>
    </row>
    <row r="10301" spans="1:10" x14ac:dyDescent="0.2">
      <c r="A10301" s="4" t="s">
        <v>1</v>
      </c>
      <c r="B1030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01" s="3" t="str">
        <f>HYPERLINK("https://otsuka-europe-crm.veevavault.com/ui/#object/sent_email__v/VBL00000000O141", "SE-001390580")</f>
        <v>SE-001390580</v>
      </c>
      <c r="D10301" s="1">
        <v>45978.403749999998</v>
      </c>
      <c r="E10301" s="2">
        <v>1</v>
      </c>
      <c r="F10301" s="2">
        <v>1</v>
      </c>
      <c r="G10301" s="2">
        <v>0</v>
      </c>
      <c r="H10301" s="1" t="s">
        <v>0</v>
      </c>
      <c r="I10301" s="2">
        <v>0</v>
      </c>
      <c r="J10301" s="1">
        <v>45978.372835648152</v>
      </c>
    </row>
    <row r="10302" spans="1:10" x14ac:dyDescent="0.2">
      <c r="A10302" s="4" t="s">
        <v>1</v>
      </c>
      <c r="B1030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02" s="3" t="str">
        <f>HYPERLINK("https://otsuka-europe-crm.veevavault.com/ui/#object/sent_email__v/VBL00000000O142", "SE-001390581")</f>
        <v>SE-001390581</v>
      </c>
      <c r="D10302" s="1">
        <v>45978.452199074076</v>
      </c>
      <c r="E10302" s="2">
        <v>1</v>
      </c>
      <c r="F10302" s="2">
        <v>1</v>
      </c>
      <c r="G10302" s="2">
        <v>0</v>
      </c>
      <c r="H10302" s="1" t="s">
        <v>0</v>
      </c>
      <c r="I10302" s="2">
        <v>0</v>
      </c>
      <c r="J10302" s="1">
        <v>45978.37290509259</v>
      </c>
    </row>
    <row r="10303" spans="1:10" x14ac:dyDescent="0.2">
      <c r="A10303" s="4" t="s">
        <v>1</v>
      </c>
      <c r="B1030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03" s="3" t="str">
        <f>HYPERLINK("https://otsuka-europe-crm.veevavault.com/ui/#object/sent_email__v/VBL00000000O143", "SE-001390582")</f>
        <v>SE-001390582</v>
      </c>
      <c r="D10303" s="1" t="s">
        <v>0</v>
      </c>
      <c r="E10303" s="2">
        <v>0</v>
      </c>
      <c r="F10303" s="2">
        <v>0</v>
      </c>
      <c r="G10303" s="2">
        <v>0</v>
      </c>
      <c r="H10303" s="1" t="s">
        <v>0</v>
      </c>
      <c r="I10303" s="2">
        <v>0</v>
      </c>
      <c r="J10303" s="1">
        <v>45978.372974537036</v>
      </c>
    </row>
    <row r="10304" spans="1:10" x14ac:dyDescent="0.2">
      <c r="A10304" s="4" t="s">
        <v>1</v>
      </c>
      <c r="B1030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04" s="3" t="str">
        <f>HYPERLINK("https://otsuka-europe-crm.veevavault.com/ui/#object/sent_email__v/VBL00000000O144", "SE-001390583")</f>
        <v>SE-001390583</v>
      </c>
      <c r="D10304" s="1" t="s">
        <v>0</v>
      </c>
      <c r="E10304" s="2">
        <v>0</v>
      </c>
      <c r="F10304" s="2">
        <v>0</v>
      </c>
      <c r="G10304" s="2">
        <v>0</v>
      </c>
      <c r="H10304" s="1" t="s">
        <v>0</v>
      </c>
      <c r="I10304" s="2">
        <v>0</v>
      </c>
      <c r="J10304" s="1">
        <v>45978.373043981483</v>
      </c>
    </row>
    <row r="10305" spans="1:10" x14ac:dyDescent="0.2">
      <c r="A10305" s="4" t="s">
        <v>1</v>
      </c>
      <c r="B1030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05" s="3" t="str">
        <f>HYPERLINK("https://otsuka-europe-crm.veevavault.com/ui/#object/sent_email__v/VBL00000000O145", "SE-001390584")</f>
        <v>SE-001390584</v>
      </c>
      <c r="D10305" s="1">
        <v>45978.537048611113</v>
      </c>
      <c r="E10305" s="2">
        <v>1</v>
      </c>
      <c r="F10305" s="2">
        <v>2</v>
      </c>
      <c r="G10305" s="2">
        <v>0</v>
      </c>
      <c r="H10305" s="1" t="s">
        <v>0</v>
      </c>
      <c r="I10305" s="2">
        <v>0</v>
      </c>
      <c r="J10305" s="1">
        <v>45978.373124999998</v>
      </c>
    </row>
    <row r="10306" spans="1:10" x14ac:dyDescent="0.2">
      <c r="A10306" s="4" t="s">
        <v>1</v>
      </c>
      <c r="B1030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06" s="3" t="str">
        <f>HYPERLINK("https://otsuka-europe-crm.veevavault.com/ui/#object/sent_email__v/VBL00000000O146", "SE-001390585")</f>
        <v>SE-001390585</v>
      </c>
      <c r="D10306" s="1">
        <v>45980.684791666667</v>
      </c>
      <c r="E10306" s="2">
        <v>1</v>
      </c>
      <c r="F10306" s="2">
        <v>1</v>
      </c>
      <c r="G10306" s="2">
        <v>0</v>
      </c>
      <c r="H10306" s="1" t="s">
        <v>0</v>
      </c>
      <c r="I10306" s="2">
        <v>0</v>
      </c>
      <c r="J10306" s="1">
        <v>45978.373182870368</v>
      </c>
    </row>
    <row r="10307" spans="1:10" x14ac:dyDescent="0.2">
      <c r="A10307" s="4" t="s">
        <v>1</v>
      </c>
      <c r="B1030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07" s="3" t="str">
        <f>HYPERLINK("https://otsuka-europe-crm.veevavault.com/ui/#object/sent_email__v/VBL00000000O147", "SE-001390586")</f>
        <v>SE-001390586</v>
      </c>
      <c r="D10307" s="1">
        <v>45985.815046296295</v>
      </c>
      <c r="E10307" s="2">
        <v>1</v>
      </c>
      <c r="F10307" s="2">
        <v>3</v>
      </c>
      <c r="G10307" s="2">
        <v>0</v>
      </c>
      <c r="H10307" s="1" t="s">
        <v>0</v>
      </c>
      <c r="I10307" s="2">
        <v>0</v>
      </c>
      <c r="J10307" s="1">
        <v>45978.373252314814</v>
      </c>
    </row>
    <row r="10308" spans="1:10" x14ac:dyDescent="0.2">
      <c r="A10308" s="4" t="s">
        <v>1</v>
      </c>
      <c r="B1030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08" s="3" t="str">
        <f>HYPERLINK("https://otsuka-europe-crm.veevavault.com/ui/#object/sent_email__v/VBL00000000O148", "SE-001390587")</f>
        <v>SE-001390587</v>
      </c>
      <c r="D10308" s="1">
        <v>45984.729629629626</v>
      </c>
      <c r="E10308" s="2">
        <v>1</v>
      </c>
      <c r="F10308" s="2">
        <v>2</v>
      </c>
      <c r="G10308" s="2">
        <v>0</v>
      </c>
      <c r="H10308" s="1" t="s">
        <v>0</v>
      </c>
      <c r="I10308" s="2">
        <v>0</v>
      </c>
      <c r="J10308" s="1">
        <v>45978.373344907406</v>
      </c>
    </row>
    <row r="10309" spans="1:10" x14ac:dyDescent="0.2">
      <c r="A10309" s="4" t="s">
        <v>1</v>
      </c>
      <c r="B1030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09" s="3" t="str">
        <f>HYPERLINK("https://otsuka-europe-crm.veevavault.com/ui/#object/sent_email__v/VBL00000000O149", "SE-001390588")</f>
        <v>SE-001390588</v>
      </c>
      <c r="D10309" s="1">
        <v>45981.87672453704</v>
      </c>
      <c r="E10309" s="2">
        <v>1</v>
      </c>
      <c r="F10309" s="2">
        <v>2</v>
      </c>
      <c r="G10309" s="2">
        <v>0</v>
      </c>
      <c r="H10309" s="1" t="s">
        <v>0</v>
      </c>
      <c r="I10309" s="2">
        <v>0</v>
      </c>
      <c r="J10309" s="1">
        <v>45978.373402777775</v>
      </c>
    </row>
    <row r="10310" spans="1:10" x14ac:dyDescent="0.2">
      <c r="A10310" s="4" t="s">
        <v>1</v>
      </c>
      <c r="B1031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10" s="3" t="str">
        <f>HYPERLINK("https://otsuka-europe-crm.veevavault.com/ui/#object/sent_email__v/VBL00000000O150", "SE-001390589")</f>
        <v>SE-001390589</v>
      </c>
      <c r="D10310" s="1">
        <v>46035.804583333331</v>
      </c>
      <c r="E10310" s="2">
        <v>1</v>
      </c>
      <c r="F10310" s="2">
        <v>3</v>
      </c>
      <c r="G10310" s="2">
        <v>0</v>
      </c>
      <c r="H10310" s="1" t="s">
        <v>0</v>
      </c>
      <c r="I10310" s="2">
        <v>0</v>
      </c>
      <c r="J10310" s="1">
        <v>45978.373472222222</v>
      </c>
    </row>
    <row r="10311" spans="1:10" x14ac:dyDescent="0.2">
      <c r="A10311" s="4" t="s">
        <v>1</v>
      </c>
      <c r="B1031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11" s="3" t="str">
        <f>HYPERLINK("https://otsuka-europe-crm.veevavault.com/ui/#object/sent_email__v/VBL00000000O151", "SE-001390590")</f>
        <v>SE-001390590</v>
      </c>
      <c r="D10311" s="1">
        <v>45978.896782407406</v>
      </c>
      <c r="E10311" s="2">
        <v>1</v>
      </c>
      <c r="F10311" s="2">
        <v>1</v>
      </c>
      <c r="G10311" s="2">
        <v>0</v>
      </c>
      <c r="H10311" s="1" t="s">
        <v>0</v>
      </c>
      <c r="I10311" s="2">
        <v>0</v>
      </c>
      <c r="J10311" s="1">
        <v>45978.373541666668</v>
      </c>
    </row>
    <row r="10312" spans="1:10" x14ac:dyDescent="0.2">
      <c r="A10312" s="4" t="s">
        <v>1</v>
      </c>
      <c r="B1031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12" s="3" t="str">
        <f>HYPERLINK("https://otsuka-europe-crm.veevavault.com/ui/#object/sent_email__v/VBL00000000O152", "SE-001390591")</f>
        <v>SE-001390591</v>
      </c>
      <c r="D10312" s="1" t="s">
        <v>0</v>
      </c>
      <c r="E10312" s="2">
        <v>0</v>
      </c>
      <c r="F10312" s="2">
        <v>0</v>
      </c>
      <c r="G10312" s="2">
        <v>0</v>
      </c>
      <c r="H10312" s="1" t="s">
        <v>0</v>
      </c>
      <c r="I10312" s="2">
        <v>0</v>
      </c>
      <c r="J10312" s="1">
        <v>45978.373611111114</v>
      </c>
    </row>
    <row r="10313" spans="1:10" x14ac:dyDescent="0.2">
      <c r="A10313" s="4" t="s">
        <v>1</v>
      </c>
      <c r="B1031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13" s="3" t="str">
        <f>HYPERLINK("https://otsuka-europe-crm.veevavault.com/ui/#object/sent_email__v/VBL00000000O153", "SE-001390592")</f>
        <v>SE-001390592</v>
      </c>
      <c r="D10313" s="1" t="s">
        <v>0</v>
      </c>
      <c r="E10313" s="2">
        <v>0</v>
      </c>
      <c r="F10313" s="2">
        <v>0</v>
      </c>
      <c r="G10313" s="2">
        <v>0</v>
      </c>
      <c r="H10313" s="1" t="s">
        <v>0</v>
      </c>
      <c r="I10313" s="2">
        <v>0</v>
      </c>
      <c r="J10313" s="1">
        <v>45978.373703703706</v>
      </c>
    </row>
    <row r="10314" spans="1:10" x14ac:dyDescent="0.2">
      <c r="A10314" s="4" t="s">
        <v>1</v>
      </c>
      <c r="B1031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14" s="3" t="str">
        <f>HYPERLINK("https://otsuka-europe-crm.veevavault.com/ui/#object/sent_email__v/VBL00000000O154", "SE-001390593")</f>
        <v>SE-001390593</v>
      </c>
      <c r="D10314" s="1" t="s">
        <v>0</v>
      </c>
      <c r="E10314" s="2">
        <v>0</v>
      </c>
      <c r="F10314" s="2">
        <v>0</v>
      </c>
      <c r="G10314" s="2">
        <v>0</v>
      </c>
      <c r="H10314" s="1" t="s">
        <v>0</v>
      </c>
      <c r="I10314" s="2">
        <v>0</v>
      </c>
      <c r="J10314" s="1">
        <v>45978.373749999999</v>
      </c>
    </row>
    <row r="10315" spans="1:10" x14ac:dyDescent="0.2">
      <c r="A10315" s="4" t="s">
        <v>1</v>
      </c>
      <c r="B1031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15" s="3" t="str">
        <f>HYPERLINK("https://otsuka-europe-crm.veevavault.com/ui/#object/sent_email__v/VBL00000000O155", "SE-001390594")</f>
        <v>SE-001390594</v>
      </c>
      <c r="D10315" s="1">
        <v>45980.937488425923</v>
      </c>
      <c r="E10315" s="2">
        <v>1</v>
      </c>
      <c r="F10315" s="2">
        <v>5</v>
      </c>
      <c r="G10315" s="2">
        <v>0</v>
      </c>
      <c r="H10315" s="1" t="s">
        <v>0</v>
      </c>
      <c r="I10315" s="2">
        <v>0</v>
      </c>
      <c r="J10315" s="1">
        <v>45978.373831018522</v>
      </c>
    </row>
    <row r="10316" spans="1:10" x14ac:dyDescent="0.2">
      <c r="A10316" s="4" t="s">
        <v>1</v>
      </c>
      <c r="B1031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16" s="3" t="str">
        <f>HYPERLINK("https://otsuka-europe-crm.veevavault.com/ui/#object/sent_email__v/VBL00000000O156", "SE-001390595")</f>
        <v>SE-001390595</v>
      </c>
      <c r="D10316" s="1">
        <v>45978.374027777776</v>
      </c>
      <c r="E10316" s="2">
        <v>1</v>
      </c>
      <c r="F10316" s="2">
        <v>1</v>
      </c>
      <c r="G10316" s="2">
        <v>0</v>
      </c>
      <c r="H10316" s="1" t="s">
        <v>0</v>
      </c>
      <c r="I10316" s="2">
        <v>0</v>
      </c>
      <c r="J10316" s="1">
        <v>45978.373900462961</v>
      </c>
    </row>
    <row r="10317" spans="1:10" x14ac:dyDescent="0.2">
      <c r="A10317" s="4" t="s">
        <v>1</v>
      </c>
      <c r="B1031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17" s="3" t="str">
        <f>HYPERLINK("https://otsuka-europe-crm.veevavault.com/ui/#object/sent_email__v/VBL00000000O157", "SE-001390596")</f>
        <v>SE-001390596</v>
      </c>
      <c r="D10317" s="1" t="s">
        <v>0</v>
      </c>
      <c r="E10317" s="2">
        <v>0</v>
      </c>
      <c r="F10317" s="2">
        <v>0</v>
      </c>
      <c r="G10317" s="2">
        <v>0</v>
      </c>
      <c r="H10317" s="1" t="s">
        <v>0</v>
      </c>
      <c r="I10317" s="2">
        <v>0</v>
      </c>
      <c r="J10317" s="1">
        <v>45978.37395833333</v>
      </c>
    </row>
    <row r="10318" spans="1:10" x14ac:dyDescent="0.2">
      <c r="A10318" s="4" t="s">
        <v>1</v>
      </c>
      <c r="B1031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18" s="3" t="str">
        <f>HYPERLINK("https://otsuka-europe-crm.veevavault.com/ui/#object/sent_email__v/VBL00000000O158", "SE-001390597")</f>
        <v>SE-001390597</v>
      </c>
      <c r="D10318" s="1">
        <v>45978.654988425929</v>
      </c>
      <c r="E10318" s="2">
        <v>1</v>
      </c>
      <c r="F10318" s="2">
        <v>1</v>
      </c>
      <c r="G10318" s="2">
        <v>0</v>
      </c>
      <c r="H10318" s="1" t="s">
        <v>0</v>
      </c>
      <c r="I10318" s="2">
        <v>0</v>
      </c>
      <c r="J10318" s="1">
        <v>45978.374027777776</v>
      </c>
    </row>
    <row r="10319" spans="1:10" x14ac:dyDescent="0.2">
      <c r="A10319" s="4" t="s">
        <v>1</v>
      </c>
      <c r="B1031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19" s="3" t="str">
        <f>HYPERLINK("https://otsuka-europe-crm.veevavault.com/ui/#object/sent_email__v/VBL00000000O159", "SE-001390598")</f>
        <v>SE-001390598</v>
      </c>
      <c r="D10319" s="1">
        <v>45980.765752314815</v>
      </c>
      <c r="E10319" s="2">
        <v>1</v>
      </c>
      <c r="F10319" s="2">
        <v>2</v>
      </c>
      <c r="G10319" s="2">
        <v>0</v>
      </c>
      <c r="H10319" s="1" t="s">
        <v>0</v>
      </c>
      <c r="I10319" s="2">
        <v>0</v>
      </c>
      <c r="J10319" s="1">
        <v>45978.374097222222</v>
      </c>
    </row>
    <row r="10320" spans="1:10" x14ac:dyDescent="0.2">
      <c r="A10320" s="4" t="s">
        <v>1</v>
      </c>
      <c r="B1032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20" s="3" t="str">
        <f>HYPERLINK("https://otsuka-europe-crm.veevavault.com/ui/#object/sent_email__v/VBL00000000O160", "SE-001390599")</f>
        <v>SE-001390599</v>
      </c>
      <c r="D10320" s="1">
        <v>45990.012557870374</v>
      </c>
      <c r="E10320" s="2">
        <v>1</v>
      </c>
      <c r="F10320" s="2">
        <v>2</v>
      </c>
      <c r="G10320" s="2">
        <v>0</v>
      </c>
      <c r="H10320" s="1" t="s">
        <v>0</v>
      </c>
      <c r="I10320" s="2">
        <v>0</v>
      </c>
      <c r="J10320" s="1">
        <v>45978.374212962961</v>
      </c>
    </row>
    <row r="10321" spans="1:10" x14ac:dyDescent="0.2">
      <c r="A10321" s="4" t="s">
        <v>1</v>
      </c>
      <c r="B1032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21" s="3" t="str">
        <f>HYPERLINK("https://otsuka-europe-crm.veevavault.com/ui/#object/sent_email__v/VBL00000000O161", "SE-001390600")</f>
        <v>SE-001390600</v>
      </c>
      <c r="D10321" s="1" t="s">
        <v>0</v>
      </c>
      <c r="E10321" s="2">
        <v>0</v>
      </c>
      <c r="F10321" s="2">
        <v>0</v>
      </c>
      <c r="G10321" s="2">
        <v>0</v>
      </c>
      <c r="H10321" s="1" t="s">
        <v>0</v>
      </c>
      <c r="I10321" s="2">
        <v>0</v>
      </c>
      <c r="J10321" s="1">
        <v>45978.374525462961</v>
      </c>
    </row>
    <row r="10322" spans="1:10" x14ac:dyDescent="0.2">
      <c r="A10322" s="4" t="s">
        <v>1</v>
      </c>
      <c r="B1032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22" s="3" t="str">
        <f>HYPERLINK("https://otsuka-europe-crm.veevavault.com/ui/#object/sent_email__v/VBL00000000O162", "SE-001390601")</f>
        <v>SE-001390601</v>
      </c>
      <c r="D10322" s="1" t="s">
        <v>0</v>
      </c>
      <c r="E10322" s="2">
        <v>0</v>
      </c>
      <c r="F10322" s="2">
        <v>0</v>
      </c>
      <c r="G10322" s="2">
        <v>0</v>
      </c>
      <c r="H10322" s="1" t="s">
        <v>0</v>
      </c>
      <c r="I10322" s="2">
        <v>0</v>
      </c>
      <c r="J10322" s="1">
        <v>45978.37431712963</v>
      </c>
    </row>
    <row r="10323" spans="1:10" x14ac:dyDescent="0.2">
      <c r="A10323" s="4" t="s">
        <v>1</v>
      </c>
      <c r="B1032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23" s="3" t="str">
        <f>HYPERLINK("https://otsuka-europe-crm.veevavault.com/ui/#object/sent_email__v/VBL00000000O163", "SE-001390602")</f>
        <v>SE-001390602</v>
      </c>
      <c r="D10323" s="1">
        <v>45980.811076388891</v>
      </c>
      <c r="E10323" s="2">
        <v>1</v>
      </c>
      <c r="F10323" s="2">
        <v>1</v>
      </c>
      <c r="G10323" s="2">
        <v>0</v>
      </c>
      <c r="H10323" s="1" t="s">
        <v>0</v>
      </c>
      <c r="I10323" s="2">
        <v>0</v>
      </c>
      <c r="J10323" s="1">
        <v>45978.373067129629</v>
      </c>
    </row>
    <row r="10324" spans="1:10" x14ac:dyDescent="0.2">
      <c r="A10324" s="4" t="s">
        <v>1</v>
      </c>
      <c r="B1032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24" s="3" t="str">
        <f>HYPERLINK("https://otsuka-europe-crm.veevavault.com/ui/#object/sent_email__v/VBL00000000O164", "SE-001390603")</f>
        <v>SE-001390603</v>
      </c>
      <c r="D10324" s="1" t="s">
        <v>0</v>
      </c>
      <c r="E10324" s="2">
        <v>0</v>
      </c>
      <c r="F10324" s="2">
        <v>0</v>
      </c>
      <c r="G10324" s="2">
        <v>0</v>
      </c>
      <c r="H10324" s="1" t="s">
        <v>0</v>
      </c>
      <c r="I10324" s="2">
        <v>0</v>
      </c>
      <c r="J10324" s="1">
        <v>45978.373148148145</v>
      </c>
    </row>
    <row r="10325" spans="1:10" x14ac:dyDescent="0.2">
      <c r="A10325" s="4" t="s">
        <v>1</v>
      </c>
      <c r="B1032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25" s="3" t="str">
        <f>HYPERLINK("https://otsuka-europe-crm.veevavault.com/ui/#object/sent_email__v/VBL00000000O165", "SE-001390604")</f>
        <v>SE-001390604</v>
      </c>
      <c r="D10325" s="1">
        <v>45982.242604166669</v>
      </c>
      <c r="E10325" s="2">
        <v>1</v>
      </c>
      <c r="F10325" s="2">
        <v>2</v>
      </c>
      <c r="G10325" s="2">
        <v>0</v>
      </c>
      <c r="H10325" s="1" t="s">
        <v>0</v>
      </c>
      <c r="I10325" s="2">
        <v>0</v>
      </c>
      <c r="J10325" s="1">
        <v>45978.373206018521</v>
      </c>
    </row>
    <row r="10326" spans="1:10" x14ac:dyDescent="0.2">
      <c r="A10326" s="4" t="s">
        <v>1</v>
      </c>
      <c r="B1032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26" s="3" t="str">
        <f>HYPERLINK("https://otsuka-europe-crm.veevavault.com/ui/#object/sent_email__v/VBL00000000O166", "SE-001390605")</f>
        <v>SE-001390605</v>
      </c>
      <c r="D10326" s="1" t="s">
        <v>0</v>
      </c>
      <c r="E10326" s="2">
        <v>0</v>
      </c>
      <c r="F10326" s="2">
        <v>0</v>
      </c>
      <c r="G10326" s="2">
        <v>0</v>
      </c>
      <c r="H10326" s="1" t="s">
        <v>0</v>
      </c>
      <c r="I10326" s="2">
        <v>0</v>
      </c>
      <c r="J10326" s="1">
        <v>45978.37327546296</v>
      </c>
    </row>
    <row r="10327" spans="1:10" x14ac:dyDescent="0.2">
      <c r="A10327" s="4" t="s">
        <v>1</v>
      </c>
      <c r="B1032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27" s="3" t="str">
        <f>HYPERLINK("https://otsuka-europe-crm.veevavault.com/ui/#object/sent_email__v/VBL00000000O167", "SE-001390606")</f>
        <v>SE-001390606</v>
      </c>
      <c r="D10327" s="1">
        <v>45978.715613425928</v>
      </c>
      <c r="E10327" s="2">
        <v>1</v>
      </c>
      <c r="F10327" s="2">
        <v>2</v>
      </c>
      <c r="G10327" s="2">
        <v>0</v>
      </c>
      <c r="H10327" s="1" t="s">
        <v>0</v>
      </c>
      <c r="I10327" s="2">
        <v>0</v>
      </c>
      <c r="J10327" s="1">
        <v>45978.373356481483</v>
      </c>
    </row>
    <row r="10328" spans="1:10" x14ac:dyDescent="0.2">
      <c r="A10328" s="4" t="s">
        <v>1</v>
      </c>
      <c r="B1032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28" s="3" t="str">
        <f>HYPERLINK("https://otsuka-europe-crm.veevavault.com/ui/#object/sent_email__v/VBL00000000O168", "SE-001390607")</f>
        <v>SE-001390607</v>
      </c>
      <c r="D10328" s="1" t="s">
        <v>0</v>
      </c>
      <c r="E10328" s="2">
        <v>0</v>
      </c>
      <c r="F10328" s="2">
        <v>0</v>
      </c>
      <c r="G10328" s="2">
        <v>0</v>
      </c>
      <c r="H10328" s="1" t="s">
        <v>0</v>
      </c>
      <c r="I10328" s="2">
        <v>0</v>
      </c>
      <c r="J10328" s="1">
        <v>45978.373414351852</v>
      </c>
    </row>
    <row r="10329" spans="1:10" x14ac:dyDescent="0.2">
      <c r="A10329" s="4" t="s">
        <v>1</v>
      </c>
      <c r="B1032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29" s="3" t="str">
        <f>HYPERLINK("https://otsuka-europe-crm.veevavault.com/ui/#object/sent_email__v/VBL00000000O169", "SE-001390608")</f>
        <v>SE-001390608</v>
      </c>
      <c r="D10329" s="1">
        <v>45978.754780092589</v>
      </c>
      <c r="E10329" s="2">
        <v>1</v>
      </c>
      <c r="F10329" s="2">
        <v>3</v>
      </c>
      <c r="G10329" s="2">
        <v>0</v>
      </c>
      <c r="H10329" s="1" t="s">
        <v>0</v>
      </c>
      <c r="I10329" s="2">
        <v>0</v>
      </c>
      <c r="J10329" s="1">
        <v>45978.373483796298</v>
      </c>
    </row>
    <row r="10330" spans="1:10" x14ac:dyDescent="0.2">
      <c r="A10330" s="4" t="s">
        <v>1</v>
      </c>
      <c r="B1033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30" s="3" t="str">
        <f>HYPERLINK("https://otsuka-europe-crm.veevavault.com/ui/#object/sent_email__v/VBL00000000O170", "SE-001390609")</f>
        <v>SE-001390609</v>
      </c>
      <c r="D10330" s="1">
        <v>45978.926504629628</v>
      </c>
      <c r="E10330" s="2">
        <v>1</v>
      </c>
      <c r="F10330" s="2">
        <v>1</v>
      </c>
      <c r="G10330" s="2">
        <v>0</v>
      </c>
      <c r="H10330" s="1" t="s">
        <v>0</v>
      </c>
      <c r="I10330" s="2">
        <v>0</v>
      </c>
      <c r="J10330" s="1">
        <v>45978.373553240737</v>
      </c>
    </row>
    <row r="10331" spans="1:10" x14ac:dyDescent="0.2">
      <c r="A10331" s="4" t="s">
        <v>1</v>
      </c>
      <c r="B1033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31" s="3" t="str">
        <f>HYPERLINK("https://otsuka-europe-crm.veevavault.com/ui/#object/sent_email__v/VBL00000000O171", "SE-001390610")</f>
        <v>SE-001390610</v>
      </c>
      <c r="D10331" s="1">
        <v>45979.853379629632</v>
      </c>
      <c r="E10331" s="2">
        <v>1</v>
      </c>
      <c r="F10331" s="2">
        <v>1</v>
      </c>
      <c r="G10331" s="2">
        <v>1</v>
      </c>
      <c r="H10331" s="1">
        <v>45979.853379629632</v>
      </c>
      <c r="I10331" s="2">
        <v>1</v>
      </c>
      <c r="J10331" s="1">
        <v>45978.373611111114</v>
      </c>
    </row>
    <row r="10332" spans="1:10" x14ac:dyDescent="0.2">
      <c r="A10332" s="4" t="s">
        <v>1</v>
      </c>
      <c r="B1033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32" s="3" t="str">
        <f>HYPERLINK("https://otsuka-europe-crm.veevavault.com/ui/#object/sent_email__v/VBL00000000O172", "SE-001390611")</f>
        <v>SE-001390611</v>
      </c>
      <c r="D10332" s="1">
        <v>45978.43986111111</v>
      </c>
      <c r="E10332" s="2">
        <v>1</v>
      </c>
      <c r="F10332" s="2">
        <v>1</v>
      </c>
      <c r="G10332" s="2">
        <v>0</v>
      </c>
      <c r="H10332" s="1" t="s">
        <v>0</v>
      </c>
      <c r="I10332" s="2">
        <v>0</v>
      </c>
      <c r="J10332" s="1">
        <v>45978.373703703706</v>
      </c>
    </row>
    <row r="10333" spans="1:10" x14ac:dyDescent="0.2">
      <c r="A10333" s="4" t="s">
        <v>1</v>
      </c>
      <c r="B1033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33" s="3" t="str">
        <f>HYPERLINK("https://otsuka-europe-crm.veevavault.com/ui/#object/sent_email__v/VBL00000000O173", "SE-001390612")</f>
        <v>SE-001390612</v>
      </c>
      <c r="D10333" s="1">
        <v>45978.887488425928</v>
      </c>
      <c r="E10333" s="2">
        <v>1</v>
      </c>
      <c r="F10333" s="2">
        <v>1</v>
      </c>
      <c r="G10333" s="2">
        <v>0</v>
      </c>
      <c r="H10333" s="1" t="s">
        <v>0</v>
      </c>
      <c r="I10333" s="2">
        <v>0</v>
      </c>
      <c r="J10333" s="1">
        <v>45978.373749999999</v>
      </c>
    </row>
    <row r="10334" spans="1:10" x14ac:dyDescent="0.2">
      <c r="A10334" s="4" t="s">
        <v>1</v>
      </c>
      <c r="B1033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34" s="3" t="str">
        <f>HYPERLINK("https://otsuka-europe-crm.veevavault.com/ui/#object/sent_email__v/VBL00000000O174", "SE-001390613")</f>
        <v>SE-001390613</v>
      </c>
      <c r="D10334" s="1">
        <v>45982.638194444444</v>
      </c>
      <c r="E10334" s="2">
        <v>1</v>
      </c>
      <c r="F10334" s="2">
        <v>2</v>
      </c>
      <c r="G10334" s="2">
        <v>0</v>
      </c>
      <c r="H10334" s="1" t="s">
        <v>0</v>
      </c>
      <c r="I10334" s="2">
        <v>0</v>
      </c>
      <c r="J10334" s="1">
        <v>45978.373819444445</v>
      </c>
    </row>
    <row r="10335" spans="1:10" x14ac:dyDescent="0.2">
      <c r="A10335" s="4" t="s">
        <v>1</v>
      </c>
      <c r="B1033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35" s="3" t="str">
        <f>HYPERLINK("https://otsuka-europe-crm.veevavault.com/ui/#object/sent_email__v/VBL00000000O175", "SE-001390614")</f>
        <v>SE-001390614</v>
      </c>
      <c r="D10335" s="1" t="s">
        <v>0</v>
      </c>
      <c r="E10335" s="2">
        <v>0</v>
      </c>
      <c r="F10335" s="2">
        <v>0</v>
      </c>
      <c r="G10335" s="2">
        <v>0</v>
      </c>
      <c r="H10335" s="1" t="s">
        <v>0</v>
      </c>
      <c r="I10335" s="2">
        <v>0</v>
      </c>
      <c r="J10335" s="1">
        <v>45978.373888888891</v>
      </c>
    </row>
    <row r="10336" spans="1:10" x14ac:dyDescent="0.2">
      <c r="A10336" s="4" t="s">
        <v>1</v>
      </c>
      <c r="B1033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36" s="3" t="str">
        <f>HYPERLINK("https://otsuka-europe-crm.veevavault.com/ui/#object/sent_email__v/VBL00000000O176", "SE-001390615")</f>
        <v>SE-001390615</v>
      </c>
      <c r="D10336" s="1" t="s">
        <v>0</v>
      </c>
      <c r="E10336" s="2">
        <v>0</v>
      </c>
      <c r="F10336" s="2">
        <v>0</v>
      </c>
      <c r="G10336" s="2">
        <v>0</v>
      </c>
      <c r="H10336" s="1" t="s">
        <v>0</v>
      </c>
      <c r="I10336" s="2">
        <v>0</v>
      </c>
      <c r="J10336" s="1">
        <v>45978.37395833333</v>
      </c>
    </row>
    <row r="10337" spans="1:10" x14ac:dyDescent="0.2">
      <c r="A10337" s="4" t="s">
        <v>1</v>
      </c>
      <c r="B1033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37" s="3" t="str">
        <f>HYPERLINK("https://otsuka-europe-crm.veevavault.com/ui/#object/sent_email__v/VBL00000000O177", "SE-001390616")</f>
        <v>SE-001390616</v>
      </c>
      <c r="D10337" s="1">
        <v>45979.788437499999</v>
      </c>
      <c r="E10337" s="2">
        <v>1</v>
      </c>
      <c r="F10337" s="2">
        <v>2</v>
      </c>
      <c r="G10337" s="2">
        <v>0</v>
      </c>
      <c r="H10337" s="1" t="s">
        <v>0</v>
      </c>
      <c r="I10337" s="2">
        <v>0</v>
      </c>
      <c r="J10337" s="1">
        <v>45978.374039351853</v>
      </c>
    </row>
    <row r="10338" spans="1:10" x14ac:dyDescent="0.2">
      <c r="A10338" s="4" t="s">
        <v>1</v>
      </c>
      <c r="B1033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38" s="3" t="str">
        <f>HYPERLINK("https://otsuka-europe-crm.veevavault.com/ui/#object/sent_email__v/VBL00000000O178", "SE-001390617")</f>
        <v>SE-001390617</v>
      </c>
      <c r="D10338" s="1" t="s">
        <v>0</v>
      </c>
      <c r="E10338" s="2">
        <v>0</v>
      </c>
      <c r="F10338" s="2">
        <v>0</v>
      </c>
      <c r="G10338" s="2">
        <v>0</v>
      </c>
      <c r="H10338" s="1" t="s">
        <v>0</v>
      </c>
      <c r="I10338" s="2">
        <v>0</v>
      </c>
      <c r="J10338" s="1">
        <v>45978.374108796299</v>
      </c>
    </row>
    <row r="10339" spans="1:10" x14ac:dyDescent="0.2">
      <c r="A10339" s="4" t="s">
        <v>1</v>
      </c>
      <c r="B1033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39" s="3" t="str">
        <f>HYPERLINK("https://otsuka-europe-crm.veevavault.com/ui/#object/sent_email__v/VBL00000000O179", "SE-001390618")</f>
        <v>SE-001390618</v>
      </c>
      <c r="D10339" s="1" t="s">
        <v>0</v>
      </c>
      <c r="E10339" s="2">
        <v>0</v>
      </c>
      <c r="F10339" s="2">
        <v>0</v>
      </c>
      <c r="G10339" s="2">
        <v>0</v>
      </c>
      <c r="H10339" s="1" t="s">
        <v>0</v>
      </c>
      <c r="I10339" s="2">
        <v>0</v>
      </c>
      <c r="J10339" s="1">
        <v>45978.374421296299</v>
      </c>
    </row>
    <row r="10340" spans="1:10" x14ac:dyDescent="0.2">
      <c r="A10340" s="4" t="s">
        <v>1</v>
      </c>
      <c r="B1034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40" s="3" t="str">
        <f>HYPERLINK("https://otsuka-europe-crm.veevavault.com/ui/#object/sent_email__v/VBL00000000O180", "SE-001390619")</f>
        <v>SE-001390619</v>
      </c>
      <c r="D10340" s="1" t="s">
        <v>0</v>
      </c>
      <c r="E10340" s="2">
        <v>0</v>
      </c>
      <c r="F10340" s="2">
        <v>0</v>
      </c>
      <c r="G10340" s="2">
        <v>0</v>
      </c>
      <c r="H10340" s="1" t="s">
        <v>0</v>
      </c>
      <c r="I10340" s="2">
        <v>0</v>
      </c>
      <c r="J10340" s="1">
        <v>45978.374259259261</v>
      </c>
    </row>
    <row r="10341" spans="1:10" x14ac:dyDescent="0.2">
      <c r="A10341" s="4" t="s">
        <v>1</v>
      </c>
      <c r="B1034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41" s="3" t="str">
        <f>HYPERLINK("https://otsuka-europe-crm.veevavault.com/ui/#object/sent_email__v/VBL00000000O181", "SE-001390620")</f>
        <v>SE-001390620</v>
      </c>
      <c r="D10341" s="1" t="s">
        <v>0</v>
      </c>
      <c r="E10341" s="2">
        <v>0</v>
      </c>
      <c r="F10341" s="2">
        <v>0</v>
      </c>
      <c r="G10341" s="2">
        <v>0</v>
      </c>
      <c r="H10341" s="1" t="s">
        <v>0</v>
      </c>
      <c r="I10341" s="2">
        <v>0</v>
      </c>
      <c r="J10341" s="1">
        <v>45978.374328703707</v>
      </c>
    </row>
    <row r="10342" spans="1:10" x14ac:dyDescent="0.2">
      <c r="A10342" s="4" t="s">
        <v>1</v>
      </c>
      <c r="B1034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42" s="3" t="str">
        <f>HYPERLINK("https://otsuka-europe-crm.veevavault.com/ui/#object/sent_email__v/VBL00000000O182", "SE-001390621")</f>
        <v>SE-001390621</v>
      </c>
      <c r="D10342" s="1" t="s">
        <v>0</v>
      </c>
      <c r="E10342" s="2">
        <v>0</v>
      </c>
      <c r="F10342" s="2">
        <v>0</v>
      </c>
      <c r="G10342" s="2">
        <v>0</v>
      </c>
      <c r="H10342" s="1" t="s">
        <v>0</v>
      </c>
      <c r="I10342" s="2">
        <v>0</v>
      </c>
      <c r="J10342" s="1">
        <v>45978.374398148146</v>
      </c>
    </row>
    <row r="10343" spans="1:10" x14ac:dyDescent="0.2">
      <c r="A10343" s="4" t="s">
        <v>1</v>
      </c>
      <c r="B1034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43" s="3" t="str">
        <f>HYPERLINK("https://otsuka-europe-crm.veevavault.com/ui/#object/sent_email__v/VBL00000000O183", "SE-001390622")</f>
        <v>SE-001390622</v>
      </c>
      <c r="D10343" s="1">
        <v>46002.270173611112</v>
      </c>
      <c r="E10343" s="2">
        <v>1</v>
      </c>
      <c r="F10343" s="2">
        <v>3</v>
      </c>
      <c r="G10343" s="2">
        <v>0</v>
      </c>
      <c r="H10343" s="1" t="s">
        <v>0</v>
      </c>
      <c r="I10343" s="2">
        <v>0</v>
      </c>
      <c r="J10343" s="1">
        <v>45978.374467592592</v>
      </c>
    </row>
    <row r="10344" spans="1:10" x14ac:dyDescent="0.2">
      <c r="A10344" s="4" t="s">
        <v>1</v>
      </c>
      <c r="B1034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44" s="3" t="str">
        <f>HYPERLINK("https://otsuka-europe-crm.veevavault.com/ui/#object/sent_email__v/VBL00000000O184", "SE-001390623")</f>
        <v>SE-001390623</v>
      </c>
      <c r="D10344" s="1" t="s">
        <v>0</v>
      </c>
      <c r="E10344" s="2">
        <v>0</v>
      </c>
      <c r="F10344" s="2">
        <v>0</v>
      </c>
      <c r="G10344" s="2">
        <v>0</v>
      </c>
      <c r="H10344" s="1" t="s">
        <v>0</v>
      </c>
      <c r="I10344" s="2">
        <v>0</v>
      </c>
      <c r="J10344" s="1">
        <v>45978.374537037038</v>
      </c>
    </row>
    <row r="10345" spans="1:10" x14ac:dyDescent="0.2">
      <c r="A10345" s="4" t="s">
        <v>1</v>
      </c>
      <c r="B1034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45" s="3" t="str">
        <f>HYPERLINK("https://otsuka-europe-crm.veevavault.com/ui/#object/sent_email__v/VBL00000000O185", "SE-001390624")</f>
        <v>SE-001390624</v>
      </c>
      <c r="D10345" s="1">
        <v>45978.603703703702</v>
      </c>
      <c r="E10345" s="2">
        <v>1</v>
      </c>
      <c r="F10345" s="2">
        <v>1</v>
      </c>
      <c r="G10345" s="2">
        <v>0</v>
      </c>
      <c r="H10345" s="1" t="s">
        <v>0</v>
      </c>
      <c r="I10345" s="2">
        <v>0</v>
      </c>
      <c r="J10345" s="1">
        <v>45978.37462962963</v>
      </c>
    </row>
    <row r="10346" spans="1:10" x14ac:dyDescent="0.2">
      <c r="A10346" s="4" t="s">
        <v>1</v>
      </c>
      <c r="B1034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46" s="3" t="str">
        <f>HYPERLINK("https://otsuka-europe-crm.veevavault.com/ui/#object/sent_email__v/VBL00000000O186", "SE-001390625")</f>
        <v>SE-001390625</v>
      </c>
      <c r="D10346" s="1">
        <v>45978.695671296293</v>
      </c>
      <c r="E10346" s="2">
        <v>1</v>
      </c>
      <c r="F10346" s="2">
        <v>2</v>
      </c>
      <c r="G10346" s="2">
        <v>0</v>
      </c>
      <c r="H10346" s="1" t="s">
        <v>0</v>
      </c>
      <c r="I10346" s="2">
        <v>0</v>
      </c>
      <c r="J10346" s="1">
        <v>45978.374675925923</v>
      </c>
    </row>
    <row r="10347" spans="1:10" x14ac:dyDescent="0.2">
      <c r="A10347" s="4" t="s">
        <v>1</v>
      </c>
      <c r="B1034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47" s="3" t="str">
        <f>HYPERLINK("https://otsuka-europe-crm.veevavault.com/ui/#object/sent_email__v/VBL00000000O187", "SE-001390626")</f>
        <v>SE-001390626</v>
      </c>
      <c r="D10347" s="1" t="s">
        <v>0</v>
      </c>
      <c r="E10347" s="2">
        <v>0</v>
      </c>
      <c r="F10347" s="2">
        <v>0</v>
      </c>
      <c r="G10347" s="2">
        <v>0</v>
      </c>
      <c r="H10347" s="1" t="s">
        <v>0</v>
      </c>
      <c r="I10347" s="2">
        <v>0</v>
      </c>
      <c r="J10347" s="1">
        <v>45978.374745370369</v>
      </c>
    </row>
    <row r="10348" spans="1:10" x14ac:dyDescent="0.2">
      <c r="A10348" s="4" t="s">
        <v>1</v>
      </c>
      <c r="B1034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48" s="3" t="str">
        <f>HYPERLINK("https://otsuka-europe-crm.veevavault.com/ui/#object/sent_email__v/VBL00000000O188", "SE-001390627")</f>
        <v>SE-001390627</v>
      </c>
      <c r="D10348" s="1">
        <v>45978.631504629629</v>
      </c>
      <c r="E10348" s="2">
        <v>1</v>
      </c>
      <c r="F10348" s="2">
        <v>2</v>
      </c>
      <c r="G10348" s="2">
        <v>0</v>
      </c>
      <c r="H10348" s="1" t="s">
        <v>0</v>
      </c>
      <c r="I10348" s="2">
        <v>0</v>
      </c>
      <c r="J10348" s="1">
        <v>45978.374826388892</v>
      </c>
    </row>
    <row r="10349" spans="1:10" x14ac:dyDescent="0.2">
      <c r="A10349" s="4" t="s">
        <v>1</v>
      </c>
      <c r="B1034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49" s="3" t="str">
        <f>HYPERLINK("https://otsuka-europe-crm.veevavault.com/ui/#object/sent_email__v/VBL00000000O189", "SE-001390628")</f>
        <v>SE-001390628</v>
      </c>
      <c r="D10349" s="1">
        <v>45979.231782407405</v>
      </c>
      <c r="E10349" s="2">
        <v>1</v>
      </c>
      <c r="F10349" s="2">
        <v>1</v>
      </c>
      <c r="G10349" s="2">
        <v>0</v>
      </c>
      <c r="H10349" s="1" t="s">
        <v>0</v>
      </c>
      <c r="I10349" s="2">
        <v>0</v>
      </c>
      <c r="J10349" s="1">
        <v>45978.374907407408</v>
      </c>
    </row>
    <row r="10350" spans="1:10" x14ac:dyDescent="0.2">
      <c r="A10350" s="4" t="s">
        <v>1</v>
      </c>
      <c r="B1035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50" s="3" t="str">
        <f>HYPERLINK("https://otsuka-europe-crm.veevavault.com/ui/#object/sent_email__v/VBL00000000O190", "SE-001390629")</f>
        <v>SE-001390629</v>
      </c>
      <c r="D10350" s="1">
        <v>45978.590509259258</v>
      </c>
      <c r="E10350" s="2">
        <v>1</v>
      </c>
      <c r="F10350" s="2">
        <v>1</v>
      </c>
      <c r="G10350" s="2">
        <v>0</v>
      </c>
      <c r="H10350" s="1" t="s">
        <v>0</v>
      </c>
      <c r="I10350" s="2">
        <v>0</v>
      </c>
      <c r="J10350" s="1">
        <v>45978.374965277777</v>
      </c>
    </row>
    <row r="10351" spans="1:10" x14ac:dyDescent="0.2">
      <c r="A10351" s="4" t="s">
        <v>1</v>
      </c>
      <c r="B1035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51" s="3" t="str">
        <f>HYPERLINK("https://otsuka-europe-crm.veevavault.com/ui/#object/sent_email__v/VBL00000000O191", "SE-001390630")</f>
        <v>SE-001390630</v>
      </c>
      <c r="D10351" s="1" t="s">
        <v>0</v>
      </c>
      <c r="E10351" s="2">
        <v>0</v>
      </c>
      <c r="F10351" s="2">
        <v>0</v>
      </c>
      <c r="G10351" s="2">
        <v>0</v>
      </c>
      <c r="H10351" s="1" t="s">
        <v>0</v>
      </c>
      <c r="I10351" s="2">
        <v>0</v>
      </c>
      <c r="J10351" s="1">
        <v>45978.375023148146</v>
      </c>
    </row>
    <row r="10352" spans="1:10" x14ac:dyDescent="0.2">
      <c r="A10352" s="4" t="s">
        <v>1</v>
      </c>
      <c r="B1035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52" s="3" t="str">
        <f>HYPERLINK("https://otsuka-europe-crm.veevavault.com/ui/#object/sent_email__v/VBL00000000O192", "SE-001390631")</f>
        <v>SE-001390631</v>
      </c>
      <c r="D10352" s="1" t="s">
        <v>0</v>
      </c>
      <c r="E10352" s="2">
        <v>0</v>
      </c>
      <c r="F10352" s="2">
        <v>0</v>
      </c>
      <c r="G10352" s="2">
        <v>0</v>
      </c>
      <c r="H10352" s="1" t="s">
        <v>0</v>
      </c>
      <c r="I10352" s="2">
        <v>0</v>
      </c>
      <c r="J10352" s="1">
        <v>45978.375069444446</v>
      </c>
    </row>
    <row r="10353" spans="1:10" x14ac:dyDescent="0.2">
      <c r="A10353" s="4" t="s">
        <v>1</v>
      </c>
      <c r="B1035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53" s="3" t="str">
        <f>HYPERLINK("https://otsuka-europe-crm.veevavault.com/ui/#object/sent_email__v/VBL00000000O193", "SE-001390632")</f>
        <v>SE-001390632</v>
      </c>
      <c r="D10353" s="1">
        <v>45978.728726851848</v>
      </c>
      <c r="E10353" s="2">
        <v>1</v>
      </c>
      <c r="F10353" s="2">
        <v>1</v>
      </c>
      <c r="G10353" s="2">
        <v>0</v>
      </c>
      <c r="H10353" s="1" t="s">
        <v>0</v>
      </c>
      <c r="I10353" s="2">
        <v>0</v>
      </c>
      <c r="J10353" s="1">
        <v>45978.375104166669</v>
      </c>
    </row>
    <row r="10354" spans="1:10" x14ac:dyDescent="0.2">
      <c r="A10354" s="4" t="s">
        <v>1</v>
      </c>
      <c r="B1035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54" s="3" t="str">
        <f>HYPERLINK("https://otsuka-europe-crm.veevavault.com/ui/#object/sent_email__v/VBL00000000O194", "SE-001390633")</f>
        <v>SE-001390633</v>
      </c>
      <c r="D10354" s="1">
        <v>46011.377326388887</v>
      </c>
      <c r="E10354" s="2">
        <v>1</v>
      </c>
      <c r="F10354" s="2">
        <v>2</v>
      </c>
      <c r="G10354" s="2">
        <v>0</v>
      </c>
      <c r="H10354" s="1" t="s">
        <v>0</v>
      </c>
      <c r="I10354" s="2">
        <v>0</v>
      </c>
      <c r="J10354" s="1">
        <v>45978.375150462962</v>
      </c>
    </row>
    <row r="10355" spans="1:10" x14ac:dyDescent="0.2">
      <c r="A10355" s="4" t="s">
        <v>1</v>
      </c>
      <c r="B1035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55" s="3" t="str">
        <f>HYPERLINK("https://otsuka-europe-crm.veevavault.com/ui/#object/sent_email__v/VBL00000000O195", "SE-001390634")</f>
        <v>SE-001390634</v>
      </c>
      <c r="D10355" s="1">
        <v>45978.450185185182</v>
      </c>
      <c r="E10355" s="2">
        <v>1</v>
      </c>
      <c r="F10355" s="2">
        <v>1</v>
      </c>
      <c r="G10355" s="2">
        <v>0</v>
      </c>
      <c r="H10355" s="1" t="s">
        <v>0</v>
      </c>
      <c r="I10355" s="2">
        <v>0</v>
      </c>
      <c r="J10355" s="1">
        <v>45978.375185185185</v>
      </c>
    </row>
    <row r="10356" spans="1:10" x14ac:dyDescent="0.2">
      <c r="A10356" s="4" t="s">
        <v>1</v>
      </c>
      <c r="B1035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56" s="3" t="str">
        <f>HYPERLINK("https://otsuka-europe-crm.veevavault.com/ui/#object/sent_email__v/VBL00000000O196", "SE-001390635")</f>
        <v>SE-001390635</v>
      </c>
      <c r="D10356" s="1">
        <v>45980.447557870371</v>
      </c>
      <c r="E10356" s="2">
        <v>1</v>
      </c>
      <c r="F10356" s="2">
        <v>2</v>
      </c>
      <c r="G10356" s="2">
        <v>0</v>
      </c>
      <c r="H10356" s="1" t="s">
        <v>0</v>
      </c>
      <c r="I10356" s="2">
        <v>0</v>
      </c>
      <c r="J10356" s="1">
        <v>45978.375231481485</v>
      </c>
    </row>
    <row r="10357" spans="1:10" x14ac:dyDescent="0.2">
      <c r="A10357" s="4" t="s">
        <v>1</v>
      </c>
      <c r="B1035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57" s="3" t="str">
        <f>HYPERLINK("https://otsuka-europe-crm.veevavault.com/ui/#object/sent_email__v/VBL00000000O197", "SE-001390636")</f>
        <v>SE-001390636</v>
      </c>
      <c r="D10357" s="1">
        <v>45978.641631944447</v>
      </c>
      <c r="E10357" s="2">
        <v>1</v>
      </c>
      <c r="F10357" s="2">
        <v>2</v>
      </c>
      <c r="G10357" s="2">
        <v>0</v>
      </c>
      <c r="H10357" s="1" t="s">
        <v>0</v>
      </c>
      <c r="I10357" s="2">
        <v>0</v>
      </c>
      <c r="J10357" s="1">
        <v>45978.3752662037</v>
      </c>
    </row>
    <row r="10358" spans="1:10" x14ac:dyDescent="0.2">
      <c r="A10358" s="4" t="s">
        <v>1</v>
      </c>
      <c r="B1035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58" s="3" t="str">
        <f>HYPERLINK("https://otsuka-europe-crm.veevavault.com/ui/#object/sent_email__v/VBL00000000O198", "SE-001390637")</f>
        <v>SE-001390637</v>
      </c>
      <c r="D10358" s="1">
        <v>45978.379976851851</v>
      </c>
      <c r="E10358" s="2">
        <v>1</v>
      </c>
      <c r="F10358" s="2">
        <v>1</v>
      </c>
      <c r="G10358" s="2">
        <v>0</v>
      </c>
      <c r="H10358" s="1" t="s">
        <v>0</v>
      </c>
      <c r="I10358" s="2">
        <v>0</v>
      </c>
      <c r="J10358" s="1">
        <v>45978.375300925924</v>
      </c>
    </row>
    <row r="10359" spans="1:10" x14ac:dyDescent="0.2">
      <c r="A10359" s="4" t="s">
        <v>1</v>
      </c>
      <c r="B1035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59" s="3" t="str">
        <f>HYPERLINK("https://otsuka-europe-crm.veevavault.com/ui/#object/sent_email__v/VBL00000000O199", "SE-001390638")</f>
        <v>SE-001390638</v>
      </c>
      <c r="D10359" s="1">
        <v>45978.897256944445</v>
      </c>
      <c r="E10359" s="2">
        <v>1</v>
      </c>
      <c r="F10359" s="2">
        <v>1</v>
      </c>
      <c r="G10359" s="2">
        <v>0</v>
      </c>
      <c r="H10359" s="1" t="s">
        <v>0</v>
      </c>
      <c r="I10359" s="2">
        <v>0</v>
      </c>
      <c r="J10359" s="1">
        <v>45978.375347222223</v>
      </c>
    </row>
    <row r="10360" spans="1:10" x14ac:dyDescent="0.2">
      <c r="A10360" s="4" t="s">
        <v>1</v>
      </c>
      <c r="B1036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60" s="3" t="str">
        <f>HYPERLINK("https://otsuka-europe-crm.veevavault.com/ui/#object/sent_email__v/VBL00000000O200", "SE-001390639")</f>
        <v>SE-001390639</v>
      </c>
      <c r="D10360" s="1">
        <v>45978.450960648152</v>
      </c>
      <c r="E10360" s="2">
        <v>1</v>
      </c>
      <c r="F10360" s="2">
        <v>1</v>
      </c>
      <c r="G10360" s="2">
        <v>0</v>
      </c>
      <c r="H10360" s="1" t="s">
        <v>0</v>
      </c>
      <c r="I10360" s="2">
        <v>0</v>
      </c>
      <c r="J10360" s="1">
        <v>45978.375393518516</v>
      </c>
    </row>
    <row r="10361" spans="1:10" x14ac:dyDescent="0.2">
      <c r="A10361" s="4" t="s">
        <v>1</v>
      </c>
      <c r="B1036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61" s="3" t="str">
        <f>HYPERLINK("https://otsuka-europe-crm.veevavault.com/ui/#object/sent_email__v/VBL00000000O201", "SE-001390640")</f>
        <v>SE-001390640</v>
      </c>
      <c r="D10361" s="1">
        <v>46047.526053240741</v>
      </c>
      <c r="E10361" s="2">
        <v>1</v>
      </c>
      <c r="F10361" s="2">
        <v>1</v>
      </c>
      <c r="G10361" s="2">
        <v>0</v>
      </c>
      <c r="H10361" s="1" t="s">
        <v>0</v>
      </c>
      <c r="I10361" s="2">
        <v>0</v>
      </c>
      <c r="J10361" s="1">
        <v>45978.375439814816</v>
      </c>
    </row>
    <row r="10362" spans="1:10" x14ac:dyDescent="0.2">
      <c r="A10362" s="4" t="s">
        <v>1</v>
      </c>
      <c r="B1036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62" s="3" t="str">
        <f>HYPERLINK("https://otsuka-europe-crm.veevavault.com/ui/#object/sent_email__v/VBL00000000O202", "SE-001390641")</f>
        <v>SE-001390641</v>
      </c>
      <c r="D10362" s="1">
        <v>45978.526469907411</v>
      </c>
      <c r="E10362" s="2">
        <v>1</v>
      </c>
      <c r="F10362" s="2">
        <v>1</v>
      </c>
      <c r="G10362" s="2">
        <v>0</v>
      </c>
      <c r="H10362" s="1" t="s">
        <v>0</v>
      </c>
      <c r="I10362" s="2">
        <v>0</v>
      </c>
      <c r="J10362" s="1">
        <v>45978.375462962962</v>
      </c>
    </row>
    <row r="10363" spans="1:10" x14ac:dyDescent="0.2">
      <c r="A10363" s="4" t="s">
        <v>1</v>
      </c>
      <c r="B1036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63" s="3" t="str">
        <f>HYPERLINK("https://otsuka-europe-crm.veevavault.com/ui/#object/sent_email__v/VBL00000000O203", "SE-001390642")</f>
        <v>SE-001390642</v>
      </c>
      <c r="D10363" s="1">
        <v>45978.559930555559</v>
      </c>
      <c r="E10363" s="2">
        <v>1</v>
      </c>
      <c r="F10363" s="2">
        <v>1</v>
      </c>
      <c r="G10363" s="2">
        <v>1</v>
      </c>
      <c r="H10363" s="1">
        <v>45978.560381944444</v>
      </c>
      <c r="I10363" s="2">
        <v>2</v>
      </c>
      <c r="J10363" s="1">
        <v>45978.375509259262</v>
      </c>
    </row>
    <row r="10364" spans="1:10" x14ac:dyDescent="0.2">
      <c r="A10364" s="4" t="s">
        <v>1</v>
      </c>
      <c r="B1036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64" s="3" t="str">
        <f>HYPERLINK("https://otsuka-europe-crm.veevavault.com/ui/#object/sent_email__v/VBL00000000O204", "SE-001390643")</f>
        <v>SE-001390643</v>
      </c>
      <c r="D10364" s="1" t="s">
        <v>0</v>
      </c>
      <c r="E10364" s="2">
        <v>0</v>
      </c>
      <c r="F10364" s="2">
        <v>0</v>
      </c>
      <c r="G10364" s="2">
        <v>0</v>
      </c>
      <c r="H10364" s="1" t="s">
        <v>0</v>
      </c>
      <c r="I10364" s="2">
        <v>0</v>
      </c>
      <c r="J10364" s="1">
        <v>45978.375543981485</v>
      </c>
    </row>
    <row r="10365" spans="1:10" x14ac:dyDescent="0.2">
      <c r="A10365" s="4" t="s">
        <v>1</v>
      </c>
      <c r="B1036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65" s="3" t="str">
        <f>HYPERLINK("https://otsuka-europe-crm.veevavault.com/ui/#object/sent_email__v/VBL00000000O205", "SE-001390644")</f>
        <v>SE-001390644</v>
      </c>
      <c r="D10365" s="1" t="s">
        <v>0</v>
      </c>
      <c r="E10365" s="2">
        <v>0</v>
      </c>
      <c r="F10365" s="2">
        <v>0</v>
      </c>
      <c r="G10365" s="2">
        <v>0</v>
      </c>
      <c r="H10365" s="1" t="s">
        <v>0</v>
      </c>
      <c r="I10365" s="2">
        <v>0</v>
      </c>
      <c r="J10365" s="1">
        <v>45978.375578703701</v>
      </c>
    </row>
    <row r="10366" spans="1:10" x14ac:dyDescent="0.2">
      <c r="A10366" s="4" t="s">
        <v>1</v>
      </c>
      <c r="B1036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66" s="3" t="str">
        <f>HYPERLINK("https://otsuka-europe-crm.veevavault.com/ui/#object/sent_email__v/VBL00000000O206", "SE-001390645")</f>
        <v>SE-001390645</v>
      </c>
      <c r="D10366" s="1" t="s">
        <v>0</v>
      </c>
      <c r="E10366" s="2">
        <v>0</v>
      </c>
      <c r="F10366" s="2">
        <v>0</v>
      </c>
      <c r="G10366" s="2">
        <v>0</v>
      </c>
      <c r="H10366" s="1" t="s">
        <v>0</v>
      </c>
      <c r="I10366" s="2">
        <v>0</v>
      </c>
      <c r="J10366" s="1">
        <v>45978.375625000001</v>
      </c>
    </row>
    <row r="10367" spans="1:10" x14ac:dyDescent="0.2">
      <c r="A10367" s="4" t="s">
        <v>1</v>
      </c>
      <c r="B1036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67" s="3" t="str">
        <f>HYPERLINK("https://otsuka-europe-crm.veevavault.com/ui/#object/sent_email__v/VBL00000000O207", "SE-001390646")</f>
        <v>SE-001390646</v>
      </c>
      <c r="D10367" s="1" t="s">
        <v>0</v>
      </c>
      <c r="E10367" s="2">
        <v>0</v>
      </c>
      <c r="F10367" s="2">
        <v>0</v>
      </c>
      <c r="G10367" s="2">
        <v>0</v>
      </c>
      <c r="H10367" s="1" t="s">
        <v>0</v>
      </c>
      <c r="I10367" s="2">
        <v>0</v>
      </c>
      <c r="J10367" s="1">
        <v>45978.375659722224</v>
      </c>
    </row>
    <row r="10368" spans="1:10" x14ac:dyDescent="0.2">
      <c r="A10368" s="4" t="s">
        <v>1</v>
      </c>
      <c r="B1036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68" s="3" t="str">
        <f>HYPERLINK("https://otsuka-europe-crm.veevavault.com/ui/#object/sent_email__v/VBL00000000O208", "SE-001390647")</f>
        <v>SE-001390647</v>
      </c>
      <c r="D10368" s="1" t="s">
        <v>0</v>
      </c>
      <c r="E10368" s="2">
        <v>0</v>
      </c>
      <c r="F10368" s="2">
        <v>0</v>
      </c>
      <c r="G10368" s="2">
        <v>0</v>
      </c>
      <c r="H10368" s="1" t="s">
        <v>0</v>
      </c>
      <c r="I10368" s="2">
        <v>0</v>
      </c>
      <c r="J10368" s="1">
        <v>45978.375706018516</v>
      </c>
    </row>
    <row r="10369" spans="1:10" x14ac:dyDescent="0.2">
      <c r="A10369" s="4" t="s">
        <v>1</v>
      </c>
      <c r="B1036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69" s="3" t="str">
        <f>HYPERLINK("https://otsuka-europe-crm.veevavault.com/ui/#object/sent_email__v/VBL00000000O209", "SE-001390648")</f>
        <v>SE-001390648</v>
      </c>
      <c r="D10369" s="1">
        <v>45978.991932870369</v>
      </c>
      <c r="E10369" s="2">
        <v>1</v>
      </c>
      <c r="F10369" s="2">
        <v>1</v>
      </c>
      <c r="G10369" s="2">
        <v>0</v>
      </c>
      <c r="H10369" s="1" t="s">
        <v>0</v>
      </c>
      <c r="I10369" s="2">
        <v>0</v>
      </c>
      <c r="J10369" s="1">
        <v>45978.375752314816</v>
      </c>
    </row>
    <row r="10370" spans="1:10" x14ac:dyDescent="0.2">
      <c r="A10370" s="4" t="s">
        <v>1</v>
      </c>
      <c r="B1037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70" s="3" t="str">
        <f>HYPERLINK("https://otsuka-europe-crm.veevavault.com/ui/#object/sent_email__v/VBL00000000O210", "SE-001390649")</f>
        <v>SE-001390649</v>
      </c>
      <c r="D10370" s="1">
        <v>45978.409317129626</v>
      </c>
      <c r="E10370" s="2">
        <v>1</v>
      </c>
      <c r="F10370" s="2">
        <v>1</v>
      </c>
      <c r="G10370" s="2">
        <v>0</v>
      </c>
      <c r="H10370" s="1" t="s">
        <v>0</v>
      </c>
      <c r="I10370" s="2">
        <v>0</v>
      </c>
      <c r="J10370" s="1">
        <v>45978.375787037039</v>
      </c>
    </row>
    <row r="10371" spans="1:10" x14ac:dyDescent="0.2">
      <c r="A10371" s="4" t="s">
        <v>1</v>
      </c>
      <c r="B1037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71" s="3" t="str">
        <f>HYPERLINK("https://otsuka-europe-crm.veevavault.com/ui/#object/sent_email__v/VBL00000000O211", "SE-001390650")</f>
        <v>SE-001390650</v>
      </c>
      <c r="D10371" s="1" t="s">
        <v>0</v>
      </c>
      <c r="E10371" s="2">
        <v>0</v>
      </c>
      <c r="F10371" s="2">
        <v>0</v>
      </c>
      <c r="G10371" s="2">
        <v>0</v>
      </c>
      <c r="H10371" s="1" t="s">
        <v>0</v>
      </c>
      <c r="I10371" s="2">
        <v>0</v>
      </c>
      <c r="J10371" s="1">
        <v>45978.375833333332</v>
      </c>
    </row>
    <row r="10372" spans="1:10" x14ac:dyDescent="0.2">
      <c r="A10372" s="4" t="s">
        <v>1</v>
      </c>
      <c r="B1037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72" s="3" t="str">
        <f>HYPERLINK("https://otsuka-europe-crm.veevavault.com/ui/#object/sent_email__v/VBL00000000O212", "SE-001390651")</f>
        <v>SE-001390651</v>
      </c>
      <c r="D10372" s="1" t="s">
        <v>0</v>
      </c>
      <c r="E10372" s="2">
        <v>0</v>
      </c>
      <c r="F10372" s="2">
        <v>0</v>
      </c>
      <c r="G10372" s="2">
        <v>0</v>
      </c>
      <c r="H10372" s="1" t="s">
        <v>0</v>
      </c>
      <c r="I10372" s="2">
        <v>0</v>
      </c>
      <c r="J10372" s="1">
        <v>45978.37427083333</v>
      </c>
    </row>
    <row r="10373" spans="1:10" x14ac:dyDescent="0.2">
      <c r="A10373" s="4" t="s">
        <v>1</v>
      </c>
      <c r="B1037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73" s="3" t="str">
        <f>HYPERLINK("https://otsuka-europe-crm.veevavault.com/ui/#object/sent_email__v/VBL00000000O213", "SE-001390652")</f>
        <v>SE-001390652</v>
      </c>
      <c r="D10373" s="1">
        <v>46029.469768518517</v>
      </c>
      <c r="E10373" s="2">
        <v>1</v>
      </c>
      <c r="F10373" s="2">
        <v>2</v>
      </c>
      <c r="G10373" s="2">
        <v>0</v>
      </c>
      <c r="H10373" s="1" t="s">
        <v>0</v>
      </c>
      <c r="I10373" s="2">
        <v>0</v>
      </c>
      <c r="J10373" s="1">
        <v>45978.374340277776</v>
      </c>
    </row>
    <row r="10374" spans="1:10" x14ac:dyDescent="0.2">
      <c r="A10374" s="4" t="s">
        <v>1</v>
      </c>
      <c r="B1037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74" s="3" t="str">
        <f>HYPERLINK("https://otsuka-europe-crm.veevavault.com/ui/#object/sent_email__v/VBL00000000O214", "SE-001390653")</f>
        <v>SE-001390653</v>
      </c>
      <c r="D10374" s="1">
        <v>45983.064583333333</v>
      </c>
      <c r="E10374" s="2">
        <v>1</v>
      </c>
      <c r="F10374" s="2">
        <v>1</v>
      </c>
      <c r="G10374" s="2">
        <v>0</v>
      </c>
      <c r="H10374" s="1" t="s">
        <v>0</v>
      </c>
      <c r="I10374" s="2">
        <v>0</v>
      </c>
      <c r="J10374" s="1">
        <v>45978.374409722222</v>
      </c>
    </row>
    <row r="10375" spans="1:10" x14ac:dyDescent="0.2">
      <c r="A10375" s="4" t="s">
        <v>1</v>
      </c>
      <c r="B1037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75" s="3" t="str">
        <f>HYPERLINK("https://otsuka-europe-crm.veevavault.com/ui/#object/sent_email__v/VBL00000000O215", "SE-001390654")</f>
        <v>SE-001390654</v>
      </c>
      <c r="D10375" s="1">
        <v>45978.637824074074</v>
      </c>
      <c r="E10375" s="2">
        <v>1</v>
      </c>
      <c r="F10375" s="2">
        <v>2</v>
      </c>
      <c r="G10375" s="2">
        <v>0</v>
      </c>
      <c r="H10375" s="1" t="s">
        <v>0</v>
      </c>
      <c r="I10375" s="2">
        <v>0</v>
      </c>
      <c r="J10375" s="1">
        <v>45978.374479166669</v>
      </c>
    </row>
    <row r="10376" spans="1:10" x14ac:dyDescent="0.2">
      <c r="A10376" s="4" t="s">
        <v>1</v>
      </c>
      <c r="B1037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76" s="3" t="str">
        <f>HYPERLINK("https://otsuka-europe-crm.veevavault.com/ui/#object/sent_email__v/VBL00000000O216", "SE-001390655")</f>
        <v>SE-001390655</v>
      </c>
      <c r="D10376" s="1" t="s">
        <v>0</v>
      </c>
      <c r="E10376" s="2">
        <v>0</v>
      </c>
      <c r="F10376" s="2">
        <v>0</v>
      </c>
      <c r="G10376" s="2">
        <v>0</v>
      </c>
      <c r="H10376" s="1" t="s">
        <v>0</v>
      </c>
      <c r="I10376" s="2">
        <v>0</v>
      </c>
      <c r="J10376" s="1">
        <v>45978.374560185184</v>
      </c>
    </row>
    <row r="10377" spans="1:10" x14ac:dyDescent="0.2">
      <c r="A10377" s="4" t="s">
        <v>1</v>
      </c>
      <c r="B1037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77" s="3" t="str">
        <f>HYPERLINK("https://otsuka-europe-crm.veevavault.com/ui/#object/sent_email__v/VBL00000000O217", "SE-001390656")</f>
        <v>SE-001390656</v>
      </c>
      <c r="D10377" s="1" t="s">
        <v>0</v>
      </c>
      <c r="E10377" s="2">
        <v>0</v>
      </c>
      <c r="F10377" s="2">
        <v>0</v>
      </c>
      <c r="G10377" s="2">
        <v>0</v>
      </c>
      <c r="H10377" s="1" t="s">
        <v>0</v>
      </c>
      <c r="I10377" s="2">
        <v>0</v>
      </c>
      <c r="J10377" s="1">
        <v>45978.374618055554</v>
      </c>
    </row>
    <row r="10378" spans="1:10" x14ac:dyDescent="0.2">
      <c r="A10378" s="4" t="s">
        <v>1</v>
      </c>
      <c r="B1037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78" s="3" t="str">
        <f>HYPERLINK("https://otsuka-europe-crm.veevavault.com/ui/#object/sent_email__v/VBL00000000O218", "SE-001390657")</f>
        <v>SE-001390657</v>
      </c>
      <c r="D10378" s="1">
        <v>45978.90215277778</v>
      </c>
      <c r="E10378" s="2">
        <v>1</v>
      </c>
      <c r="F10378" s="2">
        <v>1</v>
      </c>
      <c r="G10378" s="2">
        <v>0</v>
      </c>
      <c r="H10378" s="1" t="s">
        <v>0</v>
      </c>
      <c r="I10378" s="2">
        <v>0</v>
      </c>
      <c r="J10378" s="1">
        <v>45978.3746875</v>
      </c>
    </row>
    <row r="10379" spans="1:10" x14ac:dyDescent="0.2">
      <c r="A10379" s="4" t="s">
        <v>1</v>
      </c>
      <c r="B1037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79" s="3" t="str">
        <f>HYPERLINK("https://otsuka-europe-crm.veevavault.com/ui/#object/sent_email__v/VBL00000000O219", "SE-001390658")</f>
        <v>SE-001390658</v>
      </c>
      <c r="D10379" s="1">
        <v>45978.375231481485</v>
      </c>
      <c r="E10379" s="2">
        <v>1</v>
      </c>
      <c r="F10379" s="2">
        <v>1</v>
      </c>
      <c r="G10379" s="2">
        <v>0</v>
      </c>
      <c r="H10379" s="1" t="s">
        <v>0</v>
      </c>
      <c r="I10379" s="2">
        <v>0</v>
      </c>
      <c r="J10379" s="1">
        <v>45978.374756944446</v>
      </c>
    </row>
    <row r="10380" spans="1:10" x14ac:dyDescent="0.2">
      <c r="A10380" s="4" t="s">
        <v>1</v>
      </c>
      <c r="B1038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80" s="3" t="str">
        <f>HYPERLINK("https://otsuka-europe-crm.veevavault.com/ui/#object/sent_email__v/VBL00000000O220", "SE-001390659")</f>
        <v>SE-001390659</v>
      </c>
      <c r="D10380" s="1">
        <v>46047.526053240741</v>
      </c>
      <c r="E10380" s="2">
        <v>1</v>
      </c>
      <c r="F10380" s="2">
        <v>1</v>
      </c>
      <c r="G10380" s="2">
        <v>0</v>
      </c>
      <c r="H10380" s="1" t="s">
        <v>0</v>
      </c>
      <c r="I10380" s="2">
        <v>0</v>
      </c>
      <c r="J10380" s="1">
        <v>45978.374837962961</v>
      </c>
    </row>
    <row r="10381" spans="1:10" x14ac:dyDescent="0.2">
      <c r="A10381" s="4" t="s">
        <v>1</v>
      </c>
      <c r="B1038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81" s="3" t="str">
        <f>HYPERLINK("https://otsuka-europe-crm.veevavault.com/ui/#object/sent_email__v/VBL00000000O221", "SE-001390660")</f>
        <v>SE-001390660</v>
      </c>
      <c r="D10381" s="1" t="s">
        <v>0</v>
      </c>
      <c r="E10381" s="2">
        <v>0</v>
      </c>
      <c r="F10381" s="2">
        <v>0</v>
      </c>
      <c r="G10381" s="2">
        <v>0</v>
      </c>
      <c r="H10381" s="1" t="s">
        <v>0</v>
      </c>
      <c r="I10381" s="2">
        <v>0</v>
      </c>
      <c r="J10381" s="1">
        <v>45978.374907407408</v>
      </c>
    </row>
    <row r="10382" spans="1:10" x14ac:dyDescent="0.2">
      <c r="A10382" s="4" t="s">
        <v>1</v>
      </c>
      <c r="B1038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82" s="3" t="str">
        <f>HYPERLINK("https://otsuka-europe-crm.veevavault.com/ui/#object/sent_email__v/VBL00000000O222", "SE-001390661")</f>
        <v>SE-001390661</v>
      </c>
      <c r="D10382" s="1">
        <v>45978.632488425923</v>
      </c>
      <c r="E10382" s="2">
        <v>1</v>
      </c>
      <c r="F10382" s="2">
        <v>3</v>
      </c>
      <c r="G10382" s="2">
        <v>0</v>
      </c>
      <c r="H10382" s="1" t="s">
        <v>0</v>
      </c>
      <c r="I10382" s="2">
        <v>0</v>
      </c>
      <c r="J10382" s="1">
        <v>45978.374976851854</v>
      </c>
    </row>
    <row r="10383" spans="1:10" x14ac:dyDescent="0.2">
      <c r="A10383" s="4" t="s">
        <v>1</v>
      </c>
      <c r="B1038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83" s="3" t="str">
        <f>HYPERLINK("https://otsuka-europe-crm.veevavault.com/ui/#object/sent_email__v/VBL00000000O223", "SE-001390662")</f>
        <v>SE-001390662</v>
      </c>
      <c r="D10383" s="1">
        <v>45987.650636574072</v>
      </c>
      <c r="E10383" s="2">
        <v>1</v>
      </c>
      <c r="F10383" s="2">
        <v>3</v>
      </c>
      <c r="G10383" s="2">
        <v>1</v>
      </c>
      <c r="H10383" s="1">
        <v>45987.650717592594</v>
      </c>
      <c r="I10383" s="2">
        <v>1</v>
      </c>
      <c r="J10383" s="1">
        <v>45978.375023148146</v>
      </c>
    </row>
    <row r="10384" spans="1:10" x14ac:dyDescent="0.2">
      <c r="A10384" s="4" t="s">
        <v>1</v>
      </c>
      <c r="B1038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84" s="3" t="str">
        <f>HYPERLINK("https://otsuka-europe-crm.veevavault.com/ui/#object/sent_email__v/VBL00000000O224", "SE-001390663")</f>
        <v>SE-001390663</v>
      </c>
      <c r="D10384" s="1">
        <v>45978.946701388886</v>
      </c>
      <c r="E10384" s="2">
        <v>1</v>
      </c>
      <c r="F10384" s="2">
        <v>1</v>
      </c>
      <c r="G10384" s="2">
        <v>0</v>
      </c>
      <c r="H10384" s="1" t="s">
        <v>0</v>
      </c>
      <c r="I10384" s="2">
        <v>0</v>
      </c>
      <c r="J10384" s="1">
        <v>45978.375069444446</v>
      </c>
    </row>
    <row r="10385" spans="1:10" x14ac:dyDescent="0.2">
      <c r="A10385" s="4" t="s">
        <v>1</v>
      </c>
      <c r="B1038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85" s="3" t="str">
        <f>HYPERLINK("https://otsuka-europe-crm.veevavault.com/ui/#object/sent_email__v/VBL00000000O225", "SE-001390664")</f>
        <v>SE-001390664</v>
      </c>
      <c r="D10385" s="1" t="s">
        <v>0</v>
      </c>
      <c r="E10385" s="2">
        <v>0</v>
      </c>
      <c r="F10385" s="2">
        <v>0</v>
      </c>
      <c r="G10385" s="2">
        <v>0</v>
      </c>
      <c r="H10385" s="1" t="s">
        <v>0</v>
      </c>
      <c r="I10385" s="2">
        <v>0</v>
      </c>
      <c r="J10385" s="1">
        <v>45978.375115740739</v>
      </c>
    </row>
    <row r="10386" spans="1:10" x14ac:dyDescent="0.2">
      <c r="A10386" s="4" t="s">
        <v>1</v>
      </c>
      <c r="B1038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86" s="3" t="str">
        <f>HYPERLINK("https://otsuka-europe-crm.veevavault.com/ui/#object/sent_email__v/VBL00000000N504", "SE-001390861")</f>
        <v>SE-001390861</v>
      </c>
      <c r="D10386" s="1" t="s">
        <v>0</v>
      </c>
      <c r="E10386" s="2">
        <v>0</v>
      </c>
      <c r="F10386" s="2">
        <v>0</v>
      </c>
      <c r="G10386" s="2">
        <v>0</v>
      </c>
      <c r="H10386" s="1" t="s">
        <v>0</v>
      </c>
      <c r="I10386" s="2">
        <v>0</v>
      </c>
      <c r="J10386" s="1">
        <v>45979.468194444446</v>
      </c>
    </row>
    <row r="10387" spans="1:10" x14ac:dyDescent="0.2">
      <c r="A10387" s="4" t="s">
        <v>1</v>
      </c>
      <c r="B1038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87" s="3" t="str">
        <f>HYPERLINK("https://otsuka-europe-crm.veevavault.com/ui/#object/sent_email__v/VBL00000000N505", "SE-001390862")</f>
        <v>SE-001390862</v>
      </c>
      <c r="D10387" s="1" t="s">
        <v>0</v>
      </c>
      <c r="E10387" s="2">
        <v>0</v>
      </c>
      <c r="F10387" s="2">
        <v>0</v>
      </c>
      <c r="G10387" s="2">
        <v>0</v>
      </c>
      <c r="H10387" s="1" t="s">
        <v>0</v>
      </c>
      <c r="I10387" s="2">
        <v>0</v>
      </c>
      <c r="J10387" s="1">
        <v>45979.468194444446</v>
      </c>
    </row>
    <row r="10388" spans="1:10" x14ac:dyDescent="0.2">
      <c r="A10388" s="4" t="s">
        <v>1</v>
      </c>
      <c r="B1038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88" s="3" t="str">
        <f>HYPERLINK("https://otsuka-europe-crm.veevavault.com/ui/#object/sent_email__v/VBL00000000O446", "SE-001390973")</f>
        <v>SE-001390973</v>
      </c>
      <c r="D10388" s="1" t="s">
        <v>0</v>
      </c>
      <c r="E10388" s="2">
        <v>0</v>
      </c>
      <c r="F10388" s="2">
        <v>0</v>
      </c>
      <c r="G10388" s="2">
        <v>0</v>
      </c>
      <c r="H10388" s="1" t="s">
        <v>0</v>
      </c>
      <c r="I10388" s="2">
        <v>0</v>
      </c>
      <c r="J10388" s="1">
        <v>45979.472962962966</v>
      </c>
    </row>
    <row r="10389" spans="1:10" x14ac:dyDescent="0.2">
      <c r="A10389" s="4" t="s">
        <v>1</v>
      </c>
      <c r="B1038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89" s="3" t="str">
        <f>HYPERLINK("https://otsuka-europe-crm.veevavault.com/ui/#object/sent_email__v/VBL00000000O447", "SE-001390974")</f>
        <v>SE-001390974</v>
      </c>
      <c r="D10389" s="1" t="s">
        <v>0</v>
      </c>
      <c r="E10389" s="2">
        <v>0</v>
      </c>
      <c r="F10389" s="2">
        <v>0</v>
      </c>
      <c r="G10389" s="2">
        <v>0</v>
      </c>
      <c r="H10389" s="1" t="s">
        <v>0</v>
      </c>
      <c r="I10389" s="2">
        <v>0</v>
      </c>
      <c r="J10389" s="1">
        <v>45979.472962962966</v>
      </c>
    </row>
    <row r="10390" spans="1:10" x14ac:dyDescent="0.2">
      <c r="A10390" s="4" t="s">
        <v>1</v>
      </c>
      <c r="B1039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90" s="3" t="str">
        <f>HYPERLINK("https://otsuka-europe-crm.veevavault.com/ui/#object/sent_email__v/VBL00000000O448", "SE-001390975")</f>
        <v>SE-001390975</v>
      </c>
      <c r="D10390" s="1" t="s">
        <v>0</v>
      </c>
      <c r="E10390" s="2">
        <v>0</v>
      </c>
      <c r="F10390" s="2">
        <v>0</v>
      </c>
      <c r="G10390" s="2">
        <v>0</v>
      </c>
      <c r="H10390" s="1" t="s">
        <v>0</v>
      </c>
      <c r="I10390" s="2">
        <v>0</v>
      </c>
      <c r="J10390" s="1">
        <v>45979.472962962966</v>
      </c>
    </row>
    <row r="10391" spans="1:10" x14ac:dyDescent="0.2">
      <c r="A10391" s="4" t="s">
        <v>1</v>
      </c>
      <c r="B1039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91" s="3" t="str">
        <f>HYPERLINK("https://otsuka-europe-crm.veevavault.com/ui/#object/sent_email__v/VBL00000000O449", "SE-001390976")</f>
        <v>SE-001390976</v>
      </c>
      <c r="D10391" s="1" t="s">
        <v>0</v>
      </c>
      <c r="E10391" s="2">
        <v>0</v>
      </c>
      <c r="F10391" s="2">
        <v>0</v>
      </c>
      <c r="G10391" s="2">
        <v>0</v>
      </c>
      <c r="H10391" s="1" t="s">
        <v>0</v>
      </c>
      <c r="I10391" s="2">
        <v>0</v>
      </c>
      <c r="J10391" s="1">
        <v>45979.472962962966</v>
      </c>
    </row>
    <row r="10392" spans="1:10" x14ac:dyDescent="0.2">
      <c r="A10392" s="4" t="s">
        <v>1</v>
      </c>
      <c r="B1039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92" s="3" t="str">
        <f>HYPERLINK("https://otsuka-europe-crm.veevavault.com/ui/#object/sent_email__v/VBL00000000O450", "SE-001390977")</f>
        <v>SE-001390977</v>
      </c>
      <c r="D10392" s="1" t="s">
        <v>0</v>
      </c>
      <c r="E10392" s="2">
        <v>0</v>
      </c>
      <c r="F10392" s="2">
        <v>0</v>
      </c>
      <c r="G10392" s="2">
        <v>0</v>
      </c>
      <c r="H10392" s="1" t="s">
        <v>0</v>
      </c>
      <c r="I10392" s="2">
        <v>0</v>
      </c>
      <c r="J10392" s="1">
        <v>45979.472962962966</v>
      </c>
    </row>
    <row r="10393" spans="1:10" x14ac:dyDescent="0.2">
      <c r="A10393" s="4" t="s">
        <v>1</v>
      </c>
      <c r="B1039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93" s="3" t="str">
        <f>HYPERLINK("https://otsuka-europe-crm.veevavault.com/ui/#object/sent_email__v/VBL00000000O451", "SE-001390978")</f>
        <v>SE-001390978</v>
      </c>
      <c r="D10393" s="1" t="s">
        <v>0</v>
      </c>
      <c r="E10393" s="2">
        <v>0</v>
      </c>
      <c r="F10393" s="2">
        <v>0</v>
      </c>
      <c r="G10393" s="2">
        <v>0</v>
      </c>
      <c r="H10393" s="1" t="s">
        <v>0</v>
      </c>
      <c r="I10393" s="2">
        <v>0</v>
      </c>
      <c r="J10393" s="1">
        <v>45979.472962962966</v>
      </c>
    </row>
    <row r="10394" spans="1:10" x14ac:dyDescent="0.2">
      <c r="A10394" s="4" t="s">
        <v>1</v>
      </c>
      <c r="B1039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94" s="3" t="str">
        <f>HYPERLINK("https://otsuka-europe-crm.veevavault.com/ui/#object/sent_email__v/VBL00000000O452", "SE-001390979")</f>
        <v>SE-001390979</v>
      </c>
      <c r="D10394" s="1" t="s">
        <v>0</v>
      </c>
      <c r="E10394" s="2">
        <v>0</v>
      </c>
      <c r="F10394" s="2">
        <v>0</v>
      </c>
      <c r="G10394" s="2">
        <v>0</v>
      </c>
      <c r="H10394" s="1" t="s">
        <v>0</v>
      </c>
      <c r="I10394" s="2">
        <v>0</v>
      </c>
      <c r="J10394" s="1">
        <v>45979.472962962966</v>
      </c>
    </row>
    <row r="10395" spans="1:10" x14ac:dyDescent="0.2">
      <c r="A10395" s="4" t="s">
        <v>1</v>
      </c>
      <c r="B1039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95" s="3" t="str">
        <f>HYPERLINK("https://otsuka-europe-crm.veevavault.com/ui/#object/sent_email__v/VBL00000000O453", "SE-001390980")</f>
        <v>SE-001390980</v>
      </c>
      <c r="D10395" s="1" t="s">
        <v>0</v>
      </c>
      <c r="E10395" s="2">
        <v>0</v>
      </c>
      <c r="F10395" s="2">
        <v>0</v>
      </c>
      <c r="G10395" s="2">
        <v>0</v>
      </c>
      <c r="H10395" s="1" t="s">
        <v>0</v>
      </c>
      <c r="I10395" s="2">
        <v>0</v>
      </c>
      <c r="J10395" s="1">
        <v>45979.472962962966</v>
      </c>
    </row>
    <row r="10396" spans="1:10" x14ac:dyDescent="0.2">
      <c r="A10396" s="4" t="s">
        <v>1</v>
      </c>
      <c r="B1039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96" s="3" t="str">
        <f>HYPERLINK("https://otsuka-europe-crm.veevavault.com/ui/#object/sent_email__v/VBL00000000O454", "SE-001390981")</f>
        <v>SE-001390981</v>
      </c>
      <c r="D10396" s="1" t="s">
        <v>0</v>
      </c>
      <c r="E10396" s="2">
        <v>0</v>
      </c>
      <c r="F10396" s="2">
        <v>0</v>
      </c>
      <c r="G10396" s="2">
        <v>0</v>
      </c>
      <c r="H10396" s="1" t="s">
        <v>0</v>
      </c>
      <c r="I10396" s="2">
        <v>0</v>
      </c>
      <c r="J10396" s="1">
        <v>45979.472962962966</v>
      </c>
    </row>
    <row r="10397" spans="1:10" x14ac:dyDescent="0.2">
      <c r="A10397" s="4" t="s">
        <v>1</v>
      </c>
      <c r="B1039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97" s="3" t="str">
        <f>HYPERLINK("https://otsuka-europe-crm.veevavault.com/ui/#object/sent_email__v/VBL00000000O455", "SE-001390982")</f>
        <v>SE-001390982</v>
      </c>
      <c r="D10397" s="1" t="s">
        <v>0</v>
      </c>
      <c r="E10397" s="2">
        <v>0</v>
      </c>
      <c r="F10397" s="2">
        <v>0</v>
      </c>
      <c r="G10397" s="2">
        <v>0</v>
      </c>
      <c r="H10397" s="1" t="s">
        <v>0</v>
      </c>
      <c r="I10397" s="2">
        <v>0</v>
      </c>
      <c r="J10397" s="1">
        <v>45979.472962962966</v>
      </c>
    </row>
    <row r="10398" spans="1:10" x14ac:dyDescent="0.2">
      <c r="A10398" s="4" t="s">
        <v>1</v>
      </c>
      <c r="B1039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98" s="3" t="str">
        <f>HYPERLINK("https://otsuka-europe-crm.veevavault.com/ui/#object/sent_email__v/VBL00000000O456", "SE-001390983")</f>
        <v>SE-001390983</v>
      </c>
      <c r="D10398" s="1" t="s">
        <v>0</v>
      </c>
      <c r="E10398" s="2">
        <v>0</v>
      </c>
      <c r="F10398" s="2">
        <v>0</v>
      </c>
      <c r="G10398" s="2">
        <v>0</v>
      </c>
      <c r="H10398" s="1" t="s">
        <v>0</v>
      </c>
      <c r="I10398" s="2">
        <v>0</v>
      </c>
      <c r="J10398" s="1">
        <v>45979.472962962966</v>
      </c>
    </row>
    <row r="10399" spans="1:10" x14ac:dyDescent="0.2">
      <c r="A10399" s="4" t="s">
        <v>1</v>
      </c>
      <c r="B1039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399" s="3" t="str">
        <f>HYPERLINK("https://otsuka-europe-crm.veevavault.com/ui/#object/sent_email__v/VBL00000000O457", "SE-001390984")</f>
        <v>SE-001390984</v>
      </c>
      <c r="D10399" s="1" t="s">
        <v>0</v>
      </c>
      <c r="E10399" s="2">
        <v>0</v>
      </c>
      <c r="F10399" s="2">
        <v>0</v>
      </c>
      <c r="G10399" s="2">
        <v>0</v>
      </c>
      <c r="H10399" s="1" t="s">
        <v>0</v>
      </c>
      <c r="I10399" s="2">
        <v>0</v>
      </c>
      <c r="J10399" s="1">
        <v>45979.472974537035</v>
      </c>
    </row>
    <row r="10400" spans="1:10" x14ac:dyDescent="0.2">
      <c r="A10400" s="4" t="s">
        <v>1</v>
      </c>
      <c r="B1040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00" s="3" t="str">
        <f>HYPERLINK("https://otsuka-europe-crm.veevavault.com/ui/#object/sent_email__v/VBL00000000O458", "SE-001390985")</f>
        <v>SE-001390985</v>
      </c>
      <c r="D10400" s="1" t="s">
        <v>0</v>
      </c>
      <c r="E10400" s="2">
        <v>0</v>
      </c>
      <c r="F10400" s="2">
        <v>0</v>
      </c>
      <c r="G10400" s="2">
        <v>0</v>
      </c>
      <c r="H10400" s="1" t="s">
        <v>0</v>
      </c>
      <c r="I10400" s="2">
        <v>0</v>
      </c>
      <c r="J10400" s="1">
        <v>45979.472974537035</v>
      </c>
    </row>
    <row r="10401" spans="1:10" x14ac:dyDescent="0.2">
      <c r="A10401" s="4" t="s">
        <v>1</v>
      </c>
      <c r="B1040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01" s="3" t="str">
        <f>HYPERLINK("https://otsuka-europe-crm.veevavault.com/ui/#object/sent_email__v/VBL00000000O459", "SE-001390986")</f>
        <v>SE-001390986</v>
      </c>
      <c r="D10401" s="1" t="s">
        <v>0</v>
      </c>
      <c r="E10401" s="2">
        <v>0</v>
      </c>
      <c r="F10401" s="2">
        <v>0</v>
      </c>
      <c r="G10401" s="2">
        <v>0</v>
      </c>
      <c r="H10401" s="1" t="s">
        <v>0</v>
      </c>
      <c r="I10401" s="2">
        <v>0</v>
      </c>
      <c r="J10401" s="1">
        <v>45979.472974537035</v>
      </c>
    </row>
    <row r="10402" spans="1:10" x14ac:dyDescent="0.2">
      <c r="A10402" s="4" t="s">
        <v>1</v>
      </c>
      <c r="B10402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02" s="3" t="str">
        <f>HYPERLINK("https://otsuka-europe-crm.veevavault.com/ui/#object/sent_email__v/VBL00000000O460", "SE-001390987")</f>
        <v>SE-001390987</v>
      </c>
      <c r="D10402" s="1" t="s">
        <v>0</v>
      </c>
      <c r="E10402" s="2">
        <v>0</v>
      </c>
      <c r="F10402" s="2">
        <v>0</v>
      </c>
      <c r="G10402" s="2">
        <v>0</v>
      </c>
      <c r="H10402" s="1" t="s">
        <v>0</v>
      </c>
      <c r="I10402" s="2">
        <v>0</v>
      </c>
      <c r="J10402" s="1">
        <v>45979.472974537035</v>
      </c>
    </row>
    <row r="10403" spans="1:10" x14ac:dyDescent="0.2">
      <c r="A10403" s="4" t="s">
        <v>1</v>
      </c>
      <c r="B10403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03" s="3" t="str">
        <f>HYPERLINK("https://otsuka-europe-crm.veevavault.com/ui/#object/sent_email__v/VBL00000000O461", "SE-001390988")</f>
        <v>SE-001390988</v>
      </c>
      <c r="D10403" s="1" t="s">
        <v>0</v>
      </c>
      <c r="E10403" s="2">
        <v>0</v>
      </c>
      <c r="F10403" s="2">
        <v>0</v>
      </c>
      <c r="G10403" s="2">
        <v>0</v>
      </c>
      <c r="H10403" s="1" t="s">
        <v>0</v>
      </c>
      <c r="I10403" s="2">
        <v>0</v>
      </c>
      <c r="J10403" s="1">
        <v>45979.472974537035</v>
      </c>
    </row>
    <row r="10404" spans="1:10" x14ac:dyDescent="0.2">
      <c r="A10404" s="4" t="s">
        <v>1</v>
      </c>
      <c r="B10404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04" s="3" t="str">
        <f>HYPERLINK("https://otsuka-europe-crm.veevavault.com/ui/#object/sent_email__v/VBL00000000O462", "SE-001390989")</f>
        <v>SE-001390989</v>
      </c>
      <c r="D10404" s="1" t="s">
        <v>0</v>
      </c>
      <c r="E10404" s="2">
        <v>0</v>
      </c>
      <c r="F10404" s="2">
        <v>0</v>
      </c>
      <c r="G10404" s="2">
        <v>0</v>
      </c>
      <c r="H10404" s="1" t="s">
        <v>0</v>
      </c>
      <c r="I10404" s="2">
        <v>0</v>
      </c>
      <c r="J10404" s="1">
        <v>45979.472974537035</v>
      </c>
    </row>
    <row r="10405" spans="1:10" x14ac:dyDescent="0.2">
      <c r="A10405" s="4" t="s">
        <v>1</v>
      </c>
      <c r="B10405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05" s="3" t="str">
        <f>HYPERLINK("https://otsuka-europe-crm.veevavault.com/ui/#object/sent_email__v/VBL00000000O463", "SE-001390990")</f>
        <v>SE-001390990</v>
      </c>
      <c r="D10405" s="1" t="s">
        <v>0</v>
      </c>
      <c r="E10405" s="2">
        <v>0</v>
      </c>
      <c r="F10405" s="2">
        <v>0</v>
      </c>
      <c r="G10405" s="2">
        <v>0</v>
      </c>
      <c r="H10405" s="1" t="s">
        <v>0</v>
      </c>
      <c r="I10405" s="2">
        <v>0</v>
      </c>
      <c r="J10405" s="1">
        <v>45979.472974537035</v>
      </c>
    </row>
    <row r="10406" spans="1:10" x14ac:dyDescent="0.2">
      <c r="A10406" s="4" t="s">
        <v>1</v>
      </c>
      <c r="B10406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06" s="3" t="str">
        <f>HYPERLINK("https://otsuka-europe-crm.veevavault.com/ui/#object/sent_email__v/VBL00000000O464", "SE-001390991")</f>
        <v>SE-001390991</v>
      </c>
      <c r="D10406" s="1" t="s">
        <v>0</v>
      </c>
      <c r="E10406" s="2">
        <v>0</v>
      </c>
      <c r="F10406" s="2">
        <v>0</v>
      </c>
      <c r="G10406" s="2">
        <v>0</v>
      </c>
      <c r="H10406" s="1" t="s">
        <v>0</v>
      </c>
      <c r="I10406" s="2">
        <v>0</v>
      </c>
      <c r="J10406" s="1">
        <v>45979.472974537035</v>
      </c>
    </row>
    <row r="10407" spans="1:10" x14ac:dyDescent="0.2">
      <c r="A10407" s="4" t="s">
        <v>1</v>
      </c>
      <c r="B10407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07" s="3" t="str">
        <f>HYPERLINK("https://otsuka-europe-crm.veevavault.com/ui/#object/sent_email__v/VBL00000000O465", "SE-001390992")</f>
        <v>SE-001390992</v>
      </c>
      <c r="D10407" s="1" t="s">
        <v>0</v>
      </c>
      <c r="E10407" s="2">
        <v>0</v>
      </c>
      <c r="F10407" s="2">
        <v>0</v>
      </c>
      <c r="G10407" s="2">
        <v>0</v>
      </c>
      <c r="H10407" s="1" t="s">
        <v>0</v>
      </c>
      <c r="I10407" s="2">
        <v>0</v>
      </c>
      <c r="J10407" s="1">
        <v>45979.472986111112</v>
      </c>
    </row>
    <row r="10408" spans="1:10" x14ac:dyDescent="0.2">
      <c r="A10408" s="4" t="s">
        <v>1</v>
      </c>
      <c r="B10408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08" s="3" t="str">
        <f>HYPERLINK("https://otsuka-europe-crm.veevavault.com/ui/#object/sent_email__v/VBL00000000O466", "SE-001390993")</f>
        <v>SE-001390993</v>
      </c>
      <c r="D10408" s="1" t="s">
        <v>0</v>
      </c>
      <c r="E10408" s="2">
        <v>0</v>
      </c>
      <c r="F10408" s="2">
        <v>0</v>
      </c>
      <c r="G10408" s="2">
        <v>0</v>
      </c>
      <c r="H10408" s="1" t="s">
        <v>0</v>
      </c>
      <c r="I10408" s="2">
        <v>0</v>
      </c>
      <c r="J10408" s="1">
        <v>45979.472986111112</v>
      </c>
    </row>
    <row r="10409" spans="1:10" x14ac:dyDescent="0.2">
      <c r="A10409" s="4" t="s">
        <v>1</v>
      </c>
      <c r="B10409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09" s="3" t="str">
        <f>HYPERLINK("https://otsuka-europe-crm.veevavault.com/ui/#object/sent_email__v/VBL00000000O467", "SE-001390994")</f>
        <v>SE-001390994</v>
      </c>
      <c r="D10409" s="1" t="s">
        <v>0</v>
      </c>
      <c r="E10409" s="2">
        <v>0</v>
      </c>
      <c r="F10409" s="2">
        <v>0</v>
      </c>
      <c r="G10409" s="2">
        <v>0</v>
      </c>
      <c r="H10409" s="1" t="s">
        <v>0</v>
      </c>
      <c r="I10409" s="2">
        <v>0</v>
      </c>
      <c r="J10409" s="1">
        <v>45979.472986111112</v>
      </c>
    </row>
    <row r="10410" spans="1:10" x14ac:dyDescent="0.2">
      <c r="A10410" s="4" t="s">
        <v>1</v>
      </c>
      <c r="B10410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10" s="3" t="str">
        <f>HYPERLINK("https://otsuka-europe-crm.veevavault.com/ui/#object/sent_email__v/VBL00000000O468", "SE-001390995")</f>
        <v>SE-001390995</v>
      </c>
      <c r="D10410" s="1" t="s">
        <v>0</v>
      </c>
      <c r="E10410" s="2">
        <v>0</v>
      </c>
      <c r="F10410" s="2">
        <v>0</v>
      </c>
      <c r="G10410" s="2">
        <v>0</v>
      </c>
      <c r="H10410" s="1" t="s">
        <v>0</v>
      </c>
      <c r="I10410" s="2">
        <v>0</v>
      </c>
      <c r="J10410" s="1">
        <v>45979.472986111112</v>
      </c>
    </row>
    <row r="10411" spans="1:10" x14ac:dyDescent="0.2">
      <c r="A10411" s="4" t="s">
        <v>1</v>
      </c>
      <c r="B10411" s="3" t="str">
        <f>HYPERLINK("https://otsuka-europe-crm.veevavault.com/ui/#object/approved_document__v/V5O000000007004", "LUP - 10 cuestiones para pensar: ¿Dónde quedó la lesión vascular? - reuma")</f>
        <v>LUP - 10 cuestiones para pensar: ¿Dónde quedó la lesión vascular? - reuma</v>
      </c>
      <c r="C10411" s="3" t="str">
        <f>HYPERLINK("https://otsuka-europe-crm.veevavault.com/ui/#object/sent_email__v/VBL00000000O469", "SE-001390996")</f>
        <v>SE-001390996</v>
      </c>
      <c r="D10411" s="1" t="s">
        <v>0</v>
      </c>
      <c r="E10411" s="2">
        <v>0</v>
      </c>
      <c r="F10411" s="2">
        <v>0</v>
      </c>
      <c r="G10411" s="2">
        <v>0</v>
      </c>
      <c r="H10411" s="1" t="s">
        <v>0</v>
      </c>
      <c r="I10411" s="2">
        <v>0</v>
      </c>
      <c r="J10411" s="1">
        <v>45979.472986111112</v>
      </c>
    </row>
    <row r="10412" spans="1:10" x14ac:dyDescent="0.2">
      <c r="A10412" s="4" t="s">
        <v>1</v>
      </c>
      <c r="B10412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12" s="3" t="str">
        <f>HYPERLINK("https://otsuka-europe-crm.veevavault.com/ui/#object/sent_email__v/VBL00000000W421", "SE-001396422")</f>
        <v>SE-001396422</v>
      </c>
      <c r="D10412" s="1" t="s">
        <v>0</v>
      </c>
      <c r="E10412" s="2">
        <v>0</v>
      </c>
      <c r="F10412" s="2">
        <v>0</v>
      </c>
      <c r="G10412" s="2">
        <v>0</v>
      </c>
      <c r="H10412" s="1" t="s">
        <v>0</v>
      </c>
      <c r="I10412" s="2">
        <v>0</v>
      </c>
      <c r="J10412" s="1">
        <v>46002.65488425926</v>
      </c>
    </row>
    <row r="10413" spans="1:10" x14ac:dyDescent="0.2">
      <c r="A10413" s="4" t="s">
        <v>1</v>
      </c>
      <c r="B10413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13" s="3" t="str">
        <f>HYPERLINK("https://otsuka-europe-crm.veevavault.com/ui/#object/sent_email__v/VBL00000000W422", "SE-001396423")</f>
        <v>SE-001396423</v>
      </c>
      <c r="D10413" s="1" t="s">
        <v>0</v>
      </c>
      <c r="E10413" s="2">
        <v>0</v>
      </c>
      <c r="F10413" s="2">
        <v>0</v>
      </c>
      <c r="G10413" s="2">
        <v>0</v>
      </c>
      <c r="H10413" s="1" t="s">
        <v>0</v>
      </c>
      <c r="I10413" s="2">
        <v>0</v>
      </c>
      <c r="J10413" s="1">
        <v>46002.65488425926</v>
      </c>
    </row>
    <row r="10414" spans="1:10" x14ac:dyDescent="0.2">
      <c r="A10414" s="4" t="s">
        <v>1</v>
      </c>
      <c r="B10414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14" s="3" t="str">
        <f>HYPERLINK("https://otsuka-europe-crm.veevavault.com/ui/#object/sent_email__v/VBL00000000W423", "SE-001396424")</f>
        <v>SE-001396424</v>
      </c>
      <c r="D10414" s="1" t="s">
        <v>0</v>
      </c>
      <c r="E10414" s="2">
        <v>0</v>
      </c>
      <c r="F10414" s="2">
        <v>0</v>
      </c>
      <c r="G10414" s="2">
        <v>0</v>
      </c>
      <c r="H10414" s="1" t="s">
        <v>0</v>
      </c>
      <c r="I10414" s="2">
        <v>0</v>
      </c>
      <c r="J10414" s="1">
        <v>46002.65488425926</v>
      </c>
    </row>
    <row r="10415" spans="1:10" x14ac:dyDescent="0.2">
      <c r="A10415" s="4" t="s">
        <v>1</v>
      </c>
      <c r="B10415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15" s="3" t="str">
        <f>HYPERLINK("https://otsuka-europe-crm.veevavault.com/ui/#object/sent_email__v/VBL00000000W424", "SE-001396425")</f>
        <v>SE-001396425</v>
      </c>
      <c r="D10415" s="1" t="s">
        <v>0</v>
      </c>
      <c r="E10415" s="2">
        <v>0</v>
      </c>
      <c r="F10415" s="2">
        <v>0</v>
      </c>
      <c r="G10415" s="2">
        <v>0</v>
      </c>
      <c r="H10415" s="1" t="s">
        <v>0</v>
      </c>
      <c r="I10415" s="2">
        <v>0</v>
      </c>
      <c r="J10415" s="1">
        <v>46002.65488425926</v>
      </c>
    </row>
    <row r="10416" spans="1:10" x14ac:dyDescent="0.2">
      <c r="A10416" s="4" t="s">
        <v>1</v>
      </c>
      <c r="B10416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16" s="3" t="str">
        <f>HYPERLINK("https://otsuka-europe-crm.veevavault.com/ui/#object/sent_email__v/VBL00000000W425", "SE-001396426")</f>
        <v>SE-001396426</v>
      </c>
      <c r="D10416" s="1" t="s">
        <v>0</v>
      </c>
      <c r="E10416" s="2">
        <v>0</v>
      </c>
      <c r="F10416" s="2">
        <v>0</v>
      </c>
      <c r="G10416" s="2">
        <v>0</v>
      </c>
      <c r="H10416" s="1" t="s">
        <v>0</v>
      </c>
      <c r="I10416" s="2">
        <v>0</v>
      </c>
      <c r="J10416" s="1">
        <v>46002.65488425926</v>
      </c>
    </row>
    <row r="10417" spans="1:10" x14ac:dyDescent="0.2">
      <c r="A10417" s="4" t="s">
        <v>1</v>
      </c>
      <c r="B10417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17" s="3" t="str">
        <f>HYPERLINK("https://otsuka-europe-crm.veevavault.com/ui/#object/sent_email__v/VBL00000000W426", "SE-001396427")</f>
        <v>SE-001396427</v>
      </c>
      <c r="D10417" s="1" t="s">
        <v>0</v>
      </c>
      <c r="E10417" s="2">
        <v>0</v>
      </c>
      <c r="F10417" s="2">
        <v>0</v>
      </c>
      <c r="G10417" s="2">
        <v>0</v>
      </c>
      <c r="H10417" s="1" t="s">
        <v>0</v>
      </c>
      <c r="I10417" s="2">
        <v>0</v>
      </c>
      <c r="J10417" s="1">
        <v>46002.65488425926</v>
      </c>
    </row>
    <row r="10418" spans="1:10" x14ac:dyDescent="0.2">
      <c r="A10418" s="4" t="s">
        <v>1</v>
      </c>
      <c r="B10418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18" s="3" t="str">
        <f>HYPERLINK("https://otsuka-europe-crm.veevavault.com/ui/#object/sent_email__v/VBL00000000W427", "SE-001396428")</f>
        <v>SE-001396428</v>
      </c>
      <c r="D10418" s="1" t="s">
        <v>0</v>
      </c>
      <c r="E10418" s="2">
        <v>0</v>
      </c>
      <c r="F10418" s="2">
        <v>0</v>
      </c>
      <c r="G10418" s="2">
        <v>0</v>
      </c>
      <c r="H10418" s="1" t="s">
        <v>0</v>
      </c>
      <c r="I10418" s="2">
        <v>0</v>
      </c>
      <c r="J10418" s="1">
        <v>46002.654872685183</v>
      </c>
    </row>
    <row r="10419" spans="1:10" x14ac:dyDescent="0.2">
      <c r="A10419" s="4" t="s">
        <v>1</v>
      </c>
      <c r="B10419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19" s="3" t="str">
        <f>HYPERLINK("https://otsuka-europe-crm.veevavault.com/ui/#object/sent_email__v/VBL00000000W428", "SE-001396429")</f>
        <v>SE-001396429</v>
      </c>
      <c r="D10419" s="1" t="s">
        <v>0</v>
      </c>
      <c r="E10419" s="2">
        <v>0</v>
      </c>
      <c r="F10419" s="2">
        <v>0</v>
      </c>
      <c r="G10419" s="2">
        <v>0</v>
      </c>
      <c r="H10419" s="1" t="s">
        <v>0</v>
      </c>
      <c r="I10419" s="2">
        <v>0</v>
      </c>
      <c r="J10419" s="1">
        <v>46002.65488425926</v>
      </c>
    </row>
    <row r="10420" spans="1:10" x14ac:dyDescent="0.2">
      <c r="A10420" s="4" t="s">
        <v>1</v>
      </c>
      <c r="B10420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20" s="3" t="str">
        <f>HYPERLINK("https://otsuka-europe-crm.veevavault.com/ui/#object/sent_email__v/VBL00000000W429", "SE-001396430")</f>
        <v>SE-001396430</v>
      </c>
      <c r="D10420" s="1" t="s">
        <v>0</v>
      </c>
      <c r="E10420" s="2">
        <v>0</v>
      </c>
      <c r="F10420" s="2">
        <v>0</v>
      </c>
      <c r="G10420" s="2">
        <v>0</v>
      </c>
      <c r="H10420" s="1" t="s">
        <v>0</v>
      </c>
      <c r="I10420" s="2">
        <v>0</v>
      </c>
      <c r="J10420" s="1">
        <v>46002.65488425926</v>
      </c>
    </row>
    <row r="10421" spans="1:10" x14ac:dyDescent="0.2">
      <c r="A10421" s="4" t="s">
        <v>1</v>
      </c>
      <c r="B10421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21" s="3" t="str">
        <f>HYPERLINK("https://otsuka-europe-crm.veevavault.com/ui/#object/sent_email__v/VBL00000000W430", "SE-001396431")</f>
        <v>SE-001396431</v>
      </c>
      <c r="D10421" s="1" t="s">
        <v>0</v>
      </c>
      <c r="E10421" s="2">
        <v>0</v>
      </c>
      <c r="F10421" s="2">
        <v>0</v>
      </c>
      <c r="G10421" s="2">
        <v>0</v>
      </c>
      <c r="H10421" s="1" t="s">
        <v>0</v>
      </c>
      <c r="I10421" s="2">
        <v>0</v>
      </c>
      <c r="J10421" s="1">
        <v>46002.65488425926</v>
      </c>
    </row>
    <row r="10422" spans="1:10" x14ac:dyDescent="0.2">
      <c r="A10422" s="4" t="s">
        <v>1</v>
      </c>
      <c r="B10422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22" s="3" t="str">
        <f>HYPERLINK("https://otsuka-europe-crm.veevavault.com/ui/#object/sent_email__v/VBL00000000W431", "SE-001396432")</f>
        <v>SE-001396432</v>
      </c>
      <c r="D10422" s="1" t="s">
        <v>0</v>
      </c>
      <c r="E10422" s="2">
        <v>0</v>
      </c>
      <c r="F10422" s="2">
        <v>0</v>
      </c>
      <c r="G10422" s="2">
        <v>0</v>
      </c>
      <c r="H10422" s="1" t="s">
        <v>0</v>
      </c>
      <c r="I10422" s="2">
        <v>0</v>
      </c>
      <c r="J10422" s="1">
        <v>46002.65488425926</v>
      </c>
    </row>
    <row r="10423" spans="1:10" x14ac:dyDescent="0.2">
      <c r="A10423" s="4" t="s">
        <v>1</v>
      </c>
      <c r="B10423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23" s="3" t="str">
        <f>HYPERLINK("https://otsuka-europe-crm.veevavault.com/ui/#object/sent_email__v/VBL00000000W432", "SE-001396433")</f>
        <v>SE-001396433</v>
      </c>
      <c r="D10423" s="1" t="s">
        <v>0</v>
      </c>
      <c r="E10423" s="2">
        <v>0</v>
      </c>
      <c r="F10423" s="2">
        <v>0</v>
      </c>
      <c r="G10423" s="2">
        <v>0</v>
      </c>
      <c r="H10423" s="1" t="s">
        <v>0</v>
      </c>
      <c r="I10423" s="2">
        <v>0</v>
      </c>
      <c r="J10423" s="1">
        <v>46002.65488425926</v>
      </c>
    </row>
    <row r="10424" spans="1:10" x14ac:dyDescent="0.2">
      <c r="A10424" s="4" t="s">
        <v>1</v>
      </c>
      <c r="B10424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24" s="3" t="str">
        <f>HYPERLINK("https://otsuka-europe-crm.veevavault.com/ui/#object/sent_email__v/VBL00000000W433", "SE-001396434")</f>
        <v>SE-001396434</v>
      </c>
      <c r="D10424" s="1" t="s">
        <v>0</v>
      </c>
      <c r="E10424" s="2">
        <v>0</v>
      </c>
      <c r="F10424" s="2">
        <v>0</v>
      </c>
      <c r="G10424" s="2">
        <v>0</v>
      </c>
      <c r="H10424" s="1" t="s">
        <v>0</v>
      </c>
      <c r="I10424" s="2">
        <v>0</v>
      </c>
      <c r="J10424" s="1">
        <v>46002.65488425926</v>
      </c>
    </row>
    <row r="10425" spans="1:10" x14ac:dyDescent="0.2">
      <c r="A10425" s="4" t="s">
        <v>1</v>
      </c>
      <c r="B10425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25" s="3" t="str">
        <f>HYPERLINK("https://otsuka-europe-crm.veevavault.com/ui/#object/sent_email__v/VBL00000000W434", "SE-001396435")</f>
        <v>SE-001396435</v>
      </c>
      <c r="D10425" s="1" t="s">
        <v>0</v>
      </c>
      <c r="E10425" s="2">
        <v>0</v>
      </c>
      <c r="F10425" s="2">
        <v>0</v>
      </c>
      <c r="G10425" s="2">
        <v>0</v>
      </c>
      <c r="H10425" s="1" t="s">
        <v>0</v>
      </c>
      <c r="I10425" s="2">
        <v>0</v>
      </c>
      <c r="J10425" s="1">
        <v>46002.65488425926</v>
      </c>
    </row>
    <row r="10426" spans="1:10" x14ac:dyDescent="0.2">
      <c r="A10426" s="4" t="s">
        <v>1</v>
      </c>
      <c r="B10426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26" s="3" t="str">
        <f>HYPERLINK("https://otsuka-europe-crm.veevavault.com/ui/#object/sent_email__v/VBL00000000W435", "SE-001396436")</f>
        <v>SE-001396436</v>
      </c>
      <c r="D10426" s="1" t="s">
        <v>0</v>
      </c>
      <c r="E10426" s="2">
        <v>0</v>
      </c>
      <c r="F10426" s="2">
        <v>0</v>
      </c>
      <c r="G10426" s="2">
        <v>0</v>
      </c>
      <c r="H10426" s="1" t="s">
        <v>0</v>
      </c>
      <c r="I10426" s="2">
        <v>0</v>
      </c>
      <c r="J10426" s="1">
        <v>46002.65488425926</v>
      </c>
    </row>
    <row r="10427" spans="1:10" x14ac:dyDescent="0.2">
      <c r="A10427" s="4" t="s">
        <v>1</v>
      </c>
      <c r="B10427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27" s="3" t="str">
        <f>HYPERLINK("https://otsuka-europe-crm.veevavault.com/ui/#object/sent_email__v/VBL00000000W436", "SE-001396437")</f>
        <v>SE-001396437</v>
      </c>
      <c r="D10427" s="1" t="s">
        <v>0</v>
      </c>
      <c r="E10427" s="2">
        <v>0</v>
      </c>
      <c r="F10427" s="2">
        <v>0</v>
      </c>
      <c r="G10427" s="2">
        <v>0</v>
      </c>
      <c r="H10427" s="1" t="s">
        <v>0</v>
      </c>
      <c r="I10427" s="2">
        <v>0</v>
      </c>
      <c r="J10427" s="1">
        <v>46002.65488425926</v>
      </c>
    </row>
    <row r="10428" spans="1:10" x14ac:dyDescent="0.2">
      <c r="A10428" s="4" t="s">
        <v>1</v>
      </c>
      <c r="B10428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28" s="3" t="str">
        <f>HYPERLINK("https://otsuka-europe-crm.veevavault.com/ui/#object/sent_email__v/VBL00000000W437", "SE-001396438")</f>
        <v>SE-001396438</v>
      </c>
      <c r="D10428" s="1" t="s">
        <v>0</v>
      </c>
      <c r="E10428" s="2">
        <v>0</v>
      </c>
      <c r="F10428" s="2">
        <v>0</v>
      </c>
      <c r="G10428" s="2">
        <v>0</v>
      </c>
      <c r="H10428" s="1" t="s">
        <v>0</v>
      </c>
      <c r="I10428" s="2">
        <v>0</v>
      </c>
      <c r="J10428" s="1">
        <v>46002.65488425926</v>
      </c>
    </row>
    <row r="10429" spans="1:10" x14ac:dyDescent="0.2">
      <c r="A10429" s="4" t="s">
        <v>1</v>
      </c>
      <c r="B10429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29" s="3" t="str">
        <f>HYPERLINK("https://otsuka-europe-crm.veevavault.com/ui/#object/sent_email__v/VBL00000000W438", "SE-001396439")</f>
        <v>SE-001396439</v>
      </c>
      <c r="D10429" s="1" t="s">
        <v>0</v>
      </c>
      <c r="E10429" s="2">
        <v>0</v>
      </c>
      <c r="F10429" s="2">
        <v>0</v>
      </c>
      <c r="G10429" s="2">
        <v>0</v>
      </c>
      <c r="H10429" s="1" t="s">
        <v>0</v>
      </c>
      <c r="I10429" s="2">
        <v>0</v>
      </c>
      <c r="J10429" s="1">
        <v>46002.654895833337</v>
      </c>
    </row>
    <row r="10430" spans="1:10" x14ac:dyDescent="0.2">
      <c r="A10430" s="4" t="s">
        <v>1</v>
      </c>
      <c r="B10430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30" s="3" t="str">
        <f>HYPERLINK("https://otsuka-europe-crm.veevavault.com/ui/#object/sent_email__v/VBL00000000W439", "SE-001396440")</f>
        <v>SE-001396440</v>
      </c>
      <c r="D10430" s="1" t="s">
        <v>0</v>
      </c>
      <c r="E10430" s="2">
        <v>0</v>
      </c>
      <c r="F10430" s="2">
        <v>0</v>
      </c>
      <c r="G10430" s="2">
        <v>0</v>
      </c>
      <c r="H10430" s="1" t="s">
        <v>0</v>
      </c>
      <c r="I10430" s="2">
        <v>0</v>
      </c>
      <c r="J10430" s="1">
        <v>46002.654895833337</v>
      </c>
    </row>
    <row r="10431" spans="1:10" x14ac:dyDescent="0.2">
      <c r="A10431" s="4" t="s">
        <v>1</v>
      </c>
      <c r="B10431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31" s="3" t="str">
        <f>HYPERLINK("https://otsuka-europe-crm.veevavault.com/ui/#object/sent_email__v/VBL00000000W440", "SE-001396441")</f>
        <v>SE-001396441</v>
      </c>
      <c r="D10431" s="1" t="s">
        <v>0</v>
      </c>
      <c r="E10431" s="2">
        <v>0</v>
      </c>
      <c r="F10431" s="2">
        <v>0</v>
      </c>
      <c r="G10431" s="2">
        <v>0</v>
      </c>
      <c r="H10431" s="1" t="s">
        <v>0</v>
      </c>
      <c r="I10431" s="2">
        <v>0</v>
      </c>
      <c r="J10431" s="1">
        <v>46002.654895833337</v>
      </c>
    </row>
    <row r="10432" spans="1:10" x14ac:dyDescent="0.2">
      <c r="A10432" s="4" t="s">
        <v>1</v>
      </c>
      <c r="B10432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32" s="3" t="str">
        <f>HYPERLINK("https://otsuka-europe-crm.veevavault.com/ui/#object/sent_email__v/VBL00000000W441", "SE-001396442")</f>
        <v>SE-001396442</v>
      </c>
      <c r="D10432" s="1" t="s">
        <v>0</v>
      </c>
      <c r="E10432" s="2">
        <v>0</v>
      </c>
      <c r="F10432" s="2">
        <v>0</v>
      </c>
      <c r="G10432" s="2">
        <v>0</v>
      </c>
      <c r="H10432" s="1" t="s">
        <v>0</v>
      </c>
      <c r="I10432" s="2">
        <v>0</v>
      </c>
      <c r="J10432" s="1">
        <v>46002.654895833337</v>
      </c>
    </row>
    <row r="10433" spans="1:10" x14ac:dyDescent="0.2">
      <c r="A10433" s="4" t="s">
        <v>1</v>
      </c>
      <c r="B10433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33" s="3" t="str">
        <f>HYPERLINK("https://otsuka-europe-crm.veevavault.com/ui/#object/sent_email__v/VBL00000000W442", "SE-001396443")</f>
        <v>SE-001396443</v>
      </c>
      <c r="D10433" s="1" t="s">
        <v>0</v>
      </c>
      <c r="E10433" s="2">
        <v>0</v>
      </c>
      <c r="F10433" s="2">
        <v>0</v>
      </c>
      <c r="G10433" s="2">
        <v>0</v>
      </c>
      <c r="H10433" s="1" t="s">
        <v>0</v>
      </c>
      <c r="I10433" s="2">
        <v>0</v>
      </c>
      <c r="J10433" s="1">
        <v>46002.654895833337</v>
      </c>
    </row>
    <row r="10434" spans="1:10" x14ac:dyDescent="0.2">
      <c r="A10434" s="4" t="s">
        <v>1</v>
      </c>
      <c r="B10434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34" s="3" t="str">
        <f>HYPERLINK("https://otsuka-europe-crm.veevavault.com/ui/#object/sent_email__v/VBL00000000W443", "SE-001396444")</f>
        <v>SE-001396444</v>
      </c>
      <c r="D10434" s="1" t="s">
        <v>0</v>
      </c>
      <c r="E10434" s="2">
        <v>0</v>
      </c>
      <c r="F10434" s="2">
        <v>0</v>
      </c>
      <c r="G10434" s="2">
        <v>0</v>
      </c>
      <c r="H10434" s="1" t="s">
        <v>0</v>
      </c>
      <c r="I10434" s="2">
        <v>0</v>
      </c>
      <c r="J10434" s="1">
        <v>46002.654895833337</v>
      </c>
    </row>
    <row r="10435" spans="1:10" x14ac:dyDescent="0.2">
      <c r="A10435" s="4" t="s">
        <v>1</v>
      </c>
      <c r="B10435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35" s="3" t="str">
        <f>HYPERLINK("https://otsuka-europe-crm.veevavault.com/ui/#object/sent_email__v/VBL00000000W444", "SE-001396445")</f>
        <v>SE-001396445</v>
      </c>
      <c r="D10435" s="1" t="s">
        <v>0</v>
      </c>
      <c r="E10435" s="2">
        <v>0</v>
      </c>
      <c r="F10435" s="2">
        <v>0</v>
      </c>
      <c r="G10435" s="2">
        <v>0</v>
      </c>
      <c r="H10435" s="1" t="s">
        <v>0</v>
      </c>
      <c r="I10435" s="2">
        <v>0</v>
      </c>
      <c r="J10435" s="1">
        <v>46002.654895833337</v>
      </c>
    </row>
    <row r="10436" spans="1:10" x14ac:dyDescent="0.2">
      <c r="A10436" s="4" t="s">
        <v>1</v>
      </c>
      <c r="B10436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36" s="3" t="str">
        <f>HYPERLINK("https://otsuka-europe-crm.veevavault.com/ui/#object/sent_email__v/VBL00000000W445", "SE-001396446")</f>
        <v>SE-001396446</v>
      </c>
      <c r="D10436" s="1" t="s">
        <v>0</v>
      </c>
      <c r="E10436" s="2">
        <v>0</v>
      </c>
      <c r="F10436" s="2">
        <v>0</v>
      </c>
      <c r="G10436" s="2">
        <v>0</v>
      </c>
      <c r="H10436" s="1" t="s">
        <v>0</v>
      </c>
      <c r="I10436" s="2">
        <v>0</v>
      </c>
      <c r="J10436" s="1">
        <v>46002.654895833337</v>
      </c>
    </row>
    <row r="10437" spans="1:10" x14ac:dyDescent="0.2">
      <c r="A10437" s="4" t="s">
        <v>1</v>
      </c>
      <c r="B10437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37" s="3" t="str">
        <f>HYPERLINK("https://otsuka-europe-crm.veevavault.com/ui/#object/sent_email__v/VBL00000000W446", "SE-001396447")</f>
        <v>SE-001396447</v>
      </c>
      <c r="D10437" s="1" t="s">
        <v>0</v>
      </c>
      <c r="E10437" s="2">
        <v>0</v>
      </c>
      <c r="F10437" s="2">
        <v>0</v>
      </c>
      <c r="G10437" s="2">
        <v>0</v>
      </c>
      <c r="H10437" s="1" t="s">
        <v>0</v>
      </c>
      <c r="I10437" s="2">
        <v>0</v>
      </c>
      <c r="J10437" s="1">
        <v>46002.654895833337</v>
      </c>
    </row>
    <row r="10438" spans="1:10" x14ac:dyDescent="0.2">
      <c r="A10438" s="4" t="s">
        <v>1</v>
      </c>
      <c r="B10438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38" s="3" t="str">
        <f>HYPERLINK("https://otsuka-europe-crm.veevavault.com/ui/#object/sent_email__v/VBL00000000W447", "SE-001396448")</f>
        <v>SE-001396448</v>
      </c>
      <c r="D10438" s="1" t="s">
        <v>0</v>
      </c>
      <c r="E10438" s="2">
        <v>0</v>
      </c>
      <c r="F10438" s="2">
        <v>0</v>
      </c>
      <c r="G10438" s="2">
        <v>0</v>
      </c>
      <c r="H10438" s="1" t="s">
        <v>0</v>
      </c>
      <c r="I10438" s="2">
        <v>0</v>
      </c>
      <c r="J10438" s="1">
        <v>46002.654895833337</v>
      </c>
    </row>
    <row r="10439" spans="1:10" x14ac:dyDescent="0.2">
      <c r="A10439" s="4" t="s">
        <v>1</v>
      </c>
      <c r="B10439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39" s="3" t="str">
        <f>HYPERLINK("https://otsuka-europe-crm.veevavault.com/ui/#object/sent_email__v/VBL00000000W448", "SE-001396449")</f>
        <v>SE-001396449</v>
      </c>
      <c r="D10439" s="1" t="s">
        <v>0</v>
      </c>
      <c r="E10439" s="2">
        <v>0</v>
      </c>
      <c r="F10439" s="2">
        <v>0</v>
      </c>
      <c r="G10439" s="2">
        <v>0</v>
      </c>
      <c r="H10439" s="1" t="s">
        <v>0</v>
      </c>
      <c r="I10439" s="2">
        <v>0</v>
      </c>
      <c r="J10439" s="1">
        <v>46002.654895833337</v>
      </c>
    </row>
    <row r="10440" spans="1:10" x14ac:dyDescent="0.2">
      <c r="A10440" s="4" t="s">
        <v>1</v>
      </c>
      <c r="B10440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40" s="3" t="str">
        <f>HYPERLINK("https://otsuka-europe-crm.veevavault.com/ui/#object/sent_email__v/VBL00000000W449", "SE-001396450")</f>
        <v>SE-001396450</v>
      </c>
      <c r="D10440" s="1" t="s">
        <v>0</v>
      </c>
      <c r="E10440" s="2">
        <v>0</v>
      </c>
      <c r="F10440" s="2">
        <v>0</v>
      </c>
      <c r="G10440" s="2">
        <v>0</v>
      </c>
      <c r="H10440" s="1" t="s">
        <v>0</v>
      </c>
      <c r="I10440" s="2">
        <v>0</v>
      </c>
      <c r="J10440" s="1">
        <v>46002.654895833337</v>
      </c>
    </row>
    <row r="10441" spans="1:10" x14ac:dyDescent="0.2">
      <c r="A10441" s="4" t="s">
        <v>1</v>
      </c>
      <c r="B10441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41" s="3" t="str">
        <f>HYPERLINK("https://otsuka-europe-crm.veevavault.com/ui/#object/sent_email__v/VBL00000000W450", "SE-001396451")</f>
        <v>SE-001396451</v>
      </c>
      <c r="D10441" s="1" t="s">
        <v>0</v>
      </c>
      <c r="E10441" s="2">
        <v>0</v>
      </c>
      <c r="F10441" s="2">
        <v>0</v>
      </c>
      <c r="G10441" s="2">
        <v>0</v>
      </c>
      <c r="H10441" s="1" t="s">
        <v>0</v>
      </c>
      <c r="I10441" s="2">
        <v>0</v>
      </c>
      <c r="J10441" s="1">
        <v>46002.654895833337</v>
      </c>
    </row>
    <row r="10442" spans="1:10" x14ac:dyDescent="0.2">
      <c r="A10442" s="4" t="s">
        <v>1</v>
      </c>
      <c r="B10442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42" s="3" t="str">
        <f>HYPERLINK("https://otsuka-europe-crm.veevavault.com/ui/#object/sent_email__v/VBL00000000W451", "SE-001396452")</f>
        <v>SE-001396452</v>
      </c>
      <c r="D10442" s="1" t="s">
        <v>0</v>
      </c>
      <c r="E10442" s="2">
        <v>0</v>
      </c>
      <c r="F10442" s="2">
        <v>0</v>
      </c>
      <c r="G10442" s="2">
        <v>0</v>
      </c>
      <c r="H10442" s="1" t="s">
        <v>0</v>
      </c>
      <c r="I10442" s="2">
        <v>0</v>
      </c>
      <c r="J10442" s="1">
        <v>46002.654895833337</v>
      </c>
    </row>
    <row r="10443" spans="1:10" x14ac:dyDescent="0.2">
      <c r="A10443" s="4" t="s">
        <v>1</v>
      </c>
      <c r="B10443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43" s="3" t="str">
        <f>HYPERLINK("https://otsuka-europe-crm.veevavault.com/ui/#object/sent_email__v/VBL00000000W452", "SE-001396453")</f>
        <v>SE-001396453</v>
      </c>
      <c r="D10443" s="1" t="s">
        <v>0</v>
      </c>
      <c r="E10443" s="2">
        <v>0</v>
      </c>
      <c r="F10443" s="2">
        <v>0</v>
      </c>
      <c r="G10443" s="2">
        <v>0</v>
      </c>
      <c r="H10443" s="1" t="s">
        <v>0</v>
      </c>
      <c r="I10443" s="2">
        <v>0</v>
      </c>
      <c r="J10443" s="1">
        <v>46002.654895833337</v>
      </c>
    </row>
    <row r="10444" spans="1:10" x14ac:dyDescent="0.2">
      <c r="A10444" s="4" t="s">
        <v>1</v>
      </c>
      <c r="B10444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44" s="3" t="str">
        <f>HYPERLINK("https://otsuka-europe-crm.veevavault.com/ui/#object/sent_email__v/VBL00000000W453", "SE-001396454")</f>
        <v>SE-001396454</v>
      </c>
      <c r="D10444" s="1" t="s">
        <v>0</v>
      </c>
      <c r="E10444" s="2">
        <v>0</v>
      </c>
      <c r="F10444" s="2">
        <v>0</v>
      </c>
      <c r="G10444" s="2">
        <v>0</v>
      </c>
      <c r="H10444" s="1" t="s">
        <v>0</v>
      </c>
      <c r="I10444" s="2">
        <v>0</v>
      </c>
      <c r="J10444" s="1">
        <v>46002.654907407406</v>
      </c>
    </row>
    <row r="10445" spans="1:10" x14ac:dyDescent="0.2">
      <c r="A10445" s="4" t="s">
        <v>1</v>
      </c>
      <c r="B10445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45" s="3" t="str">
        <f>HYPERLINK("https://otsuka-europe-crm.veevavault.com/ui/#object/sent_email__v/VBL00000000W454", "SE-001396455")</f>
        <v>SE-001396455</v>
      </c>
      <c r="D10445" s="1" t="s">
        <v>0</v>
      </c>
      <c r="E10445" s="2">
        <v>0</v>
      </c>
      <c r="F10445" s="2">
        <v>0</v>
      </c>
      <c r="G10445" s="2">
        <v>0</v>
      </c>
      <c r="H10445" s="1" t="s">
        <v>0</v>
      </c>
      <c r="I10445" s="2">
        <v>0</v>
      </c>
      <c r="J10445" s="1">
        <v>46002.654907407406</v>
      </c>
    </row>
    <row r="10446" spans="1:10" x14ac:dyDescent="0.2">
      <c r="A10446" s="4" t="s">
        <v>1</v>
      </c>
      <c r="B10446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46" s="3" t="str">
        <f>HYPERLINK("https://otsuka-europe-crm.veevavault.com/ui/#object/sent_email__v/VBL00000000X540", "SE-001396456")</f>
        <v>SE-001396456</v>
      </c>
      <c r="D10446" s="1" t="s">
        <v>0</v>
      </c>
      <c r="E10446" s="2">
        <v>0</v>
      </c>
      <c r="F10446" s="2">
        <v>0</v>
      </c>
      <c r="G10446" s="2">
        <v>0</v>
      </c>
      <c r="H10446" s="1" t="s">
        <v>0</v>
      </c>
      <c r="I10446" s="2">
        <v>0</v>
      </c>
      <c r="J10446" s="1">
        <v>46002.655775462961</v>
      </c>
    </row>
    <row r="10447" spans="1:10" x14ac:dyDescent="0.2">
      <c r="A10447" s="4" t="s">
        <v>1</v>
      </c>
      <c r="B10447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47" s="3" t="str">
        <f>HYPERLINK("https://otsuka-europe-crm.veevavault.com/ui/#object/sent_email__v/VBL00000000X541", "SE-001396457")</f>
        <v>SE-001396457</v>
      </c>
      <c r="D10447" s="1" t="s">
        <v>0</v>
      </c>
      <c r="E10447" s="2">
        <v>0</v>
      </c>
      <c r="F10447" s="2">
        <v>0</v>
      </c>
      <c r="G10447" s="2">
        <v>0</v>
      </c>
      <c r="H10447" s="1" t="s">
        <v>0</v>
      </c>
      <c r="I10447" s="2">
        <v>0</v>
      </c>
      <c r="J10447" s="1">
        <v>46002.655775462961</v>
      </c>
    </row>
    <row r="10448" spans="1:10" x14ac:dyDescent="0.2">
      <c r="A10448" s="4" t="s">
        <v>1</v>
      </c>
      <c r="B10448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48" s="3" t="str">
        <f>HYPERLINK("https://otsuka-europe-crm.veevavault.com/ui/#object/sent_email__v/VBL00000000X542", "SE-001396458")</f>
        <v>SE-001396458</v>
      </c>
      <c r="D10448" s="1" t="s">
        <v>0</v>
      </c>
      <c r="E10448" s="2">
        <v>0</v>
      </c>
      <c r="F10448" s="2">
        <v>0</v>
      </c>
      <c r="G10448" s="2">
        <v>0</v>
      </c>
      <c r="H10448" s="1" t="s">
        <v>0</v>
      </c>
      <c r="I10448" s="2">
        <v>0</v>
      </c>
      <c r="J10448" s="1">
        <v>46002.655775462961</v>
      </c>
    </row>
    <row r="10449" spans="1:10" x14ac:dyDescent="0.2">
      <c r="A10449" s="4" t="s">
        <v>1</v>
      </c>
      <c r="B10449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49" s="3" t="str">
        <f>HYPERLINK("https://otsuka-europe-crm.veevavault.com/ui/#object/sent_email__v/VBL00000000X543", "SE-001396459")</f>
        <v>SE-001396459</v>
      </c>
      <c r="D10449" s="1" t="s">
        <v>0</v>
      </c>
      <c r="E10449" s="2">
        <v>0</v>
      </c>
      <c r="F10449" s="2">
        <v>0</v>
      </c>
      <c r="G10449" s="2">
        <v>0</v>
      </c>
      <c r="H10449" s="1" t="s">
        <v>0</v>
      </c>
      <c r="I10449" s="2">
        <v>0</v>
      </c>
      <c r="J10449" s="1">
        <v>46002.655775462961</v>
      </c>
    </row>
    <row r="10450" spans="1:10" x14ac:dyDescent="0.2">
      <c r="A10450" s="4" t="s">
        <v>1</v>
      </c>
      <c r="B10450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50" s="3" t="str">
        <f>HYPERLINK("https://otsuka-europe-crm.veevavault.com/ui/#object/sent_email__v/VBL00000000X544", "SE-001396460")</f>
        <v>SE-001396460</v>
      </c>
      <c r="D10450" s="1" t="s">
        <v>0</v>
      </c>
      <c r="E10450" s="2">
        <v>0</v>
      </c>
      <c r="F10450" s="2">
        <v>0</v>
      </c>
      <c r="G10450" s="2">
        <v>0</v>
      </c>
      <c r="H10450" s="1" t="s">
        <v>0</v>
      </c>
      <c r="I10450" s="2">
        <v>0</v>
      </c>
      <c r="J10450" s="1">
        <v>46002.655775462961</v>
      </c>
    </row>
    <row r="10451" spans="1:10" x14ac:dyDescent="0.2">
      <c r="A10451" s="4" t="s">
        <v>1</v>
      </c>
      <c r="B10451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51" s="3" t="str">
        <f>HYPERLINK("https://otsuka-europe-crm.veevavault.com/ui/#object/sent_email__v/VBL00000000X545", "SE-001396461")</f>
        <v>SE-001396461</v>
      </c>
      <c r="D10451" s="1" t="s">
        <v>0</v>
      </c>
      <c r="E10451" s="2">
        <v>0</v>
      </c>
      <c r="F10451" s="2">
        <v>0</v>
      </c>
      <c r="G10451" s="2">
        <v>0</v>
      </c>
      <c r="H10451" s="1" t="s">
        <v>0</v>
      </c>
      <c r="I10451" s="2">
        <v>0</v>
      </c>
      <c r="J10451" s="1">
        <v>46002.655775462961</v>
      </c>
    </row>
    <row r="10452" spans="1:10" x14ac:dyDescent="0.2">
      <c r="A10452" s="4" t="s">
        <v>1</v>
      </c>
      <c r="B10452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52" s="3" t="str">
        <f>HYPERLINK("https://otsuka-europe-crm.veevavault.com/ui/#object/sent_email__v/VBL00000000X546", "SE-001396462")</f>
        <v>SE-001396462</v>
      </c>
      <c r="D10452" s="1" t="s">
        <v>0</v>
      </c>
      <c r="E10452" s="2">
        <v>0</v>
      </c>
      <c r="F10452" s="2">
        <v>0</v>
      </c>
      <c r="G10452" s="2">
        <v>0</v>
      </c>
      <c r="H10452" s="1" t="s">
        <v>0</v>
      </c>
      <c r="I10452" s="2">
        <v>0</v>
      </c>
      <c r="J10452" s="1">
        <v>46002.655787037038</v>
      </c>
    </row>
    <row r="10453" spans="1:10" x14ac:dyDescent="0.2">
      <c r="A10453" s="4" t="s">
        <v>1</v>
      </c>
      <c r="B10453" s="3" t="str">
        <f>HYPERLINK("https://otsuka-europe-crm.veevavault.com/ui/#object/approved_document__v/V5O00000000D120", "LUP - 10 cuestiones para pensar: ¿Dónde quedó la lesión vascular? - reuma")</f>
        <v>LUP - 10 cuestiones para pensar: ¿Dónde quedó la lesión vascular? - reuma</v>
      </c>
      <c r="C10453" s="3" t="str">
        <f>HYPERLINK("https://otsuka-europe-crm.veevavault.com/ui/#object/sent_email__v/VBL00000000X547", "SE-001396463")</f>
        <v>SE-001396463</v>
      </c>
      <c r="D10453" s="1" t="s">
        <v>0</v>
      </c>
      <c r="E10453" s="2">
        <v>0</v>
      </c>
      <c r="F10453" s="2">
        <v>0</v>
      </c>
      <c r="G10453" s="2">
        <v>0</v>
      </c>
      <c r="H10453" s="1" t="s">
        <v>0</v>
      </c>
      <c r="I10453" s="2">
        <v>0</v>
      </c>
      <c r="J10453" s="1">
        <v>46002.655775462961</v>
      </c>
    </row>
    <row r="10454" spans="1:10" x14ac:dyDescent="0.2">
      <c r="A10454" s="4" t="s">
        <v>1</v>
      </c>
      <c r="B10454" s="3" t="str">
        <f>HYPERLINK("https://otsuka-europe-crm.veevavault.com/ui/#object/approved_document__v/V5OZ025E82TOLTX", "LUP - 10 cuestiones para pensar: Albuminuria - nefro")</f>
        <v>LUP - 10 cuestiones para pensar: Albuminuria - nefro</v>
      </c>
      <c r="C10454" s="3" t="str">
        <f>HYPERLINK("https://otsuka-europe-crm.veevavault.com/ui/#object/sent_email__v/VBLZ025E82GP11D", "SE-000275647")</f>
        <v>SE-000275647</v>
      </c>
      <c r="D10454" s="1">
        <v>45916.356990740744</v>
      </c>
      <c r="E10454" s="2">
        <v>1</v>
      </c>
      <c r="F10454" s="2">
        <v>2</v>
      </c>
      <c r="G10454" s="2">
        <v>1</v>
      </c>
      <c r="H10454" s="1">
        <v>45916.350532407407</v>
      </c>
      <c r="I10454" s="2">
        <v>1</v>
      </c>
      <c r="J10454" s="1">
        <v>45916.349652777775</v>
      </c>
    </row>
    <row r="10455" spans="1:10" x14ac:dyDescent="0.2">
      <c r="A10455" s="4" t="s">
        <v>1</v>
      </c>
      <c r="B1045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55" s="3" t="str">
        <f>HYPERLINK("https://otsuka-europe-crm.veevavault.com/ui/#object/sent_email__v/VBLZ025E82GP1F9", "SE-000275649")</f>
        <v>SE-000275649</v>
      </c>
      <c r="D10455" s="1">
        <v>45916.356979166667</v>
      </c>
      <c r="E10455" s="2">
        <v>1</v>
      </c>
      <c r="F10455" s="2">
        <v>1</v>
      </c>
      <c r="G10455" s="2">
        <v>1</v>
      </c>
      <c r="H10455" s="1">
        <v>45916.357256944444</v>
      </c>
      <c r="I10455" s="2">
        <v>3</v>
      </c>
      <c r="J10455" s="1">
        <v>45916.356736111113</v>
      </c>
    </row>
    <row r="10456" spans="1:10" x14ac:dyDescent="0.2">
      <c r="A10456" s="4" t="s">
        <v>1</v>
      </c>
      <c r="B1045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56" s="3" t="str">
        <f>HYPERLINK("https://otsuka-europe-crm.veevavault.com/ui/#object/sent_email__v/VBLZ025E82GQPAT", "SE-000275755")</f>
        <v>SE-000275755</v>
      </c>
      <c r="D10456" s="1" t="s">
        <v>0</v>
      </c>
      <c r="E10456" s="2">
        <v>0</v>
      </c>
      <c r="F10456" s="2">
        <v>0</v>
      </c>
      <c r="G10456" s="2">
        <v>0</v>
      </c>
      <c r="H10456" s="1" t="s">
        <v>0</v>
      </c>
      <c r="I10456" s="2">
        <v>0</v>
      </c>
      <c r="J10456" s="1">
        <v>45917.375486111108</v>
      </c>
    </row>
    <row r="10457" spans="1:10" x14ac:dyDescent="0.2">
      <c r="A10457" s="4" t="s">
        <v>1</v>
      </c>
      <c r="B1045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57" s="3" t="str">
        <f>HYPERLINK("https://otsuka-europe-crm.veevavault.com/ui/#object/sent_email__v/VBLZ025E82GQPDL", "SE-000275756")</f>
        <v>SE-000275756</v>
      </c>
      <c r="D10457" s="1" t="s">
        <v>0</v>
      </c>
      <c r="E10457" s="2">
        <v>0</v>
      </c>
      <c r="F10457" s="2">
        <v>0</v>
      </c>
      <c r="G10457" s="2">
        <v>0</v>
      </c>
      <c r="H10457" s="1" t="s">
        <v>0</v>
      </c>
      <c r="I10457" s="2">
        <v>0</v>
      </c>
      <c r="J10457" s="1">
        <v>45917.375868055555</v>
      </c>
    </row>
    <row r="10458" spans="1:10" x14ac:dyDescent="0.2">
      <c r="A10458" s="4" t="s">
        <v>1</v>
      </c>
      <c r="B1045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58" s="3" t="str">
        <f>HYPERLINK("https://otsuka-europe-crm.veevavault.com/ui/#object/sent_email__v/VBLZ025E82GQPGD", "SE-000275757")</f>
        <v>SE-000275757</v>
      </c>
      <c r="D10458" s="1" t="s">
        <v>0</v>
      </c>
      <c r="E10458" s="2">
        <v>0</v>
      </c>
      <c r="F10458" s="2">
        <v>0</v>
      </c>
      <c r="G10458" s="2">
        <v>0</v>
      </c>
      <c r="H10458" s="1" t="s">
        <v>0</v>
      </c>
      <c r="I10458" s="2">
        <v>0</v>
      </c>
      <c r="J10458" s="1">
        <v>45917.376192129632</v>
      </c>
    </row>
    <row r="10459" spans="1:10" x14ac:dyDescent="0.2">
      <c r="A10459" s="4" t="s">
        <v>1</v>
      </c>
      <c r="B1045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59" s="3" t="str">
        <f>HYPERLINK("https://otsuka-europe-crm.veevavault.com/ui/#object/sent_email__v/VBLZ025E82GQPJ5", "SE-000275758")</f>
        <v>SE-000275758</v>
      </c>
      <c r="D10459" s="1" t="s">
        <v>0</v>
      </c>
      <c r="E10459" s="2">
        <v>0</v>
      </c>
      <c r="F10459" s="2">
        <v>0</v>
      </c>
      <c r="G10459" s="2">
        <v>0</v>
      </c>
      <c r="H10459" s="1" t="s">
        <v>0</v>
      </c>
      <c r="I10459" s="2">
        <v>0</v>
      </c>
      <c r="J10459" s="1">
        <v>45917.376481481479</v>
      </c>
    </row>
    <row r="10460" spans="1:10" x14ac:dyDescent="0.2">
      <c r="A10460" s="4" t="s">
        <v>1</v>
      </c>
      <c r="B1046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60" s="3" t="str">
        <f>HYPERLINK("https://otsuka-europe-crm.veevavault.com/ui/#object/sent_email__v/VBLZ025E82GQPX1", "SE-000275761")</f>
        <v>SE-000275761</v>
      </c>
      <c r="D10460" s="1" t="s">
        <v>0</v>
      </c>
      <c r="E10460" s="2">
        <v>0</v>
      </c>
      <c r="F10460" s="2">
        <v>0</v>
      </c>
      <c r="G10460" s="2">
        <v>0</v>
      </c>
      <c r="H10460" s="1" t="s">
        <v>0</v>
      </c>
      <c r="I10460" s="2">
        <v>0</v>
      </c>
      <c r="J10460" s="1">
        <v>45917.379733796297</v>
      </c>
    </row>
    <row r="10461" spans="1:10" x14ac:dyDescent="0.2">
      <c r="A10461" s="4" t="s">
        <v>1</v>
      </c>
      <c r="B1046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61" s="3" t="str">
        <f>HYPERLINK("https://otsuka-europe-crm.veevavault.com/ui/#object/sent_email__v/VBLZ025E82GQQ2L", "SE-000275762")</f>
        <v>SE-000275762</v>
      </c>
      <c r="D10461" s="1" t="s">
        <v>0</v>
      </c>
      <c r="E10461" s="2">
        <v>0</v>
      </c>
      <c r="F10461" s="2">
        <v>0</v>
      </c>
      <c r="G10461" s="2">
        <v>0</v>
      </c>
      <c r="H10461" s="1" t="s">
        <v>0</v>
      </c>
      <c r="I10461" s="2">
        <v>0</v>
      </c>
      <c r="J10461" s="1">
        <v>45917.380196759259</v>
      </c>
    </row>
    <row r="10462" spans="1:10" x14ac:dyDescent="0.2">
      <c r="A10462" s="4" t="s">
        <v>1</v>
      </c>
      <c r="B1046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62" s="3" t="str">
        <f>HYPERLINK("https://otsuka-europe-crm.veevavault.com/ui/#object/sent_email__v/VBLZ025E82GQQ5D", "SE-000275763")</f>
        <v>SE-000275763</v>
      </c>
      <c r="D10462" s="1" t="s">
        <v>0</v>
      </c>
      <c r="E10462" s="2">
        <v>0</v>
      </c>
      <c r="F10462" s="2">
        <v>0</v>
      </c>
      <c r="G10462" s="2">
        <v>0</v>
      </c>
      <c r="H10462" s="1" t="s">
        <v>0</v>
      </c>
      <c r="I10462" s="2">
        <v>0</v>
      </c>
      <c r="J10462" s="1">
        <v>45917.380706018521</v>
      </c>
    </row>
    <row r="10463" spans="1:10" x14ac:dyDescent="0.2">
      <c r="A10463" s="4" t="s">
        <v>1</v>
      </c>
      <c r="B1046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63" s="3" t="str">
        <f>HYPERLINK("https://otsuka-europe-crm.veevavault.com/ui/#object/sent_email__v/VBLZ025E82GQQAX", "SE-000275764")</f>
        <v>SE-000275764</v>
      </c>
      <c r="D10463" s="1" t="s">
        <v>0</v>
      </c>
      <c r="E10463" s="2">
        <v>0</v>
      </c>
      <c r="F10463" s="2">
        <v>0</v>
      </c>
      <c r="G10463" s="2">
        <v>0</v>
      </c>
      <c r="H10463" s="1" t="s">
        <v>0</v>
      </c>
      <c r="I10463" s="2">
        <v>0</v>
      </c>
      <c r="J10463" s="1">
        <v>45917.380972222221</v>
      </c>
    </row>
    <row r="10464" spans="1:10" x14ac:dyDescent="0.2">
      <c r="A10464" s="4" t="s">
        <v>1</v>
      </c>
      <c r="B1046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64" s="3" t="str">
        <f>HYPERLINK("https://otsuka-europe-crm.veevavault.com/ui/#object/sent_email__v/VBLZ025E82GQQGH", "SE-000275766")</f>
        <v>SE-000275766</v>
      </c>
      <c r="D10464" s="1" t="s">
        <v>0</v>
      </c>
      <c r="E10464" s="2">
        <v>0</v>
      </c>
      <c r="F10464" s="2">
        <v>0</v>
      </c>
      <c r="G10464" s="2">
        <v>0</v>
      </c>
      <c r="H10464" s="1" t="s">
        <v>0</v>
      </c>
      <c r="I10464" s="2">
        <v>0</v>
      </c>
      <c r="J10464" s="1">
        <v>45917.381423611114</v>
      </c>
    </row>
    <row r="10465" spans="1:10" x14ac:dyDescent="0.2">
      <c r="A10465" s="4" t="s">
        <v>1</v>
      </c>
      <c r="B1046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65" s="3" t="str">
        <f>HYPERLINK("https://otsuka-europe-crm.veevavault.com/ui/#object/sent_email__v/VBLZ025E82GQQRL", "SE-000275767")</f>
        <v>SE-000275767</v>
      </c>
      <c r="D10465" s="1" t="s">
        <v>0</v>
      </c>
      <c r="E10465" s="2">
        <v>0</v>
      </c>
      <c r="F10465" s="2">
        <v>0</v>
      </c>
      <c r="G10465" s="2">
        <v>0</v>
      </c>
      <c r="H10465" s="1" t="s">
        <v>0</v>
      </c>
      <c r="I10465" s="2">
        <v>0</v>
      </c>
      <c r="J10465" s="1">
        <v>45917.382384259261</v>
      </c>
    </row>
    <row r="10466" spans="1:10" x14ac:dyDescent="0.2">
      <c r="A10466" s="4" t="s">
        <v>1</v>
      </c>
      <c r="B1046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66" s="3" t="str">
        <f>HYPERLINK("https://otsuka-europe-crm.veevavault.com/ui/#object/sent_email__v/VBLZ025E82GQQUD", "SE-000275768")</f>
        <v>SE-000275768</v>
      </c>
      <c r="D10466" s="1" t="s">
        <v>0</v>
      </c>
      <c r="E10466" s="2">
        <v>0</v>
      </c>
      <c r="F10466" s="2">
        <v>0</v>
      </c>
      <c r="G10466" s="2">
        <v>0</v>
      </c>
      <c r="H10466" s="1" t="s">
        <v>0</v>
      </c>
      <c r="I10466" s="2">
        <v>0</v>
      </c>
      <c r="J10466" s="1">
        <v>45917.382627314815</v>
      </c>
    </row>
    <row r="10467" spans="1:10" x14ac:dyDescent="0.2">
      <c r="A10467" s="4" t="s">
        <v>1</v>
      </c>
      <c r="B1046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67" s="3" t="str">
        <f>HYPERLINK("https://otsuka-europe-crm.veevavault.com/ui/#object/sent_email__v/VBLZ025E82GQQX5", "SE-000275769")</f>
        <v>SE-000275769</v>
      </c>
      <c r="D10467" s="1" t="s">
        <v>0</v>
      </c>
      <c r="E10467" s="2">
        <v>0</v>
      </c>
      <c r="F10467" s="2">
        <v>0</v>
      </c>
      <c r="G10467" s="2">
        <v>0</v>
      </c>
      <c r="H10467" s="1" t="s">
        <v>0</v>
      </c>
      <c r="I10467" s="2">
        <v>0</v>
      </c>
      <c r="J10467" s="1">
        <v>45917.382824074077</v>
      </c>
    </row>
    <row r="10468" spans="1:10" x14ac:dyDescent="0.2">
      <c r="A10468" s="4" t="s">
        <v>1</v>
      </c>
      <c r="B1046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68" s="3" t="str">
        <f>HYPERLINK("https://otsuka-europe-crm.veevavault.com/ui/#object/sent_email__v/VBLZ025E82GQRM5", "SE-000275770")</f>
        <v>SE-000275770</v>
      </c>
      <c r="D10468" s="1">
        <v>45917.386365740742</v>
      </c>
      <c r="E10468" s="2">
        <v>1</v>
      </c>
      <c r="F10468" s="2">
        <v>2</v>
      </c>
      <c r="G10468" s="2">
        <v>1</v>
      </c>
      <c r="H10468" s="1">
        <v>45917.385115740741</v>
      </c>
      <c r="I10468" s="2">
        <v>3</v>
      </c>
      <c r="J10468" s="1">
        <v>45917.384699074071</v>
      </c>
    </row>
    <row r="10469" spans="1:10" x14ac:dyDescent="0.2">
      <c r="A10469" s="4" t="s">
        <v>1</v>
      </c>
      <c r="B1046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69" s="3" t="str">
        <f>HYPERLINK("https://otsuka-europe-crm.veevavault.com/ui/#object/sent_email__v/VBLZ025E82GQRRP", "SE-000275771")</f>
        <v>SE-000275771</v>
      </c>
      <c r="D10469" s="1">
        <v>45917.876238425924</v>
      </c>
      <c r="E10469" s="2">
        <v>1</v>
      </c>
      <c r="F10469" s="2">
        <v>2</v>
      </c>
      <c r="G10469" s="2">
        <v>0</v>
      </c>
      <c r="H10469" s="1" t="s">
        <v>0</v>
      </c>
      <c r="I10469" s="2">
        <v>0</v>
      </c>
      <c r="J10469" s="1">
        <v>45917.385196759256</v>
      </c>
    </row>
    <row r="10470" spans="1:10" x14ac:dyDescent="0.2">
      <c r="A10470" s="4" t="s">
        <v>1</v>
      </c>
      <c r="B1047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70" s="3" t="str">
        <f>HYPERLINK("https://otsuka-europe-crm.veevavault.com/ui/#object/sent_email__v/VBLZ025E82GQRDU", "SE-000275772")</f>
        <v>SE-000275772</v>
      </c>
      <c r="D10470" s="1">
        <v>45918.468055555553</v>
      </c>
      <c r="E10470" s="2">
        <v>1</v>
      </c>
      <c r="F10470" s="2">
        <v>2</v>
      </c>
      <c r="G10470" s="2">
        <v>0</v>
      </c>
      <c r="H10470" s="1" t="s">
        <v>0</v>
      </c>
      <c r="I10470" s="2">
        <v>0</v>
      </c>
      <c r="J10470" s="1">
        <v>45917.385949074072</v>
      </c>
    </row>
    <row r="10471" spans="1:10" x14ac:dyDescent="0.2">
      <c r="A10471" s="4" t="s">
        <v>1</v>
      </c>
      <c r="B1047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71" s="3" t="str">
        <f>HYPERLINK("https://otsuka-europe-crm.veevavault.com/ui/#object/sent_email__v/VBLZ025E82GQS5L", "SE-000275773")</f>
        <v>SE-000275773</v>
      </c>
      <c r="D10471" s="1">
        <v>45917.3909375</v>
      </c>
      <c r="E10471" s="2">
        <v>1</v>
      </c>
      <c r="F10471" s="2">
        <v>1</v>
      </c>
      <c r="G10471" s="2">
        <v>0</v>
      </c>
      <c r="H10471" s="1" t="s">
        <v>0</v>
      </c>
      <c r="I10471" s="2">
        <v>0</v>
      </c>
      <c r="J10471" s="1">
        <v>45917.386782407404</v>
      </c>
    </row>
    <row r="10472" spans="1:10" x14ac:dyDescent="0.2">
      <c r="A10472" s="4" t="s">
        <v>1</v>
      </c>
      <c r="B1047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72" s="3" t="str">
        <f>HYPERLINK("https://otsuka-europe-crm.veevavault.com/ui/#object/sent_email__v/VBLZ025E82GQS8D", "SE-000275774")</f>
        <v>SE-000275774</v>
      </c>
      <c r="D10472" s="1">
        <v>45917.391574074078</v>
      </c>
      <c r="E10472" s="2">
        <v>1</v>
      </c>
      <c r="F10472" s="2">
        <v>1</v>
      </c>
      <c r="G10472" s="2">
        <v>0</v>
      </c>
      <c r="H10472" s="1" t="s">
        <v>0</v>
      </c>
      <c r="I10472" s="2">
        <v>0</v>
      </c>
      <c r="J10472" s="1">
        <v>45917.387418981481</v>
      </c>
    </row>
    <row r="10473" spans="1:10" x14ac:dyDescent="0.2">
      <c r="A10473" s="4" t="s">
        <v>1</v>
      </c>
      <c r="B1047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73" s="3" t="str">
        <f>HYPERLINK("https://otsuka-europe-crm.veevavault.com/ui/#object/sent_email__v/VBLZ025E82GQSGP", "SE-000275775")</f>
        <v>SE-000275775</v>
      </c>
      <c r="D10473" s="1">
        <v>45917.39199074074</v>
      </c>
      <c r="E10473" s="2">
        <v>1</v>
      </c>
      <c r="F10473" s="2">
        <v>1</v>
      </c>
      <c r="G10473" s="2">
        <v>1</v>
      </c>
      <c r="H10473" s="1">
        <v>45920.810983796298</v>
      </c>
      <c r="I10473" s="2">
        <v>2</v>
      </c>
      <c r="J10473" s="1">
        <v>45917.387743055559</v>
      </c>
    </row>
    <row r="10474" spans="1:10" x14ac:dyDescent="0.2">
      <c r="A10474" s="4" t="s">
        <v>1</v>
      </c>
      <c r="B1047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74" s="3" t="str">
        <f>HYPERLINK("https://otsuka-europe-crm.veevavault.com/ui/#object/sent_email__v/VBLZ025E82GQSJH", "SE-000275776")</f>
        <v>SE-000275776</v>
      </c>
      <c r="D10474" s="1">
        <v>45922.11509259259</v>
      </c>
      <c r="E10474" s="2">
        <v>1</v>
      </c>
      <c r="F10474" s="2">
        <v>2</v>
      </c>
      <c r="G10474" s="2">
        <v>0</v>
      </c>
      <c r="H10474" s="1" t="s">
        <v>0</v>
      </c>
      <c r="I10474" s="2">
        <v>0</v>
      </c>
      <c r="J10474" s="1">
        <v>45917.388599537036</v>
      </c>
    </row>
    <row r="10475" spans="1:10" x14ac:dyDescent="0.2">
      <c r="A10475" s="4" t="s">
        <v>1</v>
      </c>
      <c r="B1047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75" s="3" t="str">
        <f>HYPERLINK("https://otsuka-europe-crm.veevavault.com/ui/#object/sent_email__v/VBLZ025E82GQSP1", "SE-000275777")</f>
        <v>SE-000275777</v>
      </c>
      <c r="D10475" s="1" t="s">
        <v>0</v>
      </c>
      <c r="E10475" s="2">
        <v>0</v>
      </c>
      <c r="F10475" s="2">
        <v>0</v>
      </c>
      <c r="G10475" s="2">
        <v>0</v>
      </c>
      <c r="H10475" s="1" t="s">
        <v>0</v>
      </c>
      <c r="I10475" s="2">
        <v>0</v>
      </c>
      <c r="J10475" s="1">
        <v>45917.389166666668</v>
      </c>
    </row>
    <row r="10476" spans="1:10" x14ac:dyDescent="0.2">
      <c r="A10476" s="4" t="s">
        <v>1</v>
      </c>
      <c r="B1047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76" s="3" t="str">
        <f>HYPERLINK("https://otsuka-europe-crm.veevavault.com/ui/#object/sent_email__v/VBLZ025E82GQSRT", "SE-000275778")</f>
        <v>SE-000275778</v>
      </c>
      <c r="D10476" s="1">
        <v>45917.394363425927</v>
      </c>
      <c r="E10476" s="2">
        <v>1</v>
      </c>
      <c r="F10476" s="2">
        <v>1</v>
      </c>
      <c r="G10476" s="2">
        <v>0</v>
      </c>
      <c r="H10476" s="1" t="s">
        <v>0</v>
      </c>
      <c r="I10476" s="2">
        <v>0</v>
      </c>
      <c r="J10476" s="1">
        <v>45917.389849537038</v>
      </c>
    </row>
    <row r="10477" spans="1:10" x14ac:dyDescent="0.2">
      <c r="A10477" s="4" t="s">
        <v>1</v>
      </c>
      <c r="B1047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77" s="3" t="str">
        <f>HYPERLINK("https://otsuka-europe-crm.veevavault.com/ui/#object/sent_email__v/VBLZ025E82GQT05", "SE-000275779")</f>
        <v>SE-000275779</v>
      </c>
      <c r="D10477" s="1">
        <v>45917.483414351853</v>
      </c>
      <c r="E10477" s="2">
        <v>1</v>
      </c>
      <c r="F10477" s="2">
        <v>2</v>
      </c>
      <c r="G10477" s="2">
        <v>0</v>
      </c>
      <c r="H10477" s="1" t="s">
        <v>0</v>
      </c>
      <c r="I10477" s="2">
        <v>0</v>
      </c>
      <c r="J10477" s="1">
        <v>45917.390763888892</v>
      </c>
    </row>
    <row r="10478" spans="1:10" x14ac:dyDescent="0.2">
      <c r="A10478" s="4" t="s">
        <v>1</v>
      </c>
      <c r="B1047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78" s="3" t="str">
        <f>HYPERLINK("https://otsuka-europe-crm.veevavault.com/ui/#object/sent_email__v/VBLZ025E82GQTB9", "SE-000275781")</f>
        <v>SE-000275781</v>
      </c>
      <c r="D10478" s="1" t="s">
        <v>0</v>
      </c>
      <c r="E10478" s="2">
        <v>0</v>
      </c>
      <c r="F10478" s="2">
        <v>0</v>
      </c>
      <c r="G10478" s="2">
        <v>0</v>
      </c>
      <c r="H10478" s="1" t="s">
        <v>0</v>
      </c>
      <c r="I10478" s="2">
        <v>0</v>
      </c>
      <c r="J10478" s="1">
        <v>45917.391863425924</v>
      </c>
    </row>
    <row r="10479" spans="1:10" x14ac:dyDescent="0.2">
      <c r="A10479" s="4" t="s">
        <v>1</v>
      </c>
      <c r="B1047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79" s="3" t="str">
        <f>HYPERLINK("https://otsuka-europe-crm.veevavault.com/ui/#object/sent_email__v/VBLZ025E82GQTXH", "SE-000275782")</f>
        <v>SE-000275782</v>
      </c>
      <c r="D10479" s="1" t="s">
        <v>0</v>
      </c>
      <c r="E10479" s="2">
        <v>0</v>
      </c>
      <c r="F10479" s="2">
        <v>0</v>
      </c>
      <c r="G10479" s="2">
        <v>0</v>
      </c>
      <c r="H10479" s="1" t="s">
        <v>0</v>
      </c>
      <c r="I10479" s="2">
        <v>0</v>
      </c>
      <c r="J10479" s="1">
        <v>45917.393055555556</v>
      </c>
    </row>
    <row r="10480" spans="1:10" x14ac:dyDescent="0.2">
      <c r="A10480" s="4" t="s">
        <v>1</v>
      </c>
      <c r="B1048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80" s="3" t="str">
        <f>HYPERLINK("https://otsuka-europe-crm.veevavault.com/ui/#object/sent_email__v/VBLZ025E82GQU31", "SE-000275783")</f>
        <v>SE-000275783</v>
      </c>
      <c r="D10480" s="1" t="s">
        <v>0</v>
      </c>
      <c r="E10480" s="2">
        <v>0</v>
      </c>
      <c r="F10480" s="2">
        <v>0</v>
      </c>
      <c r="G10480" s="2">
        <v>0</v>
      </c>
      <c r="H10480" s="1" t="s">
        <v>0</v>
      </c>
      <c r="I10480" s="2">
        <v>0</v>
      </c>
      <c r="J10480" s="1">
        <v>45917.393321759257</v>
      </c>
    </row>
    <row r="10481" spans="1:10" x14ac:dyDescent="0.2">
      <c r="A10481" s="4" t="s">
        <v>1</v>
      </c>
      <c r="B1048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81" s="3" t="str">
        <f>HYPERLINK("https://otsuka-europe-crm.veevavault.com/ui/#object/sent_email__v/VBLZ025E82GQU5T", "SE-000275784")</f>
        <v>SE-000275784</v>
      </c>
      <c r="D10481" s="1" t="s">
        <v>0</v>
      </c>
      <c r="E10481" s="2">
        <v>0</v>
      </c>
      <c r="F10481" s="2">
        <v>0</v>
      </c>
      <c r="G10481" s="2">
        <v>0</v>
      </c>
      <c r="H10481" s="1" t="s">
        <v>0</v>
      </c>
      <c r="I10481" s="2">
        <v>0</v>
      </c>
      <c r="J10481" s="1">
        <v>45917.393599537034</v>
      </c>
    </row>
    <row r="10482" spans="1:10" x14ac:dyDescent="0.2">
      <c r="A10482" s="4" t="s">
        <v>1</v>
      </c>
      <c r="B1048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82" s="3" t="str">
        <f>HYPERLINK("https://otsuka-europe-crm.veevavault.com/ui/#object/sent_email__v/VBLZ025E82GQUGX", "SE-000275785")</f>
        <v>SE-000275785</v>
      </c>
      <c r="D10482" s="1" t="s">
        <v>0</v>
      </c>
      <c r="E10482" s="2">
        <v>0</v>
      </c>
      <c r="F10482" s="2">
        <v>0</v>
      </c>
      <c r="G10482" s="2">
        <v>0</v>
      </c>
      <c r="H10482" s="1" t="s">
        <v>0</v>
      </c>
      <c r="I10482" s="2">
        <v>0</v>
      </c>
      <c r="J10482" s="1">
        <v>45917.394097222219</v>
      </c>
    </row>
    <row r="10483" spans="1:10" x14ac:dyDescent="0.2">
      <c r="A10483" s="4" t="s">
        <v>1</v>
      </c>
      <c r="B1048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83" s="3" t="str">
        <f>HYPERLINK("https://otsuka-europe-crm.veevavault.com/ui/#object/sent_email__v/VBLZ025E82GQUP9", "SE-000275786")</f>
        <v>SE-000275786</v>
      </c>
      <c r="D10483" s="1" t="s">
        <v>0</v>
      </c>
      <c r="E10483" s="2">
        <v>0</v>
      </c>
      <c r="F10483" s="2">
        <v>0</v>
      </c>
      <c r="G10483" s="2">
        <v>0</v>
      </c>
      <c r="H10483" s="1" t="s">
        <v>0</v>
      </c>
      <c r="I10483" s="2">
        <v>0</v>
      </c>
      <c r="J10483" s="1">
        <v>45917.394687499997</v>
      </c>
    </row>
    <row r="10484" spans="1:10" x14ac:dyDescent="0.2">
      <c r="A10484" s="4" t="s">
        <v>1</v>
      </c>
      <c r="B1048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84" s="3" t="str">
        <f>HYPERLINK("https://otsuka-europe-crm.veevavault.com/ui/#object/sent_email__v/VBLZ025E82GQUS1", "SE-000275787")</f>
        <v>SE-000275787</v>
      </c>
      <c r="D10484" s="1" t="s">
        <v>0</v>
      </c>
      <c r="E10484" s="2">
        <v>0</v>
      </c>
      <c r="F10484" s="2">
        <v>0</v>
      </c>
      <c r="G10484" s="2">
        <v>0</v>
      </c>
      <c r="H10484" s="1" t="s">
        <v>0</v>
      </c>
      <c r="I10484" s="2">
        <v>0</v>
      </c>
      <c r="J10484" s="1">
        <v>45917.394942129627</v>
      </c>
    </row>
    <row r="10485" spans="1:10" x14ac:dyDescent="0.2">
      <c r="A10485" s="4" t="s">
        <v>1</v>
      </c>
      <c r="B1048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85" s="3" t="str">
        <f>HYPERLINK("https://otsuka-europe-crm.veevavault.com/ui/#object/sent_email__v/VBLZ025E82GQV5X", "SE-000275789")</f>
        <v>SE-000275789</v>
      </c>
      <c r="D10485" s="1" t="s">
        <v>0</v>
      </c>
      <c r="E10485" s="2">
        <v>0</v>
      </c>
      <c r="F10485" s="2">
        <v>0</v>
      </c>
      <c r="G10485" s="2">
        <v>0</v>
      </c>
      <c r="H10485" s="1" t="s">
        <v>0</v>
      </c>
      <c r="I10485" s="2">
        <v>0</v>
      </c>
      <c r="J10485" s="1">
        <v>45917.395648148151</v>
      </c>
    </row>
    <row r="10486" spans="1:10" x14ac:dyDescent="0.2">
      <c r="A10486" s="4" t="s">
        <v>1</v>
      </c>
      <c r="B1048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86" s="3" t="str">
        <f>HYPERLINK("https://otsuka-europe-crm.veevavault.com/ui/#object/sent_email__v/VBLZ025E82GQVBH", "SE-000275790")</f>
        <v>SE-000275790</v>
      </c>
      <c r="D10486" s="1">
        <v>45917.417002314818</v>
      </c>
      <c r="E10486" s="2">
        <v>1</v>
      </c>
      <c r="F10486" s="2">
        <v>1</v>
      </c>
      <c r="G10486" s="2">
        <v>0</v>
      </c>
      <c r="H10486" s="1" t="s">
        <v>0</v>
      </c>
      <c r="I10486" s="2">
        <v>0</v>
      </c>
      <c r="J10486" s="1">
        <v>45917.396064814813</v>
      </c>
    </row>
    <row r="10487" spans="1:10" x14ac:dyDescent="0.2">
      <c r="A10487" s="4" t="s">
        <v>1</v>
      </c>
      <c r="B1048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87" s="3" t="str">
        <f>HYPERLINK("https://otsuka-europe-crm.veevavault.com/ui/#object/sent_email__v/VBLZ025E82GQVJT", "SE-000275791")</f>
        <v>SE-000275791</v>
      </c>
      <c r="D10487" s="1" t="s">
        <v>0</v>
      </c>
      <c r="E10487" s="2">
        <v>0</v>
      </c>
      <c r="F10487" s="2">
        <v>0</v>
      </c>
      <c r="G10487" s="2">
        <v>0</v>
      </c>
      <c r="H10487" s="1" t="s">
        <v>0</v>
      </c>
      <c r="I10487" s="2">
        <v>0</v>
      </c>
      <c r="J10487" s="1">
        <v>45917.396493055552</v>
      </c>
    </row>
    <row r="10488" spans="1:10" x14ac:dyDescent="0.2">
      <c r="A10488" s="4" t="s">
        <v>1</v>
      </c>
      <c r="B1048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88" s="3" t="str">
        <f>HYPERLINK("https://otsuka-europe-crm.veevavault.com/ui/#object/sent_email__v/VBLZ025E82GQVPD", "SE-000275792")</f>
        <v>SE-000275792</v>
      </c>
      <c r="D10488" s="1">
        <v>45917.581041666665</v>
      </c>
      <c r="E10488" s="2">
        <v>1</v>
      </c>
      <c r="F10488" s="2">
        <v>1</v>
      </c>
      <c r="G10488" s="2">
        <v>0</v>
      </c>
      <c r="H10488" s="1" t="s">
        <v>0</v>
      </c>
      <c r="I10488" s="2">
        <v>0</v>
      </c>
      <c r="J10488" s="1">
        <v>45917.396956018521</v>
      </c>
    </row>
    <row r="10489" spans="1:10" x14ac:dyDescent="0.2">
      <c r="A10489" s="4" t="s">
        <v>1</v>
      </c>
      <c r="B1048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89" s="3" t="str">
        <f>HYPERLINK("https://otsuka-europe-crm.veevavault.com/ui/#object/sent_email__v/VBLZ025E82GQVUX", "SE-000275793")</f>
        <v>SE-000275793</v>
      </c>
      <c r="D10489" s="1" t="s">
        <v>0</v>
      </c>
      <c r="E10489" s="2">
        <v>0</v>
      </c>
      <c r="F10489" s="2">
        <v>0</v>
      </c>
      <c r="G10489" s="2">
        <v>0</v>
      </c>
      <c r="H10489" s="1" t="s">
        <v>0</v>
      </c>
      <c r="I10489" s="2">
        <v>0</v>
      </c>
      <c r="J10489" s="1">
        <v>45917.397557870368</v>
      </c>
    </row>
    <row r="10490" spans="1:10" x14ac:dyDescent="0.2">
      <c r="A10490" s="4" t="s">
        <v>1</v>
      </c>
      <c r="B1049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90" s="3" t="str">
        <f>HYPERLINK("https://otsuka-europe-crm.veevavault.com/ui/#object/sent_email__v/VBLZ025E82GQW39", "SE-000275794")</f>
        <v>SE-000275794</v>
      </c>
      <c r="D10490" s="1">
        <v>45917.464722222219</v>
      </c>
      <c r="E10490" s="2">
        <v>1</v>
      </c>
      <c r="F10490" s="2">
        <v>1</v>
      </c>
      <c r="G10490" s="2">
        <v>0</v>
      </c>
      <c r="H10490" s="1" t="s">
        <v>0</v>
      </c>
      <c r="I10490" s="2">
        <v>0</v>
      </c>
      <c r="J10490" s="1">
        <v>45917.397939814815</v>
      </c>
    </row>
    <row r="10491" spans="1:10" x14ac:dyDescent="0.2">
      <c r="A10491" s="4" t="s">
        <v>1</v>
      </c>
      <c r="B1049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91" s="3" t="str">
        <f>HYPERLINK("https://otsuka-europe-crm.veevavault.com/ui/#object/sent_email__v/VBLZ025E82GQRRQ", "SE-000275795")</f>
        <v>SE-000275795</v>
      </c>
      <c r="D10491" s="1" t="s">
        <v>0</v>
      </c>
      <c r="E10491" s="2">
        <v>0</v>
      </c>
      <c r="F10491" s="2">
        <v>0</v>
      </c>
      <c r="G10491" s="2">
        <v>0</v>
      </c>
      <c r="H10491" s="1" t="s">
        <v>0</v>
      </c>
      <c r="I10491" s="2">
        <v>0</v>
      </c>
      <c r="J10491" s="1">
        <v>45917.398981481485</v>
      </c>
    </row>
    <row r="10492" spans="1:10" x14ac:dyDescent="0.2">
      <c r="A10492" s="4" t="s">
        <v>1</v>
      </c>
      <c r="B1049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92" s="3" t="str">
        <f>HYPERLINK("https://otsuka-europe-crm.veevavault.com/ui/#object/sent_email__v/VBLZ025E82GQW8T", "SE-000275796")</f>
        <v>SE-000275796</v>
      </c>
      <c r="D10492" s="1" t="s">
        <v>0</v>
      </c>
      <c r="E10492" s="2">
        <v>0</v>
      </c>
      <c r="F10492" s="2">
        <v>0</v>
      </c>
      <c r="G10492" s="2">
        <v>0</v>
      </c>
      <c r="H10492" s="1" t="s">
        <v>0</v>
      </c>
      <c r="I10492" s="2">
        <v>0</v>
      </c>
      <c r="J10492" s="1">
        <v>45917.400046296294</v>
      </c>
    </row>
    <row r="10493" spans="1:10" x14ac:dyDescent="0.2">
      <c r="A10493" s="4" t="s">
        <v>1</v>
      </c>
      <c r="B1049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93" s="3" t="str">
        <f>HYPERLINK("https://otsuka-europe-crm.veevavault.com/ui/#object/sent_email__v/VBLZ025E82GQQ5E", "SE-000275797")</f>
        <v>SE-000275797</v>
      </c>
      <c r="D10493" s="1">
        <v>45918.947291666664</v>
      </c>
      <c r="E10493" s="2">
        <v>1</v>
      </c>
      <c r="F10493" s="2">
        <v>1</v>
      </c>
      <c r="G10493" s="2">
        <v>0</v>
      </c>
      <c r="H10493" s="1" t="s">
        <v>0</v>
      </c>
      <c r="I10493" s="2">
        <v>0</v>
      </c>
      <c r="J10493" s="1">
        <v>45917.40047453704</v>
      </c>
    </row>
    <row r="10494" spans="1:10" x14ac:dyDescent="0.2">
      <c r="A10494" s="4" t="s">
        <v>1</v>
      </c>
      <c r="B1049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94" s="3" t="str">
        <f>HYPERLINK("https://otsuka-europe-crm.veevavault.com/ui/#object/sent_email__v/VBLZ025E82GQWBL", "SE-000275798")</f>
        <v>SE-000275798</v>
      </c>
      <c r="D10494" s="1" t="s">
        <v>0</v>
      </c>
      <c r="E10494" s="2">
        <v>0</v>
      </c>
      <c r="F10494" s="2">
        <v>0</v>
      </c>
      <c r="G10494" s="2">
        <v>0</v>
      </c>
      <c r="H10494" s="1" t="s">
        <v>0</v>
      </c>
      <c r="I10494" s="2">
        <v>0</v>
      </c>
      <c r="J10494" s="1">
        <v>45917.400682870371</v>
      </c>
    </row>
    <row r="10495" spans="1:10" x14ac:dyDescent="0.2">
      <c r="A10495" s="4" t="s">
        <v>1</v>
      </c>
      <c r="B1049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95" s="3" t="str">
        <f>HYPERLINK("https://otsuka-europe-crm.veevavault.com/ui/#object/sent_email__v/VBLZ025E82GQWH5", "SE-000275799")</f>
        <v>SE-000275799</v>
      </c>
      <c r="D10495" s="1">
        <v>45917.978541666664</v>
      </c>
      <c r="E10495" s="2">
        <v>1</v>
      </c>
      <c r="F10495" s="2">
        <v>1</v>
      </c>
      <c r="G10495" s="2">
        <v>0</v>
      </c>
      <c r="H10495" s="1" t="s">
        <v>0</v>
      </c>
      <c r="I10495" s="2">
        <v>0</v>
      </c>
      <c r="J10495" s="1">
        <v>45917.401574074072</v>
      </c>
    </row>
    <row r="10496" spans="1:10" x14ac:dyDescent="0.2">
      <c r="A10496" s="4" t="s">
        <v>1</v>
      </c>
      <c r="B1049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96" s="3" t="str">
        <f>HYPERLINK("https://otsuka-europe-crm.veevavault.com/ui/#object/sent_email__v/VBLZ025E82GQWJX", "SE-000275800")</f>
        <v>SE-000275800</v>
      </c>
      <c r="D10496" s="1" t="s">
        <v>0</v>
      </c>
      <c r="E10496" s="2">
        <v>0</v>
      </c>
      <c r="F10496" s="2">
        <v>0</v>
      </c>
      <c r="G10496" s="2">
        <v>0</v>
      </c>
      <c r="H10496" s="1" t="s">
        <v>0</v>
      </c>
      <c r="I10496" s="2">
        <v>0</v>
      </c>
      <c r="J10496" s="1">
        <v>45917.402013888888</v>
      </c>
    </row>
    <row r="10497" spans="1:10" x14ac:dyDescent="0.2">
      <c r="A10497" s="4" t="s">
        <v>1</v>
      </c>
      <c r="B1049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97" s="3" t="str">
        <f>HYPERLINK("https://otsuka-europe-crm.veevavault.com/ui/#object/sent_email__v/VBLZ025E82GQWMP", "SE-000275801")</f>
        <v>SE-000275801</v>
      </c>
      <c r="D10497" s="1" t="s">
        <v>0</v>
      </c>
      <c r="E10497" s="2">
        <v>0</v>
      </c>
      <c r="F10497" s="2">
        <v>0</v>
      </c>
      <c r="G10497" s="2">
        <v>0</v>
      </c>
      <c r="H10497" s="1" t="s">
        <v>0</v>
      </c>
      <c r="I10497" s="2">
        <v>0</v>
      </c>
      <c r="J10497" s="1">
        <v>45917.402280092596</v>
      </c>
    </row>
    <row r="10498" spans="1:10" x14ac:dyDescent="0.2">
      <c r="A10498" s="4" t="s">
        <v>1</v>
      </c>
      <c r="B1049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98" s="3" t="str">
        <f>HYPERLINK("https://otsuka-europe-crm.veevavault.com/ui/#object/sent_email__v/VBLZ025E82GQWS9", "SE-000275802")</f>
        <v>SE-000275802</v>
      </c>
      <c r="D10498" s="1" t="s">
        <v>0</v>
      </c>
      <c r="E10498" s="2">
        <v>0</v>
      </c>
      <c r="F10498" s="2">
        <v>0</v>
      </c>
      <c r="G10498" s="2">
        <v>0</v>
      </c>
      <c r="H10498" s="1" t="s">
        <v>0</v>
      </c>
      <c r="I10498" s="2">
        <v>0</v>
      </c>
      <c r="J10498" s="1">
        <v>45917.402754629627</v>
      </c>
    </row>
    <row r="10499" spans="1:10" x14ac:dyDescent="0.2">
      <c r="A10499" s="4" t="s">
        <v>1</v>
      </c>
      <c r="B1049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499" s="3" t="str">
        <f>HYPERLINK("https://otsuka-europe-crm.veevavault.com/ui/#object/sent_email__v/VBLZ025E82GQWXT", "SE-000275803")</f>
        <v>SE-000275803</v>
      </c>
      <c r="D10499" s="1" t="s">
        <v>0</v>
      </c>
      <c r="E10499" s="2">
        <v>0</v>
      </c>
      <c r="F10499" s="2">
        <v>0</v>
      </c>
      <c r="G10499" s="2">
        <v>0</v>
      </c>
      <c r="H10499" s="1" t="s">
        <v>0</v>
      </c>
      <c r="I10499" s="2">
        <v>0</v>
      </c>
      <c r="J10499" s="1">
        <v>45917.40320601852</v>
      </c>
    </row>
    <row r="10500" spans="1:10" x14ac:dyDescent="0.2">
      <c r="A10500" s="4" t="s">
        <v>1</v>
      </c>
      <c r="B1050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00" s="3" t="str">
        <f>HYPERLINK("https://otsuka-europe-crm.veevavault.com/ui/#object/sent_email__v/VBLZ025E82GQX0L", "SE-000275804")</f>
        <v>SE-000275804</v>
      </c>
      <c r="D10500" s="1" t="s">
        <v>0</v>
      </c>
      <c r="E10500" s="2">
        <v>0</v>
      </c>
      <c r="F10500" s="2">
        <v>0</v>
      </c>
      <c r="G10500" s="2">
        <v>0</v>
      </c>
      <c r="H10500" s="1" t="s">
        <v>0</v>
      </c>
      <c r="I10500" s="2">
        <v>0</v>
      </c>
      <c r="J10500" s="1">
        <v>45917.40420138889</v>
      </c>
    </row>
    <row r="10501" spans="1:10" x14ac:dyDescent="0.2">
      <c r="A10501" s="4" t="s">
        <v>1</v>
      </c>
      <c r="B1050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01" s="3" t="str">
        <f>HYPERLINK("https://otsuka-europe-crm.veevavault.com/ui/#object/sent_email__v/VBLZ025E82GQPAU", "SE-000275806")</f>
        <v>SE-000275806</v>
      </c>
      <c r="D10501" s="1">
        <v>45919.629328703704</v>
      </c>
      <c r="E10501" s="2">
        <v>1</v>
      </c>
      <c r="F10501" s="2">
        <v>1</v>
      </c>
      <c r="G10501" s="2">
        <v>0</v>
      </c>
      <c r="H10501" s="1" t="s">
        <v>0</v>
      </c>
      <c r="I10501" s="2">
        <v>0</v>
      </c>
      <c r="J10501" s="1">
        <v>45917.404652777775</v>
      </c>
    </row>
    <row r="10502" spans="1:10" x14ac:dyDescent="0.2">
      <c r="A10502" s="4" t="s">
        <v>1</v>
      </c>
      <c r="B1050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02" s="3" t="str">
        <f>HYPERLINK("https://otsuka-europe-crm.veevavault.com/ui/#object/sent_email__v/VBLZ025E82GQX65", "SE-000275807")</f>
        <v>SE-000275807</v>
      </c>
      <c r="D10502" s="1" t="s">
        <v>0</v>
      </c>
      <c r="E10502" s="2">
        <v>0</v>
      </c>
      <c r="F10502" s="2">
        <v>0</v>
      </c>
      <c r="G10502" s="2">
        <v>0</v>
      </c>
      <c r="H10502" s="1" t="s">
        <v>0</v>
      </c>
      <c r="I10502" s="2">
        <v>0</v>
      </c>
      <c r="J10502" s="1">
        <v>45917.404826388891</v>
      </c>
    </row>
    <row r="10503" spans="1:10" x14ac:dyDescent="0.2">
      <c r="A10503" s="4" t="s">
        <v>1</v>
      </c>
      <c r="B1050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03" s="3" t="str">
        <f>HYPERLINK("https://otsuka-europe-crm.veevavault.com/ui/#object/sent_email__v/VBLZ025E82GQX8X", "SE-000275808")</f>
        <v>SE-000275808</v>
      </c>
      <c r="D10503" s="1">
        <v>45917.406377314815</v>
      </c>
      <c r="E10503" s="2">
        <v>1</v>
      </c>
      <c r="F10503" s="2">
        <v>1</v>
      </c>
      <c r="G10503" s="2">
        <v>1</v>
      </c>
      <c r="H10503" s="1">
        <v>45917.406701388885</v>
      </c>
      <c r="I10503" s="2">
        <v>3</v>
      </c>
      <c r="J10503" s="1">
        <v>45917.405370370368</v>
      </c>
    </row>
    <row r="10504" spans="1:10" x14ac:dyDescent="0.2">
      <c r="A10504" s="4" t="s">
        <v>1</v>
      </c>
      <c r="B1050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04" s="3" t="str">
        <f>HYPERLINK("https://otsuka-europe-crm.veevavault.com/ui/#object/sent_email__v/VBLZ025E82GQXBP", "SE-000275809")</f>
        <v>SE-000275809</v>
      </c>
      <c r="D10504" s="1" t="s">
        <v>0</v>
      </c>
      <c r="E10504" s="2">
        <v>0</v>
      </c>
      <c r="F10504" s="2">
        <v>0</v>
      </c>
      <c r="G10504" s="2">
        <v>0</v>
      </c>
      <c r="H10504" s="1" t="s">
        <v>0</v>
      </c>
      <c r="I10504" s="2">
        <v>0</v>
      </c>
      <c r="J10504" s="1">
        <v>45917.405601851853</v>
      </c>
    </row>
    <row r="10505" spans="1:10" x14ac:dyDescent="0.2">
      <c r="A10505" s="4" t="s">
        <v>1</v>
      </c>
      <c r="B1050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05" s="3" t="str">
        <f>HYPERLINK("https://otsuka-europe-crm.veevavault.com/ui/#object/sent_email__v/VBLZ025E82GQXEH", "SE-000275810")</f>
        <v>SE-000275810</v>
      </c>
      <c r="D10505" s="1">
        <v>45917.939652777779</v>
      </c>
      <c r="E10505" s="2">
        <v>1</v>
      </c>
      <c r="F10505" s="2">
        <v>1</v>
      </c>
      <c r="G10505" s="2">
        <v>0</v>
      </c>
      <c r="H10505" s="1" t="s">
        <v>0</v>
      </c>
      <c r="I10505" s="2">
        <v>0</v>
      </c>
      <c r="J10505" s="1">
        <v>45917.405810185184</v>
      </c>
    </row>
    <row r="10506" spans="1:10" x14ac:dyDescent="0.2">
      <c r="A10506" s="4" t="s">
        <v>1</v>
      </c>
      <c r="B1050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06" s="3" t="str">
        <f>HYPERLINK("https://otsuka-europe-crm.veevavault.com/ui/#object/sent_email__v/VBLZ025E82GQV8Q", "SE-000275811")</f>
        <v>SE-000275811</v>
      </c>
      <c r="D10506" s="1">
        <v>45918.409768518519</v>
      </c>
      <c r="E10506" s="2">
        <v>1</v>
      </c>
      <c r="F10506" s="2">
        <v>1</v>
      </c>
      <c r="G10506" s="2">
        <v>0</v>
      </c>
      <c r="H10506" s="1" t="s">
        <v>0</v>
      </c>
      <c r="I10506" s="2">
        <v>0</v>
      </c>
      <c r="J10506" s="1">
        <v>45917.4062037037</v>
      </c>
    </row>
    <row r="10507" spans="1:10" x14ac:dyDescent="0.2">
      <c r="A10507" s="4" t="s">
        <v>1</v>
      </c>
      <c r="B1050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07" s="3" t="str">
        <f>HYPERLINK("https://otsuka-europe-crm.veevavault.com/ui/#object/sent_email__v/VBLZ025E82GQXPL", "SE-000275813")</f>
        <v>SE-000275813</v>
      </c>
      <c r="D10507" s="1" t="s">
        <v>0</v>
      </c>
      <c r="E10507" s="2">
        <v>0</v>
      </c>
      <c r="F10507" s="2">
        <v>0</v>
      </c>
      <c r="G10507" s="2">
        <v>0</v>
      </c>
      <c r="H10507" s="1" t="s">
        <v>0</v>
      </c>
      <c r="I10507" s="2">
        <v>0</v>
      </c>
      <c r="J10507" s="1">
        <v>45917.406689814816</v>
      </c>
    </row>
    <row r="10508" spans="1:10" x14ac:dyDescent="0.2">
      <c r="A10508" s="4" t="s">
        <v>1</v>
      </c>
      <c r="B1050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08" s="3" t="str">
        <f>HYPERLINK("https://otsuka-europe-crm.veevavault.com/ui/#object/sent_email__v/VBLZ025E82GQXSD", "SE-000275814")</f>
        <v>SE-000275814</v>
      </c>
      <c r="D10508" s="1" t="s">
        <v>0</v>
      </c>
      <c r="E10508" s="2">
        <v>0</v>
      </c>
      <c r="F10508" s="2">
        <v>0</v>
      </c>
      <c r="G10508" s="2">
        <v>0</v>
      </c>
      <c r="H10508" s="1" t="s">
        <v>0</v>
      </c>
      <c r="I10508" s="2">
        <v>0</v>
      </c>
      <c r="J10508" s="1">
        <v>45917.406909722224</v>
      </c>
    </row>
    <row r="10509" spans="1:10" x14ac:dyDescent="0.2">
      <c r="A10509" s="4" t="s">
        <v>1</v>
      </c>
      <c r="B1050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09" s="3" t="str">
        <f>HYPERLINK("https://otsuka-europe-crm.veevavault.com/ui/#object/sent_email__v/VBLZ025E82GQY0P", "SE-000275815")</f>
        <v>SE-000275815</v>
      </c>
      <c r="D10509" s="1" t="s">
        <v>0</v>
      </c>
      <c r="E10509" s="2">
        <v>0</v>
      </c>
      <c r="F10509" s="2">
        <v>0</v>
      </c>
      <c r="G10509" s="2">
        <v>0</v>
      </c>
      <c r="H10509" s="1" t="s">
        <v>0</v>
      </c>
      <c r="I10509" s="2">
        <v>0</v>
      </c>
      <c r="J10509" s="1">
        <v>45917.407222222224</v>
      </c>
    </row>
    <row r="10510" spans="1:10" x14ac:dyDescent="0.2">
      <c r="A10510" s="4" t="s">
        <v>1</v>
      </c>
      <c r="B1051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10" s="3" t="str">
        <f>HYPERLINK("https://otsuka-europe-crm.veevavault.com/ui/#object/sent_email__v/VBLZ025E82GQY69", "SE-000275816")</f>
        <v>SE-000275816</v>
      </c>
      <c r="D10510" s="1">
        <v>45917.407604166663</v>
      </c>
      <c r="E10510" s="2">
        <v>1</v>
      </c>
      <c r="F10510" s="2">
        <v>1</v>
      </c>
      <c r="G10510" s="2">
        <v>1</v>
      </c>
      <c r="H10510" s="1">
        <v>45917.407893518517</v>
      </c>
      <c r="I10510" s="2">
        <v>3</v>
      </c>
      <c r="J10510" s="1">
        <v>45917.407395833332</v>
      </c>
    </row>
    <row r="10511" spans="1:10" x14ac:dyDescent="0.2">
      <c r="A10511" s="4" t="s">
        <v>1</v>
      </c>
      <c r="B1051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11" s="3" t="str">
        <f>HYPERLINK("https://otsuka-europe-crm.veevavault.com/ui/#object/sent_email__v/VBLZ025E82GQY91", "SE-000275817")</f>
        <v>SE-000275817</v>
      </c>
      <c r="D10511" s="1" t="s">
        <v>0</v>
      </c>
      <c r="E10511" s="2">
        <v>0</v>
      </c>
      <c r="F10511" s="2">
        <v>0</v>
      </c>
      <c r="G10511" s="2">
        <v>0</v>
      </c>
      <c r="H10511" s="1" t="s">
        <v>0</v>
      </c>
      <c r="I10511" s="2">
        <v>0</v>
      </c>
      <c r="J10511" s="1">
        <v>45917.407638888886</v>
      </c>
    </row>
    <row r="10512" spans="1:10" x14ac:dyDescent="0.2">
      <c r="A10512" s="4" t="s">
        <v>1</v>
      </c>
      <c r="B1051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12" s="3" t="str">
        <f>HYPERLINK("https://otsuka-europe-crm.veevavault.com/ui/#object/sent_email__v/VBLZ025E82GQYEL", "SE-000275818")</f>
        <v>SE-000275818</v>
      </c>
      <c r="D10512" s="1">
        <v>45917.895324074074</v>
      </c>
      <c r="E10512" s="2">
        <v>1</v>
      </c>
      <c r="F10512" s="2">
        <v>1</v>
      </c>
      <c r="G10512" s="2">
        <v>0</v>
      </c>
      <c r="H10512" s="1" t="s">
        <v>0</v>
      </c>
      <c r="I10512" s="2">
        <v>0</v>
      </c>
      <c r="J10512" s="1">
        <v>45917.408043981479</v>
      </c>
    </row>
    <row r="10513" spans="1:10" x14ac:dyDescent="0.2">
      <c r="A10513" s="4" t="s">
        <v>1</v>
      </c>
      <c r="B1051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13" s="3" t="str">
        <f>HYPERLINK("https://otsuka-europe-crm.veevavault.com/ui/#object/sent_email__v/VBLZ025E82GQYMX", "SE-000275821")</f>
        <v>SE-000275821</v>
      </c>
      <c r="D10513" s="1" t="s">
        <v>0</v>
      </c>
      <c r="E10513" s="2">
        <v>0</v>
      </c>
      <c r="F10513" s="2">
        <v>0</v>
      </c>
      <c r="G10513" s="2">
        <v>0</v>
      </c>
      <c r="H10513" s="1" t="s">
        <v>0</v>
      </c>
      <c r="I10513" s="2">
        <v>0</v>
      </c>
      <c r="J10513" s="1">
        <v>45917.40829861111</v>
      </c>
    </row>
    <row r="10514" spans="1:10" x14ac:dyDescent="0.2">
      <c r="A10514" s="4" t="s">
        <v>1</v>
      </c>
      <c r="B1051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14" s="3" t="str">
        <f>HYPERLINK("https://otsuka-europe-crm.veevavault.com/ui/#object/sent_email__v/VBLZ025E82GQYPP", "SE-000275822")</f>
        <v>SE-000275822</v>
      </c>
      <c r="D10514" s="1" t="s">
        <v>0</v>
      </c>
      <c r="E10514" s="2">
        <v>0</v>
      </c>
      <c r="F10514" s="2">
        <v>0</v>
      </c>
      <c r="G10514" s="2">
        <v>0</v>
      </c>
      <c r="H10514" s="1" t="s">
        <v>0</v>
      </c>
      <c r="I10514" s="2">
        <v>0</v>
      </c>
      <c r="J10514" s="1">
        <v>45917.408692129633</v>
      </c>
    </row>
    <row r="10515" spans="1:10" x14ac:dyDescent="0.2">
      <c r="A10515" s="4" t="s">
        <v>1</v>
      </c>
      <c r="B1051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15" s="3" t="str">
        <f>HYPERLINK("https://otsuka-europe-crm.veevavault.com/ui/#object/sent_email__v/VBLZ025E82GQYSH", "SE-000275823")</f>
        <v>SE-000275823</v>
      </c>
      <c r="D10515" s="1" t="s">
        <v>0</v>
      </c>
      <c r="E10515" s="2">
        <v>0</v>
      </c>
      <c r="F10515" s="2">
        <v>0</v>
      </c>
      <c r="G10515" s="2">
        <v>0</v>
      </c>
      <c r="H10515" s="1" t="s">
        <v>0</v>
      </c>
      <c r="I10515" s="2">
        <v>0</v>
      </c>
      <c r="J10515" s="1">
        <v>45917.409039351849</v>
      </c>
    </row>
    <row r="10516" spans="1:10" x14ac:dyDescent="0.2">
      <c r="A10516" s="4" t="s">
        <v>1</v>
      </c>
      <c r="B1051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16" s="3" t="str">
        <f>HYPERLINK("https://otsuka-europe-crm.veevavault.com/ui/#object/sent_email__v/VBLZ025E82GQYV9", "SE-000275824")</f>
        <v>SE-000275824</v>
      </c>
      <c r="D10516" s="1" t="s">
        <v>0</v>
      </c>
      <c r="E10516" s="2">
        <v>0</v>
      </c>
      <c r="F10516" s="2">
        <v>0</v>
      </c>
      <c r="G10516" s="2">
        <v>0</v>
      </c>
      <c r="H10516" s="1" t="s">
        <v>0</v>
      </c>
      <c r="I10516" s="2">
        <v>0</v>
      </c>
      <c r="J10516" s="1">
        <v>45917.409212962964</v>
      </c>
    </row>
    <row r="10517" spans="1:10" x14ac:dyDescent="0.2">
      <c r="A10517" s="4" t="s">
        <v>1</v>
      </c>
      <c r="B1051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17" s="3" t="str">
        <f>HYPERLINK("https://otsuka-europe-crm.veevavault.com/ui/#object/sent_email__v/VBLZ025E82GQVEA", "SE-000275825")</f>
        <v>SE-000275825</v>
      </c>
      <c r="D10517" s="1" t="s">
        <v>0</v>
      </c>
      <c r="E10517" s="2">
        <v>0</v>
      </c>
      <c r="F10517" s="2">
        <v>0</v>
      </c>
      <c r="G10517" s="2">
        <v>0</v>
      </c>
      <c r="H10517" s="1" t="s">
        <v>0</v>
      </c>
      <c r="I10517" s="2">
        <v>0</v>
      </c>
      <c r="J10517" s="1">
        <v>45917.409629629627</v>
      </c>
    </row>
    <row r="10518" spans="1:10" x14ac:dyDescent="0.2">
      <c r="A10518" s="4" t="s">
        <v>1</v>
      </c>
      <c r="B1051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18" s="3" t="str">
        <f>HYPERLINK("https://otsuka-europe-crm.veevavault.com/ui/#object/sent_email__v/VBLZ025E82GQY92", "SE-000275826")</f>
        <v>SE-000275826</v>
      </c>
      <c r="D10518" s="1" t="s">
        <v>0</v>
      </c>
      <c r="E10518" s="2">
        <v>0</v>
      </c>
      <c r="F10518" s="2">
        <v>0</v>
      </c>
      <c r="G10518" s="2">
        <v>0</v>
      </c>
      <c r="H10518" s="1" t="s">
        <v>0</v>
      </c>
      <c r="I10518" s="2">
        <v>0</v>
      </c>
      <c r="J10518" s="1">
        <v>45917.409826388888</v>
      </c>
    </row>
    <row r="10519" spans="1:10" x14ac:dyDescent="0.2">
      <c r="A10519" s="4" t="s">
        <v>1</v>
      </c>
      <c r="B1051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19" s="3" t="str">
        <f>HYPERLINK("https://otsuka-europe-crm.veevavault.com/ui/#object/sent_email__v/VBLZ025E82GQZ0T", "SE-000275827")</f>
        <v>SE-000275827</v>
      </c>
      <c r="D10519" s="1" t="s">
        <v>0</v>
      </c>
      <c r="E10519" s="2">
        <v>0</v>
      </c>
      <c r="F10519" s="2">
        <v>0</v>
      </c>
      <c r="G10519" s="2">
        <v>0</v>
      </c>
      <c r="H10519" s="1" t="s">
        <v>0</v>
      </c>
      <c r="I10519" s="2">
        <v>0</v>
      </c>
      <c r="J10519" s="1">
        <v>45917.410057870373</v>
      </c>
    </row>
    <row r="10520" spans="1:10" x14ac:dyDescent="0.2">
      <c r="A10520" s="4" t="s">
        <v>1</v>
      </c>
      <c r="B1052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20" s="3" t="str">
        <f>HYPERLINK("https://otsuka-europe-crm.veevavault.com/ui/#object/sent_email__v/VBLZ025E82GQOZQ", "SE-000275828")</f>
        <v>SE-000275828</v>
      </c>
      <c r="D10520" s="1" t="s">
        <v>0</v>
      </c>
      <c r="E10520" s="2">
        <v>0</v>
      </c>
      <c r="F10520" s="2">
        <v>0</v>
      </c>
      <c r="G10520" s="2">
        <v>0</v>
      </c>
      <c r="H10520" s="1" t="s">
        <v>0</v>
      </c>
      <c r="I10520" s="2">
        <v>0</v>
      </c>
      <c r="J10520" s="1">
        <v>45917.410358796296</v>
      </c>
    </row>
    <row r="10521" spans="1:10" x14ac:dyDescent="0.2">
      <c r="A10521" s="4" t="s">
        <v>1</v>
      </c>
      <c r="B1052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21" s="3" t="str">
        <f>HYPERLINK("https://otsuka-europe-crm.veevavault.com/ui/#object/sent_email__v/VBLZ025E82GQVXQ", "SE-000275829")</f>
        <v>SE-000275829</v>
      </c>
      <c r="D10521" s="1" t="s">
        <v>0</v>
      </c>
      <c r="E10521" s="2">
        <v>0</v>
      </c>
      <c r="F10521" s="2">
        <v>0</v>
      </c>
      <c r="G10521" s="2">
        <v>0</v>
      </c>
      <c r="H10521" s="1" t="s">
        <v>0</v>
      </c>
      <c r="I10521" s="2">
        <v>0</v>
      </c>
      <c r="J10521" s="1">
        <v>45917.410821759258</v>
      </c>
    </row>
    <row r="10522" spans="1:10" x14ac:dyDescent="0.2">
      <c r="A10522" s="4" t="s">
        <v>1</v>
      </c>
      <c r="B1052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22" s="3" t="str">
        <f>HYPERLINK("https://otsuka-europe-crm.veevavault.com/ui/#object/sent_email__v/VBLZ025E82GQZ6D", "SE-000275830")</f>
        <v>SE-000275830</v>
      </c>
      <c r="D10522" s="1" t="s">
        <v>0</v>
      </c>
      <c r="E10522" s="2">
        <v>0</v>
      </c>
      <c r="F10522" s="2">
        <v>0</v>
      </c>
      <c r="G10522" s="2">
        <v>0</v>
      </c>
      <c r="H10522" s="1" t="s">
        <v>0</v>
      </c>
      <c r="I10522" s="2">
        <v>0</v>
      </c>
      <c r="J10522" s="1">
        <v>45917.411030092589</v>
      </c>
    </row>
    <row r="10523" spans="1:10" x14ac:dyDescent="0.2">
      <c r="A10523" s="4" t="s">
        <v>1</v>
      </c>
      <c r="B1052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23" s="3" t="str">
        <f>HYPERLINK("https://otsuka-europe-crm.veevavault.com/ui/#object/sent_email__v/VBLZ025E82GQZ95", "SE-000275831")</f>
        <v>SE-000275831</v>
      </c>
      <c r="D10523" s="1" t="s">
        <v>0</v>
      </c>
      <c r="E10523" s="2">
        <v>0</v>
      </c>
      <c r="F10523" s="2">
        <v>0</v>
      </c>
      <c r="G10523" s="2">
        <v>0</v>
      </c>
      <c r="H10523" s="1" t="s">
        <v>0</v>
      </c>
      <c r="I10523" s="2">
        <v>0</v>
      </c>
      <c r="J10523" s="1">
        <v>45917.411469907405</v>
      </c>
    </row>
    <row r="10524" spans="1:10" x14ac:dyDescent="0.2">
      <c r="A10524" s="4" t="s">
        <v>1</v>
      </c>
      <c r="B1052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24" s="3" t="str">
        <f>HYPERLINK("https://otsuka-europe-crm.veevavault.com/ui/#object/sent_email__v/VBLZ025E82GQVMM", "SE-000275832")</f>
        <v>SE-000275832</v>
      </c>
      <c r="D10524" s="1" t="s">
        <v>0</v>
      </c>
      <c r="E10524" s="2">
        <v>0</v>
      </c>
      <c r="F10524" s="2">
        <v>0</v>
      </c>
      <c r="G10524" s="2">
        <v>0</v>
      </c>
      <c r="H10524" s="1" t="s">
        <v>0</v>
      </c>
      <c r="I10524" s="2">
        <v>0</v>
      </c>
      <c r="J10524" s="1">
        <v>45917.412210648145</v>
      </c>
    </row>
    <row r="10525" spans="1:10" x14ac:dyDescent="0.2">
      <c r="A10525" s="4" t="s">
        <v>1</v>
      </c>
      <c r="B1052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25" s="3" t="str">
        <f>HYPERLINK("https://otsuka-europe-crm.veevavault.com/ui/#object/sent_email__v/VBLZ025E82GQRGM", "SE-000275833")</f>
        <v>SE-000275833</v>
      </c>
      <c r="D10525" s="1" t="s">
        <v>0</v>
      </c>
      <c r="E10525" s="2">
        <v>0</v>
      </c>
      <c r="F10525" s="2">
        <v>0</v>
      </c>
      <c r="G10525" s="2">
        <v>0</v>
      </c>
      <c r="H10525" s="1" t="s">
        <v>0</v>
      </c>
      <c r="I10525" s="2">
        <v>0</v>
      </c>
      <c r="J10525" s="1">
        <v>45917.412800925929</v>
      </c>
    </row>
    <row r="10526" spans="1:10" x14ac:dyDescent="0.2">
      <c r="A10526" s="4" t="s">
        <v>1</v>
      </c>
      <c r="B1052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26" s="3" t="str">
        <f>HYPERLINK("https://otsuka-europe-crm.veevavault.com/ui/#object/sent_email__v/VBLZ025E82GS5M5", "SE-000276049")</f>
        <v>SE-000276049</v>
      </c>
      <c r="D10526" s="1" t="s">
        <v>0</v>
      </c>
      <c r="E10526" s="2">
        <v>0</v>
      </c>
      <c r="F10526" s="2">
        <v>0</v>
      </c>
      <c r="G10526" s="2">
        <v>0</v>
      </c>
      <c r="H10526" s="1" t="s">
        <v>0</v>
      </c>
      <c r="I10526" s="2">
        <v>0</v>
      </c>
      <c r="J10526" s="1">
        <v>45918.327326388891</v>
      </c>
    </row>
    <row r="10527" spans="1:10" x14ac:dyDescent="0.2">
      <c r="A10527" s="4" t="s">
        <v>1</v>
      </c>
      <c r="B1052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27" s="3" t="str">
        <f>HYPERLINK("https://otsuka-europe-crm.veevavault.com/ui/#object/sent_email__v/VBLZ025E82GS5M6", "SE-000276050")</f>
        <v>SE-000276050</v>
      </c>
      <c r="D10527" s="1">
        <v>45918.347986111112</v>
      </c>
      <c r="E10527" s="2">
        <v>1</v>
      </c>
      <c r="F10527" s="2">
        <v>2</v>
      </c>
      <c r="G10527" s="2">
        <v>1</v>
      </c>
      <c r="H10527" s="1">
        <v>45918.348275462966</v>
      </c>
      <c r="I10527" s="2">
        <v>1</v>
      </c>
      <c r="J10527" s="1">
        <v>45918.327326388891</v>
      </c>
    </row>
    <row r="10528" spans="1:10" x14ac:dyDescent="0.2">
      <c r="A10528" s="4" t="s">
        <v>1</v>
      </c>
      <c r="B1052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28" s="3" t="str">
        <f>HYPERLINK("https://otsuka-europe-crm.veevavault.com/ui/#object/sent_email__v/VBLZ025E82GS5M7", "SE-000276051")</f>
        <v>SE-000276051</v>
      </c>
      <c r="D10528" s="1" t="s">
        <v>0</v>
      </c>
      <c r="E10528" s="2">
        <v>0</v>
      </c>
      <c r="F10528" s="2">
        <v>0</v>
      </c>
      <c r="G10528" s="2">
        <v>0</v>
      </c>
      <c r="H10528" s="1" t="s">
        <v>0</v>
      </c>
      <c r="I10528" s="2">
        <v>0</v>
      </c>
      <c r="J10528" s="1">
        <v>45918.327349537038</v>
      </c>
    </row>
    <row r="10529" spans="1:10" x14ac:dyDescent="0.2">
      <c r="A10529" s="4" t="s">
        <v>1</v>
      </c>
      <c r="B1052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29" s="3" t="str">
        <f>HYPERLINK("https://otsuka-europe-crm.veevavault.com/ui/#object/sent_email__v/VBLZ025E82GS5M8", "SE-000276052")</f>
        <v>SE-000276052</v>
      </c>
      <c r="D10529" s="1">
        <v>45918.366261574076</v>
      </c>
      <c r="E10529" s="2">
        <v>1</v>
      </c>
      <c r="F10529" s="2">
        <v>1</v>
      </c>
      <c r="G10529" s="2">
        <v>0</v>
      </c>
      <c r="H10529" s="1" t="s">
        <v>0</v>
      </c>
      <c r="I10529" s="2">
        <v>0</v>
      </c>
      <c r="J10529" s="1">
        <v>45918.327361111114</v>
      </c>
    </row>
    <row r="10530" spans="1:10" x14ac:dyDescent="0.2">
      <c r="A10530" s="4" t="s">
        <v>1</v>
      </c>
      <c r="B1053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30" s="3" t="str">
        <f>HYPERLINK("https://otsuka-europe-crm.veevavault.com/ui/#object/sent_email__v/VBLZ025E82GS5M9", "SE-000276053")</f>
        <v>SE-000276053</v>
      </c>
      <c r="D10530" s="1" t="s">
        <v>0</v>
      </c>
      <c r="E10530" s="2">
        <v>0</v>
      </c>
      <c r="F10530" s="2">
        <v>0</v>
      </c>
      <c r="G10530" s="2">
        <v>0</v>
      </c>
      <c r="H10530" s="1" t="s">
        <v>0</v>
      </c>
      <c r="I10530" s="2">
        <v>0</v>
      </c>
      <c r="J10530" s="1">
        <v>45918.327361111114</v>
      </c>
    </row>
    <row r="10531" spans="1:10" x14ac:dyDescent="0.2">
      <c r="A10531" s="4" t="s">
        <v>1</v>
      </c>
      <c r="B1053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31" s="3" t="str">
        <f>HYPERLINK("https://otsuka-europe-crm.veevavault.com/ui/#object/sent_email__v/VBLZ025E82GS5MA", "SE-000276054")</f>
        <v>SE-000276054</v>
      </c>
      <c r="D10531" s="1">
        <v>45918.35565972222</v>
      </c>
      <c r="E10531" s="2">
        <v>1</v>
      </c>
      <c r="F10531" s="2">
        <v>2</v>
      </c>
      <c r="G10531" s="2">
        <v>1</v>
      </c>
      <c r="H10531" s="1">
        <v>45918.356041666666</v>
      </c>
      <c r="I10531" s="2">
        <v>1</v>
      </c>
      <c r="J10531" s="1">
        <v>45918.327384259261</v>
      </c>
    </row>
    <row r="10532" spans="1:10" x14ac:dyDescent="0.2">
      <c r="A10532" s="4" t="s">
        <v>1</v>
      </c>
      <c r="B1053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32" s="3" t="str">
        <f>HYPERLINK("https://otsuka-europe-crm.veevavault.com/ui/#object/sent_email__v/VBLZ025E82GS5MB", "SE-000276055")</f>
        <v>SE-000276055</v>
      </c>
      <c r="D10532" s="1" t="s">
        <v>0</v>
      </c>
      <c r="E10532" s="2">
        <v>0</v>
      </c>
      <c r="F10532" s="2">
        <v>0</v>
      </c>
      <c r="G10532" s="2">
        <v>0</v>
      </c>
      <c r="H10532" s="1" t="s">
        <v>0</v>
      </c>
      <c r="I10532" s="2">
        <v>0</v>
      </c>
      <c r="J10532" s="1">
        <v>45918.327384259261</v>
      </c>
    </row>
    <row r="10533" spans="1:10" x14ac:dyDescent="0.2">
      <c r="A10533" s="4" t="s">
        <v>1</v>
      </c>
      <c r="B1053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33" s="3" t="str">
        <f>HYPERLINK("https://otsuka-europe-crm.veevavault.com/ui/#object/sent_email__v/VBLZ025E82GS5MC", "SE-000276056")</f>
        <v>SE-000276056</v>
      </c>
      <c r="D10533" s="1" t="s">
        <v>0</v>
      </c>
      <c r="E10533" s="2">
        <v>0</v>
      </c>
      <c r="F10533" s="2">
        <v>0</v>
      </c>
      <c r="G10533" s="2">
        <v>0</v>
      </c>
      <c r="H10533" s="1" t="s">
        <v>0</v>
      </c>
      <c r="I10533" s="2">
        <v>0</v>
      </c>
      <c r="J10533" s="1">
        <v>45918.32739583333</v>
      </c>
    </row>
    <row r="10534" spans="1:10" x14ac:dyDescent="0.2">
      <c r="A10534" s="4" t="s">
        <v>1</v>
      </c>
      <c r="B1053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34" s="3" t="str">
        <f>HYPERLINK("https://otsuka-europe-crm.veevavault.com/ui/#object/sent_email__v/VBLZ025E82GS5MD", "SE-000276057")</f>
        <v>SE-000276057</v>
      </c>
      <c r="D10534" s="1" t="s">
        <v>0</v>
      </c>
      <c r="E10534" s="2">
        <v>0</v>
      </c>
      <c r="F10534" s="2">
        <v>0</v>
      </c>
      <c r="G10534" s="2">
        <v>0</v>
      </c>
      <c r="H10534" s="1" t="s">
        <v>0</v>
      </c>
      <c r="I10534" s="2">
        <v>0</v>
      </c>
      <c r="J10534" s="1">
        <v>45918.327407407407</v>
      </c>
    </row>
    <row r="10535" spans="1:10" x14ac:dyDescent="0.2">
      <c r="A10535" s="4" t="s">
        <v>1</v>
      </c>
      <c r="B1053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35" s="3" t="str">
        <f>HYPERLINK("https://otsuka-europe-crm.veevavault.com/ui/#object/sent_email__v/VBLZ025E82GS5ME", "SE-000276058")</f>
        <v>SE-000276058</v>
      </c>
      <c r="D10535" s="1">
        <v>45918.435347222221</v>
      </c>
      <c r="E10535" s="2">
        <v>1</v>
      </c>
      <c r="F10535" s="2">
        <v>1</v>
      </c>
      <c r="G10535" s="2">
        <v>0</v>
      </c>
      <c r="H10535" s="1" t="s">
        <v>0</v>
      </c>
      <c r="I10535" s="2">
        <v>0</v>
      </c>
      <c r="J10535" s="1">
        <v>45918.327418981484</v>
      </c>
    </row>
    <row r="10536" spans="1:10" x14ac:dyDescent="0.2">
      <c r="A10536" s="4" t="s">
        <v>1</v>
      </c>
      <c r="B1053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36" s="3" t="str">
        <f>HYPERLINK("https://otsuka-europe-crm.veevavault.com/ui/#object/sent_email__v/VBLZ025E82GS5MF", "SE-000276059")</f>
        <v>SE-000276059</v>
      </c>
      <c r="D10536" s="1" t="s">
        <v>0</v>
      </c>
      <c r="E10536" s="2">
        <v>0</v>
      </c>
      <c r="F10536" s="2">
        <v>0</v>
      </c>
      <c r="G10536" s="2">
        <v>0</v>
      </c>
      <c r="H10536" s="1" t="s">
        <v>0</v>
      </c>
      <c r="I10536" s="2">
        <v>0</v>
      </c>
      <c r="J10536" s="1">
        <v>45918.327418981484</v>
      </c>
    </row>
    <row r="10537" spans="1:10" x14ac:dyDescent="0.2">
      <c r="A10537" s="4" t="s">
        <v>1</v>
      </c>
      <c r="B1053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37" s="3" t="str">
        <f>HYPERLINK("https://otsuka-europe-crm.veevavault.com/ui/#object/sent_email__v/VBLZ025E82GS5MG", "SE-000276060")</f>
        <v>SE-000276060</v>
      </c>
      <c r="D10537" s="1" t="s">
        <v>0</v>
      </c>
      <c r="E10537" s="2">
        <v>0</v>
      </c>
      <c r="F10537" s="2">
        <v>0</v>
      </c>
      <c r="G10537" s="2">
        <v>0</v>
      </c>
      <c r="H10537" s="1" t="s">
        <v>0</v>
      </c>
      <c r="I10537" s="2">
        <v>0</v>
      </c>
      <c r="J10537" s="1">
        <v>45918.327430555553</v>
      </c>
    </row>
    <row r="10538" spans="1:10" x14ac:dyDescent="0.2">
      <c r="A10538" s="4" t="s">
        <v>1</v>
      </c>
      <c r="B1053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38" s="3" t="str">
        <f>HYPERLINK("https://otsuka-europe-crm.veevavault.com/ui/#object/sent_email__v/VBLZ025E82GS5MH", "SE-000276061")</f>
        <v>SE-000276061</v>
      </c>
      <c r="D10538" s="1" t="s">
        <v>0</v>
      </c>
      <c r="E10538" s="2">
        <v>0</v>
      </c>
      <c r="F10538" s="2">
        <v>0</v>
      </c>
      <c r="G10538" s="2">
        <v>0</v>
      </c>
      <c r="H10538" s="1" t="s">
        <v>0</v>
      </c>
      <c r="I10538" s="2">
        <v>0</v>
      </c>
      <c r="J10538" s="1">
        <v>45918.32744212963</v>
      </c>
    </row>
    <row r="10539" spans="1:10" x14ac:dyDescent="0.2">
      <c r="A10539" s="4" t="s">
        <v>1</v>
      </c>
      <c r="B1053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39" s="3" t="str">
        <f>HYPERLINK("https://otsuka-europe-crm.veevavault.com/ui/#object/sent_email__v/VBLZ025E82GS5MI", "SE-000276062")</f>
        <v>SE-000276062</v>
      </c>
      <c r="D10539" s="1" t="s">
        <v>0</v>
      </c>
      <c r="E10539" s="2">
        <v>0</v>
      </c>
      <c r="F10539" s="2">
        <v>0</v>
      </c>
      <c r="G10539" s="2">
        <v>0</v>
      </c>
      <c r="H10539" s="1" t="s">
        <v>0</v>
      </c>
      <c r="I10539" s="2">
        <v>0</v>
      </c>
      <c r="J10539" s="1">
        <v>45918.327465277776</v>
      </c>
    </row>
    <row r="10540" spans="1:10" x14ac:dyDescent="0.2">
      <c r="A10540" s="4" t="s">
        <v>1</v>
      </c>
      <c r="B1054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40" s="3" t="str">
        <f>HYPERLINK("https://otsuka-europe-crm.veevavault.com/ui/#object/sent_email__v/VBLZ025E82GS5MJ", "SE-000276063")</f>
        <v>SE-000276063</v>
      </c>
      <c r="D10540" s="1">
        <v>45918.658692129633</v>
      </c>
      <c r="E10540" s="2">
        <v>1</v>
      </c>
      <c r="F10540" s="2">
        <v>1</v>
      </c>
      <c r="G10540" s="2">
        <v>0</v>
      </c>
      <c r="H10540" s="1" t="s">
        <v>0</v>
      </c>
      <c r="I10540" s="2">
        <v>0</v>
      </c>
      <c r="J10540" s="1">
        <v>45918.327476851853</v>
      </c>
    </row>
    <row r="10541" spans="1:10" x14ac:dyDescent="0.2">
      <c r="A10541" s="4" t="s">
        <v>1</v>
      </c>
      <c r="B1054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41" s="3" t="str">
        <f>HYPERLINK("https://otsuka-europe-crm.veevavault.com/ui/#object/sent_email__v/VBLZ025E82GS5MK", "SE-000276064")</f>
        <v>SE-000276064</v>
      </c>
      <c r="D10541" s="1" t="s">
        <v>0</v>
      </c>
      <c r="E10541" s="2">
        <v>0</v>
      </c>
      <c r="F10541" s="2">
        <v>0</v>
      </c>
      <c r="G10541" s="2">
        <v>0</v>
      </c>
      <c r="H10541" s="1" t="s">
        <v>0</v>
      </c>
      <c r="I10541" s="2">
        <v>0</v>
      </c>
      <c r="J10541" s="1">
        <v>45918.327476851853</v>
      </c>
    </row>
    <row r="10542" spans="1:10" x14ac:dyDescent="0.2">
      <c r="A10542" s="4" t="s">
        <v>1</v>
      </c>
      <c r="B1054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42" s="3" t="str">
        <f>HYPERLINK("https://otsuka-europe-crm.veevavault.com/ui/#object/sent_email__v/VBLZ025E82GS5ML", "SE-000276065")</f>
        <v>SE-000276065</v>
      </c>
      <c r="D10542" s="1">
        <v>45918.342372685183</v>
      </c>
      <c r="E10542" s="2">
        <v>1</v>
      </c>
      <c r="F10542" s="2">
        <v>1</v>
      </c>
      <c r="G10542" s="2">
        <v>0</v>
      </c>
      <c r="H10542" s="1" t="s">
        <v>0</v>
      </c>
      <c r="I10542" s="2">
        <v>0</v>
      </c>
      <c r="J10542" s="1">
        <v>45918.327488425923</v>
      </c>
    </row>
    <row r="10543" spans="1:10" x14ac:dyDescent="0.2">
      <c r="A10543" s="4" t="s">
        <v>1</v>
      </c>
      <c r="B1054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43" s="3" t="str">
        <f>HYPERLINK("https://otsuka-europe-crm.veevavault.com/ui/#object/sent_email__v/VBLZ025E82GS5MM", "SE-000276066")</f>
        <v>SE-000276066</v>
      </c>
      <c r="D10543" s="1" t="s">
        <v>0</v>
      </c>
      <c r="E10543" s="2">
        <v>0</v>
      </c>
      <c r="F10543" s="2">
        <v>0</v>
      </c>
      <c r="G10543" s="2">
        <v>0</v>
      </c>
      <c r="H10543" s="1" t="s">
        <v>0</v>
      </c>
      <c r="I10543" s="2">
        <v>0</v>
      </c>
      <c r="J10543" s="1">
        <v>45918.327499999999</v>
      </c>
    </row>
    <row r="10544" spans="1:10" x14ac:dyDescent="0.2">
      <c r="A10544" s="4" t="s">
        <v>1</v>
      </c>
      <c r="B1054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44" s="3" t="str">
        <f>HYPERLINK("https://otsuka-europe-crm.veevavault.com/ui/#object/sent_email__v/VBLZ025E82GS5MN", "SE-000276067")</f>
        <v>SE-000276067</v>
      </c>
      <c r="D10544" s="1" t="s">
        <v>0</v>
      </c>
      <c r="E10544" s="2">
        <v>0</v>
      </c>
      <c r="F10544" s="2">
        <v>0</v>
      </c>
      <c r="G10544" s="2">
        <v>0</v>
      </c>
      <c r="H10544" s="1" t="s">
        <v>0</v>
      </c>
      <c r="I10544" s="2">
        <v>0</v>
      </c>
      <c r="J10544" s="1">
        <v>45918.327511574076</v>
      </c>
    </row>
    <row r="10545" spans="1:10" x14ac:dyDescent="0.2">
      <c r="A10545" s="4" t="s">
        <v>1</v>
      </c>
      <c r="B1054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45" s="3" t="str">
        <f>HYPERLINK("https://otsuka-europe-crm.veevavault.com/ui/#object/sent_email__v/VBLZ025E82GS5MO", "SE-000276068")</f>
        <v>SE-000276068</v>
      </c>
      <c r="D10545" s="1" t="s">
        <v>0</v>
      </c>
      <c r="E10545" s="2">
        <v>0</v>
      </c>
      <c r="F10545" s="2">
        <v>0</v>
      </c>
      <c r="G10545" s="2">
        <v>0</v>
      </c>
      <c r="H10545" s="1" t="s">
        <v>0</v>
      </c>
      <c r="I10545" s="2">
        <v>0</v>
      </c>
      <c r="J10545" s="1">
        <v>45918.327523148146</v>
      </c>
    </row>
    <row r="10546" spans="1:10" x14ac:dyDescent="0.2">
      <c r="A10546" s="4" t="s">
        <v>1</v>
      </c>
      <c r="B1054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46" s="3" t="str">
        <f>HYPERLINK("https://otsuka-europe-crm.veevavault.com/ui/#object/sent_email__v/VBLZ025E82GS5MP", "SE-000276069")</f>
        <v>SE-000276069</v>
      </c>
      <c r="D10546" s="1" t="s">
        <v>0</v>
      </c>
      <c r="E10546" s="2">
        <v>0</v>
      </c>
      <c r="F10546" s="2">
        <v>0</v>
      </c>
      <c r="G10546" s="2">
        <v>0</v>
      </c>
      <c r="H10546" s="1" t="s">
        <v>0</v>
      </c>
      <c r="I10546" s="2">
        <v>0</v>
      </c>
      <c r="J10546" s="1">
        <v>45918.327534722222</v>
      </c>
    </row>
    <row r="10547" spans="1:10" x14ac:dyDescent="0.2">
      <c r="A10547" s="4" t="s">
        <v>1</v>
      </c>
      <c r="B1054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47" s="3" t="str">
        <f>HYPERLINK("https://otsuka-europe-crm.veevavault.com/ui/#object/sent_email__v/VBLZ025E82GS5MQ", "SE-000276070")</f>
        <v>SE-000276070</v>
      </c>
      <c r="D10547" s="1" t="s">
        <v>0</v>
      </c>
      <c r="E10547" s="2">
        <v>0</v>
      </c>
      <c r="F10547" s="2">
        <v>0</v>
      </c>
      <c r="G10547" s="2">
        <v>0</v>
      </c>
      <c r="H10547" s="1" t="s">
        <v>0</v>
      </c>
      <c r="I10547" s="2">
        <v>0</v>
      </c>
      <c r="J10547" s="1">
        <v>45918.327546296299</v>
      </c>
    </row>
    <row r="10548" spans="1:10" x14ac:dyDescent="0.2">
      <c r="A10548" s="4" t="s">
        <v>1</v>
      </c>
      <c r="B1054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48" s="3" t="str">
        <f>HYPERLINK("https://otsuka-europe-crm.veevavault.com/ui/#object/sent_email__v/VBLZ025E82GS5MR", "SE-000276071")</f>
        <v>SE-000276071</v>
      </c>
      <c r="D10548" s="1" t="s">
        <v>0</v>
      </c>
      <c r="E10548" s="2">
        <v>0</v>
      </c>
      <c r="F10548" s="2">
        <v>0</v>
      </c>
      <c r="G10548" s="2">
        <v>0</v>
      </c>
      <c r="H10548" s="1" t="s">
        <v>0</v>
      </c>
      <c r="I10548" s="2">
        <v>0</v>
      </c>
      <c r="J10548" s="1">
        <v>45918.327546296299</v>
      </c>
    </row>
    <row r="10549" spans="1:10" x14ac:dyDescent="0.2">
      <c r="A10549" s="4" t="s">
        <v>1</v>
      </c>
      <c r="B1054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49" s="3" t="str">
        <f>HYPERLINK("https://otsuka-europe-crm.veevavault.com/ui/#object/sent_email__v/VBLZ025E82GS5MS", "SE-000276072")</f>
        <v>SE-000276072</v>
      </c>
      <c r="D10549" s="1" t="s">
        <v>0</v>
      </c>
      <c r="E10549" s="2">
        <v>0</v>
      </c>
      <c r="F10549" s="2">
        <v>0</v>
      </c>
      <c r="G10549" s="2">
        <v>0</v>
      </c>
      <c r="H10549" s="1" t="s">
        <v>0</v>
      </c>
      <c r="I10549" s="2">
        <v>0</v>
      </c>
      <c r="J10549" s="1">
        <v>45918.327569444446</v>
      </c>
    </row>
    <row r="10550" spans="1:10" x14ac:dyDescent="0.2">
      <c r="A10550" s="4" t="s">
        <v>1</v>
      </c>
      <c r="B1055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50" s="3" t="str">
        <f>HYPERLINK("https://otsuka-europe-crm.veevavault.com/ui/#object/sent_email__v/VBLZ025E82GS5MT", "SE-000276073")</f>
        <v>SE-000276073</v>
      </c>
      <c r="D10550" s="1" t="s">
        <v>0</v>
      </c>
      <c r="E10550" s="2">
        <v>0</v>
      </c>
      <c r="F10550" s="2">
        <v>0</v>
      </c>
      <c r="G10550" s="2">
        <v>0</v>
      </c>
      <c r="H10550" s="1" t="s">
        <v>0</v>
      </c>
      <c r="I10550" s="2">
        <v>0</v>
      </c>
      <c r="J10550" s="1">
        <v>45918.327581018515</v>
      </c>
    </row>
    <row r="10551" spans="1:10" x14ac:dyDescent="0.2">
      <c r="A10551" s="4" t="s">
        <v>1</v>
      </c>
      <c r="B1055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51" s="3" t="str">
        <f>HYPERLINK("https://otsuka-europe-crm.veevavault.com/ui/#object/sent_email__v/VBLZ025E82GS5MU", "SE-000276074")</f>
        <v>SE-000276074</v>
      </c>
      <c r="D10551" s="1" t="s">
        <v>0</v>
      </c>
      <c r="E10551" s="2">
        <v>0</v>
      </c>
      <c r="F10551" s="2">
        <v>0</v>
      </c>
      <c r="G10551" s="2">
        <v>0</v>
      </c>
      <c r="H10551" s="1" t="s">
        <v>0</v>
      </c>
      <c r="I10551" s="2">
        <v>0</v>
      </c>
      <c r="J10551" s="1">
        <v>45918.327581018515</v>
      </c>
    </row>
    <row r="10552" spans="1:10" x14ac:dyDescent="0.2">
      <c r="A10552" s="4" t="s">
        <v>1</v>
      </c>
      <c r="B1055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52" s="3" t="str">
        <f>HYPERLINK("https://otsuka-europe-crm.veevavault.com/ui/#object/sent_email__v/VBLZ025E82GS5MV", "SE-000276075")</f>
        <v>SE-000276075</v>
      </c>
      <c r="D10552" s="1">
        <v>45918.341574074075</v>
      </c>
      <c r="E10552" s="2">
        <v>1</v>
      </c>
      <c r="F10552" s="2">
        <v>1</v>
      </c>
      <c r="G10552" s="2">
        <v>0</v>
      </c>
      <c r="H10552" s="1" t="s">
        <v>0</v>
      </c>
      <c r="I10552" s="2">
        <v>0</v>
      </c>
      <c r="J10552" s="1">
        <v>45918.327592592592</v>
      </c>
    </row>
    <row r="10553" spans="1:10" x14ac:dyDescent="0.2">
      <c r="A10553" s="4" t="s">
        <v>1</v>
      </c>
      <c r="B1055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53" s="3" t="str">
        <f>HYPERLINK("https://otsuka-europe-crm.veevavault.com/ui/#object/sent_email__v/VBLZ025E82GS5MW", "SE-000276076")</f>
        <v>SE-000276076</v>
      </c>
      <c r="D10553" s="1" t="s">
        <v>0</v>
      </c>
      <c r="E10553" s="2">
        <v>0</v>
      </c>
      <c r="F10553" s="2">
        <v>0</v>
      </c>
      <c r="G10553" s="2">
        <v>0</v>
      </c>
      <c r="H10553" s="1" t="s">
        <v>0</v>
      </c>
      <c r="I10553" s="2">
        <v>0</v>
      </c>
      <c r="J10553" s="1">
        <v>45918.327604166669</v>
      </c>
    </row>
    <row r="10554" spans="1:10" x14ac:dyDescent="0.2">
      <c r="A10554" s="4" t="s">
        <v>1</v>
      </c>
      <c r="B1055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54" s="3" t="str">
        <f>HYPERLINK("https://otsuka-europe-crm.veevavault.com/ui/#object/sent_email__v/VBLZ025E82GS5MX", "SE-000276077")</f>
        <v>SE-000276077</v>
      </c>
      <c r="D10554" s="1">
        <v>45919.467187499999</v>
      </c>
      <c r="E10554" s="2">
        <v>1</v>
      </c>
      <c r="F10554" s="2">
        <v>2</v>
      </c>
      <c r="G10554" s="2">
        <v>0</v>
      </c>
      <c r="H10554" s="1" t="s">
        <v>0</v>
      </c>
      <c r="I10554" s="2">
        <v>0</v>
      </c>
      <c r="J10554" s="1">
        <v>45918.327615740738</v>
      </c>
    </row>
    <row r="10555" spans="1:10" x14ac:dyDescent="0.2">
      <c r="A10555" s="4" t="s">
        <v>1</v>
      </c>
      <c r="B1055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55" s="3" t="str">
        <f>HYPERLINK("https://otsuka-europe-crm.veevavault.com/ui/#object/sent_email__v/VBLZ025E82GS5MY", "SE-000276078")</f>
        <v>SE-000276078</v>
      </c>
      <c r="D10555" s="1" t="s">
        <v>0</v>
      </c>
      <c r="E10555" s="2">
        <v>0</v>
      </c>
      <c r="F10555" s="2">
        <v>0</v>
      </c>
      <c r="G10555" s="2">
        <v>0</v>
      </c>
      <c r="H10555" s="1" t="s">
        <v>0</v>
      </c>
      <c r="I10555" s="2">
        <v>0</v>
      </c>
      <c r="J10555" s="1">
        <v>45918.327627314815</v>
      </c>
    </row>
    <row r="10556" spans="1:10" x14ac:dyDescent="0.2">
      <c r="A10556" s="4" t="s">
        <v>1</v>
      </c>
      <c r="B1055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56" s="3" t="str">
        <f>HYPERLINK("https://otsuka-europe-crm.veevavault.com/ui/#object/sent_email__v/VBLZ025E82GS5MZ", "SE-000276079")</f>
        <v>SE-000276079</v>
      </c>
      <c r="D10556" s="1" t="s">
        <v>0</v>
      </c>
      <c r="E10556" s="2">
        <v>0</v>
      </c>
      <c r="F10556" s="2">
        <v>0</v>
      </c>
      <c r="G10556" s="2">
        <v>0</v>
      </c>
      <c r="H10556" s="1" t="s">
        <v>0</v>
      </c>
      <c r="I10556" s="2">
        <v>0</v>
      </c>
      <c r="J10556" s="1">
        <v>45918.327627314815</v>
      </c>
    </row>
    <row r="10557" spans="1:10" x14ac:dyDescent="0.2">
      <c r="A10557" s="4" t="s">
        <v>1</v>
      </c>
      <c r="B1055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57" s="3" t="str">
        <f>HYPERLINK("https://otsuka-europe-crm.veevavault.com/ui/#object/sent_email__v/VBLZ025E82GS5N0", "SE-000276080")</f>
        <v>SE-000276080</v>
      </c>
      <c r="D10557" s="1" t="s">
        <v>0</v>
      </c>
      <c r="E10557" s="2">
        <v>0</v>
      </c>
      <c r="F10557" s="2">
        <v>0</v>
      </c>
      <c r="G10557" s="2">
        <v>0</v>
      </c>
      <c r="H10557" s="1" t="s">
        <v>0</v>
      </c>
      <c r="I10557" s="2">
        <v>0</v>
      </c>
      <c r="J10557" s="1">
        <v>45918.327638888892</v>
      </c>
    </row>
    <row r="10558" spans="1:10" x14ac:dyDescent="0.2">
      <c r="A10558" s="4" t="s">
        <v>1</v>
      </c>
      <c r="B1055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58" s="3" t="str">
        <f>HYPERLINK("https://otsuka-europe-crm.veevavault.com/ui/#object/sent_email__v/VBLZ025E82GS5N1", "SE-000276081")</f>
        <v>SE-000276081</v>
      </c>
      <c r="D10558" s="1" t="s">
        <v>0</v>
      </c>
      <c r="E10558" s="2">
        <v>0</v>
      </c>
      <c r="F10558" s="2">
        <v>0</v>
      </c>
      <c r="G10558" s="2">
        <v>0</v>
      </c>
      <c r="H10558" s="1" t="s">
        <v>0</v>
      </c>
      <c r="I10558" s="2">
        <v>0</v>
      </c>
      <c r="J10558" s="1">
        <v>45918.327650462961</v>
      </c>
    </row>
    <row r="10559" spans="1:10" x14ac:dyDescent="0.2">
      <c r="A10559" s="4" t="s">
        <v>1</v>
      </c>
      <c r="B1055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59" s="3" t="str">
        <f>HYPERLINK("https://otsuka-europe-crm.veevavault.com/ui/#object/sent_email__v/VBLZ025E82GS5N2", "SE-000276082")</f>
        <v>SE-000276082</v>
      </c>
      <c r="D10559" s="1" t="s">
        <v>0</v>
      </c>
      <c r="E10559" s="2">
        <v>0</v>
      </c>
      <c r="F10559" s="2">
        <v>0</v>
      </c>
      <c r="G10559" s="2">
        <v>0</v>
      </c>
      <c r="H10559" s="1" t="s">
        <v>0</v>
      </c>
      <c r="I10559" s="2">
        <v>0</v>
      </c>
      <c r="J10559" s="1">
        <v>45918.327662037038</v>
      </c>
    </row>
    <row r="10560" spans="1:10" x14ac:dyDescent="0.2">
      <c r="A10560" s="4" t="s">
        <v>1</v>
      </c>
      <c r="B1056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60" s="3" t="str">
        <f>HYPERLINK("https://otsuka-europe-crm.veevavault.com/ui/#object/sent_email__v/VBLZ025E82GS5N3", "SE-000276083")</f>
        <v>SE-000276083</v>
      </c>
      <c r="D10560" s="1" t="s">
        <v>0</v>
      </c>
      <c r="E10560" s="2">
        <v>0</v>
      </c>
      <c r="F10560" s="2">
        <v>0</v>
      </c>
      <c r="G10560" s="2">
        <v>0</v>
      </c>
      <c r="H10560" s="1" t="s">
        <v>0</v>
      </c>
      <c r="I10560" s="2">
        <v>0</v>
      </c>
      <c r="J10560" s="1">
        <v>45918.327673611115</v>
      </c>
    </row>
    <row r="10561" spans="1:10" x14ac:dyDescent="0.2">
      <c r="A10561" s="4" t="s">
        <v>1</v>
      </c>
      <c r="B1056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61" s="3" t="str">
        <f>HYPERLINK("https://otsuka-europe-crm.veevavault.com/ui/#object/sent_email__v/VBLZ025E82GS5N4", "SE-000276084")</f>
        <v>SE-000276084</v>
      </c>
      <c r="D10561" s="1">
        <v>45919.722696759258</v>
      </c>
      <c r="E10561" s="2">
        <v>1</v>
      </c>
      <c r="F10561" s="2">
        <v>1</v>
      </c>
      <c r="G10561" s="2">
        <v>0</v>
      </c>
      <c r="H10561" s="1" t="s">
        <v>0</v>
      </c>
      <c r="I10561" s="2">
        <v>0</v>
      </c>
      <c r="J10561" s="1">
        <v>45918.327685185184</v>
      </c>
    </row>
    <row r="10562" spans="1:10" x14ac:dyDescent="0.2">
      <c r="A10562" s="4" t="s">
        <v>1</v>
      </c>
      <c r="B1056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62" s="3" t="str">
        <f>HYPERLINK("https://otsuka-europe-crm.veevavault.com/ui/#object/sent_email__v/VBLZ025E82GS5N5", "SE-000276085")</f>
        <v>SE-000276085</v>
      </c>
      <c r="D10562" s="1" t="s">
        <v>0</v>
      </c>
      <c r="E10562" s="2">
        <v>0</v>
      </c>
      <c r="F10562" s="2">
        <v>0</v>
      </c>
      <c r="G10562" s="2">
        <v>0</v>
      </c>
      <c r="H10562" s="1" t="s">
        <v>0</v>
      </c>
      <c r="I10562" s="2">
        <v>0</v>
      </c>
      <c r="J10562" s="1">
        <v>45918.327696759261</v>
      </c>
    </row>
    <row r="10563" spans="1:10" x14ac:dyDescent="0.2">
      <c r="A10563" s="4" t="s">
        <v>1</v>
      </c>
      <c r="B1056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63" s="3" t="str">
        <f>HYPERLINK("https://otsuka-europe-crm.veevavault.com/ui/#object/sent_email__v/VBLZ025E82GS5N6", "SE-000276086")</f>
        <v>SE-000276086</v>
      </c>
      <c r="D10563" s="1">
        <v>45918.491585648146</v>
      </c>
      <c r="E10563" s="2">
        <v>1</v>
      </c>
      <c r="F10563" s="2">
        <v>2</v>
      </c>
      <c r="G10563" s="2">
        <v>0</v>
      </c>
      <c r="H10563" s="1" t="s">
        <v>0</v>
      </c>
      <c r="I10563" s="2">
        <v>0</v>
      </c>
      <c r="J10563" s="1">
        <v>45918.327696759261</v>
      </c>
    </row>
    <row r="10564" spans="1:10" x14ac:dyDescent="0.2">
      <c r="A10564" s="4" t="s">
        <v>1</v>
      </c>
      <c r="B1056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64" s="3" t="str">
        <f>HYPERLINK("https://otsuka-europe-crm.veevavault.com/ui/#object/sent_email__v/VBLZ025E82GS5N7", "SE-000276087")</f>
        <v>SE-000276087</v>
      </c>
      <c r="D10564" s="1">
        <v>45935.828402777777</v>
      </c>
      <c r="E10564" s="2">
        <v>1</v>
      </c>
      <c r="F10564" s="2">
        <v>6</v>
      </c>
      <c r="G10564" s="2">
        <v>1</v>
      </c>
      <c r="H10564" s="1">
        <v>45932.32534722222</v>
      </c>
      <c r="I10564" s="2">
        <v>1</v>
      </c>
      <c r="J10564" s="1">
        <v>45918.327708333331</v>
      </c>
    </row>
    <row r="10565" spans="1:10" x14ac:dyDescent="0.2">
      <c r="A10565" s="4" t="s">
        <v>1</v>
      </c>
      <c r="B1056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65" s="3" t="str">
        <f>HYPERLINK("https://otsuka-europe-crm.veevavault.com/ui/#object/sent_email__v/VBLZ025E82GS5N8", "SE-000276088")</f>
        <v>SE-000276088</v>
      </c>
      <c r="D10565" s="1" t="s">
        <v>0</v>
      </c>
      <c r="E10565" s="2">
        <v>0</v>
      </c>
      <c r="F10565" s="2">
        <v>0</v>
      </c>
      <c r="G10565" s="2">
        <v>0</v>
      </c>
      <c r="H10565" s="1" t="s">
        <v>0</v>
      </c>
      <c r="I10565" s="2">
        <v>0</v>
      </c>
      <c r="J10565" s="1">
        <v>45918.327719907407</v>
      </c>
    </row>
    <row r="10566" spans="1:10" x14ac:dyDescent="0.2">
      <c r="A10566" s="4" t="s">
        <v>1</v>
      </c>
      <c r="B1056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66" s="3" t="str">
        <f>HYPERLINK("https://otsuka-europe-crm.veevavault.com/ui/#object/sent_email__v/VBLZ025E82GS5N9", "SE-000276089")</f>
        <v>SE-000276089</v>
      </c>
      <c r="D10566" s="1">
        <v>45918.912233796298</v>
      </c>
      <c r="E10566" s="2">
        <v>1</v>
      </c>
      <c r="F10566" s="2">
        <v>2</v>
      </c>
      <c r="G10566" s="2">
        <v>0</v>
      </c>
      <c r="H10566" s="1" t="s">
        <v>0</v>
      </c>
      <c r="I10566" s="2">
        <v>0</v>
      </c>
      <c r="J10566" s="1">
        <v>45918.327731481484</v>
      </c>
    </row>
    <row r="10567" spans="1:10" x14ac:dyDescent="0.2">
      <c r="A10567" s="4" t="s">
        <v>1</v>
      </c>
      <c r="B1056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67" s="3" t="str">
        <f>HYPERLINK("https://otsuka-europe-crm.veevavault.com/ui/#object/sent_email__v/VBLZ025E82GS5NA", "SE-000276090")</f>
        <v>SE-000276090</v>
      </c>
      <c r="D10567" s="1" t="s">
        <v>0</v>
      </c>
      <c r="E10567" s="2">
        <v>0</v>
      </c>
      <c r="F10567" s="2">
        <v>0</v>
      </c>
      <c r="G10567" s="2">
        <v>0</v>
      </c>
      <c r="H10567" s="1" t="s">
        <v>0</v>
      </c>
      <c r="I10567" s="2">
        <v>0</v>
      </c>
      <c r="J10567" s="1">
        <v>45918.327731481484</v>
      </c>
    </row>
    <row r="10568" spans="1:10" x14ac:dyDescent="0.2">
      <c r="A10568" s="4" t="s">
        <v>1</v>
      </c>
      <c r="B1056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68" s="3" t="str">
        <f>HYPERLINK("https://otsuka-europe-crm.veevavault.com/ui/#object/sent_email__v/VBLZ025E82GS5NB", "SE-000276091")</f>
        <v>SE-000276091</v>
      </c>
      <c r="D10568" s="1">
        <v>45935.398206018515</v>
      </c>
      <c r="E10568" s="2">
        <v>1</v>
      </c>
      <c r="F10568" s="2">
        <v>3</v>
      </c>
      <c r="G10568" s="2">
        <v>0</v>
      </c>
      <c r="H10568" s="1" t="s">
        <v>0</v>
      </c>
      <c r="I10568" s="2">
        <v>0</v>
      </c>
      <c r="J10568" s="1">
        <v>45918.327743055554</v>
      </c>
    </row>
    <row r="10569" spans="1:10" x14ac:dyDescent="0.2">
      <c r="A10569" s="4" t="s">
        <v>1</v>
      </c>
      <c r="B1056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69" s="3" t="str">
        <f>HYPERLINK("https://otsuka-europe-crm.veevavault.com/ui/#object/sent_email__v/VBLZ025E82GS5NC", "SE-000276092")</f>
        <v>SE-000276092</v>
      </c>
      <c r="D10569" s="1" t="s">
        <v>0</v>
      </c>
      <c r="E10569" s="2">
        <v>0</v>
      </c>
      <c r="F10569" s="2">
        <v>0</v>
      </c>
      <c r="G10569" s="2">
        <v>0</v>
      </c>
      <c r="H10569" s="1" t="s">
        <v>0</v>
      </c>
      <c r="I10569" s="2">
        <v>0</v>
      </c>
      <c r="J10569" s="1">
        <v>45918.32775462963</v>
      </c>
    </row>
    <row r="10570" spans="1:10" x14ac:dyDescent="0.2">
      <c r="A10570" s="4" t="s">
        <v>1</v>
      </c>
      <c r="B1057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70" s="3" t="str">
        <f>HYPERLINK("https://otsuka-europe-crm.veevavault.com/ui/#object/sent_email__v/VBLZ025E82GS5ND", "SE-000276093")</f>
        <v>SE-000276093</v>
      </c>
      <c r="D10570" s="1" t="s">
        <v>0</v>
      </c>
      <c r="E10570" s="2">
        <v>0</v>
      </c>
      <c r="F10570" s="2">
        <v>0</v>
      </c>
      <c r="G10570" s="2">
        <v>0</v>
      </c>
      <c r="H10570" s="1" t="s">
        <v>0</v>
      </c>
      <c r="I10570" s="2">
        <v>0</v>
      </c>
      <c r="J10570" s="1">
        <v>45918.327766203707</v>
      </c>
    </row>
    <row r="10571" spans="1:10" x14ac:dyDescent="0.2">
      <c r="A10571" s="4" t="s">
        <v>1</v>
      </c>
      <c r="B1057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71" s="3" t="str">
        <f>HYPERLINK("https://otsuka-europe-crm.veevavault.com/ui/#object/sent_email__v/VBLZ025E82GS5NE", "SE-000276094")</f>
        <v>SE-000276094</v>
      </c>
      <c r="D10571" s="1">
        <v>45918.9378125</v>
      </c>
      <c r="E10571" s="2">
        <v>1</v>
      </c>
      <c r="F10571" s="2">
        <v>1</v>
      </c>
      <c r="G10571" s="2">
        <v>0</v>
      </c>
      <c r="H10571" s="1" t="s">
        <v>0</v>
      </c>
      <c r="I10571" s="2">
        <v>0</v>
      </c>
      <c r="J10571" s="1">
        <v>45918.327777777777</v>
      </c>
    </row>
    <row r="10572" spans="1:10" x14ac:dyDescent="0.2">
      <c r="A10572" s="4" t="s">
        <v>1</v>
      </c>
      <c r="B1057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72" s="3" t="str">
        <f>HYPERLINK("https://otsuka-europe-crm.veevavault.com/ui/#object/sent_email__v/VBLZ025E82GS5NF", "SE-000276095")</f>
        <v>SE-000276095</v>
      </c>
      <c r="D10572" s="1">
        <v>45919.855162037034</v>
      </c>
      <c r="E10572" s="2">
        <v>1</v>
      </c>
      <c r="F10572" s="2">
        <v>2</v>
      </c>
      <c r="G10572" s="2">
        <v>0</v>
      </c>
      <c r="H10572" s="1" t="s">
        <v>0</v>
      </c>
      <c r="I10572" s="2">
        <v>0</v>
      </c>
      <c r="J10572" s="1">
        <v>45918.327789351853</v>
      </c>
    </row>
    <row r="10573" spans="1:10" x14ac:dyDescent="0.2">
      <c r="A10573" s="4" t="s">
        <v>1</v>
      </c>
      <c r="B1057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73" s="3" t="str">
        <f>HYPERLINK("https://otsuka-europe-crm.veevavault.com/ui/#object/sent_email__v/VBLZ025E82GS5NG", "SE-000276096")</f>
        <v>SE-000276096</v>
      </c>
      <c r="D10573" s="1" t="s">
        <v>0</v>
      </c>
      <c r="E10573" s="2">
        <v>0</v>
      </c>
      <c r="F10573" s="2">
        <v>0</v>
      </c>
      <c r="G10573" s="2">
        <v>0</v>
      </c>
      <c r="H10573" s="1" t="s">
        <v>0</v>
      </c>
      <c r="I10573" s="2">
        <v>0</v>
      </c>
      <c r="J10573" s="1">
        <v>45918.327789351853</v>
      </c>
    </row>
    <row r="10574" spans="1:10" x14ac:dyDescent="0.2">
      <c r="A10574" s="4" t="s">
        <v>1</v>
      </c>
      <c r="B1057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74" s="3" t="str">
        <f>HYPERLINK("https://otsuka-europe-crm.veevavault.com/ui/#object/sent_email__v/VBLZ025E82GS5NH", "SE-000276097")</f>
        <v>SE-000276097</v>
      </c>
      <c r="D10574" s="1" t="s">
        <v>0</v>
      </c>
      <c r="E10574" s="2">
        <v>0</v>
      </c>
      <c r="F10574" s="2">
        <v>0</v>
      </c>
      <c r="G10574" s="2">
        <v>0</v>
      </c>
      <c r="H10574" s="1" t="s">
        <v>0</v>
      </c>
      <c r="I10574" s="2">
        <v>0</v>
      </c>
      <c r="J10574" s="1">
        <v>45918.327800925923</v>
      </c>
    </row>
    <row r="10575" spans="1:10" x14ac:dyDescent="0.2">
      <c r="A10575" s="4" t="s">
        <v>1</v>
      </c>
      <c r="B1057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75" s="3" t="str">
        <f>HYPERLINK("https://otsuka-europe-crm.veevavault.com/ui/#object/sent_email__v/VBLZ025E82GS5NI", "SE-000276098")</f>
        <v>SE-000276098</v>
      </c>
      <c r="D10575" s="1">
        <v>45919.227361111109</v>
      </c>
      <c r="E10575" s="2">
        <v>1</v>
      </c>
      <c r="F10575" s="2">
        <v>1</v>
      </c>
      <c r="G10575" s="2">
        <v>0</v>
      </c>
      <c r="H10575" s="1" t="s">
        <v>0</v>
      </c>
      <c r="I10575" s="2">
        <v>0</v>
      </c>
      <c r="J10575" s="1">
        <v>45918.3278125</v>
      </c>
    </row>
    <row r="10576" spans="1:10" x14ac:dyDescent="0.2">
      <c r="A10576" s="4" t="s">
        <v>1</v>
      </c>
      <c r="B1057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76" s="3" t="str">
        <f>HYPERLINK("https://otsuka-europe-crm.veevavault.com/ui/#object/sent_email__v/VBLZ025E82GS5NJ", "SE-000276099")</f>
        <v>SE-000276099</v>
      </c>
      <c r="D10576" s="1" t="s">
        <v>0</v>
      </c>
      <c r="E10576" s="2">
        <v>0</v>
      </c>
      <c r="F10576" s="2">
        <v>0</v>
      </c>
      <c r="G10576" s="2">
        <v>0</v>
      </c>
      <c r="H10576" s="1" t="s">
        <v>0</v>
      </c>
      <c r="I10576" s="2">
        <v>0</v>
      </c>
      <c r="J10576" s="1">
        <v>45918.327824074076</v>
      </c>
    </row>
    <row r="10577" spans="1:10" x14ac:dyDescent="0.2">
      <c r="A10577" s="4" t="s">
        <v>1</v>
      </c>
      <c r="B1057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77" s="3" t="str">
        <f>HYPERLINK("https://otsuka-europe-crm.veevavault.com/ui/#object/sent_email__v/VBLZ025E82GS5NK", "SE-000276100")</f>
        <v>SE-000276100</v>
      </c>
      <c r="D10577" s="1" t="s">
        <v>0</v>
      </c>
      <c r="E10577" s="2">
        <v>0</v>
      </c>
      <c r="F10577" s="2">
        <v>0</v>
      </c>
      <c r="G10577" s="2">
        <v>0</v>
      </c>
      <c r="H10577" s="1" t="s">
        <v>0</v>
      </c>
      <c r="I10577" s="2">
        <v>0</v>
      </c>
      <c r="J10577" s="1">
        <v>45918.327835648146</v>
      </c>
    </row>
    <row r="10578" spans="1:10" x14ac:dyDescent="0.2">
      <c r="A10578" s="4" t="s">
        <v>1</v>
      </c>
      <c r="B1057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78" s="3" t="str">
        <f>HYPERLINK("https://otsuka-europe-crm.veevavault.com/ui/#object/sent_email__v/VBLZ025E82GS5NL", "SE-000276101")</f>
        <v>SE-000276101</v>
      </c>
      <c r="D10578" s="1">
        <v>45921.421712962961</v>
      </c>
      <c r="E10578" s="2">
        <v>1</v>
      </c>
      <c r="F10578" s="2">
        <v>1</v>
      </c>
      <c r="G10578" s="2">
        <v>0</v>
      </c>
      <c r="H10578" s="1" t="s">
        <v>0</v>
      </c>
      <c r="I10578" s="2">
        <v>0</v>
      </c>
      <c r="J10578" s="1">
        <v>45918.327847222223</v>
      </c>
    </row>
    <row r="10579" spans="1:10" x14ac:dyDescent="0.2">
      <c r="A10579" s="4" t="s">
        <v>1</v>
      </c>
      <c r="B1057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79" s="3" t="str">
        <f>HYPERLINK("https://otsuka-europe-crm.veevavault.com/ui/#object/sent_email__v/VBLZ025E82GS5NM", "SE-000276102")</f>
        <v>SE-000276102</v>
      </c>
      <c r="D10579" s="1" t="s">
        <v>0</v>
      </c>
      <c r="E10579" s="2">
        <v>0</v>
      </c>
      <c r="F10579" s="2">
        <v>0</v>
      </c>
      <c r="G10579" s="2">
        <v>0</v>
      </c>
      <c r="H10579" s="1" t="s">
        <v>0</v>
      </c>
      <c r="I10579" s="2">
        <v>0</v>
      </c>
      <c r="J10579" s="1">
        <v>45918.3278587963</v>
      </c>
    </row>
    <row r="10580" spans="1:10" x14ac:dyDescent="0.2">
      <c r="A10580" s="4" t="s">
        <v>1</v>
      </c>
      <c r="B1058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80" s="3" t="str">
        <f>HYPERLINK("https://otsuka-europe-crm.veevavault.com/ui/#object/sent_email__v/VBLZ025E82GS5NN", "SE-000276103")</f>
        <v>SE-000276103</v>
      </c>
      <c r="D10580" s="1" t="s">
        <v>0</v>
      </c>
      <c r="E10580" s="2">
        <v>0</v>
      </c>
      <c r="F10580" s="2">
        <v>0</v>
      </c>
      <c r="G10580" s="2">
        <v>0</v>
      </c>
      <c r="H10580" s="1" t="s">
        <v>0</v>
      </c>
      <c r="I10580" s="2">
        <v>0</v>
      </c>
      <c r="J10580" s="1">
        <v>45918.3278587963</v>
      </c>
    </row>
    <row r="10581" spans="1:10" x14ac:dyDescent="0.2">
      <c r="A10581" s="4" t="s">
        <v>1</v>
      </c>
      <c r="B1058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81" s="3" t="str">
        <f>HYPERLINK("https://otsuka-europe-crm.veevavault.com/ui/#object/sent_email__v/VBLZ025E82GS5NO", "SE-000276104")</f>
        <v>SE-000276104</v>
      </c>
      <c r="D10581" s="1" t="s">
        <v>0</v>
      </c>
      <c r="E10581" s="2">
        <v>0</v>
      </c>
      <c r="F10581" s="2">
        <v>0</v>
      </c>
      <c r="G10581" s="2">
        <v>0</v>
      </c>
      <c r="H10581" s="1" t="s">
        <v>0</v>
      </c>
      <c r="I10581" s="2">
        <v>0</v>
      </c>
      <c r="J10581" s="1">
        <v>45918.327870370369</v>
      </c>
    </row>
    <row r="10582" spans="1:10" x14ac:dyDescent="0.2">
      <c r="A10582" s="4" t="s">
        <v>1</v>
      </c>
      <c r="B1058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82" s="3" t="str">
        <f>HYPERLINK("https://otsuka-europe-crm.veevavault.com/ui/#object/sent_email__v/VBLZ025E82GS5NP", "SE-000276105")</f>
        <v>SE-000276105</v>
      </c>
      <c r="D10582" s="1">
        <v>45918.35732638889</v>
      </c>
      <c r="E10582" s="2">
        <v>1</v>
      </c>
      <c r="F10582" s="2">
        <v>1</v>
      </c>
      <c r="G10582" s="2">
        <v>1</v>
      </c>
      <c r="H10582" s="1">
        <v>45918.35732638889</v>
      </c>
      <c r="I10582" s="2">
        <v>1</v>
      </c>
      <c r="J10582" s="1">
        <v>45918.327881944446</v>
      </c>
    </row>
    <row r="10583" spans="1:10" x14ac:dyDescent="0.2">
      <c r="A10583" s="4" t="s">
        <v>1</v>
      </c>
      <c r="B1058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83" s="3" t="str">
        <f>HYPERLINK("https://otsuka-europe-crm.veevavault.com/ui/#object/sent_email__v/VBLZ025E82GS5NQ", "SE-000276106")</f>
        <v>SE-000276106</v>
      </c>
      <c r="D10583" s="1" t="s">
        <v>0</v>
      </c>
      <c r="E10583" s="2">
        <v>0</v>
      </c>
      <c r="F10583" s="2">
        <v>0</v>
      </c>
      <c r="G10583" s="2">
        <v>0</v>
      </c>
      <c r="H10583" s="1" t="s">
        <v>0</v>
      </c>
      <c r="I10583" s="2">
        <v>0</v>
      </c>
      <c r="J10583" s="1">
        <v>45918.327893518515</v>
      </c>
    </row>
    <row r="10584" spans="1:10" x14ac:dyDescent="0.2">
      <c r="A10584" s="4" t="s">
        <v>1</v>
      </c>
      <c r="B1058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84" s="3" t="str">
        <f>HYPERLINK("https://otsuka-europe-crm.veevavault.com/ui/#object/sent_email__v/VBLZ025E82GS5NR", "SE-000276107")</f>
        <v>SE-000276107</v>
      </c>
      <c r="D10584" s="1" t="s">
        <v>0</v>
      </c>
      <c r="E10584" s="2">
        <v>0</v>
      </c>
      <c r="F10584" s="2">
        <v>0</v>
      </c>
      <c r="G10584" s="2">
        <v>0</v>
      </c>
      <c r="H10584" s="1" t="s">
        <v>0</v>
      </c>
      <c r="I10584" s="2">
        <v>0</v>
      </c>
      <c r="J10584" s="1">
        <v>45918.327905092592</v>
      </c>
    </row>
    <row r="10585" spans="1:10" x14ac:dyDescent="0.2">
      <c r="A10585" s="4" t="s">
        <v>1</v>
      </c>
      <c r="B1058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85" s="3" t="str">
        <f>HYPERLINK("https://otsuka-europe-crm.veevavault.com/ui/#object/sent_email__v/VBLZ025E82GS5NS", "SE-000276108")</f>
        <v>SE-000276108</v>
      </c>
      <c r="D10585" s="1">
        <v>45918.456956018519</v>
      </c>
      <c r="E10585" s="2">
        <v>1</v>
      </c>
      <c r="F10585" s="2">
        <v>2</v>
      </c>
      <c r="G10585" s="2">
        <v>0</v>
      </c>
      <c r="H10585" s="1" t="s">
        <v>0</v>
      </c>
      <c r="I10585" s="2">
        <v>0</v>
      </c>
      <c r="J10585" s="1">
        <v>45918.327905092592</v>
      </c>
    </row>
    <row r="10586" spans="1:10" x14ac:dyDescent="0.2">
      <c r="A10586" s="4" t="s">
        <v>1</v>
      </c>
      <c r="B1058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86" s="3" t="str">
        <f>HYPERLINK("https://otsuka-europe-crm.veevavault.com/ui/#object/sent_email__v/VBLZ025E82GS5NT", "SE-000276109")</f>
        <v>SE-000276109</v>
      </c>
      <c r="D10586" s="1">
        <v>45918.544664351852</v>
      </c>
      <c r="E10586" s="2">
        <v>1</v>
      </c>
      <c r="F10586" s="2">
        <v>1</v>
      </c>
      <c r="G10586" s="2">
        <v>0</v>
      </c>
      <c r="H10586" s="1" t="s">
        <v>0</v>
      </c>
      <c r="I10586" s="2">
        <v>0</v>
      </c>
      <c r="J10586" s="1">
        <v>45918.327916666669</v>
      </c>
    </row>
    <row r="10587" spans="1:10" x14ac:dyDescent="0.2">
      <c r="A10587" s="4" t="s">
        <v>1</v>
      </c>
      <c r="B1058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87" s="3" t="str">
        <f>HYPERLINK("https://otsuka-europe-crm.veevavault.com/ui/#object/sent_email__v/VBLZ025E82GS5NU", "SE-000276110")</f>
        <v>SE-000276110</v>
      </c>
      <c r="D10587" s="1" t="s">
        <v>0</v>
      </c>
      <c r="E10587" s="2">
        <v>0</v>
      </c>
      <c r="F10587" s="2">
        <v>0</v>
      </c>
      <c r="G10587" s="2">
        <v>0</v>
      </c>
      <c r="H10587" s="1" t="s">
        <v>0</v>
      </c>
      <c r="I10587" s="2">
        <v>0</v>
      </c>
      <c r="J10587" s="1">
        <v>45918.327928240738</v>
      </c>
    </row>
    <row r="10588" spans="1:10" x14ac:dyDescent="0.2">
      <c r="A10588" s="4" t="s">
        <v>1</v>
      </c>
      <c r="B1058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88" s="3" t="str">
        <f>HYPERLINK("https://otsuka-europe-crm.veevavault.com/ui/#object/sent_email__v/VBLZ025E82GS5NV", "SE-000276111")</f>
        <v>SE-000276111</v>
      </c>
      <c r="D10588" s="1" t="s">
        <v>0</v>
      </c>
      <c r="E10588" s="2">
        <v>0</v>
      </c>
      <c r="F10588" s="2">
        <v>0</v>
      </c>
      <c r="G10588" s="2">
        <v>0</v>
      </c>
      <c r="H10588" s="1" t="s">
        <v>0</v>
      </c>
      <c r="I10588" s="2">
        <v>0</v>
      </c>
      <c r="J10588" s="1">
        <v>45918.327939814815</v>
      </c>
    </row>
    <row r="10589" spans="1:10" x14ac:dyDescent="0.2">
      <c r="A10589" s="4" t="s">
        <v>1</v>
      </c>
      <c r="B1058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89" s="3" t="str">
        <f>HYPERLINK("https://otsuka-europe-crm.veevavault.com/ui/#object/sent_email__v/VBLZ025E82GS5NW", "SE-000276112")</f>
        <v>SE-000276112</v>
      </c>
      <c r="D10589" s="1" t="s">
        <v>0</v>
      </c>
      <c r="E10589" s="2">
        <v>0</v>
      </c>
      <c r="F10589" s="2">
        <v>0</v>
      </c>
      <c r="G10589" s="2">
        <v>0</v>
      </c>
      <c r="H10589" s="1" t="s">
        <v>0</v>
      </c>
      <c r="I10589" s="2">
        <v>0</v>
      </c>
      <c r="J10589" s="1">
        <v>45918.327951388892</v>
      </c>
    </row>
    <row r="10590" spans="1:10" x14ac:dyDescent="0.2">
      <c r="A10590" s="4" t="s">
        <v>1</v>
      </c>
      <c r="B1059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90" s="3" t="str">
        <f>HYPERLINK("https://otsuka-europe-crm.veevavault.com/ui/#object/sent_email__v/VBLZ025E82GS5NX", "SE-000276113")</f>
        <v>SE-000276113</v>
      </c>
      <c r="D10590" s="1" t="s">
        <v>0</v>
      </c>
      <c r="E10590" s="2">
        <v>0</v>
      </c>
      <c r="F10590" s="2">
        <v>0</v>
      </c>
      <c r="G10590" s="2">
        <v>0</v>
      </c>
      <c r="H10590" s="1" t="s">
        <v>0</v>
      </c>
      <c r="I10590" s="2">
        <v>0</v>
      </c>
      <c r="J10590" s="1">
        <v>45918.327962962961</v>
      </c>
    </row>
    <row r="10591" spans="1:10" x14ac:dyDescent="0.2">
      <c r="A10591" s="4" t="s">
        <v>1</v>
      </c>
      <c r="B1059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91" s="3" t="str">
        <f>HYPERLINK("https://otsuka-europe-crm.veevavault.com/ui/#object/sent_email__v/VBLZ025E82GS5NY", "SE-000276114")</f>
        <v>SE-000276114</v>
      </c>
      <c r="D10591" s="1" t="s">
        <v>0</v>
      </c>
      <c r="E10591" s="2">
        <v>0</v>
      </c>
      <c r="F10591" s="2">
        <v>0</v>
      </c>
      <c r="G10591" s="2">
        <v>0</v>
      </c>
      <c r="H10591" s="1" t="s">
        <v>0</v>
      </c>
      <c r="I10591" s="2">
        <v>0</v>
      </c>
      <c r="J10591" s="1">
        <v>45918.327974537038</v>
      </c>
    </row>
    <row r="10592" spans="1:10" x14ac:dyDescent="0.2">
      <c r="A10592" s="4" t="s">
        <v>1</v>
      </c>
      <c r="B1059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92" s="3" t="str">
        <f>HYPERLINK("https://otsuka-europe-crm.veevavault.com/ui/#object/sent_email__v/VBLZ025E82GS5NZ", "SE-000276115")</f>
        <v>SE-000276115</v>
      </c>
      <c r="D10592" s="1">
        <v>45921.481493055559</v>
      </c>
      <c r="E10592" s="2">
        <v>1</v>
      </c>
      <c r="F10592" s="2">
        <v>1</v>
      </c>
      <c r="G10592" s="2">
        <v>0</v>
      </c>
      <c r="H10592" s="1" t="s">
        <v>0</v>
      </c>
      <c r="I10592" s="2">
        <v>0</v>
      </c>
      <c r="J10592" s="1">
        <v>45918.327974537038</v>
      </c>
    </row>
    <row r="10593" spans="1:10" x14ac:dyDescent="0.2">
      <c r="A10593" s="4" t="s">
        <v>1</v>
      </c>
      <c r="B1059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93" s="3" t="str">
        <f>HYPERLINK("https://otsuka-europe-crm.veevavault.com/ui/#object/sent_email__v/VBLZ025E82GS5O0", "SE-000276116")</f>
        <v>SE-000276116</v>
      </c>
      <c r="D10593" s="1" t="s">
        <v>0</v>
      </c>
      <c r="E10593" s="2">
        <v>0</v>
      </c>
      <c r="F10593" s="2">
        <v>0</v>
      </c>
      <c r="G10593" s="2">
        <v>0</v>
      </c>
      <c r="H10593" s="1" t="s">
        <v>0</v>
      </c>
      <c r="I10593" s="2">
        <v>0</v>
      </c>
      <c r="J10593" s="1">
        <v>45918.327986111108</v>
      </c>
    </row>
    <row r="10594" spans="1:10" x14ac:dyDescent="0.2">
      <c r="A10594" s="4" t="s">
        <v>1</v>
      </c>
      <c r="B1059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94" s="3" t="str">
        <f>HYPERLINK("https://otsuka-europe-crm.veevavault.com/ui/#object/sent_email__v/VBLZ025E82GS5O1", "SE-000276117")</f>
        <v>SE-000276117</v>
      </c>
      <c r="D10594" s="1">
        <v>45922.525335648148</v>
      </c>
      <c r="E10594" s="2">
        <v>1</v>
      </c>
      <c r="F10594" s="2">
        <v>1</v>
      </c>
      <c r="G10594" s="2">
        <v>1</v>
      </c>
      <c r="H10594" s="1">
        <v>45922.525335648148</v>
      </c>
      <c r="I10594" s="2">
        <v>1</v>
      </c>
      <c r="J10594" s="1">
        <v>45918.327997685185</v>
      </c>
    </row>
    <row r="10595" spans="1:10" x14ac:dyDescent="0.2">
      <c r="A10595" s="4" t="s">
        <v>1</v>
      </c>
      <c r="B1059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95" s="3" t="str">
        <f>HYPERLINK("https://otsuka-europe-crm.veevavault.com/ui/#object/sent_email__v/VBLZ025E82GS5O2", "SE-000276118")</f>
        <v>SE-000276118</v>
      </c>
      <c r="D10595" s="1" t="s">
        <v>0</v>
      </c>
      <c r="E10595" s="2">
        <v>0</v>
      </c>
      <c r="F10595" s="2">
        <v>0</v>
      </c>
      <c r="G10595" s="2">
        <v>0</v>
      </c>
      <c r="H10595" s="1" t="s">
        <v>0</v>
      </c>
      <c r="I10595" s="2">
        <v>0</v>
      </c>
      <c r="J10595" s="1">
        <v>45918.328009259261</v>
      </c>
    </row>
    <row r="10596" spans="1:10" x14ac:dyDescent="0.2">
      <c r="A10596" s="4" t="s">
        <v>1</v>
      </c>
      <c r="B1059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96" s="3" t="str">
        <f>HYPERLINK("https://otsuka-europe-crm.veevavault.com/ui/#object/sent_email__v/VBLZ025E82GS5O3", "SE-000276119")</f>
        <v>SE-000276119</v>
      </c>
      <c r="D10596" s="1" t="s">
        <v>0</v>
      </c>
      <c r="E10596" s="2">
        <v>0</v>
      </c>
      <c r="F10596" s="2">
        <v>0</v>
      </c>
      <c r="G10596" s="2">
        <v>0</v>
      </c>
      <c r="H10596" s="1" t="s">
        <v>0</v>
      </c>
      <c r="I10596" s="2">
        <v>0</v>
      </c>
      <c r="J10596" s="1">
        <v>45918.328020833331</v>
      </c>
    </row>
    <row r="10597" spans="1:10" x14ac:dyDescent="0.2">
      <c r="A10597" s="4" t="s">
        <v>1</v>
      </c>
      <c r="B1059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97" s="3" t="str">
        <f>HYPERLINK("https://otsuka-europe-crm.veevavault.com/ui/#object/sent_email__v/VBLZ025E82GS5O4", "SE-000276120")</f>
        <v>SE-000276120</v>
      </c>
      <c r="D10597" s="1">
        <v>45918.771331018521</v>
      </c>
      <c r="E10597" s="2">
        <v>1</v>
      </c>
      <c r="F10597" s="2">
        <v>1</v>
      </c>
      <c r="G10597" s="2">
        <v>0</v>
      </c>
      <c r="H10597" s="1" t="s">
        <v>0</v>
      </c>
      <c r="I10597" s="2">
        <v>0</v>
      </c>
      <c r="J10597" s="1">
        <v>45918.328032407408</v>
      </c>
    </row>
    <row r="10598" spans="1:10" x14ac:dyDescent="0.2">
      <c r="A10598" s="4" t="s">
        <v>1</v>
      </c>
      <c r="B1059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98" s="3" t="str">
        <f>HYPERLINK("https://otsuka-europe-crm.veevavault.com/ui/#object/sent_email__v/VBLZ025E82GS5O5", "SE-000276121")</f>
        <v>SE-000276121</v>
      </c>
      <c r="D10598" s="1" t="s">
        <v>0</v>
      </c>
      <c r="E10598" s="2">
        <v>0</v>
      </c>
      <c r="F10598" s="2">
        <v>0</v>
      </c>
      <c r="G10598" s="2">
        <v>0</v>
      </c>
      <c r="H10598" s="1" t="s">
        <v>0</v>
      </c>
      <c r="I10598" s="2">
        <v>0</v>
      </c>
      <c r="J10598" s="1">
        <v>45918.328043981484</v>
      </c>
    </row>
    <row r="10599" spans="1:10" x14ac:dyDescent="0.2">
      <c r="A10599" s="4" t="s">
        <v>1</v>
      </c>
      <c r="B1059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599" s="3" t="str">
        <f>HYPERLINK("https://otsuka-europe-crm.veevavault.com/ui/#object/sent_email__v/VBLZ025E82GS5O6", "SE-000276122")</f>
        <v>SE-000276122</v>
      </c>
      <c r="D10599" s="1">
        <v>45921.937164351853</v>
      </c>
      <c r="E10599" s="2">
        <v>1</v>
      </c>
      <c r="F10599" s="2">
        <v>1</v>
      </c>
      <c r="G10599" s="2">
        <v>0</v>
      </c>
      <c r="H10599" s="1" t="s">
        <v>0</v>
      </c>
      <c r="I10599" s="2">
        <v>0</v>
      </c>
      <c r="J10599" s="1">
        <v>45918.328043981484</v>
      </c>
    </row>
    <row r="10600" spans="1:10" x14ac:dyDescent="0.2">
      <c r="A10600" s="4" t="s">
        <v>1</v>
      </c>
      <c r="B1060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00" s="3" t="str">
        <f>HYPERLINK("https://otsuka-europe-crm.veevavault.com/ui/#object/sent_email__v/VBLZ025E82GS5O7", "SE-000276123")</f>
        <v>SE-000276123</v>
      </c>
      <c r="D10600" s="1">
        <v>45918.413888888892</v>
      </c>
      <c r="E10600" s="2">
        <v>1</v>
      </c>
      <c r="F10600" s="2">
        <v>1</v>
      </c>
      <c r="G10600" s="2">
        <v>0</v>
      </c>
      <c r="H10600" s="1" t="s">
        <v>0</v>
      </c>
      <c r="I10600" s="2">
        <v>0</v>
      </c>
      <c r="J10600" s="1">
        <v>45918.328055555554</v>
      </c>
    </row>
    <row r="10601" spans="1:10" x14ac:dyDescent="0.2">
      <c r="A10601" s="4" t="s">
        <v>1</v>
      </c>
      <c r="B1060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01" s="3" t="str">
        <f>HYPERLINK("https://otsuka-europe-crm.veevavault.com/ui/#object/sent_email__v/VBLZ025E82GS5O8", "SE-000276124")</f>
        <v>SE-000276124</v>
      </c>
      <c r="D10601" s="1" t="s">
        <v>0</v>
      </c>
      <c r="E10601" s="2">
        <v>0</v>
      </c>
      <c r="F10601" s="2">
        <v>0</v>
      </c>
      <c r="G10601" s="2">
        <v>0</v>
      </c>
      <c r="H10601" s="1" t="s">
        <v>0</v>
      </c>
      <c r="I10601" s="2">
        <v>0</v>
      </c>
      <c r="J10601" s="1">
        <v>45918.328067129631</v>
      </c>
    </row>
    <row r="10602" spans="1:10" x14ac:dyDescent="0.2">
      <c r="A10602" s="4" t="s">
        <v>1</v>
      </c>
      <c r="B1060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02" s="3" t="str">
        <f>HYPERLINK("https://otsuka-europe-crm.veevavault.com/ui/#object/sent_email__v/VBLZ025E82GS5O9", "SE-000276125")</f>
        <v>SE-000276125</v>
      </c>
      <c r="D10602" s="1" t="s">
        <v>0</v>
      </c>
      <c r="E10602" s="2">
        <v>0</v>
      </c>
      <c r="F10602" s="2">
        <v>0</v>
      </c>
      <c r="G10602" s="2">
        <v>0</v>
      </c>
      <c r="H10602" s="1" t="s">
        <v>0</v>
      </c>
      <c r="I10602" s="2">
        <v>0</v>
      </c>
      <c r="J10602" s="1">
        <v>45918.3280787037</v>
      </c>
    </row>
    <row r="10603" spans="1:10" x14ac:dyDescent="0.2">
      <c r="A10603" s="4" t="s">
        <v>1</v>
      </c>
      <c r="B1060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03" s="3" t="str">
        <f>HYPERLINK("https://otsuka-europe-crm.veevavault.com/ui/#object/sent_email__v/VBLZ025E82GS5OA", "SE-000276126")</f>
        <v>SE-000276126</v>
      </c>
      <c r="D10603" s="1">
        <v>45920.809699074074</v>
      </c>
      <c r="E10603" s="2">
        <v>1</v>
      </c>
      <c r="F10603" s="2">
        <v>2</v>
      </c>
      <c r="G10603" s="2">
        <v>1</v>
      </c>
      <c r="H10603" s="1">
        <v>45919.716967592591</v>
      </c>
      <c r="I10603" s="2">
        <v>1</v>
      </c>
      <c r="J10603" s="1">
        <v>45918.328090277777</v>
      </c>
    </row>
    <row r="10604" spans="1:10" x14ac:dyDescent="0.2">
      <c r="A10604" s="4" t="s">
        <v>1</v>
      </c>
      <c r="B1060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04" s="3" t="str">
        <f>HYPERLINK("https://otsuka-europe-crm.veevavault.com/ui/#object/sent_email__v/VBLZ025E82GS5OB", "SE-000276127")</f>
        <v>SE-000276127</v>
      </c>
      <c r="D10604" s="1" t="s">
        <v>0</v>
      </c>
      <c r="E10604" s="2">
        <v>0</v>
      </c>
      <c r="F10604" s="2">
        <v>0</v>
      </c>
      <c r="G10604" s="2">
        <v>0</v>
      </c>
      <c r="H10604" s="1" t="s">
        <v>0</v>
      </c>
      <c r="I10604" s="2">
        <v>0</v>
      </c>
      <c r="J10604" s="1">
        <v>45918.328101851854</v>
      </c>
    </row>
    <row r="10605" spans="1:10" x14ac:dyDescent="0.2">
      <c r="A10605" s="4" t="s">
        <v>1</v>
      </c>
      <c r="B1060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05" s="3" t="str">
        <f>HYPERLINK("https://otsuka-europe-crm.veevavault.com/ui/#object/sent_email__v/VBLZ025E82GS5OC", "SE-000276128")</f>
        <v>SE-000276128</v>
      </c>
      <c r="D10605" s="1" t="s">
        <v>0</v>
      </c>
      <c r="E10605" s="2">
        <v>0</v>
      </c>
      <c r="F10605" s="2">
        <v>0</v>
      </c>
      <c r="G10605" s="2">
        <v>0</v>
      </c>
      <c r="H10605" s="1" t="s">
        <v>0</v>
      </c>
      <c r="I10605" s="2">
        <v>0</v>
      </c>
      <c r="J10605" s="1">
        <v>45918.328113425923</v>
      </c>
    </row>
    <row r="10606" spans="1:10" x14ac:dyDescent="0.2">
      <c r="A10606" s="4" t="s">
        <v>1</v>
      </c>
      <c r="B1060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06" s="3" t="str">
        <f>HYPERLINK("https://otsuka-europe-crm.veevavault.com/ui/#object/sent_email__v/VBLZ025E82GS5OD", "SE-000276129")</f>
        <v>SE-000276129</v>
      </c>
      <c r="D10606" s="1" t="s">
        <v>0</v>
      </c>
      <c r="E10606" s="2">
        <v>0</v>
      </c>
      <c r="F10606" s="2">
        <v>0</v>
      </c>
      <c r="G10606" s="2">
        <v>0</v>
      </c>
      <c r="H10606" s="1" t="s">
        <v>0</v>
      </c>
      <c r="I10606" s="2">
        <v>0</v>
      </c>
      <c r="J10606" s="1">
        <v>45918.328125</v>
      </c>
    </row>
    <row r="10607" spans="1:10" x14ac:dyDescent="0.2">
      <c r="A10607" s="4" t="s">
        <v>1</v>
      </c>
      <c r="B1060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07" s="3" t="str">
        <f>HYPERLINK("https://otsuka-europe-crm.veevavault.com/ui/#object/sent_email__v/VBLZ025E82GT191", "SE-000276159")</f>
        <v>SE-000276159</v>
      </c>
      <c r="D10607" s="1" t="s">
        <v>0</v>
      </c>
      <c r="E10607" s="2">
        <v>0</v>
      </c>
      <c r="F10607" s="2">
        <v>0</v>
      </c>
      <c r="G10607" s="2">
        <v>0</v>
      </c>
      <c r="H10607" s="1" t="s">
        <v>0</v>
      </c>
      <c r="I10607" s="2">
        <v>0</v>
      </c>
      <c r="J10607" s="1">
        <v>45918.522523148145</v>
      </c>
    </row>
    <row r="10608" spans="1:10" x14ac:dyDescent="0.2">
      <c r="A10608" s="4" t="s">
        <v>1</v>
      </c>
      <c r="B1060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08" s="3" t="str">
        <f>HYPERLINK("https://otsuka-europe-crm.veevavault.com/ui/#object/sent_email__v/VBLZ025E82GT192", "SE-000276160")</f>
        <v>SE-000276160</v>
      </c>
      <c r="D10608" s="1">
        <v>45918.564942129633</v>
      </c>
      <c r="E10608" s="2">
        <v>1</v>
      </c>
      <c r="F10608" s="2">
        <v>1</v>
      </c>
      <c r="G10608" s="2">
        <v>0</v>
      </c>
      <c r="H10608" s="1" t="s">
        <v>0</v>
      </c>
      <c r="I10608" s="2">
        <v>0</v>
      </c>
      <c r="J10608" s="1">
        <v>45918.522523148145</v>
      </c>
    </row>
    <row r="10609" spans="1:10" x14ac:dyDescent="0.2">
      <c r="A10609" s="4" t="s">
        <v>1</v>
      </c>
      <c r="B1060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09" s="3" t="str">
        <f>HYPERLINK("https://otsuka-europe-crm.veevavault.com/ui/#object/sent_email__v/VBLZ025E82GT193", "SE-000276161")</f>
        <v>SE-000276161</v>
      </c>
      <c r="D10609" s="1">
        <v>45918.653124999997</v>
      </c>
      <c r="E10609" s="2">
        <v>1</v>
      </c>
      <c r="F10609" s="2">
        <v>1</v>
      </c>
      <c r="G10609" s="2">
        <v>0</v>
      </c>
      <c r="H10609" s="1" t="s">
        <v>0</v>
      </c>
      <c r="I10609" s="2">
        <v>0</v>
      </c>
      <c r="J10609" s="1">
        <v>45918.522523148145</v>
      </c>
    </row>
    <row r="10610" spans="1:10" x14ac:dyDescent="0.2">
      <c r="A10610" s="4" t="s">
        <v>1</v>
      </c>
      <c r="B1061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10" s="3" t="str">
        <f>HYPERLINK("https://otsuka-europe-crm.veevavault.com/ui/#object/sent_email__v/VBLZ025E82GU5OL", "SE-000276770")</f>
        <v>SE-000276770</v>
      </c>
      <c r="D10610" s="1">
        <v>45919.828541666669</v>
      </c>
      <c r="E10610" s="2">
        <v>1</v>
      </c>
      <c r="F10610" s="2">
        <v>1</v>
      </c>
      <c r="G10610" s="2">
        <v>0</v>
      </c>
      <c r="H10610" s="1" t="s">
        <v>0</v>
      </c>
      <c r="I10610" s="2">
        <v>0</v>
      </c>
      <c r="J10610" s="1">
        <v>45919.425451388888</v>
      </c>
    </row>
    <row r="10611" spans="1:10" x14ac:dyDescent="0.2">
      <c r="A10611" s="4" t="s">
        <v>1</v>
      </c>
      <c r="B1061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11" s="3" t="str">
        <f>HYPERLINK("https://otsuka-europe-crm.veevavault.com/ui/#object/sent_email__v/VBLZ025E82GU5OM", "SE-000276771")</f>
        <v>SE-000276771</v>
      </c>
      <c r="D10611" s="1">
        <v>45922.292534722219</v>
      </c>
      <c r="E10611" s="2">
        <v>1</v>
      </c>
      <c r="F10611" s="2">
        <v>2</v>
      </c>
      <c r="G10611" s="2">
        <v>0</v>
      </c>
      <c r="H10611" s="1" t="s">
        <v>0</v>
      </c>
      <c r="I10611" s="2">
        <v>0</v>
      </c>
      <c r="J10611" s="1">
        <v>45919.425347222219</v>
      </c>
    </row>
    <row r="10612" spans="1:10" x14ac:dyDescent="0.2">
      <c r="A10612" s="4" t="s">
        <v>1</v>
      </c>
      <c r="B1061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12" s="3" t="str">
        <f>HYPERLINK("https://otsuka-europe-crm.veevavault.com/ui/#object/sent_email__v/VBLZ025E82GU5ON", "SE-000276772")</f>
        <v>SE-000276772</v>
      </c>
      <c r="D10612" s="1" t="s">
        <v>0</v>
      </c>
      <c r="E10612" s="2">
        <v>0</v>
      </c>
      <c r="F10612" s="2">
        <v>0</v>
      </c>
      <c r="G10612" s="2">
        <v>0</v>
      </c>
      <c r="H10612" s="1" t="s">
        <v>0</v>
      </c>
      <c r="I10612" s="2">
        <v>0</v>
      </c>
      <c r="J10612" s="1">
        <v>45919.425462962965</v>
      </c>
    </row>
    <row r="10613" spans="1:10" x14ac:dyDescent="0.2">
      <c r="A10613" s="4" t="s">
        <v>1</v>
      </c>
      <c r="B1061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13" s="3" t="str">
        <f>HYPERLINK("https://otsuka-europe-crm.veevavault.com/ui/#object/sent_email__v/VBLZ025E82GU5OO", "SE-000276773")</f>
        <v>SE-000276773</v>
      </c>
      <c r="D10613" s="1">
        <v>45919.48741898148</v>
      </c>
      <c r="E10613" s="2">
        <v>1</v>
      </c>
      <c r="F10613" s="2">
        <v>1</v>
      </c>
      <c r="G10613" s="2">
        <v>0</v>
      </c>
      <c r="H10613" s="1" t="s">
        <v>0</v>
      </c>
      <c r="I10613" s="2">
        <v>0</v>
      </c>
      <c r="J10613" s="1">
        <v>45919.425347222219</v>
      </c>
    </row>
    <row r="10614" spans="1:10" x14ac:dyDescent="0.2">
      <c r="A10614" s="4" t="s">
        <v>1</v>
      </c>
      <c r="B1061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14" s="3" t="str">
        <f>HYPERLINK("https://otsuka-europe-crm.veevavault.com/ui/#object/sent_email__v/VBLZ025E82GU5OP", "SE-000276774")</f>
        <v>SE-000276774</v>
      </c>
      <c r="D10614" s="1" t="s">
        <v>0</v>
      </c>
      <c r="E10614" s="2">
        <v>0</v>
      </c>
      <c r="F10614" s="2">
        <v>0</v>
      </c>
      <c r="G10614" s="2">
        <v>0</v>
      </c>
      <c r="H10614" s="1" t="s">
        <v>0</v>
      </c>
      <c r="I10614" s="2">
        <v>0</v>
      </c>
      <c r="J10614" s="1">
        <v>45919.425497685188</v>
      </c>
    </row>
    <row r="10615" spans="1:10" x14ac:dyDescent="0.2">
      <c r="A10615" s="4" t="s">
        <v>1</v>
      </c>
      <c r="B1061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15" s="3" t="str">
        <f>HYPERLINK("https://otsuka-europe-crm.veevavault.com/ui/#object/sent_email__v/VBLZ025E82GU5OQ", "SE-000276775")</f>
        <v>SE-000276775</v>
      </c>
      <c r="D10615" s="1" t="s">
        <v>0</v>
      </c>
      <c r="E10615" s="2">
        <v>0</v>
      </c>
      <c r="F10615" s="2">
        <v>0</v>
      </c>
      <c r="G10615" s="2">
        <v>0</v>
      </c>
      <c r="H10615" s="1" t="s">
        <v>0</v>
      </c>
      <c r="I10615" s="2">
        <v>0</v>
      </c>
      <c r="J10615" s="1">
        <v>45919.425335648149</v>
      </c>
    </row>
    <row r="10616" spans="1:10" x14ac:dyDescent="0.2">
      <c r="A10616" s="4" t="s">
        <v>1</v>
      </c>
      <c r="B1061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16" s="3" t="str">
        <f>HYPERLINK("https://otsuka-europe-crm.veevavault.com/ui/#object/sent_email__v/VBLZ025E82GU5OR", "SE-000276776")</f>
        <v>SE-000276776</v>
      </c>
      <c r="D10616" s="1">
        <v>45919.445034722223</v>
      </c>
      <c r="E10616" s="2">
        <v>1</v>
      </c>
      <c r="F10616" s="2">
        <v>1</v>
      </c>
      <c r="G10616" s="2">
        <v>0</v>
      </c>
      <c r="H10616" s="1" t="s">
        <v>0</v>
      </c>
      <c r="I10616" s="2">
        <v>0</v>
      </c>
      <c r="J10616" s="1">
        <v>45919.425486111111</v>
      </c>
    </row>
    <row r="10617" spans="1:10" x14ac:dyDescent="0.2">
      <c r="A10617" s="4" t="s">
        <v>1</v>
      </c>
      <c r="B1061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17" s="3" t="str">
        <f>HYPERLINK("https://otsuka-europe-crm.veevavault.com/ui/#object/sent_email__v/VBLZ025E82GU5OS", "SE-000276777")</f>
        <v>SE-000276777</v>
      </c>
      <c r="D10617" s="1" t="s">
        <v>0</v>
      </c>
      <c r="E10617" s="2">
        <v>0</v>
      </c>
      <c r="F10617" s="2">
        <v>0</v>
      </c>
      <c r="G10617" s="2">
        <v>0</v>
      </c>
      <c r="H10617" s="1" t="s">
        <v>0</v>
      </c>
      <c r="I10617" s="2">
        <v>0</v>
      </c>
      <c r="J10617" s="1">
        <v>45919.425347222219</v>
      </c>
    </row>
    <row r="10618" spans="1:10" x14ac:dyDescent="0.2">
      <c r="A10618" s="4" t="s">
        <v>1</v>
      </c>
      <c r="B1061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18" s="3" t="str">
        <f>HYPERLINK("https://otsuka-europe-crm.veevavault.com/ui/#object/sent_email__v/VBLZ025E82GU5OT", "SE-000276778")</f>
        <v>SE-000276778</v>
      </c>
      <c r="D10618" s="1">
        <v>45952.770451388889</v>
      </c>
      <c r="E10618" s="2">
        <v>1</v>
      </c>
      <c r="F10618" s="2">
        <v>1</v>
      </c>
      <c r="G10618" s="2">
        <v>0</v>
      </c>
      <c r="H10618" s="1" t="s">
        <v>0</v>
      </c>
      <c r="I10618" s="2">
        <v>0</v>
      </c>
      <c r="J10618" s="1">
        <v>45919.425486111111</v>
      </c>
    </row>
    <row r="10619" spans="1:10" x14ac:dyDescent="0.2">
      <c r="A10619" s="4" t="s">
        <v>1</v>
      </c>
      <c r="B1061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19" s="3" t="str">
        <f>HYPERLINK("https://otsuka-europe-crm.veevavault.com/ui/#object/sent_email__v/VBLZ025E82GU5OU", "SE-000276779")</f>
        <v>SE-000276779</v>
      </c>
      <c r="D10619" s="1" t="s">
        <v>0</v>
      </c>
      <c r="E10619" s="2">
        <v>0</v>
      </c>
      <c r="F10619" s="2">
        <v>0</v>
      </c>
      <c r="G10619" s="2">
        <v>0</v>
      </c>
      <c r="H10619" s="1" t="s">
        <v>0</v>
      </c>
      <c r="I10619" s="2">
        <v>0</v>
      </c>
      <c r="J10619" s="1">
        <v>45919.425324074073</v>
      </c>
    </row>
    <row r="10620" spans="1:10" x14ac:dyDescent="0.2">
      <c r="A10620" s="4" t="s">
        <v>1</v>
      </c>
      <c r="B1062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20" s="3" t="str">
        <f>HYPERLINK("https://otsuka-europe-crm.veevavault.com/ui/#object/sent_email__v/VBLZ025E82GU5OV", "SE-000276780")</f>
        <v>SE-000276780</v>
      </c>
      <c r="D10620" s="1" t="s">
        <v>0</v>
      </c>
      <c r="E10620" s="2">
        <v>0</v>
      </c>
      <c r="F10620" s="2">
        <v>0</v>
      </c>
      <c r="G10620" s="2">
        <v>0</v>
      </c>
      <c r="H10620" s="1" t="s">
        <v>0</v>
      </c>
      <c r="I10620" s="2">
        <v>0</v>
      </c>
      <c r="J10620" s="1">
        <v>45919.425428240742</v>
      </c>
    </row>
    <row r="10621" spans="1:10" x14ac:dyDescent="0.2">
      <c r="A10621" s="4" t="s">
        <v>1</v>
      </c>
      <c r="B1062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21" s="3" t="str">
        <f>HYPERLINK("https://otsuka-europe-crm.veevavault.com/ui/#object/sent_email__v/VBLZ025E82GU5OW", "SE-000276781")</f>
        <v>SE-000276781</v>
      </c>
      <c r="D10621" s="1">
        <v>45931.98537037037</v>
      </c>
      <c r="E10621" s="2">
        <v>1</v>
      </c>
      <c r="F10621" s="2">
        <v>1</v>
      </c>
      <c r="G10621" s="2">
        <v>0</v>
      </c>
      <c r="H10621" s="1" t="s">
        <v>0</v>
      </c>
      <c r="I10621" s="2">
        <v>0</v>
      </c>
      <c r="J10621" s="1">
        <v>45919.425347222219</v>
      </c>
    </row>
    <row r="10622" spans="1:10" x14ac:dyDescent="0.2">
      <c r="A10622" s="4" t="s">
        <v>1</v>
      </c>
      <c r="B1062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22" s="3" t="str">
        <f>HYPERLINK("https://otsuka-europe-crm.veevavault.com/ui/#object/sent_email__v/VBLZ025E82GU5OX", "SE-000276782")</f>
        <v>SE-000276782</v>
      </c>
      <c r="D10622" s="1">
        <v>45919.434664351851</v>
      </c>
      <c r="E10622" s="2">
        <v>1</v>
      </c>
      <c r="F10622" s="2">
        <v>1</v>
      </c>
      <c r="G10622" s="2">
        <v>0</v>
      </c>
      <c r="H10622" s="1" t="s">
        <v>0</v>
      </c>
      <c r="I10622" s="2">
        <v>0</v>
      </c>
      <c r="J10622" s="1">
        <v>45919.425462962965</v>
      </c>
    </row>
    <row r="10623" spans="1:10" x14ac:dyDescent="0.2">
      <c r="A10623" s="4" t="s">
        <v>1</v>
      </c>
      <c r="B1062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23" s="3" t="str">
        <f>HYPERLINK("https://otsuka-europe-crm.veevavault.com/ui/#object/sent_email__v/VBLZ025E82GU5OY", "SE-000276783")</f>
        <v>SE-000276783</v>
      </c>
      <c r="D10623" s="1" t="s">
        <v>0</v>
      </c>
      <c r="E10623" s="2">
        <v>0</v>
      </c>
      <c r="F10623" s="2">
        <v>0</v>
      </c>
      <c r="G10623" s="2">
        <v>0</v>
      </c>
      <c r="H10623" s="1" t="s">
        <v>0</v>
      </c>
      <c r="I10623" s="2">
        <v>0</v>
      </c>
      <c r="J10623" s="1">
        <v>45919.425381944442</v>
      </c>
    </row>
    <row r="10624" spans="1:10" x14ac:dyDescent="0.2">
      <c r="A10624" s="4" t="s">
        <v>1</v>
      </c>
      <c r="B1062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24" s="3" t="str">
        <f>HYPERLINK("https://otsuka-europe-crm.veevavault.com/ui/#object/sent_email__v/VBLZ025E82GU5OZ", "SE-000276784")</f>
        <v>SE-000276784</v>
      </c>
      <c r="D10624" s="1" t="s">
        <v>0</v>
      </c>
      <c r="E10624" s="2">
        <v>0</v>
      </c>
      <c r="F10624" s="2">
        <v>0</v>
      </c>
      <c r="G10624" s="2">
        <v>0</v>
      </c>
      <c r="H10624" s="1" t="s">
        <v>0</v>
      </c>
      <c r="I10624" s="2">
        <v>0</v>
      </c>
      <c r="J10624" s="1">
        <v>45919.425520833334</v>
      </c>
    </row>
    <row r="10625" spans="1:10" x14ac:dyDescent="0.2">
      <c r="A10625" s="4" t="s">
        <v>1</v>
      </c>
      <c r="B1062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25" s="3" t="str">
        <f>HYPERLINK("https://otsuka-europe-crm.veevavault.com/ui/#object/sent_email__v/VBLZ025E82GU5P0", "SE-000276785")</f>
        <v>SE-000276785</v>
      </c>
      <c r="D10625" s="1">
        <v>45919.539710648147</v>
      </c>
      <c r="E10625" s="2">
        <v>1</v>
      </c>
      <c r="F10625" s="2">
        <v>1</v>
      </c>
      <c r="G10625" s="2">
        <v>0</v>
      </c>
      <c r="H10625" s="1" t="s">
        <v>0</v>
      </c>
      <c r="I10625" s="2">
        <v>0</v>
      </c>
      <c r="J10625" s="1">
        <v>45919.425370370373</v>
      </c>
    </row>
    <row r="10626" spans="1:10" x14ac:dyDescent="0.2">
      <c r="A10626" s="4" t="s">
        <v>1</v>
      </c>
      <c r="B1062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26" s="3" t="str">
        <f>HYPERLINK("https://otsuka-europe-crm.veevavault.com/ui/#object/sent_email__v/VBLZ025E82GU5P1", "SE-000276786")</f>
        <v>SE-000276786</v>
      </c>
      <c r="D10626" s="1">
        <v>45919.451493055552</v>
      </c>
      <c r="E10626" s="2">
        <v>1</v>
      </c>
      <c r="F10626" s="2">
        <v>1</v>
      </c>
      <c r="G10626" s="2">
        <v>0</v>
      </c>
      <c r="H10626" s="1" t="s">
        <v>0</v>
      </c>
      <c r="I10626" s="2">
        <v>0</v>
      </c>
      <c r="J10626" s="1">
        <v>45919.425509259258</v>
      </c>
    </row>
    <row r="10627" spans="1:10" x14ac:dyDescent="0.2">
      <c r="A10627" s="4" t="s">
        <v>1</v>
      </c>
      <c r="B1062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27" s="3" t="str">
        <f>HYPERLINK("https://otsuka-europe-crm.veevavault.com/ui/#object/sent_email__v/VBLZ025E82GU5P2", "SE-000276787")</f>
        <v>SE-000276787</v>
      </c>
      <c r="D10627" s="1" t="s">
        <v>0</v>
      </c>
      <c r="E10627" s="2">
        <v>0</v>
      </c>
      <c r="F10627" s="2">
        <v>0</v>
      </c>
      <c r="G10627" s="2">
        <v>0</v>
      </c>
      <c r="H10627" s="1" t="s">
        <v>0</v>
      </c>
      <c r="I10627" s="2">
        <v>0</v>
      </c>
      <c r="J10627" s="1">
        <v>45919.425393518519</v>
      </c>
    </row>
    <row r="10628" spans="1:10" x14ac:dyDescent="0.2">
      <c r="A10628" s="4" t="s">
        <v>1</v>
      </c>
      <c r="B1062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28" s="3" t="str">
        <f>HYPERLINK("https://otsuka-europe-crm.veevavault.com/ui/#object/sent_email__v/VBLZ025E82GU5P3", "SE-000276788")</f>
        <v>SE-000276788</v>
      </c>
      <c r="D10628" s="1" t="s">
        <v>0</v>
      </c>
      <c r="E10628" s="2">
        <v>0</v>
      </c>
      <c r="F10628" s="2">
        <v>0</v>
      </c>
      <c r="G10628" s="2">
        <v>0</v>
      </c>
      <c r="H10628" s="1" t="s">
        <v>0</v>
      </c>
      <c r="I10628" s="2">
        <v>0</v>
      </c>
      <c r="J10628" s="1">
        <v>45919.425532407404</v>
      </c>
    </row>
    <row r="10629" spans="1:10" x14ac:dyDescent="0.2">
      <c r="A10629" s="4" t="s">
        <v>1</v>
      </c>
      <c r="B1062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29" s="3" t="str">
        <f>HYPERLINK("https://otsuka-europe-crm.veevavault.com/ui/#object/sent_email__v/VBLZ025E82GU5P4", "SE-000276789")</f>
        <v>SE-000276789</v>
      </c>
      <c r="D10629" s="1" t="s">
        <v>0</v>
      </c>
      <c r="E10629" s="2">
        <v>0</v>
      </c>
      <c r="F10629" s="2">
        <v>0</v>
      </c>
      <c r="G10629" s="2">
        <v>0</v>
      </c>
      <c r="H10629" s="1" t="s">
        <v>0</v>
      </c>
      <c r="I10629" s="2">
        <v>0</v>
      </c>
      <c r="J10629" s="1">
        <v>45919.425405092596</v>
      </c>
    </row>
    <row r="10630" spans="1:10" x14ac:dyDescent="0.2">
      <c r="A10630" s="4" t="s">
        <v>1</v>
      </c>
      <c r="B1063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30" s="3" t="str">
        <f>HYPERLINK("https://otsuka-europe-crm.veevavault.com/ui/#object/sent_email__v/VBLZ025E82GU5P5", "SE-000276790")</f>
        <v>SE-000276790</v>
      </c>
      <c r="D10630" s="1" t="s">
        <v>0</v>
      </c>
      <c r="E10630" s="2">
        <v>0</v>
      </c>
      <c r="F10630" s="2">
        <v>0</v>
      </c>
      <c r="G10630" s="2">
        <v>0</v>
      </c>
      <c r="H10630" s="1" t="s">
        <v>0</v>
      </c>
      <c r="I10630" s="2">
        <v>0</v>
      </c>
      <c r="J10630" s="1">
        <v>45919.425532407404</v>
      </c>
    </row>
    <row r="10631" spans="1:10" x14ac:dyDescent="0.2">
      <c r="A10631" s="4" t="s">
        <v>1</v>
      </c>
      <c r="B1063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31" s="3" t="str">
        <f>HYPERLINK("https://otsuka-europe-crm.veevavault.com/ui/#object/sent_email__v/VBLZ025E82GU5P6", "SE-000276791")</f>
        <v>SE-000276791</v>
      </c>
      <c r="D10631" s="1">
        <v>45919.441076388888</v>
      </c>
      <c r="E10631" s="2">
        <v>1</v>
      </c>
      <c r="F10631" s="2">
        <v>2</v>
      </c>
      <c r="G10631" s="2">
        <v>0</v>
      </c>
      <c r="H10631" s="1" t="s">
        <v>0</v>
      </c>
      <c r="I10631" s="2">
        <v>0</v>
      </c>
      <c r="J10631" s="1">
        <v>45919.425416666665</v>
      </c>
    </row>
    <row r="10632" spans="1:10" x14ac:dyDescent="0.2">
      <c r="A10632" s="4" t="s">
        <v>1</v>
      </c>
      <c r="B1063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32" s="3" t="str">
        <f>HYPERLINK("https://otsuka-europe-crm.veevavault.com/ui/#object/sent_email__v/VBLZ025E82GU5P7", "SE-000276792")</f>
        <v>SE-000276792</v>
      </c>
      <c r="D10632" s="1" t="s">
        <v>0</v>
      </c>
      <c r="E10632" s="2">
        <v>0</v>
      </c>
      <c r="F10632" s="2">
        <v>0</v>
      </c>
      <c r="G10632" s="2">
        <v>0</v>
      </c>
      <c r="H10632" s="1" t="s">
        <v>0</v>
      </c>
      <c r="I10632" s="2">
        <v>0</v>
      </c>
      <c r="J10632" s="1">
        <v>45919.425543981481</v>
      </c>
    </row>
    <row r="10633" spans="1:10" x14ac:dyDescent="0.2">
      <c r="A10633" s="4" t="s">
        <v>1</v>
      </c>
      <c r="B1063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33" s="3" t="str">
        <f>HYPERLINK("https://otsuka-europe-crm.veevavault.com/ui/#object/sent_email__v/VBLZ025E82GU5P8", "SE-000276793")</f>
        <v>SE-000276793</v>
      </c>
      <c r="D10633" s="1">
        <v>45921.384027777778</v>
      </c>
      <c r="E10633" s="2">
        <v>1</v>
      </c>
      <c r="F10633" s="2">
        <v>3</v>
      </c>
      <c r="G10633" s="2">
        <v>0</v>
      </c>
      <c r="H10633" s="1" t="s">
        <v>0</v>
      </c>
      <c r="I10633" s="2">
        <v>0</v>
      </c>
      <c r="J10633" s="1">
        <v>45919.425428240742</v>
      </c>
    </row>
    <row r="10634" spans="1:10" x14ac:dyDescent="0.2">
      <c r="A10634" s="4" t="s">
        <v>1</v>
      </c>
      <c r="B1063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34" s="3" t="str">
        <f>HYPERLINK("https://otsuka-europe-crm.veevavault.com/ui/#object/sent_email__v/VBLZ025E82GU5P9", "SE-000276794")</f>
        <v>SE-000276794</v>
      </c>
      <c r="D10634" s="1" t="s">
        <v>0</v>
      </c>
      <c r="E10634" s="2">
        <v>0</v>
      </c>
      <c r="F10634" s="2">
        <v>0</v>
      </c>
      <c r="G10634" s="2">
        <v>0</v>
      </c>
      <c r="H10634" s="1" t="s">
        <v>0</v>
      </c>
      <c r="I10634" s="2">
        <v>0</v>
      </c>
      <c r="J10634" s="1">
        <v>45919.425324074073</v>
      </c>
    </row>
    <row r="10635" spans="1:10" x14ac:dyDescent="0.2">
      <c r="A10635" s="4" t="s">
        <v>1</v>
      </c>
      <c r="B1063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35" s="3" t="str">
        <f>HYPERLINK("https://otsuka-europe-crm.veevavault.com/ui/#object/sent_email__v/VBLZ025E82GU5PA", "SE-000276795")</f>
        <v>SE-000276795</v>
      </c>
      <c r="D10635" s="1">
        <v>45919.485682870371</v>
      </c>
      <c r="E10635" s="2">
        <v>1</v>
      </c>
      <c r="F10635" s="2">
        <v>1</v>
      </c>
      <c r="G10635" s="2">
        <v>0</v>
      </c>
      <c r="H10635" s="1" t="s">
        <v>0</v>
      </c>
      <c r="I10635" s="2">
        <v>0</v>
      </c>
      <c r="J10635" s="1">
        <v>45919.425358796296</v>
      </c>
    </row>
    <row r="10636" spans="1:10" x14ac:dyDescent="0.2">
      <c r="A10636" s="4" t="s">
        <v>1</v>
      </c>
      <c r="B1063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36" s="3" t="str">
        <f>HYPERLINK("https://otsuka-europe-crm.veevavault.com/ui/#object/sent_email__v/VBLZ025E82GU5PB", "SE-000276796")</f>
        <v>SE-000276796</v>
      </c>
      <c r="D10636" s="1" t="s">
        <v>0</v>
      </c>
      <c r="E10636" s="2">
        <v>0</v>
      </c>
      <c r="F10636" s="2">
        <v>0</v>
      </c>
      <c r="G10636" s="2">
        <v>0</v>
      </c>
      <c r="H10636" s="1" t="s">
        <v>0</v>
      </c>
      <c r="I10636" s="2">
        <v>0</v>
      </c>
      <c r="J10636" s="1">
        <v>45919.425439814811</v>
      </c>
    </row>
    <row r="10637" spans="1:10" x14ac:dyDescent="0.2">
      <c r="A10637" s="4" t="s">
        <v>1</v>
      </c>
      <c r="B1063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37" s="3" t="str">
        <f>HYPERLINK("https://otsuka-europe-crm.veevavault.com/ui/#object/sent_email__v/VBLZ025E82GU5PC", "SE-000276797")</f>
        <v>SE-000276797</v>
      </c>
      <c r="D10637" s="1">
        <v>45921.900254629632</v>
      </c>
      <c r="E10637" s="2">
        <v>1</v>
      </c>
      <c r="F10637" s="2">
        <v>1</v>
      </c>
      <c r="G10637" s="2">
        <v>0</v>
      </c>
      <c r="H10637" s="1" t="s">
        <v>0</v>
      </c>
      <c r="I10637" s="2">
        <v>0</v>
      </c>
      <c r="J10637" s="1">
        <v>45919.425358796296</v>
      </c>
    </row>
    <row r="10638" spans="1:10" x14ac:dyDescent="0.2">
      <c r="A10638" s="4" t="s">
        <v>1</v>
      </c>
      <c r="B1063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38" s="3" t="str">
        <f>HYPERLINK("https://otsuka-europe-crm.veevavault.com/ui/#object/sent_email__v/VBLZ025E82GU5PD", "SE-000276798")</f>
        <v>SE-000276798</v>
      </c>
      <c r="D10638" s="1">
        <v>45920.970347222225</v>
      </c>
      <c r="E10638" s="2">
        <v>1</v>
      </c>
      <c r="F10638" s="2">
        <v>3</v>
      </c>
      <c r="G10638" s="2">
        <v>0</v>
      </c>
      <c r="H10638" s="1" t="s">
        <v>0</v>
      </c>
      <c r="I10638" s="2">
        <v>0</v>
      </c>
      <c r="J10638" s="1">
        <v>45919.425497685188</v>
      </c>
    </row>
    <row r="10639" spans="1:10" x14ac:dyDescent="0.2">
      <c r="A10639" s="4" t="s">
        <v>1</v>
      </c>
      <c r="B1063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39" s="3" t="str">
        <f>HYPERLINK("https://otsuka-europe-crm.veevavault.com/ui/#object/sent_email__v/VBLZ025E82GU1ZA", "SE-000276799")</f>
        <v>SE-000276799</v>
      </c>
      <c r="D10639" s="1" t="s">
        <v>0</v>
      </c>
      <c r="E10639" s="2">
        <v>0</v>
      </c>
      <c r="F10639" s="2">
        <v>0</v>
      </c>
      <c r="G10639" s="2">
        <v>0</v>
      </c>
      <c r="H10639" s="1" t="s">
        <v>0</v>
      </c>
      <c r="I10639" s="2">
        <v>0</v>
      </c>
      <c r="J10639" s="1">
        <v>45919.426689814813</v>
      </c>
    </row>
    <row r="10640" spans="1:10" x14ac:dyDescent="0.2">
      <c r="A10640" s="4" t="s">
        <v>1</v>
      </c>
      <c r="B1064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40" s="3" t="str">
        <f>HYPERLINK("https://otsuka-europe-crm.veevavault.com/ui/#object/sent_email__v/VBLZ025E82GU1ZB", "SE-000276800")</f>
        <v>SE-000276800</v>
      </c>
      <c r="D10640" s="1" t="s">
        <v>0</v>
      </c>
      <c r="E10640" s="2">
        <v>0</v>
      </c>
      <c r="F10640" s="2">
        <v>0</v>
      </c>
      <c r="G10640" s="2">
        <v>0</v>
      </c>
      <c r="H10640" s="1" t="s">
        <v>0</v>
      </c>
      <c r="I10640" s="2">
        <v>0</v>
      </c>
      <c r="J10640" s="1">
        <v>45919.426562499997</v>
      </c>
    </row>
    <row r="10641" spans="1:10" x14ac:dyDescent="0.2">
      <c r="A10641" s="4" t="s">
        <v>1</v>
      </c>
      <c r="B1064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41" s="3" t="str">
        <f>HYPERLINK("https://otsuka-europe-crm.veevavault.com/ui/#object/sent_email__v/VBLZ025E82GU1ZC", "SE-000276801")</f>
        <v>SE-000276801</v>
      </c>
      <c r="D10641" s="1" t="s">
        <v>0</v>
      </c>
      <c r="E10641" s="2">
        <v>0</v>
      </c>
      <c r="F10641" s="2">
        <v>0</v>
      </c>
      <c r="G10641" s="2">
        <v>0</v>
      </c>
      <c r="H10641" s="1" t="s">
        <v>0</v>
      </c>
      <c r="I10641" s="2">
        <v>0</v>
      </c>
      <c r="J10641" s="1">
        <v>45919.426724537036</v>
      </c>
    </row>
    <row r="10642" spans="1:10" x14ac:dyDescent="0.2">
      <c r="A10642" s="4" t="s">
        <v>1</v>
      </c>
      <c r="B1064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42" s="3" t="str">
        <f>HYPERLINK("https://otsuka-europe-crm.veevavault.com/ui/#object/sent_email__v/VBLZ025E82GU1ZD", "SE-000276802")</f>
        <v>SE-000276802</v>
      </c>
      <c r="D10642" s="1">
        <v>45920.471909722219</v>
      </c>
      <c r="E10642" s="2">
        <v>1</v>
      </c>
      <c r="F10642" s="2">
        <v>1</v>
      </c>
      <c r="G10642" s="2">
        <v>0</v>
      </c>
      <c r="H10642" s="1" t="s">
        <v>0</v>
      </c>
      <c r="I10642" s="2">
        <v>0</v>
      </c>
      <c r="J10642" s="1">
        <v>45919.426655092589</v>
      </c>
    </row>
    <row r="10643" spans="1:10" x14ac:dyDescent="0.2">
      <c r="A10643" s="4" t="s">
        <v>1</v>
      </c>
      <c r="B1064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43" s="3" t="str">
        <f>HYPERLINK("https://otsuka-europe-crm.veevavault.com/ui/#object/sent_email__v/VBLZ025E82GU1ZE", "SE-000276803")</f>
        <v>SE-000276803</v>
      </c>
      <c r="D10643" s="1" t="s">
        <v>0</v>
      </c>
      <c r="E10643" s="2">
        <v>0</v>
      </c>
      <c r="F10643" s="2">
        <v>0</v>
      </c>
      <c r="G10643" s="2">
        <v>0</v>
      </c>
      <c r="H10643" s="1" t="s">
        <v>0</v>
      </c>
      <c r="I10643" s="2">
        <v>0</v>
      </c>
      <c r="J10643" s="1">
        <v>45919.426805555559</v>
      </c>
    </row>
    <row r="10644" spans="1:10" x14ac:dyDescent="0.2">
      <c r="A10644" s="4" t="s">
        <v>1</v>
      </c>
      <c r="B1064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44" s="3" t="str">
        <f>HYPERLINK("https://otsuka-europe-crm.veevavault.com/ui/#object/sent_email__v/VBLZ025E82GU1ZF", "SE-000276804")</f>
        <v>SE-000276804</v>
      </c>
      <c r="D10644" s="1" t="s">
        <v>0</v>
      </c>
      <c r="E10644" s="2">
        <v>0</v>
      </c>
      <c r="F10644" s="2">
        <v>0</v>
      </c>
      <c r="G10644" s="2">
        <v>0</v>
      </c>
      <c r="H10644" s="1" t="s">
        <v>0</v>
      </c>
      <c r="I10644" s="2">
        <v>0</v>
      </c>
      <c r="J10644" s="1">
        <v>45919.42664351852</v>
      </c>
    </row>
    <row r="10645" spans="1:10" x14ac:dyDescent="0.2">
      <c r="A10645" s="4" t="s">
        <v>1</v>
      </c>
      <c r="B1064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45" s="3" t="str">
        <f>HYPERLINK("https://otsuka-europe-crm.veevavault.com/ui/#object/sent_email__v/VBLZ025E82GU1ZG", "SE-000276805")</f>
        <v>SE-000276805</v>
      </c>
      <c r="D10645" s="1" t="s">
        <v>0</v>
      </c>
      <c r="E10645" s="2">
        <v>0</v>
      </c>
      <c r="F10645" s="2">
        <v>0</v>
      </c>
      <c r="G10645" s="2">
        <v>0</v>
      </c>
      <c r="H10645" s="1" t="s">
        <v>0</v>
      </c>
      <c r="I10645" s="2">
        <v>0</v>
      </c>
      <c r="J10645" s="1">
        <v>45919.426793981482</v>
      </c>
    </row>
    <row r="10646" spans="1:10" x14ac:dyDescent="0.2">
      <c r="A10646" s="4" t="s">
        <v>1</v>
      </c>
      <c r="B1064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46" s="3" t="str">
        <f>HYPERLINK("https://otsuka-europe-crm.veevavault.com/ui/#object/sent_email__v/VBLZ025E82GU1ZH", "SE-000276806")</f>
        <v>SE-000276806</v>
      </c>
      <c r="D10646" s="1" t="s">
        <v>0</v>
      </c>
      <c r="E10646" s="2">
        <v>0</v>
      </c>
      <c r="F10646" s="2">
        <v>0</v>
      </c>
      <c r="G10646" s="2">
        <v>0</v>
      </c>
      <c r="H10646" s="1" t="s">
        <v>0</v>
      </c>
      <c r="I10646" s="2">
        <v>0</v>
      </c>
      <c r="J10646" s="1">
        <v>45919.426666666666</v>
      </c>
    </row>
    <row r="10647" spans="1:10" x14ac:dyDescent="0.2">
      <c r="A10647" s="4" t="s">
        <v>1</v>
      </c>
      <c r="B1064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47" s="3" t="str">
        <f>HYPERLINK("https://otsuka-europe-crm.veevavault.com/ui/#object/sent_email__v/VBLZ025E82GU1ZI", "SE-000276807")</f>
        <v>SE-000276807</v>
      </c>
      <c r="D10647" s="1" t="s">
        <v>0</v>
      </c>
      <c r="E10647" s="2">
        <v>0</v>
      </c>
      <c r="F10647" s="2">
        <v>0</v>
      </c>
      <c r="G10647" s="2">
        <v>0</v>
      </c>
      <c r="H10647" s="1" t="s">
        <v>0</v>
      </c>
      <c r="I10647" s="2">
        <v>0</v>
      </c>
      <c r="J10647" s="1">
        <v>45919.426805555559</v>
      </c>
    </row>
    <row r="10648" spans="1:10" x14ac:dyDescent="0.2">
      <c r="A10648" s="4" t="s">
        <v>1</v>
      </c>
      <c r="B1064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48" s="3" t="str">
        <f>HYPERLINK("https://otsuka-europe-crm.veevavault.com/ui/#object/sent_email__v/VBLZ025E82GU1ZJ", "SE-000276808")</f>
        <v>SE-000276808</v>
      </c>
      <c r="D10648" s="1" t="s">
        <v>0</v>
      </c>
      <c r="E10648" s="2">
        <v>0</v>
      </c>
      <c r="F10648" s="2">
        <v>0</v>
      </c>
      <c r="G10648" s="2">
        <v>0</v>
      </c>
      <c r="H10648" s="1" t="s">
        <v>0</v>
      </c>
      <c r="I10648" s="2">
        <v>0</v>
      </c>
      <c r="J10648" s="1">
        <v>45919.426689814813</v>
      </c>
    </row>
    <row r="10649" spans="1:10" x14ac:dyDescent="0.2">
      <c r="A10649" s="4" t="s">
        <v>1</v>
      </c>
      <c r="B1064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49" s="3" t="str">
        <f>HYPERLINK("https://otsuka-europe-crm.veevavault.com/ui/#object/sent_email__v/VBLZ025E82GU1ZK", "SE-000276809")</f>
        <v>SE-000276809</v>
      </c>
      <c r="D10649" s="1" t="s">
        <v>0</v>
      </c>
      <c r="E10649" s="2">
        <v>0</v>
      </c>
      <c r="F10649" s="2">
        <v>0</v>
      </c>
      <c r="G10649" s="2">
        <v>0</v>
      </c>
      <c r="H10649" s="1" t="s">
        <v>0</v>
      </c>
      <c r="I10649" s="2">
        <v>0</v>
      </c>
      <c r="J10649" s="1">
        <v>45919.426817129628</v>
      </c>
    </row>
    <row r="10650" spans="1:10" x14ac:dyDescent="0.2">
      <c r="A10650" s="4" t="s">
        <v>1</v>
      </c>
      <c r="B1065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50" s="3" t="str">
        <f>HYPERLINK("https://otsuka-europe-crm.veevavault.com/ui/#object/sent_email__v/VBLZ025E82GU1ZL", "SE-000276810")</f>
        <v>SE-000276810</v>
      </c>
      <c r="D10650" s="1" t="s">
        <v>0</v>
      </c>
      <c r="E10650" s="2">
        <v>0</v>
      </c>
      <c r="F10650" s="2">
        <v>0</v>
      </c>
      <c r="G10650" s="2">
        <v>0</v>
      </c>
      <c r="H10650" s="1" t="s">
        <v>0</v>
      </c>
      <c r="I10650" s="2">
        <v>0</v>
      </c>
      <c r="J10650" s="1">
        <v>45919.426620370374</v>
      </c>
    </row>
    <row r="10651" spans="1:10" x14ac:dyDescent="0.2">
      <c r="A10651" s="4" t="s">
        <v>1</v>
      </c>
      <c r="B1065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51" s="3" t="str">
        <f>HYPERLINK("https://otsuka-europe-crm.veevavault.com/ui/#object/sent_email__v/VBLZ025E82GU1ZM", "SE-000276811")</f>
        <v>SE-000276811</v>
      </c>
      <c r="D10651" s="1" t="s">
        <v>0</v>
      </c>
      <c r="E10651" s="2">
        <v>0</v>
      </c>
      <c r="F10651" s="2">
        <v>0</v>
      </c>
      <c r="G10651" s="2">
        <v>0</v>
      </c>
      <c r="H10651" s="1" t="s">
        <v>0</v>
      </c>
      <c r="I10651" s="2">
        <v>0</v>
      </c>
      <c r="J10651" s="1">
        <v>45919.426817129628</v>
      </c>
    </row>
    <row r="10652" spans="1:10" x14ac:dyDescent="0.2">
      <c r="A10652" s="4" t="s">
        <v>1</v>
      </c>
      <c r="B1065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52" s="3" t="str">
        <f>HYPERLINK("https://otsuka-europe-crm.veevavault.com/ui/#object/sent_email__v/VBLZ025E82GU1ZN", "SE-000276812")</f>
        <v>SE-000276812</v>
      </c>
      <c r="D10652" s="1" t="s">
        <v>0</v>
      </c>
      <c r="E10652" s="2">
        <v>0</v>
      </c>
      <c r="F10652" s="2">
        <v>0</v>
      </c>
      <c r="G10652" s="2">
        <v>0</v>
      </c>
      <c r="H10652" s="1" t="s">
        <v>0</v>
      </c>
      <c r="I10652" s="2">
        <v>0</v>
      </c>
      <c r="J10652" s="1">
        <v>45919.426678240743</v>
      </c>
    </row>
    <row r="10653" spans="1:10" x14ac:dyDescent="0.2">
      <c r="A10653" s="4" t="s">
        <v>1</v>
      </c>
      <c r="B1065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53" s="3" t="str">
        <f>HYPERLINK("https://otsuka-europe-crm.veevavault.com/ui/#object/sent_email__v/VBLZ025E82GU1ZO", "SE-000276813")</f>
        <v>SE-000276813</v>
      </c>
      <c r="D10653" s="1" t="s">
        <v>0</v>
      </c>
      <c r="E10653" s="2">
        <v>0</v>
      </c>
      <c r="F10653" s="2">
        <v>0</v>
      </c>
      <c r="G10653" s="2">
        <v>0</v>
      </c>
      <c r="H10653" s="1" t="s">
        <v>0</v>
      </c>
      <c r="I10653" s="2">
        <v>0</v>
      </c>
      <c r="J10653" s="1">
        <v>45919.42664351852</v>
      </c>
    </row>
    <row r="10654" spans="1:10" x14ac:dyDescent="0.2">
      <c r="A10654" s="4" t="s">
        <v>1</v>
      </c>
      <c r="B1065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54" s="3" t="str">
        <f>HYPERLINK("https://otsuka-europe-crm.veevavault.com/ui/#object/sent_email__v/VBLZ025E82GU1ZP", "SE-000276814")</f>
        <v>SE-000276814</v>
      </c>
      <c r="D10654" s="1" t="s">
        <v>0</v>
      </c>
      <c r="E10654" s="2">
        <v>0</v>
      </c>
      <c r="F10654" s="2">
        <v>0</v>
      </c>
      <c r="G10654" s="2">
        <v>0</v>
      </c>
      <c r="H10654" s="1" t="s">
        <v>0</v>
      </c>
      <c r="I10654" s="2">
        <v>0</v>
      </c>
      <c r="J10654" s="1">
        <v>45919.426759259259</v>
      </c>
    </row>
    <row r="10655" spans="1:10" x14ac:dyDescent="0.2">
      <c r="A10655" s="4" t="s">
        <v>1</v>
      </c>
      <c r="B1065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55" s="3" t="str">
        <f>HYPERLINK("https://otsuka-europe-crm.veevavault.com/ui/#object/sent_email__v/VBLZ025E82GU1ZQ", "SE-000276815")</f>
        <v>SE-000276815</v>
      </c>
      <c r="D10655" s="1">
        <v>45924.89943287037</v>
      </c>
      <c r="E10655" s="2">
        <v>1</v>
      </c>
      <c r="F10655" s="2">
        <v>1</v>
      </c>
      <c r="G10655" s="2">
        <v>0</v>
      </c>
      <c r="H10655" s="1" t="s">
        <v>0</v>
      </c>
      <c r="I10655" s="2">
        <v>0</v>
      </c>
      <c r="J10655" s="1">
        <v>45919.42659722222</v>
      </c>
    </row>
    <row r="10656" spans="1:10" x14ac:dyDescent="0.2">
      <c r="A10656" s="4" t="s">
        <v>1</v>
      </c>
      <c r="B1065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56" s="3" t="str">
        <f>HYPERLINK("https://otsuka-europe-crm.veevavault.com/ui/#object/sent_email__v/VBLZ025E82GU1ZR", "SE-000276816")</f>
        <v>SE-000276816</v>
      </c>
      <c r="D10656" s="1" t="s">
        <v>0</v>
      </c>
      <c r="E10656" s="2">
        <v>0</v>
      </c>
      <c r="F10656" s="2">
        <v>0</v>
      </c>
      <c r="G10656" s="2">
        <v>0</v>
      </c>
      <c r="H10656" s="1" t="s">
        <v>0</v>
      </c>
      <c r="I10656" s="2">
        <v>0</v>
      </c>
      <c r="J10656" s="1">
        <v>45919.426759259259</v>
      </c>
    </row>
    <row r="10657" spans="1:10" x14ac:dyDescent="0.2">
      <c r="A10657" s="4" t="s">
        <v>1</v>
      </c>
      <c r="B1065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57" s="3" t="str">
        <f>HYPERLINK("https://otsuka-europe-crm.veevavault.com/ui/#object/sent_email__v/VBLZ025E82GU1ZS", "SE-000276817")</f>
        <v>SE-000276817</v>
      </c>
      <c r="D10657" s="1" t="s">
        <v>0</v>
      </c>
      <c r="E10657" s="2">
        <v>0</v>
      </c>
      <c r="F10657" s="2">
        <v>0</v>
      </c>
      <c r="G10657" s="2">
        <v>0</v>
      </c>
      <c r="H10657" s="1" t="s">
        <v>0</v>
      </c>
      <c r="I10657" s="2">
        <v>0</v>
      </c>
      <c r="J10657" s="1">
        <v>45919.426608796297</v>
      </c>
    </row>
    <row r="10658" spans="1:10" x14ac:dyDescent="0.2">
      <c r="A10658" s="4" t="s">
        <v>1</v>
      </c>
      <c r="B1065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58" s="3" t="str">
        <f>HYPERLINK("https://otsuka-europe-crm.veevavault.com/ui/#object/sent_email__v/VBLZ025E82GU1ZT", "SE-000276818")</f>
        <v>SE-000276818</v>
      </c>
      <c r="D10658" s="1" t="s">
        <v>0</v>
      </c>
      <c r="E10658" s="2">
        <v>0</v>
      </c>
      <c r="F10658" s="2">
        <v>0</v>
      </c>
      <c r="G10658" s="2">
        <v>0</v>
      </c>
      <c r="H10658" s="1" t="s">
        <v>0</v>
      </c>
      <c r="I10658" s="2">
        <v>0</v>
      </c>
      <c r="J10658" s="1">
        <v>45919.426770833335</v>
      </c>
    </row>
    <row r="10659" spans="1:10" x14ac:dyDescent="0.2">
      <c r="A10659" s="4" t="s">
        <v>1</v>
      </c>
      <c r="B1065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59" s="3" t="str">
        <f>HYPERLINK("https://otsuka-europe-crm.veevavault.com/ui/#object/sent_email__v/VBLZ025E82GU1ZU", "SE-000276819")</f>
        <v>SE-000276819</v>
      </c>
      <c r="D10659" s="1" t="s">
        <v>0</v>
      </c>
      <c r="E10659" s="2">
        <v>0</v>
      </c>
      <c r="F10659" s="2">
        <v>0</v>
      </c>
      <c r="G10659" s="2">
        <v>0</v>
      </c>
      <c r="H10659" s="1" t="s">
        <v>0</v>
      </c>
      <c r="I10659" s="2">
        <v>0</v>
      </c>
      <c r="J10659" s="1">
        <v>45919.426620370374</v>
      </c>
    </row>
    <row r="10660" spans="1:10" x14ac:dyDescent="0.2">
      <c r="A10660" s="4" t="s">
        <v>1</v>
      </c>
      <c r="B1066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60" s="3" t="str">
        <f>HYPERLINK("https://otsuka-europe-crm.veevavault.com/ui/#object/sent_email__v/VBLZ025E82GU1ZV", "SE-000276820")</f>
        <v>SE-000276820</v>
      </c>
      <c r="D10660" s="1">
        <v>45924.93378472222</v>
      </c>
      <c r="E10660" s="2">
        <v>1</v>
      </c>
      <c r="F10660" s="2">
        <v>2</v>
      </c>
      <c r="G10660" s="2">
        <v>0</v>
      </c>
      <c r="H10660" s="1" t="s">
        <v>0</v>
      </c>
      <c r="I10660" s="2">
        <v>0</v>
      </c>
      <c r="J10660" s="1">
        <v>45919.426724537036</v>
      </c>
    </row>
    <row r="10661" spans="1:10" x14ac:dyDescent="0.2">
      <c r="A10661" s="4" t="s">
        <v>1</v>
      </c>
      <c r="B1066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61" s="3" t="str">
        <f>HYPERLINK("https://otsuka-europe-crm.veevavault.com/ui/#object/sent_email__v/VBLZ025E82GU1ZW", "SE-000276821")</f>
        <v>SE-000276821</v>
      </c>
      <c r="D10661" s="1" t="s">
        <v>0</v>
      </c>
      <c r="E10661" s="2">
        <v>0</v>
      </c>
      <c r="F10661" s="2">
        <v>0</v>
      </c>
      <c r="G10661" s="2">
        <v>0</v>
      </c>
      <c r="H10661" s="1" t="s">
        <v>0</v>
      </c>
      <c r="I10661" s="2">
        <v>0</v>
      </c>
      <c r="J10661" s="1">
        <v>45919.426550925928</v>
      </c>
    </row>
    <row r="10662" spans="1:10" x14ac:dyDescent="0.2">
      <c r="A10662" s="4" t="s">
        <v>1</v>
      </c>
      <c r="B1066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62" s="3" t="str">
        <f>HYPERLINK("https://otsuka-europe-crm.veevavault.com/ui/#object/sent_email__v/VBLZ025E82GU1ZX", "SE-000276822")</f>
        <v>SE-000276822</v>
      </c>
      <c r="D10662" s="1" t="s">
        <v>0</v>
      </c>
      <c r="E10662" s="2">
        <v>0</v>
      </c>
      <c r="F10662" s="2">
        <v>0</v>
      </c>
      <c r="G10662" s="2">
        <v>0</v>
      </c>
      <c r="H10662" s="1" t="s">
        <v>0</v>
      </c>
      <c r="I10662" s="2">
        <v>0</v>
      </c>
      <c r="J10662" s="1">
        <v>45919.426782407405</v>
      </c>
    </row>
    <row r="10663" spans="1:10" x14ac:dyDescent="0.2">
      <c r="A10663" s="4" t="s">
        <v>1</v>
      </c>
      <c r="B1066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63" s="3" t="str">
        <f>HYPERLINK("https://otsuka-europe-crm.veevavault.com/ui/#object/sent_email__v/VBLZ025E82GU1ZY", "SE-000276823")</f>
        <v>SE-000276823</v>
      </c>
      <c r="D10663" s="1" t="s">
        <v>0</v>
      </c>
      <c r="E10663" s="2">
        <v>0</v>
      </c>
      <c r="F10663" s="2">
        <v>0</v>
      </c>
      <c r="G10663" s="2">
        <v>0</v>
      </c>
      <c r="H10663" s="1" t="s">
        <v>0</v>
      </c>
      <c r="I10663" s="2">
        <v>0</v>
      </c>
      <c r="J10663" s="1">
        <v>45919.426747685182</v>
      </c>
    </row>
    <row r="10664" spans="1:10" x14ac:dyDescent="0.2">
      <c r="A10664" s="4" t="s">
        <v>1</v>
      </c>
      <c r="B1066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64" s="3" t="str">
        <f>HYPERLINK("https://otsuka-europe-crm.veevavault.com/ui/#object/sent_email__v/VBLZ025E82GU1ZZ", "SE-000276824")</f>
        <v>SE-000276824</v>
      </c>
      <c r="D10664" s="1" t="s">
        <v>0</v>
      </c>
      <c r="E10664" s="2">
        <v>0</v>
      </c>
      <c r="F10664" s="2">
        <v>0</v>
      </c>
      <c r="G10664" s="2">
        <v>0</v>
      </c>
      <c r="H10664" s="1" t="s">
        <v>0</v>
      </c>
      <c r="I10664" s="2">
        <v>0</v>
      </c>
      <c r="J10664" s="1">
        <v>45919.426574074074</v>
      </c>
    </row>
    <row r="10665" spans="1:10" x14ac:dyDescent="0.2">
      <c r="A10665" s="4" t="s">
        <v>1</v>
      </c>
      <c r="B1066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65" s="3" t="str">
        <f>HYPERLINK("https://otsuka-europe-crm.veevavault.com/ui/#object/sent_email__v/VBLZ025E82GU200", "SE-000276825")</f>
        <v>SE-000276825</v>
      </c>
      <c r="D10665" s="1">
        <v>45921.381192129629</v>
      </c>
      <c r="E10665" s="2">
        <v>1</v>
      </c>
      <c r="F10665" s="2">
        <v>1</v>
      </c>
      <c r="G10665" s="2">
        <v>0</v>
      </c>
      <c r="H10665" s="1" t="s">
        <v>0</v>
      </c>
      <c r="I10665" s="2">
        <v>0</v>
      </c>
      <c r="J10665" s="1">
        <v>45919.426712962966</v>
      </c>
    </row>
    <row r="10666" spans="1:10" x14ac:dyDescent="0.2">
      <c r="A10666" s="4" t="s">
        <v>1</v>
      </c>
      <c r="B1066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66" s="3" t="str">
        <f>HYPERLINK("https://otsuka-europe-crm.veevavault.com/ui/#object/sent_email__v/VBLZ025E82GU201", "SE-000276826")</f>
        <v>SE-000276826</v>
      </c>
      <c r="D10666" s="1" t="s">
        <v>0</v>
      </c>
      <c r="E10666" s="2">
        <v>0</v>
      </c>
      <c r="F10666" s="2">
        <v>0</v>
      </c>
      <c r="G10666" s="2">
        <v>0</v>
      </c>
      <c r="H10666" s="1" t="s">
        <v>0</v>
      </c>
      <c r="I10666" s="2">
        <v>0</v>
      </c>
      <c r="J10666" s="1">
        <v>45919.426562499997</v>
      </c>
    </row>
    <row r="10667" spans="1:10" x14ac:dyDescent="0.2">
      <c r="A10667" s="4" t="s">
        <v>1</v>
      </c>
      <c r="B1066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67" s="3" t="str">
        <f>HYPERLINK("https://otsuka-europe-crm.veevavault.com/ui/#object/sent_email__v/VBLZ025E82GU202", "SE-000276827")</f>
        <v>SE-000276827</v>
      </c>
      <c r="D10667" s="1" t="s">
        <v>0</v>
      </c>
      <c r="E10667" s="2">
        <v>0</v>
      </c>
      <c r="F10667" s="2">
        <v>0</v>
      </c>
      <c r="G10667" s="2">
        <v>0</v>
      </c>
      <c r="H10667" s="1" t="s">
        <v>0</v>
      </c>
      <c r="I10667" s="2">
        <v>0</v>
      </c>
      <c r="J10667" s="1">
        <v>45919.426736111112</v>
      </c>
    </row>
    <row r="10668" spans="1:10" x14ac:dyDescent="0.2">
      <c r="A10668" s="4" t="s">
        <v>1</v>
      </c>
      <c r="B1066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68" s="3" t="str">
        <f>HYPERLINK("https://otsuka-europe-crm.veevavault.com/ui/#object/sent_email__v/VBLZ025E82GU203", "SE-000276828")</f>
        <v>SE-000276828</v>
      </c>
      <c r="D10668" s="1" t="s">
        <v>0</v>
      </c>
      <c r="E10668" s="2">
        <v>0</v>
      </c>
      <c r="F10668" s="2">
        <v>0</v>
      </c>
      <c r="G10668" s="2">
        <v>0</v>
      </c>
      <c r="H10668" s="1" t="s">
        <v>0</v>
      </c>
      <c r="I10668" s="2">
        <v>0</v>
      </c>
      <c r="J10668" s="1">
        <v>45919.426585648151</v>
      </c>
    </row>
    <row r="10669" spans="1:10" x14ac:dyDescent="0.2">
      <c r="A10669" s="4" t="s">
        <v>1</v>
      </c>
      <c r="B1066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69" s="3" t="str">
        <f>HYPERLINK("https://otsuka-europe-crm.veevavault.com/ui/#object/sent_email__v/VBLZ025E82GU204", "SE-000276829")</f>
        <v>SE-000276829</v>
      </c>
      <c r="D10669" s="1" t="s">
        <v>0</v>
      </c>
      <c r="E10669" s="2">
        <v>0</v>
      </c>
      <c r="F10669" s="2">
        <v>0</v>
      </c>
      <c r="G10669" s="2">
        <v>0</v>
      </c>
      <c r="H10669" s="1" t="s">
        <v>0</v>
      </c>
      <c r="I10669" s="2">
        <v>0</v>
      </c>
      <c r="J10669" s="1">
        <v>45919.426747685182</v>
      </c>
    </row>
    <row r="10670" spans="1:10" x14ac:dyDescent="0.2">
      <c r="A10670" s="4" t="s">
        <v>1</v>
      </c>
      <c r="B1067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70" s="3" t="str">
        <f>HYPERLINK("https://otsuka-europe-crm.veevavault.com/ui/#object/sent_email__v/VBLZ025E82GU205", "SE-000276830")</f>
        <v>SE-000276830</v>
      </c>
      <c r="D10670" s="1">
        <v>45919.725127314814</v>
      </c>
      <c r="E10670" s="2">
        <v>1</v>
      </c>
      <c r="F10670" s="2">
        <v>1</v>
      </c>
      <c r="G10670" s="2">
        <v>0</v>
      </c>
      <c r="H10670" s="1" t="s">
        <v>0</v>
      </c>
      <c r="I10670" s="2">
        <v>0</v>
      </c>
      <c r="J10670" s="1">
        <v>45919.42664351852</v>
      </c>
    </row>
    <row r="10671" spans="1:10" x14ac:dyDescent="0.2">
      <c r="A10671" s="4" t="s">
        <v>1</v>
      </c>
      <c r="B1067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71" s="3" t="str">
        <f>HYPERLINK("https://otsuka-europe-crm.veevavault.com/ui/#object/sent_email__v/VBLZ025E82GU681", "SE-000276895")</f>
        <v>SE-000276895</v>
      </c>
      <c r="D10671" s="1">
        <v>45921.747870370367</v>
      </c>
      <c r="E10671" s="2">
        <v>1</v>
      </c>
      <c r="F10671" s="2">
        <v>1</v>
      </c>
      <c r="G10671" s="2">
        <v>0</v>
      </c>
      <c r="H10671" s="1" t="s">
        <v>0</v>
      </c>
      <c r="I10671" s="2">
        <v>0</v>
      </c>
      <c r="J10671" s="1">
        <v>45919.426932870374</v>
      </c>
    </row>
    <row r="10672" spans="1:10" x14ac:dyDescent="0.2">
      <c r="A10672" s="4" t="s">
        <v>1</v>
      </c>
      <c r="B1067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72" s="3" t="str">
        <f>HYPERLINK("https://otsuka-europe-crm.veevavault.com/ui/#object/sent_email__v/VBLZ025E82GU682", "SE-000276896")</f>
        <v>SE-000276896</v>
      </c>
      <c r="D10672" s="1">
        <v>45919.56449074074</v>
      </c>
      <c r="E10672" s="2">
        <v>1</v>
      </c>
      <c r="F10672" s="2">
        <v>1</v>
      </c>
      <c r="G10672" s="2">
        <v>0</v>
      </c>
      <c r="H10672" s="1" t="s">
        <v>0</v>
      </c>
      <c r="I10672" s="2">
        <v>0</v>
      </c>
      <c r="J10672" s="1">
        <v>45919.427037037036</v>
      </c>
    </row>
    <row r="10673" spans="1:10" x14ac:dyDescent="0.2">
      <c r="A10673" s="4" t="s">
        <v>1</v>
      </c>
      <c r="B1067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73" s="3" t="str">
        <f>HYPERLINK("https://otsuka-europe-crm.veevavault.com/ui/#object/sent_email__v/VBLZ025E82GU683", "SE-000276897")</f>
        <v>SE-000276897</v>
      </c>
      <c r="D10673" s="1" t="s">
        <v>0</v>
      </c>
      <c r="E10673" s="2">
        <v>0</v>
      </c>
      <c r="F10673" s="2">
        <v>0</v>
      </c>
      <c r="G10673" s="2">
        <v>0</v>
      </c>
      <c r="H10673" s="1" t="s">
        <v>0</v>
      </c>
      <c r="I10673" s="2">
        <v>0</v>
      </c>
      <c r="J10673" s="1">
        <v>45919.42701388889</v>
      </c>
    </row>
    <row r="10674" spans="1:10" x14ac:dyDescent="0.2">
      <c r="A10674" s="4" t="s">
        <v>1</v>
      </c>
      <c r="B1067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74" s="3" t="str">
        <f>HYPERLINK("https://otsuka-europe-crm.veevavault.com/ui/#object/sent_email__v/VBLZ025E82GU684", "SE-000276898")</f>
        <v>SE-000276898</v>
      </c>
      <c r="D10674" s="1" t="s">
        <v>0</v>
      </c>
      <c r="E10674" s="2">
        <v>0</v>
      </c>
      <c r="F10674" s="2">
        <v>0</v>
      </c>
      <c r="G10674" s="2">
        <v>0</v>
      </c>
      <c r="H10674" s="1" t="s">
        <v>0</v>
      </c>
      <c r="I10674" s="2">
        <v>0</v>
      </c>
      <c r="J10674" s="1">
        <v>45919.427118055559</v>
      </c>
    </row>
    <row r="10675" spans="1:10" x14ac:dyDescent="0.2">
      <c r="A10675" s="4" t="s">
        <v>1</v>
      </c>
      <c r="B1067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75" s="3" t="str">
        <f>HYPERLINK("https://otsuka-europe-crm.veevavault.com/ui/#object/sent_email__v/VBLZ025E82GU685", "SE-000276899")</f>
        <v>SE-000276899</v>
      </c>
      <c r="D10675" s="1">
        <v>45919.723043981481</v>
      </c>
      <c r="E10675" s="2">
        <v>1</v>
      </c>
      <c r="F10675" s="2">
        <v>1</v>
      </c>
      <c r="G10675" s="2">
        <v>0</v>
      </c>
      <c r="H10675" s="1" t="s">
        <v>0</v>
      </c>
      <c r="I10675" s="2">
        <v>0</v>
      </c>
      <c r="J10675" s="1">
        <v>45919.427002314813</v>
      </c>
    </row>
    <row r="10676" spans="1:10" x14ac:dyDescent="0.2">
      <c r="A10676" s="4" t="s">
        <v>1</v>
      </c>
      <c r="B1067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76" s="3" t="str">
        <f>HYPERLINK("https://otsuka-europe-crm.veevavault.com/ui/#object/sent_email__v/VBLZ025E82GU686", "SE-000276900")</f>
        <v>SE-000276900</v>
      </c>
      <c r="D10676" s="1" t="s">
        <v>0</v>
      </c>
      <c r="E10676" s="2">
        <v>0</v>
      </c>
      <c r="F10676" s="2">
        <v>0</v>
      </c>
      <c r="G10676" s="2">
        <v>0</v>
      </c>
      <c r="H10676" s="1" t="s">
        <v>0</v>
      </c>
      <c r="I10676" s="2">
        <v>0</v>
      </c>
      <c r="J10676" s="1">
        <v>45919.427106481482</v>
      </c>
    </row>
    <row r="10677" spans="1:10" x14ac:dyDescent="0.2">
      <c r="A10677" s="4" t="s">
        <v>1</v>
      </c>
      <c r="B1067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77" s="3" t="str">
        <f>HYPERLINK("https://otsuka-europe-crm.veevavault.com/ui/#object/sent_email__v/VBLZ025E82GU687", "SE-000276901")</f>
        <v>SE-000276901</v>
      </c>
      <c r="D10677" s="1">
        <v>45919.622071759259</v>
      </c>
      <c r="E10677" s="2">
        <v>1</v>
      </c>
      <c r="F10677" s="2">
        <v>1</v>
      </c>
      <c r="G10677" s="2">
        <v>0</v>
      </c>
      <c r="H10677" s="1" t="s">
        <v>0</v>
      </c>
      <c r="I10677" s="2">
        <v>0</v>
      </c>
      <c r="J10677" s="1">
        <v>45919.426979166667</v>
      </c>
    </row>
    <row r="10678" spans="1:10" x14ac:dyDescent="0.2">
      <c r="A10678" s="4" t="s">
        <v>1</v>
      </c>
      <c r="B1067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78" s="3" t="str">
        <f>HYPERLINK("https://otsuka-europe-crm.veevavault.com/ui/#object/sent_email__v/VBLZ025E82GU688", "SE-000276902")</f>
        <v>SE-000276902</v>
      </c>
      <c r="D10678" s="1">
        <v>45919.834594907406</v>
      </c>
      <c r="E10678" s="2">
        <v>1</v>
      </c>
      <c r="F10678" s="2">
        <v>1</v>
      </c>
      <c r="G10678" s="2">
        <v>0</v>
      </c>
      <c r="H10678" s="1" t="s">
        <v>0</v>
      </c>
      <c r="I10678" s="2">
        <v>0</v>
      </c>
      <c r="J10678" s="1">
        <v>45919.427060185182</v>
      </c>
    </row>
    <row r="10679" spans="1:10" x14ac:dyDescent="0.2">
      <c r="A10679" s="4" t="s">
        <v>1</v>
      </c>
      <c r="B1067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79" s="3" t="str">
        <f>HYPERLINK("https://otsuka-europe-crm.veevavault.com/ui/#object/sent_email__v/VBLZ025E82GU689", "SE-000276903")</f>
        <v>SE-000276903</v>
      </c>
      <c r="D10679" s="1" t="s">
        <v>0</v>
      </c>
      <c r="E10679" s="2">
        <v>0</v>
      </c>
      <c r="F10679" s="2">
        <v>0</v>
      </c>
      <c r="G10679" s="2">
        <v>0</v>
      </c>
      <c r="H10679" s="1" t="s">
        <v>0</v>
      </c>
      <c r="I10679" s="2">
        <v>0</v>
      </c>
      <c r="J10679" s="1">
        <v>45919.42696759259</v>
      </c>
    </row>
    <row r="10680" spans="1:10" x14ac:dyDescent="0.2">
      <c r="A10680" s="4" t="s">
        <v>1</v>
      </c>
      <c r="B1068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80" s="3" t="str">
        <f>HYPERLINK("https://otsuka-europe-crm.veevavault.com/ui/#object/sent_email__v/VBLZ025E82GU68A", "SE-000276904")</f>
        <v>SE-000276904</v>
      </c>
      <c r="D10680" s="1" t="s">
        <v>0</v>
      </c>
      <c r="E10680" s="2">
        <v>0</v>
      </c>
      <c r="F10680" s="2">
        <v>0</v>
      </c>
      <c r="G10680" s="2">
        <v>0</v>
      </c>
      <c r="H10680" s="1" t="s">
        <v>0</v>
      </c>
      <c r="I10680" s="2">
        <v>0</v>
      </c>
      <c r="J10680" s="1">
        <v>45919.427071759259</v>
      </c>
    </row>
    <row r="10681" spans="1:10" x14ac:dyDescent="0.2">
      <c r="A10681" s="4" t="s">
        <v>1</v>
      </c>
      <c r="B1068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81" s="3" t="str">
        <f>HYPERLINK("https://otsuka-europe-crm.veevavault.com/ui/#object/sent_email__v/VBLZ025E82GU68B", "SE-000276905")</f>
        <v>SE-000276905</v>
      </c>
      <c r="D10681" s="1" t="s">
        <v>0</v>
      </c>
      <c r="E10681" s="2">
        <v>0</v>
      </c>
      <c r="F10681" s="2">
        <v>0</v>
      </c>
      <c r="G10681" s="2">
        <v>0</v>
      </c>
      <c r="H10681" s="1" t="s">
        <v>0</v>
      </c>
      <c r="I10681" s="2">
        <v>0</v>
      </c>
      <c r="J10681" s="1">
        <v>45919.42695601852</v>
      </c>
    </row>
    <row r="10682" spans="1:10" x14ac:dyDescent="0.2">
      <c r="A10682" s="4" t="s">
        <v>1</v>
      </c>
      <c r="B1068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82" s="3" t="str">
        <f>HYPERLINK("https://otsuka-europe-crm.veevavault.com/ui/#object/sent_email__v/VBLZ025E82GU68C", "SE-000276906")</f>
        <v>SE-000276906</v>
      </c>
      <c r="D10682" s="1" t="s">
        <v>0</v>
      </c>
      <c r="E10682" s="2">
        <v>0</v>
      </c>
      <c r="F10682" s="2">
        <v>0</v>
      </c>
      <c r="G10682" s="2">
        <v>0</v>
      </c>
      <c r="H10682" s="1" t="s">
        <v>0</v>
      </c>
      <c r="I10682" s="2">
        <v>0</v>
      </c>
      <c r="J10682" s="1">
        <v>45919.427025462966</v>
      </c>
    </row>
    <row r="10683" spans="1:10" x14ac:dyDescent="0.2">
      <c r="A10683" s="4" t="s">
        <v>1</v>
      </c>
      <c r="B1068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83" s="3" t="str">
        <f>HYPERLINK("https://otsuka-europe-crm.veevavault.com/ui/#object/sent_email__v/VBLZ025E82GU68D", "SE-000276907")</f>
        <v>SE-000276907</v>
      </c>
      <c r="D10683" s="1">
        <v>45921.716238425928</v>
      </c>
      <c r="E10683" s="2">
        <v>1</v>
      </c>
      <c r="F10683" s="2">
        <v>1</v>
      </c>
      <c r="G10683" s="2">
        <v>0</v>
      </c>
      <c r="H10683" s="1" t="s">
        <v>0</v>
      </c>
      <c r="I10683" s="2">
        <v>0</v>
      </c>
      <c r="J10683" s="1">
        <v>45919.42690972222</v>
      </c>
    </row>
    <row r="10684" spans="1:10" x14ac:dyDescent="0.2">
      <c r="A10684" s="4" t="s">
        <v>1</v>
      </c>
      <c r="B1068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84" s="3" t="str">
        <f>HYPERLINK("https://otsuka-europe-crm.veevavault.com/ui/#object/sent_email__v/VBLZ025E82GU68E", "SE-000276908")</f>
        <v>SE-000276908</v>
      </c>
      <c r="D10684" s="1" t="s">
        <v>0</v>
      </c>
      <c r="E10684" s="2">
        <v>0</v>
      </c>
      <c r="F10684" s="2">
        <v>0</v>
      </c>
      <c r="G10684" s="2">
        <v>0</v>
      </c>
      <c r="H10684" s="1" t="s">
        <v>0</v>
      </c>
      <c r="I10684" s="2">
        <v>0</v>
      </c>
      <c r="J10684" s="1">
        <v>45919.427048611113</v>
      </c>
    </row>
    <row r="10685" spans="1:10" x14ac:dyDescent="0.2">
      <c r="A10685" s="4" t="s">
        <v>1</v>
      </c>
      <c r="B1068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85" s="3" t="str">
        <f>HYPERLINK("https://otsuka-europe-crm.veevavault.com/ui/#object/sent_email__v/VBLZ025E82GU68F", "SE-000276909")</f>
        <v>SE-000276909</v>
      </c>
      <c r="D10685" s="1" t="s">
        <v>0</v>
      </c>
      <c r="E10685" s="2">
        <v>0</v>
      </c>
      <c r="F10685" s="2">
        <v>0</v>
      </c>
      <c r="G10685" s="2">
        <v>0</v>
      </c>
      <c r="H10685" s="1" t="s">
        <v>0</v>
      </c>
      <c r="I10685" s="2">
        <v>0</v>
      </c>
      <c r="J10685" s="1">
        <v>45919.426944444444</v>
      </c>
    </row>
    <row r="10686" spans="1:10" x14ac:dyDescent="0.2">
      <c r="A10686" s="4" t="s">
        <v>1</v>
      </c>
      <c r="B1068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86" s="3" t="str">
        <f>HYPERLINK("https://otsuka-europe-crm.veevavault.com/ui/#object/sent_email__v/VBLZ025E82GU68G", "SE-000276910")</f>
        <v>SE-000276910</v>
      </c>
      <c r="D10686" s="1" t="s">
        <v>0</v>
      </c>
      <c r="E10686" s="2">
        <v>0</v>
      </c>
      <c r="F10686" s="2">
        <v>0</v>
      </c>
      <c r="G10686" s="2">
        <v>0</v>
      </c>
      <c r="H10686" s="1" t="s">
        <v>0</v>
      </c>
      <c r="I10686" s="2">
        <v>0</v>
      </c>
      <c r="J10686" s="1">
        <v>45919.427048611113</v>
      </c>
    </row>
    <row r="10687" spans="1:10" x14ac:dyDescent="0.2">
      <c r="A10687" s="4" t="s">
        <v>1</v>
      </c>
      <c r="B1068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87" s="3" t="str">
        <f>HYPERLINK("https://otsuka-europe-crm.veevavault.com/ui/#object/sent_email__v/VBLZ025E82GU68H", "SE-000276911")</f>
        <v>SE-000276911</v>
      </c>
      <c r="D10687" s="1" t="s">
        <v>0</v>
      </c>
      <c r="E10687" s="2">
        <v>0</v>
      </c>
      <c r="F10687" s="2">
        <v>0</v>
      </c>
      <c r="G10687" s="2">
        <v>0</v>
      </c>
      <c r="H10687" s="1" t="s">
        <v>0</v>
      </c>
      <c r="I10687" s="2">
        <v>0</v>
      </c>
      <c r="J10687" s="1">
        <v>45919.426932870374</v>
      </c>
    </row>
    <row r="10688" spans="1:10" x14ac:dyDescent="0.2">
      <c r="A10688" s="4" t="s">
        <v>1</v>
      </c>
      <c r="B1068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88" s="3" t="str">
        <f>HYPERLINK("https://otsuka-europe-crm.veevavault.com/ui/#object/sent_email__v/VBLZ025E82GU68I", "SE-000276912")</f>
        <v>SE-000276912</v>
      </c>
      <c r="D10688" s="1">
        <v>45919.446793981479</v>
      </c>
      <c r="E10688" s="2">
        <v>1</v>
      </c>
      <c r="F10688" s="2">
        <v>1</v>
      </c>
      <c r="G10688" s="2">
        <v>0</v>
      </c>
      <c r="H10688" s="1" t="s">
        <v>0</v>
      </c>
      <c r="I10688" s="2">
        <v>0</v>
      </c>
      <c r="J10688" s="1">
        <v>45919.427037037036</v>
      </c>
    </row>
    <row r="10689" spans="1:10" x14ac:dyDescent="0.2">
      <c r="A10689" s="4" t="s">
        <v>1</v>
      </c>
      <c r="B1068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89" s="3" t="str">
        <f>HYPERLINK("https://otsuka-europe-crm.veevavault.com/ui/#object/sent_email__v/VBLZ025E82GU68J", "SE-000276913")</f>
        <v>SE-000276913</v>
      </c>
      <c r="D10689" s="1" t="s">
        <v>0</v>
      </c>
      <c r="E10689" s="2">
        <v>0</v>
      </c>
      <c r="F10689" s="2">
        <v>0</v>
      </c>
      <c r="G10689" s="2">
        <v>0</v>
      </c>
      <c r="H10689" s="1" t="s">
        <v>0</v>
      </c>
      <c r="I10689" s="2">
        <v>0</v>
      </c>
      <c r="J10689" s="1">
        <v>45919.426921296297</v>
      </c>
    </row>
    <row r="10690" spans="1:10" x14ac:dyDescent="0.2">
      <c r="A10690" s="4" t="s">
        <v>1</v>
      </c>
      <c r="B1069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90" s="3" t="str">
        <f>HYPERLINK("https://otsuka-europe-crm.veevavault.com/ui/#object/sent_email__v/VBLZ025E82GU68K", "SE-000276914")</f>
        <v>SE-000276914</v>
      </c>
      <c r="D10690" s="1">
        <v>45964.926365740743</v>
      </c>
      <c r="E10690" s="2">
        <v>1</v>
      </c>
      <c r="F10690" s="2">
        <v>3</v>
      </c>
      <c r="G10690" s="2">
        <v>0</v>
      </c>
      <c r="H10690" s="1" t="s">
        <v>0</v>
      </c>
      <c r="I10690" s="2">
        <v>0</v>
      </c>
      <c r="J10690" s="1">
        <v>45919.427083333336</v>
      </c>
    </row>
    <row r="10691" spans="1:10" x14ac:dyDescent="0.2">
      <c r="A10691" s="4" t="s">
        <v>1</v>
      </c>
      <c r="B1069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91" s="3" t="str">
        <f>HYPERLINK("https://otsuka-europe-crm.veevavault.com/ui/#object/sent_email__v/VBLZ025E82GU68L", "SE-000276915")</f>
        <v>SE-000276915</v>
      </c>
      <c r="D10691" s="1">
        <v>45919.716504629629</v>
      </c>
      <c r="E10691" s="2">
        <v>1</v>
      </c>
      <c r="F10691" s="2">
        <v>3</v>
      </c>
      <c r="G10691" s="2">
        <v>0</v>
      </c>
      <c r="H10691" s="1" t="s">
        <v>0</v>
      </c>
      <c r="I10691" s="2">
        <v>0</v>
      </c>
      <c r="J10691" s="1">
        <v>45919.426979166667</v>
      </c>
    </row>
    <row r="10692" spans="1:10" x14ac:dyDescent="0.2">
      <c r="A10692" s="4" t="s">
        <v>1</v>
      </c>
      <c r="B1069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92" s="3" t="str">
        <f>HYPERLINK("https://otsuka-europe-crm.veevavault.com/ui/#object/sent_email__v/VBLZ025E82GU68M", "SE-000276916")</f>
        <v>SE-000276916</v>
      </c>
      <c r="D10692" s="1">
        <v>45919.486331018517</v>
      </c>
      <c r="E10692" s="2">
        <v>1</v>
      </c>
      <c r="F10692" s="2">
        <v>2</v>
      </c>
      <c r="G10692" s="2">
        <v>0</v>
      </c>
      <c r="H10692" s="1" t="s">
        <v>0</v>
      </c>
      <c r="I10692" s="2">
        <v>0</v>
      </c>
      <c r="J10692" s="1">
        <v>45919.427083333336</v>
      </c>
    </row>
    <row r="10693" spans="1:10" x14ac:dyDescent="0.2">
      <c r="A10693" s="4" t="s">
        <v>1</v>
      </c>
      <c r="B1069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93" s="3" t="str">
        <f>HYPERLINK("https://otsuka-europe-crm.veevavault.com/ui/#object/sent_email__v/VBLZ025E82GU68N", "SE-000276917")</f>
        <v>SE-000276917</v>
      </c>
      <c r="D10693" s="1" t="s">
        <v>0</v>
      </c>
      <c r="E10693" s="2">
        <v>0</v>
      </c>
      <c r="F10693" s="2">
        <v>0</v>
      </c>
      <c r="G10693" s="2">
        <v>0</v>
      </c>
      <c r="H10693" s="1" t="s">
        <v>0</v>
      </c>
      <c r="I10693" s="2">
        <v>0</v>
      </c>
      <c r="J10693" s="1">
        <v>45919.42696759259</v>
      </c>
    </row>
    <row r="10694" spans="1:10" x14ac:dyDescent="0.2">
      <c r="A10694" s="4" t="s">
        <v>1</v>
      </c>
      <c r="B1069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94" s="3" t="str">
        <f>HYPERLINK("https://otsuka-europe-crm.veevavault.com/ui/#object/sent_email__v/VBLZ025E82GU68O", "SE-000276918")</f>
        <v>SE-000276918</v>
      </c>
      <c r="D10694" s="1">
        <v>45919.444050925929</v>
      </c>
      <c r="E10694" s="2">
        <v>1</v>
      </c>
      <c r="F10694" s="2">
        <v>1</v>
      </c>
      <c r="G10694" s="2">
        <v>0</v>
      </c>
      <c r="H10694" s="1" t="s">
        <v>0</v>
      </c>
      <c r="I10694" s="2">
        <v>0</v>
      </c>
      <c r="J10694" s="1">
        <v>45919.427094907405</v>
      </c>
    </row>
    <row r="10695" spans="1:10" x14ac:dyDescent="0.2">
      <c r="A10695" s="4" t="s">
        <v>1</v>
      </c>
      <c r="B1069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95" s="3" t="str">
        <f>HYPERLINK("https://otsuka-europe-crm.veevavault.com/ui/#object/sent_email__v/VBLZ025E82GU68P", "SE-000276919")</f>
        <v>SE-000276919</v>
      </c>
      <c r="D10695" s="1" t="s">
        <v>0</v>
      </c>
      <c r="E10695" s="2">
        <v>0</v>
      </c>
      <c r="F10695" s="2">
        <v>0</v>
      </c>
      <c r="G10695" s="2">
        <v>0</v>
      </c>
      <c r="H10695" s="1" t="s">
        <v>0</v>
      </c>
      <c r="I10695" s="2">
        <v>0</v>
      </c>
      <c r="J10695" s="1">
        <v>45919.426990740743</v>
      </c>
    </row>
    <row r="10696" spans="1:10" x14ac:dyDescent="0.2">
      <c r="A10696" s="4" t="s">
        <v>1</v>
      </c>
      <c r="B1069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96" s="3" t="str">
        <f>HYPERLINK("https://otsuka-europe-crm.veevavault.com/ui/#object/sent_email__v/VBLZ025E82GU6GD", "SE-000276920")</f>
        <v>SE-000276920</v>
      </c>
      <c r="D10696" s="1" t="s">
        <v>0</v>
      </c>
      <c r="E10696" s="2">
        <v>0</v>
      </c>
      <c r="F10696" s="2">
        <v>0</v>
      </c>
      <c r="G10696" s="2">
        <v>0</v>
      </c>
      <c r="H10696" s="1" t="s">
        <v>0</v>
      </c>
      <c r="I10696" s="2">
        <v>0</v>
      </c>
      <c r="J10696" s="1">
        <v>45919.427210648151</v>
      </c>
    </row>
    <row r="10697" spans="1:10" x14ac:dyDescent="0.2">
      <c r="A10697" s="4" t="s">
        <v>1</v>
      </c>
      <c r="B1069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97" s="3" t="str">
        <f>HYPERLINK("https://otsuka-europe-crm.veevavault.com/ui/#object/sent_email__v/VBLZ025E82GU6GE", "SE-000276921")</f>
        <v>SE-000276921</v>
      </c>
      <c r="D10697" s="1" t="s">
        <v>0</v>
      </c>
      <c r="E10697" s="2">
        <v>0</v>
      </c>
      <c r="F10697" s="2">
        <v>0</v>
      </c>
      <c r="G10697" s="2">
        <v>0</v>
      </c>
      <c r="H10697" s="1" t="s">
        <v>0</v>
      </c>
      <c r="I10697" s="2">
        <v>0</v>
      </c>
      <c r="J10697" s="1">
        <v>45919.427349537036</v>
      </c>
    </row>
    <row r="10698" spans="1:10" x14ac:dyDescent="0.2">
      <c r="A10698" s="4" t="s">
        <v>1</v>
      </c>
      <c r="B1069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98" s="3" t="str">
        <f>HYPERLINK("https://otsuka-europe-crm.veevavault.com/ui/#object/sent_email__v/VBLZ025E82GU6GF", "SE-000276922")</f>
        <v>SE-000276922</v>
      </c>
      <c r="D10698" s="1" t="s">
        <v>0</v>
      </c>
      <c r="E10698" s="2">
        <v>0</v>
      </c>
      <c r="F10698" s="2">
        <v>0</v>
      </c>
      <c r="G10698" s="2">
        <v>0</v>
      </c>
      <c r="H10698" s="1" t="s">
        <v>0</v>
      </c>
      <c r="I10698" s="2">
        <v>0</v>
      </c>
      <c r="J10698" s="1">
        <v>45919.427175925928</v>
      </c>
    </row>
    <row r="10699" spans="1:10" x14ac:dyDescent="0.2">
      <c r="A10699" s="4" t="s">
        <v>1</v>
      </c>
      <c r="B1069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699" s="3" t="str">
        <f>HYPERLINK("https://otsuka-europe-crm.veevavault.com/ui/#object/sent_email__v/VBLZ025E82GU6GG", "SE-000276923")</f>
        <v>SE-000276923</v>
      </c>
      <c r="D10699" s="1">
        <v>45922.461481481485</v>
      </c>
      <c r="E10699" s="2">
        <v>1</v>
      </c>
      <c r="F10699" s="2">
        <v>1</v>
      </c>
      <c r="G10699" s="2">
        <v>0</v>
      </c>
      <c r="H10699" s="1" t="s">
        <v>0</v>
      </c>
      <c r="I10699" s="2">
        <v>0</v>
      </c>
      <c r="J10699" s="1">
        <v>45919.427349537036</v>
      </c>
    </row>
    <row r="10700" spans="1:10" x14ac:dyDescent="0.2">
      <c r="A10700" s="4" t="s">
        <v>1</v>
      </c>
      <c r="B1070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00" s="3" t="str">
        <f>HYPERLINK("https://otsuka-europe-crm.veevavault.com/ui/#object/sent_email__v/VBLZ025E82GU6GH", "SE-000276924")</f>
        <v>SE-000276924</v>
      </c>
      <c r="D10700" s="1" t="s">
        <v>0</v>
      </c>
      <c r="E10700" s="2">
        <v>0</v>
      </c>
      <c r="F10700" s="2">
        <v>0</v>
      </c>
      <c r="G10700" s="2">
        <v>0</v>
      </c>
      <c r="H10700" s="1" t="s">
        <v>0</v>
      </c>
      <c r="I10700" s="2">
        <v>0</v>
      </c>
      <c r="J10700" s="1">
        <v>45919.427199074074</v>
      </c>
    </row>
    <row r="10701" spans="1:10" x14ac:dyDescent="0.2">
      <c r="A10701" s="4" t="s">
        <v>1</v>
      </c>
      <c r="B1070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01" s="3" t="str">
        <f>HYPERLINK("https://otsuka-europe-crm.veevavault.com/ui/#object/sent_email__v/VBLZ025E82GU6GI", "SE-000276925")</f>
        <v>SE-000276925</v>
      </c>
      <c r="D10701" s="1" t="s">
        <v>0</v>
      </c>
      <c r="E10701" s="2">
        <v>0</v>
      </c>
      <c r="F10701" s="2">
        <v>0</v>
      </c>
      <c r="G10701" s="2">
        <v>0</v>
      </c>
      <c r="H10701" s="1" t="s">
        <v>0</v>
      </c>
      <c r="I10701" s="2">
        <v>0</v>
      </c>
      <c r="J10701" s="1">
        <v>45919.427303240744</v>
      </c>
    </row>
    <row r="10702" spans="1:10" x14ac:dyDescent="0.2">
      <c r="A10702" s="4" t="s">
        <v>1</v>
      </c>
      <c r="B1070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02" s="3" t="str">
        <f>HYPERLINK("https://otsuka-europe-crm.veevavault.com/ui/#object/sent_email__v/VBLZ025E82GU6GJ", "SE-000276926")</f>
        <v>SE-000276926</v>
      </c>
      <c r="D10702" s="1" t="s">
        <v>0</v>
      </c>
      <c r="E10702" s="2">
        <v>0</v>
      </c>
      <c r="F10702" s="2">
        <v>0</v>
      </c>
      <c r="G10702" s="2">
        <v>0</v>
      </c>
      <c r="H10702" s="1" t="s">
        <v>0</v>
      </c>
      <c r="I10702" s="2">
        <v>0</v>
      </c>
      <c r="J10702" s="1">
        <v>45919.427129629628</v>
      </c>
    </row>
    <row r="10703" spans="1:10" x14ac:dyDescent="0.2">
      <c r="A10703" s="4" t="s">
        <v>1</v>
      </c>
      <c r="B1070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03" s="3" t="str">
        <f>HYPERLINK("https://otsuka-europe-crm.veevavault.com/ui/#object/sent_email__v/VBLZ025E82GU6GK", "SE-000276927")</f>
        <v>SE-000276927</v>
      </c>
      <c r="D10703" s="1" t="s">
        <v>0</v>
      </c>
      <c r="E10703" s="2">
        <v>0</v>
      </c>
      <c r="F10703" s="2">
        <v>0</v>
      </c>
      <c r="G10703" s="2">
        <v>0</v>
      </c>
      <c r="H10703" s="1" t="s">
        <v>0</v>
      </c>
      <c r="I10703" s="2">
        <v>0</v>
      </c>
      <c r="J10703" s="1">
        <v>45919.427268518521</v>
      </c>
    </row>
    <row r="10704" spans="1:10" x14ac:dyDescent="0.2">
      <c r="A10704" s="4" t="s">
        <v>1</v>
      </c>
      <c r="B1070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04" s="3" t="str">
        <f>HYPERLINK("https://otsuka-europe-crm.veevavault.com/ui/#object/sent_email__v/VBLZ025E82GU6GL", "SE-000276928")</f>
        <v>SE-000276928</v>
      </c>
      <c r="D10704" s="1" t="s">
        <v>0</v>
      </c>
      <c r="E10704" s="2">
        <v>0</v>
      </c>
      <c r="F10704" s="2">
        <v>0</v>
      </c>
      <c r="G10704" s="2">
        <v>0</v>
      </c>
      <c r="H10704" s="1" t="s">
        <v>0</v>
      </c>
      <c r="I10704" s="2">
        <v>0</v>
      </c>
      <c r="J10704" s="1">
        <v>45919.427118055559</v>
      </c>
    </row>
    <row r="10705" spans="1:10" x14ac:dyDescent="0.2">
      <c r="A10705" s="4" t="s">
        <v>1</v>
      </c>
      <c r="B1070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05" s="3" t="str">
        <f>HYPERLINK("https://otsuka-europe-crm.veevavault.com/ui/#object/sent_email__v/VBLZ025E82GU6GM", "SE-000276929")</f>
        <v>SE-000276929</v>
      </c>
      <c r="D10705" s="1">
        <v>45922.996377314812</v>
      </c>
      <c r="E10705" s="2">
        <v>1</v>
      </c>
      <c r="F10705" s="2">
        <v>1</v>
      </c>
      <c r="G10705" s="2">
        <v>0</v>
      </c>
      <c r="H10705" s="1" t="s">
        <v>0</v>
      </c>
      <c r="I10705" s="2">
        <v>0</v>
      </c>
      <c r="J10705" s="1">
        <v>45919.427314814813</v>
      </c>
    </row>
    <row r="10706" spans="1:10" x14ac:dyDescent="0.2">
      <c r="A10706" s="4" t="s">
        <v>1</v>
      </c>
      <c r="B1070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06" s="3" t="str">
        <f>HYPERLINK("https://otsuka-europe-crm.veevavault.com/ui/#object/sent_email__v/VBLZ025E82GU6GN", "SE-000276930")</f>
        <v>SE-000276930</v>
      </c>
      <c r="D10706" s="1" t="s">
        <v>0</v>
      </c>
      <c r="E10706" s="2">
        <v>0</v>
      </c>
      <c r="F10706" s="2">
        <v>0</v>
      </c>
      <c r="G10706" s="2">
        <v>0</v>
      </c>
      <c r="H10706" s="1" t="s">
        <v>0</v>
      </c>
      <c r="I10706" s="2">
        <v>0</v>
      </c>
      <c r="J10706" s="1">
        <v>45919.427175925928</v>
      </c>
    </row>
    <row r="10707" spans="1:10" x14ac:dyDescent="0.2">
      <c r="A10707" s="4" t="s">
        <v>1</v>
      </c>
      <c r="B1070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07" s="3" t="str">
        <f>HYPERLINK("https://otsuka-europe-crm.veevavault.com/ui/#object/sent_email__v/VBLZ025E82GU6GO", "SE-000276931")</f>
        <v>SE-000276931</v>
      </c>
      <c r="D10707" s="1" t="s">
        <v>0</v>
      </c>
      <c r="E10707" s="2">
        <v>0</v>
      </c>
      <c r="F10707" s="2">
        <v>0</v>
      </c>
      <c r="G10707" s="2">
        <v>0</v>
      </c>
      <c r="H10707" s="1" t="s">
        <v>0</v>
      </c>
      <c r="I10707" s="2">
        <v>0</v>
      </c>
      <c r="J10707" s="1">
        <v>45919.42732638889</v>
      </c>
    </row>
    <row r="10708" spans="1:10" x14ac:dyDescent="0.2">
      <c r="A10708" s="4" t="s">
        <v>1</v>
      </c>
      <c r="B1070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08" s="3" t="str">
        <f>HYPERLINK("https://otsuka-europe-crm.veevavault.com/ui/#object/sent_email__v/VBLZ025E82GU6GP", "SE-000276932")</f>
        <v>SE-000276932</v>
      </c>
      <c r="D10708" s="1" t="s">
        <v>0</v>
      </c>
      <c r="E10708" s="2">
        <v>0</v>
      </c>
      <c r="F10708" s="2">
        <v>0</v>
      </c>
      <c r="G10708" s="2">
        <v>0</v>
      </c>
      <c r="H10708" s="1" t="s">
        <v>0</v>
      </c>
      <c r="I10708" s="2">
        <v>0</v>
      </c>
      <c r="J10708" s="1">
        <v>45919.427152777775</v>
      </c>
    </row>
    <row r="10709" spans="1:10" x14ac:dyDescent="0.2">
      <c r="A10709" s="4" t="s">
        <v>1</v>
      </c>
      <c r="B1070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09" s="3" t="str">
        <f>HYPERLINK("https://otsuka-europe-crm.veevavault.com/ui/#object/sent_email__v/VBLZ025E82GU6GQ", "SE-000276933")</f>
        <v>SE-000276933</v>
      </c>
      <c r="D10709" s="1" t="s">
        <v>0</v>
      </c>
      <c r="E10709" s="2">
        <v>0</v>
      </c>
      <c r="F10709" s="2">
        <v>0</v>
      </c>
      <c r="G10709" s="2">
        <v>0</v>
      </c>
      <c r="H10709" s="1" t="s">
        <v>0</v>
      </c>
      <c r="I10709" s="2">
        <v>0</v>
      </c>
      <c r="J10709" s="1">
        <v>45919.427407407406</v>
      </c>
    </row>
    <row r="10710" spans="1:10" x14ac:dyDescent="0.2">
      <c r="A10710" s="4" t="s">
        <v>1</v>
      </c>
      <c r="B1071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10" s="3" t="str">
        <f>HYPERLINK("https://otsuka-europe-crm.veevavault.com/ui/#object/sent_email__v/VBLZ025E82GU6GR", "SE-000276934")</f>
        <v>SE-000276934</v>
      </c>
      <c r="D10710" s="1">
        <v>45921.649583333332</v>
      </c>
      <c r="E10710" s="2">
        <v>1</v>
      </c>
      <c r="F10710" s="2">
        <v>1</v>
      </c>
      <c r="G10710" s="2">
        <v>1</v>
      </c>
      <c r="H10710" s="1">
        <v>45921.649618055555</v>
      </c>
      <c r="I10710" s="2">
        <v>1</v>
      </c>
      <c r="J10710" s="1">
        <v>45919.427256944444</v>
      </c>
    </row>
    <row r="10711" spans="1:10" x14ac:dyDescent="0.2">
      <c r="A10711" s="4" t="s">
        <v>1</v>
      </c>
      <c r="B1071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11" s="3" t="str">
        <f>HYPERLINK("https://otsuka-europe-crm.veevavault.com/ui/#object/sent_email__v/VBLZ025E82GU6GS", "SE-000276935")</f>
        <v>SE-000276935</v>
      </c>
      <c r="D10711" s="1" t="s">
        <v>0</v>
      </c>
      <c r="E10711" s="2">
        <v>0</v>
      </c>
      <c r="F10711" s="2">
        <v>0</v>
      </c>
      <c r="G10711" s="2">
        <v>0</v>
      </c>
      <c r="H10711" s="1" t="s">
        <v>0</v>
      </c>
      <c r="I10711" s="2">
        <v>0</v>
      </c>
      <c r="J10711" s="1">
        <v>45919.427384259259</v>
      </c>
    </row>
    <row r="10712" spans="1:10" x14ac:dyDescent="0.2">
      <c r="A10712" s="4" t="s">
        <v>1</v>
      </c>
      <c r="B1071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12" s="3" t="str">
        <f>HYPERLINK("https://otsuka-europe-crm.veevavault.com/ui/#object/sent_email__v/VBLZ025E82GU6GT", "SE-000276936")</f>
        <v>SE-000276936</v>
      </c>
      <c r="D10712" s="1" t="s">
        <v>0</v>
      </c>
      <c r="E10712" s="2">
        <v>0</v>
      </c>
      <c r="F10712" s="2">
        <v>0</v>
      </c>
      <c r="G10712" s="2">
        <v>0</v>
      </c>
      <c r="H10712" s="1" t="s">
        <v>0</v>
      </c>
      <c r="I10712" s="2">
        <v>0</v>
      </c>
      <c r="J10712" s="1">
        <v>45919.427233796298</v>
      </c>
    </row>
    <row r="10713" spans="1:10" x14ac:dyDescent="0.2">
      <c r="A10713" s="4" t="s">
        <v>1</v>
      </c>
      <c r="B1071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13" s="3" t="str">
        <f>HYPERLINK("https://otsuka-europe-crm.veevavault.com/ui/#object/sent_email__v/VBLZ025E82GU6GU", "SE-000276937")</f>
        <v>SE-000276937</v>
      </c>
      <c r="D10713" s="1" t="s">
        <v>0</v>
      </c>
      <c r="E10713" s="2">
        <v>0</v>
      </c>
      <c r="F10713" s="2">
        <v>0</v>
      </c>
      <c r="G10713" s="2">
        <v>0</v>
      </c>
      <c r="H10713" s="1" t="s">
        <v>0</v>
      </c>
      <c r="I10713" s="2">
        <v>0</v>
      </c>
      <c r="J10713" s="1">
        <v>45919.427268518521</v>
      </c>
    </row>
    <row r="10714" spans="1:10" x14ac:dyDescent="0.2">
      <c r="A10714" s="4" t="s">
        <v>1</v>
      </c>
      <c r="B1071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14" s="3" t="str">
        <f>HYPERLINK("https://otsuka-europe-crm.veevavault.com/ui/#object/sent_email__v/VBLZ025E82GU6GV", "SE-000276938")</f>
        <v>SE-000276938</v>
      </c>
      <c r="D10714" s="1" t="s">
        <v>0</v>
      </c>
      <c r="E10714" s="2">
        <v>0</v>
      </c>
      <c r="F10714" s="2">
        <v>0</v>
      </c>
      <c r="G10714" s="2">
        <v>0</v>
      </c>
      <c r="H10714" s="1" t="s">
        <v>0</v>
      </c>
      <c r="I10714" s="2">
        <v>0</v>
      </c>
      <c r="J10714" s="1">
        <v>45919.427141203705</v>
      </c>
    </row>
    <row r="10715" spans="1:10" x14ac:dyDescent="0.2">
      <c r="A10715" s="4" t="s">
        <v>1</v>
      </c>
      <c r="B1071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15" s="3" t="str">
        <f>HYPERLINK("https://otsuka-europe-crm.veevavault.com/ui/#object/sent_email__v/VBLZ025E82GU6GW", "SE-000276939")</f>
        <v>SE-000276939</v>
      </c>
      <c r="D10715" s="1" t="s">
        <v>0</v>
      </c>
      <c r="E10715" s="2">
        <v>0</v>
      </c>
      <c r="F10715" s="2">
        <v>0</v>
      </c>
      <c r="G10715" s="2">
        <v>0</v>
      </c>
      <c r="H10715" s="1" t="s">
        <v>0</v>
      </c>
      <c r="I10715" s="2">
        <v>0</v>
      </c>
      <c r="J10715" s="1">
        <v>45919.427291666667</v>
      </c>
    </row>
    <row r="10716" spans="1:10" x14ac:dyDescent="0.2">
      <c r="A10716" s="4" t="s">
        <v>1</v>
      </c>
      <c r="B1071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16" s="3" t="str">
        <f>HYPERLINK("https://otsuka-europe-crm.veevavault.com/ui/#object/sent_email__v/VBLZ025E82GU6GX", "SE-000276940")</f>
        <v>SE-000276940</v>
      </c>
      <c r="D10716" s="1" t="s">
        <v>0</v>
      </c>
      <c r="E10716" s="2">
        <v>0</v>
      </c>
      <c r="F10716" s="2">
        <v>0</v>
      </c>
      <c r="G10716" s="2">
        <v>0</v>
      </c>
      <c r="H10716" s="1" t="s">
        <v>0</v>
      </c>
      <c r="I10716" s="2">
        <v>0</v>
      </c>
      <c r="J10716" s="1">
        <v>45919.427118055559</v>
      </c>
    </row>
    <row r="10717" spans="1:10" x14ac:dyDescent="0.2">
      <c r="A10717" s="4" t="s">
        <v>1</v>
      </c>
      <c r="B1071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17" s="3" t="str">
        <f>HYPERLINK("https://otsuka-europe-crm.veevavault.com/ui/#object/sent_email__v/VBLZ025E82GU6GY", "SE-000276941")</f>
        <v>SE-000276941</v>
      </c>
      <c r="D10717" s="1" t="s">
        <v>0</v>
      </c>
      <c r="E10717" s="2">
        <v>0</v>
      </c>
      <c r="F10717" s="2">
        <v>0</v>
      </c>
      <c r="G10717" s="2">
        <v>0</v>
      </c>
      <c r="H10717" s="1" t="s">
        <v>0</v>
      </c>
      <c r="I10717" s="2">
        <v>0</v>
      </c>
      <c r="J10717" s="1">
        <v>45919.42728009259</v>
      </c>
    </row>
    <row r="10718" spans="1:10" x14ac:dyDescent="0.2">
      <c r="A10718" s="4" t="s">
        <v>1</v>
      </c>
      <c r="B1071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18" s="3" t="str">
        <f>HYPERLINK("https://otsuka-europe-crm.veevavault.com/ui/#object/sent_email__v/VBLZ025E82GU6GZ", "SE-000276942")</f>
        <v>SE-000276942</v>
      </c>
      <c r="D10718" s="1" t="s">
        <v>0</v>
      </c>
      <c r="E10718" s="2">
        <v>0</v>
      </c>
      <c r="F10718" s="2">
        <v>0</v>
      </c>
      <c r="G10718" s="2">
        <v>0</v>
      </c>
      <c r="H10718" s="1" t="s">
        <v>0</v>
      </c>
      <c r="I10718" s="2">
        <v>0</v>
      </c>
      <c r="J10718" s="1">
        <v>45919.427152777775</v>
      </c>
    </row>
    <row r="10719" spans="1:10" x14ac:dyDescent="0.2">
      <c r="A10719" s="4" t="s">
        <v>1</v>
      </c>
      <c r="B1071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19" s="3" t="str">
        <f>HYPERLINK("https://otsuka-europe-crm.veevavault.com/ui/#object/sent_email__v/VBLZ025E82GU6H0", "SE-000276943")</f>
        <v>SE-000276943</v>
      </c>
      <c r="D10719" s="1" t="s">
        <v>0</v>
      </c>
      <c r="E10719" s="2">
        <v>0</v>
      </c>
      <c r="F10719" s="2">
        <v>0</v>
      </c>
      <c r="G10719" s="2">
        <v>0</v>
      </c>
      <c r="H10719" s="1" t="s">
        <v>0</v>
      </c>
      <c r="I10719" s="2">
        <v>0</v>
      </c>
      <c r="J10719" s="1">
        <v>45919.427303240744</v>
      </c>
    </row>
    <row r="10720" spans="1:10" x14ac:dyDescent="0.2">
      <c r="A10720" s="4" t="s">
        <v>1</v>
      </c>
      <c r="B1072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20" s="3" t="str">
        <f>HYPERLINK("https://otsuka-europe-crm.veevavault.com/ui/#object/sent_email__v/VBLZ025E82GU6H1", "SE-000276944")</f>
        <v>SE-000276944</v>
      </c>
      <c r="D10720" s="1" t="s">
        <v>0</v>
      </c>
      <c r="E10720" s="2">
        <v>0</v>
      </c>
      <c r="F10720" s="2">
        <v>0</v>
      </c>
      <c r="G10720" s="2">
        <v>0</v>
      </c>
      <c r="H10720" s="1" t="s">
        <v>0</v>
      </c>
      <c r="I10720" s="2">
        <v>0</v>
      </c>
      <c r="J10720" s="1">
        <v>45919.427164351851</v>
      </c>
    </row>
    <row r="10721" spans="1:10" x14ac:dyDescent="0.2">
      <c r="A10721" s="4" t="s">
        <v>1</v>
      </c>
      <c r="B1072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21" s="3" t="str">
        <f>HYPERLINK("https://otsuka-europe-crm.veevavault.com/ui/#object/sent_email__v/VBLZ025E82GU6H2", "SE-000276945")</f>
        <v>SE-000276945</v>
      </c>
      <c r="D10721" s="1" t="s">
        <v>0</v>
      </c>
      <c r="E10721" s="2">
        <v>0</v>
      </c>
      <c r="F10721" s="2">
        <v>0</v>
      </c>
      <c r="G10721" s="2">
        <v>0</v>
      </c>
      <c r="H10721" s="1" t="s">
        <v>0</v>
      </c>
      <c r="I10721" s="2">
        <v>0</v>
      </c>
      <c r="J10721" s="1">
        <v>45919.427337962959</v>
      </c>
    </row>
    <row r="10722" spans="1:10" x14ac:dyDescent="0.2">
      <c r="A10722" s="4" t="s">
        <v>1</v>
      </c>
      <c r="B1072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22" s="3" t="str">
        <f>HYPERLINK("https://otsuka-europe-crm.veevavault.com/ui/#object/sent_email__v/VBLZ025E82GU6H3", "SE-000276946")</f>
        <v>SE-000276946</v>
      </c>
      <c r="D10722" s="1" t="s">
        <v>0</v>
      </c>
      <c r="E10722" s="2">
        <v>0</v>
      </c>
      <c r="F10722" s="2">
        <v>0</v>
      </c>
      <c r="G10722" s="2">
        <v>0</v>
      </c>
      <c r="H10722" s="1" t="s">
        <v>0</v>
      </c>
      <c r="I10722" s="2">
        <v>0</v>
      </c>
      <c r="J10722" s="1">
        <v>45919.427187499998</v>
      </c>
    </row>
    <row r="10723" spans="1:10" x14ac:dyDescent="0.2">
      <c r="A10723" s="4" t="s">
        <v>1</v>
      </c>
      <c r="B1072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23" s="3" t="str">
        <f>HYPERLINK("https://otsuka-europe-crm.veevavault.com/ui/#object/sent_email__v/VBLZ025E82GU6H4", "SE-000276947")</f>
        <v>SE-000276947</v>
      </c>
      <c r="D10723" s="1" t="s">
        <v>0</v>
      </c>
      <c r="E10723" s="2">
        <v>0</v>
      </c>
      <c r="F10723" s="2">
        <v>0</v>
      </c>
      <c r="G10723" s="2">
        <v>0</v>
      </c>
      <c r="H10723" s="1" t="s">
        <v>0</v>
      </c>
      <c r="I10723" s="2">
        <v>0</v>
      </c>
      <c r="J10723" s="1">
        <v>45919.427245370367</v>
      </c>
    </row>
    <row r="10724" spans="1:10" x14ac:dyDescent="0.2">
      <c r="A10724" s="4" t="s">
        <v>1</v>
      </c>
      <c r="B1072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24" s="3" t="str">
        <f>HYPERLINK("https://otsuka-europe-crm.veevavault.com/ui/#object/sent_email__v/VBLZ025E82GU6H5", "SE-000276948")</f>
        <v>SE-000276948</v>
      </c>
      <c r="D10724" s="1" t="s">
        <v>0</v>
      </c>
      <c r="E10724" s="2">
        <v>0</v>
      </c>
      <c r="F10724" s="2">
        <v>0</v>
      </c>
      <c r="G10724" s="2">
        <v>0</v>
      </c>
      <c r="H10724" s="1" t="s">
        <v>0</v>
      </c>
      <c r="I10724" s="2">
        <v>0</v>
      </c>
      <c r="J10724" s="1">
        <v>45919.427395833336</v>
      </c>
    </row>
    <row r="10725" spans="1:10" x14ac:dyDescent="0.2">
      <c r="A10725" s="4" t="s">
        <v>1</v>
      </c>
      <c r="B1072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25" s="3" t="str">
        <f>HYPERLINK("https://otsuka-europe-crm.veevavault.com/ui/#object/sent_email__v/VBLZ025E82GU6H6", "SE-000276949")</f>
        <v>SE-000276949</v>
      </c>
      <c r="D10725" s="1" t="s">
        <v>0</v>
      </c>
      <c r="E10725" s="2">
        <v>0</v>
      </c>
      <c r="F10725" s="2">
        <v>0</v>
      </c>
      <c r="G10725" s="2">
        <v>0</v>
      </c>
      <c r="H10725" s="1" t="s">
        <v>0</v>
      </c>
      <c r="I10725" s="2">
        <v>0</v>
      </c>
      <c r="J10725" s="1">
        <v>45919.427233796298</v>
      </c>
    </row>
    <row r="10726" spans="1:10" x14ac:dyDescent="0.2">
      <c r="A10726" s="4" t="s">
        <v>1</v>
      </c>
      <c r="B1072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26" s="3" t="str">
        <f>HYPERLINK("https://otsuka-europe-crm.veevavault.com/ui/#object/sent_email__v/VBLZ025E82GU6H7", "SE-000276950")</f>
        <v>SE-000276950</v>
      </c>
      <c r="D10726" s="1" t="s">
        <v>0</v>
      </c>
      <c r="E10726" s="2">
        <v>0</v>
      </c>
      <c r="F10726" s="2">
        <v>0</v>
      </c>
      <c r="G10726" s="2">
        <v>0</v>
      </c>
      <c r="H10726" s="1" t="s">
        <v>0</v>
      </c>
      <c r="I10726" s="2">
        <v>0</v>
      </c>
      <c r="J10726" s="1">
        <v>45919.427361111113</v>
      </c>
    </row>
    <row r="10727" spans="1:10" x14ac:dyDescent="0.2">
      <c r="A10727" s="4" t="s">
        <v>1</v>
      </c>
      <c r="B1072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27" s="3" t="str">
        <f>HYPERLINK("https://otsuka-europe-crm.veevavault.com/ui/#object/sent_email__v/VBLZ025E82GU6H8", "SE-000276951")</f>
        <v>SE-000276951</v>
      </c>
      <c r="D10727" s="1" t="s">
        <v>0</v>
      </c>
      <c r="E10727" s="2">
        <v>0</v>
      </c>
      <c r="F10727" s="2">
        <v>0</v>
      </c>
      <c r="G10727" s="2">
        <v>0</v>
      </c>
      <c r="H10727" s="1" t="s">
        <v>0</v>
      </c>
      <c r="I10727" s="2">
        <v>0</v>
      </c>
      <c r="J10727" s="1">
        <v>45919.427210648151</v>
      </c>
    </row>
    <row r="10728" spans="1:10" x14ac:dyDescent="0.2">
      <c r="A10728" s="4" t="s">
        <v>1</v>
      </c>
      <c r="B1072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28" s="3" t="str">
        <f>HYPERLINK("https://otsuka-europe-crm.veevavault.com/ui/#object/sent_email__v/VBLZ025E82GU6H9", "SE-000276952")</f>
        <v>SE-000276952</v>
      </c>
      <c r="D10728" s="1" t="s">
        <v>0</v>
      </c>
      <c r="E10728" s="2">
        <v>0</v>
      </c>
      <c r="F10728" s="2">
        <v>0</v>
      </c>
      <c r="G10728" s="2">
        <v>0</v>
      </c>
      <c r="H10728" s="1" t="s">
        <v>0</v>
      </c>
      <c r="I10728" s="2">
        <v>0</v>
      </c>
      <c r="J10728" s="1">
        <v>45919.427372685182</v>
      </c>
    </row>
    <row r="10729" spans="1:10" x14ac:dyDescent="0.2">
      <c r="A10729" s="4" t="s">
        <v>1</v>
      </c>
      <c r="B1072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29" s="3" t="str">
        <f>HYPERLINK("https://otsuka-europe-crm.veevavault.com/ui/#object/sent_email__v/VBLZ025E82GU6HA", "SE-000276953")</f>
        <v>SE-000276953</v>
      </c>
      <c r="D10729" s="1">
        <v>45922.370358796295</v>
      </c>
      <c r="E10729" s="2">
        <v>1</v>
      </c>
      <c r="F10729" s="2">
        <v>1</v>
      </c>
      <c r="G10729" s="2">
        <v>0</v>
      </c>
      <c r="H10729" s="1" t="s">
        <v>0</v>
      </c>
      <c r="I10729" s="2">
        <v>0</v>
      </c>
      <c r="J10729" s="1">
        <v>45919.427222222221</v>
      </c>
    </row>
    <row r="10730" spans="1:10" x14ac:dyDescent="0.2">
      <c r="A10730" s="4" t="s">
        <v>1</v>
      </c>
      <c r="B1073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30" s="3" t="str">
        <f>HYPERLINK("https://otsuka-europe-crm.veevavault.com/ui/#object/sent_email__v/VBLZ025E82GU6U9", "SE-000276954")</f>
        <v>SE-000276954</v>
      </c>
      <c r="D10730" s="1" t="s">
        <v>0</v>
      </c>
      <c r="E10730" s="2">
        <v>0</v>
      </c>
      <c r="F10730" s="2">
        <v>0</v>
      </c>
      <c r="G10730" s="2">
        <v>0</v>
      </c>
      <c r="H10730" s="1" t="s">
        <v>0</v>
      </c>
      <c r="I10730" s="2">
        <v>0</v>
      </c>
      <c r="J10730" s="1">
        <v>45919.428171296298</v>
      </c>
    </row>
    <row r="10731" spans="1:10" x14ac:dyDescent="0.2">
      <c r="A10731" s="4" t="s">
        <v>1</v>
      </c>
      <c r="B1073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31" s="3" t="str">
        <f>HYPERLINK("https://otsuka-europe-crm.veevavault.com/ui/#object/sent_email__v/VBLZ025E82GU6UA", "SE-000276955")</f>
        <v>SE-000276955</v>
      </c>
      <c r="D10731" s="1" t="s">
        <v>0</v>
      </c>
      <c r="E10731" s="2">
        <v>0</v>
      </c>
      <c r="F10731" s="2">
        <v>0</v>
      </c>
      <c r="G10731" s="2">
        <v>0</v>
      </c>
      <c r="H10731" s="1" t="s">
        <v>0</v>
      </c>
      <c r="I10731" s="2">
        <v>0</v>
      </c>
      <c r="J10731" s="1">
        <v>45919.428252314814</v>
      </c>
    </row>
    <row r="10732" spans="1:10" x14ac:dyDescent="0.2">
      <c r="A10732" s="4" t="s">
        <v>1</v>
      </c>
      <c r="B1073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32" s="3" t="str">
        <f>HYPERLINK("https://otsuka-europe-crm.veevavault.com/ui/#object/sent_email__v/VBLZ025E82GU6UB", "SE-000276956")</f>
        <v>SE-000276956</v>
      </c>
      <c r="D10732" s="1" t="s">
        <v>0</v>
      </c>
      <c r="E10732" s="2">
        <v>0</v>
      </c>
      <c r="F10732" s="2">
        <v>0</v>
      </c>
      <c r="G10732" s="2">
        <v>0</v>
      </c>
      <c r="H10732" s="1" t="s">
        <v>0</v>
      </c>
      <c r="I10732" s="2">
        <v>0</v>
      </c>
      <c r="J10732" s="1">
        <v>45919.428136574075</v>
      </c>
    </row>
    <row r="10733" spans="1:10" x14ac:dyDescent="0.2">
      <c r="A10733" s="4" t="s">
        <v>1</v>
      </c>
      <c r="B1073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33" s="3" t="str">
        <f>HYPERLINK("https://otsuka-europe-crm.veevavault.com/ui/#object/sent_email__v/VBLZ025E82GU6UC", "SE-000276957")</f>
        <v>SE-000276957</v>
      </c>
      <c r="D10733" s="1" t="s">
        <v>0</v>
      </c>
      <c r="E10733" s="2">
        <v>0</v>
      </c>
      <c r="F10733" s="2">
        <v>0</v>
      </c>
      <c r="G10733" s="2">
        <v>0</v>
      </c>
      <c r="H10733" s="1" t="s">
        <v>0</v>
      </c>
      <c r="I10733" s="2">
        <v>0</v>
      </c>
      <c r="J10733" s="1">
        <v>45919.428252314814</v>
      </c>
    </row>
    <row r="10734" spans="1:10" x14ac:dyDescent="0.2">
      <c r="A10734" s="4" t="s">
        <v>1</v>
      </c>
      <c r="B1073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34" s="3" t="str">
        <f>HYPERLINK("https://otsuka-europe-crm.veevavault.com/ui/#object/sent_email__v/VBLZ025E82GU6UD", "SE-000276958")</f>
        <v>SE-000276958</v>
      </c>
      <c r="D10734" s="1" t="s">
        <v>0</v>
      </c>
      <c r="E10734" s="2">
        <v>0</v>
      </c>
      <c r="F10734" s="2">
        <v>0</v>
      </c>
      <c r="G10734" s="2">
        <v>0</v>
      </c>
      <c r="H10734" s="1" t="s">
        <v>0</v>
      </c>
      <c r="I10734" s="2">
        <v>0</v>
      </c>
      <c r="J10734" s="1">
        <v>45919.428124999999</v>
      </c>
    </row>
    <row r="10735" spans="1:10" x14ac:dyDescent="0.2">
      <c r="A10735" s="4" t="s">
        <v>1</v>
      </c>
      <c r="B1073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35" s="3" t="str">
        <f>HYPERLINK("https://otsuka-europe-crm.veevavault.com/ui/#object/sent_email__v/VBLZ025E82GU6UE", "SE-000276959")</f>
        <v>SE-000276959</v>
      </c>
      <c r="D10735" s="1" t="s">
        <v>0</v>
      </c>
      <c r="E10735" s="2">
        <v>0</v>
      </c>
      <c r="F10735" s="2">
        <v>0</v>
      </c>
      <c r="G10735" s="2">
        <v>0</v>
      </c>
      <c r="H10735" s="1" t="s">
        <v>0</v>
      </c>
      <c r="I10735" s="2">
        <v>0</v>
      </c>
      <c r="J10735" s="1">
        <v>45919.42827546296</v>
      </c>
    </row>
    <row r="10736" spans="1:10" x14ac:dyDescent="0.2">
      <c r="A10736" s="4" t="s">
        <v>1</v>
      </c>
      <c r="B1073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36" s="3" t="str">
        <f>HYPERLINK("https://otsuka-europe-crm.veevavault.com/ui/#object/sent_email__v/VBLZ025E82GU6UF", "SE-000276960")</f>
        <v>SE-000276960</v>
      </c>
      <c r="D10736" s="1" t="s">
        <v>0</v>
      </c>
      <c r="E10736" s="2">
        <v>0</v>
      </c>
      <c r="F10736" s="2">
        <v>0</v>
      </c>
      <c r="G10736" s="2">
        <v>0</v>
      </c>
      <c r="H10736" s="1" t="s">
        <v>0</v>
      </c>
      <c r="I10736" s="2">
        <v>0</v>
      </c>
      <c r="J10736" s="1">
        <v>45919.428136574075</v>
      </c>
    </row>
    <row r="10737" spans="1:10" x14ac:dyDescent="0.2">
      <c r="A10737" s="4" t="s">
        <v>1</v>
      </c>
      <c r="B1073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37" s="3" t="str">
        <f>HYPERLINK("https://otsuka-europe-crm.veevavault.com/ui/#object/sent_email__v/VBLZ025E82GU6UG", "SE-000276961")</f>
        <v>SE-000276961</v>
      </c>
      <c r="D10737" s="1" t="s">
        <v>0</v>
      </c>
      <c r="E10737" s="2">
        <v>0</v>
      </c>
      <c r="F10737" s="2">
        <v>0</v>
      </c>
      <c r="G10737" s="2">
        <v>0</v>
      </c>
      <c r="H10737" s="1" t="s">
        <v>0</v>
      </c>
      <c r="I10737" s="2">
        <v>0</v>
      </c>
      <c r="J10737" s="1">
        <v>45919.42827546296</v>
      </c>
    </row>
    <row r="10738" spans="1:10" x14ac:dyDescent="0.2">
      <c r="A10738" s="4" t="s">
        <v>1</v>
      </c>
      <c r="B1073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38" s="3" t="str">
        <f>HYPERLINK("https://otsuka-europe-crm.veevavault.com/ui/#object/sent_email__v/VBLZ025E82GU6UH", "SE-000276962")</f>
        <v>SE-000276962</v>
      </c>
      <c r="D10738" s="1" t="s">
        <v>0</v>
      </c>
      <c r="E10738" s="2">
        <v>0</v>
      </c>
      <c r="F10738" s="2">
        <v>0</v>
      </c>
      <c r="G10738" s="2">
        <v>0</v>
      </c>
      <c r="H10738" s="1" t="s">
        <v>0</v>
      </c>
      <c r="I10738" s="2">
        <v>0</v>
      </c>
      <c r="J10738" s="1">
        <v>45919.428171296298</v>
      </c>
    </row>
    <row r="10739" spans="1:10" x14ac:dyDescent="0.2">
      <c r="A10739" s="4" t="s">
        <v>1</v>
      </c>
      <c r="B1073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39" s="3" t="str">
        <f>HYPERLINK("https://otsuka-europe-crm.veevavault.com/ui/#object/sent_email__v/VBLZ025E82GU6UI", "SE-000276963")</f>
        <v>SE-000276963</v>
      </c>
      <c r="D10739" s="1" t="s">
        <v>0</v>
      </c>
      <c r="E10739" s="2">
        <v>0</v>
      </c>
      <c r="F10739" s="2">
        <v>0</v>
      </c>
      <c r="G10739" s="2">
        <v>0</v>
      </c>
      <c r="H10739" s="1" t="s">
        <v>0</v>
      </c>
      <c r="I10739" s="2">
        <v>0</v>
      </c>
      <c r="J10739" s="1">
        <v>45919.428287037037</v>
      </c>
    </row>
    <row r="10740" spans="1:10" x14ac:dyDescent="0.2">
      <c r="A10740" s="4" t="s">
        <v>1</v>
      </c>
      <c r="B1074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40" s="3" t="str">
        <f>HYPERLINK("https://otsuka-europe-crm.veevavault.com/ui/#object/sent_email__v/VBLZ025E82GU6UJ", "SE-000276964")</f>
        <v>SE-000276964</v>
      </c>
      <c r="D10740" s="1" t="s">
        <v>0</v>
      </c>
      <c r="E10740" s="2">
        <v>0</v>
      </c>
      <c r="F10740" s="2">
        <v>0</v>
      </c>
      <c r="G10740" s="2">
        <v>0</v>
      </c>
      <c r="H10740" s="1" t="s">
        <v>0</v>
      </c>
      <c r="I10740" s="2">
        <v>0</v>
      </c>
      <c r="J10740" s="1">
        <v>45919.428159722222</v>
      </c>
    </row>
    <row r="10741" spans="1:10" x14ac:dyDescent="0.2">
      <c r="A10741" s="4" t="s">
        <v>1</v>
      </c>
      <c r="B1074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41" s="3" t="str">
        <f>HYPERLINK("https://otsuka-europe-crm.veevavault.com/ui/#object/sent_email__v/VBLZ025E82GU6UK", "SE-000276965")</f>
        <v>SE-000276965</v>
      </c>
      <c r="D10741" s="1" t="s">
        <v>0</v>
      </c>
      <c r="E10741" s="2">
        <v>0</v>
      </c>
      <c r="F10741" s="2">
        <v>0</v>
      </c>
      <c r="G10741" s="2">
        <v>0</v>
      </c>
      <c r="H10741" s="1" t="s">
        <v>0</v>
      </c>
      <c r="I10741" s="2">
        <v>0</v>
      </c>
      <c r="J10741" s="1">
        <v>45919.42827546296</v>
      </c>
    </row>
    <row r="10742" spans="1:10" x14ac:dyDescent="0.2">
      <c r="A10742" s="4" t="s">
        <v>1</v>
      </c>
      <c r="B1074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42" s="3" t="str">
        <f>HYPERLINK("https://otsuka-europe-crm.veevavault.com/ui/#object/sent_email__v/VBLZ025E82GU6UL", "SE-000276966")</f>
        <v>SE-000276966</v>
      </c>
      <c r="D10742" s="1" t="s">
        <v>0</v>
      </c>
      <c r="E10742" s="2">
        <v>0</v>
      </c>
      <c r="F10742" s="2">
        <v>0</v>
      </c>
      <c r="G10742" s="2">
        <v>0</v>
      </c>
      <c r="H10742" s="1" t="s">
        <v>0</v>
      </c>
      <c r="I10742" s="2">
        <v>0</v>
      </c>
      <c r="J10742" s="1">
        <v>45919.428148148145</v>
      </c>
    </row>
    <row r="10743" spans="1:10" x14ac:dyDescent="0.2">
      <c r="A10743" s="4" t="s">
        <v>1</v>
      </c>
      <c r="B1074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43" s="3" t="str">
        <f>HYPERLINK("https://otsuka-europe-crm.veevavault.com/ui/#object/sent_email__v/VBLZ025E82GU6UM", "SE-000276967")</f>
        <v>SE-000276967</v>
      </c>
      <c r="D10743" s="1" t="s">
        <v>0</v>
      </c>
      <c r="E10743" s="2">
        <v>0</v>
      </c>
      <c r="F10743" s="2">
        <v>0</v>
      </c>
      <c r="G10743" s="2">
        <v>0</v>
      </c>
      <c r="H10743" s="1" t="s">
        <v>0</v>
      </c>
      <c r="I10743" s="2">
        <v>0</v>
      </c>
      <c r="J10743" s="1">
        <v>45919.428055555552</v>
      </c>
    </row>
    <row r="10744" spans="1:10" x14ac:dyDescent="0.2">
      <c r="A10744" s="4" t="s">
        <v>1</v>
      </c>
      <c r="B1074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44" s="3" t="str">
        <f>HYPERLINK("https://otsuka-europe-crm.veevavault.com/ui/#object/sent_email__v/VBLZ025E82GU6UN", "SE-000276968")</f>
        <v>SE-000276968</v>
      </c>
      <c r="D10744" s="1" t="s">
        <v>0</v>
      </c>
      <c r="E10744" s="2">
        <v>0</v>
      </c>
      <c r="F10744" s="2">
        <v>0</v>
      </c>
      <c r="G10744" s="2">
        <v>0</v>
      </c>
      <c r="H10744" s="1" t="s">
        <v>0</v>
      </c>
      <c r="I10744" s="2">
        <v>0</v>
      </c>
      <c r="J10744" s="1">
        <v>45919.428194444445</v>
      </c>
    </row>
    <row r="10745" spans="1:10" x14ac:dyDescent="0.2">
      <c r="A10745" s="4" t="s">
        <v>1</v>
      </c>
      <c r="B1074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45" s="3" t="str">
        <f>HYPERLINK("https://otsuka-europe-crm.veevavault.com/ui/#object/sent_email__v/VBLZ025E82GU6UO", "SE-000276969")</f>
        <v>SE-000276969</v>
      </c>
      <c r="D10745" s="1" t="s">
        <v>0</v>
      </c>
      <c r="E10745" s="2">
        <v>0</v>
      </c>
      <c r="F10745" s="2">
        <v>0</v>
      </c>
      <c r="G10745" s="2">
        <v>0</v>
      </c>
      <c r="H10745" s="1" t="s">
        <v>0</v>
      </c>
      <c r="I10745" s="2">
        <v>0</v>
      </c>
      <c r="J10745" s="1">
        <v>45919.428078703706</v>
      </c>
    </row>
    <row r="10746" spans="1:10" x14ac:dyDescent="0.2">
      <c r="A10746" s="4" t="s">
        <v>1</v>
      </c>
      <c r="B1074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46" s="3" t="str">
        <f>HYPERLINK("https://otsuka-europe-crm.veevavault.com/ui/#object/sent_email__v/VBLZ025E82GU6UP", "SE-000276970")</f>
        <v>SE-000276970</v>
      </c>
      <c r="D10746" s="1" t="s">
        <v>0</v>
      </c>
      <c r="E10746" s="2">
        <v>0</v>
      </c>
      <c r="F10746" s="2">
        <v>0</v>
      </c>
      <c r="G10746" s="2">
        <v>0</v>
      </c>
      <c r="H10746" s="1" t="s">
        <v>0</v>
      </c>
      <c r="I10746" s="2">
        <v>0</v>
      </c>
      <c r="J10746" s="1">
        <v>45919.428182870368</v>
      </c>
    </row>
    <row r="10747" spans="1:10" x14ac:dyDescent="0.2">
      <c r="A10747" s="4" t="s">
        <v>1</v>
      </c>
      <c r="B1074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47" s="3" t="str">
        <f>HYPERLINK("https://otsuka-europe-crm.veevavault.com/ui/#object/sent_email__v/VBLZ025E82GU6UQ", "SE-000276971")</f>
        <v>SE-000276971</v>
      </c>
      <c r="D10747" s="1">
        <v>45919.609895833331</v>
      </c>
      <c r="E10747" s="2">
        <v>1</v>
      </c>
      <c r="F10747" s="2">
        <v>1</v>
      </c>
      <c r="G10747" s="2">
        <v>0</v>
      </c>
      <c r="H10747" s="1" t="s">
        <v>0</v>
      </c>
      <c r="I10747" s="2">
        <v>0</v>
      </c>
      <c r="J10747" s="1">
        <v>45919.428067129629</v>
      </c>
    </row>
    <row r="10748" spans="1:10" x14ac:dyDescent="0.2">
      <c r="A10748" s="4" t="s">
        <v>1</v>
      </c>
      <c r="B1074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48" s="3" t="str">
        <f>HYPERLINK("https://otsuka-europe-crm.veevavault.com/ui/#object/sent_email__v/VBLZ025E82GU6UR", "SE-000276972")</f>
        <v>SE-000276972</v>
      </c>
      <c r="D10748" s="1" t="s">
        <v>0</v>
      </c>
      <c r="E10748" s="2">
        <v>0</v>
      </c>
      <c r="F10748" s="2">
        <v>0</v>
      </c>
      <c r="G10748" s="2">
        <v>0</v>
      </c>
      <c r="H10748" s="1" t="s">
        <v>0</v>
      </c>
      <c r="I10748" s="2">
        <v>0</v>
      </c>
      <c r="J10748" s="1">
        <v>45919.428217592591</v>
      </c>
    </row>
    <row r="10749" spans="1:10" x14ac:dyDescent="0.2">
      <c r="A10749" s="4" t="s">
        <v>1</v>
      </c>
      <c r="B1074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49" s="3" t="str">
        <f>HYPERLINK("https://otsuka-europe-crm.veevavault.com/ui/#object/sent_email__v/VBLZ025E82GU6US", "SE-000276973")</f>
        <v>SE-000276973</v>
      </c>
      <c r="D10749" s="1" t="s">
        <v>0</v>
      </c>
      <c r="E10749" s="2">
        <v>0</v>
      </c>
      <c r="F10749" s="2">
        <v>0</v>
      </c>
      <c r="G10749" s="2">
        <v>0</v>
      </c>
      <c r="H10749" s="1" t="s">
        <v>0</v>
      </c>
      <c r="I10749" s="2">
        <v>0</v>
      </c>
      <c r="J10749" s="1">
        <v>45919.428101851852</v>
      </c>
    </row>
    <row r="10750" spans="1:10" x14ac:dyDescent="0.2">
      <c r="A10750" s="4" t="s">
        <v>1</v>
      </c>
      <c r="B1075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50" s="3" t="str">
        <f>HYPERLINK("https://otsuka-europe-crm.veevavault.com/ui/#object/sent_email__v/VBLZ025E82GU6UT", "SE-000276974")</f>
        <v>SE-000276974</v>
      </c>
      <c r="D10750" s="1" t="s">
        <v>0</v>
      </c>
      <c r="E10750" s="2">
        <v>0</v>
      </c>
      <c r="F10750" s="2">
        <v>0</v>
      </c>
      <c r="G10750" s="2">
        <v>0</v>
      </c>
      <c r="H10750" s="1" t="s">
        <v>0</v>
      </c>
      <c r="I10750" s="2">
        <v>0</v>
      </c>
      <c r="J10750" s="1">
        <v>45919.428229166668</v>
      </c>
    </row>
    <row r="10751" spans="1:10" x14ac:dyDescent="0.2">
      <c r="A10751" s="4" t="s">
        <v>1</v>
      </c>
      <c r="B1075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51" s="3" t="str">
        <f>HYPERLINK("https://otsuka-europe-crm.veevavault.com/ui/#object/sent_email__v/VBLZ025E82GU6UU", "SE-000276975")</f>
        <v>SE-000276975</v>
      </c>
      <c r="D10751" s="1" t="s">
        <v>0</v>
      </c>
      <c r="E10751" s="2">
        <v>0</v>
      </c>
      <c r="F10751" s="2">
        <v>0</v>
      </c>
      <c r="G10751" s="2">
        <v>0</v>
      </c>
      <c r="H10751" s="1" t="s">
        <v>0</v>
      </c>
      <c r="I10751" s="2">
        <v>0</v>
      </c>
      <c r="J10751" s="1">
        <v>45919.428113425929</v>
      </c>
    </row>
    <row r="10752" spans="1:10" x14ac:dyDescent="0.2">
      <c r="A10752" s="4" t="s">
        <v>1</v>
      </c>
      <c r="B1075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52" s="3" t="str">
        <f>HYPERLINK("https://otsuka-europe-crm.veevavault.com/ui/#object/sent_email__v/VBLZ025E82GU6UV", "SE-000276976")</f>
        <v>SE-000276976</v>
      </c>
      <c r="D10752" s="1" t="s">
        <v>0</v>
      </c>
      <c r="E10752" s="2">
        <v>0</v>
      </c>
      <c r="F10752" s="2">
        <v>0</v>
      </c>
      <c r="G10752" s="2">
        <v>0</v>
      </c>
      <c r="H10752" s="1" t="s">
        <v>0</v>
      </c>
      <c r="I10752" s="2">
        <v>0</v>
      </c>
      <c r="J10752" s="1">
        <v>45919.428101851852</v>
      </c>
    </row>
    <row r="10753" spans="1:10" x14ac:dyDescent="0.2">
      <c r="A10753" s="4" t="s">
        <v>1</v>
      </c>
      <c r="B1075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53" s="3" t="str">
        <f>HYPERLINK("https://otsuka-europe-crm.veevavault.com/ui/#object/sent_email__v/VBLZ025E82GU6UW", "SE-000276977")</f>
        <v>SE-000276977</v>
      </c>
      <c r="D10753" s="1" t="s">
        <v>0</v>
      </c>
      <c r="E10753" s="2">
        <v>0</v>
      </c>
      <c r="F10753" s="2">
        <v>0</v>
      </c>
      <c r="G10753" s="2">
        <v>0</v>
      </c>
      <c r="H10753" s="1" t="s">
        <v>0</v>
      </c>
      <c r="I10753" s="2">
        <v>0</v>
      </c>
      <c r="J10753" s="1">
        <v>45919.428240740737</v>
      </c>
    </row>
    <row r="10754" spans="1:10" x14ac:dyDescent="0.2">
      <c r="A10754" s="4" t="s">
        <v>1</v>
      </c>
      <c r="B1075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54" s="3" t="str">
        <f>HYPERLINK("https://otsuka-europe-crm.veevavault.com/ui/#object/sent_email__v/VBLZ025E82GU6UX", "SE-000276978")</f>
        <v>SE-000276978</v>
      </c>
      <c r="D10754" s="1" t="s">
        <v>0</v>
      </c>
      <c r="E10754" s="2">
        <v>0</v>
      </c>
      <c r="F10754" s="2">
        <v>0</v>
      </c>
      <c r="G10754" s="2">
        <v>0</v>
      </c>
      <c r="H10754" s="1" t="s">
        <v>0</v>
      </c>
      <c r="I10754" s="2">
        <v>0</v>
      </c>
      <c r="J10754" s="1">
        <v>45919.428090277775</v>
      </c>
    </row>
    <row r="10755" spans="1:10" x14ac:dyDescent="0.2">
      <c r="A10755" s="4" t="s">
        <v>1</v>
      </c>
      <c r="B1075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55" s="3" t="str">
        <f>HYPERLINK("https://otsuka-europe-crm.veevavault.com/ui/#object/sent_email__v/VBLZ025E82GU6UY", "SE-000276979")</f>
        <v>SE-000276979</v>
      </c>
      <c r="D10755" s="1" t="s">
        <v>0</v>
      </c>
      <c r="E10755" s="2">
        <v>0</v>
      </c>
      <c r="F10755" s="2">
        <v>0</v>
      </c>
      <c r="G10755" s="2">
        <v>0</v>
      </c>
      <c r="H10755" s="1" t="s">
        <v>0</v>
      </c>
      <c r="I10755" s="2">
        <v>0</v>
      </c>
      <c r="J10755" s="1">
        <v>45919.428229166668</v>
      </c>
    </row>
    <row r="10756" spans="1:10" x14ac:dyDescent="0.2">
      <c r="A10756" s="4" t="s">
        <v>1</v>
      </c>
      <c r="B1075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56" s="3" t="str">
        <f>HYPERLINK("https://otsuka-europe-crm.veevavault.com/ui/#object/sent_email__v/VBLZ025E82GU6UZ", "SE-000276980")</f>
        <v>SE-000276980</v>
      </c>
      <c r="D10756" s="1" t="s">
        <v>0</v>
      </c>
      <c r="E10756" s="2">
        <v>0</v>
      </c>
      <c r="F10756" s="2">
        <v>0</v>
      </c>
      <c r="G10756" s="2">
        <v>0</v>
      </c>
      <c r="H10756" s="1" t="s">
        <v>0</v>
      </c>
      <c r="I10756" s="2">
        <v>0</v>
      </c>
      <c r="J10756" s="1">
        <v>45919.428055555552</v>
      </c>
    </row>
    <row r="10757" spans="1:10" x14ac:dyDescent="0.2">
      <c r="A10757" s="4" t="s">
        <v>1</v>
      </c>
      <c r="B1075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57" s="3" t="str">
        <f>HYPERLINK("https://otsuka-europe-crm.veevavault.com/ui/#object/sent_email__v/VBLZ025E82GU6V0", "SE-000276981")</f>
        <v>SE-000276981</v>
      </c>
      <c r="D10757" s="1" t="s">
        <v>0</v>
      </c>
      <c r="E10757" s="2">
        <v>0</v>
      </c>
      <c r="F10757" s="2">
        <v>0</v>
      </c>
      <c r="G10757" s="2">
        <v>0</v>
      </c>
      <c r="H10757" s="1" t="s">
        <v>0</v>
      </c>
      <c r="I10757" s="2">
        <v>0</v>
      </c>
      <c r="J10757" s="1">
        <v>45919.428182870368</v>
      </c>
    </row>
    <row r="10758" spans="1:10" x14ac:dyDescent="0.2">
      <c r="A10758" s="4" t="s">
        <v>1</v>
      </c>
      <c r="B1075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58" s="3" t="str">
        <f>HYPERLINK("https://otsuka-europe-crm.veevavault.com/ui/#object/sent_email__v/VBLZ025E82GU6V1", "SE-000276982")</f>
        <v>SE-000276982</v>
      </c>
      <c r="D10758" s="1" t="s">
        <v>0</v>
      </c>
      <c r="E10758" s="2">
        <v>0</v>
      </c>
      <c r="F10758" s="2">
        <v>0</v>
      </c>
      <c r="G10758" s="2">
        <v>0</v>
      </c>
      <c r="H10758" s="1" t="s">
        <v>0</v>
      </c>
      <c r="I10758" s="2">
        <v>0</v>
      </c>
      <c r="J10758" s="1">
        <v>45919.428078703706</v>
      </c>
    </row>
    <row r="10759" spans="1:10" x14ac:dyDescent="0.2">
      <c r="A10759" s="4" t="s">
        <v>1</v>
      </c>
      <c r="B1075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59" s="3" t="str">
        <f>HYPERLINK("https://otsuka-europe-crm.veevavault.com/ui/#object/sent_email__v/VBLZ025E82GU6V2", "SE-000276983")</f>
        <v>SE-000276983</v>
      </c>
      <c r="D10759" s="1" t="s">
        <v>0</v>
      </c>
      <c r="E10759" s="2">
        <v>0</v>
      </c>
      <c r="F10759" s="2">
        <v>0</v>
      </c>
      <c r="G10759" s="2">
        <v>0</v>
      </c>
      <c r="H10759" s="1" t="s">
        <v>0</v>
      </c>
      <c r="I10759" s="2">
        <v>0</v>
      </c>
      <c r="J10759" s="1">
        <v>45919.428217592591</v>
      </c>
    </row>
    <row r="10760" spans="1:10" x14ac:dyDescent="0.2">
      <c r="A10760" s="4" t="s">
        <v>1</v>
      </c>
      <c r="B1076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60" s="3" t="str">
        <f>HYPERLINK("https://otsuka-europe-crm.veevavault.com/ui/#object/sent_email__v/VBLZ025E82GU6ZT", "SE-000277014")</f>
        <v>SE-000277014</v>
      </c>
      <c r="D10760" s="1" t="s">
        <v>0</v>
      </c>
      <c r="E10760" s="2">
        <v>0</v>
      </c>
      <c r="F10760" s="2">
        <v>0</v>
      </c>
      <c r="G10760" s="2">
        <v>0</v>
      </c>
      <c r="H10760" s="1" t="s">
        <v>0</v>
      </c>
      <c r="I10760" s="2">
        <v>0</v>
      </c>
      <c r="J10760" s="1">
        <v>45919.428657407407</v>
      </c>
    </row>
    <row r="10761" spans="1:10" x14ac:dyDescent="0.2">
      <c r="A10761" s="4" t="s">
        <v>1</v>
      </c>
      <c r="B1076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61" s="3" t="str">
        <f>HYPERLINK("https://otsuka-europe-crm.veevavault.com/ui/#object/sent_email__v/VBLZ025E82GU6ZU", "SE-000277015")</f>
        <v>SE-000277015</v>
      </c>
      <c r="D10761" s="1">
        <v>45929.767465277779</v>
      </c>
      <c r="E10761" s="2">
        <v>1</v>
      </c>
      <c r="F10761" s="2">
        <v>2</v>
      </c>
      <c r="G10761" s="2">
        <v>0</v>
      </c>
      <c r="H10761" s="1" t="s">
        <v>0</v>
      </c>
      <c r="I10761" s="2">
        <v>0</v>
      </c>
      <c r="J10761" s="1">
        <v>45919.428761574076</v>
      </c>
    </row>
    <row r="10762" spans="1:10" x14ac:dyDescent="0.2">
      <c r="A10762" s="4" t="s">
        <v>1</v>
      </c>
      <c r="B1076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62" s="3" t="str">
        <f>HYPERLINK("https://otsuka-europe-crm.veevavault.com/ui/#object/sent_email__v/VBLZ025E82GU6ZV", "SE-000277016")</f>
        <v>SE-000277016</v>
      </c>
      <c r="D10762" s="1" t="s">
        <v>0</v>
      </c>
      <c r="E10762" s="2">
        <v>0</v>
      </c>
      <c r="F10762" s="2">
        <v>0</v>
      </c>
      <c r="G10762" s="2">
        <v>0</v>
      </c>
      <c r="H10762" s="1" t="s">
        <v>0</v>
      </c>
      <c r="I10762" s="2">
        <v>0</v>
      </c>
      <c r="J10762" s="1">
        <v>45919.428611111114</v>
      </c>
    </row>
    <row r="10763" spans="1:10" x14ac:dyDescent="0.2">
      <c r="A10763" s="4" t="s">
        <v>1</v>
      </c>
      <c r="B1076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63" s="3" t="str">
        <f>HYPERLINK("https://otsuka-europe-crm.veevavault.com/ui/#object/sent_email__v/VBLZ025E82GU6ZW", "SE-000277017")</f>
        <v>SE-000277017</v>
      </c>
      <c r="D10763" s="1">
        <v>45920.461481481485</v>
      </c>
      <c r="E10763" s="2">
        <v>1</v>
      </c>
      <c r="F10763" s="2">
        <v>2</v>
      </c>
      <c r="G10763" s="2">
        <v>0</v>
      </c>
      <c r="H10763" s="1" t="s">
        <v>0</v>
      </c>
      <c r="I10763" s="2">
        <v>0</v>
      </c>
      <c r="J10763" s="1">
        <v>45919.428773148145</v>
      </c>
    </row>
    <row r="10764" spans="1:10" x14ac:dyDescent="0.2">
      <c r="A10764" s="4" t="s">
        <v>1</v>
      </c>
      <c r="B1076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64" s="3" t="str">
        <f>HYPERLINK("https://otsuka-europe-crm.veevavault.com/ui/#object/sent_email__v/VBLZ025E82GU6ZX", "SE-000277018")</f>
        <v>SE-000277018</v>
      </c>
      <c r="D10764" s="1">
        <v>45920.986793981479</v>
      </c>
      <c r="E10764" s="2">
        <v>1</v>
      </c>
      <c r="F10764" s="2">
        <v>1</v>
      </c>
      <c r="G10764" s="2">
        <v>0</v>
      </c>
      <c r="H10764" s="1" t="s">
        <v>0</v>
      </c>
      <c r="I10764" s="2">
        <v>0</v>
      </c>
      <c r="J10764" s="1">
        <v>45919.428668981483</v>
      </c>
    </row>
    <row r="10765" spans="1:10" x14ac:dyDescent="0.2">
      <c r="A10765" s="4" t="s">
        <v>1</v>
      </c>
      <c r="B1076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65" s="3" t="str">
        <f>HYPERLINK("https://otsuka-europe-crm.veevavault.com/ui/#object/sent_email__v/VBLZ025E82GU6ZY", "SE-000277019")</f>
        <v>SE-000277019</v>
      </c>
      <c r="D10765" s="1" t="s">
        <v>0</v>
      </c>
      <c r="E10765" s="2">
        <v>0</v>
      </c>
      <c r="F10765" s="2">
        <v>0</v>
      </c>
      <c r="G10765" s="2">
        <v>0</v>
      </c>
      <c r="H10765" s="1" t="s">
        <v>0</v>
      </c>
      <c r="I10765" s="2">
        <v>0</v>
      </c>
      <c r="J10765" s="1">
        <v>45919.428761574076</v>
      </c>
    </row>
    <row r="10766" spans="1:10" x14ac:dyDescent="0.2">
      <c r="A10766" s="4" t="s">
        <v>1</v>
      </c>
      <c r="B1076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66" s="3" t="str">
        <f>HYPERLINK("https://otsuka-europe-crm.veevavault.com/ui/#object/sent_email__v/VBLZ025E82GU6ZZ", "SE-000277020")</f>
        <v>SE-000277020</v>
      </c>
      <c r="D10766" s="1">
        <v>45919.451956018522</v>
      </c>
      <c r="E10766" s="2">
        <v>1</v>
      </c>
      <c r="F10766" s="2">
        <v>1</v>
      </c>
      <c r="G10766" s="2">
        <v>0</v>
      </c>
      <c r="H10766" s="1" t="s">
        <v>0</v>
      </c>
      <c r="I10766" s="2">
        <v>0</v>
      </c>
      <c r="J10766" s="1">
        <v>45919.428668981483</v>
      </c>
    </row>
    <row r="10767" spans="1:10" x14ac:dyDescent="0.2">
      <c r="A10767" s="4" t="s">
        <v>1</v>
      </c>
      <c r="B1076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67" s="3" t="str">
        <f>HYPERLINK("https://otsuka-europe-crm.veevavault.com/ui/#object/sent_email__v/VBLZ025E82GU700", "SE-000277021")</f>
        <v>SE-000277021</v>
      </c>
      <c r="D10767" s="1" t="s">
        <v>0</v>
      </c>
      <c r="E10767" s="2">
        <v>0</v>
      </c>
      <c r="F10767" s="2">
        <v>0</v>
      </c>
      <c r="G10767" s="2">
        <v>0</v>
      </c>
      <c r="H10767" s="1" t="s">
        <v>0</v>
      </c>
      <c r="I10767" s="2">
        <v>0</v>
      </c>
      <c r="J10767" s="1">
        <v>45919.428738425922</v>
      </c>
    </row>
    <row r="10768" spans="1:10" x14ac:dyDescent="0.2">
      <c r="A10768" s="4" t="s">
        <v>1</v>
      </c>
      <c r="B1076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68" s="3" t="str">
        <f>HYPERLINK("https://otsuka-europe-crm.veevavault.com/ui/#object/sent_email__v/VBLZ025E82GU701", "SE-000277022")</f>
        <v>SE-000277022</v>
      </c>
      <c r="D10768" s="1" t="s">
        <v>0</v>
      </c>
      <c r="E10768" s="2">
        <v>0</v>
      </c>
      <c r="F10768" s="2">
        <v>0</v>
      </c>
      <c r="G10768" s="2">
        <v>0</v>
      </c>
      <c r="H10768" s="1" t="s">
        <v>0</v>
      </c>
      <c r="I10768" s="2">
        <v>0</v>
      </c>
      <c r="J10768" s="1">
        <v>45919.42863425926</v>
      </c>
    </row>
    <row r="10769" spans="1:10" x14ac:dyDescent="0.2">
      <c r="A10769" s="4" t="s">
        <v>1</v>
      </c>
      <c r="B1076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69" s="3" t="str">
        <f>HYPERLINK("https://otsuka-europe-crm.veevavault.com/ui/#object/sent_email__v/VBLZ025E82GU702", "SE-000277023")</f>
        <v>SE-000277023</v>
      </c>
      <c r="D10769" s="1" t="s">
        <v>0</v>
      </c>
      <c r="E10769" s="2">
        <v>0</v>
      </c>
      <c r="F10769" s="2">
        <v>0</v>
      </c>
      <c r="G10769" s="2">
        <v>0</v>
      </c>
      <c r="H10769" s="1" t="s">
        <v>0</v>
      </c>
      <c r="I10769" s="2">
        <v>0</v>
      </c>
      <c r="J10769" s="1">
        <v>45919.428749999999</v>
      </c>
    </row>
    <row r="10770" spans="1:10" x14ac:dyDescent="0.2">
      <c r="A10770" s="4" t="s">
        <v>1</v>
      </c>
      <c r="B1077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70" s="3" t="str">
        <f>HYPERLINK("https://otsuka-europe-crm.veevavault.com/ui/#object/sent_email__v/VBLZ025E82GU703", "SE-000277024")</f>
        <v>SE-000277024</v>
      </c>
      <c r="D10770" s="1" t="s">
        <v>0</v>
      </c>
      <c r="E10770" s="2">
        <v>0</v>
      </c>
      <c r="F10770" s="2">
        <v>0</v>
      </c>
      <c r="G10770" s="2">
        <v>0</v>
      </c>
      <c r="H10770" s="1" t="s">
        <v>0</v>
      </c>
      <c r="I10770" s="2">
        <v>0</v>
      </c>
      <c r="J10770" s="1">
        <v>45919.42864583333</v>
      </c>
    </row>
    <row r="10771" spans="1:10" x14ac:dyDescent="0.2">
      <c r="A10771" s="4" t="s">
        <v>1</v>
      </c>
      <c r="B1077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71" s="3" t="str">
        <f>HYPERLINK("https://otsuka-europe-crm.veevavault.com/ui/#object/sent_email__v/VBLZ025E82GU704", "SE-000277025")</f>
        <v>SE-000277025</v>
      </c>
      <c r="D10771" s="1">
        <v>45941.359826388885</v>
      </c>
      <c r="E10771" s="2">
        <v>1</v>
      </c>
      <c r="F10771" s="2">
        <v>3</v>
      </c>
      <c r="G10771" s="2">
        <v>0</v>
      </c>
      <c r="H10771" s="1" t="s">
        <v>0</v>
      </c>
      <c r="I10771" s="2">
        <v>0</v>
      </c>
      <c r="J10771" s="1">
        <v>45919.428576388891</v>
      </c>
    </row>
    <row r="10772" spans="1:10" x14ac:dyDescent="0.2">
      <c r="A10772" s="4" t="s">
        <v>1</v>
      </c>
      <c r="B1077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72" s="3" t="str">
        <f>HYPERLINK("https://otsuka-europe-crm.veevavault.com/ui/#object/sent_email__v/VBLZ025E82GU705", "SE-000277026")</f>
        <v>SE-000277026</v>
      </c>
      <c r="D10772" s="1" t="s">
        <v>0</v>
      </c>
      <c r="E10772" s="2">
        <v>0</v>
      </c>
      <c r="F10772" s="2">
        <v>0</v>
      </c>
      <c r="G10772" s="2">
        <v>0</v>
      </c>
      <c r="H10772" s="1" t="s">
        <v>0</v>
      </c>
      <c r="I10772" s="2">
        <v>0</v>
      </c>
      <c r="J10772" s="1">
        <v>45919.42869212963</v>
      </c>
    </row>
    <row r="10773" spans="1:10" x14ac:dyDescent="0.2">
      <c r="A10773" s="4" t="s">
        <v>1</v>
      </c>
      <c r="B1077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73" s="3" t="str">
        <f>HYPERLINK("https://otsuka-europe-crm.veevavault.com/ui/#object/sent_email__v/VBLZ025E82GU706", "SE-000277027")</f>
        <v>SE-000277027</v>
      </c>
      <c r="D10773" s="1">
        <v>45990.548414351855</v>
      </c>
      <c r="E10773" s="2">
        <v>1</v>
      </c>
      <c r="F10773" s="2">
        <v>5</v>
      </c>
      <c r="G10773" s="2">
        <v>0</v>
      </c>
      <c r="H10773" s="1" t="s">
        <v>0</v>
      </c>
      <c r="I10773" s="2">
        <v>0</v>
      </c>
      <c r="J10773" s="1">
        <v>45919.428564814814</v>
      </c>
    </row>
    <row r="10774" spans="1:10" x14ac:dyDescent="0.2">
      <c r="A10774" s="4" t="s">
        <v>1</v>
      </c>
      <c r="B1077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74" s="3" t="str">
        <f>HYPERLINK("https://otsuka-europe-crm.veevavault.com/ui/#object/sent_email__v/VBLZ025E82GU707", "SE-000277028")</f>
        <v>SE-000277028</v>
      </c>
      <c r="D10774" s="1" t="s">
        <v>0</v>
      </c>
      <c r="E10774" s="2">
        <v>0</v>
      </c>
      <c r="F10774" s="2">
        <v>0</v>
      </c>
      <c r="G10774" s="2">
        <v>0</v>
      </c>
      <c r="H10774" s="1" t="s">
        <v>0</v>
      </c>
      <c r="I10774" s="2">
        <v>0</v>
      </c>
      <c r="J10774" s="1">
        <v>45919.428680555553</v>
      </c>
    </row>
    <row r="10775" spans="1:10" x14ac:dyDescent="0.2">
      <c r="A10775" s="4" t="s">
        <v>1</v>
      </c>
      <c r="B1077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75" s="3" t="str">
        <f>HYPERLINK("https://otsuka-europe-crm.veevavault.com/ui/#object/sent_email__v/VBLZ025E82GU708", "SE-000277029")</f>
        <v>SE-000277029</v>
      </c>
      <c r="D10775" s="1">
        <v>45924.82068287037</v>
      </c>
      <c r="E10775" s="2">
        <v>1</v>
      </c>
      <c r="F10775" s="2">
        <v>2</v>
      </c>
      <c r="G10775" s="2">
        <v>0</v>
      </c>
      <c r="H10775" s="1" t="s">
        <v>0</v>
      </c>
      <c r="I10775" s="2">
        <v>0</v>
      </c>
      <c r="J10775" s="1">
        <v>45919.428576388891</v>
      </c>
    </row>
    <row r="10776" spans="1:10" x14ac:dyDescent="0.2">
      <c r="A10776" s="4" t="s">
        <v>1</v>
      </c>
      <c r="B1077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76" s="3" t="str">
        <f>HYPERLINK("https://otsuka-europe-crm.veevavault.com/ui/#object/sent_email__v/VBLZ025E82GU709", "SE-000277030")</f>
        <v>SE-000277030</v>
      </c>
      <c r="D10776" s="1" t="s">
        <v>0</v>
      </c>
      <c r="E10776" s="2">
        <v>0</v>
      </c>
      <c r="F10776" s="2">
        <v>0</v>
      </c>
      <c r="G10776" s="2">
        <v>0</v>
      </c>
      <c r="H10776" s="1" t="s">
        <v>0</v>
      </c>
      <c r="I10776" s="2">
        <v>0</v>
      </c>
      <c r="J10776" s="1">
        <v>45919.428703703707</v>
      </c>
    </row>
    <row r="10777" spans="1:10" x14ac:dyDescent="0.2">
      <c r="A10777" s="4" t="s">
        <v>1</v>
      </c>
      <c r="B1077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77" s="3" t="str">
        <f>HYPERLINK("https://otsuka-europe-crm.veevavault.com/ui/#object/sent_email__v/VBLZ025E82GU70A", "SE-000277031")</f>
        <v>SE-000277031</v>
      </c>
      <c r="D10777" s="1">
        <v>45920.035300925927</v>
      </c>
      <c r="E10777" s="2">
        <v>1</v>
      </c>
      <c r="F10777" s="2">
        <v>1</v>
      </c>
      <c r="G10777" s="2">
        <v>0</v>
      </c>
      <c r="H10777" s="1" t="s">
        <v>0</v>
      </c>
      <c r="I10777" s="2">
        <v>0</v>
      </c>
      <c r="J10777" s="1">
        <v>45919.428587962961</v>
      </c>
    </row>
    <row r="10778" spans="1:10" x14ac:dyDescent="0.2">
      <c r="A10778" s="4" t="s">
        <v>1</v>
      </c>
      <c r="B1077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78" s="3" t="str">
        <f>HYPERLINK("https://otsuka-europe-crm.veevavault.com/ui/#object/sent_email__v/VBLZ025E82GU70B", "SE-000277032")</f>
        <v>SE-000277032</v>
      </c>
      <c r="D10778" s="1" t="s">
        <v>0</v>
      </c>
      <c r="E10778" s="2">
        <v>0</v>
      </c>
      <c r="F10778" s="2">
        <v>0</v>
      </c>
      <c r="G10778" s="2">
        <v>0</v>
      </c>
      <c r="H10778" s="1" t="s">
        <v>0</v>
      </c>
      <c r="I10778" s="2">
        <v>0</v>
      </c>
      <c r="J10778" s="1">
        <v>45919.428703703707</v>
      </c>
    </row>
    <row r="10779" spans="1:10" x14ac:dyDescent="0.2">
      <c r="A10779" s="4" t="s">
        <v>1</v>
      </c>
      <c r="B1077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79" s="3" t="str">
        <f>HYPERLINK("https://otsuka-europe-crm.veevavault.com/ui/#object/sent_email__v/VBLZ025E82GU70C", "SE-000277033")</f>
        <v>SE-000277033</v>
      </c>
      <c r="D10779" s="1">
        <v>45930.859548611108</v>
      </c>
      <c r="E10779" s="2">
        <v>1</v>
      </c>
      <c r="F10779" s="2">
        <v>1</v>
      </c>
      <c r="G10779" s="2">
        <v>0</v>
      </c>
      <c r="H10779" s="1" t="s">
        <v>0</v>
      </c>
      <c r="I10779" s="2">
        <v>0</v>
      </c>
      <c r="J10779" s="1">
        <v>45919.428599537037</v>
      </c>
    </row>
    <row r="10780" spans="1:10" x14ac:dyDescent="0.2">
      <c r="A10780" s="4" t="s">
        <v>1</v>
      </c>
      <c r="B1078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80" s="3" t="str">
        <f>HYPERLINK("https://otsuka-europe-crm.veevavault.com/ui/#object/sent_email__v/VBLZ025E82GU70D", "SE-000277034")</f>
        <v>SE-000277034</v>
      </c>
      <c r="D10780" s="1">
        <v>45919.780081018522</v>
      </c>
      <c r="E10780" s="2">
        <v>1</v>
      </c>
      <c r="F10780" s="2">
        <v>1</v>
      </c>
      <c r="G10780" s="2">
        <v>0</v>
      </c>
      <c r="H10780" s="1" t="s">
        <v>0</v>
      </c>
      <c r="I10780" s="2">
        <v>0</v>
      </c>
      <c r="J10780" s="1">
        <v>45919.42863425926</v>
      </c>
    </row>
    <row r="10781" spans="1:10" x14ac:dyDescent="0.2">
      <c r="A10781" s="4" t="s">
        <v>1</v>
      </c>
      <c r="B1078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81" s="3" t="str">
        <f>HYPERLINK("https://otsuka-europe-crm.veevavault.com/ui/#object/sent_email__v/VBLZ025E82GU70E", "SE-000277035")</f>
        <v>SE-000277035</v>
      </c>
      <c r="D10781" s="1">
        <v>45919.604062500002</v>
      </c>
      <c r="E10781" s="2">
        <v>1</v>
      </c>
      <c r="F10781" s="2">
        <v>1</v>
      </c>
      <c r="G10781" s="2">
        <v>0</v>
      </c>
      <c r="H10781" s="1" t="s">
        <v>0</v>
      </c>
      <c r="I10781" s="2">
        <v>0</v>
      </c>
      <c r="J10781" s="1">
        <v>45919.428726851853</v>
      </c>
    </row>
    <row r="10782" spans="1:10" x14ac:dyDescent="0.2">
      <c r="A10782" s="4" t="s">
        <v>1</v>
      </c>
      <c r="B1078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82" s="3" t="str">
        <f>HYPERLINK("https://otsuka-europe-crm.veevavault.com/ui/#object/sent_email__v/VBLZ025E82GU70F", "SE-000277036")</f>
        <v>SE-000277036</v>
      </c>
      <c r="D10782" s="1">
        <v>45920.361527777779</v>
      </c>
      <c r="E10782" s="2">
        <v>1</v>
      </c>
      <c r="F10782" s="2">
        <v>2</v>
      </c>
      <c r="G10782" s="2">
        <v>0</v>
      </c>
      <c r="H10782" s="1" t="s">
        <v>0</v>
      </c>
      <c r="I10782" s="2">
        <v>0</v>
      </c>
      <c r="J10782" s="1">
        <v>45919.428622685184</v>
      </c>
    </row>
    <row r="10783" spans="1:10" x14ac:dyDescent="0.2">
      <c r="A10783" s="4" t="s">
        <v>1</v>
      </c>
      <c r="B1078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83" s="3" t="str">
        <f>HYPERLINK("https://otsuka-europe-crm.veevavault.com/ui/#object/sent_email__v/VBLZ025E82GU70G", "SE-000277037")</f>
        <v>SE-000277037</v>
      </c>
      <c r="D10783" s="1" t="s">
        <v>0</v>
      </c>
      <c r="E10783" s="2">
        <v>0</v>
      </c>
      <c r="F10783" s="2">
        <v>0</v>
      </c>
      <c r="G10783" s="2">
        <v>0</v>
      </c>
      <c r="H10783" s="1" t="s">
        <v>0</v>
      </c>
      <c r="I10783" s="2">
        <v>0</v>
      </c>
      <c r="J10783" s="1">
        <v>45919.428715277776</v>
      </c>
    </row>
    <row r="10784" spans="1:10" x14ac:dyDescent="0.2">
      <c r="A10784" s="4" t="s">
        <v>1</v>
      </c>
      <c r="B1078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84" s="3" t="str">
        <f>HYPERLINK("https://otsuka-europe-crm.veevavault.com/ui/#object/sent_email__v/VBLZ025E82GU70H", "SE-000277038")</f>
        <v>SE-000277038</v>
      </c>
      <c r="D10784" s="1" t="s">
        <v>0</v>
      </c>
      <c r="E10784" s="2">
        <v>0</v>
      </c>
      <c r="F10784" s="2">
        <v>0</v>
      </c>
      <c r="G10784" s="2">
        <v>0</v>
      </c>
      <c r="H10784" s="1" t="s">
        <v>0</v>
      </c>
      <c r="I10784" s="2">
        <v>0</v>
      </c>
      <c r="J10784" s="1">
        <v>45919.428611111114</v>
      </c>
    </row>
    <row r="10785" spans="1:10" x14ac:dyDescent="0.2">
      <c r="A10785" s="4" t="s">
        <v>1</v>
      </c>
      <c r="B1078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85" s="3" t="str">
        <f>HYPERLINK("https://otsuka-europe-crm.veevavault.com/ui/#object/sent_email__v/VBLZ025E82GU70I", "SE-000277039")</f>
        <v>SE-000277039</v>
      </c>
      <c r="D10785" s="1" t="s">
        <v>0</v>
      </c>
      <c r="E10785" s="2">
        <v>0</v>
      </c>
      <c r="F10785" s="2">
        <v>0</v>
      </c>
      <c r="G10785" s="2">
        <v>0</v>
      </c>
      <c r="H10785" s="1" t="s">
        <v>0</v>
      </c>
      <c r="I10785" s="2">
        <v>0</v>
      </c>
      <c r="J10785" s="1">
        <v>45919.428726851853</v>
      </c>
    </row>
    <row r="10786" spans="1:10" x14ac:dyDescent="0.2">
      <c r="A10786" s="4" t="s">
        <v>1</v>
      </c>
      <c r="B1078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86" s="3" t="str">
        <f>HYPERLINK("https://otsuka-europe-crm.veevavault.com/ui/#object/sent_email__v/VBLZ025E82GU72L", "SE-000277040")</f>
        <v>SE-000277040</v>
      </c>
      <c r="D10786" s="1" t="s">
        <v>0</v>
      </c>
      <c r="E10786" s="2">
        <v>0</v>
      </c>
      <c r="F10786" s="2">
        <v>0</v>
      </c>
      <c r="G10786" s="2">
        <v>0</v>
      </c>
      <c r="H10786" s="1" t="s">
        <v>0</v>
      </c>
      <c r="I10786" s="2">
        <v>0</v>
      </c>
      <c r="J10786" s="1">
        <v>45919.428784722222</v>
      </c>
    </row>
    <row r="10787" spans="1:10" x14ac:dyDescent="0.2">
      <c r="A10787" s="4" t="s">
        <v>1</v>
      </c>
      <c r="B1078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87" s="3" t="str">
        <f>HYPERLINK("https://otsuka-europe-crm.veevavault.com/ui/#object/sent_email__v/VBLZ025E82GU72M", "SE-000277041")</f>
        <v>SE-000277041</v>
      </c>
      <c r="D10787" s="1" t="s">
        <v>0</v>
      </c>
      <c r="E10787" s="2">
        <v>0</v>
      </c>
      <c r="F10787" s="2">
        <v>0</v>
      </c>
      <c r="G10787" s="2">
        <v>0</v>
      </c>
      <c r="H10787" s="1" t="s">
        <v>0</v>
      </c>
      <c r="I10787" s="2">
        <v>0</v>
      </c>
      <c r="J10787" s="1">
        <v>45919.42863425926</v>
      </c>
    </row>
    <row r="10788" spans="1:10" x14ac:dyDescent="0.2">
      <c r="A10788" s="4" t="s">
        <v>1</v>
      </c>
      <c r="B1078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88" s="3" t="str">
        <f>HYPERLINK("https://otsuka-europe-crm.veevavault.com/ui/#object/sent_email__v/VBLZ025E82GU72N", "SE-000277042")</f>
        <v>SE-000277042</v>
      </c>
      <c r="D10788" s="1" t="s">
        <v>0</v>
      </c>
      <c r="E10788" s="2">
        <v>0</v>
      </c>
      <c r="F10788" s="2">
        <v>0</v>
      </c>
      <c r="G10788" s="2">
        <v>0</v>
      </c>
      <c r="H10788" s="1" t="s">
        <v>0</v>
      </c>
      <c r="I10788" s="2">
        <v>0</v>
      </c>
      <c r="J10788" s="1">
        <v>45919.428784722222</v>
      </c>
    </row>
    <row r="10789" spans="1:10" x14ac:dyDescent="0.2">
      <c r="A10789" s="4" t="s">
        <v>1</v>
      </c>
      <c r="B1078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89" s="3" t="str">
        <f>HYPERLINK("https://otsuka-europe-crm.veevavault.com/ui/#object/sent_email__v/VBLZ025E82GU72O", "SE-000277043")</f>
        <v>SE-000277043</v>
      </c>
      <c r="D10789" s="1">
        <v>45920.062280092592</v>
      </c>
      <c r="E10789" s="2">
        <v>1</v>
      </c>
      <c r="F10789" s="2">
        <v>1</v>
      </c>
      <c r="G10789" s="2">
        <v>0</v>
      </c>
      <c r="H10789" s="1" t="s">
        <v>0</v>
      </c>
      <c r="I10789" s="2">
        <v>0</v>
      </c>
      <c r="J10789" s="1">
        <v>45919.42864583333</v>
      </c>
    </row>
    <row r="10790" spans="1:10" x14ac:dyDescent="0.2">
      <c r="A10790" s="4" t="s">
        <v>1</v>
      </c>
      <c r="B1079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90" s="3" t="str">
        <f>HYPERLINK("https://otsuka-europe-crm.veevavault.com/ui/#object/sent_email__v/VBLZ025E82GU72P", "SE-000277044")</f>
        <v>SE-000277044</v>
      </c>
      <c r="D10790" s="1" t="s">
        <v>0</v>
      </c>
      <c r="E10790" s="2">
        <v>0</v>
      </c>
      <c r="F10790" s="2">
        <v>0</v>
      </c>
      <c r="G10790" s="2">
        <v>0</v>
      </c>
      <c r="H10790" s="1" t="s">
        <v>0</v>
      </c>
      <c r="I10790" s="2">
        <v>0</v>
      </c>
      <c r="J10790" s="1">
        <v>45919.428796296299</v>
      </c>
    </row>
    <row r="10791" spans="1:10" x14ac:dyDescent="0.2">
      <c r="A10791" s="4" t="s">
        <v>1</v>
      </c>
      <c r="B1079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91" s="3" t="str">
        <f>HYPERLINK("https://otsuka-europe-crm.veevavault.com/ui/#object/sent_email__v/VBLZ025E82GU72Q", "SE-000277045")</f>
        <v>SE-000277045</v>
      </c>
      <c r="D10791" s="1" t="s">
        <v>0</v>
      </c>
      <c r="E10791" s="2">
        <v>0</v>
      </c>
      <c r="F10791" s="2">
        <v>0</v>
      </c>
      <c r="G10791" s="2">
        <v>0</v>
      </c>
      <c r="H10791" s="1" t="s">
        <v>0</v>
      </c>
      <c r="I10791" s="2">
        <v>0</v>
      </c>
      <c r="J10791" s="1">
        <v>45919.42863425926</v>
      </c>
    </row>
    <row r="10792" spans="1:10" x14ac:dyDescent="0.2">
      <c r="A10792" s="4" t="s">
        <v>1</v>
      </c>
      <c r="B1079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92" s="3" t="str">
        <f>HYPERLINK("https://otsuka-europe-crm.veevavault.com/ui/#object/sent_email__v/VBLZ025E82GU72R", "SE-000277046")</f>
        <v>SE-000277046</v>
      </c>
      <c r="D10792" s="1" t="s">
        <v>0</v>
      </c>
      <c r="E10792" s="2">
        <v>0</v>
      </c>
      <c r="F10792" s="2">
        <v>0</v>
      </c>
      <c r="G10792" s="2">
        <v>0</v>
      </c>
      <c r="H10792" s="1" t="s">
        <v>0</v>
      </c>
      <c r="I10792" s="2">
        <v>0</v>
      </c>
      <c r="J10792" s="1">
        <v>45919.428761574076</v>
      </c>
    </row>
    <row r="10793" spans="1:10" x14ac:dyDescent="0.2">
      <c r="A10793" s="4" t="s">
        <v>1</v>
      </c>
      <c r="B1079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93" s="3" t="str">
        <f>HYPERLINK("https://otsuka-europe-crm.veevavault.com/ui/#object/sent_email__v/VBLZ025E82GU72S", "SE-000277047")</f>
        <v>SE-000277047</v>
      </c>
      <c r="D10793" s="1" t="s">
        <v>0</v>
      </c>
      <c r="E10793" s="2">
        <v>0</v>
      </c>
      <c r="F10793" s="2">
        <v>0</v>
      </c>
      <c r="G10793" s="2">
        <v>0</v>
      </c>
      <c r="H10793" s="1" t="s">
        <v>0</v>
      </c>
      <c r="I10793" s="2">
        <v>0</v>
      </c>
      <c r="J10793" s="1">
        <v>45919.428611111114</v>
      </c>
    </row>
    <row r="10794" spans="1:10" x14ac:dyDescent="0.2">
      <c r="A10794" s="4" t="s">
        <v>1</v>
      </c>
      <c r="B1079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94" s="3" t="str">
        <f>HYPERLINK("https://otsuka-europe-crm.veevavault.com/ui/#object/sent_email__v/VBLZ025E82GU72T", "SE-000277048")</f>
        <v>SE-000277048</v>
      </c>
      <c r="D10794" s="1" t="s">
        <v>0</v>
      </c>
      <c r="E10794" s="2">
        <v>0</v>
      </c>
      <c r="F10794" s="2">
        <v>0</v>
      </c>
      <c r="G10794" s="2">
        <v>0</v>
      </c>
      <c r="H10794" s="1" t="s">
        <v>0</v>
      </c>
      <c r="I10794" s="2">
        <v>0</v>
      </c>
      <c r="J10794" s="1">
        <v>45919.428807870368</v>
      </c>
    </row>
    <row r="10795" spans="1:10" x14ac:dyDescent="0.2">
      <c r="A10795" s="4" t="s">
        <v>1</v>
      </c>
      <c r="B1079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95" s="3" t="str">
        <f>HYPERLINK("https://otsuka-europe-crm.veevavault.com/ui/#object/sent_email__v/VBLZ025E82GU72U", "SE-000277049")</f>
        <v>SE-000277049</v>
      </c>
      <c r="D10795" s="1" t="s">
        <v>0</v>
      </c>
      <c r="E10795" s="2">
        <v>0</v>
      </c>
      <c r="F10795" s="2">
        <v>0</v>
      </c>
      <c r="G10795" s="2">
        <v>0</v>
      </c>
      <c r="H10795" s="1" t="s">
        <v>0</v>
      </c>
      <c r="I10795" s="2">
        <v>0</v>
      </c>
      <c r="J10795" s="1">
        <v>45919.428668981483</v>
      </c>
    </row>
    <row r="10796" spans="1:10" x14ac:dyDescent="0.2">
      <c r="A10796" s="4" t="s">
        <v>1</v>
      </c>
      <c r="B1079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96" s="3" t="str">
        <f>HYPERLINK("https://otsuka-europe-crm.veevavault.com/ui/#object/sent_email__v/VBLZ025E82GU72V", "SE-000277050")</f>
        <v>SE-000277050</v>
      </c>
      <c r="D10796" s="1" t="s">
        <v>0</v>
      </c>
      <c r="E10796" s="2">
        <v>0</v>
      </c>
      <c r="F10796" s="2">
        <v>0</v>
      </c>
      <c r="G10796" s="2">
        <v>0</v>
      </c>
      <c r="H10796" s="1" t="s">
        <v>0</v>
      </c>
      <c r="I10796" s="2">
        <v>0</v>
      </c>
      <c r="J10796" s="1">
        <v>45919.428819444445</v>
      </c>
    </row>
    <row r="10797" spans="1:10" x14ac:dyDescent="0.2">
      <c r="A10797" s="4" t="s">
        <v>1</v>
      </c>
      <c r="B1079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97" s="3" t="str">
        <f>HYPERLINK("https://otsuka-europe-crm.veevavault.com/ui/#object/sent_email__v/VBLZ025E82GU72W", "SE-000277051")</f>
        <v>SE-000277051</v>
      </c>
      <c r="D10797" s="1" t="s">
        <v>0</v>
      </c>
      <c r="E10797" s="2">
        <v>0</v>
      </c>
      <c r="F10797" s="2">
        <v>0</v>
      </c>
      <c r="G10797" s="2">
        <v>0</v>
      </c>
      <c r="H10797" s="1" t="s">
        <v>0</v>
      </c>
      <c r="I10797" s="2">
        <v>0</v>
      </c>
      <c r="J10797" s="1">
        <v>45919.428668981483</v>
      </c>
    </row>
    <row r="10798" spans="1:10" x14ac:dyDescent="0.2">
      <c r="A10798" s="4" t="s">
        <v>1</v>
      </c>
      <c r="B1079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98" s="3" t="str">
        <f>HYPERLINK("https://otsuka-europe-crm.veevavault.com/ui/#object/sent_email__v/VBLZ025E82GU72X", "SE-000277052")</f>
        <v>SE-000277052</v>
      </c>
      <c r="D10798" s="1">
        <v>45919.567696759259</v>
      </c>
      <c r="E10798" s="2">
        <v>1</v>
      </c>
      <c r="F10798" s="2">
        <v>1</v>
      </c>
      <c r="G10798" s="2">
        <v>0</v>
      </c>
      <c r="H10798" s="1" t="s">
        <v>0</v>
      </c>
      <c r="I10798" s="2">
        <v>0</v>
      </c>
      <c r="J10798" s="1">
        <v>45919.428773148145</v>
      </c>
    </row>
    <row r="10799" spans="1:10" x14ac:dyDescent="0.2">
      <c r="A10799" s="4" t="s">
        <v>1</v>
      </c>
      <c r="B1079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799" s="3" t="str">
        <f>HYPERLINK("https://otsuka-europe-crm.veevavault.com/ui/#object/sent_email__v/VBLZ025E82GU72Y", "SE-000277053")</f>
        <v>SE-000277053</v>
      </c>
      <c r="D10799" s="1" t="s">
        <v>0</v>
      </c>
      <c r="E10799" s="2">
        <v>0</v>
      </c>
      <c r="F10799" s="2">
        <v>0</v>
      </c>
      <c r="G10799" s="2">
        <v>0</v>
      </c>
      <c r="H10799" s="1" t="s">
        <v>0</v>
      </c>
      <c r="I10799" s="2">
        <v>0</v>
      </c>
      <c r="J10799" s="1">
        <v>45919.42864583333</v>
      </c>
    </row>
    <row r="10800" spans="1:10" x14ac:dyDescent="0.2">
      <c r="A10800" s="4" t="s">
        <v>1</v>
      </c>
      <c r="B1080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00" s="3" t="str">
        <f>HYPERLINK("https://otsuka-europe-crm.veevavault.com/ui/#object/sent_email__v/VBLZ025E82GU72Z", "SE-000277054")</f>
        <v>SE-000277054</v>
      </c>
      <c r="D10800" s="1" t="s">
        <v>0</v>
      </c>
      <c r="E10800" s="2">
        <v>0</v>
      </c>
      <c r="F10800" s="2">
        <v>0</v>
      </c>
      <c r="G10800" s="2">
        <v>0</v>
      </c>
      <c r="H10800" s="1" t="s">
        <v>0</v>
      </c>
      <c r="I10800" s="2">
        <v>0</v>
      </c>
      <c r="J10800" s="1">
        <v>45919.428807870368</v>
      </c>
    </row>
    <row r="10801" spans="1:10" x14ac:dyDescent="0.2">
      <c r="A10801" s="4" t="s">
        <v>1</v>
      </c>
      <c r="B1080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01" s="3" t="str">
        <f>HYPERLINK("https://otsuka-europe-crm.veevavault.com/ui/#object/sent_email__v/VBLZ025E82GU730", "SE-000277055")</f>
        <v>SE-000277055</v>
      </c>
      <c r="D10801" s="1" t="s">
        <v>0</v>
      </c>
      <c r="E10801" s="2">
        <v>0</v>
      </c>
      <c r="F10801" s="2">
        <v>0</v>
      </c>
      <c r="G10801" s="2">
        <v>0</v>
      </c>
      <c r="H10801" s="1" t="s">
        <v>0</v>
      </c>
      <c r="I10801" s="2">
        <v>0</v>
      </c>
      <c r="J10801" s="1">
        <v>45919.428657407407</v>
      </c>
    </row>
    <row r="10802" spans="1:10" x14ac:dyDescent="0.2">
      <c r="A10802" s="4" t="s">
        <v>1</v>
      </c>
      <c r="B1080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02" s="3" t="str">
        <f>HYPERLINK("https://otsuka-europe-crm.veevavault.com/ui/#object/sent_email__v/VBLZ025E82GU731", "SE-000277056")</f>
        <v>SE-000277056</v>
      </c>
      <c r="D10802" s="1" t="s">
        <v>0</v>
      </c>
      <c r="E10802" s="2">
        <v>0</v>
      </c>
      <c r="F10802" s="2">
        <v>0</v>
      </c>
      <c r="G10802" s="2">
        <v>0</v>
      </c>
      <c r="H10802" s="1" t="s">
        <v>0</v>
      </c>
      <c r="I10802" s="2">
        <v>0</v>
      </c>
      <c r="J10802" s="1">
        <v>45919.428680555553</v>
      </c>
    </row>
    <row r="10803" spans="1:10" x14ac:dyDescent="0.2">
      <c r="A10803" s="4" t="s">
        <v>1</v>
      </c>
      <c r="B1080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03" s="3" t="str">
        <f>HYPERLINK("https://otsuka-europe-crm.veevavault.com/ui/#object/sent_email__v/VBLZ025E82GU732", "SE-000277057")</f>
        <v>SE-000277057</v>
      </c>
      <c r="D10803" s="1" t="s">
        <v>0</v>
      </c>
      <c r="E10803" s="2">
        <v>0</v>
      </c>
      <c r="F10803" s="2">
        <v>0</v>
      </c>
      <c r="G10803" s="2">
        <v>0</v>
      </c>
      <c r="H10803" s="1" t="s">
        <v>0</v>
      </c>
      <c r="I10803" s="2">
        <v>0</v>
      </c>
      <c r="J10803" s="1">
        <v>45919.428854166668</v>
      </c>
    </row>
    <row r="10804" spans="1:10" x14ac:dyDescent="0.2">
      <c r="A10804" s="4" t="s">
        <v>1</v>
      </c>
      <c r="B1080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04" s="3" t="str">
        <f>HYPERLINK("https://otsuka-europe-crm.veevavault.com/ui/#object/sent_email__v/VBLZ025E82GU733", "SE-000277058")</f>
        <v>SE-000277058</v>
      </c>
      <c r="D10804" s="1" t="s">
        <v>0</v>
      </c>
      <c r="E10804" s="2">
        <v>0</v>
      </c>
      <c r="F10804" s="2">
        <v>0</v>
      </c>
      <c r="G10804" s="2">
        <v>0</v>
      </c>
      <c r="H10804" s="1" t="s">
        <v>0</v>
      </c>
      <c r="I10804" s="2">
        <v>0</v>
      </c>
      <c r="J10804" s="1">
        <v>45919.42869212963</v>
      </c>
    </row>
    <row r="10805" spans="1:10" x14ac:dyDescent="0.2">
      <c r="A10805" s="4" t="s">
        <v>1</v>
      </c>
      <c r="B1080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05" s="3" t="str">
        <f>HYPERLINK("https://otsuka-europe-crm.veevavault.com/ui/#object/sent_email__v/VBLZ025E82GU734", "SE-000277059")</f>
        <v>SE-000277059</v>
      </c>
      <c r="D10805" s="1" t="s">
        <v>0</v>
      </c>
      <c r="E10805" s="2">
        <v>0</v>
      </c>
      <c r="F10805" s="2">
        <v>0</v>
      </c>
      <c r="G10805" s="2">
        <v>0</v>
      </c>
      <c r="H10805" s="1" t="s">
        <v>0</v>
      </c>
      <c r="I10805" s="2">
        <v>0</v>
      </c>
      <c r="J10805" s="1">
        <v>45919.428831018522</v>
      </c>
    </row>
    <row r="10806" spans="1:10" x14ac:dyDescent="0.2">
      <c r="A10806" s="4" t="s">
        <v>1</v>
      </c>
      <c r="B1080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06" s="3" t="str">
        <f>HYPERLINK("https://otsuka-europe-crm.veevavault.com/ui/#object/sent_email__v/VBLZ025E82GU735", "SE-000277060")</f>
        <v>SE-000277060</v>
      </c>
      <c r="D10806" s="1">
        <v>45919.575162037036</v>
      </c>
      <c r="E10806" s="2">
        <v>1</v>
      </c>
      <c r="F10806" s="2">
        <v>1</v>
      </c>
      <c r="G10806" s="2">
        <v>0</v>
      </c>
      <c r="H10806" s="1" t="s">
        <v>0</v>
      </c>
      <c r="I10806" s="2">
        <v>0</v>
      </c>
      <c r="J10806" s="1">
        <v>45919.428726851853</v>
      </c>
    </row>
    <row r="10807" spans="1:10" x14ac:dyDescent="0.2">
      <c r="A10807" s="4" t="s">
        <v>1</v>
      </c>
      <c r="B1080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07" s="3" t="str">
        <f>HYPERLINK("https://otsuka-europe-crm.veevavault.com/ui/#object/sent_email__v/VBLZ025E82GU736", "SE-000277061")</f>
        <v>SE-000277061</v>
      </c>
      <c r="D10807" s="1" t="s">
        <v>0</v>
      </c>
      <c r="E10807" s="2">
        <v>0</v>
      </c>
      <c r="F10807" s="2">
        <v>0</v>
      </c>
      <c r="G10807" s="2">
        <v>0</v>
      </c>
      <c r="H10807" s="1" t="s">
        <v>0</v>
      </c>
      <c r="I10807" s="2">
        <v>0</v>
      </c>
      <c r="J10807" s="1">
        <v>45919.428865740738</v>
      </c>
    </row>
    <row r="10808" spans="1:10" x14ac:dyDescent="0.2">
      <c r="A10808" s="4" t="s">
        <v>1</v>
      </c>
      <c r="B1080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08" s="3" t="str">
        <f>HYPERLINK("https://otsuka-europe-crm.veevavault.com/ui/#object/sent_email__v/VBLZ025E82GU737", "SE-000277062")</f>
        <v>SE-000277062</v>
      </c>
      <c r="D10808" s="1" t="s">
        <v>0</v>
      </c>
      <c r="E10808" s="2">
        <v>0</v>
      </c>
      <c r="F10808" s="2">
        <v>0</v>
      </c>
      <c r="G10808" s="2">
        <v>0</v>
      </c>
      <c r="H10808" s="1" t="s">
        <v>0</v>
      </c>
      <c r="I10808" s="2">
        <v>0</v>
      </c>
      <c r="J10808" s="1">
        <v>45919.428726851853</v>
      </c>
    </row>
    <row r="10809" spans="1:10" x14ac:dyDescent="0.2">
      <c r="A10809" s="4" t="s">
        <v>1</v>
      </c>
      <c r="B1080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09" s="3" t="str">
        <f>HYPERLINK("https://otsuka-europe-crm.veevavault.com/ui/#object/sent_email__v/VBLZ025E82GU738", "SE-000277063")</f>
        <v>SE-000277063</v>
      </c>
      <c r="D10809" s="1" t="s">
        <v>0</v>
      </c>
      <c r="E10809" s="2">
        <v>0</v>
      </c>
      <c r="F10809" s="2">
        <v>0</v>
      </c>
      <c r="G10809" s="2">
        <v>0</v>
      </c>
      <c r="H10809" s="1" t="s">
        <v>0</v>
      </c>
      <c r="I10809" s="2">
        <v>0</v>
      </c>
      <c r="J10809" s="1">
        <v>45919.428749999999</v>
      </c>
    </row>
    <row r="10810" spans="1:10" x14ac:dyDescent="0.2">
      <c r="A10810" s="4" t="s">
        <v>1</v>
      </c>
      <c r="B1081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10" s="3" t="str">
        <f>HYPERLINK("https://otsuka-europe-crm.veevavault.com/ui/#object/sent_email__v/VBLZ025E82GU739", "SE-000277064")</f>
        <v>SE-000277064</v>
      </c>
      <c r="D10810" s="1" t="s">
        <v>0</v>
      </c>
      <c r="E10810" s="2">
        <v>0</v>
      </c>
      <c r="F10810" s="2">
        <v>0</v>
      </c>
      <c r="G10810" s="2">
        <v>0</v>
      </c>
      <c r="H10810" s="1" t="s">
        <v>0</v>
      </c>
      <c r="I10810" s="2">
        <v>0</v>
      </c>
      <c r="J10810" s="1">
        <v>45919.428888888891</v>
      </c>
    </row>
    <row r="10811" spans="1:10" x14ac:dyDescent="0.2">
      <c r="A10811" s="4" t="s">
        <v>1</v>
      </c>
      <c r="B1081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11" s="3" t="str">
        <f>HYPERLINK("https://otsuka-europe-crm.veevavault.com/ui/#object/sent_email__v/VBLZ025E82GU73A", "SE-000277065")</f>
        <v>SE-000277065</v>
      </c>
      <c r="D10811" s="1" t="s">
        <v>0</v>
      </c>
      <c r="E10811" s="2">
        <v>0</v>
      </c>
      <c r="F10811" s="2">
        <v>0</v>
      </c>
      <c r="G10811" s="2">
        <v>0</v>
      </c>
      <c r="H10811" s="1" t="s">
        <v>0</v>
      </c>
      <c r="I10811" s="2">
        <v>0</v>
      </c>
      <c r="J10811" s="1">
        <v>45919.428738425922</v>
      </c>
    </row>
    <row r="10812" spans="1:10" x14ac:dyDescent="0.2">
      <c r="A10812" s="4" t="s">
        <v>1</v>
      </c>
      <c r="B1081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12" s="3" t="str">
        <f>HYPERLINK("https://otsuka-europe-crm.veevavault.com/ui/#object/sent_email__v/VBLZ025E82GU73B", "SE-000277066")</f>
        <v>SE-000277066</v>
      </c>
      <c r="D10812" s="1">
        <v>45921.696562500001</v>
      </c>
      <c r="E10812" s="2">
        <v>1</v>
      </c>
      <c r="F10812" s="2">
        <v>2</v>
      </c>
      <c r="G10812" s="2">
        <v>0</v>
      </c>
      <c r="H10812" s="1" t="s">
        <v>0</v>
      </c>
      <c r="I10812" s="2">
        <v>0</v>
      </c>
      <c r="J10812" s="1">
        <v>45919.428877314815</v>
      </c>
    </row>
    <row r="10813" spans="1:10" x14ac:dyDescent="0.2">
      <c r="A10813" s="4" t="s">
        <v>1</v>
      </c>
      <c r="B1081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13" s="3" t="str">
        <f>HYPERLINK("https://otsuka-europe-crm.veevavault.com/ui/#object/sent_email__v/VBLZ025E82GU73C", "SE-000277067")</f>
        <v>SE-000277067</v>
      </c>
      <c r="D10813" s="1" t="s">
        <v>0</v>
      </c>
      <c r="E10813" s="2">
        <v>0</v>
      </c>
      <c r="F10813" s="2">
        <v>0</v>
      </c>
      <c r="G10813" s="2">
        <v>0</v>
      </c>
      <c r="H10813" s="1" t="s">
        <v>0</v>
      </c>
      <c r="I10813" s="2">
        <v>0</v>
      </c>
      <c r="J10813" s="1">
        <v>45919.428749999999</v>
      </c>
    </row>
    <row r="10814" spans="1:10" x14ac:dyDescent="0.2">
      <c r="A10814" s="4" t="s">
        <v>1</v>
      </c>
      <c r="B1081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14" s="3" t="str">
        <f>HYPERLINK("https://otsuka-europe-crm.veevavault.com/ui/#object/sent_email__v/VBLZ025E82GU73D", "SE-000277068")</f>
        <v>SE-000277068</v>
      </c>
      <c r="D10814" s="1" t="s">
        <v>0</v>
      </c>
      <c r="E10814" s="2">
        <v>0</v>
      </c>
      <c r="F10814" s="2">
        <v>0</v>
      </c>
      <c r="G10814" s="2">
        <v>0</v>
      </c>
      <c r="H10814" s="1" t="s">
        <v>0</v>
      </c>
      <c r="I10814" s="2">
        <v>0</v>
      </c>
      <c r="J10814" s="1">
        <v>45919.428865740738</v>
      </c>
    </row>
    <row r="10815" spans="1:10" x14ac:dyDescent="0.2">
      <c r="A10815" s="4" t="s">
        <v>1</v>
      </c>
      <c r="B1081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15" s="3" t="str">
        <f>HYPERLINK("https://otsuka-europe-crm.veevavault.com/ui/#object/sent_email__v/VBLZ025E82GU73E", "SE-000277069")</f>
        <v>SE-000277069</v>
      </c>
      <c r="D10815" s="1" t="s">
        <v>0</v>
      </c>
      <c r="E10815" s="2">
        <v>0</v>
      </c>
      <c r="F10815" s="2">
        <v>0</v>
      </c>
      <c r="G10815" s="2">
        <v>0</v>
      </c>
      <c r="H10815" s="1" t="s">
        <v>0</v>
      </c>
      <c r="I10815" s="2">
        <v>0</v>
      </c>
      <c r="J10815" s="1">
        <v>45919.42869212963</v>
      </c>
    </row>
    <row r="10816" spans="1:10" x14ac:dyDescent="0.2">
      <c r="A10816" s="4" t="s">
        <v>1</v>
      </c>
      <c r="B1081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16" s="3" t="str">
        <f>HYPERLINK("https://otsuka-europe-crm.veevavault.com/ui/#object/sent_email__v/VBLZ025E82GU73F", "SE-000277070")</f>
        <v>SE-000277070</v>
      </c>
      <c r="D10816" s="1" t="s">
        <v>0</v>
      </c>
      <c r="E10816" s="2">
        <v>0</v>
      </c>
      <c r="F10816" s="2">
        <v>0</v>
      </c>
      <c r="G10816" s="2">
        <v>0</v>
      </c>
      <c r="H10816" s="1" t="s">
        <v>0</v>
      </c>
      <c r="I10816" s="2">
        <v>0</v>
      </c>
      <c r="J10816" s="1">
        <v>45919.428831018522</v>
      </c>
    </row>
    <row r="10817" spans="1:10" x14ac:dyDescent="0.2">
      <c r="A10817" s="4" t="s">
        <v>1</v>
      </c>
      <c r="B1081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17" s="3" t="str">
        <f>HYPERLINK("https://otsuka-europe-crm.veevavault.com/ui/#object/sent_email__v/VBLZ025E82GU73G", "SE-000277071")</f>
        <v>SE-000277071</v>
      </c>
      <c r="D10817" s="1" t="s">
        <v>0</v>
      </c>
      <c r="E10817" s="2">
        <v>0</v>
      </c>
      <c r="F10817" s="2">
        <v>0</v>
      </c>
      <c r="G10817" s="2">
        <v>0</v>
      </c>
      <c r="H10817" s="1" t="s">
        <v>0</v>
      </c>
      <c r="I10817" s="2">
        <v>0</v>
      </c>
      <c r="J10817" s="1">
        <v>45919.428703703707</v>
      </c>
    </row>
    <row r="10818" spans="1:10" x14ac:dyDescent="0.2">
      <c r="A10818" s="4" t="s">
        <v>1</v>
      </c>
      <c r="B1081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18" s="3" t="str">
        <f>HYPERLINK("https://otsuka-europe-crm.veevavault.com/ui/#object/sent_email__v/VBLZ025E82GU73H", "SE-000277072")</f>
        <v>SE-000277072</v>
      </c>
      <c r="D10818" s="1" t="s">
        <v>0</v>
      </c>
      <c r="E10818" s="2">
        <v>0</v>
      </c>
      <c r="F10818" s="2">
        <v>0</v>
      </c>
      <c r="G10818" s="2">
        <v>0</v>
      </c>
      <c r="H10818" s="1" t="s">
        <v>0</v>
      </c>
      <c r="I10818" s="2">
        <v>0</v>
      </c>
      <c r="J10818" s="1">
        <v>45919.428854166668</v>
      </c>
    </row>
    <row r="10819" spans="1:10" x14ac:dyDescent="0.2">
      <c r="A10819" s="4" t="s">
        <v>1</v>
      </c>
      <c r="B1081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19" s="3" t="str">
        <f>HYPERLINK("https://otsuka-europe-crm.veevavault.com/ui/#object/sent_email__v/VBLZ025E82GU73I", "SE-000277073")</f>
        <v>SE-000277073</v>
      </c>
      <c r="D10819" s="1">
        <v>45919.451342592591</v>
      </c>
      <c r="E10819" s="2">
        <v>1</v>
      </c>
      <c r="F10819" s="2">
        <v>1</v>
      </c>
      <c r="G10819" s="2">
        <v>0</v>
      </c>
      <c r="H10819" s="1" t="s">
        <v>0</v>
      </c>
      <c r="I10819" s="2">
        <v>0</v>
      </c>
      <c r="J10819" s="1">
        <v>45919.428715277776</v>
      </c>
    </row>
    <row r="10820" spans="1:10" x14ac:dyDescent="0.2">
      <c r="A10820" s="4" t="s">
        <v>1</v>
      </c>
      <c r="B1082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20" s="3" t="str">
        <f>HYPERLINK("https://otsuka-europe-crm.veevavault.com/ui/#object/sent_email__v/VBLZ025E82GU785", "SE-000277074")</f>
        <v>SE-000277074</v>
      </c>
      <c r="D10820" s="1" t="s">
        <v>0</v>
      </c>
      <c r="E10820" s="2">
        <v>0</v>
      </c>
      <c r="F10820" s="2">
        <v>0</v>
      </c>
      <c r="G10820" s="2">
        <v>0</v>
      </c>
      <c r="H10820" s="1" t="s">
        <v>0</v>
      </c>
      <c r="I10820" s="2">
        <v>0</v>
      </c>
      <c r="J10820" s="1">
        <v>45919.429236111115</v>
      </c>
    </row>
    <row r="10821" spans="1:10" x14ac:dyDescent="0.2">
      <c r="A10821" s="4" t="s">
        <v>1</v>
      </c>
      <c r="B1082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21" s="3" t="str">
        <f>HYPERLINK("https://otsuka-europe-crm.veevavault.com/ui/#object/sent_email__v/VBLZ025E82GU786", "SE-000277075")</f>
        <v>SE-000277075</v>
      </c>
      <c r="D10821" s="1" t="s">
        <v>0</v>
      </c>
      <c r="E10821" s="2">
        <v>0</v>
      </c>
      <c r="F10821" s="2">
        <v>0</v>
      </c>
      <c r="G10821" s="2">
        <v>0</v>
      </c>
      <c r="H10821" s="1" t="s">
        <v>0</v>
      </c>
      <c r="I10821" s="2">
        <v>0</v>
      </c>
      <c r="J10821" s="1">
        <v>45919.429398148146</v>
      </c>
    </row>
    <row r="10822" spans="1:10" x14ac:dyDescent="0.2">
      <c r="A10822" s="4" t="s">
        <v>1</v>
      </c>
      <c r="B1082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22" s="3" t="str">
        <f>HYPERLINK("https://otsuka-europe-crm.veevavault.com/ui/#object/sent_email__v/VBLZ025E82GU787", "SE-000277076")</f>
        <v>SE-000277076</v>
      </c>
      <c r="D10822" s="1" t="s">
        <v>0</v>
      </c>
      <c r="E10822" s="2">
        <v>0</v>
      </c>
      <c r="F10822" s="2">
        <v>0</v>
      </c>
      <c r="G10822" s="2">
        <v>0</v>
      </c>
      <c r="H10822" s="1" t="s">
        <v>0</v>
      </c>
      <c r="I10822" s="2">
        <v>0</v>
      </c>
      <c r="J10822" s="1">
        <v>45919.429270833331</v>
      </c>
    </row>
    <row r="10823" spans="1:10" x14ac:dyDescent="0.2">
      <c r="A10823" s="4" t="s">
        <v>1</v>
      </c>
      <c r="B1082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23" s="3" t="str">
        <f>HYPERLINK("https://otsuka-europe-crm.veevavault.com/ui/#object/sent_email__v/VBLZ025E82GU788", "SE-000277077")</f>
        <v>SE-000277077</v>
      </c>
      <c r="D10823" s="1" t="s">
        <v>0</v>
      </c>
      <c r="E10823" s="2">
        <v>0</v>
      </c>
      <c r="F10823" s="2">
        <v>0</v>
      </c>
      <c r="G10823" s="2">
        <v>0</v>
      </c>
      <c r="H10823" s="1" t="s">
        <v>0</v>
      </c>
      <c r="I10823" s="2">
        <v>0</v>
      </c>
      <c r="J10823" s="1">
        <v>45919.4294212963</v>
      </c>
    </row>
    <row r="10824" spans="1:10" x14ac:dyDescent="0.2">
      <c r="A10824" s="4" t="s">
        <v>1</v>
      </c>
      <c r="B1082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24" s="3" t="str">
        <f>HYPERLINK("https://otsuka-europe-crm.veevavault.com/ui/#object/sent_email__v/VBLZ025E82GU78A", "SE-000277079")</f>
        <v>SE-000277079</v>
      </c>
      <c r="D10824" s="1" t="s">
        <v>0</v>
      </c>
      <c r="E10824" s="2">
        <v>0</v>
      </c>
      <c r="F10824" s="2">
        <v>0</v>
      </c>
      <c r="G10824" s="2">
        <v>0</v>
      </c>
      <c r="H10824" s="1" t="s">
        <v>0</v>
      </c>
      <c r="I10824" s="2">
        <v>0</v>
      </c>
      <c r="J10824" s="1">
        <v>45919.429212962961</v>
      </c>
    </row>
    <row r="10825" spans="1:10" x14ac:dyDescent="0.2">
      <c r="A10825" s="4" t="s">
        <v>1</v>
      </c>
      <c r="B1082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25" s="3" t="str">
        <f>HYPERLINK("https://otsuka-europe-crm.veevavault.com/ui/#object/sent_email__v/VBLZ025E82GU78B", "SE-000277080")</f>
        <v>SE-000277080</v>
      </c>
      <c r="D10825" s="1" t="s">
        <v>0</v>
      </c>
      <c r="E10825" s="2">
        <v>0</v>
      </c>
      <c r="F10825" s="2">
        <v>0</v>
      </c>
      <c r="G10825" s="2">
        <v>0</v>
      </c>
      <c r="H10825" s="1" t="s">
        <v>0</v>
      </c>
      <c r="I10825" s="2">
        <v>0</v>
      </c>
      <c r="J10825" s="1">
        <v>45919.429351851853</v>
      </c>
    </row>
    <row r="10826" spans="1:10" x14ac:dyDescent="0.2">
      <c r="A10826" s="4" t="s">
        <v>1</v>
      </c>
      <c r="B1082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26" s="3" t="str">
        <f>HYPERLINK("https://otsuka-europe-crm.veevavault.com/ui/#object/sent_email__v/VBLZ025E82GU78C", "SE-000277081")</f>
        <v>SE-000277081</v>
      </c>
      <c r="D10826" s="1" t="s">
        <v>0</v>
      </c>
      <c r="E10826" s="2">
        <v>0</v>
      </c>
      <c r="F10826" s="2">
        <v>0</v>
      </c>
      <c r="G10826" s="2">
        <v>0</v>
      </c>
      <c r="H10826" s="1" t="s">
        <v>0</v>
      </c>
      <c r="I10826" s="2">
        <v>0</v>
      </c>
      <c r="J10826" s="1">
        <v>45919.429189814815</v>
      </c>
    </row>
    <row r="10827" spans="1:10" x14ac:dyDescent="0.2">
      <c r="A10827" s="4" t="s">
        <v>1</v>
      </c>
      <c r="B1082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27" s="3" t="str">
        <f>HYPERLINK("https://otsuka-europe-crm.veevavault.com/ui/#object/sent_email__v/VBLZ025E82GU78D", "SE-000277082")</f>
        <v>SE-000277082</v>
      </c>
      <c r="D10827" s="1" t="s">
        <v>0</v>
      </c>
      <c r="E10827" s="2">
        <v>0</v>
      </c>
      <c r="F10827" s="2">
        <v>0</v>
      </c>
      <c r="G10827" s="2">
        <v>0</v>
      </c>
      <c r="H10827" s="1" t="s">
        <v>0</v>
      </c>
      <c r="I10827" s="2">
        <v>0</v>
      </c>
      <c r="J10827" s="1">
        <v>45919.429340277777</v>
      </c>
    </row>
    <row r="10828" spans="1:10" x14ac:dyDescent="0.2">
      <c r="A10828" s="4" t="s">
        <v>1</v>
      </c>
      <c r="B1082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28" s="3" t="str">
        <f>HYPERLINK("https://otsuka-europe-crm.veevavault.com/ui/#object/sent_email__v/VBLZ025E82GU78E", "SE-000277083")</f>
        <v>SE-000277083</v>
      </c>
      <c r="D10828" s="1" t="s">
        <v>0</v>
      </c>
      <c r="E10828" s="2">
        <v>0</v>
      </c>
      <c r="F10828" s="2">
        <v>0</v>
      </c>
      <c r="G10828" s="2">
        <v>0</v>
      </c>
      <c r="H10828" s="1" t="s">
        <v>0</v>
      </c>
      <c r="I10828" s="2">
        <v>0</v>
      </c>
      <c r="J10828" s="1">
        <v>45919.429386574076</v>
      </c>
    </row>
    <row r="10829" spans="1:10" x14ac:dyDescent="0.2">
      <c r="A10829" s="4" t="s">
        <v>1</v>
      </c>
      <c r="B1082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29" s="3" t="str">
        <f>HYPERLINK("https://otsuka-europe-crm.veevavault.com/ui/#object/sent_email__v/VBLZ025E82GU78F", "SE-000277084")</f>
        <v>SE-000277084</v>
      </c>
      <c r="D10829" s="1" t="s">
        <v>0</v>
      </c>
      <c r="E10829" s="2">
        <v>0</v>
      </c>
      <c r="F10829" s="2">
        <v>0</v>
      </c>
      <c r="G10829" s="2">
        <v>0</v>
      </c>
      <c r="H10829" s="1" t="s">
        <v>0</v>
      </c>
      <c r="I10829" s="2">
        <v>0</v>
      </c>
      <c r="J10829" s="1">
        <v>45919.429247685184</v>
      </c>
    </row>
    <row r="10830" spans="1:10" x14ac:dyDescent="0.2">
      <c r="A10830" s="4" t="s">
        <v>1</v>
      </c>
      <c r="B1083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30" s="3" t="str">
        <f>HYPERLINK("https://otsuka-europe-crm.veevavault.com/ui/#object/sent_email__v/VBLZ025E82GU78G", "SE-000277085")</f>
        <v>SE-000277085</v>
      </c>
      <c r="D10830" s="1">
        <v>45919.609259259261</v>
      </c>
      <c r="E10830" s="2">
        <v>1</v>
      </c>
      <c r="F10830" s="2">
        <v>1</v>
      </c>
      <c r="G10830" s="2">
        <v>0</v>
      </c>
      <c r="H10830" s="1" t="s">
        <v>0</v>
      </c>
      <c r="I10830" s="2">
        <v>0</v>
      </c>
      <c r="J10830" s="1">
        <v>45919.429386574076</v>
      </c>
    </row>
    <row r="10831" spans="1:10" x14ac:dyDescent="0.2">
      <c r="A10831" s="4" t="s">
        <v>1</v>
      </c>
      <c r="B1083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31" s="3" t="str">
        <f>HYPERLINK("https://otsuka-europe-crm.veevavault.com/ui/#object/sent_email__v/VBLZ025E82GU78H", "SE-000277086")</f>
        <v>SE-000277086</v>
      </c>
      <c r="D10831" s="1" t="s">
        <v>0</v>
      </c>
      <c r="E10831" s="2">
        <v>0</v>
      </c>
      <c r="F10831" s="2">
        <v>0</v>
      </c>
      <c r="G10831" s="2">
        <v>0</v>
      </c>
      <c r="H10831" s="1" t="s">
        <v>0</v>
      </c>
      <c r="I10831" s="2">
        <v>0</v>
      </c>
      <c r="J10831" s="1">
        <v>45919.429259259261</v>
      </c>
    </row>
    <row r="10832" spans="1:10" x14ac:dyDescent="0.2">
      <c r="A10832" s="4" t="s">
        <v>1</v>
      </c>
      <c r="B1083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32" s="3" t="str">
        <f>HYPERLINK("https://otsuka-europe-crm.veevavault.com/ui/#object/sent_email__v/VBLZ025E82GU78I", "SE-000277087")</f>
        <v>SE-000277087</v>
      </c>
      <c r="D10832" s="1" t="s">
        <v>0</v>
      </c>
      <c r="E10832" s="2">
        <v>0</v>
      </c>
      <c r="F10832" s="2">
        <v>0</v>
      </c>
      <c r="G10832" s="2">
        <v>0</v>
      </c>
      <c r="H10832" s="1" t="s">
        <v>0</v>
      </c>
      <c r="I10832" s="2">
        <v>0</v>
      </c>
      <c r="J10832" s="1">
        <v>45919.429398148146</v>
      </c>
    </row>
    <row r="10833" spans="1:10" x14ac:dyDescent="0.2">
      <c r="A10833" s="4" t="s">
        <v>1</v>
      </c>
      <c r="B1083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33" s="3" t="str">
        <f>HYPERLINK("https://otsuka-europe-crm.veevavault.com/ui/#object/sent_email__v/VBLZ025E82GU78J", "SE-000277088")</f>
        <v>SE-000277088</v>
      </c>
      <c r="D10833" s="1" t="s">
        <v>0</v>
      </c>
      <c r="E10833" s="2">
        <v>0</v>
      </c>
      <c r="F10833" s="2">
        <v>0</v>
      </c>
      <c r="G10833" s="2">
        <v>0</v>
      </c>
      <c r="H10833" s="1" t="s">
        <v>0</v>
      </c>
      <c r="I10833" s="2">
        <v>0</v>
      </c>
      <c r="J10833" s="1">
        <v>45919.429259259261</v>
      </c>
    </row>
    <row r="10834" spans="1:10" x14ac:dyDescent="0.2">
      <c r="A10834" s="4" t="s">
        <v>1</v>
      </c>
      <c r="B1083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34" s="3" t="str">
        <f>HYPERLINK("https://otsuka-europe-crm.veevavault.com/ui/#object/sent_email__v/VBLZ025E82GU78K", "SE-000277089")</f>
        <v>SE-000277089</v>
      </c>
      <c r="D10834" s="1" t="s">
        <v>0</v>
      </c>
      <c r="E10834" s="2">
        <v>0</v>
      </c>
      <c r="F10834" s="2">
        <v>0</v>
      </c>
      <c r="G10834" s="2">
        <v>0</v>
      </c>
      <c r="H10834" s="1" t="s">
        <v>0</v>
      </c>
      <c r="I10834" s="2">
        <v>0</v>
      </c>
      <c r="J10834" s="1">
        <v>45919.429236111115</v>
      </c>
    </row>
    <row r="10835" spans="1:10" x14ac:dyDescent="0.2">
      <c r="A10835" s="4" t="s">
        <v>1</v>
      </c>
      <c r="B1083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35" s="3" t="str">
        <f>HYPERLINK("https://otsuka-europe-crm.veevavault.com/ui/#object/sent_email__v/VBLZ025E82GU78L", "SE-000277090")</f>
        <v>SE-000277090</v>
      </c>
      <c r="D10835" s="1" t="s">
        <v>0</v>
      </c>
      <c r="E10835" s="2">
        <v>0</v>
      </c>
      <c r="F10835" s="2">
        <v>0</v>
      </c>
      <c r="G10835" s="2">
        <v>0</v>
      </c>
      <c r="H10835" s="1" t="s">
        <v>0</v>
      </c>
      <c r="I10835" s="2">
        <v>0</v>
      </c>
      <c r="J10835" s="1">
        <v>45919.429375</v>
      </c>
    </row>
    <row r="10836" spans="1:10" x14ac:dyDescent="0.2">
      <c r="A10836" s="4" t="s">
        <v>1</v>
      </c>
      <c r="B1083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36" s="3" t="str">
        <f>HYPERLINK("https://otsuka-europe-crm.veevavault.com/ui/#object/sent_email__v/VBLZ025E82GU78M", "SE-000277091")</f>
        <v>SE-000277091</v>
      </c>
      <c r="D10836" s="1" t="s">
        <v>0</v>
      </c>
      <c r="E10836" s="2">
        <v>0</v>
      </c>
      <c r="F10836" s="2">
        <v>0</v>
      </c>
      <c r="G10836" s="2">
        <v>0</v>
      </c>
      <c r="H10836" s="1" t="s">
        <v>0</v>
      </c>
      <c r="I10836" s="2">
        <v>0</v>
      </c>
      <c r="J10836" s="1">
        <v>45919.429224537038</v>
      </c>
    </row>
    <row r="10837" spans="1:10" x14ac:dyDescent="0.2">
      <c r="A10837" s="4" t="s">
        <v>1</v>
      </c>
      <c r="B1083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37" s="3" t="str">
        <f>HYPERLINK("https://otsuka-europe-crm.veevavault.com/ui/#object/sent_email__v/VBLZ025E82GU78N", "SE-000277092")</f>
        <v>SE-000277092</v>
      </c>
      <c r="D10837" s="1" t="s">
        <v>0</v>
      </c>
      <c r="E10837" s="2">
        <v>0</v>
      </c>
      <c r="F10837" s="2">
        <v>0</v>
      </c>
      <c r="G10837" s="2">
        <v>0</v>
      </c>
      <c r="H10837" s="1" t="s">
        <v>0</v>
      </c>
      <c r="I10837" s="2">
        <v>0</v>
      </c>
      <c r="J10837" s="1">
        <v>45919.429351851853</v>
      </c>
    </row>
    <row r="10838" spans="1:10" x14ac:dyDescent="0.2">
      <c r="A10838" s="4" t="s">
        <v>1</v>
      </c>
      <c r="B1083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38" s="3" t="str">
        <f>HYPERLINK("https://otsuka-europe-crm.veevavault.com/ui/#object/sent_email__v/VBLZ025E82GU78O", "SE-000277093")</f>
        <v>SE-000277093</v>
      </c>
      <c r="D10838" s="1" t="s">
        <v>0</v>
      </c>
      <c r="E10838" s="2">
        <v>0</v>
      </c>
      <c r="F10838" s="2">
        <v>0</v>
      </c>
      <c r="G10838" s="2">
        <v>0</v>
      </c>
      <c r="H10838" s="1" t="s">
        <v>0</v>
      </c>
      <c r="I10838" s="2">
        <v>0</v>
      </c>
      <c r="J10838" s="1">
        <v>45919.429224537038</v>
      </c>
    </row>
    <row r="10839" spans="1:10" x14ac:dyDescent="0.2">
      <c r="A10839" s="4" t="s">
        <v>1</v>
      </c>
      <c r="B1083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39" s="3" t="str">
        <f>HYPERLINK("https://otsuka-europe-crm.veevavault.com/ui/#object/sent_email__v/VBLZ025E82GU78P", "SE-000277094")</f>
        <v>SE-000277094</v>
      </c>
      <c r="D10839" s="1" t="s">
        <v>0</v>
      </c>
      <c r="E10839" s="2">
        <v>0</v>
      </c>
      <c r="F10839" s="2">
        <v>0</v>
      </c>
      <c r="G10839" s="2">
        <v>0</v>
      </c>
      <c r="H10839" s="1" t="s">
        <v>0</v>
      </c>
      <c r="I10839" s="2">
        <v>0</v>
      </c>
      <c r="J10839" s="1">
        <v>45919.429363425923</v>
      </c>
    </row>
    <row r="10840" spans="1:10" x14ac:dyDescent="0.2">
      <c r="A10840" s="4" t="s">
        <v>1</v>
      </c>
      <c r="B1084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40" s="3" t="str">
        <f>HYPERLINK("https://otsuka-europe-crm.veevavault.com/ui/#object/sent_email__v/VBLZ025E82GU78Q", "SE-000277095")</f>
        <v>SE-000277095</v>
      </c>
      <c r="D10840" s="1" t="s">
        <v>0</v>
      </c>
      <c r="E10840" s="2">
        <v>0</v>
      </c>
      <c r="F10840" s="2">
        <v>0</v>
      </c>
      <c r="G10840" s="2">
        <v>0</v>
      </c>
      <c r="H10840" s="1" t="s">
        <v>0</v>
      </c>
      <c r="I10840" s="2">
        <v>0</v>
      </c>
      <c r="J10840" s="1">
        <v>45919.429201388892</v>
      </c>
    </row>
    <row r="10841" spans="1:10" x14ac:dyDescent="0.2">
      <c r="A10841" s="4" t="s">
        <v>1</v>
      </c>
      <c r="B1084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41" s="3" t="str">
        <f>HYPERLINK("https://otsuka-europe-crm.veevavault.com/ui/#object/sent_email__v/VBLZ025E82GU78R", "SE-000277096")</f>
        <v>SE-000277096</v>
      </c>
      <c r="D10841" s="1" t="s">
        <v>0</v>
      </c>
      <c r="E10841" s="2">
        <v>0</v>
      </c>
      <c r="F10841" s="2">
        <v>0</v>
      </c>
      <c r="G10841" s="2">
        <v>0</v>
      </c>
      <c r="H10841" s="1" t="s">
        <v>0</v>
      </c>
      <c r="I10841" s="2">
        <v>0</v>
      </c>
      <c r="J10841" s="1">
        <v>45919.429328703707</v>
      </c>
    </row>
    <row r="10842" spans="1:10" x14ac:dyDescent="0.2">
      <c r="A10842" s="4" t="s">
        <v>1</v>
      </c>
      <c r="B1084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42" s="3" t="str">
        <f>HYPERLINK("https://otsuka-europe-crm.veevavault.com/ui/#object/sent_email__v/VBLZ025E82GU78S", "SE-000277097")</f>
        <v>SE-000277097</v>
      </c>
      <c r="D10842" s="1" t="s">
        <v>0</v>
      </c>
      <c r="E10842" s="2">
        <v>0</v>
      </c>
      <c r="F10842" s="2">
        <v>0</v>
      </c>
      <c r="G10842" s="2">
        <v>0</v>
      </c>
      <c r="H10842" s="1" t="s">
        <v>0</v>
      </c>
      <c r="I10842" s="2">
        <v>0</v>
      </c>
      <c r="J10842" s="1">
        <v>45919.429178240738</v>
      </c>
    </row>
    <row r="10843" spans="1:10" x14ac:dyDescent="0.2">
      <c r="A10843" s="4" t="s">
        <v>1</v>
      </c>
      <c r="B1084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43" s="3" t="str">
        <f>HYPERLINK("https://otsuka-europe-crm.veevavault.com/ui/#object/sent_email__v/VBLZ025E82GU78T", "SE-000277098")</f>
        <v>SE-000277098</v>
      </c>
      <c r="D10843" s="1" t="s">
        <v>0</v>
      </c>
      <c r="E10843" s="2">
        <v>0</v>
      </c>
      <c r="F10843" s="2">
        <v>0</v>
      </c>
      <c r="G10843" s="2">
        <v>0</v>
      </c>
      <c r="H10843" s="1" t="s">
        <v>0</v>
      </c>
      <c r="I10843" s="2">
        <v>0</v>
      </c>
      <c r="J10843" s="1">
        <v>45919.429340277777</v>
      </c>
    </row>
    <row r="10844" spans="1:10" x14ac:dyDescent="0.2">
      <c r="A10844" s="4" t="s">
        <v>1</v>
      </c>
      <c r="B1084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44" s="3" t="str">
        <f>HYPERLINK("https://otsuka-europe-crm.veevavault.com/ui/#object/sent_email__v/VBLZ025E82GU78U", "SE-000277099")</f>
        <v>SE-000277099</v>
      </c>
      <c r="D10844" s="1" t="s">
        <v>0</v>
      </c>
      <c r="E10844" s="2">
        <v>0</v>
      </c>
      <c r="F10844" s="2">
        <v>0</v>
      </c>
      <c r="G10844" s="2">
        <v>0</v>
      </c>
      <c r="H10844" s="1" t="s">
        <v>0</v>
      </c>
      <c r="I10844" s="2">
        <v>0</v>
      </c>
      <c r="J10844" s="1">
        <v>45919.429189814815</v>
      </c>
    </row>
    <row r="10845" spans="1:10" x14ac:dyDescent="0.2">
      <c r="A10845" s="4" t="s">
        <v>1</v>
      </c>
      <c r="B1084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45" s="3" t="str">
        <f>HYPERLINK("https://otsuka-europe-crm.veevavault.com/ui/#object/sent_email__v/VBLZ025E82GU78V", "SE-000277100")</f>
        <v>SE-000277100</v>
      </c>
      <c r="D10845" s="1" t="s">
        <v>0</v>
      </c>
      <c r="E10845" s="2">
        <v>0</v>
      </c>
      <c r="F10845" s="2">
        <v>0</v>
      </c>
      <c r="G10845" s="2">
        <v>0</v>
      </c>
      <c r="H10845" s="1" t="s">
        <v>0</v>
      </c>
      <c r="I10845" s="2">
        <v>0</v>
      </c>
      <c r="J10845" s="1">
        <v>45919.429305555554</v>
      </c>
    </row>
    <row r="10846" spans="1:10" x14ac:dyDescent="0.2">
      <c r="A10846" s="4" t="s">
        <v>1</v>
      </c>
      <c r="B1084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46" s="3" t="str">
        <f>HYPERLINK("https://otsuka-europe-crm.veevavault.com/ui/#object/sent_email__v/VBLZ025E82GU78W", "SE-000277101")</f>
        <v>SE-000277101</v>
      </c>
      <c r="D10846" s="1" t="s">
        <v>0</v>
      </c>
      <c r="E10846" s="2">
        <v>0</v>
      </c>
      <c r="F10846" s="2">
        <v>0</v>
      </c>
      <c r="G10846" s="2">
        <v>0</v>
      </c>
      <c r="H10846" s="1" t="s">
        <v>0</v>
      </c>
      <c r="I10846" s="2">
        <v>0</v>
      </c>
      <c r="J10846" s="1">
        <v>45919.429432870369</v>
      </c>
    </row>
    <row r="10847" spans="1:10" x14ac:dyDescent="0.2">
      <c r="A10847" s="4" t="s">
        <v>1</v>
      </c>
      <c r="B1084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47" s="3" t="str">
        <f>HYPERLINK("https://otsuka-europe-crm.veevavault.com/ui/#object/sent_email__v/VBLZ025E82GU78X", "SE-000277102")</f>
        <v>SE-000277102</v>
      </c>
      <c r="D10847" s="1" t="s">
        <v>0</v>
      </c>
      <c r="E10847" s="2">
        <v>0</v>
      </c>
      <c r="F10847" s="2">
        <v>0</v>
      </c>
      <c r="G10847" s="2">
        <v>0</v>
      </c>
      <c r="H10847" s="1" t="s">
        <v>0</v>
      </c>
      <c r="I10847" s="2">
        <v>0</v>
      </c>
      <c r="J10847" s="1">
        <v>45919.429293981484</v>
      </c>
    </row>
    <row r="10848" spans="1:10" x14ac:dyDescent="0.2">
      <c r="A10848" s="4" t="s">
        <v>1</v>
      </c>
      <c r="B1084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48" s="3" t="str">
        <f>HYPERLINK("https://otsuka-europe-crm.veevavault.com/ui/#object/sent_email__v/VBLZ025E82GU78Y", "SE-000277103")</f>
        <v>SE-000277103</v>
      </c>
      <c r="D10848" s="1" t="s">
        <v>0</v>
      </c>
      <c r="E10848" s="2">
        <v>0</v>
      </c>
      <c r="F10848" s="2">
        <v>0</v>
      </c>
      <c r="G10848" s="2">
        <v>0</v>
      </c>
      <c r="H10848" s="1" t="s">
        <v>0</v>
      </c>
      <c r="I10848" s="2">
        <v>0</v>
      </c>
      <c r="J10848" s="1">
        <v>45919.4294212963</v>
      </c>
    </row>
    <row r="10849" spans="1:10" x14ac:dyDescent="0.2">
      <c r="A10849" s="4" t="s">
        <v>1</v>
      </c>
      <c r="B1084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49" s="3" t="str">
        <f>HYPERLINK("https://otsuka-europe-crm.veevavault.com/ui/#object/sent_email__v/VBLZ025E82GU78Z", "SE-000277104")</f>
        <v>SE-000277104</v>
      </c>
      <c r="D10849" s="1" t="s">
        <v>0</v>
      </c>
      <c r="E10849" s="2">
        <v>0</v>
      </c>
      <c r="F10849" s="2">
        <v>0</v>
      </c>
      <c r="G10849" s="2">
        <v>0</v>
      </c>
      <c r="H10849" s="1" t="s">
        <v>0</v>
      </c>
      <c r="I10849" s="2">
        <v>0</v>
      </c>
      <c r="J10849" s="1">
        <v>45919.429305555554</v>
      </c>
    </row>
    <row r="10850" spans="1:10" x14ac:dyDescent="0.2">
      <c r="A10850" s="4" t="s">
        <v>1</v>
      </c>
      <c r="B1085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50" s="3" t="str">
        <f>HYPERLINK("https://otsuka-europe-crm.veevavault.com/ui/#object/sent_email__v/VBLZ025E82GU790", "SE-000277105")</f>
        <v>SE-000277105</v>
      </c>
      <c r="D10850" s="1" t="s">
        <v>0</v>
      </c>
      <c r="E10850" s="2">
        <v>0</v>
      </c>
      <c r="F10850" s="2">
        <v>0</v>
      </c>
      <c r="G10850" s="2">
        <v>0</v>
      </c>
      <c r="H10850" s="1" t="s">
        <v>0</v>
      </c>
      <c r="I10850" s="2">
        <v>0</v>
      </c>
      <c r="J10850" s="1">
        <v>45919.429444444446</v>
      </c>
    </row>
    <row r="10851" spans="1:10" x14ac:dyDescent="0.2">
      <c r="A10851" s="4" t="s">
        <v>1</v>
      </c>
      <c r="B1085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51" s="3" t="str">
        <f>HYPERLINK("https://otsuka-europe-crm.veevavault.com/ui/#object/sent_email__v/VBLZ025E82GU791", "SE-000277106")</f>
        <v>SE-000277106</v>
      </c>
      <c r="D10851" s="1" t="s">
        <v>0</v>
      </c>
      <c r="E10851" s="2">
        <v>0</v>
      </c>
      <c r="F10851" s="2">
        <v>0</v>
      </c>
      <c r="G10851" s="2">
        <v>0</v>
      </c>
      <c r="H10851" s="1" t="s">
        <v>0</v>
      </c>
      <c r="I10851" s="2">
        <v>0</v>
      </c>
      <c r="J10851" s="1">
        <v>45919.42931712963</v>
      </c>
    </row>
    <row r="10852" spans="1:10" x14ac:dyDescent="0.2">
      <c r="A10852" s="4" t="s">
        <v>1</v>
      </c>
      <c r="B1085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52" s="3" t="str">
        <f>HYPERLINK("https://otsuka-europe-crm.veevavault.com/ui/#object/sent_email__v/VBLZ025E82GU7GH", "SE-000277140")</f>
        <v>SE-000277140</v>
      </c>
      <c r="D10852" s="1" t="s">
        <v>0</v>
      </c>
      <c r="E10852" s="2">
        <v>0</v>
      </c>
      <c r="F10852" s="2">
        <v>0</v>
      </c>
      <c r="G10852" s="2">
        <v>0</v>
      </c>
      <c r="H10852" s="1" t="s">
        <v>0</v>
      </c>
      <c r="I10852" s="2">
        <v>0</v>
      </c>
      <c r="J10852" s="1">
        <v>45919.43</v>
      </c>
    </row>
    <row r="10853" spans="1:10" x14ac:dyDescent="0.2">
      <c r="A10853" s="4" t="s">
        <v>1</v>
      </c>
      <c r="B1085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53" s="3" t="str">
        <f>HYPERLINK("https://otsuka-europe-crm.veevavault.com/ui/#object/sent_email__v/VBLZ025E82GU7GI", "SE-000277141")</f>
        <v>SE-000277141</v>
      </c>
      <c r="D10853" s="1" t="s">
        <v>0</v>
      </c>
      <c r="E10853" s="2">
        <v>0</v>
      </c>
      <c r="F10853" s="2">
        <v>0</v>
      </c>
      <c r="G10853" s="2">
        <v>0</v>
      </c>
      <c r="H10853" s="1" t="s">
        <v>0</v>
      </c>
      <c r="I10853" s="2">
        <v>0</v>
      </c>
      <c r="J10853" s="1">
        <v>45919.430011574077</v>
      </c>
    </row>
    <row r="10854" spans="1:10" x14ac:dyDescent="0.2">
      <c r="A10854" s="4" t="s">
        <v>1</v>
      </c>
      <c r="B1085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54" s="3" t="str">
        <f>HYPERLINK("https://otsuka-europe-crm.veevavault.com/ui/#object/sent_email__v/VBLZ025E82GU7GJ", "SE-000277142")</f>
        <v>SE-000277142</v>
      </c>
      <c r="D10854" s="1">
        <v>45932.898460648146</v>
      </c>
      <c r="E10854" s="2">
        <v>1</v>
      </c>
      <c r="F10854" s="2">
        <v>2</v>
      </c>
      <c r="G10854" s="2">
        <v>0</v>
      </c>
      <c r="H10854" s="1" t="s">
        <v>0</v>
      </c>
      <c r="I10854" s="2">
        <v>0</v>
      </c>
      <c r="J10854" s="1">
        <v>45919.430011574077</v>
      </c>
    </row>
    <row r="10855" spans="1:10" x14ac:dyDescent="0.2">
      <c r="A10855" s="4" t="s">
        <v>1</v>
      </c>
      <c r="B1085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55" s="3" t="str">
        <f>HYPERLINK("https://otsuka-europe-crm.veevavault.com/ui/#object/sent_email__v/VBLZ025E82GU7GK", "SE-000277143")</f>
        <v>SE-000277143</v>
      </c>
      <c r="D10855" s="1" t="s">
        <v>0</v>
      </c>
      <c r="E10855" s="2">
        <v>0</v>
      </c>
      <c r="F10855" s="2">
        <v>0</v>
      </c>
      <c r="G10855" s="2">
        <v>0</v>
      </c>
      <c r="H10855" s="1" t="s">
        <v>0</v>
      </c>
      <c r="I10855" s="2">
        <v>0</v>
      </c>
      <c r="J10855" s="1">
        <v>45919.430034722223</v>
      </c>
    </row>
    <row r="10856" spans="1:10" x14ac:dyDescent="0.2">
      <c r="A10856" s="4" t="s">
        <v>1</v>
      </c>
      <c r="B1085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56" s="3" t="str">
        <f>HYPERLINK("https://otsuka-europe-crm.veevavault.com/ui/#object/sent_email__v/VBLZ025E82GU7GL", "SE-000277144")</f>
        <v>SE-000277144</v>
      </c>
      <c r="D10856" s="1">
        <v>45919.64916666667</v>
      </c>
      <c r="E10856" s="2">
        <v>1</v>
      </c>
      <c r="F10856" s="2">
        <v>1</v>
      </c>
      <c r="G10856" s="2">
        <v>0</v>
      </c>
      <c r="H10856" s="1" t="s">
        <v>0</v>
      </c>
      <c r="I10856" s="2">
        <v>0</v>
      </c>
      <c r="J10856" s="1">
        <v>45919.430011574077</v>
      </c>
    </row>
    <row r="10857" spans="1:10" x14ac:dyDescent="0.2">
      <c r="A10857" s="4" t="s">
        <v>1</v>
      </c>
      <c r="B1085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57" s="3" t="str">
        <f>HYPERLINK("https://otsuka-europe-crm.veevavault.com/ui/#object/sent_email__v/VBLZ025E82GU7GM", "SE-000277145")</f>
        <v>SE-000277145</v>
      </c>
      <c r="D10857" s="1" t="s">
        <v>0</v>
      </c>
      <c r="E10857" s="2">
        <v>0</v>
      </c>
      <c r="F10857" s="2">
        <v>0</v>
      </c>
      <c r="G10857" s="2">
        <v>0</v>
      </c>
      <c r="H10857" s="1" t="s">
        <v>0</v>
      </c>
      <c r="I10857" s="2">
        <v>0</v>
      </c>
      <c r="J10857" s="1">
        <v>45919.430046296293</v>
      </c>
    </row>
    <row r="10858" spans="1:10" x14ac:dyDescent="0.2">
      <c r="A10858" s="4" t="s">
        <v>1</v>
      </c>
      <c r="B1085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58" s="3" t="str">
        <f>HYPERLINK("https://otsuka-europe-crm.veevavault.com/ui/#object/sent_email__v/VBLZ025E82GU7GN", "SE-000277146")</f>
        <v>SE-000277146</v>
      </c>
      <c r="D10858" s="1" t="s">
        <v>0</v>
      </c>
      <c r="E10858" s="2">
        <v>0</v>
      </c>
      <c r="F10858" s="2">
        <v>0</v>
      </c>
      <c r="G10858" s="2">
        <v>0</v>
      </c>
      <c r="H10858" s="1" t="s">
        <v>0</v>
      </c>
      <c r="I10858" s="2">
        <v>0</v>
      </c>
      <c r="J10858" s="1">
        <v>45919.430069444446</v>
      </c>
    </row>
    <row r="10859" spans="1:10" x14ac:dyDescent="0.2">
      <c r="A10859" s="4" t="s">
        <v>1</v>
      </c>
      <c r="B1085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59" s="3" t="str">
        <f>HYPERLINK("https://otsuka-europe-crm.veevavault.com/ui/#object/sent_email__v/VBLZ025E82GU7GO", "SE-000277147")</f>
        <v>SE-000277147</v>
      </c>
      <c r="D10859" s="1" t="s">
        <v>0</v>
      </c>
      <c r="E10859" s="2">
        <v>0</v>
      </c>
      <c r="F10859" s="2">
        <v>0</v>
      </c>
      <c r="G10859" s="2">
        <v>0</v>
      </c>
      <c r="H10859" s="1" t="s">
        <v>0</v>
      </c>
      <c r="I10859" s="2">
        <v>0</v>
      </c>
      <c r="J10859" s="1">
        <v>45919.429976851854</v>
      </c>
    </row>
    <row r="10860" spans="1:10" x14ac:dyDescent="0.2">
      <c r="A10860" s="4" t="s">
        <v>1</v>
      </c>
      <c r="B1086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60" s="3" t="str">
        <f>HYPERLINK("https://otsuka-europe-crm.veevavault.com/ui/#object/sent_email__v/VBLZ025E82GU7GP", "SE-000277148")</f>
        <v>SE-000277148</v>
      </c>
      <c r="D10860" s="1" t="s">
        <v>0</v>
      </c>
      <c r="E10860" s="2">
        <v>0</v>
      </c>
      <c r="F10860" s="2">
        <v>0</v>
      </c>
      <c r="G10860" s="2">
        <v>0</v>
      </c>
      <c r="H10860" s="1" t="s">
        <v>0</v>
      </c>
      <c r="I10860" s="2">
        <v>0</v>
      </c>
      <c r="J10860" s="1">
        <v>45919.429976851854</v>
      </c>
    </row>
    <row r="10861" spans="1:10" x14ac:dyDescent="0.2">
      <c r="A10861" s="4" t="s">
        <v>1</v>
      </c>
      <c r="B1086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61" s="3" t="str">
        <f>HYPERLINK("https://otsuka-europe-crm.veevavault.com/ui/#object/sent_email__v/VBLZ025E82GU7GQ", "SE-000277149")</f>
        <v>SE-000277149</v>
      </c>
      <c r="D10861" s="1" t="s">
        <v>0</v>
      </c>
      <c r="E10861" s="2">
        <v>0</v>
      </c>
      <c r="F10861" s="2">
        <v>0</v>
      </c>
      <c r="G10861" s="2">
        <v>0</v>
      </c>
      <c r="H10861" s="1" t="s">
        <v>0</v>
      </c>
      <c r="I10861" s="2">
        <v>0</v>
      </c>
      <c r="J10861" s="1">
        <v>45919.429965277777</v>
      </c>
    </row>
    <row r="10862" spans="1:10" x14ac:dyDescent="0.2">
      <c r="A10862" s="4" t="s">
        <v>1</v>
      </c>
      <c r="B1086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62" s="3" t="str">
        <f>HYPERLINK("https://otsuka-europe-crm.veevavault.com/ui/#object/sent_email__v/VBLZ025E82GU7GR", "SE-000277150")</f>
        <v>SE-000277150</v>
      </c>
      <c r="D10862" s="1" t="s">
        <v>0</v>
      </c>
      <c r="E10862" s="2">
        <v>0</v>
      </c>
      <c r="F10862" s="2">
        <v>0</v>
      </c>
      <c r="G10862" s="2">
        <v>0</v>
      </c>
      <c r="H10862" s="1" t="s">
        <v>0</v>
      </c>
      <c r="I10862" s="2">
        <v>0</v>
      </c>
      <c r="J10862" s="1">
        <v>45919.429976851854</v>
      </c>
    </row>
    <row r="10863" spans="1:10" x14ac:dyDescent="0.2">
      <c r="A10863" s="4" t="s">
        <v>1</v>
      </c>
      <c r="B1086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63" s="3" t="str">
        <f>HYPERLINK("https://otsuka-europe-crm.veevavault.com/ui/#object/sent_email__v/VBLZ025E82GU7GS", "SE-000277151")</f>
        <v>SE-000277151</v>
      </c>
      <c r="D10863" s="1" t="s">
        <v>0</v>
      </c>
      <c r="E10863" s="2">
        <v>0</v>
      </c>
      <c r="F10863" s="2">
        <v>0</v>
      </c>
      <c r="G10863" s="2">
        <v>0</v>
      </c>
      <c r="H10863" s="1" t="s">
        <v>0</v>
      </c>
      <c r="I10863" s="2">
        <v>0</v>
      </c>
      <c r="J10863" s="1">
        <v>45919.4299537037</v>
      </c>
    </row>
    <row r="10864" spans="1:10" x14ac:dyDescent="0.2">
      <c r="A10864" s="4" t="s">
        <v>1</v>
      </c>
      <c r="B1086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64" s="3" t="str">
        <f>HYPERLINK("https://otsuka-europe-crm.veevavault.com/ui/#object/sent_email__v/VBLZ025E82GU7GT", "SE-000277152")</f>
        <v>SE-000277152</v>
      </c>
      <c r="D10864" s="1" t="s">
        <v>0</v>
      </c>
      <c r="E10864" s="2">
        <v>0</v>
      </c>
      <c r="F10864" s="2">
        <v>0</v>
      </c>
      <c r="G10864" s="2">
        <v>0</v>
      </c>
      <c r="H10864" s="1" t="s">
        <v>0</v>
      </c>
      <c r="I10864" s="2">
        <v>0</v>
      </c>
      <c r="J10864" s="1">
        <v>45919.429965277777</v>
      </c>
    </row>
    <row r="10865" spans="1:10" x14ac:dyDescent="0.2">
      <c r="A10865" s="4" t="s">
        <v>1</v>
      </c>
      <c r="B1086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65" s="3" t="str">
        <f>HYPERLINK("https://otsuka-europe-crm.veevavault.com/ui/#object/sent_email__v/VBLZ025E82GU7GU", "SE-000277153")</f>
        <v>SE-000277153</v>
      </c>
      <c r="D10865" s="1" t="s">
        <v>0</v>
      </c>
      <c r="E10865" s="2">
        <v>0</v>
      </c>
      <c r="F10865" s="2">
        <v>0</v>
      </c>
      <c r="G10865" s="2">
        <v>0</v>
      </c>
      <c r="H10865" s="1" t="s">
        <v>0</v>
      </c>
      <c r="I10865" s="2">
        <v>0</v>
      </c>
      <c r="J10865" s="1">
        <v>45919.430081018516</v>
      </c>
    </row>
    <row r="10866" spans="1:10" x14ac:dyDescent="0.2">
      <c r="A10866" s="4" t="s">
        <v>1</v>
      </c>
      <c r="B1086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66" s="3" t="str">
        <f>HYPERLINK("https://otsuka-europe-crm.veevavault.com/ui/#object/sent_email__v/VBLZ025E82GU7GV", "SE-000277154")</f>
        <v>SE-000277154</v>
      </c>
      <c r="D10866" s="1" t="s">
        <v>0</v>
      </c>
      <c r="E10866" s="2">
        <v>0</v>
      </c>
      <c r="F10866" s="2">
        <v>0</v>
      </c>
      <c r="G10866" s="2">
        <v>0</v>
      </c>
      <c r="H10866" s="1" t="s">
        <v>0</v>
      </c>
      <c r="I10866" s="2">
        <v>0</v>
      </c>
      <c r="J10866" s="1">
        <v>45919.430104166669</v>
      </c>
    </row>
    <row r="10867" spans="1:10" x14ac:dyDescent="0.2">
      <c r="A10867" s="4" t="s">
        <v>1</v>
      </c>
      <c r="B1086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67" s="3" t="str">
        <f>HYPERLINK("https://otsuka-europe-crm.veevavault.com/ui/#object/sent_email__v/VBLZ025E82GU7GW", "SE-000277155")</f>
        <v>SE-000277155</v>
      </c>
      <c r="D10867" s="1" t="s">
        <v>0</v>
      </c>
      <c r="E10867" s="2">
        <v>0</v>
      </c>
      <c r="F10867" s="2">
        <v>0</v>
      </c>
      <c r="G10867" s="2">
        <v>0</v>
      </c>
      <c r="H10867" s="1" t="s">
        <v>0</v>
      </c>
      <c r="I10867" s="2">
        <v>0</v>
      </c>
      <c r="J10867" s="1">
        <v>45919.430092592593</v>
      </c>
    </row>
    <row r="10868" spans="1:10" x14ac:dyDescent="0.2">
      <c r="A10868" s="4" t="s">
        <v>1</v>
      </c>
      <c r="B1086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68" s="3" t="str">
        <f>HYPERLINK("https://otsuka-europe-crm.veevavault.com/ui/#object/sent_email__v/VBLZ025E82GU7GX", "SE-000277156")</f>
        <v>SE-000277156</v>
      </c>
      <c r="D10868" s="1">
        <v>45919.816261574073</v>
      </c>
      <c r="E10868" s="2">
        <v>1</v>
      </c>
      <c r="F10868" s="2">
        <v>1</v>
      </c>
      <c r="G10868" s="2">
        <v>0</v>
      </c>
      <c r="H10868" s="1" t="s">
        <v>0</v>
      </c>
      <c r="I10868" s="2">
        <v>0</v>
      </c>
      <c r="J10868" s="1">
        <v>45919.430069444446</v>
      </c>
    </row>
    <row r="10869" spans="1:10" x14ac:dyDescent="0.2">
      <c r="A10869" s="4" t="s">
        <v>1</v>
      </c>
      <c r="B1086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69" s="3" t="str">
        <f>HYPERLINK("https://otsuka-europe-crm.veevavault.com/ui/#object/sent_email__v/VBLZ025E82GUKF5", "SE-000277221")</f>
        <v>SE-000277221</v>
      </c>
      <c r="D10869" s="1">
        <v>45919.744004629632</v>
      </c>
      <c r="E10869" s="2">
        <v>1</v>
      </c>
      <c r="F10869" s="2">
        <v>1</v>
      </c>
      <c r="G10869" s="2">
        <v>0</v>
      </c>
      <c r="H10869" s="1" t="s">
        <v>0</v>
      </c>
      <c r="I10869" s="2">
        <v>0</v>
      </c>
      <c r="J10869" s="1">
        <v>45919.558344907404</v>
      </c>
    </row>
    <row r="10870" spans="1:10" x14ac:dyDescent="0.2">
      <c r="A10870" s="4" t="s">
        <v>1</v>
      </c>
      <c r="B1087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70" s="3" t="str">
        <f>HYPERLINK("https://otsuka-europe-crm.veevavault.com/ui/#object/sent_email__v/VBLZ025E82GUKF6", "SE-000277222")</f>
        <v>SE-000277222</v>
      </c>
      <c r="D10870" s="1">
        <v>45921.361238425925</v>
      </c>
      <c r="E10870" s="2">
        <v>1</v>
      </c>
      <c r="F10870" s="2">
        <v>3</v>
      </c>
      <c r="G10870" s="2">
        <v>0</v>
      </c>
      <c r="H10870" s="1" t="s">
        <v>0</v>
      </c>
      <c r="I10870" s="2">
        <v>0</v>
      </c>
      <c r="J10870" s="1">
        <v>45919.558368055557</v>
      </c>
    </row>
    <row r="10871" spans="1:10" x14ac:dyDescent="0.2">
      <c r="A10871" s="4" t="s">
        <v>1</v>
      </c>
      <c r="B1087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71" s="3" t="str">
        <f>HYPERLINK("https://otsuka-europe-crm.veevavault.com/ui/#object/sent_email__v/VBLZ025E82GUKF7", "SE-000277223")</f>
        <v>SE-000277223</v>
      </c>
      <c r="D10871" s="1">
        <v>45921.553935185184</v>
      </c>
      <c r="E10871" s="2">
        <v>1</v>
      </c>
      <c r="F10871" s="2">
        <v>3</v>
      </c>
      <c r="G10871" s="2">
        <v>0</v>
      </c>
      <c r="H10871" s="1" t="s">
        <v>0</v>
      </c>
      <c r="I10871" s="2">
        <v>0</v>
      </c>
      <c r="J10871" s="1">
        <v>45919.558368055557</v>
      </c>
    </row>
    <row r="10872" spans="1:10" x14ac:dyDescent="0.2">
      <c r="A10872" s="4" t="s">
        <v>1</v>
      </c>
      <c r="B1087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72" s="3" t="str">
        <f>HYPERLINK("https://otsuka-europe-crm.veevavault.com/ui/#object/sent_email__v/VBLZ025E82GUKF8", "SE-000277224")</f>
        <v>SE-000277224</v>
      </c>
      <c r="D10872" s="1">
        <v>45919.585821759261</v>
      </c>
      <c r="E10872" s="2">
        <v>1</v>
      </c>
      <c r="F10872" s="2">
        <v>1</v>
      </c>
      <c r="G10872" s="2">
        <v>0</v>
      </c>
      <c r="H10872" s="1" t="s">
        <v>0</v>
      </c>
      <c r="I10872" s="2">
        <v>0</v>
      </c>
      <c r="J10872" s="1">
        <v>45919.558379629627</v>
      </c>
    </row>
    <row r="10873" spans="1:10" x14ac:dyDescent="0.2">
      <c r="A10873" s="4" t="s">
        <v>1</v>
      </c>
      <c r="B1087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73" s="3" t="str">
        <f>HYPERLINK("https://otsuka-europe-crm.veevavault.com/ui/#object/sent_email__v/VBLZ025E82GUKF9", "SE-000277225")</f>
        <v>SE-000277225</v>
      </c>
      <c r="D10873" s="1" t="s">
        <v>0</v>
      </c>
      <c r="E10873" s="2">
        <v>0</v>
      </c>
      <c r="F10873" s="2">
        <v>0</v>
      </c>
      <c r="G10873" s="2">
        <v>0</v>
      </c>
      <c r="H10873" s="1" t="s">
        <v>0</v>
      </c>
      <c r="I10873" s="2">
        <v>0</v>
      </c>
      <c r="J10873" s="1">
        <v>45919.558379629627</v>
      </c>
    </row>
    <row r="10874" spans="1:10" x14ac:dyDescent="0.2">
      <c r="A10874" s="4" t="s">
        <v>1</v>
      </c>
      <c r="B1087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74" s="3" t="str">
        <f>HYPERLINK("https://otsuka-europe-crm.veevavault.com/ui/#object/sent_email__v/VBLZ025E82GUKFA", "SE-000277226")</f>
        <v>SE-000277226</v>
      </c>
      <c r="D10874" s="1" t="s">
        <v>0</v>
      </c>
      <c r="E10874" s="2">
        <v>0</v>
      </c>
      <c r="F10874" s="2">
        <v>0</v>
      </c>
      <c r="G10874" s="2">
        <v>0</v>
      </c>
      <c r="H10874" s="1" t="s">
        <v>0</v>
      </c>
      <c r="I10874" s="2">
        <v>0</v>
      </c>
      <c r="J10874" s="1">
        <v>45919.558379629627</v>
      </c>
    </row>
    <row r="10875" spans="1:10" x14ac:dyDescent="0.2">
      <c r="A10875" s="4" t="s">
        <v>1</v>
      </c>
      <c r="B1087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75" s="3" t="str">
        <f>HYPERLINK("https://otsuka-europe-crm.veevavault.com/ui/#object/sent_email__v/VBLZ025E82GUKFB", "SE-000277227")</f>
        <v>SE-000277227</v>
      </c>
      <c r="D10875" s="1">
        <v>45919.562418981484</v>
      </c>
      <c r="E10875" s="2">
        <v>1</v>
      </c>
      <c r="F10875" s="2">
        <v>1</v>
      </c>
      <c r="G10875" s="2">
        <v>0</v>
      </c>
      <c r="H10875" s="1" t="s">
        <v>0</v>
      </c>
      <c r="I10875" s="2">
        <v>0</v>
      </c>
      <c r="J10875" s="1">
        <v>45919.55840277778</v>
      </c>
    </row>
    <row r="10876" spans="1:10" x14ac:dyDescent="0.2">
      <c r="A10876" s="4" t="s">
        <v>1</v>
      </c>
      <c r="B1087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76" s="3" t="str">
        <f>HYPERLINK("https://otsuka-europe-crm.veevavault.com/ui/#object/sent_email__v/VBLZ025E82GUKFC", "SE-000277228")</f>
        <v>SE-000277228</v>
      </c>
      <c r="D10876" s="1" t="s">
        <v>0</v>
      </c>
      <c r="E10876" s="2">
        <v>0</v>
      </c>
      <c r="F10876" s="2">
        <v>0</v>
      </c>
      <c r="G10876" s="2">
        <v>0</v>
      </c>
      <c r="H10876" s="1" t="s">
        <v>0</v>
      </c>
      <c r="I10876" s="2">
        <v>0</v>
      </c>
      <c r="J10876" s="1">
        <v>45919.55841435185</v>
      </c>
    </row>
    <row r="10877" spans="1:10" x14ac:dyDescent="0.2">
      <c r="A10877" s="4" t="s">
        <v>1</v>
      </c>
      <c r="B1087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77" s="3" t="str">
        <f>HYPERLINK("https://otsuka-europe-crm.veevavault.com/ui/#object/sent_email__v/VBLZ025E82GUKFD", "SE-000277229")</f>
        <v>SE-000277229</v>
      </c>
      <c r="D10877" s="1">
        <v>45923.41810185185</v>
      </c>
      <c r="E10877" s="2">
        <v>1</v>
      </c>
      <c r="F10877" s="2">
        <v>1</v>
      </c>
      <c r="G10877" s="2">
        <v>1</v>
      </c>
      <c r="H10877" s="1">
        <v>45923.41810185185</v>
      </c>
      <c r="I10877" s="2">
        <v>1</v>
      </c>
      <c r="J10877" s="1">
        <v>45919.55841435185</v>
      </c>
    </row>
    <row r="10878" spans="1:10" x14ac:dyDescent="0.2">
      <c r="A10878" s="4" t="s">
        <v>1</v>
      </c>
      <c r="B1087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78" s="3" t="str">
        <f>HYPERLINK("https://otsuka-europe-crm.veevavault.com/ui/#object/sent_email__v/VBLZ025E82GUKFE", "SE-000277230")</f>
        <v>SE-000277230</v>
      </c>
      <c r="D10878" s="1">
        <v>45919.575694444444</v>
      </c>
      <c r="E10878" s="2">
        <v>1</v>
      </c>
      <c r="F10878" s="2">
        <v>1</v>
      </c>
      <c r="G10878" s="2">
        <v>0</v>
      </c>
      <c r="H10878" s="1" t="s">
        <v>0</v>
      </c>
      <c r="I10878" s="2">
        <v>0</v>
      </c>
      <c r="J10878" s="1">
        <v>45919.558425925927</v>
      </c>
    </row>
    <row r="10879" spans="1:10" x14ac:dyDescent="0.2">
      <c r="A10879" s="4" t="s">
        <v>1</v>
      </c>
      <c r="B1087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79" s="3" t="str">
        <f>HYPERLINK("https://otsuka-europe-crm.veevavault.com/ui/#object/sent_email__v/VBLZ025E82GUKFF", "SE-000277231")</f>
        <v>SE-000277231</v>
      </c>
      <c r="D10879" s="1" t="s">
        <v>0</v>
      </c>
      <c r="E10879" s="2">
        <v>0</v>
      </c>
      <c r="F10879" s="2">
        <v>0</v>
      </c>
      <c r="G10879" s="2">
        <v>0</v>
      </c>
      <c r="H10879" s="1" t="s">
        <v>0</v>
      </c>
      <c r="I10879" s="2">
        <v>0</v>
      </c>
      <c r="J10879" s="1">
        <v>45919.558437500003</v>
      </c>
    </row>
    <row r="10880" spans="1:10" x14ac:dyDescent="0.2">
      <c r="A10880" s="4" t="s">
        <v>1</v>
      </c>
      <c r="B1088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80" s="3" t="str">
        <f>HYPERLINK("https://otsuka-europe-crm.veevavault.com/ui/#object/sent_email__v/VBLZ025E82GUKFG", "SE-000277232")</f>
        <v>SE-000277232</v>
      </c>
      <c r="D10880" s="1" t="s">
        <v>0</v>
      </c>
      <c r="E10880" s="2">
        <v>0</v>
      </c>
      <c r="F10880" s="2">
        <v>0</v>
      </c>
      <c r="G10880" s="2">
        <v>0</v>
      </c>
      <c r="H10880" s="1" t="s">
        <v>0</v>
      </c>
      <c r="I10880" s="2">
        <v>0</v>
      </c>
      <c r="J10880" s="1">
        <v>45919.558449074073</v>
      </c>
    </row>
    <row r="10881" spans="1:10" x14ac:dyDescent="0.2">
      <c r="A10881" s="4" t="s">
        <v>1</v>
      </c>
      <c r="B1088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81" s="3" t="str">
        <f>HYPERLINK("https://otsuka-europe-crm.veevavault.com/ui/#object/sent_email__v/VBLZ025E82GUKFH", "SE-000277233")</f>
        <v>SE-000277233</v>
      </c>
      <c r="D10881" s="1">
        <v>45936.800162037034</v>
      </c>
      <c r="E10881" s="2">
        <v>1</v>
      </c>
      <c r="F10881" s="2">
        <v>3</v>
      </c>
      <c r="G10881" s="2">
        <v>0</v>
      </c>
      <c r="H10881" s="1" t="s">
        <v>0</v>
      </c>
      <c r="I10881" s="2">
        <v>0</v>
      </c>
      <c r="J10881" s="1">
        <v>45919.558449074073</v>
      </c>
    </row>
    <row r="10882" spans="1:10" x14ac:dyDescent="0.2">
      <c r="A10882" s="4" t="s">
        <v>1</v>
      </c>
      <c r="B1088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82" s="3" t="str">
        <f>HYPERLINK("https://otsuka-europe-crm.veevavault.com/ui/#object/sent_email__v/VBLZ025E82GUKFI", "SE-000277234")</f>
        <v>SE-000277234</v>
      </c>
      <c r="D10882" s="1" t="s">
        <v>0</v>
      </c>
      <c r="E10882" s="2">
        <v>0</v>
      </c>
      <c r="F10882" s="2">
        <v>0</v>
      </c>
      <c r="G10882" s="2">
        <v>0</v>
      </c>
      <c r="H10882" s="1" t="s">
        <v>0</v>
      </c>
      <c r="I10882" s="2">
        <v>0</v>
      </c>
      <c r="J10882" s="1">
        <v>45919.558472222219</v>
      </c>
    </row>
    <row r="10883" spans="1:10" x14ac:dyDescent="0.2">
      <c r="A10883" s="4" t="s">
        <v>1</v>
      </c>
      <c r="B1088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83" s="3" t="str">
        <f>HYPERLINK("https://otsuka-europe-crm.veevavault.com/ui/#object/sent_email__v/VBLZ025E82GUKFJ", "SE-000277235")</f>
        <v>SE-000277235</v>
      </c>
      <c r="D10883" s="1">
        <v>45924.359085648146</v>
      </c>
      <c r="E10883" s="2">
        <v>1</v>
      </c>
      <c r="F10883" s="2">
        <v>1</v>
      </c>
      <c r="G10883" s="2">
        <v>0</v>
      </c>
      <c r="H10883" s="1" t="s">
        <v>0</v>
      </c>
      <c r="I10883" s="2">
        <v>0</v>
      </c>
      <c r="J10883" s="1">
        <v>45919.558483796296</v>
      </c>
    </row>
    <row r="10884" spans="1:10" x14ac:dyDescent="0.2">
      <c r="A10884" s="4" t="s">
        <v>1</v>
      </c>
      <c r="B1088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84" s="3" t="str">
        <f>HYPERLINK("https://otsuka-europe-crm.veevavault.com/ui/#object/sent_email__v/VBLZ025E82GUKFK", "SE-000277236")</f>
        <v>SE-000277236</v>
      </c>
      <c r="D10884" s="1" t="s">
        <v>0</v>
      </c>
      <c r="E10884" s="2">
        <v>0</v>
      </c>
      <c r="F10884" s="2">
        <v>0</v>
      </c>
      <c r="G10884" s="2">
        <v>0</v>
      </c>
      <c r="H10884" s="1" t="s">
        <v>0</v>
      </c>
      <c r="I10884" s="2">
        <v>0</v>
      </c>
      <c r="J10884" s="1">
        <v>45919.558483796296</v>
      </c>
    </row>
    <row r="10885" spans="1:10" x14ac:dyDescent="0.2">
      <c r="A10885" s="4" t="s">
        <v>1</v>
      </c>
      <c r="B1088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85" s="3" t="str">
        <f>HYPERLINK("https://otsuka-europe-crm.veevavault.com/ui/#object/sent_email__v/VBLZ025E82GUKFL", "SE-000277237")</f>
        <v>SE-000277237</v>
      </c>
      <c r="D10885" s="1" t="s">
        <v>0</v>
      </c>
      <c r="E10885" s="2">
        <v>0</v>
      </c>
      <c r="F10885" s="2">
        <v>0</v>
      </c>
      <c r="G10885" s="2">
        <v>0</v>
      </c>
      <c r="H10885" s="1" t="s">
        <v>0</v>
      </c>
      <c r="I10885" s="2">
        <v>0</v>
      </c>
      <c r="J10885" s="1">
        <v>45919.558495370373</v>
      </c>
    </row>
    <row r="10886" spans="1:10" x14ac:dyDescent="0.2">
      <c r="A10886" s="4" t="s">
        <v>1</v>
      </c>
      <c r="B1088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86" s="3" t="str">
        <f>HYPERLINK("https://otsuka-europe-crm.veevavault.com/ui/#object/sent_email__v/VBLZ025E82GUKFM", "SE-000277238")</f>
        <v>SE-000277238</v>
      </c>
      <c r="D10886" s="1" t="s">
        <v>0</v>
      </c>
      <c r="E10886" s="2">
        <v>0</v>
      </c>
      <c r="F10886" s="2">
        <v>0</v>
      </c>
      <c r="G10886" s="2">
        <v>0</v>
      </c>
      <c r="H10886" s="1" t="s">
        <v>0</v>
      </c>
      <c r="I10886" s="2">
        <v>0</v>
      </c>
      <c r="J10886" s="1">
        <v>45919.558506944442</v>
      </c>
    </row>
    <row r="10887" spans="1:10" x14ac:dyDescent="0.2">
      <c r="A10887" s="4" t="s">
        <v>1</v>
      </c>
      <c r="B1088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87" s="3" t="str">
        <f>HYPERLINK("https://otsuka-europe-crm.veevavault.com/ui/#object/sent_email__v/VBLZ025E82GUKFN", "SE-000277239")</f>
        <v>SE-000277239</v>
      </c>
      <c r="D10887" s="1" t="s">
        <v>0</v>
      </c>
      <c r="E10887" s="2">
        <v>0</v>
      </c>
      <c r="F10887" s="2">
        <v>0</v>
      </c>
      <c r="G10887" s="2">
        <v>0</v>
      </c>
      <c r="H10887" s="1" t="s">
        <v>0</v>
      </c>
      <c r="I10887" s="2">
        <v>0</v>
      </c>
      <c r="J10887" s="1">
        <v>45919.558518518519</v>
      </c>
    </row>
    <row r="10888" spans="1:10" x14ac:dyDescent="0.2">
      <c r="A10888" s="4" t="s">
        <v>1</v>
      </c>
      <c r="B1088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88" s="3" t="str">
        <f>HYPERLINK("https://otsuka-europe-crm.veevavault.com/ui/#object/sent_email__v/VBLZ025E82GUKFO", "SE-000277240")</f>
        <v>SE-000277240</v>
      </c>
      <c r="D10888" s="1">
        <v>45920.454768518517</v>
      </c>
      <c r="E10888" s="2">
        <v>1</v>
      </c>
      <c r="F10888" s="2">
        <v>2</v>
      </c>
      <c r="G10888" s="2">
        <v>0</v>
      </c>
      <c r="H10888" s="1" t="s">
        <v>0</v>
      </c>
      <c r="I10888" s="2">
        <v>0</v>
      </c>
      <c r="J10888" s="1">
        <v>45919.558518518519</v>
      </c>
    </row>
    <row r="10889" spans="1:10" x14ac:dyDescent="0.2">
      <c r="A10889" s="4" t="s">
        <v>1</v>
      </c>
      <c r="B1088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89" s="3" t="str">
        <f>HYPERLINK("https://otsuka-europe-crm.veevavault.com/ui/#object/sent_email__v/VBLZ025E82GUKFP", "SE-000277241")</f>
        <v>SE-000277241</v>
      </c>
      <c r="D10889" s="1">
        <v>45919.559814814813</v>
      </c>
      <c r="E10889" s="2">
        <v>1</v>
      </c>
      <c r="F10889" s="2">
        <v>2</v>
      </c>
      <c r="G10889" s="2">
        <v>1</v>
      </c>
      <c r="H10889" s="1">
        <v>45919.560254629629</v>
      </c>
      <c r="I10889" s="2">
        <v>1</v>
      </c>
      <c r="J10889" s="1">
        <v>45919.558530092596</v>
      </c>
    </row>
    <row r="10890" spans="1:10" x14ac:dyDescent="0.2">
      <c r="A10890" s="4" t="s">
        <v>1</v>
      </c>
      <c r="B1089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90" s="3" t="str">
        <f>HYPERLINK("https://otsuka-europe-crm.veevavault.com/ui/#object/sent_email__v/VBLZ025E82GUKFQ", "SE-000277242")</f>
        <v>SE-000277242</v>
      </c>
      <c r="D10890" s="1">
        <v>45919.567013888889</v>
      </c>
      <c r="E10890" s="2">
        <v>1</v>
      </c>
      <c r="F10890" s="2">
        <v>1</v>
      </c>
      <c r="G10890" s="2">
        <v>0</v>
      </c>
      <c r="H10890" s="1" t="s">
        <v>0</v>
      </c>
      <c r="I10890" s="2">
        <v>0</v>
      </c>
      <c r="J10890" s="1">
        <v>45919.558541666665</v>
      </c>
    </row>
    <row r="10891" spans="1:10" x14ac:dyDescent="0.2">
      <c r="A10891" s="4" t="s">
        <v>1</v>
      </c>
      <c r="B1089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91" s="3" t="str">
        <f>HYPERLINK("https://otsuka-europe-crm.veevavault.com/ui/#object/sent_email__v/VBLZ025E82GUKFR", "SE-000277243")</f>
        <v>SE-000277243</v>
      </c>
      <c r="D10891" s="1">
        <v>45919.93372685185</v>
      </c>
      <c r="E10891" s="2">
        <v>1</v>
      </c>
      <c r="F10891" s="2">
        <v>1</v>
      </c>
      <c r="G10891" s="2">
        <v>0</v>
      </c>
      <c r="H10891" s="1" t="s">
        <v>0</v>
      </c>
      <c r="I10891" s="2">
        <v>0</v>
      </c>
      <c r="J10891" s="1">
        <v>45919.558553240742</v>
      </c>
    </row>
    <row r="10892" spans="1:10" x14ac:dyDescent="0.2">
      <c r="A10892" s="4" t="s">
        <v>1</v>
      </c>
      <c r="B1089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92" s="3" t="str">
        <f>HYPERLINK("https://otsuka-europe-crm.veevavault.com/ui/#object/sent_email__v/VBLZ025E82GUKFS", "SE-000277244")</f>
        <v>SE-000277244</v>
      </c>
      <c r="D10892" s="1" t="s">
        <v>0</v>
      </c>
      <c r="E10892" s="2">
        <v>0</v>
      </c>
      <c r="F10892" s="2">
        <v>0</v>
      </c>
      <c r="G10892" s="2">
        <v>0</v>
      </c>
      <c r="H10892" s="1" t="s">
        <v>0</v>
      </c>
      <c r="I10892" s="2">
        <v>0</v>
      </c>
      <c r="J10892" s="1">
        <v>45919.558564814812</v>
      </c>
    </row>
    <row r="10893" spans="1:10" x14ac:dyDescent="0.2">
      <c r="A10893" s="4" t="s">
        <v>1</v>
      </c>
      <c r="B1089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93" s="3" t="str">
        <f>HYPERLINK("https://otsuka-europe-crm.veevavault.com/ui/#object/sent_email__v/VBLZ025E82GUKFT", "SE-000277245")</f>
        <v>SE-000277245</v>
      </c>
      <c r="D10893" s="1">
        <v>45919.589166666665</v>
      </c>
      <c r="E10893" s="2">
        <v>1</v>
      </c>
      <c r="F10893" s="2">
        <v>1</v>
      </c>
      <c r="G10893" s="2">
        <v>0</v>
      </c>
      <c r="H10893" s="1" t="s">
        <v>0</v>
      </c>
      <c r="I10893" s="2">
        <v>0</v>
      </c>
      <c r="J10893" s="1">
        <v>45919.558576388888</v>
      </c>
    </row>
    <row r="10894" spans="1:10" x14ac:dyDescent="0.2">
      <c r="A10894" s="4" t="s">
        <v>1</v>
      </c>
      <c r="B1089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94" s="3" t="str">
        <f>HYPERLINK("https://otsuka-europe-crm.veevavault.com/ui/#object/sent_email__v/VBLZ025E82GUKFU", "SE-000277246")</f>
        <v>SE-000277246</v>
      </c>
      <c r="D10894" s="1">
        <v>45919.573449074072</v>
      </c>
      <c r="E10894" s="2">
        <v>1</v>
      </c>
      <c r="F10894" s="2">
        <v>2</v>
      </c>
      <c r="G10894" s="2">
        <v>0</v>
      </c>
      <c r="H10894" s="1" t="s">
        <v>0</v>
      </c>
      <c r="I10894" s="2">
        <v>0</v>
      </c>
      <c r="J10894" s="1">
        <v>45919.558587962965</v>
      </c>
    </row>
    <row r="10895" spans="1:10" x14ac:dyDescent="0.2">
      <c r="A10895" s="4" t="s">
        <v>1</v>
      </c>
      <c r="B1089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95" s="3" t="str">
        <f>HYPERLINK("https://otsuka-europe-crm.veevavault.com/ui/#object/sent_email__v/VBLZ025E82GUKFV", "SE-000277247")</f>
        <v>SE-000277247</v>
      </c>
      <c r="D10895" s="1">
        <v>45919.558692129627</v>
      </c>
      <c r="E10895" s="2">
        <v>1</v>
      </c>
      <c r="F10895" s="2">
        <v>1</v>
      </c>
      <c r="G10895" s="2">
        <v>0</v>
      </c>
      <c r="H10895" s="1" t="s">
        <v>0</v>
      </c>
      <c r="I10895" s="2">
        <v>0</v>
      </c>
      <c r="J10895" s="1">
        <v>45919.558599537035</v>
      </c>
    </row>
    <row r="10896" spans="1:10" x14ac:dyDescent="0.2">
      <c r="A10896" s="4" t="s">
        <v>1</v>
      </c>
      <c r="B1089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96" s="3" t="str">
        <f>HYPERLINK("https://otsuka-europe-crm.veevavault.com/ui/#object/sent_email__v/VBLZ025E82GUKFW", "SE-000277248")</f>
        <v>SE-000277248</v>
      </c>
      <c r="D10896" s="1">
        <v>45923.500694444447</v>
      </c>
      <c r="E10896" s="2">
        <v>1</v>
      </c>
      <c r="F10896" s="2">
        <v>1</v>
      </c>
      <c r="G10896" s="2">
        <v>1</v>
      </c>
      <c r="H10896" s="1">
        <v>45923.500694444447</v>
      </c>
      <c r="I10896" s="2">
        <v>1</v>
      </c>
      <c r="J10896" s="1">
        <v>45919.558611111112</v>
      </c>
    </row>
    <row r="10897" spans="1:10" x14ac:dyDescent="0.2">
      <c r="A10897" s="4" t="s">
        <v>1</v>
      </c>
      <c r="B1089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97" s="3" t="str">
        <f>HYPERLINK("https://otsuka-europe-crm.veevavault.com/ui/#object/sent_email__v/VBLZ025E82GUKFX", "SE-000277249")</f>
        <v>SE-000277249</v>
      </c>
      <c r="D10897" s="1" t="s">
        <v>0</v>
      </c>
      <c r="E10897" s="2">
        <v>0</v>
      </c>
      <c r="F10897" s="2">
        <v>0</v>
      </c>
      <c r="G10897" s="2">
        <v>0</v>
      </c>
      <c r="H10897" s="1" t="s">
        <v>0</v>
      </c>
      <c r="I10897" s="2">
        <v>0</v>
      </c>
      <c r="J10897" s="1">
        <v>45919.558611111112</v>
      </c>
    </row>
    <row r="10898" spans="1:10" x14ac:dyDescent="0.2">
      <c r="A10898" s="4" t="s">
        <v>1</v>
      </c>
      <c r="B1089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98" s="3" t="str">
        <f>HYPERLINK("https://otsuka-europe-crm.veevavault.com/ui/#object/sent_email__v/VBLZ025E82GUKFY", "SE-000277250")</f>
        <v>SE-000277250</v>
      </c>
      <c r="D10898" s="1" t="s">
        <v>0</v>
      </c>
      <c r="E10898" s="2">
        <v>0</v>
      </c>
      <c r="F10898" s="2">
        <v>0</v>
      </c>
      <c r="G10898" s="2">
        <v>0</v>
      </c>
      <c r="H10898" s="1" t="s">
        <v>0</v>
      </c>
      <c r="I10898" s="2">
        <v>0</v>
      </c>
      <c r="J10898" s="1">
        <v>45919.558634259258</v>
      </c>
    </row>
    <row r="10899" spans="1:10" x14ac:dyDescent="0.2">
      <c r="A10899" s="4" t="s">
        <v>1</v>
      </c>
      <c r="B1089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899" s="3" t="str">
        <f>HYPERLINK("https://otsuka-europe-crm.veevavault.com/ui/#object/sent_email__v/VBLZ025E82GUKFZ", "SE-000277251")</f>
        <v>SE-000277251</v>
      </c>
      <c r="D10899" s="1" t="s">
        <v>0</v>
      </c>
      <c r="E10899" s="2">
        <v>0</v>
      </c>
      <c r="F10899" s="2">
        <v>0</v>
      </c>
      <c r="G10899" s="2">
        <v>0</v>
      </c>
      <c r="H10899" s="1" t="s">
        <v>0</v>
      </c>
      <c r="I10899" s="2">
        <v>0</v>
      </c>
      <c r="J10899" s="1">
        <v>45919.558634259258</v>
      </c>
    </row>
    <row r="10900" spans="1:10" x14ac:dyDescent="0.2">
      <c r="A10900" s="4" t="s">
        <v>1</v>
      </c>
      <c r="B1090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00" s="3" t="str">
        <f>HYPERLINK("https://otsuka-europe-crm.veevavault.com/ui/#object/sent_email__v/VBLZ025E82GUKG0", "SE-000277252")</f>
        <v>SE-000277252</v>
      </c>
      <c r="D10900" s="1">
        <v>45919.644872685189</v>
      </c>
      <c r="E10900" s="2">
        <v>1</v>
      </c>
      <c r="F10900" s="2">
        <v>1</v>
      </c>
      <c r="G10900" s="2">
        <v>0</v>
      </c>
      <c r="H10900" s="1" t="s">
        <v>0</v>
      </c>
      <c r="I10900" s="2">
        <v>0</v>
      </c>
      <c r="J10900" s="1">
        <v>45919.558645833335</v>
      </c>
    </row>
    <row r="10901" spans="1:10" x14ac:dyDescent="0.2">
      <c r="A10901" s="4" t="s">
        <v>1</v>
      </c>
      <c r="B1090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01" s="3" t="str">
        <f>HYPERLINK("https://otsuka-europe-crm.veevavault.com/ui/#object/sent_email__v/VBLZ025E82GUKG1", "SE-000277253")</f>
        <v>SE-000277253</v>
      </c>
      <c r="D10901" s="1">
        <v>45919.582824074074</v>
      </c>
      <c r="E10901" s="2">
        <v>1</v>
      </c>
      <c r="F10901" s="2">
        <v>1</v>
      </c>
      <c r="G10901" s="2">
        <v>0</v>
      </c>
      <c r="H10901" s="1" t="s">
        <v>0</v>
      </c>
      <c r="I10901" s="2">
        <v>0</v>
      </c>
      <c r="J10901" s="1">
        <v>45919.558657407404</v>
      </c>
    </row>
    <row r="10902" spans="1:10" x14ac:dyDescent="0.2">
      <c r="A10902" s="4" t="s">
        <v>1</v>
      </c>
      <c r="B1090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02" s="3" t="str">
        <f>HYPERLINK("https://otsuka-europe-crm.veevavault.com/ui/#object/sent_email__v/VBLZ025E82GUKG2", "SE-000277254")</f>
        <v>SE-000277254</v>
      </c>
      <c r="D10902" s="1" t="s">
        <v>0</v>
      </c>
      <c r="E10902" s="2">
        <v>0</v>
      </c>
      <c r="F10902" s="2">
        <v>0</v>
      </c>
      <c r="G10902" s="2">
        <v>0</v>
      </c>
      <c r="H10902" s="1" t="s">
        <v>0</v>
      </c>
      <c r="I10902" s="2">
        <v>0</v>
      </c>
      <c r="J10902" s="1">
        <v>45919.558668981481</v>
      </c>
    </row>
    <row r="10903" spans="1:10" x14ac:dyDescent="0.2">
      <c r="A10903" s="4" t="s">
        <v>1</v>
      </c>
      <c r="B1090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03" s="3" t="str">
        <f>HYPERLINK("https://otsuka-europe-crm.veevavault.com/ui/#object/sent_email__v/VBLZ025E82GUKG3", "SE-000277255")</f>
        <v>SE-000277255</v>
      </c>
      <c r="D10903" s="1" t="s">
        <v>0</v>
      </c>
      <c r="E10903" s="2">
        <v>0</v>
      </c>
      <c r="F10903" s="2">
        <v>0</v>
      </c>
      <c r="G10903" s="2">
        <v>0</v>
      </c>
      <c r="H10903" s="1" t="s">
        <v>0</v>
      </c>
      <c r="I10903" s="2">
        <v>0</v>
      </c>
      <c r="J10903" s="1">
        <v>45919.558668981481</v>
      </c>
    </row>
    <row r="10904" spans="1:10" x14ac:dyDescent="0.2">
      <c r="A10904" s="4" t="s">
        <v>1</v>
      </c>
      <c r="B1090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04" s="3" t="str">
        <f>HYPERLINK("https://otsuka-europe-crm.veevavault.com/ui/#object/sent_email__v/VBLZ025E82GUKG4", "SE-000277256")</f>
        <v>SE-000277256</v>
      </c>
      <c r="D10904" s="1" t="s">
        <v>0</v>
      </c>
      <c r="E10904" s="2">
        <v>0</v>
      </c>
      <c r="F10904" s="2">
        <v>0</v>
      </c>
      <c r="G10904" s="2">
        <v>0</v>
      </c>
      <c r="H10904" s="1" t="s">
        <v>0</v>
      </c>
      <c r="I10904" s="2">
        <v>0</v>
      </c>
      <c r="J10904" s="1">
        <v>45919.558680555558</v>
      </c>
    </row>
    <row r="10905" spans="1:10" x14ac:dyDescent="0.2">
      <c r="A10905" s="4" t="s">
        <v>1</v>
      </c>
      <c r="B1090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05" s="3" t="str">
        <f>HYPERLINK("https://otsuka-europe-crm.veevavault.com/ui/#object/sent_email__v/VBLZ025E82GUKG5", "SE-000277257")</f>
        <v>SE-000277257</v>
      </c>
      <c r="D10905" s="1" t="s">
        <v>0</v>
      </c>
      <c r="E10905" s="2">
        <v>0</v>
      </c>
      <c r="F10905" s="2">
        <v>0</v>
      </c>
      <c r="G10905" s="2">
        <v>0</v>
      </c>
      <c r="H10905" s="1" t="s">
        <v>0</v>
      </c>
      <c r="I10905" s="2">
        <v>0</v>
      </c>
      <c r="J10905" s="1">
        <v>45919.558692129627</v>
      </c>
    </row>
    <row r="10906" spans="1:10" x14ac:dyDescent="0.2">
      <c r="A10906" s="4" t="s">
        <v>1</v>
      </c>
      <c r="B1090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06" s="3" t="str">
        <f>HYPERLINK("https://otsuka-europe-crm.veevavault.com/ui/#object/sent_email__v/VBLZ025E82GUKG6", "SE-000277258")</f>
        <v>SE-000277258</v>
      </c>
      <c r="D10906" s="1">
        <v>45920.757430555554</v>
      </c>
      <c r="E10906" s="2">
        <v>1</v>
      </c>
      <c r="F10906" s="2">
        <v>1</v>
      </c>
      <c r="G10906" s="2">
        <v>0</v>
      </c>
      <c r="H10906" s="1" t="s">
        <v>0</v>
      </c>
      <c r="I10906" s="2">
        <v>0</v>
      </c>
      <c r="J10906" s="1">
        <v>45919.558703703704</v>
      </c>
    </row>
    <row r="10907" spans="1:10" x14ac:dyDescent="0.2">
      <c r="A10907" s="4" t="s">
        <v>1</v>
      </c>
      <c r="B1090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07" s="3" t="str">
        <f>HYPERLINK("https://otsuka-europe-crm.veevavault.com/ui/#object/sent_email__v/VBLZ025E82GUKG7", "SE-000277259")</f>
        <v>SE-000277259</v>
      </c>
      <c r="D10907" s="1" t="s">
        <v>0</v>
      </c>
      <c r="E10907" s="2">
        <v>0</v>
      </c>
      <c r="F10907" s="2">
        <v>0</v>
      </c>
      <c r="G10907" s="2">
        <v>0</v>
      </c>
      <c r="H10907" s="1" t="s">
        <v>0</v>
      </c>
      <c r="I10907" s="2">
        <v>0</v>
      </c>
      <c r="J10907" s="1">
        <v>45919.558715277781</v>
      </c>
    </row>
    <row r="10908" spans="1:10" x14ac:dyDescent="0.2">
      <c r="A10908" s="4" t="s">
        <v>1</v>
      </c>
      <c r="B1090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08" s="3" t="str">
        <f>HYPERLINK("https://otsuka-europe-crm.veevavault.com/ui/#object/sent_email__v/VBLZ025E82GUKG8", "SE-000277260")</f>
        <v>SE-000277260</v>
      </c>
      <c r="D10908" s="1">
        <v>45935.716469907406</v>
      </c>
      <c r="E10908" s="2">
        <v>1</v>
      </c>
      <c r="F10908" s="2">
        <v>2</v>
      </c>
      <c r="G10908" s="2">
        <v>0</v>
      </c>
      <c r="H10908" s="1" t="s">
        <v>0</v>
      </c>
      <c r="I10908" s="2">
        <v>0</v>
      </c>
      <c r="J10908" s="1">
        <v>45919.558715277781</v>
      </c>
    </row>
    <row r="10909" spans="1:10" x14ac:dyDescent="0.2">
      <c r="A10909" s="4" t="s">
        <v>1</v>
      </c>
      <c r="B1090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09" s="3" t="str">
        <f>HYPERLINK("https://otsuka-europe-crm.veevavault.com/ui/#object/sent_email__v/VBLZ025E82GUKG9", "SE-000277261")</f>
        <v>SE-000277261</v>
      </c>
      <c r="D10909" s="1">
        <v>45919.952511574076</v>
      </c>
      <c r="E10909" s="2">
        <v>1</v>
      </c>
      <c r="F10909" s="2">
        <v>1</v>
      </c>
      <c r="G10909" s="2">
        <v>0</v>
      </c>
      <c r="H10909" s="1" t="s">
        <v>0</v>
      </c>
      <c r="I10909" s="2">
        <v>0</v>
      </c>
      <c r="J10909" s="1">
        <v>45919.55872685185</v>
      </c>
    </row>
    <row r="10910" spans="1:10" x14ac:dyDescent="0.2">
      <c r="A10910" s="4" t="s">
        <v>1</v>
      </c>
      <c r="B1091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10" s="3" t="str">
        <f>HYPERLINK("https://otsuka-europe-crm.veevavault.com/ui/#object/sent_email__v/VBLZ025E82GUKGA", "SE-000277262")</f>
        <v>SE-000277262</v>
      </c>
      <c r="D10910" s="1" t="s">
        <v>0</v>
      </c>
      <c r="E10910" s="2">
        <v>0</v>
      </c>
      <c r="F10910" s="2">
        <v>0</v>
      </c>
      <c r="G10910" s="2">
        <v>0</v>
      </c>
      <c r="H10910" s="1" t="s">
        <v>0</v>
      </c>
      <c r="I10910" s="2">
        <v>0</v>
      </c>
      <c r="J10910" s="1">
        <v>45919.558738425927</v>
      </c>
    </row>
    <row r="10911" spans="1:10" x14ac:dyDescent="0.2">
      <c r="A10911" s="4" t="s">
        <v>1</v>
      </c>
      <c r="B1091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11" s="3" t="str">
        <f>HYPERLINK("https://otsuka-europe-crm.veevavault.com/ui/#object/sent_email__v/VBLZ025E82GUKGB", "SE-000277263")</f>
        <v>SE-000277263</v>
      </c>
      <c r="D10911" s="1" t="s">
        <v>0</v>
      </c>
      <c r="E10911" s="2">
        <v>0</v>
      </c>
      <c r="F10911" s="2">
        <v>0</v>
      </c>
      <c r="G10911" s="2">
        <v>0</v>
      </c>
      <c r="H10911" s="1" t="s">
        <v>0</v>
      </c>
      <c r="I10911" s="2">
        <v>0</v>
      </c>
      <c r="J10911" s="1">
        <v>45919.558749999997</v>
      </c>
    </row>
    <row r="10912" spans="1:10" x14ac:dyDescent="0.2">
      <c r="A10912" s="4" t="s">
        <v>1</v>
      </c>
      <c r="B1091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12" s="3" t="str">
        <f>HYPERLINK("https://otsuka-europe-crm.veevavault.com/ui/#object/sent_email__v/VBLZ025E82GUKGC", "SE-000277264")</f>
        <v>SE-000277264</v>
      </c>
      <c r="D10912" s="1">
        <v>45919.639120370368</v>
      </c>
      <c r="E10912" s="2">
        <v>1</v>
      </c>
      <c r="F10912" s="2">
        <v>1</v>
      </c>
      <c r="G10912" s="2">
        <v>0</v>
      </c>
      <c r="H10912" s="1" t="s">
        <v>0</v>
      </c>
      <c r="I10912" s="2">
        <v>0</v>
      </c>
      <c r="J10912" s="1">
        <v>45919.558761574073</v>
      </c>
    </row>
    <row r="10913" spans="1:10" x14ac:dyDescent="0.2">
      <c r="A10913" s="4" t="s">
        <v>1</v>
      </c>
      <c r="B1091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13" s="3" t="str">
        <f>HYPERLINK("https://otsuka-europe-crm.veevavault.com/ui/#object/sent_email__v/VBLZ025E82GUKGD", "SE-000277265")</f>
        <v>SE-000277265</v>
      </c>
      <c r="D10913" s="1">
        <v>45919.644965277781</v>
      </c>
      <c r="E10913" s="2">
        <v>1</v>
      </c>
      <c r="F10913" s="2">
        <v>1</v>
      </c>
      <c r="G10913" s="2">
        <v>0</v>
      </c>
      <c r="H10913" s="1" t="s">
        <v>0</v>
      </c>
      <c r="I10913" s="2">
        <v>0</v>
      </c>
      <c r="J10913" s="1">
        <v>45919.55877314815</v>
      </c>
    </row>
    <row r="10914" spans="1:10" x14ac:dyDescent="0.2">
      <c r="A10914" s="4" t="s">
        <v>1</v>
      </c>
      <c r="B1091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14" s="3" t="str">
        <f>HYPERLINK("https://otsuka-europe-crm.veevavault.com/ui/#object/sent_email__v/VBLZ025E82GUKGE", "SE-000277266")</f>
        <v>SE-000277266</v>
      </c>
      <c r="D10914" s="1">
        <v>45919.577627314815</v>
      </c>
      <c r="E10914" s="2">
        <v>1</v>
      </c>
      <c r="F10914" s="2">
        <v>1</v>
      </c>
      <c r="G10914" s="2">
        <v>0</v>
      </c>
      <c r="H10914" s="1" t="s">
        <v>0</v>
      </c>
      <c r="I10914" s="2">
        <v>0</v>
      </c>
      <c r="J10914" s="1">
        <v>45919.55877314815</v>
      </c>
    </row>
    <row r="10915" spans="1:10" x14ac:dyDescent="0.2">
      <c r="A10915" s="4" t="s">
        <v>1</v>
      </c>
      <c r="B1091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15" s="3" t="str">
        <f>HYPERLINK("https://otsuka-europe-crm.veevavault.com/ui/#object/sent_email__v/VBLZ025E82GUKGF", "SE-000277267")</f>
        <v>SE-000277267</v>
      </c>
      <c r="D10915" s="1">
        <v>45919.636087962965</v>
      </c>
      <c r="E10915" s="2">
        <v>1</v>
      </c>
      <c r="F10915" s="2">
        <v>1</v>
      </c>
      <c r="G10915" s="2">
        <v>0</v>
      </c>
      <c r="H10915" s="1" t="s">
        <v>0</v>
      </c>
      <c r="I10915" s="2">
        <v>0</v>
      </c>
      <c r="J10915" s="1">
        <v>45919.55878472222</v>
      </c>
    </row>
    <row r="10916" spans="1:10" x14ac:dyDescent="0.2">
      <c r="A10916" s="4" t="s">
        <v>1</v>
      </c>
      <c r="B1091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16" s="3" t="str">
        <f>HYPERLINK("https://otsuka-europe-crm.veevavault.com/ui/#object/sent_email__v/VBLZ025E82GUKGG", "SE-000277268")</f>
        <v>SE-000277268</v>
      </c>
      <c r="D10916" s="1" t="s">
        <v>0</v>
      </c>
      <c r="E10916" s="2">
        <v>0</v>
      </c>
      <c r="F10916" s="2">
        <v>0</v>
      </c>
      <c r="G10916" s="2">
        <v>0</v>
      </c>
      <c r="H10916" s="1" t="s">
        <v>0</v>
      </c>
      <c r="I10916" s="2">
        <v>0</v>
      </c>
      <c r="J10916" s="1">
        <v>45919.558796296296</v>
      </c>
    </row>
    <row r="10917" spans="1:10" x14ac:dyDescent="0.2">
      <c r="A10917" s="4" t="s">
        <v>1</v>
      </c>
      <c r="B1091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17" s="3" t="str">
        <f>HYPERLINK("https://otsuka-europe-crm.veevavault.com/ui/#object/sent_email__v/VBLZ025E82GUKGH", "SE-000277269")</f>
        <v>SE-000277269</v>
      </c>
      <c r="D10917" s="1" t="s">
        <v>0</v>
      </c>
      <c r="E10917" s="2">
        <v>0</v>
      </c>
      <c r="F10917" s="2">
        <v>0</v>
      </c>
      <c r="G10917" s="2">
        <v>0</v>
      </c>
      <c r="H10917" s="1" t="s">
        <v>0</v>
      </c>
      <c r="I10917" s="2">
        <v>0</v>
      </c>
      <c r="J10917" s="1">
        <v>45919.558807870373</v>
      </c>
    </row>
    <row r="10918" spans="1:10" x14ac:dyDescent="0.2">
      <c r="A10918" s="4" t="s">
        <v>1</v>
      </c>
      <c r="B1091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18" s="3" t="str">
        <f>HYPERLINK("https://otsuka-europe-crm.veevavault.com/ui/#object/sent_email__v/VBLZ025E82GUKGI", "SE-000277270")</f>
        <v>SE-000277270</v>
      </c>
      <c r="D10918" s="1" t="s">
        <v>0</v>
      </c>
      <c r="E10918" s="2">
        <v>0</v>
      </c>
      <c r="F10918" s="2">
        <v>0</v>
      </c>
      <c r="G10918" s="2">
        <v>0</v>
      </c>
      <c r="H10918" s="1" t="s">
        <v>0</v>
      </c>
      <c r="I10918" s="2">
        <v>0</v>
      </c>
      <c r="J10918" s="1">
        <v>45919.558819444443</v>
      </c>
    </row>
    <row r="10919" spans="1:10" x14ac:dyDescent="0.2">
      <c r="A10919" s="4" t="s">
        <v>1</v>
      </c>
      <c r="B1091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19" s="3" t="str">
        <f>HYPERLINK("https://otsuka-europe-crm.veevavault.com/ui/#object/sent_email__v/VBLZ025E82GUKGJ", "SE-000277271")</f>
        <v>SE-000277271</v>
      </c>
      <c r="D10919" s="1">
        <v>45920.781736111108</v>
      </c>
      <c r="E10919" s="2">
        <v>1</v>
      </c>
      <c r="F10919" s="2">
        <v>3</v>
      </c>
      <c r="G10919" s="2">
        <v>0</v>
      </c>
      <c r="H10919" s="1" t="s">
        <v>0</v>
      </c>
      <c r="I10919" s="2">
        <v>0</v>
      </c>
      <c r="J10919" s="1">
        <v>45919.558819444443</v>
      </c>
    </row>
    <row r="10920" spans="1:10" x14ac:dyDescent="0.2">
      <c r="A10920" s="4" t="s">
        <v>1</v>
      </c>
      <c r="B1092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20" s="3" t="str">
        <f>HYPERLINK("https://otsuka-europe-crm.veevavault.com/ui/#object/sent_email__v/VBLZ025E82GUKGK", "SE-000277272")</f>
        <v>SE-000277272</v>
      </c>
      <c r="D10920" s="1">
        <v>45919.692754629628</v>
      </c>
      <c r="E10920" s="2">
        <v>1</v>
      </c>
      <c r="F10920" s="2">
        <v>4</v>
      </c>
      <c r="G10920" s="2">
        <v>0</v>
      </c>
      <c r="H10920" s="1" t="s">
        <v>0</v>
      </c>
      <c r="I10920" s="2">
        <v>0</v>
      </c>
      <c r="J10920" s="1">
        <v>45919.558831018519</v>
      </c>
    </row>
    <row r="10921" spans="1:10" x14ac:dyDescent="0.2">
      <c r="A10921" s="4" t="s">
        <v>1</v>
      </c>
      <c r="B1092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21" s="3" t="str">
        <f>HYPERLINK("https://otsuka-europe-crm.veevavault.com/ui/#object/sent_email__v/VBLZ025E82GUKGL", "SE-000277273")</f>
        <v>SE-000277273</v>
      </c>
      <c r="D10921" s="1" t="s">
        <v>0</v>
      </c>
      <c r="E10921" s="2">
        <v>0</v>
      </c>
      <c r="F10921" s="2">
        <v>0</v>
      </c>
      <c r="G10921" s="2">
        <v>0</v>
      </c>
      <c r="H10921" s="1" t="s">
        <v>0</v>
      </c>
      <c r="I10921" s="2">
        <v>0</v>
      </c>
      <c r="J10921" s="1">
        <v>45919.558842592596</v>
      </c>
    </row>
    <row r="10922" spans="1:10" x14ac:dyDescent="0.2">
      <c r="A10922" s="4" t="s">
        <v>1</v>
      </c>
      <c r="B1092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22" s="3" t="str">
        <f>HYPERLINK("https://otsuka-europe-crm.veevavault.com/ui/#object/sent_email__v/VBLZ025E82GUKKP", "SE-000277274")</f>
        <v>SE-000277274</v>
      </c>
      <c r="D10922" s="1" t="s">
        <v>0</v>
      </c>
      <c r="E10922" s="2">
        <v>0</v>
      </c>
      <c r="F10922" s="2">
        <v>0</v>
      </c>
      <c r="G10922" s="2">
        <v>0</v>
      </c>
      <c r="H10922" s="1" t="s">
        <v>0</v>
      </c>
      <c r="I10922" s="2">
        <v>0</v>
      </c>
      <c r="J10922" s="1">
        <v>45919.559259259258</v>
      </c>
    </row>
    <row r="10923" spans="1:10" x14ac:dyDescent="0.2">
      <c r="A10923" s="4" t="s">
        <v>1</v>
      </c>
      <c r="B1092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23" s="3" t="str">
        <f>HYPERLINK("https://otsuka-europe-crm.veevavault.com/ui/#object/sent_email__v/VBLZ025E82GUKKQ", "SE-000277275")</f>
        <v>SE-000277275</v>
      </c>
      <c r="D10923" s="1">
        <v>45919.642175925925</v>
      </c>
      <c r="E10923" s="2">
        <v>1</v>
      </c>
      <c r="F10923" s="2">
        <v>1</v>
      </c>
      <c r="G10923" s="2">
        <v>0</v>
      </c>
      <c r="H10923" s="1" t="s">
        <v>0</v>
      </c>
      <c r="I10923" s="2">
        <v>0</v>
      </c>
      <c r="J10923" s="1">
        <v>45919.559270833335</v>
      </c>
    </row>
    <row r="10924" spans="1:10" x14ac:dyDescent="0.2">
      <c r="A10924" s="4" t="s">
        <v>1</v>
      </c>
      <c r="B1092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24" s="3" t="str">
        <f>HYPERLINK("https://otsuka-europe-crm.veevavault.com/ui/#object/sent_email__v/VBLZ025E82GUKKR", "SE-000277276")</f>
        <v>SE-000277276</v>
      </c>
      <c r="D10924" s="1">
        <v>45919.888692129629</v>
      </c>
      <c r="E10924" s="2">
        <v>1</v>
      </c>
      <c r="F10924" s="2">
        <v>1</v>
      </c>
      <c r="G10924" s="2">
        <v>1</v>
      </c>
      <c r="H10924" s="1">
        <v>45919.888692129629</v>
      </c>
      <c r="I10924" s="2">
        <v>1</v>
      </c>
      <c r="J10924" s="1">
        <v>45919.559270833335</v>
      </c>
    </row>
    <row r="10925" spans="1:10" x14ac:dyDescent="0.2">
      <c r="A10925" s="4" t="s">
        <v>1</v>
      </c>
      <c r="B1092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25" s="3" t="str">
        <f>HYPERLINK("https://otsuka-europe-crm.veevavault.com/ui/#object/sent_email__v/VBLZ025E82GUKKS", "SE-000277277")</f>
        <v>SE-000277277</v>
      </c>
      <c r="D10925" s="1" t="s">
        <v>0</v>
      </c>
      <c r="E10925" s="2">
        <v>0</v>
      </c>
      <c r="F10925" s="2">
        <v>0</v>
      </c>
      <c r="G10925" s="2">
        <v>0</v>
      </c>
      <c r="H10925" s="1" t="s">
        <v>0</v>
      </c>
      <c r="I10925" s="2">
        <v>0</v>
      </c>
      <c r="J10925" s="1">
        <v>45919.559282407405</v>
      </c>
    </row>
    <row r="10926" spans="1:10" x14ac:dyDescent="0.2">
      <c r="A10926" s="4" t="s">
        <v>1</v>
      </c>
      <c r="B1092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26" s="3" t="str">
        <f>HYPERLINK("https://otsuka-europe-crm.veevavault.com/ui/#object/sent_email__v/VBLZ025E82GUKKT", "SE-000277278")</f>
        <v>SE-000277278</v>
      </c>
      <c r="D10926" s="1" t="s">
        <v>0</v>
      </c>
      <c r="E10926" s="2">
        <v>0</v>
      </c>
      <c r="F10926" s="2">
        <v>0</v>
      </c>
      <c r="G10926" s="2">
        <v>0</v>
      </c>
      <c r="H10926" s="1" t="s">
        <v>0</v>
      </c>
      <c r="I10926" s="2">
        <v>0</v>
      </c>
      <c r="J10926" s="1">
        <v>45919.559293981481</v>
      </c>
    </row>
    <row r="10927" spans="1:10" x14ac:dyDescent="0.2">
      <c r="A10927" s="4" t="s">
        <v>1</v>
      </c>
      <c r="B1092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27" s="3" t="str">
        <f>HYPERLINK("https://otsuka-europe-crm.veevavault.com/ui/#object/sent_email__v/VBLZ025E82GUKKU", "SE-000277279")</f>
        <v>SE-000277279</v>
      </c>
      <c r="D10927" s="1" t="s">
        <v>0</v>
      </c>
      <c r="E10927" s="2">
        <v>0</v>
      </c>
      <c r="F10927" s="2">
        <v>0</v>
      </c>
      <c r="G10927" s="2">
        <v>0</v>
      </c>
      <c r="H10927" s="1" t="s">
        <v>0</v>
      </c>
      <c r="I10927" s="2">
        <v>0</v>
      </c>
      <c r="J10927" s="1">
        <v>45919.559305555558</v>
      </c>
    </row>
    <row r="10928" spans="1:10" x14ac:dyDescent="0.2">
      <c r="A10928" s="4" t="s">
        <v>1</v>
      </c>
      <c r="B1092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28" s="3" t="str">
        <f>HYPERLINK("https://otsuka-europe-crm.veevavault.com/ui/#object/sent_email__v/VBLZ025E82GUKKV", "SE-000277280")</f>
        <v>SE-000277280</v>
      </c>
      <c r="D10928" s="1">
        <v>45919.603090277778</v>
      </c>
      <c r="E10928" s="2">
        <v>1</v>
      </c>
      <c r="F10928" s="2">
        <v>1</v>
      </c>
      <c r="G10928" s="2">
        <v>0</v>
      </c>
      <c r="H10928" s="1" t="s">
        <v>0</v>
      </c>
      <c r="I10928" s="2">
        <v>0</v>
      </c>
      <c r="J10928" s="1">
        <v>45919.559305555558</v>
      </c>
    </row>
    <row r="10929" spans="1:10" x14ac:dyDescent="0.2">
      <c r="A10929" s="4" t="s">
        <v>1</v>
      </c>
      <c r="B1092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29" s="3" t="str">
        <f>HYPERLINK("https://otsuka-europe-crm.veevavault.com/ui/#object/sent_email__v/VBLZ025E82GUKKW", "SE-000277281")</f>
        <v>SE-000277281</v>
      </c>
      <c r="D10929" s="1" t="s">
        <v>0</v>
      </c>
      <c r="E10929" s="2">
        <v>0</v>
      </c>
      <c r="F10929" s="2">
        <v>0</v>
      </c>
      <c r="G10929" s="2">
        <v>0</v>
      </c>
      <c r="H10929" s="1" t="s">
        <v>0</v>
      </c>
      <c r="I10929" s="2">
        <v>0</v>
      </c>
      <c r="J10929" s="1">
        <v>45919.559317129628</v>
      </c>
    </row>
    <row r="10930" spans="1:10" x14ac:dyDescent="0.2">
      <c r="A10930" s="4" t="s">
        <v>1</v>
      </c>
      <c r="B1093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30" s="3" t="str">
        <f>HYPERLINK("https://otsuka-europe-crm.veevavault.com/ui/#object/sent_email__v/VBLZ025E82GUKKX", "SE-000277282")</f>
        <v>SE-000277282</v>
      </c>
      <c r="D10930" s="1" t="s">
        <v>0</v>
      </c>
      <c r="E10930" s="2">
        <v>0</v>
      </c>
      <c r="F10930" s="2">
        <v>0</v>
      </c>
      <c r="G10930" s="2">
        <v>0</v>
      </c>
      <c r="H10930" s="1" t="s">
        <v>0</v>
      </c>
      <c r="I10930" s="2">
        <v>0</v>
      </c>
      <c r="J10930" s="1">
        <v>45919.559340277781</v>
      </c>
    </row>
    <row r="10931" spans="1:10" x14ac:dyDescent="0.2">
      <c r="A10931" s="4" t="s">
        <v>1</v>
      </c>
      <c r="B1093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31" s="3" t="str">
        <f>HYPERLINK("https://otsuka-europe-crm.veevavault.com/ui/#object/sent_email__v/VBLZ025E82GUKKY", "SE-000277283")</f>
        <v>SE-000277283</v>
      </c>
      <c r="D10931" s="1" t="s">
        <v>0</v>
      </c>
      <c r="E10931" s="2">
        <v>0</v>
      </c>
      <c r="F10931" s="2">
        <v>0</v>
      </c>
      <c r="G10931" s="2">
        <v>0</v>
      </c>
      <c r="H10931" s="1" t="s">
        <v>0</v>
      </c>
      <c r="I10931" s="2">
        <v>0</v>
      </c>
      <c r="J10931" s="1">
        <v>45919.559340277781</v>
      </c>
    </row>
    <row r="10932" spans="1:10" x14ac:dyDescent="0.2">
      <c r="A10932" s="4" t="s">
        <v>1</v>
      </c>
      <c r="B1093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32" s="3" t="str">
        <f>HYPERLINK("https://otsuka-europe-crm.veevavault.com/ui/#object/sent_email__v/VBLZ025E82GUKKZ", "SE-000277284")</f>
        <v>SE-000277284</v>
      </c>
      <c r="D10932" s="1">
        <v>45919.570787037039</v>
      </c>
      <c r="E10932" s="2">
        <v>1</v>
      </c>
      <c r="F10932" s="2">
        <v>1</v>
      </c>
      <c r="G10932" s="2">
        <v>0</v>
      </c>
      <c r="H10932" s="1" t="s">
        <v>0</v>
      </c>
      <c r="I10932" s="2">
        <v>0</v>
      </c>
      <c r="J10932" s="1">
        <v>45919.559351851851</v>
      </c>
    </row>
    <row r="10933" spans="1:10" x14ac:dyDescent="0.2">
      <c r="A10933" s="4" t="s">
        <v>1</v>
      </c>
      <c r="B1093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33" s="3" t="str">
        <f>HYPERLINK("https://otsuka-europe-crm.veevavault.com/ui/#object/sent_email__v/VBLZ025E82GUKL0", "SE-000277285")</f>
        <v>SE-000277285</v>
      </c>
      <c r="D10933" s="1">
        <v>45919.573865740742</v>
      </c>
      <c r="E10933" s="2">
        <v>1</v>
      </c>
      <c r="F10933" s="2">
        <v>1</v>
      </c>
      <c r="G10933" s="2">
        <v>0</v>
      </c>
      <c r="H10933" s="1" t="s">
        <v>0</v>
      </c>
      <c r="I10933" s="2">
        <v>0</v>
      </c>
      <c r="J10933" s="1">
        <v>45919.559363425928</v>
      </c>
    </row>
    <row r="10934" spans="1:10" x14ac:dyDescent="0.2">
      <c r="A10934" s="4" t="s">
        <v>1</v>
      </c>
      <c r="B1093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34" s="3" t="str">
        <f>HYPERLINK("https://otsuka-europe-crm.veevavault.com/ui/#object/sent_email__v/VBLZ025E82GUKL1", "SE-000277286")</f>
        <v>SE-000277286</v>
      </c>
      <c r="D10934" s="1">
        <v>45922.305381944447</v>
      </c>
      <c r="E10934" s="2">
        <v>1</v>
      </c>
      <c r="F10934" s="2">
        <v>2</v>
      </c>
      <c r="G10934" s="2">
        <v>0</v>
      </c>
      <c r="H10934" s="1" t="s">
        <v>0</v>
      </c>
      <c r="I10934" s="2">
        <v>0</v>
      </c>
      <c r="J10934" s="1">
        <v>45919.559374999997</v>
      </c>
    </row>
    <row r="10935" spans="1:10" x14ac:dyDescent="0.2">
      <c r="A10935" s="4" t="s">
        <v>1</v>
      </c>
      <c r="B1093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35" s="3" t="str">
        <f>HYPERLINK("https://otsuka-europe-crm.veevavault.com/ui/#object/sent_email__v/VBLZ025E82GUKL2", "SE-000277287")</f>
        <v>SE-000277287</v>
      </c>
      <c r="D10935" s="1">
        <v>45919.587789351855</v>
      </c>
      <c r="E10935" s="2">
        <v>1</v>
      </c>
      <c r="F10935" s="2">
        <v>2</v>
      </c>
      <c r="G10935" s="2">
        <v>0</v>
      </c>
      <c r="H10935" s="1" t="s">
        <v>0</v>
      </c>
      <c r="I10935" s="2">
        <v>0</v>
      </c>
      <c r="J10935" s="1">
        <v>45919.559386574074</v>
      </c>
    </row>
    <row r="10936" spans="1:10" x14ac:dyDescent="0.2">
      <c r="A10936" s="4" t="s">
        <v>1</v>
      </c>
      <c r="B1093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36" s="3" t="str">
        <f>HYPERLINK("https://otsuka-europe-crm.veevavault.com/ui/#object/sent_email__v/VBLZ025E82GUKL3", "SE-000277288")</f>
        <v>SE-000277288</v>
      </c>
      <c r="D10936" s="1">
        <v>45921.340590277781</v>
      </c>
      <c r="E10936" s="2">
        <v>1</v>
      </c>
      <c r="F10936" s="2">
        <v>2</v>
      </c>
      <c r="G10936" s="2">
        <v>0</v>
      </c>
      <c r="H10936" s="1" t="s">
        <v>0</v>
      </c>
      <c r="I10936" s="2">
        <v>0</v>
      </c>
      <c r="J10936" s="1">
        <v>45919.559386574074</v>
      </c>
    </row>
    <row r="10937" spans="1:10" x14ac:dyDescent="0.2">
      <c r="A10937" s="4" t="s">
        <v>1</v>
      </c>
      <c r="B1093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37" s="3" t="str">
        <f>HYPERLINK("https://otsuka-europe-crm.veevavault.com/ui/#object/sent_email__v/VBLZ025E82GUKL4", "SE-000277289")</f>
        <v>SE-000277289</v>
      </c>
      <c r="D10937" s="1" t="s">
        <v>0</v>
      </c>
      <c r="E10937" s="2">
        <v>0</v>
      </c>
      <c r="F10937" s="2">
        <v>0</v>
      </c>
      <c r="G10937" s="2">
        <v>0</v>
      </c>
      <c r="H10937" s="1" t="s">
        <v>0</v>
      </c>
      <c r="I10937" s="2">
        <v>0</v>
      </c>
      <c r="J10937" s="1">
        <v>45919.559398148151</v>
      </c>
    </row>
    <row r="10938" spans="1:10" x14ac:dyDescent="0.2">
      <c r="A10938" s="4" t="s">
        <v>1</v>
      </c>
      <c r="B1093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38" s="3" t="str">
        <f>HYPERLINK("https://otsuka-europe-crm.veevavault.com/ui/#object/sent_email__v/VBLZ025E82GUKL5", "SE-000277290")</f>
        <v>SE-000277290</v>
      </c>
      <c r="D10938" s="1" t="s">
        <v>0</v>
      </c>
      <c r="E10938" s="2">
        <v>0</v>
      </c>
      <c r="F10938" s="2">
        <v>0</v>
      </c>
      <c r="G10938" s="2">
        <v>0</v>
      </c>
      <c r="H10938" s="1" t="s">
        <v>0</v>
      </c>
      <c r="I10938" s="2">
        <v>0</v>
      </c>
      <c r="J10938" s="1">
        <v>45919.55940972222</v>
      </c>
    </row>
    <row r="10939" spans="1:10" x14ac:dyDescent="0.2">
      <c r="A10939" s="4" t="s">
        <v>1</v>
      </c>
      <c r="B1093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39" s="3" t="str">
        <f>HYPERLINK("https://otsuka-europe-crm.veevavault.com/ui/#object/sent_email__v/VBLZ025E82GUKL6", "SE-000277291")</f>
        <v>SE-000277291</v>
      </c>
      <c r="D10939" s="1" t="s">
        <v>0</v>
      </c>
      <c r="E10939" s="2">
        <v>0</v>
      </c>
      <c r="F10939" s="2">
        <v>0</v>
      </c>
      <c r="G10939" s="2">
        <v>0</v>
      </c>
      <c r="H10939" s="1" t="s">
        <v>0</v>
      </c>
      <c r="I10939" s="2">
        <v>0</v>
      </c>
      <c r="J10939" s="1">
        <v>45919.559421296297</v>
      </c>
    </row>
    <row r="10940" spans="1:10" x14ac:dyDescent="0.2">
      <c r="A10940" s="4" t="s">
        <v>1</v>
      </c>
      <c r="B1094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40" s="3" t="str">
        <f>HYPERLINK("https://otsuka-europe-crm.veevavault.com/ui/#object/sent_email__v/VBLZ025E82GUKL7", "SE-000277292")</f>
        <v>SE-000277292</v>
      </c>
      <c r="D10940" s="1">
        <v>45919.563877314817</v>
      </c>
      <c r="E10940" s="2">
        <v>1</v>
      </c>
      <c r="F10940" s="2">
        <v>2</v>
      </c>
      <c r="G10940" s="2">
        <v>0</v>
      </c>
      <c r="H10940" s="1" t="s">
        <v>0</v>
      </c>
      <c r="I10940" s="2">
        <v>0</v>
      </c>
      <c r="J10940" s="1">
        <v>45919.559432870374</v>
      </c>
    </row>
    <row r="10941" spans="1:10" x14ac:dyDescent="0.2">
      <c r="A10941" s="4" t="s">
        <v>1</v>
      </c>
      <c r="B1094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41" s="3" t="str">
        <f>HYPERLINK("https://otsuka-europe-crm.veevavault.com/ui/#object/sent_email__v/VBLZ025E82GUKL8", "SE-000277293")</f>
        <v>SE-000277293</v>
      </c>
      <c r="D10941" s="1">
        <v>45919.849814814814</v>
      </c>
      <c r="E10941" s="2">
        <v>1</v>
      </c>
      <c r="F10941" s="2">
        <v>1</v>
      </c>
      <c r="G10941" s="2">
        <v>0</v>
      </c>
      <c r="H10941" s="1" t="s">
        <v>0</v>
      </c>
      <c r="I10941" s="2">
        <v>0</v>
      </c>
      <c r="J10941" s="1">
        <v>45919.559432870374</v>
      </c>
    </row>
    <row r="10942" spans="1:10" x14ac:dyDescent="0.2">
      <c r="A10942" s="4" t="s">
        <v>1</v>
      </c>
      <c r="B1094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42" s="3" t="str">
        <f>HYPERLINK("https://otsuka-europe-crm.veevavault.com/ui/#object/sent_email__v/VBLZ025E82GUKL9", "SE-000277294")</f>
        <v>SE-000277294</v>
      </c>
      <c r="D10942" s="1">
        <v>45922.392418981479</v>
      </c>
      <c r="E10942" s="2">
        <v>1</v>
      </c>
      <c r="F10942" s="2">
        <v>2</v>
      </c>
      <c r="G10942" s="2">
        <v>0</v>
      </c>
      <c r="H10942" s="1" t="s">
        <v>0</v>
      </c>
      <c r="I10942" s="2">
        <v>0</v>
      </c>
      <c r="J10942" s="1">
        <v>45919.559444444443</v>
      </c>
    </row>
    <row r="10943" spans="1:10" x14ac:dyDescent="0.2">
      <c r="A10943" s="4" t="s">
        <v>1</v>
      </c>
      <c r="B1094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43" s="3" t="str">
        <f>HYPERLINK("https://otsuka-europe-crm.veevavault.com/ui/#object/sent_email__v/VBLZ025E82GUKLA", "SE-000277295")</f>
        <v>SE-000277295</v>
      </c>
      <c r="D10943" s="1">
        <v>45932.283750000002</v>
      </c>
      <c r="E10943" s="2">
        <v>1</v>
      </c>
      <c r="F10943" s="2">
        <v>1</v>
      </c>
      <c r="G10943" s="2">
        <v>0</v>
      </c>
      <c r="H10943" s="1" t="s">
        <v>0</v>
      </c>
      <c r="I10943" s="2">
        <v>0</v>
      </c>
      <c r="J10943" s="1">
        <v>45919.55945601852</v>
      </c>
    </row>
    <row r="10944" spans="1:10" x14ac:dyDescent="0.2">
      <c r="A10944" s="4" t="s">
        <v>1</v>
      </c>
      <c r="B1094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44" s="3" t="str">
        <f>HYPERLINK("https://otsuka-europe-crm.veevavault.com/ui/#object/sent_email__v/VBLZ025E82GUL9P", "SE-000277340")</f>
        <v>SE-000277340</v>
      </c>
      <c r="D10944" s="1">
        <v>45919.57298611111</v>
      </c>
      <c r="E10944" s="2">
        <v>1</v>
      </c>
      <c r="F10944" s="2">
        <v>1</v>
      </c>
      <c r="G10944" s="2">
        <v>0</v>
      </c>
      <c r="H10944" s="1" t="s">
        <v>0</v>
      </c>
      <c r="I10944" s="2">
        <v>0</v>
      </c>
      <c r="J10944" s="1">
        <v>45919.560648148145</v>
      </c>
    </row>
    <row r="10945" spans="1:10" x14ac:dyDescent="0.2">
      <c r="A10945" s="4" t="s">
        <v>1</v>
      </c>
      <c r="B1094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45" s="3" t="str">
        <f>HYPERLINK("https://otsuka-europe-crm.veevavault.com/ui/#object/sent_email__v/VBLZ025E82GUL9Q", "SE-000277341")</f>
        <v>SE-000277341</v>
      </c>
      <c r="D10945" s="1">
        <v>45920.805578703701</v>
      </c>
      <c r="E10945" s="2">
        <v>1</v>
      </c>
      <c r="F10945" s="2">
        <v>5</v>
      </c>
      <c r="G10945" s="2">
        <v>1</v>
      </c>
      <c r="H10945" s="1">
        <v>45920.805902777778</v>
      </c>
      <c r="I10945" s="2">
        <v>1</v>
      </c>
      <c r="J10945" s="1">
        <v>45919.560648148145</v>
      </c>
    </row>
    <row r="10946" spans="1:10" x14ac:dyDescent="0.2">
      <c r="A10946" s="4" t="s">
        <v>1</v>
      </c>
      <c r="B1094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46" s="3" t="str">
        <f>HYPERLINK("https://otsuka-europe-crm.veevavault.com/ui/#object/sent_email__v/VBLZ025E82GUL9R", "SE-000277342")</f>
        <v>SE-000277342</v>
      </c>
      <c r="D10946" s="1" t="s">
        <v>0</v>
      </c>
      <c r="E10946" s="2">
        <v>0</v>
      </c>
      <c r="F10946" s="2">
        <v>0</v>
      </c>
      <c r="G10946" s="2">
        <v>0</v>
      </c>
      <c r="H10946" s="1" t="s">
        <v>0</v>
      </c>
      <c r="I10946" s="2">
        <v>0</v>
      </c>
      <c r="J10946" s="1">
        <v>45919.560798611114</v>
      </c>
    </row>
    <row r="10947" spans="1:10" x14ac:dyDescent="0.2">
      <c r="A10947" s="4" t="s">
        <v>1</v>
      </c>
      <c r="B1094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47" s="3" t="str">
        <f>HYPERLINK("https://otsuka-europe-crm.veevavault.com/ui/#object/sent_email__v/VBLZ025E82GUL9S", "SE-000277343")</f>
        <v>SE-000277343</v>
      </c>
      <c r="D10947" s="1" t="s">
        <v>0</v>
      </c>
      <c r="E10947" s="2">
        <v>0</v>
      </c>
      <c r="F10947" s="2">
        <v>0</v>
      </c>
      <c r="G10947" s="2">
        <v>0</v>
      </c>
      <c r="H10947" s="1" t="s">
        <v>0</v>
      </c>
      <c r="I10947" s="2">
        <v>0</v>
      </c>
      <c r="J10947" s="1">
        <v>45919.56082175926</v>
      </c>
    </row>
    <row r="10948" spans="1:10" x14ac:dyDescent="0.2">
      <c r="A10948" s="4" t="s">
        <v>1</v>
      </c>
      <c r="B1094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48" s="3" t="str">
        <f>HYPERLINK("https://otsuka-europe-crm.veevavault.com/ui/#object/sent_email__v/VBLZ025E82GUL9T", "SE-000277344")</f>
        <v>SE-000277344</v>
      </c>
      <c r="D10948" s="1" t="s">
        <v>0</v>
      </c>
      <c r="E10948" s="2">
        <v>0</v>
      </c>
      <c r="F10948" s="2">
        <v>0</v>
      </c>
      <c r="G10948" s="2">
        <v>0</v>
      </c>
      <c r="H10948" s="1" t="s">
        <v>0</v>
      </c>
      <c r="I10948" s="2">
        <v>0</v>
      </c>
      <c r="J10948" s="1">
        <v>45919.560787037037</v>
      </c>
    </row>
    <row r="10949" spans="1:10" x14ac:dyDescent="0.2">
      <c r="A10949" s="4" t="s">
        <v>1</v>
      </c>
      <c r="B1094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49" s="3" t="str">
        <f>HYPERLINK("https://otsuka-europe-crm.veevavault.com/ui/#object/sent_email__v/VBLZ025E82GUL9U", "SE-000277345")</f>
        <v>SE-000277345</v>
      </c>
      <c r="D10949" s="1">
        <v>45919.861990740741</v>
      </c>
      <c r="E10949" s="2">
        <v>1</v>
      </c>
      <c r="F10949" s="2">
        <v>1</v>
      </c>
      <c r="G10949" s="2">
        <v>0</v>
      </c>
      <c r="H10949" s="1" t="s">
        <v>0</v>
      </c>
      <c r="I10949" s="2">
        <v>0</v>
      </c>
      <c r="J10949" s="1">
        <v>45919.560810185183</v>
      </c>
    </row>
    <row r="10950" spans="1:10" x14ac:dyDescent="0.2">
      <c r="A10950" s="4" t="s">
        <v>1</v>
      </c>
      <c r="B1095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50" s="3" t="str">
        <f>HYPERLINK("https://otsuka-europe-crm.veevavault.com/ui/#object/sent_email__v/VBLZ025E82GUL9V", "SE-000277346")</f>
        <v>SE-000277346</v>
      </c>
      <c r="D10950" s="1">
        <v>45919.841099537036</v>
      </c>
      <c r="E10950" s="2">
        <v>1</v>
      </c>
      <c r="F10950" s="2">
        <v>1</v>
      </c>
      <c r="G10950" s="2">
        <v>0</v>
      </c>
      <c r="H10950" s="1" t="s">
        <v>0</v>
      </c>
      <c r="I10950" s="2">
        <v>0</v>
      </c>
      <c r="J10950" s="1">
        <v>45919.560729166667</v>
      </c>
    </row>
    <row r="10951" spans="1:10" x14ac:dyDescent="0.2">
      <c r="A10951" s="4" t="s">
        <v>1</v>
      </c>
      <c r="B1095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51" s="3" t="str">
        <f>HYPERLINK("https://otsuka-europe-crm.veevavault.com/ui/#object/sent_email__v/VBLZ025E82GUL9W", "SE-000277347")</f>
        <v>SE-000277347</v>
      </c>
      <c r="D10951" s="1">
        <v>45919.837881944448</v>
      </c>
      <c r="E10951" s="2">
        <v>1</v>
      </c>
      <c r="F10951" s="2">
        <v>1</v>
      </c>
      <c r="G10951" s="2">
        <v>0</v>
      </c>
      <c r="H10951" s="1" t="s">
        <v>0</v>
      </c>
      <c r="I10951" s="2">
        <v>0</v>
      </c>
      <c r="J10951" s="1">
        <v>45919.560740740744</v>
      </c>
    </row>
    <row r="10952" spans="1:10" x14ac:dyDescent="0.2">
      <c r="A10952" s="4" t="s">
        <v>1</v>
      </c>
      <c r="B1095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52" s="3" t="str">
        <f>HYPERLINK("https://otsuka-europe-crm.veevavault.com/ui/#object/sent_email__v/VBLZ025E82GUL9X", "SE-000277348")</f>
        <v>SE-000277348</v>
      </c>
      <c r="D10952" s="1">
        <v>45940.940567129626</v>
      </c>
      <c r="E10952" s="2">
        <v>1</v>
      </c>
      <c r="F10952" s="2">
        <v>2</v>
      </c>
      <c r="G10952" s="2">
        <v>0</v>
      </c>
      <c r="H10952" s="1" t="s">
        <v>0</v>
      </c>
      <c r="I10952" s="2">
        <v>0</v>
      </c>
      <c r="J10952" s="1">
        <v>45919.560752314814</v>
      </c>
    </row>
    <row r="10953" spans="1:10" x14ac:dyDescent="0.2">
      <c r="A10953" s="4" t="s">
        <v>1</v>
      </c>
      <c r="B1095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53" s="3" t="str">
        <f>HYPERLINK("https://otsuka-europe-crm.veevavault.com/ui/#object/sent_email__v/VBLZ025E82GUL9Y", "SE-000277349")</f>
        <v>SE-000277349</v>
      </c>
      <c r="D10953" s="1" t="s">
        <v>0</v>
      </c>
      <c r="E10953" s="2">
        <v>0</v>
      </c>
      <c r="F10953" s="2">
        <v>0</v>
      </c>
      <c r="G10953" s="2">
        <v>0</v>
      </c>
      <c r="H10953" s="1" t="s">
        <v>0</v>
      </c>
      <c r="I10953" s="2">
        <v>0</v>
      </c>
      <c r="J10953" s="1">
        <v>45919.560787037037</v>
      </c>
    </row>
    <row r="10954" spans="1:10" x14ac:dyDescent="0.2">
      <c r="A10954" s="4" t="s">
        <v>1</v>
      </c>
      <c r="B1095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54" s="3" t="str">
        <f>HYPERLINK("https://otsuka-europe-crm.veevavault.com/ui/#object/sent_email__v/VBLZ025E82GUL9Z", "SE-000277350")</f>
        <v>SE-000277350</v>
      </c>
      <c r="D10954" s="1">
        <v>45920.903321759259</v>
      </c>
      <c r="E10954" s="2">
        <v>1</v>
      </c>
      <c r="F10954" s="2">
        <v>1</v>
      </c>
      <c r="G10954" s="2">
        <v>0</v>
      </c>
      <c r="H10954" s="1" t="s">
        <v>0</v>
      </c>
      <c r="I10954" s="2">
        <v>0</v>
      </c>
      <c r="J10954" s="1">
        <v>45919.56082175926</v>
      </c>
    </row>
    <row r="10955" spans="1:10" x14ac:dyDescent="0.2">
      <c r="A10955" s="4" t="s">
        <v>1</v>
      </c>
      <c r="B1095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55" s="3" t="str">
        <f>HYPERLINK("https://otsuka-europe-crm.veevavault.com/ui/#object/sent_email__v/VBLZ025E82GULA0", "SE-000277351")</f>
        <v>SE-000277351</v>
      </c>
      <c r="D10955" s="1" t="s">
        <v>0</v>
      </c>
      <c r="E10955" s="2">
        <v>0</v>
      </c>
      <c r="F10955" s="2">
        <v>0</v>
      </c>
      <c r="G10955" s="2">
        <v>0</v>
      </c>
      <c r="H10955" s="1" t="s">
        <v>0</v>
      </c>
      <c r="I10955" s="2">
        <v>0</v>
      </c>
      <c r="J10955" s="1">
        <v>45919.560798611114</v>
      </c>
    </row>
    <row r="10956" spans="1:10" x14ac:dyDescent="0.2">
      <c r="A10956" s="4" t="s">
        <v>1</v>
      </c>
      <c r="B1095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56" s="3" t="str">
        <f>HYPERLINK("https://otsuka-europe-crm.veevavault.com/ui/#object/sent_email__v/VBLZ025E82GULA1", "SE-000277352")</f>
        <v>SE-000277352</v>
      </c>
      <c r="D10956" s="1" t="s">
        <v>0</v>
      </c>
      <c r="E10956" s="2">
        <v>0</v>
      </c>
      <c r="F10956" s="2">
        <v>0</v>
      </c>
      <c r="G10956" s="2">
        <v>0</v>
      </c>
      <c r="H10956" s="1" t="s">
        <v>0</v>
      </c>
      <c r="I10956" s="2">
        <v>0</v>
      </c>
      <c r="J10956" s="1">
        <v>45919.560763888891</v>
      </c>
    </row>
    <row r="10957" spans="1:10" x14ac:dyDescent="0.2">
      <c r="A10957" s="4" t="s">
        <v>1</v>
      </c>
      <c r="B1095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57" s="3" t="str">
        <f>HYPERLINK("https://otsuka-europe-crm.veevavault.com/ui/#object/sent_email__v/VBLZ025E82GULA2", "SE-000277353")</f>
        <v>SE-000277353</v>
      </c>
      <c r="D10957" s="1" t="s">
        <v>0</v>
      </c>
      <c r="E10957" s="2">
        <v>0</v>
      </c>
      <c r="F10957" s="2">
        <v>0</v>
      </c>
      <c r="G10957" s="2">
        <v>0</v>
      </c>
      <c r="H10957" s="1" t="s">
        <v>0</v>
      </c>
      <c r="I10957" s="2">
        <v>0</v>
      </c>
      <c r="J10957" s="1">
        <v>45919.56077546296</v>
      </c>
    </row>
    <row r="10958" spans="1:10" x14ac:dyDescent="0.2">
      <c r="A10958" s="4" t="s">
        <v>1</v>
      </c>
      <c r="B1095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58" s="3" t="str">
        <f>HYPERLINK("https://otsuka-europe-crm.veevavault.com/ui/#object/sent_email__v/VBLZ025E82GULA3", "SE-000277354")</f>
        <v>SE-000277354</v>
      </c>
      <c r="D10958" s="1" t="s">
        <v>0</v>
      </c>
      <c r="E10958" s="2">
        <v>0</v>
      </c>
      <c r="F10958" s="2">
        <v>0</v>
      </c>
      <c r="G10958" s="2">
        <v>0</v>
      </c>
      <c r="H10958" s="1" t="s">
        <v>0</v>
      </c>
      <c r="I10958" s="2">
        <v>0</v>
      </c>
      <c r="J10958" s="1">
        <v>45919.560717592591</v>
      </c>
    </row>
    <row r="10959" spans="1:10" x14ac:dyDescent="0.2">
      <c r="A10959" s="4" t="s">
        <v>1</v>
      </c>
      <c r="B1095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59" s="3" t="str">
        <f>HYPERLINK("https://otsuka-europe-crm.veevavault.com/ui/#object/sent_email__v/VBLZ025E82GULA4", "SE-000277355")</f>
        <v>SE-000277355</v>
      </c>
      <c r="D10959" s="1" t="s">
        <v>0</v>
      </c>
      <c r="E10959" s="2">
        <v>0</v>
      </c>
      <c r="F10959" s="2">
        <v>0</v>
      </c>
      <c r="G10959" s="2">
        <v>0</v>
      </c>
      <c r="H10959" s="1" t="s">
        <v>0</v>
      </c>
      <c r="I10959" s="2">
        <v>0</v>
      </c>
      <c r="J10959" s="1">
        <v>45919.560752314814</v>
      </c>
    </row>
    <row r="10960" spans="1:10" x14ac:dyDescent="0.2">
      <c r="A10960" s="4" t="s">
        <v>1</v>
      </c>
      <c r="B1096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60" s="3" t="str">
        <f>HYPERLINK("https://otsuka-europe-crm.veevavault.com/ui/#object/sent_email__v/VBLZ025E82GULA5", "SE-000277356")</f>
        <v>SE-000277356</v>
      </c>
      <c r="D10960" s="1" t="s">
        <v>0</v>
      </c>
      <c r="E10960" s="2">
        <v>0</v>
      </c>
      <c r="F10960" s="2">
        <v>0</v>
      </c>
      <c r="G10960" s="2">
        <v>0</v>
      </c>
      <c r="H10960" s="1" t="s">
        <v>0</v>
      </c>
      <c r="I10960" s="2">
        <v>0</v>
      </c>
      <c r="J10960" s="1">
        <v>45919.560659722221</v>
      </c>
    </row>
    <row r="10961" spans="1:10" x14ac:dyDescent="0.2">
      <c r="A10961" s="4" t="s">
        <v>1</v>
      </c>
      <c r="B1096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61" s="3" t="str">
        <f>HYPERLINK("https://otsuka-europe-crm.veevavault.com/ui/#object/sent_email__v/VBLZ025E82GULA6", "SE-000277357")</f>
        <v>SE-000277357</v>
      </c>
      <c r="D10961" s="1">
        <v>45921.375787037039</v>
      </c>
      <c r="E10961" s="2">
        <v>1</v>
      </c>
      <c r="F10961" s="2">
        <v>2</v>
      </c>
      <c r="G10961" s="2">
        <v>1</v>
      </c>
      <c r="H10961" s="1">
        <v>45921.342523148145</v>
      </c>
      <c r="I10961" s="2">
        <v>1</v>
      </c>
      <c r="J10961" s="1">
        <v>45919.560671296298</v>
      </c>
    </row>
    <row r="10962" spans="1:10" x14ac:dyDescent="0.2">
      <c r="A10962" s="4" t="s">
        <v>1</v>
      </c>
      <c r="B1096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62" s="3" t="str">
        <f>HYPERLINK("https://otsuka-europe-crm.veevavault.com/ui/#object/sent_email__v/VBLZ025E82GULA7", "SE-000277358")</f>
        <v>SE-000277358</v>
      </c>
      <c r="D10962" s="1">
        <v>45919.622418981482</v>
      </c>
      <c r="E10962" s="2">
        <v>1</v>
      </c>
      <c r="F10962" s="2">
        <v>1</v>
      </c>
      <c r="G10962" s="2">
        <v>0</v>
      </c>
      <c r="H10962" s="1" t="s">
        <v>0</v>
      </c>
      <c r="I10962" s="2">
        <v>0</v>
      </c>
      <c r="J10962" s="1">
        <v>45919.560682870368</v>
      </c>
    </row>
    <row r="10963" spans="1:10" x14ac:dyDescent="0.2">
      <c r="A10963" s="4" t="s">
        <v>1</v>
      </c>
      <c r="B1096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63" s="3" t="str">
        <f>HYPERLINK("https://otsuka-europe-crm.veevavault.com/ui/#object/sent_email__v/VBLZ025E82GULA8", "SE-000277359")</f>
        <v>SE-000277359</v>
      </c>
      <c r="D10963" s="1">
        <v>45922.443865740737</v>
      </c>
      <c r="E10963" s="2">
        <v>1</v>
      </c>
      <c r="F10963" s="2">
        <v>2</v>
      </c>
      <c r="G10963" s="2">
        <v>0</v>
      </c>
      <c r="H10963" s="1" t="s">
        <v>0</v>
      </c>
      <c r="I10963" s="2">
        <v>0</v>
      </c>
      <c r="J10963" s="1">
        <v>45919.560706018521</v>
      </c>
    </row>
    <row r="10964" spans="1:10" x14ac:dyDescent="0.2">
      <c r="A10964" s="4" t="s">
        <v>1</v>
      </c>
      <c r="B1096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64" s="3" t="str">
        <f>HYPERLINK("https://otsuka-europe-crm.veevavault.com/ui/#object/sent_email__v/VBLZ025E82GULA9", "SE-000277360")</f>
        <v>SE-000277360</v>
      </c>
      <c r="D10964" s="1">
        <v>45919.562094907407</v>
      </c>
      <c r="E10964" s="2">
        <v>1</v>
      </c>
      <c r="F10964" s="2">
        <v>1</v>
      </c>
      <c r="G10964" s="2">
        <v>0</v>
      </c>
      <c r="H10964" s="1" t="s">
        <v>0</v>
      </c>
      <c r="I10964" s="2">
        <v>0</v>
      </c>
      <c r="J10964" s="1">
        <v>45919.560717592591</v>
      </c>
    </row>
    <row r="10965" spans="1:10" x14ac:dyDescent="0.2">
      <c r="A10965" s="4" t="s">
        <v>1</v>
      </c>
      <c r="B1096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65" s="3" t="str">
        <f>HYPERLINK("https://otsuka-europe-crm.veevavault.com/ui/#object/sent_email__v/VBLZ025E82GULAA", "SE-000277361")</f>
        <v>SE-000277361</v>
      </c>
      <c r="D10965" s="1">
        <v>45919.563368055555</v>
      </c>
      <c r="E10965" s="2">
        <v>1</v>
      </c>
      <c r="F10965" s="2">
        <v>1</v>
      </c>
      <c r="G10965" s="2">
        <v>0</v>
      </c>
      <c r="H10965" s="1" t="s">
        <v>0</v>
      </c>
      <c r="I10965" s="2">
        <v>0</v>
      </c>
      <c r="J10965" s="1">
        <v>45919.560694444444</v>
      </c>
    </row>
    <row r="10966" spans="1:10" x14ac:dyDescent="0.2">
      <c r="A10966" s="4" t="s">
        <v>1</v>
      </c>
      <c r="B1096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66" s="3" t="str">
        <f>HYPERLINK("https://otsuka-europe-crm.veevavault.com/ui/#object/sent_email__v/VBLZ025E82GULAB", "SE-000277362")</f>
        <v>SE-000277362</v>
      </c>
      <c r="D10966" s="1" t="s">
        <v>0</v>
      </c>
      <c r="E10966" s="2">
        <v>0</v>
      </c>
      <c r="F10966" s="2">
        <v>0</v>
      </c>
      <c r="G10966" s="2">
        <v>0</v>
      </c>
      <c r="H10966" s="1" t="s">
        <v>0</v>
      </c>
      <c r="I10966" s="2">
        <v>0</v>
      </c>
      <c r="J10966" s="1">
        <v>45919.560648148145</v>
      </c>
    </row>
    <row r="10967" spans="1:10" x14ac:dyDescent="0.2">
      <c r="A10967" s="4" t="s">
        <v>1</v>
      </c>
      <c r="B1096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67" s="3" t="str">
        <f>HYPERLINK("https://otsuka-europe-crm.veevavault.com/ui/#object/sent_email__v/VBLZ025E82GULAC", "SE-000277363")</f>
        <v>SE-000277363</v>
      </c>
      <c r="D10967" s="1" t="s">
        <v>0</v>
      </c>
      <c r="E10967" s="2">
        <v>0</v>
      </c>
      <c r="F10967" s="2">
        <v>0</v>
      </c>
      <c r="G10967" s="2">
        <v>0</v>
      </c>
      <c r="H10967" s="1" t="s">
        <v>0</v>
      </c>
      <c r="I10967" s="2">
        <v>0</v>
      </c>
      <c r="J10967" s="1">
        <v>45919.560682870368</v>
      </c>
    </row>
    <row r="10968" spans="1:10" x14ac:dyDescent="0.2">
      <c r="A10968" s="4" t="s">
        <v>1</v>
      </c>
      <c r="B1096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68" s="3" t="str">
        <f>HYPERLINK("https://otsuka-europe-crm.veevavault.com/ui/#object/sent_email__v/VBLZ025E82GULVX", "SE-000277390")</f>
        <v>SE-000277390</v>
      </c>
      <c r="D10968" s="1">
        <v>45958.638495370367</v>
      </c>
      <c r="E10968" s="2">
        <v>1</v>
      </c>
      <c r="F10968" s="2">
        <v>1</v>
      </c>
      <c r="G10968" s="2">
        <v>1</v>
      </c>
      <c r="H10968" s="1">
        <v>45958.638495370367</v>
      </c>
      <c r="I10968" s="2">
        <v>1</v>
      </c>
      <c r="J10968" s="1">
        <v>45919.56527777778</v>
      </c>
    </row>
    <row r="10969" spans="1:10" x14ac:dyDescent="0.2">
      <c r="A10969" s="4" t="s">
        <v>1</v>
      </c>
      <c r="B1096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69" s="3" t="str">
        <f>HYPERLINK("https://otsuka-europe-crm.veevavault.com/ui/#object/sent_email__v/VBLZ025E82GULVY", "SE-000277391")</f>
        <v>SE-000277391</v>
      </c>
      <c r="D10969" s="1">
        <v>45922.900601851848</v>
      </c>
      <c r="E10969" s="2">
        <v>1</v>
      </c>
      <c r="F10969" s="2">
        <v>3</v>
      </c>
      <c r="G10969" s="2">
        <v>0</v>
      </c>
      <c r="H10969" s="1" t="s">
        <v>0</v>
      </c>
      <c r="I10969" s="2">
        <v>0</v>
      </c>
      <c r="J10969" s="1">
        <v>45919.565428240741</v>
      </c>
    </row>
    <row r="10970" spans="1:10" x14ac:dyDescent="0.2">
      <c r="A10970" s="4" t="s">
        <v>1</v>
      </c>
      <c r="B1097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70" s="3" t="str">
        <f>HYPERLINK("https://otsuka-europe-crm.veevavault.com/ui/#object/sent_email__v/VBLZ025E82GULVZ", "SE-000277392")</f>
        <v>SE-000277392</v>
      </c>
      <c r="D10970" s="1" t="s">
        <v>0</v>
      </c>
      <c r="E10970" s="2">
        <v>0</v>
      </c>
      <c r="F10970" s="2">
        <v>0</v>
      </c>
      <c r="G10970" s="2">
        <v>0</v>
      </c>
      <c r="H10970" s="1" t="s">
        <v>0</v>
      </c>
      <c r="I10970" s="2">
        <v>0</v>
      </c>
      <c r="J10970" s="1">
        <v>45919.56527777778</v>
      </c>
    </row>
    <row r="10971" spans="1:10" x14ac:dyDescent="0.2">
      <c r="A10971" s="4" t="s">
        <v>1</v>
      </c>
      <c r="B1097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71" s="3" t="str">
        <f>HYPERLINK("https://otsuka-europe-crm.veevavault.com/ui/#object/sent_email__v/VBLZ025E82GULW0", "SE-000277393")</f>
        <v>SE-000277393</v>
      </c>
      <c r="D10971" s="1">
        <v>45919.567847222221</v>
      </c>
      <c r="E10971" s="2">
        <v>1</v>
      </c>
      <c r="F10971" s="2">
        <v>2</v>
      </c>
      <c r="G10971" s="2">
        <v>0</v>
      </c>
      <c r="H10971" s="1" t="s">
        <v>0</v>
      </c>
      <c r="I10971" s="2">
        <v>0</v>
      </c>
      <c r="J10971" s="1">
        <v>45919.565416666665</v>
      </c>
    </row>
    <row r="10972" spans="1:10" x14ac:dyDescent="0.2">
      <c r="A10972" s="4" t="s">
        <v>1</v>
      </c>
      <c r="B1097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72" s="3" t="str">
        <f>HYPERLINK("https://otsuka-europe-crm.veevavault.com/ui/#object/sent_email__v/VBLZ025E82GULW1", "SE-000277394")</f>
        <v>SE-000277394</v>
      </c>
      <c r="D10972" s="1">
        <v>45919.574525462966</v>
      </c>
      <c r="E10972" s="2">
        <v>1</v>
      </c>
      <c r="F10972" s="2">
        <v>2</v>
      </c>
      <c r="G10972" s="2">
        <v>0</v>
      </c>
      <c r="H10972" s="1" t="s">
        <v>0</v>
      </c>
      <c r="I10972" s="2">
        <v>0</v>
      </c>
      <c r="J10972" s="1">
        <v>45919.565266203703</v>
      </c>
    </row>
    <row r="10973" spans="1:10" x14ac:dyDescent="0.2">
      <c r="A10973" s="4" t="s">
        <v>1</v>
      </c>
      <c r="B1097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73" s="3" t="str">
        <f>HYPERLINK("https://otsuka-europe-crm.veevavault.com/ui/#object/sent_email__v/VBLZ025E82GULW2", "SE-000277395")</f>
        <v>SE-000277395</v>
      </c>
      <c r="D10973" s="1" t="s">
        <v>0</v>
      </c>
      <c r="E10973" s="2">
        <v>0</v>
      </c>
      <c r="F10973" s="2">
        <v>0</v>
      </c>
      <c r="G10973" s="2">
        <v>0</v>
      </c>
      <c r="H10973" s="1" t="s">
        <v>0</v>
      </c>
      <c r="I10973" s="2">
        <v>0</v>
      </c>
      <c r="J10973" s="1">
        <v>45919.565416666665</v>
      </c>
    </row>
    <row r="10974" spans="1:10" x14ac:dyDescent="0.2">
      <c r="A10974" s="4" t="s">
        <v>1</v>
      </c>
      <c r="B1097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74" s="3" t="str">
        <f>HYPERLINK("https://otsuka-europe-crm.veevavault.com/ui/#object/sent_email__v/VBLZ025E82GULW3", "SE-000277396")</f>
        <v>SE-000277396</v>
      </c>
      <c r="D10974" s="1" t="s">
        <v>0</v>
      </c>
      <c r="E10974" s="2">
        <v>0</v>
      </c>
      <c r="F10974" s="2">
        <v>0</v>
      </c>
      <c r="G10974" s="2">
        <v>0</v>
      </c>
      <c r="H10974" s="1" t="s">
        <v>0</v>
      </c>
      <c r="I10974" s="2">
        <v>0</v>
      </c>
      <c r="J10974" s="1">
        <v>45919.565254629626</v>
      </c>
    </row>
    <row r="10975" spans="1:10" x14ac:dyDescent="0.2">
      <c r="A10975" s="4" t="s">
        <v>1</v>
      </c>
      <c r="B1097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75" s="3" t="str">
        <f>HYPERLINK("https://otsuka-europe-crm.veevavault.com/ui/#object/sent_email__v/VBLZ025E82GULW4", "SE-000277397")</f>
        <v>SE-000277397</v>
      </c>
      <c r="D10975" s="1">
        <v>45919.682245370372</v>
      </c>
      <c r="E10975" s="2">
        <v>1</v>
      </c>
      <c r="F10975" s="2">
        <v>1</v>
      </c>
      <c r="G10975" s="2">
        <v>0</v>
      </c>
      <c r="H10975" s="1" t="s">
        <v>0</v>
      </c>
      <c r="I10975" s="2">
        <v>0</v>
      </c>
      <c r="J10975" s="1">
        <v>45919.565150462964</v>
      </c>
    </row>
    <row r="10976" spans="1:10" x14ac:dyDescent="0.2">
      <c r="A10976" s="4" t="s">
        <v>1</v>
      </c>
      <c r="B1097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76" s="3" t="str">
        <f>HYPERLINK("https://otsuka-europe-crm.veevavault.com/ui/#object/sent_email__v/VBLZ025E82GULW5", "SE-000277398")</f>
        <v>SE-000277398</v>
      </c>
      <c r="D10976" s="1" t="s">
        <v>0</v>
      </c>
      <c r="E10976" s="2">
        <v>0</v>
      </c>
      <c r="F10976" s="2">
        <v>0</v>
      </c>
      <c r="G10976" s="2">
        <v>0</v>
      </c>
      <c r="H10976" s="1" t="s">
        <v>0</v>
      </c>
      <c r="I10976" s="2">
        <v>0</v>
      </c>
      <c r="J10976" s="1">
        <v>45919.565381944441</v>
      </c>
    </row>
    <row r="10977" spans="1:10" x14ac:dyDescent="0.2">
      <c r="A10977" s="4" t="s">
        <v>1</v>
      </c>
      <c r="B1097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77" s="3" t="str">
        <f>HYPERLINK("https://otsuka-europe-crm.veevavault.com/ui/#object/sent_email__v/VBLZ025E82GULW6", "SE-000277399")</f>
        <v>SE-000277399</v>
      </c>
      <c r="D10977" s="1" t="s">
        <v>0</v>
      </c>
      <c r="E10977" s="2">
        <v>0</v>
      </c>
      <c r="F10977" s="2">
        <v>0</v>
      </c>
      <c r="G10977" s="2">
        <v>0</v>
      </c>
      <c r="H10977" s="1" t="s">
        <v>0</v>
      </c>
      <c r="I10977" s="2">
        <v>0</v>
      </c>
      <c r="J10977" s="1">
        <v>45919.56523148148</v>
      </c>
    </row>
    <row r="10978" spans="1:10" x14ac:dyDescent="0.2">
      <c r="A10978" s="4" t="s">
        <v>1</v>
      </c>
      <c r="B1097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78" s="3" t="str">
        <f>HYPERLINK("https://otsuka-europe-crm.veevavault.com/ui/#object/sent_email__v/VBLZ025E82GULW7", "SE-000277400")</f>
        <v>SE-000277400</v>
      </c>
      <c r="D10978" s="1" t="s">
        <v>0</v>
      </c>
      <c r="E10978" s="2">
        <v>0</v>
      </c>
      <c r="F10978" s="2">
        <v>0</v>
      </c>
      <c r="G10978" s="2">
        <v>0</v>
      </c>
      <c r="H10978" s="1" t="s">
        <v>0</v>
      </c>
      <c r="I10978" s="2">
        <v>0</v>
      </c>
      <c r="J10978" s="1">
        <v>45919.565381944441</v>
      </c>
    </row>
    <row r="10979" spans="1:10" x14ac:dyDescent="0.2">
      <c r="A10979" s="4" t="s">
        <v>1</v>
      </c>
      <c r="B1097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79" s="3" t="str">
        <f>HYPERLINK("https://otsuka-europe-crm.veevavault.com/ui/#object/sent_email__v/VBLZ025E82GULW8", "SE-000277401")</f>
        <v>SE-000277401</v>
      </c>
      <c r="D10979" s="1" t="s">
        <v>0</v>
      </c>
      <c r="E10979" s="2">
        <v>0</v>
      </c>
      <c r="F10979" s="2">
        <v>0</v>
      </c>
      <c r="G10979" s="2">
        <v>0</v>
      </c>
      <c r="H10979" s="1" t="s">
        <v>0</v>
      </c>
      <c r="I10979" s="2">
        <v>0</v>
      </c>
      <c r="J10979" s="1">
        <v>45919.565208333333</v>
      </c>
    </row>
    <row r="10980" spans="1:10" x14ac:dyDescent="0.2">
      <c r="A10980" s="4" t="s">
        <v>1</v>
      </c>
      <c r="B1098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80" s="3" t="str">
        <f>HYPERLINK("https://otsuka-europe-crm.veevavault.com/ui/#object/sent_email__v/VBLZ025E82GULW9", "SE-000277402")</f>
        <v>SE-000277402</v>
      </c>
      <c r="D10980" s="1">
        <v>45919.791886574072</v>
      </c>
      <c r="E10980" s="2">
        <v>1</v>
      </c>
      <c r="F10980" s="2">
        <v>1</v>
      </c>
      <c r="G10980" s="2">
        <v>0</v>
      </c>
      <c r="H10980" s="1" t="s">
        <v>0</v>
      </c>
      <c r="I10980" s="2">
        <v>0</v>
      </c>
      <c r="J10980" s="1">
        <v>45919.565370370372</v>
      </c>
    </row>
    <row r="10981" spans="1:10" x14ac:dyDescent="0.2">
      <c r="A10981" s="4" t="s">
        <v>1</v>
      </c>
      <c r="B1098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81" s="3" t="str">
        <f>HYPERLINK("https://otsuka-europe-crm.veevavault.com/ui/#object/sent_email__v/VBLZ025E82GULWA", "SE-000277403")</f>
        <v>SE-000277403</v>
      </c>
      <c r="D10981" s="1" t="s">
        <v>0</v>
      </c>
      <c r="E10981" s="2">
        <v>0</v>
      </c>
      <c r="F10981" s="2">
        <v>0</v>
      </c>
      <c r="G10981" s="2">
        <v>0</v>
      </c>
      <c r="H10981" s="1" t="s">
        <v>0</v>
      </c>
      <c r="I10981" s="2">
        <v>0</v>
      </c>
      <c r="J10981" s="1">
        <v>45919.565312500003</v>
      </c>
    </row>
    <row r="10982" spans="1:10" x14ac:dyDescent="0.2">
      <c r="A10982" s="4" t="s">
        <v>1</v>
      </c>
      <c r="B1098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82" s="3" t="str">
        <f>HYPERLINK("https://otsuka-europe-crm.veevavault.com/ui/#object/sent_email__v/VBLZ025E82GULWB", "SE-000277404")</f>
        <v>SE-000277404</v>
      </c>
      <c r="D10982" s="1">
        <v>45919.650833333333</v>
      </c>
      <c r="E10982" s="2">
        <v>1</v>
      </c>
      <c r="F10982" s="2">
        <v>1</v>
      </c>
      <c r="G10982" s="2">
        <v>1</v>
      </c>
      <c r="H10982" s="1">
        <v>45919.965821759259</v>
      </c>
      <c r="I10982" s="2">
        <v>1</v>
      </c>
      <c r="J10982" s="1">
        <v>45919.56517361111</v>
      </c>
    </row>
    <row r="10983" spans="1:10" x14ac:dyDescent="0.2">
      <c r="A10983" s="4" t="s">
        <v>1</v>
      </c>
      <c r="B1098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83" s="3" t="str">
        <f>HYPERLINK("https://otsuka-europe-crm.veevavault.com/ui/#object/sent_email__v/VBLZ025E82GULWC", "SE-000277405")</f>
        <v>SE-000277405</v>
      </c>
      <c r="D10983" s="1" t="s">
        <v>0</v>
      </c>
      <c r="E10983" s="2">
        <v>0</v>
      </c>
      <c r="F10983" s="2">
        <v>0</v>
      </c>
      <c r="G10983" s="2">
        <v>0</v>
      </c>
      <c r="H10983" s="1" t="s">
        <v>0</v>
      </c>
      <c r="I10983" s="2">
        <v>0</v>
      </c>
      <c r="J10983" s="1">
        <v>45919.565324074072</v>
      </c>
    </row>
    <row r="10984" spans="1:10" x14ac:dyDescent="0.2">
      <c r="A10984" s="4" t="s">
        <v>1</v>
      </c>
      <c r="B1098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84" s="3" t="str">
        <f>HYPERLINK("https://otsuka-europe-crm.veevavault.com/ui/#object/sent_email__v/VBLZ025E82GULWD", "SE-000277406")</f>
        <v>SE-000277406</v>
      </c>
      <c r="D10984" s="1">
        <v>45920.37972222222</v>
      </c>
      <c r="E10984" s="2">
        <v>1</v>
      </c>
      <c r="F10984" s="2">
        <v>1</v>
      </c>
      <c r="G10984" s="2">
        <v>0</v>
      </c>
      <c r="H10984" s="1" t="s">
        <v>0</v>
      </c>
      <c r="I10984" s="2">
        <v>0</v>
      </c>
      <c r="J10984" s="1">
        <v>45919.565185185187</v>
      </c>
    </row>
    <row r="10985" spans="1:10" x14ac:dyDescent="0.2">
      <c r="A10985" s="4" t="s">
        <v>1</v>
      </c>
      <c r="B1098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85" s="3" t="str">
        <f>HYPERLINK("https://otsuka-europe-crm.veevavault.com/ui/#object/sent_email__v/VBLZ025E82GULWE", "SE-000277407")</f>
        <v>SE-000277407</v>
      </c>
      <c r="D10985" s="1">
        <v>45921.545648148145</v>
      </c>
      <c r="E10985" s="2">
        <v>1</v>
      </c>
      <c r="F10985" s="2">
        <v>1</v>
      </c>
      <c r="G10985" s="2">
        <v>0</v>
      </c>
      <c r="H10985" s="1" t="s">
        <v>0</v>
      </c>
      <c r="I10985" s="2">
        <v>0</v>
      </c>
      <c r="J10985" s="1">
        <v>45919.565335648149</v>
      </c>
    </row>
    <row r="10986" spans="1:10" x14ac:dyDescent="0.2">
      <c r="A10986" s="4" t="s">
        <v>1</v>
      </c>
      <c r="B1098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86" s="3" t="str">
        <f>HYPERLINK("https://otsuka-europe-crm.veevavault.com/ui/#object/sent_email__v/VBLZ025E82GULWF", "SE-000277408")</f>
        <v>SE-000277408</v>
      </c>
      <c r="D10986" s="1">
        <v>45919.609166666669</v>
      </c>
      <c r="E10986" s="2">
        <v>1</v>
      </c>
      <c r="F10986" s="2">
        <v>2</v>
      </c>
      <c r="G10986" s="2">
        <v>0</v>
      </c>
      <c r="H10986" s="1" t="s">
        <v>0</v>
      </c>
      <c r="I10986" s="2">
        <v>0</v>
      </c>
      <c r="J10986" s="1">
        <v>45919.56521990741</v>
      </c>
    </row>
    <row r="10987" spans="1:10" x14ac:dyDescent="0.2">
      <c r="A10987" s="4" t="s">
        <v>1</v>
      </c>
      <c r="B1098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87" s="3" t="str">
        <f>HYPERLINK("https://otsuka-europe-crm.veevavault.com/ui/#object/sent_email__v/VBLZ025E82GULWG", "SE-000277409")</f>
        <v>SE-000277409</v>
      </c>
      <c r="D10987" s="1" t="s">
        <v>0</v>
      </c>
      <c r="E10987" s="2">
        <v>0</v>
      </c>
      <c r="F10987" s="2">
        <v>0</v>
      </c>
      <c r="G10987" s="2">
        <v>0</v>
      </c>
      <c r="H10987" s="1" t="s">
        <v>0</v>
      </c>
      <c r="I10987" s="2">
        <v>0</v>
      </c>
      <c r="J10987" s="1">
        <v>45919.565347222226</v>
      </c>
    </row>
    <row r="10988" spans="1:10" x14ac:dyDescent="0.2">
      <c r="A10988" s="4" t="s">
        <v>1</v>
      </c>
      <c r="B1098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88" s="3" t="str">
        <f>HYPERLINK("https://otsuka-europe-crm.veevavault.com/ui/#object/sent_email__v/VBLZ025E82GULWH", "SE-000277410")</f>
        <v>SE-000277410</v>
      </c>
      <c r="D10988" s="1">
        <v>46013.77416666667</v>
      </c>
      <c r="E10988" s="2">
        <v>1</v>
      </c>
      <c r="F10988" s="2">
        <v>3</v>
      </c>
      <c r="G10988" s="2">
        <v>0</v>
      </c>
      <c r="H10988" s="1" t="s">
        <v>0</v>
      </c>
      <c r="I10988" s="2">
        <v>0</v>
      </c>
      <c r="J10988" s="1">
        <v>45919.565185185187</v>
      </c>
    </row>
    <row r="10989" spans="1:10" x14ac:dyDescent="0.2">
      <c r="A10989" s="4" t="s">
        <v>1</v>
      </c>
      <c r="B1098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89" s="3" t="str">
        <f>HYPERLINK("https://otsuka-europe-crm.veevavault.com/ui/#object/sent_email__v/VBLZ025E82GULWI", "SE-000277411")</f>
        <v>SE-000277411</v>
      </c>
      <c r="D10989" s="1">
        <v>45921.939120370371</v>
      </c>
      <c r="E10989" s="2">
        <v>1</v>
      </c>
      <c r="F10989" s="2">
        <v>1</v>
      </c>
      <c r="G10989" s="2">
        <v>0</v>
      </c>
      <c r="H10989" s="1" t="s">
        <v>0</v>
      </c>
      <c r="I10989" s="2">
        <v>0</v>
      </c>
      <c r="J10989" s="1">
        <v>45919.565312500003</v>
      </c>
    </row>
    <row r="10990" spans="1:10" x14ac:dyDescent="0.2">
      <c r="A10990" s="4" t="s">
        <v>1</v>
      </c>
      <c r="B1099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90" s="3" t="str">
        <f>HYPERLINK("https://otsuka-europe-crm.veevavault.com/ui/#object/sent_email__v/VBLZ025E82GULWJ", "SE-000277412")</f>
        <v>SE-000277412</v>
      </c>
      <c r="D10990" s="1">
        <v>45919.568958333337</v>
      </c>
      <c r="E10990" s="2">
        <v>1</v>
      </c>
      <c r="F10990" s="2">
        <v>2</v>
      </c>
      <c r="G10990" s="2">
        <v>0</v>
      </c>
      <c r="H10990" s="1" t="s">
        <v>0</v>
      </c>
      <c r="I10990" s="2">
        <v>0</v>
      </c>
      <c r="J10990" s="1">
        <v>45919.56517361111</v>
      </c>
    </row>
    <row r="10991" spans="1:10" x14ac:dyDescent="0.2">
      <c r="A10991" s="4" t="s">
        <v>1</v>
      </c>
      <c r="B1099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91" s="3" t="str">
        <f>HYPERLINK("https://otsuka-europe-crm.veevavault.com/ui/#object/sent_email__v/VBLZ025E82GULWK", "SE-000277413")</f>
        <v>SE-000277413</v>
      </c>
      <c r="D10991" s="1">
        <v>45919.574548611112</v>
      </c>
      <c r="E10991" s="2">
        <v>1</v>
      </c>
      <c r="F10991" s="2">
        <v>1</v>
      </c>
      <c r="G10991" s="2">
        <v>0</v>
      </c>
      <c r="H10991" s="1" t="s">
        <v>0</v>
      </c>
      <c r="I10991" s="2">
        <v>0</v>
      </c>
      <c r="J10991" s="1">
        <v>45919.565289351849</v>
      </c>
    </row>
    <row r="10992" spans="1:10" x14ac:dyDescent="0.2">
      <c r="A10992" s="4" t="s">
        <v>1</v>
      </c>
      <c r="B1099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92" s="3" t="str">
        <f>HYPERLINK("https://otsuka-europe-crm.veevavault.com/ui/#object/sent_email__v/VBLZ025E82GULWL", "SE-000277414")</f>
        <v>SE-000277414</v>
      </c>
      <c r="D10992" s="1" t="s">
        <v>0</v>
      </c>
      <c r="E10992" s="2">
        <v>0</v>
      </c>
      <c r="F10992" s="2">
        <v>0</v>
      </c>
      <c r="G10992" s="2">
        <v>0</v>
      </c>
      <c r="H10992" s="1" t="s">
        <v>0</v>
      </c>
      <c r="I10992" s="2">
        <v>0</v>
      </c>
      <c r="J10992" s="1">
        <v>45919.565150462964</v>
      </c>
    </row>
    <row r="10993" spans="1:10" x14ac:dyDescent="0.2">
      <c r="A10993" s="4" t="s">
        <v>1</v>
      </c>
      <c r="B1099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93" s="3" t="str">
        <f>HYPERLINK("https://otsuka-europe-crm.veevavault.com/ui/#object/sent_email__v/VBLZ025E82GULWM", "SE-000277415")</f>
        <v>SE-000277415</v>
      </c>
      <c r="D10993" s="1" t="s">
        <v>0</v>
      </c>
      <c r="E10993" s="2">
        <v>0</v>
      </c>
      <c r="F10993" s="2">
        <v>0</v>
      </c>
      <c r="G10993" s="2">
        <v>0</v>
      </c>
      <c r="H10993" s="1" t="s">
        <v>0</v>
      </c>
      <c r="I10993" s="2">
        <v>0</v>
      </c>
      <c r="J10993" s="1">
        <v>45919.565300925926</v>
      </c>
    </row>
    <row r="10994" spans="1:10" x14ac:dyDescent="0.2">
      <c r="A10994" s="4" t="s">
        <v>1</v>
      </c>
      <c r="B1099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94" s="3" t="str">
        <f>HYPERLINK("https://otsuka-europe-crm.veevavault.com/ui/#object/sent_email__v/VBLZ025E82GULWN", "SE-000277416")</f>
        <v>SE-000277416</v>
      </c>
      <c r="D10994" s="1">
        <v>45921.746550925927</v>
      </c>
      <c r="E10994" s="2">
        <v>1</v>
      </c>
      <c r="F10994" s="2">
        <v>1</v>
      </c>
      <c r="G10994" s="2">
        <v>0</v>
      </c>
      <c r="H10994" s="1" t="s">
        <v>0</v>
      </c>
      <c r="I10994" s="2">
        <v>0</v>
      </c>
      <c r="J10994" s="1">
        <v>45919.565162037034</v>
      </c>
    </row>
    <row r="10995" spans="1:10" x14ac:dyDescent="0.2">
      <c r="A10995" s="4" t="s">
        <v>1</v>
      </c>
      <c r="B1099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95" s="3" t="str">
        <f>HYPERLINK("https://otsuka-europe-crm.veevavault.com/ui/#object/sent_email__v/VBLZ025E82GULWO", "SE-000277417")</f>
        <v>SE-000277417</v>
      </c>
      <c r="D10995" s="1" t="s">
        <v>0</v>
      </c>
      <c r="E10995" s="2">
        <v>0</v>
      </c>
      <c r="F10995" s="2">
        <v>0</v>
      </c>
      <c r="G10995" s="2">
        <v>0</v>
      </c>
      <c r="H10995" s="1" t="s">
        <v>0</v>
      </c>
      <c r="I10995" s="2">
        <v>0</v>
      </c>
      <c r="J10995" s="1">
        <v>45919.565381944441</v>
      </c>
    </row>
    <row r="10996" spans="1:10" x14ac:dyDescent="0.2">
      <c r="A10996" s="4" t="s">
        <v>1</v>
      </c>
      <c r="B1099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96" s="3" t="str">
        <f>HYPERLINK("https://otsuka-europe-crm.veevavault.com/ui/#object/sent_email__v/VBLZ025E82GULWP", "SE-000277418")</f>
        <v>SE-000277418</v>
      </c>
      <c r="D10996" s="1" t="s">
        <v>0</v>
      </c>
      <c r="E10996" s="2">
        <v>0</v>
      </c>
      <c r="F10996" s="2">
        <v>0</v>
      </c>
      <c r="G10996" s="2">
        <v>0</v>
      </c>
      <c r="H10996" s="1" t="s">
        <v>0</v>
      </c>
      <c r="I10996" s="2">
        <v>0</v>
      </c>
      <c r="J10996" s="1">
        <v>45919.56521990741</v>
      </c>
    </row>
    <row r="10997" spans="1:10" x14ac:dyDescent="0.2">
      <c r="A10997" s="4" t="s">
        <v>1</v>
      </c>
      <c r="B1099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97" s="3" t="str">
        <f>HYPERLINK("https://otsuka-europe-crm.veevavault.com/ui/#object/sent_email__v/VBLZ025E82GULWQ", "SE-000277419")</f>
        <v>SE-000277419</v>
      </c>
      <c r="D10997" s="1" t="s">
        <v>0</v>
      </c>
      <c r="E10997" s="2">
        <v>0</v>
      </c>
      <c r="F10997" s="2">
        <v>0</v>
      </c>
      <c r="G10997" s="2">
        <v>0</v>
      </c>
      <c r="H10997" s="1" t="s">
        <v>0</v>
      </c>
      <c r="I10997" s="2">
        <v>0</v>
      </c>
      <c r="J10997" s="1">
        <v>45919.565358796295</v>
      </c>
    </row>
    <row r="10998" spans="1:10" x14ac:dyDescent="0.2">
      <c r="A10998" s="4" t="s">
        <v>1</v>
      </c>
      <c r="B1099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98" s="3" t="str">
        <f>HYPERLINK("https://otsuka-europe-crm.veevavault.com/ui/#object/sent_email__v/VBLZ025E82GULWR", "SE-000277420")</f>
        <v>SE-000277420</v>
      </c>
      <c r="D10998" s="1">
        <v>45919.586099537039</v>
      </c>
      <c r="E10998" s="2">
        <v>1</v>
      </c>
      <c r="F10998" s="2">
        <v>1</v>
      </c>
      <c r="G10998" s="2">
        <v>0</v>
      </c>
      <c r="H10998" s="1" t="s">
        <v>0</v>
      </c>
      <c r="I10998" s="2">
        <v>0</v>
      </c>
      <c r="J10998" s="1">
        <v>45919.56521990741</v>
      </c>
    </row>
    <row r="10999" spans="1:10" x14ac:dyDescent="0.2">
      <c r="A10999" s="4" t="s">
        <v>1</v>
      </c>
      <c r="B1099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0999" s="3" t="str">
        <f>HYPERLINK("https://otsuka-europe-crm.veevavault.com/ui/#object/sent_email__v/VBLZ025E82GULWS", "SE-000277421")</f>
        <v>SE-000277421</v>
      </c>
      <c r="D10999" s="1" t="s">
        <v>0</v>
      </c>
      <c r="E10999" s="2">
        <v>0</v>
      </c>
      <c r="F10999" s="2">
        <v>0</v>
      </c>
      <c r="G10999" s="2">
        <v>0</v>
      </c>
      <c r="H10999" s="1" t="s">
        <v>0</v>
      </c>
      <c r="I10999" s="2">
        <v>0</v>
      </c>
      <c r="J10999" s="1">
        <v>45919.565393518518</v>
      </c>
    </row>
    <row r="11000" spans="1:10" x14ac:dyDescent="0.2">
      <c r="A11000" s="4" t="s">
        <v>1</v>
      </c>
      <c r="B1100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00" s="3" t="str">
        <f>HYPERLINK("https://otsuka-europe-crm.veevavault.com/ui/#object/sent_email__v/VBLZ025E82GULWT", "SE-000277422")</f>
        <v>SE-000277422</v>
      </c>
      <c r="D11000" s="1" t="s">
        <v>0</v>
      </c>
      <c r="E11000" s="2">
        <v>0</v>
      </c>
      <c r="F11000" s="2">
        <v>0</v>
      </c>
      <c r="G11000" s="2">
        <v>0</v>
      </c>
      <c r="H11000" s="1" t="s">
        <v>0</v>
      </c>
      <c r="I11000" s="2">
        <v>0</v>
      </c>
      <c r="J11000" s="1">
        <v>45919.565243055556</v>
      </c>
    </row>
    <row r="11001" spans="1:10" x14ac:dyDescent="0.2">
      <c r="A11001" s="4" t="s">
        <v>1</v>
      </c>
      <c r="B1100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01" s="3" t="str">
        <f>HYPERLINK("https://otsuka-europe-crm.veevavault.com/ui/#object/sent_email__v/VBLZ025E82GULWU", "SE-000277423")</f>
        <v>SE-000277423</v>
      </c>
      <c r="D11001" s="1">
        <v>45919.577118055553</v>
      </c>
      <c r="E11001" s="2">
        <v>1</v>
      </c>
      <c r="F11001" s="2">
        <v>2</v>
      </c>
      <c r="G11001" s="2">
        <v>0</v>
      </c>
      <c r="H11001" s="1" t="s">
        <v>0</v>
      </c>
      <c r="I11001" s="2">
        <v>0</v>
      </c>
      <c r="J11001" s="1">
        <v>45919.565405092595</v>
      </c>
    </row>
    <row r="11002" spans="1:10" x14ac:dyDescent="0.2">
      <c r="A11002" s="4" t="s">
        <v>1</v>
      </c>
      <c r="B1100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02" s="3" t="str">
        <f>HYPERLINK("https://otsuka-europe-crm.veevavault.com/ui/#object/sent_email__v/VBLZ025E82GULWV", "SE-000277424")</f>
        <v>SE-000277424</v>
      </c>
      <c r="D11002" s="1">
        <v>45919.567129629628</v>
      </c>
      <c r="E11002" s="2">
        <v>1</v>
      </c>
      <c r="F11002" s="2">
        <v>1</v>
      </c>
      <c r="G11002" s="2">
        <v>0</v>
      </c>
      <c r="H11002" s="1" t="s">
        <v>0</v>
      </c>
      <c r="I11002" s="2">
        <v>0</v>
      </c>
      <c r="J11002" s="1">
        <v>45919.565266203703</v>
      </c>
    </row>
    <row r="11003" spans="1:10" x14ac:dyDescent="0.2">
      <c r="A11003" s="4" t="s">
        <v>1</v>
      </c>
      <c r="B1100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03" s="3" t="str">
        <f>HYPERLINK("https://otsuka-europe-crm.veevavault.com/ui/#object/sent_email__v/VBLZ025E82GUM71", "SE-000277427")</f>
        <v>SE-000277427</v>
      </c>
      <c r="D11003" s="1">
        <v>45928.445567129631</v>
      </c>
      <c r="E11003" s="2">
        <v>1</v>
      </c>
      <c r="F11003" s="2">
        <v>2</v>
      </c>
      <c r="G11003" s="2">
        <v>0</v>
      </c>
      <c r="H11003" s="1" t="s">
        <v>0</v>
      </c>
      <c r="I11003" s="2">
        <v>0</v>
      </c>
      <c r="J11003" s="1">
        <v>45919.568159722221</v>
      </c>
    </row>
    <row r="11004" spans="1:10" x14ac:dyDescent="0.2">
      <c r="A11004" s="4" t="s">
        <v>1</v>
      </c>
      <c r="B1100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04" s="3" t="str">
        <f>HYPERLINK("https://otsuka-europe-crm.veevavault.com/ui/#object/sent_email__v/VBLZ025E82GUM72", "SE-000277428")</f>
        <v>SE-000277428</v>
      </c>
      <c r="D11004" s="1" t="s">
        <v>0</v>
      </c>
      <c r="E11004" s="2">
        <v>0</v>
      </c>
      <c r="F11004" s="2">
        <v>0</v>
      </c>
      <c r="G11004" s="2">
        <v>0</v>
      </c>
      <c r="H11004" s="1" t="s">
        <v>0</v>
      </c>
      <c r="I11004" s="2">
        <v>0</v>
      </c>
      <c r="J11004" s="1">
        <v>45919.568009259259</v>
      </c>
    </row>
    <row r="11005" spans="1:10" x14ac:dyDescent="0.2">
      <c r="A11005" s="4" t="s">
        <v>1</v>
      </c>
      <c r="B1100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05" s="3" t="str">
        <f>HYPERLINK("https://otsuka-europe-crm.veevavault.com/ui/#object/sent_email__v/VBLZ025E82GUM73", "SE-000277429")</f>
        <v>SE-000277429</v>
      </c>
      <c r="D11005" s="1" t="s">
        <v>0</v>
      </c>
      <c r="E11005" s="2">
        <v>0</v>
      </c>
      <c r="F11005" s="2">
        <v>0</v>
      </c>
      <c r="G11005" s="2">
        <v>0</v>
      </c>
      <c r="H11005" s="1" t="s">
        <v>0</v>
      </c>
      <c r="I11005" s="2">
        <v>0</v>
      </c>
      <c r="J11005" s="1">
        <v>45919.568148148152</v>
      </c>
    </row>
    <row r="11006" spans="1:10" x14ac:dyDescent="0.2">
      <c r="A11006" s="4" t="s">
        <v>1</v>
      </c>
      <c r="B1100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06" s="3" t="str">
        <f>HYPERLINK("https://otsuka-europe-crm.veevavault.com/ui/#object/sent_email__v/VBLZ025E82GUM74", "SE-000277430")</f>
        <v>SE-000277430</v>
      </c>
      <c r="D11006" s="1" t="s">
        <v>0</v>
      </c>
      <c r="E11006" s="2">
        <v>0</v>
      </c>
      <c r="F11006" s="2">
        <v>0</v>
      </c>
      <c r="G11006" s="2">
        <v>0</v>
      </c>
      <c r="H11006" s="1" t="s">
        <v>0</v>
      </c>
      <c r="I11006" s="2">
        <v>0</v>
      </c>
      <c r="J11006" s="1">
        <v>45919.568009259259</v>
      </c>
    </row>
    <row r="11007" spans="1:10" x14ac:dyDescent="0.2">
      <c r="A11007" s="4" t="s">
        <v>1</v>
      </c>
      <c r="B1100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07" s="3" t="str">
        <f>HYPERLINK("https://otsuka-europe-crm.veevavault.com/ui/#object/sent_email__v/VBLZ025E82GUM75", "SE-000277431")</f>
        <v>SE-000277431</v>
      </c>
      <c r="D11007" s="1" t="s">
        <v>0</v>
      </c>
      <c r="E11007" s="2">
        <v>0</v>
      </c>
      <c r="F11007" s="2">
        <v>0</v>
      </c>
      <c r="G11007" s="2">
        <v>0</v>
      </c>
      <c r="H11007" s="1" t="s">
        <v>0</v>
      </c>
      <c r="I11007" s="2">
        <v>0</v>
      </c>
      <c r="J11007" s="1">
        <v>45919.568124999998</v>
      </c>
    </row>
    <row r="11008" spans="1:10" x14ac:dyDescent="0.2">
      <c r="A11008" s="4" t="s">
        <v>1</v>
      </c>
      <c r="B1100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08" s="3" t="str">
        <f>HYPERLINK("https://otsuka-europe-crm.veevavault.com/ui/#object/sent_email__v/VBLZ025E82GUM76", "SE-000277432")</f>
        <v>SE-000277432</v>
      </c>
      <c r="D11008" s="1" t="s">
        <v>0</v>
      </c>
      <c r="E11008" s="2">
        <v>0</v>
      </c>
      <c r="F11008" s="2">
        <v>0</v>
      </c>
      <c r="G11008" s="2">
        <v>0</v>
      </c>
      <c r="H11008" s="1" t="s">
        <v>0</v>
      </c>
      <c r="I11008" s="2">
        <v>0</v>
      </c>
      <c r="J11008" s="1">
        <v>45919.568101851852</v>
      </c>
    </row>
    <row r="11009" spans="1:10" x14ac:dyDescent="0.2">
      <c r="A11009" s="4" t="s">
        <v>1</v>
      </c>
      <c r="B1100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09" s="3" t="str">
        <f>HYPERLINK("https://otsuka-europe-crm.veevavault.com/ui/#object/sent_email__v/VBLZ025E82GUM77", "SE-000277433")</f>
        <v>SE-000277433</v>
      </c>
      <c r="D11009" s="1" t="s">
        <v>0</v>
      </c>
      <c r="E11009" s="2">
        <v>0</v>
      </c>
      <c r="F11009" s="2">
        <v>0</v>
      </c>
      <c r="G11009" s="2">
        <v>0</v>
      </c>
      <c r="H11009" s="1" t="s">
        <v>0</v>
      </c>
      <c r="I11009" s="2">
        <v>0</v>
      </c>
      <c r="J11009" s="1">
        <v>45919.568252314813</v>
      </c>
    </row>
    <row r="11010" spans="1:10" x14ac:dyDescent="0.2">
      <c r="A11010" s="4" t="s">
        <v>1</v>
      </c>
      <c r="B1101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10" s="3" t="str">
        <f>HYPERLINK("https://otsuka-europe-crm.veevavault.com/ui/#object/sent_email__v/VBLZ025E82GUM78", "SE-000277434")</f>
        <v>SE-000277434</v>
      </c>
      <c r="D11010" s="1">
        <v>45928.453090277777</v>
      </c>
      <c r="E11010" s="2">
        <v>1</v>
      </c>
      <c r="F11010" s="2">
        <v>1</v>
      </c>
      <c r="G11010" s="2">
        <v>0</v>
      </c>
      <c r="H11010" s="1" t="s">
        <v>0</v>
      </c>
      <c r="I11010" s="2">
        <v>0</v>
      </c>
      <c r="J11010" s="1">
        <v>45919.568090277775</v>
      </c>
    </row>
    <row r="11011" spans="1:10" x14ac:dyDescent="0.2">
      <c r="A11011" s="4" t="s">
        <v>1</v>
      </c>
      <c r="B1101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11" s="3" t="str">
        <f>HYPERLINK("https://otsuka-europe-crm.veevavault.com/ui/#object/sent_email__v/VBLZ025E82GUM79", "SE-000277435")</f>
        <v>SE-000277435</v>
      </c>
      <c r="D11011" s="1" t="s">
        <v>0</v>
      </c>
      <c r="E11011" s="2">
        <v>0</v>
      </c>
      <c r="F11011" s="2">
        <v>0</v>
      </c>
      <c r="G11011" s="2">
        <v>0</v>
      </c>
      <c r="H11011" s="1" t="s">
        <v>0</v>
      </c>
      <c r="I11011" s="2">
        <v>0</v>
      </c>
      <c r="J11011" s="1">
        <v>45919.568240740744</v>
      </c>
    </row>
    <row r="11012" spans="1:10" x14ac:dyDescent="0.2">
      <c r="A11012" s="4" t="s">
        <v>1</v>
      </c>
      <c r="B1101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12" s="3" t="str">
        <f>HYPERLINK("https://otsuka-europe-crm.veevavault.com/ui/#object/sent_email__v/VBLZ025E82GUM7A", "SE-000277436")</f>
        <v>SE-000277436</v>
      </c>
      <c r="D11012" s="1">
        <v>45922.041932870372</v>
      </c>
      <c r="E11012" s="2">
        <v>1</v>
      </c>
      <c r="F11012" s="2">
        <v>2</v>
      </c>
      <c r="G11012" s="2">
        <v>1</v>
      </c>
      <c r="H11012" s="1">
        <v>45920.025312500002</v>
      </c>
      <c r="I11012" s="2">
        <v>1</v>
      </c>
      <c r="J11012" s="1">
        <v>45919.568113425928</v>
      </c>
    </row>
    <row r="11013" spans="1:10" x14ac:dyDescent="0.2">
      <c r="A11013" s="4" t="s">
        <v>1</v>
      </c>
      <c r="B1101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13" s="3" t="str">
        <f>HYPERLINK("https://otsuka-europe-crm.veevavault.com/ui/#object/sent_email__v/VBLZ025E82GUM7B", "SE-000277437")</f>
        <v>SE-000277437</v>
      </c>
      <c r="D11013" s="1" t="s">
        <v>0</v>
      </c>
      <c r="E11013" s="2">
        <v>0</v>
      </c>
      <c r="F11013" s="2">
        <v>0</v>
      </c>
      <c r="G11013" s="2">
        <v>0</v>
      </c>
      <c r="H11013" s="1" t="s">
        <v>0</v>
      </c>
      <c r="I11013" s="2">
        <v>0</v>
      </c>
      <c r="J11013" s="1">
        <v>45919.56827546296</v>
      </c>
    </row>
    <row r="11014" spans="1:10" x14ac:dyDescent="0.2">
      <c r="A11014" s="4" t="s">
        <v>1</v>
      </c>
      <c r="B1101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14" s="3" t="str">
        <f>HYPERLINK("https://otsuka-europe-crm.veevavault.com/ui/#object/sent_email__v/VBLZ025E82GUM7C", "SE-000277438")</f>
        <v>SE-000277438</v>
      </c>
      <c r="D11014" s="1" t="s">
        <v>0</v>
      </c>
      <c r="E11014" s="2">
        <v>0</v>
      </c>
      <c r="F11014" s="2">
        <v>0</v>
      </c>
      <c r="G11014" s="2">
        <v>0</v>
      </c>
      <c r="H11014" s="1" t="s">
        <v>0</v>
      </c>
      <c r="I11014" s="2">
        <v>0</v>
      </c>
      <c r="J11014" s="1">
        <v>45919.568124999998</v>
      </c>
    </row>
    <row r="11015" spans="1:10" x14ac:dyDescent="0.2">
      <c r="A11015" s="4" t="s">
        <v>1</v>
      </c>
      <c r="B1101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15" s="3" t="str">
        <f>HYPERLINK("https://otsuka-europe-crm.veevavault.com/ui/#object/sent_email__v/VBLZ025E82GUM7D", "SE-000277439")</f>
        <v>SE-000277439</v>
      </c>
      <c r="D11015" s="1" t="s">
        <v>0</v>
      </c>
      <c r="E11015" s="2">
        <v>0</v>
      </c>
      <c r="F11015" s="2">
        <v>0</v>
      </c>
      <c r="G11015" s="2">
        <v>0</v>
      </c>
      <c r="H11015" s="1" t="s">
        <v>0</v>
      </c>
      <c r="I11015" s="2">
        <v>0</v>
      </c>
      <c r="J11015" s="1">
        <v>45919.56826388889</v>
      </c>
    </row>
    <row r="11016" spans="1:10" x14ac:dyDescent="0.2">
      <c r="A11016" s="4" t="s">
        <v>1</v>
      </c>
      <c r="B1101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16" s="3" t="str">
        <f>HYPERLINK("https://otsuka-europe-crm.veevavault.com/ui/#object/sent_email__v/VBLZ025E82GUM7E", "SE-000277440")</f>
        <v>SE-000277440</v>
      </c>
      <c r="D11016" s="1" t="s">
        <v>0</v>
      </c>
      <c r="E11016" s="2">
        <v>0</v>
      </c>
      <c r="F11016" s="2">
        <v>0</v>
      </c>
      <c r="G11016" s="2">
        <v>0</v>
      </c>
      <c r="H11016" s="1" t="s">
        <v>0</v>
      </c>
      <c r="I11016" s="2">
        <v>0</v>
      </c>
      <c r="J11016" s="1">
        <v>45919.568090277775</v>
      </c>
    </row>
    <row r="11017" spans="1:10" x14ac:dyDescent="0.2">
      <c r="A11017" s="4" t="s">
        <v>1</v>
      </c>
      <c r="B1101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17" s="3" t="str">
        <f>HYPERLINK("https://otsuka-europe-crm.veevavault.com/ui/#object/sent_email__v/VBLZ025E82GUM7F", "SE-000277441")</f>
        <v>SE-000277441</v>
      </c>
      <c r="D11017" s="1" t="s">
        <v>0</v>
      </c>
      <c r="E11017" s="2">
        <v>0</v>
      </c>
      <c r="F11017" s="2">
        <v>0</v>
      </c>
      <c r="G11017" s="2">
        <v>0</v>
      </c>
      <c r="H11017" s="1" t="s">
        <v>0</v>
      </c>
      <c r="I11017" s="2">
        <v>0</v>
      </c>
      <c r="J11017" s="1">
        <v>45919.568240740744</v>
      </c>
    </row>
    <row r="11018" spans="1:10" x14ac:dyDescent="0.2">
      <c r="A11018" s="4" t="s">
        <v>1</v>
      </c>
      <c r="B1101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18" s="3" t="str">
        <f>HYPERLINK("https://otsuka-europe-crm.veevavault.com/ui/#object/sent_email__v/VBLZ025E82GUM7G", "SE-000277442")</f>
        <v>SE-000277442</v>
      </c>
      <c r="D11018" s="1" t="s">
        <v>0</v>
      </c>
      <c r="E11018" s="2">
        <v>0</v>
      </c>
      <c r="F11018" s="2">
        <v>0</v>
      </c>
      <c r="G11018" s="2">
        <v>0</v>
      </c>
      <c r="H11018" s="1" t="s">
        <v>0</v>
      </c>
      <c r="I11018" s="2">
        <v>0</v>
      </c>
      <c r="J11018" s="1">
        <v>45919.567997685182</v>
      </c>
    </row>
    <row r="11019" spans="1:10" x14ac:dyDescent="0.2">
      <c r="A11019" s="4" t="s">
        <v>1</v>
      </c>
      <c r="B1101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19" s="3" t="str">
        <f>HYPERLINK("https://otsuka-europe-crm.veevavault.com/ui/#object/sent_email__v/VBLZ025E82GUM7H", "SE-000277443")</f>
        <v>SE-000277443</v>
      </c>
      <c r="D11019" s="1" t="s">
        <v>0</v>
      </c>
      <c r="E11019" s="2">
        <v>0</v>
      </c>
      <c r="F11019" s="2">
        <v>0</v>
      </c>
      <c r="G11019" s="2">
        <v>0</v>
      </c>
      <c r="H11019" s="1" t="s">
        <v>0</v>
      </c>
      <c r="I11019" s="2">
        <v>0</v>
      </c>
      <c r="J11019" s="1">
        <v>45919.568148148152</v>
      </c>
    </row>
    <row r="11020" spans="1:10" x14ac:dyDescent="0.2">
      <c r="A11020" s="4" t="s">
        <v>1</v>
      </c>
      <c r="B1102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20" s="3" t="str">
        <f>HYPERLINK("https://otsuka-europe-crm.veevavault.com/ui/#object/sent_email__v/VBLZ025E82GUM7I", "SE-000277444")</f>
        <v>SE-000277444</v>
      </c>
      <c r="D11020" s="1" t="s">
        <v>0</v>
      </c>
      <c r="E11020" s="2">
        <v>0</v>
      </c>
      <c r="F11020" s="2">
        <v>0</v>
      </c>
      <c r="G11020" s="2">
        <v>0</v>
      </c>
      <c r="H11020" s="1" t="s">
        <v>0</v>
      </c>
      <c r="I11020" s="2">
        <v>0</v>
      </c>
      <c r="J11020" s="1">
        <v>45919.568020833336</v>
      </c>
    </row>
    <row r="11021" spans="1:10" x14ac:dyDescent="0.2">
      <c r="A11021" s="4" t="s">
        <v>1</v>
      </c>
      <c r="B1102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21" s="3" t="str">
        <f>HYPERLINK("https://otsuka-europe-crm.veevavault.com/ui/#object/sent_email__v/VBLZ025E82GUM7J", "SE-000277445")</f>
        <v>SE-000277445</v>
      </c>
      <c r="D11021" s="1">
        <v>45923.002708333333</v>
      </c>
      <c r="E11021" s="2">
        <v>1</v>
      </c>
      <c r="F11021" s="2">
        <v>1</v>
      </c>
      <c r="G11021" s="2">
        <v>0</v>
      </c>
      <c r="H11021" s="1" t="s">
        <v>0</v>
      </c>
      <c r="I11021" s="2">
        <v>0</v>
      </c>
      <c r="J11021" s="1">
        <v>45919.568182870367</v>
      </c>
    </row>
    <row r="11022" spans="1:10" x14ac:dyDescent="0.2">
      <c r="A11022" s="4" t="s">
        <v>1</v>
      </c>
      <c r="B1102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22" s="3" t="str">
        <f>HYPERLINK("https://otsuka-europe-crm.veevavault.com/ui/#object/sent_email__v/VBLZ025E82GUM7K", "SE-000277446")</f>
        <v>SE-000277446</v>
      </c>
      <c r="D11022" s="1" t="s">
        <v>0</v>
      </c>
      <c r="E11022" s="2">
        <v>0</v>
      </c>
      <c r="F11022" s="2">
        <v>0</v>
      </c>
      <c r="G11022" s="2">
        <v>0</v>
      </c>
      <c r="H11022" s="1" t="s">
        <v>0</v>
      </c>
      <c r="I11022" s="2">
        <v>0</v>
      </c>
      <c r="J11022" s="1">
        <v>45919.568043981482</v>
      </c>
    </row>
    <row r="11023" spans="1:10" x14ac:dyDescent="0.2">
      <c r="A11023" s="4" t="s">
        <v>1</v>
      </c>
      <c r="B1102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23" s="3" t="str">
        <f>HYPERLINK("https://otsuka-europe-crm.veevavault.com/ui/#object/sent_email__v/VBLZ025E82GUM7L", "SE-000277447")</f>
        <v>SE-000277447</v>
      </c>
      <c r="D11023" s="1" t="s">
        <v>0</v>
      </c>
      <c r="E11023" s="2">
        <v>0</v>
      </c>
      <c r="F11023" s="2">
        <v>0</v>
      </c>
      <c r="G11023" s="2">
        <v>0</v>
      </c>
      <c r="H11023" s="1" t="s">
        <v>0</v>
      </c>
      <c r="I11023" s="2">
        <v>0</v>
      </c>
      <c r="J11023" s="1">
        <v>45919.568159722221</v>
      </c>
    </row>
    <row r="11024" spans="1:10" x14ac:dyDescent="0.2">
      <c r="A11024" s="4" t="s">
        <v>1</v>
      </c>
      <c r="B1102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24" s="3" t="str">
        <f>HYPERLINK("https://otsuka-europe-crm.veevavault.com/ui/#object/sent_email__v/VBLZ025E82GUM7M", "SE-000277448")</f>
        <v>SE-000277448</v>
      </c>
      <c r="D11024" s="1">
        <v>45921.525995370372</v>
      </c>
      <c r="E11024" s="2">
        <v>1</v>
      </c>
      <c r="F11024" s="2">
        <v>1</v>
      </c>
      <c r="G11024" s="2">
        <v>1</v>
      </c>
      <c r="H11024" s="1">
        <v>45921.526423611111</v>
      </c>
      <c r="I11024" s="2">
        <v>1</v>
      </c>
      <c r="J11024" s="1">
        <v>45919.568032407406</v>
      </c>
    </row>
    <row r="11025" spans="1:10" x14ac:dyDescent="0.2">
      <c r="A11025" s="4" t="s">
        <v>1</v>
      </c>
      <c r="B1102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25" s="3" t="str">
        <f>HYPERLINK("https://otsuka-europe-crm.veevavault.com/ui/#object/sent_email__v/VBLZ025E82GUM7N", "SE-000277449")</f>
        <v>SE-000277449</v>
      </c>
      <c r="D11025" s="1" t="s">
        <v>0</v>
      </c>
      <c r="E11025" s="2">
        <v>0</v>
      </c>
      <c r="F11025" s="2">
        <v>0</v>
      </c>
      <c r="G11025" s="2">
        <v>0</v>
      </c>
      <c r="H11025" s="1" t="s">
        <v>0</v>
      </c>
      <c r="I11025" s="2">
        <v>0</v>
      </c>
      <c r="J11025" s="1">
        <v>45919.568206018521</v>
      </c>
    </row>
    <row r="11026" spans="1:10" x14ac:dyDescent="0.2">
      <c r="A11026" s="4" t="s">
        <v>1</v>
      </c>
      <c r="B1102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26" s="3" t="str">
        <f>HYPERLINK("https://otsuka-europe-crm.veevavault.com/ui/#object/sent_email__v/VBLZ025E82GUM7O", "SE-000277450")</f>
        <v>SE-000277450</v>
      </c>
      <c r="D11026" s="1" t="s">
        <v>0</v>
      </c>
      <c r="E11026" s="2">
        <v>0</v>
      </c>
      <c r="F11026" s="2">
        <v>0</v>
      </c>
      <c r="G11026" s="2">
        <v>0</v>
      </c>
      <c r="H11026" s="1" t="s">
        <v>0</v>
      </c>
      <c r="I11026" s="2">
        <v>0</v>
      </c>
      <c r="J11026" s="1">
        <v>45919.568067129629</v>
      </c>
    </row>
    <row r="11027" spans="1:10" x14ac:dyDescent="0.2">
      <c r="A11027" s="4" t="s">
        <v>1</v>
      </c>
      <c r="B1102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27" s="3" t="str">
        <f>HYPERLINK("https://otsuka-europe-crm.veevavault.com/ui/#object/sent_email__v/VBLZ025E82GUM7P", "SE-000277451")</f>
        <v>SE-000277451</v>
      </c>
      <c r="D11027" s="1" t="s">
        <v>0</v>
      </c>
      <c r="E11027" s="2">
        <v>0</v>
      </c>
      <c r="F11027" s="2">
        <v>0</v>
      </c>
      <c r="G11027" s="2">
        <v>0</v>
      </c>
      <c r="H11027" s="1" t="s">
        <v>0</v>
      </c>
      <c r="I11027" s="2">
        <v>0</v>
      </c>
      <c r="J11027" s="1">
        <v>45919.568240740744</v>
      </c>
    </row>
    <row r="11028" spans="1:10" x14ac:dyDescent="0.2">
      <c r="A11028" s="4" t="s">
        <v>1</v>
      </c>
      <c r="B1102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28" s="3" t="str">
        <f>HYPERLINK("https://otsuka-europe-crm.veevavault.com/ui/#object/sent_email__v/VBLZ025E82GUM7Q", "SE-000277452")</f>
        <v>SE-000277452</v>
      </c>
      <c r="D11028" s="1">
        <v>45925.027349537035</v>
      </c>
      <c r="E11028" s="2">
        <v>1</v>
      </c>
      <c r="F11028" s="2">
        <v>1</v>
      </c>
      <c r="G11028" s="2">
        <v>0</v>
      </c>
      <c r="H11028" s="1" t="s">
        <v>0</v>
      </c>
      <c r="I11028" s="2">
        <v>0</v>
      </c>
      <c r="J11028" s="1">
        <v>45919.568078703705</v>
      </c>
    </row>
    <row r="11029" spans="1:10" x14ac:dyDescent="0.2">
      <c r="A11029" s="4" t="s">
        <v>1</v>
      </c>
      <c r="B1102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29" s="3" t="str">
        <f>HYPERLINK("https://otsuka-europe-crm.veevavault.com/ui/#object/sent_email__v/VBLZ025E82GUM7R", "SE-000277453")</f>
        <v>SE-000277453</v>
      </c>
      <c r="D11029" s="1">
        <v>45926.541481481479</v>
      </c>
      <c r="E11029" s="2">
        <v>1</v>
      </c>
      <c r="F11029" s="2">
        <v>1</v>
      </c>
      <c r="G11029" s="2">
        <v>0</v>
      </c>
      <c r="H11029" s="1" t="s">
        <v>0</v>
      </c>
      <c r="I11029" s="2">
        <v>0</v>
      </c>
      <c r="J11029" s="1">
        <v>45919.568229166667</v>
      </c>
    </row>
    <row r="11030" spans="1:10" x14ac:dyDescent="0.2">
      <c r="A11030" s="4" t="s">
        <v>1</v>
      </c>
      <c r="B1103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30" s="3" t="str">
        <f>HYPERLINK("https://otsuka-europe-crm.veevavault.com/ui/#object/sent_email__v/VBLZ025E82GUM7S", "SE-000277454")</f>
        <v>SE-000277454</v>
      </c>
      <c r="D11030" s="1">
        <v>45919.580787037034</v>
      </c>
      <c r="E11030" s="2">
        <v>1</v>
      </c>
      <c r="F11030" s="2">
        <v>1</v>
      </c>
      <c r="G11030" s="2">
        <v>0</v>
      </c>
      <c r="H11030" s="1" t="s">
        <v>0</v>
      </c>
      <c r="I11030" s="2">
        <v>0</v>
      </c>
      <c r="J11030" s="1">
        <v>45919.56821759259</v>
      </c>
    </row>
    <row r="11031" spans="1:10" x14ac:dyDescent="0.2">
      <c r="A11031" s="4" t="s">
        <v>1</v>
      </c>
      <c r="B1103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31" s="3" t="str">
        <f>HYPERLINK("https://otsuka-europe-crm.veevavault.com/ui/#object/sent_email__v/VBLZ025E82GUM7T", "SE-000277455")</f>
        <v>SE-000277455</v>
      </c>
      <c r="D11031" s="1" t="s">
        <v>0</v>
      </c>
      <c r="E11031" s="2">
        <v>0</v>
      </c>
      <c r="F11031" s="2">
        <v>0</v>
      </c>
      <c r="G11031" s="2">
        <v>0</v>
      </c>
      <c r="H11031" s="1" t="s">
        <v>0</v>
      </c>
      <c r="I11031" s="2">
        <v>0</v>
      </c>
      <c r="J11031" s="1">
        <v>45919.568067129629</v>
      </c>
    </row>
    <row r="11032" spans="1:10" x14ac:dyDescent="0.2">
      <c r="A11032" s="4" t="s">
        <v>1</v>
      </c>
      <c r="B1103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32" s="3" t="str">
        <f>HYPERLINK("https://otsuka-europe-crm.veevavault.com/ui/#object/sent_email__v/VBLZ025E82GUM7U", "SE-000277456")</f>
        <v>SE-000277456</v>
      </c>
      <c r="D11032" s="1" t="s">
        <v>0</v>
      </c>
      <c r="E11032" s="2">
        <v>0</v>
      </c>
      <c r="F11032" s="2">
        <v>0</v>
      </c>
      <c r="G11032" s="2">
        <v>0</v>
      </c>
      <c r="H11032" s="1" t="s">
        <v>0</v>
      </c>
      <c r="I11032" s="2">
        <v>0</v>
      </c>
      <c r="J11032" s="1">
        <v>45919.568206018521</v>
      </c>
    </row>
    <row r="11033" spans="1:10" x14ac:dyDescent="0.2">
      <c r="A11033" s="4" t="s">
        <v>1</v>
      </c>
      <c r="B1103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33" s="3" t="str">
        <f>HYPERLINK("https://otsuka-europe-crm.veevavault.com/ui/#object/sent_email__v/VBLZ025E82GUM7V", "SE-000277457")</f>
        <v>SE-000277457</v>
      </c>
      <c r="D11033" s="1" t="s">
        <v>0</v>
      </c>
      <c r="E11033" s="2">
        <v>0</v>
      </c>
      <c r="F11033" s="2">
        <v>0</v>
      </c>
      <c r="G11033" s="2">
        <v>0</v>
      </c>
      <c r="H11033" s="1" t="s">
        <v>0</v>
      </c>
      <c r="I11033" s="2">
        <v>0</v>
      </c>
      <c r="J11033" s="1">
        <v>45919.568043981482</v>
      </c>
    </row>
    <row r="11034" spans="1:10" x14ac:dyDescent="0.2">
      <c r="A11034" s="4" t="s">
        <v>1</v>
      </c>
      <c r="B1103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34" s="3" t="str">
        <f>HYPERLINK("https://otsuka-europe-crm.veevavault.com/ui/#object/sent_email__v/VBLZ025E82GUM7W", "SE-000277458")</f>
        <v>SE-000277458</v>
      </c>
      <c r="D11034" s="1" t="s">
        <v>0</v>
      </c>
      <c r="E11034" s="2">
        <v>0</v>
      </c>
      <c r="F11034" s="2">
        <v>0</v>
      </c>
      <c r="G11034" s="2">
        <v>0</v>
      </c>
      <c r="H11034" s="1" t="s">
        <v>0</v>
      </c>
      <c r="I11034" s="2">
        <v>0</v>
      </c>
      <c r="J11034" s="1">
        <v>45919.568182870367</v>
      </c>
    </row>
    <row r="11035" spans="1:10" x14ac:dyDescent="0.2">
      <c r="A11035" s="4" t="s">
        <v>1</v>
      </c>
      <c r="B1103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35" s="3" t="str">
        <f>HYPERLINK("https://otsuka-europe-crm.veevavault.com/ui/#object/sent_email__v/VBLZ025E82GUM7X", "SE-000277459")</f>
        <v>SE-000277459</v>
      </c>
      <c r="D11035" s="1" t="s">
        <v>0</v>
      </c>
      <c r="E11035" s="2">
        <v>0</v>
      </c>
      <c r="F11035" s="2">
        <v>0</v>
      </c>
      <c r="G11035" s="2">
        <v>0</v>
      </c>
      <c r="H11035" s="1" t="s">
        <v>0</v>
      </c>
      <c r="I11035" s="2">
        <v>0</v>
      </c>
      <c r="J11035" s="1">
        <v>45919.568055555559</v>
      </c>
    </row>
    <row r="11036" spans="1:10" x14ac:dyDescent="0.2">
      <c r="A11036" s="4" t="s">
        <v>1</v>
      </c>
      <c r="B1103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36" s="3" t="str">
        <f>HYPERLINK("https://otsuka-europe-crm.veevavault.com/ui/#object/sent_email__v/VBLZ025E82GUM7Y", "SE-000277460")</f>
        <v>SE-000277460</v>
      </c>
      <c r="D11036" s="1" t="s">
        <v>0</v>
      </c>
      <c r="E11036" s="2">
        <v>0</v>
      </c>
      <c r="F11036" s="2">
        <v>0</v>
      </c>
      <c r="G11036" s="2">
        <v>0</v>
      </c>
      <c r="H11036" s="1" t="s">
        <v>0</v>
      </c>
      <c r="I11036" s="2">
        <v>0</v>
      </c>
      <c r="J11036" s="1">
        <v>45919.568171296298</v>
      </c>
    </row>
    <row r="11037" spans="1:10" x14ac:dyDescent="0.2">
      <c r="A11037" s="4" t="s">
        <v>1</v>
      </c>
      <c r="B1103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37" s="3" t="str">
        <f>HYPERLINK("https://otsuka-europe-crm.veevavault.com/ui/#object/sent_email__v/VBLZ025E82GUMCL", "SE-000277461")</f>
        <v>SE-000277461</v>
      </c>
      <c r="D11037" s="1" t="s">
        <v>0</v>
      </c>
      <c r="E11037" s="2">
        <v>0</v>
      </c>
      <c r="F11037" s="2">
        <v>0</v>
      </c>
      <c r="G11037" s="2">
        <v>0</v>
      </c>
      <c r="H11037" s="1" t="s">
        <v>0</v>
      </c>
      <c r="I11037" s="2">
        <v>0</v>
      </c>
      <c r="J11037" s="1">
        <v>45919.56863425926</v>
      </c>
    </row>
    <row r="11038" spans="1:10" x14ac:dyDescent="0.2">
      <c r="A11038" s="4" t="s">
        <v>1</v>
      </c>
      <c r="B1103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38" s="3" t="str">
        <f>HYPERLINK("https://otsuka-europe-crm.veevavault.com/ui/#object/sent_email__v/VBLZ025E82GUMCM", "SE-000277462")</f>
        <v>SE-000277462</v>
      </c>
      <c r="D11038" s="1">
        <v>45920.723668981482</v>
      </c>
      <c r="E11038" s="2">
        <v>1</v>
      </c>
      <c r="F11038" s="2">
        <v>1</v>
      </c>
      <c r="G11038" s="2">
        <v>0</v>
      </c>
      <c r="H11038" s="1" t="s">
        <v>0</v>
      </c>
      <c r="I11038" s="2">
        <v>0</v>
      </c>
      <c r="J11038" s="1">
        <v>45919.56858796296</v>
      </c>
    </row>
    <row r="11039" spans="1:10" x14ac:dyDescent="0.2">
      <c r="A11039" s="4" t="s">
        <v>1</v>
      </c>
      <c r="B1103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39" s="3" t="str">
        <f>HYPERLINK("https://otsuka-europe-crm.veevavault.com/ui/#object/sent_email__v/VBLZ025E82GUMCN", "SE-000277463")</f>
        <v>SE-000277463</v>
      </c>
      <c r="D11039" s="1" t="s">
        <v>0</v>
      </c>
      <c r="E11039" s="2">
        <v>0</v>
      </c>
      <c r="F11039" s="2">
        <v>0</v>
      </c>
      <c r="G11039" s="2">
        <v>0</v>
      </c>
      <c r="H11039" s="1" t="s">
        <v>0</v>
      </c>
      <c r="I11039" s="2">
        <v>0</v>
      </c>
      <c r="J11039" s="1">
        <v>45919.568622685183</v>
      </c>
    </row>
    <row r="11040" spans="1:10" x14ac:dyDescent="0.2">
      <c r="A11040" s="4" t="s">
        <v>1</v>
      </c>
      <c r="B1104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40" s="3" t="str">
        <f>HYPERLINK("https://otsuka-europe-crm.veevavault.com/ui/#object/sent_email__v/VBLZ025E82GUMCO", "SE-000277464")</f>
        <v>SE-000277464</v>
      </c>
      <c r="D11040" s="1" t="s">
        <v>0</v>
      </c>
      <c r="E11040" s="2">
        <v>0</v>
      </c>
      <c r="F11040" s="2">
        <v>0</v>
      </c>
      <c r="G11040" s="2">
        <v>0</v>
      </c>
      <c r="H11040" s="1" t="s">
        <v>0</v>
      </c>
      <c r="I11040" s="2">
        <v>0</v>
      </c>
      <c r="J11040" s="1">
        <v>45919.568622685183</v>
      </c>
    </row>
    <row r="11041" spans="1:10" x14ac:dyDescent="0.2">
      <c r="A11041" s="4" t="s">
        <v>1</v>
      </c>
      <c r="B1104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41" s="3" t="str">
        <f>HYPERLINK("https://otsuka-europe-crm.veevavault.com/ui/#object/sent_email__v/VBLZ025E82GUMCP", "SE-000277465")</f>
        <v>SE-000277465</v>
      </c>
      <c r="D11041" s="1" t="s">
        <v>0</v>
      </c>
      <c r="E11041" s="2">
        <v>0</v>
      </c>
      <c r="F11041" s="2">
        <v>0</v>
      </c>
      <c r="G11041" s="2">
        <v>0</v>
      </c>
      <c r="H11041" s="1" t="s">
        <v>0</v>
      </c>
      <c r="I11041" s="2">
        <v>0</v>
      </c>
      <c r="J11041" s="1">
        <v>45919.568611111114</v>
      </c>
    </row>
    <row r="11042" spans="1:10" x14ac:dyDescent="0.2">
      <c r="A11042" s="4" t="s">
        <v>1</v>
      </c>
      <c r="B1104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42" s="3" t="str">
        <f>HYPERLINK("https://otsuka-europe-crm.veevavault.com/ui/#object/sent_email__v/VBLZ025E82GUMCQ", "SE-000277466")</f>
        <v>SE-000277466</v>
      </c>
      <c r="D11042" s="1">
        <v>45920.300671296296</v>
      </c>
      <c r="E11042" s="2">
        <v>1</v>
      </c>
      <c r="F11042" s="2">
        <v>2</v>
      </c>
      <c r="G11042" s="2">
        <v>0</v>
      </c>
      <c r="H11042" s="1" t="s">
        <v>0</v>
      </c>
      <c r="I11042" s="2">
        <v>0</v>
      </c>
      <c r="J11042" s="1">
        <v>45919.568645833337</v>
      </c>
    </row>
    <row r="11043" spans="1:10" x14ac:dyDescent="0.2">
      <c r="A11043" s="4" t="s">
        <v>1</v>
      </c>
      <c r="B1104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43" s="3" t="str">
        <f>HYPERLINK("https://otsuka-europe-crm.veevavault.com/ui/#object/sent_email__v/VBLZ025E82GUMCR", "SE-000277467")</f>
        <v>SE-000277467</v>
      </c>
      <c r="D11043" s="1" t="s">
        <v>0</v>
      </c>
      <c r="E11043" s="2">
        <v>0</v>
      </c>
      <c r="F11043" s="2">
        <v>0</v>
      </c>
      <c r="G11043" s="2">
        <v>0</v>
      </c>
      <c r="H11043" s="1" t="s">
        <v>0</v>
      </c>
      <c r="I11043" s="2">
        <v>0</v>
      </c>
      <c r="J11043" s="1">
        <v>45919.568657407406</v>
      </c>
    </row>
    <row r="11044" spans="1:10" x14ac:dyDescent="0.2">
      <c r="A11044" s="4" t="s">
        <v>1</v>
      </c>
      <c r="B1104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44" s="3" t="str">
        <f>HYPERLINK("https://otsuka-europe-crm.veevavault.com/ui/#object/sent_email__v/VBLZ025E82GUMCS", "SE-000277468")</f>
        <v>SE-000277468</v>
      </c>
      <c r="D11044" s="1">
        <v>45920.503171296295</v>
      </c>
      <c r="E11044" s="2">
        <v>1</v>
      </c>
      <c r="F11044" s="2">
        <v>1</v>
      </c>
      <c r="G11044" s="2">
        <v>1</v>
      </c>
      <c r="H11044" s="1">
        <v>45920.503171296295</v>
      </c>
      <c r="I11044" s="2">
        <v>1</v>
      </c>
      <c r="J11044" s="1">
        <v>45919.568645833337</v>
      </c>
    </row>
    <row r="11045" spans="1:10" x14ac:dyDescent="0.2">
      <c r="A11045" s="4" t="s">
        <v>1</v>
      </c>
      <c r="B1104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45" s="3" t="str">
        <f>HYPERLINK("https://otsuka-europe-crm.veevavault.com/ui/#object/sent_email__v/VBLZ025E82GUN1L", "SE-000277491")</f>
        <v>SE-000277491</v>
      </c>
      <c r="D11045" s="1">
        <v>45919.789236111108</v>
      </c>
      <c r="E11045" s="2">
        <v>1</v>
      </c>
      <c r="F11045" s="2">
        <v>1</v>
      </c>
      <c r="G11045" s="2">
        <v>0</v>
      </c>
      <c r="H11045" s="1" t="s">
        <v>0</v>
      </c>
      <c r="I11045" s="2">
        <v>0</v>
      </c>
      <c r="J11045" s="1">
        <v>45919.571203703701</v>
      </c>
    </row>
    <row r="11046" spans="1:10" x14ac:dyDescent="0.2">
      <c r="A11046" s="4" t="s">
        <v>1</v>
      </c>
      <c r="B1104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46" s="3" t="str">
        <f>HYPERLINK("https://otsuka-europe-crm.veevavault.com/ui/#object/sent_email__v/VBLZ025E82GUN1M", "SE-000277492")</f>
        <v>SE-000277492</v>
      </c>
      <c r="D11046" s="1">
        <v>45919.572314814817</v>
      </c>
      <c r="E11046" s="2">
        <v>1</v>
      </c>
      <c r="F11046" s="2">
        <v>2</v>
      </c>
      <c r="G11046" s="2">
        <v>1</v>
      </c>
      <c r="H11046" s="1">
        <v>45919.571793981479</v>
      </c>
      <c r="I11046" s="2">
        <v>3</v>
      </c>
      <c r="J11046" s="1">
        <v>45919.57130787037</v>
      </c>
    </row>
    <row r="11047" spans="1:10" x14ac:dyDescent="0.2">
      <c r="A11047" s="4" t="s">
        <v>1</v>
      </c>
      <c r="B1104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47" s="3" t="str">
        <f>HYPERLINK("https://otsuka-europe-crm.veevavault.com/ui/#object/sent_email__v/VBLZ025E82GUN1N", "SE-000277493")</f>
        <v>SE-000277493</v>
      </c>
      <c r="D11047" s="1" t="s">
        <v>0</v>
      </c>
      <c r="E11047" s="2">
        <v>0</v>
      </c>
      <c r="F11047" s="2">
        <v>0</v>
      </c>
      <c r="G11047" s="2">
        <v>0</v>
      </c>
      <c r="H11047" s="1" t="s">
        <v>0</v>
      </c>
      <c r="I11047" s="2">
        <v>0</v>
      </c>
      <c r="J11047" s="1">
        <v>45919.571203703701</v>
      </c>
    </row>
    <row r="11048" spans="1:10" x14ac:dyDescent="0.2">
      <c r="A11048" s="4" t="s">
        <v>1</v>
      </c>
      <c r="B1104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48" s="3" t="str">
        <f>HYPERLINK("https://otsuka-europe-crm.veevavault.com/ui/#object/sent_email__v/VBLZ025E82GUN1O", "SE-000277494")</f>
        <v>SE-000277494</v>
      </c>
      <c r="D11048" s="1" t="s">
        <v>0</v>
      </c>
      <c r="E11048" s="2">
        <v>0</v>
      </c>
      <c r="F11048" s="2">
        <v>0</v>
      </c>
      <c r="G11048" s="2">
        <v>0</v>
      </c>
      <c r="H11048" s="1" t="s">
        <v>0</v>
      </c>
      <c r="I11048" s="2">
        <v>0</v>
      </c>
      <c r="J11048" s="1">
        <v>45919.571296296293</v>
      </c>
    </row>
    <row r="11049" spans="1:10" x14ac:dyDescent="0.2">
      <c r="A11049" s="4" t="s">
        <v>1</v>
      </c>
      <c r="B1104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49" s="3" t="str">
        <f>HYPERLINK("https://otsuka-europe-crm.veevavault.com/ui/#object/sent_email__v/VBLZ025E82GUN1P", "SE-000277495")</f>
        <v>SE-000277495</v>
      </c>
      <c r="D11049" s="1" t="s">
        <v>0</v>
      </c>
      <c r="E11049" s="2">
        <v>0</v>
      </c>
      <c r="F11049" s="2">
        <v>0</v>
      </c>
      <c r="G11049" s="2">
        <v>0</v>
      </c>
      <c r="H11049" s="1" t="s">
        <v>0</v>
      </c>
      <c r="I11049" s="2">
        <v>0</v>
      </c>
      <c r="J11049" s="1">
        <v>45919.571157407408</v>
      </c>
    </row>
    <row r="11050" spans="1:10" x14ac:dyDescent="0.2">
      <c r="A11050" s="4" t="s">
        <v>1</v>
      </c>
      <c r="B1105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50" s="3" t="str">
        <f>HYPERLINK("https://otsuka-europe-crm.veevavault.com/ui/#object/sent_email__v/VBLZ025E82GUN1Q", "SE-000277496")</f>
        <v>SE-000277496</v>
      </c>
      <c r="D11050" s="1">
        <v>45919.574641203704</v>
      </c>
      <c r="E11050" s="2">
        <v>1</v>
      </c>
      <c r="F11050" s="2">
        <v>2</v>
      </c>
      <c r="G11050" s="2">
        <v>1</v>
      </c>
      <c r="H11050" s="1">
        <v>45919.574791666666</v>
      </c>
      <c r="I11050" s="2">
        <v>1</v>
      </c>
      <c r="J11050" s="1">
        <v>45919.571134259262</v>
      </c>
    </row>
    <row r="11051" spans="1:10" x14ac:dyDescent="0.2">
      <c r="A11051" s="4" t="s">
        <v>1</v>
      </c>
      <c r="B1105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51" s="3" t="str">
        <f>HYPERLINK("https://otsuka-europe-crm.veevavault.com/ui/#object/sent_email__v/VBLZ025E82GUN1R", "SE-000277497")</f>
        <v>SE-000277497</v>
      </c>
      <c r="D11051" s="1" t="s">
        <v>0</v>
      </c>
      <c r="E11051" s="2">
        <v>0</v>
      </c>
      <c r="F11051" s="2">
        <v>0</v>
      </c>
      <c r="G11051" s="2">
        <v>0</v>
      </c>
      <c r="H11051" s="1" t="s">
        <v>0</v>
      </c>
      <c r="I11051" s="2">
        <v>0</v>
      </c>
      <c r="J11051" s="1">
        <v>45919.571261574078</v>
      </c>
    </row>
    <row r="11052" spans="1:10" x14ac:dyDescent="0.2">
      <c r="A11052" s="4" t="s">
        <v>1</v>
      </c>
      <c r="B1105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52" s="3" t="str">
        <f>HYPERLINK("https://otsuka-europe-crm.veevavault.com/ui/#object/sent_email__v/VBLZ025E82GUN1S", "SE-000277498")</f>
        <v>SE-000277498</v>
      </c>
      <c r="D11052" s="1" t="s">
        <v>0</v>
      </c>
      <c r="E11052" s="2">
        <v>0</v>
      </c>
      <c r="F11052" s="2">
        <v>0</v>
      </c>
      <c r="G11052" s="2">
        <v>0</v>
      </c>
      <c r="H11052" s="1" t="s">
        <v>0</v>
      </c>
      <c r="I11052" s="2">
        <v>0</v>
      </c>
      <c r="J11052" s="1">
        <v>45919.571145833332</v>
      </c>
    </row>
    <row r="11053" spans="1:10" x14ac:dyDescent="0.2">
      <c r="A11053" s="4" t="s">
        <v>1</v>
      </c>
      <c r="B1105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53" s="3" t="str">
        <f>HYPERLINK("https://otsuka-europe-crm.veevavault.com/ui/#object/sent_email__v/VBLZ025E82GUN1T", "SE-000277499")</f>
        <v>SE-000277499</v>
      </c>
      <c r="D11053" s="1" t="s">
        <v>0</v>
      </c>
      <c r="E11053" s="2">
        <v>0</v>
      </c>
      <c r="F11053" s="2">
        <v>0</v>
      </c>
      <c r="G11053" s="2">
        <v>0</v>
      </c>
      <c r="H11053" s="1" t="s">
        <v>0</v>
      </c>
      <c r="I11053" s="2">
        <v>0</v>
      </c>
      <c r="J11053" s="1">
        <v>45919.571273148147</v>
      </c>
    </row>
    <row r="11054" spans="1:10" x14ac:dyDescent="0.2">
      <c r="A11054" s="4" t="s">
        <v>1</v>
      </c>
      <c r="B1105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54" s="3" t="str">
        <f>HYPERLINK("https://otsuka-europe-crm.veevavault.com/ui/#object/sent_email__v/VBLZ025E82GUN1U", "SE-000277500")</f>
        <v>SE-000277500</v>
      </c>
      <c r="D11054" s="1">
        <v>45929.917500000003</v>
      </c>
      <c r="E11054" s="2">
        <v>1</v>
      </c>
      <c r="F11054" s="2">
        <v>2</v>
      </c>
      <c r="G11054" s="2">
        <v>0</v>
      </c>
      <c r="H11054" s="1" t="s">
        <v>0</v>
      </c>
      <c r="I11054" s="2">
        <v>0</v>
      </c>
      <c r="J11054" s="1">
        <v>45919.571377314816</v>
      </c>
    </row>
    <row r="11055" spans="1:10" x14ac:dyDescent="0.2">
      <c r="A11055" s="4" t="s">
        <v>1</v>
      </c>
      <c r="B1105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55" s="3" t="str">
        <f>HYPERLINK("https://otsuka-europe-crm.veevavault.com/ui/#object/sent_email__v/VBLZ025E82GUN1V", "SE-000277501")</f>
        <v>SE-000277501</v>
      </c>
      <c r="D11055" s="1" t="s">
        <v>0</v>
      </c>
      <c r="E11055" s="2">
        <v>0</v>
      </c>
      <c r="F11055" s="2">
        <v>0</v>
      </c>
      <c r="G11055" s="2">
        <v>0</v>
      </c>
      <c r="H11055" s="1" t="s">
        <v>0</v>
      </c>
      <c r="I11055" s="2">
        <v>0</v>
      </c>
      <c r="J11055" s="1">
        <v>45919.571250000001</v>
      </c>
    </row>
    <row r="11056" spans="1:10" x14ac:dyDescent="0.2">
      <c r="A11056" s="4" t="s">
        <v>1</v>
      </c>
      <c r="B1105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56" s="3" t="str">
        <f>HYPERLINK("https://otsuka-europe-crm.veevavault.com/ui/#object/sent_email__v/VBLZ025E82GUN1W", "SE-000277502")</f>
        <v>SE-000277502</v>
      </c>
      <c r="D11056" s="1">
        <v>45919.788657407407</v>
      </c>
      <c r="E11056" s="2">
        <v>1</v>
      </c>
      <c r="F11056" s="2">
        <v>2</v>
      </c>
      <c r="G11056" s="2">
        <v>0</v>
      </c>
      <c r="H11056" s="1" t="s">
        <v>0</v>
      </c>
      <c r="I11056" s="2">
        <v>0</v>
      </c>
      <c r="J11056" s="1">
        <v>45919.571377314816</v>
      </c>
    </row>
    <row r="11057" spans="1:10" x14ac:dyDescent="0.2">
      <c r="A11057" s="4" t="s">
        <v>1</v>
      </c>
      <c r="B1105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57" s="3" t="str">
        <f>HYPERLINK("https://otsuka-europe-crm.veevavault.com/ui/#object/sent_email__v/VBLZ025E82GUN1X", "SE-000277503")</f>
        <v>SE-000277503</v>
      </c>
      <c r="D11057" s="1" t="s">
        <v>0</v>
      </c>
      <c r="E11057" s="2">
        <v>0</v>
      </c>
      <c r="F11057" s="2">
        <v>0</v>
      </c>
      <c r="G11057" s="2">
        <v>0</v>
      </c>
      <c r="H11057" s="1" t="s">
        <v>0</v>
      </c>
      <c r="I11057" s="2">
        <v>0</v>
      </c>
      <c r="J11057" s="1">
        <v>45919.571226851855</v>
      </c>
    </row>
    <row r="11058" spans="1:10" x14ac:dyDescent="0.2">
      <c r="A11058" s="4" t="s">
        <v>1</v>
      </c>
      <c r="B1105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58" s="3" t="str">
        <f>HYPERLINK("https://otsuka-europe-crm.veevavault.com/ui/#object/sent_email__v/VBLZ025E82GUN1Y", "SE-000277504")</f>
        <v>SE-000277504</v>
      </c>
      <c r="D11058" s="1" t="s">
        <v>0</v>
      </c>
      <c r="E11058" s="2">
        <v>0</v>
      </c>
      <c r="F11058" s="2">
        <v>0</v>
      </c>
      <c r="G11058" s="2">
        <v>0</v>
      </c>
      <c r="H11058" s="1" t="s">
        <v>0</v>
      </c>
      <c r="I11058" s="2">
        <v>0</v>
      </c>
      <c r="J11058" s="1">
        <v>45919.57136574074</v>
      </c>
    </row>
    <row r="11059" spans="1:10" x14ac:dyDescent="0.2">
      <c r="A11059" s="4" t="s">
        <v>1</v>
      </c>
      <c r="B1105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59" s="3" t="str">
        <f>HYPERLINK("https://otsuka-europe-crm.veevavault.com/ui/#object/sent_email__v/VBLZ025E82GUN1Z", "SE-000277505")</f>
        <v>SE-000277505</v>
      </c>
      <c r="D11059" s="1">
        <v>45919.959652777776</v>
      </c>
      <c r="E11059" s="2">
        <v>1</v>
      </c>
      <c r="F11059" s="2">
        <v>1</v>
      </c>
      <c r="G11059" s="2">
        <v>0</v>
      </c>
      <c r="H11059" s="1" t="s">
        <v>0</v>
      </c>
      <c r="I11059" s="2">
        <v>0</v>
      </c>
      <c r="J11059" s="1">
        <v>45919.571238425924</v>
      </c>
    </row>
    <row r="11060" spans="1:10" x14ac:dyDescent="0.2">
      <c r="A11060" s="4" t="s">
        <v>1</v>
      </c>
      <c r="B1106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60" s="3" t="str">
        <f>HYPERLINK("https://otsuka-europe-crm.veevavault.com/ui/#object/sent_email__v/VBLZ025E82GUN20", "SE-000277506")</f>
        <v>SE-000277506</v>
      </c>
      <c r="D11060" s="1">
        <v>45919.571504629632</v>
      </c>
      <c r="E11060" s="2">
        <v>1</v>
      </c>
      <c r="F11060" s="2">
        <v>2</v>
      </c>
      <c r="G11060" s="2">
        <v>0</v>
      </c>
      <c r="H11060" s="1" t="s">
        <v>0</v>
      </c>
      <c r="I11060" s="2">
        <v>0</v>
      </c>
      <c r="J11060" s="1">
        <v>45919.57135416667</v>
      </c>
    </row>
    <row r="11061" spans="1:10" x14ac:dyDescent="0.2">
      <c r="A11061" s="4" t="s">
        <v>1</v>
      </c>
      <c r="B1106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61" s="3" t="str">
        <f>HYPERLINK("https://otsuka-europe-crm.veevavault.com/ui/#object/sent_email__v/VBLZ025E82GUN21", "SE-000277507")</f>
        <v>SE-000277507</v>
      </c>
      <c r="D11061" s="1" t="s">
        <v>0</v>
      </c>
      <c r="E11061" s="2">
        <v>0</v>
      </c>
      <c r="F11061" s="2">
        <v>0</v>
      </c>
      <c r="G11061" s="2">
        <v>0</v>
      </c>
      <c r="H11061" s="1" t="s">
        <v>0</v>
      </c>
      <c r="I11061" s="2">
        <v>0</v>
      </c>
      <c r="J11061" s="1">
        <v>45919.571192129632</v>
      </c>
    </row>
    <row r="11062" spans="1:10" x14ac:dyDescent="0.2">
      <c r="A11062" s="4" t="s">
        <v>1</v>
      </c>
      <c r="B1106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62" s="3" t="str">
        <f>HYPERLINK("https://otsuka-europe-crm.veevavault.com/ui/#object/sent_email__v/VBLZ025E82GUN22", "SE-000277508")</f>
        <v>SE-000277508</v>
      </c>
      <c r="D11062" s="1" t="s">
        <v>0</v>
      </c>
      <c r="E11062" s="2">
        <v>0</v>
      </c>
      <c r="F11062" s="2">
        <v>0</v>
      </c>
      <c r="G11062" s="2">
        <v>0</v>
      </c>
      <c r="H11062" s="1" t="s">
        <v>0</v>
      </c>
      <c r="I11062" s="2">
        <v>0</v>
      </c>
      <c r="J11062" s="1">
        <v>45919.571331018517</v>
      </c>
    </row>
    <row r="11063" spans="1:10" x14ac:dyDescent="0.2">
      <c r="A11063" s="4" t="s">
        <v>1</v>
      </c>
      <c r="B1106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63" s="3" t="str">
        <f>HYPERLINK("https://otsuka-europe-crm.veevavault.com/ui/#object/sent_email__v/VBLZ025E82GUN23", "SE-000277509")</f>
        <v>SE-000277509</v>
      </c>
      <c r="D11063" s="1">
        <v>45919.634363425925</v>
      </c>
      <c r="E11063" s="2">
        <v>1</v>
      </c>
      <c r="F11063" s="2">
        <v>1</v>
      </c>
      <c r="G11063" s="2">
        <v>0</v>
      </c>
      <c r="H11063" s="1" t="s">
        <v>0</v>
      </c>
      <c r="I11063" s="2">
        <v>0</v>
      </c>
      <c r="J11063" s="1">
        <v>45919.571168981478</v>
      </c>
    </row>
    <row r="11064" spans="1:10" x14ac:dyDescent="0.2">
      <c r="A11064" s="4" t="s">
        <v>1</v>
      </c>
      <c r="B1106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64" s="3" t="str">
        <f>HYPERLINK("https://otsuka-europe-crm.veevavault.com/ui/#object/sent_email__v/VBLZ025E82GUN24", "SE-000277510")</f>
        <v>SE-000277510</v>
      </c>
      <c r="D11064" s="1">
        <v>45923.050370370373</v>
      </c>
      <c r="E11064" s="2">
        <v>1</v>
      </c>
      <c r="F11064" s="2">
        <v>1</v>
      </c>
      <c r="G11064" s="2">
        <v>0</v>
      </c>
      <c r="H11064" s="1" t="s">
        <v>0</v>
      </c>
      <c r="I11064" s="2">
        <v>0</v>
      </c>
      <c r="J11064" s="1">
        <v>45919.571284722224</v>
      </c>
    </row>
    <row r="11065" spans="1:10" x14ac:dyDescent="0.2">
      <c r="A11065" s="4" t="s">
        <v>1</v>
      </c>
      <c r="B1106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65" s="3" t="str">
        <f>HYPERLINK("https://otsuka-europe-crm.veevavault.com/ui/#object/sent_email__v/VBLZ025E82GUN25", "SE-000277511")</f>
        <v>SE-000277511</v>
      </c>
      <c r="D11065" s="1">
        <v>45935.881122685183</v>
      </c>
      <c r="E11065" s="2">
        <v>1</v>
      </c>
      <c r="F11065" s="2">
        <v>1</v>
      </c>
      <c r="G11065" s="2">
        <v>0</v>
      </c>
      <c r="H11065" s="1" t="s">
        <v>0</v>
      </c>
      <c r="I11065" s="2">
        <v>0</v>
      </c>
      <c r="J11065" s="1">
        <v>45919.571215277778</v>
      </c>
    </row>
    <row r="11066" spans="1:10" x14ac:dyDescent="0.2">
      <c r="A11066" s="4" t="s">
        <v>1</v>
      </c>
      <c r="B1106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66" s="3" t="str">
        <f>HYPERLINK("https://otsuka-europe-crm.veevavault.com/ui/#object/sent_email__v/VBLZ025E82GUN26", "SE-000277512")</f>
        <v>SE-000277512</v>
      </c>
      <c r="D11066" s="1" t="s">
        <v>0</v>
      </c>
      <c r="E11066" s="2">
        <v>0</v>
      </c>
      <c r="F11066" s="2">
        <v>0</v>
      </c>
      <c r="G11066" s="2">
        <v>0</v>
      </c>
      <c r="H11066" s="1" t="s">
        <v>0</v>
      </c>
      <c r="I11066" s="2">
        <v>0</v>
      </c>
      <c r="J11066" s="1">
        <v>45919.571342592593</v>
      </c>
    </row>
    <row r="11067" spans="1:10" x14ac:dyDescent="0.2">
      <c r="A11067" s="4" t="s">
        <v>1</v>
      </c>
      <c r="B1106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67" s="3" t="str">
        <f>HYPERLINK("https://otsuka-europe-crm.veevavault.com/ui/#object/sent_email__v/VBLZ025E82GUN27", "SE-000277513")</f>
        <v>SE-000277513</v>
      </c>
      <c r="D11067" s="1" t="s">
        <v>0</v>
      </c>
      <c r="E11067" s="2">
        <v>0</v>
      </c>
      <c r="F11067" s="2">
        <v>0</v>
      </c>
      <c r="G11067" s="2">
        <v>0</v>
      </c>
      <c r="H11067" s="1" t="s">
        <v>0</v>
      </c>
      <c r="I11067" s="2">
        <v>0</v>
      </c>
      <c r="J11067" s="1">
        <v>45919.571192129632</v>
      </c>
    </row>
    <row r="11068" spans="1:10" x14ac:dyDescent="0.2">
      <c r="A11068" s="4" t="s">
        <v>1</v>
      </c>
      <c r="B1106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68" s="3" t="str">
        <f>HYPERLINK("https://otsuka-europe-crm.veevavault.com/ui/#object/sent_email__v/VBLZ025E82GUN28", "SE-000277514")</f>
        <v>SE-000277514</v>
      </c>
      <c r="D11068" s="1">
        <v>45919.647175925929</v>
      </c>
      <c r="E11068" s="2">
        <v>1</v>
      </c>
      <c r="F11068" s="2">
        <v>2</v>
      </c>
      <c r="G11068" s="2">
        <v>0</v>
      </c>
      <c r="H11068" s="1" t="s">
        <v>0</v>
      </c>
      <c r="I11068" s="2">
        <v>0</v>
      </c>
      <c r="J11068" s="1">
        <v>45919.571342592593</v>
      </c>
    </row>
    <row r="11069" spans="1:10" x14ac:dyDescent="0.2">
      <c r="A11069" s="4" t="s">
        <v>1</v>
      </c>
      <c r="B1106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69" s="3" t="str">
        <f>HYPERLINK("https://otsuka-europe-crm.veevavault.com/ui/#object/sent_email__v/VBLZ025E82GUN29", "SE-000277515")</f>
        <v>SE-000277515</v>
      </c>
      <c r="D11069" s="1" t="s">
        <v>0</v>
      </c>
      <c r="E11069" s="2">
        <v>0</v>
      </c>
      <c r="F11069" s="2">
        <v>0</v>
      </c>
      <c r="G11069" s="2">
        <v>0</v>
      </c>
      <c r="H11069" s="1" t="s">
        <v>0</v>
      </c>
      <c r="I11069" s="2">
        <v>0</v>
      </c>
      <c r="J11069" s="1">
        <v>45919.571122685185</v>
      </c>
    </row>
    <row r="11070" spans="1:10" x14ac:dyDescent="0.2">
      <c r="A11070" s="4" t="s">
        <v>1</v>
      </c>
      <c r="B1107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70" s="3" t="str">
        <f>HYPERLINK("https://otsuka-europe-crm.veevavault.com/ui/#object/sent_email__v/VBLZ025E82GUN2A", "SE-000277516")</f>
        <v>SE-000277516</v>
      </c>
      <c r="D11070" s="1">
        <v>45923.004583333335</v>
      </c>
      <c r="E11070" s="2">
        <v>1</v>
      </c>
      <c r="F11070" s="2">
        <v>5</v>
      </c>
      <c r="G11070" s="2">
        <v>0</v>
      </c>
      <c r="H11070" s="1" t="s">
        <v>0</v>
      </c>
      <c r="I11070" s="2">
        <v>0</v>
      </c>
      <c r="J11070" s="1">
        <v>45919.571261574078</v>
      </c>
    </row>
    <row r="11071" spans="1:10" x14ac:dyDescent="0.2">
      <c r="A11071" s="4" t="s">
        <v>1</v>
      </c>
      <c r="B1107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71" s="3" t="str">
        <f>HYPERLINK("https://otsuka-europe-crm.veevavault.com/ui/#object/sent_email__v/VBLZ025E82GUN2B", "SE-000277517")</f>
        <v>SE-000277517</v>
      </c>
      <c r="D11071" s="1" t="s">
        <v>0</v>
      </c>
      <c r="E11071" s="2">
        <v>0</v>
      </c>
      <c r="F11071" s="2">
        <v>0</v>
      </c>
      <c r="G11071" s="2">
        <v>0</v>
      </c>
      <c r="H11071" s="1" t="s">
        <v>0</v>
      </c>
      <c r="I11071" s="2">
        <v>0</v>
      </c>
      <c r="J11071" s="1">
        <v>45919.571122685185</v>
      </c>
    </row>
    <row r="11072" spans="1:10" x14ac:dyDescent="0.2">
      <c r="A11072" s="4" t="s">
        <v>1</v>
      </c>
      <c r="B1107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72" s="3" t="str">
        <f>HYPERLINK("https://otsuka-europe-crm.veevavault.com/ui/#object/sent_email__v/VBLZ025E82GUN2C", "SE-000277518")</f>
        <v>SE-000277518</v>
      </c>
      <c r="D11072" s="1">
        <v>45926.237939814811</v>
      </c>
      <c r="E11072" s="2">
        <v>1</v>
      </c>
      <c r="F11072" s="2">
        <v>1</v>
      </c>
      <c r="G11072" s="2">
        <v>0</v>
      </c>
      <c r="H11072" s="1" t="s">
        <v>0</v>
      </c>
      <c r="I11072" s="2">
        <v>0</v>
      </c>
      <c r="J11072" s="1">
        <v>45919.571319444447</v>
      </c>
    </row>
    <row r="11073" spans="1:10" x14ac:dyDescent="0.2">
      <c r="A11073" s="4" t="s">
        <v>1</v>
      </c>
      <c r="B1107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73" s="3" t="str">
        <f>HYPERLINK("https://otsuka-europe-crm.veevavault.com/ui/#object/sent_email__v/VBLZ025E82GUN2D", "SE-000277519")</f>
        <v>SE-000277519</v>
      </c>
      <c r="D11073" s="1" t="s">
        <v>0</v>
      </c>
      <c r="E11073" s="2">
        <v>0</v>
      </c>
      <c r="F11073" s="2">
        <v>0</v>
      </c>
      <c r="G11073" s="2">
        <v>0</v>
      </c>
      <c r="H11073" s="1" t="s">
        <v>0</v>
      </c>
      <c r="I11073" s="2">
        <v>0</v>
      </c>
      <c r="J11073" s="1">
        <v>45919.571180555555</v>
      </c>
    </row>
    <row r="11074" spans="1:10" x14ac:dyDescent="0.2">
      <c r="A11074" s="4" t="s">
        <v>1</v>
      </c>
      <c r="B1107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74" s="3" t="str">
        <f>HYPERLINK("https://otsuka-europe-crm.veevavault.com/ui/#object/sent_email__v/VBLZ025E82GUN2E", "SE-000277520")</f>
        <v>SE-000277520</v>
      </c>
      <c r="D11074" s="1" t="s">
        <v>0</v>
      </c>
      <c r="E11074" s="2">
        <v>0</v>
      </c>
      <c r="F11074" s="2">
        <v>0</v>
      </c>
      <c r="G11074" s="2">
        <v>0</v>
      </c>
      <c r="H11074" s="1" t="s">
        <v>0</v>
      </c>
      <c r="I11074" s="2">
        <v>0</v>
      </c>
      <c r="J11074" s="1">
        <v>45919.57130787037</v>
      </c>
    </row>
    <row r="11075" spans="1:10" x14ac:dyDescent="0.2">
      <c r="A11075" s="4" t="s">
        <v>1</v>
      </c>
      <c r="B1107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75" s="3" t="str">
        <f>HYPERLINK("https://otsuka-europe-crm.veevavault.com/ui/#object/sent_email__v/VBLZ025E82GUN2F", "SE-000277521")</f>
        <v>SE-000277521</v>
      </c>
      <c r="D11075" s="1">
        <v>45920.772187499999</v>
      </c>
      <c r="E11075" s="2">
        <v>1</v>
      </c>
      <c r="F11075" s="2">
        <v>2</v>
      </c>
      <c r="G11075" s="2">
        <v>0</v>
      </c>
      <c r="H11075" s="1" t="s">
        <v>0</v>
      </c>
      <c r="I11075" s="2">
        <v>0</v>
      </c>
      <c r="J11075" s="1">
        <v>45919.571157407408</v>
      </c>
    </row>
    <row r="11076" spans="1:10" x14ac:dyDescent="0.2">
      <c r="A11076" s="4" t="s">
        <v>1</v>
      </c>
      <c r="B1107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76" s="3" t="str">
        <f>HYPERLINK("https://otsuka-europe-crm.veevavault.com/ui/#object/sent_email__v/VBLZ025E82GUN2G", "SE-000277522")</f>
        <v>SE-000277522</v>
      </c>
      <c r="D11076" s="1" t="s">
        <v>0</v>
      </c>
      <c r="E11076" s="2">
        <v>0</v>
      </c>
      <c r="F11076" s="2">
        <v>0</v>
      </c>
      <c r="G11076" s="2">
        <v>0</v>
      </c>
      <c r="H11076" s="1" t="s">
        <v>0</v>
      </c>
      <c r="I11076" s="2">
        <v>0</v>
      </c>
      <c r="J11076" s="1">
        <v>45919.571134259262</v>
      </c>
    </row>
    <row r="11077" spans="1:10" x14ac:dyDescent="0.2">
      <c r="A11077" s="4" t="s">
        <v>1</v>
      </c>
      <c r="B1107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77" s="3" t="str">
        <f>HYPERLINK("https://otsuka-europe-crm.veevavault.com/ui/#object/sent_email__v/VBLZ025E82GUN2H", "SE-000277523")</f>
        <v>SE-000277523</v>
      </c>
      <c r="D11077" s="1">
        <v>45919.928796296299</v>
      </c>
      <c r="E11077" s="2">
        <v>1</v>
      </c>
      <c r="F11077" s="2">
        <v>2</v>
      </c>
      <c r="G11077" s="2">
        <v>0</v>
      </c>
      <c r="H11077" s="1" t="s">
        <v>0</v>
      </c>
      <c r="I11077" s="2">
        <v>0</v>
      </c>
      <c r="J11077" s="1">
        <v>45919.571261574078</v>
      </c>
    </row>
    <row r="11078" spans="1:10" x14ac:dyDescent="0.2">
      <c r="A11078" s="4" t="s">
        <v>1</v>
      </c>
      <c r="B1107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78" s="3" t="str">
        <f>HYPERLINK("https://otsuka-europe-crm.veevavault.com/ui/#object/sent_email__v/VBLZ025E82GUNTD", "SE-000277524")</f>
        <v>SE-000277524</v>
      </c>
      <c r="D11078" s="1">
        <v>45924.263518518521</v>
      </c>
      <c r="E11078" s="2">
        <v>1</v>
      </c>
      <c r="F11078" s="2">
        <v>5</v>
      </c>
      <c r="G11078" s="2">
        <v>1</v>
      </c>
      <c r="H11078" s="1">
        <v>45924.172581018516</v>
      </c>
      <c r="I11078" s="2">
        <v>1</v>
      </c>
      <c r="J11078" s="1">
        <v>45919.574016203704</v>
      </c>
    </row>
    <row r="11079" spans="1:10" x14ac:dyDescent="0.2">
      <c r="A11079" s="4" t="s">
        <v>1</v>
      </c>
      <c r="B1107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79" s="3" t="str">
        <f>HYPERLINK("https://otsuka-europe-crm.veevavault.com/ui/#object/sent_email__v/VBLZ025E82GUNTE", "SE-000277525")</f>
        <v>SE-000277525</v>
      </c>
      <c r="D11079" s="1" t="s">
        <v>0</v>
      </c>
      <c r="E11079" s="2">
        <v>0</v>
      </c>
      <c r="F11079" s="2">
        <v>0</v>
      </c>
      <c r="G11079" s="2">
        <v>0</v>
      </c>
      <c r="H11079" s="1" t="s">
        <v>0</v>
      </c>
      <c r="I11079" s="2">
        <v>0</v>
      </c>
      <c r="J11079" s="1">
        <v>45919.574178240742</v>
      </c>
    </row>
    <row r="11080" spans="1:10" x14ac:dyDescent="0.2">
      <c r="A11080" s="4" t="s">
        <v>1</v>
      </c>
      <c r="B1108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80" s="3" t="str">
        <f>HYPERLINK("https://otsuka-europe-crm.veevavault.com/ui/#object/sent_email__v/VBLZ025E82GUNTF", "SE-000277526")</f>
        <v>SE-000277526</v>
      </c>
      <c r="D11080" s="1">
        <v>45935.881122685183</v>
      </c>
      <c r="E11080" s="2">
        <v>1</v>
      </c>
      <c r="F11080" s="2">
        <v>1</v>
      </c>
      <c r="G11080" s="2">
        <v>0</v>
      </c>
      <c r="H11080" s="1" t="s">
        <v>0</v>
      </c>
      <c r="I11080" s="2">
        <v>0</v>
      </c>
      <c r="J11080" s="1">
        <v>45919.574016203704</v>
      </c>
    </row>
    <row r="11081" spans="1:10" x14ac:dyDescent="0.2">
      <c r="A11081" s="4" t="s">
        <v>1</v>
      </c>
      <c r="B1108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81" s="3" t="str">
        <f>HYPERLINK("https://otsuka-europe-crm.veevavault.com/ui/#object/sent_email__v/VBLZ025E82GUNTG", "SE-000277527")</f>
        <v>SE-000277527</v>
      </c>
      <c r="D11081" s="1" t="s">
        <v>0</v>
      </c>
      <c r="E11081" s="2">
        <v>0</v>
      </c>
      <c r="F11081" s="2">
        <v>0</v>
      </c>
      <c r="G11081" s="2">
        <v>0</v>
      </c>
      <c r="H11081" s="1" t="s">
        <v>0</v>
      </c>
      <c r="I11081" s="2">
        <v>0</v>
      </c>
      <c r="J11081" s="1">
        <v>45919.574166666665</v>
      </c>
    </row>
    <row r="11082" spans="1:10" x14ac:dyDescent="0.2">
      <c r="A11082" s="4" t="s">
        <v>1</v>
      </c>
      <c r="B1108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82" s="3" t="str">
        <f>HYPERLINK("https://otsuka-europe-crm.veevavault.com/ui/#object/sent_email__v/VBLZ025E82GUNTH", "SE-000277528")</f>
        <v>SE-000277528</v>
      </c>
      <c r="D11082" s="1">
        <v>45919.574421296296</v>
      </c>
      <c r="E11082" s="2">
        <v>1</v>
      </c>
      <c r="F11082" s="2">
        <v>1</v>
      </c>
      <c r="G11082" s="2">
        <v>0</v>
      </c>
      <c r="H11082" s="1" t="s">
        <v>0</v>
      </c>
      <c r="I11082" s="2">
        <v>0</v>
      </c>
      <c r="J11082" s="1">
        <v>45919.573946759258</v>
      </c>
    </row>
    <row r="11083" spans="1:10" x14ac:dyDescent="0.2">
      <c r="A11083" s="4" t="s">
        <v>1</v>
      </c>
      <c r="B1108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83" s="3" t="str">
        <f>HYPERLINK("https://otsuka-europe-crm.veevavault.com/ui/#object/sent_email__v/VBLZ025E82GUNTI", "SE-000277529")</f>
        <v>SE-000277529</v>
      </c>
      <c r="D11083" s="1" t="s">
        <v>0</v>
      </c>
      <c r="E11083" s="2">
        <v>0</v>
      </c>
      <c r="F11083" s="2">
        <v>0</v>
      </c>
      <c r="G11083" s="2">
        <v>0</v>
      </c>
      <c r="H11083" s="1" t="s">
        <v>0</v>
      </c>
      <c r="I11083" s="2">
        <v>0</v>
      </c>
      <c r="J11083" s="1">
        <v>45919.57408564815</v>
      </c>
    </row>
    <row r="11084" spans="1:10" x14ac:dyDescent="0.2">
      <c r="A11084" s="4" t="s">
        <v>1</v>
      </c>
      <c r="B1108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84" s="3" t="str">
        <f>HYPERLINK("https://otsuka-europe-crm.veevavault.com/ui/#object/sent_email__v/VBLZ025E82GUNTJ", "SE-000277530")</f>
        <v>SE-000277530</v>
      </c>
      <c r="D11084" s="1">
        <v>45922.295138888891</v>
      </c>
      <c r="E11084" s="2">
        <v>1</v>
      </c>
      <c r="F11084" s="2">
        <v>2</v>
      </c>
      <c r="G11084" s="2">
        <v>0</v>
      </c>
      <c r="H11084" s="1" t="s">
        <v>0</v>
      </c>
      <c r="I11084" s="2">
        <v>0</v>
      </c>
      <c r="J11084" s="1">
        <v>45919.573958333334</v>
      </c>
    </row>
    <row r="11085" spans="1:10" x14ac:dyDescent="0.2">
      <c r="A11085" s="4" t="s">
        <v>1</v>
      </c>
      <c r="B1108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85" s="3" t="str">
        <f>HYPERLINK("https://otsuka-europe-crm.veevavault.com/ui/#object/sent_email__v/VBLZ025E82GUNTK", "SE-000277531")</f>
        <v>SE-000277531</v>
      </c>
      <c r="D11085" s="1">
        <v>45919.834236111114</v>
      </c>
      <c r="E11085" s="2">
        <v>1</v>
      </c>
      <c r="F11085" s="2">
        <v>1</v>
      </c>
      <c r="G11085" s="2">
        <v>0</v>
      </c>
      <c r="H11085" s="1" t="s">
        <v>0</v>
      </c>
      <c r="I11085" s="2">
        <v>0</v>
      </c>
      <c r="J11085" s="1">
        <v>45919.574131944442</v>
      </c>
    </row>
    <row r="11086" spans="1:10" x14ac:dyDescent="0.2">
      <c r="A11086" s="4" t="s">
        <v>1</v>
      </c>
      <c r="B1108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86" s="3" t="str">
        <f>HYPERLINK("https://otsuka-europe-crm.veevavault.com/ui/#object/sent_email__v/VBLZ025E82GUNTL", "SE-000277532")</f>
        <v>SE-000277532</v>
      </c>
      <c r="D11086" s="1">
        <v>45921.821157407408</v>
      </c>
      <c r="E11086" s="2">
        <v>1</v>
      </c>
      <c r="F11086" s="2">
        <v>1</v>
      </c>
      <c r="G11086" s="2">
        <v>0</v>
      </c>
      <c r="H11086" s="1" t="s">
        <v>0</v>
      </c>
      <c r="I11086" s="2">
        <v>0</v>
      </c>
      <c r="J11086" s="1">
        <v>45919.573993055557</v>
      </c>
    </row>
    <row r="11087" spans="1:10" x14ac:dyDescent="0.2">
      <c r="A11087" s="4" t="s">
        <v>1</v>
      </c>
      <c r="B1108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87" s="3" t="str">
        <f>HYPERLINK("https://otsuka-europe-crm.veevavault.com/ui/#object/sent_email__v/VBLZ025E82GUNTM", "SE-000277533")</f>
        <v>SE-000277533</v>
      </c>
      <c r="D11087" s="1">
        <v>45922.397152777776</v>
      </c>
      <c r="E11087" s="2">
        <v>1</v>
      </c>
      <c r="F11087" s="2">
        <v>2</v>
      </c>
      <c r="G11087" s="2">
        <v>1</v>
      </c>
      <c r="H11087" s="1">
        <v>45922.394363425927</v>
      </c>
      <c r="I11087" s="2">
        <v>1</v>
      </c>
      <c r="J11087" s="1">
        <v>45919.574131944442</v>
      </c>
    </row>
    <row r="11088" spans="1:10" x14ac:dyDescent="0.2">
      <c r="A11088" s="4" t="s">
        <v>1</v>
      </c>
      <c r="B1108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88" s="3" t="str">
        <f>HYPERLINK("https://otsuka-europe-crm.veevavault.com/ui/#object/sent_email__v/VBLZ025E82GUNTN", "SE-000277534")</f>
        <v>SE-000277534</v>
      </c>
      <c r="D11088" s="1">
        <v>45920.756724537037</v>
      </c>
      <c r="E11088" s="2">
        <v>1</v>
      </c>
      <c r="F11088" s="2">
        <v>2</v>
      </c>
      <c r="G11088" s="2">
        <v>0</v>
      </c>
      <c r="H11088" s="1" t="s">
        <v>0</v>
      </c>
      <c r="I11088" s="2">
        <v>0</v>
      </c>
      <c r="J11088" s="1">
        <v>45919.573981481481</v>
      </c>
    </row>
    <row r="11089" spans="1:10" x14ac:dyDescent="0.2">
      <c r="A11089" s="4" t="s">
        <v>1</v>
      </c>
      <c r="B1108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89" s="3" t="str">
        <f>HYPERLINK("https://otsuka-europe-crm.veevavault.com/ui/#object/sent_email__v/VBLZ025E82GUNTO", "SE-000277535")</f>
        <v>SE-000277535</v>
      </c>
      <c r="D11089" s="1">
        <v>45990.548449074071</v>
      </c>
      <c r="E11089" s="2">
        <v>1</v>
      </c>
      <c r="F11089" s="2">
        <v>4</v>
      </c>
      <c r="G11089" s="2">
        <v>0</v>
      </c>
      <c r="H11089" s="1" t="s">
        <v>0</v>
      </c>
      <c r="I11089" s="2">
        <v>0</v>
      </c>
      <c r="J11089" s="1">
        <v>45919.574120370373</v>
      </c>
    </row>
    <row r="11090" spans="1:10" x14ac:dyDescent="0.2">
      <c r="A11090" s="4" t="s">
        <v>1</v>
      </c>
      <c r="B1109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90" s="3" t="str">
        <f>HYPERLINK("https://otsuka-europe-crm.veevavault.com/ui/#object/sent_email__v/VBLZ025E82GUNTP", "SE-000277536")</f>
        <v>SE-000277536</v>
      </c>
      <c r="D11090" s="1">
        <v>45919.576157407406</v>
      </c>
      <c r="E11090" s="2">
        <v>1</v>
      </c>
      <c r="F11090" s="2">
        <v>2</v>
      </c>
      <c r="G11090" s="2">
        <v>0</v>
      </c>
      <c r="H11090" s="1" t="s">
        <v>0</v>
      </c>
      <c r="I11090" s="2">
        <v>0</v>
      </c>
      <c r="J11090" s="1">
        <v>45919.57403935185</v>
      </c>
    </row>
    <row r="11091" spans="1:10" x14ac:dyDescent="0.2">
      <c r="A11091" s="4" t="s">
        <v>1</v>
      </c>
      <c r="B1109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91" s="3" t="str">
        <f>HYPERLINK("https://otsuka-europe-crm.veevavault.com/ui/#object/sent_email__v/VBLZ025E82GUNTQ", "SE-000277537")</f>
        <v>SE-000277537</v>
      </c>
      <c r="D11091" s="1">
        <v>45919.757071759261</v>
      </c>
      <c r="E11091" s="2">
        <v>1</v>
      </c>
      <c r="F11091" s="2">
        <v>2</v>
      </c>
      <c r="G11091" s="2">
        <v>0</v>
      </c>
      <c r="H11091" s="1" t="s">
        <v>0</v>
      </c>
      <c r="I11091" s="2">
        <v>0</v>
      </c>
      <c r="J11091" s="1">
        <v>45919.574189814812</v>
      </c>
    </row>
    <row r="11092" spans="1:10" x14ac:dyDescent="0.2">
      <c r="A11092" s="4" t="s">
        <v>1</v>
      </c>
      <c r="B1109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92" s="3" t="str">
        <f>HYPERLINK("https://otsuka-europe-crm.veevavault.com/ui/#object/sent_email__v/VBLZ025E82GUNTR", "SE-000277538")</f>
        <v>SE-000277538</v>
      </c>
      <c r="D11092" s="1" t="s">
        <v>0</v>
      </c>
      <c r="E11092" s="2">
        <v>0</v>
      </c>
      <c r="F11092" s="2">
        <v>0</v>
      </c>
      <c r="G11092" s="2">
        <v>0</v>
      </c>
      <c r="H11092" s="1" t="s">
        <v>0</v>
      </c>
      <c r="I11092" s="2">
        <v>0</v>
      </c>
      <c r="J11092" s="1">
        <v>45919.574050925927</v>
      </c>
    </row>
    <row r="11093" spans="1:10" x14ac:dyDescent="0.2">
      <c r="A11093" s="4" t="s">
        <v>1</v>
      </c>
      <c r="B1109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93" s="3" t="str">
        <f>HYPERLINK("https://otsuka-europe-crm.veevavault.com/ui/#object/sent_email__v/VBLZ025E82GUNTS", "SE-000277539")</f>
        <v>SE-000277539</v>
      </c>
      <c r="D11093" s="1">
        <v>45919.633240740739</v>
      </c>
      <c r="E11093" s="2">
        <v>1</v>
      </c>
      <c r="F11093" s="2">
        <v>1</v>
      </c>
      <c r="G11093" s="2">
        <v>0</v>
      </c>
      <c r="H11093" s="1" t="s">
        <v>0</v>
      </c>
      <c r="I11093" s="2">
        <v>0</v>
      </c>
      <c r="J11093" s="1">
        <v>45919.574212962965</v>
      </c>
    </row>
    <row r="11094" spans="1:10" x14ac:dyDescent="0.2">
      <c r="A11094" s="4" t="s">
        <v>1</v>
      </c>
      <c r="B1109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94" s="3" t="str">
        <f>HYPERLINK("https://otsuka-europe-crm.veevavault.com/ui/#object/sent_email__v/VBLZ025E82GUNTT", "SE-000277540")</f>
        <v>SE-000277540</v>
      </c>
      <c r="D11094" s="1" t="s">
        <v>0</v>
      </c>
      <c r="E11094" s="2">
        <v>0</v>
      </c>
      <c r="F11094" s="2">
        <v>0</v>
      </c>
      <c r="G11094" s="2">
        <v>0</v>
      </c>
      <c r="H11094" s="1" t="s">
        <v>0</v>
      </c>
      <c r="I11094" s="2">
        <v>0</v>
      </c>
      <c r="J11094" s="1">
        <v>45919.574062500003</v>
      </c>
    </row>
    <row r="11095" spans="1:10" x14ac:dyDescent="0.2">
      <c r="A11095" s="4" t="s">
        <v>1</v>
      </c>
      <c r="B1109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95" s="3" t="str">
        <f>HYPERLINK("https://otsuka-europe-crm.veevavault.com/ui/#object/sent_email__v/VBLZ025E82GUNTU", "SE-000277541")</f>
        <v>SE-000277541</v>
      </c>
      <c r="D11095" s="1" t="s">
        <v>0</v>
      </c>
      <c r="E11095" s="2">
        <v>0</v>
      </c>
      <c r="F11095" s="2">
        <v>0</v>
      </c>
      <c r="G11095" s="2">
        <v>0</v>
      </c>
      <c r="H11095" s="1" t="s">
        <v>0</v>
      </c>
      <c r="I11095" s="2">
        <v>0</v>
      </c>
      <c r="J11095" s="1">
        <v>45919.574212962965</v>
      </c>
    </row>
    <row r="11096" spans="1:10" x14ac:dyDescent="0.2">
      <c r="A11096" s="4" t="s">
        <v>1</v>
      </c>
      <c r="B1109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96" s="3" t="str">
        <f>HYPERLINK("https://otsuka-europe-crm.veevavault.com/ui/#object/sent_email__v/VBLZ025E82GUNTV", "SE-000277542")</f>
        <v>SE-000277542</v>
      </c>
      <c r="D11096" s="1">
        <v>45919.780081018522</v>
      </c>
      <c r="E11096" s="2">
        <v>1</v>
      </c>
      <c r="F11096" s="2">
        <v>1</v>
      </c>
      <c r="G11096" s="2">
        <v>0</v>
      </c>
      <c r="H11096" s="1" t="s">
        <v>0</v>
      </c>
      <c r="I11096" s="2">
        <v>0</v>
      </c>
      <c r="J11096" s="1">
        <v>45919.57403935185</v>
      </c>
    </row>
    <row r="11097" spans="1:10" x14ac:dyDescent="0.2">
      <c r="A11097" s="4" t="s">
        <v>1</v>
      </c>
      <c r="B1109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97" s="3" t="str">
        <f>HYPERLINK("https://otsuka-europe-crm.veevavault.com/ui/#object/sent_email__v/VBLZ025E82GUNTW", "SE-000277543")</f>
        <v>SE-000277543</v>
      </c>
      <c r="D11097" s="1">
        <v>45919.710520833331</v>
      </c>
      <c r="E11097" s="2">
        <v>1</v>
      </c>
      <c r="F11097" s="2">
        <v>2</v>
      </c>
      <c r="G11097" s="2">
        <v>1</v>
      </c>
      <c r="H11097" s="1">
        <v>45919.710578703707</v>
      </c>
      <c r="I11097" s="2">
        <v>1</v>
      </c>
      <c r="J11097" s="1">
        <v>45919.574201388888</v>
      </c>
    </row>
    <row r="11098" spans="1:10" x14ac:dyDescent="0.2">
      <c r="A11098" s="4" t="s">
        <v>1</v>
      </c>
      <c r="B1109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98" s="3" t="str">
        <f>HYPERLINK("https://otsuka-europe-crm.veevavault.com/ui/#object/sent_email__v/VBLZ025E82GUNTX", "SE-000277544")</f>
        <v>SE-000277544</v>
      </c>
      <c r="D11098" s="1">
        <v>45919.682824074072</v>
      </c>
      <c r="E11098" s="2">
        <v>1</v>
      </c>
      <c r="F11098" s="2">
        <v>2</v>
      </c>
      <c r="G11098" s="2">
        <v>0</v>
      </c>
      <c r="H11098" s="1" t="s">
        <v>0</v>
      </c>
      <c r="I11098" s="2">
        <v>0</v>
      </c>
      <c r="J11098" s="1">
        <v>45919.574074074073</v>
      </c>
    </row>
    <row r="11099" spans="1:10" x14ac:dyDescent="0.2">
      <c r="A11099" s="4" t="s">
        <v>1</v>
      </c>
      <c r="B1109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099" s="3" t="str">
        <f>HYPERLINK("https://otsuka-europe-crm.veevavault.com/ui/#object/sent_email__v/VBLZ025E82GUNTY", "SE-000277545")</f>
        <v>SE-000277545</v>
      </c>
      <c r="D11099" s="1">
        <v>45931.729525462964</v>
      </c>
      <c r="E11099" s="2">
        <v>1</v>
      </c>
      <c r="F11099" s="2">
        <v>1</v>
      </c>
      <c r="G11099" s="2">
        <v>0</v>
      </c>
      <c r="H11099" s="1" t="s">
        <v>0</v>
      </c>
      <c r="I11099" s="2">
        <v>0</v>
      </c>
      <c r="J11099" s="1">
        <v>45919.574224537035</v>
      </c>
    </row>
    <row r="11100" spans="1:10" x14ac:dyDescent="0.2">
      <c r="A11100" s="4" t="s">
        <v>1</v>
      </c>
      <c r="B1110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00" s="3" t="str">
        <f>HYPERLINK("https://otsuka-europe-crm.veevavault.com/ui/#object/sent_email__v/VBLZ025E82GUNTZ", "SE-000277546")</f>
        <v>SE-000277546</v>
      </c>
      <c r="D11100" s="1">
        <v>45922.538946759261</v>
      </c>
      <c r="E11100" s="2">
        <v>1</v>
      </c>
      <c r="F11100" s="2">
        <v>1</v>
      </c>
      <c r="G11100" s="2">
        <v>0</v>
      </c>
      <c r="H11100" s="1" t="s">
        <v>0</v>
      </c>
      <c r="I11100" s="2">
        <v>0</v>
      </c>
      <c r="J11100" s="1">
        <v>45919.574108796296</v>
      </c>
    </row>
    <row r="11101" spans="1:10" x14ac:dyDescent="0.2">
      <c r="A11101" s="4" t="s">
        <v>1</v>
      </c>
      <c r="B1110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01" s="3" t="str">
        <f>HYPERLINK("https://otsuka-europe-crm.veevavault.com/ui/#object/sent_email__v/VBLZ025E82GUNU0", "SE-000277547")</f>
        <v>SE-000277547</v>
      </c>
      <c r="D11101" s="1">
        <v>45921.521504629629</v>
      </c>
      <c r="E11101" s="2">
        <v>1</v>
      </c>
      <c r="F11101" s="2">
        <v>1</v>
      </c>
      <c r="G11101" s="2">
        <v>0</v>
      </c>
      <c r="H11101" s="1" t="s">
        <v>0</v>
      </c>
      <c r="I11101" s="2">
        <v>0</v>
      </c>
      <c r="J11101" s="1">
        <v>45919.574155092596</v>
      </c>
    </row>
    <row r="11102" spans="1:10" x14ac:dyDescent="0.2">
      <c r="A11102" s="4" t="s">
        <v>1</v>
      </c>
      <c r="B1110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02" s="3" t="str">
        <f>HYPERLINK("https://otsuka-europe-crm.veevavault.com/ui/#object/sent_email__v/VBLZ025E82GUNU1", "SE-000277548")</f>
        <v>SE-000277548</v>
      </c>
      <c r="D11102" s="1" t="s">
        <v>0</v>
      </c>
      <c r="E11102" s="2">
        <v>0</v>
      </c>
      <c r="F11102" s="2">
        <v>0</v>
      </c>
      <c r="G11102" s="2">
        <v>0</v>
      </c>
      <c r="H11102" s="1" t="s">
        <v>0</v>
      </c>
      <c r="I11102" s="2">
        <v>0</v>
      </c>
      <c r="J11102" s="1">
        <v>45919.57402777778</v>
      </c>
    </row>
    <row r="11103" spans="1:10" x14ac:dyDescent="0.2">
      <c r="A11103" s="4" t="s">
        <v>1</v>
      </c>
      <c r="B1110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03" s="3" t="str">
        <f>HYPERLINK("https://otsuka-europe-crm.veevavault.com/ui/#object/sent_email__v/VBLZ025E82GUNU2", "SE-000277549")</f>
        <v>SE-000277549</v>
      </c>
      <c r="D11103" s="1">
        <v>45963.762187499997</v>
      </c>
      <c r="E11103" s="2">
        <v>1</v>
      </c>
      <c r="F11103" s="2">
        <v>3</v>
      </c>
      <c r="G11103" s="2">
        <v>0</v>
      </c>
      <c r="H11103" s="1" t="s">
        <v>0</v>
      </c>
      <c r="I11103" s="2">
        <v>0</v>
      </c>
      <c r="J11103" s="1">
        <v>45919.574189814812</v>
      </c>
    </row>
    <row r="11104" spans="1:10" x14ac:dyDescent="0.2">
      <c r="A11104" s="4" t="s">
        <v>1</v>
      </c>
      <c r="B1110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04" s="3" t="str">
        <f>HYPERLINK("https://otsuka-europe-crm.veevavault.com/ui/#object/sent_email__v/VBLZ025E82GUNU3", "SE-000277550")</f>
        <v>SE-000277550</v>
      </c>
      <c r="D11104" s="1">
        <v>45920.319872685184</v>
      </c>
      <c r="E11104" s="2">
        <v>1</v>
      </c>
      <c r="F11104" s="2">
        <v>1</v>
      </c>
      <c r="G11104" s="2">
        <v>1</v>
      </c>
      <c r="H11104" s="1">
        <v>45920.322210648148</v>
      </c>
      <c r="I11104" s="2">
        <v>2</v>
      </c>
      <c r="J11104" s="1">
        <v>45919.573981481481</v>
      </c>
    </row>
    <row r="11105" spans="1:10" x14ac:dyDescent="0.2">
      <c r="A11105" s="4" t="s">
        <v>1</v>
      </c>
      <c r="B1110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05" s="3" t="str">
        <f>HYPERLINK("https://otsuka-europe-crm.veevavault.com/ui/#object/sent_email__v/VBLZ025E82GUNU4", "SE-000277551")</f>
        <v>SE-000277551</v>
      </c>
      <c r="D11105" s="1">
        <v>45921.54855324074</v>
      </c>
      <c r="E11105" s="2">
        <v>1</v>
      </c>
      <c r="F11105" s="2">
        <v>2</v>
      </c>
      <c r="G11105" s="2">
        <v>0</v>
      </c>
      <c r="H11105" s="1" t="s">
        <v>0</v>
      </c>
      <c r="I11105" s="2">
        <v>0</v>
      </c>
      <c r="J11105" s="1">
        <v>45919.574166666665</v>
      </c>
    </row>
    <row r="11106" spans="1:10" x14ac:dyDescent="0.2">
      <c r="A11106" s="4" t="s">
        <v>1</v>
      </c>
      <c r="B1110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06" s="3" t="str">
        <f>HYPERLINK("https://otsuka-europe-crm.veevavault.com/ui/#object/sent_email__v/VBLZ025E82GUNU5", "SE-000277552")</f>
        <v>SE-000277552</v>
      </c>
      <c r="D11106" s="1">
        <v>45921.485543981478</v>
      </c>
      <c r="E11106" s="2">
        <v>1</v>
      </c>
      <c r="F11106" s="2">
        <v>2</v>
      </c>
      <c r="G11106" s="2">
        <v>0</v>
      </c>
      <c r="H11106" s="1" t="s">
        <v>0</v>
      </c>
      <c r="I11106" s="2">
        <v>0</v>
      </c>
      <c r="J11106" s="1">
        <v>45919.574016203704</v>
      </c>
    </row>
    <row r="11107" spans="1:10" x14ac:dyDescent="0.2">
      <c r="A11107" s="4" t="s">
        <v>1</v>
      </c>
      <c r="B1110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07" s="3" t="str">
        <f>HYPERLINK("https://otsuka-europe-crm.veevavault.com/ui/#object/sent_email__v/VBLZ025E82GUNU6", "SE-000277553")</f>
        <v>SE-000277553</v>
      </c>
      <c r="D11107" s="1">
        <v>45919.988715277781</v>
      </c>
      <c r="E11107" s="2">
        <v>1</v>
      </c>
      <c r="F11107" s="2">
        <v>1</v>
      </c>
      <c r="G11107" s="2">
        <v>0</v>
      </c>
      <c r="H11107" s="1" t="s">
        <v>0</v>
      </c>
      <c r="I11107" s="2">
        <v>0</v>
      </c>
      <c r="J11107" s="1">
        <v>45919.574155092596</v>
      </c>
    </row>
    <row r="11108" spans="1:10" x14ac:dyDescent="0.2">
      <c r="A11108" s="4" t="s">
        <v>1</v>
      </c>
      <c r="B1110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08" s="3" t="str">
        <f>HYPERLINK("https://otsuka-europe-crm.veevavault.com/ui/#object/sent_email__v/VBLZ025E82GUNU7", "SE-000277554")</f>
        <v>SE-000277554</v>
      </c>
      <c r="D11108" s="1" t="s">
        <v>0</v>
      </c>
      <c r="E11108" s="2">
        <v>0</v>
      </c>
      <c r="F11108" s="2">
        <v>0</v>
      </c>
      <c r="G11108" s="2">
        <v>0</v>
      </c>
      <c r="H11108" s="1" t="s">
        <v>0</v>
      </c>
      <c r="I11108" s="2">
        <v>0</v>
      </c>
      <c r="J11108" s="1">
        <v>45919.573958333334</v>
      </c>
    </row>
    <row r="11109" spans="1:10" x14ac:dyDescent="0.2">
      <c r="A11109" s="4" t="s">
        <v>1</v>
      </c>
      <c r="B1110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09" s="3" t="str">
        <f>HYPERLINK("https://otsuka-europe-crm.veevavault.com/ui/#object/sent_email__v/VBLZ025E82GUNU8", "SE-000277555")</f>
        <v>SE-000277555</v>
      </c>
      <c r="D11109" s="1" t="s">
        <v>0</v>
      </c>
      <c r="E11109" s="2">
        <v>0</v>
      </c>
      <c r="F11109" s="2">
        <v>0</v>
      </c>
      <c r="G11109" s="2">
        <v>0</v>
      </c>
      <c r="H11109" s="1" t="s">
        <v>0</v>
      </c>
      <c r="I11109" s="2">
        <v>0</v>
      </c>
      <c r="J11109" s="1">
        <v>45919.574097222219</v>
      </c>
    </row>
    <row r="11110" spans="1:10" x14ac:dyDescent="0.2">
      <c r="A11110" s="4" t="s">
        <v>1</v>
      </c>
      <c r="B1111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10" s="3" t="str">
        <f>HYPERLINK("https://otsuka-europe-crm.veevavault.com/ui/#object/sent_email__v/VBLZ025E82GUNU9", "SE-000277556")</f>
        <v>SE-000277556</v>
      </c>
      <c r="D11110" s="1">
        <v>45920.826388888891</v>
      </c>
      <c r="E11110" s="2">
        <v>1</v>
      </c>
      <c r="F11110" s="2">
        <v>3</v>
      </c>
      <c r="G11110" s="2">
        <v>0</v>
      </c>
      <c r="H11110" s="1" t="s">
        <v>0</v>
      </c>
      <c r="I11110" s="2">
        <v>0</v>
      </c>
      <c r="J11110" s="1">
        <v>45919.573969907404</v>
      </c>
    </row>
    <row r="11111" spans="1:10" x14ac:dyDescent="0.2">
      <c r="A11111" s="4" t="s">
        <v>1</v>
      </c>
      <c r="B1111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11" s="3" t="str">
        <f>HYPERLINK("https://otsuka-europe-crm.veevavault.com/ui/#object/sent_email__v/VBLZ025E82GUNUA", "SE-000277557")</f>
        <v>SE-000277557</v>
      </c>
      <c r="D11111" s="1">
        <v>45919.574444444443</v>
      </c>
      <c r="E11111" s="2">
        <v>1</v>
      </c>
      <c r="F11111" s="2">
        <v>1</v>
      </c>
      <c r="G11111" s="2">
        <v>0</v>
      </c>
      <c r="H11111" s="1" t="s">
        <v>0</v>
      </c>
      <c r="I11111" s="2">
        <v>0</v>
      </c>
      <c r="J11111" s="1">
        <v>45919.574097222219</v>
      </c>
    </row>
    <row r="11112" spans="1:10" x14ac:dyDescent="0.2">
      <c r="A11112" s="4" t="s">
        <v>1</v>
      </c>
      <c r="B1111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12" s="3" t="str">
        <f>HYPERLINK("https://otsuka-europe-crm.veevavault.com/ui/#object/sent_email__v/VBLZ025E82GUNUB", "SE-000277558")</f>
        <v>SE-000277558</v>
      </c>
      <c r="D11112" s="1">
        <v>45924.448680555557</v>
      </c>
      <c r="E11112" s="2">
        <v>1</v>
      </c>
      <c r="F11112" s="2">
        <v>2</v>
      </c>
      <c r="G11112" s="2">
        <v>0</v>
      </c>
      <c r="H11112" s="1" t="s">
        <v>0</v>
      </c>
      <c r="I11112" s="2">
        <v>0</v>
      </c>
      <c r="J11112" s="1">
        <v>45919.573969907404</v>
      </c>
    </row>
    <row r="11113" spans="1:10" x14ac:dyDescent="0.2">
      <c r="A11113" s="4" t="s">
        <v>1</v>
      </c>
      <c r="B1111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13" s="3" t="str">
        <f>HYPERLINK("https://otsuka-europe-crm.veevavault.com/ui/#object/sent_email__v/VBLZ025E82GUNUC", "SE-000277559")</f>
        <v>SE-000277559</v>
      </c>
      <c r="D11113" s="1" t="s">
        <v>0</v>
      </c>
      <c r="E11113" s="2">
        <v>0</v>
      </c>
      <c r="F11113" s="2">
        <v>0</v>
      </c>
      <c r="G11113" s="2">
        <v>0</v>
      </c>
      <c r="H11113" s="1" t="s">
        <v>0</v>
      </c>
      <c r="I11113" s="2">
        <v>0</v>
      </c>
      <c r="J11113" s="1">
        <v>45919.574108796296</v>
      </c>
    </row>
    <row r="11114" spans="1:10" x14ac:dyDescent="0.2">
      <c r="A11114" s="4" t="s">
        <v>1</v>
      </c>
      <c r="B1111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14" s="3" t="str">
        <f>HYPERLINK("https://otsuka-europe-crm.veevavault.com/ui/#object/sent_email__v/VBLZ025E82GV3XX", "SE-000279397")</f>
        <v>SE-000279397</v>
      </c>
      <c r="D11114" s="1" t="s">
        <v>0</v>
      </c>
      <c r="E11114" s="2">
        <v>0</v>
      </c>
      <c r="F11114" s="2">
        <v>0</v>
      </c>
      <c r="G11114" s="2">
        <v>0</v>
      </c>
      <c r="H11114" s="1" t="s">
        <v>0</v>
      </c>
      <c r="I11114" s="2">
        <v>0</v>
      </c>
      <c r="J11114" s="1">
        <v>45919.685057870367</v>
      </c>
    </row>
    <row r="11115" spans="1:10" x14ac:dyDescent="0.2">
      <c r="A11115" s="4" t="s">
        <v>1</v>
      </c>
      <c r="B1111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15" s="3" t="str">
        <f>HYPERLINK("https://otsuka-europe-crm.veevavault.com/ui/#object/sent_email__v/VBLZ025E82GV3XY", "SE-000279398")</f>
        <v>SE-000279398</v>
      </c>
      <c r="D11115" s="1" t="s">
        <v>0</v>
      </c>
      <c r="E11115" s="2">
        <v>0</v>
      </c>
      <c r="F11115" s="2">
        <v>0</v>
      </c>
      <c r="G11115" s="2">
        <v>0</v>
      </c>
      <c r="H11115" s="1" t="s">
        <v>0</v>
      </c>
      <c r="I11115" s="2">
        <v>0</v>
      </c>
      <c r="J11115" s="1">
        <v>45919.685057870367</v>
      </c>
    </row>
    <row r="11116" spans="1:10" x14ac:dyDescent="0.2">
      <c r="A11116" s="4" t="s">
        <v>1</v>
      </c>
      <c r="B1111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16" s="3" t="str">
        <f>HYPERLINK("https://otsuka-europe-crm.veevavault.com/ui/#object/sent_email__v/VBLZ025E82GV3XZ", "SE-000279399")</f>
        <v>SE-000279399</v>
      </c>
      <c r="D11116" s="1" t="s">
        <v>0</v>
      </c>
      <c r="E11116" s="2">
        <v>0</v>
      </c>
      <c r="F11116" s="2">
        <v>0</v>
      </c>
      <c r="G11116" s="2">
        <v>0</v>
      </c>
      <c r="H11116" s="1" t="s">
        <v>0</v>
      </c>
      <c r="I11116" s="2">
        <v>0</v>
      </c>
      <c r="J11116" s="1">
        <v>45919.685069444444</v>
      </c>
    </row>
    <row r="11117" spans="1:10" x14ac:dyDescent="0.2">
      <c r="A11117" s="4" t="s">
        <v>1</v>
      </c>
      <c r="B1111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17" s="3" t="str">
        <f>HYPERLINK("https://otsuka-europe-crm.veevavault.com/ui/#object/sent_email__v/VBLZ025E82GV3Y0", "SE-000279400")</f>
        <v>SE-000279400</v>
      </c>
      <c r="D11117" s="1" t="s">
        <v>0</v>
      </c>
      <c r="E11117" s="2">
        <v>0</v>
      </c>
      <c r="F11117" s="2">
        <v>0</v>
      </c>
      <c r="G11117" s="2">
        <v>0</v>
      </c>
      <c r="H11117" s="1" t="s">
        <v>0</v>
      </c>
      <c r="I11117" s="2">
        <v>0</v>
      </c>
      <c r="J11117" s="1">
        <v>45919.68509259259</v>
      </c>
    </row>
    <row r="11118" spans="1:10" x14ac:dyDescent="0.2">
      <c r="A11118" s="4" t="s">
        <v>1</v>
      </c>
      <c r="B1111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18" s="3" t="str">
        <f>HYPERLINK("https://otsuka-europe-crm.veevavault.com/ui/#object/sent_email__v/VBLZ025E82GV40P", "SE-000279401")</f>
        <v>SE-000279401</v>
      </c>
      <c r="D11118" s="1" t="s">
        <v>0</v>
      </c>
      <c r="E11118" s="2">
        <v>0</v>
      </c>
      <c r="F11118" s="2">
        <v>0</v>
      </c>
      <c r="G11118" s="2">
        <v>0</v>
      </c>
      <c r="H11118" s="1" t="s">
        <v>0</v>
      </c>
      <c r="I11118" s="2">
        <v>0</v>
      </c>
      <c r="J11118" s="1">
        <v>45919.686064814814</v>
      </c>
    </row>
    <row r="11119" spans="1:10" x14ac:dyDescent="0.2">
      <c r="A11119" s="4" t="s">
        <v>1</v>
      </c>
      <c r="B1111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19" s="3" t="str">
        <f>HYPERLINK("https://otsuka-europe-crm.veevavault.com/ui/#object/sent_email__v/VBLZ025E82GV40Q", "SE-000279402")</f>
        <v>SE-000279402</v>
      </c>
      <c r="D11119" s="1">
        <v>45919.769513888888</v>
      </c>
      <c r="E11119" s="2">
        <v>1</v>
      </c>
      <c r="F11119" s="2">
        <v>1</v>
      </c>
      <c r="G11119" s="2">
        <v>0</v>
      </c>
      <c r="H11119" s="1" t="s">
        <v>0</v>
      </c>
      <c r="I11119" s="2">
        <v>0</v>
      </c>
      <c r="J11119" s="1">
        <v>45919.686053240737</v>
      </c>
    </row>
    <row r="11120" spans="1:10" x14ac:dyDescent="0.2">
      <c r="A11120" s="4" t="s">
        <v>1</v>
      </c>
      <c r="B1112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20" s="3" t="str">
        <f>HYPERLINK("https://otsuka-europe-crm.veevavault.com/ui/#object/sent_email__v/VBLZ025E82GV40R", "SE-000279403")</f>
        <v>SE-000279403</v>
      </c>
      <c r="D11120" s="1" t="s">
        <v>0</v>
      </c>
      <c r="E11120" s="2">
        <v>0</v>
      </c>
      <c r="F11120" s="2">
        <v>0</v>
      </c>
      <c r="G11120" s="2">
        <v>0</v>
      </c>
      <c r="H11120" s="1" t="s">
        <v>0</v>
      </c>
      <c r="I11120" s="2">
        <v>0</v>
      </c>
      <c r="J11120" s="1">
        <v>45919.686064814814</v>
      </c>
    </row>
    <row r="11121" spans="1:10" x14ac:dyDescent="0.2">
      <c r="A11121" s="4" t="s">
        <v>1</v>
      </c>
      <c r="B1112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21" s="3" t="str">
        <f>HYPERLINK("https://otsuka-europe-crm.veevavault.com/ui/#object/sent_email__v/VBLZ025E82GV40S", "SE-000279404")</f>
        <v>SE-000279404</v>
      </c>
      <c r="D11121" s="1" t="s">
        <v>0</v>
      </c>
      <c r="E11121" s="2">
        <v>0</v>
      </c>
      <c r="F11121" s="2">
        <v>0</v>
      </c>
      <c r="G11121" s="2">
        <v>0</v>
      </c>
      <c r="H11121" s="1" t="s">
        <v>0</v>
      </c>
      <c r="I11121" s="2">
        <v>0</v>
      </c>
      <c r="J11121" s="1">
        <v>45919.68608796296</v>
      </c>
    </row>
    <row r="11122" spans="1:10" x14ac:dyDescent="0.2">
      <c r="A11122" s="4" t="s">
        <v>1</v>
      </c>
      <c r="B1112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22" s="3" t="str">
        <f>HYPERLINK("https://otsuka-europe-crm.veevavault.com/ui/#object/sent_email__v/VBLZ025E82GV40T", "SE-000279405")</f>
        <v>SE-000279405</v>
      </c>
      <c r="D11122" s="1" t="s">
        <v>0</v>
      </c>
      <c r="E11122" s="2">
        <v>0</v>
      </c>
      <c r="F11122" s="2">
        <v>0</v>
      </c>
      <c r="G11122" s="2">
        <v>0</v>
      </c>
      <c r="H11122" s="1" t="s">
        <v>0</v>
      </c>
      <c r="I11122" s="2">
        <v>0</v>
      </c>
      <c r="J11122" s="1">
        <v>45919.68608796296</v>
      </c>
    </row>
    <row r="11123" spans="1:10" x14ac:dyDescent="0.2">
      <c r="A11123" s="4" t="s">
        <v>1</v>
      </c>
      <c r="B1112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23" s="3" t="str">
        <f>HYPERLINK("https://otsuka-europe-crm.veevavault.com/ui/#object/sent_email__v/VBLZ025E82GV40U", "SE-000279406")</f>
        <v>SE-000279406</v>
      </c>
      <c r="D11123" s="1">
        <v>45920.899305555555</v>
      </c>
      <c r="E11123" s="2">
        <v>1</v>
      </c>
      <c r="F11123" s="2">
        <v>1</v>
      </c>
      <c r="G11123" s="2">
        <v>0</v>
      </c>
      <c r="H11123" s="1" t="s">
        <v>0</v>
      </c>
      <c r="I11123" s="2">
        <v>0</v>
      </c>
      <c r="J11123" s="1">
        <v>45919.68608796296</v>
      </c>
    </row>
    <row r="11124" spans="1:10" x14ac:dyDescent="0.2">
      <c r="A11124" s="4" t="s">
        <v>1</v>
      </c>
      <c r="B1112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24" s="3" t="str">
        <f>HYPERLINK("https://otsuka-europe-crm.veevavault.com/ui/#object/sent_email__v/VBLZ025E82GV469", "SE-000279408")</f>
        <v>SE-000279408</v>
      </c>
      <c r="D11124" s="1">
        <v>45920.278923611113</v>
      </c>
      <c r="E11124" s="2">
        <v>1</v>
      </c>
      <c r="F11124" s="2">
        <v>4</v>
      </c>
      <c r="G11124" s="2">
        <v>0</v>
      </c>
      <c r="H11124" s="1" t="s">
        <v>0</v>
      </c>
      <c r="I11124" s="2">
        <v>0</v>
      </c>
      <c r="J11124" s="1">
        <v>45919.688333333332</v>
      </c>
    </row>
    <row r="11125" spans="1:10" x14ac:dyDescent="0.2">
      <c r="A11125" s="4" t="s">
        <v>1</v>
      </c>
      <c r="B1112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25" s="3" t="str">
        <f>HYPERLINK("https://otsuka-europe-crm.veevavault.com/ui/#object/sent_email__v/VBLZ025E82GV46A", "SE-000279409")</f>
        <v>SE-000279409</v>
      </c>
      <c r="D11125" s="1">
        <v>45920.631932870368</v>
      </c>
      <c r="E11125" s="2">
        <v>1</v>
      </c>
      <c r="F11125" s="2">
        <v>1</v>
      </c>
      <c r="G11125" s="2">
        <v>0</v>
      </c>
      <c r="H11125" s="1" t="s">
        <v>0</v>
      </c>
      <c r="I11125" s="2">
        <v>0</v>
      </c>
      <c r="J11125" s="1">
        <v>45919.688333333332</v>
      </c>
    </row>
    <row r="11126" spans="1:10" x14ac:dyDescent="0.2">
      <c r="A11126" s="4" t="s">
        <v>1</v>
      </c>
      <c r="B1112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26" s="3" t="str">
        <f>HYPERLINK("https://otsuka-europe-crm.veevavault.com/ui/#object/sent_email__v/VBLZ025E82GV46B", "SE-000279410")</f>
        <v>SE-000279410</v>
      </c>
      <c r="D11126" s="1">
        <v>45919.953298611108</v>
      </c>
      <c r="E11126" s="2">
        <v>1</v>
      </c>
      <c r="F11126" s="2">
        <v>2</v>
      </c>
      <c r="G11126" s="2">
        <v>1</v>
      </c>
      <c r="H11126" s="1">
        <v>45919.953877314816</v>
      </c>
      <c r="I11126" s="2">
        <v>1</v>
      </c>
      <c r="J11126" s="1">
        <v>45919.688333333332</v>
      </c>
    </row>
    <row r="11127" spans="1:10" x14ac:dyDescent="0.2">
      <c r="A11127" s="4" t="s">
        <v>1</v>
      </c>
      <c r="B1112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27" s="3" t="str">
        <f>HYPERLINK("https://otsuka-europe-crm.veevavault.com/ui/#object/sent_email__v/VBLZ025E82GV46C", "SE-000279411")</f>
        <v>SE-000279411</v>
      </c>
      <c r="D11127" s="1" t="s">
        <v>0</v>
      </c>
      <c r="E11127" s="2">
        <v>0</v>
      </c>
      <c r="F11127" s="2">
        <v>0</v>
      </c>
      <c r="G11127" s="2">
        <v>0</v>
      </c>
      <c r="H11127" s="1" t="s">
        <v>0</v>
      </c>
      <c r="I11127" s="2">
        <v>0</v>
      </c>
      <c r="J11127" s="1">
        <v>45919.688344907408</v>
      </c>
    </row>
    <row r="11128" spans="1:10" x14ac:dyDescent="0.2">
      <c r="A11128" s="4" t="s">
        <v>1</v>
      </c>
      <c r="B1112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28" s="3" t="str">
        <f>HYPERLINK("https://otsuka-europe-crm.veevavault.com/ui/#object/sent_email__v/VBLZ025E82GV46D", "SE-000279412")</f>
        <v>SE-000279412</v>
      </c>
      <c r="D11128" s="1">
        <v>45921.7575</v>
      </c>
      <c r="E11128" s="2">
        <v>1</v>
      </c>
      <c r="F11128" s="2">
        <v>1</v>
      </c>
      <c r="G11128" s="2">
        <v>0</v>
      </c>
      <c r="H11128" s="1" t="s">
        <v>0</v>
      </c>
      <c r="I11128" s="2">
        <v>0</v>
      </c>
      <c r="J11128" s="1">
        <v>45919.688344907408</v>
      </c>
    </row>
    <row r="11129" spans="1:10" x14ac:dyDescent="0.2">
      <c r="A11129" s="4" t="s">
        <v>1</v>
      </c>
      <c r="B1112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29" s="3" t="str">
        <f>HYPERLINK("https://otsuka-europe-crm.veevavault.com/ui/#object/sent_email__v/VBLZ025E82GV4EL", "SE-000279419")</f>
        <v>SE-000279419</v>
      </c>
      <c r="D11129" s="1" t="s">
        <v>0</v>
      </c>
      <c r="E11129" s="2">
        <v>0</v>
      </c>
      <c r="F11129" s="2">
        <v>0</v>
      </c>
      <c r="G11129" s="2">
        <v>0</v>
      </c>
      <c r="H11129" s="1" t="s">
        <v>0</v>
      </c>
      <c r="I11129" s="2">
        <v>0</v>
      </c>
      <c r="J11129" s="1">
        <v>45919.691562499997</v>
      </c>
    </row>
    <row r="11130" spans="1:10" x14ac:dyDescent="0.2">
      <c r="A11130" s="4" t="s">
        <v>1</v>
      </c>
      <c r="B1113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30" s="3" t="str">
        <f>HYPERLINK("https://otsuka-europe-crm.veevavault.com/ui/#object/sent_email__v/VBLZ025E82GV4EM", "SE-000279420")</f>
        <v>SE-000279420</v>
      </c>
      <c r="D11130" s="1">
        <v>45932.732372685183</v>
      </c>
      <c r="E11130" s="2">
        <v>1</v>
      </c>
      <c r="F11130" s="2">
        <v>1</v>
      </c>
      <c r="G11130" s="2">
        <v>0</v>
      </c>
      <c r="H11130" s="1" t="s">
        <v>0</v>
      </c>
      <c r="I11130" s="2">
        <v>0</v>
      </c>
      <c r="J11130" s="1">
        <v>45919.691574074073</v>
      </c>
    </row>
    <row r="11131" spans="1:10" x14ac:dyDescent="0.2">
      <c r="A11131" s="4" t="s">
        <v>1</v>
      </c>
      <c r="B1113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31" s="3" t="str">
        <f>HYPERLINK("https://otsuka-europe-crm.veevavault.com/ui/#object/sent_email__v/VBLZ025E82GV4EN", "SE-000279421")</f>
        <v>SE-000279421</v>
      </c>
      <c r="D11131" s="1" t="s">
        <v>0</v>
      </c>
      <c r="E11131" s="2">
        <v>0</v>
      </c>
      <c r="F11131" s="2">
        <v>0</v>
      </c>
      <c r="G11131" s="2">
        <v>0</v>
      </c>
      <c r="H11131" s="1" t="s">
        <v>0</v>
      </c>
      <c r="I11131" s="2">
        <v>0</v>
      </c>
      <c r="J11131" s="1">
        <v>45919.691574074073</v>
      </c>
    </row>
    <row r="11132" spans="1:10" x14ac:dyDescent="0.2">
      <c r="A11132" s="4" t="s">
        <v>1</v>
      </c>
      <c r="B1113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32" s="3" t="str">
        <f>HYPERLINK("https://otsuka-europe-crm.veevavault.com/ui/#object/sent_email__v/VBLZ025E82GV4HD", "SE-000279422")</f>
        <v>SE-000279422</v>
      </c>
      <c r="D11132" s="1">
        <v>45928.518090277779</v>
      </c>
      <c r="E11132" s="2">
        <v>1</v>
      </c>
      <c r="F11132" s="2">
        <v>2</v>
      </c>
      <c r="G11132" s="2">
        <v>0</v>
      </c>
      <c r="H11132" s="1" t="s">
        <v>0</v>
      </c>
      <c r="I11132" s="2">
        <v>0</v>
      </c>
      <c r="J11132" s="1">
        <v>45919.693229166667</v>
      </c>
    </row>
    <row r="11133" spans="1:10" x14ac:dyDescent="0.2">
      <c r="A11133" s="4" t="s">
        <v>1</v>
      </c>
      <c r="B1113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33" s="3" t="str">
        <f>HYPERLINK("https://otsuka-europe-crm.veevavault.com/ui/#object/sent_email__v/VBLZ025E82GV4HE", "SE-000279423")</f>
        <v>SE-000279423</v>
      </c>
      <c r="D11133" s="1">
        <v>45922.935104166667</v>
      </c>
      <c r="E11133" s="2">
        <v>1</v>
      </c>
      <c r="F11133" s="2">
        <v>2</v>
      </c>
      <c r="G11133" s="2">
        <v>1</v>
      </c>
      <c r="H11133" s="1">
        <v>45922.935324074075</v>
      </c>
      <c r="I11133" s="2">
        <v>1</v>
      </c>
      <c r="J11133" s="1">
        <v>45919.693229166667</v>
      </c>
    </row>
    <row r="11134" spans="1:10" x14ac:dyDescent="0.2">
      <c r="A11134" s="4" t="s">
        <v>1</v>
      </c>
      <c r="B1113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34" s="3" t="str">
        <f>HYPERLINK("https://otsuka-europe-crm.veevavault.com/ui/#object/sent_email__v/VBLZ025E82GV4HF", "SE-000279424")</f>
        <v>SE-000279424</v>
      </c>
      <c r="D11134" s="1" t="s">
        <v>0</v>
      </c>
      <c r="E11134" s="2">
        <v>0</v>
      </c>
      <c r="F11134" s="2">
        <v>0</v>
      </c>
      <c r="G11134" s="2">
        <v>0</v>
      </c>
      <c r="H11134" s="1" t="s">
        <v>0</v>
      </c>
      <c r="I11134" s="2">
        <v>0</v>
      </c>
      <c r="J11134" s="1">
        <v>45919.693229166667</v>
      </c>
    </row>
    <row r="11135" spans="1:10" x14ac:dyDescent="0.2">
      <c r="A11135" s="4" t="s">
        <v>1</v>
      </c>
      <c r="B1113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35" s="3" t="str">
        <f>HYPERLINK("https://otsuka-europe-crm.veevavault.com/ui/#object/sent_email__v/VBLZ025E82GV4HG", "SE-000279425")</f>
        <v>SE-000279425</v>
      </c>
      <c r="D11135" s="1">
        <v>45919.821712962963</v>
      </c>
      <c r="E11135" s="2">
        <v>1</v>
      </c>
      <c r="F11135" s="2">
        <v>1</v>
      </c>
      <c r="G11135" s="2">
        <v>0</v>
      </c>
      <c r="H11135" s="1" t="s">
        <v>0</v>
      </c>
      <c r="I11135" s="2">
        <v>0</v>
      </c>
      <c r="J11135" s="1">
        <v>45919.693240740744</v>
      </c>
    </row>
    <row r="11136" spans="1:10" x14ac:dyDescent="0.2">
      <c r="A11136" s="4" t="s">
        <v>1</v>
      </c>
      <c r="B1113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36" s="3" t="str">
        <f>HYPERLINK("https://otsuka-europe-crm.veevavault.com/ui/#object/sent_email__v/VBLZ025E82GV4HH", "SE-000279426")</f>
        <v>SE-000279426</v>
      </c>
      <c r="D11136" s="1">
        <v>45919.960277777776</v>
      </c>
      <c r="E11136" s="2">
        <v>1</v>
      </c>
      <c r="F11136" s="2">
        <v>1</v>
      </c>
      <c r="G11136" s="2">
        <v>0</v>
      </c>
      <c r="H11136" s="1" t="s">
        <v>0</v>
      </c>
      <c r="I11136" s="2">
        <v>0</v>
      </c>
      <c r="J11136" s="1">
        <v>45919.693252314813</v>
      </c>
    </row>
    <row r="11137" spans="1:10" x14ac:dyDescent="0.2">
      <c r="A11137" s="4" t="s">
        <v>1</v>
      </c>
      <c r="B1113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37" s="3" t="str">
        <f>HYPERLINK("https://otsuka-europe-crm.veevavault.com/ui/#object/sent_email__v/VBLZ025E82GV4K5", "SE-000279430")</f>
        <v>SE-000279430</v>
      </c>
      <c r="D11137" s="1" t="s">
        <v>0</v>
      </c>
      <c r="E11137" s="2">
        <v>0</v>
      </c>
      <c r="F11137" s="2">
        <v>0</v>
      </c>
      <c r="G11137" s="2">
        <v>0</v>
      </c>
      <c r="H11137" s="1" t="s">
        <v>0</v>
      </c>
      <c r="I11137" s="2">
        <v>0</v>
      </c>
      <c r="J11137" s="1">
        <v>45919.696076388886</v>
      </c>
    </row>
    <row r="11138" spans="1:10" x14ac:dyDescent="0.2">
      <c r="A11138" s="4" t="s">
        <v>1</v>
      </c>
      <c r="B1113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38" s="3" t="str">
        <f>HYPERLINK("https://otsuka-europe-crm.veevavault.com/ui/#object/sent_email__v/VBLZ025E82GV4K6", "SE-000279431")</f>
        <v>SE-000279431</v>
      </c>
      <c r="D11138" s="1" t="s">
        <v>0</v>
      </c>
      <c r="E11138" s="2">
        <v>0</v>
      </c>
      <c r="F11138" s="2">
        <v>0</v>
      </c>
      <c r="G11138" s="2">
        <v>0</v>
      </c>
      <c r="H11138" s="1" t="s">
        <v>0</v>
      </c>
      <c r="I11138" s="2">
        <v>0</v>
      </c>
      <c r="J11138" s="1">
        <v>45919.696076388886</v>
      </c>
    </row>
    <row r="11139" spans="1:10" x14ac:dyDescent="0.2">
      <c r="A11139" s="4" t="s">
        <v>1</v>
      </c>
      <c r="B1113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39" s="3" t="str">
        <f>HYPERLINK("https://otsuka-europe-crm.veevavault.com/ui/#object/sent_email__v/VBLZ025E82GV4K7", "SE-000279432")</f>
        <v>SE-000279432</v>
      </c>
      <c r="D11139" s="1">
        <v>45919.759085648147</v>
      </c>
      <c r="E11139" s="2">
        <v>1</v>
      </c>
      <c r="F11139" s="2">
        <v>2</v>
      </c>
      <c r="G11139" s="2">
        <v>0</v>
      </c>
      <c r="H11139" s="1" t="s">
        <v>0</v>
      </c>
      <c r="I11139" s="2">
        <v>0</v>
      </c>
      <c r="J11139" s="1">
        <v>45919.696087962962</v>
      </c>
    </row>
    <row r="11140" spans="1:10" x14ac:dyDescent="0.2">
      <c r="A11140" s="4" t="s">
        <v>1</v>
      </c>
      <c r="B1114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40" s="3" t="str">
        <f>HYPERLINK("https://otsuka-europe-crm.veevavault.com/ui/#object/sent_email__v/VBLZ025E82GV4K8", "SE-000279433")</f>
        <v>SE-000279433</v>
      </c>
      <c r="D11140" s="1">
        <v>45919.837627314817</v>
      </c>
      <c r="E11140" s="2">
        <v>1</v>
      </c>
      <c r="F11140" s="2">
        <v>2</v>
      </c>
      <c r="G11140" s="2">
        <v>0</v>
      </c>
      <c r="H11140" s="1" t="s">
        <v>0</v>
      </c>
      <c r="I11140" s="2">
        <v>0</v>
      </c>
      <c r="J11140" s="1">
        <v>45919.696099537039</v>
      </c>
    </row>
    <row r="11141" spans="1:10" x14ac:dyDescent="0.2">
      <c r="A11141" s="4" t="s">
        <v>1</v>
      </c>
      <c r="B1114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41" s="3" t="str">
        <f>HYPERLINK("https://otsuka-europe-crm.veevavault.com/ui/#object/sent_email__v/VBLZ025E82GV4K9", "SE-000279434")</f>
        <v>SE-000279434</v>
      </c>
      <c r="D11141" s="1" t="s">
        <v>0</v>
      </c>
      <c r="E11141" s="2">
        <v>0</v>
      </c>
      <c r="F11141" s="2">
        <v>0</v>
      </c>
      <c r="G11141" s="2">
        <v>0</v>
      </c>
      <c r="H11141" s="1" t="s">
        <v>0</v>
      </c>
      <c r="I11141" s="2">
        <v>0</v>
      </c>
      <c r="J11141" s="1">
        <v>45919.696087962962</v>
      </c>
    </row>
    <row r="11142" spans="1:10" x14ac:dyDescent="0.2">
      <c r="A11142" s="4" t="s">
        <v>1</v>
      </c>
      <c r="B1114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42" s="3" t="str">
        <f>HYPERLINK("https://otsuka-europe-crm.veevavault.com/ui/#object/sent_email__v/VBLZ025E82GV4KA", "SE-000279435")</f>
        <v>SE-000279435</v>
      </c>
      <c r="D11142" s="1">
        <v>45953.398576388892</v>
      </c>
      <c r="E11142" s="2">
        <v>1</v>
      </c>
      <c r="F11142" s="2">
        <v>1</v>
      </c>
      <c r="G11142" s="2">
        <v>1</v>
      </c>
      <c r="H11142" s="1">
        <v>45953.398576388892</v>
      </c>
      <c r="I11142" s="2">
        <v>1</v>
      </c>
      <c r="J11142" s="1">
        <v>45919.696099537039</v>
      </c>
    </row>
    <row r="11143" spans="1:10" x14ac:dyDescent="0.2">
      <c r="A11143" s="4" t="s">
        <v>1</v>
      </c>
      <c r="B1114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43" s="3" t="str">
        <f>HYPERLINK("https://otsuka-europe-crm.veevavault.com/ui/#object/sent_email__v/VBLZ025E82GV4MX", "SE-000279436")</f>
        <v>SE-000279436</v>
      </c>
      <c r="D11143" s="1">
        <v>45922.268483796295</v>
      </c>
      <c r="E11143" s="2">
        <v>1</v>
      </c>
      <c r="F11143" s="2">
        <v>1</v>
      </c>
      <c r="G11143" s="2">
        <v>0</v>
      </c>
      <c r="H11143" s="1" t="s">
        <v>0</v>
      </c>
      <c r="I11143" s="2">
        <v>0</v>
      </c>
      <c r="J11143" s="1">
        <v>45919.698645833334</v>
      </c>
    </row>
    <row r="11144" spans="1:10" x14ac:dyDescent="0.2">
      <c r="A11144" s="4" t="s">
        <v>1</v>
      </c>
      <c r="B1114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44" s="3" t="str">
        <f>HYPERLINK("https://otsuka-europe-crm.veevavault.com/ui/#object/sent_email__v/VBLZ025E82GV4MY", "SE-000279437")</f>
        <v>SE-000279437</v>
      </c>
      <c r="D11144" s="1">
        <v>45919.699097222219</v>
      </c>
      <c r="E11144" s="2">
        <v>1</v>
      </c>
      <c r="F11144" s="2">
        <v>1</v>
      </c>
      <c r="G11144" s="2">
        <v>0</v>
      </c>
      <c r="H11144" s="1" t="s">
        <v>0</v>
      </c>
      <c r="I11144" s="2">
        <v>0</v>
      </c>
      <c r="J11144" s="1">
        <v>45919.698657407411</v>
      </c>
    </row>
    <row r="11145" spans="1:10" x14ac:dyDescent="0.2">
      <c r="A11145" s="4" t="s">
        <v>1</v>
      </c>
      <c r="B1114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45" s="3" t="str">
        <f>HYPERLINK("https://otsuka-europe-crm.veevavault.com/ui/#object/sent_email__v/VBLZ025E82GV4MZ", "SE-000279438")</f>
        <v>SE-000279438</v>
      </c>
      <c r="D11145" s="1" t="s">
        <v>0</v>
      </c>
      <c r="E11145" s="2">
        <v>0</v>
      </c>
      <c r="F11145" s="2">
        <v>0</v>
      </c>
      <c r="G11145" s="2">
        <v>0</v>
      </c>
      <c r="H11145" s="1" t="s">
        <v>0</v>
      </c>
      <c r="I11145" s="2">
        <v>0</v>
      </c>
      <c r="J11145" s="1">
        <v>45919.698680555557</v>
      </c>
    </row>
    <row r="11146" spans="1:10" x14ac:dyDescent="0.2">
      <c r="A11146" s="4" t="s">
        <v>1</v>
      </c>
      <c r="B1114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46" s="3" t="str">
        <f>HYPERLINK("https://otsuka-europe-crm.veevavault.com/ui/#object/sent_email__v/VBLZ025E82GV4N0", "SE-000279439")</f>
        <v>SE-000279439</v>
      </c>
      <c r="D11146" s="1">
        <v>45921.675787037035</v>
      </c>
      <c r="E11146" s="2">
        <v>1</v>
      </c>
      <c r="F11146" s="2">
        <v>1</v>
      </c>
      <c r="G11146" s="2">
        <v>1</v>
      </c>
      <c r="H11146" s="1">
        <v>45921.678101851852</v>
      </c>
      <c r="I11146" s="2">
        <v>2</v>
      </c>
      <c r="J11146" s="1">
        <v>45919.698680555557</v>
      </c>
    </row>
    <row r="11147" spans="1:10" x14ac:dyDescent="0.2">
      <c r="A11147" s="4" t="s">
        <v>1</v>
      </c>
      <c r="B1114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47" s="3" t="str">
        <f>HYPERLINK("https://otsuka-europe-crm.veevavault.com/ui/#object/sent_email__v/VBLZ025E82GV4N1", "SE-000279440")</f>
        <v>SE-000279440</v>
      </c>
      <c r="D11147" s="1" t="s">
        <v>0</v>
      </c>
      <c r="E11147" s="2">
        <v>0</v>
      </c>
      <c r="F11147" s="2">
        <v>0</v>
      </c>
      <c r="G11147" s="2">
        <v>0</v>
      </c>
      <c r="H11147" s="1" t="s">
        <v>0</v>
      </c>
      <c r="I11147" s="2">
        <v>0</v>
      </c>
      <c r="J11147" s="1">
        <v>45919.698703703703</v>
      </c>
    </row>
    <row r="11148" spans="1:10" x14ac:dyDescent="0.2">
      <c r="A11148" s="4" t="s">
        <v>1</v>
      </c>
      <c r="B1114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48" s="3" t="str">
        <f>HYPERLINK("https://otsuka-europe-crm.veevavault.com/ui/#object/sent_email__v/VBLZ025E82GV4N2", "SE-000279441")</f>
        <v>SE-000279441</v>
      </c>
      <c r="D11148" s="1" t="s">
        <v>0</v>
      </c>
      <c r="E11148" s="2">
        <v>0</v>
      </c>
      <c r="F11148" s="2">
        <v>0</v>
      </c>
      <c r="G11148" s="2">
        <v>0</v>
      </c>
      <c r="H11148" s="1" t="s">
        <v>0</v>
      </c>
      <c r="I11148" s="2">
        <v>0</v>
      </c>
      <c r="J11148" s="1">
        <v>45919.698703703703</v>
      </c>
    </row>
    <row r="11149" spans="1:10" x14ac:dyDescent="0.2">
      <c r="A11149" s="4" t="s">
        <v>1</v>
      </c>
      <c r="B1114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49" s="3" t="str">
        <f>HYPERLINK("https://otsuka-europe-crm.veevavault.com/ui/#object/sent_email__v/VBLZ025E82GV4N3", "SE-000279442")</f>
        <v>SE-000279442</v>
      </c>
      <c r="D11149" s="1" t="s">
        <v>0</v>
      </c>
      <c r="E11149" s="2">
        <v>0</v>
      </c>
      <c r="F11149" s="2">
        <v>0</v>
      </c>
      <c r="G11149" s="2">
        <v>0</v>
      </c>
      <c r="H11149" s="1" t="s">
        <v>0</v>
      </c>
      <c r="I11149" s="2">
        <v>0</v>
      </c>
      <c r="J11149" s="1">
        <v>45919.698703703703</v>
      </c>
    </row>
    <row r="11150" spans="1:10" x14ac:dyDescent="0.2">
      <c r="A11150" s="4" t="s">
        <v>1</v>
      </c>
      <c r="B1115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50" s="3" t="str">
        <f>HYPERLINK("https://otsuka-europe-crm.veevavault.com/ui/#object/sent_email__v/VBLZ025E82GV4N4", "SE-000279443")</f>
        <v>SE-000279443</v>
      </c>
      <c r="D11150" s="1">
        <v>45920.061296296299</v>
      </c>
      <c r="E11150" s="2">
        <v>1</v>
      </c>
      <c r="F11150" s="2">
        <v>2</v>
      </c>
      <c r="G11150" s="2">
        <v>0</v>
      </c>
      <c r="H11150" s="1" t="s">
        <v>0</v>
      </c>
      <c r="I11150" s="2">
        <v>0</v>
      </c>
      <c r="J11150" s="1">
        <v>45919.69871527778</v>
      </c>
    </row>
    <row r="11151" spans="1:10" x14ac:dyDescent="0.2">
      <c r="A11151" s="4" t="s">
        <v>1</v>
      </c>
      <c r="B1115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51" s="3" t="str">
        <f>HYPERLINK("https://otsuka-europe-crm.veevavault.com/ui/#object/sent_email__v/VBLZ025E82GV4N5", "SE-000279444")</f>
        <v>SE-000279444</v>
      </c>
      <c r="D11151" s="1" t="s">
        <v>0</v>
      </c>
      <c r="E11151" s="2">
        <v>0</v>
      </c>
      <c r="F11151" s="2">
        <v>0</v>
      </c>
      <c r="G11151" s="2">
        <v>0</v>
      </c>
      <c r="H11151" s="1" t="s">
        <v>0</v>
      </c>
      <c r="I11151" s="2">
        <v>0</v>
      </c>
      <c r="J11151" s="1">
        <v>45919.69871527778</v>
      </c>
    </row>
    <row r="11152" spans="1:10" x14ac:dyDescent="0.2">
      <c r="A11152" s="4" t="s">
        <v>1</v>
      </c>
      <c r="B1115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52" s="3" t="str">
        <f>HYPERLINK("https://otsuka-europe-crm.veevavault.com/ui/#object/sent_email__v/VBLZ025E82GV4V9", "SE-000279451")</f>
        <v>SE-000279451</v>
      </c>
      <c r="D11152" s="1">
        <v>45919.813854166663</v>
      </c>
      <c r="E11152" s="2">
        <v>1</v>
      </c>
      <c r="F11152" s="2">
        <v>1</v>
      </c>
      <c r="G11152" s="2">
        <v>0</v>
      </c>
      <c r="H11152" s="1" t="s">
        <v>0</v>
      </c>
      <c r="I11152" s="2">
        <v>0</v>
      </c>
      <c r="J11152" s="1">
        <v>45919.702650462961</v>
      </c>
    </row>
    <row r="11153" spans="1:10" x14ac:dyDescent="0.2">
      <c r="A11153" s="4" t="s">
        <v>1</v>
      </c>
      <c r="B1115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53" s="3" t="str">
        <f>HYPERLINK("https://otsuka-europe-crm.veevavault.com/ui/#object/sent_email__v/VBLZ025E82GV4VA", "SE-000279452")</f>
        <v>SE-000279452</v>
      </c>
      <c r="D11153" s="1" t="s">
        <v>0</v>
      </c>
      <c r="E11153" s="2">
        <v>0</v>
      </c>
      <c r="F11153" s="2">
        <v>0</v>
      </c>
      <c r="G11153" s="2">
        <v>0</v>
      </c>
      <c r="H11153" s="1" t="s">
        <v>0</v>
      </c>
      <c r="I11153" s="2">
        <v>0</v>
      </c>
      <c r="J11153" s="1">
        <v>45919.702662037038</v>
      </c>
    </row>
    <row r="11154" spans="1:10" x14ac:dyDescent="0.2">
      <c r="A11154" s="4" t="s">
        <v>1</v>
      </c>
      <c r="B1115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54" s="3" t="str">
        <f>HYPERLINK("https://otsuka-europe-crm.veevavault.com/ui/#object/sent_email__v/VBLZ025E82GV4VB", "SE-000279453")</f>
        <v>SE-000279453</v>
      </c>
      <c r="D11154" s="1">
        <v>45943.47929398148</v>
      </c>
      <c r="E11154" s="2">
        <v>1</v>
      </c>
      <c r="F11154" s="2">
        <v>4</v>
      </c>
      <c r="G11154" s="2">
        <v>0</v>
      </c>
      <c r="H11154" s="1" t="s">
        <v>0</v>
      </c>
      <c r="I11154" s="2">
        <v>0</v>
      </c>
      <c r="J11154" s="1">
        <v>45919.702662037038</v>
      </c>
    </row>
    <row r="11155" spans="1:10" x14ac:dyDescent="0.2">
      <c r="A11155" s="4" t="s">
        <v>1</v>
      </c>
      <c r="B1115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55" s="3" t="str">
        <f>HYPERLINK("https://otsuka-europe-crm.veevavault.com/ui/#object/sent_email__v/VBLZ025E82GUYB6", "SE-000279454")</f>
        <v>SE-000279454</v>
      </c>
      <c r="D11155" s="1" t="s">
        <v>0</v>
      </c>
      <c r="E11155" s="2">
        <v>0</v>
      </c>
      <c r="F11155" s="2">
        <v>0</v>
      </c>
      <c r="G11155" s="2">
        <v>0</v>
      </c>
      <c r="H11155" s="1" t="s">
        <v>0</v>
      </c>
      <c r="I11155" s="2">
        <v>0</v>
      </c>
      <c r="J11155" s="1">
        <v>45919.704027777778</v>
      </c>
    </row>
    <row r="11156" spans="1:10" x14ac:dyDescent="0.2">
      <c r="A11156" s="4" t="s">
        <v>1</v>
      </c>
      <c r="B1115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56" s="3" t="str">
        <f>HYPERLINK("https://otsuka-europe-crm.veevavault.com/ui/#object/sent_email__v/VBLZ025E82GUYB7", "SE-000279455")</f>
        <v>SE-000279455</v>
      </c>
      <c r="D11156" s="1" t="s">
        <v>0</v>
      </c>
      <c r="E11156" s="2">
        <v>0</v>
      </c>
      <c r="F11156" s="2">
        <v>0</v>
      </c>
      <c r="G11156" s="2">
        <v>0</v>
      </c>
      <c r="H11156" s="1" t="s">
        <v>0</v>
      </c>
      <c r="I11156" s="2">
        <v>0</v>
      </c>
      <c r="J11156" s="1">
        <v>45919.704027777778</v>
      </c>
    </row>
    <row r="11157" spans="1:10" x14ac:dyDescent="0.2">
      <c r="A11157" s="4" t="s">
        <v>1</v>
      </c>
      <c r="B1115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57" s="3" t="str">
        <f>HYPERLINK("https://otsuka-europe-crm.veevavault.com/ui/#object/sent_email__v/VBLZ025E82GUYB8", "SE-000279456")</f>
        <v>SE-000279456</v>
      </c>
      <c r="D11157" s="1" t="s">
        <v>0</v>
      </c>
      <c r="E11157" s="2">
        <v>0</v>
      </c>
      <c r="F11157" s="2">
        <v>0</v>
      </c>
      <c r="G11157" s="2">
        <v>0</v>
      </c>
      <c r="H11157" s="1" t="s">
        <v>0</v>
      </c>
      <c r="I11157" s="2">
        <v>0</v>
      </c>
      <c r="J11157" s="1">
        <v>45919.704039351855</v>
      </c>
    </row>
    <row r="11158" spans="1:10" x14ac:dyDescent="0.2">
      <c r="A11158" s="4" t="s">
        <v>1</v>
      </c>
      <c r="B1115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58" s="3" t="str">
        <f>HYPERLINK("https://otsuka-europe-crm.veevavault.com/ui/#object/sent_email__v/VBLZ025E82GUYB9", "SE-000279457")</f>
        <v>SE-000279457</v>
      </c>
      <c r="D11158" s="1">
        <v>45924.644189814811</v>
      </c>
      <c r="E11158" s="2">
        <v>1</v>
      </c>
      <c r="F11158" s="2">
        <v>14</v>
      </c>
      <c r="G11158" s="2">
        <v>1</v>
      </c>
      <c r="H11158" s="1">
        <v>45923.297372685185</v>
      </c>
      <c r="I11158" s="2">
        <v>2</v>
      </c>
      <c r="J11158" s="1">
        <v>45919.704050925924</v>
      </c>
    </row>
    <row r="11159" spans="1:10" x14ac:dyDescent="0.2">
      <c r="A11159" s="4" t="s">
        <v>1</v>
      </c>
      <c r="B1115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59" s="3" t="str">
        <f>HYPERLINK("https://otsuka-europe-crm.veevavault.com/ui/#object/sent_email__v/VBLZ025E82GUYBA", "SE-000279458")</f>
        <v>SE-000279458</v>
      </c>
      <c r="D11159" s="1">
        <v>45919.919363425928</v>
      </c>
      <c r="E11159" s="2">
        <v>1</v>
      </c>
      <c r="F11159" s="2">
        <v>1</v>
      </c>
      <c r="G11159" s="2">
        <v>0</v>
      </c>
      <c r="H11159" s="1" t="s">
        <v>0</v>
      </c>
      <c r="I11159" s="2">
        <v>0</v>
      </c>
      <c r="J11159" s="1">
        <v>45919.704062500001</v>
      </c>
    </row>
    <row r="11160" spans="1:10" x14ac:dyDescent="0.2">
      <c r="A11160" s="4" t="s">
        <v>1</v>
      </c>
      <c r="B1116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60" s="3" t="str">
        <f>HYPERLINK("https://otsuka-europe-crm.veevavault.com/ui/#object/sent_email__v/VBLZ025E82GVZ9P", "SE-000279491")</f>
        <v>SE-000279491</v>
      </c>
      <c r="D11160" s="1">
        <v>45922.531898148147</v>
      </c>
      <c r="E11160" s="2">
        <v>1</v>
      </c>
      <c r="F11160" s="2">
        <v>2</v>
      </c>
      <c r="G11160" s="2">
        <v>0</v>
      </c>
      <c r="H11160" s="1" t="s">
        <v>0</v>
      </c>
      <c r="I11160" s="2">
        <v>0</v>
      </c>
      <c r="J11160" s="1">
        <v>45922.497662037036</v>
      </c>
    </row>
    <row r="11161" spans="1:10" x14ac:dyDescent="0.2">
      <c r="A11161" s="4" t="s">
        <v>1</v>
      </c>
      <c r="B1116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61" s="3" t="str">
        <f>HYPERLINK("https://otsuka-europe-crm.veevavault.com/ui/#object/sent_email__v/VBLZ025E82GVZ9Q", "SE-000279492")</f>
        <v>SE-000279492</v>
      </c>
      <c r="D11161" s="1">
        <v>45922.936400462961</v>
      </c>
      <c r="E11161" s="2">
        <v>1</v>
      </c>
      <c r="F11161" s="2">
        <v>1</v>
      </c>
      <c r="G11161" s="2">
        <v>1</v>
      </c>
      <c r="H11161" s="1">
        <v>45922.937164351853</v>
      </c>
      <c r="I11161" s="2">
        <v>1</v>
      </c>
      <c r="J11161" s="1">
        <v>45922.497708333336</v>
      </c>
    </row>
    <row r="11162" spans="1:10" x14ac:dyDescent="0.2">
      <c r="A11162" s="4" t="s">
        <v>1</v>
      </c>
      <c r="B1116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62" s="3" t="str">
        <f>HYPERLINK("https://otsuka-europe-crm.veevavault.com/ui/#object/sent_email__v/VBLZ025E82GVZ9R", "SE-000279493")</f>
        <v>SE-000279493</v>
      </c>
      <c r="D11162" s="1">
        <v>46013.658668981479</v>
      </c>
      <c r="E11162" s="2">
        <v>1</v>
      </c>
      <c r="F11162" s="2">
        <v>5</v>
      </c>
      <c r="G11162" s="2">
        <v>1</v>
      </c>
      <c r="H11162" s="1">
        <v>46013.660416666666</v>
      </c>
      <c r="I11162" s="2">
        <v>7</v>
      </c>
      <c r="J11162" s="1">
        <v>45922.497812499998</v>
      </c>
    </row>
    <row r="11163" spans="1:10" x14ac:dyDescent="0.2">
      <c r="A11163" s="4" t="s">
        <v>1</v>
      </c>
      <c r="B1116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63" s="3" t="str">
        <f>HYPERLINK("https://otsuka-europe-crm.veevavault.com/ui/#object/sent_email__v/VBLZ025E82GVZ9S", "SE-000279494")</f>
        <v>SE-000279494</v>
      </c>
      <c r="D11163" s="1" t="s">
        <v>0</v>
      </c>
      <c r="E11163" s="2">
        <v>0</v>
      </c>
      <c r="F11163" s="2">
        <v>0</v>
      </c>
      <c r="G11163" s="2">
        <v>0</v>
      </c>
      <c r="H11163" s="1" t="s">
        <v>0</v>
      </c>
      <c r="I11163" s="2">
        <v>0</v>
      </c>
      <c r="J11163" s="1">
        <v>45922.497708333336</v>
      </c>
    </row>
    <row r="11164" spans="1:10" x14ac:dyDescent="0.2">
      <c r="A11164" s="4" t="s">
        <v>1</v>
      </c>
      <c r="B1116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64" s="3" t="str">
        <f>HYPERLINK("https://otsuka-europe-crm.veevavault.com/ui/#object/sent_email__v/VBLZ025E82GVZ9T", "SE-000279495")</f>
        <v>SE-000279495</v>
      </c>
      <c r="D11164" s="1">
        <v>45922.547939814816</v>
      </c>
      <c r="E11164" s="2">
        <v>1</v>
      </c>
      <c r="F11164" s="2">
        <v>1</v>
      </c>
      <c r="G11164" s="2">
        <v>1</v>
      </c>
      <c r="H11164" s="1">
        <v>45922.548379629632</v>
      </c>
      <c r="I11164" s="2">
        <v>1</v>
      </c>
      <c r="J11164" s="1">
        <v>45922.497824074075</v>
      </c>
    </row>
    <row r="11165" spans="1:10" x14ac:dyDescent="0.2">
      <c r="A11165" s="4" t="s">
        <v>1</v>
      </c>
      <c r="B1116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65" s="3" t="str">
        <f>HYPERLINK("https://otsuka-europe-crm.veevavault.com/ui/#object/sent_email__v/VBLZ025E82GVZ9U", "SE-000279496")</f>
        <v>SE-000279496</v>
      </c>
      <c r="D11165" s="1" t="s">
        <v>0</v>
      </c>
      <c r="E11165" s="2">
        <v>0</v>
      </c>
      <c r="F11165" s="2">
        <v>0</v>
      </c>
      <c r="G11165" s="2">
        <v>0</v>
      </c>
      <c r="H11165" s="1" t="s">
        <v>0</v>
      </c>
      <c r="I11165" s="2">
        <v>0</v>
      </c>
      <c r="J11165" s="1">
        <v>45922.497685185182</v>
      </c>
    </row>
    <row r="11166" spans="1:10" x14ac:dyDescent="0.2">
      <c r="A11166" s="4" t="s">
        <v>1</v>
      </c>
      <c r="B1116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66" s="3" t="str">
        <f>HYPERLINK("https://otsuka-europe-crm.veevavault.com/ui/#object/sent_email__v/VBLZ025E82GVZ9V", "SE-000279497")</f>
        <v>SE-000279497</v>
      </c>
      <c r="D11166" s="1">
        <v>45922.674351851849</v>
      </c>
      <c r="E11166" s="2">
        <v>1</v>
      </c>
      <c r="F11166" s="2">
        <v>1</v>
      </c>
      <c r="G11166" s="2">
        <v>0</v>
      </c>
      <c r="H11166" s="1" t="s">
        <v>0</v>
      </c>
      <c r="I11166" s="2">
        <v>0</v>
      </c>
      <c r="J11166" s="1">
        <v>45922.497789351852</v>
      </c>
    </row>
    <row r="11167" spans="1:10" x14ac:dyDescent="0.2">
      <c r="A11167" s="4" t="s">
        <v>1</v>
      </c>
      <c r="B1116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67" s="3" t="str">
        <f>HYPERLINK("https://otsuka-europe-crm.veevavault.com/ui/#object/sent_email__v/VBLZ025E82GVZ9W", "SE-000279498")</f>
        <v>SE-000279498</v>
      </c>
      <c r="D11167" s="1">
        <v>45929.129930555559</v>
      </c>
      <c r="E11167" s="2">
        <v>1</v>
      </c>
      <c r="F11167" s="2">
        <v>2</v>
      </c>
      <c r="G11167" s="2">
        <v>0</v>
      </c>
      <c r="H11167" s="1" t="s">
        <v>0</v>
      </c>
      <c r="I11167" s="2">
        <v>0</v>
      </c>
      <c r="J11167" s="1">
        <v>45922.497673611113</v>
      </c>
    </row>
    <row r="11168" spans="1:10" x14ac:dyDescent="0.2">
      <c r="A11168" s="4" t="s">
        <v>1</v>
      </c>
      <c r="B1116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68" s="3" t="str">
        <f>HYPERLINK("https://otsuka-europe-crm.veevavault.com/ui/#object/sent_email__v/VBLZ025E82GVZ9X", "SE-000279499")</f>
        <v>SE-000279499</v>
      </c>
      <c r="D11168" s="1">
        <v>45922.635578703703</v>
      </c>
      <c r="E11168" s="2">
        <v>1</v>
      </c>
      <c r="F11168" s="2">
        <v>1</v>
      </c>
      <c r="G11168" s="2">
        <v>0</v>
      </c>
      <c r="H11168" s="1" t="s">
        <v>0</v>
      </c>
      <c r="I11168" s="2">
        <v>0</v>
      </c>
      <c r="J11168" s="1">
        <v>45922.497777777775</v>
      </c>
    </row>
    <row r="11169" spans="1:10" x14ac:dyDescent="0.2">
      <c r="A11169" s="4" t="s">
        <v>1</v>
      </c>
      <c r="B1116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69" s="3" t="str">
        <f>HYPERLINK("https://otsuka-europe-crm.veevavault.com/ui/#object/sent_email__v/VBLZ025E82GVZ9Y", "SE-000279500")</f>
        <v>SE-000279500</v>
      </c>
      <c r="D11169" s="1">
        <v>45922.932442129626</v>
      </c>
      <c r="E11169" s="2">
        <v>1</v>
      </c>
      <c r="F11169" s="2">
        <v>1</v>
      </c>
      <c r="G11169" s="2">
        <v>0</v>
      </c>
      <c r="H11169" s="1" t="s">
        <v>0</v>
      </c>
      <c r="I11169" s="2">
        <v>0</v>
      </c>
      <c r="J11169" s="1">
        <v>45922.497708333336</v>
      </c>
    </row>
    <row r="11170" spans="1:10" x14ac:dyDescent="0.2">
      <c r="A11170" s="4" t="s">
        <v>1</v>
      </c>
      <c r="B1117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70" s="3" t="str">
        <f>HYPERLINK("https://otsuka-europe-crm.veevavault.com/ui/#object/sent_email__v/VBLZ025E82GVZ9Z", "SE-000279501")</f>
        <v>SE-000279501</v>
      </c>
      <c r="D11170" s="1">
        <v>45922.774780092594</v>
      </c>
      <c r="E11170" s="2">
        <v>1</v>
      </c>
      <c r="F11170" s="2">
        <v>5</v>
      </c>
      <c r="G11170" s="2">
        <v>1</v>
      </c>
      <c r="H11170" s="1">
        <v>45922.732719907406</v>
      </c>
      <c r="I11170" s="2">
        <v>3</v>
      </c>
      <c r="J11170" s="1">
        <v>45922.497800925928</v>
      </c>
    </row>
    <row r="11171" spans="1:10" x14ac:dyDescent="0.2">
      <c r="A11171" s="4" t="s">
        <v>1</v>
      </c>
      <c r="B1117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71" s="3" t="str">
        <f>HYPERLINK("https://otsuka-europe-crm.veevavault.com/ui/#object/sent_email__v/VBLZ025E82GVZA0", "SE-000279502")</f>
        <v>SE-000279502</v>
      </c>
      <c r="D11171" s="1">
        <v>45922.699756944443</v>
      </c>
      <c r="E11171" s="2">
        <v>1</v>
      </c>
      <c r="F11171" s="2">
        <v>1</v>
      </c>
      <c r="G11171" s="2">
        <v>0</v>
      </c>
      <c r="H11171" s="1" t="s">
        <v>0</v>
      </c>
      <c r="I11171" s="2">
        <v>0</v>
      </c>
      <c r="J11171" s="1">
        <v>45922.497696759259</v>
      </c>
    </row>
    <row r="11172" spans="1:10" x14ac:dyDescent="0.2">
      <c r="A11172" s="4" t="s">
        <v>1</v>
      </c>
      <c r="B1117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72" s="3" t="str">
        <f>HYPERLINK("https://otsuka-europe-crm.veevavault.com/ui/#object/sent_email__v/VBLZ025E82GVZA1", "SE-000279503")</f>
        <v>SE-000279503</v>
      </c>
      <c r="D11172" s="1">
        <v>45923.953611111108</v>
      </c>
      <c r="E11172" s="2">
        <v>1</v>
      </c>
      <c r="F11172" s="2">
        <v>4</v>
      </c>
      <c r="G11172" s="2">
        <v>0</v>
      </c>
      <c r="H11172" s="1" t="s">
        <v>0</v>
      </c>
      <c r="I11172" s="2">
        <v>0</v>
      </c>
      <c r="J11172" s="1">
        <v>45922.497800925928</v>
      </c>
    </row>
    <row r="11173" spans="1:10" x14ac:dyDescent="0.2">
      <c r="A11173" s="4" t="s">
        <v>1</v>
      </c>
      <c r="B1117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73" s="3" t="str">
        <f>HYPERLINK("https://otsuka-europe-crm.veevavault.com/ui/#object/sent_email__v/VBLZ025E82GVZA2", "SE-000279504")</f>
        <v>SE-000279504</v>
      </c>
      <c r="D11173" s="1">
        <v>45922.707037037035</v>
      </c>
      <c r="E11173" s="2">
        <v>1</v>
      </c>
      <c r="F11173" s="2">
        <v>1</v>
      </c>
      <c r="G11173" s="2">
        <v>0</v>
      </c>
      <c r="H11173" s="1" t="s">
        <v>0</v>
      </c>
      <c r="I11173" s="2">
        <v>0</v>
      </c>
      <c r="J11173" s="1">
        <v>45922.497743055559</v>
      </c>
    </row>
    <row r="11174" spans="1:10" x14ac:dyDescent="0.2">
      <c r="A11174" s="4" t="s">
        <v>1</v>
      </c>
      <c r="B1117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74" s="3" t="str">
        <f>HYPERLINK("https://otsuka-europe-crm.veevavault.com/ui/#object/sent_email__v/VBLZ025E82GVZA3", "SE-000279505")</f>
        <v>SE-000279505</v>
      </c>
      <c r="D11174" s="1" t="s">
        <v>0</v>
      </c>
      <c r="E11174" s="2">
        <v>0</v>
      </c>
      <c r="F11174" s="2">
        <v>0</v>
      </c>
      <c r="G11174" s="2">
        <v>0</v>
      </c>
      <c r="H11174" s="1" t="s">
        <v>0</v>
      </c>
      <c r="I11174" s="2">
        <v>0</v>
      </c>
      <c r="J11174" s="1">
        <v>45922.497627314813</v>
      </c>
    </row>
    <row r="11175" spans="1:10" x14ac:dyDescent="0.2">
      <c r="A11175" s="4" t="s">
        <v>1</v>
      </c>
      <c r="B1117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75" s="3" t="str">
        <f>HYPERLINK("https://otsuka-europe-crm.veevavault.com/ui/#object/sent_email__v/VBLZ025E82GVZA4", "SE-000279506")</f>
        <v>SE-000279506</v>
      </c>
      <c r="D11175" s="1">
        <v>45923.919571759259</v>
      </c>
      <c r="E11175" s="2">
        <v>1</v>
      </c>
      <c r="F11175" s="2">
        <v>3</v>
      </c>
      <c r="G11175" s="2">
        <v>0</v>
      </c>
      <c r="H11175" s="1" t="s">
        <v>0</v>
      </c>
      <c r="I11175" s="2">
        <v>0</v>
      </c>
      <c r="J11175" s="1">
        <v>45922.497743055559</v>
      </c>
    </row>
    <row r="11176" spans="1:10" x14ac:dyDescent="0.2">
      <c r="A11176" s="4" t="s">
        <v>1</v>
      </c>
      <c r="B1117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76" s="3" t="str">
        <f>HYPERLINK("https://otsuka-europe-crm.veevavault.com/ui/#object/sent_email__v/VBLZ025E82GVZA5", "SE-000279507")</f>
        <v>SE-000279507</v>
      </c>
      <c r="D11176" s="1">
        <v>45924.61613425926</v>
      </c>
      <c r="E11176" s="2">
        <v>1</v>
      </c>
      <c r="F11176" s="2">
        <v>1</v>
      </c>
      <c r="G11176" s="2">
        <v>0</v>
      </c>
      <c r="H11176" s="1" t="s">
        <v>0</v>
      </c>
      <c r="I11176" s="2">
        <v>0</v>
      </c>
      <c r="J11176" s="1">
        <v>45922.497627314813</v>
      </c>
    </row>
    <row r="11177" spans="1:10" x14ac:dyDescent="0.2">
      <c r="A11177" s="4" t="s">
        <v>1</v>
      </c>
      <c r="B1117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77" s="3" t="str">
        <f>HYPERLINK("https://otsuka-europe-crm.veevavault.com/ui/#object/sent_email__v/VBLZ025E82GVZA6", "SE-000279508")</f>
        <v>SE-000279508</v>
      </c>
      <c r="D11177" s="1">
        <v>45922.504965277774</v>
      </c>
      <c r="E11177" s="2">
        <v>1</v>
      </c>
      <c r="F11177" s="2">
        <v>1</v>
      </c>
      <c r="G11177" s="2">
        <v>0</v>
      </c>
      <c r="H11177" s="1" t="s">
        <v>0</v>
      </c>
      <c r="I11177" s="2">
        <v>0</v>
      </c>
      <c r="J11177" s="1">
        <v>45922.497731481482</v>
      </c>
    </row>
    <row r="11178" spans="1:10" x14ac:dyDescent="0.2">
      <c r="A11178" s="4" t="s">
        <v>1</v>
      </c>
      <c r="B1117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78" s="3" t="str">
        <f>HYPERLINK("https://otsuka-europe-crm.veevavault.com/ui/#object/sent_email__v/VBLZ025E82GVZA7", "SE-000279509")</f>
        <v>SE-000279509</v>
      </c>
      <c r="D11178" s="1">
        <v>45923.727766203701</v>
      </c>
      <c r="E11178" s="2">
        <v>1</v>
      </c>
      <c r="F11178" s="2">
        <v>3</v>
      </c>
      <c r="G11178" s="2">
        <v>0</v>
      </c>
      <c r="H11178" s="1" t="s">
        <v>0</v>
      </c>
      <c r="I11178" s="2">
        <v>0</v>
      </c>
      <c r="J11178" s="1">
        <v>45922.497615740744</v>
      </c>
    </row>
    <row r="11179" spans="1:10" x14ac:dyDescent="0.2">
      <c r="A11179" s="4" t="s">
        <v>1</v>
      </c>
      <c r="B1117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79" s="3" t="str">
        <f>HYPERLINK("https://otsuka-europe-crm.veevavault.com/ui/#object/sent_email__v/VBLZ025E82GVZA8", "SE-000279510")</f>
        <v>SE-000279510</v>
      </c>
      <c r="D11179" s="1">
        <v>45923.40488425926</v>
      </c>
      <c r="E11179" s="2">
        <v>1</v>
      </c>
      <c r="F11179" s="2">
        <v>1</v>
      </c>
      <c r="G11179" s="2">
        <v>0</v>
      </c>
      <c r="H11179" s="1" t="s">
        <v>0</v>
      </c>
      <c r="I11179" s="2">
        <v>0</v>
      </c>
      <c r="J11179" s="1">
        <v>45922.497743055559</v>
      </c>
    </row>
    <row r="11180" spans="1:10" x14ac:dyDescent="0.2">
      <c r="A11180" s="4" t="s">
        <v>1</v>
      </c>
      <c r="B1118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80" s="3" t="str">
        <f>HYPERLINK("https://otsuka-europe-crm.veevavault.com/ui/#object/sent_email__v/VBLZ025E82GVZA9", "SE-000279511")</f>
        <v>SE-000279511</v>
      </c>
      <c r="D11180" s="1" t="s">
        <v>0</v>
      </c>
      <c r="E11180" s="2">
        <v>0</v>
      </c>
      <c r="F11180" s="2">
        <v>0</v>
      </c>
      <c r="G11180" s="2">
        <v>0</v>
      </c>
      <c r="H11180" s="1" t="s">
        <v>0</v>
      </c>
      <c r="I11180" s="2">
        <v>0</v>
      </c>
      <c r="J11180" s="1">
        <v>45922.497615740744</v>
      </c>
    </row>
    <row r="11181" spans="1:10" x14ac:dyDescent="0.2">
      <c r="A11181" s="4" t="s">
        <v>1</v>
      </c>
      <c r="B1118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81" s="3" t="str">
        <f>HYPERLINK("https://otsuka-europe-crm.veevavault.com/ui/#object/sent_email__v/VBLZ025E82GVZAA", "SE-000279512")</f>
        <v>SE-000279512</v>
      </c>
      <c r="D11181" s="1">
        <v>45923.570567129631</v>
      </c>
      <c r="E11181" s="2">
        <v>1</v>
      </c>
      <c r="F11181" s="2">
        <v>1</v>
      </c>
      <c r="G11181" s="2">
        <v>1</v>
      </c>
      <c r="H11181" s="1">
        <v>45923.570567129631</v>
      </c>
      <c r="I11181" s="2">
        <v>1</v>
      </c>
      <c r="J11181" s="1">
        <v>45922.497766203705</v>
      </c>
    </row>
    <row r="11182" spans="1:10" x14ac:dyDescent="0.2">
      <c r="A11182" s="4" t="s">
        <v>1</v>
      </c>
      <c r="B1118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82" s="3" t="str">
        <f>HYPERLINK("https://otsuka-europe-crm.veevavault.com/ui/#object/sent_email__v/VBLZ025E82GVZAB", "SE-000279513")</f>
        <v>SE-000279513</v>
      </c>
      <c r="D11182" s="1" t="s">
        <v>0</v>
      </c>
      <c r="E11182" s="2">
        <v>0</v>
      </c>
      <c r="F11182" s="2">
        <v>0</v>
      </c>
      <c r="G11182" s="2">
        <v>0</v>
      </c>
      <c r="H11182" s="1" t="s">
        <v>0</v>
      </c>
      <c r="I11182" s="2">
        <v>0</v>
      </c>
      <c r="J11182" s="1">
        <v>45922.497662037036</v>
      </c>
    </row>
    <row r="11183" spans="1:10" x14ac:dyDescent="0.2">
      <c r="A11183" s="4" t="s">
        <v>1</v>
      </c>
      <c r="B1118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83" s="3" t="str">
        <f>HYPERLINK("https://otsuka-europe-crm.veevavault.com/ui/#object/sent_email__v/VBLZ025E82GVZAC", "SE-000279514")</f>
        <v>SE-000279514</v>
      </c>
      <c r="D11183" s="1">
        <v>45927.995393518519</v>
      </c>
      <c r="E11183" s="2">
        <v>1</v>
      </c>
      <c r="F11183" s="2">
        <v>2</v>
      </c>
      <c r="G11183" s="2">
        <v>1</v>
      </c>
      <c r="H11183" s="1">
        <v>45923.895451388889</v>
      </c>
      <c r="I11183" s="2">
        <v>1</v>
      </c>
      <c r="J11183" s="1">
        <v>45922.497754629629</v>
      </c>
    </row>
    <row r="11184" spans="1:10" x14ac:dyDescent="0.2">
      <c r="A11184" s="4" t="s">
        <v>1</v>
      </c>
      <c r="B1118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84" s="3" t="str">
        <f>HYPERLINK("https://otsuka-europe-crm.veevavault.com/ui/#object/sent_email__v/VBLZ025E82GVZAD", "SE-000279515")</f>
        <v>SE-000279515</v>
      </c>
      <c r="D11184" s="1">
        <v>45922.54928240741</v>
      </c>
      <c r="E11184" s="2">
        <v>1</v>
      </c>
      <c r="F11184" s="2">
        <v>2</v>
      </c>
      <c r="G11184" s="2">
        <v>0</v>
      </c>
      <c r="H11184" s="1" t="s">
        <v>0</v>
      </c>
      <c r="I11184" s="2">
        <v>0</v>
      </c>
      <c r="J11184" s="1">
        <v>45922.49763888889</v>
      </c>
    </row>
    <row r="11185" spans="1:10" x14ac:dyDescent="0.2">
      <c r="A11185" s="4" t="s">
        <v>1</v>
      </c>
      <c r="B1118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85" s="3" t="str">
        <f>HYPERLINK("https://otsuka-europe-crm.veevavault.com/ui/#object/sent_email__v/VBLZ025E82GVZAE", "SE-000279516")</f>
        <v>SE-000279516</v>
      </c>
      <c r="D11185" s="1">
        <v>45944.565254629626</v>
      </c>
      <c r="E11185" s="2">
        <v>1</v>
      </c>
      <c r="F11185" s="2">
        <v>3</v>
      </c>
      <c r="G11185" s="2">
        <v>0</v>
      </c>
      <c r="H11185" s="1" t="s">
        <v>0</v>
      </c>
      <c r="I11185" s="2">
        <v>0</v>
      </c>
      <c r="J11185" s="1">
        <v>45922.497777777775</v>
      </c>
    </row>
    <row r="11186" spans="1:10" x14ac:dyDescent="0.2">
      <c r="A11186" s="4" t="s">
        <v>1</v>
      </c>
      <c r="B1118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86" s="3" t="str">
        <f>HYPERLINK("https://otsuka-europe-crm.veevavault.com/ui/#object/sent_email__v/VBLZ025E82GVZAF", "SE-000279517")</f>
        <v>SE-000279517</v>
      </c>
      <c r="D11186" s="1">
        <v>45922.550810185188</v>
      </c>
      <c r="E11186" s="2">
        <v>1</v>
      </c>
      <c r="F11186" s="2">
        <v>2</v>
      </c>
      <c r="G11186" s="2">
        <v>0</v>
      </c>
      <c r="H11186" s="1" t="s">
        <v>0</v>
      </c>
      <c r="I11186" s="2">
        <v>0</v>
      </c>
      <c r="J11186" s="1">
        <v>45922.497662037036</v>
      </c>
    </row>
    <row r="11187" spans="1:10" x14ac:dyDescent="0.2">
      <c r="A11187" s="4" t="s">
        <v>1</v>
      </c>
      <c r="B1118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87" s="3" t="str">
        <f>HYPERLINK("https://otsuka-europe-crm.veevavault.com/ui/#object/sent_email__v/VBLZ025E82GVZF9", "SE-000279518")</f>
        <v>SE-000279518</v>
      </c>
      <c r="D11187" s="1" t="s">
        <v>0</v>
      </c>
      <c r="E11187" s="2">
        <v>0</v>
      </c>
      <c r="F11187" s="2">
        <v>0</v>
      </c>
      <c r="G11187" s="2">
        <v>0</v>
      </c>
      <c r="H11187" s="1" t="s">
        <v>0</v>
      </c>
      <c r="I11187" s="2">
        <v>0</v>
      </c>
      <c r="J11187" s="1">
        <v>45922.498923611114</v>
      </c>
    </row>
    <row r="11188" spans="1:10" x14ac:dyDescent="0.2">
      <c r="A11188" s="4" t="s">
        <v>1</v>
      </c>
      <c r="B1118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88" s="3" t="str">
        <f>HYPERLINK("https://otsuka-europe-crm.veevavault.com/ui/#object/sent_email__v/VBLZ025E82GVZFA", "SE-000279519")</f>
        <v>SE-000279519</v>
      </c>
      <c r="D11188" s="1">
        <v>45922.547013888892</v>
      </c>
      <c r="E11188" s="2">
        <v>1</v>
      </c>
      <c r="F11188" s="2">
        <v>1</v>
      </c>
      <c r="G11188" s="2">
        <v>0</v>
      </c>
      <c r="H11188" s="1" t="s">
        <v>0</v>
      </c>
      <c r="I11188" s="2">
        <v>0</v>
      </c>
      <c r="J11188" s="1">
        <v>45922.498784722222</v>
      </c>
    </row>
    <row r="11189" spans="1:10" x14ac:dyDescent="0.2">
      <c r="A11189" s="4" t="s">
        <v>1</v>
      </c>
      <c r="B1118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89" s="3" t="str">
        <f>HYPERLINK("https://otsuka-europe-crm.veevavault.com/ui/#object/sent_email__v/VBLZ025E82GVZFB", "SE-000279520")</f>
        <v>SE-000279520</v>
      </c>
      <c r="D11189" s="1" t="s">
        <v>0</v>
      </c>
      <c r="E11189" s="2">
        <v>0</v>
      </c>
      <c r="F11189" s="2">
        <v>0</v>
      </c>
      <c r="G11189" s="2">
        <v>0</v>
      </c>
      <c r="H11189" s="1" t="s">
        <v>0</v>
      </c>
      <c r="I11189" s="2">
        <v>0</v>
      </c>
      <c r="J11189" s="1">
        <v>45922.498865740738</v>
      </c>
    </row>
    <row r="11190" spans="1:10" x14ac:dyDescent="0.2">
      <c r="A11190" s="4" t="s">
        <v>1</v>
      </c>
      <c r="B1119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90" s="3" t="str">
        <f>HYPERLINK("https://otsuka-europe-crm.veevavault.com/ui/#object/sent_email__v/VBLZ025E82GVZFC", "SE-000279521")</f>
        <v>SE-000279521</v>
      </c>
      <c r="D11190" s="1">
        <v>45922.909444444442</v>
      </c>
      <c r="E11190" s="2">
        <v>1</v>
      </c>
      <c r="F11190" s="2">
        <v>2</v>
      </c>
      <c r="G11190" s="2">
        <v>0</v>
      </c>
      <c r="H11190" s="1" t="s">
        <v>0</v>
      </c>
      <c r="I11190" s="2">
        <v>0</v>
      </c>
      <c r="J11190" s="1">
        <v>45922.498993055553</v>
      </c>
    </row>
    <row r="11191" spans="1:10" x14ac:dyDescent="0.2">
      <c r="A11191" s="4" t="s">
        <v>1</v>
      </c>
      <c r="B1119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91" s="3" t="str">
        <f>HYPERLINK("https://otsuka-europe-crm.veevavault.com/ui/#object/sent_email__v/VBLZ025E82GVZFD", "SE-000279522")</f>
        <v>SE-000279522</v>
      </c>
      <c r="D11191" s="1" t="s">
        <v>0</v>
      </c>
      <c r="E11191" s="2">
        <v>0</v>
      </c>
      <c r="F11191" s="2">
        <v>0</v>
      </c>
      <c r="G11191" s="2">
        <v>0</v>
      </c>
      <c r="H11191" s="1" t="s">
        <v>0</v>
      </c>
      <c r="I11191" s="2">
        <v>0</v>
      </c>
      <c r="J11191" s="1">
        <v>45922.498842592591</v>
      </c>
    </row>
    <row r="11192" spans="1:10" x14ac:dyDescent="0.2">
      <c r="A11192" s="4" t="s">
        <v>1</v>
      </c>
      <c r="B1119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92" s="3" t="str">
        <f>HYPERLINK("https://otsuka-europe-crm.veevavault.com/ui/#object/sent_email__v/VBLZ025E82GVZFE", "SE-000279523")</f>
        <v>SE-000279523</v>
      </c>
      <c r="D11192" s="1">
        <v>45923.831030092595</v>
      </c>
      <c r="E11192" s="2">
        <v>1</v>
      </c>
      <c r="F11192" s="2">
        <v>1</v>
      </c>
      <c r="G11192" s="2">
        <v>0</v>
      </c>
      <c r="H11192" s="1" t="s">
        <v>0</v>
      </c>
      <c r="I11192" s="2">
        <v>0</v>
      </c>
      <c r="J11192" s="1">
        <v>45922.498981481483</v>
      </c>
    </row>
    <row r="11193" spans="1:10" x14ac:dyDescent="0.2">
      <c r="A11193" s="4" t="s">
        <v>1</v>
      </c>
      <c r="B1119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93" s="3" t="str">
        <f>HYPERLINK("https://otsuka-europe-crm.veevavault.com/ui/#object/sent_email__v/VBLZ025E82GVZFF", "SE-000279524")</f>
        <v>SE-000279524</v>
      </c>
      <c r="D11193" s="1" t="s">
        <v>0</v>
      </c>
      <c r="E11193" s="2">
        <v>0</v>
      </c>
      <c r="F11193" s="2">
        <v>0</v>
      </c>
      <c r="G11193" s="2">
        <v>0</v>
      </c>
      <c r="H11193" s="1" t="s">
        <v>0</v>
      </c>
      <c r="I11193" s="2">
        <v>0</v>
      </c>
      <c r="J11193" s="1">
        <v>45922.498877314814</v>
      </c>
    </row>
    <row r="11194" spans="1:10" x14ac:dyDescent="0.2">
      <c r="A11194" s="4" t="s">
        <v>1</v>
      </c>
      <c r="B1119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94" s="3" t="str">
        <f>HYPERLINK("https://otsuka-europe-crm.veevavault.com/ui/#object/sent_email__v/VBLZ025E82GVZFG", "SE-000279525")</f>
        <v>SE-000279525</v>
      </c>
      <c r="D11194" s="1" t="s">
        <v>0</v>
      </c>
      <c r="E11194" s="2">
        <v>0</v>
      </c>
      <c r="F11194" s="2">
        <v>0</v>
      </c>
      <c r="G11194" s="2">
        <v>0</v>
      </c>
      <c r="H11194" s="1" t="s">
        <v>0</v>
      </c>
      <c r="I11194" s="2">
        <v>0</v>
      </c>
      <c r="J11194" s="1">
        <v>45922.49900462963</v>
      </c>
    </row>
    <row r="11195" spans="1:10" x14ac:dyDescent="0.2">
      <c r="A11195" s="4" t="s">
        <v>1</v>
      </c>
      <c r="B1119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95" s="3" t="str">
        <f>HYPERLINK("https://otsuka-europe-crm.veevavault.com/ui/#object/sent_email__v/VBLZ025E82GVZFH", "SE-000279526")</f>
        <v>SE-000279526</v>
      </c>
      <c r="D11195" s="1" t="s">
        <v>0</v>
      </c>
      <c r="E11195" s="2">
        <v>0</v>
      </c>
      <c r="F11195" s="2">
        <v>0</v>
      </c>
      <c r="G11195" s="2">
        <v>0</v>
      </c>
      <c r="H11195" s="1" t="s">
        <v>0</v>
      </c>
      <c r="I11195" s="2">
        <v>0</v>
      </c>
      <c r="J11195" s="1">
        <v>45922.498900462961</v>
      </c>
    </row>
    <row r="11196" spans="1:10" x14ac:dyDescent="0.2">
      <c r="A11196" s="4" t="s">
        <v>1</v>
      </c>
      <c r="B1119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96" s="3" t="str">
        <f>HYPERLINK("https://otsuka-europe-crm.veevavault.com/ui/#object/sent_email__v/VBLZ025E82GVZFI", "SE-000279527")</f>
        <v>SE-000279527</v>
      </c>
      <c r="D11196" s="1" t="s">
        <v>0</v>
      </c>
      <c r="E11196" s="2">
        <v>0</v>
      </c>
      <c r="F11196" s="2">
        <v>0</v>
      </c>
      <c r="G11196" s="2">
        <v>0</v>
      </c>
      <c r="H11196" s="1" t="s">
        <v>0</v>
      </c>
      <c r="I11196" s="2">
        <v>0</v>
      </c>
      <c r="J11196" s="1">
        <v>45922.499027777776</v>
      </c>
    </row>
    <row r="11197" spans="1:10" x14ac:dyDescent="0.2">
      <c r="A11197" s="4" t="s">
        <v>1</v>
      </c>
      <c r="B1119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97" s="3" t="str">
        <f>HYPERLINK("https://otsuka-europe-crm.veevavault.com/ui/#object/sent_email__v/VBLZ025E82GVZFJ", "SE-000279528")</f>
        <v>SE-000279528</v>
      </c>
      <c r="D11197" s="1" t="s">
        <v>0</v>
      </c>
      <c r="E11197" s="2">
        <v>0</v>
      </c>
      <c r="F11197" s="2">
        <v>0</v>
      </c>
      <c r="G11197" s="2">
        <v>0</v>
      </c>
      <c r="H11197" s="1" t="s">
        <v>0</v>
      </c>
      <c r="I11197" s="2">
        <v>0</v>
      </c>
      <c r="J11197" s="1">
        <v>45922.498807870368</v>
      </c>
    </row>
    <row r="11198" spans="1:10" x14ac:dyDescent="0.2">
      <c r="A11198" s="4" t="s">
        <v>1</v>
      </c>
      <c r="B1119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98" s="3" t="str">
        <f>HYPERLINK("https://otsuka-europe-crm.veevavault.com/ui/#object/sent_email__v/VBLZ025E82GVZFK", "SE-000279529")</f>
        <v>SE-000279529</v>
      </c>
      <c r="D11198" s="1">
        <v>45922.871053240742</v>
      </c>
      <c r="E11198" s="2">
        <v>1</v>
      </c>
      <c r="F11198" s="2">
        <v>1</v>
      </c>
      <c r="G11198" s="2">
        <v>0</v>
      </c>
      <c r="H11198" s="1" t="s">
        <v>0</v>
      </c>
      <c r="I11198" s="2">
        <v>0</v>
      </c>
      <c r="J11198" s="1">
        <v>45922.499016203707</v>
      </c>
    </row>
    <row r="11199" spans="1:10" x14ac:dyDescent="0.2">
      <c r="A11199" s="4" t="s">
        <v>1</v>
      </c>
      <c r="B1119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199" s="3" t="str">
        <f>HYPERLINK("https://otsuka-europe-crm.veevavault.com/ui/#object/sent_email__v/VBLZ025E82GVZFL", "SE-000279530")</f>
        <v>SE-000279530</v>
      </c>
      <c r="D11199" s="1" t="s">
        <v>0</v>
      </c>
      <c r="E11199" s="2">
        <v>0</v>
      </c>
      <c r="F11199" s="2">
        <v>0</v>
      </c>
      <c r="G11199" s="2">
        <v>0</v>
      </c>
      <c r="H11199" s="1" t="s">
        <v>0</v>
      </c>
      <c r="I11199" s="2">
        <v>0</v>
      </c>
      <c r="J11199" s="1">
        <v>45922.498888888891</v>
      </c>
    </row>
    <row r="11200" spans="1:10" x14ac:dyDescent="0.2">
      <c r="A11200" s="4" t="s">
        <v>1</v>
      </c>
      <c r="B1120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00" s="3" t="str">
        <f>HYPERLINK("https://otsuka-europe-crm.veevavault.com/ui/#object/sent_email__v/VBLZ025E82GVZFM", "SE-000279531")</f>
        <v>SE-000279531</v>
      </c>
      <c r="D11200" s="1">
        <v>45922.498888888891</v>
      </c>
      <c r="E11200" s="2">
        <v>1</v>
      </c>
      <c r="F11200" s="2">
        <v>1</v>
      </c>
      <c r="G11200" s="2">
        <v>0</v>
      </c>
      <c r="H11200" s="1" t="s">
        <v>0</v>
      </c>
      <c r="I11200" s="2">
        <v>0</v>
      </c>
      <c r="J11200" s="1">
        <v>45922.498819444445</v>
      </c>
    </row>
    <row r="11201" spans="1:10" x14ac:dyDescent="0.2">
      <c r="A11201" s="4" t="s">
        <v>1</v>
      </c>
      <c r="B1120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01" s="3" t="str">
        <f>HYPERLINK("https://otsuka-europe-crm.veevavault.com/ui/#object/sent_email__v/VBLZ025E82GVZFN", "SE-000279532")</f>
        <v>SE-000279532</v>
      </c>
      <c r="D11201" s="1" t="s">
        <v>0</v>
      </c>
      <c r="E11201" s="2">
        <v>0</v>
      </c>
      <c r="F11201" s="2">
        <v>0</v>
      </c>
      <c r="G11201" s="2">
        <v>0</v>
      </c>
      <c r="H11201" s="1" t="s">
        <v>0</v>
      </c>
      <c r="I11201" s="2">
        <v>0</v>
      </c>
      <c r="J11201" s="1">
        <v>45922.49895833333</v>
      </c>
    </row>
    <row r="11202" spans="1:10" x14ac:dyDescent="0.2">
      <c r="A11202" s="4" t="s">
        <v>1</v>
      </c>
      <c r="B1120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02" s="3" t="str">
        <f>HYPERLINK("https://otsuka-europe-crm.veevavault.com/ui/#object/sent_email__v/VBLZ025E82GVZFO", "SE-000279533")</f>
        <v>SE-000279533</v>
      </c>
      <c r="D11202" s="1" t="s">
        <v>0</v>
      </c>
      <c r="E11202" s="2">
        <v>0</v>
      </c>
      <c r="F11202" s="2">
        <v>0</v>
      </c>
      <c r="G11202" s="2">
        <v>0</v>
      </c>
      <c r="H11202" s="1" t="s">
        <v>0</v>
      </c>
      <c r="I11202" s="2">
        <v>0</v>
      </c>
      <c r="J11202" s="1">
        <v>45922.498807870368</v>
      </c>
    </row>
    <row r="11203" spans="1:10" x14ac:dyDescent="0.2">
      <c r="A11203" s="4" t="s">
        <v>1</v>
      </c>
      <c r="B1120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03" s="3" t="str">
        <f>HYPERLINK("https://otsuka-europe-crm.veevavault.com/ui/#object/sent_email__v/VBLZ025E82GVZFP", "SE-000279534")</f>
        <v>SE-000279534</v>
      </c>
      <c r="D11203" s="1" t="s">
        <v>0</v>
      </c>
      <c r="E11203" s="2">
        <v>0</v>
      </c>
      <c r="F11203" s="2">
        <v>0</v>
      </c>
      <c r="G11203" s="2">
        <v>0</v>
      </c>
      <c r="H11203" s="1" t="s">
        <v>0</v>
      </c>
      <c r="I11203" s="2">
        <v>0</v>
      </c>
      <c r="J11203" s="1">
        <v>45922.49895833333</v>
      </c>
    </row>
    <row r="11204" spans="1:10" x14ac:dyDescent="0.2">
      <c r="A11204" s="4" t="s">
        <v>1</v>
      </c>
      <c r="B1120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04" s="3" t="str">
        <f>HYPERLINK("https://otsuka-europe-crm.veevavault.com/ui/#object/sent_email__v/VBLZ025E82GVZFQ", "SE-000279535")</f>
        <v>SE-000279535</v>
      </c>
      <c r="D11204" s="1">
        <v>45922.510555555556</v>
      </c>
      <c r="E11204" s="2">
        <v>1</v>
      </c>
      <c r="F11204" s="2">
        <v>1</v>
      </c>
      <c r="G11204" s="2">
        <v>0</v>
      </c>
      <c r="H11204" s="1" t="s">
        <v>0</v>
      </c>
      <c r="I11204" s="2">
        <v>0</v>
      </c>
      <c r="J11204" s="1">
        <v>45922.498842592591</v>
      </c>
    </row>
    <row r="11205" spans="1:10" x14ac:dyDescent="0.2">
      <c r="A11205" s="4" t="s">
        <v>1</v>
      </c>
      <c r="B1120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05" s="3" t="str">
        <f>HYPERLINK("https://otsuka-europe-crm.veevavault.com/ui/#object/sent_email__v/VBLZ025E82GVZFR", "SE-000279536")</f>
        <v>SE-000279536</v>
      </c>
      <c r="D11205" s="1">
        <v>45922.582129629627</v>
      </c>
      <c r="E11205" s="2">
        <v>1</v>
      </c>
      <c r="F11205" s="2">
        <v>1</v>
      </c>
      <c r="G11205" s="2">
        <v>0</v>
      </c>
      <c r="H11205" s="1" t="s">
        <v>0</v>
      </c>
      <c r="I11205" s="2">
        <v>0</v>
      </c>
      <c r="J11205" s="1">
        <v>45922.498969907407</v>
      </c>
    </row>
    <row r="11206" spans="1:10" x14ac:dyDescent="0.2">
      <c r="A11206" s="4" t="s">
        <v>1</v>
      </c>
      <c r="B1120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06" s="3" t="str">
        <f>HYPERLINK("https://otsuka-europe-crm.veevavault.com/ui/#object/sent_email__v/VBLZ025E82GVZFS", "SE-000279537")</f>
        <v>SE-000279537</v>
      </c>
      <c r="D11206" s="1">
        <v>45922.736875000002</v>
      </c>
      <c r="E11206" s="2">
        <v>1</v>
      </c>
      <c r="F11206" s="2">
        <v>1</v>
      </c>
      <c r="G11206" s="2">
        <v>0</v>
      </c>
      <c r="H11206" s="1" t="s">
        <v>0</v>
      </c>
      <c r="I11206" s="2">
        <v>0</v>
      </c>
      <c r="J11206" s="1">
        <v>45922.498831018522</v>
      </c>
    </row>
    <row r="11207" spans="1:10" x14ac:dyDescent="0.2">
      <c r="A11207" s="4" t="s">
        <v>1</v>
      </c>
      <c r="B1120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07" s="3" t="str">
        <f>HYPERLINK("https://otsuka-europe-crm.veevavault.com/ui/#object/sent_email__v/VBLZ025E82GVZFT", "SE-000279538")</f>
        <v>SE-000279538</v>
      </c>
      <c r="D11207" s="1">
        <v>45927.360289351855</v>
      </c>
      <c r="E11207" s="2">
        <v>1</v>
      </c>
      <c r="F11207" s="2">
        <v>1</v>
      </c>
      <c r="G11207" s="2">
        <v>0</v>
      </c>
      <c r="H11207" s="1" t="s">
        <v>0</v>
      </c>
      <c r="I11207" s="2">
        <v>0</v>
      </c>
      <c r="J11207" s="1">
        <v>45922.498981481483</v>
      </c>
    </row>
    <row r="11208" spans="1:10" x14ac:dyDescent="0.2">
      <c r="A11208" s="4" t="s">
        <v>1</v>
      </c>
      <c r="B1120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08" s="3" t="str">
        <f>HYPERLINK("https://otsuka-europe-crm.veevavault.com/ui/#object/sent_email__v/VBLZ025E82GVZFU", "SE-000279539")</f>
        <v>SE-000279539</v>
      </c>
      <c r="D11208" s="1" t="s">
        <v>0</v>
      </c>
      <c r="E11208" s="2">
        <v>0</v>
      </c>
      <c r="F11208" s="2">
        <v>0</v>
      </c>
      <c r="G11208" s="2">
        <v>0</v>
      </c>
      <c r="H11208" s="1" t="s">
        <v>0</v>
      </c>
      <c r="I11208" s="2">
        <v>0</v>
      </c>
      <c r="J11208" s="1">
        <v>45922.498854166668</v>
      </c>
    </row>
    <row r="11209" spans="1:10" x14ac:dyDescent="0.2">
      <c r="A11209" s="4" t="s">
        <v>1</v>
      </c>
      <c r="B1120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09" s="3" t="str">
        <f>HYPERLINK("https://otsuka-europe-crm.veevavault.com/ui/#object/sent_email__v/VBLZ025E82GVZFV", "SE-000279540")</f>
        <v>SE-000279540</v>
      </c>
      <c r="D11209" s="1">
        <v>45957.879259259258</v>
      </c>
      <c r="E11209" s="2">
        <v>1</v>
      </c>
      <c r="F11209" s="2">
        <v>7</v>
      </c>
      <c r="G11209" s="2">
        <v>0</v>
      </c>
      <c r="H11209" s="1" t="s">
        <v>0</v>
      </c>
      <c r="I11209" s="2">
        <v>0</v>
      </c>
      <c r="J11209" s="1">
        <v>45922.49894675926</v>
      </c>
    </row>
    <row r="11210" spans="1:10" x14ac:dyDescent="0.2">
      <c r="A11210" s="4" t="s">
        <v>1</v>
      </c>
      <c r="B1121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10" s="3" t="str">
        <f>HYPERLINK("https://otsuka-europe-crm.veevavault.com/ui/#object/sent_email__v/VBLZ025E82GVZFW", "SE-000279541")</f>
        <v>SE-000279541</v>
      </c>
      <c r="D11210" s="1" t="s">
        <v>0</v>
      </c>
      <c r="E11210" s="2">
        <v>0</v>
      </c>
      <c r="F11210" s="2">
        <v>0</v>
      </c>
      <c r="G11210" s="2">
        <v>0</v>
      </c>
      <c r="H11210" s="1" t="s">
        <v>0</v>
      </c>
      <c r="I11210" s="2">
        <v>0</v>
      </c>
      <c r="J11210" s="1">
        <v>45922.498796296299</v>
      </c>
    </row>
    <row r="11211" spans="1:10" x14ac:dyDescent="0.2">
      <c r="A11211" s="4" t="s">
        <v>1</v>
      </c>
      <c r="B1121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11" s="3" t="str">
        <f>HYPERLINK("https://otsuka-europe-crm.veevavault.com/ui/#object/sent_email__v/VBLZ025E82GVZFX", "SE-000279542")</f>
        <v>SE-000279542</v>
      </c>
      <c r="D11211" s="1">
        <v>45929.576631944445</v>
      </c>
      <c r="E11211" s="2">
        <v>1</v>
      </c>
      <c r="F11211" s="2">
        <v>2</v>
      </c>
      <c r="G11211" s="2">
        <v>0</v>
      </c>
      <c r="H11211" s="1" t="s">
        <v>0</v>
      </c>
      <c r="I11211" s="2">
        <v>0</v>
      </c>
      <c r="J11211" s="1">
        <v>45922.498935185184</v>
      </c>
    </row>
    <row r="11212" spans="1:10" x14ac:dyDescent="0.2">
      <c r="A11212" s="4" t="s">
        <v>1</v>
      </c>
      <c r="B1121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12" s="3" t="str">
        <f>HYPERLINK("https://otsuka-europe-crm.veevavault.com/ui/#object/sent_email__v/VBLZ025E82GVZFY", "SE-000279543")</f>
        <v>SE-000279543</v>
      </c>
      <c r="D11212" s="1">
        <v>45922.90724537037</v>
      </c>
      <c r="E11212" s="2">
        <v>1</v>
      </c>
      <c r="F11212" s="2">
        <v>1</v>
      </c>
      <c r="G11212" s="2">
        <v>0</v>
      </c>
      <c r="H11212" s="1" t="s">
        <v>0</v>
      </c>
      <c r="I11212" s="2">
        <v>0</v>
      </c>
      <c r="J11212" s="1">
        <v>45922.498784722222</v>
      </c>
    </row>
    <row r="11213" spans="1:10" x14ac:dyDescent="0.2">
      <c r="A11213" s="4" t="s">
        <v>1</v>
      </c>
      <c r="B1121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13" s="3" t="str">
        <f>HYPERLINK("https://otsuka-europe-crm.veevavault.com/ui/#object/sent_email__v/VBLZ025E82GVZFZ", "SE-000279544")</f>
        <v>SE-000279544</v>
      </c>
      <c r="D11213" s="1">
        <v>45926.868981481479</v>
      </c>
      <c r="E11213" s="2">
        <v>1</v>
      </c>
      <c r="F11213" s="2">
        <v>2</v>
      </c>
      <c r="G11213" s="2">
        <v>0</v>
      </c>
      <c r="H11213" s="1" t="s">
        <v>0</v>
      </c>
      <c r="I11213" s="2">
        <v>0</v>
      </c>
      <c r="J11213" s="1">
        <v>45922.498912037037</v>
      </c>
    </row>
    <row r="11214" spans="1:10" x14ac:dyDescent="0.2">
      <c r="A11214" s="4" t="s">
        <v>1</v>
      </c>
      <c r="B1121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14" s="3" t="str">
        <f>HYPERLINK("https://otsuka-europe-crm.veevavault.com/ui/#object/sent_email__v/VBLZ025E82GVZG0", "SE-000279545")</f>
        <v>SE-000279545</v>
      </c>
      <c r="D11214" s="1">
        <v>45925.455196759256</v>
      </c>
      <c r="E11214" s="2">
        <v>1</v>
      </c>
      <c r="F11214" s="2">
        <v>1</v>
      </c>
      <c r="G11214" s="2">
        <v>1</v>
      </c>
      <c r="H11214" s="1">
        <v>45925.455196759256</v>
      </c>
      <c r="I11214" s="2">
        <v>1</v>
      </c>
      <c r="J11214" s="1">
        <v>45922.498773148145</v>
      </c>
    </row>
    <row r="11215" spans="1:10" x14ac:dyDescent="0.2">
      <c r="A11215" s="4" t="s">
        <v>1</v>
      </c>
      <c r="B1121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15" s="3" t="str">
        <f>HYPERLINK("https://otsuka-europe-crm.veevavault.com/ui/#object/sent_email__v/VBLZ025E82GVZG1", "SE-000279546")</f>
        <v>SE-000279546</v>
      </c>
      <c r="D11215" s="1" t="s">
        <v>0</v>
      </c>
      <c r="E11215" s="2">
        <v>0</v>
      </c>
      <c r="F11215" s="2">
        <v>0</v>
      </c>
      <c r="G11215" s="2">
        <v>0</v>
      </c>
      <c r="H11215" s="1" t="s">
        <v>0</v>
      </c>
      <c r="I11215" s="2">
        <v>0</v>
      </c>
      <c r="J11215" s="1">
        <v>45922.49900462963</v>
      </c>
    </row>
    <row r="11216" spans="1:10" x14ac:dyDescent="0.2">
      <c r="A11216" s="4" t="s">
        <v>1</v>
      </c>
      <c r="B1121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16" s="3" t="str">
        <f>HYPERLINK("https://otsuka-europe-crm.veevavault.com/ui/#object/sent_email__v/VBLZ025E82GVZG2", "SE-000279547")</f>
        <v>SE-000279547</v>
      </c>
      <c r="D11216" s="1" t="s">
        <v>0</v>
      </c>
      <c r="E11216" s="2">
        <v>0</v>
      </c>
      <c r="F11216" s="2">
        <v>0</v>
      </c>
      <c r="G11216" s="2">
        <v>0</v>
      </c>
      <c r="H11216" s="1" t="s">
        <v>0</v>
      </c>
      <c r="I11216" s="2">
        <v>0</v>
      </c>
      <c r="J11216" s="1">
        <v>45922.498888888891</v>
      </c>
    </row>
    <row r="11217" spans="1:10" x14ac:dyDescent="0.2">
      <c r="A11217" s="4" t="s">
        <v>1</v>
      </c>
      <c r="B1121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17" s="3" t="str">
        <f>HYPERLINK("https://otsuka-europe-crm.veevavault.com/ui/#object/sent_email__v/VBLZ025E82GVZG3", "SE-000279548")</f>
        <v>SE-000279548</v>
      </c>
      <c r="D11217" s="1" t="s">
        <v>0</v>
      </c>
      <c r="E11217" s="2">
        <v>0</v>
      </c>
      <c r="F11217" s="2">
        <v>0</v>
      </c>
      <c r="G11217" s="2">
        <v>0</v>
      </c>
      <c r="H11217" s="1" t="s">
        <v>0</v>
      </c>
      <c r="I11217" s="2">
        <v>0</v>
      </c>
      <c r="J11217" s="1">
        <v>45922.499027777776</v>
      </c>
    </row>
    <row r="11218" spans="1:10" x14ac:dyDescent="0.2">
      <c r="A11218" s="4" t="s">
        <v>1</v>
      </c>
      <c r="B1121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18" s="3" t="str">
        <f>HYPERLINK("https://otsuka-europe-crm.veevavault.com/ui/#object/sent_email__v/VBLZ025E82GVZG4", "SE-000279549")</f>
        <v>SE-000279549</v>
      </c>
      <c r="D11218" s="1" t="s">
        <v>0</v>
      </c>
      <c r="E11218" s="2">
        <v>0</v>
      </c>
      <c r="F11218" s="2">
        <v>0</v>
      </c>
      <c r="G11218" s="2">
        <v>0</v>
      </c>
      <c r="H11218" s="1" t="s">
        <v>0</v>
      </c>
      <c r="I11218" s="2">
        <v>0</v>
      </c>
      <c r="J11218" s="1">
        <v>45922.498854166668</v>
      </c>
    </row>
    <row r="11219" spans="1:10" x14ac:dyDescent="0.2">
      <c r="A11219" s="4" t="s">
        <v>1</v>
      </c>
      <c r="B1121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19" s="3" t="str">
        <f>HYPERLINK("https://otsuka-europe-crm.veevavault.com/ui/#object/sent_email__v/VBLZ025E82GVZG5", "SE-000279550")</f>
        <v>SE-000279550</v>
      </c>
      <c r="D11219" s="1" t="s">
        <v>0</v>
      </c>
      <c r="E11219" s="2">
        <v>0</v>
      </c>
      <c r="F11219" s="2">
        <v>0</v>
      </c>
      <c r="G11219" s="2">
        <v>0</v>
      </c>
      <c r="H11219" s="1" t="s">
        <v>0</v>
      </c>
      <c r="I11219" s="2">
        <v>0</v>
      </c>
      <c r="J11219" s="1">
        <v>45922.499039351853</v>
      </c>
    </row>
    <row r="11220" spans="1:10" x14ac:dyDescent="0.2">
      <c r="A11220" s="4" t="s">
        <v>1</v>
      </c>
      <c r="B1122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20" s="3" t="str">
        <f>HYPERLINK("https://otsuka-europe-crm.veevavault.com/ui/#object/sent_email__v/VBLZ025E82GVZG6", "SE-000279551")</f>
        <v>SE-000279551</v>
      </c>
      <c r="D11220" s="1" t="s">
        <v>0</v>
      </c>
      <c r="E11220" s="2">
        <v>0</v>
      </c>
      <c r="F11220" s="2">
        <v>0</v>
      </c>
      <c r="G11220" s="2">
        <v>0</v>
      </c>
      <c r="H11220" s="1" t="s">
        <v>0</v>
      </c>
      <c r="I11220" s="2">
        <v>0</v>
      </c>
      <c r="J11220" s="1">
        <v>45922.498912037037</v>
      </c>
    </row>
    <row r="11221" spans="1:10" x14ac:dyDescent="0.2">
      <c r="A11221" s="4" t="s">
        <v>1</v>
      </c>
      <c r="B1122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21" s="3" t="str">
        <f>HYPERLINK("https://otsuka-europe-crm.veevavault.com/ui/#object/sent_email__v/VBLZ025E82GVZI1", "SE-000279552")</f>
        <v>SE-000279552</v>
      </c>
      <c r="D11221" s="1">
        <v>45922.512361111112</v>
      </c>
      <c r="E11221" s="2">
        <v>1</v>
      </c>
      <c r="F11221" s="2">
        <v>1</v>
      </c>
      <c r="G11221" s="2">
        <v>0</v>
      </c>
      <c r="H11221" s="1" t="s">
        <v>0</v>
      </c>
      <c r="I11221" s="2">
        <v>0</v>
      </c>
      <c r="J11221" s="1">
        <v>45922.499444444446</v>
      </c>
    </row>
    <row r="11222" spans="1:10" x14ac:dyDescent="0.2">
      <c r="A11222" s="4" t="s">
        <v>1</v>
      </c>
      <c r="B1122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22" s="3" t="str">
        <f>HYPERLINK("https://otsuka-europe-crm.veevavault.com/ui/#object/sent_email__v/VBLZ025E82GVZI2", "SE-000279553")</f>
        <v>SE-000279553</v>
      </c>
      <c r="D11222" s="1">
        <v>45922.836435185185</v>
      </c>
      <c r="E11222" s="2">
        <v>1</v>
      </c>
      <c r="F11222" s="2">
        <v>1</v>
      </c>
      <c r="G11222" s="2">
        <v>0</v>
      </c>
      <c r="H11222" s="1" t="s">
        <v>0</v>
      </c>
      <c r="I11222" s="2">
        <v>0</v>
      </c>
      <c r="J11222" s="1">
        <v>45922.499409722222</v>
      </c>
    </row>
    <row r="11223" spans="1:10" x14ac:dyDescent="0.2">
      <c r="A11223" s="4" t="s">
        <v>1</v>
      </c>
      <c r="B1122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23" s="3" t="str">
        <f>HYPERLINK("https://otsuka-europe-crm.veevavault.com/ui/#object/sent_email__v/VBLZ025E82GVZI3", "SE-000279554")</f>
        <v>SE-000279554</v>
      </c>
      <c r="D11223" s="1">
        <v>45923.336145833331</v>
      </c>
      <c r="E11223" s="2">
        <v>1</v>
      </c>
      <c r="F11223" s="2">
        <v>1</v>
      </c>
      <c r="G11223" s="2">
        <v>0</v>
      </c>
      <c r="H11223" s="1" t="s">
        <v>0</v>
      </c>
      <c r="I11223" s="2">
        <v>0</v>
      </c>
      <c r="J11223" s="1">
        <v>45922.499432870369</v>
      </c>
    </row>
    <row r="11224" spans="1:10" x14ac:dyDescent="0.2">
      <c r="A11224" s="4" t="s">
        <v>1</v>
      </c>
      <c r="B1122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24" s="3" t="str">
        <f>HYPERLINK("https://otsuka-europe-crm.veevavault.com/ui/#object/sent_email__v/VBLZ025E82GVZI4", "SE-000279555")</f>
        <v>SE-000279555</v>
      </c>
      <c r="D11224" s="1">
        <v>45922.5702662037</v>
      </c>
      <c r="E11224" s="2">
        <v>1</v>
      </c>
      <c r="F11224" s="2">
        <v>2</v>
      </c>
      <c r="G11224" s="2">
        <v>0</v>
      </c>
      <c r="H11224" s="1" t="s">
        <v>0</v>
      </c>
      <c r="I11224" s="2">
        <v>0</v>
      </c>
      <c r="J11224" s="1">
        <v>45922.499432870369</v>
      </c>
    </row>
    <row r="11225" spans="1:10" x14ac:dyDescent="0.2">
      <c r="A11225" s="4" t="s">
        <v>1</v>
      </c>
      <c r="B1122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25" s="3" t="str">
        <f>HYPERLINK("https://otsuka-europe-crm.veevavault.com/ui/#object/sent_email__v/VBLZ025E82GVZI5", "SE-000279556")</f>
        <v>SE-000279556</v>
      </c>
      <c r="D11225" s="1">
        <v>45922.752812500003</v>
      </c>
      <c r="E11225" s="2">
        <v>1</v>
      </c>
      <c r="F11225" s="2">
        <v>2</v>
      </c>
      <c r="G11225" s="2">
        <v>0</v>
      </c>
      <c r="H11225" s="1" t="s">
        <v>0</v>
      </c>
      <c r="I11225" s="2">
        <v>0</v>
      </c>
      <c r="J11225" s="1">
        <v>45922.499409722222</v>
      </c>
    </row>
    <row r="11226" spans="1:10" x14ac:dyDescent="0.2">
      <c r="A11226" s="4" t="s">
        <v>1</v>
      </c>
      <c r="B1122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26" s="3" t="str">
        <f>HYPERLINK("https://otsuka-europe-crm.veevavault.com/ui/#object/sent_email__v/VBLZ025E82GVZI6", "SE-000279557")</f>
        <v>SE-000279557</v>
      </c>
      <c r="D11226" s="1">
        <v>45922.537974537037</v>
      </c>
      <c r="E11226" s="2">
        <v>1</v>
      </c>
      <c r="F11226" s="2">
        <v>1</v>
      </c>
      <c r="G11226" s="2">
        <v>0</v>
      </c>
      <c r="H11226" s="1" t="s">
        <v>0</v>
      </c>
      <c r="I11226" s="2">
        <v>0</v>
      </c>
      <c r="J11226" s="1">
        <v>45922.499409722222</v>
      </c>
    </row>
    <row r="11227" spans="1:10" x14ac:dyDescent="0.2">
      <c r="A11227" s="4" t="s">
        <v>1</v>
      </c>
      <c r="B1122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27" s="3" t="str">
        <f>HYPERLINK("https://otsuka-europe-crm.veevavault.com/ui/#object/sent_email__v/VBLZ025E82GVZI7", "SE-000279558")</f>
        <v>SE-000279558</v>
      </c>
      <c r="D11227" s="1">
        <v>45928.325694444444</v>
      </c>
      <c r="E11227" s="2">
        <v>1</v>
      </c>
      <c r="F11227" s="2">
        <v>1</v>
      </c>
      <c r="G11227" s="2">
        <v>0</v>
      </c>
      <c r="H11227" s="1" t="s">
        <v>0</v>
      </c>
      <c r="I11227" s="2">
        <v>0</v>
      </c>
      <c r="J11227" s="1">
        <v>45922.499456018515</v>
      </c>
    </row>
    <row r="11228" spans="1:10" x14ac:dyDescent="0.2">
      <c r="A11228" s="4" t="s">
        <v>1</v>
      </c>
      <c r="B1122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28" s="3" t="str">
        <f>HYPERLINK("https://otsuka-europe-crm.veevavault.com/ui/#object/sent_email__v/VBLZ025E82GVZI8", "SE-000279559")</f>
        <v>SE-000279559</v>
      </c>
      <c r="D11228" s="1">
        <v>45922.547083333331</v>
      </c>
      <c r="E11228" s="2">
        <v>1</v>
      </c>
      <c r="F11228" s="2">
        <v>2</v>
      </c>
      <c r="G11228" s="2">
        <v>0</v>
      </c>
      <c r="H11228" s="1" t="s">
        <v>0</v>
      </c>
      <c r="I11228" s="2">
        <v>0</v>
      </c>
      <c r="J11228" s="1">
        <v>45922.499456018515</v>
      </c>
    </row>
    <row r="11229" spans="1:10" x14ac:dyDescent="0.2">
      <c r="A11229" s="4" t="s">
        <v>1</v>
      </c>
      <c r="B1122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29" s="3" t="str">
        <f>HYPERLINK("https://otsuka-europe-crm.veevavault.com/ui/#object/sent_email__v/VBLZ025E82GVZI9", "SE-000279560")</f>
        <v>SE-000279560</v>
      </c>
      <c r="D11229" s="1">
        <v>45940.024837962963</v>
      </c>
      <c r="E11229" s="2">
        <v>1</v>
      </c>
      <c r="F11229" s="2">
        <v>2</v>
      </c>
      <c r="G11229" s="2">
        <v>0</v>
      </c>
      <c r="H11229" s="1" t="s">
        <v>0</v>
      </c>
      <c r="I11229" s="2">
        <v>0</v>
      </c>
      <c r="J11229" s="1">
        <v>45922.499467592592</v>
      </c>
    </row>
    <row r="11230" spans="1:10" x14ac:dyDescent="0.2">
      <c r="A11230" s="4" t="s">
        <v>1</v>
      </c>
      <c r="B1123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30" s="3" t="str">
        <f>HYPERLINK("https://otsuka-europe-crm.veevavault.com/ui/#object/sent_email__v/VBLZ025E82GVZIA", "SE-000279561")</f>
        <v>SE-000279561</v>
      </c>
      <c r="D11230" s="1">
        <v>45922.751840277779</v>
      </c>
      <c r="E11230" s="2">
        <v>1</v>
      </c>
      <c r="F11230" s="2">
        <v>2</v>
      </c>
      <c r="G11230" s="2">
        <v>0</v>
      </c>
      <c r="H11230" s="1" t="s">
        <v>0</v>
      </c>
      <c r="I11230" s="2">
        <v>0</v>
      </c>
      <c r="J11230" s="1">
        <v>45922.499398148146</v>
      </c>
    </row>
    <row r="11231" spans="1:10" x14ac:dyDescent="0.2">
      <c r="A11231" s="4" t="s">
        <v>1</v>
      </c>
      <c r="B1123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31" s="3" t="str">
        <f>HYPERLINK("https://otsuka-europe-crm.veevavault.com/ui/#object/sent_email__v/VBLZ025E82GVZIB", "SE-000279562")</f>
        <v>SE-000279562</v>
      </c>
      <c r="D11231" s="1" t="s">
        <v>0</v>
      </c>
      <c r="E11231" s="2">
        <v>0</v>
      </c>
      <c r="F11231" s="2">
        <v>0</v>
      </c>
      <c r="G11231" s="2">
        <v>0</v>
      </c>
      <c r="H11231" s="1" t="s">
        <v>0</v>
      </c>
      <c r="I11231" s="2">
        <v>0</v>
      </c>
      <c r="J11231" s="1">
        <v>45922.499479166669</v>
      </c>
    </row>
    <row r="11232" spans="1:10" x14ac:dyDescent="0.2">
      <c r="A11232" s="4" t="s">
        <v>1</v>
      </c>
      <c r="B1123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32" s="3" t="str">
        <f>HYPERLINK("https://otsuka-europe-crm.veevavault.com/ui/#object/sent_email__v/VBLZ025E82GW049", "SE-000279612")</f>
        <v>SE-000279612</v>
      </c>
      <c r="D11232" s="1" t="s">
        <v>0</v>
      </c>
      <c r="E11232" s="2">
        <v>0</v>
      </c>
      <c r="F11232" s="2">
        <v>0</v>
      </c>
      <c r="G11232" s="2">
        <v>0</v>
      </c>
      <c r="H11232" s="1" t="s">
        <v>0</v>
      </c>
      <c r="I11232" s="2">
        <v>0</v>
      </c>
      <c r="J11232" s="1">
        <v>45922.502280092594</v>
      </c>
    </row>
    <row r="11233" spans="1:10" x14ac:dyDescent="0.2">
      <c r="A11233" s="4" t="s">
        <v>1</v>
      </c>
      <c r="B1123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33" s="3" t="str">
        <f>HYPERLINK("https://otsuka-europe-crm.veevavault.com/ui/#object/sent_email__v/VBLZ025E82GW04A", "SE-000279613")</f>
        <v>SE-000279613</v>
      </c>
      <c r="D11233" s="1">
        <v>45922.659780092596</v>
      </c>
      <c r="E11233" s="2">
        <v>1</v>
      </c>
      <c r="F11233" s="2">
        <v>1</v>
      </c>
      <c r="G11233" s="2">
        <v>0</v>
      </c>
      <c r="H11233" s="1" t="s">
        <v>0</v>
      </c>
      <c r="I11233" s="2">
        <v>0</v>
      </c>
      <c r="J11233" s="1">
        <v>45922.502291666664</v>
      </c>
    </row>
    <row r="11234" spans="1:10" x14ac:dyDescent="0.2">
      <c r="A11234" s="4" t="s">
        <v>1</v>
      </c>
      <c r="B1123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34" s="3" t="str">
        <f>HYPERLINK("https://otsuka-europe-crm.veevavault.com/ui/#object/sent_email__v/VBLZ025E82GY5TH", "SE-000280284")</f>
        <v>SE-000280284</v>
      </c>
      <c r="D11234" s="1">
        <v>45927.697025462963</v>
      </c>
      <c r="E11234" s="2">
        <v>1</v>
      </c>
      <c r="F11234" s="2">
        <v>1</v>
      </c>
      <c r="G11234" s="2">
        <v>0</v>
      </c>
      <c r="H11234" s="1" t="s">
        <v>0</v>
      </c>
      <c r="I11234" s="2">
        <v>0</v>
      </c>
      <c r="J11234" s="1">
        <v>45924.323344907411</v>
      </c>
    </row>
    <row r="11235" spans="1:10" x14ac:dyDescent="0.2">
      <c r="A11235" s="4" t="s">
        <v>1</v>
      </c>
      <c r="B1123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35" s="3" t="str">
        <f>HYPERLINK("https://otsuka-europe-crm.veevavault.com/ui/#object/sent_email__v/VBLZ025E82GY5TI", "SE-000280285")</f>
        <v>SE-000280285</v>
      </c>
      <c r="D11235" s="1">
        <v>45924.980578703704</v>
      </c>
      <c r="E11235" s="2">
        <v>1</v>
      </c>
      <c r="F11235" s="2">
        <v>1</v>
      </c>
      <c r="G11235" s="2">
        <v>0</v>
      </c>
      <c r="H11235" s="1" t="s">
        <v>0</v>
      </c>
      <c r="I11235" s="2">
        <v>0</v>
      </c>
      <c r="J11235" s="1">
        <v>45924.32335648148</v>
      </c>
    </row>
    <row r="11236" spans="1:10" x14ac:dyDescent="0.2">
      <c r="A11236" s="4" t="s">
        <v>1</v>
      </c>
      <c r="B1123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36" s="3" t="str">
        <f>HYPERLINK("https://otsuka-europe-crm.veevavault.com/ui/#object/sent_email__v/VBLZ025E82GY5TJ", "SE-000280286")</f>
        <v>SE-000280286</v>
      </c>
      <c r="D11236" s="1">
        <v>45929.502604166664</v>
      </c>
      <c r="E11236" s="2">
        <v>1</v>
      </c>
      <c r="F11236" s="2">
        <v>2</v>
      </c>
      <c r="G11236" s="2">
        <v>0</v>
      </c>
      <c r="H11236" s="1" t="s">
        <v>0</v>
      </c>
      <c r="I11236" s="2">
        <v>0</v>
      </c>
      <c r="J11236" s="1">
        <v>45924.32335648148</v>
      </c>
    </row>
    <row r="11237" spans="1:10" x14ac:dyDescent="0.2">
      <c r="A11237" s="4" t="s">
        <v>1</v>
      </c>
      <c r="B1123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37" s="3" t="str">
        <f>HYPERLINK("https://otsuka-europe-crm.veevavault.com/ui/#object/sent_email__v/VBLZ025E82GY5TK", "SE-000280287")</f>
        <v>SE-000280287</v>
      </c>
      <c r="D11237" s="1">
        <v>45924.859814814816</v>
      </c>
      <c r="E11237" s="2">
        <v>1</v>
      </c>
      <c r="F11237" s="2">
        <v>1</v>
      </c>
      <c r="G11237" s="2">
        <v>0</v>
      </c>
      <c r="H11237" s="1" t="s">
        <v>0</v>
      </c>
      <c r="I11237" s="2">
        <v>0</v>
      </c>
      <c r="J11237" s="1">
        <v>45924.323298611111</v>
      </c>
    </row>
    <row r="11238" spans="1:10" x14ac:dyDescent="0.2">
      <c r="A11238" s="4" t="s">
        <v>1</v>
      </c>
      <c r="B1123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38" s="3" t="str">
        <f>HYPERLINK("https://otsuka-europe-crm.veevavault.com/ui/#object/sent_email__v/VBLZ025E82GY5TL", "SE-000280288")</f>
        <v>SE-000280288</v>
      </c>
      <c r="D11238" s="1" t="s">
        <v>0</v>
      </c>
      <c r="E11238" s="2">
        <v>0</v>
      </c>
      <c r="F11238" s="2">
        <v>0</v>
      </c>
      <c r="G11238" s="2">
        <v>0</v>
      </c>
      <c r="H11238" s="1" t="s">
        <v>0</v>
      </c>
      <c r="I11238" s="2">
        <v>0</v>
      </c>
      <c r="J11238" s="1">
        <v>45924.323287037034</v>
      </c>
    </row>
    <row r="11239" spans="1:10" x14ac:dyDescent="0.2">
      <c r="A11239" s="4" t="s">
        <v>1</v>
      </c>
      <c r="B1123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39" s="3" t="str">
        <f>HYPERLINK("https://otsuka-europe-crm.veevavault.com/ui/#object/sent_email__v/VBLZ025E82GY5TM", "SE-000280289")</f>
        <v>SE-000280289</v>
      </c>
      <c r="D11239" s="1">
        <v>45924.433599537035</v>
      </c>
      <c r="E11239" s="2">
        <v>1</v>
      </c>
      <c r="F11239" s="2">
        <v>1</v>
      </c>
      <c r="G11239" s="2">
        <v>0</v>
      </c>
      <c r="H11239" s="1" t="s">
        <v>0</v>
      </c>
      <c r="I11239" s="2">
        <v>0</v>
      </c>
      <c r="J11239" s="1">
        <v>45924.323391203703</v>
      </c>
    </row>
    <row r="11240" spans="1:10" x14ac:dyDescent="0.2">
      <c r="A11240" s="4" t="s">
        <v>1</v>
      </c>
      <c r="B1124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40" s="3" t="str">
        <f>HYPERLINK("https://otsuka-europe-crm.veevavault.com/ui/#object/sent_email__v/VBLZ025E82GY5TN", "SE-000280290")</f>
        <v>SE-000280290</v>
      </c>
      <c r="D11240" s="1">
        <v>45929.879652777781</v>
      </c>
      <c r="E11240" s="2">
        <v>1</v>
      </c>
      <c r="F11240" s="2">
        <v>1</v>
      </c>
      <c r="G11240" s="2">
        <v>0</v>
      </c>
      <c r="H11240" s="1" t="s">
        <v>0</v>
      </c>
      <c r="I11240" s="2">
        <v>0</v>
      </c>
      <c r="J11240" s="1">
        <v>45924.323391203703</v>
      </c>
    </row>
    <row r="11241" spans="1:10" x14ac:dyDescent="0.2">
      <c r="A11241" s="4" t="s">
        <v>1</v>
      </c>
      <c r="B1124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41" s="3" t="str">
        <f>HYPERLINK("https://otsuka-europe-crm.veevavault.com/ui/#object/sent_email__v/VBLZ025E82GY5TO", "SE-000280291")</f>
        <v>SE-000280291</v>
      </c>
      <c r="D11241" s="1">
        <v>45924.452013888891</v>
      </c>
      <c r="E11241" s="2">
        <v>1</v>
      </c>
      <c r="F11241" s="2">
        <v>1</v>
      </c>
      <c r="G11241" s="2">
        <v>0</v>
      </c>
      <c r="H11241" s="1" t="s">
        <v>0</v>
      </c>
      <c r="I11241" s="2">
        <v>0</v>
      </c>
      <c r="J11241" s="1">
        <v>45924.323379629626</v>
      </c>
    </row>
    <row r="11242" spans="1:10" x14ac:dyDescent="0.2">
      <c r="A11242" s="4" t="s">
        <v>1</v>
      </c>
      <c r="B1124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42" s="3" t="str">
        <f>HYPERLINK("https://otsuka-europe-crm.veevavault.com/ui/#object/sent_email__v/VBLZ025E82GY5TP", "SE-000280292")</f>
        <v>SE-000280292</v>
      </c>
      <c r="D11242" s="1">
        <v>45925.615393518521</v>
      </c>
      <c r="E11242" s="2">
        <v>1</v>
      </c>
      <c r="F11242" s="2">
        <v>1</v>
      </c>
      <c r="G11242" s="2">
        <v>0</v>
      </c>
      <c r="H11242" s="1" t="s">
        <v>0</v>
      </c>
      <c r="I11242" s="2">
        <v>0</v>
      </c>
      <c r="J11242" s="1">
        <v>45924.323287037034</v>
      </c>
    </row>
    <row r="11243" spans="1:10" x14ac:dyDescent="0.2">
      <c r="A11243" s="4" t="s">
        <v>1</v>
      </c>
      <c r="B1124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43" s="3" t="str">
        <f>HYPERLINK("https://otsuka-europe-crm.veevavault.com/ui/#object/sent_email__v/VBLZ025E82GY5TQ", "SE-000280293")</f>
        <v>SE-000280293</v>
      </c>
      <c r="D11243" s="1">
        <v>45924.643379629626</v>
      </c>
      <c r="E11243" s="2">
        <v>1</v>
      </c>
      <c r="F11243" s="2">
        <v>4</v>
      </c>
      <c r="G11243" s="2">
        <v>0</v>
      </c>
      <c r="H11243" s="1" t="s">
        <v>0</v>
      </c>
      <c r="I11243" s="2">
        <v>0</v>
      </c>
      <c r="J11243" s="1">
        <v>45924.323298611111</v>
      </c>
    </row>
    <row r="11244" spans="1:10" x14ac:dyDescent="0.2">
      <c r="A11244" s="4" t="s">
        <v>1</v>
      </c>
      <c r="B1124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44" s="3" t="str">
        <f>HYPERLINK("https://otsuka-europe-crm.veevavault.com/ui/#object/sent_email__v/VBLZ025E82GY5TR", "SE-000280294")</f>
        <v>SE-000280294</v>
      </c>
      <c r="D11244" s="1">
        <v>45924.959340277775</v>
      </c>
      <c r="E11244" s="2">
        <v>1</v>
      </c>
      <c r="F11244" s="2">
        <v>1</v>
      </c>
      <c r="G11244" s="2">
        <v>0</v>
      </c>
      <c r="H11244" s="1" t="s">
        <v>0</v>
      </c>
      <c r="I11244" s="2">
        <v>0</v>
      </c>
      <c r="J11244" s="1">
        <v>45924.323298611111</v>
      </c>
    </row>
    <row r="11245" spans="1:10" x14ac:dyDescent="0.2">
      <c r="A11245" s="4" t="s">
        <v>1</v>
      </c>
      <c r="B1124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45" s="3" t="str">
        <f>HYPERLINK("https://otsuka-europe-crm.veevavault.com/ui/#object/sent_email__v/VBLZ025E82GY5TS", "SE-000280295")</f>
        <v>SE-000280295</v>
      </c>
      <c r="D11245" s="1">
        <v>45926.931886574072</v>
      </c>
      <c r="E11245" s="2">
        <v>1</v>
      </c>
      <c r="F11245" s="2">
        <v>2</v>
      </c>
      <c r="G11245" s="2">
        <v>0</v>
      </c>
      <c r="H11245" s="1" t="s">
        <v>0</v>
      </c>
      <c r="I11245" s="2">
        <v>0</v>
      </c>
      <c r="J11245" s="1">
        <v>45924.323287037034</v>
      </c>
    </row>
    <row r="11246" spans="1:10" x14ac:dyDescent="0.2">
      <c r="A11246" s="4" t="s">
        <v>1</v>
      </c>
      <c r="B1124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46" s="3" t="str">
        <f>HYPERLINK("https://otsuka-europe-crm.veevavault.com/ui/#object/sent_email__v/VBLZ025E82GY5TT", "SE-000280296")</f>
        <v>SE-000280296</v>
      </c>
      <c r="D11246" s="1">
        <v>45924.469108796293</v>
      </c>
      <c r="E11246" s="2">
        <v>1</v>
      </c>
      <c r="F11246" s="2">
        <v>1</v>
      </c>
      <c r="G11246" s="2">
        <v>0</v>
      </c>
      <c r="H11246" s="1" t="s">
        <v>0</v>
      </c>
      <c r="I11246" s="2">
        <v>0</v>
      </c>
      <c r="J11246" s="1">
        <v>45924.323310185187</v>
      </c>
    </row>
    <row r="11247" spans="1:10" x14ac:dyDescent="0.2">
      <c r="A11247" s="4" t="s">
        <v>1</v>
      </c>
      <c r="B1124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47" s="3" t="str">
        <f>HYPERLINK("https://otsuka-europe-crm.veevavault.com/ui/#object/sent_email__v/VBLZ025E82GY5TU", "SE-000280297")</f>
        <v>SE-000280297</v>
      </c>
      <c r="D11247" s="1">
        <v>45926.02888888889</v>
      </c>
      <c r="E11247" s="2">
        <v>1</v>
      </c>
      <c r="F11247" s="2">
        <v>1</v>
      </c>
      <c r="G11247" s="2">
        <v>0</v>
      </c>
      <c r="H11247" s="1" t="s">
        <v>0</v>
      </c>
      <c r="I11247" s="2">
        <v>0</v>
      </c>
      <c r="J11247" s="1">
        <v>45924.323333333334</v>
      </c>
    </row>
    <row r="11248" spans="1:10" x14ac:dyDescent="0.2">
      <c r="A11248" s="4" t="s">
        <v>1</v>
      </c>
      <c r="B1124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48" s="3" t="str">
        <f>HYPERLINK("https://otsuka-europe-crm.veevavault.com/ui/#object/sent_email__v/VBLZ025E82GY5TV", "SE-000280298")</f>
        <v>SE-000280298</v>
      </c>
      <c r="D11248" s="1" t="s">
        <v>0</v>
      </c>
      <c r="E11248" s="2">
        <v>0</v>
      </c>
      <c r="F11248" s="2">
        <v>0</v>
      </c>
      <c r="G11248" s="2">
        <v>0</v>
      </c>
      <c r="H11248" s="1" t="s">
        <v>0</v>
      </c>
      <c r="I11248" s="2">
        <v>0</v>
      </c>
      <c r="J11248" s="1">
        <v>45924.323368055557</v>
      </c>
    </row>
    <row r="11249" spans="1:10" x14ac:dyDescent="0.2">
      <c r="A11249" s="4" t="s">
        <v>1</v>
      </c>
      <c r="B1124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49" s="3" t="str">
        <f>HYPERLINK("https://otsuka-europe-crm.veevavault.com/ui/#object/sent_email__v/VBLZ025E82GY5W9", "SE-000280299")</f>
        <v>SE-000280299</v>
      </c>
      <c r="D11249" s="1">
        <v>45925.30740740741</v>
      </c>
      <c r="E11249" s="2">
        <v>1</v>
      </c>
      <c r="F11249" s="2">
        <v>1</v>
      </c>
      <c r="G11249" s="2">
        <v>0</v>
      </c>
      <c r="H11249" s="1" t="s">
        <v>0</v>
      </c>
      <c r="I11249" s="2">
        <v>0</v>
      </c>
      <c r="J11249" s="1">
        <v>45924.324340277781</v>
      </c>
    </row>
    <row r="11250" spans="1:10" x14ac:dyDescent="0.2">
      <c r="A11250" s="4" t="s">
        <v>1</v>
      </c>
      <c r="B1125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50" s="3" t="str">
        <f>HYPERLINK("https://otsuka-europe-crm.veevavault.com/ui/#object/sent_email__v/VBLZ025E82GY5WA", "SE-000280300")</f>
        <v>SE-000280300</v>
      </c>
      <c r="D11250" s="1">
        <v>45924.330057870371</v>
      </c>
      <c r="E11250" s="2">
        <v>1</v>
      </c>
      <c r="F11250" s="2">
        <v>1</v>
      </c>
      <c r="G11250" s="2">
        <v>0</v>
      </c>
      <c r="H11250" s="1" t="s">
        <v>0</v>
      </c>
      <c r="I11250" s="2">
        <v>0</v>
      </c>
      <c r="J11250" s="1">
        <v>45924.32435185185</v>
      </c>
    </row>
    <row r="11251" spans="1:10" x14ac:dyDescent="0.2">
      <c r="A11251" s="4" t="s">
        <v>1</v>
      </c>
      <c r="B1125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51" s="3" t="str">
        <f>HYPERLINK("https://otsuka-europe-crm.veevavault.com/ui/#object/sent_email__v/VBLZ025E82GY5WB", "SE-000280301")</f>
        <v>SE-000280301</v>
      </c>
      <c r="D11251" s="1" t="s">
        <v>0</v>
      </c>
      <c r="E11251" s="2">
        <v>0</v>
      </c>
      <c r="F11251" s="2">
        <v>0</v>
      </c>
      <c r="G11251" s="2">
        <v>0</v>
      </c>
      <c r="H11251" s="1" t="s">
        <v>0</v>
      </c>
      <c r="I11251" s="2">
        <v>0</v>
      </c>
      <c r="J11251" s="1">
        <v>45924.324340277781</v>
      </c>
    </row>
    <row r="11252" spans="1:10" x14ac:dyDescent="0.2">
      <c r="A11252" s="4" t="s">
        <v>1</v>
      </c>
      <c r="B1125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52" s="3" t="str">
        <f>HYPERLINK("https://otsuka-europe-crm.veevavault.com/ui/#object/sent_email__v/VBLZ025E82GY5WC", "SE-000280302")</f>
        <v>SE-000280302</v>
      </c>
      <c r="D11252" s="1">
        <v>45924.473298611112</v>
      </c>
      <c r="E11252" s="2">
        <v>1</v>
      </c>
      <c r="F11252" s="2">
        <v>2</v>
      </c>
      <c r="G11252" s="2">
        <v>0</v>
      </c>
      <c r="H11252" s="1" t="s">
        <v>0</v>
      </c>
      <c r="I11252" s="2">
        <v>0</v>
      </c>
      <c r="J11252" s="1">
        <v>45924.324293981481</v>
      </c>
    </row>
    <row r="11253" spans="1:10" x14ac:dyDescent="0.2">
      <c r="A11253" s="4" t="s">
        <v>1</v>
      </c>
      <c r="B1125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53" s="3" t="str">
        <f>HYPERLINK("https://otsuka-europe-crm.veevavault.com/ui/#object/sent_email__v/VBLZ025E82GY5WD", "SE-000280303")</f>
        <v>SE-000280303</v>
      </c>
      <c r="D11253" s="1">
        <v>45924.40729166667</v>
      </c>
      <c r="E11253" s="2">
        <v>1</v>
      </c>
      <c r="F11253" s="2">
        <v>1</v>
      </c>
      <c r="G11253" s="2">
        <v>0</v>
      </c>
      <c r="H11253" s="1" t="s">
        <v>0</v>
      </c>
      <c r="I11253" s="2">
        <v>0</v>
      </c>
      <c r="J11253" s="1">
        <v>45924.324305555558</v>
      </c>
    </row>
    <row r="11254" spans="1:10" x14ac:dyDescent="0.2">
      <c r="A11254" s="4" t="s">
        <v>1</v>
      </c>
      <c r="B1125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54" s="3" t="str">
        <f>HYPERLINK("https://otsuka-europe-crm.veevavault.com/ui/#object/sent_email__v/VBLZ025E82GY5WE", "SE-000280304")</f>
        <v>SE-000280304</v>
      </c>
      <c r="D11254" s="1">
        <v>45924.342268518521</v>
      </c>
      <c r="E11254" s="2">
        <v>1</v>
      </c>
      <c r="F11254" s="2">
        <v>1</v>
      </c>
      <c r="G11254" s="2">
        <v>0</v>
      </c>
      <c r="H11254" s="1" t="s">
        <v>0</v>
      </c>
      <c r="I11254" s="2">
        <v>0</v>
      </c>
      <c r="J11254" s="1">
        <v>45924.324374999997</v>
      </c>
    </row>
    <row r="11255" spans="1:10" x14ac:dyDescent="0.2">
      <c r="A11255" s="4" t="s">
        <v>1</v>
      </c>
      <c r="B1125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55" s="3" t="str">
        <f>HYPERLINK("https://otsuka-europe-crm.veevavault.com/ui/#object/sent_email__v/VBLZ025E82GY5WF", "SE-000280305")</f>
        <v>SE-000280305</v>
      </c>
      <c r="D11255" s="1" t="s">
        <v>0</v>
      </c>
      <c r="E11255" s="2">
        <v>0</v>
      </c>
      <c r="F11255" s="2">
        <v>0</v>
      </c>
      <c r="G11255" s="2">
        <v>0</v>
      </c>
      <c r="H11255" s="1" t="s">
        <v>0</v>
      </c>
      <c r="I11255" s="2">
        <v>0</v>
      </c>
      <c r="J11255" s="1">
        <v>45924.32435185185</v>
      </c>
    </row>
    <row r="11256" spans="1:10" x14ac:dyDescent="0.2">
      <c r="A11256" s="4" t="s">
        <v>1</v>
      </c>
      <c r="B1125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56" s="3" t="str">
        <f>HYPERLINK("https://otsuka-europe-crm.veevavault.com/ui/#object/sent_email__v/VBLZ025E82GY5WG", "SE-000280306")</f>
        <v>SE-000280306</v>
      </c>
      <c r="D11256" s="1" t="s">
        <v>0</v>
      </c>
      <c r="E11256" s="2">
        <v>0</v>
      </c>
      <c r="F11256" s="2">
        <v>0</v>
      </c>
      <c r="G11256" s="2">
        <v>0</v>
      </c>
      <c r="H11256" s="1" t="s">
        <v>0</v>
      </c>
      <c r="I11256" s="2">
        <v>0</v>
      </c>
      <c r="J11256" s="1">
        <v>45924.324386574073</v>
      </c>
    </row>
    <row r="11257" spans="1:10" x14ac:dyDescent="0.2">
      <c r="A11257" s="4" t="s">
        <v>1</v>
      </c>
      <c r="B1125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57" s="3" t="str">
        <f>HYPERLINK("https://otsuka-europe-crm.veevavault.com/ui/#object/sent_email__v/VBLZ025E82GY5WH", "SE-000280307")</f>
        <v>SE-000280307</v>
      </c>
      <c r="D11257" s="1">
        <v>45935.89947916667</v>
      </c>
      <c r="E11257" s="2">
        <v>1</v>
      </c>
      <c r="F11257" s="2">
        <v>2</v>
      </c>
      <c r="G11257" s="2">
        <v>0</v>
      </c>
      <c r="H11257" s="1" t="s">
        <v>0</v>
      </c>
      <c r="I11257" s="2">
        <v>0</v>
      </c>
      <c r="J11257" s="1">
        <v>45924.32439814815</v>
      </c>
    </row>
    <row r="11258" spans="1:10" x14ac:dyDescent="0.2">
      <c r="A11258" s="4" t="s">
        <v>1</v>
      </c>
      <c r="B1125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58" s="3" t="str">
        <f>HYPERLINK("https://otsuka-europe-crm.veevavault.com/ui/#object/sent_email__v/VBLZ025E82GY5WI", "SE-000280308")</f>
        <v>SE-000280308</v>
      </c>
      <c r="D11258" s="1">
        <v>45924.342245370368</v>
      </c>
      <c r="E11258" s="2">
        <v>1</v>
      </c>
      <c r="F11258" s="2">
        <v>1</v>
      </c>
      <c r="G11258" s="2">
        <v>0</v>
      </c>
      <c r="H11258" s="1" t="s">
        <v>0</v>
      </c>
      <c r="I11258" s="2">
        <v>0</v>
      </c>
      <c r="J11258" s="1">
        <v>45924.324282407404</v>
      </c>
    </row>
    <row r="11259" spans="1:10" x14ac:dyDescent="0.2">
      <c r="A11259" s="4" t="s">
        <v>1</v>
      </c>
      <c r="B1125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59" s="3" t="str">
        <f>HYPERLINK("https://otsuka-europe-crm.veevavault.com/ui/#object/sent_email__v/VBLZ025E82GY5WJ", "SE-000280309")</f>
        <v>SE-000280309</v>
      </c>
      <c r="D11259" s="1" t="s">
        <v>0</v>
      </c>
      <c r="E11259" s="2">
        <v>0</v>
      </c>
      <c r="F11259" s="2">
        <v>0</v>
      </c>
      <c r="G11259" s="2">
        <v>0</v>
      </c>
      <c r="H11259" s="1" t="s">
        <v>0</v>
      </c>
      <c r="I11259" s="2">
        <v>0</v>
      </c>
      <c r="J11259" s="1">
        <v>45924.324270833335</v>
      </c>
    </row>
    <row r="11260" spans="1:10" x14ac:dyDescent="0.2">
      <c r="A11260" s="4" t="s">
        <v>1</v>
      </c>
      <c r="B1126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60" s="3" t="str">
        <f>HYPERLINK("https://otsuka-europe-crm.veevavault.com/ui/#object/sent_email__v/VBLZ025E82GY5WK", "SE-000280310")</f>
        <v>SE-000280310</v>
      </c>
      <c r="D11260" s="1" t="s">
        <v>0</v>
      </c>
      <c r="E11260" s="2">
        <v>0</v>
      </c>
      <c r="F11260" s="2">
        <v>0</v>
      </c>
      <c r="G11260" s="2">
        <v>0</v>
      </c>
      <c r="H11260" s="1" t="s">
        <v>0</v>
      </c>
      <c r="I11260" s="2">
        <v>0</v>
      </c>
      <c r="J11260" s="1">
        <v>45924.324259259258</v>
      </c>
    </row>
    <row r="11261" spans="1:10" x14ac:dyDescent="0.2">
      <c r="A11261" s="4" t="s">
        <v>1</v>
      </c>
      <c r="B1126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61" s="3" t="str">
        <f>HYPERLINK("https://otsuka-europe-crm.veevavault.com/ui/#object/sent_email__v/VBLZ025E82GY5WL", "SE-000280311")</f>
        <v>SE-000280311</v>
      </c>
      <c r="D11261" s="1" t="s">
        <v>0</v>
      </c>
      <c r="E11261" s="2">
        <v>0</v>
      </c>
      <c r="F11261" s="2">
        <v>0</v>
      </c>
      <c r="G11261" s="2">
        <v>0</v>
      </c>
      <c r="H11261" s="1" t="s">
        <v>0</v>
      </c>
      <c r="I11261" s="2">
        <v>0</v>
      </c>
      <c r="J11261" s="1">
        <v>45924.324259259258</v>
      </c>
    </row>
    <row r="11262" spans="1:10" x14ac:dyDescent="0.2">
      <c r="A11262" s="4" t="s">
        <v>1</v>
      </c>
      <c r="B1126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62" s="3" t="str">
        <f>HYPERLINK("https://otsuka-europe-crm.veevavault.com/ui/#object/sent_email__v/VBLZ025E82GY5WM", "SE-000280312")</f>
        <v>SE-000280312</v>
      </c>
      <c r="D11262" s="1" t="s">
        <v>0</v>
      </c>
      <c r="E11262" s="2">
        <v>0</v>
      </c>
      <c r="F11262" s="2">
        <v>0</v>
      </c>
      <c r="G11262" s="2">
        <v>0</v>
      </c>
      <c r="H11262" s="1" t="s">
        <v>0</v>
      </c>
      <c r="I11262" s="2">
        <v>0</v>
      </c>
      <c r="J11262" s="1">
        <v>45924.32440972222</v>
      </c>
    </row>
    <row r="11263" spans="1:10" x14ac:dyDescent="0.2">
      <c r="A11263" s="4" t="s">
        <v>1</v>
      </c>
      <c r="B1126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63" s="3" t="str">
        <f>HYPERLINK("https://otsuka-europe-crm.veevavault.com/ui/#object/sent_email__v/VBLZ025E82GY5WN", "SE-000280313")</f>
        <v>SE-000280313</v>
      </c>
      <c r="D11263" s="1" t="s">
        <v>0</v>
      </c>
      <c r="E11263" s="2">
        <v>0</v>
      </c>
      <c r="F11263" s="2">
        <v>0</v>
      </c>
      <c r="G11263" s="2">
        <v>0</v>
      </c>
      <c r="H11263" s="1" t="s">
        <v>0</v>
      </c>
      <c r="I11263" s="2">
        <v>0</v>
      </c>
      <c r="J11263" s="1">
        <v>45924.32440972222</v>
      </c>
    </row>
    <row r="11264" spans="1:10" x14ac:dyDescent="0.2">
      <c r="A11264" s="4" t="s">
        <v>1</v>
      </c>
      <c r="B1126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64" s="3" t="str">
        <f>HYPERLINK("https://otsuka-europe-crm.veevavault.com/ui/#object/sent_email__v/VBLZ025E82GY5WO", "SE-000280314")</f>
        <v>SE-000280314</v>
      </c>
      <c r="D11264" s="1">
        <v>45924.326990740738</v>
      </c>
      <c r="E11264" s="2">
        <v>1</v>
      </c>
      <c r="F11264" s="2">
        <v>1</v>
      </c>
      <c r="G11264" s="2">
        <v>0</v>
      </c>
      <c r="H11264" s="1" t="s">
        <v>0</v>
      </c>
      <c r="I11264" s="2">
        <v>0</v>
      </c>
      <c r="J11264" s="1">
        <v>45924.324432870373</v>
      </c>
    </row>
    <row r="11265" spans="1:10" x14ac:dyDescent="0.2">
      <c r="A11265" s="4" t="s">
        <v>1</v>
      </c>
      <c r="B1126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65" s="3" t="str">
        <f>HYPERLINK("https://otsuka-europe-crm.veevavault.com/ui/#object/sent_email__v/VBLZ025E82GY5WP", "SE-000280315")</f>
        <v>SE-000280315</v>
      </c>
      <c r="D11265" s="1">
        <v>45964.905393518522</v>
      </c>
      <c r="E11265" s="2">
        <v>1</v>
      </c>
      <c r="F11265" s="2">
        <v>3</v>
      </c>
      <c r="G11265" s="2">
        <v>0</v>
      </c>
      <c r="H11265" s="1" t="s">
        <v>0</v>
      </c>
      <c r="I11265" s="2">
        <v>0</v>
      </c>
      <c r="J11265" s="1">
        <v>45924.324432870373</v>
      </c>
    </row>
    <row r="11266" spans="1:10" x14ac:dyDescent="0.2">
      <c r="A11266" s="4" t="s">
        <v>1</v>
      </c>
      <c r="B1126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66" s="3" t="str">
        <f>HYPERLINK("https://otsuka-europe-crm.veevavault.com/ui/#object/sent_email__v/VBLZ025E82GY5WQ", "SE-000280316")</f>
        <v>SE-000280316</v>
      </c>
      <c r="D11266" s="1">
        <v>45924.498877314814</v>
      </c>
      <c r="E11266" s="2">
        <v>1</v>
      </c>
      <c r="F11266" s="2">
        <v>2</v>
      </c>
      <c r="G11266" s="2">
        <v>0</v>
      </c>
      <c r="H11266" s="1" t="s">
        <v>0</v>
      </c>
      <c r="I11266" s="2">
        <v>0</v>
      </c>
      <c r="J11266" s="1">
        <v>45924.324363425927</v>
      </c>
    </row>
    <row r="11267" spans="1:10" x14ac:dyDescent="0.2">
      <c r="A11267" s="4" t="s">
        <v>1</v>
      </c>
      <c r="B1126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67" s="3" t="str">
        <f>HYPERLINK("https://otsuka-europe-crm.veevavault.com/ui/#object/sent_email__v/VBLZ025E82GY5WR", "SE-000280317")</f>
        <v>SE-000280317</v>
      </c>
      <c r="D11267" s="1">
        <v>45924.339085648149</v>
      </c>
      <c r="E11267" s="2">
        <v>1</v>
      </c>
      <c r="F11267" s="2">
        <v>1</v>
      </c>
      <c r="G11267" s="2">
        <v>0</v>
      </c>
      <c r="H11267" s="1" t="s">
        <v>0</v>
      </c>
      <c r="I11267" s="2">
        <v>0</v>
      </c>
      <c r="J11267" s="1">
        <v>45924.324421296296</v>
      </c>
    </row>
    <row r="11268" spans="1:10" x14ac:dyDescent="0.2">
      <c r="A11268" s="4" t="s">
        <v>1</v>
      </c>
      <c r="B1126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68" s="3" t="str">
        <f>HYPERLINK("https://otsuka-europe-crm.veevavault.com/ui/#object/sent_email__v/VBLZ025E82GY5WS", "SE-000280318")</f>
        <v>SE-000280318</v>
      </c>
      <c r="D11268" s="1" t="s">
        <v>0</v>
      </c>
      <c r="E11268" s="2">
        <v>0</v>
      </c>
      <c r="F11268" s="2">
        <v>0</v>
      </c>
      <c r="G11268" s="2">
        <v>0</v>
      </c>
      <c r="H11268" s="1" t="s">
        <v>0</v>
      </c>
      <c r="I11268" s="2">
        <v>0</v>
      </c>
      <c r="J11268" s="1">
        <v>45924.324317129627</v>
      </c>
    </row>
    <row r="11269" spans="1:10" x14ac:dyDescent="0.2">
      <c r="A11269" s="4" t="s">
        <v>1</v>
      </c>
      <c r="B1126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69" s="3" t="str">
        <f>HYPERLINK("https://otsuka-europe-crm.veevavault.com/ui/#object/sent_email__v/VBLZ025E82GY5WT", "SE-000280319")</f>
        <v>SE-000280319</v>
      </c>
      <c r="D11269" s="1" t="s">
        <v>0</v>
      </c>
      <c r="E11269" s="2">
        <v>0</v>
      </c>
      <c r="F11269" s="2">
        <v>0</v>
      </c>
      <c r="G11269" s="2">
        <v>0</v>
      </c>
      <c r="H11269" s="1" t="s">
        <v>0</v>
      </c>
      <c r="I11269" s="2">
        <v>0</v>
      </c>
      <c r="J11269" s="1">
        <v>45924.324328703704</v>
      </c>
    </row>
    <row r="11270" spans="1:10" x14ac:dyDescent="0.2">
      <c r="A11270" s="4" t="s">
        <v>1</v>
      </c>
      <c r="B1127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70" s="3" t="str">
        <f>HYPERLINK("https://otsuka-europe-crm.veevavault.com/ui/#object/sent_email__v/VBLZ025E82GY5WU", "SE-000280320")</f>
        <v>SE-000280320</v>
      </c>
      <c r="D11270" s="1" t="s">
        <v>0</v>
      </c>
      <c r="E11270" s="2">
        <v>0</v>
      </c>
      <c r="F11270" s="2">
        <v>0</v>
      </c>
      <c r="G11270" s="2">
        <v>0</v>
      </c>
      <c r="H11270" s="1" t="s">
        <v>0</v>
      </c>
      <c r="I11270" s="2">
        <v>0</v>
      </c>
      <c r="J11270" s="1">
        <v>45924.324293981481</v>
      </c>
    </row>
    <row r="11271" spans="1:10" x14ac:dyDescent="0.2">
      <c r="A11271" s="4" t="s">
        <v>1</v>
      </c>
      <c r="B1127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71" s="3" t="str">
        <f>HYPERLINK("https://otsuka-europe-crm.veevavault.com/ui/#object/sent_email__v/VBLZ025E82GY5Z1", "SE-000280321")</f>
        <v>SE-000280321</v>
      </c>
      <c r="D11271" s="1" t="s">
        <v>0</v>
      </c>
      <c r="E11271" s="2">
        <v>0</v>
      </c>
      <c r="F11271" s="2">
        <v>0</v>
      </c>
      <c r="G11271" s="2">
        <v>0</v>
      </c>
      <c r="H11271" s="1" t="s">
        <v>0</v>
      </c>
      <c r="I11271" s="2">
        <v>0</v>
      </c>
      <c r="J11271" s="1">
        <v>45924.325358796297</v>
      </c>
    </row>
    <row r="11272" spans="1:10" x14ac:dyDescent="0.2">
      <c r="A11272" s="4" t="s">
        <v>1</v>
      </c>
      <c r="B1127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72" s="3" t="str">
        <f>HYPERLINK("https://otsuka-europe-crm.veevavault.com/ui/#object/sent_email__v/VBLZ025E82GY5Z2", "SE-000280322")</f>
        <v>SE-000280322</v>
      </c>
      <c r="D11272" s="1" t="s">
        <v>0</v>
      </c>
      <c r="E11272" s="2">
        <v>0</v>
      </c>
      <c r="F11272" s="2">
        <v>0</v>
      </c>
      <c r="G11272" s="2">
        <v>0</v>
      </c>
      <c r="H11272" s="1" t="s">
        <v>0</v>
      </c>
      <c r="I11272" s="2">
        <v>0</v>
      </c>
      <c r="J11272" s="1">
        <v>45924.325439814813</v>
      </c>
    </row>
    <row r="11273" spans="1:10" x14ac:dyDescent="0.2">
      <c r="A11273" s="4" t="s">
        <v>1</v>
      </c>
      <c r="B1127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73" s="3" t="str">
        <f>HYPERLINK("https://otsuka-europe-crm.veevavault.com/ui/#object/sent_email__v/VBLZ025E82GY5Z3", "SE-000280323")</f>
        <v>SE-000280323</v>
      </c>
      <c r="D11273" s="1">
        <v>45928.619120370371</v>
      </c>
      <c r="E11273" s="2">
        <v>1</v>
      </c>
      <c r="F11273" s="2">
        <v>1</v>
      </c>
      <c r="G11273" s="2">
        <v>0</v>
      </c>
      <c r="H11273" s="1" t="s">
        <v>0</v>
      </c>
      <c r="I11273" s="2">
        <v>0</v>
      </c>
      <c r="J11273" s="1">
        <v>45924.325324074074</v>
      </c>
    </row>
    <row r="11274" spans="1:10" x14ac:dyDescent="0.2">
      <c r="A11274" s="4" t="s">
        <v>1</v>
      </c>
      <c r="B1127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74" s="3" t="str">
        <f>HYPERLINK("https://otsuka-europe-crm.veevavault.com/ui/#object/sent_email__v/VBLZ025E82GY5Z4", "SE-000280324")</f>
        <v>SE-000280324</v>
      </c>
      <c r="D11274" s="1" t="s">
        <v>0</v>
      </c>
      <c r="E11274" s="2">
        <v>0</v>
      </c>
      <c r="F11274" s="2">
        <v>0</v>
      </c>
      <c r="G11274" s="2">
        <v>0</v>
      </c>
      <c r="H11274" s="1" t="s">
        <v>0</v>
      </c>
      <c r="I11274" s="2">
        <v>0</v>
      </c>
      <c r="J11274" s="1">
        <v>45924.32545138889</v>
      </c>
    </row>
    <row r="11275" spans="1:10" x14ac:dyDescent="0.2">
      <c r="A11275" s="4" t="s">
        <v>1</v>
      </c>
      <c r="B1127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75" s="3" t="str">
        <f>HYPERLINK("https://otsuka-europe-crm.veevavault.com/ui/#object/sent_email__v/VBLZ025E82GY5Z5", "SE-000280325")</f>
        <v>SE-000280325</v>
      </c>
      <c r="D11275" s="1">
        <v>45924.56758101852</v>
      </c>
      <c r="E11275" s="2">
        <v>1</v>
      </c>
      <c r="F11275" s="2">
        <v>1</v>
      </c>
      <c r="G11275" s="2">
        <v>0</v>
      </c>
      <c r="H11275" s="1" t="s">
        <v>0</v>
      </c>
      <c r="I11275" s="2">
        <v>0</v>
      </c>
      <c r="J11275" s="1">
        <v>45924.325370370374</v>
      </c>
    </row>
    <row r="11276" spans="1:10" x14ac:dyDescent="0.2">
      <c r="A11276" s="4" t="s">
        <v>1</v>
      </c>
      <c r="B1127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76" s="3" t="str">
        <f>HYPERLINK("https://otsuka-europe-crm.veevavault.com/ui/#object/sent_email__v/VBLZ025E82GY5Z6", "SE-000280326")</f>
        <v>SE-000280326</v>
      </c>
      <c r="D11276" s="1">
        <v>45930.850694444445</v>
      </c>
      <c r="E11276" s="2">
        <v>1</v>
      </c>
      <c r="F11276" s="2">
        <v>2</v>
      </c>
      <c r="G11276" s="2">
        <v>0</v>
      </c>
      <c r="H11276" s="1" t="s">
        <v>0</v>
      </c>
      <c r="I11276" s="2">
        <v>0</v>
      </c>
      <c r="J11276" s="1">
        <v>45924.325486111113</v>
      </c>
    </row>
    <row r="11277" spans="1:10" x14ac:dyDescent="0.2">
      <c r="A11277" s="4" t="s">
        <v>1</v>
      </c>
      <c r="B1127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77" s="3" t="str">
        <f>HYPERLINK("https://otsuka-europe-crm.veevavault.com/ui/#object/sent_email__v/VBLZ025E82GY5Z7", "SE-000280327")</f>
        <v>SE-000280327</v>
      </c>
      <c r="D11277" s="1" t="s">
        <v>0</v>
      </c>
      <c r="E11277" s="2">
        <v>0</v>
      </c>
      <c r="F11277" s="2">
        <v>0</v>
      </c>
      <c r="G11277" s="2">
        <v>0</v>
      </c>
      <c r="H11277" s="1" t="s">
        <v>0</v>
      </c>
      <c r="I11277" s="2">
        <v>0</v>
      </c>
      <c r="J11277" s="1">
        <v>45924.325370370374</v>
      </c>
    </row>
    <row r="11278" spans="1:10" x14ac:dyDescent="0.2">
      <c r="A11278" s="4" t="s">
        <v>1</v>
      </c>
      <c r="B1127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78" s="3" t="str">
        <f>HYPERLINK("https://otsuka-europe-crm.veevavault.com/ui/#object/sent_email__v/VBLZ025E82GY5Z8", "SE-000280328")</f>
        <v>SE-000280328</v>
      </c>
      <c r="D11278" s="1" t="s">
        <v>0</v>
      </c>
      <c r="E11278" s="2">
        <v>0</v>
      </c>
      <c r="F11278" s="2">
        <v>0</v>
      </c>
      <c r="G11278" s="2">
        <v>0</v>
      </c>
      <c r="H11278" s="1" t="s">
        <v>0</v>
      </c>
      <c r="I11278" s="2">
        <v>0</v>
      </c>
      <c r="J11278" s="1">
        <v>45924.325474537036</v>
      </c>
    </row>
    <row r="11279" spans="1:10" x14ac:dyDescent="0.2">
      <c r="A11279" s="4" t="s">
        <v>1</v>
      </c>
      <c r="B1127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79" s="3" t="str">
        <f>HYPERLINK("https://otsuka-europe-crm.veevavault.com/ui/#object/sent_email__v/VBLZ025E82GY5Z9", "SE-000280329")</f>
        <v>SE-000280329</v>
      </c>
      <c r="D11279" s="1">
        <v>45926.723553240743</v>
      </c>
      <c r="E11279" s="2">
        <v>1</v>
      </c>
      <c r="F11279" s="2">
        <v>1</v>
      </c>
      <c r="G11279" s="2">
        <v>0</v>
      </c>
      <c r="H11279" s="1" t="s">
        <v>0</v>
      </c>
      <c r="I11279" s="2">
        <v>0</v>
      </c>
      <c r="J11279" s="1">
        <v>45924.325370370374</v>
      </c>
    </row>
    <row r="11280" spans="1:10" x14ac:dyDescent="0.2">
      <c r="A11280" s="4" t="s">
        <v>1</v>
      </c>
      <c r="B1128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80" s="3" t="str">
        <f>HYPERLINK("https://otsuka-europe-crm.veevavault.com/ui/#object/sent_email__v/VBLZ025E82GY5ZA", "SE-000280330")</f>
        <v>SE-000280330</v>
      </c>
      <c r="D11280" s="1">
        <v>45933.394317129627</v>
      </c>
      <c r="E11280" s="2">
        <v>1</v>
      </c>
      <c r="F11280" s="2">
        <v>2</v>
      </c>
      <c r="G11280" s="2">
        <v>0</v>
      </c>
      <c r="H11280" s="1" t="s">
        <v>0</v>
      </c>
      <c r="I11280" s="2">
        <v>0</v>
      </c>
      <c r="J11280" s="1">
        <v>45924.325497685182</v>
      </c>
    </row>
    <row r="11281" spans="1:10" x14ac:dyDescent="0.2">
      <c r="A11281" s="4" t="s">
        <v>1</v>
      </c>
      <c r="B1128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81" s="3" t="str">
        <f>HYPERLINK("https://otsuka-europe-crm.veevavault.com/ui/#object/sent_email__v/VBLZ025E82GY5ZB", "SE-000280331")</f>
        <v>SE-000280331</v>
      </c>
      <c r="D11281" s="1">
        <v>45924.531678240739</v>
      </c>
      <c r="E11281" s="2">
        <v>1</v>
      </c>
      <c r="F11281" s="2">
        <v>1</v>
      </c>
      <c r="G11281" s="2">
        <v>0</v>
      </c>
      <c r="H11281" s="1" t="s">
        <v>0</v>
      </c>
      <c r="I11281" s="2">
        <v>0</v>
      </c>
      <c r="J11281" s="1">
        <v>45924.32540509259</v>
      </c>
    </row>
    <row r="11282" spans="1:10" x14ac:dyDescent="0.2">
      <c r="A11282" s="4" t="s">
        <v>1</v>
      </c>
      <c r="B1128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82" s="3" t="str">
        <f>HYPERLINK("https://otsuka-europe-crm.veevavault.com/ui/#object/sent_email__v/VBLZ025E82GY5ZC", "SE-000280332")</f>
        <v>SE-000280332</v>
      </c>
      <c r="D11282" s="1">
        <v>45924.327164351853</v>
      </c>
      <c r="E11282" s="2">
        <v>1</v>
      </c>
      <c r="F11282" s="2">
        <v>1</v>
      </c>
      <c r="G11282" s="2">
        <v>0</v>
      </c>
      <c r="H11282" s="1" t="s">
        <v>0</v>
      </c>
      <c r="I11282" s="2">
        <v>0</v>
      </c>
      <c r="J11282" s="1">
        <v>45924.325509259259</v>
      </c>
    </row>
    <row r="11283" spans="1:10" x14ac:dyDescent="0.2">
      <c r="A11283" s="4" t="s">
        <v>1</v>
      </c>
      <c r="B1128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83" s="3" t="str">
        <f>HYPERLINK("https://otsuka-europe-crm.veevavault.com/ui/#object/sent_email__v/VBLZ025E82GY5ZD", "SE-000280333")</f>
        <v>SE-000280333</v>
      </c>
      <c r="D11283" s="1">
        <v>45924.769444444442</v>
      </c>
      <c r="E11283" s="2">
        <v>1</v>
      </c>
      <c r="F11283" s="2">
        <v>1</v>
      </c>
      <c r="G11283" s="2">
        <v>0</v>
      </c>
      <c r="H11283" s="1" t="s">
        <v>0</v>
      </c>
      <c r="I11283" s="2">
        <v>0</v>
      </c>
      <c r="J11283" s="1">
        <v>45924.325416666667</v>
      </c>
    </row>
    <row r="11284" spans="1:10" x14ac:dyDescent="0.2">
      <c r="A11284" s="4" t="s">
        <v>1</v>
      </c>
      <c r="B1128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84" s="3" t="str">
        <f>HYPERLINK("https://otsuka-europe-crm.veevavault.com/ui/#object/sent_email__v/VBLZ025E82GY5ZE", "SE-000280334")</f>
        <v>SE-000280334</v>
      </c>
      <c r="D11284" s="1" t="s">
        <v>0</v>
      </c>
      <c r="E11284" s="2">
        <v>0</v>
      </c>
      <c r="F11284" s="2">
        <v>0</v>
      </c>
      <c r="G11284" s="2">
        <v>0</v>
      </c>
      <c r="H11284" s="1" t="s">
        <v>0</v>
      </c>
      <c r="I11284" s="2">
        <v>0</v>
      </c>
      <c r="J11284" s="1">
        <v>45924.325520833336</v>
      </c>
    </row>
    <row r="11285" spans="1:10" x14ac:dyDescent="0.2">
      <c r="A11285" s="4" t="s">
        <v>1</v>
      </c>
      <c r="B1128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85" s="3" t="str">
        <f>HYPERLINK("https://otsuka-europe-crm.veevavault.com/ui/#object/sent_email__v/VBLZ025E82GY5ZF", "SE-000280335")</f>
        <v>SE-000280335</v>
      </c>
      <c r="D11285" s="1" t="s">
        <v>0</v>
      </c>
      <c r="E11285" s="2">
        <v>0</v>
      </c>
      <c r="F11285" s="2">
        <v>0</v>
      </c>
      <c r="G11285" s="2">
        <v>0</v>
      </c>
      <c r="H11285" s="1" t="s">
        <v>0</v>
      </c>
      <c r="I11285" s="2">
        <v>0</v>
      </c>
      <c r="J11285" s="1">
        <v>45924.32540509259</v>
      </c>
    </row>
    <row r="11286" spans="1:10" x14ac:dyDescent="0.2">
      <c r="A11286" s="4" t="s">
        <v>1</v>
      </c>
      <c r="B1128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86" s="3" t="str">
        <f>HYPERLINK("https://otsuka-europe-crm.veevavault.com/ui/#object/sent_email__v/VBLZ025E82GY5ZG", "SE-000280336")</f>
        <v>SE-000280336</v>
      </c>
      <c r="D11286" s="1" t="s">
        <v>0</v>
      </c>
      <c r="E11286" s="2">
        <v>0</v>
      </c>
      <c r="F11286" s="2">
        <v>0</v>
      </c>
      <c r="G11286" s="2">
        <v>0</v>
      </c>
      <c r="H11286" s="1" t="s">
        <v>0</v>
      </c>
      <c r="I11286" s="2">
        <v>0</v>
      </c>
      <c r="J11286" s="1">
        <v>45924.325486111113</v>
      </c>
    </row>
    <row r="11287" spans="1:10" x14ac:dyDescent="0.2">
      <c r="A11287" s="4" t="s">
        <v>1</v>
      </c>
      <c r="B1128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87" s="3" t="str">
        <f>HYPERLINK("https://otsuka-europe-crm.veevavault.com/ui/#object/sent_email__v/VBLZ025E82GY5ZH", "SE-000280337")</f>
        <v>SE-000280337</v>
      </c>
      <c r="D11287" s="1" t="s">
        <v>0</v>
      </c>
      <c r="E11287" s="2">
        <v>0</v>
      </c>
      <c r="F11287" s="2">
        <v>0</v>
      </c>
      <c r="G11287" s="2">
        <v>0</v>
      </c>
      <c r="H11287" s="1" t="s">
        <v>0</v>
      </c>
      <c r="I11287" s="2">
        <v>0</v>
      </c>
      <c r="J11287" s="1">
        <v>45924.325416666667</v>
      </c>
    </row>
    <row r="11288" spans="1:10" x14ac:dyDescent="0.2">
      <c r="A11288" s="4" t="s">
        <v>1</v>
      </c>
      <c r="B1128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88" s="3" t="str">
        <f>HYPERLINK("https://otsuka-europe-crm.veevavault.com/ui/#object/sent_email__v/VBLZ025E82GY5ZI", "SE-000280338")</f>
        <v>SE-000280338</v>
      </c>
      <c r="D11288" s="1">
        <v>45932.726620370369</v>
      </c>
      <c r="E11288" s="2">
        <v>1</v>
      </c>
      <c r="F11288" s="2">
        <v>2</v>
      </c>
      <c r="G11288" s="2">
        <v>0</v>
      </c>
      <c r="H11288" s="1" t="s">
        <v>0</v>
      </c>
      <c r="I11288" s="2">
        <v>0</v>
      </c>
      <c r="J11288" s="1">
        <v>45924.325416666667</v>
      </c>
    </row>
    <row r="11289" spans="1:10" x14ac:dyDescent="0.2">
      <c r="A11289" s="4" t="s">
        <v>1</v>
      </c>
      <c r="B1128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89" s="3" t="str">
        <f>HYPERLINK("https://otsuka-europe-crm.veevavault.com/ui/#object/sent_email__v/VBLZ025E82GY5ZJ", "SE-000280339")</f>
        <v>SE-000280339</v>
      </c>
      <c r="D11289" s="1">
        <v>45925.63795138889</v>
      </c>
      <c r="E11289" s="2">
        <v>1</v>
      </c>
      <c r="F11289" s="2">
        <v>1</v>
      </c>
      <c r="G11289" s="2">
        <v>0</v>
      </c>
      <c r="H11289" s="1" t="s">
        <v>0</v>
      </c>
      <c r="I11289" s="2">
        <v>0</v>
      </c>
      <c r="J11289" s="1">
        <v>45924.325300925928</v>
      </c>
    </row>
    <row r="11290" spans="1:10" x14ac:dyDescent="0.2">
      <c r="A11290" s="4" t="s">
        <v>1</v>
      </c>
      <c r="B1129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90" s="3" t="str">
        <f>HYPERLINK("https://otsuka-europe-crm.veevavault.com/ui/#object/sent_email__v/VBLZ025E82GY5ZK", "SE-000280340")</f>
        <v>SE-000280340</v>
      </c>
      <c r="D11290" s="1">
        <v>45924.965196759258</v>
      </c>
      <c r="E11290" s="2">
        <v>1</v>
      </c>
      <c r="F11290" s="2">
        <v>2</v>
      </c>
      <c r="G11290" s="2">
        <v>0</v>
      </c>
      <c r="H11290" s="1" t="s">
        <v>0</v>
      </c>
      <c r="I11290" s="2">
        <v>0</v>
      </c>
      <c r="J11290" s="1">
        <v>45924.325428240743</v>
      </c>
    </row>
    <row r="11291" spans="1:10" x14ac:dyDescent="0.2">
      <c r="A11291" s="4" t="s">
        <v>1</v>
      </c>
      <c r="B1129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91" s="3" t="str">
        <f>HYPERLINK("https://otsuka-europe-crm.veevavault.com/ui/#object/sent_email__v/VBLZ025E82GY5ZL", "SE-000280341")</f>
        <v>SE-000280341</v>
      </c>
      <c r="D11291" s="1">
        <v>45924.707986111112</v>
      </c>
      <c r="E11291" s="2">
        <v>1</v>
      </c>
      <c r="F11291" s="2">
        <v>1</v>
      </c>
      <c r="G11291" s="2">
        <v>0</v>
      </c>
      <c r="H11291" s="1" t="s">
        <v>0</v>
      </c>
      <c r="I11291" s="2">
        <v>0</v>
      </c>
      <c r="J11291" s="1">
        <v>45924.325300925928</v>
      </c>
    </row>
    <row r="11292" spans="1:10" x14ac:dyDescent="0.2">
      <c r="A11292" s="4" t="s">
        <v>1</v>
      </c>
      <c r="B1129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92" s="3" t="str">
        <f>HYPERLINK("https://otsuka-europe-crm.veevavault.com/ui/#object/sent_email__v/VBLZ025E82GY5ZM", "SE-000280342")</f>
        <v>SE-000280342</v>
      </c>
      <c r="D11292" s="1">
        <v>45924.325798611113</v>
      </c>
      <c r="E11292" s="2">
        <v>1</v>
      </c>
      <c r="F11292" s="2">
        <v>1</v>
      </c>
      <c r="G11292" s="2">
        <v>0</v>
      </c>
      <c r="H11292" s="1" t="s">
        <v>0</v>
      </c>
      <c r="I11292" s="2">
        <v>0</v>
      </c>
      <c r="J11292" s="1">
        <v>45924.325439814813</v>
      </c>
    </row>
    <row r="11293" spans="1:10" x14ac:dyDescent="0.2">
      <c r="A11293" s="4" t="s">
        <v>1</v>
      </c>
      <c r="B1129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93" s="3" t="str">
        <f>HYPERLINK("https://otsuka-europe-crm.veevavault.com/ui/#object/sent_email__v/VBLZ025E82GY5ZN", "SE-000280343")</f>
        <v>SE-000280343</v>
      </c>
      <c r="D11293" s="1">
        <v>45924.333831018521</v>
      </c>
      <c r="E11293" s="2">
        <v>1</v>
      </c>
      <c r="F11293" s="2">
        <v>2</v>
      </c>
      <c r="G11293" s="2">
        <v>0</v>
      </c>
      <c r="H11293" s="1" t="s">
        <v>0</v>
      </c>
      <c r="I11293" s="2">
        <v>0</v>
      </c>
      <c r="J11293" s="1">
        <v>45924.325324074074</v>
      </c>
    </row>
    <row r="11294" spans="1:10" x14ac:dyDescent="0.2">
      <c r="A11294" s="4" t="s">
        <v>1</v>
      </c>
      <c r="B1129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94" s="3" t="str">
        <f>HYPERLINK("https://otsuka-europe-crm.veevavault.com/ui/#object/sent_email__v/VBLZ025E82GY5ZO", "SE-000280344")</f>
        <v>SE-000280344</v>
      </c>
      <c r="D11294" s="1" t="s">
        <v>0</v>
      </c>
      <c r="E11294" s="2">
        <v>0</v>
      </c>
      <c r="F11294" s="2">
        <v>0</v>
      </c>
      <c r="G11294" s="2">
        <v>0</v>
      </c>
      <c r="H11294" s="1" t="s">
        <v>0</v>
      </c>
      <c r="I11294" s="2">
        <v>0</v>
      </c>
      <c r="J11294" s="1">
        <v>45924.325370370374</v>
      </c>
    </row>
    <row r="11295" spans="1:10" x14ac:dyDescent="0.2">
      <c r="A11295" s="4" t="s">
        <v>1</v>
      </c>
      <c r="B1129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95" s="3" t="str">
        <f>HYPERLINK("https://otsuka-europe-crm.veevavault.com/ui/#object/sent_email__v/VBLZ025E82GY5ZP", "SE-000280345")</f>
        <v>SE-000280345</v>
      </c>
      <c r="D11295" s="1" t="s">
        <v>0</v>
      </c>
      <c r="E11295" s="2">
        <v>0</v>
      </c>
      <c r="F11295" s="2">
        <v>0</v>
      </c>
      <c r="G11295" s="2">
        <v>0</v>
      </c>
      <c r="H11295" s="1" t="s">
        <v>0</v>
      </c>
      <c r="I11295" s="2">
        <v>0</v>
      </c>
      <c r="J11295" s="1">
        <v>45924.325462962966</v>
      </c>
    </row>
    <row r="11296" spans="1:10" x14ac:dyDescent="0.2">
      <c r="A11296" s="4" t="s">
        <v>1</v>
      </c>
      <c r="B1129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96" s="3" t="str">
        <f>HYPERLINK("https://otsuka-europe-crm.veevavault.com/ui/#object/sent_email__v/VBLZ025E82GY5ZQ", "SE-000280346")</f>
        <v>SE-000280346</v>
      </c>
      <c r="D11296" s="1">
        <v>45924.32545138889</v>
      </c>
      <c r="E11296" s="2">
        <v>1</v>
      </c>
      <c r="F11296" s="2">
        <v>1</v>
      </c>
      <c r="G11296" s="2">
        <v>0</v>
      </c>
      <c r="H11296" s="1" t="s">
        <v>0</v>
      </c>
      <c r="I11296" s="2">
        <v>0</v>
      </c>
      <c r="J11296" s="1">
        <v>45924.32534722222</v>
      </c>
    </row>
    <row r="11297" spans="1:10" x14ac:dyDescent="0.2">
      <c r="A11297" s="4" t="s">
        <v>1</v>
      </c>
      <c r="B1129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97" s="3" t="str">
        <f>HYPERLINK("https://otsuka-europe-crm.veevavault.com/ui/#object/sent_email__v/VBLZ025E82GY5ZR", "SE-000280347")</f>
        <v>SE-000280347</v>
      </c>
      <c r="D11297" s="1">
        <v>45929.077187499999</v>
      </c>
      <c r="E11297" s="2">
        <v>1</v>
      </c>
      <c r="F11297" s="2">
        <v>2</v>
      </c>
      <c r="G11297" s="2">
        <v>0</v>
      </c>
      <c r="H11297" s="1" t="s">
        <v>0</v>
      </c>
      <c r="I11297" s="2">
        <v>0</v>
      </c>
      <c r="J11297" s="1">
        <v>45924.325462962966</v>
      </c>
    </row>
    <row r="11298" spans="1:10" x14ac:dyDescent="0.2">
      <c r="A11298" s="4" t="s">
        <v>1</v>
      </c>
      <c r="B1129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98" s="3" t="str">
        <f>HYPERLINK("https://otsuka-europe-crm.veevavault.com/ui/#object/sent_email__v/VBLZ025E82GY5ZS", "SE-000280348")</f>
        <v>SE-000280348</v>
      </c>
      <c r="D11298" s="1" t="s">
        <v>0</v>
      </c>
      <c r="E11298" s="2">
        <v>0</v>
      </c>
      <c r="F11298" s="2">
        <v>0</v>
      </c>
      <c r="G11298" s="2">
        <v>0</v>
      </c>
      <c r="H11298" s="1" t="s">
        <v>0</v>
      </c>
      <c r="I11298" s="2">
        <v>0</v>
      </c>
      <c r="J11298" s="1">
        <v>45924.325324074074</v>
      </c>
    </row>
    <row r="11299" spans="1:10" x14ac:dyDescent="0.2">
      <c r="A11299" s="4" t="s">
        <v>1</v>
      </c>
      <c r="B1129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299" s="3" t="str">
        <f>HYPERLINK("https://otsuka-europe-crm.veevavault.com/ui/#object/sent_email__v/VBLZ025E82GY61T", "SE-000280349")</f>
        <v>SE-000280349</v>
      </c>
      <c r="D11299" s="1">
        <v>45924.481712962966</v>
      </c>
      <c r="E11299" s="2">
        <v>1</v>
      </c>
      <c r="F11299" s="2">
        <v>1</v>
      </c>
      <c r="G11299" s="2">
        <v>0</v>
      </c>
      <c r="H11299" s="1" t="s">
        <v>0</v>
      </c>
      <c r="I11299" s="2">
        <v>0</v>
      </c>
      <c r="J11299" s="1">
        <v>45924.326111111113</v>
      </c>
    </row>
    <row r="11300" spans="1:10" x14ac:dyDescent="0.2">
      <c r="A11300" s="4" t="s">
        <v>1</v>
      </c>
      <c r="B1130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00" s="3" t="str">
        <f>HYPERLINK("https://otsuka-europe-crm.veevavault.com/ui/#object/sent_email__v/VBLZ025E82GY61U", "SE-000280350")</f>
        <v>SE-000280350</v>
      </c>
      <c r="D11300" s="1">
        <v>45925.334907407407</v>
      </c>
      <c r="E11300" s="2">
        <v>1</v>
      </c>
      <c r="F11300" s="2">
        <v>1</v>
      </c>
      <c r="G11300" s="2">
        <v>1</v>
      </c>
      <c r="H11300" s="1">
        <v>45925.334907407407</v>
      </c>
      <c r="I11300" s="2">
        <v>1</v>
      </c>
      <c r="J11300" s="1">
        <v>45924.326122685183</v>
      </c>
    </row>
    <row r="11301" spans="1:10" x14ac:dyDescent="0.2">
      <c r="A11301" s="4" t="s">
        <v>1</v>
      </c>
      <c r="B1130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01" s="3" t="str">
        <f>HYPERLINK("https://otsuka-europe-crm.veevavault.com/ui/#object/sent_email__v/VBLZ025E82GY61V", "SE-000280351")</f>
        <v>SE-000280351</v>
      </c>
      <c r="D11301" s="1" t="s">
        <v>0</v>
      </c>
      <c r="E11301" s="2">
        <v>0</v>
      </c>
      <c r="F11301" s="2">
        <v>0</v>
      </c>
      <c r="G11301" s="2">
        <v>0</v>
      </c>
      <c r="H11301" s="1" t="s">
        <v>0</v>
      </c>
      <c r="I11301" s="2">
        <v>0</v>
      </c>
      <c r="J11301" s="1">
        <v>45924.326122685183</v>
      </c>
    </row>
    <row r="11302" spans="1:10" x14ac:dyDescent="0.2">
      <c r="A11302" s="4" t="s">
        <v>1</v>
      </c>
      <c r="B1130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02" s="3" t="str">
        <f>HYPERLINK("https://otsuka-europe-crm.veevavault.com/ui/#object/sent_email__v/VBLZ025E82GY61W", "SE-000280352")</f>
        <v>SE-000280352</v>
      </c>
      <c r="D11302" s="1">
        <v>45924.326249999998</v>
      </c>
      <c r="E11302" s="2">
        <v>1</v>
      </c>
      <c r="F11302" s="2">
        <v>1</v>
      </c>
      <c r="G11302" s="2">
        <v>0</v>
      </c>
      <c r="H11302" s="1" t="s">
        <v>0</v>
      </c>
      <c r="I11302" s="2">
        <v>0</v>
      </c>
      <c r="J11302" s="1">
        <v>45924.326145833336</v>
      </c>
    </row>
    <row r="11303" spans="1:10" x14ac:dyDescent="0.2">
      <c r="A11303" s="4" t="s">
        <v>1</v>
      </c>
      <c r="B1130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03" s="3" t="str">
        <f>HYPERLINK("https://otsuka-europe-crm.veevavault.com/ui/#object/sent_email__v/VBLZ025E82GY61X", "SE-000280353")</f>
        <v>SE-000280353</v>
      </c>
      <c r="D11303" s="1" t="s">
        <v>0</v>
      </c>
      <c r="E11303" s="2">
        <v>0</v>
      </c>
      <c r="F11303" s="2">
        <v>0</v>
      </c>
      <c r="G11303" s="2">
        <v>0</v>
      </c>
      <c r="H11303" s="1" t="s">
        <v>0</v>
      </c>
      <c r="I11303" s="2">
        <v>0</v>
      </c>
      <c r="J11303" s="1">
        <v>45924.326157407406</v>
      </c>
    </row>
    <row r="11304" spans="1:10" x14ac:dyDescent="0.2">
      <c r="A11304" s="4" t="s">
        <v>1</v>
      </c>
      <c r="B1130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04" s="3" t="str">
        <f>HYPERLINK("https://otsuka-europe-crm.veevavault.com/ui/#object/sent_email__v/VBLZ025E82GY61Y", "SE-000280354")</f>
        <v>SE-000280354</v>
      </c>
      <c r="D11304" s="1" t="s">
        <v>0</v>
      </c>
      <c r="E11304" s="2">
        <v>0</v>
      </c>
      <c r="F11304" s="2">
        <v>0</v>
      </c>
      <c r="G11304" s="2">
        <v>0</v>
      </c>
      <c r="H11304" s="1" t="s">
        <v>0</v>
      </c>
      <c r="I11304" s="2">
        <v>0</v>
      </c>
      <c r="J11304" s="1">
        <v>45924.32613425926</v>
      </c>
    </row>
    <row r="11305" spans="1:10" x14ac:dyDescent="0.2">
      <c r="A11305" s="4" t="s">
        <v>1</v>
      </c>
      <c r="B1130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05" s="3" t="str">
        <f>HYPERLINK("https://otsuka-europe-crm.veevavault.com/ui/#object/sent_email__v/VBLZ025E82GY61Z", "SE-000280355")</f>
        <v>SE-000280355</v>
      </c>
      <c r="D11305" s="1" t="s">
        <v>0</v>
      </c>
      <c r="E11305" s="2">
        <v>0</v>
      </c>
      <c r="F11305" s="2">
        <v>0</v>
      </c>
      <c r="G11305" s="2">
        <v>0</v>
      </c>
      <c r="H11305" s="1" t="s">
        <v>0</v>
      </c>
      <c r="I11305" s="2">
        <v>0</v>
      </c>
      <c r="J11305" s="1">
        <v>45924.326192129629</v>
      </c>
    </row>
    <row r="11306" spans="1:10" x14ac:dyDescent="0.2">
      <c r="A11306" s="4" t="s">
        <v>1</v>
      </c>
      <c r="B1130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06" s="3" t="str">
        <f>HYPERLINK("https://otsuka-europe-crm.veevavault.com/ui/#object/sent_email__v/VBLZ025E82GY620", "SE-000280356")</f>
        <v>SE-000280356</v>
      </c>
      <c r="D11306" s="1" t="s">
        <v>0</v>
      </c>
      <c r="E11306" s="2">
        <v>0</v>
      </c>
      <c r="F11306" s="2">
        <v>0</v>
      </c>
      <c r="G11306" s="2">
        <v>0</v>
      </c>
      <c r="H11306" s="1" t="s">
        <v>0</v>
      </c>
      <c r="I11306" s="2">
        <v>0</v>
      </c>
      <c r="J11306" s="1">
        <v>45924.326203703706</v>
      </c>
    </row>
    <row r="11307" spans="1:10" x14ac:dyDescent="0.2">
      <c r="A11307" s="4" t="s">
        <v>1</v>
      </c>
      <c r="B1130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07" s="3" t="str">
        <f>HYPERLINK("https://otsuka-europe-crm.veevavault.com/ui/#object/sent_email__v/VBLZ025E82GY621", "SE-000280357")</f>
        <v>SE-000280357</v>
      </c>
      <c r="D11307" s="1">
        <v>45924.770358796297</v>
      </c>
      <c r="E11307" s="2">
        <v>1</v>
      </c>
      <c r="F11307" s="2">
        <v>1</v>
      </c>
      <c r="G11307" s="2">
        <v>1</v>
      </c>
      <c r="H11307" s="1">
        <v>45924.77071759259</v>
      </c>
      <c r="I11307" s="2">
        <v>1</v>
      </c>
      <c r="J11307" s="1">
        <v>45924.326180555552</v>
      </c>
    </row>
    <row r="11308" spans="1:10" x14ac:dyDescent="0.2">
      <c r="A11308" s="4" t="s">
        <v>1</v>
      </c>
      <c r="B1130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08" s="3" t="str">
        <f>HYPERLINK("https://otsuka-europe-crm.veevavault.com/ui/#object/sent_email__v/VBLZ025E82GY622", "SE-000280358")</f>
        <v>SE-000280358</v>
      </c>
      <c r="D11308" s="1">
        <v>45924.349004629628</v>
      </c>
      <c r="E11308" s="2">
        <v>1</v>
      </c>
      <c r="F11308" s="2">
        <v>2</v>
      </c>
      <c r="G11308" s="2">
        <v>0</v>
      </c>
      <c r="H11308" s="1" t="s">
        <v>0</v>
      </c>
      <c r="I11308" s="2">
        <v>0</v>
      </c>
      <c r="J11308" s="1">
        <v>45924.326168981483</v>
      </c>
    </row>
    <row r="11309" spans="1:10" x14ac:dyDescent="0.2">
      <c r="A11309" s="4" t="s">
        <v>1</v>
      </c>
      <c r="B1130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09" s="3" t="str">
        <f>HYPERLINK("https://otsuka-europe-crm.veevavault.com/ui/#object/sent_email__v/VBLZ025E82GY623", "SE-000280359")</f>
        <v>SE-000280359</v>
      </c>
      <c r="D11309" s="1" t="s">
        <v>0</v>
      </c>
      <c r="E11309" s="2">
        <v>0</v>
      </c>
      <c r="F11309" s="2">
        <v>0</v>
      </c>
      <c r="G11309" s="2">
        <v>0</v>
      </c>
      <c r="H11309" s="1" t="s">
        <v>0</v>
      </c>
      <c r="I11309" s="2">
        <v>0</v>
      </c>
      <c r="J11309" s="1">
        <v>45924.326215277775</v>
      </c>
    </row>
    <row r="11310" spans="1:10" x14ac:dyDescent="0.2">
      <c r="A11310" s="4" t="s">
        <v>1</v>
      </c>
      <c r="B1131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10" s="3" t="str">
        <f>HYPERLINK("https://otsuka-europe-crm.veevavault.com/ui/#object/sent_email__v/VBLZ025E82GY624", "SE-000280360")</f>
        <v>SE-000280360</v>
      </c>
      <c r="D11310" s="1" t="s">
        <v>0</v>
      </c>
      <c r="E11310" s="2">
        <v>0</v>
      </c>
      <c r="F11310" s="2">
        <v>0</v>
      </c>
      <c r="G11310" s="2">
        <v>0</v>
      </c>
      <c r="H11310" s="1" t="s">
        <v>0</v>
      </c>
      <c r="I11310" s="2">
        <v>0</v>
      </c>
      <c r="J11310" s="1">
        <v>45924.326226851852</v>
      </c>
    </row>
    <row r="11311" spans="1:10" x14ac:dyDescent="0.2">
      <c r="A11311" s="4" t="s">
        <v>1</v>
      </c>
      <c r="B1131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11" s="3" t="str">
        <f>HYPERLINK("https://otsuka-europe-crm.veevavault.com/ui/#object/sent_email__v/VBLZ025E82GY625", "SE-000280361")</f>
        <v>SE-000280361</v>
      </c>
      <c r="D11311" s="1" t="s">
        <v>0</v>
      </c>
      <c r="E11311" s="2">
        <v>0</v>
      </c>
      <c r="F11311" s="2">
        <v>0</v>
      </c>
      <c r="G11311" s="2">
        <v>0</v>
      </c>
      <c r="H11311" s="1" t="s">
        <v>0</v>
      </c>
      <c r="I11311" s="2">
        <v>0</v>
      </c>
      <c r="J11311" s="1">
        <v>45924.326238425929</v>
      </c>
    </row>
    <row r="11312" spans="1:10" x14ac:dyDescent="0.2">
      <c r="A11312" s="4" t="s">
        <v>1</v>
      </c>
      <c r="B1131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12" s="3" t="str">
        <f>HYPERLINK("https://otsuka-europe-crm.veevavault.com/ui/#object/sent_email__v/VBLZ025E82GY626", "SE-000280362")</f>
        <v>SE-000280362</v>
      </c>
      <c r="D11312" s="1" t="s">
        <v>0</v>
      </c>
      <c r="E11312" s="2">
        <v>0</v>
      </c>
      <c r="F11312" s="2">
        <v>0</v>
      </c>
      <c r="G11312" s="2">
        <v>0</v>
      </c>
      <c r="H11312" s="1" t="s">
        <v>0</v>
      </c>
      <c r="I11312" s="2">
        <v>0</v>
      </c>
      <c r="J11312" s="1">
        <v>45924.326226851852</v>
      </c>
    </row>
    <row r="11313" spans="1:10" x14ac:dyDescent="0.2">
      <c r="A11313" s="4" t="s">
        <v>1</v>
      </c>
      <c r="B1131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13" s="3" t="str">
        <f>HYPERLINK("https://otsuka-europe-crm.veevavault.com/ui/#object/sent_email__v/VBLZ025E82GY627", "SE-000280363")</f>
        <v>SE-000280363</v>
      </c>
      <c r="D11313" s="1">
        <v>45924.90892361111</v>
      </c>
      <c r="E11313" s="2">
        <v>1</v>
      </c>
      <c r="F11313" s="2">
        <v>1</v>
      </c>
      <c r="G11313" s="2">
        <v>0</v>
      </c>
      <c r="H11313" s="1" t="s">
        <v>0</v>
      </c>
      <c r="I11313" s="2">
        <v>0</v>
      </c>
      <c r="J11313" s="1">
        <v>45924.326041666667</v>
      </c>
    </row>
    <row r="11314" spans="1:10" x14ac:dyDescent="0.2">
      <c r="A11314" s="4" t="s">
        <v>1</v>
      </c>
      <c r="B1131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14" s="3" t="str">
        <f>HYPERLINK("https://otsuka-europe-crm.veevavault.com/ui/#object/sent_email__v/VBLZ025E82GY628", "SE-000280364")</f>
        <v>SE-000280364</v>
      </c>
      <c r="D11314" s="1">
        <v>45924.625034722223</v>
      </c>
      <c r="E11314" s="2">
        <v>1</v>
      </c>
      <c r="F11314" s="2">
        <v>1</v>
      </c>
      <c r="G11314" s="2">
        <v>0</v>
      </c>
      <c r="H11314" s="1" t="s">
        <v>0</v>
      </c>
      <c r="I11314" s="2">
        <v>0</v>
      </c>
      <c r="J11314" s="1">
        <v>45924.326064814813</v>
      </c>
    </row>
    <row r="11315" spans="1:10" x14ac:dyDescent="0.2">
      <c r="A11315" s="4" t="s">
        <v>1</v>
      </c>
      <c r="B1131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15" s="3" t="str">
        <f>HYPERLINK("https://otsuka-europe-crm.veevavault.com/ui/#object/sent_email__v/VBLZ025E82GY629", "SE-000280365")</f>
        <v>SE-000280365</v>
      </c>
      <c r="D11315" s="1">
        <v>45924.326192129629</v>
      </c>
      <c r="E11315" s="2">
        <v>1</v>
      </c>
      <c r="F11315" s="2">
        <v>1</v>
      </c>
      <c r="G11315" s="2">
        <v>0</v>
      </c>
      <c r="H11315" s="1" t="s">
        <v>0</v>
      </c>
      <c r="I11315" s="2">
        <v>0</v>
      </c>
      <c r="J11315" s="1">
        <v>45924.326064814813</v>
      </c>
    </row>
    <row r="11316" spans="1:10" x14ac:dyDescent="0.2">
      <c r="A11316" s="4" t="s">
        <v>1</v>
      </c>
      <c r="B1131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16" s="3" t="str">
        <f>HYPERLINK("https://otsuka-europe-crm.veevavault.com/ui/#object/sent_email__v/VBLZ025E82GY62A", "SE-000280366")</f>
        <v>SE-000280366</v>
      </c>
      <c r="D11316" s="1">
        <v>45929.259386574071</v>
      </c>
      <c r="E11316" s="2">
        <v>1</v>
      </c>
      <c r="F11316" s="2">
        <v>2</v>
      </c>
      <c r="G11316" s="2">
        <v>0</v>
      </c>
      <c r="H11316" s="1" t="s">
        <v>0</v>
      </c>
      <c r="I11316" s="2">
        <v>0</v>
      </c>
      <c r="J11316" s="1">
        <v>45924.32607638889</v>
      </c>
    </row>
    <row r="11317" spans="1:10" x14ac:dyDescent="0.2">
      <c r="A11317" s="4" t="s">
        <v>1</v>
      </c>
      <c r="B1131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17" s="3" t="str">
        <f>HYPERLINK("https://otsuka-europe-crm.veevavault.com/ui/#object/sent_email__v/VBLZ025E82GY62B", "SE-000280367")</f>
        <v>SE-000280367</v>
      </c>
      <c r="D11317" s="1" t="s">
        <v>0</v>
      </c>
      <c r="E11317" s="2">
        <v>0</v>
      </c>
      <c r="F11317" s="2">
        <v>0</v>
      </c>
      <c r="G11317" s="2">
        <v>0</v>
      </c>
      <c r="H11317" s="1" t="s">
        <v>0</v>
      </c>
      <c r="I11317" s="2">
        <v>0</v>
      </c>
      <c r="J11317" s="1">
        <v>45924.326099537036</v>
      </c>
    </row>
    <row r="11318" spans="1:10" x14ac:dyDescent="0.2">
      <c r="A11318" s="4" t="s">
        <v>1</v>
      </c>
      <c r="B1131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18" s="3" t="str">
        <f>HYPERLINK("https://otsuka-europe-crm.veevavault.com/ui/#object/sent_email__v/VBLZ025E82GY62C", "SE-000280368")</f>
        <v>SE-000280368</v>
      </c>
      <c r="D11318" s="1" t="s">
        <v>0</v>
      </c>
      <c r="E11318" s="2">
        <v>0</v>
      </c>
      <c r="F11318" s="2">
        <v>0</v>
      </c>
      <c r="G11318" s="2">
        <v>0</v>
      </c>
      <c r="H11318" s="1" t="s">
        <v>0</v>
      </c>
      <c r="I11318" s="2">
        <v>0</v>
      </c>
      <c r="J11318" s="1">
        <v>45924.326111111113</v>
      </c>
    </row>
    <row r="11319" spans="1:10" x14ac:dyDescent="0.2">
      <c r="A11319" s="4" t="s">
        <v>1</v>
      </c>
      <c r="B1131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19" s="3" t="str">
        <f>HYPERLINK("https://otsuka-europe-crm.veevavault.com/ui/#object/sent_email__v/VBLZ025E82GY62D", "SE-000280369")</f>
        <v>SE-000280369</v>
      </c>
      <c r="D11319" s="1">
        <v>45927.414027777777</v>
      </c>
      <c r="E11319" s="2">
        <v>1</v>
      </c>
      <c r="F11319" s="2">
        <v>1</v>
      </c>
      <c r="G11319" s="2">
        <v>0</v>
      </c>
      <c r="H11319" s="1" t="s">
        <v>0</v>
      </c>
      <c r="I11319" s="2">
        <v>0</v>
      </c>
      <c r="J11319" s="1">
        <v>45924.32608796296</v>
      </c>
    </row>
    <row r="11320" spans="1:10" x14ac:dyDescent="0.2">
      <c r="A11320" s="4" t="s">
        <v>1</v>
      </c>
      <c r="B11320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20" s="3" t="str">
        <f>HYPERLINK("https://otsuka-europe-crm.veevavault.com/ui/#object/sent_email__v/VBLZ025E82GY62E", "SE-000280370")</f>
        <v>SE-000280370</v>
      </c>
      <c r="D11320" s="1" t="s">
        <v>0</v>
      </c>
      <c r="E11320" s="2">
        <v>0</v>
      </c>
      <c r="F11320" s="2">
        <v>0</v>
      </c>
      <c r="G11320" s="2">
        <v>0</v>
      </c>
      <c r="H11320" s="1" t="s">
        <v>0</v>
      </c>
      <c r="I11320" s="2">
        <v>0</v>
      </c>
      <c r="J11320" s="1">
        <v>45924.326064814813</v>
      </c>
    </row>
    <row r="11321" spans="1:10" x14ac:dyDescent="0.2">
      <c r="A11321" s="4" t="s">
        <v>1</v>
      </c>
      <c r="B11321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21" s="3" t="str">
        <f>HYPERLINK("https://otsuka-europe-crm.veevavault.com/ui/#object/sent_email__v/VBLZ025E82GY62F", "SE-000280371")</f>
        <v>SE-000280371</v>
      </c>
      <c r="D11321" s="1">
        <v>45924.731354166666</v>
      </c>
      <c r="E11321" s="2">
        <v>1</v>
      </c>
      <c r="F11321" s="2">
        <v>2</v>
      </c>
      <c r="G11321" s="2">
        <v>0</v>
      </c>
      <c r="H11321" s="1" t="s">
        <v>0</v>
      </c>
      <c r="I11321" s="2">
        <v>0</v>
      </c>
      <c r="J11321" s="1">
        <v>45924.32607638889</v>
      </c>
    </row>
    <row r="11322" spans="1:10" x14ac:dyDescent="0.2">
      <c r="A11322" s="4" t="s">
        <v>1</v>
      </c>
      <c r="B11322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22" s="3" t="str">
        <f>HYPERLINK("https://otsuka-europe-crm.veevavault.com/ui/#object/sent_email__v/VBLZ025E82GY62G", "SE-000280372")</f>
        <v>SE-000280372</v>
      </c>
      <c r="D11322" s="1">
        <v>45924.861562500002</v>
      </c>
      <c r="E11322" s="2">
        <v>1</v>
      </c>
      <c r="F11322" s="2">
        <v>2</v>
      </c>
      <c r="G11322" s="2">
        <v>0</v>
      </c>
      <c r="H11322" s="1" t="s">
        <v>0</v>
      </c>
      <c r="I11322" s="2">
        <v>0</v>
      </c>
      <c r="J11322" s="1">
        <v>45924.326180555552</v>
      </c>
    </row>
    <row r="11323" spans="1:10" x14ac:dyDescent="0.2">
      <c r="A11323" s="4" t="s">
        <v>1</v>
      </c>
      <c r="B11323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23" s="3" t="str">
        <f>HYPERLINK("https://otsuka-europe-crm.veevavault.com/ui/#object/sent_email__v/VBLZ025E82GY64L", "SE-000280373")</f>
        <v>SE-000280373</v>
      </c>
      <c r="D11323" s="1" t="s">
        <v>0</v>
      </c>
      <c r="E11323" s="2">
        <v>0</v>
      </c>
      <c r="F11323" s="2">
        <v>0</v>
      </c>
      <c r="G11323" s="2">
        <v>0</v>
      </c>
      <c r="H11323" s="1" t="s">
        <v>0</v>
      </c>
      <c r="I11323" s="2">
        <v>0</v>
      </c>
      <c r="J11323" s="1">
        <v>45924.326608796298</v>
      </c>
    </row>
    <row r="11324" spans="1:10" x14ac:dyDescent="0.2">
      <c r="A11324" s="4" t="s">
        <v>1</v>
      </c>
      <c r="B11324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24" s="3" t="str">
        <f>HYPERLINK("https://otsuka-europe-crm.veevavault.com/ui/#object/sent_email__v/VBLZ025E82GY64M", "SE-000280374")</f>
        <v>SE-000280374</v>
      </c>
      <c r="D11324" s="1" t="s">
        <v>0</v>
      </c>
      <c r="E11324" s="2">
        <v>0</v>
      </c>
      <c r="F11324" s="2">
        <v>0</v>
      </c>
      <c r="G11324" s="2">
        <v>0</v>
      </c>
      <c r="H11324" s="1" t="s">
        <v>0</v>
      </c>
      <c r="I11324" s="2">
        <v>0</v>
      </c>
      <c r="J11324" s="1">
        <v>45924.326620370368</v>
      </c>
    </row>
    <row r="11325" spans="1:10" x14ac:dyDescent="0.2">
      <c r="A11325" s="4" t="s">
        <v>1</v>
      </c>
      <c r="B11325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25" s="3" t="str">
        <f>HYPERLINK("https://otsuka-europe-crm.veevavault.com/ui/#object/sent_email__v/VBLZ025E82GY64N", "SE-000280375")</f>
        <v>SE-000280375</v>
      </c>
      <c r="D11325" s="1" t="s">
        <v>0</v>
      </c>
      <c r="E11325" s="2">
        <v>0</v>
      </c>
      <c r="F11325" s="2">
        <v>0</v>
      </c>
      <c r="G11325" s="2">
        <v>0</v>
      </c>
      <c r="H11325" s="1" t="s">
        <v>0</v>
      </c>
      <c r="I11325" s="2">
        <v>0</v>
      </c>
      <c r="J11325" s="1">
        <v>45924.326562499999</v>
      </c>
    </row>
    <row r="11326" spans="1:10" x14ac:dyDescent="0.2">
      <c r="A11326" s="4" t="s">
        <v>1</v>
      </c>
      <c r="B11326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26" s="3" t="str">
        <f>HYPERLINK("https://otsuka-europe-crm.veevavault.com/ui/#object/sent_email__v/VBLZ025E82GY64O", "SE-000280376")</f>
        <v>SE-000280376</v>
      </c>
      <c r="D11326" s="1" t="s">
        <v>0</v>
      </c>
      <c r="E11326" s="2">
        <v>0</v>
      </c>
      <c r="F11326" s="2">
        <v>0</v>
      </c>
      <c r="G11326" s="2">
        <v>0</v>
      </c>
      <c r="H11326" s="1" t="s">
        <v>0</v>
      </c>
      <c r="I11326" s="2">
        <v>0</v>
      </c>
      <c r="J11326" s="1">
        <v>45924.326585648145</v>
      </c>
    </row>
    <row r="11327" spans="1:10" x14ac:dyDescent="0.2">
      <c r="A11327" s="4" t="s">
        <v>1</v>
      </c>
      <c r="B11327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27" s="3" t="str">
        <f>HYPERLINK("https://otsuka-europe-crm.veevavault.com/ui/#object/sent_email__v/VBLZ025E82GY64P", "SE-000280377")</f>
        <v>SE-000280377</v>
      </c>
      <c r="D11327" s="1" t="s">
        <v>0</v>
      </c>
      <c r="E11327" s="2">
        <v>0</v>
      </c>
      <c r="F11327" s="2">
        <v>0</v>
      </c>
      <c r="G11327" s="2">
        <v>0</v>
      </c>
      <c r="H11327" s="1" t="s">
        <v>0</v>
      </c>
      <c r="I11327" s="2">
        <v>0</v>
      </c>
      <c r="J11327" s="1">
        <v>45924.326597222222</v>
      </c>
    </row>
    <row r="11328" spans="1:10" x14ac:dyDescent="0.2">
      <c r="A11328" s="4" t="s">
        <v>1</v>
      </c>
      <c r="B11328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28" s="3" t="str">
        <f>HYPERLINK("https://otsuka-europe-crm.veevavault.com/ui/#object/sent_email__v/VBLZ025E82GY64Q", "SE-000280378")</f>
        <v>SE-000280378</v>
      </c>
      <c r="D11328" s="1">
        <v>45925.583437499998</v>
      </c>
      <c r="E11328" s="2">
        <v>1</v>
      </c>
      <c r="F11328" s="2">
        <v>1</v>
      </c>
      <c r="G11328" s="2">
        <v>0</v>
      </c>
      <c r="H11328" s="1" t="s">
        <v>0</v>
      </c>
      <c r="I11328" s="2">
        <v>0</v>
      </c>
      <c r="J11328" s="1">
        <v>45924.326585648145</v>
      </c>
    </row>
    <row r="11329" spans="1:10" x14ac:dyDescent="0.2">
      <c r="A11329" s="4" t="s">
        <v>1</v>
      </c>
      <c r="B11329" s="3" t="str">
        <f>HYPERLINK("https://otsuka-europe-crm.veevavault.com/ui/#object/approved_document__v/V5OZ025E82TOLZH", "LUP - 10 cuestiones para pensar: Albuminuria - nefro")</f>
        <v>LUP - 10 cuestiones para pensar: Albuminuria - nefro</v>
      </c>
      <c r="C11329" s="3" t="str">
        <f>HYPERLINK("https://otsuka-europe-crm.veevavault.com/ui/#object/sent_email__v/VBLZ025E82GY64R", "SE-000280379")</f>
        <v>SE-000280379</v>
      </c>
      <c r="D11329" s="1" t="s">
        <v>0</v>
      </c>
      <c r="E11329" s="2">
        <v>0</v>
      </c>
      <c r="F11329" s="2">
        <v>0</v>
      </c>
      <c r="G11329" s="2">
        <v>0</v>
      </c>
      <c r="H11329" s="1" t="s">
        <v>0</v>
      </c>
      <c r="I11329" s="2">
        <v>0</v>
      </c>
      <c r="J11329" s="1">
        <v>45924.326585648145</v>
      </c>
    </row>
    <row r="11330" spans="1:10" x14ac:dyDescent="0.2">
      <c r="A11330" s="4" t="s">
        <v>1</v>
      </c>
      <c r="B1133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30" s="3" t="str">
        <f>HYPERLINK("https://otsuka-europe-crm.veevavault.com/ui/#object/sent_email__v/VBLZ025E82GQPLX", "SE-000275759")</f>
        <v>SE-000275759</v>
      </c>
      <c r="D11330" s="1" t="s">
        <v>0</v>
      </c>
      <c r="E11330" s="2">
        <v>0</v>
      </c>
      <c r="F11330" s="2">
        <v>0</v>
      </c>
      <c r="G11330" s="2">
        <v>0</v>
      </c>
      <c r="H11330" s="1" t="s">
        <v>0</v>
      </c>
      <c r="I11330" s="2">
        <v>0</v>
      </c>
      <c r="J11330" s="1">
        <v>45917.377581018518</v>
      </c>
    </row>
    <row r="11331" spans="1:10" x14ac:dyDescent="0.2">
      <c r="A11331" s="4" t="s">
        <v>1</v>
      </c>
      <c r="B1133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31" s="3" t="str">
        <f>HYPERLINK("https://otsuka-europe-crm.veevavault.com/ui/#object/sent_email__v/VBLZ025E82GQPOP", "SE-000275760")</f>
        <v>SE-000275760</v>
      </c>
      <c r="D11331" s="1" t="s">
        <v>0</v>
      </c>
      <c r="E11331" s="2">
        <v>0</v>
      </c>
      <c r="F11331" s="2">
        <v>0</v>
      </c>
      <c r="G11331" s="2">
        <v>0</v>
      </c>
      <c r="H11331" s="1" t="s">
        <v>0</v>
      </c>
      <c r="I11331" s="2">
        <v>0</v>
      </c>
      <c r="J11331" s="1">
        <v>45917.377835648149</v>
      </c>
    </row>
    <row r="11332" spans="1:10" x14ac:dyDescent="0.2">
      <c r="A11332" s="4" t="s">
        <v>1</v>
      </c>
      <c r="B1133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32" s="3" t="str">
        <f>HYPERLINK("https://otsuka-europe-crm.veevavault.com/ui/#object/sent_email__v/VBLZ025E82GQQDP", "SE-000275765")</f>
        <v>SE-000275765</v>
      </c>
      <c r="D11332" s="1" t="s">
        <v>0</v>
      </c>
      <c r="E11332" s="2">
        <v>0</v>
      </c>
      <c r="F11332" s="2">
        <v>0</v>
      </c>
      <c r="G11332" s="2">
        <v>0</v>
      </c>
      <c r="H11332" s="1" t="s">
        <v>0</v>
      </c>
      <c r="I11332" s="2">
        <v>0</v>
      </c>
      <c r="J11332" s="1">
        <v>45917.381215277775</v>
      </c>
    </row>
    <row r="11333" spans="1:10" x14ac:dyDescent="0.2">
      <c r="A11333" s="4" t="s">
        <v>1</v>
      </c>
      <c r="B1133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33" s="3" t="str">
        <f>HYPERLINK("https://otsuka-europe-crm.veevavault.com/ui/#object/sent_email__v/VBLZ025E82GQT5P", "SE-000275780")</f>
        <v>SE-000275780</v>
      </c>
      <c r="D11333" s="1" t="s">
        <v>0</v>
      </c>
      <c r="E11333" s="2">
        <v>0</v>
      </c>
      <c r="F11333" s="2">
        <v>0</v>
      </c>
      <c r="G11333" s="2">
        <v>0</v>
      </c>
      <c r="H11333" s="1" t="s">
        <v>0</v>
      </c>
      <c r="I11333" s="2">
        <v>0</v>
      </c>
      <c r="J11333" s="1">
        <v>45917.391469907408</v>
      </c>
    </row>
    <row r="11334" spans="1:10" x14ac:dyDescent="0.2">
      <c r="A11334" s="4" t="s">
        <v>1</v>
      </c>
      <c r="B1133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34" s="3" t="str">
        <f>HYPERLINK("https://otsuka-europe-crm.veevavault.com/ui/#object/sent_email__v/VBLZ025E82GQX3D", "SE-000275805")</f>
        <v>SE-000275805</v>
      </c>
      <c r="D11334" s="1">
        <v>45920.357048611113</v>
      </c>
      <c r="E11334" s="2">
        <v>1</v>
      </c>
      <c r="F11334" s="2">
        <v>1</v>
      </c>
      <c r="G11334" s="2">
        <v>0</v>
      </c>
      <c r="H11334" s="1" t="s">
        <v>0</v>
      </c>
      <c r="I11334" s="2">
        <v>0</v>
      </c>
      <c r="J11334" s="1">
        <v>45917.404444444444</v>
      </c>
    </row>
    <row r="11335" spans="1:10" x14ac:dyDescent="0.2">
      <c r="A11335" s="4" t="s">
        <v>1</v>
      </c>
      <c r="B1133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35" s="3" t="str">
        <f>HYPERLINK("https://otsuka-europe-crm.veevavault.com/ui/#object/sent_email__v/VBLZ025E82GS5GL", "SE-000275997")</f>
        <v>SE-000275997</v>
      </c>
      <c r="D11335" s="1">
        <v>45918.355081018519</v>
      </c>
      <c r="E11335" s="2">
        <v>1</v>
      </c>
      <c r="F11335" s="2">
        <v>1</v>
      </c>
      <c r="G11335" s="2">
        <v>0</v>
      </c>
      <c r="H11335" s="1" t="s">
        <v>0</v>
      </c>
      <c r="I11335" s="2">
        <v>0</v>
      </c>
      <c r="J11335" s="1">
        <v>45918.32576388889</v>
      </c>
    </row>
    <row r="11336" spans="1:10" x14ac:dyDescent="0.2">
      <c r="A11336" s="4" t="s">
        <v>1</v>
      </c>
      <c r="B1133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36" s="3" t="str">
        <f>HYPERLINK("https://otsuka-europe-crm.veevavault.com/ui/#object/sent_email__v/VBLZ025E82GS5GM", "SE-000275998")</f>
        <v>SE-000275998</v>
      </c>
      <c r="D11336" s="1" t="s">
        <v>0</v>
      </c>
      <c r="E11336" s="2">
        <v>0</v>
      </c>
      <c r="F11336" s="2">
        <v>0</v>
      </c>
      <c r="G11336" s="2">
        <v>0</v>
      </c>
      <c r="H11336" s="1" t="s">
        <v>0</v>
      </c>
      <c r="I11336" s="2">
        <v>0</v>
      </c>
      <c r="J11336" s="1">
        <v>45918.32576388889</v>
      </c>
    </row>
    <row r="11337" spans="1:10" x14ac:dyDescent="0.2">
      <c r="A11337" s="4" t="s">
        <v>1</v>
      </c>
      <c r="B1133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37" s="3" t="str">
        <f>HYPERLINK("https://otsuka-europe-crm.veevavault.com/ui/#object/sent_email__v/VBLZ025E82GS5GN", "SE-000275999")</f>
        <v>SE-000275999</v>
      </c>
      <c r="D11337" s="1">
        <v>45933.397129629629</v>
      </c>
      <c r="E11337" s="2">
        <v>1</v>
      </c>
      <c r="F11337" s="2">
        <v>3</v>
      </c>
      <c r="G11337" s="2">
        <v>0</v>
      </c>
      <c r="H11337" s="1" t="s">
        <v>0</v>
      </c>
      <c r="I11337" s="2">
        <v>0</v>
      </c>
      <c r="J11337" s="1">
        <v>45918.32576388889</v>
      </c>
    </row>
    <row r="11338" spans="1:10" x14ac:dyDescent="0.2">
      <c r="A11338" s="4" t="s">
        <v>1</v>
      </c>
      <c r="B1133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38" s="3" t="str">
        <f>HYPERLINK("https://otsuka-europe-crm.veevavault.com/ui/#object/sent_email__v/VBLZ025E82GS5GO", "SE-000276000")</f>
        <v>SE-000276000</v>
      </c>
      <c r="D11338" s="1" t="s">
        <v>0</v>
      </c>
      <c r="E11338" s="2">
        <v>0</v>
      </c>
      <c r="F11338" s="2">
        <v>0</v>
      </c>
      <c r="G11338" s="2">
        <v>0</v>
      </c>
      <c r="H11338" s="1" t="s">
        <v>0</v>
      </c>
      <c r="I11338" s="2">
        <v>0</v>
      </c>
      <c r="J11338" s="1">
        <v>45918.32576388889</v>
      </c>
    </row>
    <row r="11339" spans="1:10" x14ac:dyDescent="0.2">
      <c r="A11339" s="4" t="s">
        <v>1</v>
      </c>
      <c r="B1133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39" s="3" t="str">
        <f>HYPERLINK("https://otsuka-europe-crm.veevavault.com/ui/#object/sent_email__v/VBLZ025E82GS5GP", "SE-000276001")</f>
        <v>SE-000276001</v>
      </c>
      <c r="D11339" s="1">
        <v>45918.337962962964</v>
      </c>
      <c r="E11339" s="2">
        <v>1</v>
      </c>
      <c r="F11339" s="2">
        <v>1</v>
      </c>
      <c r="G11339" s="2">
        <v>0</v>
      </c>
      <c r="H11339" s="1" t="s">
        <v>0</v>
      </c>
      <c r="I11339" s="2">
        <v>0</v>
      </c>
      <c r="J11339" s="1">
        <v>45918.325810185182</v>
      </c>
    </row>
    <row r="11340" spans="1:10" x14ac:dyDescent="0.2">
      <c r="A11340" s="4" t="s">
        <v>1</v>
      </c>
      <c r="B1134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40" s="3" t="str">
        <f>HYPERLINK("https://otsuka-europe-crm.veevavault.com/ui/#object/sent_email__v/VBLZ025E82GS5GQ", "SE-000276002")</f>
        <v>SE-000276002</v>
      </c>
      <c r="D11340" s="1" t="s">
        <v>0</v>
      </c>
      <c r="E11340" s="2">
        <v>0</v>
      </c>
      <c r="F11340" s="2">
        <v>0</v>
      </c>
      <c r="G11340" s="2">
        <v>0</v>
      </c>
      <c r="H11340" s="1" t="s">
        <v>0</v>
      </c>
      <c r="I11340" s="2">
        <v>0</v>
      </c>
      <c r="J11340" s="1">
        <v>45918.325810185182</v>
      </c>
    </row>
    <row r="11341" spans="1:10" x14ac:dyDescent="0.2">
      <c r="A11341" s="4" t="s">
        <v>1</v>
      </c>
      <c r="B1134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41" s="3" t="str">
        <f>HYPERLINK("https://otsuka-europe-crm.veevavault.com/ui/#object/sent_email__v/VBLZ025E82GS5GR", "SE-000276003")</f>
        <v>SE-000276003</v>
      </c>
      <c r="D11341" s="1">
        <v>45926.707199074073</v>
      </c>
      <c r="E11341" s="2">
        <v>1</v>
      </c>
      <c r="F11341" s="2">
        <v>1</v>
      </c>
      <c r="G11341" s="2">
        <v>0</v>
      </c>
      <c r="H11341" s="1" t="s">
        <v>0</v>
      </c>
      <c r="I11341" s="2">
        <v>0</v>
      </c>
      <c r="J11341" s="1">
        <v>45918.325833333336</v>
      </c>
    </row>
    <row r="11342" spans="1:10" x14ac:dyDescent="0.2">
      <c r="A11342" s="4" t="s">
        <v>1</v>
      </c>
      <c r="B1134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42" s="3" t="str">
        <f>HYPERLINK("https://otsuka-europe-crm.veevavault.com/ui/#object/sent_email__v/VBLZ025E82GS5GS", "SE-000276004")</f>
        <v>SE-000276004</v>
      </c>
      <c r="D11342" s="1" t="s">
        <v>0</v>
      </c>
      <c r="E11342" s="2">
        <v>0</v>
      </c>
      <c r="F11342" s="2">
        <v>0</v>
      </c>
      <c r="G11342" s="2">
        <v>0</v>
      </c>
      <c r="H11342" s="1" t="s">
        <v>0</v>
      </c>
      <c r="I11342" s="2">
        <v>0</v>
      </c>
      <c r="J11342" s="1">
        <v>45918.325844907406</v>
      </c>
    </row>
    <row r="11343" spans="1:10" x14ac:dyDescent="0.2">
      <c r="A11343" s="4" t="s">
        <v>1</v>
      </c>
      <c r="B1134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43" s="3" t="str">
        <f>HYPERLINK("https://otsuka-europe-crm.veevavault.com/ui/#object/sent_email__v/VBLZ025E82GS5GT", "SE-000276005")</f>
        <v>SE-000276005</v>
      </c>
      <c r="D11343" s="1" t="s">
        <v>0</v>
      </c>
      <c r="E11343" s="2">
        <v>0</v>
      </c>
      <c r="F11343" s="2">
        <v>0</v>
      </c>
      <c r="G11343" s="2">
        <v>0</v>
      </c>
      <c r="H11343" s="1" t="s">
        <v>0</v>
      </c>
      <c r="I11343" s="2">
        <v>0</v>
      </c>
      <c r="J11343" s="1">
        <v>45918.325844907406</v>
      </c>
    </row>
    <row r="11344" spans="1:10" x14ac:dyDescent="0.2">
      <c r="A11344" s="4" t="s">
        <v>1</v>
      </c>
      <c r="B1134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44" s="3" t="str">
        <f>HYPERLINK("https://otsuka-europe-crm.veevavault.com/ui/#object/sent_email__v/VBLZ025E82GS5GU", "SE-000276006")</f>
        <v>SE-000276006</v>
      </c>
      <c r="D11344" s="1" t="s">
        <v>0</v>
      </c>
      <c r="E11344" s="2">
        <v>0</v>
      </c>
      <c r="F11344" s="2">
        <v>0</v>
      </c>
      <c r="G11344" s="2">
        <v>0</v>
      </c>
      <c r="H11344" s="1" t="s">
        <v>0</v>
      </c>
      <c r="I11344" s="2">
        <v>0</v>
      </c>
      <c r="J11344" s="1">
        <v>45918.325868055559</v>
      </c>
    </row>
    <row r="11345" spans="1:10" x14ac:dyDescent="0.2">
      <c r="A11345" s="4" t="s">
        <v>1</v>
      </c>
      <c r="B1134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45" s="3" t="str">
        <f>HYPERLINK("https://otsuka-europe-crm.veevavault.com/ui/#object/sent_email__v/VBLZ025E82GS5GV", "SE-000276007")</f>
        <v>SE-000276007</v>
      </c>
      <c r="D11345" s="1">
        <v>45929.890462962961</v>
      </c>
      <c r="E11345" s="2">
        <v>1</v>
      </c>
      <c r="F11345" s="2">
        <v>2</v>
      </c>
      <c r="G11345" s="2">
        <v>0</v>
      </c>
      <c r="H11345" s="1" t="s">
        <v>0</v>
      </c>
      <c r="I11345" s="2">
        <v>0</v>
      </c>
      <c r="J11345" s="1">
        <v>45918.325879629629</v>
      </c>
    </row>
    <row r="11346" spans="1:10" x14ac:dyDescent="0.2">
      <c r="A11346" s="4" t="s">
        <v>1</v>
      </c>
      <c r="B1134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46" s="3" t="str">
        <f>HYPERLINK("https://otsuka-europe-crm.veevavault.com/ui/#object/sent_email__v/VBLZ025E82GS5GW", "SE-000276008")</f>
        <v>SE-000276008</v>
      </c>
      <c r="D11346" s="1" t="s">
        <v>0</v>
      </c>
      <c r="E11346" s="2">
        <v>0</v>
      </c>
      <c r="F11346" s="2">
        <v>0</v>
      </c>
      <c r="G11346" s="2">
        <v>0</v>
      </c>
      <c r="H11346" s="1" t="s">
        <v>0</v>
      </c>
      <c r="I11346" s="2">
        <v>0</v>
      </c>
      <c r="J11346" s="1">
        <v>45918.325879629629</v>
      </c>
    </row>
    <row r="11347" spans="1:10" x14ac:dyDescent="0.2">
      <c r="A11347" s="4" t="s">
        <v>1</v>
      </c>
      <c r="B1134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47" s="3" t="str">
        <f>HYPERLINK("https://otsuka-europe-crm.veevavault.com/ui/#object/sent_email__v/VBLZ025E82GS5GX", "SE-000276009")</f>
        <v>SE-000276009</v>
      </c>
      <c r="D11347" s="1" t="s">
        <v>0</v>
      </c>
      <c r="E11347" s="2">
        <v>0</v>
      </c>
      <c r="F11347" s="2">
        <v>0</v>
      </c>
      <c r="G11347" s="2">
        <v>0</v>
      </c>
      <c r="H11347" s="1" t="s">
        <v>0</v>
      </c>
      <c r="I11347" s="2">
        <v>0</v>
      </c>
      <c r="J11347" s="1">
        <v>45918.325891203705</v>
      </c>
    </row>
    <row r="11348" spans="1:10" x14ac:dyDescent="0.2">
      <c r="A11348" s="4" t="s">
        <v>1</v>
      </c>
      <c r="B1134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48" s="3" t="str">
        <f>HYPERLINK("https://otsuka-europe-crm.veevavault.com/ui/#object/sent_email__v/VBLZ025E82GS5GY", "SE-000276010")</f>
        <v>SE-000276010</v>
      </c>
      <c r="D11348" s="1">
        <v>45923.858773148146</v>
      </c>
      <c r="E11348" s="2">
        <v>1</v>
      </c>
      <c r="F11348" s="2">
        <v>1</v>
      </c>
      <c r="G11348" s="2">
        <v>0</v>
      </c>
      <c r="H11348" s="1" t="s">
        <v>0</v>
      </c>
      <c r="I11348" s="2">
        <v>0</v>
      </c>
      <c r="J11348" s="1">
        <v>45918.325891203705</v>
      </c>
    </row>
    <row r="11349" spans="1:10" x14ac:dyDescent="0.2">
      <c r="A11349" s="4" t="s">
        <v>1</v>
      </c>
      <c r="B1134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49" s="3" t="str">
        <f>HYPERLINK("https://otsuka-europe-crm.veevavault.com/ui/#object/sent_email__v/VBLZ025E82GS5GZ", "SE-000276011")</f>
        <v>SE-000276011</v>
      </c>
      <c r="D11349" s="1">
        <v>45939.592800925922</v>
      </c>
      <c r="E11349" s="2">
        <v>1</v>
      </c>
      <c r="F11349" s="2">
        <v>7</v>
      </c>
      <c r="G11349" s="2">
        <v>0</v>
      </c>
      <c r="H11349" s="1" t="s">
        <v>0</v>
      </c>
      <c r="I11349" s="2">
        <v>0</v>
      </c>
      <c r="J11349" s="1">
        <v>45918.325902777775</v>
      </c>
    </row>
    <row r="11350" spans="1:10" x14ac:dyDescent="0.2">
      <c r="A11350" s="4" t="s">
        <v>1</v>
      </c>
      <c r="B1135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50" s="3" t="str">
        <f>HYPERLINK("https://otsuka-europe-crm.veevavault.com/ui/#object/sent_email__v/VBLZ025E82GS5H0", "SE-000276012")</f>
        <v>SE-000276012</v>
      </c>
      <c r="D11350" s="1" t="s">
        <v>0</v>
      </c>
      <c r="E11350" s="2">
        <v>0</v>
      </c>
      <c r="F11350" s="2">
        <v>0</v>
      </c>
      <c r="G11350" s="2">
        <v>0</v>
      </c>
      <c r="H11350" s="1" t="s">
        <v>0</v>
      </c>
      <c r="I11350" s="2">
        <v>0</v>
      </c>
      <c r="J11350" s="1">
        <v>45918.325914351852</v>
      </c>
    </row>
    <row r="11351" spans="1:10" x14ac:dyDescent="0.2">
      <c r="A11351" s="4" t="s">
        <v>1</v>
      </c>
      <c r="B1135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51" s="3" t="str">
        <f>HYPERLINK("https://otsuka-europe-crm.veevavault.com/ui/#object/sent_email__v/VBLZ025E82GS5H1", "SE-000276013")</f>
        <v>SE-000276013</v>
      </c>
      <c r="D11351" s="1" t="s">
        <v>0</v>
      </c>
      <c r="E11351" s="2">
        <v>0</v>
      </c>
      <c r="F11351" s="2">
        <v>0</v>
      </c>
      <c r="G11351" s="2">
        <v>0</v>
      </c>
      <c r="H11351" s="1" t="s">
        <v>0</v>
      </c>
      <c r="I11351" s="2">
        <v>0</v>
      </c>
      <c r="J11351" s="1">
        <v>45918.325925925928</v>
      </c>
    </row>
    <row r="11352" spans="1:10" x14ac:dyDescent="0.2">
      <c r="A11352" s="4" t="s">
        <v>1</v>
      </c>
      <c r="B1135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52" s="3" t="str">
        <f>HYPERLINK("https://otsuka-europe-crm.veevavault.com/ui/#object/sent_email__v/VBLZ025E82GS5H2", "SE-000276014")</f>
        <v>SE-000276014</v>
      </c>
      <c r="D11352" s="1" t="s">
        <v>0</v>
      </c>
      <c r="E11352" s="2">
        <v>0</v>
      </c>
      <c r="F11352" s="2">
        <v>0</v>
      </c>
      <c r="G11352" s="2">
        <v>0</v>
      </c>
      <c r="H11352" s="1" t="s">
        <v>0</v>
      </c>
      <c r="I11352" s="2">
        <v>0</v>
      </c>
      <c r="J11352" s="1">
        <v>45918.325925925928</v>
      </c>
    </row>
    <row r="11353" spans="1:10" x14ac:dyDescent="0.2">
      <c r="A11353" s="4" t="s">
        <v>1</v>
      </c>
      <c r="B1135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53" s="3" t="str">
        <f>HYPERLINK("https://otsuka-europe-crm.veevavault.com/ui/#object/sent_email__v/VBLZ025E82GS5H3", "SE-000276015")</f>
        <v>SE-000276015</v>
      </c>
      <c r="D11353" s="1" t="s">
        <v>0</v>
      </c>
      <c r="E11353" s="2">
        <v>0</v>
      </c>
      <c r="F11353" s="2">
        <v>0</v>
      </c>
      <c r="G11353" s="2">
        <v>0</v>
      </c>
      <c r="H11353" s="1" t="s">
        <v>0</v>
      </c>
      <c r="I11353" s="2">
        <v>0</v>
      </c>
      <c r="J11353" s="1">
        <v>45918.325937499998</v>
      </c>
    </row>
    <row r="11354" spans="1:10" x14ac:dyDescent="0.2">
      <c r="A11354" s="4" t="s">
        <v>1</v>
      </c>
      <c r="B1135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54" s="3" t="str">
        <f>HYPERLINK("https://otsuka-europe-crm.veevavault.com/ui/#object/sent_email__v/VBLZ025E82GS5H4", "SE-000276016")</f>
        <v>SE-000276016</v>
      </c>
      <c r="D11354" s="1">
        <v>45933.724131944444</v>
      </c>
      <c r="E11354" s="2">
        <v>1</v>
      </c>
      <c r="F11354" s="2">
        <v>3</v>
      </c>
      <c r="G11354" s="2">
        <v>0</v>
      </c>
      <c r="H11354" s="1" t="s">
        <v>0</v>
      </c>
      <c r="I11354" s="2">
        <v>0</v>
      </c>
      <c r="J11354" s="1">
        <v>45918.325949074075</v>
      </c>
    </row>
    <row r="11355" spans="1:10" x14ac:dyDescent="0.2">
      <c r="A11355" s="4" t="s">
        <v>1</v>
      </c>
      <c r="B1135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55" s="3" t="str">
        <f>HYPERLINK("https://otsuka-europe-crm.veevavault.com/ui/#object/sent_email__v/VBLZ025E82GS5H5", "SE-000276017")</f>
        <v>SE-000276017</v>
      </c>
      <c r="D11355" s="1" t="s">
        <v>0</v>
      </c>
      <c r="E11355" s="2">
        <v>0</v>
      </c>
      <c r="F11355" s="2">
        <v>0</v>
      </c>
      <c r="G11355" s="2">
        <v>0</v>
      </c>
      <c r="H11355" s="1" t="s">
        <v>0</v>
      </c>
      <c r="I11355" s="2">
        <v>0</v>
      </c>
      <c r="J11355" s="1">
        <v>45918.325960648152</v>
      </c>
    </row>
    <row r="11356" spans="1:10" x14ac:dyDescent="0.2">
      <c r="A11356" s="4" t="s">
        <v>1</v>
      </c>
      <c r="B1135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56" s="3" t="str">
        <f>HYPERLINK("https://otsuka-europe-crm.veevavault.com/ui/#object/sent_email__v/VBLZ025E82GS5H6", "SE-000276018")</f>
        <v>SE-000276018</v>
      </c>
      <c r="D11356" s="1" t="s">
        <v>0</v>
      </c>
      <c r="E11356" s="2">
        <v>0</v>
      </c>
      <c r="F11356" s="2">
        <v>0</v>
      </c>
      <c r="G11356" s="2">
        <v>0</v>
      </c>
      <c r="H11356" s="1" t="s">
        <v>0</v>
      </c>
      <c r="I11356" s="2">
        <v>0</v>
      </c>
      <c r="J11356" s="1">
        <v>45918.325972222221</v>
      </c>
    </row>
    <row r="11357" spans="1:10" x14ac:dyDescent="0.2">
      <c r="A11357" s="4" t="s">
        <v>1</v>
      </c>
      <c r="B1135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57" s="3" t="str">
        <f>HYPERLINK("https://otsuka-europe-crm.veevavault.com/ui/#object/sent_email__v/VBLZ025E82GS5H7", "SE-000276019")</f>
        <v>SE-000276019</v>
      </c>
      <c r="D11357" s="1" t="s">
        <v>0</v>
      </c>
      <c r="E11357" s="2">
        <v>0</v>
      </c>
      <c r="F11357" s="2">
        <v>0</v>
      </c>
      <c r="G11357" s="2">
        <v>0</v>
      </c>
      <c r="H11357" s="1" t="s">
        <v>0</v>
      </c>
      <c r="I11357" s="2">
        <v>0</v>
      </c>
      <c r="J11357" s="1">
        <v>45918.325983796298</v>
      </c>
    </row>
    <row r="11358" spans="1:10" x14ac:dyDescent="0.2">
      <c r="A11358" s="4" t="s">
        <v>1</v>
      </c>
      <c r="B1135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58" s="3" t="str">
        <f>HYPERLINK("https://otsuka-europe-crm.veevavault.com/ui/#object/sent_email__v/VBLZ025E82GS5H8", "SE-000276020")</f>
        <v>SE-000276020</v>
      </c>
      <c r="D11358" s="1" t="s">
        <v>0</v>
      </c>
      <c r="E11358" s="2">
        <v>0</v>
      </c>
      <c r="F11358" s="2">
        <v>0</v>
      </c>
      <c r="G11358" s="2">
        <v>0</v>
      </c>
      <c r="H11358" s="1" t="s">
        <v>0</v>
      </c>
      <c r="I11358" s="2">
        <v>0</v>
      </c>
      <c r="J11358" s="1">
        <v>45918.325983796298</v>
      </c>
    </row>
    <row r="11359" spans="1:10" x14ac:dyDescent="0.2">
      <c r="A11359" s="4" t="s">
        <v>1</v>
      </c>
      <c r="B1135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59" s="3" t="str">
        <f>HYPERLINK("https://otsuka-europe-crm.veevavault.com/ui/#object/sent_email__v/VBLZ025E82GS5H9", "SE-000276021")</f>
        <v>SE-000276021</v>
      </c>
      <c r="D11359" s="1" t="s">
        <v>0</v>
      </c>
      <c r="E11359" s="2">
        <v>0</v>
      </c>
      <c r="F11359" s="2">
        <v>0</v>
      </c>
      <c r="G11359" s="2">
        <v>0</v>
      </c>
      <c r="H11359" s="1" t="s">
        <v>0</v>
      </c>
      <c r="I11359" s="2">
        <v>0</v>
      </c>
      <c r="J11359" s="1">
        <v>45918.325995370367</v>
      </c>
    </row>
    <row r="11360" spans="1:10" x14ac:dyDescent="0.2">
      <c r="A11360" s="4" t="s">
        <v>1</v>
      </c>
      <c r="B1136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60" s="3" t="str">
        <f>HYPERLINK("https://otsuka-europe-crm.veevavault.com/ui/#object/sent_email__v/VBLZ025E82GS5HA", "SE-000276022")</f>
        <v>SE-000276022</v>
      </c>
      <c r="D11360" s="1">
        <v>45918.721030092594</v>
      </c>
      <c r="E11360" s="2">
        <v>1</v>
      </c>
      <c r="F11360" s="2">
        <v>1</v>
      </c>
      <c r="G11360" s="2">
        <v>0</v>
      </c>
      <c r="H11360" s="1" t="s">
        <v>0</v>
      </c>
      <c r="I11360" s="2">
        <v>0</v>
      </c>
      <c r="J11360" s="1">
        <v>45918.326006944444</v>
      </c>
    </row>
    <row r="11361" spans="1:10" x14ac:dyDescent="0.2">
      <c r="A11361" s="4" t="s">
        <v>1</v>
      </c>
      <c r="B1136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61" s="3" t="str">
        <f>HYPERLINK("https://otsuka-europe-crm.veevavault.com/ui/#object/sent_email__v/VBLZ025E82GS5HB", "SE-000276023")</f>
        <v>SE-000276023</v>
      </c>
      <c r="D11361" s="1" t="s">
        <v>0</v>
      </c>
      <c r="E11361" s="2">
        <v>0</v>
      </c>
      <c r="F11361" s="2">
        <v>0</v>
      </c>
      <c r="G11361" s="2">
        <v>0</v>
      </c>
      <c r="H11361" s="1" t="s">
        <v>0</v>
      </c>
      <c r="I11361" s="2">
        <v>0</v>
      </c>
      <c r="J11361" s="1">
        <v>45918.326018518521</v>
      </c>
    </row>
    <row r="11362" spans="1:10" x14ac:dyDescent="0.2">
      <c r="A11362" s="4" t="s">
        <v>1</v>
      </c>
      <c r="B1136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62" s="3" t="str">
        <f>HYPERLINK("https://otsuka-europe-crm.veevavault.com/ui/#object/sent_email__v/VBLZ025E82GS5HC", "SE-000276024")</f>
        <v>SE-000276024</v>
      </c>
      <c r="D11362" s="1">
        <v>45918.681863425925</v>
      </c>
      <c r="E11362" s="2">
        <v>1</v>
      </c>
      <c r="F11362" s="2">
        <v>2</v>
      </c>
      <c r="G11362" s="2">
        <v>0</v>
      </c>
      <c r="H11362" s="1" t="s">
        <v>0</v>
      </c>
      <c r="I11362" s="2">
        <v>0</v>
      </c>
      <c r="J11362" s="1">
        <v>45918.32603009259</v>
      </c>
    </row>
    <row r="11363" spans="1:10" x14ac:dyDescent="0.2">
      <c r="A11363" s="4" t="s">
        <v>1</v>
      </c>
      <c r="B1136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63" s="3" t="str">
        <f>HYPERLINK("https://otsuka-europe-crm.veevavault.com/ui/#object/sent_email__v/VBLZ025E82GS5HD", "SE-000276025")</f>
        <v>SE-000276025</v>
      </c>
      <c r="D11363" s="1" t="s">
        <v>0</v>
      </c>
      <c r="E11363" s="2">
        <v>0</v>
      </c>
      <c r="F11363" s="2">
        <v>0</v>
      </c>
      <c r="G11363" s="2">
        <v>0</v>
      </c>
      <c r="H11363" s="1" t="s">
        <v>0</v>
      </c>
      <c r="I11363" s="2">
        <v>0</v>
      </c>
      <c r="J11363" s="1">
        <v>45918.32603009259</v>
      </c>
    </row>
    <row r="11364" spans="1:10" x14ac:dyDescent="0.2">
      <c r="A11364" s="4" t="s">
        <v>1</v>
      </c>
      <c r="B1136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64" s="3" t="str">
        <f>HYPERLINK("https://otsuka-europe-crm.veevavault.com/ui/#object/sent_email__v/VBLZ025E82GS5HE", "SE-000276026")</f>
        <v>SE-000276026</v>
      </c>
      <c r="D11364" s="1">
        <v>45918.709629629629</v>
      </c>
      <c r="E11364" s="2">
        <v>1</v>
      </c>
      <c r="F11364" s="2">
        <v>1</v>
      </c>
      <c r="G11364" s="2">
        <v>1</v>
      </c>
      <c r="H11364" s="1">
        <v>45918.709918981483</v>
      </c>
      <c r="I11364" s="2">
        <v>1</v>
      </c>
      <c r="J11364" s="1">
        <v>45918.326053240744</v>
      </c>
    </row>
    <row r="11365" spans="1:10" x14ac:dyDescent="0.2">
      <c r="A11365" s="4" t="s">
        <v>1</v>
      </c>
      <c r="B1136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65" s="3" t="str">
        <f>HYPERLINK("https://otsuka-europe-crm.veevavault.com/ui/#object/sent_email__v/VBLZ025E82GS5HF", "SE-000276027")</f>
        <v>SE-000276027</v>
      </c>
      <c r="D11365" s="1" t="s">
        <v>0</v>
      </c>
      <c r="E11365" s="2">
        <v>0</v>
      </c>
      <c r="F11365" s="2">
        <v>0</v>
      </c>
      <c r="G11365" s="2">
        <v>0</v>
      </c>
      <c r="H11365" s="1" t="s">
        <v>0</v>
      </c>
      <c r="I11365" s="2">
        <v>0</v>
      </c>
      <c r="J11365" s="1">
        <v>45918.326053240744</v>
      </c>
    </row>
    <row r="11366" spans="1:10" x14ac:dyDescent="0.2">
      <c r="A11366" s="4" t="s">
        <v>1</v>
      </c>
      <c r="B1136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66" s="3" t="str">
        <f>HYPERLINK("https://otsuka-europe-crm.veevavault.com/ui/#object/sent_email__v/VBLZ025E82GS5HG", "SE-000276028")</f>
        <v>SE-000276028</v>
      </c>
      <c r="D11366" s="1" t="s">
        <v>0</v>
      </c>
      <c r="E11366" s="2">
        <v>0</v>
      </c>
      <c r="F11366" s="2">
        <v>0</v>
      </c>
      <c r="G11366" s="2">
        <v>0</v>
      </c>
      <c r="H11366" s="1" t="s">
        <v>0</v>
      </c>
      <c r="I11366" s="2">
        <v>0</v>
      </c>
      <c r="J11366" s="1">
        <v>45918.326064814813</v>
      </c>
    </row>
    <row r="11367" spans="1:10" x14ac:dyDescent="0.2">
      <c r="A11367" s="4" t="s">
        <v>1</v>
      </c>
      <c r="B1136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67" s="3" t="str">
        <f>HYPERLINK("https://otsuka-europe-crm.veevavault.com/ui/#object/sent_email__v/VBLZ025E82GS5HH", "SE-000276029")</f>
        <v>SE-000276029</v>
      </c>
      <c r="D11367" s="1" t="s">
        <v>0</v>
      </c>
      <c r="E11367" s="2">
        <v>0</v>
      </c>
      <c r="F11367" s="2">
        <v>0</v>
      </c>
      <c r="G11367" s="2">
        <v>0</v>
      </c>
      <c r="H11367" s="1" t="s">
        <v>0</v>
      </c>
      <c r="I11367" s="2">
        <v>0</v>
      </c>
      <c r="J11367" s="1">
        <v>45918.32607638889</v>
      </c>
    </row>
    <row r="11368" spans="1:10" x14ac:dyDescent="0.2">
      <c r="A11368" s="4" t="s">
        <v>1</v>
      </c>
      <c r="B1136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68" s="3" t="str">
        <f>HYPERLINK("https://otsuka-europe-crm.veevavault.com/ui/#object/sent_email__v/VBLZ025E82GS5HI", "SE-000276030")</f>
        <v>SE-000276030</v>
      </c>
      <c r="D11368" s="1">
        <v>45918.368703703702</v>
      </c>
      <c r="E11368" s="2">
        <v>1</v>
      </c>
      <c r="F11368" s="2">
        <v>1</v>
      </c>
      <c r="G11368" s="2">
        <v>0</v>
      </c>
      <c r="H11368" s="1" t="s">
        <v>0</v>
      </c>
      <c r="I11368" s="2">
        <v>0</v>
      </c>
      <c r="J11368" s="1">
        <v>45918.32608796296</v>
      </c>
    </row>
    <row r="11369" spans="1:10" x14ac:dyDescent="0.2">
      <c r="A11369" s="4" t="s">
        <v>1</v>
      </c>
      <c r="B1136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69" s="3" t="str">
        <f>HYPERLINK("https://otsuka-europe-crm.veevavault.com/ui/#object/sent_email__v/VBLZ025E82GS5HJ", "SE-000276031")</f>
        <v>SE-000276031</v>
      </c>
      <c r="D11369" s="1">
        <v>45918.941377314812</v>
      </c>
      <c r="E11369" s="2">
        <v>1</v>
      </c>
      <c r="F11369" s="2">
        <v>2</v>
      </c>
      <c r="G11369" s="2">
        <v>0</v>
      </c>
      <c r="H11369" s="1" t="s">
        <v>0</v>
      </c>
      <c r="I11369" s="2">
        <v>0</v>
      </c>
      <c r="J11369" s="1">
        <v>45918.326099537036</v>
      </c>
    </row>
    <row r="11370" spans="1:10" x14ac:dyDescent="0.2">
      <c r="A11370" s="4" t="s">
        <v>1</v>
      </c>
      <c r="B1137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70" s="3" t="str">
        <f>HYPERLINK("https://otsuka-europe-crm.veevavault.com/ui/#object/sent_email__v/VBLZ025E82GS5HK", "SE-000276032")</f>
        <v>SE-000276032</v>
      </c>
      <c r="D11370" s="1" t="s">
        <v>0</v>
      </c>
      <c r="E11370" s="2">
        <v>0</v>
      </c>
      <c r="F11370" s="2">
        <v>0</v>
      </c>
      <c r="G11370" s="2">
        <v>0</v>
      </c>
      <c r="H11370" s="1" t="s">
        <v>0</v>
      </c>
      <c r="I11370" s="2">
        <v>0</v>
      </c>
      <c r="J11370" s="1">
        <v>45918.326099537036</v>
      </c>
    </row>
    <row r="11371" spans="1:10" x14ac:dyDescent="0.2">
      <c r="A11371" s="4" t="s">
        <v>1</v>
      </c>
      <c r="B1137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71" s="3" t="str">
        <f>HYPERLINK("https://otsuka-europe-crm.veevavault.com/ui/#object/sent_email__v/VBLZ025E82GS5HL", "SE-000276033")</f>
        <v>SE-000276033</v>
      </c>
      <c r="D11371" s="1" t="s">
        <v>0</v>
      </c>
      <c r="E11371" s="2">
        <v>0</v>
      </c>
      <c r="F11371" s="2">
        <v>0</v>
      </c>
      <c r="G11371" s="2">
        <v>0</v>
      </c>
      <c r="H11371" s="1" t="s">
        <v>0</v>
      </c>
      <c r="I11371" s="2">
        <v>0</v>
      </c>
      <c r="J11371" s="1">
        <v>45918.326111111113</v>
      </c>
    </row>
    <row r="11372" spans="1:10" x14ac:dyDescent="0.2">
      <c r="A11372" s="4" t="s">
        <v>1</v>
      </c>
      <c r="B1137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72" s="3" t="str">
        <f>HYPERLINK("https://otsuka-europe-crm.veevavault.com/ui/#object/sent_email__v/VBLZ025E82GS5HM", "SE-000276034")</f>
        <v>SE-000276034</v>
      </c>
      <c r="D11372" s="1" t="s">
        <v>0</v>
      </c>
      <c r="E11372" s="2">
        <v>0</v>
      </c>
      <c r="F11372" s="2">
        <v>0</v>
      </c>
      <c r="G11372" s="2">
        <v>0</v>
      </c>
      <c r="H11372" s="1" t="s">
        <v>0</v>
      </c>
      <c r="I11372" s="2">
        <v>0</v>
      </c>
      <c r="J11372" s="1">
        <v>45918.326122685183</v>
      </c>
    </row>
    <row r="11373" spans="1:10" x14ac:dyDescent="0.2">
      <c r="A11373" s="4" t="s">
        <v>1</v>
      </c>
      <c r="B1137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73" s="3" t="str">
        <f>HYPERLINK("https://otsuka-europe-crm.veevavault.com/ui/#object/sent_email__v/VBLZ025E82GS5HN", "SE-000276035")</f>
        <v>SE-000276035</v>
      </c>
      <c r="D11373" s="1">
        <v>45918.385844907411</v>
      </c>
      <c r="E11373" s="2">
        <v>1</v>
      </c>
      <c r="F11373" s="2">
        <v>1</v>
      </c>
      <c r="G11373" s="2">
        <v>0</v>
      </c>
      <c r="H11373" s="1" t="s">
        <v>0</v>
      </c>
      <c r="I11373" s="2">
        <v>0</v>
      </c>
      <c r="J11373" s="1">
        <v>45918.32613425926</v>
      </c>
    </row>
    <row r="11374" spans="1:10" x14ac:dyDescent="0.2">
      <c r="A11374" s="4" t="s">
        <v>1</v>
      </c>
      <c r="B1137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74" s="3" t="str">
        <f>HYPERLINK("https://otsuka-europe-crm.veevavault.com/ui/#object/sent_email__v/VBLZ025E82GS5HO", "SE-000276036")</f>
        <v>SE-000276036</v>
      </c>
      <c r="D11374" s="1">
        <v>45920.653067129628</v>
      </c>
      <c r="E11374" s="2">
        <v>1</v>
      </c>
      <c r="F11374" s="2">
        <v>1</v>
      </c>
      <c r="G11374" s="2">
        <v>0</v>
      </c>
      <c r="H11374" s="1" t="s">
        <v>0</v>
      </c>
      <c r="I11374" s="2">
        <v>0</v>
      </c>
      <c r="J11374" s="1">
        <v>45918.326145833336</v>
      </c>
    </row>
    <row r="11375" spans="1:10" x14ac:dyDescent="0.2">
      <c r="A11375" s="4" t="s">
        <v>1</v>
      </c>
      <c r="B1137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75" s="3" t="str">
        <f>HYPERLINK("https://otsuka-europe-crm.veevavault.com/ui/#object/sent_email__v/VBLZ025E82GS5HP", "SE-000276037")</f>
        <v>SE-000276037</v>
      </c>
      <c r="D11375" s="1">
        <v>45921.973645833335</v>
      </c>
      <c r="E11375" s="2">
        <v>1</v>
      </c>
      <c r="F11375" s="2">
        <v>2</v>
      </c>
      <c r="G11375" s="2">
        <v>0</v>
      </c>
      <c r="H11375" s="1" t="s">
        <v>0</v>
      </c>
      <c r="I11375" s="2">
        <v>0</v>
      </c>
      <c r="J11375" s="1">
        <v>45918.326145833336</v>
      </c>
    </row>
    <row r="11376" spans="1:10" x14ac:dyDescent="0.2">
      <c r="A11376" s="4" t="s">
        <v>1</v>
      </c>
      <c r="B1137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76" s="3" t="str">
        <f>HYPERLINK("https://otsuka-europe-crm.veevavault.com/ui/#object/sent_email__v/VBLZ025E82GS5HQ", "SE-000276038")</f>
        <v>SE-000276038</v>
      </c>
      <c r="D11376" s="1">
        <v>45918.67255787037</v>
      </c>
      <c r="E11376" s="2">
        <v>1</v>
      </c>
      <c r="F11376" s="2">
        <v>1</v>
      </c>
      <c r="G11376" s="2">
        <v>0</v>
      </c>
      <c r="H11376" s="1" t="s">
        <v>0</v>
      </c>
      <c r="I11376" s="2">
        <v>0</v>
      </c>
      <c r="J11376" s="1">
        <v>45918.326157407406</v>
      </c>
    </row>
    <row r="11377" spans="1:10" x14ac:dyDescent="0.2">
      <c r="A11377" s="4" t="s">
        <v>1</v>
      </c>
      <c r="B1137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77" s="3" t="str">
        <f>HYPERLINK("https://otsuka-europe-crm.veevavault.com/ui/#object/sent_email__v/VBLZ025E82GS5HR", "SE-000276039")</f>
        <v>SE-000276039</v>
      </c>
      <c r="D11377" s="1" t="s">
        <v>0</v>
      </c>
      <c r="E11377" s="2">
        <v>0</v>
      </c>
      <c r="F11377" s="2">
        <v>0</v>
      </c>
      <c r="G11377" s="2">
        <v>0</v>
      </c>
      <c r="H11377" s="1" t="s">
        <v>0</v>
      </c>
      <c r="I11377" s="2">
        <v>0</v>
      </c>
      <c r="J11377" s="1">
        <v>45918.326168981483</v>
      </c>
    </row>
    <row r="11378" spans="1:10" x14ac:dyDescent="0.2">
      <c r="A11378" s="4" t="s">
        <v>1</v>
      </c>
      <c r="B1137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78" s="3" t="str">
        <f>HYPERLINK("https://otsuka-europe-crm.veevavault.com/ui/#object/sent_email__v/VBLZ025E82GS5HS", "SE-000276040")</f>
        <v>SE-000276040</v>
      </c>
      <c r="D11378" s="1">
        <v>45918.351412037038</v>
      </c>
      <c r="E11378" s="2">
        <v>1</v>
      </c>
      <c r="F11378" s="2">
        <v>1</v>
      </c>
      <c r="G11378" s="2">
        <v>0</v>
      </c>
      <c r="H11378" s="1" t="s">
        <v>0</v>
      </c>
      <c r="I11378" s="2">
        <v>0</v>
      </c>
      <c r="J11378" s="1">
        <v>45918.326180555552</v>
      </c>
    </row>
    <row r="11379" spans="1:10" x14ac:dyDescent="0.2">
      <c r="A11379" s="4" t="s">
        <v>1</v>
      </c>
      <c r="B1137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79" s="3" t="str">
        <f>HYPERLINK("https://otsuka-europe-crm.veevavault.com/ui/#object/sent_email__v/VBLZ025E82GS5HT", "SE-000276041")</f>
        <v>SE-000276041</v>
      </c>
      <c r="D11379" s="1" t="s">
        <v>0</v>
      </c>
      <c r="E11379" s="2">
        <v>0</v>
      </c>
      <c r="F11379" s="2">
        <v>0</v>
      </c>
      <c r="G11379" s="2">
        <v>0</v>
      </c>
      <c r="H11379" s="1" t="s">
        <v>0</v>
      </c>
      <c r="I11379" s="2">
        <v>0</v>
      </c>
      <c r="J11379" s="1">
        <v>45918.326192129629</v>
      </c>
    </row>
    <row r="11380" spans="1:10" x14ac:dyDescent="0.2">
      <c r="A11380" s="4" t="s">
        <v>1</v>
      </c>
      <c r="B1138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80" s="3" t="str">
        <f>HYPERLINK("https://otsuka-europe-crm.veevavault.com/ui/#object/sent_email__v/VBLZ025E82GS5HU", "SE-000276042")</f>
        <v>SE-000276042</v>
      </c>
      <c r="D11380" s="1" t="s">
        <v>0</v>
      </c>
      <c r="E11380" s="2">
        <v>0</v>
      </c>
      <c r="F11380" s="2">
        <v>0</v>
      </c>
      <c r="G11380" s="2">
        <v>0</v>
      </c>
      <c r="H11380" s="1" t="s">
        <v>0</v>
      </c>
      <c r="I11380" s="2">
        <v>0</v>
      </c>
      <c r="J11380" s="1">
        <v>45918.326203703706</v>
      </c>
    </row>
    <row r="11381" spans="1:10" x14ac:dyDescent="0.2">
      <c r="A11381" s="4" t="s">
        <v>1</v>
      </c>
      <c r="B1138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81" s="3" t="str">
        <f>HYPERLINK("https://otsuka-europe-crm.veevavault.com/ui/#object/sent_email__v/VBLZ025E82GS5HV", "SE-000276043")</f>
        <v>SE-000276043</v>
      </c>
      <c r="D11381" s="1">
        <v>45942.838576388887</v>
      </c>
      <c r="E11381" s="2">
        <v>1</v>
      </c>
      <c r="F11381" s="2">
        <v>2</v>
      </c>
      <c r="G11381" s="2">
        <v>0</v>
      </c>
      <c r="H11381" s="1" t="s">
        <v>0</v>
      </c>
      <c r="I11381" s="2">
        <v>0</v>
      </c>
      <c r="J11381" s="1">
        <v>45918.326215277775</v>
      </c>
    </row>
    <row r="11382" spans="1:10" x14ac:dyDescent="0.2">
      <c r="A11382" s="4" t="s">
        <v>1</v>
      </c>
      <c r="B1138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82" s="3" t="str">
        <f>HYPERLINK("https://otsuka-europe-crm.veevavault.com/ui/#object/sent_email__v/VBLZ025E82GS5HW", "SE-000276044")</f>
        <v>SE-000276044</v>
      </c>
      <c r="D11382" s="1">
        <v>45918.77721064815</v>
      </c>
      <c r="E11382" s="2">
        <v>1</v>
      </c>
      <c r="F11382" s="2">
        <v>1</v>
      </c>
      <c r="G11382" s="2">
        <v>0</v>
      </c>
      <c r="H11382" s="1" t="s">
        <v>0</v>
      </c>
      <c r="I11382" s="2">
        <v>0</v>
      </c>
      <c r="J11382" s="1">
        <v>45918.326226851852</v>
      </c>
    </row>
    <row r="11383" spans="1:10" x14ac:dyDescent="0.2">
      <c r="A11383" s="4" t="s">
        <v>1</v>
      </c>
      <c r="B1138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83" s="3" t="str">
        <f>HYPERLINK("https://otsuka-europe-crm.veevavault.com/ui/#object/sent_email__v/VBLZ025E82GS5HX", "SE-000276045")</f>
        <v>SE-000276045</v>
      </c>
      <c r="D11383" s="1">
        <v>45918.898495370369</v>
      </c>
      <c r="E11383" s="2">
        <v>1</v>
      </c>
      <c r="F11383" s="2">
        <v>1</v>
      </c>
      <c r="G11383" s="2">
        <v>0</v>
      </c>
      <c r="H11383" s="1" t="s">
        <v>0</v>
      </c>
      <c r="I11383" s="2">
        <v>0</v>
      </c>
      <c r="J11383" s="1">
        <v>45918.326226851852</v>
      </c>
    </row>
    <row r="11384" spans="1:10" x14ac:dyDescent="0.2">
      <c r="A11384" s="4" t="s">
        <v>1</v>
      </c>
      <c r="B1138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84" s="3" t="str">
        <f>HYPERLINK("https://otsuka-europe-crm.veevavault.com/ui/#object/sent_email__v/VBLZ025E82GS5HY", "SE-000276046")</f>
        <v>SE-000276046</v>
      </c>
      <c r="D11384" s="1" t="s">
        <v>0</v>
      </c>
      <c r="E11384" s="2">
        <v>0</v>
      </c>
      <c r="F11384" s="2">
        <v>0</v>
      </c>
      <c r="G11384" s="2">
        <v>0</v>
      </c>
      <c r="H11384" s="1" t="s">
        <v>0</v>
      </c>
      <c r="I11384" s="2">
        <v>0</v>
      </c>
      <c r="J11384" s="1">
        <v>45918.326238425929</v>
      </c>
    </row>
    <row r="11385" spans="1:10" x14ac:dyDescent="0.2">
      <c r="A11385" s="4" t="s">
        <v>1</v>
      </c>
      <c r="B1138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85" s="3" t="str">
        <f>HYPERLINK("https://otsuka-europe-crm.veevavault.com/ui/#object/sent_email__v/VBLZ025E82GS5HZ", "SE-000276047")</f>
        <v>SE-000276047</v>
      </c>
      <c r="D11385" s="1" t="s">
        <v>0</v>
      </c>
      <c r="E11385" s="2">
        <v>0</v>
      </c>
      <c r="F11385" s="2">
        <v>0</v>
      </c>
      <c r="G11385" s="2">
        <v>0</v>
      </c>
      <c r="H11385" s="1" t="s">
        <v>0</v>
      </c>
      <c r="I11385" s="2">
        <v>0</v>
      </c>
      <c r="J11385" s="1">
        <v>45918.326249999998</v>
      </c>
    </row>
    <row r="11386" spans="1:10" x14ac:dyDescent="0.2">
      <c r="A11386" s="4" t="s">
        <v>1</v>
      </c>
      <c r="B1138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86" s="3" t="str">
        <f>HYPERLINK("https://otsuka-europe-crm.veevavault.com/ui/#object/sent_email__v/VBLZ025E82GS5JD", "SE-000276048")</f>
        <v>SE-000276048</v>
      </c>
      <c r="D11386" s="1" t="s">
        <v>0</v>
      </c>
      <c r="E11386" s="2">
        <v>0</v>
      </c>
      <c r="F11386" s="2">
        <v>0</v>
      </c>
      <c r="G11386" s="2">
        <v>0</v>
      </c>
      <c r="H11386" s="1" t="s">
        <v>0</v>
      </c>
      <c r="I11386" s="2">
        <v>0</v>
      </c>
      <c r="J11386" s="1">
        <v>45918.326412037037</v>
      </c>
    </row>
    <row r="11387" spans="1:10" x14ac:dyDescent="0.2">
      <c r="A11387" s="4" t="s">
        <v>1</v>
      </c>
      <c r="B1138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87" s="3" t="str">
        <f>HYPERLINK("https://otsuka-europe-crm.veevavault.com/ui/#object/sent_email__v/VBLZ025E82GU3G1", "SE-000276718")</f>
        <v>SE-000276718</v>
      </c>
      <c r="D11387" s="1" t="s">
        <v>0</v>
      </c>
      <c r="E11387" s="2">
        <v>0</v>
      </c>
      <c r="F11387" s="2">
        <v>0</v>
      </c>
      <c r="G11387" s="2">
        <v>0</v>
      </c>
      <c r="H11387" s="1" t="s">
        <v>0</v>
      </c>
      <c r="I11387" s="2">
        <v>0</v>
      </c>
      <c r="J11387" s="1">
        <v>45919.411921296298</v>
      </c>
    </row>
    <row r="11388" spans="1:10" x14ac:dyDescent="0.2">
      <c r="A11388" s="4" t="s">
        <v>1</v>
      </c>
      <c r="B1138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88" s="3" t="str">
        <f>HYPERLINK("https://otsuka-europe-crm.veevavault.com/ui/#object/sent_email__v/VBLZ025E82GU3G2", "SE-000276719")</f>
        <v>SE-000276719</v>
      </c>
      <c r="D11388" s="1" t="s">
        <v>0</v>
      </c>
      <c r="E11388" s="2">
        <v>0</v>
      </c>
      <c r="F11388" s="2">
        <v>0</v>
      </c>
      <c r="G11388" s="2">
        <v>0</v>
      </c>
      <c r="H11388" s="1" t="s">
        <v>0</v>
      </c>
      <c r="I11388" s="2">
        <v>0</v>
      </c>
      <c r="J11388" s="1">
        <v>45919.411909722221</v>
      </c>
    </row>
    <row r="11389" spans="1:10" x14ac:dyDescent="0.2">
      <c r="A11389" s="4" t="s">
        <v>1</v>
      </c>
      <c r="B1138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89" s="3" t="str">
        <f>HYPERLINK("https://otsuka-europe-crm.veevavault.com/ui/#object/sent_email__v/VBLZ025E82GU3IT", "SE-000276720")</f>
        <v>SE-000276720</v>
      </c>
      <c r="D11389" s="1">
        <v>45923.929675925923</v>
      </c>
      <c r="E11389" s="2">
        <v>1</v>
      </c>
      <c r="F11389" s="2">
        <v>1</v>
      </c>
      <c r="G11389" s="2">
        <v>0</v>
      </c>
      <c r="H11389" s="1" t="s">
        <v>0</v>
      </c>
      <c r="I11389" s="2">
        <v>0</v>
      </c>
      <c r="J11389" s="1">
        <v>45919.411944444444</v>
      </c>
    </row>
    <row r="11390" spans="1:10" x14ac:dyDescent="0.2">
      <c r="A11390" s="4" t="s">
        <v>1</v>
      </c>
      <c r="B1139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90" s="3" t="str">
        <f>HYPERLINK("https://otsuka-europe-crm.veevavault.com/ui/#object/sent_email__v/VBLZ025E82GU3IU", "SE-000276721")</f>
        <v>SE-000276721</v>
      </c>
      <c r="D11390" s="1">
        <v>45919.936122685183</v>
      </c>
      <c r="E11390" s="2">
        <v>1</v>
      </c>
      <c r="F11390" s="2">
        <v>1</v>
      </c>
      <c r="G11390" s="2">
        <v>0</v>
      </c>
      <c r="H11390" s="1" t="s">
        <v>0</v>
      </c>
      <c r="I11390" s="2">
        <v>0</v>
      </c>
      <c r="J11390" s="1">
        <v>45919.411956018521</v>
      </c>
    </row>
    <row r="11391" spans="1:10" x14ac:dyDescent="0.2">
      <c r="A11391" s="4" t="s">
        <v>1</v>
      </c>
      <c r="B1139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91" s="3" t="str">
        <f>HYPERLINK("https://otsuka-europe-crm.veevavault.com/ui/#object/sent_email__v/VBLZ025E82GU3IV", "SE-000276722")</f>
        <v>SE-000276722</v>
      </c>
      <c r="D11391" s="1">
        <v>45919.696944444448</v>
      </c>
      <c r="E11391" s="2">
        <v>1</v>
      </c>
      <c r="F11391" s="2">
        <v>1</v>
      </c>
      <c r="G11391" s="2">
        <v>0</v>
      </c>
      <c r="H11391" s="1" t="s">
        <v>0</v>
      </c>
      <c r="I11391" s="2">
        <v>0</v>
      </c>
      <c r="J11391" s="1">
        <v>45919.411909722221</v>
      </c>
    </row>
    <row r="11392" spans="1:10" x14ac:dyDescent="0.2">
      <c r="A11392" s="4" t="s">
        <v>1</v>
      </c>
      <c r="B1139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92" s="3" t="str">
        <f>HYPERLINK("https://otsuka-europe-crm.veevavault.com/ui/#object/sent_email__v/VBLZ025E82GU3IW", "SE-000276723")</f>
        <v>SE-000276723</v>
      </c>
      <c r="D11392" s="1">
        <v>45919.671493055554</v>
      </c>
      <c r="E11392" s="2">
        <v>1</v>
      </c>
      <c r="F11392" s="2">
        <v>2</v>
      </c>
      <c r="G11392" s="2">
        <v>0</v>
      </c>
      <c r="H11392" s="1" t="s">
        <v>0</v>
      </c>
      <c r="I11392" s="2">
        <v>0</v>
      </c>
      <c r="J11392" s="1">
        <v>45919.41196759259</v>
      </c>
    </row>
    <row r="11393" spans="1:10" x14ac:dyDescent="0.2">
      <c r="A11393" s="4" t="s">
        <v>1</v>
      </c>
      <c r="B1139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93" s="3" t="str">
        <f>HYPERLINK("https://otsuka-europe-crm.veevavault.com/ui/#object/sent_email__v/VBLZ025E82GU3IX", "SE-000276724")</f>
        <v>SE-000276724</v>
      </c>
      <c r="D11393" s="1">
        <v>45919.661261574074</v>
      </c>
      <c r="E11393" s="2">
        <v>1</v>
      </c>
      <c r="F11393" s="2">
        <v>2</v>
      </c>
      <c r="G11393" s="2">
        <v>0</v>
      </c>
      <c r="H11393" s="1" t="s">
        <v>0</v>
      </c>
      <c r="I11393" s="2">
        <v>0</v>
      </c>
      <c r="J11393" s="1">
        <v>45919.41196759259</v>
      </c>
    </row>
    <row r="11394" spans="1:10" x14ac:dyDescent="0.2">
      <c r="A11394" s="4" t="s">
        <v>1</v>
      </c>
      <c r="B1139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94" s="3" t="str">
        <f>HYPERLINK("https://otsuka-europe-crm.veevavault.com/ui/#object/sent_email__v/VBLZ025E82GU3IY", "SE-000276725")</f>
        <v>SE-000276725</v>
      </c>
      <c r="D11394" s="1">
        <v>45919.474988425929</v>
      </c>
      <c r="E11394" s="2">
        <v>1</v>
      </c>
      <c r="F11394" s="2">
        <v>1</v>
      </c>
      <c r="G11394" s="2">
        <v>0</v>
      </c>
      <c r="H11394" s="1" t="s">
        <v>0</v>
      </c>
      <c r="I11394" s="2">
        <v>0</v>
      </c>
      <c r="J11394" s="1">
        <v>45919.411932870367</v>
      </c>
    </row>
    <row r="11395" spans="1:10" x14ac:dyDescent="0.2">
      <c r="A11395" s="4" t="s">
        <v>1</v>
      </c>
      <c r="B1139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95" s="3" t="str">
        <f>HYPERLINK("https://otsuka-europe-crm.veevavault.com/ui/#object/sent_email__v/VBLZ025E82GU3IZ", "SE-000276726")</f>
        <v>SE-000276726</v>
      </c>
      <c r="D11395" s="1">
        <v>45919.440381944441</v>
      </c>
      <c r="E11395" s="2">
        <v>1</v>
      </c>
      <c r="F11395" s="2">
        <v>2</v>
      </c>
      <c r="G11395" s="2">
        <v>0</v>
      </c>
      <c r="H11395" s="1" t="s">
        <v>0</v>
      </c>
      <c r="I11395" s="2">
        <v>0</v>
      </c>
      <c r="J11395" s="1">
        <v>45919.411944444444</v>
      </c>
    </row>
    <row r="11396" spans="1:10" x14ac:dyDescent="0.2">
      <c r="A11396" s="4" t="s">
        <v>1</v>
      </c>
      <c r="B1139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96" s="3" t="str">
        <f>HYPERLINK("https://otsuka-europe-crm.veevavault.com/ui/#object/sent_email__v/VBLZ025E82GU3J0", "SE-000276727")</f>
        <v>SE-000276727</v>
      </c>
      <c r="D11396" s="1">
        <v>45919.423356481479</v>
      </c>
      <c r="E11396" s="2">
        <v>1</v>
      </c>
      <c r="F11396" s="2">
        <v>1</v>
      </c>
      <c r="G11396" s="2">
        <v>0</v>
      </c>
      <c r="H11396" s="1" t="s">
        <v>0</v>
      </c>
      <c r="I11396" s="2">
        <v>0</v>
      </c>
      <c r="J11396" s="1">
        <v>45919.411932870367</v>
      </c>
    </row>
    <row r="11397" spans="1:10" x14ac:dyDescent="0.2">
      <c r="A11397" s="4" t="s">
        <v>1</v>
      </c>
      <c r="B1139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97" s="3" t="str">
        <f>HYPERLINK("https://otsuka-europe-crm.veevavault.com/ui/#object/sent_email__v/VBLZ025E82GU3J1", "SE-000276728")</f>
        <v>SE-000276728</v>
      </c>
      <c r="D11397" s="1">
        <v>45919.499178240738</v>
      </c>
      <c r="E11397" s="2">
        <v>1</v>
      </c>
      <c r="F11397" s="2">
        <v>2</v>
      </c>
      <c r="G11397" s="2">
        <v>0</v>
      </c>
      <c r="H11397" s="1" t="s">
        <v>0</v>
      </c>
      <c r="I11397" s="2">
        <v>0</v>
      </c>
      <c r="J11397" s="1">
        <v>45919.411921296298</v>
      </c>
    </row>
    <row r="11398" spans="1:10" x14ac:dyDescent="0.2">
      <c r="A11398" s="4" t="s">
        <v>1</v>
      </c>
      <c r="B1139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98" s="3" t="str">
        <f>HYPERLINK("https://otsuka-europe-crm.veevavault.com/ui/#object/sent_email__v/VBLZ025E82GU3J2", "SE-000276729")</f>
        <v>SE-000276729</v>
      </c>
      <c r="D11398" s="1" t="s">
        <v>0</v>
      </c>
      <c r="E11398" s="2">
        <v>0</v>
      </c>
      <c r="F11398" s="2">
        <v>0</v>
      </c>
      <c r="G11398" s="2">
        <v>0</v>
      </c>
      <c r="H11398" s="1" t="s">
        <v>0</v>
      </c>
      <c r="I11398" s="2">
        <v>0</v>
      </c>
      <c r="J11398" s="1">
        <v>45919.411909722221</v>
      </c>
    </row>
    <row r="11399" spans="1:10" x14ac:dyDescent="0.2">
      <c r="A11399" s="4" t="s">
        <v>1</v>
      </c>
      <c r="B1139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399" s="3" t="str">
        <f>HYPERLINK("https://otsuka-europe-crm.veevavault.com/ui/#object/sent_email__v/VBLZ025E82GU3TX", "SE-000276730")</f>
        <v>SE-000276730</v>
      </c>
      <c r="D11399" s="1">
        <v>45921.208715277775</v>
      </c>
      <c r="E11399" s="2">
        <v>1</v>
      </c>
      <c r="F11399" s="2">
        <v>1</v>
      </c>
      <c r="G11399" s="2">
        <v>0</v>
      </c>
      <c r="H11399" s="1" t="s">
        <v>0</v>
      </c>
      <c r="I11399" s="2">
        <v>0</v>
      </c>
      <c r="J11399" s="1">
        <v>45919.413310185184</v>
      </c>
    </row>
    <row r="11400" spans="1:10" x14ac:dyDescent="0.2">
      <c r="A11400" s="4" t="s">
        <v>1</v>
      </c>
      <c r="B1140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00" s="3" t="str">
        <f>HYPERLINK("https://otsuka-europe-crm.veevavault.com/ui/#object/sent_email__v/VBLZ025E82GU3TY", "SE-000276731")</f>
        <v>SE-000276731</v>
      </c>
      <c r="D11400" s="1" t="s">
        <v>0</v>
      </c>
      <c r="E11400" s="2">
        <v>0</v>
      </c>
      <c r="F11400" s="2">
        <v>0</v>
      </c>
      <c r="G11400" s="2">
        <v>0</v>
      </c>
      <c r="H11400" s="1" t="s">
        <v>0</v>
      </c>
      <c r="I11400" s="2">
        <v>0</v>
      </c>
      <c r="J11400" s="1">
        <v>45919.41333333333</v>
      </c>
    </row>
    <row r="11401" spans="1:10" x14ac:dyDescent="0.2">
      <c r="A11401" s="4" t="s">
        <v>1</v>
      </c>
      <c r="B1140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01" s="3" t="str">
        <f>HYPERLINK("https://otsuka-europe-crm.veevavault.com/ui/#object/sent_email__v/VBLZ025E82GU3TZ", "SE-000276732")</f>
        <v>SE-000276732</v>
      </c>
      <c r="D11401" s="1">
        <v>45930.497152777774</v>
      </c>
      <c r="E11401" s="2">
        <v>1</v>
      </c>
      <c r="F11401" s="2">
        <v>2</v>
      </c>
      <c r="G11401" s="2">
        <v>0</v>
      </c>
      <c r="H11401" s="1" t="s">
        <v>0</v>
      </c>
      <c r="I11401" s="2">
        <v>0</v>
      </c>
      <c r="J11401" s="1">
        <v>45919.413310185184</v>
      </c>
    </row>
    <row r="11402" spans="1:10" x14ac:dyDescent="0.2">
      <c r="A11402" s="4" t="s">
        <v>1</v>
      </c>
      <c r="B1140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02" s="3" t="str">
        <f>HYPERLINK("https://otsuka-europe-crm.veevavault.com/ui/#object/sent_email__v/VBLZ025E82GU3U0", "SE-000276733")</f>
        <v>SE-000276733</v>
      </c>
      <c r="D11402" s="1" t="s">
        <v>0</v>
      </c>
      <c r="E11402" s="2">
        <v>0</v>
      </c>
      <c r="F11402" s="2">
        <v>0</v>
      </c>
      <c r="G11402" s="2">
        <v>0</v>
      </c>
      <c r="H11402" s="1" t="s">
        <v>0</v>
      </c>
      <c r="I11402" s="2">
        <v>0</v>
      </c>
      <c r="J11402" s="1">
        <v>45919.413298611114</v>
      </c>
    </row>
    <row r="11403" spans="1:10" x14ac:dyDescent="0.2">
      <c r="A11403" s="4" t="s">
        <v>1</v>
      </c>
      <c r="B1140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03" s="3" t="str">
        <f>HYPERLINK("https://otsuka-europe-crm.veevavault.com/ui/#object/sent_email__v/VBLZ025E82GU3U1", "SE-000276734")</f>
        <v>SE-000276734</v>
      </c>
      <c r="D11403" s="1">
        <v>45921.944525462961</v>
      </c>
      <c r="E11403" s="2">
        <v>1</v>
      </c>
      <c r="F11403" s="2">
        <v>2</v>
      </c>
      <c r="G11403" s="2">
        <v>0</v>
      </c>
      <c r="H11403" s="1" t="s">
        <v>0</v>
      </c>
      <c r="I11403" s="2">
        <v>0</v>
      </c>
      <c r="J11403" s="1">
        <v>45919.413298611114</v>
      </c>
    </row>
    <row r="11404" spans="1:10" x14ac:dyDescent="0.2">
      <c r="A11404" s="4" t="s">
        <v>1</v>
      </c>
      <c r="B1140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04" s="3" t="str">
        <f>HYPERLINK("https://otsuka-europe-crm.veevavault.com/ui/#object/sent_email__v/VBLZ025E82GU3U2", "SE-000276735")</f>
        <v>SE-000276735</v>
      </c>
      <c r="D11404" s="1">
        <v>45919.584664351853</v>
      </c>
      <c r="E11404" s="2">
        <v>1</v>
      </c>
      <c r="F11404" s="2">
        <v>1</v>
      </c>
      <c r="G11404" s="2">
        <v>0</v>
      </c>
      <c r="H11404" s="1" t="s">
        <v>0</v>
      </c>
      <c r="I11404" s="2">
        <v>0</v>
      </c>
      <c r="J11404" s="1">
        <v>45919.413287037038</v>
      </c>
    </row>
    <row r="11405" spans="1:10" x14ac:dyDescent="0.2">
      <c r="A11405" s="4" t="s">
        <v>1</v>
      </c>
      <c r="B1140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05" s="3" t="str">
        <f>HYPERLINK("https://otsuka-europe-crm.veevavault.com/ui/#object/sent_email__v/VBLZ025E82GU3U3", "SE-000276736")</f>
        <v>SE-000276736</v>
      </c>
      <c r="D11405" s="1">
        <v>45929.005706018521</v>
      </c>
      <c r="E11405" s="2">
        <v>1</v>
      </c>
      <c r="F11405" s="2">
        <v>4</v>
      </c>
      <c r="G11405" s="2">
        <v>0</v>
      </c>
      <c r="H11405" s="1" t="s">
        <v>0</v>
      </c>
      <c r="I11405" s="2">
        <v>0</v>
      </c>
      <c r="J11405" s="1">
        <v>45919.413287037038</v>
      </c>
    </row>
    <row r="11406" spans="1:10" x14ac:dyDescent="0.2">
      <c r="A11406" s="4" t="s">
        <v>1</v>
      </c>
      <c r="B1140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06" s="3" t="str">
        <f>HYPERLINK("https://otsuka-europe-crm.veevavault.com/ui/#object/sent_email__v/VBLZ025E82GU3U4", "SE-000276737")</f>
        <v>SE-000276737</v>
      </c>
      <c r="D11406" s="1">
        <v>45919.780381944445</v>
      </c>
      <c r="E11406" s="2">
        <v>1</v>
      </c>
      <c r="F11406" s="2">
        <v>1</v>
      </c>
      <c r="G11406" s="2">
        <v>0</v>
      </c>
      <c r="H11406" s="1" t="s">
        <v>0</v>
      </c>
      <c r="I11406" s="2">
        <v>0</v>
      </c>
      <c r="J11406" s="1">
        <v>45919.413287037038</v>
      </c>
    </row>
    <row r="11407" spans="1:10" x14ac:dyDescent="0.2">
      <c r="A11407" s="4" t="s">
        <v>1</v>
      </c>
      <c r="B1140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07" s="3" t="str">
        <f>HYPERLINK("https://otsuka-europe-crm.veevavault.com/ui/#object/sent_email__v/VBLZ025E82GU4ZL", "SE-000276740")</f>
        <v>SE-000276740</v>
      </c>
      <c r="D11407" s="1" t="s">
        <v>0</v>
      </c>
      <c r="E11407" s="2">
        <v>0</v>
      </c>
      <c r="F11407" s="2">
        <v>0</v>
      </c>
      <c r="G11407" s="2">
        <v>0</v>
      </c>
      <c r="H11407" s="1" t="s">
        <v>0</v>
      </c>
      <c r="I11407" s="2">
        <v>0</v>
      </c>
      <c r="J11407" s="1">
        <v>45919.423020833332</v>
      </c>
    </row>
    <row r="11408" spans="1:10" x14ac:dyDescent="0.2">
      <c r="A11408" s="4" t="s">
        <v>1</v>
      </c>
      <c r="B1140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08" s="3" t="str">
        <f>HYPERLINK("https://otsuka-europe-crm.veevavault.com/ui/#object/sent_email__v/VBLZ025E82GU4ZM", "SE-000276741")</f>
        <v>SE-000276741</v>
      </c>
      <c r="D11408" s="1">
        <v>45925.01121527778</v>
      </c>
      <c r="E11408" s="2">
        <v>1</v>
      </c>
      <c r="F11408" s="2">
        <v>1</v>
      </c>
      <c r="G11408" s="2">
        <v>0</v>
      </c>
      <c r="H11408" s="1" t="s">
        <v>0</v>
      </c>
      <c r="I11408" s="2">
        <v>0</v>
      </c>
      <c r="J11408" s="1">
        <v>45919.422905092593</v>
      </c>
    </row>
    <row r="11409" spans="1:10" x14ac:dyDescent="0.2">
      <c r="A11409" s="4" t="s">
        <v>1</v>
      </c>
      <c r="B1140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09" s="3" t="str">
        <f>HYPERLINK("https://otsuka-europe-crm.veevavault.com/ui/#object/sent_email__v/VBLZ025E82GU4ZN", "SE-000276742")</f>
        <v>SE-000276742</v>
      </c>
      <c r="D11409" s="1" t="s">
        <v>0</v>
      </c>
      <c r="E11409" s="2">
        <v>0</v>
      </c>
      <c r="F11409" s="2">
        <v>0</v>
      </c>
      <c r="G11409" s="2">
        <v>0</v>
      </c>
      <c r="H11409" s="1" t="s">
        <v>0</v>
      </c>
      <c r="I11409" s="2">
        <v>0</v>
      </c>
      <c r="J11409" s="1">
        <v>45919.422974537039</v>
      </c>
    </row>
    <row r="11410" spans="1:10" x14ac:dyDescent="0.2">
      <c r="A11410" s="4" t="s">
        <v>1</v>
      </c>
      <c r="B1141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10" s="3" t="str">
        <f>HYPERLINK("https://otsuka-europe-crm.veevavault.com/ui/#object/sent_email__v/VBLZ025E82GU4ZO", "SE-000276743")</f>
        <v>SE-000276743</v>
      </c>
      <c r="D11410" s="1">
        <v>45919.49428240741</v>
      </c>
      <c r="E11410" s="2">
        <v>1</v>
      </c>
      <c r="F11410" s="2">
        <v>2</v>
      </c>
      <c r="G11410" s="2">
        <v>0</v>
      </c>
      <c r="H11410" s="1" t="s">
        <v>0</v>
      </c>
      <c r="I11410" s="2">
        <v>0</v>
      </c>
      <c r="J11410" s="1">
        <v>45919.422893518517</v>
      </c>
    </row>
    <row r="11411" spans="1:10" x14ac:dyDescent="0.2">
      <c r="A11411" s="4" t="s">
        <v>1</v>
      </c>
      <c r="B1141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11" s="3" t="str">
        <f>HYPERLINK("https://otsuka-europe-crm.veevavault.com/ui/#object/sent_email__v/VBLZ025E82GU4ZP", "SE-000276744")</f>
        <v>SE-000276744</v>
      </c>
      <c r="D11411" s="1" t="s">
        <v>0</v>
      </c>
      <c r="E11411" s="2">
        <v>0</v>
      </c>
      <c r="F11411" s="2">
        <v>0</v>
      </c>
      <c r="G11411" s="2">
        <v>0</v>
      </c>
      <c r="H11411" s="1" t="s">
        <v>0</v>
      </c>
      <c r="I11411" s="2">
        <v>0</v>
      </c>
      <c r="J11411" s="1">
        <v>45919.422962962963</v>
      </c>
    </row>
    <row r="11412" spans="1:10" x14ac:dyDescent="0.2">
      <c r="A11412" s="4" t="s">
        <v>1</v>
      </c>
      <c r="B1141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12" s="3" t="str">
        <f>HYPERLINK("https://otsuka-europe-crm.veevavault.com/ui/#object/sent_email__v/VBLZ025E82GU4ZQ", "SE-000276745")</f>
        <v>SE-000276745</v>
      </c>
      <c r="D11412" s="1">
        <v>45920.792650462965</v>
      </c>
      <c r="E11412" s="2">
        <v>1</v>
      </c>
      <c r="F11412" s="2">
        <v>1</v>
      </c>
      <c r="G11412" s="2">
        <v>0</v>
      </c>
      <c r="H11412" s="1" t="s">
        <v>0</v>
      </c>
      <c r="I11412" s="2">
        <v>0</v>
      </c>
      <c r="J11412" s="1">
        <v>45919.42287037037</v>
      </c>
    </row>
    <row r="11413" spans="1:10" x14ac:dyDescent="0.2">
      <c r="A11413" s="4" t="s">
        <v>1</v>
      </c>
      <c r="B1141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13" s="3" t="str">
        <f>HYPERLINK("https://otsuka-europe-crm.veevavault.com/ui/#object/sent_email__v/VBLZ025E82GU4ZR", "SE-000276746")</f>
        <v>SE-000276746</v>
      </c>
      <c r="D11413" s="1" t="s">
        <v>0</v>
      </c>
      <c r="E11413" s="2">
        <v>0</v>
      </c>
      <c r="F11413" s="2">
        <v>0</v>
      </c>
      <c r="G11413" s="2">
        <v>0</v>
      </c>
      <c r="H11413" s="1" t="s">
        <v>0</v>
      </c>
      <c r="I11413" s="2">
        <v>0</v>
      </c>
      <c r="J11413" s="1">
        <v>45919.422986111109</v>
      </c>
    </row>
    <row r="11414" spans="1:10" x14ac:dyDescent="0.2">
      <c r="A11414" s="4" t="s">
        <v>1</v>
      </c>
      <c r="B1141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14" s="3" t="str">
        <f>HYPERLINK("https://otsuka-europe-crm.veevavault.com/ui/#object/sent_email__v/VBLZ025E82GU4ZS", "SE-000276747")</f>
        <v>SE-000276747</v>
      </c>
      <c r="D11414" s="1">
        <v>45919.484375</v>
      </c>
      <c r="E11414" s="2">
        <v>1</v>
      </c>
      <c r="F11414" s="2">
        <v>1</v>
      </c>
      <c r="G11414" s="2">
        <v>0</v>
      </c>
      <c r="H11414" s="1" t="s">
        <v>0</v>
      </c>
      <c r="I11414" s="2">
        <v>0</v>
      </c>
      <c r="J11414" s="1">
        <v>45919.422905092593</v>
      </c>
    </row>
    <row r="11415" spans="1:10" x14ac:dyDescent="0.2">
      <c r="A11415" s="4" t="s">
        <v>1</v>
      </c>
      <c r="B1141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15" s="3" t="str">
        <f>HYPERLINK("https://otsuka-europe-crm.veevavault.com/ui/#object/sent_email__v/VBLZ025E82GU4ZT", "SE-000276748")</f>
        <v>SE-000276748</v>
      </c>
      <c r="D11415" s="1" t="s">
        <v>0</v>
      </c>
      <c r="E11415" s="2">
        <v>0</v>
      </c>
      <c r="F11415" s="2">
        <v>0</v>
      </c>
      <c r="G11415" s="2">
        <v>0</v>
      </c>
      <c r="H11415" s="1" t="s">
        <v>0</v>
      </c>
      <c r="I11415" s="2">
        <v>0</v>
      </c>
      <c r="J11415" s="1">
        <v>45919.423009259262</v>
      </c>
    </row>
    <row r="11416" spans="1:10" x14ac:dyDescent="0.2">
      <c r="A11416" s="4" t="s">
        <v>1</v>
      </c>
      <c r="B1141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16" s="3" t="str">
        <f>HYPERLINK("https://otsuka-europe-crm.veevavault.com/ui/#object/sent_email__v/VBLZ025E82GU4ZU", "SE-000276749")</f>
        <v>SE-000276749</v>
      </c>
      <c r="D11416" s="1">
        <v>45919.567569444444</v>
      </c>
      <c r="E11416" s="2">
        <v>1</v>
      </c>
      <c r="F11416" s="2">
        <v>1</v>
      </c>
      <c r="G11416" s="2">
        <v>0</v>
      </c>
      <c r="H11416" s="1" t="s">
        <v>0</v>
      </c>
      <c r="I11416" s="2">
        <v>0</v>
      </c>
      <c r="J11416" s="1">
        <v>45919.422905092593</v>
      </c>
    </row>
    <row r="11417" spans="1:10" x14ac:dyDescent="0.2">
      <c r="A11417" s="4" t="s">
        <v>1</v>
      </c>
      <c r="B1141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17" s="3" t="str">
        <f>HYPERLINK("https://otsuka-europe-crm.veevavault.com/ui/#object/sent_email__v/VBLZ025E82GU4ZV", "SE-000276750")</f>
        <v>SE-000276750</v>
      </c>
      <c r="D11417" s="1" t="s">
        <v>0</v>
      </c>
      <c r="E11417" s="2">
        <v>0</v>
      </c>
      <c r="F11417" s="2">
        <v>0</v>
      </c>
      <c r="G11417" s="2">
        <v>0</v>
      </c>
      <c r="H11417" s="1" t="s">
        <v>0</v>
      </c>
      <c r="I11417" s="2">
        <v>0</v>
      </c>
      <c r="J11417" s="1">
        <v>45919.423055555555</v>
      </c>
    </row>
    <row r="11418" spans="1:10" x14ac:dyDescent="0.2">
      <c r="A11418" s="4" t="s">
        <v>1</v>
      </c>
      <c r="B1141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18" s="3" t="str">
        <f>HYPERLINK("https://otsuka-europe-crm.veevavault.com/ui/#object/sent_email__v/VBLZ025E82GU4ZW", "SE-000276751")</f>
        <v>SE-000276751</v>
      </c>
      <c r="D11418" s="1">
        <v>45924.332337962966</v>
      </c>
      <c r="E11418" s="2">
        <v>1</v>
      </c>
      <c r="F11418" s="2">
        <v>3</v>
      </c>
      <c r="G11418" s="2">
        <v>0</v>
      </c>
      <c r="H11418" s="1" t="s">
        <v>0</v>
      </c>
      <c r="I11418" s="2">
        <v>0</v>
      </c>
      <c r="J11418" s="1">
        <v>45919.422939814816</v>
      </c>
    </row>
    <row r="11419" spans="1:10" x14ac:dyDescent="0.2">
      <c r="A11419" s="4" t="s">
        <v>1</v>
      </c>
      <c r="B1141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19" s="3" t="str">
        <f>HYPERLINK("https://otsuka-europe-crm.veevavault.com/ui/#object/sent_email__v/VBLZ025E82GU4ZX", "SE-000276752")</f>
        <v>SE-000276752</v>
      </c>
      <c r="D11419" s="1">
        <v>45919.61824074074</v>
      </c>
      <c r="E11419" s="2">
        <v>1</v>
      </c>
      <c r="F11419" s="2">
        <v>2</v>
      </c>
      <c r="G11419" s="2">
        <v>0</v>
      </c>
      <c r="H11419" s="1" t="s">
        <v>0</v>
      </c>
      <c r="I11419" s="2">
        <v>0</v>
      </c>
      <c r="J11419" s="1">
        <v>45919.423043981478</v>
      </c>
    </row>
    <row r="11420" spans="1:10" x14ac:dyDescent="0.2">
      <c r="A11420" s="4" t="s">
        <v>1</v>
      </c>
      <c r="B1142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20" s="3" t="str">
        <f>HYPERLINK("https://otsuka-europe-crm.veevavault.com/ui/#object/sent_email__v/VBLZ025E82GU4ZY", "SE-000276753")</f>
        <v>SE-000276753</v>
      </c>
      <c r="D11420" s="1">
        <v>45919.4375462963</v>
      </c>
      <c r="E11420" s="2">
        <v>1</v>
      </c>
      <c r="F11420" s="2">
        <v>1</v>
      </c>
      <c r="G11420" s="2">
        <v>0</v>
      </c>
      <c r="H11420" s="1" t="s">
        <v>0</v>
      </c>
      <c r="I11420" s="2">
        <v>0</v>
      </c>
      <c r="J11420" s="1">
        <v>45919.422939814816</v>
      </c>
    </row>
    <row r="11421" spans="1:10" x14ac:dyDescent="0.2">
      <c r="A11421" s="4" t="s">
        <v>1</v>
      </c>
      <c r="B1142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21" s="3" t="str">
        <f>HYPERLINK("https://otsuka-europe-crm.veevavault.com/ui/#object/sent_email__v/VBLZ025E82GU4ZZ", "SE-000276754")</f>
        <v>SE-000276754</v>
      </c>
      <c r="D11421" s="1">
        <v>45919.958958333336</v>
      </c>
      <c r="E11421" s="2">
        <v>1</v>
      </c>
      <c r="F11421" s="2">
        <v>1</v>
      </c>
      <c r="G11421" s="2">
        <v>0</v>
      </c>
      <c r="H11421" s="1" t="s">
        <v>0</v>
      </c>
      <c r="I11421" s="2">
        <v>0</v>
      </c>
      <c r="J11421" s="1">
        <v>45919.423043981478</v>
      </c>
    </row>
    <row r="11422" spans="1:10" x14ac:dyDescent="0.2">
      <c r="A11422" s="4" t="s">
        <v>1</v>
      </c>
      <c r="B1142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22" s="3" t="str">
        <f>HYPERLINK("https://otsuka-europe-crm.veevavault.com/ui/#object/sent_email__v/VBLZ025E82GU500", "SE-000276755")</f>
        <v>SE-000276755</v>
      </c>
      <c r="D11422" s="1" t="s">
        <v>0</v>
      </c>
      <c r="E11422" s="2">
        <v>0</v>
      </c>
      <c r="F11422" s="2">
        <v>0</v>
      </c>
      <c r="G11422" s="2">
        <v>0</v>
      </c>
      <c r="H11422" s="1" t="s">
        <v>0</v>
      </c>
      <c r="I11422" s="2">
        <v>0</v>
      </c>
      <c r="J11422" s="1">
        <v>45919.422939814816</v>
      </c>
    </row>
    <row r="11423" spans="1:10" x14ac:dyDescent="0.2">
      <c r="A11423" s="4" t="s">
        <v>1</v>
      </c>
      <c r="B1142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23" s="3" t="str">
        <f>HYPERLINK("https://otsuka-europe-crm.veevavault.com/ui/#object/sent_email__v/VBLZ025E82GU501", "SE-000276756")</f>
        <v>SE-000276756</v>
      </c>
      <c r="D11423" s="1" t="s">
        <v>0</v>
      </c>
      <c r="E11423" s="2">
        <v>0</v>
      </c>
      <c r="F11423" s="2">
        <v>0</v>
      </c>
      <c r="G11423" s="2">
        <v>0</v>
      </c>
      <c r="H11423" s="1" t="s">
        <v>0</v>
      </c>
      <c r="I11423" s="2">
        <v>0</v>
      </c>
      <c r="J11423" s="1">
        <v>45919.423032407409</v>
      </c>
    </row>
    <row r="11424" spans="1:10" x14ac:dyDescent="0.2">
      <c r="A11424" s="4" t="s">
        <v>1</v>
      </c>
      <c r="B1142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24" s="3" t="str">
        <f>HYPERLINK("https://otsuka-europe-crm.veevavault.com/ui/#object/sent_email__v/VBLZ025E82GU502", "SE-000276757")</f>
        <v>SE-000276757</v>
      </c>
      <c r="D11424" s="1" t="s">
        <v>0</v>
      </c>
      <c r="E11424" s="2">
        <v>0</v>
      </c>
      <c r="F11424" s="2">
        <v>0</v>
      </c>
      <c r="G11424" s="2">
        <v>0</v>
      </c>
      <c r="H11424" s="1" t="s">
        <v>0</v>
      </c>
      <c r="I11424" s="2">
        <v>0</v>
      </c>
      <c r="J11424" s="1">
        <v>45919.42292824074</v>
      </c>
    </row>
    <row r="11425" spans="1:10" x14ac:dyDescent="0.2">
      <c r="A11425" s="4" t="s">
        <v>1</v>
      </c>
      <c r="B1142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25" s="3" t="str">
        <f>HYPERLINK("https://otsuka-europe-crm.veevavault.com/ui/#object/sent_email__v/VBLZ025E82GU503", "SE-000276758")</f>
        <v>SE-000276758</v>
      </c>
      <c r="D11425" s="1" t="s">
        <v>0</v>
      </c>
      <c r="E11425" s="2">
        <v>0</v>
      </c>
      <c r="F11425" s="2">
        <v>0</v>
      </c>
      <c r="G11425" s="2">
        <v>0</v>
      </c>
      <c r="H11425" s="1" t="s">
        <v>0</v>
      </c>
      <c r="I11425" s="2">
        <v>0</v>
      </c>
      <c r="J11425" s="1">
        <v>45919.423067129632</v>
      </c>
    </row>
    <row r="11426" spans="1:10" x14ac:dyDescent="0.2">
      <c r="A11426" s="4" t="s">
        <v>1</v>
      </c>
      <c r="B1142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26" s="3" t="str">
        <f>HYPERLINK("https://otsuka-europe-crm.veevavault.com/ui/#object/sent_email__v/VBLZ025E82GU504", "SE-000276759")</f>
        <v>SE-000276759</v>
      </c>
      <c r="D11426" s="1" t="s">
        <v>0</v>
      </c>
      <c r="E11426" s="2">
        <v>0</v>
      </c>
      <c r="F11426" s="2">
        <v>0</v>
      </c>
      <c r="G11426" s="2">
        <v>0</v>
      </c>
      <c r="H11426" s="1" t="s">
        <v>0</v>
      </c>
      <c r="I11426" s="2">
        <v>0</v>
      </c>
      <c r="J11426" s="1">
        <v>45919.422951388886</v>
      </c>
    </row>
    <row r="11427" spans="1:10" x14ac:dyDescent="0.2">
      <c r="A11427" s="4" t="s">
        <v>1</v>
      </c>
      <c r="B1142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27" s="3" t="str">
        <f>HYPERLINK("https://otsuka-europe-crm.veevavault.com/ui/#object/sent_email__v/VBLZ025E82GU505", "SE-000276760")</f>
        <v>SE-000276760</v>
      </c>
      <c r="D11427" s="1" t="s">
        <v>0</v>
      </c>
      <c r="E11427" s="2">
        <v>0</v>
      </c>
      <c r="F11427" s="2">
        <v>0</v>
      </c>
      <c r="G11427" s="2">
        <v>0</v>
      </c>
      <c r="H11427" s="1" t="s">
        <v>0</v>
      </c>
      <c r="I11427" s="2">
        <v>0</v>
      </c>
      <c r="J11427" s="1">
        <v>45919.423078703701</v>
      </c>
    </row>
    <row r="11428" spans="1:10" x14ac:dyDescent="0.2">
      <c r="A11428" s="4" t="s">
        <v>1</v>
      </c>
      <c r="B1142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28" s="3" t="str">
        <f>HYPERLINK("https://otsuka-europe-crm.veevavault.com/ui/#object/sent_email__v/VBLZ025E82GU506", "SE-000276761")</f>
        <v>SE-000276761</v>
      </c>
      <c r="D11428" s="1" t="s">
        <v>0</v>
      </c>
      <c r="E11428" s="2">
        <v>0</v>
      </c>
      <c r="F11428" s="2">
        <v>0</v>
      </c>
      <c r="G11428" s="2">
        <v>0</v>
      </c>
      <c r="H11428" s="1" t="s">
        <v>0</v>
      </c>
      <c r="I11428" s="2">
        <v>0</v>
      </c>
      <c r="J11428" s="1">
        <v>45919.423055555555</v>
      </c>
    </row>
    <row r="11429" spans="1:10" x14ac:dyDescent="0.2">
      <c r="A11429" s="4" t="s">
        <v>1</v>
      </c>
      <c r="B1142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29" s="3" t="str">
        <f>HYPERLINK("https://otsuka-europe-crm.veevavault.com/ui/#object/sent_email__v/VBLZ025E82GU507", "SE-000276762")</f>
        <v>SE-000276762</v>
      </c>
      <c r="D11429" s="1">
        <v>45927.060173611113</v>
      </c>
      <c r="E11429" s="2">
        <v>1</v>
      </c>
      <c r="F11429" s="2">
        <v>1</v>
      </c>
      <c r="G11429" s="2">
        <v>0</v>
      </c>
      <c r="H11429" s="1" t="s">
        <v>0</v>
      </c>
      <c r="I11429" s="2">
        <v>0</v>
      </c>
      <c r="J11429" s="1">
        <v>45919.422905092593</v>
      </c>
    </row>
    <row r="11430" spans="1:10" x14ac:dyDescent="0.2">
      <c r="A11430" s="4" t="s">
        <v>1</v>
      </c>
      <c r="B1143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30" s="3" t="str">
        <f>HYPERLINK("https://otsuka-europe-crm.veevavault.com/ui/#object/sent_email__v/VBLZ025E82GU508", "SE-000276763")</f>
        <v>SE-000276763</v>
      </c>
      <c r="D11430" s="1" t="s">
        <v>0</v>
      </c>
      <c r="E11430" s="2">
        <v>0</v>
      </c>
      <c r="F11430" s="2">
        <v>0</v>
      </c>
      <c r="G11430" s="2">
        <v>0</v>
      </c>
      <c r="H11430" s="1" t="s">
        <v>0</v>
      </c>
      <c r="I11430" s="2">
        <v>0</v>
      </c>
      <c r="J11430" s="1">
        <v>45919.423009259262</v>
      </c>
    </row>
    <row r="11431" spans="1:10" x14ac:dyDescent="0.2">
      <c r="A11431" s="4" t="s">
        <v>1</v>
      </c>
      <c r="B1143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31" s="3" t="str">
        <f>HYPERLINK("https://otsuka-europe-crm.veevavault.com/ui/#object/sent_email__v/VBLZ025E82GU509", "SE-000276764")</f>
        <v>SE-000276764</v>
      </c>
      <c r="D11431" s="1">
        <v>45919.476238425923</v>
      </c>
      <c r="E11431" s="2">
        <v>1</v>
      </c>
      <c r="F11431" s="2">
        <v>1</v>
      </c>
      <c r="G11431" s="2">
        <v>0</v>
      </c>
      <c r="H11431" s="1" t="s">
        <v>0</v>
      </c>
      <c r="I11431" s="2">
        <v>0</v>
      </c>
      <c r="J11431" s="1">
        <v>45919.42287037037</v>
      </c>
    </row>
    <row r="11432" spans="1:10" x14ac:dyDescent="0.2">
      <c r="A11432" s="4" t="s">
        <v>1</v>
      </c>
      <c r="B1143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32" s="3" t="str">
        <f>HYPERLINK("https://otsuka-europe-crm.veevavault.com/ui/#object/sent_email__v/VBLZ025E82GU50A", "SE-000276765")</f>
        <v>SE-000276765</v>
      </c>
      <c r="D11432" s="1">
        <v>45919.423518518517</v>
      </c>
      <c r="E11432" s="2">
        <v>1</v>
      </c>
      <c r="F11432" s="2">
        <v>2</v>
      </c>
      <c r="G11432" s="2">
        <v>1</v>
      </c>
      <c r="H11432" s="1">
        <v>45919.423113425924</v>
      </c>
      <c r="I11432" s="2">
        <v>3</v>
      </c>
      <c r="J11432" s="1">
        <v>45919.422997685186</v>
      </c>
    </row>
    <row r="11433" spans="1:10" x14ac:dyDescent="0.2">
      <c r="A11433" s="4" t="s">
        <v>1</v>
      </c>
      <c r="B1143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33" s="3" t="str">
        <f>HYPERLINK("https://otsuka-europe-crm.veevavault.com/ui/#object/sent_email__v/VBLZ025E82GU5DH", "SE-000276766")</f>
        <v>SE-000276766</v>
      </c>
      <c r="D11433" s="1" t="s">
        <v>0</v>
      </c>
      <c r="E11433" s="2">
        <v>0</v>
      </c>
      <c r="F11433" s="2">
        <v>0</v>
      </c>
      <c r="G11433" s="2">
        <v>0</v>
      </c>
      <c r="H11433" s="1" t="s">
        <v>0</v>
      </c>
      <c r="I11433" s="2">
        <v>0</v>
      </c>
      <c r="J11433" s="1">
        <v>45919.423437500001</v>
      </c>
    </row>
    <row r="11434" spans="1:10" x14ac:dyDescent="0.2">
      <c r="A11434" s="4" t="s">
        <v>1</v>
      </c>
      <c r="B1143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34" s="3" t="str">
        <f>HYPERLINK("https://otsuka-europe-crm.veevavault.com/ui/#object/sent_email__v/VBLZ025E82GU5DI", "SE-000276767")</f>
        <v>SE-000276767</v>
      </c>
      <c r="D11434" s="1">
        <v>45919.454479166663</v>
      </c>
      <c r="E11434" s="2">
        <v>1</v>
      </c>
      <c r="F11434" s="2">
        <v>2</v>
      </c>
      <c r="G11434" s="2">
        <v>0</v>
      </c>
      <c r="H11434" s="1" t="s">
        <v>0</v>
      </c>
      <c r="I11434" s="2">
        <v>0</v>
      </c>
      <c r="J11434" s="1">
        <v>45919.423437500001</v>
      </c>
    </row>
    <row r="11435" spans="1:10" x14ac:dyDescent="0.2">
      <c r="A11435" s="4" t="s">
        <v>1</v>
      </c>
      <c r="B1143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35" s="3" t="str">
        <f>HYPERLINK("https://otsuka-europe-crm.veevavault.com/ui/#object/sent_email__v/VBLZ025E82GU5DJ", "SE-000276768")</f>
        <v>SE-000276768</v>
      </c>
      <c r="D11435" s="1" t="s">
        <v>0</v>
      </c>
      <c r="E11435" s="2">
        <v>0</v>
      </c>
      <c r="F11435" s="2">
        <v>0</v>
      </c>
      <c r="G11435" s="2">
        <v>0</v>
      </c>
      <c r="H11435" s="1" t="s">
        <v>0</v>
      </c>
      <c r="I11435" s="2">
        <v>0</v>
      </c>
      <c r="J11435" s="1">
        <v>45919.423449074071</v>
      </c>
    </row>
    <row r="11436" spans="1:10" x14ac:dyDescent="0.2">
      <c r="A11436" s="4" t="s">
        <v>1</v>
      </c>
      <c r="B1143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36" s="3" t="str">
        <f>HYPERLINK("https://otsuka-europe-crm.veevavault.com/ui/#object/sent_email__v/VBLZ025E82GU5DK", "SE-000276769")</f>
        <v>SE-000276769</v>
      </c>
      <c r="D11436" s="1">
        <v>45927.590729166666</v>
      </c>
      <c r="E11436" s="2">
        <v>1</v>
      </c>
      <c r="F11436" s="2">
        <v>1</v>
      </c>
      <c r="G11436" s="2">
        <v>0</v>
      </c>
      <c r="H11436" s="1" t="s">
        <v>0</v>
      </c>
      <c r="I11436" s="2">
        <v>0</v>
      </c>
      <c r="J11436" s="1">
        <v>45919.423449074071</v>
      </c>
    </row>
    <row r="11437" spans="1:10" x14ac:dyDescent="0.2">
      <c r="A11437" s="4" t="s">
        <v>1</v>
      </c>
      <c r="B1143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37" s="3" t="str">
        <f>HYPERLINK("https://otsuka-europe-crm.veevavault.com/ui/#object/sent_email__v/VBLZ025E82GUKVT", "SE-000277297")</f>
        <v>SE-000277297</v>
      </c>
      <c r="D11437" s="1" t="s">
        <v>0</v>
      </c>
      <c r="E11437" s="2">
        <v>0</v>
      </c>
      <c r="F11437" s="2">
        <v>0</v>
      </c>
      <c r="G11437" s="2">
        <v>0</v>
      </c>
      <c r="H11437" s="1" t="s">
        <v>0</v>
      </c>
      <c r="I11437" s="2">
        <v>0</v>
      </c>
      <c r="J11437" s="1">
        <v>45919.560115740744</v>
      </c>
    </row>
    <row r="11438" spans="1:10" x14ac:dyDescent="0.2">
      <c r="A11438" s="4" t="s">
        <v>1</v>
      </c>
      <c r="B1143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38" s="3" t="str">
        <f>HYPERLINK("https://otsuka-europe-crm.veevavault.com/ui/#object/sent_email__v/VBLZ025E82GUKVU", "SE-000277298")</f>
        <v>SE-000277298</v>
      </c>
      <c r="D11438" s="1" t="s">
        <v>0</v>
      </c>
      <c r="E11438" s="2">
        <v>0</v>
      </c>
      <c r="F11438" s="2">
        <v>0</v>
      </c>
      <c r="G11438" s="2">
        <v>0</v>
      </c>
      <c r="H11438" s="1" t="s">
        <v>0</v>
      </c>
      <c r="I11438" s="2">
        <v>0</v>
      </c>
      <c r="J11438" s="1">
        <v>45919.56013888889</v>
      </c>
    </row>
    <row r="11439" spans="1:10" x14ac:dyDescent="0.2">
      <c r="A11439" s="4" t="s">
        <v>1</v>
      </c>
      <c r="B1143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39" s="3" t="str">
        <f>HYPERLINK("https://otsuka-europe-crm.veevavault.com/ui/#object/sent_email__v/VBLZ025E82GUKVV", "SE-000277299")</f>
        <v>SE-000277299</v>
      </c>
      <c r="D11439" s="1">
        <v>45919.60601851852</v>
      </c>
      <c r="E11439" s="2">
        <v>1</v>
      </c>
      <c r="F11439" s="2">
        <v>1</v>
      </c>
      <c r="G11439" s="2">
        <v>0</v>
      </c>
      <c r="H11439" s="1" t="s">
        <v>0</v>
      </c>
      <c r="I11439" s="2">
        <v>0</v>
      </c>
      <c r="J11439" s="1">
        <v>45919.56013888889</v>
      </c>
    </row>
    <row r="11440" spans="1:10" x14ac:dyDescent="0.2">
      <c r="A11440" s="4" t="s">
        <v>1</v>
      </c>
      <c r="B1144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40" s="3" t="str">
        <f>HYPERLINK("https://otsuka-europe-crm.veevavault.com/ui/#object/sent_email__v/VBLZ025E82GUKVW", "SE-000277300")</f>
        <v>SE-000277300</v>
      </c>
      <c r="D11440" s="1">
        <v>45919.62128472222</v>
      </c>
      <c r="E11440" s="2">
        <v>1</v>
      </c>
      <c r="F11440" s="2">
        <v>1</v>
      </c>
      <c r="G11440" s="2">
        <v>0</v>
      </c>
      <c r="H11440" s="1" t="s">
        <v>0</v>
      </c>
      <c r="I11440" s="2">
        <v>0</v>
      </c>
      <c r="J11440" s="1">
        <v>45919.56013888889</v>
      </c>
    </row>
    <row r="11441" spans="1:10" x14ac:dyDescent="0.2">
      <c r="A11441" s="4" t="s">
        <v>1</v>
      </c>
      <c r="B1144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41" s="3" t="str">
        <f>HYPERLINK("https://otsuka-europe-crm.veevavault.com/ui/#object/sent_email__v/VBLZ025E82GUKVX", "SE-000277301")</f>
        <v>SE-000277301</v>
      </c>
      <c r="D11441" s="1" t="s">
        <v>0</v>
      </c>
      <c r="E11441" s="2">
        <v>0</v>
      </c>
      <c r="F11441" s="2">
        <v>0</v>
      </c>
      <c r="G11441" s="2">
        <v>0</v>
      </c>
      <c r="H11441" s="1" t="s">
        <v>0</v>
      </c>
      <c r="I11441" s="2">
        <v>0</v>
      </c>
      <c r="J11441" s="1">
        <v>45919.56013888889</v>
      </c>
    </row>
    <row r="11442" spans="1:10" x14ac:dyDescent="0.2">
      <c r="A11442" s="4" t="s">
        <v>1</v>
      </c>
      <c r="B1144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42" s="3" t="str">
        <f>HYPERLINK("https://otsuka-europe-crm.veevavault.com/ui/#object/sent_email__v/VBLZ025E82GUKVY", "SE-000277302")</f>
        <v>SE-000277302</v>
      </c>
      <c r="D11442" s="1">
        <v>45919.817708333336</v>
      </c>
      <c r="E11442" s="2">
        <v>1</v>
      </c>
      <c r="F11442" s="2">
        <v>1</v>
      </c>
      <c r="G11442" s="2">
        <v>1</v>
      </c>
      <c r="H11442" s="1">
        <v>45919.817928240744</v>
      </c>
      <c r="I11442" s="2">
        <v>1</v>
      </c>
      <c r="J11442" s="1">
        <v>45919.560150462959</v>
      </c>
    </row>
    <row r="11443" spans="1:10" x14ac:dyDescent="0.2">
      <c r="A11443" s="4" t="s">
        <v>1</v>
      </c>
      <c r="B1144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43" s="3" t="str">
        <f>HYPERLINK("https://otsuka-europe-crm.veevavault.com/ui/#object/sent_email__v/VBLZ025E82GUKVZ", "SE-000277303")</f>
        <v>SE-000277303</v>
      </c>
      <c r="D11443" s="1">
        <v>45920.029965277776</v>
      </c>
      <c r="E11443" s="2">
        <v>1</v>
      </c>
      <c r="F11443" s="2">
        <v>1</v>
      </c>
      <c r="G11443" s="2">
        <v>0</v>
      </c>
      <c r="H11443" s="1" t="s">
        <v>0</v>
      </c>
      <c r="I11443" s="2">
        <v>0</v>
      </c>
      <c r="J11443" s="1">
        <v>45919.560162037036</v>
      </c>
    </row>
    <row r="11444" spans="1:10" x14ac:dyDescent="0.2">
      <c r="A11444" s="4" t="s">
        <v>1</v>
      </c>
      <c r="B1144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44" s="3" t="str">
        <f>HYPERLINK("https://otsuka-europe-crm.veevavault.com/ui/#object/sent_email__v/VBLZ025E82GUKW0", "SE-000277304")</f>
        <v>SE-000277304</v>
      </c>
      <c r="D11444" s="1" t="s">
        <v>0</v>
      </c>
      <c r="E11444" s="2">
        <v>0</v>
      </c>
      <c r="F11444" s="2">
        <v>0</v>
      </c>
      <c r="G11444" s="2">
        <v>0</v>
      </c>
      <c r="H11444" s="1" t="s">
        <v>0</v>
      </c>
      <c r="I11444" s="2">
        <v>0</v>
      </c>
      <c r="J11444" s="1">
        <v>45919.560173611113</v>
      </c>
    </row>
    <row r="11445" spans="1:10" x14ac:dyDescent="0.2">
      <c r="A11445" s="4" t="s">
        <v>1</v>
      </c>
      <c r="B1144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45" s="3" t="str">
        <f>HYPERLINK("https://otsuka-europe-crm.veevavault.com/ui/#object/sent_email__v/VBLZ025E82GUKW1", "SE-000277305")</f>
        <v>SE-000277305</v>
      </c>
      <c r="D11445" s="1">
        <v>45919.944398148145</v>
      </c>
      <c r="E11445" s="2">
        <v>1</v>
      </c>
      <c r="F11445" s="2">
        <v>1</v>
      </c>
      <c r="G11445" s="2">
        <v>0</v>
      </c>
      <c r="H11445" s="1" t="s">
        <v>0</v>
      </c>
      <c r="I11445" s="2">
        <v>0</v>
      </c>
      <c r="J11445" s="1">
        <v>45919.560185185182</v>
      </c>
    </row>
    <row r="11446" spans="1:10" x14ac:dyDescent="0.2">
      <c r="A11446" s="4" t="s">
        <v>1</v>
      </c>
      <c r="B1144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46" s="3" t="str">
        <f>HYPERLINK("https://otsuka-europe-crm.veevavault.com/ui/#object/sent_email__v/VBLZ025E82GUKW2", "SE-000277306")</f>
        <v>SE-000277306</v>
      </c>
      <c r="D11446" s="1">
        <v>45921.528854166667</v>
      </c>
      <c r="E11446" s="2">
        <v>1</v>
      </c>
      <c r="F11446" s="2">
        <v>3</v>
      </c>
      <c r="G11446" s="2">
        <v>0</v>
      </c>
      <c r="H11446" s="1" t="s">
        <v>0</v>
      </c>
      <c r="I11446" s="2">
        <v>0</v>
      </c>
      <c r="J11446" s="1">
        <v>45919.560196759259</v>
      </c>
    </row>
    <row r="11447" spans="1:10" x14ac:dyDescent="0.2">
      <c r="A11447" s="4" t="s">
        <v>1</v>
      </c>
      <c r="B1144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47" s="3" t="str">
        <f>HYPERLINK("https://otsuka-europe-crm.veevavault.com/ui/#object/sent_email__v/VBLZ025E82GUKW3", "SE-000277307")</f>
        <v>SE-000277307</v>
      </c>
      <c r="D11447" s="1" t="s">
        <v>0</v>
      </c>
      <c r="E11447" s="2">
        <v>0</v>
      </c>
      <c r="F11447" s="2">
        <v>0</v>
      </c>
      <c r="G11447" s="2">
        <v>0</v>
      </c>
      <c r="H11447" s="1" t="s">
        <v>0</v>
      </c>
      <c r="I11447" s="2">
        <v>0</v>
      </c>
      <c r="J11447" s="1">
        <v>45919.560208333336</v>
      </c>
    </row>
    <row r="11448" spans="1:10" x14ac:dyDescent="0.2">
      <c r="A11448" s="4" t="s">
        <v>1</v>
      </c>
      <c r="B1144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48" s="3" t="str">
        <f>HYPERLINK("https://otsuka-europe-crm.veevavault.com/ui/#object/sent_email__v/VBLZ025E82GUKW4", "SE-000277308")</f>
        <v>SE-000277308</v>
      </c>
      <c r="D11448" s="1" t="s">
        <v>0</v>
      </c>
      <c r="E11448" s="2">
        <v>0</v>
      </c>
      <c r="F11448" s="2">
        <v>0</v>
      </c>
      <c r="G11448" s="2">
        <v>0</v>
      </c>
      <c r="H11448" s="1" t="s">
        <v>0</v>
      </c>
      <c r="I11448" s="2">
        <v>0</v>
      </c>
      <c r="J11448" s="1">
        <v>45919.560208333336</v>
      </c>
    </row>
    <row r="11449" spans="1:10" x14ac:dyDescent="0.2">
      <c r="A11449" s="4" t="s">
        <v>1</v>
      </c>
      <c r="B1144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49" s="3" t="str">
        <f>HYPERLINK("https://otsuka-europe-crm.veevavault.com/ui/#object/sent_email__v/VBLZ025E82GUKW5", "SE-000277309")</f>
        <v>SE-000277309</v>
      </c>
      <c r="D11449" s="1">
        <v>45920.52484953704</v>
      </c>
      <c r="E11449" s="2">
        <v>1</v>
      </c>
      <c r="F11449" s="2">
        <v>2</v>
      </c>
      <c r="G11449" s="2">
        <v>0</v>
      </c>
      <c r="H11449" s="1" t="s">
        <v>0</v>
      </c>
      <c r="I11449" s="2">
        <v>0</v>
      </c>
      <c r="J11449" s="1">
        <v>45919.560219907406</v>
      </c>
    </row>
    <row r="11450" spans="1:10" x14ac:dyDescent="0.2">
      <c r="A11450" s="4" t="s">
        <v>1</v>
      </c>
      <c r="B1145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50" s="3" t="str">
        <f>HYPERLINK("https://otsuka-europe-crm.veevavault.com/ui/#object/sent_email__v/VBLZ025E82GUKW6", "SE-000277310")</f>
        <v>SE-000277310</v>
      </c>
      <c r="D11450" s="1">
        <v>45924.938923611109</v>
      </c>
      <c r="E11450" s="2">
        <v>1</v>
      </c>
      <c r="F11450" s="2">
        <v>3</v>
      </c>
      <c r="G11450" s="2">
        <v>0</v>
      </c>
      <c r="H11450" s="1" t="s">
        <v>0</v>
      </c>
      <c r="I11450" s="2">
        <v>0</v>
      </c>
      <c r="J11450" s="1">
        <v>45919.560231481482</v>
      </c>
    </row>
    <row r="11451" spans="1:10" x14ac:dyDescent="0.2">
      <c r="A11451" s="4" t="s">
        <v>1</v>
      </c>
      <c r="B1145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51" s="3" t="str">
        <f>HYPERLINK("https://otsuka-europe-crm.veevavault.com/ui/#object/sent_email__v/VBLZ025E82GUKW7", "SE-000277311")</f>
        <v>SE-000277311</v>
      </c>
      <c r="D11451" s="1" t="s">
        <v>0</v>
      </c>
      <c r="E11451" s="2">
        <v>0</v>
      </c>
      <c r="F11451" s="2">
        <v>0</v>
      </c>
      <c r="G11451" s="2">
        <v>0</v>
      </c>
      <c r="H11451" s="1" t="s">
        <v>0</v>
      </c>
      <c r="I11451" s="2">
        <v>0</v>
      </c>
      <c r="J11451" s="1">
        <v>45919.560231481482</v>
      </c>
    </row>
    <row r="11452" spans="1:10" x14ac:dyDescent="0.2">
      <c r="A11452" s="4" t="s">
        <v>1</v>
      </c>
      <c r="B1145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52" s="3" t="str">
        <f>HYPERLINK("https://otsuka-europe-crm.veevavault.com/ui/#object/sent_email__v/VBLZ025E82GUKW8", "SE-000277312")</f>
        <v>SE-000277312</v>
      </c>
      <c r="D11452" s="1" t="s">
        <v>0</v>
      </c>
      <c r="E11452" s="2">
        <v>0</v>
      </c>
      <c r="F11452" s="2">
        <v>0</v>
      </c>
      <c r="G11452" s="2">
        <v>0</v>
      </c>
      <c r="H11452" s="1" t="s">
        <v>0</v>
      </c>
      <c r="I11452" s="2">
        <v>0</v>
      </c>
      <c r="J11452" s="1">
        <v>45919.560243055559</v>
      </c>
    </row>
    <row r="11453" spans="1:10" x14ac:dyDescent="0.2">
      <c r="A11453" s="4" t="s">
        <v>1</v>
      </c>
      <c r="B1145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53" s="3" t="str">
        <f>HYPERLINK("https://otsuka-europe-crm.veevavault.com/ui/#object/sent_email__v/VBLZ025E82GUKW9", "SE-000277313")</f>
        <v>SE-000277313</v>
      </c>
      <c r="D11453" s="1" t="s">
        <v>0</v>
      </c>
      <c r="E11453" s="2">
        <v>0</v>
      </c>
      <c r="F11453" s="2">
        <v>0</v>
      </c>
      <c r="G11453" s="2">
        <v>0</v>
      </c>
      <c r="H11453" s="1" t="s">
        <v>0</v>
      </c>
      <c r="I11453" s="2">
        <v>0</v>
      </c>
      <c r="J11453" s="1">
        <v>45919.560254629629</v>
      </c>
    </row>
    <row r="11454" spans="1:10" x14ac:dyDescent="0.2">
      <c r="A11454" s="4" t="s">
        <v>1</v>
      </c>
      <c r="B1145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54" s="3" t="str">
        <f>HYPERLINK("https://otsuka-europe-crm.veevavault.com/ui/#object/sent_email__v/VBLZ025E82GUKWA", "SE-000277314")</f>
        <v>SE-000277314</v>
      </c>
      <c r="D11454" s="1">
        <v>45920.755636574075</v>
      </c>
      <c r="E11454" s="2">
        <v>1</v>
      </c>
      <c r="F11454" s="2">
        <v>1</v>
      </c>
      <c r="G11454" s="2">
        <v>0</v>
      </c>
      <c r="H11454" s="1" t="s">
        <v>0</v>
      </c>
      <c r="I11454" s="2">
        <v>0</v>
      </c>
      <c r="J11454" s="1">
        <v>45919.560266203705</v>
      </c>
    </row>
    <row r="11455" spans="1:10" x14ac:dyDescent="0.2">
      <c r="A11455" s="4" t="s">
        <v>1</v>
      </c>
      <c r="B1145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55" s="3" t="str">
        <f>HYPERLINK("https://otsuka-europe-crm.veevavault.com/ui/#object/sent_email__v/VBLZ025E82GUKWB", "SE-000277315")</f>
        <v>SE-000277315</v>
      </c>
      <c r="D11455" s="1">
        <v>45919.76295138889</v>
      </c>
      <c r="E11455" s="2">
        <v>1</v>
      </c>
      <c r="F11455" s="2">
        <v>2</v>
      </c>
      <c r="G11455" s="2">
        <v>0</v>
      </c>
      <c r="H11455" s="1" t="s">
        <v>0</v>
      </c>
      <c r="I11455" s="2">
        <v>0</v>
      </c>
      <c r="J11455" s="1">
        <v>45919.560277777775</v>
      </c>
    </row>
    <row r="11456" spans="1:10" x14ac:dyDescent="0.2">
      <c r="A11456" s="4" t="s">
        <v>1</v>
      </c>
      <c r="B1145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56" s="3" t="str">
        <f>HYPERLINK("https://otsuka-europe-crm.veevavault.com/ui/#object/sent_email__v/VBLZ025E82GUKWC", "SE-000277316")</f>
        <v>SE-000277316</v>
      </c>
      <c r="D11456" s="1">
        <v>45919.664618055554</v>
      </c>
      <c r="E11456" s="2">
        <v>1</v>
      </c>
      <c r="F11456" s="2">
        <v>1</v>
      </c>
      <c r="G11456" s="2">
        <v>0</v>
      </c>
      <c r="H11456" s="1" t="s">
        <v>0</v>
      </c>
      <c r="I11456" s="2">
        <v>0</v>
      </c>
      <c r="J11456" s="1">
        <v>45919.560289351852</v>
      </c>
    </row>
    <row r="11457" spans="1:10" x14ac:dyDescent="0.2">
      <c r="A11457" s="4" t="s">
        <v>1</v>
      </c>
      <c r="B1145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57" s="3" t="str">
        <f>HYPERLINK("https://otsuka-europe-crm.veevavault.com/ui/#object/sent_email__v/VBLZ025E82GUKWD", "SE-000277317")</f>
        <v>SE-000277317</v>
      </c>
      <c r="D11457" s="1">
        <v>45919.892025462963</v>
      </c>
      <c r="E11457" s="2">
        <v>1</v>
      </c>
      <c r="F11457" s="2">
        <v>1</v>
      </c>
      <c r="G11457" s="2">
        <v>0</v>
      </c>
      <c r="H11457" s="1" t="s">
        <v>0</v>
      </c>
      <c r="I11457" s="2">
        <v>0</v>
      </c>
      <c r="J11457" s="1">
        <v>45919.560289351852</v>
      </c>
    </row>
    <row r="11458" spans="1:10" x14ac:dyDescent="0.2">
      <c r="A11458" s="4" t="s">
        <v>1</v>
      </c>
      <c r="B1145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58" s="3" t="str">
        <f>HYPERLINK("https://otsuka-europe-crm.veevavault.com/ui/#object/sent_email__v/VBLZ025E82GUKWE", "SE-000277318")</f>
        <v>SE-000277318</v>
      </c>
      <c r="D11458" s="1" t="s">
        <v>0</v>
      </c>
      <c r="E11458" s="2">
        <v>0</v>
      </c>
      <c r="F11458" s="2">
        <v>0</v>
      </c>
      <c r="G11458" s="2">
        <v>0</v>
      </c>
      <c r="H11458" s="1" t="s">
        <v>0</v>
      </c>
      <c r="I11458" s="2">
        <v>0</v>
      </c>
      <c r="J11458" s="1">
        <v>45919.560300925928</v>
      </c>
    </row>
    <row r="11459" spans="1:10" x14ac:dyDescent="0.2">
      <c r="A11459" s="4" t="s">
        <v>1</v>
      </c>
      <c r="B1145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59" s="3" t="str">
        <f>HYPERLINK("https://otsuka-europe-crm.veevavault.com/ui/#object/sent_email__v/VBLZ025E82GUKWF", "SE-000277319")</f>
        <v>SE-000277319</v>
      </c>
      <c r="D11459" s="1" t="s">
        <v>0</v>
      </c>
      <c r="E11459" s="2">
        <v>0</v>
      </c>
      <c r="F11459" s="2">
        <v>0</v>
      </c>
      <c r="G11459" s="2">
        <v>0</v>
      </c>
      <c r="H11459" s="1" t="s">
        <v>0</v>
      </c>
      <c r="I11459" s="2">
        <v>0</v>
      </c>
      <c r="J11459" s="1">
        <v>45919.560312499998</v>
      </c>
    </row>
    <row r="11460" spans="1:10" x14ac:dyDescent="0.2">
      <c r="A11460" s="4" t="s">
        <v>1</v>
      </c>
      <c r="B1146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60" s="3" t="str">
        <f>HYPERLINK("https://otsuka-europe-crm.veevavault.com/ui/#object/sent_email__v/VBLZ025E82GUKWG", "SE-000277320")</f>
        <v>SE-000277320</v>
      </c>
      <c r="D11460" s="1">
        <v>45941.741111111114</v>
      </c>
      <c r="E11460" s="2">
        <v>1</v>
      </c>
      <c r="F11460" s="2">
        <v>2</v>
      </c>
      <c r="G11460" s="2">
        <v>0</v>
      </c>
      <c r="H11460" s="1" t="s">
        <v>0</v>
      </c>
      <c r="I11460" s="2">
        <v>0</v>
      </c>
      <c r="J11460" s="1">
        <v>45919.560324074075</v>
      </c>
    </row>
    <row r="11461" spans="1:10" x14ac:dyDescent="0.2">
      <c r="A11461" s="4" t="s">
        <v>1</v>
      </c>
      <c r="B1146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61" s="3" t="str">
        <f>HYPERLINK("https://otsuka-europe-crm.veevavault.com/ui/#object/sent_email__v/VBLZ025E82GUKWH", "SE-000277321")</f>
        <v>SE-000277321</v>
      </c>
      <c r="D11461" s="1" t="s">
        <v>0</v>
      </c>
      <c r="E11461" s="2">
        <v>0</v>
      </c>
      <c r="F11461" s="2">
        <v>0</v>
      </c>
      <c r="G11461" s="2">
        <v>0</v>
      </c>
      <c r="H11461" s="1" t="s">
        <v>0</v>
      </c>
      <c r="I11461" s="2">
        <v>0</v>
      </c>
      <c r="J11461" s="1">
        <v>45919.560335648152</v>
      </c>
    </row>
    <row r="11462" spans="1:10" x14ac:dyDescent="0.2">
      <c r="A11462" s="4" t="s">
        <v>1</v>
      </c>
      <c r="B1146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62" s="3" t="str">
        <f>HYPERLINK("https://otsuka-europe-crm.veevavault.com/ui/#object/sent_email__v/VBLZ025E82GUKWI", "SE-000277322")</f>
        <v>SE-000277322</v>
      </c>
      <c r="D11462" s="1">
        <v>45921.704837962963</v>
      </c>
      <c r="E11462" s="2">
        <v>1</v>
      </c>
      <c r="F11462" s="2">
        <v>4</v>
      </c>
      <c r="G11462" s="2">
        <v>0</v>
      </c>
      <c r="H11462" s="1" t="s">
        <v>0</v>
      </c>
      <c r="I11462" s="2">
        <v>0</v>
      </c>
      <c r="J11462" s="1">
        <v>45919.560347222221</v>
      </c>
    </row>
    <row r="11463" spans="1:10" x14ac:dyDescent="0.2">
      <c r="A11463" s="4" t="s">
        <v>1</v>
      </c>
      <c r="B1146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63" s="3" t="str">
        <f>HYPERLINK("https://otsuka-europe-crm.veevavault.com/ui/#object/sent_email__v/VBLZ025E82GUKWJ", "SE-000277323")</f>
        <v>SE-000277323</v>
      </c>
      <c r="D11463" s="1" t="s">
        <v>0</v>
      </c>
      <c r="E11463" s="2">
        <v>0</v>
      </c>
      <c r="F11463" s="2">
        <v>0</v>
      </c>
      <c r="G11463" s="2">
        <v>0</v>
      </c>
      <c r="H11463" s="1" t="s">
        <v>0</v>
      </c>
      <c r="I11463" s="2">
        <v>0</v>
      </c>
      <c r="J11463" s="1">
        <v>45919.560358796298</v>
      </c>
    </row>
    <row r="11464" spans="1:10" x14ac:dyDescent="0.2">
      <c r="A11464" s="4" t="s">
        <v>1</v>
      </c>
      <c r="B1146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64" s="3" t="str">
        <f>HYPERLINK("https://otsuka-europe-crm.veevavault.com/ui/#object/sent_email__v/VBLZ025E82GUKWK", "SE-000277324")</f>
        <v>SE-000277324</v>
      </c>
      <c r="D11464" s="1" t="s">
        <v>0</v>
      </c>
      <c r="E11464" s="2">
        <v>0</v>
      </c>
      <c r="F11464" s="2">
        <v>0</v>
      </c>
      <c r="G11464" s="2">
        <v>0</v>
      </c>
      <c r="H11464" s="1" t="s">
        <v>0</v>
      </c>
      <c r="I11464" s="2">
        <v>0</v>
      </c>
      <c r="J11464" s="1">
        <v>45919.560370370367</v>
      </c>
    </row>
    <row r="11465" spans="1:10" x14ac:dyDescent="0.2">
      <c r="A11465" s="4" t="s">
        <v>1</v>
      </c>
      <c r="B1146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65" s="3" t="str">
        <f>HYPERLINK("https://otsuka-europe-crm.veevavault.com/ui/#object/sent_email__v/VBLZ025E82GUKWL", "SE-000277325")</f>
        <v>SE-000277325</v>
      </c>
      <c r="D11465" s="1" t="s">
        <v>0</v>
      </c>
      <c r="E11465" s="2">
        <v>0</v>
      </c>
      <c r="F11465" s="2">
        <v>0</v>
      </c>
      <c r="G11465" s="2">
        <v>0</v>
      </c>
      <c r="H11465" s="1" t="s">
        <v>0</v>
      </c>
      <c r="I11465" s="2">
        <v>0</v>
      </c>
      <c r="J11465" s="1">
        <v>45919.560370370367</v>
      </c>
    </row>
    <row r="11466" spans="1:10" x14ac:dyDescent="0.2">
      <c r="A11466" s="4" t="s">
        <v>1</v>
      </c>
      <c r="B1146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66" s="3" t="str">
        <f>HYPERLINK("https://otsuka-europe-crm.veevavault.com/ui/#object/sent_email__v/VBLZ025E82GUKWM", "SE-000277326")</f>
        <v>SE-000277326</v>
      </c>
      <c r="D11466" s="1" t="s">
        <v>0</v>
      </c>
      <c r="E11466" s="2">
        <v>0</v>
      </c>
      <c r="F11466" s="2">
        <v>0</v>
      </c>
      <c r="G11466" s="2">
        <v>0</v>
      </c>
      <c r="H11466" s="1" t="s">
        <v>0</v>
      </c>
      <c r="I11466" s="2">
        <v>0</v>
      </c>
      <c r="J11466" s="1">
        <v>45919.560381944444</v>
      </c>
    </row>
    <row r="11467" spans="1:10" x14ac:dyDescent="0.2">
      <c r="A11467" s="4" t="s">
        <v>1</v>
      </c>
      <c r="B1146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67" s="3" t="str">
        <f>HYPERLINK("https://otsuka-europe-crm.veevavault.com/ui/#object/sent_email__v/VBLZ025E82GUKWN", "SE-000277327")</f>
        <v>SE-000277327</v>
      </c>
      <c r="D11467" s="1">
        <v>45919.805613425924</v>
      </c>
      <c r="E11467" s="2">
        <v>1</v>
      </c>
      <c r="F11467" s="2">
        <v>1</v>
      </c>
      <c r="G11467" s="2">
        <v>0</v>
      </c>
      <c r="H11467" s="1" t="s">
        <v>0</v>
      </c>
      <c r="I11467" s="2">
        <v>0</v>
      </c>
      <c r="J11467" s="1">
        <v>45919.560393518521</v>
      </c>
    </row>
    <row r="11468" spans="1:10" x14ac:dyDescent="0.2">
      <c r="A11468" s="4" t="s">
        <v>1</v>
      </c>
      <c r="B1146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68" s="3" t="str">
        <f>HYPERLINK("https://otsuka-europe-crm.veevavault.com/ui/#object/sent_email__v/VBLZ025E82GUKWO", "SE-000277328")</f>
        <v>SE-000277328</v>
      </c>
      <c r="D11468" s="1" t="s">
        <v>0</v>
      </c>
      <c r="E11468" s="2">
        <v>0</v>
      </c>
      <c r="F11468" s="2">
        <v>0</v>
      </c>
      <c r="G11468" s="2">
        <v>0</v>
      </c>
      <c r="H11468" s="1" t="s">
        <v>0</v>
      </c>
      <c r="I11468" s="2">
        <v>0</v>
      </c>
      <c r="J11468" s="1">
        <v>45919.56040509259</v>
      </c>
    </row>
    <row r="11469" spans="1:10" x14ac:dyDescent="0.2">
      <c r="A11469" s="4" t="s">
        <v>1</v>
      </c>
      <c r="B1146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69" s="3" t="str">
        <f>HYPERLINK("https://otsuka-europe-crm.veevavault.com/ui/#object/sent_email__v/VBLZ025E82GUKWP", "SE-000277329")</f>
        <v>SE-000277329</v>
      </c>
      <c r="D11469" s="1" t="s">
        <v>0</v>
      </c>
      <c r="E11469" s="2">
        <v>0</v>
      </c>
      <c r="F11469" s="2">
        <v>0</v>
      </c>
      <c r="G11469" s="2">
        <v>0</v>
      </c>
      <c r="H11469" s="1" t="s">
        <v>0</v>
      </c>
      <c r="I11469" s="2">
        <v>0</v>
      </c>
      <c r="J11469" s="1">
        <v>45919.560416666667</v>
      </c>
    </row>
    <row r="11470" spans="1:10" x14ac:dyDescent="0.2">
      <c r="A11470" s="4" t="s">
        <v>1</v>
      </c>
      <c r="B1147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70" s="3" t="str">
        <f>HYPERLINK("https://otsuka-europe-crm.veevavault.com/ui/#object/sent_email__v/VBLZ025E82GUKWQ", "SE-000277330")</f>
        <v>SE-000277330</v>
      </c>
      <c r="D11470" s="1">
        <v>45919.784745370373</v>
      </c>
      <c r="E11470" s="2">
        <v>1</v>
      </c>
      <c r="F11470" s="2">
        <v>3</v>
      </c>
      <c r="G11470" s="2">
        <v>0</v>
      </c>
      <c r="H11470" s="1" t="s">
        <v>0</v>
      </c>
      <c r="I11470" s="2">
        <v>0</v>
      </c>
      <c r="J11470" s="1">
        <v>45919.560416666667</v>
      </c>
    </row>
    <row r="11471" spans="1:10" x14ac:dyDescent="0.2">
      <c r="A11471" s="4" t="s">
        <v>1</v>
      </c>
      <c r="B1147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71" s="3" t="str">
        <f>HYPERLINK("https://otsuka-europe-crm.veevavault.com/ui/#object/sent_email__v/VBLZ025E82GUKWR", "SE-000277331")</f>
        <v>SE-000277331</v>
      </c>
      <c r="D11471" s="1" t="s">
        <v>0</v>
      </c>
      <c r="E11471" s="2">
        <v>0</v>
      </c>
      <c r="F11471" s="2">
        <v>0</v>
      </c>
      <c r="G11471" s="2">
        <v>0</v>
      </c>
      <c r="H11471" s="1" t="s">
        <v>0</v>
      </c>
      <c r="I11471" s="2">
        <v>0</v>
      </c>
      <c r="J11471" s="1">
        <v>45919.560428240744</v>
      </c>
    </row>
    <row r="11472" spans="1:10" x14ac:dyDescent="0.2">
      <c r="A11472" s="4" t="s">
        <v>1</v>
      </c>
      <c r="B1147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72" s="3" t="str">
        <f>HYPERLINK("https://otsuka-europe-crm.veevavault.com/ui/#object/sent_email__v/VBLZ025E82GUKWS", "SE-000277332")</f>
        <v>SE-000277332</v>
      </c>
      <c r="D11472" s="1" t="s">
        <v>0</v>
      </c>
      <c r="E11472" s="2">
        <v>0</v>
      </c>
      <c r="F11472" s="2">
        <v>0</v>
      </c>
      <c r="G11472" s="2">
        <v>0</v>
      </c>
      <c r="H11472" s="1" t="s">
        <v>0</v>
      </c>
      <c r="I11472" s="2">
        <v>0</v>
      </c>
      <c r="J11472" s="1">
        <v>45919.560439814813</v>
      </c>
    </row>
    <row r="11473" spans="1:10" x14ac:dyDescent="0.2">
      <c r="A11473" s="4" t="s">
        <v>1</v>
      </c>
      <c r="B1147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73" s="3" t="str">
        <f>HYPERLINK("https://otsuka-europe-crm.veevavault.com/ui/#object/sent_email__v/VBLZ025E82GUKWT", "SE-000277333")</f>
        <v>SE-000277333</v>
      </c>
      <c r="D11473" s="1">
        <v>45919.880474537036</v>
      </c>
      <c r="E11473" s="2">
        <v>1</v>
      </c>
      <c r="F11473" s="2">
        <v>2</v>
      </c>
      <c r="G11473" s="2">
        <v>0</v>
      </c>
      <c r="H11473" s="1" t="s">
        <v>0</v>
      </c>
      <c r="I11473" s="2">
        <v>0</v>
      </c>
      <c r="J11473" s="1">
        <v>45919.56045138889</v>
      </c>
    </row>
    <row r="11474" spans="1:10" x14ac:dyDescent="0.2">
      <c r="A11474" s="4" t="s">
        <v>1</v>
      </c>
      <c r="B1147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74" s="3" t="str">
        <f>HYPERLINK("https://otsuka-europe-crm.veevavault.com/ui/#object/sent_email__v/VBLZ025E82GUKWU", "SE-000277334")</f>
        <v>SE-000277334</v>
      </c>
      <c r="D11474" s="1">
        <v>45919.564618055556</v>
      </c>
      <c r="E11474" s="2">
        <v>1</v>
      </c>
      <c r="F11474" s="2">
        <v>1</v>
      </c>
      <c r="G11474" s="2">
        <v>0</v>
      </c>
      <c r="H11474" s="1" t="s">
        <v>0</v>
      </c>
      <c r="I11474" s="2">
        <v>0</v>
      </c>
      <c r="J11474" s="1">
        <v>45919.56046296296</v>
      </c>
    </row>
    <row r="11475" spans="1:10" x14ac:dyDescent="0.2">
      <c r="A11475" s="4" t="s">
        <v>1</v>
      </c>
      <c r="B1147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75" s="3" t="str">
        <f>HYPERLINK("https://otsuka-europe-crm.veevavault.com/ui/#object/sent_email__v/VBLZ025E82GUKWV", "SE-000277335")</f>
        <v>SE-000277335</v>
      </c>
      <c r="D11475" s="1">
        <v>45919.726967592593</v>
      </c>
      <c r="E11475" s="2">
        <v>1</v>
      </c>
      <c r="F11475" s="2">
        <v>1</v>
      </c>
      <c r="G11475" s="2">
        <v>0</v>
      </c>
      <c r="H11475" s="1" t="s">
        <v>0</v>
      </c>
      <c r="I11475" s="2">
        <v>0</v>
      </c>
      <c r="J11475" s="1">
        <v>45919.560474537036</v>
      </c>
    </row>
    <row r="11476" spans="1:10" x14ac:dyDescent="0.2">
      <c r="A11476" s="4" t="s">
        <v>1</v>
      </c>
      <c r="B1147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76" s="3" t="str">
        <f>HYPERLINK("https://otsuka-europe-crm.veevavault.com/ui/#object/sent_email__v/VBLZ025E82GUKWW", "SE-000277336")</f>
        <v>SE-000277336</v>
      </c>
      <c r="D11476" s="1" t="s">
        <v>0</v>
      </c>
      <c r="E11476" s="2">
        <v>0</v>
      </c>
      <c r="F11476" s="2">
        <v>0</v>
      </c>
      <c r="G11476" s="2">
        <v>0</v>
      </c>
      <c r="H11476" s="1" t="s">
        <v>0</v>
      </c>
      <c r="I11476" s="2">
        <v>0</v>
      </c>
      <c r="J11476" s="1">
        <v>45919.560486111113</v>
      </c>
    </row>
    <row r="11477" spans="1:10" x14ac:dyDescent="0.2">
      <c r="A11477" s="4" t="s">
        <v>1</v>
      </c>
      <c r="B1147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77" s="3" t="str">
        <f>HYPERLINK("https://otsuka-europe-crm.veevavault.com/ui/#object/sent_email__v/VBLZ025E82GUKWX", "SE-000277337")</f>
        <v>SE-000277337</v>
      </c>
      <c r="D11477" s="1" t="s">
        <v>0</v>
      </c>
      <c r="E11477" s="2">
        <v>0</v>
      </c>
      <c r="F11477" s="2">
        <v>0</v>
      </c>
      <c r="G11477" s="2">
        <v>0</v>
      </c>
      <c r="H11477" s="1" t="s">
        <v>0</v>
      </c>
      <c r="I11477" s="2">
        <v>0</v>
      </c>
      <c r="J11477" s="1">
        <v>45919.560497685183</v>
      </c>
    </row>
    <row r="11478" spans="1:10" x14ac:dyDescent="0.2">
      <c r="A11478" s="4" t="s">
        <v>1</v>
      </c>
      <c r="B1147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78" s="3" t="str">
        <f>HYPERLINK("https://otsuka-europe-crm.veevavault.com/ui/#object/sent_email__v/VBLZ025E82GUKWY", "SE-000277338")</f>
        <v>SE-000277338</v>
      </c>
      <c r="D11478" s="1" t="s">
        <v>0</v>
      </c>
      <c r="E11478" s="2">
        <v>0</v>
      </c>
      <c r="F11478" s="2">
        <v>0</v>
      </c>
      <c r="G11478" s="2">
        <v>0</v>
      </c>
      <c r="H11478" s="1" t="s">
        <v>0</v>
      </c>
      <c r="I11478" s="2">
        <v>0</v>
      </c>
      <c r="J11478" s="1">
        <v>45919.56050925926</v>
      </c>
    </row>
    <row r="11479" spans="1:10" x14ac:dyDescent="0.2">
      <c r="A11479" s="4" t="s">
        <v>1</v>
      </c>
      <c r="B1147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79" s="3" t="str">
        <f>HYPERLINK("https://otsuka-europe-crm.veevavault.com/ui/#object/sent_email__v/VBLZ025E82GULF9", "SE-000277364")</f>
        <v>SE-000277364</v>
      </c>
      <c r="D11479" s="1">
        <v>45945.495810185188</v>
      </c>
      <c r="E11479" s="2">
        <v>1</v>
      </c>
      <c r="F11479" s="2">
        <v>3</v>
      </c>
      <c r="G11479" s="2">
        <v>0</v>
      </c>
      <c r="H11479" s="1" t="s">
        <v>0</v>
      </c>
      <c r="I11479" s="2">
        <v>0</v>
      </c>
      <c r="J11479" s="1">
        <v>45919.560995370368</v>
      </c>
    </row>
    <row r="11480" spans="1:10" x14ac:dyDescent="0.2">
      <c r="A11480" s="4" t="s">
        <v>1</v>
      </c>
      <c r="B1148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80" s="3" t="str">
        <f>HYPERLINK("https://otsuka-europe-crm.veevavault.com/ui/#object/sent_email__v/VBLZ025E82GULFA", "SE-000277365")</f>
        <v>SE-000277365</v>
      </c>
      <c r="D11480" s="1">
        <v>45919.598425925928</v>
      </c>
      <c r="E11480" s="2">
        <v>1</v>
      </c>
      <c r="F11480" s="2">
        <v>1</v>
      </c>
      <c r="G11480" s="2">
        <v>0</v>
      </c>
      <c r="H11480" s="1" t="s">
        <v>0</v>
      </c>
      <c r="I11480" s="2">
        <v>0</v>
      </c>
      <c r="J11480" s="1">
        <v>45919.561006944445</v>
      </c>
    </row>
    <row r="11481" spans="1:10" x14ac:dyDescent="0.2">
      <c r="A11481" s="4" t="s">
        <v>1</v>
      </c>
      <c r="B1148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81" s="3" t="str">
        <f>HYPERLINK("https://otsuka-europe-crm.veevavault.com/ui/#object/sent_email__v/VBLZ025E82GULFB", "SE-000277366")</f>
        <v>SE-000277366</v>
      </c>
      <c r="D11481" s="1">
        <v>45920.935960648145</v>
      </c>
      <c r="E11481" s="2">
        <v>1</v>
      </c>
      <c r="F11481" s="2">
        <v>1</v>
      </c>
      <c r="G11481" s="2">
        <v>0</v>
      </c>
      <c r="H11481" s="1" t="s">
        <v>0</v>
      </c>
      <c r="I11481" s="2">
        <v>0</v>
      </c>
      <c r="J11481" s="1">
        <v>45919.561018518521</v>
      </c>
    </row>
    <row r="11482" spans="1:10" x14ac:dyDescent="0.2">
      <c r="A11482" s="4" t="s">
        <v>1</v>
      </c>
      <c r="B1148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82" s="3" t="str">
        <f>HYPERLINK("https://otsuka-europe-crm.veevavault.com/ui/#object/sent_email__v/VBLZ025E82GULFC", "SE-000277367")</f>
        <v>SE-000277367</v>
      </c>
      <c r="D11482" s="1" t="s">
        <v>0</v>
      </c>
      <c r="E11482" s="2">
        <v>0</v>
      </c>
      <c r="F11482" s="2">
        <v>0</v>
      </c>
      <c r="G11482" s="2">
        <v>0</v>
      </c>
      <c r="H11482" s="1" t="s">
        <v>0</v>
      </c>
      <c r="I11482" s="2">
        <v>0</v>
      </c>
      <c r="J11482" s="1">
        <v>45919.561030092591</v>
      </c>
    </row>
    <row r="11483" spans="1:10" x14ac:dyDescent="0.2">
      <c r="A11483" s="4" t="s">
        <v>1</v>
      </c>
      <c r="B1148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83" s="3" t="str">
        <f>HYPERLINK("https://otsuka-europe-crm.veevavault.com/ui/#object/sent_email__v/VBLZ025E82GULFD", "SE-000277368")</f>
        <v>SE-000277368</v>
      </c>
      <c r="D11483" s="1" t="s">
        <v>0</v>
      </c>
      <c r="E11483" s="2">
        <v>0</v>
      </c>
      <c r="F11483" s="2">
        <v>0</v>
      </c>
      <c r="G11483" s="2">
        <v>0</v>
      </c>
      <c r="H11483" s="1" t="s">
        <v>0</v>
      </c>
      <c r="I11483" s="2">
        <v>0</v>
      </c>
      <c r="J11483" s="1">
        <v>45919.561041666668</v>
      </c>
    </row>
    <row r="11484" spans="1:10" x14ac:dyDescent="0.2">
      <c r="A11484" s="4" t="s">
        <v>1</v>
      </c>
      <c r="B1148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84" s="3" t="str">
        <f>HYPERLINK("https://otsuka-europe-crm.veevavault.com/ui/#object/sent_email__v/VBLZ025E82GULFE", "SE-000277369")</f>
        <v>SE-000277369</v>
      </c>
      <c r="D11484" s="1" t="s">
        <v>0</v>
      </c>
      <c r="E11484" s="2">
        <v>0</v>
      </c>
      <c r="F11484" s="2">
        <v>0</v>
      </c>
      <c r="G11484" s="2">
        <v>0</v>
      </c>
      <c r="H11484" s="1" t="s">
        <v>0</v>
      </c>
      <c r="I11484" s="2">
        <v>0</v>
      </c>
      <c r="J11484" s="1">
        <v>45919.561041666668</v>
      </c>
    </row>
    <row r="11485" spans="1:10" x14ac:dyDescent="0.2">
      <c r="A11485" s="4" t="s">
        <v>1</v>
      </c>
      <c r="B1148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85" s="3" t="str">
        <f>HYPERLINK("https://otsuka-europe-crm.veevavault.com/ui/#object/sent_email__v/VBLZ025E82GULFF", "SE-000277370")</f>
        <v>SE-000277370</v>
      </c>
      <c r="D11485" s="1">
        <v>45922.594398148147</v>
      </c>
      <c r="E11485" s="2">
        <v>1</v>
      </c>
      <c r="F11485" s="2">
        <v>1</v>
      </c>
      <c r="G11485" s="2">
        <v>0</v>
      </c>
      <c r="H11485" s="1" t="s">
        <v>0</v>
      </c>
      <c r="I11485" s="2">
        <v>0</v>
      </c>
      <c r="J11485" s="1">
        <v>45919.561053240737</v>
      </c>
    </row>
    <row r="11486" spans="1:10" x14ac:dyDescent="0.2">
      <c r="A11486" s="4" t="s">
        <v>1</v>
      </c>
      <c r="B1148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86" s="3" t="str">
        <f>HYPERLINK("https://otsuka-europe-crm.veevavault.com/ui/#object/sent_email__v/VBLZ025E82GULFG", "SE-000277371")</f>
        <v>SE-000277371</v>
      </c>
      <c r="D11486" s="1">
        <v>45920.041296296295</v>
      </c>
      <c r="E11486" s="2">
        <v>1</v>
      </c>
      <c r="F11486" s="2">
        <v>1</v>
      </c>
      <c r="G11486" s="2">
        <v>0</v>
      </c>
      <c r="H11486" s="1" t="s">
        <v>0</v>
      </c>
      <c r="I11486" s="2">
        <v>0</v>
      </c>
      <c r="J11486" s="1">
        <v>45919.561064814814</v>
      </c>
    </row>
    <row r="11487" spans="1:10" x14ac:dyDescent="0.2">
      <c r="A11487" s="4" t="s">
        <v>1</v>
      </c>
      <c r="B1148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87" s="3" t="str">
        <f>HYPERLINK("https://otsuka-europe-crm.veevavault.com/ui/#object/sent_email__v/VBLZ025E82GULFH", "SE-000277372")</f>
        <v>SE-000277372</v>
      </c>
      <c r="D11487" s="1" t="s">
        <v>0</v>
      </c>
      <c r="E11487" s="2">
        <v>0</v>
      </c>
      <c r="F11487" s="2">
        <v>0</v>
      </c>
      <c r="G11487" s="2">
        <v>0</v>
      </c>
      <c r="H11487" s="1" t="s">
        <v>0</v>
      </c>
      <c r="I11487" s="2">
        <v>0</v>
      </c>
      <c r="J11487" s="1">
        <v>45919.561064814814</v>
      </c>
    </row>
    <row r="11488" spans="1:10" x14ac:dyDescent="0.2">
      <c r="A11488" s="4" t="s">
        <v>1</v>
      </c>
      <c r="B1148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88" s="3" t="str">
        <f>HYPERLINK("https://otsuka-europe-crm.veevavault.com/ui/#object/sent_email__v/VBLZ025E82GULFI", "SE-000277373")</f>
        <v>SE-000277373</v>
      </c>
      <c r="D11488" s="1">
        <v>45920.010636574072</v>
      </c>
      <c r="E11488" s="2">
        <v>1</v>
      </c>
      <c r="F11488" s="2">
        <v>1</v>
      </c>
      <c r="G11488" s="2">
        <v>0</v>
      </c>
      <c r="H11488" s="1" t="s">
        <v>0</v>
      </c>
      <c r="I11488" s="2">
        <v>0</v>
      </c>
      <c r="J11488" s="1">
        <v>45919.561076388891</v>
      </c>
    </row>
    <row r="11489" spans="1:10" x14ac:dyDescent="0.2">
      <c r="A11489" s="4" t="s">
        <v>1</v>
      </c>
      <c r="B1148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89" s="3" t="str">
        <f>HYPERLINK("https://otsuka-europe-crm.veevavault.com/ui/#object/sent_email__v/VBLZ025E82GULFJ", "SE-000277374")</f>
        <v>SE-000277374</v>
      </c>
      <c r="D11489" s="1">
        <v>45980.40353009259</v>
      </c>
      <c r="E11489" s="2">
        <v>1</v>
      </c>
      <c r="F11489" s="2">
        <v>5</v>
      </c>
      <c r="G11489" s="2">
        <v>0</v>
      </c>
      <c r="H11489" s="1" t="s">
        <v>0</v>
      </c>
      <c r="I11489" s="2">
        <v>0</v>
      </c>
      <c r="J11489" s="1">
        <v>45919.56108796296</v>
      </c>
    </row>
    <row r="11490" spans="1:10" x14ac:dyDescent="0.2">
      <c r="A11490" s="4" t="s">
        <v>1</v>
      </c>
      <c r="B1149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90" s="3" t="str">
        <f>HYPERLINK("https://otsuka-europe-crm.veevavault.com/ui/#object/sent_email__v/VBLZ025E82GULFK", "SE-000277375")</f>
        <v>SE-000277375</v>
      </c>
      <c r="D11490" s="1" t="s">
        <v>0</v>
      </c>
      <c r="E11490" s="2">
        <v>0</v>
      </c>
      <c r="F11490" s="2">
        <v>0</v>
      </c>
      <c r="G11490" s="2">
        <v>0</v>
      </c>
      <c r="H11490" s="1" t="s">
        <v>0</v>
      </c>
      <c r="I11490" s="2">
        <v>0</v>
      </c>
      <c r="J11490" s="1">
        <v>45919.561099537037</v>
      </c>
    </row>
    <row r="11491" spans="1:10" x14ac:dyDescent="0.2">
      <c r="A11491" s="4" t="s">
        <v>1</v>
      </c>
      <c r="B1149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91" s="3" t="str">
        <f>HYPERLINK("https://otsuka-europe-crm.veevavault.com/ui/#object/sent_email__v/VBLZ025E82GULFL", "SE-000277376")</f>
        <v>SE-000277376</v>
      </c>
      <c r="D11491" s="1" t="s">
        <v>0</v>
      </c>
      <c r="E11491" s="2">
        <v>0</v>
      </c>
      <c r="F11491" s="2">
        <v>0</v>
      </c>
      <c r="G11491" s="2">
        <v>0</v>
      </c>
      <c r="H11491" s="1" t="s">
        <v>0</v>
      </c>
      <c r="I11491" s="2">
        <v>0</v>
      </c>
      <c r="J11491" s="1">
        <v>45919.561111111114</v>
      </c>
    </row>
    <row r="11492" spans="1:10" x14ac:dyDescent="0.2">
      <c r="A11492" s="4" t="s">
        <v>1</v>
      </c>
      <c r="B1149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92" s="3" t="str">
        <f>HYPERLINK("https://otsuka-europe-crm.veevavault.com/ui/#object/sent_email__v/VBLZ025E82GULFM", "SE-000277377")</f>
        <v>SE-000277377</v>
      </c>
      <c r="D11492" s="1">
        <v>45930.701539351852</v>
      </c>
      <c r="E11492" s="2">
        <v>1</v>
      </c>
      <c r="F11492" s="2">
        <v>8</v>
      </c>
      <c r="G11492" s="2">
        <v>0</v>
      </c>
      <c r="H11492" s="1" t="s">
        <v>0</v>
      </c>
      <c r="I11492" s="2">
        <v>0</v>
      </c>
      <c r="J11492" s="1">
        <v>45919.561111111114</v>
      </c>
    </row>
    <row r="11493" spans="1:10" x14ac:dyDescent="0.2">
      <c r="A11493" s="4" t="s">
        <v>1</v>
      </c>
      <c r="B1149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93" s="3" t="str">
        <f>HYPERLINK("https://otsuka-europe-crm.veevavault.com/ui/#object/sent_email__v/VBLZ025E82GULFN", "SE-000277378")</f>
        <v>SE-000277378</v>
      </c>
      <c r="D11493" s="1">
        <v>45928.43204861111</v>
      </c>
      <c r="E11493" s="2">
        <v>1</v>
      </c>
      <c r="F11493" s="2">
        <v>4</v>
      </c>
      <c r="G11493" s="2">
        <v>0</v>
      </c>
      <c r="H11493" s="1" t="s">
        <v>0</v>
      </c>
      <c r="I11493" s="2">
        <v>0</v>
      </c>
      <c r="J11493" s="1">
        <v>45919.561122685183</v>
      </c>
    </row>
    <row r="11494" spans="1:10" x14ac:dyDescent="0.2">
      <c r="A11494" s="4" t="s">
        <v>1</v>
      </c>
      <c r="B1149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94" s="3" t="str">
        <f>HYPERLINK("https://otsuka-europe-crm.veevavault.com/ui/#object/sent_email__v/VBLZ025E82GULFO", "SE-000277379")</f>
        <v>SE-000277379</v>
      </c>
      <c r="D11494" s="1">
        <v>45919.565370370372</v>
      </c>
      <c r="E11494" s="2">
        <v>1</v>
      </c>
      <c r="F11494" s="2">
        <v>1</v>
      </c>
      <c r="G11494" s="2">
        <v>0</v>
      </c>
      <c r="H11494" s="1" t="s">
        <v>0</v>
      </c>
      <c r="I11494" s="2">
        <v>0</v>
      </c>
      <c r="J11494" s="1">
        <v>45919.56113425926</v>
      </c>
    </row>
    <row r="11495" spans="1:10" x14ac:dyDescent="0.2">
      <c r="A11495" s="4" t="s">
        <v>1</v>
      </c>
      <c r="B1149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95" s="3" t="str">
        <f>HYPERLINK("https://otsuka-europe-crm.veevavault.com/ui/#object/sent_email__v/VBLZ025E82GULFP", "SE-000277380")</f>
        <v>SE-000277380</v>
      </c>
      <c r="D11495" s="1" t="s">
        <v>0</v>
      </c>
      <c r="E11495" s="2">
        <v>0</v>
      </c>
      <c r="F11495" s="2">
        <v>0</v>
      </c>
      <c r="G11495" s="2">
        <v>0</v>
      </c>
      <c r="H11495" s="1" t="s">
        <v>0</v>
      </c>
      <c r="I11495" s="2">
        <v>0</v>
      </c>
      <c r="J11495" s="1">
        <v>45919.561145833337</v>
      </c>
    </row>
    <row r="11496" spans="1:10" x14ac:dyDescent="0.2">
      <c r="A11496" s="4" t="s">
        <v>1</v>
      </c>
      <c r="B1149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96" s="3" t="str">
        <f>HYPERLINK("https://otsuka-europe-crm.veevavault.com/ui/#object/sent_email__v/VBLZ025E82GULFQ", "SE-000277381")</f>
        <v>SE-000277381</v>
      </c>
      <c r="D11496" s="1" t="s">
        <v>0</v>
      </c>
      <c r="E11496" s="2">
        <v>0</v>
      </c>
      <c r="F11496" s="2">
        <v>0</v>
      </c>
      <c r="G11496" s="2">
        <v>0</v>
      </c>
      <c r="H11496" s="1" t="s">
        <v>0</v>
      </c>
      <c r="I11496" s="2">
        <v>0</v>
      </c>
      <c r="J11496" s="1">
        <v>45919.561157407406</v>
      </c>
    </row>
    <row r="11497" spans="1:10" x14ac:dyDescent="0.2">
      <c r="A11497" s="4" t="s">
        <v>1</v>
      </c>
      <c r="B1149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97" s="3" t="str">
        <f>HYPERLINK("https://otsuka-europe-crm.veevavault.com/ui/#object/sent_email__v/VBLZ025E82GULFR", "SE-000277382")</f>
        <v>SE-000277382</v>
      </c>
      <c r="D11497" s="1">
        <v>45919.599340277775</v>
      </c>
      <c r="E11497" s="2">
        <v>1</v>
      </c>
      <c r="F11497" s="2">
        <v>1</v>
      </c>
      <c r="G11497" s="2">
        <v>0</v>
      </c>
      <c r="H11497" s="1" t="s">
        <v>0</v>
      </c>
      <c r="I11497" s="2">
        <v>0</v>
      </c>
      <c r="J11497" s="1">
        <v>45919.561168981483</v>
      </c>
    </row>
    <row r="11498" spans="1:10" x14ac:dyDescent="0.2">
      <c r="A11498" s="4" t="s">
        <v>1</v>
      </c>
      <c r="B1149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98" s="3" t="str">
        <f>HYPERLINK("https://otsuka-europe-crm.veevavault.com/ui/#object/sent_email__v/VBLZ025E82GULFS", "SE-000277383")</f>
        <v>SE-000277383</v>
      </c>
      <c r="D11498" s="1" t="s">
        <v>0</v>
      </c>
      <c r="E11498" s="2">
        <v>0</v>
      </c>
      <c r="F11498" s="2">
        <v>0</v>
      </c>
      <c r="G11498" s="2">
        <v>0</v>
      </c>
      <c r="H11498" s="1" t="s">
        <v>0</v>
      </c>
      <c r="I11498" s="2">
        <v>0</v>
      </c>
      <c r="J11498" s="1">
        <v>45919.561168981483</v>
      </c>
    </row>
    <row r="11499" spans="1:10" x14ac:dyDescent="0.2">
      <c r="A11499" s="4" t="s">
        <v>1</v>
      </c>
      <c r="B1149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499" s="3" t="str">
        <f>HYPERLINK("https://otsuka-europe-crm.veevavault.com/ui/#object/sent_email__v/VBLZ025E82GULFT", "SE-000277384")</f>
        <v>SE-000277384</v>
      </c>
      <c r="D11499" s="1">
        <v>45939.929212962961</v>
      </c>
      <c r="E11499" s="2">
        <v>1</v>
      </c>
      <c r="F11499" s="2">
        <v>2</v>
      </c>
      <c r="G11499" s="2">
        <v>1</v>
      </c>
      <c r="H11499" s="1">
        <v>45939.929560185185</v>
      </c>
      <c r="I11499" s="2">
        <v>1</v>
      </c>
      <c r="J11499" s="1">
        <v>45919.561180555553</v>
      </c>
    </row>
    <row r="11500" spans="1:10" x14ac:dyDescent="0.2">
      <c r="A11500" s="4" t="s">
        <v>1</v>
      </c>
      <c r="B1150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00" s="3" t="str">
        <f>HYPERLINK("https://otsuka-europe-crm.veevavault.com/ui/#object/sent_email__v/VBLZ025E82GULFU", "SE-000277385")</f>
        <v>SE-000277385</v>
      </c>
      <c r="D11500" s="1">
        <v>45922.404768518521</v>
      </c>
      <c r="E11500" s="2">
        <v>1</v>
      </c>
      <c r="F11500" s="2">
        <v>7</v>
      </c>
      <c r="G11500" s="2">
        <v>1</v>
      </c>
      <c r="H11500" s="1">
        <v>45919.590439814812</v>
      </c>
      <c r="I11500" s="2">
        <v>1</v>
      </c>
      <c r="J11500" s="1">
        <v>45919.561192129629</v>
      </c>
    </row>
    <row r="11501" spans="1:10" x14ac:dyDescent="0.2">
      <c r="A11501" s="4" t="s">
        <v>1</v>
      </c>
      <c r="B1150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01" s="3" t="str">
        <f>HYPERLINK("https://otsuka-europe-crm.veevavault.com/ui/#object/sent_email__v/VBLZ025E82GULFV", "SE-000277386")</f>
        <v>SE-000277386</v>
      </c>
      <c r="D11501" s="1">
        <v>45920.249293981484</v>
      </c>
      <c r="E11501" s="2">
        <v>1</v>
      </c>
      <c r="F11501" s="2">
        <v>1</v>
      </c>
      <c r="G11501" s="2">
        <v>0</v>
      </c>
      <c r="H11501" s="1" t="s">
        <v>0</v>
      </c>
      <c r="I11501" s="2">
        <v>0</v>
      </c>
      <c r="J11501" s="1">
        <v>45919.561203703706</v>
      </c>
    </row>
    <row r="11502" spans="1:10" x14ac:dyDescent="0.2">
      <c r="A11502" s="4" t="s">
        <v>1</v>
      </c>
      <c r="B1150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02" s="3" t="str">
        <f>HYPERLINK("https://otsuka-europe-crm.veevavault.com/ui/#object/sent_email__v/VBLZ025E82GUMFD", "SE-000277469")</f>
        <v>SE-000277469</v>
      </c>
      <c r="D11502" s="1" t="s">
        <v>0</v>
      </c>
      <c r="E11502" s="2">
        <v>0</v>
      </c>
      <c r="F11502" s="2">
        <v>0</v>
      </c>
      <c r="G11502" s="2">
        <v>0</v>
      </c>
      <c r="H11502" s="1" t="s">
        <v>0</v>
      </c>
      <c r="I11502" s="2">
        <v>0</v>
      </c>
      <c r="J11502" s="1">
        <v>45919.569513888891</v>
      </c>
    </row>
    <row r="11503" spans="1:10" x14ac:dyDescent="0.2">
      <c r="A11503" s="4" t="s">
        <v>1</v>
      </c>
      <c r="B1150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03" s="3" t="str">
        <f>HYPERLINK("https://otsuka-europe-crm.veevavault.com/ui/#object/sent_email__v/VBLZ025E82GUMFE", "SE-000277470")</f>
        <v>SE-000277470</v>
      </c>
      <c r="D11503" s="1" t="s">
        <v>0</v>
      </c>
      <c r="E11503" s="2">
        <v>0</v>
      </c>
      <c r="F11503" s="2">
        <v>0</v>
      </c>
      <c r="G11503" s="2">
        <v>0</v>
      </c>
      <c r="H11503" s="1" t="s">
        <v>0</v>
      </c>
      <c r="I11503" s="2">
        <v>0</v>
      </c>
      <c r="J11503" s="1">
        <v>45919.569513888891</v>
      </c>
    </row>
    <row r="11504" spans="1:10" x14ac:dyDescent="0.2">
      <c r="A11504" s="4" t="s">
        <v>1</v>
      </c>
      <c r="B1150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04" s="3" t="str">
        <f>HYPERLINK("https://otsuka-europe-crm.veevavault.com/ui/#object/sent_email__v/VBLZ025E82GUMFF", "SE-000277471")</f>
        <v>SE-000277471</v>
      </c>
      <c r="D11504" s="1" t="s">
        <v>0</v>
      </c>
      <c r="E11504" s="2">
        <v>0</v>
      </c>
      <c r="F11504" s="2">
        <v>0</v>
      </c>
      <c r="G11504" s="2">
        <v>0</v>
      </c>
      <c r="H11504" s="1" t="s">
        <v>0</v>
      </c>
      <c r="I11504" s="2">
        <v>0</v>
      </c>
      <c r="J11504" s="1">
        <v>45919.569502314815</v>
      </c>
    </row>
    <row r="11505" spans="1:10" x14ac:dyDescent="0.2">
      <c r="A11505" s="4" t="s">
        <v>1</v>
      </c>
      <c r="B1150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05" s="3" t="str">
        <f>HYPERLINK("https://otsuka-europe-crm.veevavault.com/ui/#object/sent_email__v/VBLZ025E82GUMFG", "SE-000277472")</f>
        <v>SE-000277472</v>
      </c>
      <c r="D11505" s="1" t="s">
        <v>0</v>
      </c>
      <c r="E11505" s="2">
        <v>0</v>
      </c>
      <c r="F11505" s="2">
        <v>0</v>
      </c>
      <c r="G11505" s="2">
        <v>0</v>
      </c>
      <c r="H11505" s="1" t="s">
        <v>0</v>
      </c>
      <c r="I11505" s="2">
        <v>0</v>
      </c>
      <c r="J11505" s="1">
        <v>45919.569490740738</v>
      </c>
    </row>
    <row r="11506" spans="1:10" x14ac:dyDescent="0.2">
      <c r="A11506" s="4" t="s">
        <v>1</v>
      </c>
      <c r="B1150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06" s="3" t="str">
        <f>HYPERLINK("https://otsuka-europe-crm.veevavault.com/ui/#object/sent_email__v/VBLZ025E82GUMFH", "SE-000277473")</f>
        <v>SE-000277473</v>
      </c>
      <c r="D11506" s="1" t="s">
        <v>0</v>
      </c>
      <c r="E11506" s="2">
        <v>0</v>
      </c>
      <c r="F11506" s="2">
        <v>0</v>
      </c>
      <c r="G11506" s="2">
        <v>0</v>
      </c>
      <c r="H11506" s="1" t="s">
        <v>0</v>
      </c>
      <c r="I11506" s="2">
        <v>0</v>
      </c>
      <c r="J11506" s="1">
        <v>45919.569490740738</v>
      </c>
    </row>
    <row r="11507" spans="1:10" x14ac:dyDescent="0.2">
      <c r="A11507" s="4" t="s">
        <v>1</v>
      </c>
      <c r="B1150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07" s="3" t="str">
        <f>HYPERLINK("https://otsuka-europe-crm.veevavault.com/ui/#object/sent_email__v/VBLZ025E82GUMFI", "SE-000277474")</f>
        <v>SE-000277474</v>
      </c>
      <c r="D11507" s="1" t="s">
        <v>0</v>
      </c>
      <c r="E11507" s="2">
        <v>0</v>
      </c>
      <c r="F11507" s="2">
        <v>0</v>
      </c>
      <c r="G11507" s="2">
        <v>0</v>
      </c>
      <c r="H11507" s="1" t="s">
        <v>0</v>
      </c>
      <c r="I11507" s="2">
        <v>0</v>
      </c>
      <c r="J11507" s="1">
        <v>45919.569548611114</v>
      </c>
    </row>
    <row r="11508" spans="1:10" x14ac:dyDescent="0.2">
      <c r="A11508" s="4" t="s">
        <v>1</v>
      </c>
      <c r="B1150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08" s="3" t="str">
        <f>HYPERLINK("https://otsuka-europe-crm.veevavault.com/ui/#object/sent_email__v/VBLZ025E82GUMFJ", "SE-000277475")</f>
        <v>SE-000277475</v>
      </c>
      <c r="D11508" s="1" t="s">
        <v>0</v>
      </c>
      <c r="E11508" s="2">
        <v>0</v>
      </c>
      <c r="F11508" s="2">
        <v>0</v>
      </c>
      <c r="G11508" s="2">
        <v>0</v>
      </c>
      <c r="H11508" s="1" t="s">
        <v>0</v>
      </c>
      <c r="I11508" s="2">
        <v>0</v>
      </c>
      <c r="J11508" s="1">
        <v>45919.569548611114</v>
      </c>
    </row>
    <row r="11509" spans="1:10" x14ac:dyDescent="0.2">
      <c r="A11509" s="4" t="s">
        <v>1</v>
      </c>
      <c r="B1150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09" s="3" t="str">
        <f>HYPERLINK("https://otsuka-europe-crm.veevavault.com/ui/#object/sent_email__v/VBLZ025E82GUMFK", "SE-000277476")</f>
        <v>SE-000277476</v>
      </c>
      <c r="D11509" s="1" t="s">
        <v>0</v>
      </c>
      <c r="E11509" s="2">
        <v>0</v>
      </c>
      <c r="F11509" s="2">
        <v>0</v>
      </c>
      <c r="G11509" s="2">
        <v>0</v>
      </c>
      <c r="H11509" s="1" t="s">
        <v>0</v>
      </c>
      <c r="I11509" s="2">
        <v>0</v>
      </c>
      <c r="J11509" s="1">
        <v>45919.569571759261</v>
      </c>
    </row>
    <row r="11510" spans="1:10" x14ac:dyDescent="0.2">
      <c r="A11510" s="4" t="s">
        <v>1</v>
      </c>
      <c r="B1151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10" s="3" t="str">
        <f>HYPERLINK("https://otsuka-europe-crm.veevavault.com/ui/#object/sent_email__v/VBLZ025E82GUMFL", "SE-000277477")</f>
        <v>SE-000277477</v>
      </c>
      <c r="D11510" s="1" t="s">
        <v>0</v>
      </c>
      <c r="E11510" s="2">
        <v>0</v>
      </c>
      <c r="F11510" s="2">
        <v>0</v>
      </c>
      <c r="G11510" s="2">
        <v>0</v>
      </c>
      <c r="H11510" s="1" t="s">
        <v>0</v>
      </c>
      <c r="I11510" s="2">
        <v>0</v>
      </c>
      <c r="J11510" s="1">
        <v>45919.569594907407</v>
      </c>
    </row>
    <row r="11511" spans="1:10" x14ac:dyDescent="0.2">
      <c r="A11511" s="4" t="s">
        <v>1</v>
      </c>
      <c r="B1151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11" s="3" t="str">
        <f>HYPERLINK("https://otsuka-europe-crm.veevavault.com/ui/#object/sent_email__v/VBLZ025E82GUMFM", "SE-000277478")</f>
        <v>SE-000277478</v>
      </c>
      <c r="D11511" s="1" t="s">
        <v>0</v>
      </c>
      <c r="E11511" s="2">
        <v>0</v>
      </c>
      <c r="F11511" s="2">
        <v>0</v>
      </c>
      <c r="G11511" s="2">
        <v>0</v>
      </c>
      <c r="H11511" s="1" t="s">
        <v>0</v>
      </c>
      <c r="I11511" s="2">
        <v>0</v>
      </c>
      <c r="J11511" s="1">
        <v>45919.569513888891</v>
      </c>
    </row>
    <row r="11512" spans="1:10" x14ac:dyDescent="0.2">
      <c r="A11512" s="4" t="s">
        <v>1</v>
      </c>
      <c r="B1151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12" s="3" t="str">
        <f>HYPERLINK("https://otsuka-europe-crm.veevavault.com/ui/#object/sent_email__v/VBLZ025E82GUMFN", "SE-000277479")</f>
        <v>SE-000277479</v>
      </c>
      <c r="D11512" s="1" t="s">
        <v>0</v>
      </c>
      <c r="E11512" s="2">
        <v>0</v>
      </c>
      <c r="F11512" s="2">
        <v>0</v>
      </c>
      <c r="G11512" s="2">
        <v>0</v>
      </c>
      <c r="H11512" s="1" t="s">
        <v>0</v>
      </c>
      <c r="I11512" s="2">
        <v>0</v>
      </c>
      <c r="J11512" s="1">
        <v>45919.569560185184</v>
      </c>
    </row>
    <row r="11513" spans="1:10" x14ac:dyDescent="0.2">
      <c r="A11513" s="4" t="s">
        <v>1</v>
      </c>
      <c r="B1151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13" s="3" t="str">
        <f>HYPERLINK("https://otsuka-europe-crm.veevavault.com/ui/#object/sent_email__v/VBLZ025E82GUMFO", "SE-000277480")</f>
        <v>SE-000277480</v>
      </c>
      <c r="D11513" s="1">
        <v>45922.404097222221</v>
      </c>
      <c r="E11513" s="2">
        <v>1</v>
      </c>
      <c r="F11513" s="2">
        <v>1</v>
      </c>
      <c r="G11513" s="2">
        <v>0</v>
      </c>
      <c r="H11513" s="1" t="s">
        <v>0</v>
      </c>
      <c r="I11513" s="2">
        <v>0</v>
      </c>
      <c r="J11513" s="1">
        <v>45919.569537037038</v>
      </c>
    </row>
    <row r="11514" spans="1:10" x14ac:dyDescent="0.2">
      <c r="A11514" s="4" t="s">
        <v>1</v>
      </c>
      <c r="B1151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14" s="3" t="str">
        <f>HYPERLINK("https://otsuka-europe-crm.veevavault.com/ui/#object/sent_email__v/VBLZ025E82GUMFP", "SE-000277481")</f>
        <v>SE-000277481</v>
      </c>
      <c r="D11514" s="1" t="s">
        <v>0</v>
      </c>
      <c r="E11514" s="2">
        <v>0</v>
      </c>
      <c r="F11514" s="2">
        <v>0</v>
      </c>
      <c r="G11514" s="2">
        <v>0</v>
      </c>
      <c r="H11514" s="1" t="s">
        <v>0</v>
      </c>
      <c r="I11514" s="2">
        <v>0</v>
      </c>
      <c r="J11514" s="1">
        <v>45919.569537037038</v>
      </c>
    </row>
    <row r="11515" spans="1:10" x14ac:dyDescent="0.2">
      <c r="A11515" s="4" t="s">
        <v>1</v>
      </c>
      <c r="B1151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15" s="3" t="str">
        <f>HYPERLINK("https://otsuka-europe-crm.veevavault.com/ui/#object/sent_email__v/VBLZ025E82GUMI5", "SE-000277482")</f>
        <v>SE-000277482</v>
      </c>
      <c r="D11515" s="1" t="s">
        <v>0</v>
      </c>
      <c r="E11515" s="2">
        <v>0</v>
      </c>
      <c r="F11515" s="2">
        <v>0</v>
      </c>
      <c r="G11515" s="2">
        <v>0</v>
      </c>
      <c r="H11515" s="1" t="s">
        <v>0</v>
      </c>
      <c r="I11515" s="2">
        <v>0</v>
      </c>
      <c r="J11515" s="1">
        <v>45919.570150462961</v>
      </c>
    </row>
    <row r="11516" spans="1:10" x14ac:dyDescent="0.2">
      <c r="A11516" s="4" t="s">
        <v>1</v>
      </c>
      <c r="B1151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16" s="3" t="str">
        <f>HYPERLINK("https://otsuka-europe-crm.veevavault.com/ui/#object/sent_email__v/VBLZ025E82GUMI6", "SE-000277483")</f>
        <v>SE-000277483</v>
      </c>
      <c r="D11516" s="1" t="s">
        <v>0</v>
      </c>
      <c r="E11516" s="2">
        <v>0</v>
      </c>
      <c r="F11516" s="2">
        <v>0</v>
      </c>
      <c r="G11516" s="2">
        <v>0</v>
      </c>
      <c r="H11516" s="1" t="s">
        <v>0</v>
      </c>
      <c r="I11516" s="2">
        <v>0</v>
      </c>
      <c r="J11516" s="1">
        <v>45919.570162037038</v>
      </c>
    </row>
    <row r="11517" spans="1:10" x14ac:dyDescent="0.2">
      <c r="A11517" s="4" t="s">
        <v>1</v>
      </c>
      <c r="B1151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17" s="3" t="str">
        <f>HYPERLINK("https://otsuka-europe-crm.veevavault.com/ui/#object/sent_email__v/VBLZ025E82GUMI7", "SE-000277484")</f>
        <v>SE-000277484</v>
      </c>
      <c r="D11517" s="1" t="s">
        <v>0</v>
      </c>
      <c r="E11517" s="2">
        <v>0</v>
      </c>
      <c r="F11517" s="2">
        <v>0</v>
      </c>
      <c r="G11517" s="2">
        <v>0</v>
      </c>
      <c r="H11517" s="1" t="s">
        <v>0</v>
      </c>
      <c r="I11517" s="2">
        <v>0</v>
      </c>
      <c r="J11517" s="1">
        <v>45919.570104166669</v>
      </c>
    </row>
    <row r="11518" spans="1:10" x14ac:dyDescent="0.2">
      <c r="A11518" s="4" t="s">
        <v>1</v>
      </c>
      <c r="B1151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18" s="3" t="str">
        <f>HYPERLINK("https://otsuka-europe-crm.veevavault.com/ui/#object/sent_email__v/VBLZ025E82GUMI8", "SE-000277485")</f>
        <v>SE-000277485</v>
      </c>
      <c r="D11518" s="1" t="s">
        <v>0</v>
      </c>
      <c r="E11518" s="2">
        <v>0</v>
      </c>
      <c r="F11518" s="2">
        <v>0</v>
      </c>
      <c r="G11518" s="2">
        <v>0</v>
      </c>
      <c r="H11518" s="1" t="s">
        <v>0</v>
      </c>
      <c r="I11518" s="2">
        <v>0</v>
      </c>
      <c r="J11518" s="1">
        <v>45919.570104166669</v>
      </c>
    </row>
    <row r="11519" spans="1:10" x14ac:dyDescent="0.2">
      <c r="A11519" s="4" t="s">
        <v>1</v>
      </c>
      <c r="B1151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19" s="3" t="str">
        <f>HYPERLINK("https://otsuka-europe-crm.veevavault.com/ui/#object/sent_email__v/VBLZ025E82GUMI9", "SE-000277486")</f>
        <v>SE-000277486</v>
      </c>
      <c r="D11519" s="1">
        <v>45981.650243055556</v>
      </c>
      <c r="E11519" s="2">
        <v>1</v>
      </c>
      <c r="F11519" s="2">
        <v>12</v>
      </c>
      <c r="G11519" s="2">
        <v>1</v>
      </c>
      <c r="H11519" s="1">
        <v>45981.649537037039</v>
      </c>
      <c r="I11519" s="2">
        <v>2</v>
      </c>
      <c r="J11519" s="1">
        <v>45919.570115740738</v>
      </c>
    </row>
    <row r="11520" spans="1:10" x14ac:dyDescent="0.2">
      <c r="A11520" s="4" t="s">
        <v>1</v>
      </c>
      <c r="B1152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20" s="3" t="str">
        <f>HYPERLINK("https://otsuka-europe-crm.veevavault.com/ui/#object/sent_email__v/VBLZ025E82GUMIA", "SE-000277487")</f>
        <v>SE-000277487</v>
      </c>
      <c r="D11520" s="1" t="s">
        <v>0</v>
      </c>
      <c r="E11520" s="2">
        <v>0</v>
      </c>
      <c r="F11520" s="2">
        <v>0</v>
      </c>
      <c r="G11520" s="2">
        <v>0</v>
      </c>
      <c r="H11520" s="1" t="s">
        <v>0</v>
      </c>
      <c r="I11520" s="2">
        <v>0</v>
      </c>
      <c r="J11520" s="1">
        <v>45919.570138888892</v>
      </c>
    </row>
    <row r="11521" spans="1:10" x14ac:dyDescent="0.2">
      <c r="A11521" s="4" t="s">
        <v>1</v>
      </c>
      <c r="B1152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21" s="3" t="str">
        <f>HYPERLINK("https://otsuka-europe-crm.veevavault.com/ui/#object/sent_email__v/VBLZ025E82GUMIB", "SE-000277488")</f>
        <v>SE-000277488</v>
      </c>
      <c r="D11521" s="1" t="s">
        <v>0</v>
      </c>
      <c r="E11521" s="2">
        <v>0</v>
      </c>
      <c r="F11521" s="2">
        <v>0</v>
      </c>
      <c r="G11521" s="2">
        <v>0</v>
      </c>
      <c r="H11521" s="1" t="s">
        <v>0</v>
      </c>
      <c r="I11521" s="2">
        <v>0</v>
      </c>
      <c r="J11521" s="1">
        <v>45919.570150462961</v>
      </c>
    </row>
    <row r="11522" spans="1:10" x14ac:dyDescent="0.2">
      <c r="A11522" s="4" t="s">
        <v>1</v>
      </c>
      <c r="B1152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22" s="3" t="str">
        <f>HYPERLINK("https://otsuka-europe-crm.veevavault.com/ui/#object/sent_email__v/VBLZ025E82GUMIC", "SE-000277489")</f>
        <v>SE-000277489</v>
      </c>
      <c r="D11522" s="1" t="s">
        <v>0</v>
      </c>
      <c r="E11522" s="2">
        <v>0</v>
      </c>
      <c r="F11522" s="2">
        <v>0</v>
      </c>
      <c r="G11522" s="2">
        <v>0</v>
      </c>
      <c r="H11522" s="1" t="s">
        <v>0</v>
      </c>
      <c r="I11522" s="2">
        <v>0</v>
      </c>
      <c r="J11522" s="1">
        <v>45919.570127314815</v>
      </c>
    </row>
    <row r="11523" spans="1:10" x14ac:dyDescent="0.2">
      <c r="A11523" s="4" t="s">
        <v>1</v>
      </c>
      <c r="B1152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23" s="3" t="str">
        <f>HYPERLINK("https://otsuka-europe-crm.veevavault.com/ui/#object/sent_email__v/VBLZ025E82GUMID", "SE-000277490")</f>
        <v>SE-000277490</v>
      </c>
      <c r="D11523" s="1" t="s">
        <v>0</v>
      </c>
      <c r="E11523" s="2">
        <v>0</v>
      </c>
      <c r="F11523" s="2">
        <v>0</v>
      </c>
      <c r="G11523" s="2">
        <v>0</v>
      </c>
      <c r="H11523" s="1" t="s">
        <v>0</v>
      </c>
      <c r="I11523" s="2">
        <v>0</v>
      </c>
      <c r="J11523" s="1">
        <v>45919.570092592592</v>
      </c>
    </row>
    <row r="11524" spans="1:10" x14ac:dyDescent="0.2">
      <c r="A11524" s="4" t="s">
        <v>1</v>
      </c>
      <c r="B1152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24" s="3" t="str">
        <f>HYPERLINK("https://otsuka-europe-crm.veevavault.com/ui/#object/sent_email__v/VBLZ025E82GUPCX", "SE-000277560")</f>
        <v>SE-000277560</v>
      </c>
      <c r="D11524" s="1" t="s">
        <v>0</v>
      </c>
      <c r="E11524" s="2">
        <v>0</v>
      </c>
      <c r="F11524" s="2">
        <v>0</v>
      </c>
      <c r="G11524" s="2">
        <v>0</v>
      </c>
      <c r="H11524" s="1" t="s">
        <v>0</v>
      </c>
      <c r="I11524" s="2">
        <v>0</v>
      </c>
      <c r="J11524" s="1">
        <v>45919.576574074075</v>
      </c>
    </row>
    <row r="11525" spans="1:10" x14ac:dyDescent="0.2">
      <c r="A11525" s="4" t="s">
        <v>1</v>
      </c>
      <c r="B1152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25" s="3" t="str">
        <f>HYPERLINK("https://otsuka-europe-crm.veevavault.com/ui/#object/sent_email__v/VBLZ025E82GUPCY", "SE-000277561")</f>
        <v>SE-000277561</v>
      </c>
      <c r="D11525" s="1" t="s">
        <v>0</v>
      </c>
      <c r="E11525" s="2">
        <v>0</v>
      </c>
      <c r="F11525" s="2">
        <v>0</v>
      </c>
      <c r="G11525" s="2">
        <v>0</v>
      </c>
      <c r="H11525" s="1" t="s">
        <v>0</v>
      </c>
      <c r="I11525" s="2">
        <v>0</v>
      </c>
      <c r="J11525" s="1">
        <v>45919.576354166667</v>
      </c>
    </row>
    <row r="11526" spans="1:10" x14ac:dyDescent="0.2">
      <c r="A11526" s="4" t="s">
        <v>1</v>
      </c>
      <c r="B1152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26" s="3" t="str">
        <f>HYPERLINK("https://otsuka-europe-crm.veevavault.com/ui/#object/sent_email__v/VBLZ025E82GUPCZ", "SE-000277562")</f>
        <v>SE-000277562</v>
      </c>
      <c r="D11526" s="1">
        <v>45919.664155092592</v>
      </c>
      <c r="E11526" s="2">
        <v>1</v>
      </c>
      <c r="F11526" s="2">
        <v>2</v>
      </c>
      <c r="G11526" s="2">
        <v>0</v>
      </c>
      <c r="H11526" s="1" t="s">
        <v>0</v>
      </c>
      <c r="I11526" s="2">
        <v>0</v>
      </c>
      <c r="J11526" s="1">
        <v>45919.576458333337</v>
      </c>
    </row>
    <row r="11527" spans="1:10" x14ac:dyDescent="0.2">
      <c r="A11527" s="4" t="s">
        <v>1</v>
      </c>
      <c r="B1152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27" s="3" t="str">
        <f>HYPERLINK("https://otsuka-europe-crm.veevavault.com/ui/#object/sent_email__v/VBLZ025E82GUPD0", "SE-000277563")</f>
        <v>SE-000277563</v>
      </c>
      <c r="D11527" s="1" t="s">
        <v>0</v>
      </c>
      <c r="E11527" s="2">
        <v>0</v>
      </c>
      <c r="F11527" s="2">
        <v>0</v>
      </c>
      <c r="G11527" s="2">
        <v>0</v>
      </c>
      <c r="H11527" s="1" t="s">
        <v>0</v>
      </c>
      <c r="I11527" s="2">
        <v>0</v>
      </c>
      <c r="J11527" s="1">
        <v>45919.576354166667</v>
      </c>
    </row>
    <row r="11528" spans="1:10" x14ac:dyDescent="0.2">
      <c r="A11528" s="4" t="s">
        <v>1</v>
      </c>
      <c r="B1152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28" s="3" t="str">
        <f>HYPERLINK("https://otsuka-europe-crm.veevavault.com/ui/#object/sent_email__v/VBLZ025E82GUPD1", "SE-000277564")</f>
        <v>SE-000277564</v>
      </c>
      <c r="D11528" s="1">
        <v>45919.939409722225</v>
      </c>
      <c r="E11528" s="2">
        <v>1</v>
      </c>
      <c r="F11528" s="2">
        <v>1</v>
      </c>
      <c r="G11528" s="2">
        <v>0</v>
      </c>
      <c r="H11528" s="1" t="s">
        <v>0</v>
      </c>
      <c r="I11528" s="2">
        <v>0</v>
      </c>
      <c r="J11528" s="1">
        <v>45919.576539351852</v>
      </c>
    </row>
    <row r="11529" spans="1:10" x14ac:dyDescent="0.2">
      <c r="A11529" s="4" t="s">
        <v>1</v>
      </c>
      <c r="B1152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29" s="3" t="str">
        <f>HYPERLINK("https://otsuka-europe-crm.veevavault.com/ui/#object/sent_email__v/VBLZ025E82GUPD2", "SE-000277565")</f>
        <v>SE-000277565</v>
      </c>
      <c r="D11529" s="1" t="s">
        <v>0</v>
      </c>
      <c r="E11529" s="2">
        <v>0</v>
      </c>
      <c r="F11529" s="2">
        <v>0</v>
      </c>
      <c r="G11529" s="2">
        <v>0</v>
      </c>
      <c r="H11529" s="1" t="s">
        <v>0</v>
      </c>
      <c r="I11529" s="2">
        <v>0</v>
      </c>
      <c r="J11529" s="1">
        <v>45919.576412037037</v>
      </c>
    </row>
    <row r="11530" spans="1:10" x14ac:dyDescent="0.2">
      <c r="A11530" s="4" t="s">
        <v>1</v>
      </c>
      <c r="B1153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30" s="3" t="str">
        <f>HYPERLINK("https://otsuka-europe-crm.veevavault.com/ui/#object/sent_email__v/VBLZ025E82GUPD3", "SE-000277566")</f>
        <v>SE-000277566</v>
      </c>
      <c r="D11530" s="1" t="s">
        <v>0</v>
      </c>
      <c r="E11530" s="2">
        <v>0</v>
      </c>
      <c r="F11530" s="2">
        <v>0</v>
      </c>
      <c r="G11530" s="2">
        <v>0</v>
      </c>
      <c r="H11530" s="1" t="s">
        <v>0</v>
      </c>
      <c r="I11530" s="2">
        <v>0</v>
      </c>
      <c r="J11530" s="1">
        <v>45919.576527777775</v>
      </c>
    </row>
    <row r="11531" spans="1:10" x14ac:dyDescent="0.2">
      <c r="A11531" s="4" t="s">
        <v>1</v>
      </c>
      <c r="B1153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31" s="3" t="str">
        <f>HYPERLINK("https://otsuka-europe-crm.veevavault.com/ui/#object/sent_email__v/VBLZ025E82GUPD4", "SE-000277567")</f>
        <v>SE-000277567</v>
      </c>
      <c r="D11531" s="1" t="s">
        <v>0</v>
      </c>
      <c r="E11531" s="2">
        <v>0</v>
      </c>
      <c r="F11531" s="2">
        <v>0</v>
      </c>
      <c r="G11531" s="2">
        <v>0</v>
      </c>
      <c r="H11531" s="1" t="s">
        <v>0</v>
      </c>
      <c r="I11531" s="2">
        <v>0</v>
      </c>
      <c r="J11531" s="1">
        <v>45919.576504629629</v>
      </c>
    </row>
    <row r="11532" spans="1:10" x14ac:dyDescent="0.2">
      <c r="A11532" s="4" t="s">
        <v>1</v>
      </c>
      <c r="B1153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32" s="3" t="str">
        <f>HYPERLINK("https://otsuka-europe-crm.veevavault.com/ui/#object/sent_email__v/VBLZ025E82GUPD5", "SE-000277568")</f>
        <v>SE-000277568</v>
      </c>
      <c r="D11532" s="1">
        <v>45919.578564814816</v>
      </c>
      <c r="E11532" s="2">
        <v>1</v>
      </c>
      <c r="F11532" s="2">
        <v>2</v>
      </c>
      <c r="G11532" s="2">
        <v>0</v>
      </c>
      <c r="H11532" s="1" t="s">
        <v>0</v>
      </c>
      <c r="I11532" s="2">
        <v>0</v>
      </c>
      <c r="J11532" s="1">
        <v>45919.576388888891</v>
      </c>
    </row>
    <row r="11533" spans="1:10" x14ac:dyDescent="0.2">
      <c r="A11533" s="4" t="s">
        <v>1</v>
      </c>
      <c r="B1153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33" s="3" t="str">
        <f>HYPERLINK("https://otsuka-europe-crm.veevavault.com/ui/#object/sent_email__v/VBLZ025E82GUPD6", "SE-000277569")</f>
        <v>SE-000277569</v>
      </c>
      <c r="D11533" s="1" t="s">
        <v>0</v>
      </c>
      <c r="E11533" s="2">
        <v>0</v>
      </c>
      <c r="F11533" s="2">
        <v>0</v>
      </c>
      <c r="G11533" s="2">
        <v>0</v>
      </c>
      <c r="H11533" s="1" t="s">
        <v>0</v>
      </c>
      <c r="I11533" s="2">
        <v>0</v>
      </c>
      <c r="J11533" s="1">
        <v>45919.576493055552</v>
      </c>
    </row>
    <row r="11534" spans="1:10" x14ac:dyDescent="0.2">
      <c r="A11534" s="4" t="s">
        <v>1</v>
      </c>
      <c r="B1153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34" s="3" t="str">
        <f>HYPERLINK("https://otsuka-europe-crm.veevavault.com/ui/#object/sent_email__v/VBLZ025E82GUPD7", "SE-000277570")</f>
        <v>SE-000277570</v>
      </c>
      <c r="D11534" s="1" t="s">
        <v>0</v>
      </c>
      <c r="E11534" s="2">
        <v>0</v>
      </c>
      <c r="F11534" s="2">
        <v>0</v>
      </c>
      <c r="G11534" s="2">
        <v>0</v>
      </c>
      <c r="H11534" s="1" t="s">
        <v>0</v>
      </c>
      <c r="I11534" s="2">
        <v>0</v>
      </c>
      <c r="J11534" s="1">
        <v>45919.576377314814</v>
      </c>
    </row>
    <row r="11535" spans="1:10" x14ac:dyDescent="0.2">
      <c r="A11535" s="4" t="s">
        <v>1</v>
      </c>
      <c r="B1153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35" s="3" t="str">
        <f>HYPERLINK("https://otsuka-europe-crm.veevavault.com/ui/#object/sent_email__v/VBLZ025E82GUPD8", "SE-000277571")</f>
        <v>SE-000277571</v>
      </c>
      <c r="D11535" s="1">
        <v>45919.641597222224</v>
      </c>
      <c r="E11535" s="2">
        <v>1</v>
      </c>
      <c r="F11535" s="2">
        <v>1</v>
      </c>
      <c r="G11535" s="2">
        <v>0</v>
      </c>
      <c r="H11535" s="1" t="s">
        <v>0</v>
      </c>
      <c r="I11535" s="2">
        <v>0</v>
      </c>
      <c r="J11535" s="1">
        <v>45919.576516203706</v>
      </c>
    </row>
    <row r="11536" spans="1:10" x14ac:dyDescent="0.2">
      <c r="A11536" s="4" t="s">
        <v>1</v>
      </c>
      <c r="B1153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36" s="3" t="str">
        <f>HYPERLINK("https://otsuka-europe-crm.veevavault.com/ui/#object/sent_email__v/VBLZ025E82GUPD9", "SE-000277572")</f>
        <v>SE-000277572</v>
      </c>
      <c r="D11536" s="1">
        <v>45919.985138888886</v>
      </c>
      <c r="E11536" s="2">
        <v>1</v>
      </c>
      <c r="F11536" s="2">
        <v>2</v>
      </c>
      <c r="G11536" s="2">
        <v>0</v>
      </c>
      <c r="H11536" s="1" t="s">
        <v>0</v>
      </c>
      <c r="I11536" s="2">
        <v>0</v>
      </c>
      <c r="J11536" s="1">
        <v>45919.576412037037</v>
      </c>
    </row>
    <row r="11537" spans="1:10" x14ac:dyDescent="0.2">
      <c r="A11537" s="4" t="s">
        <v>1</v>
      </c>
      <c r="B1153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37" s="3" t="str">
        <f>HYPERLINK("https://otsuka-europe-crm.veevavault.com/ui/#object/sent_email__v/VBLZ025E82GUPDA", "SE-000277573")</f>
        <v>SE-000277573</v>
      </c>
      <c r="D11537" s="1" t="s">
        <v>0</v>
      </c>
      <c r="E11537" s="2">
        <v>0</v>
      </c>
      <c r="F11537" s="2">
        <v>0</v>
      </c>
      <c r="G11537" s="2">
        <v>0</v>
      </c>
      <c r="H11537" s="1" t="s">
        <v>0</v>
      </c>
      <c r="I11537" s="2">
        <v>0</v>
      </c>
      <c r="J11537" s="1">
        <v>45919.576516203706</v>
      </c>
    </row>
    <row r="11538" spans="1:10" x14ac:dyDescent="0.2">
      <c r="A11538" s="4" t="s">
        <v>1</v>
      </c>
      <c r="B1153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38" s="3" t="str">
        <f>HYPERLINK("https://otsuka-europe-crm.veevavault.com/ui/#object/sent_email__v/VBLZ025E82GUPDB", "SE-000277574")</f>
        <v>SE-000277574</v>
      </c>
      <c r="D11538" s="1" t="s">
        <v>0</v>
      </c>
      <c r="E11538" s="2">
        <v>0</v>
      </c>
      <c r="F11538" s="2">
        <v>0</v>
      </c>
      <c r="G11538" s="2">
        <v>0</v>
      </c>
      <c r="H11538" s="1" t="s">
        <v>0</v>
      </c>
      <c r="I11538" s="2">
        <v>0</v>
      </c>
      <c r="J11538" s="1">
        <v>45919.576423611114</v>
      </c>
    </row>
    <row r="11539" spans="1:10" x14ac:dyDescent="0.2">
      <c r="A11539" s="4" t="s">
        <v>1</v>
      </c>
      <c r="B1153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39" s="3" t="str">
        <f>HYPERLINK("https://otsuka-europe-crm.veevavault.com/ui/#object/sent_email__v/VBLZ025E82GUPDC", "SE-000277575")</f>
        <v>SE-000277575</v>
      </c>
      <c r="D11539" s="1" t="s">
        <v>0</v>
      </c>
      <c r="E11539" s="2">
        <v>0</v>
      </c>
      <c r="F11539" s="2">
        <v>0</v>
      </c>
      <c r="G11539" s="2">
        <v>0</v>
      </c>
      <c r="H11539" s="1" t="s">
        <v>0</v>
      </c>
      <c r="I11539" s="2">
        <v>0</v>
      </c>
      <c r="J11539" s="1">
        <v>45919.576550925929</v>
      </c>
    </row>
    <row r="11540" spans="1:10" x14ac:dyDescent="0.2">
      <c r="A11540" s="4" t="s">
        <v>1</v>
      </c>
      <c r="B1154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40" s="3" t="str">
        <f>HYPERLINK("https://otsuka-europe-crm.veevavault.com/ui/#object/sent_email__v/VBLZ025E82GUPDD", "SE-000277576")</f>
        <v>SE-000277576</v>
      </c>
      <c r="D11540" s="1" t="s">
        <v>0</v>
      </c>
      <c r="E11540" s="2">
        <v>0</v>
      </c>
      <c r="F11540" s="2">
        <v>0</v>
      </c>
      <c r="G11540" s="2">
        <v>0</v>
      </c>
      <c r="H11540" s="1" t="s">
        <v>0</v>
      </c>
      <c r="I11540" s="2">
        <v>0</v>
      </c>
      <c r="J11540" s="1">
        <v>45919.576608796298</v>
      </c>
    </row>
    <row r="11541" spans="1:10" x14ac:dyDescent="0.2">
      <c r="A11541" s="4" t="s">
        <v>1</v>
      </c>
      <c r="B1154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41" s="3" t="str">
        <f>HYPERLINK("https://otsuka-europe-crm.veevavault.com/ui/#object/sent_email__v/VBLZ025E82GUPDE", "SE-000277577")</f>
        <v>SE-000277577</v>
      </c>
      <c r="D11541" s="1">
        <v>45919.587500000001</v>
      </c>
      <c r="E11541" s="2">
        <v>1</v>
      </c>
      <c r="F11541" s="2">
        <v>2</v>
      </c>
      <c r="G11541" s="2">
        <v>0</v>
      </c>
      <c r="H11541" s="1" t="s">
        <v>0</v>
      </c>
      <c r="I11541" s="2">
        <v>0</v>
      </c>
      <c r="J11541" s="1">
        <v>45919.576458333337</v>
      </c>
    </row>
    <row r="11542" spans="1:10" x14ac:dyDescent="0.2">
      <c r="A11542" s="4" t="s">
        <v>1</v>
      </c>
      <c r="B1154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42" s="3" t="str">
        <f>HYPERLINK("https://otsuka-europe-crm.veevavault.com/ui/#object/sent_email__v/VBLZ025E82GUPDF", "SE-000277578")</f>
        <v>SE-000277578</v>
      </c>
      <c r="D11542" s="1">
        <v>45919.668090277781</v>
      </c>
      <c r="E11542" s="2">
        <v>1</v>
      </c>
      <c r="F11542" s="2">
        <v>2</v>
      </c>
      <c r="G11542" s="2">
        <v>0</v>
      </c>
      <c r="H11542" s="1" t="s">
        <v>0</v>
      </c>
      <c r="I11542" s="2">
        <v>0</v>
      </c>
      <c r="J11542" s="1">
        <v>45919.576597222222</v>
      </c>
    </row>
    <row r="11543" spans="1:10" x14ac:dyDescent="0.2">
      <c r="A11543" s="4" t="s">
        <v>1</v>
      </c>
      <c r="B1154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43" s="3" t="str">
        <f>HYPERLINK("https://otsuka-europe-crm.veevavault.com/ui/#object/sent_email__v/VBLZ025E82GUPDG", "SE-000277579")</f>
        <v>SE-000277579</v>
      </c>
      <c r="D11543" s="1">
        <v>45920.291226851848</v>
      </c>
      <c r="E11543" s="2">
        <v>1</v>
      </c>
      <c r="F11543" s="2">
        <v>1</v>
      </c>
      <c r="G11543" s="2">
        <v>0</v>
      </c>
      <c r="H11543" s="1" t="s">
        <v>0</v>
      </c>
      <c r="I11543" s="2">
        <v>0</v>
      </c>
      <c r="J11543" s="1">
        <v>45919.57644675926</v>
      </c>
    </row>
    <row r="11544" spans="1:10" x14ac:dyDescent="0.2">
      <c r="A11544" s="4" t="s">
        <v>1</v>
      </c>
      <c r="B1154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44" s="3" t="str">
        <f>HYPERLINK("https://otsuka-europe-crm.veevavault.com/ui/#object/sent_email__v/VBLZ025E82GUPDH", "SE-000277580")</f>
        <v>SE-000277580</v>
      </c>
      <c r="D11544" s="1" t="s">
        <v>0</v>
      </c>
      <c r="E11544" s="2">
        <v>0</v>
      </c>
      <c r="F11544" s="2">
        <v>0</v>
      </c>
      <c r="G11544" s="2">
        <v>0</v>
      </c>
      <c r="H11544" s="1" t="s">
        <v>0</v>
      </c>
      <c r="I11544" s="2">
        <v>0</v>
      </c>
      <c r="J11544" s="1">
        <v>45919.576550925929</v>
      </c>
    </row>
    <row r="11545" spans="1:10" x14ac:dyDescent="0.2">
      <c r="A11545" s="4" t="s">
        <v>1</v>
      </c>
      <c r="B1154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45" s="3" t="str">
        <f>HYPERLINK("https://otsuka-europe-crm.veevavault.com/ui/#object/sent_email__v/VBLZ025E82GUPDI", "SE-000277581")</f>
        <v>SE-000277581</v>
      </c>
      <c r="D11545" s="1" t="s">
        <v>0</v>
      </c>
      <c r="E11545" s="2">
        <v>0</v>
      </c>
      <c r="F11545" s="2">
        <v>0</v>
      </c>
      <c r="G11545" s="2">
        <v>0</v>
      </c>
      <c r="H11545" s="1" t="s">
        <v>0</v>
      </c>
      <c r="I11545" s="2">
        <v>0</v>
      </c>
      <c r="J11545" s="1">
        <v>45919.57644675926</v>
      </c>
    </row>
    <row r="11546" spans="1:10" x14ac:dyDescent="0.2">
      <c r="A11546" s="4" t="s">
        <v>1</v>
      </c>
      <c r="B1154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46" s="3" t="str">
        <f>HYPERLINK("https://otsuka-europe-crm.veevavault.com/ui/#object/sent_email__v/VBLZ025E82GUPDJ", "SE-000277582")</f>
        <v>SE-000277582</v>
      </c>
      <c r="D11546" s="1" t="s">
        <v>0</v>
      </c>
      <c r="E11546" s="2">
        <v>0</v>
      </c>
      <c r="F11546" s="2">
        <v>0</v>
      </c>
      <c r="G11546" s="2">
        <v>0</v>
      </c>
      <c r="H11546" s="1" t="s">
        <v>0</v>
      </c>
      <c r="I11546" s="2">
        <v>0</v>
      </c>
      <c r="J11546" s="1">
        <v>45919.576585648145</v>
      </c>
    </row>
    <row r="11547" spans="1:10" x14ac:dyDescent="0.2">
      <c r="A11547" s="4" t="s">
        <v>1</v>
      </c>
      <c r="B1154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47" s="3" t="str">
        <f>HYPERLINK("https://otsuka-europe-crm.veevavault.com/ui/#object/sent_email__v/VBLZ025E82GUPDK", "SE-000277583")</f>
        <v>SE-000277583</v>
      </c>
      <c r="D11547" s="1">
        <v>45920.047372685185</v>
      </c>
      <c r="E11547" s="2">
        <v>1</v>
      </c>
      <c r="F11547" s="2">
        <v>1</v>
      </c>
      <c r="G11547" s="2">
        <v>0</v>
      </c>
      <c r="H11547" s="1" t="s">
        <v>0</v>
      </c>
      <c r="I11547" s="2">
        <v>0</v>
      </c>
      <c r="J11547" s="1">
        <v>45919.576423611114</v>
      </c>
    </row>
    <row r="11548" spans="1:10" x14ac:dyDescent="0.2">
      <c r="A11548" s="4" t="s">
        <v>1</v>
      </c>
      <c r="B1154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48" s="3" t="str">
        <f>HYPERLINK("https://otsuka-europe-crm.veevavault.com/ui/#object/sent_email__v/VBLZ025E82GUPDL", "SE-000277584")</f>
        <v>SE-000277584</v>
      </c>
      <c r="D11548" s="1">
        <v>45930.74324074074</v>
      </c>
      <c r="E11548" s="2">
        <v>1</v>
      </c>
      <c r="F11548" s="2">
        <v>2</v>
      </c>
      <c r="G11548" s="2">
        <v>0</v>
      </c>
      <c r="H11548" s="1" t="s">
        <v>0</v>
      </c>
      <c r="I11548" s="2">
        <v>0</v>
      </c>
      <c r="J11548" s="1">
        <v>45919.576585648145</v>
      </c>
    </row>
    <row r="11549" spans="1:10" x14ac:dyDescent="0.2">
      <c r="A11549" s="4" t="s">
        <v>1</v>
      </c>
      <c r="B1154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49" s="3" t="str">
        <f>HYPERLINK("https://otsuka-europe-crm.veevavault.com/ui/#object/sent_email__v/VBLZ025E82GUPDM", "SE-000277585")</f>
        <v>SE-000277585</v>
      </c>
      <c r="D11549" s="1" t="s">
        <v>0</v>
      </c>
      <c r="E11549" s="2">
        <v>0</v>
      </c>
      <c r="F11549" s="2">
        <v>0</v>
      </c>
      <c r="G11549" s="2">
        <v>0</v>
      </c>
      <c r="H11549" s="1" t="s">
        <v>0</v>
      </c>
      <c r="I11549" s="2">
        <v>0</v>
      </c>
      <c r="J11549" s="1">
        <v>45919.576435185183</v>
      </c>
    </row>
    <row r="11550" spans="1:10" x14ac:dyDescent="0.2">
      <c r="A11550" s="4" t="s">
        <v>1</v>
      </c>
      <c r="B1155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50" s="3" t="str">
        <f>HYPERLINK("https://otsuka-europe-crm.veevavault.com/ui/#object/sent_email__v/VBLZ025E82GUPDN", "SE-000277586")</f>
        <v>SE-000277586</v>
      </c>
      <c r="D11550" s="1">
        <v>45919.588043981479</v>
      </c>
      <c r="E11550" s="2">
        <v>1</v>
      </c>
      <c r="F11550" s="2">
        <v>1</v>
      </c>
      <c r="G11550" s="2">
        <v>0</v>
      </c>
      <c r="H11550" s="1" t="s">
        <v>0</v>
      </c>
      <c r="I11550" s="2">
        <v>0</v>
      </c>
      <c r="J11550" s="1">
        <v>45919.576562499999</v>
      </c>
    </row>
    <row r="11551" spans="1:10" x14ac:dyDescent="0.2">
      <c r="A11551" s="4" t="s">
        <v>1</v>
      </c>
      <c r="B1155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51" s="3" t="str">
        <f>HYPERLINK("https://otsuka-europe-crm.veevavault.com/ui/#object/sent_email__v/VBLZ025E82GUPDO", "SE-000277587")</f>
        <v>SE-000277587</v>
      </c>
      <c r="D11551" s="1">
        <v>45919.577384259261</v>
      </c>
      <c r="E11551" s="2">
        <v>1</v>
      </c>
      <c r="F11551" s="2">
        <v>1</v>
      </c>
      <c r="G11551" s="2">
        <v>0</v>
      </c>
      <c r="H11551" s="1" t="s">
        <v>0</v>
      </c>
      <c r="I11551" s="2">
        <v>0</v>
      </c>
      <c r="J11551" s="1">
        <v>45919.576365740744</v>
      </c>
    </row>
    <row r="11552" spans="1:10" x14ac:dyDescent="0.2">
      <c r="A11552" s="4" t="s">
        <v>1</v>
      </c>
      <c r="B1155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52" s="3" t="str">
        <f>HYPERLINK("https://otsuka-europe-crm.veevavault.com/ui/#object/sent_email__v/VBLZ025E82GUPDP", "SE-000277588")</f>
        <v>SE-000277588</v>
      </c>
      <c r="D11552" s="1" t="s">
        <v>0</v>
      </c>
      <c r="E11552" s="2">
        <v>0</v>
      </c>
      <c r="F11552" s="2">
        <v>0</v>
      </c>
      <c r="G11552" s="2">
        <v>0</v>
      </c>
      <c r="H11552" s="1" t="s">
        <v>0</v>
      </c>
      <c r="I11552" s="2">
        <v>0</v>
      </c>
      <c r="J11552" s="1">
        <v>45919.576481481483</v>
      </c>
    </row>
    <row r="11553" spans="1:10" x14ac:dyDescent="0.2">
      <c r="A11553" s="4" t="s">
        <v>1</v>
      </c>
      <c r="B1155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53" s="3" t="str">
        <f>HYPERLINK("https://otsuka-europe-crm.veevavault.com/ui/#object/sent_email__v/VBLZ025E82GUPDQ", "SE-000277589")</f>
        <v>SE-000277589</v>
      </c>
      <c r="D11553" s="1">
        <v>45921.552256944444</v>
      </c>
      <c r="E11553" s="2">
        <v>1</v>
      </c>
      <c r="F11553" s="2">
        <v>2</v>
      </c>
      <c r="G11553" s="2">
        <v>0</v>
      </c>
      <c r="H11553" s="1" t="s">
        <v>0</v>
      </c>
      <c r="I11553" s="2">
        <v>0</v>
      </c>
      <c r="J11553" s="1">
        <v>45919.576377314814</v>
      </c>
    </row>
    <row r="11554" spans="1:10" x14ac:dyDescent="0.2">
      <c r="A11554" s="4" t="s">
        <v>1</v>
      </c>
      <c r="B1155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54" s="3" t="str">
        <f>HYPERLINK("https://otsuka-europe-crm.veevavault.com/ui/#object/sent_email__v/VBLZ025E82GUPDR", "SE-000277590")</f>
        <v>SE-000277590</v>
      </c>
      <c r="D11554" s="1" t="s">
        <v>0</v>
      </c>
      <c r="E11554" s="2">
        <v>0</v>
      </c>
      <c r="F11554" s="2">
        <v>0</v>
      </c>
      <c r="G11554" s="2">
        <v>0</v>
      </c>
      <c r="H11554" s="1" t="s">
        <v>0</v>
      </c>
      <c r="I11554" s="2">
        <v>0</v>
      </c>
      <c r="J11554" s="1">
        <v>45919.576481481483</v>
      </c>
    </row>
    <row r="11555" spans="1:10" x14ac:dyDescent="0.2">
      <c r="A11555" s="4" t="s">
        <v>1</v>
      </c>
      <c r="B1155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55" s="3" t="str">
        <f>HYPERLINK("https://otsuka-europe-crm.veevavault.com/ui/#object/sent_email__v/VBLZ025E82GUPDS", "SE-000277591")</f>
        <v>SE-000277591</v>
      </c>
      <c r="D11555" s="1">
        <v>46053.799641203703</v>
      </c>
      <c r="E11555" s="2">
        <v>1</v>
      </c>
      <c r="F11555" s="2">
        <v>5</v>
      </c>
      <c r="G11555" s="2">
        <v>0</v>
      </c>
      <c r="H11555" s="1" t="s">
        <v>0</v>
      </c>
      <c r="I11555" s="2">
        <v>0</v>
      </c>
      <c r="J11555" s="1">
        <v>45919.576377314814</v>
      </c>
    </row>
    <row r="11556" spans="1:10" x14ac:dyDescent="0.2">
      <c r="A11556" s="4" t="s">
        <v>1</v>
      </c>
      <c r="B1155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56" s="3" t="str">
        <f>HYPERLINK("https://otsuka-europe-crm.veevavault.com/ui/#object/sent_email__v/VBLZ025E82GUPDT", "SE-000277592")</f>
        <v>SE-000277592</v>
      </c>
      <c r="D11556" s="1">
        <v>45919.611319444448</v>
      </c>
      <c r="E11556" s="2">
        <v>1</v>
      </c>
      <c r="F11556" s="2">
        <v>1</v>
      </c>
      <c r="G11556" s="2">
        <v>0</v>
      </c>
      <c r="H11556" s="1" t="s">
        <v>0</v>
      </c>
      <c r="I11556" s="2">
        <v>0</v>
      </c>
      <c r="J11556" s="1">
        <v>45919.576504629629</v>
      </c>
    </row>
    <row r="11557" spans="1:10" x14ac:dyDescent="0.2">
      <c r="A11557" s="4" t="s">
        <v>1</v>
      </c>
      <c r="B1155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57" s="3" t="str">
        <f>HYPERLINK("https://otsuka-europe-crm.veevavault.com/ui/#object/sent_email__v/VBLZ025E82GV43H", "SE-000279407")</f>
        <v>SE-000279407</v>
      </c>
      <c r="D11557" s="1">
        <v>45919.728437500002</v>
      </c>
      <c r="E11557" s="2">
        <v>1</v>
      </c>
      <c r="F11557" s="2">
        <v>1</v>
      </c>
      <c r="G11557" s="2">
        <v>0</v>
      </c>
      <c r="H11557" s="1" t="s">
        <v>0</v>
      </c>
      <c r="I11557" s="2">
        <v>0</v>
      </c>
      <c r="J11557" s="1">
        <v>45919.686689814815</v>
      </c>
    </row>
    <row r="11558" spans="1:10" x14ac:dyDescent="0.2">
      <c r="A11558" s="4" t="s">
        <v>1</v>
      </c>
      <c r="B1155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58" s="3" t="str">
        <f>HYPERLINK("https://otsuka-europe-crm.veevavault.com/ui/#object/sent_email__v/VBLZ025E82GV491", "SE-000279413")</f>
        <v>SE-000279413</v>
      </c>
      <c r="D11558" s="1" t="s">
        <v>0</v>
      </c>
      <c r="E11558" s="2">
        <v>0</v>
      </c>
      <c r="F11558" s="2">
        <v>0</v>
      </c>
      <c r="G11558" s="2">
        <v>0</v>
      </c>
      <c r="H11558" s="1" t="s">
        <v>0</v>
      </c>
      <c r="I11558" s="2">
        <v>0</v>
      </c>
      <c r="J11558" s="1">
        <v>45919.689375000002</v>
      </c>
    </row>
    <row r="11559" spans="1:10" x14ac:dyDescent="0.2">
      <c r="A11559" s="4" t="s">
        <v>1</v>
      </c>
      <c r="B1155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59" s="3" t="str">
        <f>HYPERLINK("https://otsuka-europe-crm.veevavault.com/ui/#object/sent_email__v/VBLZ025E82GV492", "SE-000279414")</f>
        <v>SE-000279414</v>
      </c>
      <c r="D11559" s="1" t="s">
        <v>0</v>
      </c>
      <c r="E11559" s="2">
        <v>0</v>
      </c>
      <c r="F11559" s="2">
        <v>0</v>
      </c>
      <c r="G11559" s="2">
        <v>0</v>
      </c>
      <c r="H11559" s="1" t="s">
        <v>0</v>
      </c>
      <c r="I11559" s="2">
        <v>0</v>
      </c>
      <c r="J11559" s="1">
        <v>45919.689386574071</v>
      </c>
    </row>
    <row r="11560" spans="1:10" x14ac:dyDescent="0.2">
      <c r="A11560" s="4" t="s">
        <v>1</v>
      </c>
      <c r="B1156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60" s="3" t="str">
        <f>HYPERLINK("https://otsuka-europe-crm.veevavault.com/ui/#object/sent_email__v/VBLZ025E82GV493", "SE-000279415")</f>
        <v>SE-000279415</v>
      </c>
      <c r="D11560" s="1" t="s">
        <v>0</v>
      </c>
      <c r="E11560" s="2">
        <v>0</v>
      </c>
      <c r="F11560" s="2">
        <v>0</v>
      </c>
      <c r="G11560" s="2">
        <v>0</v>
      </c>
      <c r="H11560" s="1" t="s">
        <v>0</v>
      </c>
      <c r="I11560" s="2">
        <v>0</v>
      </c>
      <c r="J11560" s="1">
        <v>45919.689398148148</v>
      </c>
    </row>
    <row r="11561" spans="1:10" x14ac:dyDescent="0.2">
      <c r="A11561" s="4" t="s">
        <v>1</v>
      </c>
      <c r="B1156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61" s="3" t="str">
        <f>HYPERLINK("https://otsuka-europe-crm.veevavault.com/ui/#object/sent_email__v/VBLZ025E82GV494", "SE-000279416")</f>
        <v>SE-000279416</v>
      </c>
      <c r="D11561" s="1" t="s">
        <v>0</v>
      </c>
      <c r="E11561" s="2">
        <v>0</v>
      </c>
      <c r="F11561" s="2">
        <v>0</v>
      </c>
      <c r="G11561" s="2">
        <v>0</v>
      </c>
      <c r="H11561" s="1" t="s">
        <v>0</v>
      </c>
      <c r="I11561" s="2">
        <v>0</v>
      </c>
      <c r="J11561" s="1">
        <v>45919.689398148148</v>
      </c>
    </row>
    <row r="11562" spans="1:10" x14ac:dyDescent="0.2">
      <c r="A11562" s="4" t="s">
        <v>1</v>
      </c>
      <c r="B1156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62" s="3" t="str">
        <f>HYPERLINK("https://otsuka-europe-crm.veevavault.com/ui/#object/sent_email__v/VBLZ025E82GV4BT", "SE-000279417")</f>
        <v>SE-000279417</v>
      </c>
      <c r="D11562" s="1">
        <v>45919.790439814817</v>
      </c>
      <c r="E11562" s="2">
        <v>1</v>
      </c>
      <c r="F11562" s="2">
        <v>2</v>
      </c>
      <c r="G11562" s="2">
        <v>0</v>
      </c>
      <c r="H11562" s="1" t="s">
        <v>0</v>
      </c>
      <c r="I11562" s="2">
        <v>0</v>
      </c>
      <c r="J11562" s="1">
        <v>45919.690613425926</v>
      </c>
    </row>
    <row r="11563" spans="1:10" x14ac:dyDescent="0.2">
      <c r="A11563" s="4" t="s">
        <v>1</v>
      </c>
      <c r="B1156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63" s="3" t="str">
        <f>HYPERLINK("https://otsuka-europe-crm.veevavault.com/ui/#object/sent_email__v/VBLZ025E82GV4BU", "SE-000279418")</f>
        <v>SE-000279418</v>
      </c>
      <c r="D11563" s="1" t="s">
        <v>0</v>
      </c>
      <c r="E11563" s="2">
        <v>0</v>
      </c>
      <c r="F11563" s="2">
        <v>0</v>
      </c>
      <c r="G11563" s="2">
        <v>0</v>
      </c>
      <c r="H11563" s="1" t="s">
        <v>0</v>
      </c>
      <c r="I11563" s="2">
        <v>0</v>
      </c>
      <c r="J11563" s="1">
        <v>45919.690625000003</v>
      </c>
    </row>
    <row r="11564" spans="1:10" x14ac:dyDescent="0.2">
      <c r="A11564" s="4" t="s">
        <v>1</v>
      </c>
      <c r="B1156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64" s="3" t="str">
        <f>HYPERLINK("https://otsuka-europe-crm.veevavault.com/ui/#object/sent_email__v/VBLZ025E82GV3K2", "SE-000279427")</f>
        <v>SE-000279427</v>
      </c>
      <c r="D11564" s="1">
        <v>45919.727500000001</v>
      </c>
      <c r="E11564" s="2">
        <v>1</v>
      </c>
      <c r="F11564" s="2">
        <v>2</v>
      </c>
      <c r="G11564" s="2">
        <v>0</v>
      </c>
      <c r="H11564" s="1" t="s">
        <v>0</v>
      </c>
      <c r="I11564" s="2">
        <v>0</v>
      </c>
      <c r="J11564" s="1">
        <v>45919.694120370368</v>
      </c>
    </row>
    <row r="11565" spans="1:10" x14ac:dyDescent="0.2">
      <c r="A11565" s="4" t="s">
        <v>1</v>
      </c>
      <c r="B1156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65" s="3" t="str">
        <f>HYPERLINK("https://otsuka-europe-crm.veevavault.com/ui/#object/sent_email__v/VBLZ025E82GV3K3", "SE-000279428")</f>
        <v>SE-000279428</v>
      </c>
      <c r="D11565" s="1" t="s">
        <v>0</v>
      </c>
      <c r="E11565" s="2">
        <v>0</v>
      </c>
      <c r="F11565" s="2">
        <v>0</v>
      </c>
      <c r="G11565" s="2">
        <v>0</v>
      </c>
      <c r="H11565" s="1" t="s">
        <v>0</v>
      </c>
      <c r="I11565" s="2">
        <v>0</v>
      </c>
      <c r="J11565" s="1">
        <v>45919.694131944445</v>
      </c>
    </row>
    <row r="11566" spans="1:10" x14ac:dyDescent="0.2">
      <c r="A11566" s="4" t="s">
        <v>1</v>
      </c>
      <c r="B1156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66" s="3" t="str">
        <f>HYPERLINK("https://otsuka-europe-crm.veevavault.com/ui/#object/sent_email__v/VBLZ025E82GV3K4", "SE-000279429")</f>
        <v>SE-000279429</v>
      </c>
      <c r="D11566" s="1">
        <v>45919.764027777775</v>
      </c>
      <c r="E11566" s="2">
        <v>1</v>
      </c>
      <c r="F11566" s="2">
        <v>1</v>
      </c>
      <c r="G11566" s="2">
        <v>0</v>
      </c>
      <c r="H11566" s="1" t="s">
        <v>0</v>
      </c>
      <c r="I11566" s="2">
        <v>0</v>
      </c>
      <c r="J11566" s="1">
        <v>45919.694131944445</v>
      </c>
    </row>
    <row r="11567" spans="1:10" x14ac:dyDescent="0.2">
      <c r="A11567" s="4" t="s">
        <v>1</v>
      </c>
      <c r="B1156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67" s="3" t="str">
        <f>HYPERLINK("https://otsuka-europe-crm.veevavault.com/ui/#object/sent_email__v/VBLZ025E82GV4PP", "SE-000279445")</f>
        <v>SE-000279445</v>
      </c>
      <c r="D11567" s="1">
        <v>45921.441423611112</v>
      </c>
      <c r="E11567" s="2">
        <v>1</v>
      </c>
      <c r="F11567" s="2">
        <v>1</v>
      </c>
      <c r="G11567" s="2">
        <v>1</v>
      </c>
      <c r="H11567" s="1">
        <v>45921.441631944443</v>
      </c>
      <c r="I11567" s="2">
        <v>1</v>
      </c>
      <c r="J11567" s="1">
        <v>45919.700416666667</v>
      </c>
    </row>
    <row r="11568" spans="1:10" x14ac:dyDescent="0.2">
      <c r="A11568" s="4" t="s">
        <v>1</v>
      </c>
      <c r="B1156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68" s="3" t="str">
        <f>HYPERLINK("https://otsuka-europe-crm.veevavault.com/ui/#object/sent_email__v/VBLZ025E82GV4PQ", "SE-000279446")</f>
        <v>SE-000279446</v>
      </c>
      <c r="D11568" s="1" t="s">
        <v>0</v>
      </c>
      <c r="E11568" s="2">
        <v>0</v>
      </c>
      <c r="F11568" s="2">
        <v>0</v>
      </c>
      <c r="G11568" s="2">
        <v>0</v>
      </c>
      <c r="H11568" s="1" t="s">
        <v>0</v>
      </c>
      <c r="I11568" s="2">
        <v>0</v>
      </c>
      <c r="J11568" s="1">
        <v>45919.70040509259</v>
      </c>
    </row>
    <row r="11569" spans="1:10" x14ac:dyDescent="0.2">
      <c r="A11569" s="4" t="s">
        <v>1</v>
      </c>
      <c r="B1156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69" s="3" t="str">
        <f>HYPERLINK("https://otsuka-europe-crm.veevavault.com/ui/#object/sent_email__v/VBLZ025E82GV4PR", "SE-000279447")</f>
        <v>SE-000279447</v>
      </c>
      <c r="D11569" s="1">
        <v>45919.767083333332</v>
      </c>
      <c r="E11569" s="2">
        <v>1</v>
      </c>
      <c r="F11569" s="2">
        <v>2</v>
      </c>
      <c r="G11569" s="2">
        <v>0</v>
      </c>
      <c r="H11569" s="1" t="s">
        <v>0</v>
      </c>
      <c r="I11569" s="2">
        <v>0</v>
      </c>
      <c r="J11569" s="1">
        <v>45919.700416666667</v>
      </c>
    </row>
    <row r="11570" spans="1:10" x14ac:dyDescent="0.2">
      <c r="A11570" s="4" t="s">
        <v>1</v>
      </c>
      <c r="B1157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70" s="3" t="str">
        <f>HYPERLINK("https://otsuka-europe-crm.veevavault.com/ui/#object/sent_email__v/VBLZ025E82GV4PS", "SE-000279448")</f>
        <v>SE-000279448</v>
      </c>
      <c r="D11570" s="1" t="s">
        <v>0</v>
      </c>
      <c r="E11570" s="2">
        <v>0</v>
      </c>
      <c r="F11570" s="2">
        <v>0</v>
      </c>
      <c r="G11570" s="2">
        <v>0</v>
      </c>
      <c r="H11570" s="1" t="s">
        <v>0</v>
      </c>
      <c r="I11570" s="2">
        <v>0</v>
      </c>
      <c r="J11570" s="1">
        <v>45919.700428240743</v>
      </c>
    </row>
    <row r="11571" spans="1:10" x14ac:dyDescent="0.2">
      <c r="A11571" s="4" t="s">
        <v>1</v>
      </c>
      <c r="B1157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71" s="3" t="str">
        <f>HYPERLINK("https://otsuka-europe-crm.veevavault.com/ui/#object/sent_email__v/VBLZ025E82GV4SH", "SE-000279449")</f>
        <v>SE-000279449</v>
      </c>
      <c r="D11571" s="1" t="s">
        <v>0</v>
      </c>
      <c r="E11571" s="2">
        <v>0</v>
      </c>
      <c r="F11571" s="2">
        <v>0</v>
      </c>
      <c r="G11571" s="2">
        <v>0</v>
      </c>
      <c r="H11571" s="1" t="s">
        <v>0</v>
      </c>
      <c r="I11571" s="2">
        <v>0</v>
      </c>
      <c r="J11571" s="1">
        <v>45919.701574074075</v>
      </c>
    </row>
    <row r="11572" spans="1:10" x14ac:dyDescent="0.2">
      <c r="A11572" s="4" t="s">
        <v>1</v>
      </c>
      <c r="B1157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72" s="3" t="str">
        <f>HYPERLINK("https://otsuka-europe-crm.veevavault.com/ui/#object/sent_email__v/VBLZ025E82GV4SI", "SE-000279450")</f>
        <v>SE-000279450</v>
      </c>
      <c r="D11572" s="1" t="s">
        <v>0</v>
      </c>
      <c r="E11572" s="2">
        <v>0</v>
      </c>
      <c r="F11572" s="2">
        <v>0</v>
      </c>
      <c r="G11572" s="2">
        <v>0</v>
      </c>
      <c r="H11572" s="1" t="s">
        <v>0</v>
      </c>
      <c r="I11572" s="2">
        <v>0</v>
      </c>
      <c r="J11572" s="1">
        <v>45919.701597222222</v>
      </c>
    </row>
    <row r="11573" spans="1:10" x14ac:dyDescent="0.2">
      <c r="A11573" s="4" t="s">
        <v>1</v>
      </c>
      <c r="B1157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73" s="3" t="str">
        <f>HYPERLINK("https://otsuka-europe-crm.veevavault.com/ui/#object/sent_email__v/VBLZ025E82GVZNL", "SE-000279563")</f>
        <v>SE-000279563</v>
      </c>
      <c r="D11573" s="1">
        <v>45922.540486111109</v>
      </c>
      <c r="E11573" s="2">
        <v>1</v>
      </c>
      <c r="F11573" s="2">
        <v>1</v>
      </c>
      <c r="G11573" s="2">
        <v>0</v>
      </c>
      <c r="H11573" s="1" t="s">
        <v>0</v>
      </c>
      <c r="I11573" s="2">
        <v>0</v>
      </c>
      <c r="J11573" s="1">
        <v>45922.500381944446</v>
      </c>
    </row>
    <row r="11574" spans="1:10" x14ac:dyDescent="0.2">
      <c r="A11574" s="4" t="s">
        <v>1</v>
      </c>
      <c r="B1157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74" s="3" t="str">
        <f>HYPERLINK("https://otsuka-europe-crm.veevavault.com/ui/#object/sent_email__v/VBLZ025E82GVZNM", "SE-000279564")</f>
        <v>SE-000279564</v>
      </c>
      <c r="D11574" s="1" t="s">
        <v>0</v>
      </c>
      <c r="E11574" s="2">
        <v>0</v>
      </c>
      <c r="F11574" s="2">
        <v>0</v>
      </c>
      <c r="G11574" s="2">
        <v>0</v>
      </c>
      <c r="H11574" s="1" t="s">
        <v>0</v>
      </c>
      <c r="I11574" s="2">
        <v>0</v>
      </c>
      <c r="J11574" s="1">
        <v>45922.5002662037</v>
      </c>
    </row>
    <row r="11575" spans="1:10" x14ac:dyDescent="0.2">
      <c r="A11575" s="4" t="s">
        <v>1</v>
      </c>
      <c r="B1157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75" s="3" t="str">
        <f>HYPERLINK("https://otsuka-europe-crm.veevavault.com/ui/#object/sent_email__v/VBLZ025E82GVZNN", "SE-000279565")</f>
        <v>SE-000279565</v>
      </c>
      <c r="D11575" s="1" t="s">
        <v>0</v>
      </c>
      <c r="E11575" s="2">
        <v>0</v>
      </c>
      <c r="F11575" s="2">
        <v>0</v>
      </c>
      <c r="G11575" s="2">
        <v>0</v>
      </c>
      <c r="H11575" s="1" t="s">
        <v>0</v>
      </c>
      <c r="I11575" s="2">
        <v>0</v>
      </c>
      <c r="J11575" s="1">
        <v>45922.500451388885</v>
      </c>
    </row>
    <row r="11576" spans="1:10" x14ac:dyDescent="0.2">
      <c r="A11576" s="4" t="s">
        <v>1</v>
      </c>
      <c r="B1157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76" s="3" t="str">
        <f>HYPERLINK("https://otsuka-europe-crm.veevavault.com/ui/#object/sent_email__v/VBLZ025E82GVZNO", "SE-000279566")</f>
        <v>SE-000279566</v>
      </c>
      <c r="D11576" s="1">
        <v>45922.502303240741</v>
      </c>
      <c r="E11576" s="2">
        <v>1</v>
      </c>
      <c r="F11576" s="2">
        <v>1</v>
      </c>
      <c r="G11576" s="2">
        <v>0</v>
      </c>
      <c r="H11576" s="1" t="s">
        <v>0</v>
      </c>
      <c r="I11576" s="2">
        <v>0</v>
      </c>
      <c r="J11576" s="1">
        <v>45922.5003125</v>
      </c>
    </row>
    <row r="11577" spans="1:10" x14ac:dyDescent="0.2">
      <c r="A11577" s="4" t="s">
        <v>1</v>
      </c>
      <c r="B1157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77" s="3" t="str">
        <f>HYPERLINK("https://otsuka-europe-crm.veevavault.com/ui/#object/sent_email__v/VBLZ025E82GVZNP", "SE-000279567")</f>
        <v>SE-000279567</v>
      </c>
      <c r="D11577" s="1" t="s">
        <v>0</v>
      </c>
      <c r="E11577" s="2">
        <v>0</v>
      </c>
      <c r="F11577" s="2">
        <v>0</v>
      </c>
      <c r="G11577" s="2">
        <v>0</v>
      </c>
      <c r="H11577" s="1" t="s">
        <v>0</v>
      </c>
      <c r="I11577" s="2">
        <v>0</v>
      </c>
      <c r="J11577" s="1">
        <v>45922.500393518516</v>
      </c>
    </row>
    <row r="11578" spans="1:10" x14ac:dyDescent="0.2">
      <c r="A11578" s="4" t="s">
        <v>1</v>
      </c>
      <c r="B1157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78" s="3" t="str">
        <f>HYPERLINK("https://otsuka-europe-crm.veevavault.com/ui/#object/sent_email__v/VBLZ025E82GVZNQ", "SE-000279568")</f>
        <v>SE-000279568</v>
      </c>
      <c r="D11578" s="1">
        <v>45922.5547337963</v>
      </c>
      <c r="E11578" s="2">
        <v>1</v>
      </c>
      <c r="F11578" s="2">
        <v>3</v>
      </c>
      <c r="G11578" s="2">
        <v>0</v>
      </c>
      <c r="H11578" s="1" t="s">
        <v>0</v>
      </c>
      <c r="I11578" s="2">
        <v>0</v>
      </c>
      <c r="J11578" s="1">
        <v>45922.500138888892</v>
      </c>
    </row>
    <row r="11579" spans="1:10" x14ac:dyDescent="0.2">
      <c r="A11579" s="4" t="s">
        <v>1</v>
      </c>
      <c r="B1157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79" s="3" t="str">
        <f>HYPERLINK("https://otsuka-europe-crm.veevavault.com/ui/#object/sent_email__v/VBLZ025E82GVZNR", "SE-000279569")</f>
        <v>SE-000279569</v>
      </c>
      <c r="D11579" s="1">
        <v>45930.823993055557</v>
      </c>
      <c r="E11579" s="2">
        <v>1</v>
      </c>
      <c r="F11579" s="2">
        <v>2</v>
      </c>
      <c r="G11579" s="2">
        <v>0</v>
      </c>
      <c r="H11579" s="1" t="s">
        <v>0</v>
      </c>
      <c r="I11579" s="2">
        <v>0</v>
      </c>
      <c r="J11579" s="1">
        <v>45922.50037037037</v>
      </c>
    </row>
    <row r="11580" spans="1:10" x14ac:dyDescent="0.2">
      <c r="A11580" s="4" t="s">
        <v>1</v>
      </c>
      <c r="B1158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80" s="3" t="str">
        <f>HYPERLINK("https://otsuka-europe-crm.veevavault.com/ui/#object/sent_email__v/VBLZ025E82GVZNS", "SE-000279570")</f>
        <v>SE-000279570</v>
      </c>
      <c r="D11580" s="1" t="s">
        <v>0</v>
      </c>
      <c r="E11580" s="2">
        <v>0</v>
      </c>
      <c r="F11580" s="2">
        <v>0</v>
      </c>
      <c r="G11580" s="2">
        <v>0</v>
      </c>
      <c r="H11580" s="1" t="s">
        <v>0</v>
      </c>
      <c r="I11580" s="2">
        <v>0</v>
      </c>
      <c r="J11580" s="1">
        <v>45922.500173611108</v>
      </c>
    </row>
    <row r="11581" spans="1:10" x14ac:dyDescent="0.2">
      <c r="A11581" s="4" t="s">
        <v>1</v>
      </c>
      <c r="B1158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81" s="3" t="str">
        <f>HYPERLINK("https://otsuka-europe-crm.veevavault.com/ui/#object/sent_email__v/VBLZ025E82GVZNT", "SE-000279571")</f>
        <v>SE-000279571</v>
      </c>
      <c r="D11581" s="1">
        <v>45924.839560185188</v>
      </c>
      <c r="E11581" s="2">
        <v>1</v>
      </c>
      <c r="F11581" s="2">
        <v>2</v>
      </c>
      <c r="G11581" s="2">
        <v>0</v>
      </c>
      <c r="H11581" s="1" t="s">
        <v>0</v>
      </c>
      <c r="I11581" s="2">
        <v>0</v>
      </c>
      <c r="J11581" s="1">
        <v>45922.500381944446</v>
      </c>
    </row>
    <row r="11582" spans="1:10" x14ac:dyDescent="0.2">
      <c r="A11582" s="4" t="s">
        <v>1</v>
      </c>
      <c r="B1158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82" s="3" t="str">
        <f>HYPERLINK("https://otsuka-europe-crm.veevavault.com/ui/#object/sent_email__v/VBLZ025E82GVZNU", "SE-000279572")</f>
        <v>SE-000279572</v>
      </c>
      <c r="D11582" s="1" t="s">
        <v>0</v>
      </c>
      <c r="E11582" s="2">
        <v>0</v>
      </c>
      <c r="F11582" s="2">
        <v>0</v>
      </c>
      <c r="G11582" s="2">
        <v>0</v>
      </c>
      <c r="H11582" s="1" t="s">
        <v>0</v>
      </c>
      <c r="I11582" s="2">
        <v>0</v>
      </c>
      <c r="J11582" s="1">
        <v>45922.500138888892</v>
      </c>
    </row>
    <row r="11583" spans="1:10" x14ac:dyDescent="0.2">
      <c r="A11583" s="4" t="s">
        <v>1</v>
      </c>
      <c r="B1158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83" s="3" t="str">
        <f>HYPERLINK("https://otsuka-europe-crm.veevavault.com/ui/#object/sent_email__v/VBLZ025E82GVZNV", "SE-000279573")</f>
        <v>SE-000279573</v>
      </c>
      <c r="D11583" s="1">
        <v>45957.934675925928</v>
      </c>
      <c r="E11583" s="2">
        <v>1</v>
      </c>
      <c r="F11583" s="2">
        <v>2</v>
      </c>
      <c r="G11583" s="2">
        <v>0</v>
      </c>
      <c r="H11583" s="1" t="s">
        <v>0</v>
      </c>
      <c r="I11583" s="2">
        <v>0</v>
      </c>
      <c r="J11583" s="1">
        <v>45922.500439814816</v>
      </c>
    </row>
    <row r="11584" spans="1:10" x14ac:dyDescent="0.2">
      <c r="A11584" s="4" t="s">
        <v>1</v>
      </c>
      <c r="B1158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84" s="3" t="str">
        <f>HYPERLINK("https://otsuka-europe-crm.veevavault.com/ui/#object/sent_email__v/VBLZ025E82GVZNW", "SE-000279574")</f>
        <v>SE-000279574</v>
      </c>
      <c r="D11584" s="1" t="s">
        <v>0</v>
      </c>
      <c r="E11584" s="2">
        <v>0</v>
      </c>
      <c r="F11584" s="2">
        <v>0</v>
      </c>
      <c r="G11584" s="2">
        <v>0</v>
      </c>
      <c r="H11584" s="1" t="s">
        <v>0</v>
      </c>
      <c r="I11584" s="2">
        <v>0</v>
      </c>
      <c r="J11584" s="1">
        <v>45922.500162037039</v>
      </c>
    </row>
    <row r="11585" spans="1:10" x14ac:dyDescent="0.2">
      <c r="A11585" s="4" t="s">
        <v>1</v>
      </c>
      <c r="B1158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85" s="3" t="str">
        <f>HYPERLINK("https://otsuka-europe-crm.veevavault.com/ui/#object/sent_email__v/VBLZ025E82GVZNX", "SE-000279575")</f>
        <v>SE-000279575</v>
      </c>
      <c r="D11585" s="1">
        <v>45922.517430555556</v>
      </c>
      <c r="E11585" s="2">
        <v>1</v>
      </c>
      <c r="F11585" s="2">
        <v>1</v>
      </c>
      <c r="G11585" s="2">
        <v>0</v>
      </c>
      <c r="H11585" s="1" t="s">
        <v>0</v>
      </c>
      <c r="I11585" s="2">
        <v>0</v>
      </c>
      <c r="J11585" s="1">
        <v>45922.500358796293</v>
      </c>
    </row>
    <row r="11586" spans="1:10" x14ac:dyDescent="0.2">
      <c r="A11586" s="4" t="s">
        <v>1</v>
      </c>
      <c r="B1158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86" s="3" t="str">
        <f>HYPERLINK("https://otsuka-europe-crm.veevavault.com/ui/#object/sent_email__v/VBLZ025E82GVZNY", "SE-000279576")</f>
        <v>SE-000279576</v>
      </c>
      <c r="D11586" s="1">
        <v>45979.805497685185</v>
      </c>
      <c r="E11586" s="2">
        <v>1</v>
      </c>
      <c r="F11586" s="2">
        <v>5</v>
      </c>
      <c r="G11586" s="2">
        <v>0</v>
      </c>
      <c r="H11586" s="1" t="s">
        <v>0</v>
      </c>
      <c r="I11586" s="2">
        <v>0</v>
      </c>
      <c r="J11586" s="1">
        <v>45922.500185185185</v>
      </c>
    </row>
    <row r="11587" spans="1:10" x14ac:dyDescent="0.2">
      <c r="A11587" s="4" t="s">
        <v>1</v>
      </c>
      <c r="B1158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87" s="3" t="str">
        <f>HYPERLINK("https://otsuka-europe-crm.veevavault.com/ui/#object/sent_email__v/VBLZ025E82GVZNZ", "SE-000279577")</f>
        <v>SE-000279577</v>
      </c>
      <c r="D11587" s="1">
        <v>45922.648715277777</v>
      </c>
      <c r="E11587" s="2">
        <v>1</v>
      </c>
      <c r="F11587" s="2">
        <v>1</v>
      </c>
      <c r="G11587" s="2">
        <v>0</v>
      </c>
      <c r="H11587" s="1" t="s">
        <v>0</v>
      </c>
      <c r="I11587" s="2">
        <v>0</v>
      </c>
      <c r="J11587" s="1">
        <v>45922.50037037037</v>
      </c>
    </row>
    <row r="11588" spans="1:10" x14ac:dyDescent="0.2">
      <c r="A11588" s="4" t="s">
        <v>1</v>
      </c>
      <c r="B1158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88" s="3" t="str">
        <f>HYPERLINK("https://otsuka-europe-crm.veevavault.com/ui/#object/sent_email__v/VBLZ025E82GVZO0", "SE-000279578")</f>
        <v>SE-000279578</v>
      </c>
      <c r="D11588" s="1" t="s">
        <v>0</v>
      </c>
      <c r="E11588" s="2">
        <v>0</v>
      </c>
      <c r="F11588" s="2">
        <v>0</v>
      </c>
      <c r="G11588" s="2">
        <v>0</v>
      </c>
      <c r="H11588" s="1" t="s">
        <v>0</v>
      </c>
      <c r="I11588" s="2">
        <v>0</v>
      </c>
      <c r="J11588" s="1">
        <v>45922.500196759262</v>
      </c>
    </row>
    <row r="11589" spans="1:10" x14ac:dyDescent="0.2">
      <c r="A11589" s="4" t="s">
        <v>1</v>
      </c>
      <c r="B1158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89" s="3" t="str">
        <f>HYPERLINK("https://otsuka-europe-crm.veevavault.com/ui/#object/sent_email__v/VBLZ025E82GVZO1", "SE-000279579")</f>
        <v>SE-000279579</v>
      </c>
      <c r="D11589" s="1">
        <v>45923.326469907406</v>
      </c>
      <c r="E11589" s="2">
        <v>1</v>
      </c>
      <c r="F11589" s="2">
        <v>3</v>
      </c>
      <c r="G11589" s="2">
        <v>0</v>
      </c>
      <c r="H11589" s="1" t="s">
        <v>0</v>
      </c>
      <c r="I11589" s="2">
        <v>0</v>
      </c>
      <c r="J11589" s="1">
        <v>45922.500358796293</v>
      </c>
    </row>
    <row r="11590" spans="1:10" x14ac:dyDescent="0.2">
      <c r="A11590" s="4" t="s">
        <v>1</v>
      </c>
      <c r="B1159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90" s="3" t="str">
        <f>HYPERLINK("https://otsuka-europe-crm.veevavault.com/ui/#object/sent_email__v/VBLZ025E82GVZO2", "SE-000279580")</f>
        <v>SE-000279580</v>
      </c>
      <c r="D11590" s="1" t="s">
        <v>0</v>
      </c>
      <c r="E11590" s="2">
        <v>0</v>
      </c>
      <c r="F11590" s="2">
        <v>0</v>
      </c>
      <c r="G11590" s="2">
        <v>0</v>
      </c>
      <c r="H11590" s="1" t="s">
        <v>0</v>
      </c>
      <c r="I11590" s="2">
        <v>0</v>
      </c>
      <c r="J11590" s="1">
        <v>45922.500196759262</v>
      </c>
    </row>
    <row r="11591" spans="1:10" x14ac:dyDescent="0.2">
      <c r="A11591" s="4" t="s">
        <v>1</v>
      </c>
      <c r="B1159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91" s="3" t="str">
        <f>HYPERLINK("https://otsuka-europe-crm.veevavault.com/ui/#object/sent_email__v/VBLZ025E82GVZO3", "SE-000279581")</f>
        <v>SE-000279581</v>
      </c>
      <c r="D11591" s="1" t="s">
        <v>0</v>
      </c>
      <c r="E11591" s="2">
        <v>0</v>
      </c>
      <c r="F11591" s="2">
        <v>0</v>
      </c>
      <c r="G11591" s="2">
        <v>0</v>
      </c>
      <c r="H11591" s="1" t="s">
        <v>0</v>
      </c>
      <c r="I11591" s="2">
        <v>0</v>
      </c>
      <c r="J11591" s="1">
        <v>45922.500462962962</v>
      </c>
    </row>
    <row r="11592" spans="1:10" x14ac:dyDescent="0.2">
      <c r="A11592" s="4" t="s">
        <v>1</v>
      </c>
      <c r="B1159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92" s="3" t="str">
        <f>HYPERLINK("https://otsuka-europe-crm.veevavault.com/ui/#object/sent_email__v/VBLZ025E82GVZO4", "SE-000279582")</f>
        <v>SE-000279582</v>
      </c>
      <c r="D11592" s="1">
        <v>45924.564166666663</v>
      </c>
      <c r="E11592" s="2">
        <v>1</v>
      </c>
      <c r="F11592" s="2">
        <v>2</v>
      </c>
      <c r="G11592" s="2">
        <v>0</v>
      </c>
      <c r="H11592" s="1" t="s">
        <v>0</v>
      </c>
      <c r="I11592" s="2">
        <v>0</v>
      </c>
      <c r="J11592" s="1">
        <v>45922.500289351854</v>
      </c>
    </row>
    <row r="11593" spans="1:10" x14ac:dyDescent="0.2">
      <c r="A11593" s="4" t="s">
        <v>1</v>
      </c>
      <c r="B1159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93" s="3" t="str">
        <f>HYPERLINK("https://otsuka-europe-crm.veevavault.com/ui/#object/sent_email__v/VBLZ025E82GVZO5", "SE-000279583")</f>
        <v>SE-000279583</v>
      </c>
      <c r="D11593" s="1">
        <v>45922.530659722222</v>
      </c>
      <c r="E11593" s="2">
        <v>1</v>
      </c>
      <c r="F11593" s="2">
        <v>1</v>
      </c>
      <c r="G11593" s="2">
        <v>0</v>
      </c>
      <c r="H11593" s="1" t="s">
        <v>0</v>
      </c>
      <c r="I11593" s="2">
        <v>0</v>
      </c>
      <c r="J11593" s="1">
        <v>45922.50037037037</v>
      </c>
    </row>
    <row r="11594" spans="1:10" x14ac:dyDescent="0.2">
      <c r="A11594" s="4" t="s">
        <v>1</v>
      </c>
      <c r="B1159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94" s="3" t="str">
        <f>HYPERLINK("https://otsuka-europe-crm.veevavault.com/ui/#object/sent_email__v/VBLZ025E82GVZO6", "SE-000279584")</f>
        <v>SE-000279584</v>
      </c>
      <c r="D11594" s="1">
        <v>45922.678738425922</v>
      </c>
      <c r="E11594" s="2">
        <v>1</v>
      </c>
      <c r="F11594" s="2">
        <v>2</v>
      </c>
      <c r="G11594" s="2">
        <v>0</v>
      </c>
      <c r="H11594" s="1" t="s">
        <v>0</v>
      </c>
      <c r="I11594" s="2">
        <v>0</v>
      </c>
      <c r="J11594" s="1">
        <v>45922.500405092593</v>
      </c>
    </row>
    <row r="11595" spans="1:10" x14ac:dyDescent="0.2">
      <c r="A11595" s="4" t="s">
        <v>1</v>
      </c>
      <c r="B1159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95" s="3" t="str">
        <f>HYPERLINK("https://otsuka-europe-crm.veevavault.com/ui/#object/sent_email__v/VBLZ025E82GVZO7", "SE-000279585")</f>
        <v>SE-000279585</v>
      </c>
      <c r="D11595" s="1" t="s">
        <v>0</v>
      </c>
      <c r="E11595" s="2">
        <v>0</v>
      </c>
      <c r="F11595" s="2">
        <v>0</v>
      </c>
      <c r="G11595" s="2">
        <v>0</v>
      </c>
      <c r="H11595" s="1" t="s">
        <v>0</v>
      </c>
      <c r="I11595" s="2">
        <v>0</v>
      </c>
      <c r="J11595" s="1">
        <v>45922.500208333331</v>
      </c>
    </row>
    <row r="11596" spans="1:10" x14ac:dyDescent="0.2">
      <c r="A11596" s="4" t="s">
        <v>1</v>
      </c>
      <c r="B1159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96" s="3" t="str">
        <f>HYPERLINK("https://otsuka-europe-crm.veevavault.com/ui/#object/sent_email__v/VBLZ025E82GVZO8", "SE-000279586")</f>
        <v>SE-000279586</v>
      </c>
      <c r="D11596" s="1">
        <v>45932.829722222225</v>
      </c>
      <c r="E11596" s="2">
        <v>1</v>
      </c>
      <c r="F11596" s="2">
        <v>3</v>
      </c>
      <c r="G11596" s="2">
        <v>0</v>
      </c>
      <c r="H11596" s="1" t="s">
        <v>0</v>
      </c>
      <c r="I11596" s="2">
        <v>0</v>
      </c>
      <c r="J11596" s="1">
        <v>45922.500185185185</v>
      </c>
    </row>
    <row r="11597" spans="1:10" x14ac:dyDescent="0.2">
      <c r="A11597" s="4" t="s">
        <v>1</v>
      </c>
      <c r="B1159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97" s="3" t="str">
        <f>HYPERLINK("https://otsuka-europe-crm.veevavault.com/ui/#object/sent_email__v/VBLZ025E82GVZO9", "SE-000279587")</f>
        <v>SE-000279587</v>
      </c>
      <c r="D11597" s="1" t="s">
        <v>0</v>
      </c>
      <c r="E11597" s="2">
        <v>0</v>
      </c>
      <c r="F11597" s="2">
        <v>0</v>
      </c>
      <c r="G11597" s="2">
        <v>0</v>
      </c>
      <c r="H11597" s="1" t="s">
        <v>0</v>
      </c>
      <c r="I11597" s="2">
        <v>0</v>
      </c>
      <c r="J11597" s="1">
        <v>45922.500347222223</v>
      </c>
    </row>
    <row r="11598" spans="1:10" x14ac:dyDescent="0.2">
      <c r="A11598" s="4" t="s">
        <v>1</v>
      </c>
      <c r="B1159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98" s="3" t="str">
        <f>HYPERLINK("https://otsuka-europe-crm.veevavault.com/ui/#object/sent_email__v/VBLZ025E82GVZOA", "SE-000279588")</f>
        <v>SE-000279588</v>
      </c>
      <c r="D11598" s="1">
        <v>45922.77412037037</v>
      </c>
      <c r="E11598" s="2">
        <v>1</v>
      </c>
      <c r="F11598" s="2">
        <v>1</v>
      </c>
      <c r="G11598" s="2">
        <v>0</v>
      </c>
      <c r="H11598" s="1" t="s">
        <v>0</v>
      </c>
      <c r="I11598" s="2">
        <v>0</v>
      </c>
      <c r="J11598" s="1">
        <v>45922.500162037039</v>
      </c>
    </row>
    <row r="11599" spans="1:10" x14ac:dyDescent="0.2">
      <c r="A11599" s="4" t="s">
        <v>1</v>
      </c>
      <c r="B1159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599" s="3" t="str">
        <f>HYPERLINK("https://otsuka-europe-crm.veevavault.com/ui/#object/sent_email__v/VBLZ025E82GVZOB", "SE-000279589")</f>
        <v>SE-000279589</v>
      </c>
      <c r="D11599" s="1">
        <v>45925.334131944444</v>
      </c>
      <c r="E11599" s="2">
        <v>1</v>
      </c>
      <c r="F11599" s="2">
        <v>1</v>
      </c>
      <c r="G11599" s="2">
        <v>0</v>
      </c>
      <c r="H11599" s="1" t="s">
        <v>0</v>
      </c>
      <c r="I11599" s="2">
        <v>0</v>
      </c>
      <c r="J11599" s="1">
        <v>45922.500416666669</v>
      </c>
    </row>
    <row r="11600" spans="1:10" x14ac:dyDescent="0.2">
      <c r="A11600" s="4" t="s">
        <v>1</v>
      </c>
      <c r="B1160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00" s="3" t="str">
        <f>HYPERLINK("https://otsuka-europe-crm.veevavault.com/ui/#object/sent_email__v/VBLZ025E82GVZOC", "SE-000279590")</f>
        <v>SE-000279590</v>
      </c>
      <c r="D11600" s="1">
        <v>45948.282754629632</v>
      </c>
      <c r="E11600" s="2">
        <v>1</v>
      </c>
      <c r="F11600" s="2">
        <v>3</v>
      </c>
      <c r="G11600" s="2">
        <v>0</v>
      </c>
      <c r="H11600" s="1" t="s">
        <v>0</v>
      </c>
      <c r="I11600" s="2">
        <v>0</v>
      </c>
      <c r="J11600" s="1">
        <v>45922.5002662037</v>
      </c>
    </row>
    <row r="11601" spans="1:10" x14ac:dyDescent="0.2">
      <c r="A11601" s="4" t="s">
        <v>1</v>
      </c>
      <c r="B1160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01" s="3" t="str">
        <f>HYPERLINK("https://otsuka-europe-crm.veevavault.com/ui/#object/sent_email__v/VBLZ025E82GVZOD", "SE-000279591")</f>
        <v>SE-000279591</v>
      </c>
      <c r="D11601" s="1" t="s">
        <v>0</v>
      </c>
      <c r="E11601" s="2">
        <v>0</v>
      </c>
      <c r="F11601" s="2">
        <v>0</v>
      </c>
      <c r="G11601" s="2">
        <v>0</v>
      </c>
      <c r="H11601" s="1" t="s">
        <v>0</v>
      </c>
      <c r="I11601" s="2">
        <v>0</v>
      </c>
      <c r="J11601" s="1">
        <v>45922.500428240739</v>
      </c>
    </row>
    <row r="11602" spans="1:10" x14ac:dyDescent="0.2">
      <c r="A11602" s="4" t="s">
        <v>1</v>
      </c>
      <c r="B1160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02" s="3" t="str">
        <f>HYPERLINK("https://otsuka-europe-crm.veevavault.com/ui/#object/sent_email__v/VBLZ025E82GVZOE", "SE-000279592")</f>
        <v>SE-000279592</v>
      </c>
      <c r="D11602" s="1">
        <v>45924.244814814818</v>
      </c>
      <c r="E11602" s="2">
        <v>1</v>
      </c>
      <c r="F11602" s="2">
        <v>1</v>
      </c>
      <c r="G11602" s="2">
        <v>0</v>
      </c>
      <c r="H11602" s="1" t="s">
        <v>0</v>
      </c>
      <c r="I11602" s="2">
        <v>0</v>
      </c>
      <c r="J11602" s="1">
        <v>45922.5003125</v>
      </c>
    </row>
    <row r="11603" spans="1:10" x14ac:dyDescent="0.2">
      <c r="A11603" s="4" t="s">
        <v>1</v>
      </c>
      <c r="B1160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03" s="3" t="str">
        <f>HYPERLINK("https://otsuka-europe-crm.veevavault.com/ui/#object/sent_email__v/VBLZ025E82GVZOF", "SE-000279593")</f>
        <v>SE-000279593</v>
      </c>
      <c r="D11603" s="1" t="s">
        <v>0</v>
      </c>
      <c r="E11603" s="2">
        <v>0</v>
      </c>
      <c r="F11603" s="2">
        <v>0</v>
      </c>
      <c r="G11603" s="2">
        <v>0</v>
      </c>
      <c r="H11603" s="1" t="s">
        <v>0</v>
      </c>
      <c r="I11603" s="2">
        <v>0</v>
      </c>
      <c r="J11603" s="1">
        <v>45922.500428240739</v>
      </c>
    </row>
    <row r="11604" spans="1:10" x14ac:dyDescent="0.2">
      <c r="A11604" s="4" t="s">
        <v>1</v>
      </c>
      <c r="B1160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04" s="3" t="str">
        <f>HYPERLINK("https://otsuka-europe-crm.veevavault.com/ui/#object/sent_email__v/VBLZ025E82GVZOG", "SE-000279594")</f>
        <v>SE-000279594</v>
      </c>
      <c r="D11604" s="1" t="s">
        <v>0</v>
      </c>
      <c r="E11604" s="2">
        <v>0</v>
      </c>
      <c r="F11604" s="2">
        <v>0</v>
      </c>
      <c r="G11604" s="2">
        <v>0</v>
      </c>
      <c r="H11604" s="1" t="s">
        <v>0</v>
      </c>
      <c r="I11604" s="2">
        <v>0</v>
      </c>
      <c r="J11604" s="1">
        <v>45922.500300925924</v>
      </c>
    </row>
    <row r="11605" spans="1:10" x14ac:dyDescent="0.2">
      <c r="A11605" s="4" t="s">
        <v>1</v>
      </c>
      <c r="B1160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05" s="3" t="str">
        <f>HYPERLINK("https://otsuka-europe-crm.veevavault.com/ui/#object/sent_email__v/VBLZ025E82GVZOH", "SE-000279595")</f>
        <v>SE-000279595</v>
      </c>
      <c r="D11605" s="1" t="s">
        <v>0</v>
      </c>
      <c r="E11605" s="2">
        <v>0</v>
      </c>
      <c r="F11605" s="2">
        <v>0</v>
      </c>
      <c r="G11605" s="2">
        <v>0</v>
      </c>
      <c r="H11605" s="1" t="s">
        <v>0</v>
      </c>
      <c r="I11605" s="2">
        <v>0</v>
      </c>
      <c r="J11605" s="1">
        <v>45922.500393518516</v>
      </c>
    </row>
    <row r="11606" spans="1:10" x14ac:dyDescent="0.2">
      <c r="A11606" s="4" t="s">
        <v>1</v>
      </c>
      <c r="B1160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06" s="3" t="str">
        <f>HYPERLINK("https://otsuka-europe-crm.veevavault.com/ui/#object/sent_email__v/VBLZ025E82GVZOI", "SE-000279596")</f>
        <v>SE-000279596</v>
      </c>
      <c r="D11606" s="1">
        <v>45936.925868055558</v>
      </c>
      <c r="E11606" s="2">
        <v>1</v>
      </c>
      <c r="F11606" s="2">
        <v>2</v>
      </c>
      <c r="G11606" s="2">
        <v>0</v>
      </c>
      <c r="H11606" s="1" t="s">
        <v>0</v>
      </c>
      <c r="I11606" s="2">
        <v>0</v>
      </c>
      <c r="J11606" s="1">
        <v>45922.500231481485</v>
      </c>
    </row>
    <row r="11607" spans="1:10" x14ac:dyDescent="0.2">
      <c r="A11607" s="4" t="s">
        <v>1</v>
      </c>
      <c r="B1160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07" s="3" t="str">
        <f>HYPERLINK("https://otsuka-europe-crm.veevavault.com/ui/#object/sent_email__v/VBLZ025E82GVZOJ", "SE-000279597")</f>
        <v>SE-000279597</v>
      </c>
      <c r="D11607" s="1">
        <v>45925.839155092595</v>
      </c>
      <c r="E11607" s="2">
        <v>1</v>
      </c>
      <c r="F11607" s="2">
        <v>1</v>
      </c>
      <c r="G11607" s="2">
        <v>0</v>
      </c>
      <c r="H11607" s="1" t="s">
        <v>0</v>
      </c>
      <c r="I11607" s="2">
        <v>0</v>
      </c>
      <c r="J11607" s="1">
        <v>45922.500428240739</v>
      </c>
    </row>
    <row r="11608" spans="1:10" x14ac:dyDescent="0.2">
      <c r="A11608" s="4" t="s">
        <v>1</v>
      </c>
      <c r="B1160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08" s="3" t="str">
        <f>HYPERLINK("https://otsuka-europe-crm.veevavault.com/ui/#object/sent_email__v/VBLZ025E82GVZOK", "SE-000279598")</f>
        <v>SE-000279598</v>
      </c>
      <c r="D11608" s="1">
        <v>45922.844756944447</v>
      </c>
      <c r="E11608" s="2">
        <v>1</v>
      </c>
      <c r="F11608" s="2">
        <v>2</v>
      </c>
      <c r="G11608" s="2">
        <v>0</v>
      </c>
      <c r="H11608" s="1" t="s">
        <v>0</v>
      </c>
      <c r="I11608" s="2">
        <v>0</v>
      </c>
      <c r="J11608" s="1">
        <v>45922.500347222223</v>
      </c>
    </row>
    <row r="11609" spans="1:10" x14ac:dyDescent="0.2">
      <c r="A11609" s="4" t="s">
        <v>1</v>
      </c>
      <c r="B1160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09" s="3" t="str">
        <f>HYPERLINK("https://otsuka-europe-crm.veevavault.com/ui/#object/sent_email__v/VBLZ025E82GVZOL", "SE-000279599")</f>
        <v>SE-000279599</v>
      </c>
      <c r="D11609" s="1">
        <v>45923.603888888887</v>
      </c>
      <c r="E11609" s="2">
        <v>1</v>
      </c>
      <c r="F11609" s="2">
        <v>2</v>
      </c>
      <c r="G11609" s="2">
        <v>0</v>
      </c>
      <c r="H11609" s="1" t="s">
        <v>0</v>
      </c>
      <c r="I11609" s="2">
        <v>0</v>
      </c>
      <c r="J11609" s="1">
        <v>45922.500439814816</v>
      </c>
    </row>
    <row r="11610" spans="1:10" x14ac:dyDescent="0.2">
      <c r="A11610" s="4" t="s">
        <v>1</v>
      </c>
      <c r="B1161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10" s="3" t="str">
        <f>HYPERLINK("https://otsuka-europe-crm.veevavault.com/ui/#object/sent_email__v/VBLZ025E82GVZVX", "SE-000279600")</f>
        <v>SE-000279600</v>
      </c>
      <c r="D11610" s="1" t="s">
        <v>0</v>
      </c>
      <c r="E11610" s="2">
        <v>0</v>
      </c>
      <c r="F11610" s="2">
        <v>0</v>
      </c>
      <c r="G11610" s="2">
        <v>0</v>
      </c>
      <c r="H11610" s="1" t="s">
        <v>0</v>
      </c>
      <c r="I11610" s="2">
        <v>0</v>
      </c>
      <c r="J11610" s="1">
        <v>45922.50072916667</v>
      </c>
    </row>
    <row r="11611" spans="1:10" x14ac:dyDescent="0.2">
      <c r="A11611" s="4" t="s">
        <v>1</v>
      </c>
      <c r="B1161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11" s="3" t="str">
        <f>HYPERLINK("https://otsuka-europe-crm.veevavault.com/ui/#object/sent_email__v/VBLZ025E82GVZVY", "SE-000279601")</f>
        <v>SE-000279601</v>
      </c>
      <c r="D11611" s="1" t="s">
        <v>0</v>
      </c>
      <c r="E11611" s="2">
        <v>0</v>
      </c>
      <c r="F11611" s="2">
        <v>0</v>
      </c>
      <c r="G11611" s="2">
        <v>0</v>
      </c>
      <c r="H11611" s="1" t="s">
        <v>0</v>
      </c>
      <c r="I11611" s="2">
        <v>0</v>
      </c>
      <c r="J11611" s="1">
        <v>45922.50072916667</v>
      </c>
    </row>
    <row r="11612" spans="1:10" x14ac:dyDescent="0.2">
      <c r="A11612" s="4" t="s">
        <v>1</v>
      </c>
      <c r="B11612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12" s="3" t="str">
        <f>HYPERLINK("https://otsuka-europe-crm.veevavault.com/ui/#object/sent_email__v/VBLZ025E82GVZVZ", "SE-000279602")</f>
        <v>SE-000279602</v>
      </c>
      <c r="D11612" s="1">
        <v>45922.653935185182</v>
      </c>
      <c r="E11612" s="2">
        <v>1</v>
      </c>
      <c r="F11612" s="2">
        <v>1</v>
      </c>
      <c r="G11612" s="2">
        <v>0</v>
      </c>
      <c r="H11612" s="1" t="s">
        <v>0</v>
      </c>
      <c r="I11612" s="2">
        <v>0</v>
      </c>
      <c r="J11612" s="1">
        <v>45922.50072916667</v>
      </c>
    </row>
    <row r="11613" spans="1:10" x14ac:dyDescent="0.2">
      <c r="A11613" s="4" t="s">
        <v>1</v>
      </c>
      <c r="B11613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13" s="3" t="str">
        <f>HYPERLINK("https://otsuka-europe-crm.veevavault.com/ui/#object/sent_email__v/VBLZ025E82GVZW0", "SE-000279603")</f>
        <v>SE-000279603</v>
      </c>
      <c r="D11613" s="1" t="s">
        <v>0</v>
      </c>
      <c r="E11613" s="2">
        <v>0</v>
      </c>
      <c r="F11613" s="2">
        <v>0</v>
      </c>
      <c r="G11613" s="2">
        <v>0</v>
      </c>
      <c r="H11613" s="1" t="s">
        <v>0</v>
      </c>
      <c r="I11613" s="2">
        <v>0</v>
      </c>
      <c r="J11613" s="1">
        <v>45922.500740740739</v>
      </c>
    </row>
    <row r="11614" spans="1:10" x14ac:dyDescent="0.2">
      <c r="A11614" s="4" t="s">
        <v>1</v>
      </c>
      <c r="B11614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14" s="3" t="str">
        <f>HYPERLINK("https://otsuka-europe-crm.veevavault.com/ui/#object/sent_email__v/VBLZ025E82GVZYP", "SE-000279604")</f>
        <v>SE-000279604</v>
      </c>
      <c r="D11614" s="1">
        <v>45922.506006944444</v>
      </c>
      <c r="E11614" s="2">
        <v>1</v>
      </c>
      <c r="F11614" s="2">
        <v>1</v>
      </c>
      <c r="G11614" s="2">
        <v>0</v>
      </c>
      <c r="H11614" s="1" t="s">
        <v>0</v>
      </c>
      <c r="I11614" s="2">
        <v>0</v>
      </c>
      <c r="J11614" s="1">
        <v>45922.501689814817</v>
      </c>
    </row>
    <row r="11615" spans="1:10" x14ac:dyDescent="0.2">
      <c r="A11615" s="4" t="s">
        <v>1</v>
      </c>
      <c r="B11615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15" s="3" t="str">
        <f>HYPERLINK("https://otsuka-europe-crm.veevavault.com/ui/#object/sent_email__v/VBLZ025E82GVZYQ", "SE-000279605")</f>
        <v>SE-000279605</v>
      </c>
      <c r="D11615" s="1">
        <v>45925.473726851851</v>
      </c>
      <c r="E11615" s="2">
        <v>1</v>
      </c>
      <c r="F11615" s="2">
        <v>2</v>
      </c>
      <c r="G11615" s="2">
        <v>0</v>
      </c>
      <c r="H11615" s="1" t="s">
        <v>0</v>
      </c>
      <c r="I11615" s="2">
        <v>0</v>
      </c>
      <c r="J11615" s="1">
        <v>45922.501701388886</v>
      </c>
    </row>
    <row r="11616" spans="1:10" x14ac:dyDescent="0.2">
      <c r="A11616" s="4" t="s">
        <v>1</v>
      </c>
      <c r="B11616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16" s="3" t="str">
        <f>HYPERLINK("https://otsuka-europe-crm.veevavault.com/ui/#object/sent_email__v/VBLZ025E82GVZYR", "SE-000279606")</f>
        <v>SE-000279606</v>
      </c>
      <c r="D11616" s="1">
        <v>46002.804247685184</v>
      </c>
      <c r="E11616" s="2">
        <v>1</v>
      </c>
      <c r="F11616" s="2">
        <v>2</v>
      </c>
      <c r="G11616" s="2">
        <v>0</v>
      </c>
      <c r="H11616" s="1" t="s">
        <v>0</v>
      </c>
      <c r="I11616" s="2">
        <v>0</v>
      </c>
      <c r="J11616" s="1">
        <v>45922.501701388886</v>
      </c>
    </row>
    <row r="11617" spans="1:10" x14ac:dyDescent="0.2">
      <c r="A11617" s="4" t="s">
        <v>1</v>
      </c>
      <c r="B11617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17" s="3" t="str">
        <f>HYPERLINK("https://otsuka-europe-crm.veevavault.com/ui/#object/sent_email__v/VBLZ025E82GVZYS", "SE-000279607")</f>
        <v>SE-000279607</v>
      </c>
      <c r="D11617" s="1">
        <v>45925.020752314813</v>
      </c>
      <c r="E11617" s="2">
        <v>1</v>
      </c>
      <c r="F11617" s="2">
        <v>3</v>
      </c>
      <c r="G11617" s="2">
        <v>0</v>
      </c>
      <c r="H11617" s="1" t="s">
        <v>0</v>
      </c>
      <c r="I11617" s="2">
        <v>0</v>
      </c>
      <c r="J11617" s="1">
        <v>45922.501689814817</v>
      </c>
    </row>
    <row r="11618" spans="1:10" x14ac:dyDescent="0.2">
      <c r="A11618" s="4" t="s">
        <v>1</v>
      </c>
      <c r="B11618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18" s="3" t="str">
        <f>HYPERLINK("https://otsuka-europe-crm.veevavault.com/ui/#object/sent_email__v/VBLZ025E82GVZYT", "SE-000279608")</f>
        <v>SE-000279608</v>
      </c>
      <c r="D11618" s="1">
        <v>45923.34101851852</v>
      </c>
      <c r="E11618" s="2">
        <v>1</v>
      </c>
      <c r="F11618" s="2">
        <v>2</v>
      </c>
      <c r="G11618" s="2">
        <v>0</v>
      </c>
      <c r="H11618" s="1" t="s">
        <v>0</v>
      </c>
      <c r="I11618" s="2">
        <v>0</v>
      </c>
      <c r="J11618" s="1">
        <v>45922.501655092594</v>
      </c>
    </row>
    <row r="11619" spans="1:10" x14ac:dyDescent="0.2">
      <c r="A11619" s="4" t="s">
        <v>1</v>
      </c>
      <c r="B11619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19" s="3" t="str">
        <f>HYPERLINK("https://otsuka-europe-crm.veevavault.com/ui/#object/sent_email__v/VBLZ025E82GVZYU", "SE-000279609")</f>
        <v>SE-000279609</v>
      </c>
      <c r="D11619" s="1" t="s">
        <v>0</v>
      </c>
      <c r="E11619" s="2">
        <v>0</v>
      </c>
      <c r="F11619" s="2">
        <v>0</v>
      </c>
      <c r="G11619" s="2">
        <v>0</v>
      </c>
      <c r="H11619" s="1" t="s">
        <v>0</v>
      </c>
      <c r="I11619" s="2">
        <v>0</v>
      </c>
      <c r="J11619" s="1">
        <v>45922.501643518517</v>
      </c>
    </row>
    <row r="11620" spans="1:10" x14ac:dyDescent="0.2">
      <c r="A11620" s="4" t="s">
        <v>1</v>
      </c>
      <c r="B11620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20" s="3" t="str">
        <f>HYPERLINK("https://otsuka-europe-crm.veevavault.com/ui/#object/sent_email__v/VBLZ025E82GVZYV", "SE-000279610")</f>
        <v>SE-000279610</v>
      </c>
      <c r="D11620" s="1" t="s">
        <v>0</v>
      </c>
      <c r="E11620" s="2">
        <v>0</v>
      </c>
      <c r="F11620" s="2">
        <v>0</v>
      </c>
      <c r="G11620" s="2">
        <v>0</v>
      </c>
      <c r="H11620" s="1" t="s">
        <v>0</v>
      </c>
      <c r="I11620" s="2">
        <v>0</v>
      </c>
      <c r="J11620" s="1">
        <v>45922.501655092594</v>
      </c>
    </row>
    <row r="11621" spans="1:10" x14ac:dyDescent="0.2">
      <c r="A11621" s="4" t="s">
        <v>1</v>
      </c>
      <c r="B11621" s="3" t="str">
        <f>HYPERLINK("https://otsuka-europe-crm.veevavault.com/ui/#object/approved_document__v/V5OZ025E82TOM29", "LUP - 10 cuestiones para pensar: Albuminuria - reuma")</f>
        <v>LUP - 10 cuestiones para pensar: Albuminuria - reuma</v>
      </c>
      <c r="C11621" s="3" t="str">
        <f>HYPERLINK("https://otsuka-europe-crm.veevavault.com/ui/#object/sent_email__v/VBLZ025E82GVZYW", "SE-000279611")</f>
        <v>SE-000279611</v>
      </c>
      <c r="D11621" s="1" t="s">
        <v>0</v>
      </c>
      <c r="E11621" s="2">
        <v>0</v>
      </c>
      <c r="F11621" s="2">
        <v>0</v>
      </c>
      <c r="G11621" s="2">
        <v>0</v>
      </c>
      <c r="H11621" s="1" t="s">
        <v>0</v>
      </c>
      <c r="I11621" s="2">
        <v>0</v>
      </c>
      <c r="J11621" s="1">
        <v>45922.501666666663</v>
      </c>
    </row>
    <row r="11622" spans="1:10" x14ac:dyDescent="0.2">
      <c r="A11622" s="4" t="s">
        <v>1</v>
      </c>
      <c r="B1162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22" s="3" t="str">
        <f>HYPERLINK("https://otsuka-europe-crm.veevavault.com/ui/#object/sent_email__v/VBLZ025E82HIMP9", "SE-000286786")</f>
        <v>SE-000286786</v>
      </c>
      <c r="D11622" s="1">
        <v>45943.925266203703</v>
      </c>
      <c r="E11622" s="2">
        <v>1</v>
      </c>
      <c r="F11622" s="2">
        <v>5</v>
      </c>
      <c r="G11622" s="2">
        <v>1</v>
      </c>
      <c r="H11622" s="1">
        <v>45943.444282407407</v>
      </c>
      <c r="I11622" s="2">
        <v>4</v>
      </c>
      <c r="J11622" s="1">
        <v>45943.442453703705</v>
      </c>
    </row>
    <row r="11623" spans="1:10" x14ac:dyDescent="0.2">
      <c r="A11623" s="4" t="s">
        <v>1</v>
      </c>
      <c r="B1162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23" s="3" t="str">
        <f>HYPERLINK("https://otsuka-europe-crm.veevavault.com/ui/#object/sent_email__v/VBLZ025E82HJVRH", "SE-000287012")</f>
        <v>SE-000287012</v>
      </c>
      <c r="D11623" s="1">
        <v>45975.89340277778</v>
      </c>
      <c r="E11623" s="2">
        <v>1</v>
      </c>
      <c r="F11623" s="2">
        <v>2</v>
      </c>
      <c r="G11623" s="2">
        <v>1</v>
      </c>
      <c r="H11623" s="1">
        <v>45973.714525462965</v>
      </c>
      <c r="I11623" s="2">
        <v>1</v>
      </c>
      <c r="J11623" s="1">
        <v>45944.453784722224</v>
      </c>
    </row>
    <row r="11624" spans="1:10" x14ac:dyDescent="0.2">
      <c r="A11624" s="4" t="s">
        <v>1</v>
      </c>
      <c r="B1162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24" s="3" t="str">
        <f>HYPERLINK("https://otsuka-europe-crm.veevavault.com/ui/#object/sent_email__v/VBLZ025E82HJVRI", "SE-000287013")</f>
        <v>SE-000287013</v>
      </c>
      <c r="D11624" s="1">
        <v>45944.570601851854</v>
      </c>
      <c r="E11624" s="2">
        <v>1</v>
      </c>
      <c r="F11624" s="2">
        <v>1</v>
      </c>
      <c r="G11624" s="2">
        <v>0</v>
      </c>
      <c r="H11624" s="1" t="s">
        <v>0</v>
      </c>
      <c r="I11624" s="2">
        <v>0</v>
      </c>
      <c r="J11624" s="1">
        <v>45944.45380787037</v>
      </c>
    </row>
    <row r="11625" spans="1:10" x14ac:dyDescent="0.2">
      <c r="A11625" s="4" t="s">
        <v>1</v>
      </c>
      <c r="B1162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25" s="3" t="str">
        <f>HYPERLINK("https://otsuka-europe-crm.veevavault.com/ui/#object/sent_email__v/VBLZ025E82HJVRJ", "SE-000287014")</f>
        <v>SE-000287014</v>
      </c>
      <c r="D11625" s="1">
        <v>45944.90079861111</v>
      </c>
      <c r="E11625" s="2">
        <v>1</v>
      </c>
      <c r="F11625" s="2">
        <v>1</v>
      </c>
      <c r="G11625" s="2">
        <v>0</v>
      </c>
      <c r="H11625" s="1" t="s">
        <v>0</v>
      </c>
      <c r="I11625" s="2">
        <v>0</v>
      </c>
      <c r="J11625" s="1">
        <v>45944.45380787037</v>
      </c>
    </row>
    <row r="11626" spans="1:10" x14ac:dyDescent="0.2">
      <c r="A11626" s="4" t="s">
        <v>1</v>
      </c>
      <c r="B1162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26" s="3" t="str">
        <f>HYPERLINK("https://otsuka-europe-crm.veevavault.com/ui/#object/sent_email__v/VBLZ025E82HJVRK", "SE-000287015")</f>
        <v>SE-000287015</v>
      </c>
      <c r="D11626" s="1">
        <v>45946.266516203701</v>
      </c>
      <c r="E11626" s="2">
        <v>1</v>
      </c>
      <c r="F11626" s="2">
        <v>1</v>
      </c>
      <c r="G11626" s="2">
        <v>0</v>
      </c>
      <c r="H11626" s="1" t="s">
        <v>0</v>
      </c>
      <c r="I11626" s="2">
        <v>0</v>
      </c>
      <c r="J11626" s="1">
        <v>45944.453773148147</v>
      </c>
    </row>
    <row r="11627" spans="1:10" x14ac:dyDescent="0.2">
      <c r="A11627" s="4" t="s">
        <v>1</v>
      </c>
      <c r="B1162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27" s="3" t="str">
        <f>HYPERLINK("https://otsuka-europe-crm.veevavault.com/ui/#object/sent_email__v/VBLZ025E82HJVRL", "SE-000287016")</f>
        <v>SE-000287016</v>
      </c>
      <c r="D11627" s="1">
        <v>45944.6015625</v>
      </c>
      <c r="E11627" s="2">
        <v>1</v>
      </c>
      <c r="F11627" s="2">
        <v>1</v>
      </c>
      <c r="G11627" s="2">
        <v>0</v>
      </c>
      <c r="H11627" s="1" t="s">
        <v>0</v>
      </c>
      <c r="I11627" s="2">
        <v>0</v>
      </c>
      <c r="J11627" s="1">
        <v>45944.453761574077</v>
      </c>
    </row>
    <row r="11628" spans="1:10" x14ac:dyDescent="0.2">
      <c r="A11628" s="4" t="s">
        <v>1</v>
      </c>
      <c r="B1162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28" s="3" t="str">
        <f>HYPERLINK("https://otsuka-europe-crm.veevavault.com/ui/#object/sent_email__v/VBLZ025E82HJVRM", "SE-000287017")</f>
        <v>SE-000287017</v>
      </c>
      <c r="D11628" s="1" t="s">
        <v>0</v>
      </c>
      <c r="E11628" s="2">
        <v>0</v>
      </c>
      <c r="F11628" s="2">
        <v>0</v>
      </c>
      <c r="G11628" s="2">
        <v>0</v>
      </c>
      <c r="H11628" s="1" t="s">
        <v>0</v>
      </c>
      <c r="I11628" s="2">
        <v>0</v>
      </c>
      <c r="J11628" s="1">
        <v>45944.453761574077</v>
      </c>
    </row>
    <row r="11629" spans="1:10" x14ac:dyDescent="0.2">
      <c r="A11629" s="4" t="s">
        <v>1</v>
      </c>
      <c r="B1162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29" s="3" t="str">
        <f>HYPERLINK("https://otsuka-europe-crm.veevavault.com/ui/#object/sent_email__v/VBLZ025E82HJVRN", "SE-000287018")</f>
        <v>SE-000287018</v>
      </c>
      <c r="D11629" s="1">
        <v>45944.454432870371</v>
      </c>
      <c r="E11629" s="2">
        <v>1</v>
      </c>
      <c r="F11629" s="2">
        <v>1</v>
      </c>
      <c r="G11629" s="2">
        <v>0</v>
      </c>
      <c r="H11629" s="1" t="s">
        <v>0</v>
      </c>
      <c r="I11629" s="2">
        <v>0</v>
      </c>
      <c r="J11629" s="1">
        <v>45944.453831018516</v>
      </c>
    </row>
    <row r="11630" spans="1:10" x14ac:dyDescent="0.2">
      <c r="A11630" s="4" t="s">
        <v>1</v>
      </c>
      <c r="B1163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30" s="3" t="str">
        <f>HYPERLINK("https://otsuka-europe-crm.veevavault.com/ui/#object/sent_email__v/VBLZ025E82HJVRO", "SE-000287019")</f>
        <v>SE-000287019</v>
      </c>
      <c r="D11630" s="1" t="s">
        <v>0</v>
      </c>
      <c r="E11630" s="2">
        <v>0</v>
      </c>
      <c r="F11630" s="2">
        <v>0</v>
      </c>
      <c r="G11630" s="2">
        <v>0</v>
      </c>
      <c r="H11630" s="1" t="s">
        <v>0</v>
      </c>
      <c r="I11630" s="2">
        <v>0</v>
      </c>
      <c r="J11630" s="1">
        <v>45944.45380787037</v>
      </c>
    </row>
    <row r="11631" spans="1:10" x14ac:dyDescent="0.2">
      <c r="A11631" s="4" t="s">
        <v>1</v>
      </c>
      <c r="B1163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31" s="3" t="str">
        <f>HYPERLINK("https://otsuka-europe-crm.veevavault.com/ui/#object/sent_email__v/VBLZ025E82HJVRP", "SE-000287020")</f>
        <v>SE-000287020</v>
      </c>
      <c r="D11631" s="1" t="s">
        <v>0</v>
      </c>
      <c r="E11631" s="2">
        <v>0</v>
      </c>
      <c r="F11631" s="2">
        <v>0</v>
      </c>
      <c r="G11631" s="2">
        <v>0</v>
      </c>
      <c r="H11631" s="1" t="s">
        <v>0</v>
      </c>
      <c r="I11631" s="2">
        <v>0</v>
      </c>
      <c r="J11631" s="1">
        <v>45944.45385416667</v>
      </c>
    </row>
    <row r="11632" spans="1:10" x14ac:dyDescent="0.2">
      <c r="A11632" s="4" t="s">
        <v>1</v>
      </c>
      <c r="B1163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32" s="3" t="str">
        <f>HYPERLINK("https://otsuka-europe-crm.veevavault.com/ui/#object/sent_email__v/VBLZ025E82HJVRQ", "SE-000287021")</f>
        <v>SE-000287021</v>
      </c>
      <c r="D11632" s="1" t="s">
        <v>0</v>
      </c>
      <c r="E11632" s="2">
        <v>0</v>
      </c>
      <c r="F11632" s="2">
        <v>0</v>
      </c>
      <c r="G11632" s="2">
        <v>0</v>
      </c>
      <c r="H11632" s="1" t="s">
        <v>0</v>
      </c>
      <c r="I11632" s="2">
        <v>0</v>
      </c>
      <c r="J11632" s="1">
        <v>45944.45385416667</v>
      </c>
    </row>
    <row r="11633" spans="1:10" x14ac:dyDescent="0.2">
      <c r="A11633" s="4" t="s">
        <v>1</v>
      </c>
      <c r="B1163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33" s="3" t="str">
        <f>HYPERLINK("https://otsuka-europe-crm.veevavault.com/ui/#object/sent_email__v/VBLZ025E82HJVRR", "SE-000287022")</f>
        <v>SE-000287022</v>
      </c>
      <c r="D11633" s="1" t="s">
        <v>0</v>
      </c>
      <c r="E11633" s="2">
        <v>0</v>
      </c>
      <c r="F11633" s="2">
        <v>0</v>
      </c>
      <c r="G11633" s="2">
        <v>0</v>
      </c>
      <c r="H11633" s="1" t="s">
        <v>0</v>
      </c>
      <c r="I11633" s="2">
        <v>0</v>
      </c>
      <c r="J11633" s="1">
        <v>45944.453784722224</v>
      </c>
    </row>
    <row r="11634" spans="1:10" x14ac:dyDescent="0.2">
      <c r="A11634" s="4" t="s">
        <v>1</v>
      </c>
      <c r="B1163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34" s="3" t="str">
        <f>HYPERLINK("https://otsuka-europe-crm.veevavault.com/ui/#object/sent_email__v/VBLZ025E82HJVRS", "SE-000287023")</f>
        <v>SE-000287023</v>
      </c>
      <c r="D11634" s="1">
        <v>45944.964432870373</v>
      </c>
      <c r="E11634" s="2">
        <v>1</v>
      </c>
      <c r="F11634" s="2">
        <v>1</v>
      </c>
      <c r="G11634" s="2">
        <v>0</v>
      </c>
      <c r="H11634" s="1" t="s">
        <v>0</v>
      </c>
      <c r="I11634" s="2">
        <v>0</v>
      </c>
      <c r="J11634" s="1">
        <v>45944.453784722224</v>
      </c>
    </row>
    <row r="11635" spans="1:10" x14ac:dyDescent="0.2">
      <c r="A11635" s="4" t="s">
        <v>1</v>
      </c>
      <c r="B1163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35" s="3" t="str">
        <f>HYPERLINK("https://otsuka-europe-crm.veevavault.com/ui/#object/sent_email__v/VBLZ025E82HJVRT", "SE-000287024")</f>
        <v>SE-000287024</v>
      </c>
      <c r="D11635" s="1">
        <v>45944.546527777777</v>
      </c>
      <c r="E11635" s="2">
        <v>1</v>
      </c>
      <c r="F11635" s="2">
        <v>1</v>
      </c>
      <c r="G11635" s="2">
        <v>0</v>
      </c>
      <c r="H11635" s="1" t="s">
        <v>0</v>
      </c>
      <c r="I11635" s="2">
        <v>0</v>
      </c>
      <c r="J11635" s="1">
        <v>45944.453831018516</v>
      </c>
    </row>
    <row r="11636" spans="1:10" x14ac:dyDescent="0.2">
      <c r="A11636" s="4" t="s">
        <v>1</v>
      </c>
      <c r="B1163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36" s="3" t="str">
        <f>HYPERLINK("https://otsuka-europe-crm.veevavault.com/ui/#object/sent_email__v/VBLZ025E82HJVRU", "SE-000287025")</f>
        <v>SE-000287025</v>
      </c>
      <c r="D11636" s="1" t="s">
        <v>0</v>
      </c>
      <c r="E11636" s="2">
        <v>0</v>
      </c>
      <c r="F11636" s="2">
        <v>0</v>
      </c>
      <c r="G11636" s="2">
        <v>0</v>
      </c>
      <c r="H11636" s="1" t="s">
        <v>0</v>
      </c>
      <c r="I11636" s="2">
        <v>0</v>
      </c>
      <c r="J11636" s="1">
        <v>45944.453819444447</v>
      </c>
    </row>
    <row r="11637" spans="1:10" x14ac:dyDescent="0.2">
      <c r="A11637" s="4" t="s">
        <v>1</v>
      </c>
      <c r="B1163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37" s="3" t="str">
        <f>HYPERLINK("https://otsuka-europe-crm.veevavault.com/ui/#object/sent_email__v/VBLZ025E82HJVRV", "SE-000287026")</f>
        <v>SE-000287026</v>
      </c>
      <c r="D11637" s="1">
        <v>45944.849016203705</v>
      </c>
      <c r="E11637" s="2">
        <v>1</v>
      </c>
      <c r="F11637" s="2">
        <v>1</v>
      </c>
      <c r="G11637" s="2">
        <v>0</v>
      </c>
      <c r="H11637" s="1" t="s">
        <v>0</v>
      </c>
      <c r="I11637" s="2">
        <v>0</v>
      </c>
      <c r="J11637" s="1">
        <v>45944.45385416667</v>
      </c>
    </row>
    <row r="11638" spans="1:10" x14ac:dyDescent="0.2">
      <c r="A11638" s="4" t="s">
        <v>1</v>
      </c>
      <c r="B1163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38" s="3" t="str">
        <f>HYPERLINK("https://otsuka-europe-crm.veevavault.com/ui/#object/sent_email__v/VBLZ025E82HJVRW", "SE-000287027")</f>
        <v>SE-000287027</v>
      </c>
      <c r="D11638" s="1">
        <v>45944.744270833333</v>
      </c>
      <c r="E11638" s="2">
        <v>1</v>
      </c>
      <c r="F11638" s="2">
        <v>1</v>
      </c>
      <c r="G11638" s="2">
        <v>0</v>
      </c>
      <c r="H11638" s="1" t="s">
        <v>0</v>
      </c>
      <c r="I11638" s="2">
        <v>0</v>
      </c>
      <c r="J11638" s="1">
        <v>45944.453865740739</v>
      </c>
    </row>
    <row r="11639" spans="1:10" x14ac:dyDescent="0.2">
      <c r="A11639" s="4" t="s">
        <v>1</v>
      </c>
      <c r="B1163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39" s="3" t="str">
        <f>HYPERLINK("https://otsuka-europe-crm.veevavault.com/ui/#object/sent_email__v/VBLZ025E82HJVRX", "SE-000287028")</f>
        <v>SE-000287028</v>
      </c>
      <c r="D11639" s="1">
        <v>45944.482905092591</v>
      </c>
      <c r="E11639" s="2">
        <v>1</v>
      </c>
      <c r="F11639" s="2">
        <v>1</v>
      </c>
      <c r="G11639" s="2">
        <v>0</v>
      </c>
      <c r="H11639" s="1" t="s">
        <v>0</v>
      </c>
      <c r="I11639" s="2">
        <v>0</v>
      </c>
      <c r="J11639" s="1">
        <v>45944.453877314816</v>
      </c>
    </row>
    <row r="11640" spans="1:10" x14ac:dyDescent="0.2">
      <c r="A11640" s="4" t="s">
        <v>1</v>
      </c>
      <c r="B1164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40" s="3" t="str">
        <f>HYPERLINK("https://otsuka-europe-crm.veevavault.com/ui/#object/sent_email__v/VBLZ025E82HJVZT", "SE-000287037")</f>
        <v>SE-000287037</v>
      </c>
      <c r="D11640" s="1">
        <v>45944.781759259262</v>
      </c>
      <c r="E11640" s="2">
        <v>1</v>
      </c>
      <c r="F11640" s="2">
        <v>2</v>
      </c>
      <c r="G11640" s="2">
        <v>1</v>
      </c>
      <c r="H11640" s="1">
        <v>45944.747557870367</v>
      </c>
      <c r="I11640" s="2">
        <v>2</v>
      </c>
      <c r="J11640" s="1">
        <v>45944.454953703702</v>
      </c>
    </row>
    <row r="11641" spans="1:10" x14ac:dyDescent="0.2">
      <c r="A11641" s="4" t="s">
        <v>1</v>
      </c>
      <c r="B1164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41" s="3" t="str">
        <f>HYPERLINK("https://otsuka-europe-crm.veevavault.com/ui/#object/sent_email__v/VBLZ025E82HJVZU", "SE-000287038")</f>
        <v>SE-000287038</v>
      </c>
      <c r="D11641" s="1" t="s">
        <v>0</v>
      </c>
      <c r="E11641" s="2">
        <v>0</v>
      </c>
      <c r="F11641" s="2">
        <v>0</v>
      </c>
      <c r="G11641" s="2">
        <v>0</v>
      </c>
      <c r="H11641" s="1" t="s">
        <v>0</v>
      </c>
      <c r="I11641" s="2">
        <v>0</v>
      </c>
      <c r="J11641" s="1">
        <v>45944.454965277779</v>
      </c>
    </row>
    <row r="11642" spans="1:10" x14ac:dyDescent="0.2">
      <c r="A11642" s="4" t="s">
        <v>1</v>
      </c>
      <c r="B1164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42" s="3" t="str">
        <f>HYPERLINK("https://otsuka-europe-crm.veevavault.com/ui/#object/sent_email__v/VBLZ025E82HJVZV", "SE-000287039")</f>
        <v>SE-000287039</v>
      </c>
      <c r="D11642" s="1">
        <v>45945.70208333333</v>
      </c>
      <c r="E11642" s="2">
        <v>1</v>
      </c>
      <c r="F11642" s="2">
        <v>4</v>
      </c>
      <c r="G11642" s="2">
        <v>0</v>
      </c>
      <c r="H11642" s="1" t="s">
        <v>0</v>
      </c>
      <c r="I11642" s="2">
        <v>0</v>
      </c>
      <c r="J11642" s="1">
        <v>45944.454953703702</v>
      </c>
    </row>
    <row r="11643" spans="1:10" x14ac:dyDescent="0.2">
      <c r="A11643" s="4" t="s">
        <v>1</v>
      </c>
      <c r="B1164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43" s="3" t="str">
        <f>HYPERLINK("https://otsuka-europe-crm.veevavault.com/ui/#object/sent_email__v/VBLZ025E82HJVZW", "SE-000287040")</f>
        <v>SE-000287040</v>
      </c>
      <c r="D11643" s="1">
        <v>45945.927627314813</v>
      </c>
      <c r="E11643" s="2">
        <v>1</v>
      </c>
      <c r="F11643" s="2">
        <v>2</v>
      </c>
      <c r="G11643" s="2">
        <v>0</v>
      </c>
      <c r="H11643" s="1" t="s">
        <v>0</v>
      </c>
      <c r="I11643" s="2">
        <v>0</v>
      </c>
      <c r="J11643" s="1">
        <v>45944.454976851855</v>
      </c>
    </row>
    <row r="11644" spans="1:10" x14ac:dyDescent="0.2">
      <c r="A11644" s="4" t="s">
        <v>1</v>
      </c>
      <c r="B1164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44" s="3" t="str">
        <f>HYPERLINK("https://otsuka-europe-crm.veevavault.com/ui/#object/sent_email__v/VBLZ025E82HJVZX", "SE-000287041")</f>
        <v>SE-000287041</v>
      </c>
      <c r="D11644" s="1" t="s">
        <v>0</v>
      </c>
      <c r="E11644" s="2">
        <v>0</v>
      </c>
      <c r="F11644" s="2">
        <v>0</v>
      </c>
      <c r="G11644" s="2">
        <v>0</v>
      </c>
      <c r="H11644" s="1" t="s">
        <v>0</v>
      </c>
      <c r="I11644" s="2">
        <v>0</v>
      </c>
      <c r="J11644" s="1">
        <v>45944.455000000002</v>
      </c>
    </row>
    <row r="11645" spans="1:10" x14ac:dyDescent="0.2">
      <c r="A11645" s="4" t="s">
        <v>1</v>
      </c>
      <c r="B1164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45" s="3" t="str">
        <f>HYPERLINK("https://otsuka-europe-crm.veevavault.com/ui/#object/sent_email__v/VBLZ025E82HJVZY", "SE-000287042")</f>
        <v>SE-000287042</v>
      </c>
      <c r="D11645" s="1" t="s">
        <v>0</v>
      </c>
      <c r="E11645" s="2">
        <v>0</v>
      </c>
      <c r="F11645" s="2">
        <v>0</v>
      </c>
      <c r="G11645" s="2">
        <v>0</v>
      </c>
      <c r="H11645" s="1" t="s">
        <v>0</v>
      </c>
      <c r="I11645" s="2">
        <v>0</v>
      </c>
      <c r="J11645" s="1">
        <v>45944.454988425925</v>
      </c>
    </row>
    <row r="11646" spans="1:10" x14ac:dyDescent="0.2">
      <c r="A11646" s="4" t="s">
        <v>1</v>
      </c>
      <c r="B1164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46" s="3" t="str">
        <f>HYPERLINK("https://otsuka-europe-crm.veevavault.com/ui/#object/sent_email__v/VBLZ025E82HJVZZ", "SE-000287043")</f>
        <v>SE-000287043</v>
      </c>
      <c r="D11646" s="1" t="s">
        <v>0</v>
      </c>
      <c r="E11646" s="2">
        <v>0</v>
      </c>
      <c r="F11646" s="2">
        <v>0</v>
      </c>
      <c r="G11646" s="2">
        <v>0</v>
      </c>
      <c r="H11646" s="1" t="s">
        <v>0</v>
      </c>
      <c r="I11646" s="2">
        <v>0</v>
      </c>
      <c r="J11646" s="1">
        <v>45944.455011574071</v>
      </c>
    </row>
    <row r="11647" spans="1:10" x14ac:dyDescent="0.2">
      <c r="A11647" s="4" t="s">
        <v>1</v>
      </c>
      <c r="B1164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47" s="3" t="str">
        <f>HYPERLINK("https://otsuka-europe-crm.veevavault.com/ui/#object/sent_email__v/VBLZ025E82HJW00", "SE-000287044")</f>
        <v>SE-000287044</v>
      </c>
      <c r="D11647" s="1">
        <v>45944.736331018517</v>
      </c>
      <c r="E11647" s="2">
        <v>1</v>
      </c>
      <c r="F11647" s="2">
        <v>2</v>
      </c>
      <c r="G11647" s="2">
        <v>0</v>
      </c>
      <c r="H11647" s="1" t="s">
        <v>0</v>
      </c>
      <c r="I11647" s="2">
        <v>0</v>
      </c>
      <c r="J11647" s="1">
        <v>45944.454942129632</v>
      </c>
    </row>
    <row r="11648" spans="1:10" x14ac:dyDescent="0.2">
      <c r="A11648" s="4" t="s">
        <v>1</v>
      </c>
      <c r="B1164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48" s="3" t="str">
        <f>HYPERLINK("https://otsuka-europe-crm.veevavault.com/ui/#object/sent_email__v/VBLZ025E82HJW01", "SE-000287045")</f>
        <v>SE-000287045</v>
      </c>
      <c r="D11648" s="1">
        <v>45945.991828703707</v>
      </c>
      <c r="E11648" s="2">
        <v>1</v>
      </c>
      <c r="F11648" s="2">
        <v>1</v>
      </c>
      <c r="G11648" s="2">
        <v>0</v>
      </c>
      <c r="H11648" s="1" t="s">
        <v>0</v>
      </c>
      <c r="I11648" s="2">
        <v>0</v>
      </c>
      <c r="J11648" s="1">
        <v>45944.454942129632</v>
      </c>
    </row>
    <row r="11649" spans="1:10" x14ac:dyDescent="0.2">
      <c r="A11649" s="4" t="s">
        <v>1</v>
      </c>
      <c r="B1164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49" s="3" t="str">
        <f>HYPERLINK("https://otsuka-europe-crm.veevavault.com/ui/#object/sent_email__v/VBLZ025E82HJW02", "SE-000287046")</f>
        <v>SE-000287046</v>
      </c>
      <c r="D11649" s="1">
        <v>45944.804236111115</v>
      </c>
      <c r="E11649" s="2">
        <v>1</v>
      </c>
      <c r="F11649" s="2">
        <v>2</v>
      </c>
      <c r="G11649" s="2">
        <v>0</v>
      </c>
      <c r="H11649" s="1" t="s">
        <v>0</v>
      </c>
      <c r="I11649" s="2">
        <v>0</v>
      </c>
      <c r="J11649" s="1">
        <v>45944.455011574071</v>
      </c>
    </row>
    <row r="11650" spans="1:10" x14ac:dyDescent="0.2">
      <c r="A11650" s="4" t="s">
        <v>1</v>
      </c>
      <c r="B1165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50" s="3" t="str">
        <f>HYPERLINK("https://otsuka-europe-crm.veevavault.com/ui/#object/sent_email__v/VBLZ025E82HJW03", "SE-000287047")</f>
        <v>SE-000287047</v>
      </c>
      <c r="D11650" s="1">
        <v>45944.746215277781</v>
      </c>
      <c r="E11650" s="2">
        <v>1</v>
      </c>
      <c r="F11650" s="2">
        <v>1</v>
      </c>
      <c r="G11650" s="2">
        <v>0</v>
      </c>
      <c r="H11650" s="1" t="s">
        <v>0</v>
      </c>
      <c r="I11650" s="2">
        <v>0</v>
      </c>
      <c r="J11650" s="1">
        <v>45944.455023148148</v>
      </c>
    </row>
    <row r="11651" spans="1:10" x14ac:dyDescent="0.2">
      <c r="A11651" s="4" t="s">
        <v>1</v>
      </c>
      <c r="B1165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51" s="3" t="str">
        <f>HYPERLINK("https://otsuka-europe-crm.veevavault.com/ui/#object/sent_email__v/VBLZ025E82HJW04", "SE-000287048")</f>
        <v>SE-000287048</v>
      </c>
      <c r="D11651" s="1">
        <v>45944.987210648149</v>
      </c>
      <c r="E11651" s="2">
        <v>1</v>
      </c>
      <c r="F11651" s="2">
        <v>1</v>
      </c>
      <c r="G11651" s="2">
        <v>0</v>
      </c>
      <c r="H11651" s="1" t="s">
        <v>0</v>
      </c>
      <c r="I11651" s="2">
        <v>0</v>
      </c>
      <c r="J11651" s="1">
        <v>45944.455000000002</v>
      </c>
    </row>
    <row r="11652" spans="1:10" x14ac:dyDescent="0.2">
      <c r="A11652" s="4" t="s">
        <v>1</v>
      </c>
      <c r="B1165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52" s="3" t="str">
        <f>HYPERLINK("https://otsuka-europe-crm.veevavault.com/ui/#object/sent_email__v/VBLZ025E82HJYXD", "SE-000287081")</f>
        <v>SE-000287081</v>
      </c>
      <c r="D11652" s="1">
        <v>45944.667060185187</v>
      </c>
      <c r="E11652" s="2">
        <v>1</v>
      </c>
      <c r="F11652" s="2">
        <v>1</v>
      </c>
      <c r="G11652" s="2">
        <v>0</v>
      </c>
      <c r="H11652" s="1" t="s">
        <v>0</v>
      </c>
      <c r="I11652" s="2">
        <v>0</v>
      </c>
      <c r="J11652" s="1">
        <v>45944.4765162037</v>
      </c>
    </row>
    <row r="11653" spans="1:10" x14ac:dyDescent="0.2">
      <c r="A11653" s="4" t="s">
        <v>1</v>
      </c>
      <c r="B1165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53" s="3" t="str">
        <f>HYPERLINK("https://otsuka-europe-crm.veevavault.com/ui/#object/sent_email__v/VBLZ025E82HJYXE", "SE-000287082")</f>
        <v>SE-000287082</v>
      </c>
      <c r="D11653" s="1">
        <v>45945.390138888892</v>
      </c>
      <c r="E11653" s="2">
        <v>1</v>
      </c>
      <c r="F11653" s="2">
        <v>1</v>
      </c>
      <c r="G11653" s="2">
        <v>0</v>
      </c>
      <c r="H11653" s="1" t="s">
        <v>0</v>
      </c>
      <c r="I11653" s="2">
        <v>0</v>
      </c>
      <c r="J11653" s="1">
        <v>45944.4766087963</v>
      </c>
    </row>
    <row r="11654" spans="1:10" x14ac:dyDescent="0.2">
      <c r="A11654" s="4" t="s">
        <v>1</v>
      </c>
      <c r="B1165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54" s="3" t="str">
        <f>HYPERLINK("https://otsuka-europe-crm.veevavault.com/ui/#object/sent_email__v/VBLZ025E82HJYXF", "SE-000287083")</f>
        <v>SE-000287083</v>
      </c>
      <c r="D11654" s="1">
        <v>45945.742743055554</v>
      </c>
      <c r="E11654" s="2">
        <v>1</v>
      </c>
      <c r="F11654" s="2">
        <v>1</v>
      </c>
      <c r="G11654" s="2">
        <v>0</v>
      </c>
      <c r="H11654" s="1" t="s">
        <v>0</v>
      </c>
      <c r="I11654" s="2">
        <v>0</v>
      </c>
      <c r="J11654" s="1">
        <v>45944.476481481484</v>
      </c>
    </row>
    <row r="11655" spans="1:10" x14ac:dyDescent="0.2">
      <c r="A11655" s="4" t="s">
        <v>1</v>
      </c>
      <c r="B1165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55" s="3" t="str">
        <f>HYPERLINK("https://otsuka-europe-crm.veevavault.com/ui/#object/sent_email__v/VBLZ025E82HJYXG", "SE-000287084")</f>
        <v>SE-000287084</v>
      </c>
      <c r="D11655" s="1">
        <v>45945.410763888889</v>
      </c>
      <c r="E11655" s="2">
        <v>1</v>
      </c>
      <c r="F11655" s="2">
        <v>5</v>
      </c>
      <c r="G11655" s="2">
        <v>0</v>
      </c>
      <c r="H11655" s="1" t="s">
        <v>0</v>
      </c>
      <c r="I11655" s="2">
        <v>0</v>
      </c>
      <c r="J11655" s="1">
        <v>45944.476597222223</v>
      </c>
    </row>
    <row r="11656" spans="1:10" x14ac:dyDescent="0.2">
      <c r="A11656" s="4" t="s">
        <v>1</v>
      </c>
      <c r="B1165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56" s="3" t="str">
        <f>HYPERLINK("https://otsuka-europe-crm.veevavault.com/ui/#object/sent_email__v/VBLZ025E82HJYXH", "SE-000287085")</f>
        <v>SE-000287085</v>
      </c>
      <c r="D11656" s="1">
        <v>45944.702523148146</v>
      </c>
      <c r="E11656" s="2">
        <v>1</v>
      </c>
      <c r="F11656" s="2">
        <v>1</v>
      </c>
      <c r="G11656" s="2">
        <v>0</v>
      </c>
      <c r="H11656" s="1" t="s">
        <v>0</v>
      </c>
      <c r="I11656" s="2">
        <v>0</v>
      </c>
      <c r="J11656" s="1">
        <v>45944.476469907408</v>
      </c>
    </row>
    <row r="11657" spans="1:10" x14ac:dyDescent="0.2">
      <c r="A11657" s="4" t="s">
        <v>1</v>
      </c>
      <c r="B1165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57" s="3" t="str">
        <f>HYPERLINK("https://otsuka-europe-crm.veevavault.com/ui/#object/sent_email__v/VBLZ025E82HJYXI", "SE-000287086")</f>
        <v>SE-000287086</v>
      </c>
      <c r="D11657" s="1" t="s">
        <v>0</v>
      </c>
      <c r="E11657" s="2">
        <v>0</v>
      </c>
      <c r="F11657" s="2">
        <v>0</v>
      </c>
      <c r="G11657" s="2">
        <v>0</v>
      </c>
      <c r="H11657" s="1" t="s">
        <v>0</v>
      </c>
      <c r="I11657" s="2">
        <v>0</v>
      </c>
      <c r="J11657" s="1">
        <v>45944.476585648146</v>
      </c>
    </row>
    <row r="11658" spans="1:10" x14ac:dyDescent="0.2">
      <c r="A11658" s="4" t="s">
        <v>1</v>
      </c>
      <c r="B1165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58" s="3" t="str">
        <f>HYPERLINK("https://otsuka-europe-crm.veevavault.com/ui/#object/sent_email__v/VBLZ025E82HJYXJ", "SE-000287087")</f>
        <v>SE-000287087</v>
      </c>
      <c r="D11658" s="1" t="s">
        <v>0</v>
      </c>
      <c r="E11658" s="2">
        <v>0</v>
      </c>
      <c r="F11658" s="2">
        <v>0</v>
      </c>
      <c r="G11658" s="2">
        <v>0</v>
      </c>
      <c r="H11658" s="1" t="s">
        <v>0</v>
      </c>
      <c r="I11658" s="2">
        <v>0</v>
      </c>
      <c r="J11658" s="1">
        <v>45944.476458333331</v>
      </c>
    </row>
    <row r="11659" spans="1:10" x14ac:dyDescent="0.2">
      <c r="A11659" s="4" t="s">
        <v>1</v>
      </c>
      <c r="B1165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59" s="3" t="str">
        <f>HYPERLINK("https://otsuka-europe-crm.veevavault.com/ui/#object/sent_email__v/VBLZ025E82HJYXK", "SE-000287088")</f>
        <v>SE-000287088</v>
      </c>
      <c r="D11659" s="1">
        <v>45944.540405092594</v>
      </c>
      <c r="E11659" s="2">
        <v>1</v>
      </c>
      <c r="F11659" s="2">
        <v>2</v>
      </c>
      <c r="G11659" s="2">
        <v>0</v>
      </c>
      <c r="H11659" s="1" t="s">
        <v>0</v>
      </c>
      <c r="I11659" s="2">
        <v>0</v>
      </c>
      <c r="J11659" s="1">
        <v>45944.476597222223</v>
      </c>
    </row>
    <row r="11660" spans="1:10" x14ac:dyDescent="0.2">
      <c r="A11660" s="4" t="s">
        <v>1</v>
      </c>
      <c r="B1166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60" s="3" t="str">
        <f>HYPERLINK("https://otsuka-europe-crm.veevavault.com/ui/#object/sent_email__v/VBLZ025E82HJYXL", "SE-000287089")</f>
        <v>SE-000287089</v>
      </c>
      <c r="D11660" s="1" t="s">
        <v>0</v>
      </c>
      <c r="E11660" s="2">
        <v>0</v>
      </c>
      <c r="F11660" s="2">
        <v>0</v>
      </c>
      <c r="G11660" s="2">
        <v>0</v>
      </c>
      <c r="H11660" s="1" t="s">
        <v>0</v>
      </c>
      <c r="I11660" s="2">
        <v>0</v>
      </c>
      <c r="J11660" s="1">
        <v>45944.476469907408</v>
      </c>
    </row>
    <row r="11661" spans="1:10" x14ac:dyDescent="0.2">
      <c r="A11661" s="4" t="s">
        <v>1</v>
      </c>
      <c r="B1166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61" s="3" t="str">
        <f>HYPERLINK("https://otsuka-europe-crm.veevavault.com/ui/#object/sent_email__v/VBLZ025E82HJYXM", "SE-000287090")</f>
        <v>SE-000287090</v>
      </c>
      <c r="D11661" s="1" t="s">
        <v>0</v>
      </c>
      <c r="E11661" s="2">
        <v>0</v>
      </c>
      <c r="F11661" s="2">
        <v>0</v>
      </c>
      <c r="G11661" s="2">
        <v>0</v>
      </c>
      <c r="H11661" s="1" t="s">
        <v>0</v>
      </c>
      <c r="I11661" s="2">
        <v>0</v>
      </c>
      <c r="J11661" s="1">
        <v>45944.476388888892</v>
      </c>
    </row>
    <row r="11662" spans="1:10" x14ac:dyDescent="0.2">
      <c r="A11662" s="4" t="s">
        <v>1</v>
      </c>
      <c r="B1166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62" s="3" t="str">
        <f>HYPERLINK("https://otsuka-europe-crm.veevavault.com/ui/#object/sent_email__v/VBLZ025E82HJYXN", "SE-000287091")</f>
        <v>SE-000287091</v>
      </c>
      <c r="D11662" s="1" t="s">
        <v>0</v>
      </c>
      <c r="E11662" s="2">
        <v>0</v>
      </c>
      <c r="F11662" s="2">
        <v>0</v>
      </c>
      <c r="G11662" s="2">
        <v>0</v>
      </c>
      <c r="H11662" s="1" t="s">
        <v>0</v>
      </c>
      <c r="I11662" s="2">
        <v>0</v>
      </c>
      <c r="J11662" s="1">
        <v>45944.4765162037</v>
      </c>
    </row>
    <row r="11663" spans="1:10" x14ac:dyDescent="0.2">
      <c r="A11663" s="4" t="s">
        <v>1</v>
      </c>
      <c r="B1166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63" s="3" t="str">
        <f>HYPERLINK("https://otsuka-europe-crm.veevavault.com/ui/#object/sent_email__v/VBLZ025E82HJYXO", "SE-000287092")</f>
        <v>SE-000287092</v>
      </c>
      <c r="D11663" s="1" t="s">
        <v>0</v>
      </c>
      <c r="E11663" s="2">
        <v>0</v>
      </c>
      <c r="F11663" s="2">
        <v>0</v>
      </c>
      <c r="G11663" s="2">
        <v>0</v>
      </c>
      <c r="H11663" s="1" t="s">
        <v>0</v>
      </c>
      <c r="I11663" s="2">
        <v>0</v>
      </c>
      <c r="J11663" s="1">
        <v>45944.476388888892</v>
      </c>
    </row>
    <row r="11664" spans="1:10" x14ac:dyDescent="0.2">
      <c r="A11664" s="4" t="s">
        <v>1</v>
      </c>
      <c r="B1166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64" s="3" t="str">
        <f>HYPERLINK("https://otsuka-europe-crm.veevavault.com/ui/#object/sent_email__v/VBLZ025E82HJYXP", "SE-000287093")</f>
        <v>SE-000287093</v>
      </c>
      <c r="D11664" s="1">
        <v>45944.561608796299</v>
      </c>
      <c r="E11664" s="2">
        <v>1</v>
      </c>
      <c r="F11664" s="2">
        <v>1</v>
      </c>
      <c r="G11664" s="2">
        <v>0</v>
      </c>
      <c r="H11664" s="1" t="s">
        <v>0</v>
      </c>
      <c r="I11664" s="2">
        <v>0</v>
      </c>
      <c r="J11664" s="1">
        <v>45944.476504629631</v>
      </c>
    </row>
    <row r="11665" spans="1:10" x14ac:dyDescent="0.2">
      <c r="A11665" s="4" t="s">
        <v>1</v>
      </c>
      <c r="B1166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65" s="3" t="str">
        <f>HYPERLINK("https://otsuka-europe-crm.veevavault.com/ui/#object/sent_email__v/VBLZ025E82HJYXQ", "SE-000287094")</f>
        <v>SE-000287094</v>
      </c>
      <c r="D11665" s="1">
        <v>45946.469178240739</v>
      </c>
      <c r="E11665" s="2">
        <v>1</v>
      </c>
      <c r="F11665" s="2">
        <v>2</v>
      </c>
      <c r="G11665" s="2">
        <v>0</v>
      </c>
      <c r="H11665" s="1" t="s">
        <v>0</v>
      </c>
      <c r="I11665" s="2">
        <v>0</v>
      </c>
      <c r="J11665" s="1">
        <v>45944.476469907408</v>
      </c>
    </row>
    <row r="11666" spans="1:10" x14ac:dyDescent="0.2">
      <c r="A11666" s="4" t="s">
        <v>1</v>
      </c>
      <c r="B1166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66" s="3" t="str">
        <f>HYPERLINK("https://otsuka-europe-crm.veevavault.com/ui/#object/sent_email__v/VBLZ025E82HJYXR", "SE-000287095")</f>
        <v>SE-000287095</v>
      </c>
      <c r="D11666" s="1" t="s">
        <v>0</v>
      </c>
      <c r="E11666" s="2">
        <v>0</v>
      </c>
      <c r="F11666" s="2">
        <v>0</v>
      </c>
      <c r="G11666" s="2">
        <v>0</v>
      </c>
      <c r="H11666" s="1" t="s">
        <v>0</v>
      </c>
      <c r="I11666" s="2">
        <v>0</v>
      </c>
      <c r="J11666" s="1">
        <v>45944.476574074077</v>
      </c>
    </row>
    <row r="11667" spans="1:10" x14ac:dyDescent="0.2">
      <c r="A11667" s="4" t="s">
        <v>1</v>
      </c>
      <c r="B1166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67" s="3" t="str">
        <f>HYPERLINK("https://otsuka-europe-crm.veevavault.com/ui/#object/sent_email__v/VBLZ025E82HJYXS", "SE-000287096")</f>
        <v>SE-000287096</v>
      </c>
      <c r="D11667" s="1">
        <v>45944.477905092594</v>
      </c>
      <c r="E11667" s="2">
        <v>1</v>
      </c>
      <c r="F11667" s="2">
        <v>1</v>
      </c>
      <c r="G11667" s="2">
        <v>0</v>
      </c>
      <c r="H11667" s="1" t="s">
        <v>0</v>
      </c>
      <c r="I11667" s="2">
        <v>0</v>
      </c>
      <c r="J11667" s="1">
        <v>45944.476435185185</v>
      </c>
    </row>
    <row r="11668" spans="1:10" x14ac:dyDescent="0.2">
      <c r="A11668" s="4" t="s">
        <v>1</v>
      </c>
      <c r="B1166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68" s="3" t="str">
        <f>HYPERLINK("https://otsuka-europe-crm.veevavault.com/ui/#object/sent_email__v/VBLZ025E82HJYXT", "SE-000287097")</f>
        <v>SE-000287097</v>
      </c>
      <c r="D11668" s="1">
        <v>45944.477800925924</v>
      </c>
      <c r="E11668" s="2">
        <v>1</v>
      </c>
      <c r="F11668" s="2">
        <v>1</v>
      </c>
      <c r="G11668" s="2">
        <v>0</v>
      </c>
      <c r="H11668" s="1" t="s">
        <v>0</v>
      </c>
      <c r="I11668" s="2">
        <v>0</v>
      </c>
      <c r="J11668" s="1">
        <v>45944.4765625</v>
      </c>
    </row>
    <row r="11669" spans="1:10" x14ac:dyDescent="0.2">
      <c r="A11669" s="4" t="s">
        <v>1</v>
      </c>
      <c r="B1166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69" s="3" t="str">
        <f>HYPERLINK("https://otsuka-europe-crm.veevavault.com/ui/#object/sent_email__v/VBLZ025E82HJYXU", "SE-000287098")</f>
        <v>SE-000287098</v>
      </c>
      <c r="D11669" s="1" t="s">
        <v>0</v>
      </c>
      <c r="E11669" s="2">
        <v>0</v>
      </c>
      <c r="F11669" s="2">
        <v>0</v>
      </c>
      <c r="G11669" s="2">
        <v>0</v>
      </c>
      <c r="H11669" s="1" t="s">
        <v>0</v>
      </c>
      <c r="I11669" s="2">
        <v>0</v>
      </c>
      <c r="J11669" s="1">
        <v>45944.476435185185</v>
      </c>
    </row>
    <row r="11670" spans="1:10" x14ac:dyDescent="0.2">
      <c r="A11670" s="4" t="s">
        <v>1</v>
      </c>
      <c r="B1167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70" s="3" t="str">
        <f>HYPERLINK("https://otsuka-europe-crm.veevavault.com/ui/#object/sent_email__v/VBLZ025E82HJYXV", "SE-000287099")</f>
        <v>SE-000287099</v>
      </c>
      <c r="D11670" s="1" t="s">
        <v>0</v>
      </c>
      <c r="E11670" s="2">
        <v>0</v>
      </c>
      <c r="F11670" s="2">
        <v>0</v>
      </c>
      <c r="G11670" s="2">
        <v>0</v>
      </c>
      <c r="H11670" s="1" t="s">
        <v>0</v>
      </c>
      <c r="I11670" s="2">
        <v>0</v>
      </c>
      <c r="J11670" s="1">
        <v>45944.4765625</v>
      </c>
    </row>
    <row r="11671" spans="1:10" x14ac:dyDescent="0.2">
      <c r="A11671" s="4" t="s">
        <v>1</v>
      </c>
      <c r="B1167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71" s="3" t="str">
        <f>HYPERLINK("https://otsuka-europe-crm.veevavault.com/ui/#object/sent_email__v/VBLZ025E82HJYXW", "SE-000287100")</f>
        <v>SE-000287100</v>
      </c>
      <c r="D11671" s="1" t="s">
        <v>0</v>
      </c>
      <c r="E11671" s="2">
        <v>0</v>
      </c>
      <c r="F11671" s="2">
        <v>0</v>
      </c>
      <c r="G11671" s="2">
        <v>0</v>
      </c>
      <c r="H11671" s="1" t="s">
        <v>0</v>
      </c>
      <c r="I11671" s="2">
        <v>0</v>
      </c>
      <c r="J11671" s="1">
        <v>45944.476423611108</v>
      </c>
    </row>
    <row r="11672" spans="1:10" x14ac:dyDescent="0.2">
      <c r="A11672" s="4" t="s">
        <v>1</v>
      </c>
      <c r="B1167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72" s="3" t="str">
        <f>HYPERLINK("https://otsuka-europe-crm.veevavault.com/ui/#object/sent_email__v/VBLZ025E82HJYXX", "SE-000287101")</f>
        <v>SE-000287101</v>
      </c>
      <c r="D11672" s="1" t="s">
        <v>0</v>
      </c>
      <c r="E11672" s="2">
        <v>0</v>
      </c>
      <c r="F11672" s="2">
        <v>0</v>
      </c>
      <c r="G11672" s="2">
        <v>0</v>
      </c>
      <c r="H11672" s="1" t="s">
        <v>0</v>
      </c>
      <c r="I11672" s="2">
        <v>0</v>
      </c>
      <c r="J11672" s="1">
        <v>45944.4765625</v>
      </c>
    </row>
    <row r="11673" spans="1:10" x14ac:dyDescent="0.2">
      <c r="A11673" s="4" t="s">
        <v>1</v>
      </c>
      <c r="B1167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73" s="3" t="str">
        <f>HYPERLINK("https://otsuka-europe-crm.veevavault.com/ui/#object/sent_email__v/VBLZ025E82HJYXY", "SE-000287102")</f>
        <v>SE-000287102</v>
      </c>
      <c r="D11673" s="1">
        <v>45944.889525462961</v>
      </c>
      <c r="E11673" s="2">
        <v>1</v>
      </c>
      <c r="F11673" s="2">
        <v>2</v>
      </c>
      <c r="G11673" s="2">
        <v>0</v>
      </c>
      <c r="H11673" s="1" t="s">
        <v>0</v>
      </c>
      <c r="I11673" s="2">
        <v>0</v>
      </c>
      <c r="J11673" s="1">
        <v>45944.476423611108</v>
      </c>
    </row>
    <row r="11674" spans="1:10" x14ac:dyDescent="0.2">
      <c r="A11674" s="4" t="s">
        <v>1</v>
      </c>
      <c r="B1167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74" s="3" t="str">
        <f>HYPERLINK("https://otsuka-europe-crm.veevavault.com/ui/#object/sent_email__v/VBLZ025E82HJYXZ", "SE-000287103")</f>
        <v>SE-000287103</v>
      </c>
      <c r="D11674" s="1" t="s">
        <v>0</v>
      </c>
      <c r="E11674" s="2">
        <v>0</v>
      </c>
      <c r="F11674" s="2">
        <v>0</v>
      </c>
      <c r="G11674" s="2">
        <v>0</v>
      </c>
      <c r="H11674" s="1" t="s">
        <v>0</v>
      </c>
      <c r="I11674" s="2">
        <v>0</v>
      </c>
      <c r="J11674" s="1">
        <v>45944.476527777777</v>
      </c>
    </row>
    <row r="11675" spans="1:10" x14ac:dyDescent="0.2">
      <c r="A11675" s="4" t="s">
        <v>1</v>
      </c>
      <c r="B1167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75" s="3" t="str">
        <f>HYPERLINK("https://otsuka-europe-crm.veevavault.com/ui/#object/sent_email__v/VBLZ025E82HJYY0", "SE-000287104")</f>
        <v>SE-000287104</v>
      </c>
      <c r="D11675" s="1">
        <v>45944.593263888892</v>
      </c>
      <c r="E11675" s="2">
        <v>1</v>
      </c>
      <c r="F11675" s="2">
        <v>1</v>
      </c>
      <c r="G11675" s="2">
        <v>0</v>
      </c>
      <c r="H11675" s="1" t="s">
        <v>0</v>
      </c>
      <c r="I11675" s="2">
        <v>0</v>
      </c>
      <c r="J11675" s="1">
        <v>45944.476388888892</v>
      </c>
    </row>
    <row r="11676" spans="1:10" x14ac:dyDescent="0.2">
      <c r="A11676" s="4" t="s">
        <v>1</v>
      </c>
      <c r="B1167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76" s="3" t="str">
        <f>HYPERLINK("https://otsuka-europe-crm.veevavault.com/ui/#object/sent_email__v/VBLZ025E82HJYY1", "SE-000287105")</f>
        <v>SE-000287105</v>
      </c>
      <c r="D11676" s="1">
        <v>45944.716284722221</v>
      </c>
      <c r="E11676" s="2">
        <v>1</v>
      </c>
      <c r="F11676" s="2">
        <v>1</v>
      </c>
      <c r="G11676" s="2">
        <v>0</v>
      </c>
      <c r="H11676" s="1" t="s">
        <v>0</v>
      </c>
      <c r="I11676" s="2">
        <v>0</v>
      </c>
      <c r="J11676" s="1">
        <v>45944.476493055554</v>
      </c>
    </row>
    <row r="11677" spans="1:10" x14ac:dyDescent="0.2">
      <c r="A11677" s="4" t="s">
        <v>1</v>
      </c>
      <c r="B1167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77" s="3" t="str">
        <f>HYPERLINK("https://otsuka-europe-crm.veevavault.com/ui/#object/sent_email__v/VBLZ025E82HJYY2", "SE-000287106")</f>
        <v>SE-000287106</v>
      </c>
      <c r="D11677" s="1">
        <v>45944.516365740739</v>
      </c>
      <c r="E11677" s="2">
        <v>1</v>
      </c>
      <c r="F11677" s="2">
        <v>1</v>
      </c>
      <c r="G11677" s="2">
        <v>0</v>
      </c>
      <c r="H11677" s="1" t="s">
        <v>0</v>
      </c>
      <c r="I11677" s="2">
        <v>0</v>
      </c>
      <c r="J11677" s="1">
        <v>45944.476388888892</v>
      </c>
    </row>
    <row r="11678" spans="1:10" x14ac:dyDescent="0.2">
      <c r="A11678" s="4" t="s">
        <v>1</v>
      </c>
      <c r="B1167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78" s="3" t="str">
        <f>HYPERLINK("https://otsuka-europe-crm.veevavault.com/ui/#object/sent_email__v/VBLZ025E82HJYY3", "SE-000287107")</f>
        <v>SE-000287107</v>
      </c>
      <c r="D11678" s="1" t="s">
        <v>0</v>
      </c>
      <c r="E11678" s="2">
        <v>0</v>
      </c>
      <c r="F11678" s="2">
        <v>0</v>
      </c>
      <c r="G11678" s="2">
        <v>0</v>
      </c>
      <c r="H11678" s="1" t="s">
        <v>0</v>
      </c>
      <c r="I11678" s="2">
        <v>0</v>
      </c>
      <c r="J11678" s="1">
        <v>45944.476527777777</v>
      </c>
    </row>
    <row r="11679" spans="1:10" x14ac:dyDescent="0.2">
      <c r="A11679" s="4" t="s">
        <v>1</v>
      </c>
      <c r="B1167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79" s="3" t="str">
        <f>HYPERLINK("https://otsuka-europe-crm.veevavault.com/ui/#object/sent_email__v/VBLZ025E82HJYY4", "SE-000287108")</f>
        <v>SE-000287108</v>
      </c>
      <c r="D11679" s="1" t="s">
        <v>0</v>
      </c>
      <c r="E11679" s="2">
        <v>0</v>
      </c>
      <c r="F11679" s="2">
        <v>0</v>
      </c>
      <c r="G11679" s="2">
        <v>0</v>
      </c>
      <c r="H11679" s="1" t="s">
        <v>0</v>
      </c>
      <c r="I11679" s="2">
        <v>0</v>
      </c>
      <c r="J11679" s="1">
        <v>45944.476412037038</v>
      </c>
    </row>
    <row r="11680" spans="1:10" x14ac:dyDescent="0.2">
      <c r="A11680" s="4" t="s">
        <v>1</v>
      </c>
      <c r="B1168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80" s="3" t="str">
        <f>HYPERLINK("https://otsuka-europe-crm.veevavault.com/ui/#object/sent_email__v/VBLZ025E82HJYY5", "SE-000287109")</f>
        <v>SE-000287109</v>
      </c>
      <c r="D11680" s="1" t="s">
        <v>0</v>
      </c>
      <c r="E11680" s="2">
        <v>0</v>
      </c>
      <c r="F11680" s="2">
        <v>0</v>
      </c>
      <c r="G11680" s="2">
        <v>0</v>
      </c>
      <c r="H11680" s="1" t="s">
        <v>0</v>
      </c>
      <c r="I11680" s="2">
        <v>0</v>
      </c>
      <c r="J11680" s="1">
        <v>45944.476539351854</v>
      </c>
    </row>
    <row r="11681" spans="1:10" x14ac:dyDescent="0.2">
      <c r="A11681" s="4" t="s">
        <v>1</v>
      </c>
      <c r="B1168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81" s="3" t="str">
        <f>HYPERLINK("https://otsuka-europe-crm.veevavault.com/ui/#object/sent_email__v/VBLZ025E82HJYY6", "SE-000287110")</f>
        <v>SE-000287110</v>
      </c>
      <c r="D11681" s="1">
        <v>45948.718668981484</v>
      </c>
      <c r="E11681" s="2">
        <v>1</v>
      </c>
      <c r="F11681" s="2">
        <v>4</v>
      </c>
      <c r="G11681" s="2">
        <v>0</v>
      </c>
      <c r="H11681" s="1" t="s">
        <v>0</v>
      </c>
      <c r="I11681" s="2">
        <v>0</v>
      </c>
      <c r="J11681" s="1">
        <v>45944.476412037038</v>
      </c>
    </row>
    <row r="11682" spans="1:10" x14ac:dyDescent="0.2">
      <c r="A11682" s="4" t="s">
        <v>1</v>
      </c>
      <c r="B1168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82" s="3" t="str">
        <f>HYPERLINK("https://otsuka-europe-crm.veevavault.com/ui/#object/sent_email__v/VBLZ025E82HJZ5P", "SE-000287111")</f>
        <v>SE-000287111</v>
      </c>
      <c r="D11682" s="1">
        <v>45944.680451388886</v>
      </c>
      <c r="E11682" s="2">
        <v>1</v>
      </c>
      <c r="F11682" s="2">
        <v>1</v>
      </c>
      <c r="G11682" s="2">
        <v>0</v>
      </c>
      <c r="H11682" s="1" t="s">
        <v>0</v>
      </c>
      <c r="I11682" s="2">
        <v>0</v>
      </c>
      <c r="J11682" s="1">
        <v>45944.477418981478</v>
      </c>
    </row>
    <row r="11683" spans="1:10" x14ac:dyDescent="0.2">
      <c r="A11683" s="4" t="s">
        <v>1</v>
      </c>
      <c r="B1168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83" s="3" t="str">
        <f>HYPERLINK("https://otsuka-europe-crm.veevavault.com/ui/#object/sent_email__v/VBLZ025E82HJZ5Q", "SE-000287112")</f>
        <v>SE-000287112</v>
      </c>
      <c r="D11683" s="1">
        <v>45944.599895833337</v>
      </c>
      <c r="E11683" s="2">
        <v>1</v>
      </c>
      <c r="F11683" s="2">
        <v>1</v>
      </c>
      <c r="G11683" s="2">
        <v>0</v>
      </c>
      <c r="H11683" s="1" t="s">
        <v>0</v>
      </c>
      <c r="I11683" s="2">
        <v>0</v>
      </c>
      <c r="J11683" s="1">
        <v>45944.477523148147</v>
      </c>
    </row>
    <row r="11684" spans="1:10" x14ac:dyDescent="0.2">
      <c r="A11684" s="4" t="s">
        <v>1</v>
      </c>
      <c r="B1168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84" s="3" t="str">
        <f>HYPERLINK("https://otsuka-europe-crm.veevavault.com/ui/#object/sent_email__v/VBLZ025E82HJZ5R", "SE-000287113")</f>
        <v>SE-000287113</v>
      </c>
      <c r="D11684" s="1" t="s">
        <v>0</v>
      </c>
      <c r="E11684" s="2">
        <v>0</v>
      </c>
      <c r="F11684" s="2">
        <v>0</v>
      </c>
      <c r="G11684" s="2">
        <v>0</v>
      </c>
      <c r="H11684" s="1" t="s">
        <v>0</v>
      </c>
      <c r="I11684" s="2">
        <v>0</v>
      </c>
      <c r="J11684" s="1">
        <v>45944.477430555555</v>
      </c>
    </row>
    <row r="11685" spans="1:10" x14ac:dyDescent="0.2">
      <c r="A11685" s="4" t="s">
        <v>1</v>
      </c>
      <c r="B1168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85" s="3" t="str">
        <f>HYPERLINK("https://otsuka-europe-crm.veevavault.com/ui/#object/sent_email__v/VBLZ025E82HJZ5S", "SE-000287114")</f>
        <v>SE-000287114</v>
      </c>
      <c r="D11685" s="1" t="s">
        <v>0</v>
      </c>
      <c r="E11685" s="2">
        <v>0</v>
      </c>
      <c r="F11685" s="2">
        <v>0</v>
      </c>
      <c r="G11685" s="2">
        <v>0</v>
      </c>
      <c r="H11685" s="1" t="s">
        <v>0</v>
      </c>
      <c r="I11685" s="2">
        <v>0</v>
      </c>
      <c r="J11685" s="1">
        <v>45944.47755787037</v>
      </c>
    </row>
    <row r="11686" spans="1:10" x14ac:dyDescent="0.2">
      <c r="A11686" s="4" t="s">
        <v>1</v>
      </c>
      <c r="B1168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86" s="3" t="str">
        <f>HYPERLINK("https://otsuka-europe-crm.veevavault.com/ui/#object/sent_email__v/VBLZ025E82HJZ5T", "SE-000287115")</f>
        <v>SE-000287115</v>
      </c>
      <c r="D11686" s="1">
        <v>45952.737361111111</v>
      </c>
      <c r="E11686" s="2">
        <v>1</v>
      </c>
      <c r="F11686" s="2">
        <v>2</v>
      </c>
      <c r="G11686" s="2">
        <v>0</v>
      </c>
      <c r="H11686" s="1" t="s">
        <v>0</v>
      </c>
      <c r="I11686" s="2">
        <v>0</v>
      </c>
      <c r="J11686" s="1">
        <v>45944.477395833332</v>
      </c>
    </row>
    <row r="11687" spans="1:10" x14ac:dyDescent="0.2">
      <c r="A11687" s="4" t="s">
        <v>1</v>
      </c>
      <c r="B1168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87" s="3" t="str">
        <f>HYPERLINK("https://otsuka-europe-crm.veevavault.com/ui/#object/sent_email__v/VBLZ025E82HJZ5U", "SE-000287116")</f>
        <v>SE-000287116</v>
      </c>
      <c r="D11687" s="1" t="s">
        <v>0</v>
      </c>
      <c r="E11687" s="2">
        <v>0</v>
      </c>
      <c r="F11687" s="2">
        <v>0</v>
      </c>
      <c r="G11687" s="2">
        <v>0</v>
      </c>
      <c r="H11687" s="1" t="s">
        <v>0</v>
      </c>
      <c r="I11687" s="2">
        <v>0</v>
      </c>
      <c r="J11687" s="1">
        <v>45944.477534722224</v>
      </c>
    </row>
    <row r="11688" spans="1:10" x14ac:dyDescent="0.2">
      <c r="A11688" s="4" t="s">
        <v>1</v>
      </c>
      <c r="B1168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88" s="3" t="str">
        <f>HYPERLINK("https://otsuka-europe-crm.veevavault.com/ui/#object/sent_email__v/VBLZ025E82HJZ5V", "SE-000287117")</f>
        <v>SE-000287117</v>
      </c>
      <c r="D11688" s="1" t="s">
        <v>0</v>
      </c>
      <c r="E11688" s="2">
        <v>0</v>
      </c>
      <c r="F11688" s="2">
        <v>0</v>
      </c>
      <c r="G11688" s="2">
        <v>0</v>
      </c>
      <c r="H11688" s="1" t="s">
        <v>0</v>
      </c>
      <c r="I11688" s="2">
        <v>0</v>
      </c>
      <c r="J11688" s="1">
        <v>45944.477407407408</v>
      </c>
    </row>
    <row r="11689" spans="1:10" x14ac:dyDescent="0.2">
      <c r="A11689" s="4" t="s">
        <v>1</v>
      </c>
      <c r="B1168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89" s="3" t="str">
        <f>HYPERLINK("https://otsuka-europe-crm.veevavault.com/ui/#object/sent_email__v/VBLZ025E82HJZ5W", "SE-000287118")</f>
        <v>SE-000287118</v>
      </c>
      <c r="D11689" s="1" t="s">
        <v>0</v>
      </c>
      <c r="E11689" s="2">
        <v>0</v>
      </c>
      <c r="F11689" s="2">
        <v>0</v>
      </c>
      <c r="G11689" s="2">
        <v>0</v>
      </c>
      <c r="H11689" s="1" t="s">
        <v>0</v>
      </c>
      <c r="I11689" s="2">
        <v>0</v>
      </c>
      <c r="J11689" s="1">
        <v>45944.477523148147</v>
      </c>
    </row>
    <row r="11690" spans="1:10" x14ac:dyDescent="0.2">
      <c r="A11690" s="4" t="s">
        <v>1</v>
      </c>
      <c r="B1169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90" s="3" t="str">
        <f>HYPERLINK("https://otsuka-europe-crm.veevavault.com/ui/#object/sent_email__v/VBLZ025E82HJZ5X", "SE-000287119")</f>
        <v>SE-000287119</v>
      </c>
      <c r="D11690" s="1">
        <v>46045.585358796299</v>
      </c>
      <c r="E11690" s="2">
        <v>1</v>
      </c>
      <c r="F11690" s="2">
        <v>2</v>
      </c>
      <c r="G11690" s="2">
        <v>0</v>
      </c>
      <c r="H11690" s="1" t="s">
        <v>0</v>
      </c>
      <c r="I11690" s="2">
        <v>0</v>
      </c>
      <c r="J11690" s="1">
        <v>45944.477430555555</v>
      </c>
    </row>
    <row r="11691" spans="1:10" x14ac:dyDescent="0.2">
      <c r="A11691" s="4" t="s">
        <v>1</v>
      </c>
      <c r="B1169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91" s="3" t="str">
        <f>HYPERLINK("https://otsuka-europe-crm.veevavault.com/ui/#object/sent_email__v/VBLZ025E82HJZ5Y", "SE-000287120")</f>
        <v>SE-000287120</v>
      </c>
      <c r="D11691" s="1" t="s">
        <v>0</v>
      </c>
      <c r="E11691" s="2">
        <v>0</v>
      </c>
      <c r="F11691" s="2">
        <v>0</v>
      </c>
      <c r="G11691" s="2">
        <v>0</v>
      </c>
      <c r="H11691" s="1" t="s">
        <v>0</v>
      </c>
      <c r="I11691" s="2">
        <v>0</v>
      </c>
      <c r="J11691" s="1">
        <v>45944.477569444447</v>
      </c>
    </row>
    <row r="11692" spans="1:10" x14ac:dyDescent="0.2">
      <c r="A11692" s="4" t="s">
        <v>1</v>
      </c>
      <c r="B1169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92" s="3" t="str">
        <f>HYPERLINK("https://otsuka-europe-crm.veevavault.com/ui/#object/sent_email__v/VBLZ025E82HJZ5Z", "SE-000287121")</f>
        <v>SE-000287121</v>
      </c>
      <c r="D11692" s="1">
        <v>45945.546851851854</v>
      </c>
      <c r="E11692" s="2">
        <v>1</v>
      </c>
      <c r="F11692" s="2">
        <v>1</v>
      </c>
      <c r="G11692" s="2">
        <v>0</v>
      </c>
      <c r="H11692" s="1" t="s">
        <v>0</v>
      </c>
      <c r="I11692" s="2">
        <v>0</v>
      </c>
      <c r="J11692" s="1">
        <v>45944.477442129632</v>
      </c>
    </row>
    <row r="11693" spans="1:10" x14ac:dyDescent="0.2">
      <c r="A11693" s="4" t="s">
        <v>1</v>
      </c>
      <c r="B1169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93" s="3" t="str">
        <f>HYPERLINK("https://otsuka-europe-crm.veevavault.com/ui/#object/sent_email__v/VBLZ025E82HJZ60", "SE-000287122")</f>
        <v>SE-000287122</v>
      </c>
      <c r="D11693" s="1" t="s">
        <v>0</v>
      </c>
      <c r="E11693" s="2">
        <v>0</v>
      </c>
      <c r="F11693" s="2">
        <v>0</v>
      </c>
      <c r="G11693" s="2">
        <v>0</v>
      </c>
      <c r="H11693" s="1" t="s">
        <v>0</v>
      </c>
      <c r="I11693" s="2">
        <v>0</v>
      </c>
      <c r="J11693" s="1">
        <v>45944.47755787037</v>
      </c>
    </row>
    <row r="11694" spans="1:10" x14ac:dyDescent="0.2">
      <c r="A11694" s="4" t="s">
        <v>1</v>
      </c>
      <c r="B1169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94" s="3" t="str">
        <f>HYPERLINK("https://otsuka-europe-crm.veevavault.com/ui/#object/sent_email__v/VBLZ025E82HJZ61", "SE-000287123")</f>
        <v>SE-000287123</v>
      </c>
      <c r="D11694" s="1">
        <v>45964.795787037037</v>
      </c>
      <c r="E11694" s="2">
        <v>1</v>
      </c>
      <c r="F11694" s="2">
        <v>1</v>
      </c>
      <c r="G11694" s="2">
        <v>0</v>
      </c>
      <c r="H11694" s="1" t="s">
        <v>0</v>
      </c>
      <c r="I11694" s="2">
        <v>0</v>
      </c>
      <c r="J11694" s="1">
        <v>45944.477465277778</v>
      </c>
    </row>
    <row r="11695" spans="1:10" x14ac:dyDescent="0.2">
      <c r="A11695" s="4" t="s">
        <v>1</v>
      </c>
      <c r="B1169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95" s="3" t="str">
        <f>HYPERLINK("https://otsuka-europe-crm.veevavault.com/ui/#object/sent_email__v/VBLZ025E82HJZ62", "SE-000287124")</f>
        <v>SE-000287124</v>
      </c>
      <c r="D11695" s="1" t="s">
        <v>0</v>
      </c>
      <c r="E11695" s="2">
        <v>0</v>
      </c>
      <c r="F11695" s="2">
        <v>0</v>
      </c>
      <c r="G11695" s="2">
        <v>0</v>
      </c>
      <c r="H11695" s="1" t="s">
        <v>0</v>
      </c>
      <c r="I11695" s="2">
        <v>0</v>
      </c>
      <c r="J11695" s="1">
        <v>45944.477581018517</v>
      </c>
    </row>
    <row r="11696" spans="1:10" x14ac:dyDescent="0.2">
      <c r="A11696" s="4" t="s">
        <v>1</v>
      </c>
      <c r="B1169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96" s="3" t="str">
        <f>HYPERLINK("https://otsuka-europe-crm.veevavault.com/ui/#object/sent_email__v/VBLZ025E82HJZ63", "SE-000287125")</f>
        <v>SE-000287125</v>
      </c>
      <c r="D11696" s="1" t="s">
        <v>0</v>
      </c>
      <c r="E11696" s="2">
        <v>0</v>
      </c>
      <c r="F11696" s="2">
        <v>0</v>
      </c>
      <c r="G11696" s="2">
        <v>0</v>
      </c>
      <c r="H11696" s="1" t="s">
        <v>0</v>
      </c>
      <c r="I11696" s="2">
        <v>0</v>
      </c>
      <c r="J11696" s="1">
        <v>45944.477511574078</v>
      </c>
    </row>
    <row r="11697" spans="1:10" x14ac:dyDescent="0.2">
      <c r="A11697" s="4" t="s">
        <v>1</v>
      </c>
      <c r="B1169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97" s="3" t="str">
        <f>HYPERLINK("https://otsuka-europe-crm.veevavault.com/ui/#object/sent_email__v/VBLZ025E82HJZ64", "SE-000287126")</f>
        <v>SE-000287126</v>
      </c>
      <c r="D11697" s="1" t="s">
        <v>0</v>
      </c>
      <c r="E11697" s="2">
        <v>0</v>
      </c>
      <c r="F11697" s="2">
        <v>0</v>
      </c>
      <c r="G11697" s="2">
        <v>0</v>
      </c>
      <c r="H11697" s="1" t="s">
        <v>0</v>
      </c>
      <c r="I11697" s="2">
        <v>0</v>
      </c>
      <c r="J11697" s="1">
        <v>45944.477407407408</v>
      </c>
    </row>
    <row r="11698" spans="1:10" x14ac:dyDescent="0.2">
      <c r="A11698" s="4" t="s">
        <v>1</v>
      </c>
      <c r="B1169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98" s="3" t="str">
        <f>HYPERLINK("https://otsuka-europe-crm.veevavault.com/ui/#object/sent_email__v/VBLZ025E82HJZ65", "SE-000287127")</f>
        <v>SE-000287127</v>
      </c>
      <c r="D11698" s="1">
        <v>45944.642777777779</v>
      </c>
      <c r="E11698" s="2">
        <v>1</v>
      </c>
      <c r="F11698" s="2">
        <v>1</v>
      </c>
      <c r="G11698" s="2">
        <v>0</v>
      </c>
      <c r="H11698" s="1" t="s">
        <v>0</v>
      </c>
      <c r="I11698" s="2">
        <v>0</v>
      </c>
      <c r="J11698" s="1">
        <v>45944.477500000001</v>
      </c>
    </row>
    <row r="11699" spans="1:10" x14ac:dyDescent="0.2">
      <c r="A11699" s="4" t="s">
        <v>1</v>
      </c>
      <c r="B1169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699" s="3" t="str">
        <f>HYPERLINK("https://otsuka-europe-crm.veevavault.com/ui/#object/sent_email__v/VBLZ025E82HJZ66", "SE-000287128")</f>
        <v>SE-000287128</v>
      </c>
      <c r="D11699" s="1">
        <v>45944.650370370371</v>
      </c>
      <c r="E11699" s="2">
        <v>1</v>
      </c>
      <c r="F11699" s="2">
        <v>2</v>
      </c>
      <c r="G11699" s="2">
        <v>0</v>
      </c>
      <c r="H11699" s="1" t="s">
        <v>0</v>
      </c>
      <c r="I11699" s="2">
        <v>0</v>
      </c>
      <c r="J11699" s="1">
        <v>45944.477384259262</v>
      </c>
    </row>
    <row r="11700" spans="1:10" x14ac:dyDescent="0.2">
      <c r="A11700" s="4" t="s">
        <v>1</v>
      </c>
      <c r="B1170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00" s="3" t="str">
        <f>HYPERLINK("https://otsuka-europe-crm.veevavault.com/ui/#object/sent_email__v/VBLZ025E82HJZ67", "SE-000287129")</f>
        <v>SE-000287129</v>
      </c>
      <c r="D11700" s="1" t="s">
        <v>0</v>
      </c>
      <c r="E11700" s="2">
        <v>0</v>
      </c>
      <c r="F11700" s="2">
        <v>0</v>
      </c>
      <c r="G11700" s="2">
        <v>0</v>
      </c>
      <c r="H11700" s="1" t="s">
        <v>0</v>
      </c>
      <c r="I11700" s="2">
        <v>0</v>
      </c>
      <c r="J11700" s="1">
        <v>45944.477488425924</v>
      </c>
    </row>
    <row r="11701" spans="1:10" x14ac:dyDescent="0.2">
      <c r="A11701" s="4" t="s">
        <v>1</v>
      </c>
      <c r="B1170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01" s="3" t="str">
        <f>HYPERLINK("https://otsuka-europe-crm.veevavault.com/ui/#object/sent_email__v/VBLZ025E82HJZ68", "SE-000287130")</f>
        <v>SE-000287130</v>
      </c>
      <c r="D11701" s="1">
        <v>45944.52449074074</v>
      </c>
      <c r="E11701" s="2">
        <v>1</v>
      </c>
      <c r="F11701" s="2">
        <v>1</v>
      </c>
      <c r="G11701" s="2">
        <v>0</v>
      </c>
      <c r="H11701" s="1" t="s">
        <v>0</v>
      </c>
      <c r="I11701" s="2">
        <v>0</v>
      </c>
      <c r="J11701" s="1">
        <v>45944.477372685185</v>
      </c>
    </row>
    <row r="11702" spans="1:10" x14ac:dyDescent="0.2">
      <c r="A11702" s="4" t="s">
        <v>1</v>
      </c>
      <c r="B1170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02" s="3" t="str">
        <f>HYPERLINK("https://otsuka-europe-crm.veevavault.com/ui/#object/sent_email__v/VBLZ025E82HJZ69", "SE-000287131")</f>
        <v>SE-000287131</v>
      </c>
      <c r="D11702" s="1">
        <v>45944.726666666669</v>
      </c>
      <c r="E11702" s="2">
        <v>1</v>
      </c>
      <c r="F11702" s="2">
        <v>3</v>
      </c>
      <c r="G11702" s="2">
        <v>0</v>
      </c>
      <c r="H11702" s="1" t="s">
        <v>0</v>
      </c>
      <c r="I11702" s="2">
        <v>0</v>
      </c>
      <c r="J11702" s="1">
        <v>45944.477465277778</v>
      </c>
    </row>
    <row r="11703" spans="1:10" x14ac:dyDescent="0.2">
      <c r="A11703" s="4" t="s">
        <v>1</v>
      </c>
      <c r="B1170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03" s="3" t="str">
        <f>HYPERLINK("https://otsuka-europe-crm.veevavault.com/ui/#object/sent_email__v/VBLZ025E82HJZ6A", "SE-000287132")</f>
        <v>SE-000287132</v>
      </c>
      <c r="D11703" s="1">
        <v>45946.61141203704</v>
      </c>
      <c r="E11703" s="2">
        <v>1</v>
      </c>
      <c r="F11703" s="2">
        <v>1</v>
      </c>
      <c r="G11703" s="2">
        <v>0</v>
      </c>
      <c r="H11703" s="1" t="s">
        <v>0</v>
      </c>
      <c r="I11703" s="2">
        <v>0</v>
      </c>
      <c r="J11703" s="1">
        <v>45944.477372685185</v>
      </c>
    </row>
    <row r="11704" spans="1:10" x14ac:dyDescent="0.2">
      <c r="A11704" s="4" t="s">
        <v>1</v>
      </c>
      <c r="B1170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04" s="3" t="str">
        <f>HYPERLINK("https://otsuka-europe-crm.veevavault.com/ui/#object/sent_email__v/VBLZ025E82HJZ6B", "SE-000287133")</f>
        <v>SE-000287133</v>
      </c>
      <c r="D11704" s="1" t="s">
        <v>0</v>
      </c>
      <c r="E11704" s="2">
        <v>0</v>
      </c>
      <c r="F11704" s="2">
        <v>0</v>
      </c>
      <c r="G11704" s="2">
        <v>0</v>
      </c>
      <c r="H11704" s="1" t="s">
        <v>0</v>
      </c>
      <c r="I11704" s="2">
        <v>0</v>
      </c>
      <c r="J11704" s="1">
        <v>45944.477476851855</v>
      </c>
    </row>
    <row r="11705" spans="1:10" x14ac:dyDescent="0.2">
      <c r="A11705" s="4" t="s">
        <v>1</v>
      </c>
      <c r="B1170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05" s="3" t="str">
        <f>HYPERLINK("https://otsuka-europe-crm.veevavault.com/ui/#object/sent_email__v/VBLZ025E82HJZ6C", "SE-000287134")</f>
        <v>SE-000287134</v>
      </c>
      <c r="D11705" s="1">
        <v>45944.631006944444</v>
      </c>
      <c r="E11705" s="2">
        <v>1</v>
      </c>
      <c r="F11705" s="2">
        <v>1</v>
      </c>
      <c r="G11705" s="2">
        <v>0</v>
      </c>
      <c r="H11705" s="1" t="s">
        <v>0</v>
      </c>
      <c r="I11705" s="2">
        <v>0</v>
      </c>
      <c r="J11705" s="1">
        <v>45944.477453703701</v>
      </c>
    </row>
    <row r="11706" spans="1:10" x14ac:dyDescent="0.2">
      <c r="A11706" s="4" t="s">
        <v>1</v>
      </c>
      <c r="B1170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06" s="3" t="str">
        <f>HYPERLINK("https://otsuka-europe-crm.veevavault.com/ui/#object/sent_email__v/VBLZ025E82HJZ6D", "SE-000287135")</f>
        <v>SE-000287135</v>
      </c>
      <c r="D11706" s="1" t="s">
        <v>0</v>
      </c>
      <c r="E11706" s="2">
        <v>0</v>
      </c>
      <c r="F11706" s="2">
        <v>0</v>
      </c>
      <c r="G11706" s="2">
        <v>0</v>
      </c>
      <c r="H11706" s="1" t="s">
        <v>0</v>
      </c>
      <c r="I11706" s="2">
        <v>0</v>
      </c>
      <c r="J11706" s="1">
        <v>45944.477569444447</v>
      </c>
    </row>
    <row r="11707" spans="1:10" x14ac:dyDescent="0.2">
      <c r="A11707" s="4" t="s">
        <v>1</v>
      </c>
      <c r="B1170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07" s="3" t="str">
        <f>HYPERLINK("https://otsuka-europe-crm.veevavault.com/ui/#object/sent_email__v/VBLZ025E82HJZGT", "SE-000287136")</f>
        <v>SE-000287136</v>
      </c>
      <c r="D11707" s="1" t="s">
        <v>0</v>
      </c>
      <c r="E11707" s="2">
        <v>0</v>
      </c>
      <c r="F11707" s="2">
        <v>0</v>
      </c>
      <c r="G11707" s="2">
        <v>0</v>
      </c>
      <c r="H11707" s="1" t="s">
        <v>0</v>
      </c>
      <c r="I11707" s="2">
        <v>0</v>
      </c>
      <c r="J11707" s="1">
        <v>45944.47865740741</v>
      </c>
    </row>
    <row r="11708" spans="1:10" x14ac:dyDescent="0.2">
      <c r="A11708" s="4" t="s">
        <v>1</v>
      </c>
      <c r="B1170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08" s="3" t="str">
        <f>HYPERLINK("https://otsuka-europe-crm.veevavault.com/ui/#object/sent_email__v/VBLZ025E82HJZGU", "SE-000287137")</f>
        <v>SE-000287137</v>
      </c>
      <c r="D11708" s="1">
        <v>45949.402048611111</v>
      </c>
      <c r="E11708" s="2">
        <v>1</v>
      </c>
      <c r="F11708" s="2">
        <v>2</v>
      </c>
      <c r="G11708" s="2">
        <v>1</v>
      </c>
      <c r="H11708" s="1">
        <v>45944.555196759262</v>
      </c>
      <c r="I11708" s="2">
        <v>1</v>
      </c>
      <c r="J11708" s="1">
        <v>45944.478541666664</v>
      </c>
    </row>
    <row r="11709" spans="1:10" x14ac:dyDescent="0.2">
      <c r="A11709" s="4" t="s">
        <v>1</v>
      </c>
      <c r="B1170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09" s="3" t="str">
        <f>HYPERLINK("https://otsuka-europe-crm.veevavault.com/ui/#object/sent_email__v/VBLZ025E82HJZGV", "SE-000287138")</f>
        <v>SE-000287138</v>
      </c>
      <c r="D11709" s="1" t="s">
        <v>0</v>
      </c>
      <c r="E11709" s="2">
        <v>0</v>
      </c>
      <c r="F11709" s="2">
        <v>0</v>
      </c>
      <c r="G11709" s="2">
        <v>0</v>
      </c>
      <c r="H11709" s="1" t="s">
        <v>0</v>
      </c>
      <c r="I11709" s="2">
        <v>0</v>
      </c>
      <c r="J11709" s="1">
        <v>45944.478634259256</v>
      </c>
    </row>
    <row r="11710" spans="1:10" x14ac:dyDescent="0.2">
      <c r="A11710" s="4" t="s">
        <v>1</v>
      </c>
      <c r="B1171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10" s="3" t="str">
        <f>HYPERLINK("https://otsuka-europe-crm.veevavault.com/ui/#object/sent_email__v/VBLZ025E82HJZGW", "SE-000287139")</f>
        <v>SE-000287139</v>
      </c>
      <c r="D11710" s="1">
        <v>45944.949826388889</v>
      </c>
      <c r="E11710" s="2">
        <v>1</v>
      </c>
      <c r="F11710" s="2">
        <v>1</v>
      </c>
      <c r="G11710" s="2">
        <v>0</v>
      </c>
      <c r="H11710" s="1" t="s">
        <v>0</v>
      </c>
      <c r="I11710" s="2">
        <v>0</v>
      </c>
      <c r="J11710" s="1">
        <v>45944.478541666664</v>
      </c>
    </row>
    <row r="11711" spans="1:10" x14ac:dyDescent="0.2">
      <c r="A11711" s="4" t="s">
        <v>1</v>
      </c>
      <c r="B1171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11" s="3" t="str">
        <f>HYPERLINK("https://otsuka-europe-crm.veevavault.com/ui/#object/sent_email__v/VBLZ025E82HJZGX", "SE-000287140")</f>
        <v>SE-000287140</v>
      </c>
      <c r="D11711" s="1">
        <v>45944.493113425924</v>
      </c>
      <c r="E11711" s="2">
        <v>1</v>
      </c>
      <c r="F11711" s="2">
        <v>1</v>
      </c>
      <c r="G11711" s="2">
        <v>0</v>
      </c>
      <c r="H11711" s="1" t="s">
        <v>0</v>
      </c>
      <c r="I11711" s="2">
        <v>0</v>
      </c>
      <c r="J11711" s="1">
        <v>45944.478668981479</v>
      </c>
    </row>
    <row r="11712" spans="1:10" x14ac:dyDescent="0.2">
      <c r="A11712" s="4" t="s">
        <v>1</v>
      </c>
      <c r="B1171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12" s="3" t="str">
        <f>HYPERLINK("https://otsuka-europe-crm.veevavault.com/ui/#object/sent_email__v/VBLZ025E82HJZGY", "SE-000287141")</f>
        <v>SE-000287141</v>
      </c>
      <c r="D11712" s="1">
        <v>45944.91064814815</v>
      </c>
      <c r="E11712" s="2">
        <v>1</v>
      </c>
      <c r="F11712" s="2">
        <v>2</v>
      </c>
      <c r="G11712" s="2">
        <v>0</v>
      </c>
      <c r="H11712" s="1" t="s">
        <v>0</v>
      </c>
      <c r="I11712" s="2">
        <v>0</v>
      </c>
      <c r="J11712" s="1">
        <v>45944.478680555556</v>
      </c>
    </row>
    <row r="11713" spans="1:10" x14ac:dyDescent="0.2">
      <c r="A11713" s="4" t="s">
        <v>1</v>
      </c>
      <c r="B1171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13" s="3" t="str">
        <f>HYPERLINK("https://otsuka-europe-crm.veevavault.com/ui/#object/sent_email__v/VBLZ025E82HJZGZ", "SE-000287142")</f>
        <v>SE-000287142</v>
      </c>
      <c r="D11713" s="1">
        <v>45944.61005787037</v>
      </c>
      <c r="E11713" s="2">
        <v>1</v>
      </c>
      <c r="F11713" s="2">
        <v>1</v>
      </c>
      <c r="G11713" s="2">
        <v>0</v>
      </c>
      <c r="H11713" s="1" t="s">
        <v>0</v>
      </c>
      <c r="I11713" s="2">
        <v>0</v>
      </c>
      <c r="J11713" s="1">
        <v>45944.478576388887</v>
      </c>
    </row>
    <row r="11714" spans="1:10" x14ac:dyDescent="0.2">
      <c r="A11714" s="4" t="s">
        <v>1</v>
      </c>
      <c r="B1171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14" s="3" t="str">
        <f>HYPERLINK("https://otsuka-europe-crm.veevavault.com/ui/#object/sent_email__v/VBLZ025E82HJZH0", "SE-000287143")</f>
        <v>SE-000287143</v>
      </c>
      <c r="D11714" s="1">
        <v>45944.622627314813</v>
      </c>
      <c r="E11714" s="2">
        <v>1</v>
      </c>
      <c r="F11714" s="2">
        <v>1</v>
      </c>
      <c r="G11714" s="2">
        <v>0</v>
      </c>
      <c r="H11714" s="1" t="s">
        <v>0</v>
      </c>
      <c r="I11714" s="2">
        <v>0</v>
      </c>
      <c r="J11714" s="1">
        <v>45944.478680555556</v>
      </c>
    </row>
    <row r="11715" spans="1:10" x14ac:dyDescent="0.2">
      <c r="A11715" s="4" t="s">
        <v>1</v>
      </c>
      <c r="B1171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15" s="3" t="str">
        <f>HYPERLINK("https://otsuka-europe-crm.veevavault.com/ui/#object/sent_email__v/VBLZ025E82HJZH1", "SE-000287144")</f>
        <v>SE-000287144</v>
      </c>
      <c r="D11715" s="1" t="s">
        <v>0</v>
      </c>
      <c r="E11715" s="2">
        <v>0</v>
      </c>
      <c r="F11715" s="2">
        <v>0</v>
      </c>
      <c r="G11715" s="2">
        <v>0</v>
      </c>
      <c r="H11715" s="1" t="s">
        <v>0</v>
      </c>
      <c r="I11715" s="2">
        <v>0</v>
      </c>
      <c r="J11715" s="1">
        <v>45944.478564814817</v>
      </c>
    </row>
    <row r="11716" spans="1:10" x14ac:dyDescent="0.2">
      <c r="A11716" s="4" t="s">
        <v>1</v>
      </c>
      <c r="B1171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16" s="3" t="str">
        <f>HYPERLINK("https://otsuka-europe-crm.veevavault.com/ui/#object/sent_email__v/VBLZ025E82HJZH2", "SE-000287145")</f>
        <v>SE-000287145</v>
      </c>
      <c r="D11716" s="1">
        <v>45945.32099537037</v>
      </c>
      <c r="E11716" s="2">
        <v>1</v>
      </c>
      <c r="F11716" s="2">
        <v>5</v>
      </c>
      <c r="G11716" s="2">
        <v>0</v>
      </c>
      <c r="H11716" s="1" t="s">
        <v>0</v>
      </c>
      <c r="I11716" s="2">
        <v>0</v>
      </c>
      <c r="J11716" s="1">
        <v>45944.47865740741</v>
      </c>
    </row>
    <row r="11717" spans="1:10" x14ac:dyDescent="0.2">
      <c r="A11717" s="4" t="s">
        <v>1</v>
      </c>
      <c r="B1171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17" s="3" t="str">
        <f>HYPERLINK("https://otsuka-europe-crm.veevavault.com/ui/#object/sent_email__v/VBLZ025E82HJZH3", "SE-000287146")</f>
        <v>SE-000287146</v>
      </c>
      <c r="D11717" s="1">
        <v>45950.814745370371</v>
      </c>
      <c r="E11717" s="2">
        <v>1</v>
      </c>
      <c r="F11717" s="2">
        <v>6</v>
      </c>
      <c r="G11717" s="2">
        <v>1</v>
      </c>
      <c r="H11717" s="1">
        <v>45950.814837962964</v>
      </c>
      <c r="I11717" s="2">
        <v>1</v>
      </c>
      <c r="J11717" s="1">
        <v>45944.47855324074</v>
      </c>
    </row>
    <row r="11718" spans="1:10" x14ac:dyDescent="0.2">
      <c r="A11718" s="4" t="s">
        <v>1</v>
      </c>
      <c r="B1171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18" s="3" t="str">
        <f>HYPERLINK("https://otsuka-europe-crm.veevavault.com/ui/#object/sent_email__v/VBLZ025E82HJZH4", "SE-000287147")</f>
        <v>SE-000287147</v>
      </c>
      <c r="D11718" s="1">
        <v>45944.531759259262</v>
      </c>
      <c r="E11718" s="2">
        <v>1</v>
      </c>
      <c r="F11718" s="2">
        <v>1</v>
      </c>
      <c r="G11718" s="2">
        <v>0</v>
      </c>
      <c r="H11718" s="1" t="s">
        <v>0</v>
      </c>
      <c r="I11718" s="2">
        <v>0</v>
      </c>
      <c r="J11718" s="1">
        <v>45944.478634259256</v>
      </c>
    </row>
    <row r="11719" spans="1:10" x14ac:dyDescent="0.2">
      <c r="A11719" s="4" t="s">
        <v>1</v>
      </c>
      <c r="B1171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19" s="3" t="str">
        <f>HYPERLINK("https://otsuka-europe-crm.veevavault.com/ui/#object/sent_email__v/VBLZ025E82HJZH5", "SE-000287148")</f>
        <v>SE-000287148</v>
      </c>
      <c r="D11719" s="1" t="s">
        <v>0</v>
      </c>
      <c r="E11719" s="2">
        <v>0</v>
      </c>
      <c r="F11719" s="2">
        <v>0</v>
      </c>
      <c r="G11719" s="2">
        <v>0</v>
      </c>
      <c r="H11719" s="1" t="s">
        <v>0</v>
      </c>
      <c r="I11719" s="2">
        <v>0</v>
      </c>
      <c r="J11719" s="1">
        <v>45944.478530092594</v>
      </c>
    </row>
    <row r="11720" spans="1:10" x14ac:dyDescent="0.2">
      <c r="A11720" s="4" t="s">
        <v>1</v>
      </c>
      <c r="B1172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20" s="3" t="str">
        <f>HYPERLINK("https://otsuka-europe-crm.veevavault.com/ui/#object/sent_email__v/VBLZ025E82HJZH6", "SE-000287149")</f>
        <v>SE-000287149</v>
      </c>
      <c r="D11720" s="1">
        <v>45948.802743055552</v>
      </c>
      <c r="E11720" s="2">
        <v>1</v>
      </c>
      <c r="F11720" s="2">
        <v>2</v>
      </c>
      <c r="G11720" s="2">
        <v>0</v>
      </c>
      <c r="H11720" s="1" t="s">
        <v>0</v>
      </c>
      <c r="I11720" s="2">
        <v>0</v>
      </c>
      <c r="J11720" s="1">
        <v>45944.478645833333</v>
      </c>
    </row>
    <row r="11721" spans="1:10" x14ac:dyDescent="0.2">
      <c r="A11721" s="4" t="s">
        <v>1</v>
      </c>
      <c r="B1172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21" s="3" t="str">
        <f>HYPERLINK("https://otsuka-europe-crm.veevavault.com/ui/#object/sent_email__v/VBLZ025E82HJZH7", "SE-000287150")</f>
        <v>SE-000287150</v>
      </c>
      <c r="D11721" s="1" t="s">
        <v>0</v>
      </c>
      <c r="E11721" s="2">
        <v>0</v>
      </c>
      <c r="F11721" s="2">
        <v>0</v>
      </c>
      <c r="G11721" s="2">
        <v>0</v>
      </c>
      <c r="H11721" s="1" t="s">
        <v>0</v>
      </c>
      <c r="I11721" s="2">
        <v>0</v>
      </c>
      <c r="J11721" s="1">
        <v>45944.47855324074</v>
      </c>
    </row>
    <row r="11722" spans="1:10" x14ac:dyDescent="0.2">
      <c r="A11722" s="4" t="s">
        <v>1</v>
      </c>
      <c r="B1172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22" s="3" t="str">
        <f>HYPERLINK("https://otsuka-europe-crm.veevavault.com/ui/#object/sent_email__v/VBLZ025E82HJZH8", "SE-000287151")</f>
        <v>SE-000287151</v>
      </c>
      <c r="D11722" s="1">
        <v>45973.09003472222</v>
      </c>
      <c r="E11722" s="2">
        <v>1</v>
      </c>
      <c r="F11722" s="2">
        <v>2</v>
      </c>
      <c r="G11722" s="2">
        <v>0</v>
      </c>
      <c r="H11722" s="1" t="s">
        <v>0</v>
      </c>
      <c r="I11722" s="2">
        <v>0</v>
      </c>
      <c r="J11722" s="1">
        <v>45944.47861111111</v>
      </c>
    </row>
    <row r="11723" spans="1:10" x14ac:dyDescent="0.2">
      <c r="A11723" s="4" t="s">
        <v>1</v>
      </c>
      <c r="B1172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23" s="3" t="str">
        <f>HYPERLINK("https://otsuka-europe-crm.veevavault.com/ui/#object/sent_email__v/VBLZ025E82HJZH9", "SE-000287152")</f>
        <v>SE-000287152</v>
      </c>
      <c r="D11723" s="1" t="s">
        <v>0</v>
      </c>
      <c r="E11723" s="2">
        <v>0</v>
      </c>
      <c r="F11723" s="2">
        <v>0</v>
      </c>
      <c r="G11723" s="2">
        <v>0</v>
      </c>
      <c r="H11723" s="1" t="s">
        <v>0</v>
      </c>
      <c r="I11723" s="2">
        <v>0</v>
      </c>
      <c r="J11723" s="1">
        <v>45944.478506944448</v>
      </c>
    </row>
    <row r="11724" spans="1:10" x14ac:dyDescent="0.2">
      <c r="A11724" s="4" t="s">
        <v>1</v>
      </c>
      <c r="B1172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24" s="3" t="str">
        <f>HYPERLINK("https://otsuka-europe-crm.veevavault.com/ui/#object/sent_email__v/VBLZ025E82HJZHA", "SE-000287153")</f>
        <v>SE-000287153</v>
      </c>
      <c r="D11724" s="1">
        <v>45945.750173611108</v>
      </c>
      <c r="E11724" s="2">
        <v>1</v>
      </c>
      <c r="F11724" s="2">
        <v>1</v>
      </c>
      <c r="G11724" s="2">
        <v>0</v>
      </c>
      <c r="H11724" s="1" t="s">
        <v>0</v>
      </c>
      <c r="I11724" s="2">
        <v>0</v>
      </c>
      <c r="J11724" s="1">
        <v>45944.47859953704</v>
      </c>
    </row>
    <row r="11725" spans="1:10" x14ac:dyDescent="0.2">
      <c r="A11725" s="4" t="s">
        <v>1</v>
      </c>
      <c r="B1172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25" s="3" t="str">
        <f>HYPERLINK("https://otsuka-europe-crm.veevavault.com/ui/#object/sent_email__v/VBLZ025E82HJZHB", "SE-000287154")</f>
        <v>SE-000287154</v>
      </c>
      <c r="D11725" s="1" t="s">
        <v>0</v>
      </c>
      <c r="E11725" s="2">
        <v>0</v>
      </c>
      <c r="F11725" s="2">
        <v>0</v>
      </c>
      <c r="G11725" s="2">
        <v>0</v>
      </c>
      <c r="H11725" s="1" t="s">
        <v>0</v>
      </c>
      <c r="I11725" s="2">
        <v>0</v>
      </c>
      <c r="J11725" s="1">
        <v>45944.478495370371</v>
      </c>
    </row>
    <row r="11726" spans="1:10" x14ac:dyDescent="0.2">
      <c r="A11726" s="4" t="s">
        <v>1</v>
      </c>
      <c r="B1172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26" s="3" t="str">
        <f>HYPERLINK("https://otsuka-europe-crm.veevavault.com/ui/#object/sent_email__v/VBLZ025E82HJZHC", "SE-000287155")</f>
        <v>SE-000287155</v>
      </c>
      <c r="D11726" s="1">
        <v>45987.006863425922</v>
      </c>
      <c r="E11726" s="2">
        <v>1</v>
      </c>
      <c r="F11726" s="2">
        <v>2</v>
      </c>
      <c r="G11726" s="2">
        <v>0</v>
      </c>
      <c r="H11726" s="1" t="s">
        <v>0</v>
      </c>
      <c r="I11726" s="2">
        <v>0</v>
      </c>
      <c r="J11726" s="1">
        <v>45944.478622685187</v>
      </c>
    </row>
    <row r="11727" spans="1:10" x14ac:dyDescent="0.2">
      <c r="A11727" s="4" t="s">
        <v>1</v>
      </c>
      <c r="B1172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27" s="3" t="str">
        <f>HYPERLINK("https://otsuka-europe-crm.veevavault.com/ui/#object/sent_email__v/VBLZ025E82HJZHD", "SE-000287156")</f>
        <v>SE-000287156</v>
      </c>
      <c r="D11727" s="1">
        <v>45944.719872685186</v>
      </c>
      <c r="E11727" s="2">
        <v>1</v>
      </c>
      <c r="F11727" s="2">
        <v>1</v>
      </c>
      <c r="G11727" s="2">
        <v>0</v>
      </c>
      <c r="H11727" s="1" t="s">
        <v>0</v>
      </c>
      <c r="I11727" s="2">
        <v>0</v>
      </c>
      <c r="J11727" s="1">
        <v>45944.478518518517</v>
      </c>
    </row>
    <row r="11728" spans="1:10" x14ac:dyDescent="0.2">
      <c r="A11728" s="4" t="s">
        <v>1</v>
      </c>
      <c r="B1172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28" s="3" t="str">
        <f>HYPERLINK("https://otsuka-europe-crm.veevavault.com/ui/#object/sent_email__v/VBLZ025E82HJZHE", "SE-000287157")</f>
        <v>SE-000287157</v>
      </c>
      <c r="D11728" s="1">
        <v>45945.523761574077</v>
      </c>
      <c r="E11728" s="2">
        <v>1</v>
      </c>
      <c r="F11728" s="2">
        <v>2</v>
      </c>
      <c r="G11728" s="2">
        <v>0</v>
      </c>
      <c r="H11728" s="1" t="s">
        <v>0</v>
      </c>
      <c r="I11728" s="2">
        <v>0</v>
      </c>
      <c r="J11728" s="1">
        <v>45944.478703703702</v>
      </c>
    </row>
    <row r="11729" spans="1:10" x14ac:dyDescent="0.2">
      <c r="A11729" s="4" t="s">
        <v>1</v>
      </c>
      <c r="B1172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29" s="3" t="str">
        <f>HYPERLINK("https://otsuka-europe-crm.veevavault.com/ui/#object/sent_email__v/VBLZ025E82HJZHF", "SE-000287158")</f>
        <v>SE-000287158</v>
      </c>
      <c r="D11729" s="1" t="s">
        <v>0</v>
      </c>
      <c r="E11729" s="2">
        <v>0</v>
      </c>
      <c r="F11729" s="2">
        <v>0</v>
      </c>
      <c r="G11729" s="2">
        <v>0</v>
      </c>
      <c r="H11729" s="1" t="s">
        <v>0</v>
      </c>
      <c r="I11729" s="2">
        <v>0</v>
      </c>
      <c r="J11729" s="1">
        <v>45944.47859953704</v>
      </c>
    </row>
    <row r="11730" spans="1:10" x14ac:dyDescent="0.2">
      <c r="A11730" s="4" t="s">
        <v>1</v>
      </c>
      <c r="B1173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30" s="3" t="str">
        <f>HYPERLINK("https://otsuka-europe-crm.veevavault.com/ui/#object/sent_email__v/VBLZ025E82HJZHG", "SE-000287159")</f>
        <v>SE-000287159</v>
      </c>
      <c r="D11730" s="1">
        <v>45946.933993055558</v>
      </c>
      <c r="E11730" s="2">
        <v>1</v>
      </c>
      <c r="F11730" s="2">
        <v>2</v>
      </c>
      <c r="G11730" s="2">
        <v>0</v>
      </c>
      <c r="H11730" s="1" t="s">
        <v>0</v>
      </c>
      <c r="I11730" s="2">
        <v>0</v>
      </c>
      <c r="J11730" s="1">
        <v>45944.478715277779</v>
      </c>
    </row>
    <row r="11731" spans="1:10" x14ac:dyDescent="0.2">
      <c r="A11731" s="4" t="s">
        <v>1</v>
      </c>
      <c r="B1173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31" s="3" t="str">
        <f>HYPERLINK("https://otsuka-europe-crm.veevavault.com/ui/#object/sent_email__v/VBLZ025E82HJZHH", "SE-000287160")</f>
        <v>SE-000287160</v>
      </c>
      <c r="D11731" s="1" t="s">
        <v>0</v>
      </c>
      <c r="E11731" s="2">
        <v>0</v>
      </c>
      <c r="F11731" s="2">
        <v>0</v>
      </c>
      <c r="G11731" s="2">
        <v>0</v>
      </c>
      <c r="H11731" s="1" t="s">
        <v>0</v>
      </c>
      <c r="I11731" s="2">
        <v>0</v>
      </c>
      <c r="J11731" s="1">
        <v>45944.47859953704</v>
      </c>
    </row>
    <row r="11732" spans="1:10" x14ac:dyDescent="0.2">
      <c r="A11732" s="4" t="s">
        <v>1</v>
      </c>
      <c r="B1173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32" s="3" t="str">
        <f>HYPERLINK("https://otsuka-europe-crm.veevavault.com/ui/#object/sent_email__v/VBLZ025E82HJZHI", "SE-000287161")</f>
        <v>SE-000287161</v>
      </c>
      <c r="D11732" s="1" t="s">
        <v>0</v>
      </c>
      <c r="E11732" s="2">
        <v>0</v>
      </c>
      <c r="F11732" s="2">
        <v>0</v>
      </c>
      <c r="G11732" s="2">
        <v>0</v>
      </c>
      <c r="H11732" s="1" t="s">
        <v>0</v>
      </c>
      <c r="I11732" s="2">
        <v>0</v>
      </c>
      <c r="J11732" s="1">
        <v>45944.478692129633</v>
      </c>
    </row>
    <row r="11733" spans="1:10" x14ac:dyDescent="0.2">
      <c r="A11733" s="4" t="s">
        <v>1</v>
      </c>
      <c r="B1173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33" s="3" t="str">
        <f>HYPERLINK("https://otsuka-europe-crm.veevavault.com/ui/#object/sent_email__v/VBLZ025E82HJZHJ", "SE-000287162")</f>
        <v>SE-000287162</v>
      </c>
      <c r="D11733" s="1" t="s">
        <v>0</v>
      </c>
      <c r="E11733" s="2">
        <v>0</v>
      </c>
      <c r="F11733" s="2">
        <v>0</v>
      </c>
      <c r="G11733" s="2">
        <v>0</v>
      </c>
      <c r="H11733" s="1" t="s">
        <v>0</v>
      </c>
      <c r="I11733" s="2">
        <v>0</v>
      </c>
      <c r="J11733" s="1">
        <v>45944.478576388887</v>
      </c>
    </row>
    <row r="11734" spans="1:10" x14ac:dyDescent="0.2">
      <c r="A11734" s="4" t="s">
        <v>1</v>
      </c>
      <c r="B1173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34" s="3" t="str">
        <f>HYPERLINK("https://otsuka-europe-crm.veevavault.com/ui/#object/sent_email__v/VBLZ025E82HKDCT", "SE-000287180")</f>
        <v>SE-000287180</v>
      </c>
      <c r="D11734" s="1">
        <v>45947.611180555556</v>
      </c>
      <c r="E11734" s="2">
        <v>1</v>
      </c>
      <c r="F11734" s="2">
        <v>1</v>
      </c>
      <c r="G11734" s="2">
        <v>0</v>
      </c>
      <c r="H11734" s="1" t="s">
        <v>0</v>
      </c>
      <c r="I11734" s="2">
        <v>0</v>
      </c>
      <c r="J11734" s="1">
        <v>45944.614374999997</v>
      </c>
    </row>
    <row r="11735" spans="1:10" x14ac:dyDescent="0.2">
      <c r="A11735" s="4" t="s">
        <v>1</v>
      </c>
      <c r="B1173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35" s="3" t="str">
        <f>HYPERLINK("https://otsuka-europe-crm.veevavault.com/ui/#object/sent_email__v/VBLZ025E82HKDCU", "SE-000287181")</f>
        <v>SE-000287181</v>
      </c>
      <c r="D11735" s="1" t="s">
        <v>0</v>
      </c>
      <c r="E11735" s="2">
        <v>0</v>
      </c>
      <c r="F11735" s="2">
        <v>0</v>
      </c>
      <c r="G11735" s="2">
        <v>0</v>
      </c>
      <c r="H11735" s="1" t="s">
        <v>0</v>
      </c>
      <c r="I11735" s="2">
        <v>0</v>
      </c>
      <c r="J11735" s="1">
        <v>45944.614374999997</v>
      </c>
    </row>
    <row r="11736" spans="1:10" x14ac:dyDescent="0.2">
      <c r="A11736" s="4" t="s">
        <v>1</v>
      </c>
      <c r="B1173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36" s="3" t="str">
        <f>HYPERLINK("https://otsuka-europe-crm.veevavault.com/ui/#object/sent_email__v/VBLZ025E82HKDCV", "SE-000287182")</f>
        <v>SE-000287182</v>
      </c>
      <c r="D11736" s="1" t="s">
        <v>0</v>
      </c>
      <c r="E11736" s="2">
        <v>0</v>
      </c>
      <c r="F11736" s="2">
        <v>0</v>
      </c>
      <c r="G11736" s="2">
        <v>0</v>
      </c>
      <c r="H11736" s="1" t="s">
        <v>0</v>
      </c>
      <c r="I11736" s="2">
        <v>0</v>
      </c>
      <c r="J11736" s="1">
        <v>45944.614374999997</v>
      </c>
    </row>
    <row r="11737" spans="1:10" x14ac:dyDescent="0.2">
      <c r="A11737" s="4" t="s">
        <v>1</v>
      </c>
      <c r="B1173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37" s="3" t="str">
        <f>HYPERLINK("https://otsuka-europe-crm.veevavault.com/ui/#object/sent_email__v/VBLZ025E82HKDCW", "SE-000287183")</f>
        <v>SE-000287183</v>
      </c>
      <c r="D11737" s="1" t="s">
        <v>0</v>
      </c>
      <c r="E11737" s="2">
        <v>0</v>
      </c>
      <c r="F11737" s="2">
        <v>0</v>
      </c>
      <c r="G11737" s="2">
        <v>0</v>
      </c>
      <c r="H11737" s="1" t="s">
        <v>0</v>
      </c>
      <c r="I11737" s="2">
        <v>0</v>
      </c>
      <c r="J11737" s="1">
        <v>45944.614386574074</v>
      </c>
    </row>
    <row r="11738" spans="1:10" x14ac:dyDescent="0.2">
      <c r="A11738" s="4" t="s">
        <v>1</v>
      </c>
      <c r="B1173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38" s="3" t="str">
        <f>HYPERLINK("https://otsuka-europe-crm.veevavault.com/ui/#object/sent_email__v/VBLZ025E82HKDCX", "SE-000287184")</f>
        <v>SE-000287184</v>
      </c>
      <c r="D11738" s="1" t="s">
        <v>0</v>
      </c>
      <c r="E11738" s="2">
        <v>0</v>
      </c>
      <c r="F11738" s="2">
        <v>0</v>
      </c>
      <c r="G11738" s="2">
        <v>0</v>
      </c>
      <c r="H11738" s="1" t="s">
        <v>0</v>
      </c>
      <c r="I11738" s="2">
        <v>0</v>
      </c>
      <c r="J11738" s="1">
        <v>45944.614398148151</v>
      </c>
    </row>
    <row r="11739" spans="1:10" x14ac:dyDescent="0.2">
      <c r="A11739" s="4" t="s">
        <v>1</v>
      </c>
      <c r="B1173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39" s="3" t="str">
        <f>HYPERLINK("https://otsuka-europe-crm.veevavault.com/ui/#object/sent_email__v/VBLZ025E82HKDCY", "SE-000287185")</f>
        <v>SE-000287185</v>
      </c>
      <c r="D11739" s="1" t="s">
        <v>0</v>
      </c>
      <c r="E11739" s="2">
        <v>0</v>
      </c>
      <c r="F11739" s="2">
        <v>0</v>
      </c>
      <c r="G11739" s="2">
        <v>0</v>
      </c>
      <c r="H11739" s="1" t="s">
        <v>0</v>
      </c>
      <c r="I11739" s="2">
        <v>0</v>
      </c>
      <c r="J11739" s="1">
        <v>45944.614421296297</v>
      </c>
    </row>
    <row r="11740" spans="1:10" x14ac:dyDescent="0.2">
      <c r="A11740" s="4" t="s">
        <v>1</v>
      </c>
      <c r="B1174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40" s="3" t="str">
        <f>HYPERLINK("https://otsuka-europe-crm.veevavault.com/ui/#object/sent_email__v/VBLZ025E82HKDCZ", "SE-000287186")</f>
        <v>SE-000287186</v>
      </c>
      <c r="D11740" s="1" t="s">
        <v>0</v>
      </c>
      <c r="E11740" s="2">
        <v>0</v>
      </c>
      <c r="F11740" s="2">
        <v>0</v>
      </c>
      <c r="G11740" s="2">
        <v>0</v>
      </c>
      <c r="H11740" s="1" t="s">
        <v>0</v>
      </c>
      <c r="I11740" s="2">
        <v>0</v>
      </c>
      <c r="J11740" s="1">
        <v>45944.614421296297</v>
      </c>
    </row>
    <row r="11741" spans="1:10" x14ac:dyDescent="0.2">
      <c r="A11741" s="4" t="s">
        <v>1</v>
      </c>
      <c r="B1174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41" s="3" t="str">
        <f>HYPERLINK("https://otsuka-europe-crm.veevavault.com/ui/#object/sent_email__v/VBLZ025E82HKDD0", "SE-000287187")</f>
        <v>SE-000287187</v>
      </c>
      <c r="D11741" s="1">
        <v>45944.615069444444</v>
      </c>
      <c r="E11741" s="2">
        <v>1</v>
      </c>
      <c r="F11741" s="2">
        <v>2</v>
      </c>
      <c r="G11741" s="2">
        <v>0</v>
      </c>
      <c r="H11741" s="1" t="s">
        <v>0</v>
      </c>
      <c r="I11741" s="2">
        <v>0</v>
      </c>
      <c r="J11741" s="1">
        <v>45944.614421296297</v>
      </c>
    </row>
    <row r="11742" spans="1:10" x14ac:dyDescent="0.2">
      <c r="A11742" s="4" t="s">
        <v>1</v>
      </c>
      <c r="B1174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42" s="3" t="str">
        <f>HYPERLINK("https://otsuka-europe-crm.veevavault.com/ui/#object/sent_email__v/VBLZ025E82HKDD1", "SE-000287188")</f>
        <v>SE-000287188</v>
      </c>
      <c r="D11742" s="1">
        <v>45944.645520833335</v>
      </c>
      <c r="E11742" s="2">
        <v>1</v>
      </c>
      <c r="F11742" s="2">
        <v>1</v>
      </c>
      <c r="G11742" s="2">
        <v>0</v>
      </c>
      <c r="H11742" s="1" t="s">
        <v>0</v>
      </c>
      <c r="I11742" s="2">
        <v>0</v>
      </c>
      <c r="J11742" s="1">
        <v>45944.614432870374</v>
      </c>
    </row>
    <row r="11743" spans="1:10" x14ac:dyDescent="0.2">
      <c r="A11743" s="4" t="s">
        <v>1</v>
      </c>
      <c r="B1174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43" s="3" t="str">
        <f>HYPERLINK("https://otsuka-europe-crm.veevavault.com/ui/#object/sent_email__v/VBLZ025E82HKDD2", "SE-000287189")</f>
        <v>SE-000287189</v>
      </c>
      <c r="D11743" s="1">
        <v>45965.449826388889</v>
      </c>
      <c r="E11743" s="2">
        <v>1</v>
      </c>
      <c r="F11743" s="2">
        <v>4</v>
      </c>
      <c r="G11743" s="2">
        <v>1</v>
      </c>
      <c r="H11743" s="1">
        <v>45945.402060185188</v>
      </c>
      <c r="I11743" s="2">
        <v>1</v>
      </c>
      <c r="J11743" s="1">
        <v>45944.614444444444</v>
      </c>
    </row>
    <row r="11744" spans="1:10" x14ac:dyDescent="0.2">
      <c r="A11744" s="4" t="s">
        <v>1</v>
      </c>
      <c r="B1174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44" s="3" t="str">
        <f>HYPERLINK("https://otsuka-europe-crm.veevavault.com/ui/#object/sent_email__v/VBLZ025E82HKDD3", "SE-000287190")</f>
        <v>SE-000287190</v>
      </c>
      <c r="D11744" s="1" t="s">
        <v>0</v>
      </c>
      <c r="E11744" s="2">
        <v>0</v>
      </c>
      <c r="F11744" s="2">
        <v>0</v>
      </c>
      <c r="G11744" s="2">
        <v>0</v>
      </c>
      <c r="H11744" s="1" t="s">
        <v>0</v>
      </c>
      <c r="I11744" s="2">
        <v>0</v>
      </c>
      <c r="J11744" s="1">
        <v>45944.61445601852</v>
      </c>
    </row>
    <row r="11745" spans="1:10" x14ac:dyDescent="0.2">
      <c r="A11745" s="4" t="s">
        <v>1</v>
      </c>
      <c r="B1174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45" s="3" t="str">
        <f>HYPERLINK("https://otsuka-europe-crm.veevavault.com/ui/#object/sent_email__v/VBLZ025E82HKDD4", "SE-000287191")</f>
        <v>SE-000287191</v>
      </c>
      <c r="D11745" s="1" t="s">
        <v>0</v>
      </c>
      <c r="E11745" s="2">
        <v>0</v>
      </c>
      <c r="F11745" s="2">
        <v>0</v>
      </c>
      <c r="G11745" s="2">
        <v>0</v>
      </c>
      <c r="H11745" s="1" t="s">
        <v>0</v>
      </c>
      <c r="I11745" s="2">
        <v>0</v>
      </c>
      <c r="J11745" s="1">
        <v>45944.614479166667</v>
      </c>
    </row>
    <row r="11746" spans="1:10" x14ac:dyDescent="0.2">
      <c r="A11746" s="4" t="s">
        <v>1</v>
      </c>
      <c r="B1174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46" s="3" t="str">
        <f>HYPERLINK("https://otsuka-europe-crm.veevavault.com/ui/#object/sent_email__v/VBLZ025E82HKDD5", "SE-000287192")</f>
        <v>SE-000287192</v>
      </c>
      <c r="D11746" s="1" t="s">
        <v>0</v>
      </c>
      <c r="E11746" s="2">
        <v>0</v>
      </c>
      <c r="F11746" s="2">
        <v>0</v>
      </c>
      <c r="G11746" s="2">
        <v>0</v>
      </c>
      <c r="H11746" s="1" t="s">
        <v>0</v>
      </c>
      <c r="I11746" s="2">
        <v>0</v>
      </c>
      <c r="J11746" s="1">
        <v>45944.614490740743</v>
      </c>
    </row>
    <row r="11747" spans="1:10" x14ac:dyDescent="0.2">
      <c r="A11747" s="4" t="s">
        <v>1</v>
      </c>
      <c r="B1174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47" s="3" t="str">
        <f>HYPERLINK("https://otsuka-europe-crm.veevavault.com/ui/#object/sent_email__v/VBLZ025E82HKDD6", "SE-000287193")</f>
        <v>SE-000287193</v>
      </c>
      <c r="D11747" s="1" t="s">
        <v>0</v>
      </c>
      <c r="E11747" s="2">
        <v>0</v>
      </c>
      <c r="F11747" s="2">
        <v>0</v>
      </c>
      <c r="G11747" s="2">
        <v>0</v>
      </c>
      <c r="H11747" s="1" t="s">
        <v>0</v>
      </c>
      <c r="I11747" s="2">
        <v>0</v>
      </c>
      <c r="J11747" s="1">
        <v>45944.614479166667</v>
      </c>
    </row>
    <row r="11748" spans="1:10" x14ac:dyDescent="0.2">
      <c r="A11748" s="4" t="s">
        <v>1</v>
      </c>
      <c r="B1174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48" s="3" t="str">
        <f>HYPERLINK("https://otsuka-europe-crm.veevavault.com/ui/#object/sent_email__v/VBLZ025E82HKDD7", "SE-000287194")</f>
        <v>SE-000287194</v>
      </c>
      <c r="D11748" s="1" t="s">
        <v>0</v>
      </c>
      <c r="E11748" s="2">
        <v>0</v>
      </c>
      <c r="F11748" s="2">
        <v>0</v>
      </c>
      <c r="G11748" s="2">
        <v>0</v>
      </c>
      <c r="H11748" s="1" t="s">
        <v>0</v>
      </c>
      <c r="I11748" s="2">
        <v>0</v>
      </c>
      <c r="J11748" s="1">
        <v>45944.614490740743</v>
      </c>
    </row>
    <row r="11749" spans="1:10" x14ac:dyDescent="0.2">
      <c r="A11749" s="4" t="s">
        <v>1</v>
      </c>
      <c r="B1174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49" s="3" t="str">
        <f>HYPERLINK("https://otsuka-europe-crm.veevavault.com/ui/#object/sent_email__v/VBLZ025E82HKDD8", "SE-000287195")</f>
        <v>SE-000287195</v>
      </c>
      <c r="D11749" s="1" t="s">
        <v>0</v>
      </c>
      <c r="E11749" s="2">
        <v>0</v>
      </c>
      <c r="F11749" s="2">
        <v>0</v>
      </c>
      <c r="G11749" s="2">
        <v>0</v>
      </c>
      <c r="H11749" s="1" t="s">
        <v>0</v>
      </c>
      <c r="I11749" s="2">
        <v>0</v>
      </c>
      <c r="J11749" s="1">
        <v>45944.614490740743</v>
      </c>
    </row>
    <row r="11750" spans="1:10" x14ac:dyDescent="0.2">
      <c r="A11750" s="4" t="s">
        <v>1</v>
      </c>
      <c r="B1175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50" s="3" t="str">
        <f>HYPERLINK("https://otsuka-europe-crm.veevavault.com/ui/#object/sent_email__v/VBLZ025E82HKDD9", "SE-000287196")</f>
        <v>SE-000287196</v>
      </c>
      <c r="D11750" s="1" t="s">
        <v>0</v>
      </c>
      <c r="E11750" s="2">
        <v>0</v>
      </c>
      <c r="F11750" s="2">
        <v>0</v>
      </c>
      <c r="G11750" s="2">
        <v>0</v>
      </c>
      <c r="H11750" s="1" t="s">
        <v>0</v>
      </c>
      <c r="I11750" s="2">
        <v>0</v>
      </c>
      <c r="J11750" s="1">
        <v>45944.61451388889</v>
      </c>
    </row>
    <row r="11751" spans="1:10" x14ac:dyDescent="0.2">
      <c r="A11751" s="4" t="s">
        <v>1</v>
      </c>
      <c r="B1175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51" s="3" t="str">
        <f>HYPERLINK("https://otsuka-europe-crm.veevavault.com/ui/#object/sent_email__v/VBLZ025E82HKDDA", "SE-000287197")</f>
        <v>SE-000287197</v>
      </c>
      <c r="D11751" s="1" t="s">
        <v>0</v>
      </c>
      <c r="E11751" s="2">
        <v>0</v>
      </c>
      <c r="F11751" s="2">
        <v>0</v>
      </c>
      <c r="G11751" s="2">
        <v>0</v>
      </c>
      <c r="H11751" s="1" t="s">
        <v>0</v>
      </c>
      <c r="I11751" s="2">
        <v>0</v>
      </c>
      <c r="J11751" s="1">
        <v>45944.61451388889</v>
      </c>
    </row>
    <row r="11752" spans="1:10" x14ac:dyDescent="0.2">
      <c r="A11752" s="4" t="s">
        <v>1</v>
      </c>
      <c r="B1175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52" s="3" t="str">
        <f>HYPERLINK("https://otsuka-europe-crm.veevavault.com/ui/#object/sent_email__v/VBLZ025E82HKDDB", "SE-000287198")</f>
        <v>SE-000287198</v>
      </c>
      <c r="D11752" s="1">
        <v>45944.616423611114</v>
      </c>
      <c r="E11752" s="2">
        <v>1</v>
      </c>
      <c r="F11752" s="2">
        <v>2</v>
      </c>
      <c r="G11752" s="2">
        <v>0</v>
      </c>
      <c r="H11752" s="1" t="s">
        <v>0</v>
      </c>
      <c r="I11752" s="2">
        <v>0</v>
      </c>
      <c r="J11752" s="1">
        <v>45944.614571759259</v>
      </c>
    </row>
    <row r="11753" spans="1:10" x14ac:dyDescent="0.2">
      <c r="A11753" s="4" t="s">
        <v>1</v>
      </c>
      <c r="B1175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53" s="3" t="str">
        <f>HYPERLINK("https://otsuka-europe-crm.veevavault.com/ui/#object/sent_email__v/VBLZ025E82HKDDC", "SE-000287199")</f>
        <v>SE-000287199</v>
      </c>
      <c r="D11753" s="1" t="s">
        <v>0</v>
      </c>
      <c r="E11753" s="2">
        <v>0</v>
      </c>
      <c r="F11753" s="2">
        <v>0</v>
      </c>
      <c r="G11753" s="2">
        <v>0</v>
      </c>
      <c r="H11753" s="1" t="s">
        <v>0</v>
      </c>
      <c r="I11753" s="2">
        <v>0</v>
      </c>
      <c r="J11753" s="1">
        <v>45944.614548611113</v>
      </c>
    </row>
    <row r="11754" spans="1:10" x14ac:dyDescent="0.2">
      <c r="A11754" s="4" t="s">
        <v>1</v>
      </c>
      <c r="B1175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54" s="3" t="str">
        <f>HYPERLINK("https://otsuka-europe-crm.veevavault.com/ui/#object/sent_email__v/VBLZ025E82HKDDD", "SE-000287200")</f>
        <v>SE-000287200</v>
      </c>
      <c r="D11754" s="1" t="s">
        <v>0</v>
      </c>
      <c r="E11754" s="2">
        <v>0</v>
      </c>
      <c r="F11754" s="2">
        <v>0</v>
      </c>
      <c r="G11754" s="2">
        <v>0</v>
      </c>
      <c r="H11754" s="1" t="s">
        <v>0</v>
      </c>
      <c r="I11754" s="2">
        <v>0</v>
      </c>
      <c r="J11754" s="1">
        <v>45944.614560185182</v>
      </c>
    </row>
    <row r="11755" spans="1:10" x14ac:dyDescent="0.2">
      <c r="A11755" s="4" t="s">
        <v>1</v>
      </c>
      <c r="B1175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55" s="3" t="str">
        <f>HYPERLINK("https://otsuka-europe-crm.veevavault.com/ui/#object/sent_email__v/VBLZ025E82HKDDE", "SE-000287201")</f>
        <v>SE-000287201</v>
      </c>
      <c r="D11755" s="1">
        <v>45950.324432870373</v>
      </c>
      <c r="E11755" s="2">
        <v>1</v>
      </c>
      <c r="F11755" s="2">
        <v>2</v>
      </c>
      <c r="G11755" s="2">
        <v>1</v>
      </c>
      <c r="H11755" s="1">
        <v>45950.310023148151</v>
      </c>
      <c r="I11755" s="2">
        <v>1</v>
      </c>
      <c r="J11755" s="1">
        <v>45944.614560185182</v>
      </c>
    </row>
    <row r="11756" spans="1:10" x14ac:dyDescent="0.2">
      <c r="A11756" s="4" t="s">
        <v>1</v>
      </c>
      <c r="B1175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56" s="3" t="str">
        <f>HYPERLINK("https://otsuka-europe-crm.veevavault.com/ui/#object/sent_email__v/VBLZ025E82HKDDF", "SE-000287202")</f>
        <v>SE-000287202</v>
      </c>
      <c r="D11756" s="1" t="s">
        <v>0</v>
      </c>
      <c r="E11756" s="2">
        <v>0</v>
      </c>
      <c r="F11756" s="2">
        <v>0</v>
      </c>
      <c r="G11756" s="2">
        <v>0</v>
      </c>
      <c r="H11756" s="1" t="s">
        <v>0</v>
      </c>
      <c r="I11756" s="2">
        <v>0</v>
      </c>
      <c r="J11756" s="1">
        <v>45944.614571759259</v>
      </c>
    </row>
    <row r="11757" spans="1:10" x14ac:dyDescent="0.2">
      <c r="A11757" s="4" t="s">
        <v>1</v>
      </c>
      <c r="B1175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57" s="3" t="str">
        <f>HYPERLINK("https://otsuka-europe-crm.veevavault.com/ui/#object/sent_email__v/VBLZ025E82HKDDG", "SE-000287203")</f>
        <v>SE-000287203</v>
      </c>
      <c r="D11757" s="1" t="s">
        <v>0</v>
      </c>
      <c r="E11757" s="2">
        <v>0</v>
      </c>
      <c r="F11757" s="2">
        <v>0</v>
      </c>
      <c r="G11757" s="2">
        <v>0</v>
      </c>
      <c r="H11757" s="1" t="s">
        <v>0</v>
      </c>
      <c r="I11757" s="2">
        <v>0</v>
      </c>
      <c r="J11757" s="1">
        <v>45944.614583333336</v>
      </c>
    </row>
    <row r="11758" spans="1:10" x14ac:dyDescent="0.2">
      <c r="A11758" s="4" t="s">
        <v>1</v>
      </c>
      <c r="B1175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58" s="3" t="str">
        <f>HYPERLINK("https://otsuka-europe-crm.veevavault.com/ui/#object/sent_email__v/VBLZ025E82HKDDH", "SE-000287204")</f>
        <v>SE-000287204</v>
      </c>
      <c r="D11758" s="1" t="s">
        <v>0</v>
      </c>
      <c r="E11758" s="2">
        <v>0</v>
      </c>
      <c r="F11758" s="2">
        <v>0</v>
      </c>
      <c r="G11758" s="2">
        <v>0</v>
      </c>
      <c r="H11758" s="1" t="s">
        <v>0</v>
      </c>
      <c r="I11758" s="2">
        <v>0</v>
      </c>
      <c r="J11758" s="1">
        <v>45944.614594907405</v>
      </c>
    </row>
    <row r="11759" spans="1:10" x14ac:dyDescent="0.2">
      <c r="A11759" s="4" t="s">
        <v>1</v>
      </c>
      <c r="B1175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59" s="3" t="str">
        <f>HYPERLINK("https://otsuka-europe-crm.veevavault.com/ui/#object/sent_email__v/VBLZ025E82HKDDI", "SE-000287205")</f>
        <v>SE-000287205</v>
      </c>
      <c r="D11759" s="1" t="s">
        <v>0</v>
      </c>
      <c r="E11759" s="2">
        <v>0</v>
      </c>
      <c r="F11759" s="2">
        <v>0</v>
      </c>
      <c r="G11759" s="2">
        <v>0</v>
      </c>
      <c r="H11759" s="1" t="s">
        <v>0</v>
      </c>
      <c r="I11759" s="2">
        <v>0</v>
      </c>
      <c r="J11759" s="1">
        <v>45944.614606481482</v>
      </c>
    </row>
    <row r="11760" spans="1:10" x14ac:dyDescent="0.2">
      <c r="A11760" s="4" t="s">
        <v>1</v>
      </c>
      <c r="B1176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60" s="3" t="str">
        <f>HYPERLINK("https://otsuka-europe-crm.veevavault.com/ui/#object/sent_email__v/VBLZ025E82HKDDJ", "SE-000287206")</f>
        <v>SE-000287206</v>
      </c>
      <c r="D11760" s="1" t="s">
        <v>0</v>
      </c>
      <c r="E11760" s="2">
        <v>0</v>
      </c>
      <c r="F11760" s="2">
        <v>0</v>
      </c>
      <c r="G11760" s="2">
        <v>0</v>
      </c>
      <c r="H11760" s="1" t="s">
        <v>0</v>
      </c>
      <c r="I11760" s="2">
        <v>0</v>
      </c>
      <c r="J11760" s="1">
        <v>45944.614618055559</v>
      </c>
    </row>
    <row r="11761" spans="1:10" x14ac:dyDescent="0.2">
      <c r="A11761" s="4" t="s">
        <v>1</v>
      </c>
      <c r="B1176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61" s="3" t="str">
        <f>HYPERLINK("https://otsuka-europe-crm.veevavault.com/ui/#object/sent_email__v/VBLZ025E82HKDDK", "SE-000287207")</f>
        <v>SE-000287207</v>
      </c>
      <c r="D11761" s="1" t="s">
        <v>0</v>
      </c>
      <c r="E11761" s="2">
        <v>0</v>
      </c>
      <c r="F11761" s="2">
        <v>0</v>
      </c>
      <c r="G11761" s="2">
        <v>0</v>
      </c>
      <c r="H11761" s="1" t="s">
        <v>0</v>
      </c>
      <c r="I11761" s="2">
        <v>0</v>
      </c>
      <c r="J11761" s="1">
        <v>45944.614618055559</v>
      </c>
    </row>
    <row r="11762" spans="1:10" x14ac:dyDescent="0.2">
      <c r="A11762" s="4" t="s">
        <v>1</v>
      </c>
      <c r="B1176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62" s="3" t="str">
        <f>HYPERLINK("https://otsuka-europe-crm.veevavault.com/ui/#object/sent_email__v/VBLZ025E82HKDDL", "SE-000287208")</f>
        <v>SE-000287208</v>
      </c>
      <c r="D11762" s="1" t="s">
        <v>0</v>
      </c>
      <c r="E11762" s="2">
        <v>0</v>
      </c>
      <c r="F11762" s="2">
        <v>0</v>
      </c>
      <c r="G11762" s="2">
        <v>0</v>
      </c>
      <c r="H11762" s="1" t="s">
        <v>0</v>
      </c>
      <c r="I11762" s="2">
        <v>0</v>
      </c>
      <c r="J11762" s="1">
        <v>45944.614629629628</v>
      </c>
    </row>
    <row r="11763" spans="1:10" x14ac:dyDescent="0.2">
      <c r="A11763" s="4" t="s">
        <v>1</v>
      </c>
      <c r="B1176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63" s="3" t="str">
        <f>HYPERLINK("https://otsuka-europe-crm.veevavault.com/ui/#object/sent_email__v/VBLZ025E82HKDDM", "SE-000287209")</f>
        <v>SE-000287209</v>
      </c>
      <c r="D11763" s="1">
        <v>45944.725601851853</v>
      </c>
      <c r="E11763" s="2">
        <v>1</v>
      </c>
      <c r="F11763" s="2">
        <v>2</v>
      </c>
      <c r="G11763" s="2">
        <v>0</v>
      </c>
      <c r="H11763" s="1" t="s">
        <v>0</v>
      </c>
      <c r="I11763" s="2">
        <v>0</v>
      </c>
      <c r="J11763" s="1">
        <v>45944.614641203705</v>
      </c>
    </row>
    <row r="11764" spans="1:10" x14ac:dyDescent="0.2">
      <c r="A11764" s="4" t="s">
        <v>1</v>
      </c>
      <c r="B1176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64" s="3" t="str">
        <f>HYPERLINK("https://otsuka-europe-crm.veevavault.com/ui/#object/sent_email__v/VBLZ025E82HKDDN", "SE-000287210")</f>
        <v>SE-000287210</v>
      </c>
      <c r="D11764" s="1">
        <v>45944.615381944444</v>
      </c>
      <c r="E11764" s="2">
        <v>1</v>
      </c>
      <c r="F11764" s="2">
        <v>1</v>
      </c>
      <c r="G11764" s="2">
        <v>0</v>
      </c>
      <c r="H11764" s="1" t="s">
        <v>0</v>
      </c>
      <c r="I11764" s="2">
        <v>0</v>
      </c>
      <c r="J11764" s="1">
        <v>45944.614652777775</v>
      </c>
    </row>
    <row r="11765" spans="1:10" x14ac:dyDescent="0.2">
      <c r="A11765" s="4" t="s">
        <v>1</v>
      </c>
      <c r="B1176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65" s="3" t="str">
        <f>HYPERLINK("https://otsuka-europe-crm.veevavault.com/ui/#object/sent_email__v/VBLZ025E82HKDDO", "SE-000287211")</f>
        <v>SE-000287211</v>
      </c>
      <c r="D11765" s="1" t="s">
        <v>0</v>
      </c>
      <c r="E11765" s="2">
        <v>0</v>
      </c>
      <c r="F11765" s="2">
        <v>0</v>
      </c>
      <c r="G11765" s="2">
        <v>0</v>
      </c>
      <c r="H11765" s="1" t="s">
        <v>0</v>
      </c>
      <c r="I11765" s="2">
        <v>0</v>
      </c>
      <c r="J11765" s="1">
        <v>45944.614664351851</v>
      </c>
    </row>
    <row r="11766" spans="1:10" x14ac:dyDescent="0.2">
      <c r="A11766" s="4" t="s">
        <v>1</v>
      </c>
      <c r="B1176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66" s="3" t="str">
        <f>HYPERLINK("https://otsuka-europe-crm.veevavault.com/ui/#object/sent_email__v/VBLZ025E82HKDDP", "SE-000287212")</f>
        <v>SE-000287212</v>
      </c>
      <c r="D11766" s="1" t="s">
        <v>0</v>
      </c>
      <c r="E11766" s="2">
        <v>0</v>
      </c>
      <c r="F11766" s="2">
        <v>0</v>
      </c>
      <c r="G11766" s="2">
        <v>0</v>
      </c>
      <c r="H11766" s="1" t="s">
        <v>0</v>
      </c>
      <c r="I11766" s="2">
        <v>0</v>
      </c>
      <c r="J11766" s="1">
        <v>45944.614675925928</v>
      </c>
    </row>
    <row r="11767" spans="1:10" x14ac:dyDescent="0.2">
      <c r="A11767" s="4" t="s">
        <v>1</v>
      </c>
      <c r="B1176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67" s="3" t="str">
        <f>HYPERLINK("https://otsuka-europe-crm.veevavault.com/ui/#object/sent_email__v/VBLZ025E82HKDDQ", "SE-000287213")</f>
        <v>SE-000287213</v>
      </c>
      <c r="D11767" s="1" t="s">
        <v>0</v>
      </c>
      <c r="E11767" s="2">
        <v>0</v>
      </c>
      <c r="F11767" s="2">
        <v>0</v>
      </c>
      <c r="G11767" s="2">
        <v>0</v>
      </c>
      <c r="H11767" s="1" t="s">
        <v>0</v>
      </c>
      <c r="I11767" s="2">
        <v>0</v>
      </c>
      <c r="J11767" s="1">
        <v>45944.614675925928</v>
      </c>
    </row>
    <row r="11768" spans="1:10" x14ac:dyDescent="0.2">
      <c r="A11768" s="4" t="s">
        <v>1</v>
      </c>
      <c r="B1176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68" s="3" t="str">
        <f>HYPERLINK("https://otsuka-europe-crm.veevavault.com/ui/#object/sent_email__v/VBLZ025E82HKDDR", "SE-000287214")</f>
        <v>SE-000287214</v>
      </c>
      <c r="D11768" s="1">
        <v>45945.559351851851</v>
      </c>
      <c r="E11768" s="2">
        <v>1</v>
      </c>
      <c r="F11768" s="2">
        <v>2</v>
      </c>
      <c r="G11768" s="2">
        <v>0</v>
      </c>
      <c r="H11768" s="1" t="s">
        <v>0</v>
      </c>
      <c r="I11768" s="2">
        <v>0</v>
      </c>
      <c r="J11768" s="1">
        <v>45944.614687499998</v>
      </c>
    </row>
    <row r="11769" spans="1:10" x14ac:dyDescent="0.2">
      <c r="A11769" s="4" t="s">
        <v>1</v>
      </c>
      <c r="B1176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69" s="3" t="str">
        <f>HYPERLINK("https://otsuka-europe-crm.veevavault.com/ui/#object/sent_email__v/VBLZ025E82HKDDS", "SE-000287215")</f>
        <v>SE-000287215</v>
      </c>
      <c r="D11769" s="1" t="s">
        <v>0</v>
      </c>
      <c r="E11769" s="2">
        <v>0</v>
      </c>
      <c r="F11769" s="2">
        <v>0</v>
      </c>
      <c r="G11769" s="2">
        <v>0</v>
      </c>
      <c r="H11769" s="1" t="s">
        <v>0</v>
      </c>
      <c r="I11769" s="2">
        <v>0</v>
      </c>
      <c r="J11769" s="1">
        <v>45944.614699074074</v>
      </c>
    </row>
    <row r="11770" spans="1:10" x14ac:dyDescent="0.2">
      <c r="A11770" s="4" t="s">
        <v>1</v>
      </c>
      <c r="B1177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70" s="3" t="str">
        <f>HYPERLINK("https://otsuka-europe-crm.veevavault.com/ui/#object/sent_email__v/VBLZ025E82HKDDT", "SE-000287216")</f>
        <v>SE-000287216</v>
      </c>
      <c r="D11770" s="1">
        <v>45946.6721412037</v>
      </c>
      <c r="E11770" s="2">
        <v>1</v>
      </c>
      <c r="F11770" s="2">
        <v>3</v>
      </c>
      <c r="G11770" s="2">
        <v>0</v>
      </c>
      <c r="H11770" s="1" t="s">
        <v>0</v>
      </c>
      <c r="I11770" s="2">
        <v>0</v>
      </c>
      <c r="J11770" s="1">
        <v>45944.614710648151</v>
      </c>
    </row>
    <row r="11771" spans="1:10" x14ac:dyDescent="0.2">
      <c r="A11771" s="4" t="s">
        <v>1</v>
      </c>
      <c r="B1177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71" s="3" t="str">
        <f>HYPERLINK("https://otsuka-europe-crm.veevavault.com/ui/#object/sent_email__v/VBLZ025E82HKDDU", "SE-000287217")</f>
        <v>SE-000287217</v>
      </c>
      <c r="D11771" s="1" t="s">
        <v>0</v>
      </c>
      <c r="E11771" s="2">
        <v>0</v>
      </c>
      <c r="F11771" s="2">
        <v>0</v>
      </c>
      <c r="G11771" s="2">
        <v>0</v>
      </c>
      <c r="H11771" s="1" t="s">
        <v>0</v>
      </c>
      <c r="I11771" s="2">
        <v>0</v>
      </c>
      <c r="J11771" s="1">
        <v>45944.614722222221</v>
      </c>
    </row>
    <row r="11772" spans="1:10" x14ac:dyDescent="0.2">
      <c r="A11772" s="4" t="s">
        <v>1</v>
      </c>
      <c r="B1177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72" s="3" t="str">
        <f>HYPERLINK("https://otsuka-europe-crm.veevavault.com/ui/#object/sent_email__v/VBLZ025E82HKDDV", "SE-000287218")</f>
        <v>SE-000287218</v>
      </c>
      <c r="D11772" s="1">
        <v>45944.797488425924</v>
      </c>
      <c r="E11772" s="2">
        <v>1</v>
      </c>
      <c r="F11772" s="2">
        <v>1</v>
      </c>
      <c r="G11772" s="2">
        <v>0</v>
      </c>
      <c r="H11772" s="1" t="s">
        <v>0</v>
      </c>
      <c r="I11772" s="2">
        <v>0</v>
      </c>
      <c r="J11772" s="1">
        <v>45944.614722222221</v>
      </c>
    </row>
    <row r="11773" spans="1:10" x14ac:dyDescent="0.2">
      <c r="A11773" s="4" t="s">
        <v>1</v>
      </c>
      <c r="B1177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73" s="3" t="str">
        <f>HYPERLINK("https://otsuka-europe-crm.veevavault.com/ui/#object/sent_email__v/VBLZ025E82HKDDW", "SE-000287219")</f>
        <v>SE-000287219</v>
      </c>
      <c r="D11773" s="1">
        <v>45960.757962962962</v>
      </c>
      <c r="E11773" s="2">
        <v>1</v>
      </c>
      <c r="F11773" s="2">
        <v>1</v>
      </c>
      <c r="G11773" s="2">
        <v>0</v>
      </c>
      <c r="H11773" s="1" t="s">
        <v>0</v>
      </c>
      <c r="I11773" s="2">
        <v>0</v>
      </c>
      <c r="J11773" s="1">
        <v>45944.614733796298</v>
      </c>
    </row>
    <row r="11774" spans="1:10" x14ac:dyDescent="0.2">
      <c r="A11774" s="4" t="s">
        <v>1</v>
      </c>
      <c r="B1177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74" s="3" t="str">
        <f>HYPERLINK("https://otsuka-europe-crm.veevavault.com/ui/#object/sent_email__v/VBLZ025E82HKDDX", "SE-000287220")</f>
        <v>SE-000287220</v>
      </c>
      <c r="D11774" s="1" t="s">
        <v>0</v>
      </c>
      <c r="E11774" s="2">
        <v>0</v>
      </c>
      <c r="F11774" s="2">
        <v>0</v>
      </c>
      <c r="G11774" s="2">
        <v>0</v>
      </c>
      <c r="H11774" s="1" t="s">
        <v>0</v>
      </c>
      <c r="I11774" s="2">
        <v>0</v>
      </c>
      <c r="J11774" s="1">
        <v>45944.614745370367</v>
      </c>
    </row>
    <row r="11775" spans="1:10" x14ac:dyDescent="0.2">
      <c r="A11775" s="4" t="s">
        <v>1</v>
      </c>
      <c r="B1177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75" s="3" t="str">
        <f>HYPERLINK("https://otsuka-europe-crm.veevavault.com/ui/#object/sent_email__v/VBLZ025E82HKDDY", "SE-000287221")</f>
        <v>SE-000287221</v>
      </c>
      <c r="D11775" s="1" t="s">
        <v>0</v>
      </c>
      <c r="E11775" s="2">
        <v>0</v>
      </c>
      <c r="F11775" s="2">
        <v>0</v>
      </c>
      <c r="G11775" s="2">
        <v>0</v>
      </c>
      <c r="H11775" s="1" t="s">
        <v>0</v>
      </c>
      <c r="I11775" s="2">
        <v>0</v>
      </c>
      <c r="J11775" s="1">
        <v>45944.614756944444</v>
      </c>
    </row>
    <row r="11776" spans="1:10" x14ac:dyDescent="0.2">
      <c r="A11776" s="4" t="s">
        <v>1</v>
      </c>
      <c r="B1177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76" s="3" t="str">
        <f>HYPERLINK("https://otsuka-europe-crm.veevavault.com/ui/#object/sent_email__v/VBLZ025E82HKDDZ", "SE-000287222")</f>
        <v>SE-000287222</v>
      </c>
      <c r="D11776" s="1" t="s">
        <v>0</v>
      </c>
      <c r="E11776" s="2">
        <v>0</v>
      </c>
      <c r="F11776" s="2">
        <v>0</v>
      </c>
      <c r="G11776" s="2">
        <v>0</v>
      </c>
      <c r="H11776" s="1" t="s">
        <v>0</v>
      </c>
      <c r="I11776" s="2">
        <v>0</v>
      </c>
      <c r="J11776" s="1">
        <v>45944.614756944444</v>
      </c>
    </row>
    <row r="11777" spans="1:10" x14ac:dyDescent="0.2">
      <c r="A11777" s="4" t="s">
        <v>1</v>
      </c>
      <c r="B1177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77" s="3" t="str">
        <f>HYPERLINK("https://otsuka-europe-crm.veevavault.com/ui/#object/sent_email__v/VBLZ025E82HKDE0", "SE-000287223")</f>
        <v>SE-000287223</v>
      </c>
      <c r="D11777" s="1" t="s">
        <v>0</v>
      </c>
      <c r="E11777" s="2">
        <v>0</v>
      </c>
      <c r="F11777" s="2">
        <v>0</v>
      </c>
      <c r="G11777" s="2">
        <v>0</v>
      </c>
      <c r="H11777" s="1" t="s">
        <v>0</v>
      </c>
      <c r="I11777" s="2">
        <v>0</v>
      </c>
      <c r="J11777" s="1">
        <v>45944.614768518521</v>
      </c>
    </row>
    <row r="11778" spans="1:10" x14ac:dyDescent="0.2">
      <c r="A11778" s="4" t="s">
        <v>1</v>
      </c>
      <c r="B1177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78" s="3" t="str">
        <f>HYPERLINK("https://otsuka-europe-crm.veevavault.com/ui/#object/sent_email__v/VBLZ025E82HKDE1", "SE-000287224")</f>
        <v>SE-000287224</v>
      </c>
      <c r="D11778" s="1" t="s">
        <v>0</v>
      </c>
      <c r="E11778" s="2">
        <v>0</v>
      </c>
      <c r="F11778" s="2">
        <v>0</v>
      </c>
      <c r="G11778" s="2">
        <v>0</v>
      </c>
      <c r="H11778" s="1" t="s">
        <v>0</v>
      </c>
      <c r="I11778" s="2">
        <v>0</v>
      </c>
      <c r="J11778" s="1">
        <v>45944.61478009259</v>
      </c>
    </row>
    <row r="11779" spans="1:10" x14ac:dyDescent="0.2">
      <c r="A11779" s="4" t="s">
        <v>1</v>
      </c>
      <c r="B1177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79" s="3" t="str">
        <f>HYPERLINK("https://otsuka-europe-crm.veevavault.com/ui/#object/sent_email__v/VBLZ025E82HKDE2", "SE-000287225")</f>
        <v>SE-000287225</v>
      </c>
      <c r="D11779" s="1">
        <v>45944.615335648145</v>
      </c>
      <c r="E11779" s="2">
        <v>1</v>
      </c>
      <c r="F11779" s="2">
        <v>1</v>
      </c>
      <c r="G11779" s="2">
        <v>0</v>
      </c>
      <c r="H11779" s="1" t="s">
        <v>0</v>
      </c>
      <c r="I11779" s="2">
        <v>0</v>
      </c>
      <c r="J11779" s="1">
        <v>45944.614791666667</v>
      </c>
    </row>
    <row r="11780" spans="1:10" x14ac:dyDescent="0.2">
      <c r="A11780" s="4" t="s">
        <v>1</v>
      </c>
      <c r="B1178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80" s="3" t="str">
        <f>HYPERLINK("https://otsuka-europe-crm.veevavault.com/ui/#object/sent_email__v/VBLZ025E82HKDE3", "SE-000287226")</f>
        <v>SE-000287226</v>
      </c>
      <c r="D11780" s="1">
        <v>45944.930173611108</v>
      </c>
      <c r="E11780" s="2">
        <v>1</v>
      </c>
      <c r="F11780" s="2">
        <v>2</v>
      </c>
      <c r="G11780" s="2">
        <v>0</v>
      </c>
      <c r="H11780" s="1" t="s">
        <v>0</v>
      </c>
      <c r="I11780" s="2">
        <v>0</v>
      </c>
      <c r="J11780" s="1">
        <v>45944.614803240744</v>
      </c>
    </row>
    <row r="11781" spans="1:10" x14ac:dyDescent="0.2">
      <c r="A11781" s="4" t="s">
        <v>1</v>
      </c>
      <c r="B1178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81" s="3" t="str">
        <f>HYPERLINK("https://otsuka-europe-crm.veevavault.com/ui/#object/sent_email__v/VBLZ025E82HKDE4", "SE-000287227")</f>
        <v>SE-000287227</v>
      </c>
      <c r="D11781" s="1">
        <v>45945.254537037035</v>
      </c>
      <c r="E11781" s="2">
        <v>1</v>
      </c>
      <c r="F11781" s="2">
        <v>2</v>
      </c>
      <c r="G11781" s="2">
        <v>0</v>
      </c>
      <c r="H11781" s="1" t="s">
        <v>0</v>
      </c>
      <c r="I11781" s="2">
        <v>0</v>
      </c>
      <c r="J11781" s="1">
        <v>45944.614814814813</v>
      </c>
    </row>
    <row r="11782" spans="1:10" x14ac:dyDescent="0.2">
      <c r="A11782" s="4" t="s">
        <v>1</v>
      </c>
      <c r="B1178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82" s="3" t="str">
        <f>HYPERLINK("https://otsuka-europe-crm.veevavault.com/ui/#object/sent_email__v/VBLZ025E82HKDE5", "SE-000287228")</f>
        <v>SE-000287228</v>
      </c>
      <c r="D11782" s="1" t="s">
        <v>0</v>
      </c>
      <c r="E11782" s="2">
        <v>0</v>
      </c>
      <c r="F11782" s="2">
        <v>0</v>
      </c>
      <c r="G11782" s="2">
        <v>0</v>
      </c>
      <c r="H11782" s="1" t="s">
        <v>0</v>
      </c>
      <c r="I11782" s="2">
        <v>0</v>
      </c>
      <c r="J11782" s="1">
        <v>45944.61482638889</v>
      </c>
    </row>
    <row r="11783" spans="1:10" x14ac:dyDescent="0.2">
      <c r="A11783" s="4" t="s">
        <v>1</v>
      </c>
      <c r="B1178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83" s="3" t="str">
        <f>HYPERLINK("https://otsuka-europe-crm.veevavault.com/ui/#object/sent_email__v/VBLZ025E82HKDE6", "SE-000287229")</f>
        <v>SE-000287229</v>
      </c>
      <c r="D11783" s="1" t="s">
        <v>0</v>
      </c>
      <c r="E11783" s="2">
        <v>0</v>
      </c>
      <c r="F11783" s="2">
        <v>0</v>
      </c>
      <c r="G11783" s="2">
        <v>0</v>
      </c>
      <c r="H11783" s="1" t="s">
        <v>0</v>
      </c>
      <c r="I11783" s="2">
        <v>0</v>
      </c>
      <c r="J11783" s="1">
        <v>45944.61482638889</v>
      </c>
    </row>
    <row r="11784" spans="1:10" x14ac:dyDescent="0.2">
      <c r="A11784" s="4" t="s">
        <v>1</v>
      </c>
      <c r="B1178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84" s="3" t="str">
        <f>HYPERLINK("https://otsuka-europe-crm.veevavault.com/ui/#object/sent_email__v/VBLZ025E82HKDE7", "SE-000287230")</f>
        <v>SE-000287230</v>
      </c>
      <c r="D11784" s="1" t="s">
        <v>0</v>
      </c>
      <c r="E11784" s="2">
        <v>0</v>
      </c>
      <c r="F11784" s="2">
        <v>0</v>
      </c>
      <c r="G11784" s="2">
        <v>0</v>
      </c>
      <c r="H11784" s="1" t="s">
        <v>0</v>
      </c>
      <c r="I11784" s="2">
        <v>0</v>
      </c>
      <c r="J11784" s="1">
        <v>45944.614837962959</v>
      </c>
    </row>
    <row r="11785" spans="1:10" x14ac:dyDescent="0.2">
      <c r="A11785" s="4" t="s">
        <v>1</v>
      </c>
      <c r="B1178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85" s="3" t="str">
        <f>HYPERLINK("https://otsuka-europe-crm.veevavault.com/ui/#object/sent_email__v/VBLZ025E82HKDE8", "SE-000287231")</f>
        <v>SE-000287231</v>
      </c>
      <c r="D11785" s="1">
        <v>45957.730613425927</v>
      </c>
      <c r="E11785" s="2">
        <v>1</v>
      </c>
      <c r="F11785" s="2">
        <v>5</v>
      </c>
      <c r="G11785" s="2">
        <v>0</v>
      </c>
      <c r="H11785" s="1" t="s">
        <v>0</v>
      </c>
      <c r="I11785" s="2">
        <v>0</v>
      </c>
      <c r="J11785" s="1">
        <v>45944.614849537036</v>
      </c>
    </row>
    <row r="11786" spans="1:10" x14ac:dyDescent="0.2">
      <c r="A11786" s="4" t="s">
        <v>1</v>
      </c>
      <c r="B1178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86" s="3" t="str">
        <f>HYPERLINK("https://otsuka-europe-crm.veevavault.com/ui/#object/sent_email__v/VBLZ025E82HKDE9", "SE-000287232")</f>
        <v>SE-000287232</v>
      </c>
      <c r="D11786" s="1">
        <v>45944.882604166669</v>
      </c>
      <c r="E11786" s="2">
        <v>1</v>
      </c>
      <c r="F11786" s="2">
        <v>1</v>
      </c>
      <c r="G11786" s="2">
        <v>1</v>
      </c>
      <c r="H11786" s="1">
        <v>45944.882604166669</v>
      </c>
      <c r="I11786" s="2">
        <v>1</v>
      </c>
      <c r="J11786" s="1">
        <v>45944.614861111113</v>
      </c>
    </row>
    <row r="11787" spans="1:10" x14ac:dyDescent="0.2">
      <c r="A11787" s="4" t="s">
        <v>1</v>
      </c>
      <c r="B1178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87" s="3" t="str">
        <f>HYPERLINK("https://otsuka-europe-crm.veevavault.com/ui/#object/sent_email__v/VBLZ025E82HKDEA", "SE-000287233")</f>
        <v>SE-000287233</v>
      </c>
      <c r="D11787" s="1" t="s">
        <v>0</v>
      </c>
      <c r="E11787" s="2">
        <v>0</v>
      </c>
      <c r="F11787" s="2">
        <v>0</v>
      </c>
      <c r="G11787" s="2">
        <v>0</v>
      </c>
      <c r="H11787" s="1" t="s">
        <v>0</v>
      </c>
      <c r="I11787" s="2">
        <v>0</v>
      </c>
      <c r="J11787" s="1">
        <v>45944.614872685182</v>
      </c>
    </row>
    <row r="11788" spans="1:10" x14ac:dyDescent="0.2">
      <c r="A11788" s="4" t="s">
        <v>1</v>
      </c>
      <c r="B1178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88" s="3" t="str">
        <f>HYPERLINK("https://otsuka-europe-crm.veevavault.com/ui/#object/sent_email__v/VBLZ025E82HKDEB", "SE-000287234")</f>
        <v>SE-000287234</v>
      </c>
      <c r="D11788" s="1" t="s">
        <v>0</v>
      </c>
      <c r="E11788" s="2">
        <v>0</v>
      </c>
      <c r="F11788" s="2">
        <v>0</v>
      </c>
      <c r="G11788" s="2">
        <v>0</v>
      </c>
      <c r="H11788" s="1" t="s">
        <v>0</v>
      </c>
      <c r="I11788" s="2">
        <v>0</v>
      </c>
      <c r="J11788" s="1">
        <v>45944.614884259259</v>
      </c>
    </row>
    <row r="11789" spans="1:10" x14ac:dyDescent="0.2">
      <c r="A11789" s="4" t="s">
        <v>1</v>
      </c>
      <c r="B1178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89" s="3" t="str">
        <f>HYPERLINK("https://otsuka-europe-crm.veevavault.com/ui/#object/sent_email__v/VBLZ025E82HKDL5", "SE-000287245")</f>
        <v>SE-000287245</v>
      </c>
      <c r="D11789" s="1" t="s">
        <v>0</v>
      </c>
      <c r="E11789" s="2">
        <v>0</v>
      </c>
      <c r="F11789" s="2">
        <v>0</v>
      </c>
      <c r="G11789" s="2">
        <v>0</v>
      </c>
      <c r="H11789" s="1" t="s">
        <v>0</v>
      </c>
      <c r="I11789" s="2">
        <v>0</v>
      </c>
      <c r="J11789" s="1">
        <v>45944.61546296296</v>
      </c>
    </row>
    <row r="11790" spans="1:10" x14ac:dyDescent="0.2">
      <c r="A11790" s="4" t="s">
        <v>1</v>
      </c>
      <c r="B1179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90" s="3" t="str">
        <f>HYPERLINK("https://otsuka-europe-crm.veevavault.com/ui/#object/sent_email__v/VBLZ025E82HKDL6", "SE-000287246")</f>
        <v>SE-000287246</v>
      </c>
      <c r="D11790" s="1" t="s">
        <v>0</v>
      </c>
      <c r="E11790" s="2">
        <v>0</v>
      </c>
      <c r="F11790" s="2">
        <v>0</v>
      </c>
      <c r="G11790" s="2">
        <v>0</v>
      </c>
      <c r="H11790" s="1" t="s">
        <v>0</v>
      </c>
      <c r="I11790" s="2">
        <v>0</v>
      </c>
      <c r="J11790" s="1">
        <v>45944.61546296296</v>
      </c>
    </row>
    <row r="11791" spans="1:10" x14ac:dyDescent="0.2">
      <c r="A11791" s="4" t="s">
        <v>1</v>
      </c>
      <c r="B1179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91" s="3" t="str">
        <f>HYPERLINK("https://otsuka-europe-crm.veevavault.com/ui/#object/sent_email__v/VBLZ025E82HKDL7", "SE-000287247")</f>
        <v>SE-000287247</v>
      </c>
      <c r="D11791" s="1" t="s">
        <v>0</v>
      </c>
      <c r="E11791" s="2">
        <v>0</v>
      </c>
      <c r="F11791" s="2">
        <v>0</v>
      </c>
      <c r="G11791" s="2">
        <v>0</v>
      </c>
      <c r="H11791" s="1" t="s">
        <v>0</v>
      </c>
      <c r="I11791" s="2">
        <v>0</v>
      </c>
      <c r="J11791" s="1">
        <v>45944.615486111114</v>
      </c>
    </row>
    <row r="11792" spans="1:10" x14ac:dyDescent="0.2">
      <c r="A11792" s="4" t="s">
        <v>1</v>
      </c>
      <c r="B1179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92" s="3" t="str">
        <f>HYPERLINK("https://otsuka-europe-crm.veevavault.com/ui/#object/sent_email__v/VBLZ025E82HKDL8", "SE-000287248")</f>
        <v>SE-000287248</v>
      </c>
      <c r="D11792" s="1" t="s">
        <v>0</v>
      </c>
      <c r="E11792" s="2">
        <v>0</v>
      </c>
      <c r="F11792" s="2">
        <v>0</v>
      </c>
      <c r="G11792" s="2">
        <v>0</v>
      </c>
      <c r="H11792" s="1" t="s">
        <v>0</v>
      </c>
      <c r="I11792" s="2">
        <v>0</v>
      </c>
      <c r="J11792" s="1">
        <v>45944.615486111114</v>
      </c>
    </row>
    <row r="11793" spans="1:10" x14ac:dyDescent="0.2">
      <c r="A11793" s="4" t="s">
        <v>1</v>
      </c>
      <c r="B1179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93" s="3" t="str">
        <f>HYPERLINK("https://otsuka-europe-crm.veevavault.com/ui/#object/sent_email__v/VBLZ025E82HKDL9", "SE-000287249")</f>
        <v>SE-000287249</v>
      </c>
      <c r="D11793" s="1" t="s">
        <v>0</v>
      </c>
      <c r="E11793" s="2">
        <v>0</v>
      </c>
      <c r="F11793" s="2">
        <v>0</v>
      </c>
      <c r="G11793" s="2">
        <v>0</v>
      </c>
      <c r="H11793" s="1" t="s">
        <v>0</v>
      </c>
      <c r="I11793" s="2">
        <v>0</v>
      </c>
      <c r="J11793" s="1">
        <v>45944.615497685183</v>
      </c>
    </row>
    <row r="11794" spans="1:10" x14ac:dyDescent="0.2">
      <c r="A11794" s="4" t="s">
        <v>1</v>
      </c>
      <c r="B1179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94" s="3" t="str">
        <f>HYPERLINK("https://otsuka-europe-crm.veevavault.com/ui/#object/sent_email__v/VBLZ025E82HKDLA", "SE-000287250")</f>
        <v>SE-000287250</v>
      </c>
      <c r="D11794" s="1" t="s">
        <v>0</v>
      </c>
      <c r="E11794" s="2">
        <v>0</v>
      </c>
      <c r="F11794" s="2">
        <v>0</v>
      </c>
      <c r="G11794" s="2">
        <v>0</v>
      </c>
      <c r="H11794" s="1" t="s">
        <v>0</v>
      </c>
      <c r="I11794" s="2">
        <v>0</v>
      </c>
      <c r="J11794" s="1">
        <v>45944.61550925926</v>
      </c>
    </row>
    <row r="11795" spans="1:10" x14ac:dyDescent="0.2">
      <c r="A11795" s="4" t="s">
        <v>1</v>
      </c>
      <c r="B1179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95" s="3" t="str">
        <f>HYPERLINK("https://otsuka-europe-crm.veevavault.com/ui/#object/sent_email__v/VBLZ025E82HKDLB", "SE-000287251")</f>
        <v>SE-000287251</v>
      </c>
      <c r="D11795" s="1" t="s">
        <v>0</v>
      </c>
      <c r="E11795" s="2">
        <v>0</v>
      </c>
      <c r="F11795" s="2">
        <v>0</v>
      </c>
      <c r="G11795" s="2">
        <v>0</v>
      </c>
      <c r="H11795" s="1" t="s">
        <v>0</v>
      </c>
      <c r="I11795" s="2">
        <v>0</v>
      </c>
      <c r="J11795" s="1">
        <v>45944.61550925926</v>
      </c>
    </row>
    <row r="11796" spans="1:10" x14ac:dyDescent="0.2">
      <c r="A11796" s="4" t="s">
        <v>1</v>
      </c>
      <c r="B1179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96" s="3" t="str">
        <f>HYPERLINK("https://otsuka-europe-crm.veevavault.com/ui/#object/sent_email__v/VBLZ025E82HKDLC", "SE-000287252")</f>
        <v>SE-000287252</v>
      </c>
      <c r="D11796" s="1" t="s">
        <v>0</v>
      </c>
      <c r="E11796" s="2">
        <v>0</v>
      </c>
      <c r="F11796" s="2">
        <v>0</v>
      </c>
      <c r="G11796" s="2">
        <v>0</v>
      </c>
      <c r="H11796" s="1" t="s">
        <v>0</v>
      </c>
      <c r="I11796" s="2">
        <v>0</v>
      </c>
      <c r="J11796" s="1">
        <v>45944.615520833337</v>
      </c>
    </row>
    <row r="11797" spans="1:10" x14ac:dyDescent="0.2">
      <c r="A11797" s="4" t="s">
        <v>1</v>
      </c>
      <c r="B1179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97" s="3" t="str">
        <f>HYPERLINK("https://otsuka-europe-crm.veevavault.com/ui/#object/sent_email__v/VBLZ025E82HKDLD", "SE-000287253")</f>
        <v>SE-000287253</v>
      </c>
      <c r="D11797" s="1" t="s">
        <v>0</v>
      </c>
      <c r="E11797" s="2">
        <v>0</v>
      </c>
      <c r="F11797" s="2">
        <v>0</v>
      </c>
      <c r="G11797" s="2">
        <v>0</v>
      </c>
      <c r="H11797" s="1" t="s">
        <v>0</v>
      </c>
      <c r="I11797" s="2">
        <v>0</v>
      </c>
      <c r="J11797" s="1">
        <v>45944.615532407406</v>
      </c>
    </row>
    <row r="11798" spans="1:10" x14ac:dyDescent="0.2">
      <c r="A11798" s="4" t="s">
        <v>1</v>
      </c>
      <c r="B1179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98" s="3" t="str">
        <f>HYPERLINK("https://otsuka-europe-crm.veevavault.com/ui/#object/sent_email__v/VBLZ025E82HKDLE", "SE-000287254")</f>
        <v>SE-000287254</v>
      </c>
      <c r="D11798" s="1" t="s">
        <v>0</v>
      </c>
      <c r="E11798" s="2">
        <v>0</v>
      </c>
      <c r="F11798" s="2">
        <v>0</v>
      </c>
      <c r="G11798" s="2">
        <v>0</v>
      </c>
      <c r="H11798" s="1" t="s">
        <v>0</v>
      </c>
      <c r="I11798" s="2">
        <v>0</v>
      </c>
      <c r="J11798" s="1">
        <v>45944.615543981483</v>
      </c>
    </row>
    <row r="11799" spans="1:10" x14ac:dyDescent="0.2">
      <c r="A11799" s="4" t="s">
        <v>1</v>
      </c>
      <c r="B1179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799" s="3" t="str">
        <f>HYPERLINK("https://otsuka-europe-crm.veevavault.com/ui/#object/sent_email__v/VBLZ025E82HKDLF", "SE-000287255")</f>
        <v>SE-000287255</v>
      </c>
      <c r="D11799" s="1" t="s">
        <v>0</v>
      </c>
      <c r="E11799" s="2">
        <v>0</v>
      </c>
      <c r="F11799" s="2">
        <v>0</v>
      </c>
      <c r="G11799" s="2">
        <v>0</v>
      </c>
      <c r="H11799" s="1" t="s">
        <v>0</v>
      </c>
      <c r="I11799" s="2">
        <v>0</v>
      </c>
      <c r="J11799" s="1">
        <v>45944.615543981483</v>
      </c>
    </row>
    <row r="11800" spans="1:10" x14ac:dyDescent="0.2">
      <c r="A11800" s="4" t="s">
        <v>1</v>
      </c>
      <c r="B1180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00" s="3" t="str">
        <f>HYPERLINK("https://otsuka-europe-crm.veevavault.com/ui/#object/sent_email__v/VBLZ025E82HKDLG", "SE-000287256")</f>
        <v>SE-000287256</v>
      </c>
      <c r="D11800" s="1">
        <v>45947.570949074077</v>
      </c>
      <c r="E11800" s="2">
        <v>1</v>
      </c>
      <c r="F11800" s="2">
        <v>9</v>
      </c>
      <c r="G11800" s="2">
        <v>1</v>
      </c>
      <c r="H11800" s="1">
        <v>45945.485821759263</v>
      </c>
      <c r="I11800" s="2">
        <v>1</v>
      </c>
      <c r="J11800" s="1">
        <v>45944.615567129629</v>
      </c>
    </row>
    <row r="11801" spans="1:10" x14ac:dyDescent="0.2">
      <c r="A11801" s="4" t="s">
        <v>1</v>
      </c>
      <c r="B1180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01" s="3" t="str">
        <f>HYPERLINK("https://otsuka-europe-crm.veevavault.com/ui/#object/sent_email__v/VBLZ025E82HKDLH", "SE-000287257")</f>
        <v>SE-000287257</v>
      </c>
      <c r="D11801" s="1" t="s">
        <v>0</v>
      </c>
      <c r="E11801" s="2">
        <v>0</v>
      </c>
      <c r="F11801" s="2">
        <v>0</v>
      </c>
      <c r="G11801" s="2">
        <v>0</v>
      </c>
      <c r="H11801" s="1" t="s">
        <v>0</v>
      </c>
      <c r="I11801" s="2">
        <v>0</v>
      </c>
      <c r="J11801" s="1">
        <v>45944.615567129629</v>
      </c>
    </row>
    <row r="11802" spans="1:10" x14ac:dyDescent="0.2">
      <c r="A11802" s="4" t="s">
        <v>1</v>
      </c>
      <c r="B1180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02" s="3" t="str">
        <f>HYPERLINK("https://otsuka-europe-crm.veevavault.com/ui/#object/sent_email__v/VBLZ025E82HKDLI", "SE-000287258")</f>
        <v>SE-000287258</v>
      </c>
      <c r="D11802" s="1">
        <v>45944.938506944447</v>
      </c>
      <c r="E11802" s="2">
        <v>1</v>
      </c>
      <c r="F11802" s="2">
        <v>1</v>
      </c>
      <c r="G11802" s="2">
        <v>0</v>
      </c>
      <c r="H11802" s="1" t="s">
        <v>0</v>
      </c>
      <c r="I11802" s="2">
        <v>0</v>
      </c>
      <c r="J11802" s="1">
        <v>45944.615578703706</v>
      </c>
    </row>
    <row r="11803" spans="1:10" x14ac:dyDescent="0.2">
      <c r="A11803" s="4" t="s">
        <v>1</v>
      </c>
      <c r="B1180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03" s="3" t="str">
        <f>HYPERLINK("https://otsuka-europe-crm.veevavault.com/ui/#object/sent_email__v/VBLZ025E82HKDLJ", "SE-000287259")</f>
        <v>SE-000287259</v>
      </c>
      <c r="D11803" s="1">
        <v>45945.070868055554</v>
      </c>
      <c r="E11803" s="2">
        <v>1</v>
      </c>
      <c r="F11803" s="2">
        <v>1</v>
      </c>
      <c r="G11803" s="2">
        <v>0</v>
      </c>
      <c r="H11803" s="1" t="s">
        <v>0</v>
      </c>
      <c r="I11803" s="2">
        <v>0</v>
      </c>
      <c r="J11803" s="1">
        <v>45944.615590277775</v>
      </c>
    </row>
    <row r="11804" spans="1:10" x14ac:dyDescent="0.2">
      <c r="A11804" s="4" t="s">
        <v>1</v>
      </c>
      <c r="B1180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04" s="3" t="str">
        <f>HYPERLINK("https://otsuka-europe-crm.veevavault.com/ui/#object/sent_email__v/VBLZ025E82HKDLK", "SE-000287260")</f>
        <v>SE-000287260</v>
      </c>
      <c r="D11804" s="1" t="s">
        <v>0</v>
      </c>
      <c r="E11804" s="2">
        <v>0</v>
      </c>
      <c r="F11804" s="2">
        <v>0</v>
      </c>
      <c r="G11804" s="2">
        <v>0</v>
      </c>
      <c r="H11804" s="1" t="s">
        <v>0</v>
      </c>
      <c r="I11804" s="2">
        <v>0</v>
      </c>
      <c r="J11804" s="1">
        <v>45944.615601851852</v>
      </c>
    </row>
    <row r="11805" spans="1:10" x14ac:dyDescent="0.2">
      <c r="A11805" s="4" t="s">
        <v>1</v>
      </c>
      <c r="B1180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05" s="3" t="str">
        <f>HYPERLINK("https://otsuka-europe-crm.veevavault.com/ui/#object/sent_email__v/VBLZ025E82HKDLL", "SE-000287261")</f>
        <v>SE-000287261</v>
      </c>
      <c r="D11805" s="1" t="s">
        <v>0</v>
      </c>
      <c r="E11805" s="2">
        <v>0</v>
      </c>
      <c r="F11805" s="2">
        <v>0</v>
      </c>
      <c r="G11805" s="2">
        <v>0</v>
      </c>
      <c r="H11805" s="1" t="s">
        <v>0</v>
      </c>
      <c r="I11805" s="2">
        <v>0</v>
      </c>
      <c r="J11805" s="1">
        <v>45944.615613425929</v>
      </c>
    </row>
    <row r="11806" spans="1:10" x14ac:dyDescent="0.2">
      <c r="A11806" s="4" t="s">
        <v>1</v>
      </c>
      <c r="B1180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06" s="3" t="str">
        <f>HYPERLINK("https://otsuka-europe-crm.veevavault.com/ui/#object/sent_email__v/VBLZ025E82HKDLM", "SE-000287262")</f>
        <v>SE-000287262</v>
      </c>
      <c r="D11806" s="1" t="s">
        <v>0</v>
      </c>
      <c r="E11806" s="2">
        <v>0</v>
      </c>
      <c r="F11806" s="2">
        <v>0</v>
      </c>
      <c r="G11806" s="2">
        <v>0</v>
      </c>
      <c r="H11806" s="1" t="s">
        <v>0</v>
      </c>
      <c r="I11806" s="2">
        <v>0</v>
      </c>
      <c r="J11806" s="1">
        <v>45944.615624999999</v>
      </c>
    </row>
    <row r="11807" spans="1:10" x14ac:dyDescent="0.2">
      <c r="A11807" s="4" t="s">
        <v>1</v>
      </c>
      <c r="B1180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07" s="3" t="str">
        <f>HYPERLINK("https://otsuka-europe-crm.veevavault.com/ui/#object/sent_email__v/VBLZ025E82HKDLN", "SE-000287263")</f>
        <v>SE-000287263</v>
      </c>
      <c r="D11807" s="1" t="s">
        <v>0</v>
      </c>
      <c r="E11807" s="2">
        <v>0</v>
      </c>
      <c r="F11807" s="2">
        <v>0</v>
      </c>
      <c r="G11807" s="2">
        <v>0</v>
      </c>
      <c r="H11807" s="1" t="s">
        <v>0</v>
      </c>
      <c r="I11807" s="2">
        <v>0</v>
      </c>
      <c r="J11807" s="1">
        <v>45944.615624999999</v>
      </c>
    </row>
    <row r="11808" spans="1:10" x14ac:dyDescent="0.2">
      <c r="A11808" s="4" t="s">
        <v>1</v>
      </c>
      <c r="B1180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08" s="3" t="str">
        <f>HYPERLINK("https://otsuka-europe-crm.veevavault.com/ui/#object/sent_email__v/VBLZ025E82HKDLO", "SE-000287264")</f>
        <v>SE-000287264</v>
      </c>
      <c r="D11808" s="1" t="s">
        <v>0</v>
      </c>
      <c r="E11808" s="2">
        <v>0</v>
      </c>
      <c r="F11808" s="2">
        <v>0</v>
      </c>
      <c r="G11808" s="2">
        <v>0</v>
      </c>
      <c r="H11808" s="1" t="s">
        <v>0</v>
      </c>
      <c r="I11808" s="2">
        <v>0</v>
      </c>
      <c r="J11808" s="1">
        <v>45944.615636574075</v>
      </c>
    </row>
    <row r="11809" spans="1:10" x14ac:dyDescent="0.2">
      <c r="A11809" s="4" t="s">
        <v>1</v>
      </c>
      <c r="B1180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09" s="3" t="str">
        <f>HYPERLINK("https://otsuka-europe-crm.veevavault.com/ui/#object/sent_email__v/VBLZ025E82HKG21", "SE-000287265")</f>
        <v>SE-000287265</v>
      </c>
      <c r="D11809" s="1" t="s">
        <v>0</v>
      </c>
      <c r="E11809" s="2">
        <v>0</v>
      </c>
      <c r="F11809" s="2">
        <v>0</v>
      </c>
      <c r="G11809" s="2">
        <v>0</v>
      </c>
      <c r="H11809" s="1" t="s">
        <v>0</v>
      </c>
      <c r="I11809" s="2">
        <v>0</v>
      </c>
      <c r="J11809" s="1">
        <v>45944.643958333334</v>
      </c>
    </row>
    <row r="11810" spans="1:10" x14ac:dyDescent="0.2">
      <c r="A11810" s="4" t="s">
        <v>1</v>
      </c>
      <c r="B1181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10" s="3" t="str">
        <f>HYPERLINK("https://otsuka-europe-crm.veevavault.com/ui/#object/sent_email__v/VBLZ025E82HKG22", "SE-000287266")</f>
        <v>SE-000287266</v>
      </c>
      <c r="D11810" s="1">
        <v>45944.681331018517</v>
      </c>
      <c r="E11810" s="2">
        <v>1</v>
      </c>
      <c r="F11810" s="2">
        <v>2</v>
      </c>
      <c r="G11810" s="2">
        <v>1</v>
      </c>
      <c r="H11810" s="1">
        <v>45944.681921296295</v>
      </c>
      <c r="I11810" s="2">
        <v>1</v>
      </c>
      <c r="J11810" s="1">
        <v>45944.643888888888</v>
      </c>
    </row>
    <row r="11811" spans="1:10" x14ac:dyDescent="0.2">
      <c r="A11811" s="4" t="s">
        <v>1</v>
      </c>
      <c r="B1181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11" s="3" t="str">
        <f>HYPERLINK("https://otsuka-europe-crm.veevavault.com/ui/#object/sent_email__v/VBLZ025E82HKG23", "SE-000287267")</f>
        <v>SE-000287267</v>
      </c>
      <c r="D11811" s="1" t="s">
        <v>0</v>
      </c>
      <c r="E11811" s="2">
        <v>0</v>
      </c>
      <c r="F11811" s="2">
        <v>0</v>
      </c>
      <c r="G11811" s="2">
        <v>0</v>
      </c>
      <c r="H11811" s="1" t="s">
        <v>0</v>
      </c>
      <c r="I11811" s="2">
        <v>0</v>
      </c>
      <c r="J11811" s="1">
        <v>45944.643969907411</v>
      </c>
    </row>
    <row r="11812" spans="1:10" x14ac:dyDescent="0.2">
      <c r="A11812" s="4" t="s">
        <v>1</v>
      </c>
      <c r="B1181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12" s="3" t="str">
        <f>HYPERLINK("https://otsuka-europe-crm.veevavault.com/ui/#object/sent_email__v/VBLZ025E82HKG24", "SE-000287268")</f>
        <v>SE-000287268</v>
      </c>
      <c r="D11812" s="1">
        <v>45944.750081018516</v>
      </c>
      <c r="E11812" s="2">
        <v>1</v>
      </c>
      <c r="F11812" s="2">
        <v>1</v>
      </c>
      <c r="G11812" s="2">
        <v>0</v>
      </c>
      <c r="H11812" s="1" t="s">
        <v>0</v>
      </c>
      <c r="I11812" s="2">
        <v>0</v>
      </c>
      <c r="J11812" s="1">
        <v>45944.643923611111</v>
      </c>
    </row>
    <row r="11813" spans="1:10" x14ac:dyDescent="0.2">
      <c r="A11813" s="4" t="s">
        <v>1</v>
      </c>
      <c r="B1181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13" s="3" t="str">
        <f>HYPERLINK("https://otsuka-europe-crm.veevavault.com/ui/#object/sent_email__v/VBLZ025E82HKG25", "SE-000287269")</f>
        <v>SE-000287269</v>
      </c>
      <c r="D11813" s="1" t="s">
        <v>0</v>
      </c>
      <c r="E11813" s="2">
        <v>0</v>
      </c>
      <c r="F11813" s="2">
        <v>0</v>
      </c>
      <c r="G11813" s="2">
        <v>0</v>
      </c>
      <c r="H11813" s="1" t="s">
        <v>0</v>
      </c>
      <c r="I11813" s="2">
        <v>0</v>
      </c>
      <c r="J11813" s="1">
        <v>45944.644004629627</v>
      </c>
    </row>
    <row r="11814" spans="1:10" x14ac:dyDescent="0.2">
      <c r="A11814" s="4" t="s">
        <v>1</v>
      </c>
      <c r="B1181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14" s="3" t="str">
        <f>HYPERLINK("https://otsuka-europe-crm.veevavault.com/ui/#object/sent_email__v/VBLZ025E82HKG26", "SE-000287270")</f>
        <v>SE-000287270</v>
      </c>
      <c r="D11814" s="1">
        <v>45969.5859375</v>
      </c>
      <c r="E11814" s="2">
        <v>1</v>
      </c>
      <c r="F11814" s="2">
        <v>2</v>
      </c>
      <c r="G11814" s="2">
        <v>1</v>
      </c>
      <c r="H11814" s="1">
        <v>45944.646898148145</v>
      </c>
      <c r="I11814" s="2">
        <v>1</v>
      </c>
      <c r="J11814" s="1">
        <v>45944.643900462965</v>
      </c>
    </row>
    <row r="11815" spans="1:10" x14ac:dyDescent="0.2">
      <c r="A11815" s="4" t="s">
        <v>1</v>
      </c>
      <c r="B1181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15" s="3" t="str">
        <f>HYPERLINK("https://otsuka-europe-crm.veevavault.com/ui/#object/sent_email__v/VBLZ025E82HKG27", "SE-000287271")</f>
        <v>SE-000287271</v>
      </c>
      <c r="D11815" s="1">
        <v>45944.906817129631</v>
      </c>
      <c r="E11815" s="2">
        <v>1</v>
      </c>
      <c r="F11815" s="2">
        <v>1</v>
      </c>
      <c r="G11815" s="2">
        <v>0</v>
      </c>
      <c r="H11815" s="1" t="s">
        <v>0</v>
      </c>
      <c r="I11815" s="2">
        <v>0</v>
      </c>
      <c r="J11815" s="1">
        <v>45944.643993055557</v>
      </c>
    </row>
    <row r="11816" spans="1:10" x14ac:dyDescent="0.2">
      <c r="A11816" s="4" t="s">
        <v>1</v>
      </c>
      <c r="B1181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16" s="3" t="str">
        <f>HYPERLINK("https://otsuka-europe-crm.veevavault.com/ui/#object/sent_email__v/VBLZ025E82HKG28", "SE-000287272")</f>
        <v>SE-000287272</v>
      </c>
      <c r="D11816" s="1">
        <v>45969.446469907409</v>
      </c>
      <c r="E11816" s="2">
        <v>1</v>
      </c>
      <c r="F11816" s="2">
        <v>3</v>
      </c>
      <c r="G11816" s="2">
        <v>0</v>
      </c>
      <c r="H11816" s="1" t="s">
        <v>0</v>
      </c>
      <c r="I11816" s="2">
        <v>0</v>
      </c>
      <c r="J11816" s="1">
        <v>45944.643888888888</v>
      </c>
    </row>
    <row r="11817" spans="1:10" x14ac:dyDescent="0.2">
      <c r="A11817" s="4" t="s">
        <v>1</v>
      </c>
      <c r="B1181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17" s="3" t="str">
        <f>HYPERLINK("https://otsuka-europe-crm.veevavault.com/ui/#object/sent_email__v/VBLZ025E82HKG29", "SE-000287273")</f>
        <v>SE-000287273</v>
      </c>
      <c r="D11817" s="1">
        <v>45944.952118055553</v>
      </c>
      <c r="E11817" s="2">
        <v>1</v>
      </c>
      <c r="F11817" s="2">
        <v>1</v>
      </c>
      <c r="G11817" s="2">
        <v>1</v>
      </c>
      <c r="H11817" s="1">
        <v>45944.952546296299</v>
      </c>
      <c r="I11817" s="2">
        <v>2</v>
      </c>
      <c r="J11817" s="1">
        <v>45944.643993055557</v>
      </c>
    </row>
    <row r="11818" spans="1:10" x14ac:dyDescent="0.2">
      <c r="A11818" s="4" t="s">
        <v>1</v>
      </c>
      <c r="B1181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18" s="3" t="str">
        <f>HYPERLINK("https://otsuka-europe-crm.veevavault.com/ui/#object/sent_email__v/VBLZ025E82HKG2A", "SE-000287274")</f>
        <v>SE-000287274</v>
      </c>
      <c r="D11818" s="1" t="s">
        <v>0</v>
      </c>
      <c r="E11818" s="2">
        <v>0</v>
      </c>
      <c r="F11818" s="2">
        <v>0</v>
      </c>
      <c r="G11818" s="2">
        <v>0</v>
      </c>
      <c r="H11818" s="1" t="s">
        <v>0</v>
      </c>
      <c r="I11818" s="2">
        <v>0</v>
      </c>
      <c r="J11818" s="1">
        <v>45944.644016203703</v>
      </c>
    </row>
    <row r="11819" spans="1:10" x14ac:dyDescent="0.2">
      <c r="A11819" s="4" t="s">
        <v>1</v>
      </c>
      <c r="B1181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19" s="3" t="str">
        <f>HYPERLINK("https://otsuka-europe-crm.veevavault.com/ui/#object/sent_email__v/VBLZ025E82HKG2B", "SE-000287275")</f>
        <v>SE-000287275</v>
      </c>
      <c r="D11819" s="1">
        <v>45981.759201388886</v>
      </c>
      <c r="E11819" s="2">
        <v>1</v>
      </c>
      <c r="F11819" s="2">
        <v>2</v>
      </c>
      <c r="G11819" s="2">
        <v>0</v>
      </c>
      <c r="H11819" s="1" t="s">
        <v>0</v>
      </c>
      <c r="I11819" s="2">
        <v>0</v>
      </c>
      <c r="J11819" s="1">
        <v>45944.643935185188</v>
      </c>
    </row>
    <row r="11820" spans="1:10" x14ac:dyDescent="0.2">
      <c r="A11820" s="4" t="s">
        <v>1</v>
      </c>
      <c r="B1182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20" s="3" t="str">
        <f>HYPERLINK("https://otsuka-europe-crm.veevavault.com/ui/#object/sent_email__v/VBLZ025E82HKG2C", "SE-000287276")</f>
        <v>SE-000287276</v>
      </c>
      <c r="D11820" s="1" t="s">
        <v>0</v>
      </c>
      <c r="E11820" s="2">
        <v>0</v>
      </c>
      <c r="F11820" s="2">
        <v>0</v>
      </c>
      <c r="G11820" s="2">
        <v>0</v>
      </c>
      <c r="H11820" s="1" t="s">
        <v>0</v>
      </c>
      <c r="I11820" s="2">
        <v>0</v>
      </c>
      <c r="J11820" s="1">
        <v>45944.64403935185</v>
      </c>
    </row>
    <row r="11821" spans="1:10" x14ac:dyDescent="0.2">
      <c r="A11821" s="4" t="s">
        <v>1</v>
      </c>
      <c r="B1182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21" s="3" t="str">
        <f>HYPERLINK("https://otsuka-europe-crm.veevavault.com/ui/#object/sent_email__v/VBLZ025E82HKG2D", "SE-000287277")</f>
        <v>SE-000287277</v>
      </c>
      <c r="D11821" s="1">
        <v>45946.54519675926</v>
      </c>
      <c r="E11821" s="2">
        <v>1</v>
      </c>
      <c r="F11821" s="2">
        <v>2</v>
      </c>
      <c r="G11821" s="2">
        <v>0</v>
      </c>
      <c r="H11821" s="1" t="s">
        <v>0</v>
      </c>
      <c r="I11821" s="2">
        <v>0</v>
      </c>
      <c r="J11821" s="1">
        <v>45944.643935185188</v>
      </c>
    </row>
    <row r="11822" spans="1:10" x14ac:dyDescent="0.2">
      <c r="A11822" s="4" t="s">
        <v>1</v>
      </c>
      <c r="B1182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22" s="3" t="str">
        <f>HYPERLINK("https://otsuka-europe-crm.veevavault.com/ui/#object/sent_email__v/VBLZ025E82HKG2E", "SE-000287278")</f>
        <v>SE-000287278</v>
      </c>
      <c r="D11822" s="1">
        <v>45973.41883101852</v>
      </c>
      <c r="E11822" s="2">
        <v>1</v>
      </c>
      <c r="F11822" s="2">
        <v>1</v>
      </c>
      <c r="G11822" s="2">
        <v>0</v>
      </c>
      <c r="H11822" s="1" t="s">
        <v>0</v>
      </c>
      <c r="I11822" s="2">
        <v>0</v>
      </c>
      <c r="J11822" s="1">
        <v>45944.644062500003</v>
      </c>
    </row>
    <row r="11823" spans="1:10" x14ac:dyDescent="0.2">
      <c r="A11823" s="4" t="s">
        <v>1</v>
      </c>
      <c r="B1182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23" s="3" t="str">
        <f>HYPERLINK("https://otsuka-europe-crm.veevavault.com/ui/#object/sent_email__v/VBLZ025E82HKG2F", "SE-000287279")</f>
        <v>SE-000287279</v>
      </c>
      <c r="D11823" s="1" t="s">
        <v>0</v>
      </c>
      <c r="E11823" s="2">
        <v>0</v>
      </c>
      <c r="F11823" s="2">
        <v>0</v>
      </c>
      <c r="G11823" s="2">
        <v>0</v>
      </c>
      <c r="H11823" s="1" t="s">
        <v>0</v>
      </c>
      <c r="I11823" s="2">
        <v>0</v>
      </c>
      <c r="J11823" s="1">
        <v>45944.643946759257</v>
      </c>
    </row>
    <row r="11824" spans="1:10" x14ac:dyDescent="0.2">
      <c r="A11824" s="4" t="s">
        <v>1</v>
      </c>
      <c r="B1182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24" s="3" t="str">
        <f>HYPERLINK("https://otsuka-europe-crm.veevavault.com/ui/#object/sent_email__v/VBLZ025E82HKG2G", "SE-000287280")</f>
        <v>SE-000287280</v>
      </c>
      <c r="D11824" s="1" t="s">
        <v>0</v>
      </c>
      <c r="E11824" s="2">
        <v>0</v>
      </c>
      <c r="F11824" s="2">
        <v>0</v>
      </c>
      <c r="G11824" s="2">
        <v>0</v>
      </c>
      <c r="H11824" s="1" t="s">
        <v>0</v>
      </c>
      <c r="I11824" s="2">
        <v>0</v>
      </c>
      <c r="J11824" s="1">
        <v>45944.644062500003</v>
      </c>
    </row>
    <row r="11825" spans="1:10" x14ac:dyDescent="0.2">
      <c r="A11825" s="4" t="s">
        <v>1</v>
      </c>
      <c r="B1182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25" s="3" t="str">
        <f>HYPERLINK("https://otsuka-europe-crm.veevavault.com/ui/#object/sent_email__v/VBLZ025E82HKG2H", "SE-000287281")</f>
        <v>SE-000287281</v>
      </c>
      <c r="D11825" s="1">
        <v>45944.644108796296</v>
      </c>
      <c r="E11825" s="2">
        <v>1</v>
      </c>
      <c r="F11825" s="2">
        <v>1</v>
      </c>
      <c r="G11825" s="2">
        <v>1</v>
      </c>
      <c r="H11825" s="1">
        <v>45944.644293981481</v>
      </c>
      <c r="I11825" s="2">
        <v>1</v>
      </c>
      <c r="J11825" s="1">
        <v>45944.643946759257</v>
      </c>
    </row>
    <row r="11826" spans="1:10" x14ac:dyDescent="0.2">
      <c r="A11826" s="4" t="s">
        <v>1</v>
      </c>
      <c r="B1182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26" s="3" t="str">
        <f>HYPERLINK("https://otsuka-europe-crm.veevavault.com/ui/#object/sent_email__v/VBLZ025E82HKG2I", "SE-000287282")</f>
        <v>SE-000287282</v>
      </c>
      <c r="D11826" s="1">
        <v>45944.669189814813</v>
      </c>
      <c r="E11826" s="2">
        <v>1</v>
      </c>
      <c r="F11826" s="2">
        <v>1</v>
      </c>
      <c r="G11826" s="2">
        <v>0</v>
      </c>
      <c r="H11826" s="1" t="s">
        <v>0</v>
      </c>
      <c r="I11826" s="2">
        <v>0</v>
      </c>
      <c r="J11826" s="1">
        <v>45944.64403935185</v>
      </c>
    </row>
    <row r="11827" spans="1:10" x14ac:dyDescent="0.2">
      <c r="A11827" s="4" t="s">
        <v>1</v>
      </c>
      <c r="B1182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27" s="3" t="str">
        <f>HYPERLINK("https://otsuka-europe-crm.veevavault.com/ui/#object/sent_email__v/VBLZ025E82HKG2J", "SE-000287283")</f>
        <v>SE-000287283</v>
      </c>
      <c r="D11827" s="1">
        <v>45973.843981481485</v>
      </c>
      <c r="E11827" s="2">
        <v>1</v>
      </c>
      <c r="F11827" s="2">
        <v>5</v>
      </c>
      <c r="G11827" s="2">
        <v>0</v>
      </c>
      <c r="H11827" s="1" t="s">
        <v>0</v>
      </c>
      <c r="I11827" s="2">
        <v>0</v>
      </c>
      <c r="J11827" s="1">
        <v>45944.643935185188</v>
      </c>
    </row>
    <row r="11828" spans="1:10" x14ac:dyDescent="0.2">
      <c r="A11828" s="4" t="s">
        <v>1</v>
      </c>
      <c r="B1182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28" s="3" t="str">
        <f>HYPERLINK("https://otsuka-europe-crm.veevavault.com/ui/#object/sent_email__v/VBLZ025E82HKG2K", "SE-000287284")</f>
        <v>SE-000287284</v>
      </c>
      <c r="D11828" s="1">
        <v>45944.671122685184</v>
      </c>
      <c r="E11828" s="2">
        <v>1</v>
      </c>
      <c r="F11828" s="2">
        <v>1</v>
      </c>
      <c r="G11828" s="2">
        <v>0</v>
      </c>
      <c r="H11828" s="1" t="s">
        <v>0</v>
      </c>
      <c r="I11828" s="2">
        <v>0</v>
      </c>
      <c r="J11828" s="1">
        <v>45944.64402777778</v>
      </c>
    </row>
    <row r="11829" spans="1:10" x14ac:dyDescent="0.2">
      <c r="A11829" s="4" t="s">
        <v>1</v>
      </c>
      <c r="B1182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29" s="3" t="str">
        <f>HYPERLINK("https://otsuka-europe-crm.veevavault.com/ui/#object/sent_email__v/VBLZ025E82HKG2L", "SE-000287285")</f>
        <v>SE-000287285</v>
      </c>
      <c r="D11829" s="1">
        <v>45944.655081018522</v>
      </c>
      <c r="E11829" s="2">
        <v>1</v>
      </c>
      <c r="F11829" s="2">
        <v>2</v>
      </c>
      <c r="G11829" s="2">
        <v>0</v>
      </c>
      <c r="H11829" s="1" t="s">
        <v>0</v>
      </c>
      <c r="I11829" s="2">
        <v>0</v>
      </c>
      <c r="J11829" s="1">
        <v>45944.643888888888</v>
      </c>
    </row>
    <row r="11830" spans="1:10" x14ac:dyDescent="0.2">
      <c r="A11830" s="4" t="s">
        <v>1</v>
      </c>
      <c r="B1183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30" s="3" t="str">
        <f>HYPERLINK("https://otsuka-europe-crm.veevavault.com/ui/#object/sent_email__v/VBLZ025E82HKG2M", "SE-000287286")</f>
        <v>SE-000287286</v>
      </c>
      <c r="D11830" s="1" t="s">
        <v>0</v>
      </c>
      <c r="E11830" s="2">
        <v>0</v>
      </c>
      <c r="F11830" s="2">
        <v>0</v>
      </c>
      <c r="G11830" s="2">
        <v>0</v>
      </c>
      <c r="H11830" s="1" t="s">
        <v>0</v>
      </c>
      <c r="I11830" s="2">
        <v>0</v>
      </c>
      <c r="J11830" s="1">
        <v>45944.64402777778</v>
      </c>
    </row>
    <row r="11831" spans="1:10" x14ac:dyDescent="0.2">
      <c r="A11831" s="4" t="s">
        <v>1</v>
      </c>
      <c r="B1183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31" s="3" t="str">
        <f>HYPERLINK("https://otsuka-europe-crm.veevavault.com/ui/#object/sent_email__v/VBLZ025E82HKG2N", "SE-000287287")</f>
        <v>SE-000287287</v>
      </c>
      <c r="D11831" s="1">
        <v>45946.261481481481</v>
      </c>
      <c r="E11831" s="2">
        <v>1</v>
      </c>
      <c r="F11831" s="2">
        <v>1</v>
      </c>
      <c r="G11831" s="2">
        <v>0</v>
      </c>
      <c r="H11831" s="1" t="s">
        <v>0</v>
      </c>
      <c r="I11831" s="2">
        <v>0</v>
      </c>
      <c r="J11831" s="1">
        <v>45944.643912037034</v>
      </c>
    </row>
    <row r="11832" spans="1:10" x14ac:dyDescent="0.2">
      <c r="A11832" s="4" t="s">
        <v>1</v>
      </c>
      <c r="B1183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32" s="3" t="str">
        <f>HYPERLINK("https://otsuka-europe-crm.veevavault.com/ui/#object/sent_email__v/VBLZ025E82HKG2O", "SE-000287288")</f>
        <v>SE-000287288</v>
      </c>
      <c r="D11832" s="1" t="s">
        <v>0</v>
      </c>
      <c r="E11832" s="2">
        <v>0</v>
      </c>
      <c r="F11832" s="2">
        <v>0</v>
      </c>
      <c r="G11832" s="2">
        <v>0</v>
      </c>
      <c r="H11832" s="1" t="s">
        <v>0</v>
      </c>
      <c r="I11832" s="2">
        <v>0</v>
      </c>
      <c r="J11832" s="1">
        <v>45944.643877314818</v>
      </c>
    </row>
    <row r="11833" spans="1:10" x14ac:dyDescent="0.2">
      <c r="A11833" s="4" t="s">
        <v>1</v>
      </c>
      <c r="B1183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33" s="3" t="str">
        <f>HYPERLINK("https://otsuka-europe-crm.veevavault.com/ui/#object/sent_email__v/VBLZ025E82HKG2P", "SE-000287289")</f>
        <v>SE-000287289</v>
      </c>
      <c r="D11833" s="1" t="s">
        <v>0</v>
      </c>
      <c r="E11833" s="2">
        <v>0</v>
      </c>
      <c r="F11833" s="2">
        <v>0</v>
      </c>
      <c r="G11833" s="2">
        <v>0</v>
      </c>
      <c r="H11833" s="1" t="s">
        <v>0</v>
      </c>
      <c r="I11833" s="2">
        <v>0</v>
      </c>
      <c r="J11833" s="1">
        <v>45944.643969907411</v>
      </c>
    </row>
    <row r="11834" spans="1:10" x14ac:dyDescent="0.2">
      <c r="A11834" s="4" t="s">
        <v>1</v>
      </c>
      <c r="B1183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34" s="3" t="str">
        <f>HYPERLINK("https://otsuka-europe-crm.veevavault.com/ui/#object/sent_email__v/VBLZ025E82HKGFX", "SE-000287290")</f>
        <v>SE-000287290</v>
      </c>
      <c r="D11834" s="1" t="s">
        <v>0</v>
      </c>
      <c r="E11834" s="2">
        <v>0</v>
      </c>
      <c r="F11834" s="2">
        <v>0</v>
      </c>
      <c r="G11834" s="2">
        <v>0</v>
      </c>
      <c r="H11834" s="1" t="s">
        <v>0</v>
      </c>
      <c r="I11834" s="2">
        <v>0</v>
      </c>
      <c r="J11834" s="1">
        <v>45944.649884259263</v>
      </c>
    </row>
    <row r="11835" spans="1:10" x14ac:dyDescent="0.2">
      <c r="A11835" s="4" t="s">
        <v>1</v>
      </c>
      <c r="B1183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35" s="3" t="str">
        <f>HYPERLINK("https://otsuka-europe-crm.veevavault.com/ui/#object/sent_email__v/VBLZ025E82HKGFY", "SE-000287291")</f>
        <v>SE-000287291</v>
      </c>
      <c r="D11835" s="1">
        <v>45949.487754629627</v>
      </c>
      <c r="E11835" s="2">
        <v>1</v>
      </c>
      <c r="F11835" s="2">
        <v>4</v>
      </c>
      <c r="G11835" s="2">
        <v>0</v>
      </c>
      <c r="H11835" s="1" t="s">
        <v>0</v>
      </c>
      <c r="I11835" s="2">
        <v>0</v>
      </c>
      <c r="J11835" s="1">
        <v>45944.649814814817</v>
      </c>
    </row>
    <row r="11836" spans="1:10" x14ac:dyDescent="0.2">
      <c r="A11836" s="4" t="s">
        <v>1</v>
      </c>
      <c r="B1183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36" s="3" t="str">
        <f>HYPERLINK("https://otsuka-europe-crm.veevavault.com/ui/#object/sent_email__v/VBLZ025E82HKGFZ", "SE-000287292")</f>
        <v>SE-000287292</v>
      </c>
      <c r="D11836" s="1">
        <v>45950.717418981483</v>
      </c>
      <c r="E11836" s="2">
        <v>1</v>
      </c>
      <c r="F11836" s="2">
        <v>4</v>
      </c>
      <c r="G11836" s="2">
        <v>0</v>
      </c>
      <c r="H11836" s="1" t="s">
        <v>0</v>
      </c>
      <c r="I11836" s="2">
        <v>0</v>
      </c>
      <c r="J11836" s="1">
        <v>45944.649918981479</v>
      </c>
    </row>
    <row r="11837" spans="1:10" x14ac:dyDescent="0.2">
      <c r="A11837" s="4" t="s">
        <v>1</v>
      </c>
      <c r="B1183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37" s="3" t="str">
        <f>HYPERLINK("https://otsuka-europe-crm.veevavault.com/ui/#object/sent_email__v/VBLZ025E82HKGG0", "SE-000287293")</f>
        <v>SE-000287293</v>
      </c>
      <c r="D11837" s="1">
        <v>45944.651203703703</v>
      </c>
      <c r="E11837" s="2">
        <v>1</v>
      </c>
      <c r="F11837" s="2">
        <v>2</v>
      </c>
      <c r="G11837" s="2">
        <v>0</v>
      </c>
      <c r="H11837" s="1" t="s">
        <v>0</v>
      </c>
      <c r="I11837" s="2">
        <v>0</v>
      </c>
      <c r="J11837" s="1">
        <v>45944.649780092594</v>
      </c>
    </row>
    <row r="11838" spans="1:10" x14ac:dyDescent="0.2">
      <c r="A11838" s="4" t="s">
        <v>1</v>
      </c>
      <c r="B1183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38" s="3" t="str">
        <f>HYPERLINK("https://otsuka-europe-crm.veevavault.com/ui/#object/sent_email__v/VBLZ025E82HKGG1", "SE-000287294")</f>
        <v>SE-000287294</v>
      </c>
      <c r="D11838" s="1" t="s">
        <v>0</v>
      </c>
      <c r="E11838" s="2">
        <v>0</v>
      </c>
      <c r="F11838" s="2">
        <v>0</v>
      </c>
      <c r="G11838" s="2">
        <v>0</v>
      </c>
      <c r="H11838" s="1" t="s">
        <v>0</v>
      </c>
      <c r="I11838" s="2">
        <v>0</v>
      </c>
      <c r="J11838" s="1">
        <v>45944.649907407409</v>
      </c>
    </row>
    <row r="11839" spans="1:10" x14ac:dyDescent="0.2">
      <c r="A11839" s="4" t="s">
        <v>1</v>
      </c>
      <c r="B1183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39" s="3" t="str">
        <f>HYPERLINK("https://otsuka-europe-crm.veevavault.com/ui/#object/sent_email__v/VBLZ025E82HKGG2", "SE-000287295")</f>
        <v>SE-000287295</v>
      </c>
      <c r="D11839" s="1">
        <v>45944.795844907407</v>
      </c>
      <c r="E11839" s="2">
        <v>1</v>
      </c>
      <c r="F11839" s="2">
        <v>1</v>
      </c>
      <c r="G11839" s="2">
        <v>0</v>
      </c>
      <c r="H11839" s="1" t="s">
        <v>0</v>
      </c>
      <c r="I11839" s="2">
        <v>0</v>
      </c>
      <c r="J11839" s="1">
        <v>45944.649884259263</v>
      </c>
    </row>
    <row r="11840" spans="1:10" x14ac:dyDescent="0.2">
      <c r="A11840" s="4" t="s">
        <v>1</v>
      </c>
      <c r="B1184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40" s="3" t="str">
        <f>HYPERLINK("https://otsuka-europe-crm.veevavault.com/ui/#object/sent_email__v/VBLZ025E82HKGG3", "SE-000287296")</f>
        <v>SE-000287296</v>
      </c>
      <c r="D11840" s="1" t="s">
        <v>0</v>
      </c>
      <c r="E11840" s="2">
        <v>0</v>
      </c>
      <c r="F11840" s="2">
        <v>0</v>
      </c>
      <c r="G11840" s="2">
        <v>0</v>
      </c>
      <c r="H11840" s="1" t="s">
        <v>0</v>
      </c>
      <c r="I11840" s="2">
        <v>0</v>
      </c>
      <c r="J11840" s="1">
        <v>45944.649745370371</v>
      </c>
    </row>
    <row r="11841" spans="1:10" x14ac:dyDescent="0.2">
      <c r="A11841" s="4" t="s">
        <v>1</v>
      </c>
      <c r="B1184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41" s="3" t="str">
        <f>HYPERLINK("https://otsuka-europe-crm.veevavault.com/ui/#object/sent_email__v/VBLZ025E82HKGG4", "SE-000287297")</f>
        <v>SE-000287297</v>
      </c>
      <c r="D11841" s="1">
        <v>45949.806215277778</v>
      </c>
      <c r="E11841" s="2">
        <v>1</v>
      </c>
      <c r="F11841" s="2">
        <v>1</v>
      </c>
      <c r="G11841" s="2">
        <v>0</v>
      </c>
      <c r="H11841" s="1" t="s">
        <v>0</v>
      </c>
      <c r="I11841" s="2">
        <v>0</v>
      </c>
      <c r="J11841" s="1">
        <v>45944.649872685186</v>
      </c>
    </row>
    <row r="11842" spans="1:10" x14ac:dyDescent="0.2">
      <c r="A11842" s="4" t="s">
        <v>1</v>
      </c>
      <c r="B1184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42" s="3" t="str">
        <f>HYPERLINK("https://otsuka-europe-crm.veevavault.com/ui/#object/sent_email__v/VBLZ025E82HKGG5", "SE-000287298")</f>
        <v>SE-000287298</v>
      </c>
      <c r="D11842" s="1" t="s">
        <v>0</v>
      </c>
      <c r="E11842" s="2">
        <v>0</v>
      </c>
      <c r="F11842" s="2">
        <v>0</v>
      </c>
      <c r="G11842" s="2">
        <v>0</v>
      </c>
      <c r="H11842" s="1" t="s">
        <v>0</v>
      </c>
      <c r="I11842" s="2">
        <v>0</v>
      </c>
      <c r="J11842" s="1">
        <v>45944.649814814817</v>
      </c>
    </row>
    <row r="11843" spans="1:10" x14ac:dyDescent="0.2">
      <c r="A11843" s="4" t="s">
        <v>1</v>
      </c>
      <c r="B1184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43" s="3" t="str">
        <f>HYPERLINK("https://otsuka-europe-crm.veevavault.com/ui/#object/sent_email__v/VBLZ025E82HKGG6", "SE-000287299")</f>
        <v>SE-000287299</v>
      </c>
      <c r="D11843" s="1" t="s">
        <v>0</v>
      </c>
      <c r="E11843" s="2">
        <v>0</v>
      </c>
      <c r="F11843" s="2">
        <v>0</v>
      </c>
      <c r="G11843" s="2">
        <v>0</v>
      </c>
      <c r="H11843" s="1" t="s">
        <v>0</v>
      </c>
      <c r="I11843" s="2">
        <v>0</v>
      </c>
      <c r="J11843" s="1">
        <v>45944.649861111109</v>
      </c>
    </row>
    <row r="11844" spans="1:10" x14ac:dyDescent="0.2">
      <c r="A11844" s="4" t="s">
        <v>1</v>
      </c>
      <c r="B1184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44" s="3" t="str">
        <f>HYPERLINK("https://otsuka-europe-crm.veevavault.com/ui/#object/sent_email__v/VBLZ025E82HKGG7", "SE-000287300")</f>
        <v>SE-000287300</v>
      </c>
      <c r="D11844" s="1" t="s">
        <v>0</v>
      </c>
      <c r="E11844" s="2">
        <v>0</v>
      </c>
      <c r="F11844" s="2">
        <v>0</v>
      </c>
      <c r="G11844" s="2">
        <v>0</v>
      </c>
      <c r="H11844" s="1" t="s">
        <v>0</v>
      </c>
      <c r="I11844" s="2">
        <v>0</v>
      </c>
      <c r="J11844" s="1">
        <v>45944.649895833332</v>
      </c>
    </row>
    <row r="11845" spans="1:10" x14ac:dyDescent="0.2">
      <c r="A11845" s="4" t="s">
        <v>1</v>
      </c>
      <c r="B1184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45" s="3" t="str">
        <f>HYPERLINK("https://otsuka-europe-crm.veevavault.com/ui/#object/sent_email__v/VBLZ025E82HKGG8", "SE-000287301")</f>
        <v>SE-000287301</v>
      </c>
      <c r="D11845" s="1" t="s">
        <v>0</v>
      </c>
      <c r="E11845" s="2">
        <v>0</v>
      </c>
      <c r="F11845" s="2">
        <v>0</v>
      </c>
      <c r="G11845" s="2">
        <v>0</v>
      </c>
      <c r="H11845" s="1" t="s">
        <v>0</v>
      </c>
      <c r="I11845" s="2">
        <v>0</v>
      </c>
      <c r="J11845" s="1">
        <v>45944.649791666663</v>
      </c>
    </row>
    <row r="11846" spans="1:10" x14ac:dyDescent="0.2">
      <c r="A11846" s="4" t="s">
        <v>1</v>
      </c>
      <c r="B1184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46" s="3" t="str">
        <f>HYPERLINK("https://otsuka-europe-crm.veevavault.com/ui/#object/sent_email__v/VBLZ025E82HKGG9", "SE-000287302")</f>
        <v>SE-000287302</v>
      </c>
      <c r="D11846" s="1">
        <v>45974.483217592591</v>
      </c>
      <c r="E11846" s="2">
        <v>1</v>
      </c>
      <c r="F11846" s="2">
        <v>3</v>
      </c>
      <c r="G11846" s="2">
        <v>1</v>
      </c>
      <c r="H11846" s="1">
        <v>45944.748645833337</v>
      </c>
      <c r="I11846" s="2">
        <v>1</v>
      </c>
      <c r="J11846" s="1">
        <v>45944.649895833332</v>
      </c>
    </row>
    <row r="11847" spans="1:10" x14ac:dyDescent="0.2">
      <c r="A11847" s="4" t="s">
        <v>1</v>
      </c>
      <c r="B1184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47" s="3" t="str">
        <f>HYPERLINK("https://otsuka-europe-crm.veevavault.com/ui/#object/sent_email__v/VBLZ025E82HKGGA", "SE-000287303")</f>
        <v>SE-000287303</v>
      </c>
      <c r="D11847" s="1">
        <v>45944.816782407404</v>
      </c>
      <c r="E11847" s="2">
        <v>1</v>
      </c>
      <c r="F11847" s="2">
        <v>3</v>
      </c>
      <c r="G11847" s="2">
        <v>0</v>
      </c>
      <c r="H11847" s="1" t="s">
        <v>0</v>
      </c>
      <c r="I11847" s="2">
        <v>0</v>
      </c>
      <c r="J11847" s="1">
        <v>45944.649814814817</v>
      </c>
    </row>
    <row r="11848" spans="1:10" x14ac:dyDescent="0.2">
      <c r="A11848" s="4" t="s">
        <v>1</v>
      </c>
      <c r="B1184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48" s="3" t="str">
        <f>HYPERLINK("https://otsuka-europe-crm.veevavault.com/ui/#object/sent_email__v/VBLZ025E82HKGGB", "SE-000287304")</f>
        <v>SE-000287304</v>
      </c>
      <c r="D11848" s="1">
        <v>45944.667986111112</v>
      </c>
      <c r="E11848" s="2">
        <v>1</v>
      </c>
      <c r="F11848" s="2">
        <v>2</v>
      </c>
      <c r="G11848" s="2">
        <v>0</v>
      </c>
      <c r="H11848" s="1" t="s">
        <v>0</v>
      </c>
      <c r="I11848" s="2">
        <v>0</v>
      </c>
      <c r="J11848" s="1">
        <v>45944.649930555555</v>
      </c>
    </row>
    <row r="11849" spans="1:10" x14ac:dyDescent="0.2">
      <c r="A11849" s="4" t="s">
        <v>1</v>
      </c>
      <c r="B1184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49" s="3" t="str">
        <f>HYPERLINK("https://otsuka-europe-crm.veevavault.com/ui/#object/sent_email__v/VBLZ025E82HKGGC", "SE-000287305")</f>
        <v>SE-000287305</v>
      </c>
      <c r="D11849" s="1" t="s">
        <v>0</v>
      </c>
      <c r="E11849" s="2">
        <v>0</v>
      </c>
      <c r="F11849" s="2">
        <v>0</v>
      </c>
      <c r="G11849" s="2">
        <v>0</v>
      </c>
      <c r="H11849" s="1" t="s">
        <v>0</v>
      </c>
      <c r="I11849" s="2">
        <v>0</v>
      </c>
      <c r="J11849" s="1">
        <v>45944.649826388886</v>
      </c>
    </row>
    <row r="11850" spans="1:10" x14ac:dyDescent="0.2">
      <c r="A11850" s="4" t="s">
        <v>1</v>
      </c>
      <c r="B1185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50" s="3" t="str">
        <f>HYPERLINK("https://otsuka-europe-crm.veevavault.com/ui/#object/sent_email__v/VBLZ025E82HKGGD", "SE-000287306")</f>
        <v>SE-000287306</v>
      </c>
      <c r="D11850" s="1" t="s">
        <v>0</v>
      </c>
      <c r="E11850" s="2">
        <v>0</v>
      </c>
      <c r="F11850" s="2">
        <v>0</v>
      </c>
      <c r="G11850" s="2">
        <v>0</v>
      </c>
      <c r="H11850" s="1" t="s">
        <v>0</v>
      </c>
      <c r="I11850" s="2">
        <v>0</v>
      </c>
      <c r="J11850" s="1">
        <v>45944.649942129632</v>
      </c>
    </row>
    <row r="11851" spans="1:10" x14ac:dyDescent="0.2">
      <c r="A11851" s="4" t="s">
        <v>1</v>
      </c>
      <c r="B1185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51" s="3" t="str">
        <f>HYPERLINK("https://otsuka-europe-crm.veevavault.com/ui/#object/sent_email__v/VBLZ025E82HKGGE", "SE-000287307")</f>
        <v>SE-000287307</v>
      </c>
      <c r="D11851" s="1" t="s">
        <v>0</v>
      </c>
      <c r="E11851" s="2">
        <v>0</v>
      </c>
      <c r="F11851" s="2">
        <v>0</v>
      </c>
      <c r="G11851" s="2">
        <v>0</v>
      </c>
      <c r="H11851" s="1" t="s">
        <v>0</v>
      </c>
      <c r="I11851" s="2">
        <v>0</v>
      </c>
      <c r="J11851" s="1">
        <v>45944.649791666663</v>
      </c>
    </row>
    <row r="11852" spans="1:10" x14ac:dyDescent="0.2">
      <c r="A11852" s="4" t="s">
        <v>1</v>
      </c>
      <c r="B1185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52" s="3" t="str">
        <f>HYPERLINK("https://otsuka-europe-crm.veevavault.com/ui/#object/sent_email__v/VBLZ025E82HKGGF", "SE-000287308")</f>
        <v>SE-000287308</v>
      </c>
      <c r="D11852" s="1">
        <v>45945.25445601852</v>
      </c>
      <c r="E11852" s="2">
        <v>1</v>
      </c>
      <c r="F11852" s="2">
        <v>2</v>
      </c>
      <c r="G11852" s="2">
        <v>0</v>
      </c>
      <c r="H11852" s="1" t="s">
        <v>0</v>
      </c>
      <c r="I11852" s="2">
        <v>0</v>
      </c>
      <c r="J11852" s="1">
        <v>45944.649953703702</v>
      </c>
    </row>
    <row r="11853" spans="1:10" x14ac:dyDescent="0.2">
      <c r="A11853" s="4" t="s">
        <v>1</v>
      </c>
      <c r="B1185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53" s="3" t="str">
        <f>HYPERLINK("https://otsuka-europe-crm.veevavault.com/ui/#object/sent_email__v/VBLZ025E82HKGGG", "SE-000287309")</f>
        <v>SE-000287309</v>
      </c>
      <c r="D11853" s="1" t="s">
        <v>0</v>
      </c>
      <c r="E11853" s="2">
        <v>0</v>
      </c>
      <c r="F11853" s="2">
        <v>0</v>
      </c>
      <c r="G11853" s="2">
        <v>0</v>
      </c>
      <c r="H11853" s="1" t="s">
        <v>0</v>
      </c>
      <c r="I11853" s="2">
        <v>0</v>
      </c>
      <c r="J11853" s="1">
        <v>45944.649826388886</v>
      </c>
    </row>
    <row r="11854" spans="1:10" x14ac:dyDescent="0.2">
      <c r="A11854" s="4" t="s">
        <v>1</v>
      </c>
      <c r="B1185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54" s="3" t="str">
        <f>HYPERLINK("https://otsuka-europe-crm.veevavault.com/ui/#object/sent_email__v/VBLZ025E82HKGGH", "SE-000287310")</f>
        <v>SE-000287310</v>
      </c>
      <c r="D11854" s="1" t="s">
        <v>0</v>
      </c>
      <c r="E11854" s="2">
        <v>0</v>
      </c>
      <c r="F11854" s="2">
        <v>0</v>
      </c>
      <c r="G11854" s="2">
        <v>0</v>
      </c>
      <c r="H11854" s="1" t="s">
        <v>0</v>
      </c>
      <c r="I11854" s="2">
        <v>0</v>
      </c>
      <c r="J11854" s="1">
        <v>45944.649965277778</v>
      </c>
    </row>
    <row r="11855" spans="1:10" x14ac:dyDescent="0.2">
      <c r="A11855" s="4" t="s">
        <v>1</v>
      </c>
      <c r="B1185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55" s="3" t="str">
        <f>HYPERLINK("https://otsuka-europe-crm.veevavault.com/ui/#object/sent_email__v/VBLZ025E82HKGGI", "SE-000287311")</f>
        <v>SE-000287311</v>
      </c>
      <c r="D11855" s="1" t="s">
        <v>0</v>
      </c>
      <c r="E11855" s="2">
        <v>0</v>
      </c>
      <c r="F11855" s="2">
        <v>0</v>
      </c>
      <c r="G11855" s="2">
        <v>0</v>
      </c>
      <c r="H11855" s="1" t="s">
        <v>0</v>
      </c>
      <c r="I11855" s="2">
        <v>0</v>
      </c>
      <c r="J11855" s="1">
        <v>45944.649745370371</v>
      </c>
    </row>
    <row r="11856" spans="1:10" x14ac:dyDescent="0.2">
      <c r="A11856" s="4" t="s">
        <v>1</v>
      </c>
      <c r="B1185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56" s="3" t="str">
        <f>HYPERLINK("https://otsuka-europe-crm.veevavault.com/ui/#object/sent_email__v/VBLZ025E82HKGGJ", "SE-000287312")</f>
        <v>SE-000287312</v>
      </c>
      <c r="D11856" s="1" t="s">
        <v>0</v>
      </c>
      <c r="E11856" s="2">
        <v>0</v>
      </c>
      <c r="F11856" s="2">
        <v>0</v>
      </c>
      <c r="G11856" s="2">
        <v>0</v>
      </c>
      <c r="H11856" s="1" t="s">
        <v>0</v>
      </c>
      <c r="I11856" s="2">
        <v>0</v>
      </c>
      <c r="J11856" s="1">
        <v>45944.64984953704</v>
      </c>
    </row>
    <row r="11857" spans="1:10" x14ac:dyDescent="0.2">
      <c r="A11857" s="4" t="s">
        <v>1</v>
      </c>
      <c r="B1185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57" s="3" t="str">
        <f>HYPERLINK("https://otsuka-europe-crm.veevavault.com/ui/#object/sent_email__v/VBLZ025E82HKGGK", "SE-000287313")</f>
        <v>SE-000287313</v>
      </c>
      <c r="D11857" s="1">
        <v>45945.310115740744</v>
      </c>
      <c r="E11857" s="2">
        <v>1</v>
      </c>
      <c r="F11857" s="2">
        <v>1</v>
      </c>
      <c r="G11857" s="2">
        <v>0</v>
      </c>
      <c r="H11857" s="1" t="s">
        <v>0</v>
      </c>
      <c r="I11857" s="2">
        <v>0</v>
      </c>
      <c r="J11857" s="1">
        <v>45944.649733796294</v>
      </c>
    </row>
    <row r="11858" spans="1:10" x14ac:dyDescent="0.2">
      <c r="A11858" s="4" t="s">
        <v>1</v>
      </c>
      <c r="B1185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58" s="3" t="str">
        <f>HYPERLINK("https://otsuka-europe-crm.veevavault.com/ui/#object/sent_email__v/VBLZ025E82HKGGL", "SE-000287314")</f>
        <v>SE-000287314</v>
      </c>
      <c r="D11858" s="1">
        <v>45945.791944444441</v>
      </c>
      <c r="E11858" s="2">
        <v>1</v>
      </c>
      <c r="F11858" s="2">
        <v>3</v>
      </c>
      <c r="G11858" s="2">
        <v>1</v>
      </c>
      <c r="H11858" s="1">
        <v>45945.792314814818</v>
      </c>
      <c r="I11858" s="2">
        <v>1</v>
      </c>
      <c r="J11858" s="1">
        <v>45944.64984953704</v>
      </c>
    </row>
    <row r="11859" spans="1:10" x14ac:dyDescent="0.2">
      <c r="A11859" s="4" t="s">
        <v>1</v>
      </c>
      <c r="B1185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59" s="3" t="str">
        <f>HYPERLINK("https://otsuka-europe-crm.veevavault.com/ui/#object/sent_email__v/VBLZ025E82HKGGM", "SE-000287315")</f>
        <v>SE-000287315</v>
      </c>
      <c r="D11859" s="1">
        <v>45945.522673611114</v>
      </c>
      <c r="E11859" s="2">
        <v>1</v>
      </c>
      <c r="F11859" s="2">
        <v>1</v>
      </c>
      <c r="G11859" s="2">
        <v>1</v>
      </c>
      <c r="H11859" s="1">
        <v>45945.522673611114</v>
      </c>
      <c r="I11859" s="2">
        <v>1</v>
      </c>
      <c r="J11859" s="1">
        <v>45944.649722222224</v>
      </c>
    </row>
    <row r="11860" spans="1:10" x14ac:dyDescent="0.2">
      <c r="A11860" s="4" t="s">
        <v>1</v>
      </c>
      <c r="B1186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60" s="3" t="str">
        <f>HYPERLINK("https://otsuka-europe-crm.veevavault.com/ui/#object/sent_email__v/VBLZ025E82HKGGN", "SE-000287316")</f>
        <v>SE-000287316</v>
      </c>
      <c r="D11860" s="1" t="s">
        <v>0</v>
      </c>
      <c r="E11860" s="2">
        <v>0</v>
      </c>
      <c r="F11860" s="2">
        <v>0</v>
      </c>
      <c r="G11860" s="2">
        <v>0</v>
      </c>
      <c r="H11860" s="1" t="s">
        <v>0</v>
      </c>
      <c r="I11860" s="2">
        <v>0</v>
      </c>
      <c r="J11860" s="1">
        <v>45944.649965277778</v>
      </c>
    </row>
    <row r="11861" spans="1:10" x14ac:dyDescent="0.2">
      <c r="A11861" s="4" t="s">
        <v>1</v>
      </c>
      <c r="B1186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61" s="3" t="str">
        <f>HYPERLINK("https://otsuka-europe-crm.veevavault.com/ui/#object/sent_email__v/VBLZ025E82HKGGO", "SE-000287317")</f>
        <v>SE-000287317</v>
      </c>
      <c r="D11861" s="1" t="s">
        <v>0</v>
      </c>
      <c r="E11861" s="2">
        <v>0</v>
      </c>
      <c r="F11861" s="2">
        <v>0</v>
      </c>
      <c r="G11861" s="2">
        <v>0</v>
      </c>
      <c r="H11861" s="1" t="s">
        <v>0</v>
      </c>
      <c r="I11861" s="2">
        <v>0</v>
      </c>
      <c r="J11861" s="1">
        <v>45944.649826388886</v>
      </c>
    </row>
    <row r="11862" spans="1:10" x14ac:dyDescent="0.2">
      <c r="A11862" s="4" t="s">
        <v>1</v>
      </c>
      <c r="B1186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62" s="3" t="str">
        <f>HYPERLINK("https://otsuka-europe-crm.veevavault.com/ui/#object/sent_email__v/VBLZ025E82HKGGP", "SE-000287318")</f>
        <v>SE-000287318</v>
      </c>
      <c r="D11862" s="1" t="s">
        <v>0</v>
      </c>
      <c r="E11862" s="2">
        <v>0</v>
      </c>
      <c r="F11862" s="2">
        <v>0</v>
      </c>
      <c r="G11862" s="2">
        <v>0</v>
      </c>
      <c r="H11862" s="1" t="s">
        <v>0</v>
      </c>
      <c r="I11862" s="2">
        <v>0</v>
      </c>
      <c r="J11862" s="1">
        <v>45944.649976851855</v>
      </c>
    </row>
    <row r="11863" spans="1:10" x14ac:dyDescent="0.2">
      <c r="A11863" s="4" t="s">
        <v>1</v>
      </c>
      <c r="B1186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63" s="3" t="str">
        <f>HYPERLINK("https://otsuka-europe-crm.veevavault.com/ui/#object/sent_email__v/VBLZ025E82HKGGQ", "SE-000287319")</f>
        <v>SE-000287319</v>
      </c>
      <c r="D11863" s="1" t="s">
        <v>0</v>
      </c>
      <c r="E11863" s="2">
        <v>0</v>
      </c>
      <c r="F11863" s="2">
        <v>0</v>
      </c>
      <c r="G11863" s="2">
        <v>0</v>
      </c>
      <c r="H11863" s="1" t="s">
        <v>0</v>
      </c>
      <c r="I11863" s="2">
        <v>0</v>
      </c>
      <c r="J11863" s="1">
        <v>45944.649837962963</v>
      </c>
    </row>
    <row r="11864" spans="1:10" x14ac:dyDescent="0.2">
      <c r="A11864" s="4" t="s">
        <v>1</v>
      </c>
      <c r="B1186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64" s="3" t="str">
        <f>HYPERLINK("https://otsuka-europe-crm.veevavault.com/ui/#object/sent_email__v/VBLZ025E82HKGGR", "SE-000287320")</f>
        <v>SE-000287320</v>
      </c>
      <c r="D11864" s="1" t="s">
        <v>0</v>
      </c>
      <c r="E11864" s="2">
        <v>0</v>
      </c>
      <c r="F11864" s="2">
        <v>0</v>
      </c>
      <c r="G11864" s="2">
        <v>0</v>
      </c>
      <c r="H11864" s="1" t="s">
        <v>0</v>
      </c>
      <c r="I11864" s="2">
        <v>0</v>
      </c>
      <c r="J11864" s="1">
        <v>45944.649988425925</v>
      </c>
    </row>
    <row r="11865" spans="1:10" x14ac:dyDescent="0.2">
      <c r="A11865" s="4" t="s">
        <v>1</v>
      </c>
      <c r="B1186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65" s="3" t="str">
        <f>HYPERLINK("https://otsuka-europe-crm.veevavault.com/ui/#object/sent_email__v/VBLZ025E82HKGGS", "SE-000287321")</f>
        <v>SE-000287321</v>
      </c>
      <c r="D11865" s="1">
        <v>45953.949467592596</v>
      </c>
      <c r="E11865" s="2">
        <v>1</v>
      </c>
      <c r="F11865" s="2">
        <v>2</v>
      </c>
      <c r="G11865" s="2">
        <v>1</v>
      </c>
      <c r="H11865" s="1">
        <v>45944.681018518517</v>
      </c>
      <c r="I11865" s="2">
        <v>1</v>
      </c>
      <c r="J11865" s="1">
        <v>45944.649930555555</v>
      </c>
    </row>
    <row r="11866" spans="1:10" x14ac:dyDescent="0.2">
      <c r="A11866" s="4" t="s">
        <v>1</v>
      </c>
      <c r="B1186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66" s="3" t="str">
        <f>HYPERLINK("https://otsuka-europe-crm.veevavault.com/ui/#object/sent_email__v/VBLZ025E82HKGGT", "SE-000287322")</f>
        <v>SE-000287322</v>
      </c>
      <c r="D11866" s="1" t="s">
        <v>0</v>
      </c>
      <c r="E11866" s="2">
        <v>0</v>
      </c>
      <c r="F11866" s="2">
        <v>0</v>
      </c>
      <c r="G11866" s="2">
        <v>0</v>
      </c>
      <c r="H11866" s="1" t="s">
        <v>0</v>
      </c>
      <c r="I11866" s="2">
        <v>0</v>
      </c>
      <c r="J11866" s="1">
        <v>45944.649780092594</v>
      </c>
    </row>
    <row r="11867" spans="1:10" x14ac:dyDescent="0.2">
      <c r="A11867" s="4" t="s">
        <v>1</v>
      </c>
      <c r="B1186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67" s="3" t="str">
        <f>HYPERLINK("https://otsuka-europe-crm.veevavault.com/ui/#object/sent_email__v/VBLZ025E82HKGTT", "SE-000287323")</f>
        <v>SE-000287323</v>
      </c>
      <c r="D11867" s="1" t="s">
        <v>0</v>
      </c>
      <c r="E11867" s="2">
        <v>0</v>
      </c>
      <c r="F11867" s="2">
        <v>0</v>
      </c>
      <c r="G11867" s="2">
        <v>0</v>
      </c>
      <c r="H11867" s="1" t="s">
        <v>0</v>
      </c>
      <c r="I11867" s="2">
        <v>0</v>
      </c>
      <c r="J11867" s="1">
        <v>45944.652418981481</v>
      </c>
    </row>
    <row r="11868" spans="1:10" x14ac:dyDescent="0.2">
      <c r="A11868" s="4" t="s">
        <v>1</v>
      </c>
      <c r="B1186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68" s="3" t="str">
        <f>HYPERLINK("https://otsuka-europe-crm.veevavault.com/ui/#object/sent_email__v/VBLZ025E82HKGTU", "SE-000287324")</f>
        <v>SE-000287324</v>
      </c>
      <c r="D11868" s="1" t="s">
        <v>0</v>
      </c>
      <c r="E11868" s="2">
        <v>0</v>
      </c>
      <c r="F11868" s="2">
        <v>0</v>
      </c>
      <c r="G11868" s="2">
        <v>0</v>
      </c>
      <c r="H11868" s="1" t="s">
        <v>0</v>
      </c>
      <c r="I11868" s="2">
        <v>0</v>
      </c>
      <c r="J11868" s="1">
        <v>45944.652453703704</v>
      </c>
    </row>
    <row r="11869" spans="1:10" x14ac:dyDescent="0.2">
      <c r="A11869" s="4" t="s">
        <v>1</v>
      </c>
      <c r="B1186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69" s="3" t="str">
        <f>HYPERLINK("https://otsuka-europe-crm.veevavault.com/ui/#object/sent_email__v/VBLZ025E82HKGTV", "SE-000287325")</f>
        <v>SE-000287325</v>
      </c>
      <c r="D11869" s="1" t="s">
        <v>0</v>
      </c>
      <c r="E11869" s="2">
        <v>0</v>
      </c>
      <c r="F11869" s="2">
        <v>0</v>
      </c>
      <c r="G11869" s="2">
        <v>0</v>
      </c>
      <c r="H11869" s="1" t="s">
        <v>0</v>
      </c>
      <c r="I11869" s="2">
        <v>0</v>
      </c>
      <c r="J11869" s="1">
        <v>45944.65253472222</v>
      </c>
    </row>
    <row r="11870" spans="1:10" x14ac:dyDescent="0.2">
      <c r="A11870" s="4" t="s">
        <v>1</v>
      </c>
      <c r="B1187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70" s="3" t="str">
        <f>HYPERLINK("https://otsuka-europe-crm.veevavault.com/ui/#object/sent_email__v/VBLZ025E82HKGTW", "SE-000287326")</f>
        <v>SE-000287326</v>
      </c>
      <c r="D11870" s="1" t="s">
        <v>0</v>
      </c>
      <c r="E11870" s="2">
        <v>0</v>
      </c>
      <c r="F11870" s="2">
        <v>0</v>
      </c>
      <c r="G11870" s="2">
        <v>0</v>
      </c>
      <c r="H11870" s="1" t="s">
        <v>0</v>
      </c>
      <c r="I11870" s="2">
        <v>0</v>
      </c>
      <c r="J11870" s="1">
        <v>45944.652430555558</v>
      </c>
    </row>
    <row r="11871" spans="1:10" x14ac:dyDescent="0.2">
      <c r="A11871" s="4" t="s">
        <v>1</v>
      </c>
      <c r="B1187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71" s="3" t="str">
        <f>HYPERLINK("https://otsuka-europe-crm.veevavault.com/ui/#object/sent_email__v/VBLZ025E82HKGTX", "SE-000287327")</f>
        <v>SE-000287327</v>
      </c>
      <c r="D11871" s="1" t="s">
        <v>0</v>
      </c>
      <c r="E11871" s="2">
        <v>0</v>
      </c>
      <c r="F11871" s="2">
        <v>0</v>
      </c>
      <c r="G11871" s="2">
        <v>0</v>
      </c>
      <c r="H11871" s="1" t="s">
        <v>0</v>
      </c>
      <c r="I11871" s="2">
        <v>0</v>
      </c>
      <c r="J11871" s="1">
        <v>45944.652557870373</v>
      </c>
    </row>
    <row r="11872" spans="1:10" x14ac:dyDescent="0.2">
      <c r="A11872" s="4" t="s">
        <v>1</v>
      </c>
      <c r="B1187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72" s="3" t="str">
        <f>HYPERLINK("https://otsuka-europe-crm.veevavault.com/ui/#object/sent_email__v/VBLZ025E82HKGTY", "SE-000287328")</f>
        <v>SE-000287328</v>
      </c>
      <c r="D11872" s="1">
        <v>45944.652986111112</v>
      </c>
      <c r="E11872" s="2">
        <v>1</v>
      </c>
      <c r="F11872" s="2">
        <v>1</v>
      </c>
      <c r="G11872" s="2">
        <v>0</v>
      </c>
      <c r="H11872" s="1" t="s">
        <v>0</v>
      </c>
      <c r="I11872" s="2">
        <v>0</v>
      </c>
      <c r="J11872" s="1">
        <v>45944.652442129627</v>
      </c>
    </row>
    <row r="11873" spans="1:10" x14ac:dyDescent="0.2">
      <c r="A11873" s="4" t="s">
        <v>1</v>
      </c>
      <c r="B1187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73" s="3" t="str">
        <f>HYPERLINK("https://otsuka-europe-crm.veevavault.com/ui/#object/sent_email__v/VBLZ025E82HKGTZ", "SE-000287329")</f>
        <v>SE-000287329</v>
      </c>
      <c r="D11873" s="1" t="s">
        <v>0</v>
      </c>
      <c r="E11873" s="2">
        <v>0</v>
      </c>
      <c r="F11873" s="2">
        <v>0</v>
      </c>
      <c r="G11873" s="2">
        <v>0</v>
      </c>
      <c r="H11873" s="1" t="s">
        <v>0</v>
      </c>
      <c r="I11873" s="2">
        <v>0</v>
      </c>
      <c r="J11873" s="1">
        <v>45944.652592592596</v>
      </c>
    </row>
    <row r="11874" spans="1:10" x14ac:dyDescent="0.2">
      <c r="A11874" s="4" t="s">
        <v>1</v>
      </c>
      <c r="B1187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74" s="3" t="str">
        <f>HYPERLINK("https://otsuka-europe-crm.veevavault.com/ui/#object/sent_email__v/VBLZ025E82HKGU0", "SE-000287330")</f>
        <v>SE-000287330</v>
      </c>
      <c r="D11874" s="1">
        <v>45944.69667824074</v>
      </c>
      <c r="E11874" s="2">
        <v>1</v>
      </c>
      <c r="F11874" s="2">
        <v>1</v>
      </c>
      <c r="G11874" s="2">
        <v>0</v>
      </c>
      <c r="H11874" s="1" t="s">
        <v>0</v>
      </c>
      <c r="I11874" s="2">
        <v>0</v>
      </c>
      <c r="J11874" s="1">
        <v>45944.65247685185</v>
      </c>
    </row>
    <row r="11875" spans="1:10" x14ac:dyDescent="0.2">
      <c r="A11875" s="4" t="s">
        <v>1</v>
      </c>
      <c r="B1187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75" s="3" t="str">
        <f>HYPERLINK("https://otsuka-europe-crm.veevavault.com/ui/#object/sent_email__v/VBLZ025E82HKGU1", "SE-000287331")</f>
        <v>SE-000287331</v>
      </c>
      <c r="D11875" s="1" t="s">
        <v>0</v>
      </c>
      <c r="E11875" s="2">
        <v>0</v>
      </c>
      <c r="F11875" s="2">
        <v>0</v>
      </c>
      <c r="G11875" s="2">
        <v>0</v>
      </c>
      <c r="H11875" s="1" t="s">
        <v>0</v>
      </c>
      <c r="I11875" s="2">
        <v>0</v>
      </c>
      <c r="J11875" s="1">
        <v>45944.652581018519</v>
      </c>
    </row>
    <row r="11876" spans="1:10" x14ac:dyDescent="0.2">
      <c r="A11876" s="4" t="s">
        <v>1</v>
      </c>
      <c r="B1187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76" s="3" t="str">
        <f>HYPERLINK("https://otsuka-europe-crm.veevavault.com/ui/#object/sent_email__v/VBLZ025E82HKGU2", "SE-000287332")</f>
        <v>SE-000287332</v>
      </c>
      <c r="D11876" s="1" t="s">
        <v>0</v>
      </c>
      <c r="E11876" s="2">
        <v>0</v>
      </c>
      <c r="F11876" s="2">
        <v>0</v>
      </c>
      <c r="G11876" s="2">
        <v>0</v>
      </c>
      <c r="H11876" s="1" t="s">
        <v>0</v>
      </c>
      <c r="I11876" s="2">
        <v>0</v>
      </c>
      <c r="J11876" s="1">
        <v>45944.652465277781</v>
      </c>
    </row>
    <row r="11877" spans="1:10" x14ac:dyDescent="0.2">
      <c r="A11877" s="4" t="s">
        <v>1</v>
      </c>
      <c r="B1187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77" s="3" t="str">
        <f>HYPERLINK("https://otsuka-europe-crm.veevavault.com/ui/#object/sent_email__v/VBLZ025E82HKGU3", "SE-000287333")</f>
        <v>SE-000287333</v>
      </c>
      <c r="D11877" s="1" t="s">
        <v>0</v>
      </c>
      <c r="E11877" s="2">
        <v>0</v>
      </c>
      <c r="F11877" s="2">
        <v>0</v>
      </c>
      <c r="G11877" s="2">
        <v>0</v>
      </c>
      <c r="H11877" s="1" t="s">
        <v>0</v>
      </c>
      <c r="I11877" s="2">
        <v>0</v>
      </c>
      <c r="J11877" s="1">
        <v>45944.652627314812</v>
      </c>
    </row>
    <row r="11878" spans="1:10" x14ac:dyDescent="0.2">
      <c r="A11878" s="4" t="s">
        <v>1</v>
      </c>
      <c r="B1187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78" s="3" t="str">
        <f>HYPERLINK("https://otsuka-europe-crm.veevavault.com/ui/#object/sent_email__v/VBLZ025E82HKGU4", "SE-000287334")</f>
        <v>SE-000287334</v>
      </c>
      <c r="D11878" s="1">
        <v>45944.714537037034</v>
      </c>
      <c r="E11878" s="2">
        <v>1</v>
      </c>
      <c r="F11878" s="2">
        <v>2</v>
      </c>
      <c r="G11878" s="2">
        <v>0</v>
      </c>
      <c r="H11878" s="1" t="s">
        <v>0</v>
      </c>
      <c r="I11878" s="2">
        <v>0</v>
      </c>
      <c r="J11878" s="1">
        <v>45944.652499999997</v>
      </c>
    </row>
    <row r="11879" spans="1:10" x14ac:dyDescent="0.2">
      <c r="A11879" s="4" t="s">
        <v>1</v>
      </c>
      <c r="B1187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79" s="3" t="str">
        <f>HYPERLINK("https://otsuka-europe-crm.veevavault.com/ui/#object/sent_email__v/VBLZ025E82HKGU5", "SE-000287335")</f>
        <v>SE-000287335</v>
      </c>
      <c r="D11879" s="1">
        <v>45944.800625000003</v>
      </c>
      <c r="E11879" s="2">
        <v>1</v>
      </c>
      <c r="F11879" s="2">
        <v>1</v>
      </c>
      <c r="G11879" s="2">
        <v>0</v>
      </c>
      <c r="H11879" s="1" t="s">
        <v>0</v>
      </c>
      <c r="I11879" s="2">
        <v>0</v>
      </c>
      <c r="J11879" s="1">
        <v>45944.652627314812</v>
      </c>
    </row>
    <row r="11880" spans="1:10" x14ac:dyDescent="0.2">
      <c r="A11880" s="4" t="s">
        <v>1</v>
      </c>
      <c r="B1188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80" s="3" t="str">
        <f>HYPERLINK("https://otsuka-europe-crm.veevavault.com/ui/#object/sent_email__v/VBLZ025E82HKGU6", "SE-000287336")</f>
        <v>SE-000287336</v>
      </c>
      <c r="D11880" s="1">
        <v>45945.662476851852</v>
      </c>
      <c r="E11880" s="2">
        <v>1</v>
      </c>
      <c r="F11880" s="2">
        <v>1</v>
      </c>
      <c r="G11880" s="2">
        <v>0</v>
      </c>
      <c r="H11880" s="1" t="s">
        <v>0</v>
      </c>
      <c r="I11880" s="2">
        <v>0</v>
      </c>
      <c r="J11880" s="1">
        <v>45944.65252314815</v>
      </c>
    </row>
    <row r="11881" spans="1:10" x14ac:dyDescent="0.2">
      <c r="A11881" s="4" t="s">
        <v>1</v>
      </c>
      <c r="B1188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81" s="3" t="str">
        <f>HYPERLINK("https://otsuka-europe-crm.veevavault.com/ui/#object/sent_email__v/VBLZ025E82HKGU7", "SE-000287337")</f>
        <v>SE-000287337</v>
      </c>
      <c r="D11881" s="1" t="s">
        <v>0</v>
      </c>
      <c r="E11881" s="2">
        <v>0</v>
      </c>
      <c r="F11881" s="2">
        <v>0</v>
      </c>
      <c r="G11881" s="2">
        <v>0</v>
      </c>
      <c r="H11881" s="1" t="s">
        <v>0</v>
      </c>
      <c r="I11881" s="2">
        <v>0</v>
      </c>
      <c r="J11881" s="1">
        <v>45944.652407407404</v>
      </c>
    </row>
    <row r="11882" spans="1:10" x14ac:dyDescent="0.2">
      <c r="A11882" s="4" t="s">
        <v>1</v>
      </c>
      <c r="B1188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82" s="3" t="str">
        <f>HYPERLINK("https://otsuka-europe-crm.veevavault.com/ui/#object/sent_email__v/VBLZ025E82HKGU8", "SE-000287338")</f>
        <v>SE-000287338</v>
      </c>
      <c r="D11882" s="1">
        <v>45971.668252314812</v>
      </c>
      <c r="E11882" s="2">
        <v>1</v>
      </c>
      <c r="F11882" s="2">
        <v>2</v>
      </c>
      <c r="G11882" s="2">
        <v>0</v>
      </c>
      <c r="H11882" s="1" t="s">
        <v>0</v>
      </c>
      <c r="I11882" s="2">
        <v>0</v>
      </c>
      <c r="J11882" s="1">
        <v>45944.65252314815</v>
      </c>
    </row>
    <row r="11883" spans="1:10" x14ac:dyDescent="0.2">
      <c r="A11883" s="4" t="s">
        <v>1</v>
      </c>
      <c r="B1188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83" s="3" t="str">
        <f>HYPERLINK("https://otsuka-europe-crm.veevavault.com/ui/#object/sent_email__v/VBLZ025E82HKGU9", "SE-000287339")</f>
        <v>SE-000287339</v>
      </c>
      <c r="D11883" s="1">
        <v>45948.802743055552</v>
      </c>
      <c r="E11883" s="2">
        <v>1</v>
      </c>
      <c r="F11883" s="2">
        <v>2</v>
      </c>
      <c r="G11883" s="2">
        <v>0</v>
      </c>
      <c r="H11883" s="1" t="s">
        <v>0</v>
      </c>
      <c r="I11883" s="2">
        <v>0</v>
      </c>
      <c r="J11883" s="1">
        <v>45944.652615740742</v>
      </c>
    </row>
    <row r="11884" spans="1:10" x14ac:dyDescent="0.2">
      <c r="A11884" s="4" t="s">
        <v>1</v>
      </c>
      <c r="B1188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84" s="3" t="str">
        <f>HYPERLINK("https://otsuka-europe-crm.veevavault.com/ui/#object/sent_email__v/VBLZ025E82HKGUA", "SE-000287340")</f>
        <v>SE-000287340</v>
      </c>
      <c r="D11884" s="1">
        <v>45945.953668981485</v>
      </c>
      <c r="E11884" s="2">
        <v>1</v>
      </c>
      <c r="F11884" s="2">
        <v>2</v>
      </c>
      <c r="G11884" s="2">
        <v>0</v>
      </c>
      <c r="H11884" s="1" t="s">
        <v>0</v>
      </c>
      <c r="I11884" s="2">
        <v>0</v>
      </c>
      <c r="J11884" s="1">
        <v>45944.652511574073</v>
      </c>
    </row>
    <row r="11885" spans="1:10" x14ac:dyDescent="0.2">
      <c r="A11885" s="4" t="s">
        <v>1</v>
      </c>
      <c r="B1188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85" s="3" t="str">
        <f>HYPERLINK("https://otsuka-europe-crm.veevavault.com/ui/#object/sent_email__v/VBLZ025E82HKGUB", "SE-000287341")</f>
        <v>SE-000287341</v>
      </c>
      <c r="D11885" s="1">
        <v>45950.9687037037</v>
      </c>
      <c r="E11885" s="2">
        <v>1</v>
      </c>
      <c r="F11885" s="2">
        <v>2</v>
      </c>
      <c r="G11885" s="2">
        <v>0</v>
      </c>
      <c r="H11885" s="1" t="s">
        <v>0</v>
      </c>
      <c r="I11885" s="2">
        <v>0</v>
      </c>
      <c r="J11885" s="1">
        <v>45944.652592592596</v>
      </c>
    </row>
    <row r="11886" spans="1:10" x14ac:dyDescent="0.2">
      <c r="A11886" s="4" t="s">
        <v>1</v>
      </c>
      <c r="B1188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86" s="3" t="str">
        <f>HYPERLINK("https://otsuka-europe-crm.veevavault.com/ui/#object/sent_email__v/VBLZ025E82HKGUC", "SE-000287342")</f>
        <v>SE-000287342</v>
      </c>
      <c r="D11886" s="1">
        <v>45945.295428240737</v>
      </c>
      <c r="E11886" s="2">
        <v>1</v>
      </c>
      <c r="F11886" s="2">
        <v>1</v>
      </c>
      <c r="G11886" s="2">
        <v>1</v>
      </c>
      <c r="H11886" s="1">
        <v>45945.295428240737</v>
      </c>
      <c r="I11886" s="2">
        <v>1</v>
      </c>
      <c r="J11886" s="1">
        <v>45944.652488425927</v>
      </c>
    </row>
    <row r="11887" spans="1:10" x14ac:dyDescent="0.2">
      <c r="A11887" s="4" t="s">
        <v>1</v>
      </c>
      <c r="B1188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87" s="3" t="str">
        <f>HYPERLINK("https://otsuka-europe-crm.veevavault.com/ui/#object/sent_email__v/VBLZ025E82HKGUD", "SE-000287343")</f>
        <v>SE-000287343</v>
      </c>
      <c r="D11887" s="1">
        <v>45948.98027777778</v>
      </c>
      <c r="E11887" s="2">
        <v>1</v>
      </c>
      <c r="F11887" s="2">
        <v>2</v>
      </c>
      <c r="G11887" s="2">
        <v>0</v>
      </c>
      <c r="H11887" s="1" t="s">
        <v>0</v>
      </c>
      <c r="I11887" s="2">
        <v>0</v>
      </c>
      <c r="J11887" s="1">
        <v>45944.652604166666</v>
      </c>
    </row>
    <row r="11888" spans="1:10" x14ac:dyDescent="0.2">
      <c r="A11888" s="4" t="s">
        <v>1</v>
      </c>
      <c r="B1188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88" s="3" t="str">
        <f>HYPERLINK("https://otsuka-europe-crm.veevavault.com/ui/#object/sent_email__v/VBLZ025E82HKGUE", "SE-000287344")</f>
        <v>SE-000287344</v>
      </c>
      <c r="D11888" s="1">
        <v>45944.784745370373</v>
      </c>
      <c r="E11888" s="2">
        <v>1</v>
      </c>
      <c r="F11888" s="2">
        <v>5</v>
      </c>
      <c r="G11888" s="2">
        <v>1</v>
      </c>
      <c r="H11888" s="1">
        <v>45944.729016203702</v>
      </c>
      <c r="I11888" s="2">
        <v>5</v>
      </c>
      <c r="J11888" s="1">
        <v>45944.652488425927</v>
      </c>
    </row>
    <row r="11889" spans="1:10" x14ac:dyDescent="0.2">
      <c r="A11889" s="4" t="s">
        <v>1</v>
      </c>
      <c r="B1188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89" s="3" t="str">
        <f>HYPERLINK("https://otsuka-europe-crm.veevavault.com/ui/#object/sent_email__v/VBLZ025E82HKGUF", "SE-000287345")</f>
        <v>SE-000287345</v>
      </c>
      <c r="D11889" s="1" t="s">
        <v>0</v>
      </c>
      <c r="E11889" s="2">
        <v>0</v>
      </c>
      <c r="F11889" s="2">
        <v>0</v>
      </c>
      <c r="G11889" s="2">
        <v>0</v>
      </c>
      <c r="H11889" s="1" t="s">
        <v>0</v>
      </c>
      <c r="I11889" s="2">
        <v>0</v>
      </c>
      <c r="J11889" s="1">
        <v>45944.652569444443</v>
      </c>
    </row>
    <row r="11890" spans="1:10" x14ac:dyDescent="0.2">
      <c r="A11890" s="4" t="s">
        <v>1</v>
      </c>
      <c r="B1189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90" s="3" t="str">
        <f>HYPERLINK("https://otsuka-europe-crm.veevavault.com/ui/#object/sent_email__v/VBLZ025E82HKGUG", "SE-000287346")</f>
        <v>SE-000287346</v>
      </c>
      <c r="D11890" s="1">
        <v>46036.333935185183</v>
      </c>
      <c r="E11890" s="2">
        <v>1</v>
      </c>
      <c r="F11890" s="2">
        <v>2</v>
      </c>
      <c r="G11890" s="2">
        <v>0</v>
      </c>
      <c r="H11890" s="1" t="s">
        <v>0</v>
      </c>
      <c r="I11890" s="2">
        <v>0</v>
      </c>
      <c r="J11890" s="1">
        <v>45944.652453703704</v>
      </c>
    </row>
    <row r="11891" spans="1:10" x14ac:dyDescent="0.2">
      <c r="A11891" s="4" t="s">
        <v>1</v>
      </c>
      <c r="B1189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91" s="3" t="str">
        <f>HYPERLINK("https://otsuka-europe-crm.veevavault.com/ui/#object/sent_email__v/VBLZ025E82HKGUH", "SE-000287347")</f>
        <v>SE-000287347</v>
      </c>
      <c r="D11891" s="1">
        <v>45945.507418981484</v>
      </c>
      <c r="E11891" s="2">
        <v>1</v>
      </c>
      <c r="F11891" s="2">
        <v>1</v>
      </c>
      <c r="G11891" s="2">
        <v>1</v>
      </c>
      <c r="H11891" s="1">
        <v>45945.507418981484</v>
      </c>
      <c r="I11891" s="2">
        <v>1</v>
      </c>
      <c r="J11891" s="1">
        <v>45944.652546296296</v>
      </c>
    </row>
    <row r="11892" spans="1:10" x14ac:dyDescent="0.2">
      <c r="A11892" s="4" t="s">
        <v>1</v>
      </c>
      <c r="B1189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92" s="3" t="str">
        <f>HYPERLINK("https://otsuka-europe-crm.veevavault.com/ui/#object/sent_email__v/VBLZ025E82HKGUI", "SE-000287348")</f>
        <v>SE-000287348</v>
      </c>
      <c r="D11892" s="1">
        <v>45944.661504629628</v>
      </c>
      <c r="E11892" s="2">
        <v>1</v>
      </c>
      <c r="F11892" s="2">
        <v>2</v>
      </c>
      <c r="G11892" s="2">
        <v>0</v>
      </c>
      <c r="H11892" s="1" t="s">
        <v>0</v>
      </c>
      <c r="I11892" s="2">
        <v>0</v>
      </c>
      <c r="J11892" s="1">
        <v>45944.652442129627</v>
      </c>
    </row>
    <row r="11893" spans="1:10" x14ac:dyDescent="0.2">
      <c r="A11893" s="4" t="s">
        <v>1</v>
      </c>
      <c r="B1189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93" s="3" t="str">
        <f>HYPERLINK("https://otsuka-europe-crm.veevavault.com/ui/#object/sent_email__v/VBLZ025E82HKGUJ", "SE-000287349")</f>
        <v>SE-000287349</v>
      </c>
      <c r="D11893" s="1" t="s">
        <v>0</v>
      </c>
      <c r="E11893" s="2">
        <v>0</v>
      </c>
      <c r="F11893" s="2">
        <v>0</v>
      </c>
      <c r="G11893" s="2">
        <v>0</v>
      </c>
      <c r="H11893" s="1" t="s">
        <v>0</v>
      </c>
      <c r="I11893" s="2">
        <v>0</v>
      </c>
      <c r="J11893" s="1">
        <v>45944.652569444443</v>
      </c>
    </row>
    <row r="11894" spans="1:10" x14ac:dyDescent="0.2">
      <c r="A11894" s="4" t="s">
        <v>1</v>
      </c>
      <c r="B1189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94" s="3" t="str">
        <f>HYPERLINK("https://otsuka-europe-crm.veevavault.com/ui/#object/sent_email__v/VBLZ025E82HKGUK", "SE-000287350")</f>
        <v>SE-000287350</v>
      </c>
      <c r="D11894" s="1" t="s">
        <v>0</v>
      </c>
      <c r="E11894" s="2">
        <v>0</v>
      </c>
      <c r="F11894" s="2">
        <v>0</v>
      </c>
      <c r="G11894" s="2">
        <v>0</v>
      </c>
      <c r="H11894" s="1" t="s">
        <v>0</v>
      </c>
      <c r="I11894" s="2">
        <v>0</v>
      </c>
      <c r="J11894" s="1">
        <v>45944.652430555558</v>
      </c>
    </row>
    <row r="11895" spans="1:10" x14ac:dyDescent="0.2">
      <c r="A11895" s="4" t="s">
        <v>1</v>
      </c>
      <c r="B1189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95" s="3" t="str">
        <f>HYPERLINK("https://otsuka-europe-crm.veevavault.com/ui/#object/sent_email__v/VBLZ025E82HKGUL", "SE-000287351")</f>
        <v>SE-000287351</v>
      </c>
      <c r="D11895" s="1">
        <v>45944.710543981484</v>
      </c>
      <c r="E11895" s="2">
        <v>1</v>
      </c>
      <c r="F11895" s="2">
        <v>1</v>
      </c>
      <c r="G11895" s="2">
        <v>0</v>
      </c>
      <c r="H11895" s="1" t="s">
        <v>0</v>
      </c>
      <c r="I11895" s="2">
        <v>0</v>
      </c>
      <c r="J11895" s="1">
        <v>45944.65253472222</v>
      </c>
    </row>
    <row r="11896" spans="1:10" x14ac:dyDescent="0.2">
      <c r="A11896" s="4" t="s">
        <v>1</v>
      </c>
      <c r="B1189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96" s="3" t="str">
        <f>HYPERLINK("https://otsuka-europe-crm.veevavault.com/ui/#object/sent_email__v/VBLZ025E82HKGWL", "SE-000287352")</f>
        <v>SE-000287352</v>
      </c>
      <c r="D11896" s="1" t="s">
        <v>0</v>
      </c>
      <c r="E11896" s="2">
        <v>0</v>
      </c>
      <c r="F11896" s="2">
        <v>0</v>
      </c>
      <c r="G11896" s="2">
        <v>0</v>
      </c>
      <c r="H11896" s="1" t="s">
        <v>0</v>
      </c>
      <c r="I11896" s="2">
        <v>0</v>
      </c>
      <c r="J11896" s="1">
        <v>45944.654999999999</v>
      </c>
    </row>
    <row r="11897" spans="1:10" x14ac:dyDescent="0.2">
      <c r="A11897" s="4" t="s">
        <v>1</v>
      </c>
      <c r="B1189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97" s="3" t="str">
        <f>HYPERLINK("https://otsuka-europe-crm.veevavault.com/ui/#object/sent_email__v/VBLZ025E82HKGWM", "SE-000287353")</f>
        <v>SE-000287353</v>
      </c>
      <c r="D11897" s="1" t="s">
        <v>0</v>
      </c>
      <c r="E11897" s="2">
        <v>0</v>
      </c>
      <c r="F11897" s="2">
        <v>0</v>
      </c>
      <c r="G11897" s="2">
        <v>0</v>
      </c>
      <c r="H11897" s="1" t="s">
        <v>0</v>
      </c>
      <c r="I11897" s="2">
        <v>0</v>
      </c>
      <c r="J11897" s="1">
        <v>45944.655138888891</v>
      </c>
    </row>
    <row r="11898" spans="1:10" x14ac:dyDescent="0.2">
      <c r="A11898" s="4" t="s">
        <v>1</v>
      </c>
      <c r="B1189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98" s="3" t="str">
        <f>HYPERLINK("https://otsuka-europe-crm.veevavault.com/ui/#object/sent_email__v/VBLZ025E82HKGWN", "SE-000287354")</f>
        <v>SE-000287354</v>
      </c>
      <c r="D11898" s="1">
        <v>45944.753391203703</v>
      </c>
      <c r="E11898" s="2">
        <v>1</v>
      </c>
      <c r="F11898" s="2">
        <v>1</v>
      </c>
      <c r="G11898" s="2">
        <v>0</v>
      </c>
      <c r="H11898" s="1" t="s">
        <v>0</v>
      </c>
      <c r="I11898" s="2">
        <v>0</v>
      </c>
      <c r="J11898" s="1">
        <v>45944.654988425929</v>
      </c>
    </row>
    <row r="11899" spans="1:10" x14ac:dyDescent="0.2">
      <c r="A11899" s="4" t="s">
        <v>1</v>
      </c>
      <c r="B1189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899" s="3" t="str">
        <f>HYPERLINK("https://otsuka-europe-crm.veevavault.com/ui/#object/sent_email__v/VBLZ025E82HKGWO", "SE-000287355")</f>
        <v>SE-000287355</v>
      </c>
      <c r="D11899" s="1">
        <v>45944.719872685186</v>
      </c>
      <c r="E11899" s="2">
        <v>1</v>
      </c>
      <c r="F11899" s="2">
        <v>1</v>
      </c>
      <c r="G11899" s="2">
        <v>0</v>
      </c>
      <c r="H11899" s="1" t="s">
        <v>0</v>
      </c>
      <c r="I11899" s="2">
        <v>0</v>
      </c>
      <c r="J11899" s="1">
        <v>45944.655046296299</v>
      </c>
    </row>
    <row r="11900" spans="1:10" x14ac:dyDescent="0.2">
      <c r="A11900" s="4" t="s">
        <v>1</v>
      </c>
      <c r="B1190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00" s="3" t="str">
        <f>HYPERLINK("https://otsuka-europe-crm.veevavault.com/ui/#object/sent_email__v/VBLZ025E82HKGWP", "SE-000287356")</f>
        <v>SE-000287356</v>
      </c>
      <c r="D11900" s="1" t="s">
        <v>0</v>
      </c>
      <c r="E11900" s="2">
        <v>0</v>
      </c>
      <c r="F11900" s="2">
        <v>0</v>
      </c>
      <c r="G11900" s="2">
        <v>0</v>
      </c>
      <c r="H11900" s="1" t="s">
        <v>0</v>
      </c>
      <c r="I11900" s="2">
        <v>0</v>
      </c>
      <c r="J11900" s="1">
        <v>45944.654907407406</v>
      </c>
    </row>
    <row r="11901" spans="1:10" x14ac:dyDescent="0.2">
      <c r="A11901" s="4" t="s">
        <v>1</v>
      </c>
      <c r="B1190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01" s="3" t="str">
        <f>HYPERLINK("https://otsuka-europe-crm.veevavault.com/ui/#object/sent_email__v/VBLZ025E82HKGWQ", "SE-000287357")</f>
        <v>SE-000287357</v>
      </c>
      <c r="D11901" s="1">
        <v>45944.721053240741</v>
      </c>
      <c r="E11901" s="2">
        <v>1</v>
      </c>
      <c r="F11901" s="2">
        <v>2</v>
      </c>
      <c r="G11901" s="2">
        <v>0</v>
      </c>
      <c r="H11901" s="1" t="s">
        <v>0</v>
      </c>
      <c r="I11901" s="2">
        <v>0</v>
      </c>
      <c r="J11901" s="1">
        <v>45944.655057870368</v>
      </c>
    </row>
    <row r="11902" spans="1:10" x14ac:dyDescent="0.2">
      <c r="A11902" s="4" t="s">
        <v>1</v>
      </c>
      <c r="B1190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02" s="3" t="str">
        <f>HYPERLINK("https://otsuka-europe-crm.veevavault.com/ui/#object/sent_email__v/VBLZ025E82HKGWR", "SE-000287358")</f>
        <v>SE-000287358</v>
      </c>
      <c r="D11902" s="1">
        <v>45945.553310185183</v>
      </c>
      <c r="E11902" s="2">
        <v>1</v>
      </c>
      <c r="F11902" s="2">
        <v>17</v>
      </c>
      <c r="G11902" s="2">
        <v>1</v>
      </c>
      <c r="H11902" s="1">
        <v>45945.287534722222</v>
      </c>
      <c r="I11902" s="2">
        <v>2</v>
      </c>
      <c r="J11902" s="1">
        <v>45944.654907407406</v>
      </c>
    </row>
    <row r="11903" spans="1:10" x14ac:dyDescent="0.2">
      <c r="A11903" s="4" t="s">
        <v>1</v>
      </c>
      <c r="B1190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03" s="3" t="str">
        <f>HYPERLINK("https://otsuka-europe-crm.veevavault.com/ui/#object/sent_email__v/VBLZ025E82HKGWS", "SE-000287359")</f>
        <v>SE-000287359</v>
      </c>
      <c r="D11903" s="1">
        <v>45944.683657407404</v>
      </c>
      <c r="E11903" s="2">
        <v>1</v>
      </c>
      <c r="F11903" s="2">
        <v>1</v>
      </c>
      <c r="G11903" s="2">
        <v>0</v>
      </c>
      <c r="H11903" s="1" t="s">
        <v>0</v>
      </c>
      <c r="I11903" s="2">
        <v>0</v>
      </c>
      <c r="J11903" s="1">
        <v>45944.655046296299</v>
      </c>
    </row>
    <row r="11904" spans="1:10" x14ac:dyDescent="0.2">
      <c r="A11904" s="4" t="s">
        <v>1</v>
      </c>
      <c r="B1190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04" s="3" t="str">
        <f>HYPERLINK("https://otsuka-europe-crm.veevavault.com/ui/#object/sent_email__v/VBLZ025E82HKGWT", "SE-000287360")</f>
        <v>SE-000287360</v>
      </c>
      <c r="D11904" s="1">
        <v>45944.667696759258</v>
      </c>
      <c r="E11904" s="2">
        <v>1</v>
      </c>
      <c r="F11904" s="2">
        <v>2</v>
      </c>
      <c r="G11904" s="2">
        <v>1</v>
      </c>
      <c r="H11904" s="1">
        <v>45944.667928240742</v>
      </c>
      <c r="I11904" s="2">
        <v>1</v>
      </c>
      <c r="J11904" s="1">
        <v>45944.654907407406</v>
      </c>
    </row>
    <row r="11905" spans="1:10" x14ac:dyDescent="0.2">
      <c r="A11905" s="4" t="s">
        <v>1</v>
      </c>
      <c r="B1190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05" s="3" t="str">
        <f>HYPERLINK("https://otsuka-europe-crm.veevavault.com/ui/#object/sent_email__v/VBLZ025E82HKGWU", "SE-000287361")</f>
        <v>SE-000287361</v>
      </c>
      <c r="D11905" s="1">
        <v>45944.866898148146</v>
      </c>
      <c r="E11905" s="2">
        <v>1</v>
      </c>
      <c r="F11905" s="2">
        <v>3</v>
      </c>
      <c r="G11905" s="2">
        <v>0</v>
      </c>
      <c r="H11905" s="1" t="s">
        <v>0</v>
      </c>
      <c r="I11905" s="2">
        <v>0</v>
      </c>
      <c r="J11905" s="1">
        <v>45944.655046296299</v>
      </c>
    </row>
    <row r="11906" spans="1:10" x14ac:dyDescent="0.2">
      <c r="A11906" s="4" t="s">
        <v>1</v>
      </c>
      <c r="B1190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06" s="3" t="str">
        <f>HYPERLINK("https://otsuka-europe-crm.veevavault.com/ui/#object/sent_email__v/VBLZ025E82HKGWV", "SE-000287362")</f>
        <v>SE-000287362</v>
      </c>
      <c r="D11906" s="1" t="s">
        <v>0</v>
      </c>
      <c r="E11906" s="2">
        <v>0</v>
      </c>
      <c r="F11906" s="2">
        <v>0</v>
      </c>
      <c r="G11906" s="2">
        <v>0</v>
      </c>
      <c r="H11906" s="1" t="s">
        <v>0</v>
      </c>
      <c r="I11906" s="2">
        <v>0</v>
      </c>
      <c r="J11906" s="1">
        <v>45944.654907407406</v>
      </c>
    </row>
    <row r="11907" spans="1:10" x14ac:dyDescent="0.2">
      <c r="A11907" s="4" t="s">
        <v>1</v>
      </c>
      <c r="B1190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07" s="3" t="str">
        <f>HYPERLINK("https://otsuka-europe-crm.veevavault.com/ui/#object/sent_email__v/VBLZ025E82HKGWW", "SE-000287363")</f>
        <v>SE-000287363</v>
      </c>
      <c r="D11907" s="1">
        <v>45947.431539351855</v>
      </c>
      <c r="E11907" s="2">
        <v>1</v>
      </c>
      <c r="F11907" s="2">
        <v>1</v>
      </c>
      <c r="G11907" s="2">
        <v>0</v>
      </c>
      <c r="H11907" s="1" t="s">
        <v>0</v>
      </c>
      <c r="I11907" s="2">
        <v>0</v>
      </c>
      <c r="J11907" s="1">
        <v>45944.655081018522</v>
      </c>
    </row>
    <row r="11908" spans="1:10" x14ac:dyDescent="0.2">
      <c r="A11908" s="4" t="s">
        <v>1</v>
      </c>
      <c r="B1190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08" s="3" t="str">
        <f>HYPERLINK("https://otsuka-europe-crm.veevavault.com/ui/#object/sent_email__v/VBLZ025E82HKGWX", "SE-000287364")</f>
        <v>SE-000287364</v>
      </c>
      <c r="D11908" s="1">
        <v>45949.26353009259</v>
      </c>
      <c r="E11908" s="2">
        <v>1</v>
      </c>
      <c r="F11908" s="2">
        <v>1</v>
      </c>
      <c r="G11908" s="2">
        <v>0</v>
      </c>
      <c r="H11908" s="1" t="s">
        <v>0</v>
      </c>
      <c r="I11908" s="2">
        <v>0</v>
      </c>
      <c r="J11908" s="1">
        <v>45944.654918981483</v>
      </c>
    </row>
    <row r="11909" spans="1:10" x14ac:dyDescent="0.2">
      <c r="A11909" s="4" t="s">
        <v>1</v>
      </c>
      <c r="B1190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09" s="3" t="str">
        <f>HYPERLINK("https://otsuka-europe-crm.veevavault.com/ui/#object/sent_email__v/VBLZ025E82HKGWY", "SE-000287365")</f>
        <v>SE-000287365</v>
      </c>
      <c r="D11909" s="1" t="s">
        <v>0</v>
      </c>
      <c r="E11909" s="2">
        <v>0</v>
      </c>
      <c r="F11909" s="2">
        <v>0</v>
      </c>
      <c r="G11909" s="2">
        <v>0</v>
      </c>
      <c r="H11909" s="1" t="s">
        <v>0</v>
      </c>
      <c r="I11909" s="2">
        <v>0</v>
      </c>
      <c r="J11909" s="1">
        <v>45944.655069444445</v>
      </c>
    </row>
    <row r="11910" spans="1:10" x14ac:dyDescent="0.2">
      <c r="A11910" s="4" t="s">
        <v>1</v>
      </c>
      <c r="B1191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10" s="3" t="str">
        <f>HYPERLINK("https://otsuka-europe-crm.veevavault.com/ui/#object/sent_email__v/VBLZ025E82HKGWZ", "SE-000287366")</f>
        <v>SE-000287366</v>
      </c>
      <c r="D11910" s="1">
        <v>45963.773333333331</v>
      </c>
      <c r="E11910" s="2">
        <v>1</v>
      </c>
      <c r="F11910" s="2">
        <v>3</v>
      </c>
      <c r="G11910" s="2">
        <v>0</v>
      </c>
      <c r="H11910" s="1" t="s">
        <v>0</v>
      </c>
      <c r="I11910" s="2">
        <v>0</v>
      </c>
      <c r="J11910" s="1">
        <v>45944.654918981483</v>
      </c>
    </row>
    <row r="11911" spans="1:10" x14ac:dyDescent="0.2">
      <c r="A11911" s="4" t="s">
        <v>1</v>
      </c>
      <c r="B1191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11" s="3" t="str">
        <f>HYPERLINK("https://otsuka-europe-crm.veevavault.com/ui/#object/sent_email__v/VBLZ025E82HKGX0", "SE-000287367")</f>
        <v>SE-000287367</v>
      </c>
      <c r="D11911" s="1" t="s">
        <v>0</v>
      </c>
      <c r="E11911" s="2">
        <v>0</v>
      </c>
      <c r="F11911" s="2">
        <v>0</v>
      </c>
      <c r="G11911" s="2">
        <v>0</v>
      </c>
      <c r="H11911" s="1" t="s">
        <v>0</v>
      </c>
      <c r="I11911" s="2">
        <v>0</v>
      </c>
      <c r="J11911" s="1">
        <v>45944.655092592591</v>
      </c>
    </row>
    <row r="11912" spans="1:10" x14ac:dyDescent="0.2">
      <c r="A11912" s="4" t="s">
        <v>1</v>
      </c>
      <c r="B1191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12" s="3" t="str">
        <f>HYPERLINK("https://otsuka-europe-crm.veevavault.com/ui/#object/sent_email__v/VBLZ025E82HKGX1", "SE-000287368")</f>
        <v>SE-000287368</v>
      </c>
      <c r="D11912" s="1" t="s">
        <v>0</v>
      </c>
      <c r="E11912" s="2">
        <v>0</v>
      </c>
      <c r="F11912" s="2">
        <v>0</v>
      </c>
      <c r="G11912" s="2">
        <v>0</v>
      </c>
      <c r="H11912" s="1" t="s">
        <v>0</v>
      </c>
      <c r="I11912" s="2">
        <v>0</v>
      </c>
      <c r="J11912" s="1">
        <v>45944.654965277776</v>
      </c>
    </row>
    <row r="11913" spans="1:10" x14ac:dyDescent="0.2">
      <c r="A11913" s="4" t="s">
        <v>1</v>
      </c>
      <c r="B1191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13" s="3" t="str">
        <f>HYPERLINK("https://otsuka-europe-crm.veevavault.com/ui/#object/sent_email__v/VBLZ025E82HKGX2", "SE-000287369")</f>
        <v>SE-000287369</v>
      </c>
      <c r="D11913" s="1">
        <v>45944.69189814815</v>
      </c>
      <c r="E11913" s="2">
        <v>1</v>
      </c>
      <c r="F11913" s="2">
        <v>1</v>
      </c>
      <c r="G11913" s="2">
        <v>0</v>
      </c>
      <c r="H11913" s="1" t="s">
        <v>0</v>
      </c>
      <c r="I11913" s="2">
        <v>0</v>
      </c>
      <c r="J11913" s="1">
        <v>45944.655115740738</v>
      </c>
    </row>
    <row r="11914" spans="1:10" x14ac:dyDescent="0.2">
      <c r="A11914" s="4" t="s">
        <v>1</v>
      </c>
      <c r="B1191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14" s="3" t="str">
        <f>HYPERLINK("https://otsuka-europe-crm.veevavault.com/ui/#object/sent_email__v/VBLZ025E82HKGX3", "SE-000287370")</f>
        <v>SE-000287370</v>
      </c>
      <c r="D11914" s="1" t="s">
        <v>0</v>
      </c>
      <c r="E11914" s="2">
        <v>0</v>
      </c>
      <c r="F11914" s="2">
        <v>0</v>
      </c>
      <c r="G11914" s="2">
        <v>0</v>
      </c>
      <c r="H11914" s="1" t="s">
        <v>0</v>
      </c>
      <c r="I11914" s="2">
        <v>0</v>
      </c>
      <c r="J11914" s="1">
        <v>45944.654976851853</v>
      </c>
    </row>
    <row r="11915" spans="1:10" x14ac:dyDescent="0.2">
      <c r="A11915" s="4" t="s">
        <v>1</v>
      </c>
      <c r="B1191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15" s="3" t="str">
        <f>HYPERLINK("https://otsuka-europe-crm.veevavault.com/ui/#object/sent_email__v/VBLZ025E82HKGX4", "SE-000287371")</f>
        <v>SE-000287371</v>
      </c>
      <c r="D11915" s="1">
        <v>45949.70113425926</v>
      </c>
      <c r="E11915" s="2">
        <v>1</v>
      </c>
      <c r="F11915" s="2">
        <v>3</v>
      </c>
      <c r="G11915" s="2">
        <v>0</v>
      </c>
      <c r="H11915" s="1" t="s">
        <v>0</v>
      </c>
      <c r="I11915" s="2">
        <v>0</v>
      </c>
      <c r="J11915" s="1">
        <v>45944.654965277776</v>
      </c>
    </row>
    <row r="11916" spans="1:10" x14ac:dyDescent="0.2">
      <c r="A11916" s="4" t="s">
        <v>1</v>
      </c>
      <c r="B1191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16" s="3" t="str">
        <f>HYPERLINK("https://otsuka-europe-crm.veevavault.com/ui/#object/sent_email__v/VBLZ025E82HKGX5", "SE-000287372")</f>
        <v>SE-000287372</v>
      </c>
      <c r="D11916" s="1">
        <v>45944.659629629627</v>
      </c>
      <c r="E11916" s="2">
        <v>1</v>
      </c>
      <c r="F11916" s="2">
        <v>1</v>
      </c>
      <c r="G11916" s="2">
        <v>0</v>
      </c>
      <c r="H11916" s="1" t="s">
        <v>0</v>
      </c>
      <c r="I11916" s="2">
        <v>0</v>
      </c>
      <c r="J11916" s="1">
        <v>45944.655127314814</v>
      </c>
    </row>
    <row r="11917" spans="1:10" x14ac:dyDescent="0.2">
      <c r="A11917" s="4" t="s">
        <v>1</v>
      </c>
      <c r="B1191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17" s="3" t="str">
        <f>HYPERLINK("https://otsuka-europe-crm.veevavault.com/ui/#object/sent_email__v/VBLZ025E82HKGX6", "SE-000287373")</f>
        <v>SE-000287373</v>
      </c>
      <c r="D11917" s="1">
        <v>45944.979467592595</v>
      </c>
      <c r="E11917" s="2">
        <v>1</v>
      </c>
      <c r="F11917" s="2">
        <v>1</v>
      </c>
      <c r="G11917" s="2">
        <v>0</v>
      </c>
      <c r="H11917" s="1" t="s">
        <v>0</v>
      </c>
      <c r="I11917" s="2">
        <v>0</v>
      </c>
      <c r="J11917" s="1">
        <v>45944.654930555553</v>
      </c>
    </row>
    <row r="11918" spans="1:10" x14ac:dyDescent="0.2">
      <c r="A11918" s="4" t="s">
        <v>1</v>
      </c>
      <c r="B1191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18" s="3" t="str">
        <f>HYPERLINK("https://otsuka-europe-crm.veevavault.com/ui/#object/sent_email__v/VBLZ025E82HKGX7", "SE-000287374")</f>
        <v>SE-000287374</v>
      </c>
      <c r="D11918" s="1" t="s">
        <v>0</v>
      </c>
      <c r="E11918" s="2">
        <v>0</v>
      </c>
      <c r="F11918" s="2">
        <v>0</v>
      </c>
      <c r="G11918" s="2">
        <v>0</v>
      </c>
      <c r="H11918" s="1" t="s">
        <v>0</v>
      </c>
      <c r="I11918" s="2">
        <v>0</v>
      </c>
      <c r="J11918" s="1">
        <v>45944.655104166668</v>
      </c>
    </row>
    <row r="11919" spans="1:10" x14ac:dyDescent="0.2">
      <c r="A11919" s="4" t="s">
        <v>1</v>
      </c>
      <c r="B1191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19" s="3" t="str">
        <f>HYPERLINK("https://otsuka-europe-crm.veevavault.com/ui/#object/sent_email__v/VBLZ025E82HKGX8", "SE-000287375")</f>
        <v>SE-000287375</v>
      </c>
      <c r="D11919" s="1" t="s">
        <v>0</v>
      </c>
      <c r="E11919" s="2">
        <v>0</v>
      </c>
      <c r="F11919" s="2">
        <v>0</v>
      </c>
      <c r="G11919" s="2">
        <v>0</v>
      </c>
      <c r="H11919" s="1" t="s">
        <v>0</v>
      </c>
      <c r="I11919" s="2">
        <v>0</v>
      </c>
      <c r="J11919" s="1">
        <v>45944.654918981483</v>
      </c>
    </row>
    <row r="11920" spans="1:10" x14ac:dyDescent="0.2">
      <c r="A11920" s="4" t="s">
        <v>1</v>
      </c>
      <c r="B1192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20" s="3" t="str">
        <f>HYPERLINK("https://otsuka-europe-crm.veevavault.com/ui/#object/sent_email__v/VBLZ025E82HKGX9", "SE-000287376")</f>
        <v>SE-000287376</v>
      </c>
      <c r="D11920" s="1">
        <v>45945.582280092596</v>
      </c>
      <c r="E11920" s="2">
        <v>1</v>
      </c>
      <c r="F11920" s="2">
        <v>3</v>
      </c>
      <c r="G11920" s="2">
        <v>0</v>
      </c>
      <c r="H11920" s="1" t="s">
        <v>0</v>
      </c>
      <c r="I11920" s="2">
        <v>0</v>
      </c>
      <c r="J11920" s="1">
        <v>45944.655081018522</v>
      </c>
    </row>
    <row r="11921" spans="1:10" x14ac:dyDescent="0.2">
      <c r="A11921" s="4" t="s">
        <v>1</v>
      </c>
      <c r="B1192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21" s="3" t="str">
        <f>HYPERLINK("https://otsuka-europe-crm.veevavault.com/ui/#object/sent_email__v/VBLZ025E82HKGXA", "SE-000287377")</f>
        <v>SE-000287377</v>
      </c>
      <c r="D11921" s="1">
        <v>45957.730613425927</v>
      </c>
      <c r="E11921" s="2">
        <v>1</v>
      </c>
      <c r="F11921" s="2">
        <v>4</v>
      </c>
      <c r="G11921" s="2">
        <v>1</v>
      </c>
      <c r="H11921" s="1">
        <v>45950.371666666666</v>
      </c>
      <c r="I11921" s="2">
        <v>1</v>
      </c>
      <c r="J11921" s="1">
        <v>45944.655173611114</v>
      </c>
    </row>
    <row r="11922" spans="1:10" x14ac:dyDescent="0.2">
      <c r="A11922" s="4" t="s">
        <v>1</v>
      </c>
      <c r="B1192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22" s="3" t="str">
        <f>HYPERLINK("https://otsuka-europe-crm.veevavault.com/ui/#object/sent_email__v/VBLZ025E82HKGXB", "SE-000287378")</f>
        <v>SE-000287378</v>
      </c>
      <c r="D11922" s="1" t="s">
        <v>0</v>
      </c>
      <c r="E11922" s="2">
        <v>0</v>
      </c>
      <c r="F11922" s="2">
        <v>0</v>
      </c>
      <c r="G11922" s="2">
        <v>0</v>
      </c>
      <c r="H11922" s="1" t="s">
        <v>0</v>
      </c>
      <c r="I11922" s="2">
        <v>0</v>
      </c>
      <c r="J11922" s="1">
        <v>45944.655011574076</v>
      </c>
    </row>
    <row r="11923" spans="1:10" x14ac:dyDescent="0.2">
      <c r="A11923" s="4" t="s">
        <v>1</v>
      </c>
      <c r="B1192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23" s="3" t="str">
        <f>HYPERLINK("https://otsuka-europe-crm.veevavault.com/ui/#object/sent_email__v/VBLZ025E82HKGXC", "SE-000287379")</f>
        <v>SE-000287379</v>
      </c>
      <c r="D11923" s="1">
        <v>45944.680949074071</v>
      </c>
      <c r="E11923" s="2">
        <v>1</v>
      </c>
      <c r="F11923" s="2">
        <v>2</v>
      </c>
      <c r="G11923" s="2">
        <v>0</v>
      </c>
      <c r="H11923" s="1" t="s">
        <v>0</v>
      </c>
      <c r="I11923" s="2">
        <v>0</v>
      </c>
      <c r="J11923" s="1">
        <v>45944.655162037037</v>
      </c>
    </row>
    <row r="11924" spans="1:10" x14ac:dyDescent="0.2">
      <c r="A11924" s="4" t="s">
        <v>1</v>
      </c>
      <c r="B1192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24" s="3" t="str">
        <f>HYPERLINK("https://otsuka-europe-crm.veevavault.com/ui/#object/sent_email__v/VBLZ025E82HKGXD", "SE-000287380")</f>
        <v>SE-000287380</v>
      </c>
      <c r="D11924" s="1" t="s">
        <v>0</v>
      </c>
      <c r="E11924" s="2">
        <v>0</v>
      </c>
      <c r="F11924" s="2">
        <v>0</v>
      </c>
      <c r="G11924" s="2">
        <v>0</v>
      </c>
      <c r="H11924" s="1" t="s">
        <v>0</v>
      </c>
      <c r="I11924" s="2">
        <v>0</v>
      </c>
      <c r="J11924" s="1">
        <v>45944.655023148145</v>
      </c>
    </row>
    <row r="11925" spans="1:10" x14ac:dyDescent="0.2">
      <c r="A11925" s="4" t="s">
        <v>1</v>
      </c>
      <c r="B1192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25" s="3" t="str">
        <f>HYPERLINK("https://otsuka-europe-crm.veevavault.com/ui/#object/sent_email__v/VBLZ025E82HKGXE", "SE-000287381")</f>
        <v>SE-000287381</v>
      </c>
      <c r="D11925" s="1" t="s">
        <v>0</v>
      </c>
      <c r="E11925" s="2">
        <v>0</v>
      </c>
      <c r="F11925" s="2">
        <v>0</v>
      </c>
      <c r="G11925" s="2">
        <v>0</v>
      </c>
      <c r="H11925" s="1" t="s">
        <v>0</v>
      </c>
      <c r="I11925" s="2">
        <v>0</v>
      </c>
      <c r="J11925" s="1">
        <v>45944.655185185184</v>
      </c>
    </row>
    <row r="11926" spans="1:10" x14ac:dyDescent="0.2">
      <c r="A11926" s="4" t="s">
        <v>1</v>
      </c>
      <c r="B1192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26" s="3" t="str">
        <f>HYPERLINK("https://otsuka-europe-crm.veevavault.com/ui/#object/sent_email__v/VBLZ025E82HKGXF", "SE-000287382")</f>
        <v>SE-000287382</v>
      </c>
      <c r="D11926" s="1" t="s">
        <v>0</v>
      </c>
      <c r="E11926" s="2">
        <v>0</v>
      </c>
      <c r="F11926" s="2">
        <v>0</v>
      </c>
      <c r="G11926" s="2">
        <v>0</v>
      </c>
      <c r="H11926" s="1" t="s">
        <v>0</v>
      </c>
      <c r="I11926" s="2">
        <v>0</v>
      </c>
      <c r="J11926" s="1">
        <v>45944.654976851853</v>
      </c>
    </row>
    <row r="11927" spans="1:10" x14ac:dyDescent="0.2">
      <c r="A11927" s="4" t="s">
        <v>1</v>
      </c>
      <c r="B1192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27" s="3" t="str">
        <f>HYPERLINK("https://otsuka-europe-crm.veevavault.com/ui/#object/sent_email__v/VBLZ025E82HKGXG", "SE-000287383")</f>
        <v>SE-000287383</v>
      </c>
      <c r="D11927" s="1" t="s">
        <v>0</v>
      </c>
      <c r="E11927" s="2">
        <v>0</v>
      </c>
      <c r="F11927" s="2">
        <v>0</v>
      </c>
      <c r="G11927" s="2">
        <v>0</v>
      </c>
      <c r="H11927" s="1" t="s">
        <v>0</v>
      </c>
      <c r="I11927" s="2">
        <v>0</v>
      </c>
      <c r="J11927" s="1">
        <v>45944.655127314814</v>
      </c>
    </row>
    <row r="11928" spans="1:10" x14ac:dyDescent="0.2">
      <c r="A11928" s="4" t="s">
        <v>1</v>
      </c>
      <c r="B1192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28" s="3" t="str">
        <f>HYPERLINK("https://otsuka-europe-crm.veevavault.com/ui/#object/sent_email__v/VBLZ025E82HKGXH", "SE-000287384")</f>
        <v>SE-000287384</v>
      </c>
      <c r="D11928" s="1">
        <v>45949.693171296298</v>
      </c>
      <c r="E11928" s="2">
        <v>1</v>
      </c>
      <c r="F11928" s="2">
        <v>2</v>
      </c>
      <c r="G11928" s="2">
        <v>0</v>
      </c>
      <c r="H11928" s="1" t="s">
        <v>0</v>
      </c>
      <c r="I11928" s="2">
        <v>0</v>
      </c>
      <c r="J11928" s="1">
        <v>45944.655034722222</v>
      </c>
    </row>
    <row r="11929" spans="1:10" x14ac:dyDescent="0.2">
      <c r="A11929" s="4" t="s">
        <v>1</v>
      </c>
      <c r="B1192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29" s="3" t="str">
        <f>HYPERLINK("https://otsuka-europe-crm.veevavault.com/ui/#object/sent_email__v/VBLZ025E82HKGXI", "SE-000287385")</f>
        <v>SE-000287385</v>
      </c>
      <c r="D11929" s="1" t="s">
        <v>0</v>
      </c>
      <c r="E11929" s="2">
        <v>0</v>
      </c>
      <c r="F11929" s="2">
        <v>0</v>
      </c>
      <c r="G11929" s="2">
        <v>0</v>
      </c>
      <c r="H11929" s="1" t="s">
        <v>0</v>
      </c>
      <c r="I11929" s="2">
        <v>0</v>
      </c>
      <c r="J11929" s="1">
        <v>45944.65519675926</v>
      </c>
    </row>
    <row r="11930" spans="1:10" x14ac:dyDescent="0.2">
      <c r="A11930" s="4" t="s">
        <v>1</v>
      </c>
      <c r="B1193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30" s="3" t="str">
        <f>HYPERLINK("https://otsuka-europe-crm.veevavault.com/ui/#object/sent_email__v/VBLZ025E82HKGXJ", "SE-000287386")</f>
        <v>SE-000287386</v>
      </c>
      <c r="D11930" s="1" t="s">
        <v>0</v>
      </c>
      <c r="E11930" s="2">
        <v>0</v>
      </c>
      <c r="F11930" s="2">
        <v>0</v>
      </c>
      <c r="G11930" s="2">
        <v>0</v>
      </c>
      <c r="H11930" s="1" t="s">
        <v>0</v>
      </c>
      <c r="I11930" s="2">
        <v>0</v>
      </c>
      <c r="J11930" s="1">
        <v>45944.655034722222</v>
      </c>
    </row>
    <row r="11931" spans="1:10" x14ac:dyDescent="0.2">
      <c r="A11931" s="4" t="s">
        <v>1</v>
      </c>
      <c r="B1193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31" s="3" t="str">
        <f>HYPERLINK("https://otsuka-europe-crm.veevavault.com/ui/#object/sent_email__v/VBLZ025E82HKGXK", "SE-000287387")</f>
        <v>SE-000287387</v>
      </c>
      <c r="D11931" s="1">
        <v>45944.655613425923</v>
      </c>
      <c r="E11931" s="2">
        <v>1</v>
      </c>
      <c r="F11931" s="2">
        <v>1</v>
      </c>
      <c r="G11931" s="2">
        <v>0</v>
      </c>
      <c r="H11931" s="1" t="s">
        <v>0</v>
      </c>
      <c r="I11931" s="2">
        <v>0</v>
      </c>
      <c r="J11931" s="1">
        <v>45944.65519675926</v>
      </c>
    </row>
    <row r="11932" spans="1:10" x14ac:dyDescent="0.2">
      <c r="A11932" s="4" t="s">
        <v>1</v>
      </c>
      <c r="B1193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32" s="3" t="str">
        <f>HYPERLINK("https://otsuka-europe-crm.veevavault.com/ui/#object/sent_email__v/VBLZ025E82HKGXL", "SE-000287388")</f>
        <v>SE-000287388</v>
      </c>
      <c r="D11932" s="1">
        <v>45982.231516203705</v>
      </c>
      <c r="E11932" s="2">
        <v>1</v>
      </c>
      <c r="F11932" s="2">
        <v>3</v>
      </c>
      <c r="G11932" s="2">
        <v>1</v>
      </c>
      <c r="H11932" s="1">
        <v>45944.672071759262</v>
      </c>
      <c r="I11932" s="2">
        <v>1</v>
      </c>
      <c r="J11932" s="1">
        <v>45944.654999999999</v>
      </c>
    </row>
    <row r="11933" spans="1:10" x14ac:dyDescent="0.2">
      <c r="A11933" s="4" t="s">
        <v>1</v>
      </c>
      <c r="B1193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33" s="3" t="str">
        <f>HYPERLINK("https://otsuka-europe-crm.veevavault.com/ui/#object/sent_email__v/VBLZ025E82HKGXM", "SE-000287389")</f>
        <v>SE-000287389</v>
      </c>
      <c r="D11933" s="1" t="s">
        <v>0</v>
      </c>
      <c r="E11933" s="2">
        <v>0</v>
      </c>
      <c r="F11933" s="2">
        <v>0</v>
      </c>
      <c r="G11933" s="2">
        <v>0</v>
      </c>
      <c r="H11933" s="1" t="s">
        <v>0</v>
      </c>
      <c r="I11933" s="2">
        <v>0</v>
      </c>
      <c r="J11933" s="1">
        <v>45944.655150462961</v>
      </c>
    </row>
    <row r="11934" spans="1:10" x14ac:dyDescent="0.2">
      <c r="A11934" s="4" t="s">
        <v>1</v>
      </c>
      <c r="B1193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34" s="3" t="str">
        <f>HYPERLINK("https://otsuka-europe-crm.veevavault.com/ui/#object/sent_email__v/VBLZ025E82HKGXN", "SE-000287390")</f>
        <v>SE-000287390</v>
      </c>
      <c r="D11934" s="1">
        <v>45944.669224537036</v>
      </c>
      <c r="E11934" s="2">
        <v>1</v>
      </c>
      <c r="F11934" s="2">
        <v>2</v>
      </c>
      <c r="G11934" s="2">
        <v>0</v>
      </c>
      <c r="H11934" s="1" t="s">
        <v>0</v>
      </c>
      <c r="I11934" s="2">
        <v>0</v>
      </c>
      <c r="J11934" s="1">
        <v>45944.654999999999</v>
      </c>
    </row>
    <row r="11935" spans="1:10" x14ac:dyDescent="0.2">
      <c r="A11935" s="4" t="s">
        <v>1</v>
      </c>
      <c r="B1193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35" s="3" t="str">
        <f>HYPERLINK("https://otsuka-europe-crm.veevavault.com/ui/#object/sent_email__v/VBLZ025E82HKGXO", "SE-000287391")</f>
        <v>SE-000287391</v>
      </c>
      <c r="D11935" s="1">
        <v>45944.694907407407</v>
      </c>
      <c r="E11935" s="2">
        <v>1</v>
      </c>
      <c r="F11935" s="2">
        <v>1</v>
      </c>
      <c r="G11935" s="2">
        <v>0</v>
      </c>
      <c r="H11935" s="1" t="s">
        <v>0</v>
      </c>
      <c r="I11935" s="2">
        <v>0</v>
      </c>
      <c r="J11935" s="1">
        <v>45944.655185185184</v>
      </c>
    </row>
    <row r="11936" spans="1:10" x14ac:dyDescent="0.2">
      <c r="A11936" s="4" t="s">
        <v>1</v>
      </c>
      <c r="B1193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36" s="3" t="str">
        <f>HYPERLINK("https://otsuka-europe-crm.veevavault.com/ui/#object/sent_email__v/VBLZ025E82HPN0L", "SE-000288604")</f>
        <v>SE-000288604</v>
      </c>
      <c r="D11936" s="1" t="s">
        <v>0</v>
      </c>
      <c r="E11936" s="2">
        <v>0</v>
      </c>
      <c r="F11936" s="2">
        <v>0</v>
      </c>
      <c r="G11936" s="2">
        <v>0</v>
      </c>
      <c r="H11936" s="1" t="s">
        <v>0</v>
      </c>
      <c r="I11936" s="2">
        <v>0</v>
      </c>
      <c r="J11936" s="1">
        <v>45950.697569444441</v>
      </c>
    </row>
    <row r="11937" spans="1:10" x14ac:dyDescent="0.2">
      <c r="A11937" s="4" t="s">
        <v>1</v>
      </c>
      <c r="B1193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37" s="3" t="str">
        <f>HYPERLINK("https://otsuka-europe-crm.veevavault.com/ui/#object/sent_email__v/VBLZ025E82HPN0M", "SE-000288605")</f>
        <v>SE-000288605</v>
      </c>
      <c r="D11937" s="1" t="s">
        <v>0</v>
      </c>
      <c r="E11937" s="2">
        <v>0</v>
      </c>
      <c r="F11937" s="2">
        <v>0</v>
      </c>
      <c r="G11937" s="2">
        <v>0</v>
      </c>
      <c r="H11937" s="1" t="s">
        <v>0</v>
      </c>
      <c r="I11937" s="2">
        <v>0</v>
      </c>
      <c r="J11937" s="1">
        <v>45950.697650462964</v>
      </c>
    </row>
    <row r="11938" spans="1:10" x14ac:dyDescent="0.2">
      <c r="A11938" s="4" t="s">
        <v>1</v>
      </c>
      <c r="B1193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38" s="3" t="str">
        <f>HYPERLINK("https://otsuka-europe-crm.veevavault.com/ui/#object/sent_email__v/VBLZ025E82HPN0N", "SE-000288606")</f>
        <v>SE-000288606</v>
      </c>
      <c r="D11938" s="1" t="s">
        <v>0</v>
      </c>
      <c r="E11938" s="2">
        <v>0</v>
      </c>
      <c r="F11938" s="2">
        <v>0</v>
      </c>
      <c r="G11938" s="2">
        <v>0</v>
      </c>
      <c r="H11938" s="1" t="s">
        <v>0</v>
      </c>
      <c r="I11938" s="2">
        <v>0</v>
      </c>
      <c r="J11938" s="1">
        <v>45950.697511574072</v>
      </c>
    </row>
    <row r="11939" spans="1:10" x14ac:dyDescent="0.2">
      <c r="A11939" s="4" t="s">
        <v>1</v>
      </c>
      <c r="B1193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39" s="3" t="str">
        <f>HYPERLINK("https://otsuka-europe-crm.veevavault.com/ui/#object/sent_email__v/VBLZ025E82HPN0O", "SE-000288607")</f>
        <v>SE-000288607</v>
      </c>
      <c r="D11939" s="1">
        <v>45950.763738425929</v>
      </c>
      <c r="E11939" s="2">
        <v>1</v>
      </c>
      <c r="F11939" s="2">
        <v>1</v>
      </c>
      <c r="G11939" s="2">
        <v>0</v>
      </c>
      <c r="H11939" s="1" t="s">
        <v>0</v>
      </c>
      <c r="I11939" s="2">
        <v>0</v>
      </c>
      <c r="J11939" s="1">
        <v>45950.697731481479</v>
      </c>
    </row>
    <row r="11940" spans="1:10" x14ac:dyDescent="0.2">
      <c r="A11940" s="4" t="s">
        <v>1</v>
      </c>
      <c r="B1194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40" s="3" t="str">
        <f>HYPERLINK("https://otsuka-europe-crm.veevavault.com/ui/#object/sent_email__v/VBLZ025E82HPN0P", "SE-000288608")</f>
        <v>SE-000288608</v>
      </c>
      <c r="D11940" s="1" t="s">
        <v>0</v>
      </c>
      <c r="E11940" s="2">
        <v>0</v>
      </c>
      <c r="F11940" s="2">
        <v>0</v>
      </c>
      <c r="G11940" s="2">
        <v>0</v>
      </c>
      <c r="H11940" s="1" t="s">
        <v>0</v>
      </c>
      <c r="I11940" s="2">
        <v>0</v>
      </c>
      <c r="J11940" s="1">
        <v>45950.697581018518</v>
      </c>
    </row>
    <row r="11941" spans="1:10" x14ac:dyDescent="0.2">
      <c r="A11941" s="4" t="s">
        <v>1</v>
      </c>
      <c r="B1194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41" s="3" t="str">
        <f>HYPERLINK("https://otsuka-europe-crm.veevavault.com/ui/#object/sent_email__v/VBLZ025E82HPN0Q", "SE-000288609")</f>
        <v>SE-000288609</v>
      </c>
      <c r="D11941" s="1" t="s">
        <v>0</v>
      </c>
      <c r="E11941" s="2">
        <v>0</v>
      </c>
      <c r="F11941" s="2">
        <v>0</v>
      </c>
      <c r="G11941" s="2">
        <v>0</v>
      </c>
      <c r="H11941" s="1" t="s">
        <v>0</v>
      </c>
      <c r="I11941" s="2">
        <v>0</v>
      </c>
      <c r="J11941" s="1">
        <v>45950.697523148148</v>
      </c>
    </row>
    <row r="11942" spans="1:10" x14ac:dyDescent="0.2">
      <c r="A11942" s="4" t="s">
        <v>1</v>
      </c>
      <c r="B1194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42" s="3" t="str">
        <f>HYPERLINK("https://otsuka-europe-crm.veevavault.com/ui/#object/sent_email__v/VBLZ025E82HPN0R", "SE-000288610")</f>
        <v>SE-000288610</v>
      </c>
      <c r="D11942" s="1" t="s">
        <v>0</v>
      </c>
      <c r="E11942" s="2">
        <v>0</v>
      </c>
      <c r="F11942" s="2">
        <v>0</v>
      </c>
      <c r="G11942" s="2">
        <v>0</v>
      </c>
      <c r="H11942" s="1" t="s">
        <v>0</v>
      </c>
      <c r="I11942" s="2">
        <v>0</v>
      </c>
      <c r="J11942" s="1">
        <v>45950.69767361111</v>
      </c>
    </row>
    <row r="11943" spans="1:10" x14ac:dyDescent="0.2">
      <c r="A11943" s="4" t="s">
        <v>1</v>
      </c>
      <c r="B1194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43" s="3" t="str">
        <f>HYPERLINK("https://otsuka-europe-crm.veevavault.com/ui/#object/sent_email__v/VBLZ025E82HPN0S", "SE-000288611")</f>
        <v>SE-000288611</v>
      </c>
      <c r="D11943" s="1" t="s">
        <v>0</v>
      </c>
      <c r="E11943" s="2">
        <v>0</v>
      </c>
      <c r="F11943" s="2">
        <v>0</v>
      </c>
      <c r="G11943" s="2">
        <v>0</v>
      </c>
      <c r="H11943" s="1" t="s">
        <v>0</v>
      </c>
      <c r="I11943" s="2">
        <v>0</v>
      </c>
      <c r="J11943" s="1">
        <v>45950.698449074072</v>
      </c>
    </row>
    <row r="11944" spans="1:10" x14ac:dyDescent="0.2">
      <c r="A11944" s="4" t="s">
        <v>1</v>
      </c>
      <c r="B1194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44" s="3" t="str">
        <f>HYPERLINK("https://otsuka-europe-crm.veevavault.com/ui/#object/sent_email__v/VBLZ025E82HPN0T", "SE-000288612")</f>
        <v>SE-000288612</v>
      </c>
      <c r="D11944" s="1" t="s">
        <v>0</v>
      </c>
      <c r="E11944" s="2">
        <v>0</v>
      </c>
      <c r="F11944" s="2">
        <v>0</v>
      </c>
      <c r="G11944" s="2">
        <v>0</v>
      </c>
      <c r="H11944" s="1" t="s">
        <v>0</v>
      </c>
      <c r="I11944" s="2">
        <v>0</v>
      </c>
      <c r="J11944" s="1">
        <v>45950.697662037041</v>
      </c>
    </row>
    <row r="11945" spans="1:10" x14ac:dyDescent="0.2">
      <c r="A11945" s="4" t="s">
        <v>1</v>
      </c>
      <c r="B1194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45" s="3" t="str">
        <f>HYPERLINK("https://otsuka-europe-crm.veevavault.com/ui/#object/sent_email__v/VBLZ025E82HPN0U", "SE-000288613")</f>
        <v>SE-000288613</v>
      </c>
      <c r="D11945" s="1">
        <v>45950.925092592595</v>
      </c>
      <c r="E11945" s="2">
        <v>1</v>
      </c>
      <c r="F11945" s="2">
        <v>1</v>
      </c>
      <c r="G11945" s="2">
        <v>0</v>
      </c>
      <c r="H11945" s="1" t="s">
        <v>0</v>
      </c>
      <c r="I11945" s="2">
        <v>0</v>
      </c>
      <c r="J11945" s="1">
        <v>45950.697523148148</v>
      </c>
    </row>
    <row r="11946" spans="1:10" x14ac:dyDescent="0.2">
      <c r="A11946" s="4" t="s">
        <v>1</v>
      </c>
      <c r="B1194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46" s="3" t="str">
        <f>HYPERLINK("https://otsuka-europe-crm.veevavault.com/ui/#object/sent_email__v/VBLZ025E82HPN0V", "SE-000288614")</f>
        <v>SE-000288614</v>
      </c>
      <c r="D11946" s="1" t="s">
        <v>0</v>
      </c>
      <c r="E11946" s="2">
        <v>0</v>
      </c>
      <c r="F11946" s="2">
        <v>0</v>
      </c>
      <c r="G11946" s="2">
        <v>0</v>
      </c>
      <c r="H11946" s="1" t="s">
        <v>0</v>
      </c>
      <c r="I11946" s="2">
        <v>0</v>
      </c>
      <c r="J11946" s="1">
        <v>45950.697685185187</v>
      </c>
    </row>
    <row r="11947" spans="1:10" x14ac:dyDescent="0.2">
      <c r="A11947" s="4" t="s">
        <v>1</v>
      </c>
      <c r="B1194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47" s="3" t="str">
        <f>HYPERLINK("https://otsuka-europe-crm.veevavault.com/ui/#object/sent_email__v/VBLZ025E82HPN0W", "SE-000288615")</f>
        <v>SE-000288615</v>
      </c>
      <c r="D11947" s="1" t="s">
        <v>0</v>
      </c>
      <c r="E11947" s="2">
        <v>0</v>
      </c>
      <c r="F11947" s="2">
        <v>0</v>
      </c>
      <c r="G11947" s="2">
        <v>0</v>
      </c>
      <c r="H11947" s="1" t="s">
        <v>0</v>
      </c>
      <c r="I11947" s="2">
        <v>0</v>
      </c>
      <c r="J11947" s="1">
        <v>45950.697534722225</v>
      </c>
    </row>
    <row r="11948" spans="1:10" x14ac:dyDescent="0.2">
      <c r="A11948" s="4" t="s">
        <v>1</v>
      </c>
      <c r="B1194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48" s="3" t="str">
        <f>HYPERLINK("https://otsuka-europe-crm.veevavault.com/ui/#object/sent_email__v/VBLZ025E82HPN0X", "SE-000288616")</f>
        <v>SE-000288616</v>
      </c>
      <c r="D11948" s="1" t="s">
        <v>0</v>
      </c>
      <c r="E11948" s="2">
        <v>0</v>
      </c>
      <c r="F11948" s="2">
        <v>0</v>
      </c>
      <c r="G11948" s="2">
        <v>0</v>
      </c>
      <c r="H11948" s="1" t="s">
        <v>0</v>
      </c>
      <c r="I11948" s="2">
        <v>0</v>
      </c>
      <c r="J11948" s="1">
        <v>45950.697777777779</v>
      </c>
    </row>
    <row r="11949" spans="1:10" x14ac:dyDescent="0.2">
      <c r="A11949" s="4" t="s">
        <v>1</v>
      </c>
      <c r="B1194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49" s="3" t="str">
        <f>HYPERLINK("https://otsuka-europe-crm.veevavault.com/ui/#object/sent_email__v/VBLZ025E82HPN0Y", "SE-000288617")</f>
        <v>SE-000288617</v>
      </c>
      <c r="D11949" s="1" t="s">
        <v>0</v>
      </c>
      <c r="E11949" s="2">
        <v>0</v>
      </c>
      <c r="F11949" s="2">
        <v>0</v>
      </c>
      <c r="G11949" s="2">
        <v>0</v>
      </c>
      <c r="H11949" s="1" t="s">
        <v>0</v>
      </c>
      <c r="I11949" s="2">
        <v>0</v>
      </c>
      <c r="J11949" s="1">
        <v>45950.697627314818</v>
      </c>
    </row>
    <row r="11950" spans="1:10" x14ac:dyDescent="0.2">
      <c r="A11950" s="4" t="s">
        <v>1</v>
      </c>
      <c r="B1195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50" s="3" t="str">
        <f>HYPERLINK("https://otsuka-europe-crm.veevavault.com/ui/#object/sent_email__v/VBLZ025E82HPN0Z", "SE-000288618")</f>
        <v>SE-000288618</v>
      </c>
      <c r="D11950" s="1">
        <v>45969.443726851852</v>
      </c>
      <c r="E11950" s="2">
        <v>1</v>
      </c>
      <c r="F11950" s="2">
        <v>1</v>
      </c>
      <c r="G11950" s="2">
        <v>0</v>
      </c>
      <c r="H11950" s="1" t="s">
        <v>0</v>
      </c>
      <c r="I11950" s="2">
        <v>0</v>
      </c>
      <c r="J11950" s="1">
        <v>45950.697766203702</v>
      </c>
    </row>
    <row r="11951" spans="1:10" x14ac:dyDescent="0.2">
      <c r="A11951" s="4" t="s">
        <v>1</v>
      </c>
      <c r="B1195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51" s="3" t="str">
        <f>HYPERLINK("https://otsuka-europe-crm.veevavault.com/ui/#object/sent_email__v/VBLZ025E82HPN10", "SE-000288619")</f>
        <v>SE-000288619</v>
      </c>
      <c r="D11951" s="1" t="s">
        <v>0</v>
      </c>
      <c r="E11951" s="2">
        <v>0</v>
      </c>
      <c r="F11951" s="2">
        <v>0</v>
      </c>
      <c r="G11951" s="2">
        <v>0</v>
      </c>
      <c r="H11951" s="1" t="s">
        <v>0</v>
      </c>
      <c r="I11951" s="2">
        <v>0</v>
      </c>
      <c r="J11951" s="1">
        <v>45950.697615740741</v>
      </c>
    </row>
    <row r="11952" spans="1:10" x14ac:dyDescent="0.2">
      <c r="A11952" s="4" t="s">
        <v>1</v>
      </c>
      <c r="B1195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52" s="3" t="str">
        <f>HYPERLINK("https://otsuka-europe-crm.veevavault.com/ui/#object/sent_email__v/VBLZ025E82HPN11", "SE-000288620")</f>
        <v>SE-000288620</v>
      </c>
      <c r="D11952" s="1" t="s">
        <v>0</v>
      </c>
      <c r="E11952" s="2">
        <v>0</v>
      </c>
      <c r="F11952" s="2">
        <v>0</v>
      </c>
      <c r="G11952" s="2">
        <v>0</v>
      </c>
      <c r="H11952" s="1" t="s">
        <v>0</v>
      </c>
      <c r="I11952" s="2">
        <v>0</v>
      </c>
      <c r="J11952" s="1">
        <v>45950.697766203702</v>
      </c>
    </row>
    <row r="11953" spans="1:10" x14ac:dyDescent="0.2">
      <c r="A11953" s="4" t="s">
        <v>1</v>
      </c>
      <c r="B1195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53" s="3" t="str">
        <f>HYPERLINK("https://otsuka-europe-crm.veevavault.com/ui/#object/sent_email__v/VBLZ025E82HPN12", "SE-000288621")</f>
        <v>SE-000288621</v>
      </c>
      <c r="D11953" s="1" t="s">
        <v>0</v>
      </c>
      <c r="E11953" s="2">
        <v>0</v>
      </c>
      <c r="F11953" s="2">
        <v>0</v>
      </c>
      <c r="G11953" s="2">
        <v>0</v>
      </c>
      <c r="H11953" s="1" t="s">
        <v>0</v>
      </c>
      <c r="I11953" s="2">
        <v>0</v>
      </c>
      <c r="J11953" s="1">
        <v>45950.697604166664</v>
      </c>
    </row>
    <row r="11954" spans="1:10" x14ac:dyDescent="0.2">
      <c r="A11954" s="4" t="s">
        <v>1</v>
      </c>
      <c r="B1195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54" s="3" t="str">
        <f>HYPERLINK("https://otsuka-europe-crm.veevavault.com/ui/#object/sent_email__v/VBLZ025E82HPN13", "SE-000288622")</f>
        <v>SE-000288622</v>
      </c>
      <c r="D11954" s="1" t="s">
        <v>0</v>
      </c>
      <c r="E11954" s="2">
        <v>0</v>
      </c>
      <c r="F11954" s="2">
        <v>0</v>
      </c>
      <c r="G11954" s="2">
        <v>0</v>
      </c>
      <c r="H11954" s="1" t="s">
        <v>0</v>
      </c>
      <c r="I11954" s="2">
        <v>0</v>
      </c>
      <c r="J11954" s="1">
        <v>45950.697743055556</v>
      </c>
    </row>
    <row r="11955" spans="1:10" x14ac:dyDescent="0.2">
      <c r="A11955" s="4" t="s">
        <v>1</v>
      </c>
      <c r="B1195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55" s="3" t="str">
        <f>HYPERLINK("https://otsuka-europe-crm.veevavault.com/ui/#object/sent_email__v/VBLZ025E82HPN14", "SE-000288623")</f>
        <v>SE-000288623</v>
      </c>
      <c r="D11955" s="1" t="s">
        <v>0</v>
      </c>
      <c r="E11955" s="2">
        <v>0</v>
      </c>
      <c r="F11955" s="2">
        <v>0</v>
      </c>
      <c r="G11955" s="2">
        <v>0</v>
      </c>
      <c r="H11955" s="1" t="s">
        <v>0</v>
      </c>
      <c r="I11955" s="2">
        <v>0</v>
      </c>
      <c r="J11955" s="1">
        <v>45950.697604166664</v>
      </c>
    </row>
    <row r="11956" spans="1:10" x14ac:dyDescent="0.2">
      <c r="A11956" s="4" t="s">
        <v>1</v>
      </c>
      <c r="B1195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56" s="3" t="str">
        <f>HYPERLINK("https://otsuka-europe-crm.veevavault.com/ui/#object/sent_email__v/VBLZ025E82HPN15", "SE-000288624")</f>
        <v>SE-000288624</v>
      </c>
      <c r="D11956" s="1" t="s">
        <v>0</v>
      </c>
      <c r="E11956" s="2">
        <v>0</v>
      </c>
      <c r="F11956" s="2">
        <v>0</v>
      </c>
      <c r="G11956" s="2">
        <v>0</v>
      </c>
      <c r="H11956" s="1" t="s">
        <v>0</v>
      </c>
      <c r="I11956" s="2">
        <v>0</v>
      </c>
      <c r="J11956" s="1">
        <v>45950.697754629633</v>
      </c>
    </row>
    <row r="11957" spans="1:10" x14ac:dyDescent="0.2">
      <c r="A11957" s="4" t="s">
        <v>1</v>
      </c>
      <c r="B1195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57" s="3" t="str">
        <f>HYPERLINK("https://otsuka-europe-crm.veevavault.com/ui/#object/sent_email__v/VBLZ025E82HPN16", "SE-000288625")</f>
        <v>SE-000288625</v>
      </c>
      <c r="D11957" s="1" t="s">
        <v>0</v>
      </c>
      <c r="E11957" s="2">
        <v>0</v>
      </c>
      <c r="F11957" s="2">
        <v>0</v>
      </c>
      <c r="G11957" s="2">
        <v>0</v>
      </c>
      <c r="H11957" s="1" t="s">
        <v>0</v>
      </c>
      <c r="I11957" s="2">
        <v>0</v>
      </c>
      <c r="J11957" s="1">
        <v>45950.697708333333</v>
      </c>
    </row>
    <row r="11958" spans="1:10" x14ac:dyDescent="0.2">
      <c r="A11958" s="4" t="s">
        <v>1</v>
      </c>
      <c r="B1195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58" s="3" t="str">
        <f>HYPERLINK("https://otsuka-europe-crm.veevavault.com/ui/#object/sent_email__v/VBLZ025E82HPN17", "SE-000288626")</f>
        <v>SE-000288626</v>
      </c>
      <c r="D11958" s="1" t="s">
        <v>0</v>
      </c>
      <c r="E11958" s="2">
        <v>0</v>
      </c>
      <c r="F11958" s="2">
        <v>0</v>
      </c>
      <c r="G11958" s="2">
        <v>0</v>
      </c>
      <c r="H11958" s="1" t="s">
        <v>0</v>
      </c>
      <c r="I11958" s="2">
        <v>0</v>
      </c>
      <c r="J11958" s="1">
        <v>45950.697569444441</v>
      </c>
    </row>
    <row r="11959" spans="1:10" x14ac:dyDescent="0.2">
      <c r="A11959" s="4" t="s">
        <v>1</v>
      </c>
      <c r="B1195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59" s="3" t="str">
        <f>HYPERLINK("https://otsuka-europe-crm.veevavault.com/ui/#object/sent_email__v/VBLZ025E82HPN18", "SE-000288627")</f>
        <v>SE-000288627</v>
      </c>
      <c r="D11959" s="1" t="s">
        <v>0</v>
      </c>
      <c r="E11959" s="2">
        <v>0</v>
      </c>
      <c r="F11959" s="2">
        <v>0</v>
      </c>
      <c r="G11959" s="2">
        <v>0</v>
      </c>
      <c r="H11959" s="1" t="s">
        <v>0</v>
      </c>
      <c r="I11959" s="2">
        <v>0</v>
      </c>
      <c r="J11959" s="1">
        <v>45950.697696759256</v>
      </c>
    </row>
    <row r="11960" spans="1:10" x14ac:dyDescent="0.2">
      <c r="A11960" s="4" t="s">
        <v>1</v>
      </c>
      <c r="B1196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60" s="3" t="str">
        <f>HYPERLINK("https://otsuka-europe-crm.veevavault.com/ui/#object/sent_email__v/VBLZ025E82HPN19", "SE-000288628")</f>
        <v>SE-000288628</v>
      </c>
      <c r="D11960" s="1" t="s">
        <v>0</v>
      </c>
      <c r="E11960" s="2">
        <v>0</v>
      </c>
      <c r="F11960" s="2">
        <v>0</v>
      </c>
      <c r="G11960" s="2">
        <v>0</v>
      </c>
      <c r="H11960" s="1" t="s">
        <v>0</v>
      </c>
      <c r="I11960" s="2">
        <v>0</v>
      </c>
      <c r="J11960" s="1">
        <v>45950.697557870371</v>
      </c>
    </row>
    <row r="11961" spans="1:10" x14ac:dyDescent="0.2">
      <c r="A11961" s="4" t="s">
        <v>1</v>
      </c>
      <c r="B1196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61" s="3" t="str">
        <f>HYPERLINK("https://otsuka-europe-crm.veevavault.com/ui/#object/sent_email__v/VBLZ025E82HPN1A", "SE-000288629")</f>
        <v>SE-000288629</v>
      </c>
      <c r="D11961" s="1" t="s">
        <v>0</v>
      </c>
      <c r="E11961" s="2">
        <v>0</v>
      </c>
      <c r="F11961" s="2">
        <v>0</v>
      </c>
      <c r="G11961" s="2">
        <v>0</v>
      </c>
      <c r="H11961" s="1" t="s">
        <v>0</v>
      </c>
      <c r="I11961" s="2">
        <v>0</v>
      </c>
      <c r="J11961" s="1">
        <v>45950.697731481479</v>
      </c>
    </row>
    <row r="11962" spans="1:10" x14ac:dyDescent="0.2">
      <c r="A11962" s="4" t="s">
        <v>1</v>
      </c>
      <c r="B1196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62" s="3" t="str">
        <f>HYPERLINK("https://otsuka-europe-crm.veevavault.com/ui/#object/sent_email__v/VBLZ025E82HPN1B", "SE-000288630")</f>
        <v>SE-000288630</v>
      </c>
      <c r="D11962" s="1" t="s">
        <v>0</v>
      </c>
      <c r="E11962" s="2">
        <v>0</v>
      </c>
      <c r="F11962" s="2">
        <v>0</v>
      </c>
      <c r="G11962" s="2">
        <v>0</v>
      </c>
      <c r="H11962" s="1" t="s">
        <v>0</v>
      </c>
      <c r="I11962" s="2">
        <v>0</v>
      </c>
      <c r="J11962" s="1">
        <v>45950.697569444441</v>
      </c>
    </row>
    <row r="11963" spans="1:10" x14ac:dyDescent="0.2">
      <c r="A11963" s="4" t="s">
        <v>1</v>
      </c>
      <c r="B1196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63" s="3" t="str">
        <f>HYPERLINK("https://otsuka-europe-crm.veevavault.com/ui/#object/sent_email__v/VBLZ025E82HPN1C", "SE-000288631")</f>
        <v>SE-000288631</v>
      </c>
      <c r="D11963" s="1" t="s">
        <v>0</v>
      </c>
      <c r="E11963" s="2">
        <v>0</v>
      </c>
      <c r="F11963" s="2">
        <v>0</v>
      </c>
      <c r="G11963" s="2">
        <v>0</v>
      </c>
      <c r="H11963" s="1" t="s">
        <v>0</v>
      </c>
      <c r="I11963" s="2">
        <v>0</v>
      </c>
      <c r="J11963" s="1">
        <v>45950.697731481479</v>
      </c>
    </row>
    <row r="11964" spans="1:10" x14ac:dyDescent="0.2">
      <c r="A11964" s="4" t="s">
        <v>1</v>
      </c>
      <c r="B1196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64" s="3" t="str">
        <f>HYPERLINK("https://otsuka-europe-crm.veevavault.com/ui/#object/sent_email__v/VBLZ025E82HPN1D", "SE-000288632")</f>
        <v>SE-000288632</v>
      </c>
      <c r="D11964" s="1" t="s">
        <v>0</v>
      </c>
      <c r="E11964" s="2">
        <v>0</v>
      </c>
      <c r="F11964" s="2">
        <v>0</v>
      </c>
      <c r="G11964" s="2">
        <v>0</v>
      </c>
      <c r="H11964" s="1" t="s">
        <v>0</v>
      </c>
      <c r="I11964" s="2">
        <v>0</v>
      </c>
      <c r="J11964" s="1">
        <v>45950.697592592594</v>
      </c>
    </row>
    <row r="11965" spans="1:10" x14ac:dyDescent="0.2">
      <c r="A11965" s="4" t="s">
        <v>1</v>
      </c>
      <c r="B1196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65" s="3" t="str">
        <f>HYPERLINK("https://otsuka-europe-crm.veevavault.com/ui/#object/sent_email__v/VBLZ025E82HPN1E", "SE-000288633")</f>
        <v>SE-000288633</v>
      </c>
      <c r="D11965" s="1" t="s">
        <v>0</v>
      </c>
      <c r="E11965" s="2">
        <v>0</v>
      </c>
      <c r="F11965" s="2">
        <v>0</v>
      </c>
      <c r="G11965" s="2">
        <v>0</v>
      </c>
      <c r="H11965" s="1" t="s">
        <v>0</v>
      </c>
      <c r="I11965" s="2">
        <v>0</v>
      </c>
      <c r="J11965" s="1">
        <v>45950.697638888887</v>
      </c>
    </row>
    <row r="11966" spans="1:10" x14ac:dyDescent="0.2">
      <c r="A11966" s="4" t="s">
        <v>1</v>
      </c>
      <c r="B1196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66" s="3" t="str">
        <f>HYPERLINK("https://otsuka-europe-crm.veevavault.com/ui/#object/sent_email__v/VBLZ025E82HPN1F", "SE-000288634")</f>
        <v>SE-000288634</v>
      </c>
      <c r="D11966" s="1" t="s">
        <v>0</v>
      </c>
      <c r="E11966" s="2">
        <v>0</v>
      </c>
      <c r="F11966" s="2">
        <v>0</v>
      </c>
      <c r="G11966" s="2">
        <v>0</v>
      </c>
      <c r="H11966" s="1" t="s">
        <v>0</v>
      </c>
      <c r="I11966" s="2">
        <v>0</v>
      </c>
      <c r="J11966" s="1">
        <v>45950.697569444441</v>
      </c>
    </row>
    <row r="11967" spans="1:10" x14ac:dyDescent="0.2">
      <c r="A11967" s="4" t="s">
        <v>1</v>
      </c>
      <c r="B1196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67" s="3" t="str">
        <f>HYPERLINK("https://otsuka-europe-crm.veevavault.com/ui/#object/sent_email__v/VBLZ025E82HPN1G", "SE-000288635")</f>
        <v>SE-000288635</v>
      </c>
      <c r="D11967" s="1" t="s">
        <v>0</v>
      </c>
      <c r="E11967" s="2">
        <v>0</v>
      </c>
      <c r="F11967" s="2">
        <v>0</v>
      </c>
      <c r="G11967" s="2">
        <v>0</v>
      </c>
      <c r="H11967" s="1" t="s">
        <v>0</v>
      </c>
      <c r="I11967" s="2">
        <v>0</v>
      </c>
      <c r="J11967" s="1">
        <v>45950.697685185187</v>
      </c>
    </row>
    <row r="11968" spans="1:10" x14ac:dyDescent="0.2">
      <c r="A11968" s="4" t="s">
        <v>1</v>
      </c>
      <c r="B1196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68" s="3" t="str">
        <f>HYPERLINK("https://otsuka-europe-crm.veevavault.com/ui/#object/sent_email__v/VBLZ025E82HPN1H", "SE-000288636")</f>
        <v>SE-000288636</v>
      </c>
      <c r="D11968" s="1" t="s">
        <v>0</v>
      </c>
      <c r="E11968" s="2">
        <v>0</v>
      </c>
      <c r="F11968" s="2">
        <v>0</v>
      </c>
      <c r="G11968" s="2">
        <v>0</v>
      </c>
      <c r="H11968" s="1" t="s">
        <v>0</v>
      </c>
      <c r="I11968" s="2">
        <v>0</v>
      </c>
      <c r="J11968" s="1">
        <v>45950.697534722225</v>
      </c>
    </row>
    <row r="11969" spans="1:10" x14ac:dyDescent="0.2">
      <c r="A11969" s="4" t="s">
        <v>1</v>
      </c>
      <c r="B1196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69" s="3" t="str">
        <f>HYPERLINK("https://otsuka-europe-crm.veevavault.com/ui/#object/sent_email__v/VBLZ025E82HPN1I", "SE-000288637")</f>
        <v>SE-000288637</v>
      </c>
      <c r="D11969" s="1">
        <v>45950.711099537039</v>
      </c>
      <c r="E11969" s="2">
        <v>1</v>
      </c>
      <c r="F11969" s="2">
        <v>1</v>
      </c>
      <c r="G11969" s="2">
        <v>0</v>
      </c>
      <c r="H11969" s="1" t="s">
        <v>0</v>
      </c>
      <c r="I11969" s="2">
        <v>0</v>
      </c>
      <c r="J11969" s="1">
        <v>45950.697638888887</v>
      </c>
    </row>
    <row r="11970" spans="1:10" x14ac:dyDescent="0.2">
      <c r="A11970" s="4" t="s">
        <v>1</v>
      </c>
      <c r="B1197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70" s="3" t="str">
        <f>HYPERLINK("https://otsuka-europe-crm.veevavault.com/ui/#object/sent_email__v/VBLZ025E82HPN65", "SE-000288638")</f>
        <v>SE-000288638</v>
      </c>
      <c r="D11970" s="1" t="s">
        <v>0</v>
      </c>
      <c r="E11970" s="2">
        <v>0</v>
      </c>
      <c r="F11970" s="2">
        <v>0</v>
      </c>
      <c r="G11970" s="2">
        <v>0</v>
      </c>
      <c r="H11970" s="1" t="s">
        <v>0</v>
      </c>
      <c r="I11970" s="2">
        <v>0</v>
      </c>
      <c r="J11970" s="1">
        <v>45950.698784722219</v>
      </c>
    </row>
    <row r="11971" spans="1:10" x14ac:dyDescent="0.2">
      <c r="A11971" s="4" t="s">
        <v>1</v>
      </c>
      <c r="B1197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71" s="3" t="str">
        <f>HYPERLINK("https://otsuka-europe-crm.veevavault.com/ui/#object/sent_email__v/VBLZ025E82HPN66", "SE-000288639")</f>
        <v>SE-000288639</v>
      </c>
      <c r="D11971" s="1" t="s">
        <v>0</v>
      </c>
      <c r="E11971" s="2">
        <v>0</v>
      </c>
      <c r="F11971" s="2">
        <v>0</v>
      </c>
      <c r="G11971" s="2">
        <v>0</v>
      </c>
      <c r="H11971" s="1" t="s">
        <v>0</v>
      </c>
      <c r="I11971" s="2">
        <v>0</v>
      </c>
      <c r="J11971" s="1">
        <v>45950.698958333334</v>
      </c>
    </row>
    <row r="11972" spans="1:10" x14ac:dyDescent="0.2">
      <c r="A11972" s="4" t="s">
        <v>1</v>
      </c>
      <c r="B1197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72" s="3" t="str">
        <f>HYPERLINK("https://otsuka-europe-crm.veevavault.com/ui/#object/sent_email__v/VBLZ025E82HPN67", "SE-000288640")</f>
        <v>SE-000288640</v>
      </c>
      <c r="D11972" s="1" t="s">
        <v>0</v>
      </c>
      <c r="E11972" s="2">
        <v>0</v>
      </c>
      <c r="F11972" s="2">
        <v>0</v>
      </c>
      <c r="G11972" s="2">
        <v>0</v>
      </c>
      <c r="H11972" s="1" t="s">
        <v>0</v>
      </c>
      <c r="I11972" s="2">
        <v>0</v>
      </c>
      <c r="J11972" s="1">
        <v>45950.698819444442</v>
      </c>
    </row>
    <row r="11973" spans="1:10" x14ac:dyDescent="0.2">
      <c r="A11973" s="4" t="s">
        <v>1</v>
      </c>
      <c r="B1197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73" s="3" t="str">
        <f>HYPERLINK("https://otsuka-europe-crm.veevavault.com/ui/#object/sent_email__v/VBLZ025E82HPN68", "SE-000288641")</f>
        <v>SE-000288641</v>
      </c>
      <c r="D11973" s="1" t="s">
        <v>0</v>
      </c>
      <c r="E11973" s="2">
        <v>0</v>
      </c>
      <c r="F11973" s="2">
        <v>0</v>
      </c>
      <c r="G11973" s="2">
        <v>0</v>
      </c>
      <c r="H11973" s="1" t="s">
        <v>0</v>
      </c>
      <c r="I11973" s="2">
        <v>0</v>
      </c>
      <c r="J11973" s="1">
        <v>45950.698969907404</v>
      </c>
    </row>
    <row r="11974" spans="1:10" x14ac:dyDescent="0.2">
      <c r="A11974" s="4" t="s">
        <v>1</v>
      </c>
      <c r="B1197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74" s="3" t="str">
        <f>HYPERLINK("https://otsuka-europe-crm.veevavault.com/ui/#object/sent_email__v/VBLZ025E82HPN69", "SE-000288642")</f>
        <v>SE-000288642</v>
      </c>
      <c r="D11974" s="1">
        <v>45951.013379629629</v>
      </c>
      <c r="E11974" s="2">
        <v>1</v>
      </c>
      <c r="F11974" s="2">
        <v>1</v>
      </c>
      <c r="G11974" s="2">
        <v>0</v>
      </c>
      <c r="H11974" s="1" t="s">
        <v>0</v>
      </c>
      <c r="I11974" s="2">
        <v>0</v>
      </c>
      <c r="J11974" s="1">
        <v>45950.698796296296</v>
      </c>
    </row>
    <row r="11975" spans="1:10" x14ac:dyDescent="0.2">
      <c r="A11975" s="4" t="s">
        <v>1</v>
      </c>
      <c r="B1197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75" s="3" t="str">
        <f>HYPERLINK("https://otsuka-europe-crm.veevavault.com/ui/#object/sent_email__v/VBLZ025E82HPN6A", "SE-000288643")</f>
        <v>SE-000288643</v>
      </c>
      <c r="D11975" s="1" t="s">
        <v>0</v>
      </c>
      <c r="E11975" s="2">
        <v>0</v>
      </c>
      <c r="F11975" s="2">
        <v>0</v>
      </c>
      <c r="G11975" s="2">
        <v>0</v>
      </c>
      <c r="H11975" s="1" t="s">
        <v>0</v>
      </c>
      <c r="I11975" s="2">
        <v>0</v>
      </c>
      <c r="J11975" s="1">
        <v>45950.698958333334</v>
      </c>
    </row>
    <row r="11976" spans="1:10" x14ac:dyDescent="0.2">
      <c r="A11976" s="4" t="s">
        <v>1</v>
      </c>
      <c r="B1197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76" s="3" t="str">
        <f>HYPERLINK("https://otsuka-europe-crm.veevavault.com/ui/#object/sent_email__v/VBLZ025E82HPN6B", "SE-000288644")</f>
        <v>SE-000288644</v>
      </c>
      <c r="D11976" s="1" t="s">
        <v>0</v>
      </c>
      <c r="E11976" s="2">
        <v>0</v>
      </c>
      <c r="F11976" s="2">
        <v>0</v>
      </c>
      <c r="G11976" s="2">
        <v>0</v>
      </c>
      <c r="H11976" s="1" t="s">
        <v>0</v>
      </c>
      <c r="I11976" s="2">
        <v>0</v>
      </c>
      <c r="J11976" s="1">
        <v>45950.698854166665</v>
      </c>
    </row>
    <row r="11977" spans="1:10" x14ac:dyDescent="0.2">
      <c r="A11977" s="4" t="s">
        <v>1</v>
      </c>
      <c r="B1197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77" s="3" t="str">
        <f>HYPERLINK("https://otsuka-europe-crm.veevavault.com/ui/#object/sent_email__v/VBLZ025E82HPN6C", "SE-000288645")</f>
        <v>SE-000288645</v>
      </c>
      <c r="D11977" s="1" t="s">
        <v>0</v>
      </c>
      <c r="E11977" s="2">
        <v>0</v>
      </c>
      <c r="F11977" s="2">
        <v>0</v>
      </c>
      <c r="G11977" s="2">
        <v>0</v>
      </c>
      <c r="H11977" s="1" t="s">
        <v>0</v>
      </c>
      <c r="I11977" s="2">
        <v>0</v>
      </c>
      <c r="J11977" s="1">
        <v>45950.698969907404</v>
      </c>
    </row>
    <row r="11978" spans="1:10" x14ac:dyDescent="0.2">
      <c r="A11978" s="4" t="s">
        <v>1</v>
      </c>
      <c r="B1197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78" s="3" t="str">
        <f>HYPERLINK("https://otsuka-europe-crm.veevavault.com/ui/#object/sent_email__v/VBLZ025E82HPN6D", "SE-000288646")</f>
        <v>SE-000288646</v>
      </c>
      <c r="D11978" s="1" t="s">
        <v>0</v>
      </c>
      <c r="E11978" s="2">
        <v>0</v>
      </c>
      <c r="F11978" s="2">
        <v>0</v>
      </c>
      <c r="G11978" s="2">
        <v>0</v>
      </c>
      <c r="H11978" s="1" t="s">
        <v>0</v>
      </c>
      <c r="I11978" s="2">
        <v>0</v>
      </c>
      <c r="J11978" s="1">
        <v>45950.698854166665</v>
      </c>
    </row>
    <row r="11979" spans="1:10" x14ac:dyDescent="0.2">
      <c r="A11979" s="4" t="s">
        <v>1</v>
      </c>
      <c r="B1197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79" s="3" t="str">
        <f>HYPERLINK("https://otsuka-europe-crm.veevavault.com/ui/#object/sent_email__v/VBLZ025E82HPN6E", "SE-000288647")</f>
        <v>SE-000288647</v>
      </c>
      <c r="D11979" s="1" t="s">
        <v>0</v>
      </c>
      <c r="E11979" s="2">
        <v>0</v>
      </c>
      <c r="F11979" s="2">
        <v>0</v>
      </c>
      <c r="G11979" s="2">
        <v>0</v>
      </c>
      <c r="H11979" s="1" t="s">
        <v>0</v>
      </c>
      <c r="I11979" s="2">
        <v>0</v>
      </c>
      <c r="J11979" s="1">
        <v>45950.699004629627</v>
      </c>
    </row>
    <row r="11980" spans="1:10" x14ac:dyDescent="0.2">
      <c r="A11980" s="4" t="s">
        <v>1</v>
      </c>
      <c r="B1198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80" s="3" t="str">
        <f>HYPERLINK("https://otsuka-europe-crm.veevavault.com/ui/#object/sent_email__v/VBLZ025E82HPN6F", "SE-000288648")</f>
        <v>SE-000288648</v>
      </c>
      <c r="D11980" s="1" t="s">
        <v>0</v>
      </c>
      <c r="E11980" s="2">
        <v>0</v>
      </c>
      <c r="F11980" s="2">
        <v>0</v>
      </c>
      <c r="G11980" s="2">
        <v>0</v>
      </c>
      <c r="H11980" s="1" t="s">
        <v>0</v>
      </c>
      <c r="I11980" s="2">
        <v>0</v>
      </c>
      <c r="J11980" s="1">
        <v>45950.698865740742</v>
      </c>
    </row>
    <row r="11981" spans="1:10" x14ac:dyDescent="0.2">
      <c r="A11981" s="4" t="s">
        <v>1</v>
      </c>
      <c r="B1198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81" s="3" t="str">
        <f>HYPERLINK("https://otsuka-europe-crm.veevavault.com/ui/#object/sent_email__v/VBLZ025E82HPN6G", "SE-000288649")</f>
        <v>SE-000288649</v>
      </c>
      <c r="D11981" s="1" t="s">
        <v>0</v>
      </c>
      <c r="E11981" s="2">
        <v>0</v>
      </c>
      <c r="F11981" s="2">
        <v>0</v>
      </c>
      <c r="G11981" s="2">
        <v>0</v>
      </c>
      <c r="H11981" s="1" t="s">
        <v>0</v>
      </c>
      <c r="I11981" s="2">
        <v>0</v>
      </c>
      <c r="J11981" s="1">
        <v>45950.699004629627</v>
      </c>
    </row>
    <row r="11982" spans="1:10" x14ac:dyDescent="0.2">
      <c r="A11982" s="4" t="s">
        <v>1</v>
      </c>
      <c r="B1198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82" s="3" t="str">
        <f>HYPERLINK("https://otsuka-europe-crm.veevavault.com/ui/#object/sent_email__v/VBLZ025E82HPN6H", "SE-000288650")</f>
        <v>SE-000288650</v>
      </c>
      <c r="D11982" s="1" t="s">
        <v>0</v>
      </c>
      <c r="E11982" s="2">
        <v>0</v>
      </c>
      <c r="F11982" s="2">
        <v>0</v>
      </c>
      <c r="G11982" s="2">
        <v>0</v>
      </c>
      <c r="H11982" s="1" t="s">
        <v>0</v>
      </c>
      <c r="I11982" s="2">
        <v>0</v>
      </c>
      <c r="J11982" s="1">
        <v>45950.698842592596</v>
      </c>
    </row>
    <row r="11983" spans="1:10" x14ac:dyDescent="0.2">
      <c r="A11983" s="4" t="s">
        <v>1</v>
      </c>
      <c r="B1198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83" s="3" t="str">
        <f>HYPERLINK("https://otsuka-europe-crm.veevavault.com/ui/#object/sent_email__v/VBLZ025E82HPN6I", "SE-000288651")</f>
        <v>SE-000288651</v>
      </c>
      <c r="D11983" s="1" t="s">
        <v>0</v>
      </c>
      <c r="E11983" s="2">
        <v>0</v>
      </c>
      <c r="F11983" s="2">
        <v>0</v>
      </c>
      <c r="G11983" s="2">
        <v>0</v>
      </c>
      <c r="H11983" s="1" t="s">
        <v>0</v>
      </c>
      <c r="I11983" s="2">
        <v>0</v>
      </c>
      <c r="J11983" s="1">
        <v>45950.700173611112</v>
      </c>
    </row>
    <row r="11984" spans="1:10" x14ac:dyDescent="0.2">
      <c r="A11984" s="4" t="s">
        <v>1</v>
      </c>
      <c r="B1198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84" s="3" t="str">
        <f>HYPERLINK("https://otsuka-europe-crm.veevavault.com/ui/#object/sent_email__v/VBLZ025E82HPN6J", "SE-000288652")</f>
        <v>SE-000288652</v>
      </c>
      <c r="D11984" s="1" t="s">
        <v>0</v>
      </c>
      <c r="E11984" s="2">
        <v>0</v>
      </c>
      <c r="F11984" s="2">
        <v>0</v>
      </c>
      <c r="G11984" s="2">
        <v>0</v>
      </c>
      <c r="H11984" s="1" t="s">
        <v>0</v>
      </c>
      <c r="I11984" s="2">
        <v>0</v>
      </c>
      <c r="J11984" s="1">
        <v>45950.698807870373</v>
      </c>
    </row>
    <row r="11985" spans="1:10" x14ac:dyDescent="0.2">
      <c r="A11985" s="4" t="s">
        <v>1</v>
      </c>
      <c r="B1198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85" s="3" t="str">
        <f>HYPERLINK("https://otsuka-europe-crm.veevavault.com/ui/#object/sent_email__v/VBLZ025E82HPN6K", "SE-000288653")</f>
        <v>SE-000288653</v>
      </c>
      <c r="D11985" s="1" t="s">
        <v>0</v>
      </c>
      <c r="E11985" s="2">
        <v>0</v>
      </c>
      <c r="F11985" s="2">
        <v>0</v>
      </c>
      <c r="G11985" s="2">
        <v>0</v>
      </c>
      <c r="H11985" s="1" t="s">
        <v>0</v>
      </c>
      <c r="I11985" s="2">
        <v>0</v>
      </c>
      <c r="J11985" s="1">
        <v>45950.698958333334</v>
      </c>
    </row>
    <row r="11986" spans="1:10" x14ac:dyDescent="0.2">
      <c r="A11986" s="4" t="s">
        <v>1</v>
      </c>
      <c r="B1198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86" s="3" t="str">
        <f>HYPERLINK("https://otsuka-europe-crm.veevavault.com/ui/#object/sent_email__v/VBLZ025E82HPN6L", "SE-000288654")</f>
        <v>SE-000288654</v>
      </c>
      <c r="D11986" s="1" t="s">
        <v>0</v>
      </c>
      <c r="E11986" s="2">
        <v>0</v>
      </c>
      <c r="F11986" s="2">
        <v>0</v>
      </c>
      <c r="G11986" s="2">
        <v>0</v>
      </c>
      <c r="H11986" s="1" t="s">
        <v>0</v>
      </c>
      <c r="I11986" s="2">
        <v>0</v>
      </c>
      <c r="J11986" s="1">
        <v>45950.698831018519</v>
      </c>
    </row>
    <row r="11987" spans="1:10" x14ac:dyDescent="0.2">
      <c r="A11987" s="4" t="s">
        <v>1</v>
      </c>
      <c r="B1198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87" s="3" t="str">
        <f>HYPERLINK("https://otsuka-europe-crm.veevavault.com/ui/#object/sent_email__v/VBLZ025E82HPN6M", "SE-000288655")</f>
        <v>SE-000288655</v>
      </c>
      <c r="D11987" s="1" t="s">
        <v>0</v>
      </c>
      <c r="E11987" s="2">
        <v>0</v>
      </c>
      <c r="F11987" s="2">
        <v>0</v>
      </c>
      <c r="G11987" s="2">
        <v>0</v>
      </c>
      <c r="H11987" s="1" t="s">
        <v>0</v>
      </c>
      <c r="I11987" s="2">
        <v>0</v>
      </c>
      <c r="J11987" s="1">
        <v>45950.69872685185</v>
      </c>
    </row>
    <row r="11988" spans="1:10" x14ac:dyDescent="0.2">
      <c r="A11988" s="4" t="s">
        <v>1</v>
      </c>
      <c r="B1198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88" s="3" t="str">
        <f>HYPERLINK("https://otsuka-europe-crm.veevavault.com/ui/#object/sent_email__v/VBLZ025E82HPN6N", "SE-000288656")</f>
        <v>SE-000288656</v>
      </c>
      <c r="D11988" s="1" t="s">
        <v>0</v>
      </c>
      <c r="E11988" s="2">
        <v>0</v>
      </c>
      <c r="F11988" s="2">
        <v>0</v>
      </c>
      <c r="G11988" s="2">
        <v>0</v>
      </c>
      <c r="H11988" s="1" t="s">
        <v>0</v>
      </c>
      <c r="I11988" s="2">
        <v>0</v>
      </c>
      <c r="J11988" s="1">
        <v>45950.698888888888</v>
      </c>
    </row>
    <row r="11989" spans="1:10" x14ac:dyDescent="0.2">
      <c r="A11989" s="4" t="s">
        <v>1</v>
      </c>
      <c r="B1198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89" s="3" t="str">
        <f>HYPERLINK("https://otsuka-europe-crm.veevavault.com/ui/#object/sent_email__v/VBLZ025E82HPN6O", "SE-000288657")</f>
        <v>SE-000288657</v>
      </c>
      <c r="D11989" s="1" t="s">
        <v>0</v>
      </c>
      <c r="E11989" s="2">
        <v>0</v>
      </c>
      <c r="F11989" s="2">
        <v>0</v>
      </c>
      <c r="G11989" s="2">
        <v>0</v>
      </c>
      <c r="H11989" s="1" t="s">
        <v>0</v>
      </c>
      <c r="I11989" s="2">
        <v>0</v>
      </c>
      <c r="J11989" s="1">
        <v>45950.698738425926</v>
      </c>
    </row>
    <row r="11990" spans="1:10" x14ac:dyDescent="0.2">
      <c r="A11990" s="4" t="s">
        <v>1</v>
      </c>
      <c r="B1199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90" s="3" t="str">
        <f>HYPERLINK("https://otsuka-europe-crm.veevavault.com/ui/#object/sent_email__v/VBLZ025E82HPN6P", "SE-000288658")</f>
        <v>SE-000288658</v>
      </c>
      <c r="D11990" s="1" t="s">
        <v>0</v>
      </c>
      <c r="E11990" s="2">
        <v>0</v>
      </c>
      <c r="F11990" s="2">
        <v>0</v>
      </c>
      <c r="G11990" s="2">
        <v>0</v>
      </c>
      <c r="H11990" s="1" t="s">
        <v>0</v>
      </c>
      <c r="I11990" s="2">
        <v>0</v>
      </c>
      <c r="J11990" s="1">
        <v>45950.698923611111</v>
      </c>
    </row>
    <row r="11991" spans="1:10" x14ac:dyDescent="0.2">
      <c r="A11991" s="4" t="s">
        <v>1</v>
      </c>
      <c r="B1199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91" s="3" t="str">
        <f>HYPERLINK("https://otsuka-europe-crm.veevavault.com/ui/#object/sent_email__v/VBLZ025E82HPN6Q", "SE-000288659")</f>
        <v>SE-000288659</v>
      </c>
      <c r="D11991" s="1">
        <v>45950.742731481485</v>
      </c>
      <c r="E11991" s="2">
        <v>1</v>
      </c>
      <c r="F11991" s="2">
        <v>1</v>
      </c>
      <c r="G11991" s="2">
        <v>0</v>
      </c>
      <c r="H11991" s="1" t="s">
        <v>0</v>
      </c>
      <c r="I11991" s="2">
        <v>0</v>
      </c>
      <c r="J11991" s="1">
        <v>45950.698773148149</v>
      </c>
    </row>
    <row r="11992" spans="1:10" x14ac:dyDescent="0.2">
      <c r="A11992" s="4" t="s">
        <v>1</v>
      </c>
      <c r="B1199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92" s="3" t="str">
        <f>HYPERLINK("https://otsuka-europe-crm.veevavault.com/ui/#object/sent_email__v/VBLZ025E82HPN6R", "SE-000288660")</f>
        <v>SE-000288660</v>
      </c>
      <c r="D11992" s="1" t="s">
        <v>0</v>
      </c>
      <c r="E11992" s="2">
        <v>0</v>
      </c>
      <c r="F11992" s="2">
        <v>0</v>
      </c>
      <c r="G11992" s="2">
        <v>0</v>
      </c>
      <c r="H11992" s="1" t="s">
        <v>0</v>
      </c>
      <c r="I11992" s="2">
        <v>0</v>
      </c>
      <c r="J11992" s="1">
        <v>45950.698761574073</v>
      </c>
    </row>
    <row r="11993" spans="1:10" x14ac:dyDescent="0.2">
      <c r="A11993" s="4" t="s">
        <v>1</v>
      </c>
      <c r="B1199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93" s="3" t="str">
        <f>HYPERLINK("https://otsuka-europe-crm.veevavault.com/ui/#object/sent_email__v/VBLZ025E82HPN6S", "SE-000288661")</f>
        <v>SE-000288661</v>
      </c>
      <c r="D11993" s="1" t="s">
        <v>0</v>
      </c>
      <c r="E11993" s="2">
        <v>0</v>
      </c>
      <c r="F11993" s="2">
        <v>0</v>
      </c>
      <c r="G11993" s="2">
        <v>0</v>
      </c>
      <c r="H11993" s="1" t="s">
        <v>0</v>
      </c>
      <c r="I11993" s="2">
        <v>0</v>
      </c>
      <c r="J11993" s="1">
        <v>45950.698923611111</v>
      </c>
    </row>
    <row r="11994" spans="1:10" x14ac:dyDescent="0.2">
      <c r="A11994" s="4" t="s">
        <v>1</v>
      </c>
      <c r="B1199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94" s="3" t="str">
        <f>HYPERLINK("https://otsuka-europe-crm.veevavault.com/ui/#object/sent_email__v/VBLZ025E82HPN6T", "SE-000288662")</f>
        <v>SE-000288662</v>
      </c>
      <c r="D11994" s="1" t="s">
        <v>0</v>
      </c>
      <c r="E11994" s="2">
        <v>0</v>
      </c>
      <c r="F11994" s="2">
        <v>0</v>
      </c>
      <c r="G11994" s="2">
        <v>0</v>
      </c>
      <c r="H11994" s="1" t="s">
        <v>0</v>
      </c>
      <c r="I11994" s="2">
        <v>0</v>
      </c>
      <c r="J11994" s="1">
        <v>45950.698761574073</v>
      </c>
    </row>
    <row r="11995" spans="1:10" x14ac:dyDescent="0.2">
      <c r="A11995" s="4" t="s">
        <v>1</v>
      </c>
      <c r="B1199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95" s="3" t="str">
        <f>HYPERLINK("https://otsuka-europe-crm.veevavault.com/ui/#object/sent_email__v/VBLZ025E82HPN6U", "SE-000288663")</f>
        <v>SE-000288663</v>
      </c>
      <c r="D11995" s="1" t="s">
        <v>0</v>
      </c>
      <c r="E11995" s="2">
        <v>0</v>
      </c>
      <c r="F11995" s="2">
        <v>0</v>
      </c>
      <c r="G11995" s="2">
        <v>0</v>
      </c>
      <c r="H11995" s="1" t="s">
        <v>0</v>
      </c>
      <c r="I11995" s="2">
        <v>0</v>
      </c>
      <c r="J11995" s="1">
        <v>45950.698912037034</v>
      </c>
    </row>
    <row r="11996" spans="1:10" x14ac:dyDescent="0.2">
      <c r="A11996" s="4" t="s">
        <v>1</v>
      </c>
      <c r="B1199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96" s="3" t="str">
        <f>HYPERLINK("https://otsuka-europe-crm.veevavault.com/ui/#object/sent_email__v/VBLZ025E82HPN6V", "SE-000288664")</f>
        <v>SE-000288664</v>
      </c>
      <c r="D11996" s="1" t="s">
        <v>0</v>
      </c>
      <c r="E11996" s="2">
        <v>0</v>
      </c>
      <c r="F11996" s="2">
        <v>0</v>
      </c>
      <c r="G11996" s="2">
        <v>0</v>
      </c>
      <c r="H11996" s="1" t="s">
        <v>0</v>
      </c>
      <c r="I11996" s="2">
        <v>0</v>
      </c>
      <c r="J11996" s="1">
        <v>45950.69872685185</v>
      </c>
    </row>
    <row r="11997" spans="1:10" x14ac:dyDescent="0.2">
      <c r="A11997" s="4" t="s">
        <v>1</v>
      </c>
      <c r="B1199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97" s="3" t="str">
        <f>HYPERLINK("https://otsuka-europe-crm.veevavault.com/ui/#object/sent_email__v/VBLZ025E82HPN6W", "SE-000288665")</f>
        <v>SE-000288665</v>
      </c>
      <c r="D11997" s="1">
        <v>45952.947118055556</v>
      </c>
      <c r="E11997" s="2">
        <v>1</v>
      </c>
      <c r="F11997" s="2">
        <v>5</v>
      </c>
      <c r="G11997" s="2">
        <v>1</v>
      </c>
      <c r="H11997" s="1">
        <v>45952.94734953704</v>
      </c>
      <c r="I11997" s="2">
        <v>1</v>
      </c>
      <c r="J11997" s="1">
        <v>45950.698935185188</v>
      </c>
    </row>
    <row r="11998" spans="1:10" x14ac:dyDescent="0.2">
      <c r="A11998" s="4" t="s">
        <v>1</v>
      </c>
      <c r="B1199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98" s="3" t="str">
        <f>HYPERLINK("https://otsuka-europe-crm.veevavault.com/ui/#object/sent_email__v/VBLZ025E82HPN6X", "SE-000288666")</f>
        <v>SE-000288666</v>
      </c>
      <c r="D11998" s="1" t="s">
        <v>0</v>
      </c>
      <c r="E11998" s="2">
        <v>0</v>
      </c>
      <c r="F11998" s="2">
        <v>0</v>
      </c>
      <c r="G11998" s="2">
        <v>0</v>
      </c>
      <c r="H11998" s="1" t="s">
        <v>0</v>
      </c>
      <c r="I11998" s="2">
        <v>0</v>
      </c>
      <c r="J11998" s="1">
        <v>45950.698796296296</v>
      </c>
    </row>
    <row r="11999" spans="1:10" x14ac:dyDescent="0.2">
      <c r="A11999" s="4" t="s">
        <v>1</v>
      </c>
      <c r="B1199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1999" s="3" t="str">
        <f>HYPERLINK("https://otsuka-europe-crm.veevavault.com/ui/#object/sent_email__v/VBLZ025E82HPN6Y", "SE-000288667")</f>
        <v>SE-000288667</v>
      </c>
      <c r="D11999" s="1" t="s">
        <v>0</v>
      </c>
      <c r="E11999" s="2">
        <v>0</v>
      </c>
      <c r="F11999" s="2">
        <v>0</v>
      </c>
      <c r="G11999" s="2">
        <v>0</v>
      </c>
      <c r="H11999" s="1" t="s">
        <v>0</v>
      </c>
      <c r="I11999" s="2">
        <v>0</v>
      </c>
      <c r="J11999" s="1">
        <v>45950.698958333334</v>
      </c>
    </row>
    <row r="12000" spans="1:10" x14ac:dyDescent="0.2">
      <c r="A12000" s="4" t="s">
        <v>1</v>
      </c>
      <c r="B1200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00" s="3" t="str">
        <f>HYPERLINK("https://otsuka-europe-crm.veevavault.com/ui/#object/sent_email__v/VBLZ025E82HPN6Z", "SE-000288668")</f>
        <v>SE-000288668</v>
      </c>
      <c r="D12000" s="1" t="s">
        <v>0</v>
      </c>
      <c r="E12000" s="2">
        <v>0</v>
      </c>
      <c r="F12000" s="2">
        <v>0</v>
      </c>
      <c r="G12000" s="2">
        <v>0</v>
      </c>
      <c r="H12000" s="1" t="s">
        <v>0</v>
      </c>
      <c r="I12000" s="2">
        <v>0</v>
      </c>
      <c r="J12000" s="1">
        <v>45950.698807870373</v>
      </c>
    </row>
    <row r="12001" spans="1:10" x14ac:dyDescent="0.2">
      <c r="A12001" s="4" t="s">
        <v>1</v>
      </c>
      <c r="B1200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01" s="3" t="str">
        <f>HYPERLINK("https://otsuka-europe-crm.veevavault.com/ui/#object/sent_email__v/VBLZ025E82HPN70", "SE-000288669")</f>
        <v>SE-000288669</v>
      </c>
      <c r="D12001" s="1" t="s">
        <v>0</v>
      </c>
      <c r="E12001" s="2">
        <v>0</v>
      </c>
      <c r="F12001" s="2">
        <v>0</v>
      </c>
      <c r="G12001" s="2">
        <v>0</v>
      </c>
      <c r="H12001" s="1" t="s">
        <v>0</v>
      </c>
      <c r="I12001" s="2">
        <v>0</v>
      </c>
      <c r="J12001" s="1">
        <v>45950.69871527778</v>
      </c>
    </row>
    <row r="12002" spans="1:10" x14ac:dyDescent="0.2">
      <c r="A12002" s="4" t="s">
        <v>1</v>
      </c>
      <c r="B1200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02" s="3" t="str">
        <f>HYPERLINK("https://otsuka-europe-crm.veevavault.com/ui/#object/sent_email__v/VBLZ025E82HPN71", "SE-000288670")</f>
        <v>SE-000288670</v>
      </c>
      <c r="D12002" s="1" t="s">
        <v>0</v>
      </c>
      <c r="E12002" s="2">
        <v>0</v>
      </c>
      <c r="F12002" s="2">
        <v>0</v>
      </c>
      <c r="G12002" s="2">
        <v>0</v>
      </c>
      <c r="H12002" s="1" t="s">
        <v>0</v>
      </c>
      <c r="I12002" s="2">
        <v>0</v>
      </c>
      <c r="J12002" s="1">
        <v>45950.698888888888</v>
      </c>
    </row>
    <row r="12003" spans="1:10" x14ac:dyDescent="0.2">
      <c r="A12003" s="4" t="s">
        <v>1</v>
      </c>
      <c r="B1200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03" s="3" t="str">
        <f>HYPERLINK("https://otsuka-europe-crm.veevavault.com/ui/#object/sent_email__v/VBLZ025E82HPN72", "SE-000288671")</f>
        <v>SE-000288671</v>
      </c>
      <c r="D12003" s="1" t="s">
        <v>0</v>
      </c>
      <c r="E12003" s="2">
        <v>0</v>
      </c>
      <c r="F12003" s="2">
        <v>0</v>
      </c>
      <c r="G12003" s="2">
        <v>0</v>
      </c>
      <c r="H12003" s="1" t="s">
        <v>0</v>
      </c>
      <c r="I12003" s="2">
        <v>0</v>
      </c>
      <c r="J12003" s="1">
        <v>45950.698703703703</v>
      </c>
    </row>
    <row r="12004" spans="1:10" x14ac:dyDescent="0.2">
      <c r="A12004" s="4" t="s">
        <v>1</v>
      </c>
      <c r="B1200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04" s="3" t="str">
        <f>HYPERLINK("https://otsuka-europe-crm.veevavault.com/ui/#object/sent_email__v/VBLZ025E82HPN73", "SE-000288672")</f>
        <v>SE-000288672</v>
      </c>
      <c r="D12004" s="1">
        <v>45950.737754629627</v>
      </c>
      <c r="E12004" s="2">
        <v>1</v>
      </c>
      <c r="F12004" s="2">
        <v>1</v>
      </c>
      <c r="G12004" s="2">
        <v>0</v>
      </c>
      <c r="H12004" s="1" t="s">
        <v>0</v>
      </c>
      <c r="I12004" s="2">
        <v>0</v>
      </c>
      <c r="J12004" s="1">
        <v>45950.698865740742</v>
      </c>
    </row>
    <row r="12005" spans="1:10" x14ac:dyDescent="0.2">
      <c r="A12005" s="4" t="s">
        <v>1</v>
      </c>
      <c r="B1200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05" s="3" t="str">
        <f>HYPERLINK("https://otsuka-europe-crm.veevavault.com/ui/#object/sent_email__v/VBLZ025E82HPNBP", "SE-000288673")</f>
        <v>SE-000288673</v>
      </c>
      <c r="D12005" s="1" t="s">
        <v>0</v>
      </c>
      <c r="E12005" s="2">
        <v>0</v>
      </c>
      <c r="F12005" s="2">
        <v>0</v>
      </c>
      <c r="G12005" s="2">
        <v>0</v>
      </c>
      <c r="H12005" s="1" t="s">
        <v>0</v>
      </c>
      <c r="I12005" s="2">
        <v>0</v>
      </c>
      <c r="J12005" s="1">
        <v>45950.701226851852</v>
      </c>
    </row>
    <row r="12006" spans="1:10" x14ac:dyDescent="0.2">
      <c r="A12006" s="4" t="s">
        <v>1</v>
      </c>
      <c r="B1200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06" s="3" t="str">
        <f>HYPERLINK("https://otsuka-europe-crm.veevavault.com/ui/#object/sent_email__v/VBLZ025E82HPNBQ", "SE-000288674")</f>
        <v>SE-000288674</v>
      </c>
      <c r="D12006" s="1">
        <v>45951.951469907406</v>
      </c>
      <c r="E12006" s="2">
        <v>1</v>
      </c>
      <c r="F12006" s="2">
        <v>1</v>
      </c>
      <c r="G12006" s="2">
        <v>0</v>
      </c>
      <c r="H12006" s="1" t="s">
        <v>0</v>
      </c>
      <c r="I12006" s="2">
        <v>0</v>
      </c>
      <c r="J12006" s="1">
        <v>45950.700115740743</v>
      </c>
    </row>
    <row r="12007" spans="1:10" x14ac:dyDescent="0.2">
      <c r="A12007" s="4" t="s">
        <v>1</v>
      </c>
      <c r="B1200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07" s="3" t="str">
        <f>HYPERLINK("https://otsuka-europe-crm.veevavault.com/ui/#object/sent_email__v/VBLZ025E82HPNBR", "SE-000288675")</f>
        <v>SE-000288675</v>
      </c>
      <c r="D12007" s="1" t="s">
        <v>0</v>
      </c>
      <c r="E12007" s="2">
        <v>0</v>
      </c>
      <c r="F12007" s="2">
        <v>0</v>
      </c>
      <c r="G12007" s="2">
        <v>0</v>
      </c>
      <c r="H12007" s="1" t="s">
        <v>0</v>
      </c>
      <c r="I12007" s="2">
        <v>0</v>
      </c>
      <c r="J12007" s="1">
        <v>45950.701168981483</v>
      </c>
    </row>
    <row r="12008" spans="1:10" x14ac:dyDescent="0.2">
      <c r="A12008" s="4" t="s">
        <v>1</v>
      </c>
      <c r="B1200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08" s="3" t="str">
        <f>HYPERLINK("https://otsuka-europe-crm.veevavault.com/ui/#object/sent_email__v/VBLZ025E82HPNBS", "SE-000288676")</f>
        <v>SE-000288676</v>
      </c>
      <c r="D12008" s="1" t="s">
        <v>0</v>
      </c>
      <c r="E12008" s="2">
        <v>0</v>
      </c>
      <c r="F12008" s="2">
        <v>0</v>
      </c>
      <c r="G12008" s="2">
        <v>0</v>
      </c>
      <c r="H12008" s="1" t="s">
        <v>0</v>
      </c>
      <c r="I12008" s="2">
        <v>0</v>
      </c>
      <c r="J12008" s="1">
        <v>45950.700150462966</v>
      </c>
    </row>
    <row r="12009" spans="1:10" x14ac:dyDescent="0.2">
      <c r="A12009" s="4" t="s">
        <v>1</v>
      </c>
      <c r="B1200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09" s="3" t="str">
        <f>HYPERLINK("https://otsuka-europe-crm.veevavault.com/ui/#object/sent_email__v/VBLZ025E82HPNBT", "SE-000288677")</f>
        <v>SE-000288677</v>
      </c>
      <c r="D12009" s="1" t="s">
        <v>0</v>
      </c>
      <c r="E12009" s="2">
        <v>0</v>
      </c>
      <c r="F12009" s="2">
        <v>0</v>
      </c>
      <c r="G12009" s="2">
        <v>0</v>
      </c>
      <c r="H12009" s="1" t="s">
        <v>0</v>
      </c>
      <c r="I12009" s="2">
        <v>0</v>
      </c>
      <c r="J12009" s="1">
        <v>45950.700266203705</v>
      </c>
    </row>
    <row r="12010" spans="1:10" x14ac:dyDescent="0.2">
      <c r="A12010" s="4" t="s">
        <v>1</v>
      </c>
      <c r="B1201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10" s="3" t="str">
        <f>HYPERLINK("https://otsuka-europe-crm.veevavault.com/ui/#object/sent_email__v/VBLZ025E82HPNBU", "SE-000288678")</f>
        <v>SE-000288678</v>
      </c>
      <c r="D12010" s="1" t="s">
        <v>0</v>
      </c>
      <c r="E12010" s="2">
        <v>0</v>
      </c>
      <c r="F12010" s="2">
        <v>0</v>
      </c>
      <c r="G12010" s="2">
        <v>0</v>
      </c>
      <c r="H12010" s="1" t="s">
        <v>0</v>
      </c>
      <c r="I12010" s="2">
        <v>0</v>
      </c>
      <c r="J12010" s="1">
        <v>45950.700138888889</v>
      </c>
    </row>
    <row r="12011" spans="1:10" x14ac:dyDescent="0.2">
      <c r="A12011" s="4" t="s">
        <v>1</v>
      </c>
      <c r="B1201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11" s="3" t="str">
        <f>HYPERLINK("https://otsuka-europe-crm.veevavault.com/ui/#object/sent_email__v/VBLZ025E82HPNBV", "SE-000288679")</f>
        <v>SE-000288679</v>
      </c>
      <c r="D12011" s="1" t="s">
        <v>0</v>
      </c>
      <c r="E12011" s="2">
        <v>0</v>
      </c>
      <c r="F12011" s="2">
        <v>0</v>
      </c>
      <c r="G12011" s="2">
        <v>0</v>
      </c>
      <c r="H12011" s="1" t="s">
        <v>0</v>
      </c>
      <c r="I12011" s="2">
        <v>0</v>
      </c>
      <c r="J12011" s="1">
        <v>45950.700289351851</v>
      </c>
    </row>
    <row r="12012" spans="1:10" x14ac:dyDescent="0.2">
      <c r="A12012" s="4" t="s">
        <v>1</v>
      </c>
      <c r="B1201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12" s="3" t="str">
        <f>HYPERLINK("https://otsuka-europe-crm.veevavault.com/ui/#object/sent_email__v/VBLZ025E82HPNBW", "SE-000288680")</f>
        <v>SE-000288680</v>
      </c>
      <c r="D12012" s="1">
        <v>45951.017870370371</v>
      </c>
      <c r="E12012" s="2">
        <v>1</v>
      </c>
      <c r="F12012" s="2">
        <v>2</v>
      </c>
      <c r="G12012" s="2">
        <v>0</v>
      </c>
      <c r="H12012" s="1" t="s">
        <v>0</v>
      </c>
      <c r="I12012" s="2">
        <v>0</v>
      </c>
      <c r="J12012" s="1">
        <v>45950.700162037036</v>
      </c>
    </row>
    <row r="12013" spans="1:10" x14ac:dyDescent="0.2">
      <c r="A12013" s="4" t="s">
        <v>1</v>
      </c>
      <c r="B1201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13" s="3" t="str">
        <f>HYPERLINK("https://otsuka-europe-crm.veevavault.com/ui/#object/sent_email__v/VBLZ025E82HPNBX", "SE-000288681")</f>
        <v>SE-000288681</v>
      </c>
      <c r="D12013" s="1" t="s">
        <v>0</v>
      </c>
      <c r="E12013" s="2">
        <v>0</v>
      </c>
      <c r="F12013" s="2">
        <v>0</v>
      </c>
      <c r="G12013" s="2">
        <v>0</v>
      </c>
      <c r="H12013" s="1" t="s">
        <v>0</v>
      </c>
      <c r="I12013" s="2">
        <v>0</v>
      </c>
      <c r="J12013" s="1">
        <v>45950.700300925928</v>
      </c>
    </row>
    <row r="12014" spans="1:10" x14ac:dyDescent="0.2">
      <c r="A12014" s="4" t="s">
        <v>1</v>
      </c>
      <c r="B1201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14" s="3" t="str">
        <f>HYPERLINK("https://otsuka-europe-crm.veevavault.com/ui/#object/sent_email__v/VBLZ025E82HPNBY", "SE-000288682")</f>
        <v>SE-000288682</v>
      </c>
      <c r="D12014" s="1" t="s">
        <v>0</v>
      </c>
      <c r="E12014" s="2">
        <v>0</v>
      </c>
      <c r="F12014" s="2">
        <v>0</v>
      </c>
      <c r="G12014" s="2">
        <v>0</v>
      </c>
      <c r="H12014" s="1" t="s">
        <v>0</v>
      </c>
      <c r="I12014" s="2">
        <v>0</v>
      </c>
      <c r="J12014" s="1">
        <v>45950.700162037036</v>
      </c>
    </row>
    <row r="12015" spans="1:10" x14ac:dyDescent="0.2">
      <c r="A12015" s="4" t="s">
        <v>1</v>
      </c>
      <c r="B1201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15" s="3" t="str">
        <f>HYPERLINK("https://otsuka-europe-crm.veevavault.com/ui/#object/sent_email__v/VBLZ025E82HPNBZ", "SE-000288683")</f>
        <v>SE-000288683</v>
      </c>
      <c r="D12015" s="1">
        <v>45953.310532407406</v>
      </c>
      <c r="E12015" s="2">
        <v>1</v>
      </c>
      <c r="F12015" s="2">
        <v>3</v>
      </c>
      <c r="G12015" s="2">
        <v>1</v>
      </c>
      <c r="H12015" s="1">
        <v>45950.928101851852</v>
      </c>
      <c r="I12015" s="2">
        <v>1</v>
      </c>
      <c r="J12015" s="1">
        <v>45950.700300925928</v>
      </c>
    </row>
    <row r="12016" spans="1:10" x14ac:dyDescent="0.2">
      <c r="A12016" s="4" t="s">
        <v>1</v>
      </c>
      <c r="B1201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16" s="3" t="str">
        <f>HYPERLINK("https://otsuka-europe-crm.veevavault.com/ui/#object/sent_email__v/VBLZ025E82HPNC0", "SE-000288684")</f>
        <v>SE-000288684</v>
      </c>
      <c r="D12016" s="1" t="s">
        <v>0</v>
      </c>
      <c r="E12016" s="2">
        <v>0</v>
      </c>
      <c r="F12016" s="2">
        <v>0</v>
      </c>
      <c r="G12016" s="2">
        <v>0</v>
      </c>
      <c r="H12016" s="1" t="s">
        <v>0</v>
      </c>
      <c r="I12016" s="2">
        <v>0</v>
      </c>
      <c r="J12016" s="1">
        <v>45950.700254629628</v>
      </c>
    </row>
    <row r="12017" spans="1:10" x14ac:dyDescent="0.2">
      <c r="A12017" s="4" t="s">
        <v>1</v>
      </c>
      <c r="B1201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17" s="3" t="str">
        <f>HYPERLINK("https://otsuka-europe-crm.veevavault.com/ui/#object/sent_email__v/VBLZ025E82HPNC1", "SE-000288685")</f>
        <v>SE-000288685</v>
      </c>
      <c r="D12017" s="1" t="s">
        <v>0</v>
      </c>
      <c r="E12017" s="2">
        <v>0</v>
      </c>
      <c r="F12017" s="2">
        <v>0</v>
      </c>
      <c r="G12017" s="2">
        <v>0</v>
      </c>
      <c r="H12017" s="1" t="s">
        <v>0</v>
      </c>
      <c r="I12017" s="2">
        <v>0</v>
      </c>
      <c r="J12017" s="1">
        <v>45950.700324074074</v>
      </c>
    </row>
    <row r="12018" spans="1:10" x14ac:dyDescent="0.2">
      <c r="A12018" s="4" t="s">
        <v>1</v>
      </c>
      <c r="B1201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18" s="3" t="str">
        <f>HYPERLINK("https://otsuka-europe-crm.veevavault.com/ui/#object/sent_email__v/VBLZ025E82HPNC2", "SE-000288686")</f>
        <v>SE-000288686</v>
      </c>
      <c r="D12018" s="1" t="s">
        <v>0</v>
      </c>
      <c r="E12018" s="2">
        <v>0</v>
      </c>
      <c r="F12018" s="2">
        <v>0</v>
      </c>
      <c r="G12018" s="2">
        <v>0</v>
      </c>
      <c r="H12018" s="1" t="s">
        <v>0</v>
      </c>
      <c r="I12018" s="2">
        <v>0</v>
      </c>
      <c r="J12018" s="1">
        <v>45950.700277777774</v>
      </c>
    </row>
    <row r="12019" spans="1:10" x14ac:dyDescent="0.2">
      <c r="A12019" s="4" t="s">
        <v>1</v>
      </c>
      <c r="B1201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19" s="3" t="str">
        <f>HYPERLINK("https://otsuka-europe-crm.veevavault.com/ui/#object/sent_email__v/VBLZ025E82HPNC3", "SE-000288687")</f>
        <v>SE-000288687</v>
      </c>
      <c r="D12019" s="1" t="s">
        <v>0</v>
      </c>
      <c r="E12019" s="2">
        <v>0</v>
      </c>
      <c r="F12019" s="2">
        <v>0</v>
      </c>
      <c r="G12019" s="2">
        <v>0</v>
      </c>
      <c r="H12019" s="1" t="s">
        <v>0</v>
      </c>
      <c r="I12019" s="2">
        <v>0</v>
      </c>
      <c r="J12019" s="1">
        <v>45950.700150462966</v>
      </c>
    </row>
    <row r="12020" spans="1:10" x14ac:dyDescent="0.2">
      <c r="A12020" s="4" t="s">
        <v>1</v>
      </c>
      <c r="B1202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20" s="3" t="str">
        <f>HYPERLINK("https://otsuka-europe-crm.veevavault.com/ui/#object/sent_email__v/VBLZ025E82HPNC4", "SE-000288688")</f>
        <v>SE-000288688</v>
      </c>
      <c r="D12020" s="1">
        <v>45950.702881944446</v>
      </c>
      <c r="E12020" s="2">
        <v>1</v>
      </c>
      <c r="F12020" s="2">
        <v>1</v>
      </c>
      <c r="G12020" s="2">
        <v>0</v>
      </c>
      <c r="H12020" s="1" t="s">
        <v>0</v>
      </c>
      <c r="I12020" s="2">
        <v>0</v>
      </c>
      <c r="J12020" s="1">
        <v>45950.700277777774</v>
      </c>
    </row>
    <row r="12021" spans="1:10" x14ac:dyDescent="0.2">
      <c r="A12021" s="4" t="s">
        <v>1</v>
      </c>
      <c r="B1202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21" s="3" t="str">
        <f>HYPERLINK("https://otsuka-europe-crm.veevavault.com/ui/#object/sent_email__v/VBLZ025E82HPNC5", "SE-000288689")</f>
        <v>SE-000288689</v>
      </c>
      <c r="D12021" s="1" t="s">
        <v>0</v>
      </c>
      <c r="E12021" s="2">
        <v>0</v>
      </c>
      <c r="F12021" s="2">
        <v>0</v>
      </c>
      <c r="G12021" s="2">
        <v>0</v>
      </c>
      <c r="H12021" s="1" t="s">
        <v>0</v>
      </c>
      <c r="I12021" s="2">
        <v>0</v>
      </c>
      <c r="J12021" s="1">
        <v>45950.700115740743</v>
      </c>
    </row>
    <row r="12022" spans="1:10" x14ac:dyDescent="0.2">
      <c r="A12022" s="4" t="s">
        <v>1</v>
      </c>
      <c r="B1202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22" s="3" t="str">
        <f>HYPERLINK("https://otsuka-europe-crm.veevavault.com/ui/#object/sent_email__v/VBLZ025E82HPNC6", "SE-000288690")</f>
        <v>SE-000288690</v>
      </c>
      <c r="D12022" s="1" t="s">
        <v>0</v>
      </c>
      <c r="E12022" s="2">
        <v>0</v>
      </c>
      <c r="F12022" s="2">
        <v>0</v>
      </c>
      <c r="G12022" s="2">
        <v>0</v>
      </c>
      <c r="H12022" s="1" t="s">
        <v>0</v>
      </c>
      <c r="I12022" s="2">
        <v>0</v>
      </c>
      <c r="J12022" s="1">
        <v>45950.700590277775</v>
      </c>
    </row>
    <row r="12023" spans="1:10" x14ac:dyDescent="0.2">
      <c r="A12023" s="4" t="s">
        <v>1</v>
      </c>
      <c r="B1202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23" s="3" t="str">
        <f>HYPERLINK("https://otsuka-europe-crm.veevavault.com/ui/#object/sent_email__v/VBLZ025E82HPNC7", "SE-000288691")</f>
        <v>SE-000288691</v>
      </c>
      <c r="D12023" s="1" t="s">
        <v>0</v>
      </c>
      <c r="E12023" s="2">
        <v>0</v>
      </c>
      <c r="F12023" s="2">
        <v>0</v>
      </c>
      <c r="G12023" s="2">
        <v>0</v>
      </c>
      <c r="H12023" s="1" t="s">
        <v>0</v>
      </c>
      <c r="I12023" s="2">
        <v>0</v>
      </c>
      <c r="J12023" s="1">
        <v>45950.700092592589</v>
      </c>
    </row>
    <row r="12024" spans="1:10" x14ac:dyDescent="0.2">
      <c r="A12024" s="4" t="s">
        <v>1</v>
      </c>
      <c r="B1202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24" s="3" t="str">
        <f>HYPERLINK("https://otsuka-europe-crm.veevavault.com/ui/#object/sent_email__v/VBLZ025E82HPNC8", "SE-000288692")</f>
        <v>SE-000288692</v>
      </c>
      <c r="D12024" s="1" t="s">
        <v>0</v>
      </c>
      <c r="E12024" s="2">
        <v>0</v>
      </c>
      <c r="F12024" s="2">
        <v>0</v>
      </c>
      <c r="G12024" s="2">
        <v>0</v>
      </c>
      <c r="H12024" s="1" t="s">
        <v>0</v>
      </c>
      <c r="I12024" s="2">
        <v>0</v>
      </c>
      <c r="J12024" s="1">
        <v>45950.700219907405</v>
      </c>
    </row>
    <row r="12025" spans="1:10" x14ac:dyDescent="0.2">
      <c r="A12025" s="4" t="s">
        <v>1</v>
      </c>
      <c r="B1202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25" s="3" t="str">
        <f>HYPERLINK("https://otsuka-europe-crm.veevavault.com/ui/#object/sent_email__v/VBLZ025E82HPNC9", "SE-000288693")</f>
        <v>SE-000288693</v>
      </c>
      <c r="D12025" s="1" t="s">
        <v>0</v>
      </c>
      <c r="E12025" s="2">
        <v>0</v>
      </c>
      <c r="F12025" s="2">
        <v>0</v>
      </c>
      <c r="G12025" s="2">
        <v>0</v>
      </c>
      <c r="H12025" s="1" t="s">
        <v>0</v>
      </c>
      <c r="I12025" s="2">
        <v>0</v>
      </c>
      <c r="J12025" s="1">
        <v>45950.700115740743</v>
      </c>
    </row>
    <row r="12026" spans="1:10" x14ac:dyDescent="0.2">
      <c r="A12026" s="4" t="s">
        <v>1</v>
      </c>
      <c r="B1202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26" s="3" t="str">
        <f>HYPERLINK("https://otsuka-europe-crm.veevavault.com/ui/#object/sent_email__v/VBLZ025E82HPNCA", "SE-000288694")</f>
        <v>SE-000288694</v>
      </c>
      <c r="D12026" s="1" t="s">
        <v>0</v>
      </c>
      <c r="E12026" s="2">
        <v>0</v>
      </c>
      <c r="F12026" s="2">
        <v>0</v>
      </c>
      <c r="G12026" s="2">
        <v>0</v>
      </c>
      <c r="H12026" s="1" t="s">
        <v>0</v>
      </c>
      <c r="I12026" s="2">
        <v>0</v>
      </c>
      <c r="J12026" s="1">
        <v>45950.700578703705</v>
      </c>
    </row>
    <row r="12027" spans="1:10" x14ac:dyDescent="0.2">
      <c r="A12027" s="4" t="s">
        <v>1</v>
      </c>
      <c r="B1202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27" s="3" t="str">
        <f>HYPERLINK("https://otsuka-europe-crm.veevavault.com/ui/#object/sent_email__v/VBLZ025E82HPNCB", "SE-000288695")</f>
        <v>SE-000288695</v>
      </c>
      <c r="D12027" s="1" t="s">
        <v>0</v>
      </c>
      <c r="E12027" s="2">
        <v>0</v>
      </c>
      <c r="F12027" s="2">
        <v>0</v>
      </c>
      <c r="G12027" s="2">
        <v>0</v>
      </c>
      <c r="H12027" s="1" t="s">
        <v>0</v>
      </c>
      <c r="I12027" s="2">
        <v>0</v>
      </c>
      <c r="J12027" s="1">
        <v>45950.700127314813</v>
      </c>
    </row>
    <row r="12028" spans="1:10" x14ac:dyDescent="0.2">
      <c r="A12028" s="4" t="s">
        <v>1</v>
      </c>
      <c r="B1202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28" s="3" t="str">
        <f>HYPERLINK("https://otsuka-europe-crm.veevavault.com/ui/#object/sent_email__v/VBLZ025E82HPNCC", "SE-000288696")</f>
        <v>SE-000288696</v>
      </c>
      <c r="D12028" s="1">
        <v>45953.330787037034</v>
      </c>
      <c r="E12028" s="2">
        <v>1</v>
      </c>
      <c r="F12028" s="2">
        <v>1</v>
      </c>
      <c r="G12028" s="2">
        <v>0</v>
      </c>
      <c r="H12028" s="1" t="s">
        <v>0</v>
      </c>
      <c r="I12028" s="2">
        <v>0</v>
      </c>
      <c r="J12028" s="1">
        <v>45950.700254629628</v>
      </c>
    </row>
    <row r="12029" spans="1:10" x14ac:dyDescent="0.2">
      <c r="A12029" s="4" t="s">
        <v>1</v>
      </c>
      <c r="B1202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29" s="3" t="str">
        <f>HYPERLINK("https://otsuka-europe-crm.veevavault.com/ui/#object/sent_email__v/VBLZ025E82HPNCD", "SE-000288697")</f>
        <v>SE-000288697</v>
      </c>
      <c r="D12029" s="1">
        <v>45951.701770833337</v>
      </c>
      <c r="E12029" s="2">
        <v>1</v>
      </c>
      <c r="F12029" s="2">
        <v>1</v>
      </c>
      <c r="G12029" s="2">
        <v>0</v>
      </c>
      <c r="H12029" s="1" t="s">
        <v>0</v>
      </c>
      <c r="I12029" s="2">
        <v>0</v>
      </c>
      <c r="J12029" s="1">
        <v>45950.70034722222</v>
      </c>
    </row>
    <row r="12030" spans="1:10" x14ac:dyDescent="0.2">
      <c r="A12030" s="4" t="s">
        <v>1</v>
      </c>
      <c r="B1203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30" s="3" t="str">
        <f>HYPERLINK("https://otsuka-europe-crm.veevavault.com/ui/#object/sent_email__v/VBLZ025E82HPNCE", "SE-000288698")</f>
        <v>SE-000288698</v>
      </c>
      <c r="D12030" s="1" t="s">
        <v>0</v>
      </c>
      <c r="E12030" s="2">
        <v>0</v>
      </c>
      <c r="F12030" s="2">
        <v>0</v>
      </c>
      <c r="G12030" s="2">
        <v>0</v>
      </c>
      <c r="H12030" s="1" t="s">
        <v>0</v>
      </c>
      <c r="I12030" s="2">
        <v>0</v>
      </c>
      <c r="J12030" s="1">
        <v>45950.700266203705</v>
      </c>
    </row>
    <row r="12031" spans="1:10" x14ac:dyDescent="0.2">
      <c r="A12031" s="4" t="s">
        <v>1</v>
      </c>
      <c r="B1203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31" s="3" t="str">
        <f>HYPERLINK("https://otsuka-europe-crm.veevavault.com/ui/#object/sent_email__v/VBLZ025E82HPNCF", "SE-000288699")</f>
        <v>SE-000288699</v>
      </c>
      <c r="D12031" s="1" t="s">
        <v>0</v>
      </c>
      <c r="E12031" s="2">
        <v>0</v>
      </c>
      <c r="F12031" s="2">
        <v>0</v>
      </c>
      <c r="G12031" s="2">
        <v>0</v>
      </c>
      <c r="H12031" s="1" t="s">
        <v>0</v>
      </c>
      <c r="I12031" s="2">
        <v>0</v>
      </c>
      <c r="J12031" s="1">
        <v>45950.70034722222</v>
      </c>
    </row>
    <row r="12032" spans="1:10" x14ac:dyDescent="0.2">
      <c r="A12032" s="4" t="s">
        <v>1</v>
      </c>
      <c r="B1203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32" s="3" t="str">
        <f>HYPERLINK("https://otsuka-europe-crm.veevavault.com/ui/#object/sent_email__v/VBLZ025E82HPNCG", "SE-000288700")</f>
        <v>SE-000288700</v>
      </c>
      <c r="D12032" s="1">
        <v>45950.806550925925</v>
      </c>
      <c r="E12032" s="2">
        <v>1</v>
      </c>
      <c r="F12032" s="2">
        <v>1</v>
      </c>
      <c r="G12032" s="2">
        <v>0</v>
      </c>
      <c r="H12032" s="1" t="s">
        <v>0</v>
      </c>
      <c r="I12032" s="2">
        <v>0</v>
      </c>
      <c r="J12032" s="1">
        <v>45950.700196759259</v>
      </c>
    </row>
    <row r="12033" spans="1:10" x14ac:dyDescent="0.2">
      <c r="A12033" s="4" t="s">
        <v>1</v>
      </c>
      <c r="B1203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33" s="3" t="str">
        <f>HYPERLINK("https://otsuka-europe-crm.veevavault.com/ui/#object/sent_email__v/VBLZ025E82HPNCH", "SE-000288701")</f>
        <v>SE-000288701</v>
      </c>
      <c r="D12033" s="1" t="s">
        <v>0</v>
      </c>
      <c r="E12033" s="2">
        <v>0</v>
      </c>
      <c r="F12033" s="2">
        <v>0</v>
      </c>
      <c r="G12033" s="2">
        <v>0</v>
      </c>
      <c r="H12033" s="1" t="s">
        <v>0</v>
      </c>
      <c r="I12033" s="2">
        <v>0</v>
      </c>
      <c r="J12033" s="1">
        <v>45950.700312499997</v>
      </c>
    </row>
    <row r="12034" spans="1:10" x14ac:dyDescent="0.2">
      <c r="A12034" s="4" t="s">
        <v>1</v>
      </c>
      <c r="B1203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34" s="3" t="str">
        <f>HYPERLINK("https://otsuka-europe-crm.veevavault.com/ui/#object/sent_email__v/VBLZ025E82HPNCI", "SE-000288702")</f>
        <v>SE-000288702</v>
      </c>
      <c r="D12034" s="1" t="s">
        <v>0</v>
      </c>
      <c r="E12034" s="2">
        <v>0</v>
      </c>
      <c r="F12034" s="2">
        <v>0</v>
      </c>
      <c r="G12034" s="2">
        <v>0</v>
      </c>
      <c r="H12034" s="1" t="s">
        <v>0</v>
      </c>
      <c r="I12034" s="2">
        <v>0</v>
      </c>
      <c r="J12034" s="1">
        <v>45950.700185185182</v>
      </c>
    </row>
    <row r="12035" spans="1:10" x14ac:dyDescent="0.2">
      <c r="A12035" s="4" t="s">
        <v>1</v>
      </c>
      <c r="B1203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35" s="3" t="str">
        <f>HYPERLINK("https://otsuka-europe-crm.veevavault.com/ui/#object/sent_email__v/VBLZ025E82HPNCJ", "SE-000288703")</f>
        <v>SE-000288703</v>
      </c>
      <c r="D12035" s="1" t="s">
        <v>0</v>
      </c>
      <c r="E12035" s="2">
        <v>0</v>
      </c>
      <c r="F12035" s="2">
        <v>0</v>
      </c>
      <c r="G12035" s="2">
        <v>0</v>
      </c>
      <c r="H12035" s="1" t="s">
        <v>0</v>
      </c>
      <c r="I12035" s="2">
        <v>0</v>
      </c>
      <c r="J12035" s="1">
        <v>45950.700335648151</v>
      </c>
    </row>
    <row r="12036" spans="1:10" x14ac:dyDescent="0.2">
      <c r="A12036" s="4" t="s">
        <v>1</v>
      </c>
      <c r="B1203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36" s="3" t="str">
        <f>HYPERLINK("https://otsuka-europe-crm.veevavault.com/ui/#object/sent_email__v/VBLZ025E82HPNEH", "SE-000288704")</f>
        <v>SE-000288704</v>
      </c>
      <c r="D12036" s="1" t="s">
        <v>0</v>
      </c>
      <c r="E12036" s="2">
        <v>0</v>
      </c>
      <c r="F12036" s="2">
        <v>0</v>
      </c>
      <c r="G12036" s="2">
        <v>0</v>
      </c>
      <c r="H12036" s="1" t="s">
        <v>0</v>
      </c>
      <c r="I12036" s="2">
        <v>0</v>
      </c>
      <c r="J12036" s="1">
        <v>45950.700902777775</v>
      </c>
    </row>
    <row r="12037" spans="1:10" x14ac:dyDescent="0.2">
      <c r="A12037" s="4" t="s">
        <v>1</v>
      </c>
      <c r="B1203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37" s="3" t="str">
        <f>HYPERLINK("https://otsuka-europe-crm.veevavault.com/ui/#object/sent_email__v/VBLZ025E82HPNEI", "SE-000288705")</f>
        <v>SE-000288705</v>
      </c>
      <c r="D12037" s="1" t="s">
        <v>0</v>
      </c>
      <c r="E12037" s="2">
        <v>0</v>
      </c>
      <c r="F12037" s="2">
        <v>0</v>
      </c>
      <c r="G12037" s="2">
        <v>0</v>
      </c>
      <c r="H12037" s="1" t="s">
        <v>0</v>
      </c>
      <c r="I12037" s="2">
        <v>0</v>
      </c>
      <c r="J12037" s="1">
        <v>45950.700868055559</v>
      </c>
    </row>
    <row r="12038" spans="1:10" x14ac:dyDescent="0.2">
      <c r="A12038" s="4" t="s">
        <v>1</v>
      </c>
      <c r="B1203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38" s="3" t="str">
        <f>HYPERLINK("https://otsuka-europe-crm.veevavault.com/ui/#object/sent_email__v/VBLZ025E82HPNEJ", "SE-000288706")</f>
        <v>SE-000288706</v>
      </c>
      <c r="D12038" s="1" t="s">
        <v>0</v>
      </c>
      <c r="E12038" s="2">
        <v>0</v>
      </c>
      <c r="F12038" s="2">
        <v>0</v>
      </c>
      <c r="G12038" s="2">
        <v>0</v>
      </c>
      <c r="H12038" s="1" t="s">
        <v>0</v>
      </c>
      <c r="I12038" s="2">
        <v>0</v>
      </c>
      <c r="J12038" s="1">
        <v>45950.700856481482</v>
      </c>
    </row>
    <row r="12039" spans="1:10" x14ac:dyDescent="0.2">
      <c r="A12039" s="4" t="s">
        <v>1</v>
      </c>
      <c r="B1203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39" s="3" t="str">
        <f>HYPERLINK("https://otsuka-europe-crm.veevavault.com/ui/#object/sent_email__v/VBLZ025E82HPNEK", "SE-000288707")</f>
        <v>SE-000288707</v>
      </c>
      <c r="D12039" s="1" t="s">
        <v>0</v>
      </c>
      <c r="E12039" s="2">
        <v>0</v>
      </c>
      <c r="F12039" s="2">
        <v>0</v>
      </c>
      <c r="G12039" s="2">
        <v>0</v>
      </c>
      <c r="H12039" s="1" t="s">
        <v>0</v>
      </c>
      <c r="I12039" s="2">
        <v>0</v>
      </c>
      <c r="J12039" s="1">
        <v>45950.700868055559</v>
      </c>
    </row>
    <row r="12040" spans="1:10" x14ac:dyDescent="0.2">
      <c r="A12040" s="4" t="s">
        <v>1</v>
      </c>
      <c r="B1204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40" s="3" t="str">
        <f>HYPERLINK("https://otsuka-europe-crm.veevavault.com/ui/#object/sent_email__v/VBLZ025E82HPNEL", "SE-000288708")</f>
        <v>SE-000288708</v>
      </c>
      <c r="D12040" s="1" t="s">
        <v>0</v>
      </c>
      <c r="E12040" s="2">
        <v>0</v>
      </c>
      <c r="F12040" s="2">
        <v>0</v>
      </c>
      <c r="G12040" s="2">
        <v>0</v>
      </c>
      <c r="H12040" s="1" t="s">
        <v>0</v>
      </c>
      <c r="I12040" s="2">
        <v>0</v>
      </c>
      <c r="J12040" s="1">
        <v>45950.700833333336</v>
      </c>
    </row>
    <row r="12041" spans="1:10" x14ac:dyDescent="0.2">
      <c r="A12041" s="4" t="s">
        <v>1</v>
      </c>
      <c r="B1204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41" s="3" t="str">
        <f>HYPERLINK("https://otsuka-europe-crm.veevavault.com/ui/#object/sent_email__v/VBLZ025E82HPNEM", "SE-000288709")</f>
        <v>SE-000288709</v>
      </c>
      <c r="D12041" s="1" t="s">
        <v>0</v>
      </c>
      <c r="E12041" s="2">
        <v>0</v>
      </c>
      <c r="F12041" s="2">
        <v>0</v>
      </c>
      <c r="G12041" s="2">
        <v>0</v>
      </c>
      <c r="H12041" s="1" t="s">
        <v>0</v>
      </c>
      <c r="I12041" s="2">
        <v>0</v>
      </c>
      <c r="J12041" s="1">
        <v>45950.700821759259</v>
      </c>
    </row>
    <row r="12042" spans="1:10" x14ac:dyDescent="0.2">
      <c r="A12042" s="4" t="s">
        <v>1</v>
      </c>
      <c r="B1204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42" s="3" t="str">
        <f>HYPERLINK("https://otsuka-europe-crm.veevavault.com/ui/#object/sent_email__v/VBLZ025E82HPNEN", "SE-000288710")</f>
        <v>SE-000288710</v>
      </c>
      <c r="D12042" s="1" t="s">
        <v>0</v>
      </c>
      <c r="E12042" s="2">
        <v>0</v>
      </c>
      <c r="F12042" s="2">
        <v>0</v>
      </c>
      <c r="G12042" s="2">
        <v>0</v>
      </c>
      <c r="H12042" s="1" t="s">
        <v>0</v>
      </c>
      <c r="I12042" s="2">
        <v>0</v>
      </c>
      <c r="J12042" s="1">
        <v>45950.700833333336</v>
      </c>
    </row>
    <row r="12043" spans="1:10" x14ac:dyDescent="0.2">
      <c r="A12043" s="4" t="s">
        <v>1</v>
      </c>
      <c r="B1204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43" s="3" t="str">
        <f>HYPERLINK("https://otsuka-europe-crm.veevavault.com/ui/#object/sent_email__v/VBLZ025E82HPNEO", "SE-000288711")</f>
        <v>SE-000288711</v>
      </c>
      <c r="D12043" s="1" t="s">
        <v>0</v>
      </c>
      <c r="E12043" s="2">
        <v>0</v>
      </c>
      <c r="F12043" s="2">
        <v>0</v>
      </c>
      <c r="G12043" s="2">
        <v>0</v>
      </c>
      <c r="H12043" s="1" t="s">
        <v>0</v>
      </c>
      <c r="I12043" s="2">
        <v>0</v>
      </c>
      <c r="J12043" s="1">
        <v>45950.700844907406</v>
      </c>
    </row>
    <row r="12044" spans="1:10" x14ac:dyDescent="0.2">
      <c r="A12044" s="4" t="s">
        <v>1</v>
      </c>
      <c r="B1204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44" s="3" t="str">
        <f>HYPERLINK("https://otsuka-europe-crm.veevavault.com/ui/#object/sent_email__v/VBLZ025E82HPNEP", "SE-000288712")</f>
        <v>SE-000288712</v>
      </c>
      <c r="D12044" s="1" t="s">
        <v>0</v>
      </c>
      <c r="E12044" s="2">
        <v>0</v>
      </c>
      <c r="F12044" s="2">
        <v>0</v>
      </c>
      <c r="G12044" s="2">
        <v>0</v>
      </c>
      <c r="H12044" s="1" t="s">
        <v>0</v>
      </c>
      <c r="I12044" s="2">
        <v>0</v>
      </c>
      <c r="J12044" s="1">
        <v>45950.700891203705</v>
      </c>
    </row>
    <row r="12045" spans="1:10" x14ac:dyDescent="0.2">
      <c r="A12045" s="4" t="s">
        <v>1</v>
      </c>
      <c r="B1204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45" s="3" t="str">
        <f>HYPERLINK("https://otsuka-europe-crm.veevavault.com/ui/#object/sent_email__v/VBLZ025E82HPNEQ", "SE-000288713")</f>
        <v>SE-000288713</v>
      </c>
      <c r="D12045" s="1">
        <v>45951.692430555559</v>
      </c>
      <c r="E12045" s="2">
        <v>1</v>
      </c>
      <c r="F12045" s="2">
        <v>1</v>
      </c>
      <c r="G12045" s="2">
        <v>0</v>
      </c>
      <c r="H12045" s="1" t="s">
        <v>0</v>
      </c>
      <c r="I12045" s="2">
        <v>0</v>
      </c>
      <c r="J12045" s="1">
        <v>45950.700891203705</v>
      </c>
    </row>
    <row r="12046" spans="1:10" x14ac:dyDescent="0.2">
      <c r="A12046" s="4" t="s">
        <v>1</v>
      </c>
      <c r="B1204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46" s="3" t="str">
        <f>HYPERLINK("https://otsuka-europe-crm.veevavault.com/ui/#object/sent_email__v/VBLZ025E82HPNER", "SE-000288714")</f>
        <v>SE-000288714</v>
      </c>
      <c r="D12046" s="1" t="s">
        <v>0</v>
      </c>
      <c r="E12046" s="2">
        <v>0</v>
      </c>
      <c r="F12046" s="2">
        <v>0</v>
      </c>
      <c r="G12046" s="2">
        <v>0</v>
      </c>
      <c r="H12046" s="1" t="s">
        <v>0</v>
      </c>
      <c r="I12046" s="2">
        <v>0</v>
      </c>
      <c r="J12046" s="1">
        <v>45950.700879629629</v>
      </c>
    </row>
    <row r="12047" spans="1:10" x14ac:dyDescent="0.2">
      <c r="A12047" s="4" t="s">
        <v>1</v>
      </c>
      <c r="B1204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47" s="3" t="str">
        <f>HYPERLINK("https://otsuka-europe-crm.veevavault.com/ui/#object/sent_email__v/VBLZ025E82HQMW9", "SE-000289370")</f>
        <v>SE-000289370</v>
      </c>
      <c r="D12047" s="1" t="s">
        <v>0</v>
      </c>
      <c r="E12047" s="2">
        <v>0</v>
      </c>
      <c r="F12047" s="2">
        <v>0</v>
      </c>
      <c r="G12047" s="2">
        <v>0</v>
      </c>
      <c r="H12047" s="1" t="s">
        <v>0</v>
      </c>
      <c r="I12047" s="2">
        <v>0</v>
      </c>
      <c r="J12047" s="1">
        <v>45951.667222222219</v>
      </c>
    </row>
    <row r="12048" spans="1:10" x14ac:dyDescent="0.2">
      <c r="A12048" s="4" t="s">
        <v>1</v>
      </c>
      <c r="B1204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48" s="3" t="str">
        <f>HYPERLINK("https://otsuka-europe-crm.veevavault.com/ui/#object/sent_email__v/VBLZ025E82HQMWA", "SE-000289371")</f>
        <v>SE-000289371</v>
      </c>
      <c r="D12048" s="1" t="s">
        <v>0</v>
      </c>
      <c r="E12048" s="2">
        <v>0</v>
      </c>
      <c r="F12048" s="2">
        <v>0</v>
      </c>
      <c r="G12048" s="2">
        <v>0</v>
      </c>
      <c r="H12048" s="1" t="s">
        <v>0</v>
      </c>
      <c r="I12048" s="2">
        <v>0</v>
      </c>
      <c r="J12048" s="1">
        <v>45951.667233796295</v>
      </c>
    </row>
    <row r="12049" spans="1:10" x14ac:dyDescent="0.2">
      <c r="A12049" s="4" t="s">
        <v>1</v>
      </c>
      <c r="B1204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49" s="3" t="str">
        <f>HYPERLINK("https://otsuka-europe-crm.veevavault.com/ui/#object/sent_email__v/VBLZ025E82HQMWB", "SE-000289372")</f>
        <v>SE-000289372</v>
      </c>
      <c r="D12049" s="1" t="s">
        <v>0</v>
      </c>
      <c r="E12049" s="2">
        <v>0</v>
      </c>
      <c r="F12049" s="2">
        <v>0</v>
      </c>
      <c r="G12049" s="2">
        <v>0</v>
      </c>
      <c r="H12049" s="1" t="s">
        <v>0</v>
      </c>
      <c r="I12049" s="2">
        <v>0</v>
      </c>
      <c r="J12049" s="1">
        <v>45951.667222222219</v>
      </c>
    </row>
    <row r="12050" spans="1:10" x14ac:dyDescent="0.2">
      <c r="A12050" s="4" t="s">
        <v>1</v>
      </c>
      <c r="B1205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50" s="3" t="str">
        <f>HYPERLINK("https://otsuka-europe-crm.veevavault.com/ui/#object/sent_email__v/VBLZ025E82HQMWC", "SE-000289373")</f>
        <v>SE-000289373</v>
      </c>
      <c r="D12050" s="1" t="s">
        <v>0</v>
      </c>
      <c r="E12050" s="2">
        <v>0</v>
      </c>
      <c r="F12050" s="2">
        <v>0</v>
      </c>
      <c r="G12050" s="2">
        <v>0</v>
      </c>
      <c r="H12050" s="1" t="s">
        <v>0</v>
      </c>
      <c r="I12050" s="2">
        <v>0</v>
      </c>
      <c r="J12050" s="1">
        <v>45951.667233796295</v>
      </c>
    </row>
    <row r="12051" spans="1:10" x14ac:dyDescent="0.2">
      <c r="A12051" s="4" t="s">
        <v>1</v>
      </c>
      <c r="B1205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51" s="3" t="str">
        <f>HYPERLINK("https://otsuka-europe-crm.veevavault.com/ui/#object/sent_email__v/VBLZ025E82HQMWD", "SE-000289374")</f>
        <v>SE-000289374</v>
      </c>
      <c r="D12051" s="1" t="s">
        <v>0</v>
      </c>
      <c r="E12051" s="2">
        <v>0</v>
      </c>
      <c r="F12051" s="2">
        <v>0</v>
      </c>
      <c r="G12051" s="2">
        <v>0</v>
      </c>
      <c r="H12051" s="1" t="s">
        <v>0</v>
      </c>
      <c r="I12051" s="2">
        <v>0</v>
      </c>
      <c r="J12051" s="1">
        <v>45951.667245370372</v>
      </c>
    </row>
    <row r="12052" spans="1:10" x14ac:dyDescent="0.2">
      <c r="A12052" s="4" t="s">
        <v>1</v>
      </c>
      <c r="B1205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52" s="3" t="str">
        <f>HYPERLINK("https://otsuka-europe-crm.veevavault.com/ui/#object/sent_email__v/VBLZ025E82HQMWE", "SE-000289375")</f>
        <v>SE-000289375</v>
      </c>
      <c r="D12052" s="1" t="s">
        <v>0</v>
      </c>
      <c r="E12052" s="2">
        <v>0</v>
      </c>
      <c r="F12052" s="2">
        <v>0</v>
      </c>
      <c r="G12052" s="2">
        <v>0</v>
      </c>
      <c r="H12052" s="1" t="s">
        <v>0</v>
      </c>
      <c r="I12052" s="2">
        <v>0</v>
      </c>
      <c r="J12052" s="1">
        <v>45951.667245370372</v>
      </c>
    </row>
    <row r="12053" spans="1:10" x14ac:dyDescent="0.2">
      <c r="A12053" s="4" t="s">
        <v>1</v>
      </c>
      <c r="B1205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53" s="3" t="str">
        <f>HYPERLINK("https://otsuka-europe-crm.veevavault.com/ui/#object/sent_email__v/VBLZ025E82HQMWF", "SE-000289376")</f>
        <v>SE-000289376</v>
      </c>
      <c r="D12053" s="1" t="s">
        <v>0</v>
      </c>
      <c r="E12053" s="2">
        <v>0</v>
      </c>
      <c r="F12053" s="2">
        <v>0</v>
      </c>
      <c r="G12053" s="2">
        <v>0</v>
      </c>
      <c r="H12053" s="1" t="s">
        <v>0</v>
      </c>
      <c r="I12053" s="2">
        <v>0</v>
      </c>
      <c r="J12053" s="1">
        <v>45951.667245370372</v>
      </c>
    </row>
    <row r="12054" spans="1:10" x14ac:dyDescent="0.2">
      <c r="A12054" s="4" t="s">
        <v>1</v>
      </c>
      <c r="B1205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54" s="3" t="str">
        <f>HYPERLINK("https://otsuka-europe-crm.veevavault.com/ui/#object/sent_email__v/VBLZ025E82HQMWG", "SE-000289377")</f>
        <v>SE-000289377</v>
      </c>
      <c r="D12054" s="1">
        <v>45951.667372685188</v>
      </c>
      <c r="E12054" s="2">
        <v>1</v>
      </c>
      <c r="F12054" s="2">
        <v>1</v>
      </c>
      <c r="G12054" s="2">
        <v>0</v>
      </c>
      <c r="H12054" s="1" t="s">
        <v>0</v>
      </c>
      <c r="I12054" s="2">
        <v>0</v>
      </c>
      <c r="J12054" s="1">
        <v>45951.667291666665</v>
      </c>
    </row>
    <row r="12055" spans="1:10" x14ac:dyDescent="0.2">
      <c r="A12055" s="4" t="s">
        <v>1</v>
      </c>
      <c r="B1205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55" s="3" t="str">
        <f>HYPERLINK("https://otsuka-europe-crm.veevavault.com/ui/#object/sent_email__v/VBLZ025E82HQMWH", "SE-000289378")</f>
        <v>SE-000289378</v>
      </c>
      <c r="D12055" s="1" t="s">
        <v>0</v>
      </c>
      <c r="E12055" s="2">
        <v>0</v>
      </c>
      <c r="F12055" s="2">
        <v>0</v>
      </c>
      <c r="G12055" s="2">
        <v>0</v>
      </c>
      <c r="H12055" s="1" t="s">
        <v>0</v>
      </c>
      <c r="I12055" s="2">
        <v>0</v>
      </c>
      <c r="J12055" s="1">
        <v>45951.667268518519</v>
      </c>
    </row>
    <row r="12056" spans="1:10" x14ac:dyDescent="0.2">
      <c r="A12056" s="4" t="s">
        <v>1</v>
      </c>
      <c r="B1205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56" s="3" t="str">
        <f>HYPERLINK("https://otsuka-europe-crm.veevavault.com/ui/#object/sent_email__v/VBLZ025E82HQMWI", "SE-000289379")</f>
        <v>SE-000289379</v>
      </c>
      <c r="D12056" s="1" t="s">
        <v>0</v>
      </c>
      <c r="E12056" s="2">
        <v>0</v>
      </c>
      <c r="F12056" s="2">
        <v>0</v>
      </c>
      <c r="G12056" s="2">
        <v>0</v>
      </c>
      <c r="H12056" s="1" t="s">
        <v>0</v>
      </c>
      <c r="I12056" s="2">
        <v>0</v>
      </c>
      <c r="J12056" s="1">
        <v>45951.667291666665</v>
      </c>
    </row>
    <row r="12057" spans="1:10" x14ac:dyDescent="0.2">
      <c r="A12057" s="4" t="s">
        <v>1</v>
      </c>
      <c r="B1205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57" s="3" t="str">
        <f>HYPERLINK("https://otsuka-europe-crm.veevavault.com/ui/#object/sent_email__v/VBLZ025E82HQMWJ", "SE-000289380")</f>
        <v>SE-000289380</v>
      </c>
      <c r="D12057" s="1" t="s">
        <v>0</v>
      </c>
      <c r="E12057" s="2">
        <v>0</v>
      </c>
      <c r="F12057" s="2">
        <v>0</v>
      </c>
      <c r="G12057" s="2">
        <v>0</v>
      </c>
      <c r="H12057" s="1" t="s">
        <v>0</v>
      </c>
      <c r="I12057" s="2">
        <v>0</v>
      </c>
      <c r="J12057" s="1">
        <v>45951.667291666665</v>
      </c>
    </row>
    <row r="12058" spans="1:10" x14ac:dyDescent="0.2">
      <c r="A12058" s="4" t="s">
        <v>1</v>
      </c>
      <c r="B1205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58" s="3" t="str">
        <f>HYPERLINK("https://otsuka-europe-crm.veevavault.com/ui/#object/sent_email__v/VBLZ025E82HQMWK", "SE-000289381")</f>
        <v>SE-000289381</v>
      </c>
      <c r="D12058" s="1" t="s">
        <v>0</v>
      </c>
      <c r="E12058" s="2">
        <v>0</v>
      </c>
      <c r="F12058" s="2">
        <v>0</v>
      </c>
      <c r="G12058" s="2">
        <v>0</v>
      </c>
      <c r="H12058" s="1" t="s">
        <v>0</v>
      </c>
      <c r="I12058" s="2">
        <v>0</v>
      </c>
      <c r="J12058" s="1">
        <v>45951.667303240742</v>
      </c>
    </row>
    <row r="12059" spans="1:10" x14ac:dyDescent="0.2">
      <c r="A12059" s="4" t="s">
        <v>1</v>
      </c>
      <c r="B1205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59" s="3" t="str">
        <f>HYPERLINK("https://otsuka-europe-crm.veevavault.com/ui/#object/sent_email__v/VBLZ025E82HQMWL", "SE-000289382")</f>
        <v>SE-000289382</v>
      </c>
      <c r="D12059" s="1" t="s">
        <v>0</v>
      </c>
      <c r="E12059" s="2">
        <v>0</v>
      </c>
      <c r="F12059" s="2">
        <v>0</v>
      </c>
      <c r="G12059" s="2">
        <v>0</v>
      </c>
      <c r="H12059" s="1" t="s">
        <v>0</v>
      </c>
      <c r="I12059" s="2">
        <v>0</v>
      </c>
      <c r="J12059" s="1">
        <v>45951.667314814818</v>
      </c>
    </row>
    <row r="12060" spans="1:10" x14ac:dyDescent="0.2">
      <c r="A12060" s="4" t="s">
        <v>1</v>
      </c>
      <c r="B1206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60" s="3" t="str">
        <f>HYPERLINK("https://otsuka-europe-crm.veevavault.com/ui/#object/sent_email__v/VBLZ025E82HQMWM", "SE-000289383")</f>
        <v>SE-000289383</v>
      </c>
      <c r="D12060" s="1" t="s">
        <v>0</v>
      </c>
      <c r="E12060" s="2">
        <v>0</v>
      </c>
      <c r="F12060" s="2">
        <v>0</v>
      </c>
      <c r="G12060" s="2">
        <v>0</v>
      </c>
      <c r="H12060" s="1" t="s">
        <v>0</v>
      </c>
      <c r="I12060" s="2">
        <v>0</v>
      </c>
      <c r="J12060" s="1">
        <v>45951.667326388888</v>
      </c>
    </row>
    <row r="12061" spans="1:10" x14ac:dyDescent="0.2">
      <c r="A12061" s="4" t="s">
        <v>1</v>
      </c>
      <c r="B1206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61" s="3" t="str">
        <f>HYPERLINK("https://otsuka-europe-crm.veevavault.com/ui/#object/sent_email__v/VBLZ025E82HQMWN", "SE-000289384")</f>
        <v>SE-000289384</v>
      </c>
      <c r="D12061" s="1" t="s">
        <v>0</v>
      </c>
      <c r="E12061" s="2">
        <v>0</v>
      </c>
      <c r="F12061" s="2">
        <v>0</v>
      </c>
      <c r="G12061" s="2">
        <v>0</v>
      </c>
      <c r="H12061" s="1" t="s">
        <v>0</v>
      </c>
      <c r="I12061" s="2">
        <v>0</v>
      </c>
      <c r="J12061" s="1">
        <v>45951.667349537034</v>
      </c>
    </row>
    <row r="12062" spans="1:10" x14ac:dyDescent="0.2">
      <c r="A12062" s="4" t="s">
        <v>1</v>
      </c>
      <c r="B1206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62" s="3" t="str">
        <f>HYPERLINK("https://otsuka-europe-crm.veevavault.com/ui/#object/sent_email__v/VBLZ025E82HQMWO", "SE-000289385")</f>
        <v>SE-000289385</v>
      </c>
      <c r="D12062" s="1" t="s">
        <v>0</v>
      </c>
      <c r="E12062" s="2">
        <v>0</v>
      </c>
      <c r="F12062" s="2">
        <v>0</v>
      </c>
      <c r="G12062" s="2">
        <v>0</v>
      </c>
      <c r="H12062" s="1" t="s">
        <v>0</v>
      </c>
      <c r="I12062" s="2">
        <v>0</v>
      </c>
      <c r="J12062" s="1">
        <v>45951.667349537034</v>
      </c>
    </row>
    <row r="12063" spans="1:10" x14ac:dyDescent="0.2">
      <c r="A12063" s="4" t="s">
        <v>1</v>
      </c>
      <c r="B1206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63" s="3" t="str">
        <f>HYPERLINK("https://otsuka-europe-crm.veevavault.com/ui/#object/sent_email__v/VBLZ025E82HQMWP", "SE-000289386")</f>
        <v>SE-000289386</v>
      </c>
      <c r="D12063" s="1" t="s">
        <v>0</v>
      </c>
      <c r="E12063" s="2">
        <v>0</v>
      </c>
      <c r="F12063" s="2">
        <v>0</v>
      </c>
      <c r="G12063" s="2">
        <v>0</v>
      </c>
      <c r="H12063" s="1" t="s">
        <v>0</v>
      </c>
      <c r="I12063" s="2">
        <v>0</v>
      </c>
      <c r="J12063" s="1">
        <v>45951.667361111111</v>
      </c>
    </row>
    <row r="12064" spans="1:10" x14ac:dyDescent="0.2">
      <c r="A12064" s="4" t="s">
        <v>1</v>
      </c>
      <c r="B1206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64" s="3" t="str">
        <f>HYPERLINK("https://otsuka-europe-crm.veevavault.com/ui/#object/sent_email__v/VBLZ025E82HQMWQ", "SE-000289387")</f>
        <v>SE-000289387</v>
      </c>
      <c r="D12064" s="1" t="s">
        <v>0</v>
      </c>
      <c r="E12064" s="2">
        <v>0</v>
      </c>
      <c r="F12064" s="2">
        <v>0</v>
      </c>
      <c r="G12064" s="2">
        <v>0</v>
      </c>
      <c r="H12064" s="1" t="s">
        <v>0</v>
      </c>
      <c r="I12064" s="2">
        <v>0</v>
      </c>
      <c r="J12064" s="1">
        <v>45951.667361111111</v>
      </c>
    </row>
    <row r="12065" spans="1:10" x14ac:dyDescent="0.2">
      <c r="A12065" s="4" t="s">
        <v>1</v>
      </c>
      <c r="B1206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65" s="3" t="str">
        <f>HYPERLINK("https://otsuka-europe-crm.veevavault.com/ui/#object/sent_email__v/VBLZ025E82HQMWR", "SE-000289388")</f>
        <v>SE-000289388</v>
      </c>
      <c r="D12065" s="1" t="s">
        <v>0</v>
      </c>
      <c r="E12065" s="2">
        <v>0</v>
      </c>
      <c r="F12065" s="2">
        <v>0</v>
      </c>
      <c r="G12065" s="2">
        <v>0</v>
      </c>
      <c r="H12065" s="1" t="s">
        <v>0</v>
      </c>
      <c r="I12065" s="2">
        <v>0</v>
      </c>
      <c r="J12065" s="1">
        <v>45951.667372685188</v>
      </c>
    </row>
    <row r="12066" spans="1:10" x14ac:dyDescent="0.2">
      <c r="A12066" s="4" t="s">
        <v>1</v>
      </c>
      <c r="B1206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66" s="3" t="str">
        <f>HYPERLINK("https://otsuka-europe-crm.veevavault.com/ui/#object/sent_email__v/VBLZ025E82HQMWS", "SE-000289389")</f>
        <v>SE-000289389</v>
      </c>
      <c r="D12066" s="1" t="s">
        <v>0</v>
      </c>
      <c r="E12066" s="2">
        <v>0</v>
      </c>
      <c r="F12066" s="2">
        <v>0</v>
      </c>
      <c r="G12066" s="2">
        <v>0</v>
      </c>
      <c r="H12066" s="1" t="s">
        <v>0</v>
      </c>
      <c r="I12066" s="2">
        <v>0</v>
      </c>
      <c r="J12066" s="1">
        <v>45951.667395833334</v>
      </c>
    </row>
    <row r="12067" spans="1:10" x14ac:dyDescent="0.2">
      <c r="A12067" s="4" t="s">
        <v>1</v>
      </c>
      <c r="B1206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67" s="3" t="str">
        <f>HYPERLINK("https://otsuka-europe-crm.veevavault.com/ui/#object/sent_email__v/VBLZ025E82HQMWT", "SE-000289390")</f>
        <v>SE-000289390</v>
      </c>
      <c r="D12067" s="1" t="s">
        <v>0</v>
      </c>
      <c r="E12067" s="2">
        <v>0</v>
      </c>
      <c r="F12067" s="2">
        <v>0</v>
      </c>
      <c r="G12067" s="2">
        <v>0</v>
      </c>
      <c r="H12067" s="1" t="s">
        <v>0</v>
      </c>
      <c r="I12067" s="2">
        <v>0</v>
      </c>
      <c r="J12067" s="1">
        <v>45951.667384259257</v>
      </c>
    </row>
    <row r="12068" spans="1:10" x14ac:dyDescent="0.2">
      <c r="A12068" s="4" t="s">
        <v>1</v>
      </c>
      <c r="B1206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68" s="3" t="str">
        <f>HYPERLINK("https://otsuka-europe-crm.veevavault.com/ui/#object/sent_email__v/VBLZ025E82HQMWU", "SE-000289391")</f>
        <v>SE-000289391</v>
      </c>
      <c r="D12068" s="1" t="s">
        <v>0</v>
      </c>
      <c r="E12068" s="2">
        <v>0</v>
      </c>
      <c r="F12068" s="2">
        <v>0</v>
      </c>
      <c r="G12068" s="2">
        <v>0</v>
      </c>
      <c r="H12068" s="1" t="s">
        <v>0</v>
      </c>
      <c r="I12068" s="2">
        <v>0</v>
      </c>
      <c r="J12068" s="1">
        <v>45951.667395833334</v>
      </c>
    </row>
    <row r="12069" spans="1:10" x14ac:dyDescent="0.2">
      <c r="A12069" s="4" t="s">
        <v>1</v>
      </c>
      <c r="B1206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69" s="3" t="str">
        <f>HYPERLINK("https://otsuka-europe-crm.veevavault.com/ui/#object/sent_email__v/VBLZ025E82HQMWV", "SE-000289392")</f>
        <v>SE-000289392</v>
      </c>
      <c r="D12069" s="1" t="s">
        <v>0</v>
      </c>
      <c r="E12069" s="2">
        <v>0</v>
      </c>
      <c r="F12069" s="2">
        <v>0</v>
      </c>
      <c r="G12069" s="2">
        <v>0</v>
      </c>
      <c r="H12069" s="1" t="s">
        <v>0</v>
      </c>
      <c r="I12069" s="2">
        <v>0</v>
      </c>
      <c r="J12069" s="1">
        <v>45951.667407407411</v>
      </c>
    </row>
    <row r="12070" spans="1:10" x14ac:dyDescent="0.2">
      <c r="A12070" s="4" t="s">
        <v>1</v>
      </c>
      <c r="B1207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70" s="3" t="str">
        <f>HYPERLINK("https://otsuka-europe-crm.veevavault.com/ui/#object/sent_email__v/VBLZ025E82HQMWW", "SE-000289393")</f>
        <v>SE-000289393</v>
      </c>
      <c r="D12070" s="1" t="s">
        <v>0</v>
      </c>
      <c r="E12070" s="2">
        <v>0</v>
      </c>
      <c r="F12070" s="2">
        <v>0</v>
      </c>
      <c r="G12070" s="2">
        <v>0</v>
      </c>
      <c r="H12070" s="1" t="s">
        <v>0</v>
      </c>
      <c r="I12070" s="2">
        <v>0</v>
      </c>
      <c r="J12070" s="1">
        <v>45951.66741898148</v>
      </c>
    </row>
    <row r="12071" spans="1:10" x14ac:dyDescent="0.2">
      <c r="A12071" s="4" t="s">
        <v>1</v>
      </c>
      <c r="B1207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71" s="3" t="str">
        <f>HYPERLINK("https://otsuka-europe-crm.veevavault.com/ui/#object/sent_email__v/VBLZ025E82HQMWX", "SE-000289394")</f>
        <v>SE-000289394</v>
      </c>
      <c r="D12071" s="1" t="s">
        <v>0</v>
      </c>
      <c r="E12071" s="2">
        <v>0</v>
      </c>
      <c r="F12071" s="2">
        <v>0</v>
      </c>
      <c r="G12071" s="2">
        <v>0</v>
      </c>
      <c r="H12071" s="1" t="s">
        <v>0</v>
      </c>
      <c r="I12071" s="2">
        <v>0</v>
      </c>
      <c r="J12071" s="1">
        <v>45951.667430555557</v>
      </c>
    </row>
    <row r="12072" spans="1:10" x14ac:dyDescent="0.2">
      <c r="A12072" s="4" t="s">
        <v>1</v>
      </c>
      <c r="B1207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72" s="3" t="str">
        <f>HYPERLINK("https://otsuka-europe-crm.veevavault.com/ui/#object/sent_email__v/VBLZ025E82HQMWY", "SE-000289395")</f>
        <v>SE-000289395</v>
      </c>
      <c r="D12072" s="1" t="s">
        <v>0</v>
      </c>
      <c r="E12072" s="2">
        <v>0</v>
      </c>
      <c r="F12072" s="2">
        <v>0</v>
      </c>
      <c r="G12072" s="2">
        <v>0</v>
      </c>
      <c r="H12072" s="1" t="s">
        <v>0</v>
      </c>
      <c r="I12072" s="2">
        <v>0</v>
      </c>
      <c r="J12072" s="1">
        <v>45951.667442129627</v>
      </c>
    </row>
    <row r="12073" spans="1:10" x14ac:dyDescent="0.2">
      <c r="A12073" s="4" t="s">
        <v>1</v>
      </c>
      <c r="B1207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73" s="3" t="str">
        <f>HYPERLINK("https://otsuka-europe-crm.veevavault.com/ui/#object/sent_email__v/VBLZ025E82HQMWZ", "SE-000289396")</f>
        <v>SE-000289396</v>
      </c>
      <c r="D12073" s="1" t="s">
        <v>0</v>
      </c>
      <c r="E12073" s="2">
        <v>0</v>
      </c>
      <c r="F12073" s="2">
        <v>0</v>
      </c>
      <c r="G12073" s="2">
        <v>0</v>
      </c>
      <c r="H12073" s="1" t="s">
        <v>0</v>
      </c>
      <c r="I12073" s="2">
        <v>0</v>
      </c>
      <c r="J12073" s="1">
        <v>45951.667453703703</v>
      </c>
    </row>
    <row r="12074" spans="1:10" x14ac:dyDescent="0.2">
      <c r="A12074" s="4" t="s">
        <v>1</v>
      </c>
      <c r="B1207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74" s="3" t="str">
        <f>HYPERLINK("https://otsuka-europe-crm.veevavault.com/ui/#object/sent_email__v/VBLZ025E82HQMX0", "SE-000289397")</f>
        <v>SE-000289397</v>
      </c>
      <c r="D12074" s="1">
        <v>45951.667604166665</v>
      </c>
      <c r="E12074" s="2">
        <v>1</v>
      </c>
      <c r="F12074" s="2">
        <v>1</v>
      </c>
      <c r="G12074" s="2">
        <v>0</v>
      </c>
      <c r="H12074" s="1" t="s">
        <v>0</v>
      </c>
      <c r="I12074" s="2">
        <v>0</v>
      </c>
      <c r="J12074" s="1">
        <v>45951.667453703703</v>
      </c>
    </row>
    <row r="12075" spans="1:10" x14ac:dyDescent="0.2">
      <c r="A12075" s="4" t="s">
        <v>1</v>
      </c>
      <c r="B1207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75" s="3" t="str">
        <f>HYPERLINK("https://otsuka-europe-crm.veevavault.com/ui/#object/sent_email__v/VBLZ025E82HQMX1", "SE-000289398")</f>
        <v>SE-000289398</v>
      </c>
      <c r="D12075" s="1" t="s">
        <v>0</v>
      </c>
      <c r="E12075" s="2">
        <v>0</v>
      </c>
      <c r="F12075" s="2">
        <v>0</v>
      </c>
      <c r="G12075" s="2">
        <v>0</v>
      </c>
      <c r="H12075" s="1" t="s">
        <v>0</v>
      </c>
      <c r="I12075" s="2">
        <v>0</v>
      </c>
      <c r="J12075" s="1">
        <v>45951.66746527778</v>
      </c>
    </row>
    <row r="12076" spans="1:10" x14ac:dyDescent="0.2">
      <c r="A12076" s="4" t="s">
        <v>1</v>
      </c>
      <c r="B1207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76" s="3" t="str">
        <f>HYPERLINK("https://otsuka-europe-crm.veevavault.com/ui/#object/sent_email__v/VBLZ025E82HQMX2", "SE-000289399")</f>
        <v>SE-000289399</v>
      </c>
      <c r="D12076" s="1" t="s">
        <v>0</v>
      </c>
      <c r="E12076" s="2">
        <v>0</v>
      </c>
      <c r="F12076" s="2">
        <v>0</v>
      </c>
      <c r="G12076" s="2">
        <v>0</v>
      </c>
      <c r="H12076" s="1" t="s">
        <v>0</v>
      </c>
      <c r="I12076" s="2">
        <v>0</v>
      </c>
      <c r="J12076" s="1">
        <v>45951.66747685185</v>
      </c>
    </row>
    <row r="12077" spans="1:10" x14ac:dyDescent="0.2">
      <c r="A12077" s="4" t="s">
        <v>1</v>
      </c>
      <c r="B1207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77" s="3" t="str">
        <f>HYPERLINK("https://otsuka-europe-crm.veevavault.com/ui/#object/sent_email__v/VBLZ025E82HQMX3", "SE-000289400")</f>
        <v>SE-000289400</v>
      </c>
      <c r="D12077" s="1" t="s">
        <v>0</v>
      </c>
      <c r="E12077" s="2">
        <v>0</v>
      </c>
      <c r="F12077" s="2">
        <v>0</v>
      </c>
      <c r="G12077" s="2">
        <v>0</v>
      </c>
      <c r="H12077" s="1" t="s">
        <v>0</v>
      </c>
      <c r="I12077" s="2">
        <v>0</v>
      </c>
      <c r="J12077" s="1">
        <v>45951.667488425926</v>
      </c>
    </row>
    <row r="12078" spans="1:10" x14ac:dyDescent="0.2">
      <c r="A12078" s="4" t="s">
        <v>1</v>
      </c>
      <c r="B1207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78" s="3" t="str">
        <f>HYPERLINK("https://otsuka-europe-crm.veevavault.com/ui/#object/sent_email__v/VBLZ025E82HQMX4", "SE-000289401")</f>
        <v>SE-000289401</v>
      </c>
      <c r="D12078" s="1" t="s">
        <v>0</v>
      </c>
      <c r="E12078" s="2">
        <v>0</v>
      </c>
      <c r="F12078" s="2">
        <v>0</v>
      </c>
      <c r="G12078" s="2">
        <v>0</v>
      </c>
      <c r="H12078" s="1" t="s">
        <v>0</v>
      </c>
      <c r="I12078" s="2">
        <v>0</v>
      </c>
      <c r="J12078" s="1">
        <v>45951.667500000003</v>
      </c>
    </row>
    <row r="12079" spans="1:10" x14ac:dyDescent="0.2">
      <c r="A12079" s="4" t="s">
        <v>1</v>
      </c>
      <c r="B1207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79" s="3" t="str">
        <f>HYPERLINK("https://otsuka-europe-crm.veevavault.com/ui/#object/sent_email__v/VBLZ025E82HQMX5", "SE-000289402")</f>
        <v>SE-000289402</v>
      </c>
      <c r="D12079" s="1" t="s">
        <v>0</v>
      </c>
      <c r="E12079" s="2">
        <v>0</v>
      </c>
      <c r="F12079" s="2">
        <v>0</v>
      </c>
      <c r="G12079" s="2">
        <v>0</v>
      </c>
      <c r="H12079" s="1" t="s">
        <v>0</v>
      </c>
      <c r="I12079" s="2">
        <v>0</v>
      </c>
      <c r="J12079" s="1">
        <v>45951.667500000003</v>
      </c>
    </row>
    <row r="12080" spans="1:10" x14ac:dyDescent="0.2">
      <c r="A12080" s="4" t="s">
        <v>1</v>
      </c>
      <c r="B1208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80" s="3" t="str">
        <f>HYPERLINK("https://otsuka-europe-crm.veevavault.com/ui/#object/sent_email__v/VBLZ025E82HQMX6", "SE-000289403")</f>
        <v>SE-000289403</v>
      </c>
      <c r="D12080" s="1" t="s">
        <v>0</v>
      </c>
      <c r="E12080" s="2">
        <v>0</v>
      </c>
      <c r="F12080" s="2">
        <v>0</v>
      </c>
      <c r="G12080" s="2">
        <v>0</v>
      </c>
      <c r="H12080" s="1" t="s">
        <v>0</v>
      </c>
      <c r="I12080" s="2">
        <v>0</v>
      </c>
      <c r="J12080" s="1">
        <v>45951.667511574073</v>
      </c>
    </row>
    <row r="12081" spans="1:10" x14ac:dyDescent="0.2">
      <c r="A12081" s="4" t="s">
        <v>1</v>
      </c>
      <c r="B1208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81" s="3" t="str">
        <f>HYPERLINK("https://otsuka-europe-crm.veevavault.com/ui/#object/sent_email__v/VBLZ025E82HQMX7", "SE-000289404")</f>
        <v>SE-000289404</v>
      </c>
      <c r="D12081" s="1" t="s">
        <v>0</v>
      </c>
      <c r="E12081" s="2">
        <v>0</v>
      </c>
      <c r="F12081" s="2">
        <v>0</v>
      </c>
      <c r="G12081" s="2">
        <v>0</v>
      </c>
      <c r="H12081" s="1" t="s">
        <v>0</v>
      </c>
      <c r="I12081" s="2">
        <v>0</v>
      </c>
      <c r="J12081" s="1">
        <v>45951.667523148149</v>
      </c>
    </row>
    <row r="12082" spans="1:10" x14ac:dyDescent="0.2">
      <c r="A12082" s="4" t="s">
        <v>1</v>
      </c>
      <c r="B1208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82" s="3" t="str">
        <f>HYPERLINK("https://otsuka-europe-crm.veevavault.com/ui/#object/sent_email__v/VBLZ025E82HQMX8", "SE-000289405")</f>
        <v>SE-000289405</v>
      </c>
      <c r="D12082" s="1" t="s">
        <v>0</v>
      </c>
      <c r="E12082" s="2">
        <v>0</v>
      </c>
      <c r="F12082" s="2">
        <v>0</v>
      </c>
      <c r="G12082" s="2">
        <v>0</v>
      </c>
      <c r="H12082" s="1" t="s">
        <v>0</v>
      </c>
      <c r="I12082" s="2">
        <v>0</v>
      </c>
      <c r="J12082" s="1">
        <v>45951.667534722219</v>
      </c>
    </row>
    <row r="12083" spans="1:10" x14ac:dyDescent="0.2">
      <c r="A12083" s="4" t="s">
        <v>1</v>
      </c>
      <c r="B1208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83" s="3" t="str">
        <f>HYPERLINK("https://otsuka-europe-crm.veevavault.com/ui/#object/sent_email__v/VBLZ025E82HQMX9", "SE-000289406")</f>
        <v>SE-000289406</v>
      </c>
      <c r="D12083" s="1" t="s">
        <v>0</v>
      </c>
      <c r="E12083" s="2">
        <v>0</v>
      </c>
      <c r="F12083" s="2">
        <v>0</v>
      </c>
      <c r="G12083" s="2">
        <v>0</v>
      </c>
      <c r="H12083" s="1" t="s">
        <v>0</v>
      </c>
      <c r="I12083" s="2">
        <v>0</v>
      </c>
      <c r="J12083" s="1">
        <v>45951.667546296296</v>
      </c>
    </row>
    <row r="12084" spans="1:10" x14ac:dyDescent="0.2">
      <c r="A12084" s="4" t="s">
        <v>1</v>
      </c>
      <c r="B1208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84" s="3" t="str">
        <f>HYPERLINK("https://otsuka-europe-crm.veevavault.com/ui/#object/sent_email__v/VBLZ025E82HQMXA", "SE-000289407")</f>
        <v>SE-000289407</v>
      </c>
      <c r="D12084" s="1" t="s">
        <v>0</v>
      </c>
      <c r="E12084" s="2">
        <v>0</v>
      </c>
      <c r="F12084" s="2">
        <v>0</v>
      </c>
      <c r="G12084" s="2">
        <v>0</v>
      </c>
      <c r="H12084" s="1" t="s">
        <v>0</v>
      </c>
      <c r="I12084" s="2">
        <v>0</v>
      </c>
      <c r="J12084" s="1">
        <v>45951.667557870373</v>
      </c>
    </row>
    <row r="12085" spans="1:10" x14ac:dyDescent="0.2">
      <c r="A12085" s="4" t="s">
        <v>1</v>
      </c>
      <c r="B1208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85" s="3" t="str">
        <f>HYPERLINK("https://otsuka-europe-crm.veevavault.com/ui/#object/sent_email__v/VBLZ025E82HQMXB", "SE-000289408")</f>
        <v>SE-000289408</v>
      </c>
      <c r="D12085" s="1" t="s">
        <v>0</v>
      </c>
      <c r="E12085" s="2">
        <v>0</v>
      </c>
      <c r="F12085" s="2">
        <v>0</v>
      </c>
      <c r="G12085" s="2">
        <v>0</v>
      </c>
      <c r="H12085" s="1" t="s">
        <v>0</v>
      </c>
      <c r="I12085" s="2">
        <v>0</v>
      </c>
      <c r="J12085" s="1">
        <v>45951.667569444442</v>
      </c>
    </row>
    <row r="12086" spans="1:10" x14ac:dyDescent="0.2">
      <c r="A12086" s="4" t="s">
        <v>1</v>
      </c>
      <c r="B1208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86" s="3" t="str">
        <f>HYPERLINK("https://otsuka-europe-crm.veevavault.com/ui/#object/sent_email__v/VBLZ025E82HQMXC", "SE-000289409")</f>
        <v>SE-000289409</v>
      </c>
      <c r="D12086" s="1" t="s">
        <v>0</v>
      </c>
      <c r="E12086" s="2">
        <v>0</v>
      </c>
      <c r="F12086" s="2">
        <v>0</v>
      </c>
      <c r="G12086" s="2">
        <v>0</v>
      </c>
      <c r="H12086" s="1" t="s">
        <v>0</v>
      </c>
      <c r="I12086" s="2">
        <v>0</v>
      </c>
      <c r="J12086" s="1">
        <v>45951.667569444442</v>
      </c>
    </row>
    <row r="12087" spans="1:10" x14ac:dyDescent="0.2">
      <c r="A12087" s="4" t="s">
        <v>1</v>
      </c>
      <c r="B1208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87" s="3" t="str">
        <f>HYPERLINK("https://otsuka-europe-crm.veevavault.com/ui/#object/sent_email__v/VBLZ025E82HQMXD", "SE-000289410")</f>
        <v>SE-000289410</v>
      </c>
      <c r="D12087" s="1" t="s">
        <v>0</v>
      </c>
      <c r="E12087" s="2">
        <v>0</v>
      </c>
      <c r="F12087" s="2">
        <v>0</v>
      </c>
      <c r="G12087" s="2">
        <v>0</v>
      </c>
      <c r="H12087" s="1" t="s">
        <v>0</v>
      </c>
      <c r="I12087" s="2">
        <v>0</v>
      </c>
      <c r="J12087" s="1">
        <v>45951.667581018519</v>
      </c>
    </row>
    <row r="12088" spans="1:10" x14ac:dyDescent="0.2">
      <c r="A12088" s="4" t="s">
        <v>1</v>
      </c>
      <c r="B1208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88" s="3" t="str">
        <f>HYPERLINK("https://otsuka-europe-crm.veevavault.com/ui/#object/sent_email__v/VBLZ025E82HQMXE", "SE-000289411")</f>
        <v>SE-000289411</v>
      </c>
      <c r="D12088" s="1">
        <v>45951.667766203704</v>
      </c>
      <c r="E12088" s="2">
        <v>1</v>
      </c>
      <c r="F12088" s="2">
        <v>1</v>
      </c>
      <c r="G12088" s="2">
        <v>0</v>
      </c>
      <c r="H12088" s="1" t="s">
        <v>0</v>
      </c>
      <c r="I12088" s="2">
        <v>0</v>
      </c>
      <c r="J12088" s="1">
        <v>45951.667592592596</v>
      </c>
    </row>
    <row r="12089" spans="1:10" x14ac:dyDescent="0.2">
      <c r="A12089" s="4" t="s">
        <v>1</v>
      </c>
      <c r="B1208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89" s="3" t="str">
        <f>HYPERLINK("https://otsuka-europe-crm.veevavault.com/ui/#object/sent_email__v/VBLZ025E82HQMXF", "SE-000289412")</f>
        <v>SE-000289412</v>
      </c>
      <c r="D12089" s="1" t="s">
        <v>0</v>
      </c>
      <c r="E12089" s="2">
        <v>0</v>
      </c>
      <c r="F12089" s="2">
        <v>0</v>
      </c>
      <c r="G12089" s="2">
        <v>0</v>
      </c>
      <c r="H12089" s="1" t="s">
        <v>0</v>
      </c>
      <c r="I12089" s="2">
        <v>0</v>
      </c>
      <c r="J12089" s="1">
        <v>45951.667604166665</v>
      </c>
    </row>
    <row r="12090" spans="1:10" x14ac:dyDescent="0.2">
      <c r="A12090" s="4" t="s">
        <v>1</v>
      </c>
      <c r="B1209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90" s="3" t="str">
        <f>HYPERLINK("https://otsuka-europe-crm.veevavault.com/ui/#object/sent_email__v/VBLZ025E82HQMXG", "SE-000289413")</f>
        <v>SE-000289413</v>
      </c>
      <c r="D12090" s="1" t="s">
        <v>0</v>
      </c>
      <c r="E12090" s="2">
        <v>0</v>
      </c>
      <c r="F12090" s="2">
        <v>0</v>
      </c>
      <c r="G12090" s="2">
        <v>0</v>
      </c>
      <c r="H12090" s="1" t="s">
        <v>0</v>
      </c>
      <c r="I12090" s="2">
        <v>0</v>
      </c>
      <c r="J12090" s="1">
        <v>45951.667615740742</v>
      </c>
    </row>
    <row r="12091" spans="1:10" x14ac:dyDescent="0.2">
      <c r="A12091" s="4" t="s">
        <v>1</v>
      </c>
      <c r="B1209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91" s="3" t="str">
        <f>HYPERLINK("https://otsuka-europe-crm.veevavault.com/ui/#object/sent_email__v/VBLZ025E82HQMXH", "SE-000289414")</f>
        <v>SE-000289414</v>
      </c>
      <c r="D12091" s="1" t="s">
        <v>0</v>
      </c>
      <c r="E12091" s="2">
        <v>0</v>
      </c>
      <c r="F12091" s="2">
        <v>0</v>
      </c>
      <c r="G12091" s="2">
        <v>0</v>
      </c>
      <c r="H12091" s="1" t="s">
        <v>0</v>
      </c>
      <c r="I12091" s="2">
        <v>0</v>
      </c>
      <c r="J12091" s="1">
        <v>45951.667627314811</v>
      </c>
    </row>
    <row r="12092" spans="1:10" x14ac:dyDescent="0.2">
      <c r="A12092" s="4" t="s">
        <v>1</v>
      </c>
      <c r="B1209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92" s="3" t="str">
        <f>HYPERLINK("https://otsuka-europe-crm.veevavault.com/ui/#object/sent_email__v/VBLZ025E82HQMXI", "SE-000289415")</f>
        <v>SE-000289415</v>
      </c>
      <c r="D12092" s="1" t="s">
        <v>0</v>
      </c>
      <c r="E12092" s="2">
        <v>0</v>
      </c>
      <c r="F12092" s="2">
        <v>0</v>
      </c>
      <c r="G12092" s="2">
        <v>0</v>
      </c>
      <c r="H12092" s="1" t="s">
        <v>0</v>
      </c>
      <c r="I12092" s="2">
        <v>0</v>
      </c>
      <c r="J12092" s="1">
        <v>45951.667638888888</v>
      </c>
    </row>
    <row r="12093" spans="1:10" x14ac:dyDescent="0.2">
      <c r="A12093" s="4" t="s">
        <v>1</v>
      </c>
      <c r="B1209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93" s="3" t="str">
        <f>HYPERLINK("https://otsuka-europe-crm.veevavault.com/ui/#object/sent_email__v/VBLZ025E82HQMXJ", "SE-000289416")</f>
        <v>SE-000289416</v>
      </c>
      <c r="D12093" s="1" t="s">
        <v>0</v>
      </c>
      <c r="E12093" s="2">
        <v>0</v>
      </c>
      <c r="F12093" s="2">
        <v>0</v>
      </c>
      <c r="G12093" s="2">
        <v>0</v>
      </c>
      <c r="H12093" s="1" t="s">
        <v>0</v>
      </c>
      <c r="I12093" s="2">
        <v>0</v>
      </c>
      <c r="J12093" s="1">
        <v>45951.667638888888</v>
      </c>
    </row>
    <row r="12094" spans="1:10" x14ac:dyDescent="0.2">
      <c r="A12094" s="4" t="s">
        <v>1</v>
      </c>
      <c r="B1209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94" s="3" t="str">
        <f>HYPERLINK("https://otsuka-europe-crm.veevavault.com/ui/#object/sent_email__v/VBLZ025E82HQMXK", "SE-000289417")</f>
        <v>SE-000289417</v>
      </c>
      <c r="D12094" s="1" t="s">
        <v>0</v>
      </c>
      <c r="E12094" s="2">
        <v>0</v>
      </c>
      <c r="F12094" s="2">
        <v>0</v>
      </c>
      <c r="G12094" s="2">
        <v>0</v>
      </c>
      <c r="H12094" s="1" t="s">
        <v>0</v>
      </c>
      <c r="I12094" s="2">
        <v>0</v>
      </c>
      <c r="J12094" s="1">
        <v>45951.667650462965</v>
      </c>
    </row>
    <row r="12095" spans="1:10" x14ac:dyDescent="0.2">
      <c r="A12095" s="4" t="s">
        <v>1</v>
      </c>
      <c r="B1209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95" s="3" t="str">
        <f>HYPERLINK("https://otsuka-europe-crm.veevavault.com/ui/#object/sent_email__v/VBLZ025E82HQMXL", "SE-000289418")</f>
        <v>SE-000289418</v>
      </c>
      <c r="D12095" s="1" t="s">
        <v>0</v>
      </c>
      <c r="E12095" s="2">
        <v>0</v>
      </c>
      <c r="F12095" s="2">
        <v>0</v>
      </c>
      <c r="G12095" s="2">
        <v>0</v>
      </c>
      <c r="H12095" s="1" t="s">
        <v>0</v>
      </c>
      <c r="I12095" s="2">
        <v>0</v>
      </c>
      <c r="J12095" s="1">
        <v>45951.667650462965</v>
      </c>
    </row>
    <row r="12096" spans="1:10" x14ac:dyDescent="0.2">
      <c r="A12096" s="4" t="s">
        <v>1</v>
      </c>
      <c r="B1209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96" s="3" t="str">
        <f>HYPERLINK("https://otsuka-europe-crm.veevavault.com/ui/#object/sent_email__v/VBLZ025E82HQMXM", "SE-000289419")</f>
        <v>SE-000289419</v>
      </c>
      <c r="D12096" s="1">
        <v>45959.263877314814</v>
      </c>
      <c r="E12096" s="2">
        <v>1</v>
      </c>
      <c r="F12096" s="2">
        <v>3</v>
      </c>
      <c r="G12096" s="2">
        <v>0</v>
      </c>
      <c r="H12096" s="1" t="s">
        <v>0</v>
      </c>
      <c r="I12096" s="2">
        <v>0</v>
      </c>
      <c r="J12096" s="1">
        <v>45951.667662037034</v>
      </c>
    </row>
    <row r="12097" spans="1:10" x14ac:dyDescent="0.2">
      <c r="A12097" s="4" t="s">
        <v>1</v>
      </c>
      <c r="B1209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97" s="3" t="str">
        <f>HYPERLINK("https://otsuka-europe-crm.veevavault.com/ui/#object/sent_email__v/VBLZ025E82HQMXN", "SE-000289420")</f>
        <v>SE-000289420</v>
      </c>
      <c r="D12097" s="1" t="s">
        <v>0</v>
      </c>
      <c r="E12097" s="2">
        <v>0</v>
      </c>
      <c r="F12097" s="2">
        <v>0</v>
      </c>
      <c r="G12097" s="2">
        <v>0</v>
      </c>
      <c r="H12097" s="1" t="s">
        <v>0</v>
      </c>
      <c r="I12097" s="2">
        <v>0</v>
      </c>
      <c r="J12097" s="1">
        <v>45951.667673611111</v>
      </c>
    </row>
    <row r="12098" spans="1:10" x14ac:dyDescent="0.2">
      <c r="A12098" s="4" t="s">
        <v>1</v>
      </c>
      <c r="B1209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98" s="3" t="str">
        <f>HYPERLINK("https://otsuka-europe-crm.veevavault.com/ui/#object/sent_email__v/VBLZ025E82HQMXO", "SE-000289421")</f>
        <v>SE-000289421</v>
      </c>
      <c r="D12098" s="1" t="s">
        <v>0</v>
      </c>
      <c r="E12098" s="2">
        <v>0</v>
      </c>
      <c r="F12098" s="2">
        <v>0</v>
      </c>
      <c r="G12098" s="2">
        <v>0</v>
      </c>
      <c r="H12098" s="1" t="s">
        <v>0</v>
      </c>
      <c r="I12098" s="2">
        <v>0</v>
      </c>
      <c r="J12098" s="1">
        <v>45951.667685185188</v>
      </c>
    </row>
    <row r="12099" spans="1:10" x14ac:dyDescent="0.2">
      <c r="A12099" s="4" t="s">
        <v>1</v>
      </c>
      <c r="B1209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099" s="3" t="str">
        <f>HYPERLINK("https://otsuka-europe-crm.veevavault.com/ui/#object/sent_email__v/VBLZ025E82HQMXP", "SE-000289422")</f>
        <v>SE-000289422</v>
      </c>
      <c r="D12099" s="1" t="s">
        <v>0</v>
      </c>
      <c r="E12099" s="2">
        <v>0</v>
      </c>
      <c r="F12099" s="2">
        <v>0</v>
      </c>
      <c r="G12099" s="2">
        <v>0</v>
      </c>
      <c r="H12099" s="1" t="s">
        <v>0</v>
      </c>
      <c r="I12099" s="2">
        <v>0</v>
      </c>
      <c r="J12099" s="1">
        <v>45951.667696759258</v>
      </c>
    </row>
    <row r="12100" spans="1:10" x14ac:dyDescent="0.2">
      <c r="A12100" s="4" t="s">
        <v>1</v>
      </c>
      <c r="B1210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00" s="3" t="str">
        <f>HYPERLINK("https://otsuka-europe-crm.veevavault.com/ui/#object/sent_email__v/VBLZ025E82HQMXQ", "SE-000289423")</f>
        <v>SE-000289423</v>
      </c>
      <c r="D12100" s="1">
        <v>45971.055046296293</v>
      </c>
      <c r="E12100" s="2">
        <v>1</v>
      </c>
      <c r="F12100" s="2">
        <v>1</v>
      </c>
      <c r="G12100" s="2">
        <v>0</v>
      </c>
      <c r="H12100" s="1" t="s">
        <v>0</v>
      </c>
      <c r="I12100" s="2">
        <v>0</v>
      </c>
      <c r="J12100" s="1">
        <v>45951.667708333334</v>
      </c>
    </row>
    <row r="12101" spans="1:10" x14ac:dyDescent="0.2">
      <c r="A12101" s="4" t="s">
        <v>1</v>
      </c>
      <c r="B1210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01" s="3" t="str">
        <f>HYPERLINK("https://otsuka-europe-crm.veevavault.com/ui/#object/sent_email__v/VBLZ025E82HQMXR", "SE-000289424")</f>
        <v>SE-000289424</v>
      </c>
      <c r="D12101" s="1" t="s">
        <v>0</v>
      </c>
      <c r="E12101" s="2">
        <v>0</v>
      </c>
      <c r="F12101" s="2">
        <v>0</v>
      </c>
      <c r="G12101" s="2">
        <v>0</v>
      </c>
      <c r="H12101" s="1" t="s">
        <v>0</v>
      </c>
      <c r="I12101" s="2">
        <v>0</v>
      </c>
      <c r="J12101" s="1">
        <v>45951.667708333334</v>
      </c>
    </row>
    <row r="12102" spans="1:10" x14ac:dyDescent="0.2">
      <c r="A12102" s="4" t="s">
        <v>1</v>
      </c>
      <c r="B1210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02" s="3" t="str">
        <f>HYPERLINK("https://otsuka-europe-crm.veevavault.com/ui/#object/sent_email__v/VBLZ025E82HQMXS", "SE-000289425")</f>
        <v>SE-000289425</v>
      </c>
      <c r="D12102" s="1" t="s">
        <v>0</v>
      </c>
      <c r="E12102" s="2">
        <v>0</v>
      </c>
      <c r="F12102" s="2">
        <v>0</v>
      </c>
      <c r="G12102" s="2">
        <v>0</v>
      </c>
      <c r="H12102" s="1" t="s">
        <v>0</v>
      </c>
      <c r="I12102" s="2">
        <v>0</v>
      </c>
      <c r="J12102" s="1">
        <v>45951.667719907404</v>
      </c>
    </row>
    <row r="12103" spans="1:10" x14ac:dyDescent="0.2">
      <c r="A12103" s="4" t="s">
        <v>1</v>
      </c>
      <c r="B1210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03" s="3" t="str">
        <f>HYPERLINK("https://otsuka-europe-crm.veevavault.com/ui/#object/sent_email__v/VBLZ025E82HQMXT", "SE-000289426")</f>
        <v>SE-000289426</v>
      </c>
      <c r="D12103" s="1" t="s">
        <v>0</v>
      </c>
      <c r="E12103" s="2">
        <v>0</v>
      </c>
      <c r="F12103" s="2">
        <v>0</v>
      </c>
      <c r="G12103" s="2">
        <v>0</v>
      </c>
      <c r="H12103" s="1" t="s">
        <v>0</v>
      </c>
      <c r="I12103" s="2">
        <v>0</v>
      </c>
      <c r="J12103" s="1">
        <v>45951.667731481481</v>
      </c>
    </row>
    <row r="12104" spans="1:10" x14ac:dyDescent="0.2">
      <c r="A12104" s="4" t="s">
        <v>1</v>
      </c>
      <c r="B1210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04" s="3" t="str">
        <f>HYPERLINK("https://otsuka-europe-crm.veevavault.com/ui/#object/sent_email__v/VBLZ025E82HQMXU", "SE-000289427")</f>
        <v>SE-000289427</v>
      </c>
      <c r="D12104" s="1" t="s">
        <v>0</v>
      </c>
      <c r="E12104" s="2">
        <v>0</v>
      </c>
      <c r="F12104" s="2">
        <v>0</v>
      </c>
      <c r="G12104" s="2">
        <v>0</v>
      </c>
      <c r="H12104" s="1" t="s">
        <v>0</v>
      </c>
      <c r="I12104" s="2">
        <v>0</v>
      </c>
      <c r="J12104" s="1">
        <v>45951.667743055557</v>
      </c>
    </row>
    <row r="12105" spans="1:10" x14ac:dyDescent="0.2">
      <c r="A12105" s="4" t="s">
        <v>1</v>
      </c>
      <c r="B1210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05" s="3" t="str">
        <f>HYPERLINK("https://otsuka-europe-crm.veevavault.com/ui/#object/sent_email__v/VBLZ025E82HQMXV", "SE-000289428")</f>
        <v>SE-000289428</v>
      </c>
      <c r="D12105" s="1" t="s">
        <v>0</v>
      </c>
      <c r="E12105" s="2">
        <v>0</v>
      </c>
      <c r="F12105" s="2">
        <v>0</v>
      </c>
      <c r="G12105" s="2">
        <v>0</v>
      </c>
      <c r="H12105" s="1" t="s">
        <v>0</v>
      </c>
      <c r="I12105" s="2">
        <v>0</v>
      </c>
      <c r="J12105" s="1">
        <v>45951.667743055557</v>
      </c>
    </row>
    <row r="12106" spans="1:10" x14ac:dyDescent="0.2">
      <c r="A12106" s="4" t="s">
        <v>1</v>
      </c>
      <c r="B1210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06" s="3" t="str">
        <f>HYPERLINK("https://otsuka-europe-crm.veevavault.com/ui/#object/sent_email__v/VBLZ025E82HQMXW", "SE-000289429")</f>
        <v>SE-000289429</v>
      </c>
      <c r="D12106" s="1" t="s">
        <v>0</v>
      </c>
      <c r="E12106" s="2">
        <v>0</v>
      </c>
      <c r="F12106" s="2">
        <v>0</v>
      </c>
      <c r="G12106" s="2">
        <v>0</v>
      </c>
      <c r="H12106" s="1" t="s">
        <v>0</v>
      </c>
      <c r="I12106" s="2">
        <v>0</v>
      </c>
      <c r="J12106" s="1">
        <v>45951.667766203704</v>
      </c>
    </row>
    <row r="12107" spans="1:10" x14ac:dyDescent="0.2">
      <c r="A12107" s="4" t="s">
        <v>1</v>
      </c>
      <c r="B1210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07" s="3" t="str">
        <f>HYPERLINK("https://otsuka-europe-crm.veevavault.com/ui/#object/sent_email__v/VBLZ025E82HQMXX", "SE-000289430")</f>
        <v>SE-000289430</v>
      </c>
      <c r="D12107" s="1" t="s">
        <v>0</v>
      </c>
      <c r="E12107" s="2">
        <v>0</v>
      </c>
      <c r="F12107" s="2">
        <v>0</v>
      </c>
      <c r="G12107" s="2">
        <v>0</v>
      </c>
      <c r="H12107" s="1" t="s">
        <v>0</v>
      </c>
      <c r="I12107" s="2">
        <v>0</v>
      </c>
      <c r="J12107" s="1">
        <v>45951.667766203704</v>
      </c>
    </row>
    <row r="12108" spans="1:10" x14ac:dyDescent="0.2">
      <c r="A12108" s="4" t="s">
        <v>1</v>
      </c>
      <c r="B1210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08" s="3" t="str">
        <f>HYPERLINK("https://otsuka-europe-crm.veevavault.com/ui/#object/sent_email__v/VBLZ025E82HQMXY", "SE-000289431")</f>
        <v>SE-000289431</v>
      </c>
      <c r="D12108" s="1" t="s">
        <v>0</v>
      </c>
      <c r="E12108" s="2">
        <v>0</v>
      </c>
      <c r="F12108" s="2">
        <v>0</v>
      </c>
      <c r="G12108" s="2">
        <v>0</v>
      </c>
      <c r="H12108" s="1" t="s">
        <v>0</v>
      </c>
      <c r="I12108" s="2">
        <v>0</v>
      </c>
      <c r="J12108" s="1">
        <v>45951.66777777778</v>
      </c>
    </row>
    <row r="12109" spans="1:10" x14ac:dyDescent="0.2">
      <c r="A12109" s="4" t="s">
        <v>1</v>
      </c>
      <c r="B1210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09" s="3" t="str">
        <f>HYPERLINK("https://otsuka-europe-crm.veevavault.com/ui/#object/sent_email__v/VBLZ025E82HQMXZ", "SE-000289432")</f>
        <v>SE-000289432</v>
      </c>
      <c r="D12109" s="1" t="s">
        <v>0</v>
      </c>
      <c r="E12109" s="2">
        <v>0</v>
      </c>
      <c r="F12109" s="2">
        <v>0</v>
      </c>
      <c r="G12109" s="2">
        <v>0</v>
      </c>
      <c r="H12109" s="1" t="s">
        <v>0</v>
      </c>
      <c r="I12109" s="2">
        <v>0</v>
      </c>
      <c r="J12109" s="1">
        <v>45951.66778935185</v>
      </c>
    </row>
    <row r="12110" spans="1:10" x14ac:dyDescent="0.2">
      <c r="A12110" s="4" t="s">
        <v>1</v>
      </c>
      <c r="B1211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10" s="3" t="str">
        <f>HYPERLINK("https://otsuka-europe-crm.veevavault.com/ui/#object/sent_email__v/VBLZ025E82HQMY0", "SE-000289433")</f>
        <v>SE-000289433</v>
      </c>
      <c r="D12110" s="1" t="s">
        <v>0</v>
      </c>
      <c r="E12110" s="2">
        <v>0</v>
      </c>
      <c r="F12110" s="2">
        <v>0</v>
      </c>
      <c r="G12110" s="2">
        <v>0</v>
      </c>
      <c r="H12110" s="1" t="s">
        <v>0</v>
      </c>
      <c r="I12110" s="2">
        <v>0</v>
      </c>
      <c r="J12110" s="1">
        <v>45951.667800925927</v>
      </c>
    </row>
    <row r="12111" spans="1:10" x14ac:dyDescent="0.2">
      <c r="A12111" s="4" t="s">
        <v>1</v>
      </c>
      <c r="B1211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11" s="3" t="str">
        <f>HYPERLINK("https://otsuka-europe-crm.veevavault.com/ui/#object/sent_email__v/VBLZ025E82HQMY1", "SE-000289434")</f>
        <v>SE-000289434</v>
      </c>
      <c r="D12111" s="1" t="s">
        <v>0</v>
      </c>
      <c r="E12111" s="2">
        <v>0</v>
      </c>
      <c r="F12111" s="2">
        <v>0</v>
      </c>
      <c r="G12111" s="2">
        <v>0</v>
      </c>
      <c r="H12111" s="1" t="s">
        <v>0</v>
      </c>
      <c r="I12111" s="2">
        <v>0</v>
      </c>
      <c r="J12111" s="1">
        <v>45951.667800925927</v>
      </c>
    </row>
    <row r="12112" spans="1:10" x14ac:dyDescent="0.2">
      <c r="A12112" s="4" t="s">
        <v>1</v>
      </c>
      <c r="B1211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12" s="3" t="str">
        <f>HYPERLINK("https://otsuka-europe-crm.veevavault.com/ui/#object/sent_email__v/VBLZ025E82HQMY2", "SE-000289435")</f>
        <v>SE-000289435</v>
      </c>
      <c r="D12112" s="1" t="s">
        <v>0</v>
      </c>
      <c r="E12112" s="2">
        <v>0</v>
      </c>
      <c r="F12112" s="2">
        <v>0</v>
      </c>
      <c r="G12112" s="2">
        <v>0</v>
      </c>
      <c r="H12112" s="1" t="s">
        <v>0</v>
      </c>
      <c r="I12112" s="2">
        <v>0</v>
      </c>
      <c r="J12112" s="1">
        <v>45951.667824074073</v>
      </c>
    </row>
    <row r="12113" spans="1:10" x14ac:dyDescent="0.2">
      <c r="A12113" s="4" t="s">
        <v>1</v>
      </c>
      <c r="B1211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13" s="3" t="str">
        <f>HYPERLINK("https://otsuka-europe-crm.veevavault.com/ui/#object/sent_email__v/VBLZ025E82HQMY3", "SE-000289436")</f>
        <v>SE-000289436</v>
      </c>
      <c r="D12113" s="1">
        <v>45951.801168981481</v>
      </c>
      <c r="E12113" s="2">
        <v>1</v>
      </c>
      <c r="F12113" s="2">
        <v>1</v>
      </c>
      <c r="G12113" s="2">
        <v>0</v>
      </c>
      <c r="H12113" s="1" t="s">
        <v>0</v>
      </c>
      <c r="I12113" s="2">
        <v>0</v>
      </c>
      <c r="J12113" s="1">
        <v>45951.667824074073</v>
      </c>
    </row>
    <row r="12114" spans="1:10" x14ac:dyDescent="0.2">
      <c r="A12114" s="4" t="s">
        <v>1</v>
      </c>
      <c r="B1211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14" s="3" t="str">
        <f>HYPERLINK("https://otsuka-europe-crm.veevavault.com/ui/#object/sent_email__v/VBLZ025E82HQMY4", "SE-000289437")</f>
        <v>SE-000289437</v>
      </c>
      <c r="D12114" s="1" t="s">
        <v>0</v>
      </c>
      <c r="E12114" s="2">
        <v>0</v>
      </c>
      <c r="F12114" s="2">
        <v>0</v>
      </c>
      <c r="G12114" s="2">
        <v>0</v>
      </c>
      <c r="H12114" s="1" t="s">
        <v>0</v>
      </c>
      <c r="I12114" s="2">
        <v>0</v>
      </c>
      <c r="J12114" s="1">
        <v>45951.667881944442</v>
      </c>
    </row>
    <row r="12115" spans="1:10" x14ac:dyDescent="0.2">
      <c r="A12115" s="4" t="s">
        <v>1</v>
      </c>
      <c r="B1211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15" s="3" t="str">
        <f>HYPERLINK("https://otsuka-europe-crm.veevavault.com/ui/#object/sent_email__v/VBLZ025E82HQMY5", "SE-000289438")</f>
        <v>SE-000289438</v>
      </c>
      <c r="D12115" s="1" t="s">
        <v>0</v>
      </c>
      <c r="E12115" s="2">
        <v>0</v>
      </c>
      <c r="F12115" s="2">
        <v>0</v>
      </c>
      <c r="G12115" s="2">
        <v>0</v>
      </c>
      <c r="H12115" s="1" t="s">
        <v>0</v>
      </c>
      <c r="I12115" s="2">
        <v>0</v>
      </c>
      <c r="J12115" s="1">
        <v>45951.667881944442</v>
      </c>
    </row>
    <row r="12116" spans="1:10" x14ac:dyDescent="0.2">
      <c r="A12116" s="4" t="s">
        <v>1</v>
      </c>
      <c r="B1211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16" s="3" t="str">
        <f>HYPERLINK("https://otsuka-europe-crm.veevavault.com/ui/#object/sent_email__v/VBLZ025E82HQMY6", "SE-000289439")</f>
        <v>SE-000289439</v>
      </c>
      <c r="D12116" s="1" t="s">
        <v>0</v>
      </c>
      <c r="E12116" s="2">
        <v>0</v>
      </c>
      <c r="F12116" s="2">
        <v>0</v>
      </c>
      <c r="G12116" s="2">
        <v>0</v>
      </c>
      <c r="H12116" s="1" t="s">
        <v>0</v>
      </c>
      <c r="I12116" s="2">
        <v>0</v>
      </c>
      <c r="J12116" s="1">
        <v>45951.667881944442</v>
      </c>
    </row>
    <row r="12117" spans="1:10" x14ac:dyDescent="0.2">
      <c r="A12117" s="4" t="s">
        <v>1</v>
      </c>
      <c r="B1211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17" s="3" t="str">
        <f>HYPERLINK("https://otsuka-europe-crm.veevavault.com/ui/#object/sent_email__v/VBLZ025E82HQMY7", "SE-000289440")</f>
        <v>SE-000289440</v>
      </c>
      <c r="D12117" s="1" t="s">
        <v>0</v>
      </c>
      <c r="E12117" s="2">
        <v>0</v>
      </c>
      <c r="F12117" s="2">
        <v>0</v>
      </c>
      <c r="G12117" s="2">
        <v>0</v>
      </c>
      <c r="H12117" s="1" t="s">
        <v>0</v>
      </c>
      <c r="I12117" s="2">
        <v>0</v>
      </c>
      <c r="J12117" s="1">
        <v>45951.667893518519</v>
      </c>
    </row>
    <row r="12118" spans="1:10" x14ac:dyDescent="0.2">
      <c r="A12118" s="4" t="s">
        <v>1</v>
      </c>
      <c r="B1211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18" s="3" t="str">
        <f>HYPERLINK("https://otsuka-europe-crm.veevavault.com/ui/#object/sent_email__v/VBLZ025E82HQMY8", "SE-000289441")</f>
        <v>SE-000289441</v>
      </c>
      <c r="D12118" s="1" t="s">
        <v>0</v>
      </c>
      <c r="E12118" s="2">
        <v>0</v>
      </c>
      <c r="F12118" s="2">
        <v>0</v>
      </c>
      <c r="G12118" s="2">
        <v>0</v>
      </c>
      <c r="H12118" s="1" t="s">
        <v>0</v>
      </c>
      <c r="I12118" s="2">
        <v>0</v>
      </c>
      <c r="J12118" s="1">
        <v>45951.667870370373</v>
      </c>
    </row>
    <row r="12119" spans="1:10" x14ac:dyDescent="0.2">
      <c r="A12119" s="4" t="s">
        <v>1</v>
      </c>
      <c r="B1211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19" s="3" t="str">
        <f>HYPERLINK("https://otsuka-europe-crm.veevavault.com/ui/#object/sent_email__v/VBLZ025E82HQMY9", "SE-000289442")</f>
        <v>SE-000289442</v>
      </c>
      <c r="D12119" s="1" t="s">
        <v>0</v>
      </c>
      <c r="E12119" s="2">
        <v>0</v>
      </c>
      <c r="F12119" s="2">
        <v>0</v>
      </c>
      <c r="G12119" s="2">
        <v>0</v>
      </c>
      <c r="H12119" s="1" t="s">
        <v>0</v>
      </c>
      <c r="I12119" s="2">
        <v>0</v>
      </c>
      <c r="J12119" s="1">
        <v>45951.667881944442</v>
      </c>
    </row>
    <row r="12120" spans="1:10" x14ac:dyDescent="0.2">
      <c r="A12120" s="4" t="s">
        <v>1</v>
      </c>
      <c r="B1212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20" s="3" t="str">
        <f>HYPERLINK("https://otsuka-europe-crm.veevavault.com/ui/#object/sent_email__v/VBLZ025E82HQMYA", "SE-000289443")</f>
        <v>SE-000289443</v>
      </c>
      <c r="D12120" s="1" t="s">
        <v>0</v>
      </c>
      <c r="E12120" s="2">
        <v>0</v>
      </c>
      <c r="F12120" s="2">
        <v>0</v>
      </c>
      <c r="G12120" s="2">
        <v>0</v>
      </c>
      <c r="H12120" s="1" t="s">
        <v>0</v>
      </c>
      <c r="I12120" s="2">
        <v>0</v>
      </c>
      <c r="J12120" s="1">
        <v>45951.667893518519</v>
      </c>
    </row>
    <row r="12121" spans="1:10" x14ac:dyDescent="0.2">
      <c r="A12121" s="4" t="s">
        <v>1</v>
      </c>
      <c r="B1212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21" s="3" t="str">
        <f>HYPERLINK("https://otsuka-europe-crm.veevavault.com/ui/#object/sent_email__v/VBLZ025E82HQMYB", "SE-000289444")</f>
        <v>SE-000289444</v>
      </c>
      <c r="D12121" s="1" t="s">
        <v>0</v>
      </c>
      <c r="E12121" s="2">
        <v>0</v>
      </c>
      <c r="F12121" s="2">
        <v>0</v>
      </c>
      <c r="G12121" s="2">
        <v>0</v>
      </c>
      <c r="H12121" s="1" t="s">
        <v>0</v>
      </c>
      <c r="I12121" s="2">
        <v>0</v>
      </c>
      <c r="J12121" s="1">
        <v>45951.667905092596</v>
      </c>
    </row>
    <row r="12122" spans="1:10" x14ac:dyDescent="0.2">
      <c r="A12122" s="4" t="s">
        <v>1</v>
      </c>
      <c r="B1212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22" s="3" t="str">
        <f>HYPERLINK("https://otsuka-europe-crm.veevavault.com/ui/#object/sent_email__v/VBLZ025E82HQMYC", "SE-000289445")</f>
        <v>SE-000289445</v>
      </c>
      <c r="D12122" s="1" t="s">
        <v>0</v>
      </c>
      <c r="E12122" s="2">
        <v>0</v>
      </c>
      <c r="F12122" s="2">
        <v>0</v>
      </c>
      <c r="G12122" s="2">
        <v>0</v>
      </c>
      <c r="H12122" s="1" t="s">
        <v>0</v>
      </c>
      <c r="I12122" s="2">
        <v>0</v>
      </c>
      <c r="J12122" s="1">
        <v>45951.667916666665</v>
      </c>
    </row>
    <row r="12123" spans="1:10" x14ac:dyDescent="0.2">
      <c r="A12123" s="4" t="s">
        <v>1</v>
      </c>
      <c r="B1212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23" s="3" t="str">
        <f>HYPERLINK("https://otsuka-europe-crm.veevavault.com/ui/#object/sent_email__v/VBLZ025E82HQMYD", "SE-000289446")</f>
        <v>SE-000289446</v>
      </c>
      <c r="D12123" s="1" t="s">
        <v>0</v>
      </c>
      <c r="E12123" s="2">
        <v>0</v>
      </c>
      <c r="F12123" s="2">
        <v>0</v>
      </c>
      <c r="G12123" s="2">
        <v>0</v>
      </c>
      <c r="H12123" s="1" t="s">
        <v>0</v>
      </c>
      <c r="I12123" s="2">
        <v>0</v>
      </c>
      <c r="J12123" s="1">
        <v>45951.667928240742</v>
      </c>
    </row>
    <row r="12124" spans="1:10" x14ac:dyDescent="0.2">
      <c r="A12124" s="4" t="s">
        <v>1</v>
      </c>
      <c r="B1212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24" s="3" t="str">
        <f>HYPERLINK("https://otsuka-europe-crm.veevavault.com/ui/#object/sent_email__v/VBLZ025E82HQMYE", "SE-000289447")</f>
        <v>SE-000289447</v>
      </c>
      <c r="D12124" s="1" t="s">
        <v>0</v>
      </c>
      <c r="E12124" s="2">
        <v>0</v>
      </c>
      <c r="F12124" s="2">
        <v>0</v>
      </c>
      <c r="G12124" s="2">
        <v>0</v>
      </c>
      <c r="H12124" s="1" t="s">
        <v>0</v>
      </c>
      <c r="I12124" s="2">
        <v>0</v>
      </c>
      <c r="J12124" s="1">
        <v>45951.667939814812</v>
      </c>
    </row>
    <row r="12125" spans="1:10" x14ac:dyDescent="0.2">
      <c r="A12125" s="4" t="s">
        <v>1</v>
      </c>
      <c r="B1212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25" s="3" t="str">
        <f>HYPERLINK("https://otsuka-europe-crm.veevavault.com/ui/#object/sent_email__v/VBLZ025E82HQMYF", "SE-000289448")</f>
        <v>SE-000289448</v>
      </c>
      <c r="D12125" s="1" t="s">
        <v>0</v>
      </c>
      <c r="E12125" s="2">
        <v>0</v>
      </c>
      <c r="F12125" s="2">
        <v>0</v>
      </c>
      <c r="G12125" s="2">
        <v>0</v>
      </c>
      <c r="H12125" s="1" t="s">
        <v>0</v>
      </c>
      <c r="I12125" s="2">
        <v>0</v>
      </c>
      <c r="J12125" s="1">
        <v>45951.667951388888</v>
      </c>
    </row>
    <row r="12126" spans="1:10" x14ac:dyDescent="0.2">
      <c r="A12126" s="4" t="s">
        <v>1</v>
      </c>
      <c r="B1212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26" s="3" t="str">
        <f>HYPERLINK("https://otsuka-europe-crm.veevavault.com/ui/#object/sent_email__v/VBLZ025E82HQMYG", "SE-000289449")</f>
        <v>SE-000289449</v>
      </c>
      <c r="D12126" s="1" t="s">
        <v>0</v>
      </c>
      <c r="E12126" s="2">
        <v>0</v>
      </c>
      <c r="F12126" s="2">
        <v>0</v>
      </c>
      <c r="G12126" s="2">
        <v>0</v>
      </c>
      <c r="H12126" s="1" t="s">
        <v>0</v>
      </c>
      <c r="I12126" s="2">
        <v>0</v>
      </c>
      <c r="J12126" s="1">
        <v>45951.667962962965</v>
      </c>
    </row>
    <row r="12127" spans="1:10" x14ac:dyDescent="0.2">
      <c r="A12127" s="4" t="s">
        <v>1</v>
      </c>
      <c r="B1212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27" s="3" t="str">
        <f>HYPERLINK("https://otsuka-europe-crm.veevavault.com/ui/#object/sent_email__v/VBLZ025E82HQMYH", "SE-000289450")</f>
        <v>SE-000289450</v>
      </c>
      <c r="D12127" s="1" t="s">
        <v>0</v>
      </c>
      <c r="E12127" s="2">
        <v>0</v>
      </c>
      <c r="F12127" s="2">
        <v>0</v>
      </c>
      <c r="G12127" s="2">
        <v>0</v>
      </c>
      <c r="H12127" s="1" t="s">
        <v>0</v>
      </c>
      <c r="I12127" s="2">
        <v>0</v>
      </c>
      <c r="J12127" s="1">
        <v>45951.667974537035</v>
      </c>
    </row>
    <row r="12128" spans="1:10" x14ac:dyDescent="0.2">
      <c r="A12128" s="4" t="s">
        <v>1</v>
      </c>
      <c r="B1212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28" s="3" t="str">
        <f>HYPERLINK("https://otsuka-europe-crm.veevavault.com/ui/#object/sent_email__v/VBLZ025E82HQMYI", "SE-000289451")</f>
        <v>SE-000289451</v>
      </c>
      <c r="D12128" s="1" t="s">
        <v>0</v>
      </c>
      <c r="E12128" s="2">
        <v>0</v>
      </c>
      <c r="F12128" s="2">
        <v>0</v>
      </c>
      <c r="G12128" s="2">
        <v>0</v>
      </c>
      <c r="H12128" s="1" t="s">
        <v>0</v>
      </c>
      <c r="I12128" s="2">
        <v>0</v>
      </c>
      <c r="J12128" s="1">
        <v>45951.667986111112</v>
      </c>
    </row>
    <row r="12129" spans="1:10" x14ac:dyDescent="0.2">
      <c r="A12129" s="4" t="s">
        <v>1</v>
      </c>
      <c r="B1212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29" s="3" t="str">
        <f>HYPERLINK("https://otsuka-europe-crm.veevavault.com/ui/#object/sent_email__v/VBLZ025E82HQMYJ", "SE-000289452")</f>
        <v>SE-000289452</v>
      </c>
      <c r="D12129" s="1" t="s">
        <v>0</v>
      </c>
      <c r="E12129" s="2">
        <v>0</v>
      </c>
      <c r="F12129" s="2">
        <v>0</v>
      </c>
      <c r="G12129" s="2">
        <v>0</v>
      </c>
      <c r="H12129" s="1" t="s">
        <v>0</v>
      </c>
      <c r="I12129" s="2">
        <v>0</v>
      </c>
      <c r="J12129" s="1">
        <v>45951.667986111112</v>
      </c>
    </row>
    <row r="12130" spans="1:10" x14ac:dyDescent="0.2">
      <c r="A12130" s="4" t="s">
        <v>1</v>
      </c>
      <c r="B1213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30" s="3" t="str">
        <f>HYPERLINK("https://otsuka-europe-crm.veevavault.com/ui/#object/sent_email__v/VBLZ025E82HQMYK", "SE-000289453")</f>
        <v>SE-000289453</v>
      </c>
      <c r="D12130" s="1" t="s">
        <v>0</v>
      </c>
      <c r="E12130" s="2">
        <v>0</v>
      </c>
      <c r="F12130" s="2">
        <v>0</v>
      </c>
      <c r="G12130" s="2">
        <v>0</v>
      </c>
      <c r="H12130" s="1" t="s">
        <v>0</v>
      </c>
      <c r="I12130" s="2">
        <v>0</v>
      </c>
      <c r="J12130" s="1">
        <v>45951.668009259258</v>
      </c>
    </row>
    <row r="12131" spans="1:10" x14ac:dyDescent="0.2">
      <c r="A12131" s="4" t="s">
        <v>1</v>
      </c>
      <c r="B1213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31" s="3" t="str">
        <f>HYPERLINK("https://otsuka-europe-crm.veevavault.com/ui/#object/sent_email__v/VBLZ025E82HQMYL", "SE-000289454")</f>
        <v>SE-000289454</v>
      </c>
      <c r="D12131" s="1" t="s">
        <v>0</v>
      </c>
      <c r="E12131" s="2">
        <v>0</v>
      </c>
      <c r="F12131" s="2">
        <v>0</v>
      </c>
      <c r="G12131" s="2">
        <v>0</v>
      </c>
      <c r="H12131" s="1" t="s">
        <v>0</v>
      </c>
      <c r="I12131" s="2">
        <v>0</v>
      </c>
      <c r="J12131" s="1">
        <v>45951.668020833335</v>
      </c>
    </row>
    <row r="12132" spans="1:10" x14ac:dyDescent="0.2">
      <c r="A12132" s="4" t="s">
        <v>1</v>
      </c>
      <c r="B1213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32" s="3" t="str">
        <f>HYPERLINK("https://otsuka-europe-crm.veevavault.com/ui/#object/sent_email__v/VBLZ025E82HQMYM", "SE-000289455")</f>
        <v>SE-000289455</v>
      </c>
      <c r="D12132" s="1">
        <v>45951.732048611113</v>
      </c>
      <c r="E12132" s="2">
        <v>1</v>
      </c>
      <c r="F12132" s="2">
        <v>1</v>
      </c>
      <c r="G12132" s="2">
        <v>0</v>
      </c>
      <c r="H12132" s="1" t="s">
        <v>0</v>
      </c>
      <c r="I12132" s="2">
        <v>0</v>
      </c>
      <c r="J12132" s="1">
        <v>45951.668020833335</v>
      </c>
    </row>
    <row r="12133" spans="1:10" x14ac:dyDescent="0.2">
      <c r="A12133" s="4" t="s">
        <v>1</v>
      </c>
      <c r="B1213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33" s="3" t="str">
        <f>HYPERLINK("https://otsuka-europe-crm.veevavault.com/ui/#object/sent_email__v/VBLZ025E82HQMYN", "SE-000289456")</f>
        <v>SE-000289456</v>
      </c>
      <c r="D12133" s="1" t="s">
        <v>0</v>
      </c>
      <c r="E12133" s="2">
        <v>0</v>
      </c>
      <c r="F12133" s="2">
        <v>0</v>
      </c>
      <c r="G12133" s="2">
        <v>0</v>
      </c>
      <c r="H12133" s="1" t="s">
        <v>0</v>
      </c>
      <c r="I12133" s="2">
        <v>0</v>
      </c>
      <c r="J12133" s="1">
        <v>45951.668043981481</v>
      </c>
    </row>
    <row r="12134" spans="1:10" x14ac:dyDescent="0.2">
      <c r="A12134" s="4" t="s">
        <v>1</v>
      </c>
      <c r="B1213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34" s="3" t="str">
        <f>HYPERLINK("https://otsuka-europe-crm.veevavault.com/ui/#object/sent_email__v/VBLZ025E82HQMYO", "SE-000289457")</f>
        <v>SE-000289457</v>
      </c>
      <c r="D12134" s="1" t="s">
        <v>0</v>
      </c>
      <c r="E12134" s="2">
        <v>0</v>
      </c>
      <c r="F12134" s="2">
        <v>0</v>
      </c>
      <c r="G12134" s="2">
        <v>0</v>
      </c>
      <c r="H12134" s="1" t="s">
        <v>0</v>
      </c>
      <c r="I12134" s="2">
        <v>0</v>
      </c>
      <c r="J12134" s="1">
        <v>45951.668043981481</v>
      </c>
    </row>
    <row r="12135" spans="1:10" x14ac:dyDescent="0.2">
      <c r="A12135" s="4" t="s">
        <v>1</v>
      </c>
      <c r="B1213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35" s="3" t="str">
        <f>HYPERLINK("https://otsuka-europe-crm.veevavault.com/ui/#object/sent_email__v/VBLZ025E82HQMYP", "SE-000289458")</f>
        <v>SE-000289458</v>
      </c>
      <c r="D12135" s="1" t="s">
        <v>0</v>
      </c>
      <c r="E12135" s="2">
        <v>0</v>
      </c>
      <c r="F12135" s="2">
        <v>0</v>
      </c>
      <c r="G12135" s="2">
        <v>0</v>
      </c>
      <c r="H12135" s="1" t="s">
        <v>0</v>
      </c>
      <c r="I12135" s="2">
        <v>0</v>
      </c>
      <c r="J12135" s="1">
        <v>45951.668055555558</v>
      </c>
    </row>
    <row r="12136" spans="1:10" x14ac:dyDescent="0.2">
      <c r="A12136" s="4" t="s">
        <v>1</v>
      </c>
      <c r="B1213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36" s="3" t="str">
        <f>HYPERLINK("https://otsuka-europe-crm.veevavault.com/ui/#object/sent_email__v/VBLZ025E82HQMYQ", "SE-000289459")</f>
        <v>SE-000289459</v>
      </c>
      <c r="D12136" s="1" t="s">
        <v>0</v>
      </c>
      <c r="E12136" s="2">
        <v>0</v>
      </c>
      <c r="F12136" s="2">
        <v>0</v>
      </c>
      <c r="G12136" s="2">
        <v>0</v>
      </c>
      <c r="H12136" s="1" t="s">
        <v>0</v>
      </c>
      <c r="I12136" s="2">
        <v>0</v>
      </c>
      <c r="J12136" s="1">
        <v>45951.668067129627</v>
      </c>
    </row>
    <row r="12137" spans="1:10" x14ac:dyDescent="0.2">
      <c r="A12137" s="4" t="s">
        <v>1</v>
      </c>
      <c r="B1213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37" s="3" t="str">
        <f>HYPERLINK("https://otsuka-europe-crm.veevavault.com/ui/#object/sent_email__v/VBLZ025E82HQMYR", "SE-000289460")</f>
        <v>SE-000289460</v>
      </c>
      <c r="D12137" s="1" t="s">
        <v>0</v>
      </c>
      <c r="E12137" s="2">
        <v>0</v>
      </c>
      <c r="F12137" s="2">
        <v>0</v>
      </c>
      <c r="G12137" s="2">
        <v>0</v>
      </c>
      <c r="H12137" s="1" t="s">
        <v>0</v>
      </c>
      <c r="I12137" s="2">
        <v>0</v>
      </c>
      <c r="J12137" s="1">
        <v>45951.668090277781</v>
      </c>
    </row>
    <row r="12138" spans="1:10" x14ac:dyDescent="0.2">
      <c r="A12138" s="4" t="s">
        <v>1</v>
      </c>
      <c r="B1213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38" s="3" t="str">
        <f>HYPERLINK("https://otsuka-europe-crm.veevavault.com/ui/#object/sent_email__v/VBLZ025E82HQMYS", "SE-000289461")</f>
        <v>SE-000289461</v>
      </c>
      <c r="D12138" s="1" t="s">
        <v>0</v>
      </c>
      <c r="E12138" s="2">
        <v>0</v>
      </c>
      <c r="F12138" s="2">
        <v>0</v>
      </c>
      <c r="G12138" s="2">
        <v>0</v>
      </c>
      <c r="H12138" s="1" t="s">
        <v>0</v>
      </c>
      <c r="I12138" s="2">
        <v>0</v>
      </c>
      <c r="J12138" s="1">
        <v>45951.66810185185</v>
      </c>
    </row>
    <row r="12139" spans="1:10" x14ac:dyDescent="0.2">
      <c r="A12139" s="4" t="s">
        <v>1</v>
      </c>
      <c r="B1213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39" s="3" t="str">
        <f>HYPERLINK("https://otsuka-europe-crm.veevavault.com/ui/#object/sent_email__v/VBLZ025E82HQMYT", "SE-000289462")</f>
        <v>SE-000289462</v>
      </c>
      <c r="D12139" s="1" t="s">
        <v>0</v>
      </c>
      <c r="E12139" s="2">
        <v>0</v>
      </c>
      <c r="F12139" s="2">
        <v>0</v>
      </c>
      <c r="G12139" s="2">
        <v>0</v>
      </c>
      <c r="H12139" s="1" t="s">
        <v>0</v>
      </c>
      <c r="I12139" s="2">
        <v>0</v>
      </c>
      <c r="J12139" s="1">
        <v>45951.668113425927</v>
      </c>
    </row>
    <row r="12140" spans="1:10" x14ac:dyDescent="0.2">
      <c r="A12140" s="4" t="s">
        <v>1</v>
      </c>
      <c r="B1214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40" s="3" t="str">
        <f>HYPERLINK("https://otsuka-europe-crm.veevavault.com/ui/#object/sent_email__v/VBLZ025E82HQMYU", "SE-000289463")</f>
        <v>SE-000289463</v>
      </c>
      <c r="D12140" s="1" t="s">
        <v>0</v>
      </c>
      <c r="E12140" s="2">
        <v>0</v>
      </c>
      <c r="F12140" s="2">
        <v>0</v>
      </c>
      <c r="G12140" s="2">
        <v>0</v>
      </c>
      <c r="H12140" s="1" t="s">
        <v>0</v>
      </c>
      <c r="I12140" s="2">
        <v>0</v>
      </c>
      <c r="J12140" s="1">
        <v>45951.668124999997</v>
      </c>
    </row>
    <row r="12141" spans="1:10" x14ac:dyDescent="0.2">
      <c r="A12141" s="4" t="s">
        <v>1</v>
      </c>
      <c r="B1214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41" s="3" t="str">
        <f>HYPERLINK("https://otsuka-europe-crm.veevavault.com/ui/#object/sent_email__v/VBLZ025E82HQMYV", "SE-000289464")</f>
        <v>SE-000289464</v>
      </c>
      <c r="D12141" s="1" t="s">
        <v>0</v>
      </c>
      <c r="E12141" s="2">
        <v>0</v>
      </c>
      <c r="F12141" s="2">
        <v>0</v>
      </c>
      <c r="G12141" s="2">
        <v>0</v>
      </c>
      <c r="H12141" s="1" t="s">
        <v>0</v>
      </c>
      <c r="I12141" s="2">
        <v>0</v>
      </c>
      <c r="J12141" s="1">
        <v>45951.668136574073</v>
      </c>
    </row>
    <row r="12142" spans="1:10" x14ac:dyDescent="0.2">
      <c r="A12142" s="4" t="s">
        <v>1</v>
      </c>
      <c r="B1214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42" s="3" t="str">
        <f>HYPERLINK("https://otsuka-europe-crm.veevavault.com/ui/#object/sent_email__v/VBLZ025E82HQMYW", "SE-000289465")</f>
        <v>SE-000289465</v>
      </c>
      <c r="D12142" s="1" t="s">
        <v>0</v>
      </c>
      <c r="E12142" s="2">
        <v>0</v>
      </c>
      <c r="F12142" s="2">
        <v>0</v>
      </c>
      <c r="G12142" s="2">
        <v>0</v>
      </c>
      <c r="H12142" s="1" t="s">
        <v>0</v>
      </c>
      <c r="I12142" s="2">
        <v>0</v>
      </c>
      <c r="J12142" s="1">
        <v>45951.66814814815</v>
      </c>
    </row>
    <row r="12143" spans="1:10" x14ac:dyDescent="0.2">
      <c r="A12143" s="4" t="s">
        <v>1</v>
      </c>
      <c r="B1214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43" s="3" t="str">
        <f>HYPERLINK("https://otsuka-europe-crm.veevavault.com/ui/#object/sent_email__v/VBLZ025E82HQMYX", "SE-000289466")</f>
        <v>SE-000289466</v>
      </c>
      <c r="D12143" s="1">
        <v>45953.08803240741</v>
      </c>
      <c r="E12143" s="2">
        <v>1</v>
      </c>
      <c r="F12143" s="2">
        <v>1</v>
      </c>
      <c r="G12143" s="2">
        <v>0</v>
      </c>
      <c r="H12143" s="1" t="s">
        <v>0</v>
      </c>
      <c r="I12143" s="2">
        <v>0</v>
      </c>
      <c r="J12143" s="1">
        <v>45951.66815972222</v>
      </c>
    </row>
    <row r="12144" spans="1:10" x14ac:dyDescent="0.2">
      <c r="A12144" s="4" t="s">
        <v>1</v>
      </c>
      <c r="B1214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44" s="3" t="str">
        <f>HYPERLINK("https://otsuka-europe-crm.veevavault.com/ui/#object/sent_email__v/VBLZ025E82HQMYY", "SE-000289467")</f>
        <v>SE-000289467</v>
      </c>
      <c r="D12144" s="1">
        <v>45958.493981481479</v>
      </c>
      <c r="E12144" s="2">
        <v>1</v>
      </c>
      <c r="F12144" s="2">
        <v>2</v>
      </c>
      <c r="G12144" s="2">
        <v>0</v>
      </c>
      <c r="H12144" s="1" t="s">
        <v>0</v>
      </c>
      <c r="I12144" s="2">
        <v>0</v>
      </c>
      <c r="J12144" s="1">
        <v>45951.668171296296</v>
      </c>
    </row>
    <row r="12145" spans="1:10" x14ac:dyDescent="0.2">
      <c r="A12145" s="4" t="s">
        <v>1</v>
      </c>
      <c r="B1214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45" s="3" t="str">
        <f>HYPERLINK("https://otsuka-europe-crm.veevavault.com/ui/#object/sent_email__v/VBLZ025E82HQMYZ", "SE-000289468")</f>
        <v>SE-000289468</v>
      </c>
      <c r="D12145" s="1" t="s">
        <v>0</v>
      </c>
      <c r="E12145" s="2">
        <v>0</v>
      </c>
      <c r="F12145" s="2">
        <v>0</v>
      </c>
      <c r="G12145" s="2">
        <v>0</v>
      </c>
      <c r="H12145" s="1" t="s">
        <v>0</v>
      </c>
      <c r="I12145" s="2">
        <v>0</v>
      </c>
      <c r="J12145" s="1">
        <v>45951.668171296296</v>
      </c>
    </row>
    <row r="12146" spans="1:10" x14ac:dyDescent="0.2">
      <c r="A12146" s="4" t="s">
        <v>1</v>
      </c>
      <c r="B1214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46" s="3" t="str">
        <f>HYPERLINK("https://otsuka-europe-crm.veevavault.com/ui/#object/sent_email__v/VBLZ025E82HQMZ0", "SE-000289469")</f>
        <v>SE-000289469</v>
      </c>
      <c r="D12146" s="1" t="s">
        <v>0</v>
      </c>
      <c r="E12146" s="2">
        <v>0</v>
      </c>
      <c r="F12146" s="2">
        <v>0</v>
      </c>
      <c r="G12146" s="2">
        <v>0</v>
      </c>
      <c r="H12146" s="1" t="s">
        <v>0</v>
      </c>
      <c r="I12146" s="2">
        <v>0</v>
      </c>
      <c r="J12146" s="1">
        <v>45951.668182870373</v>
      </c>
    </row>
    <row r="12147" spans="1:10" x14ac:dyDescent="0.2">
      <c r="A12147" s="4" t="s">
        <v>1</v>
      </c>
      <c r="B1214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47" s="3" t="str">
        <f>HYPERLINK("https://otsuka-europe-crm.veevavault.com/ui/#object/sent_email__v/VBLZ025E82HQMZ1", "SE-000289470")</f>
        <v>SE-000289470</v>
      </c>
      <c r="D12147" s="1" t="s">
        <v>0</v>
      </c>
      <c r="E12147" s="2">
        <v>0</v>
      </c>
      <c r="F12147" s="2">
        <v>0</v>
      </c>
      <c r="G12147" s="2">
        <v>0</v>
      </c>
      <c r="H12147" s="1" t="s">
        <v>0</v>
      </c>
      <c r="I12147" s="2">
        <v>0</v>
      </c>
      <c r="J12147" s="1">
        <v>45951.668194444443</v>
      </c>
    </row>
    <row r="12148" spans="1:10" x14ac:dyDescent="0.2">
      <c r="A12148" s="4" t="s">
        <v>1</v>
      </c>
      <c r="B1214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48" s="3" t="str">
        <f>HYPERLINK("https://otsuka-europe-crm.veevavault.com/ui/#object/sent_email__v/VBLZ025E82HQMZ2", "SE-000289471")</f>
        <v>SE-000289471</v>
      </c>
      <c r="D12148" s="1" t="s">
        <v>0</v>
      </c>
      <c r="E12148" s="2">
        <v>0</v>
      </c>
      <c r="F12148" s="2">
        <v>0</v>
      </c>
      <c r="G12148" s="2">
        <v>0</v>
      </c>
      <c r="H12148" s="1" t="s">
        <v>0</v>
      </c>
      <c r="I12148" s="2">
        <v>0</v>
      </c>
      <c r="J12148" s="1">
        <v>45951.668206018519</v>
      </c>
    </row>
    <row r="12149" spans="1:10" x14ac:dyDescent="0.2">
      <c r="A12149" s="4" t="s">
        <v>1</v>
      </c>
      <c r="B1214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49" s="3" t="str">
        <f>HYPERLINK("https://otsuka-europe-crm.veevavault.com/ui/#object/sent_email__v/VBLZ025E82HQMZ3", "SE-000289472")</f>
        <v>SE-000289472</v>
      </c>
      <c r="D12149" s="1" t="s">
        <v>0</v>
      </c>
      <c r="E12149" s="2">
        <v>0</v>
      </c>
      <c r="F12149" s="2">
        <v>0</v>
      </c>
      <c r="G12149" s="2">
        <v>0</v>
      </c>
      <c r="H12149" s="1" t="s">
        <v>0</v>
      </c>
      <c r="I12149" s="2">
        <v>0</v>
      </c>
      <c r="J12149" s="1">
        <v>45951.668206018519</v>
      </c>
    </row>
    <row r="12150" spans="1:10" x14ac:dyDescent="0.2">
      <c r="A12150" s="4" t="s">
        <v>1</v>
      </c>
      <c r="B1215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50" s="3" t="str">
        <f>HYPERLINK("https://otsuka-europe-crm.veevavault.com/ui/#object/sent_email__v/VBLZ025E82HQMZ4", "SE-000289473")</f>
        <v>SE-000289473</v>
      </c>
      <c r="D12150" s="1" t="s">
        <v>0</v>
      </c>
      <c r="E12150" s="2">
        <v>0</v>
      </c>
      <c r="F12150" s="2">
        <v>0</v>
      </c>
      <c r="G12150" s="2">
        <v>0</v>
      </c>
      <c r="H12150" s="1" t="s">
        <v>0</v>
      </c>
      <c r="I12150" s="2">
        <v>0</v>
      </c>
      <c r="J12150" s="1">
        <v>45951.668217592596</v>
      </c>
    </row>
    <row r="12151" spans="1:10" x14ac:dyDescent="0.2">
      <c r="A12151" s="4" t="s">
        <v>1</v>
      </c>
      <c r="B1215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51" s="3" t="str">
        <f>HYPERLINK("https://otsuka-europe-crm.veevavault.com/ui/#object/sent_email__v/VBLZ025E82HQMZ5", "SE-000289474")</f>
        <v>SE-000289474</v>
      </c>
      <c r="D12151" s="1" t="s">
        <v>0</v>
      </c>
      <c r="E12151" s="2">
        <v>0</v>
      </c>
      <c r="F12151" s="2">
        <v>0</v>
      </c>
      <c r="G12151" s="2">
        <v>0</v>
      </c>
      <c r="H12151" s="1" t="s">
        <v>0</v>
      </c>
      <c r="I12151" s="2">
        <v>0</v>
      </c>
      <c r="J12151" s="1">
        <v>45951.668229166666</v>
      </c>
    </row>
    <row r="12152" spans="1:10" x14ac:dyDescent="0.2">
      <c r="A12152" s="4" t="s">
        <v>1</v>
      </c>
      <c r="B1215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52" s="3" t="str">
        <f>HYPERLINK("https://otsuka-europe-crm.veevavault.com/ui/#object/sent_email__v/VBLZ025E82HQMZ6", "SE-000289475")</f>
        <v>SE-000289475</v>
      </c>
      <c r="D12152" s="1" t="s">
        <v>0</v>
      </c>
      <c r="E12152" s="2">
        <v>0</v>
      </c>
      <c r="F12152" s="2">
        <v>0</v>
      </c>
      <c r="G12152" s="2">
        <v>0</v>
      </c>
      <c r="H12152" s="1" t="s">
        <v>0</v>
      </c>
      <c r="I12152" s="2">
        <v>0</v>
      </c>
      <c r="J12152" s="1">
        <v>45951.668240740742</v>
      </c>
    </row>
    <row r="12153" spans="1:10" x14ac:dyDescent="0.2">
      <c r="A12153" s="4" t="s">
        <v>1</v>
      </c>
      <c r="B1215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53" s="3" t="str">
        <f>HYPERLINK("https://otsuka-europe-crm.veevavault.com/ui/#object/sent_email__v/VBLZ025E82HQMZ7", "SE-000289476")</f>
        <v>SE-000289476</v>
      </c>
      <c r="D12153" s="1" t="s">
        <v>0</v>
      </c>
      <c r="E12153" s="2">
        <v>0</v>
      </c>
      <c r="F12153" s="2">
        <v>0</v>
      </c>
      <c r="G12153" s="2">
        <v>0</v>
      </c>
      <c r="H12153" s="1" t="s">
        <v>0</v>
      </c>
      <c r="I12153" s="2">
        <v>0</v>
      </c>
      <c r="J12153" s="1">
        <v>45951.668252314812</v>
      </c>
    </row>
    <row r="12154" spans="1:10" x14ac:dyDescent="0.2">
      <c r="A12154" s="4" t="s">
        <v>1</v>
      </c>
      <c r="B1215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54" s="3" t="str">
        <f>HYPERLINK("https://otsuka-europe-crm.veevavault.com/ui/#object/sent_email__v/VBLZ025E82HQMZ8", "SE-000289477")</f>
        <v>SE-000289477</v>
      </c>
      <c r="D12154" s="1" t="s">
        <v>0</v>
      </c>
      <c r="E12154" s="2">
        <v>0</v>
      </c>
      <c r="F12154" s="2">
        <v>0</v>
      </c>
      <c r="G12154" s="2">
        <v>0</v>
      </c>
      <c r="H12154" s="1" t="s">
        <v>0</v>
      </c>
      <c r="I12154" s="2">
        <v>0</v>
      </c>
      <c r="J12154" s="1">
        <v>45951.668252314812</v>
      </c>
    </row>
    <row r="12155" spans="1:10" x14ac:dyDescent="0.2">
      <c r="A12155" s="4" t="s">
        <v>1</v>
      </c>
      <c r="B1215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55" s="3" t="str">
        <f>HYPERLINK("https://otsuka-europe-crm.veevavault.com/ui/#object/sent_email__v/VBLZ025E82HQMZ9", "SE-000289478")</f>
        <v>SE-000289478</v>
      </c>
      <c r="D12155" s="1" t="s">
        <v>0</v>
      </c>
      <c r="E12155" s="2">
        <v>0</v>
      </c>
      <c r="F12155" s="2">
        <v>0</v>
      </c>
      <c r="G12155" s="2">
        <v>0</v>
      </c>
      <c r="H12155" s="1" t="s">
        <v>0</v>
      </c>
      <c r="I12155" s="2">
        <v>0</v>
      </c>
      <c r="J12155" s="1">
        <v>45951.668263888889</v>
      </c>
    </row>
    <row r="12156" spans="1:10" x14ac:dyDescent="0.2">
      <c r="A12156" s="4" t="s">
        <v>1</v>
      </c>
      <c r="B1215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56" s="3" t="str">
        <f>HYPERLINK("https://otsuka-europe-crm.veevavault.com/ui/#object/sent_email__v/VBLZ025E82HQMZA", "SE-000289479")</f>
        <v>SE-000289479</v>
      </c>
      <c r="D12156" s="1" t="s">
        <v>0</v>
      </c>
      <c r="E12156" s="2">
        <v>0</v>
      </c>
      <c r="F12156" s="2">
        <v>0</v>
      </c>
      <c r="G12156" s="2">
        <v>0</v>
      </c>
      <c r="H12156" s="1" t="s">
        <v>0</v>
      </c>
      <c r="I12156" s="2">
        <v>0</v>
      </c>
      <c r="J12156" s="1">
        <v>45951.668275462966</v>
      </c>
    </row>
    <row r="12157" spans="1:10" x14ac:dyDescent="0.2">
      <c r="A12157" s="4" t="s">
        <v>1</v>
      </c>
      <c r="B1215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57" s="3" t="str">
        <f>HYPERLINK("https://otsuka-europe-crm.veevavault.com/ui/#object/sent_email__v/VBLZ025E82HQNIH", "SE-000289568")</f>
        <v>SE-000289568</v>
      </c>
      <c r="D12157" s="1" t="s">
        <v>0</v>
      </c>
      <c r="E12157" s="2">
        <v>0</v>
      </c>
      <c r="F12157" s="2">
        <v>0</v>
      </c>
      <c r="G12157" s="2">
        <v>0</v>
      </c>
      <c r="H12157" s="1" t="s">
        <v>0</v>
      </c>
      <c r="I12157" s="2">
        <v>0</v>
      </c>
      <c r="J12157" s="1">
        <v>45951.669178240743</v>
      </c>
    </row>
    <row r="12158" spans="1:10" x14ac:dyDescent="0.2">
      <c r="A12158" s="4" t="s">
        <v>1</v>
      </c>
      <c r="B1215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58" s="3" t="str">
        <f>HYPERLINK("https://otsuka-europe-crm.veevavault.com/ui/#object/sent_email__v/VBLZ025E82HQNII", "SE-000289569")</f>
        <v>SE-000289569</v>
      </c>
      <c r="D12158" s="1" t="s">
        <v>0</v>
      </c>
      <c r="E12158" s="2">
        <v>0</v>
      </c>
      <c r="F12158" s="2">
        <v>0</v>
      </c>
      <c r="G12158" s="2">
        <v>0</v>
      </c>
      <c r="H12158" s="1" t="s">
        <v>0</v>
      </c>
      <c r="I12158" s="2">
        <v>0</v>
      </c>
      <c r="J12158" s="1">
        <v>45951.669189814813</v>
      </c>
    </row>
    <row r="12159" spans="1:10" x14ac:dyDescent="0.2">
      <c r="A12159" s="4" t="s">
        <v>1</v>
      </c>
      <c r="B1215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59" s="3" t="str">
        <f>HYPERLINK("https://otsuka-europe-crm.veevavault.com/ui/#object/sent_email__v/VBLZ025E82HQNIJ", "SE-000289570")</f>
        <v>SE-000289570</v>
      </c>
      <c r="D12159" s="1" t="s">
        <v>0</v>
      </c>
      <c r="E12159" s="2">
        <v>0</v>
      </c>
      <c r="F12159" s="2">
        <v>0</v>
      </c>
      <c r="G12159" s="2">
        <v>0</v>
      </c>
      <c r="H12159" s="1" t="s">
        <v>0</v>
      </c>
      <c r="I12159" s="2">
        <v>0</v>
      </c>
      <c r="J12159" s="1">
        <v>45951.66920138889</v>
      </c>
    </row>
    <row r="12160" spans="1:10" x14ac:dyDescent="0.2">
      <c r="A12160" s="4" t="s">
        <v>1</v>
      </c>
      <c r="B1216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60" s="3" t="str">
        <f>HYPERLINK("https://otsuka-europe-crm.veevavault.com/ui/#object/sent_email__v/VBLZ025E82HQNIK", "SE-000289571")</f>
        <v>SE-000289571</v>
      </c>
      <c r="D12160" s="1" t="s">
        <v>0</v>
      </c>
      <c r="E12160" s="2">
        <v>0</v>
      </c>
      <c r="F12160" s="2">
        <v>0</v>
      </c>
      <c r="G12160" s="2">
        <v>0</v>
      </c>
      <c r="H12160" s="1" t="s">
        <v>0</v>
      </c>
      <c r="I12160" s="2">
        <v>0</v>
      </c>
      <c r="J12160" s="1">
        <v>45951.669212962966</v>
      </c>
    </row>
    <row r="12161" spans="1:10" x14ac:dyDescent="0.2">
      <c r="A12161" s="4" t="s">
        <v>1</v>
      </c>
      <c r="B1216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61" s="3" t="str">
        <f>HYPERLINK("https://otsuka-europe-crm.veevavault.com/ui/#object/sent_email__v/VBLZ025E82HQNIL", "SE-000289572")</f>
        <v>SE-000289572</v>
      </c>
      <c r="D12161" s="1" t="s">
        <v>0</v>
      </c>
      <c r="E12161" s="2">
        <v>0</v>
      </c>
      <c r="F12161" s="2">
        <v>0</v>
      </c>
      <c r="G12161" s="2">
        <v>0</v>
      </c>
      <c r="H12161" s="1" t="s">
        <v>0</v>
      </c>
      <c r="I12161" s="2">
        <v>0</v>
      </c>
      <c r="J12161" s="1">
        <v>45951.669224537036</v>
      </c>
    </row>
    <row r="12162" spans="1:10" x14ac:dyDescent="0.2">
      <c r="A12162" s="4" t="s">
        <v>1</v>
      </c>
      <c r="B1216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62" s="3" t="str">
        <f>HYPERLINK("https://otsuka-europe-crm.veevavault.com/ui/#object/sent_email__v/VBLZ025E82HQNIM", "SE-000289573")</f>
        <v>SE-000289573</v>
      </c>
      <c r="D12162" s="1" t="s">
        <v>0</v>
      </c>
      <c r="E12162" s="2">
        <v>0</v>
      </c>
      <c r="F12162" s="2">
        <v>0</v>
      </c>
      <c r="G12162" s="2">
        <v>0</v>
      </c>
      <c r="H12162" s="1" t="s">
        <v>0</v>
      </c>
      <c r="I12162" s="2">
        <v>0</v>
      </c>
      <c r="J12162" s="1">
        <v>45951.669224537036</v>
      </c>
    </row>
    <row r="12163" spans="1:10" x14ac:dyDescent="0.2">
      <c r="A12163" s="4" t="s">
        <v>1</v>
      </c>
      <c r="B1216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63" s="3" t="str">
        <f>HYPERLINK("https://otsuka-europe-crm.veevavault.com/ui/#object/sent_email__v/VBLZ025E82HQNIN", "SE-000289574")</f>
        <v>SE-000289574</v>
      </c>
      <c r="D12163" s="1">
        <v>45951.669340277775</v>
      </c>
      <c r="E12163" s="2">
        <v>1</v>
      </c>
      <c r="F12163" s="2">
        <v>1</v>
      </c>
      <c r="G12163" s="2">
        <v>0</v>
      </c>
      <c r="H12163" s="1" t="s">
        <v>0</v>
      </c>
      <c r="I12163" s="2">
        <v>0</v>
      </c>
      <c r="J12163" s="1">
        <v>45951.669236111113</v>
      </c>
    </row>
    <row r="12164" spans="1:10" x14ac:dyDescent="0.2">
      <c r="A12164" s="4" t="s">
        <v>1</v>
      </c>
      <c r="B1216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64" s="3" t="str">
        <f>HYPERLINK("https://otsuka-europe-crm.veevavault.com/ui/#object/sent_email__v/VBLZ025E82HQNIO", "SE-000289575")</f>
        <v>SE-000289575</v>
      </c>
      <c r="D12164" s="1" t="s">
        <v>0</v>
      </c>
      <c r="E12164" s="2">
        <v>0</v>
      </c>
      <c r="F12164" s="2">
        <v>0</v>
      </c>
      <c r="G12164" s="2">
        <v>0</v>
      </c>
      <c r="H12164" s="1" t="s">
        <v>0</v>
      </c>
      <c r="I12164" s="2">
        <v>0</v>
      </c>
      <c r="J12164" s="1">
        <v>45951.669247685182</v>
      </c>
    </row>
    <row r="12165" spans="1:10" x14ac:dyDescent="0.2">
      <c r="A12165" s="4" t="s">
        <v>1</v>
      </c>
      <c r="B1216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65" s="3" t="str">
        <f>HYPERLINK("https://otsuka-europe-crm.veevavault.com/ui/#object/sent_email__v/VBLZ025E82HQNIP", "SE-000289576")</f>
        <v>SE-000289576</v>
      </c>
      <c r="D12165" s="1" t="s">
        <v>0</v>
      </c>
      <c r="E12165" s="2">
        <v>0</v>
      </c>
      <c r="F12165" s="2">
        <v>0</v>
      </c>
      <c r="G12165" s="2">
        <v>0</v>
      </c>
      <c r="H12165" s="1" t="s">
        <v>0</v>
      </c>
      <c r="I12165" s="2">
        <v>0</v>
      </c>
      <c r="J12165" s="1">
        <v>45951.669259259259</v>
      </c>
    </row>
    <row r="12166" spans="1:10" x14ac:dyDescent="0.2">
      <c r="A12166" s="4" t="s">
        <v>1</v>
      </c>
      <c r="B1216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66" s="3" t="str">
        <f>HYPERLINK("https://otsuka-europe-crm.veevavault.com/ui/#object/sent_email__v/VBLZ025E82HQNIQ", "SE-000289577")</f>
        <v>SE-000289577</v>
      </c>
      <c r="D12166" s="1">
        <v>45951.835856481484</v>
      </c>
      <c r="E12166" s="2">
        <v>1</v>
      </c>
      <c r="F12166" s="2">
        <v>1</v>
      </c>
      <c r="G12166" s="2">
        <v>0</v>
      </c>
      <c r="H12166" s="1" t="s">
        <v>0</v>
      </c>
      <c r="I12166" s="2">
        <v>0</v>
      </c>
      <c r="J12166" s="1">
        <v>45951.669270833336</v>
      </c>
    </row>
    <row r="12167" spans="1:10" x14ac:dyDescent="0.2">
      <c r="A12167" s="4" t="s">
        <v>1</v>
      </c>
      <c r="B1216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67" s="3" t="str">
        <f>HYPERLINK("https://otsuka-europe-crm.veevavault.com/ui/#object/sent_email__v/VBLZ025E82HQNIR", "SE-000289578")</f>
        <v>SE-000289578</v>
      </c>
      <c r="D12167" s="1" t="s">
        <v>0</v>
      </c>
      <c r="E12167" s="2">
        <v>0</v>
      </c>
      <c r="F12167" s="2">
        <v>0</v>
      </c>
      <c r="G12167" s="2">
        <v>0</v>
      </c>
      <c r="H12167" s="1" t="s">
        <v>0</v>
      </c>
      <c r="I12167" s="2">
        <v>0</v>
      </c>
      <c r="J12167" s="1">
        <v>45951.669282407405</v>
      </c>
    </row>
    <row r="12168" spans="1:10" x14ac:dyDescent="0.2">
      <c r="A12168" s="4" t="s">
        <v>1</v>
      </c>
      <c r="B1216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68" s="3" t="str">
        <f>HYPERLINK("https://otsuka-europe-crm.veevavault.com/ui/#object/sent_email__v/VBLZ025E82HQNIS", "SE-000289579")</f>
        <v>SE-000289579</v>
      </c>
      <c r="D12168" s="1">
        <v>45953.914756944447</v>
      </c>
      <c r="E12168" s="2">
        <v>1</v>
      </c>
      <c r="F12168" s="2">
        <v>1</v>
      </c>
      <c r="G12168" s="2">
        <v>0</v>
      </c>
      <c r="H12168" s="1" t="s">
        <v>0</v>
      </c>
      <c r="I12168" s="2">
        <v>0</v>
      </c>
      <c r="J12168" s="1">
        <v>45951.669293981482</v>
      </c>
    </row>
    <row r="12169" spans="1:10" x14ac:dyDescent="0.2">
      <c r="A12169" s="4" t="s">
        <v>1</v>
      </c>
      <c r="B1216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69" s="3" t="str">
        <f>HYPERLINK("https://otsuka-europe-crm.veevavault.com/ui/#object/sent_email__v/VBLZ025E82HQNIT", "SE-000289580")</f>
        <v>SE-000289580</v>
      </c>
      <c r="D12169" s="1" t="s">
        <v>0</v>
      </c>
      <c r="E12169" s="2">
        <v>0</v>
      </c>
      <c r="F12169" s="2">
        <v>0</v>
      </c>
      <c r="G12169" s="2">
        <v>0</v>
      </c>
      <c r="H12169" s="1" t="s">
        <v>0</v>
      </c>
      <c r="I12169" s="2">
        <v>0</v>
      </c>
      <c r="J12169" s="1">
        <v>45951.669293981482</v>
      </c>
    </row>
    <row r="12170" spans="1:10" x14ac:dyDescent="0.2">
      <c r="A12170" s="4" t="s">
        <v>1</v>
      </c>
      <c r="B1217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70" s="3" t="str">
        <f>HYPERLINK("https://otsuka-europe-crm.veevavault.com/ui/#object/sent_email__v/VBLZ025E82HQNIU", "SE-000289581")</f>
        <v>SE-000289581</v>
      </c>
      <c r="D12170" s="1" t="s">
        <v>0</v>
      </c>
      <c r="E12170" s="2">
        <v>0</v>
      </c>
      <c r="F12170" s="2">
        <v>0</v>
      </c>
      <c r="G12170" s="2">
        <v>0</v>
      </c>
      <c r="H12170" s="1" t="s">
        <v>0</v>
      </c>
      <c r="I12170" s="2">
        <v>0</v>
      </c>
      <c r="J12170" s="1">
        <v>45951.669305555559</v>
      </c>
    </row>
    <row r="12171" spans="1:10" x14ac:dyDescent="0.2">
      <c r="A12171" s="4" t="s">
        <v>1</v>
      </c>
      <c r="B1217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71" s="3" t="str">
        <f>HYPERLINK("https://otsuka-europe-crm.veevavault.com/ui/#object/sent_email__v/VBLZ025E82HQNIV", "SE-000289582")</f>
        <v>SE-000289582</v>
      </c>
      <c r="D12171" s="1" t="s">
        <v>0</v>
      </c>
      <c r="E12171" s="2">
        <v>0</v>
      </c>
      <c r="F12171" s="2">
        <v>0</v>
      </c>
      <c r="G12171" s="2">
        <v>0</v>
      </c>
      <c r="H12171" s="1" t="s">
        <v>0</v>
      </c>
      <c r="I12171" s="2">
        <v>0</v>
      </c>
      <c r="J12171" s="1">
        <v>45951.669317129628</v>
      </c>
    </row>
    <row r="12172" spans="1:10" x14ac:dyDescent="0.2">
      <c r="A12172" s="4" t="s">
        <v>1</v>
      </c>
      <c r="B1217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72" s="3" t="str">
        <f>HYPERLINK("https://otsuka-europe-crm.veevavault.com/ui/#object/sent_email__v/VBLZ025E82HQNIW", "SE-000289583")</f>
        <v>SE-000289583</v>
      </c>
      <c r="D12172" s="1" t="s">
        <v>0</v>
      </c>
      <c r="E12172" s="2">
        <v>0</v>
      </c>
      <c r="F12172" s="2">
        <v>0</v>
      </c>
      <c r="G12172" s="2">
        <v>0</v>
      </c>
      <c r="H12172" s="1" t="s">
        <v>0</v>
      </c>
      <c r="I12172" s="2">
        <v>0</v>
      </c>
      <c r="J12172" s="1">
        <v>45951.669328703705</v>
      </c>
    </row>
    <row r="12173" spans="1:10" x14ac:dyDescent="0.2">
      <c r="A12173" s="4" t="s">
        <v>1</v>
      </c>
      <c r="B1217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73" s="3" t="str">
        <f>HYPERLINK("https://otsuka-europe-crm.veevavault.com/ui/#object/sent_email__v/VBLZ025E82HQNIX", "SE-000289584")</f>
        <v>SE-000289584</v>
      </c>
      <c r="D12173" s="1" t="s">
        <v>0</v>
      </c>
      <c r="E12173" s="2">
        <v>0</v>
      </c>
      <c r="F12173" s="2">
        <v>0</v>
      </c>
      <c r="G12173" s="2">
        <v>0</v>
      </c>
      <c r="H12173" s="1" t="s">
        <v>0</v>
      </c>
      <c r="I12173" s="2">
        <v>0</v>
      </c>
      <c r="J12173" s="1">
        <v>45951.669328703705</v>
      </c>
    </row>
    <row r="12174" spans="1:10" x14ac:dyDescent="0.2">
      <c r="A12174" s="4" t="s">
        <v>1</v>
      </c>
      <c r="B1217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74" s="3" t="str">
        <f>HYPERLINK("https://otsuka-europe-crm.veevavault.com/ui/#object/sent_email__v/VBLZ025E82HQNIY", "SE-000289585")</f>
        <v>SE-000289585</v>
      </c>
      <c r="D12174" s="1" t="s">
        <v>0</v>
      </c>
      <c r="E12174" s="2">
        <v>0</v>
      </c>
      <c r="F12174" s="2">
        <v>0</v>
      </c>
      <c r="G12174" s="2">
        <v>0</v>
      </c>
      <c r="H12174" s="1" t="s">
        <v>0</v>
      </c>
      <c r="I12174" s="2">
        <v>0</v>
      </c>
      <c r="J12174" s="1">
        <v>45951.669351851851</v>
      </c>
    </row>
    <row r="12175" spans="1:10" x14ac:dyDescent="0.2">
      <c r="A12175" s="4" t="s">
        <v>1</v>
      </c>
      <c r="B1217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75" s="3" t="str">
        <f>HYPERLINK("https://otsuka-europe-crm.veevavault.com/ui/#object/sent_email__v/VBLZ025E82HQNIZ", "SE-000289586")</f>
        <v>SE-000289586</v>
      </c>
      <c r="D12175" s="1" t="s">
        <v>0</v>
      </c>
      <c r="E12175" s="2">
        <v>0</v>
      </c>
      <c r="F12175" s="2">
        <v>0</v>
      </c>
      <c r="G12175" s="2">
        <v>0</v>
      </c>
      <c r="H12175" s="1" t="s">
        <v>0</v>
      </c>
      <c r="I12175" s="2">
        <v>0</v>
      </c>
      <c r="J12175" s="1">
        <v>45951.669351851851</v>
      </c>
    </row>
    <row r="12176" spans="1:10" x14ac:dyDescent="0.2">
      <c r="A12176" s="4" t="s">
        <v>1</v>
      </c>
      <c r="B1217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76" s="3" t="str">
        <f>HYPERLINK("https://otsuka-europe-crm.veevavault.com/ui/#object/sent_email__v/VBLZ025E82HQNJ0", "SE-000289587")</f>
        <v>SE-000289587</v>
      </c>
      <c r="D12176" s="1" t="s">
        <v>0</v>
      </c>
      <c r="E12176" s="2">
        <v>0</v>
      </c>
      <c r="F12176" s="2">
        <v>0</v>
      </c>
      <c r="G12176" s="2">
        <v>0</v>
      </c>
      <c r="H12176" s="1" t="s">
        <v>0</v>
      </c>
      <c r="I12176" s="2">
        <v>0</v>
      </c>
      <c r="J12176" s="1">
        <v>45951.669363425928</v>
      </c>
    </row>
    <row r="12177" spans="1:10" x14ac:dyDescent="0.2">
      <c r="A12177" s="4" t="s">
        <v>1</v>
      </c>
      <c r="B1217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77" s="3" t="str">
        <f>HYPERLINK("https://otsuka-europe-crm.veevavault.com/ui/#object/sent_email__v/VBLZ025E82HQNJ1", "SE-000289588")</f>
        <v>SE-000289588</v>
      </c>
      <c r="D12177" s="1" t="s">
        <v>0</v>
      </c>
      <c r="E12177" s="2">
        <v>0</v>
      </c>
      <c r="F12177" s="2">
        <v>0</v>
      </c>
      <c r="G12177" s="2">
        <v>0</v>
      </c>
      <c r="H12177" s="1" t="s">
        <v>0</v>
      </c>
      <c r="I12177" s="2">
        <v>0</v>
      </c>
      <c r="J12177" s="1">
        <v>45951.669374999998</v>
      </c>
    </row>
    <row r="12178" spans="1:10" x14ac:dyDescent="0.2">
      <c r="A12178" s="4" t="s">
        <v>1</v>
      </c>
      <c r="B1217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78" s="3" t="str">
        <f>HYPERLINK("https://otsuka-europe-crm.veevavault.com/ui/#object/sent_email__v/VBLZ025E82HQNJ2", "SE-000289589")</f>
        <v>SE-000289589</v>
      </c>
      <c r="D12178" s="1" t="s">
        <v>0</v>
      </c>
      <c r="E12178" s="2">
        <v>0</v>
      </c>
      <c r="F12178" s="2">
        <v>0</v>
      </c>
      <c r="G12178" s="2">
        <v>0</v>
      </c>
      <c r="H12178" s="1" t="s">
        <v>0</v>
      </c>
      <c r="I12178" s="2">
        <v>0</v>
      </c>
      <c r="J12178" s="1">
        <v>45951.669386574074</v>
      </c>
    </row>
    <row r="12179" spans="1:10" x14ac:dyDescent="0.2">
      <c r="A12179" s="4" t="s">
        <v>1</v>
      </c>
      <c r="B1217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79" s="3" t="str">
        <f>HYPERLINK("https://otsuka-europe-crm.veevavault.com/ui/#object/sent_email__v/VBLZ025E82HQNJ3", "SE-000289590")</f>
        <v>SE-000289590</v>
      </c>
      <c r="D12179" s="1" t="s">
        <v>0</v>
      </c>
      <c r="E12179" s="2">
        <v>0</v>
      </c>
      <c r="F12179" s="2">
        <v>0</v>
      </c>
      <c r="G12179" s="2">
        <v>0</v>
      </c>
      <c r="H12179" s="1" t="s">
        <v>0</v>
      </c>
      <c r="I12179" s="2">
        <v>0</v>
      </c>
      <c r="J12179" s="1">
        <v>45951.669398148151</v>
      </c>
    </row>
    <row r="12180" spans="1:10" x14ac:dyDescent="0.2">
      <c r="A12180" s="4" t="s">
        <v>1</v>
      </c>
      <c r="B1218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80" s="3" t="str">
        <f>HYPERLINK("https://otsuka-europe-crm.veevavault.com/ui/#object/sent_email__v/VBLZ025E82HQNJ4", "SE-000289591")</f>
        <v>SE-000289591</v>
      </c>
      <c r="D12180" s="1" t="s">
        <v>0</v>
      </c>
      <c r="E12180" s="2">
        <v>0</v>
      </c>
      <c r="F12180" s="2">
        <v>0</v>
      </c>
      <c r="G12180" s="2">
        <v>0</v>
      </c>
      <c r="H12180" s="1" t="s">
        <v>0</v>
      </c>
      <c r="I12180" s="2">
        <v>0</v>
      </c>
      <c r="J12180" s="1">
        <v>45951.669409722221</v>
      </c>
    </row>
    <row r="12181" spans="1:10" x14ac:dyDescent="0.2">
      <c r="A12181" s="4" t="s">
        <v>1</v>
      </c>
      <c r="B1218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81" s="3" t="str">
        <f>HYPERLINK("https://otsuka-europe-crm.veevavault.com/ui/#object/sent_email__v/VBLZ025E82HQNJ5", "SE-000289592")</f>
        <v>SE-000289592</v>
      </c>
      <c r="D12181" s="1" t="s">
        <v>0</v>
      </c>
      <c r="E12181" s="2">
        <v>0</v>
      </c>
      <c r="F12181" s="2">
        <v>0</v>
      </c>
      <c r="G12181" s="2">
        <v>0</v>
      </c>
      <c r="H12181" s="1" t="s">
        <v>0</v>
      </c>
      <c r="I12181" s="2">
        <v>0</v>
      </c>
      <c r="J12181" s="1">
        <v>45951.669409722221</v>
      </c>
    </row>
    <row r="12182" spans="1:10" x14ac:dyDescent="0.2">
      <c r="A12182" s="4" t="s">
        <v>1</v>
      </c>
      <c r="B1218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82" s="3" t="str">
        <f>HYPERLINK("https://otsuka-europe-crm.veevavault.com/ui/#object/sent_email__v/VBLZ025E82HQNJ6", "SE-000289593")</f>
        <v>SE-000289593</v>
      </c>
      <c r="D12182" s="1" t="s">
        <v>0</v>
      </c>
      <c r="E12182" s="2">
        <v>0</v>
      </c>
      <c r="F12182" s="2">
        <v>0</v>
      </c>
      <c r="G12182" s="2">
        <v>0</v>
      </c>
      <c r="H12182" s="1" t="s">
        <v>0</v>
      </c>
      <c r="I12182" s="2">
        <v>0</v>
      </c>
      <c r="J12182" s="1">
        <v>45951.669421296298</v>
      </c>
    </row>
    <row r="12183" spans="1:10" x14ac:dyDescent="0.2">
      <c r="A12183" s="4" t="s">
        <v>1</v>
      </c>
      <c r="B1218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83" s="3" t="str">
        <f>HYPERLINK("https://otsuka-europe-crm.veevavault.com/ui/#object/sent_email__v/VBLZ025E82HQNJ7", "SE-000289594")</f>
        <v>SE-000289594</v>
      </c>
      <c r="D12183" s="1" t="s">
        <v>0</v>
      </c>
      <c r="E12183" s="2">
        <v>0</v>
      </c>
      <c r="F12183" s="2">
        <v>0</v>
      </c>
      <c r="G12183" s="2">
        <v>0</v>
      </c>
      <c r="H12183" s="1" t="s">
        <v>0</v>
      </c>
      <c r="I12183" s="2">
        <v>0</v>
      </c>
      <c r="J12183" s="1">
        <v>45951.669432870367</v>
      </c>
    </row>
    <row r="12184" spans="1:10" x14ac:dyDescent="0.2">
      <c r="A12184" s="4" t="s">
        <v>1</v>
      </c>
      <c r="B1218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84" s="3" t="str">
        <f>HYPERLINK("https://otsuka-europe-crm.veevavault.com/ui/#object/sent_email__v/VBLZ025E82HQNTL", "SE-000289650")</f>
        <v>SE-000289650</v>
      </c>
      <c r="D12184" s="1" t="s">
        <v>0</v>
      </c>
      <c r="E12184" s="2">
        <v>0</v>
      </c>
      <c r="F12184" s="2">
        <v>0</v>
      </c>
      <c r="G12184" s="2">
        <v>0</v>
      </c>
      <c r="H12184" s="1" t="s">
        <v>0</v>
      </c>
      <c r="I12184" s="2">
        <v>0</v>
      </c>
      <c r="J12184" s="1">
        <v>45951.672581018516</v>
      </c>
    </row>
    <row r="12185" spans="1:10" x14ac:dyDescent="0.2">
      <c r="A12185" s="4" t="s">
        <v>1</v>
      </c>
      <c r="B1218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85" s="3" t="str">
        <f>HYPERLINK("https://otsuka-europe-crm.veevavault.com/ui/#object/sent_email__v/VBLZ025E82HQNTM", "SE-000289651")</f>
        <v>SE-000289651</v>
      </c>
      <c r="D12185" s="1" t="s">
        <v>0</v>
      </c>
      <c r="E12185" s="2">
        <v>0</v>
      </c>
      <c r="F12185" s="2">
        <v>0</v>
      </c>
      <c r="G12185" s="2">
        <v>0</v>
      </c>
      <c r="H12185" s="1" t="s">
        <v>0</v>
      </c>
      <c r="I12185" s="2">
        <v>0</v>
      </c>
      <c r="J12185" s="1">
        <v>45951.672581018516</v>
      </c>
    </row>
    <row r="12186" spans="1:10" x14ac:dyDescent="0.2">
      <c r="A12186" s="4" t="s">
        <v>1</v>
      </c>
      <c r="B1218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86" s="3" t="str">
        <f>HYPERLINK("https://otsuka-europe-crm.veevavault.com/ui/#object/sent_email__v/VBLZ025E82HQNTN", "SE-000289652")</f>
        <v>SE-000289652</v>
      </c>
      <c r="D12186" s="1" t="s">
        <v>0</v>
      </c>
      <c r="E12186" s="2">
        <v>0</v>
      </c>
      <c r="F12186" s="2">
        <v>0</v>
      </c>
      <c r="G12186" s="2">
        <v>0</v>
      </c>
      <c r="H12186" s="1" t="s">
        <v>0</v>
      </c>
      <c r="I12186" s="2">
        <v>0</v>
      </c>
      <c r="J12186" s="1">
        <v>45951.672592592593</v>
      </c>
    </row>
    <row r="12187" spans="1:10" x14ac:dyDescent="0.2">
      <c r="A12187" s="4" t="s">
        <v>1</v>
      </c>
      <c r="B1218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87" s="3" t="str">
        <f>HYPERLINK("https://otsuka-europe-crm.veevavault.com/ui/#object/sent_email__v/VBLZ025E82HQNTO", "SE-000289653")</f>
        <v>SE-000289653</v>
      </c>
      <c r="D12187" s="1">
        <v>45952.99459490741</v>
      </c>
      <c r="E12187" s="2">
        <v>1</v>
      </c>
      <c r="F12187" s="2">
        <v>1</v>
      </c>
      <c r="G12187" s="2">
        <v>0</v>
      </c>
      <c r="H12187" s="1" t="s">
        <v>0</v>
      </c>
      <c r="I12187" s="2">
        <v>0</v>
      </c>
      <c r="J12187" s="1">
        <v>45951.67260416667</v>
      </c>
    </row>
    <row r="12188" spans="1:10" x14ac:dyDescent="0.2">
      <c r="A12188" s="4" t="s">
        <v>1</v>
      </c>
      <c r="B1218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88" s="3" t="str">
        <f>HYPERLINK("https://otsuka-europe-crm.veevavault.com/ui/#object/sent_email__v/VBLZ025E82HQNTP", "SE-000289654")</f>
        <v>SE-000289654</v>
      </c>
      <c r="D12188" s="1" t="s">
        <v>0</v>
      </c>
      <c r="E12188" s="2">
        <v>0</v>
      </c>
      <c r="F12188" s="2">
        <v>0</v>
      </c>
      <c r="G12188" s="2">
        <v>0</v>
      </c>
      <c r="H12188" s="1" t="s">
        <v>0</v>
      </c>
      <c r="I12188" s="2">
        <v>0</v>
      </c>
      <c r="J12188" s="1">
        <v>45951.672615740739</v>
      </c>
    </row>
    <row r="12189" spans="1:10" x14ac:dyDescent="0.2">
      <c r="A12189" s="4" t="s">
        <v>1</v>
      </c>
      <c r="B1218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89" s="3" t="str">
        <f>HYPERLINK("https://otsuka-europe-crm.veevavault.com/ui/#object/sent_email__v/VBLZ025E82HQNTQ", "SE-000289655")</f>
        <v>SE-000289655</v>
      </c>
      <c r="D12189" s="1" t="s">
        <v>0</v>
      </c>
      <c r="E12189" s="2">
        <v>0</v>
      </c>
      <c r="F12189" s="2">
        <v>0</v>
      </c>
      <c r="G12189" s="2">
        <v>0</v>
      </c>
      <c r="H12189" s="1" t="s">
        <v>0</v>
      </c>
      <c r="I12189" s="2">
        <v>0</v>
      </c>
      <c r="J12189" s="1">
        <v>45951.672615740739</v>
      </c>
    </row>
    <row r="12190" spans="1:10" x14ac:dyDescent="0.2">
      <c r="A12190" s="4" t="s">
        <v>1</v>
      </c>
      <c r="B1219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90" s="3" t="str">
        <f>HYPERLINK("https://otsuka-europe-crm.veevavault.com/ui/#object/sent_email__v/VBLZ025E82HQNTR", "SE-000289656")</f>
        <v>SE-000289656</v>
      </c>
      <c r="D12190" s="1" t="s">
        <v>0</v>
      </c>
      <c r="E12190" s="2">
        <v>0</v>
      </c>
      <c r="F12190" s="2">
        <v>0</v>
      </c>
      <c r="G12190" s="2">
        <v>0</v>
      </c>
      <c r="H12190" s="1" t="s">
        <v>0</v>
      </c>
      <c r="I12190" s="2">
        <v>0</v>
      </c>
      <c r="J12190" s="1">
        <v>45951.672627314816</v>
      </c>
    </row>
    <row r="12191" spans="1:10" x14ac:dyDescent="0.2">
      <c r="A12191" s="4" t="s">
        <v>1</v>
      </c>
      <c r="B1219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91" s="3" t="str">
        <f>HYPERLINK("https://otsuka-europe-crm.veevavault.com/ui/#object/sent_email__v/VBLZ025E82HQNTS", "SE-000289657")</f>
        <v>SE-000289657</v>
      </c>
      <c r="D12191" s="1" t="s">
        <v>0</v>
      </c>
      <c r="E12191" s="2">
        <v>0</v>
      </c>
      <c r="F12191" s="2">
        <v>0</v>
      </c>
      <c r="G12191" s="2">
        <v>0</v>
      </c>
      <c r="H12191" s="1" t="s">
        <v>0</v>
      </c>
      <c r="I12191" s="2">
        <v>0</v>
      </c>
      <c r="J12191" s="1">
        <v>45951.672650462962</v>
      </c>
    </row>
    <row r="12192" spans="1:10" x14ac:dyDescent="0.2">
      <c r="A12192" s="4" t="s">
        <v>1</v>
      </c>
      <c r="B1219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92" s="3" t="str">
        <f>HYPERLINK("https://otsuka-europe-crm.veevavault.com/ui/#object/sent_email__v/VBLZ025E82HQNTT", "SE-000289658")</f>
        <v>SE-000289658</v>
      </c>
      <c r="D12192" s="1" t="s">
        <v>0</v>
      </c>
      <c r="E12192" s="2">
        <v>0</v>
      </c>
      <c r="F12192" s="2">
        <v>0</v>
      </c>
      <c r="G12192" s="2">
        <v>0</v>
      </c>
      <c r="H12192" s="1" t="s">
        <v>0</v>
      </c>
      <c r="I12192" s="2">
        <v>0</v>
      </c>
      <c r="J12192" s="1">
        <v>45951.672650462962</v>
      </c>
    </row>
    <row r="12193" spans="1:10" x14ac:dyDescent="0.2">
      <c r="A12193" s="4" t="s">
        <v>1</v>
      </c>
      <c r="B1219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93" s="3" t="str">
        <f>HYPERLINK("https://otsuka-europe-crm.veevavault.com/ui/#object/sent_email__v/VBLZ025E82HQNTU", "SE-000289659")</f>
        <v>SE-000289659</v>
      </c>
      <c r="D12193" s="1" t="s">
        <v>0</v>
      </c>
      <c r="E12193" s="2">
        <v>0</v>
      </c>
      <c r="F12193" s="2">
        <v>0</v>
      </c>
      <c r="G12193" s="2">
        <v>0</v>
      </c>
      <c r="H12193" s="1" t="s">
        <v>0</v>
      </c>
      <c r="I12193" s="2">
        <v>0</v>
      </c>
      <c r="J12193" s="1">
        <v>45951.672662037039</v>
      </c>
    </row>
    <row r="12194" spans="1:10" x14ac:dyDescent="0.2">
      <c r="A12194" s="4" t="s">
        <v>1</v>
      </c>
      <c r="B1219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94" s="3" t="str">
        <f>HYPERLINK("https://otsuka-europe-crm.veevavault.com/ui/#object/sent_email__v/VBLZ025E82HQNTV", "SE-000289660")</f>
        <v>SE-000289660</v>
      </c>
      <c r="D12194" s="1" t="s">
        <v>0</v>
      </c>
      <c r="E12194" s="2">
        <v>0</v>
      </c>
      <c r="F12194" s="2">
        <v>0</v>
      </c>
      <c r="G12194" s="2">
        <v>0</v>
      </c>
      <c r="H12194" s="1" t="s">
        <v>0</v>
      </c>
      <c r="I12194" s="2">
        <v>0</v>
      </c>
      <c r="J12194" s="1">
        <v>45951.672673611109</v>
      </c>
    </row>
    <row r="12195" spans="1:10" x14ac:dyDescent="0.2">
      <c r="A12195" s="4" t="s">
        <v>1</v>
      </c>
      <c r="B1219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95" s="3" t="str">
        <f>HYPERLINK("https://otsuka-europe-crm.veevavault.com/ui/#object/sent_email__v/VBLZ025E82HQNTW", "SE-000289661")</f>
        <v>SE-000289661</v>
      </c>
      <c r="D12195" s="1">
        <v>45951.84101851852</v>
      </c>
      <c r="E12195" s="2">
        <v>1</v>
      </c>
      <c r="F12195" s="2">
        <v>2</v>
      </c>
      <c r="G12195" s="2">
        <v>0</v>
      </c>
      <c r="H12195" s="1" t="s">
        <v>0</v>
      </c>
      <c r="I12195" s="2">
        <v>0</v>
      </c>
      <c r="J12195" s="1">
        <v>45951.672673611109</v>
      </c>
    </row>
    <row r="12196" spans="1:10" x14ac:dyDescent="0.2">
      <c r="A12196" s="4" t="s">
        <v>1</v>
      </c>
      <c r="B1219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96" s="3" t="str">
        <f>HYPERLINK("https://otsuka-europe-crm.veevavault.com/ui/#object/sent_email__v/VBLZ025E82HQNTX", "SE-000289662")</f>
        <v>SE-000289662</v>
      </c>
      <c r="D12196" s="1" t="s">
        <v>0</v>
      </c>
      <c r="E12196" s="2">
        <v>0</v>
      </c>
      <c r="F12196" s="2">
        <v>0</v>
      </c>
      <c r="G12196" s="2">
        <v>0</v>
      </c>
      <c r="H12196" s="1" t="s">
        <v>0</v>
      </c>
      <c r="I12196" s="2">
        <v>0</v>
      </c>
      <c r="J12196" s="1">
        <v>45951.672685185185</v>
      </c>
    </row>
    <row r="12197" spans="1:10" x14ac:dyDescent="0.2">
      <c r="A12197" s="4" t="s">
        <v>1</v>
      </c>
      <c r="B1219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97" s="3" t="str">
        <f>HYPERLINK("https://otsuka-europe-crm.veevavault.com/ui/#object/sent_email__v/VBLZ025E82HQNTY", "SE-000289663")</f>
        <v>SE-000289663</v>
      </c>
      <c r="D12197" s="1">
        <v>45951.727337962962</v>
      </c>
      <c r="E12197" s="2">
        <v>1</v>
      </c>
      <c r="F12197" s="2">
        <v>2</v>
      </c>
      <c r="G12197" s="2">
        <v>0</v>
      </c>
      <c r="H12197" s="1" t="s">
        <v>0</v>
      </c>
      <c r="I12197" s="2">
        <v>0</v>
      </c>
      <c r="J12197" s="1">
        <v>45951.672708333332</v>
      </c>
    </row>
    <row r="12198" spans="1:10" x14ac:dyDescent="0.2">
      <c r="A12198" s="4" t="s">
        <v>1</v>
      </c>
      <c r="B1219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98" s="3" t="str">
        <f>HYPERLINK("https://otsuka-europe-crm.veevavault.com/ui/#object/sent_email__v/VBLZ025E82HQNTZ", "SE-000289664")</f>
        <v>SE-000289664</v>
      </c>
      <c r="D12198" s="1">
        <v>45951.677974537037</v>
      </c>
      <c r="E12198" s="2">
        <v>1</v>
      </c>
      <c r="F12198" s="2">
        <v>1</v>
      </c>
      <c r="G12198" s="2">
        <v>0</v>
      </c>
      <c r="H12198" s="1" t="s">
        <v>0</v>
      </c>
      <c r="I12198" s="2">
        <v>0</v>
      </c>
      <c r="J12198" s="1">
        <v>45951.672708333332</v>
      </c>
    </row>
    <row r="12199" spans="1:10" x14ac:dyDescent="0.2">
      <c r="A12199" s="4" t="s">
        <v>1</v>
      </c>
      <c r="B1219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199" s="3" t="str">
        <f>HYPERLINK("https://otsuka-europe-crm.veevavault.com/ui/#object/sent_email__v/VBLZ025E82HQNU0", "SE-000289665")</f>
        <v>SE-000289665</v>
      </c>
      <c r="D12199" s="1">
        <v>45951.933113425926</v>
      </c>
      <c r="E12199" s="2">
        <v>1</v>
      </c>
      <c r="F12199" s="2">
        <v>1</v>
      </c>
      <c r="G12199" s="2">
        <v>0</v>
      </c>
      <c r="H12199" s="1" t="s">
        <v>0</v>
      </c>
      <c r="I12199" s="2">
        <v>0</v>
      </c>
      <c r="J12199" s="1">
        <v>45951.672719907408</v>
      </c>
    </row>
    <row r="12200" spans="1:10" x14ac:dyDescent="0.2">
      <c r="A12200" s="4" t="s">
        <v>1</v>
      </c>
      <c r="B1220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00" s="3" t="str">
        <f>HYPERLINK("https://otsuka-europe-crm.veevavault.com/ui/#object/sent_email__v/VBLZ025E82HQNU1", "SE-000289666")</f>
        <v>SE-000289666</v>
      </c>
      <c r="D12200" s="1" t="s">
        <v>0</v>
      </c>
      <c r="E12200" s="2">
        <v>0</v>
      </c>
      <c r="F12200" s="2">
        <v>0</v>
      </c>
      <c r="G12200" s="2">
        <v>0</v>
      </c>
      <c r="H12200" s="1" t="s">
        <v>0</v>
      </c>
      <c r="I12200" s="2">
        <v>0</v>
      </c>
      <c r="J12200" s="1">
        <v>45951.672743055555</v>
      </c>
    </row>
    <row r="12201" spans="1:10" x14ac:dyDescent="0.2">
      <c r="A12201" s="4" t="s">
        <v>1</v>
      </c>
      <c r="B1220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01" s="3" t="str">
        <f>HYPERLINK("https://otsuka-europe-crm.veevavault.com/ui/#object/sent_email__v/VBLZ025E82HQNU2", "SE-000289667")</f>
        <v>SE-000289667</v>
      </c>
      <c r="D12201" s="1">
        <v>45951.846990740742</v>
      </c>
      <c r="E12201" s="2">
        <v>1</v>
      </c>
      <c r="F12201" s="2">
        <v>1</v>
      </c>
      <c r="G12201" s="2">
        <v>1</v>
      </c>
      <c r="H12201" s="1">
        <v>45951.846990740742</v>
      </c>
      <c r="I12201" s="2">
        <v>1</v>
      </c>
      <c r="J12201" s="1">
        <v>45951.672743055555</v>
      </c>
    </row>
    <row r="12202" spans="1:10" x14ac:dyDescent="0.2">
      <c r="A12202" s="4" t="s">
        <v>1</v>
      </c>
      <c r="B1220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02" s="3" t="str">
        <f>HYPERLINK("https://otsuka-europe-crm.veevavault.com/ui/#object/sent_email__v/VBLZ025E82HQNU3", "SE-000289668")</f>
        <v>SE-000289668</v>
      </c>
      <c r="D12202" s="1">
        <v>45951.806423611109</v>
      </c>
      <c r="E12202" s="2">
        <v>1</v>
      </c>
      <c r="F12202" s="2">
        <v>2</v>
      </c>
      <c r="G12202" s="2">
        <v>0</v>
      </c>
      <c r="H12202" s="1" t="s">
        <v>0</v>
      </c>
      <c r="I12202" s="2">
        <v>0</v>
      </c>
      <c r="J12202" s="1">
        <v>45951.672754629632</v>
      </c>
    </row>
    <row r="12203" spans="1:10" x14ac:dyDescent="0.2">
      <c r="A12203" s="4" t="s">
        <v>1</v>
      </c>
      <c r="B1220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03" s="3" t="str">
        <f>HYPERLINK("https://otsuka-europe-crm.veevavault.com/ui/#object/sent_email__v/VBLZ025E82HQNU4", "SE-000289669")</f>
        <v>SE-000289669</v>
      </c>
      <c r="D12203" s="1">
        <v>45952.555636574078</v>
      </c>
      <c r="E12203" s="2">
        <v>1</v>
      </c>
      <c r="F12203" s="2">
        <v>1</v>
      </c>
      <c r="G12203" s="2">
        <v>1</v>
      </c>
      <c r="H12203" s="1">
        <v>45952.555636574078</v>
      </c>
      <c r="I12203" s="2">
        <v>1</v>
      </c>
      <c r="J12203" s="1">
        <v>45951.672754629632</v>
      </c>
    </row>
    <row r="12204" spans="1:10" x14ac:dyDescent="0.2">
      <c r="A12204" s="4" t="s">
        <v>1</v>
      </c>
      <c r="B1220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04" s="3" t="str">
        <f>HYPERLINK("https://otsuka-europe-crm.veevavault.com/ui/#object/sent_email__v/VBLZ025E82HQNU5", "SE-000289670")</f>
        <v>SE-000289670</v>
      </c>
      <c r="D12204" s="1" t="s">
        <v>0</v>
      </c>
      <c r="E12204" s="2">
        <v>0</v>
      </c>
      <c r="F12204" s="2">
        <v>0</v>
      </c>
      <c r="G12204" s="2">
        <v>0</v>
      </c>
      <c r="H12204" s="1" t="s">
        <v>0</v>
      </c>
      <c r="I12204" s="2">
        <v>0</v>
      </c>
      <c r="J12204" s="1">
        <v>45951.672766203701</v>
      </c>
    </row>
    <row r="12205" spans="1:10" x14ac:dyDescent="0.2">
      <c r="A12205" s="4" t="s">
        <v>1</v>
      </c>
      <c r="B1220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05" s="3" t="str">
        <f>HYPERLINK("https://otsuka-europe-crm.veevavault.com/ui/#object/sent_email__v/VBLZ025E82HQNU6", "SE-000289671")</f>
        <v>SE-000289671</v>
      </c>
      <c r="D12205" s="1" t="s">
        <v>0</v>
      </c>
      <c r="E12205" s="2">
        <v>0</v>
      </c>
      <c r="F12205" s="2">
        <v>0</v>
      </c>
      <c r="G12205" s="2">
        <v>0</v>
      </c>
      <c r="H12205" s="1" t="s">
        <v>0</v>
      </c>
      <c r="I12205" s="2">
        <v>0</v>
      </c>
      <c r="J12205" s="1">
        <v>45951.672777777778</v>
      </c>
    </row>
    <row r="12206" spans="1:10" x14ac:dyDescent="0.2">
      <c r="A12206" s="4" t="s">
        <v>1</v>
      </c>
      <c r="B1220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06" s="3" t="str">
        <f>HYPERLINK("https://otsuka-europe-crm.veevavault.com/ui/#object/sent_email__v/VBLZ025E82HQNU7", "SE-000289672")</f>
        <v>SE-000289672</v>
      </c>
      <c r="D12206" s="1" t="s">
        <v>0</v>
      </c>
      <c r="E12206" s="2">
        <v>0</v>
      </c>
      <c r="F12206" s="2">
        <v>0</v>
      </c>
      <c r="G12206" s="2">
        <v>0</v>
      </c>
      <c r="H12206" s="1" t="s">
        <v>0</v>
      </c>
      <c r="I12206" s="2">
        <v>0</v>
      </c>
      <c r="J12206" s="1">
        <v>45951.672789351855</v>
      </c>
    </row>
    <row r="12207" spans="1:10" x14ac:dyDescent="0.2">
      <c r="A12207" s="4" t="s">
        <v>1</v>
      </c>
      <c r="B1220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07" s="3" t="str">
        <f>HYPERLINK("https://otsuka-europe-crm.veevavault.com/ui/#object/sent_email__v/VBLZ025E82HQNU8", "SE-000289673")</f>
        <v>SE-000289673</v>
      </c>
      <c r="D12207" s="1" t="s">
        <v>0</v>
      </c>
      <c r="E12207" s="2">
        <v>0</v>
      </c>
      <c r="F12207" s="2">
        <v>0</v>
      </c>
      <c r="G12207" s="2">
        <v>0</v>
      </c>
      <c r="H12207" s="1" t="s">
        <v>0</v>
      </c>
      <c r="I12207" s="2">
        <v>0</v>
      </c>
      <c r="J12207" s="1">
        <v>45951.672800925924</v>
      </c>
    </row>
    <row r="12208" spans="1:10" x14ac:dyDescent="0.2">
      <c r="A12208" s="4" t="s">
        <v>1</v>
      </c>
      <c r="B1220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08" s="3" t="str">
        <f>HYPERLINK("https://otsuka-europe-crm.veevavault.com/ui/#object/sent_email__v/VBLZ025E82HQNU9", "SE-000289674")</f>
        <v>SE-000289674</v>
      </c>
      <c r="D12208" s="1" t="s">
        <v>0</v>
      </c>
      <c r="E12208" s="2">
        <v>0</v>
      </c>
      <c r="F12208" s="2">
        <v>0</v>
      </c>
      <c r="G12208" s="2">
        <v>0</v>
      </c>
      <c r="H12208" s="1" t="s">
        <v>0</v>
      </c>
      <c r="I12208" s="2">
        <v>0</v>
      </c>
      <c r="J12208" s="1">
        <v>45951.672812500001</v>
      </c>
    </row>
    <row r="12209" spans="1:10" x14ac:dyDescent="0.2">
      <c r="A12209" s="4" t="s">
        <v>1</v>
      </c>
      <c r="B1220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09" s="3" t="str">
        <f>HYPERLINK("https://otsuka-europe-crm.veevavault.com/ui/#object/sent_email__v/VBLZ025E82HQNUA", "SE-000289675")</f>
        <v>SE-000289675</v>
      </c>
      <c r="D12209" s="1" t="s">
        <v>0</v>
      </c>
      <c r="E12209" s="2">
        <v>0</v>
      </c>
      <c r="F12209" s="2">
        <v>0</v>
      </c>
      <c r="G12209" s="2">
        <v>0</v>
      </c>
      <c r="H12209" s="1" t="s">
        <v>0</v>
      </c>
      <c r="I12209" s="2">
        <v>0</v>
      </c>
      <c r="J12209" s="1">
        <v>45951.672824074078</v>
      </c>
    </row>
    <row r="12210" spans="1:10" x14ac:dyDescent="0.2">
      <c r="A12210" s="4" t="s">
        <v>1</v>
      </c>
      <c r="B1221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10" s="3" t="str">
        <f>HYPERLINK("https://otsuka-europe-crm.veevavault.com/ui/#object/sent_email__v/VBLZ025E82HQNUB", "SE-000289676")</f>
        <v>SE-000289676</v>
      </c>
      <c r="D12210" s="1" t="s">
        <v>0</v>
      </c>
      <c r="E12210" s="2">
        <v>0</v>
      </c>
      <c r="F12210" s="2">
        <v>0</v>
      </c>
      <c r="G12210" s="2">
        <v>0</v>
      </c>
      <c r="H12210" s="1" t="s">
        <v>0</v>
      </c>
      <c r="I12210" s="2">
        <v>0</v>
      </c>
      <c r="J12210" s="1">
        <v>45951.672835648147</v>
      </c>
    </row>
    <row r="12211" spans="1:10" x14ac:dyDescent="0.2">
      <c r="A12211" s="4" t="s">
        <v>1</v>
      </c>
      <c r="B1221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11" s="3" t="str">
        <f>HYPERLINK("https://otsuka-europe-crm.veevavault.com/ui/#object/sent_email__v/VBLZ025E82HQNUC", "SE-000289677")</f>
        <v>SE-000289677</v>
      </c>
      <c r="D12211" s="1" t="s">
        <v>0</v>
      </c>
      <c r="E12211" s="2">
        <v>0</v>
      </c>
      <c r="F12211" s="2">
        <v>0</v>
      </c>
      <c r="G12211" s="2">
        <v>0</v>
      </c>
      <c r="H12211" s="1" t="s">
        <v>0</v>
      </c>
      <c r="I12211" s="2">
        <v>0</v>
      </c>
      <c r="J12211" s="1">
        <v>45951.672835648147</v>
      </c>
    </row>
    <row r="12212" spans="1:10" x14ac:dyDescent="0.2">
      <c r="A12212" s="4" t="s">
        <v>1</v>
      </c>
      <c r="B1221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12" s="3" t="str">
        <f>HYPERLINK("https://otsuka-europe-crm.veevavault.com/ui/#object/sent_email__v/VBLZ025E82HQNUD", "SE-000289678")</f>
        <v>SE-000289678</v>
      </c>
      <c r="D12212" s="1">
        <v>45952.367152777777</v>
      </c>
      <c r="E12212" s="2">
        <v>1</v>
      </c>
      <c r="F12212" s="2">
        <v>4</v>
      </c>
      <c r="G12212" s="2">
        <v>0</v>
      </c>
      <c r="H12212" s="1" t="s">
        <v>0</v>
      </c>
      <c r="I12212" s="2">
        <v>0</v>
      </c>
      <c r="J12212" s="1">
        <v>45951.672847222224</v>
      </c>
    </row>
    <row r="12213" spans="1:10" x14ac:dyDescent="0.2">
      <c r="A12213" s="4" t="s">
        <v>1</v>
      </c>
      <c r="B1221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13" s="3" t="str">
        <f>HYPERLINK("https://otsuka-europe-crm.veevavault.com/ui/#object/sent_email__v/VBLZ025E82HQNUE", "SE-000289679")</f>
        <v>SE-000289679</v>
      </c>
      <c r="D12213" s="1" t="s">
        <v>0</v>
      </c>
      <c r="E12213" s="2">
        <v>0</v>
      </c>
      <c r="F12213" s="2">
        <v>0</v>
      </c>
      <c r="G12213" s="2">
        <v>0</v>
      </c>
      <c r="H12213" s="1" t="s">
        <v>0</v>
      </c>
      <c r="I12213" s="2">
        <v>0</v>
      </c>
      <c r="J12213" s="1">
        <v>45951.67287037037</v>
      </c>
    </row>
    <row r="12214" spans="1:10" x14ac:dyDescent="0.2">
      <c r="A12214" s="4" t="s">
        <v>1</v>
      </c>
      <c r="B1221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14" s="3" t="str">
        <f>HYPERLINK("https://otsuka-europe-crm.veevavault.com/ui/#object/sent_email__v/VBLZ025E82HQNUF", "SE-000289680")</f>
        <v>SE-000289680</v>
      </c>
      <c r="D12214" s="1" t="s">
        <v>0</v>
      </c>
      <c r="E12214" s="2">
        <v>0</v>
      </c>
      <c r="F12214" s="2">
        <v>0</v>
      </c>
      <c r="G12214" s="2">
        <v>0</v>
      </c>
      <c r="H12214" s="1" t="s">
        <v>0</v>
      </c>
      <c r="I12214" s="2">
        <v>0</v>
      </c>
      <c r="J12214" s="1">
        <v>45951.67287037037</v>
      </c>
    </row>
    <row r="12215" spans="1:10" x14ac:dyDescent="0.2">
      <c r="A12215" s="4" t="s">
        <v>1</v>
      </c>
      <c r="B1221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15" s="3" t="str">
        <f>HYPERLINK("https://otsuka-europe-crm.veevavault.com/ui/#object/sent_email__v/VBLZ025E82HQNUG", "SE-000289681")</f>
        <v>SE-000289681</v>
      </c>
      <c r="D12215" s="1" t="s">
        <v>0</v>
      </c>
      <c r="E12215" s="2">
        <v>0</v>
      </c>
      <c r="F12215" s="2">
        <v>0</v>
      </c>
      <c r="G12215" s="2">
        <v>0</v>
      </c>
      <c r="H12215" s="1" t="s">
        <v>0</v>
      </c>
      <c r="I12215" s="2">
        <v>0</v>
      </c>
      <c r="J12215" s="1">
        <v>45951.672881944447</v>
      </c>
    </row>
    <row r="12216" spans="1:10" x14ac:dyDescent="0.2">
      <c r="A12216" s="4" t="s">
        <v>1</v>
      </c>
      <c r="B1221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16" s="3" t="str">
        <f>HYPERLINK("https://otsuka-europe-crm.veevavault.com/ui/#object/sent_email__v/VBLZ025E82HQNUH", "SE-000289682")</f>
        <v>SE-000289682</v>
      </c>
      <c r="D12216" s="1" t="s">
        <v>0</v>
      </c>
      <c r="E12216" s="2">
        <v>0</v>
      </c>
      <c r="F12216" s="2">
        <v>0</v>
      </c>
      <c r="G12216" s="2">
        <v>0</v>
      </c>
      <c r="H12216" s="1" t="s">
        <v>0</v>
      </c>
      <c r="I12216" s="2">
        <v>0</v>
      </c>
      <c r="J12216" s="1">
        <v>45951.672893518517</v>
      </c>
    </row>
    <row r="12217" spans="1:10" x14ac:dyDescent="0.2">
      <c r="A12217" s="4" t="s">
        <v>1</v>
      </c>
      <c r="B1221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17" s="3" t="str">
        <f>HYPERLINK("https://otsuka-europe-crm.veevavault.com/ui/#object/sent_email__v/VBLZ025E82HQNUI", "SE-000289683")</f>
        <v>SE-000289683</v>
      </c>
      <c r="D12217" s="1" t="s">
        <v>0</v>
      </c>
      <c r="E12217" s="2">
        <v>0</v>
      </c>
      <c r="F12217" s="2">
        <v>0</v>
      </c>
      <c r="G12217" s="2">
        <v>0</v>
      </c>
      <c r="H12217" s="1" t="s">
        <v>0</v>
      </c>
      <c r="I12217" s="2">
        <v>0</v>
      </c>
      <c r="J12217" s="1">
        <v>45951.672905092593</v>
      </c>
    </row>
    <row r="12218" spans="1:10" x14ac:dyDescent="0.2">
      <c r="A12218" s="4" t="s">
        <v>1</v>
      </c>
      <c r="B1221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18" s="3" t="str">
        <f>HYPERLINK("https://otsuka-europe-crm.veevavault.com/ui/#object/sent_email__v/VBLZ025E82HQNUJ", "SE-000289684")</f>
        <v>SE-000289684</v>
      </c>
      <c r="D12218" s="1" t="s">
        <v>0</v>
      </c>
      <c r="E12218" s="2">
        <v>0</v>
      </c>
      <c r="F12218" s="2">
        <v>0</v>
      </c>
      <c r="G12218" s="2">
        <v>0</v>
      </c>
      <c r="H12218" s="1" t="s">
        <v>0</v>
      </c>
      <c r="I12218" s="2">
        <v>0</v>
      </c>
      <c r="J12218" s="1">
        <v>45951.67291666667</v>
      </c>
    </row>
    <row r="12219" spans="1:10" x14ac:dyDescent="0.2">
      <c r="A12219" s="4" t="s">
        <v>1</v>
      </c>
      <c r="B1221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19" s="3" t="str">
        <f>HYPERLINK("https://otsuka-europe-crm.veevavault.com/ui/#object/sent_email__v/VBLZ025E82HQNUK", "SE-000289685")</f>
        <v>SE-000289685</v>
      </c>
      <c r="D12219" s="1">
        <v>45970.917071759257</v>
      </c>
      <c r="E12219" s="2">
        <v>1</v>
      </c>
      <c r="F12219" s="2">
        <v>3</v>
      </c>
      <c r="G12219" s="2">
        <v>0</v>
      </c>
      <c r="H12219" s="1" t="s">
        <v>0</v>
      </c>
      <c r="I12219" s="2">
        <v>0</v>
      </c>
      <c r="J12219" s="1">
        <v>45951.67292824074</v>
      </c>
    </row>
    <row r="12220" spans="1:10" x14ac:dyDescent="0.2">
      <c r="A12220" s="4" t="s">
        <v>1</v>
      </c>
      <c r="B1222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20" s="3" t="str">
        <f>HYPERLINK("https://otsuka-europe-crm.veevavault.com/ui/#object/sent_email__v/VBLZ025E82HQNUL", "SE-000289686")</f>
        <v>SE-000289686</v>
      </c>
      <c r="D12220" s="1">
        <v>45952.440046296295</v>
      </c>
      <c r="E12220" s="2">
        <v>1</v>
      </c>
      <c r="F12220" s="2">
        <v>2</v>
      </c>
      <c r="G12220" s="2">
        <v>0</v>
      </c>
      <c r="H12220" s="1" t="s">
        <v>0</v>
      </c>
      <c r="I12220" s="2">
        <v>0</v>
      </c>
      <c r="J12220" s="1">
        <v>45951.67292824074</v>
      </c>
    </row>
    <row r="12221" spans="1:10" x14ac:dyDescent="0.2">
      <c r="A12221" s="4" t="s">
        <v>1</v>
      </c>
      <c r="B1222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21" s="3" t="str">
        <f>HYPERLINK("https://otsuka-europe-crm.veevavault.com/ui/#object/sent_email__v/VBLZ025E82HQNUM", "SE-000289687")</f>
        <v>SE-000289687</v>
      </c>
      <c r="D12221" s="1" t="s">
        <v>0</v>
      </c>
      <c r="E12221" s="2">
        <v>0</v>
      </c>
      <c r="F12221" s="2">
        <v>0</v>
      </c>
      <c r="G12221" s="2">
        <v>0</v>
      </c>
      <c r="H12221" s="1" t="s">
        <v>0</v>
      </c>
      <c r="I12221" s="2">
        <v>0</v>
      </c>
      <c r="J12221" s="1">
        <v>45951.672939814816</v>
      </c>
    </row>
    <row r="12222" spans="1:10" x14ac:dyDescent="0.2">
      <c r="A12222" s="4" t="s">
        <v>1</v>
      </c>
      <c r="B1222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22" s="3" t="str">
        <f>HYPERLINK("https://otsuka-europe-crm.veevavault.com/ui/#object/sent_email__v/VBLZ025E82HQNUN", "SE-000289688")</f>
        <v>SE-000289688</v>
      </c>
      <c r="D12222" s="1" t="s">
        <v>0</v>
      </c>
      <c r="E12222" s="2">
        <v>0</v>
      </c>
      <c r="F12222" s="2">
        <v>0</v>
      </c>
      <c r="G12222" s="2">
        <v>0</v>
      </c>
      <c r="H12222" s="1" t="s">
        <v>0</v>
      </c>
      <c r="I12222" s="2">
        <v>0</v>
      </c>
      <c r="J12222" s="1">
        <v>45951.672951388886</v>
      </c>
    </row>
    <row r="12223" spans="1:10" x14ac:dyDescent="0.2">
      <c r="A12223" s="4" t="s">
        <v>1</v>
      </c>
      <c r="B1222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23" s="3" t="str">
        <f>HYPERLINK("https://otsuka-europe-crm.veevavault.com/ui/#object/sent_email__v/VBLZ025E82HQNUO", "SE-000289689")</f>
        <v>SE-000289689</v>
      </c>
      <c r="D12223" s="1">
        <v>45951.685648148145</v>
      </c>
      <c r="E12223" s="2">
        <v>1</v>
      </c>
      <c r="F12223" s="2">
        <v>1</v>
      </c>
      <c r="G12223" s="2">
        <v>0</v>
      </c>
      <c r="H12223" s="1" t="s">
        <v>0</v>
      </c>
      <c r="I12223" s="2">
        <v>0</v>
      </c>
      <c r="J12223" s="1">
        <v>45951.672962962963</v>
      </c>
    </row>
    <row r="12224" spans="1:10" x14ac:dyDescent="0.2">
      <c r="A12224" s="4" t="s">
        <v>1</v>
      </c>
      <c r="B1222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24" s="3" t="str">
        <f>HYPERLINK("https://otsuka-europe-crm.veevavault.com/ui/#object/sent_email__v/VBLZ025E82HQNUP", "SE-000289690")</f>
        <v>SE-000289690</v>
      </c>
      <c r="D12224" s="1">
        <v>45953.504918981482</v>
      </c>
      <c r="E12224" s="2">
        <v>1</v>
      </c>
      <c r="F12224" s="2">
        <v>2</v>
      </c>
      <c r="G12224" s="2">
        <v>0</v>
      </c>
      <c r="H12224" s="1" t="s">
        <v>0</v>
      </c>
      <c r="I12224" s="2">
        <v>0</v>
      </c>
      <c r="J12224" s="1">
        <v>45951.672974537039</v>
      </c>
    </row>
    <row r="12225" spans="1:10" x14ac:dyDescent="0.2">
      <c r="A12225" s="4" t="s">
        <v>1</v>
      </c>
      <c r="B1222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25" s="3" t="str">
        <f>HYPERLINK("https://otsuka-europe-crm.veevavault.com/ui/#object/sent_email__v/VBLZ025E82HQNUQ", "SE-000289691")</f>
        <v>SE-000289691</v>
      </c>
      <c r="D12225" s="1" t="s">
        <v>0</v>
      </c>
      <c r="E12225" s="2">
        <v>0</v>
      </c>
      <c r="F12225" s="2">
        <v>0</v>
      </c>
      <c r="G12225" s="2">
        <v>0</v>
      </c>
      <c r="H12225" s="1" t="s">
        <v>0</v>
      </c>
      <c r="I12225" s="2">
        <v>0</v>
      </c>
      <c r="J12225" s="1">
        <v>45951.672986111109</v>
      </c>
    </row>
    <row r="12226" spans="1:10" x14ac:dyDescent="0.2">
      <c r="A12226" s="4" t="s">
        <v>1</v>
      </c>
      <c r="B1222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26" s="3" t="str">
        <f>HYPERLINK("https://otsuka-europe-crm.veevavault.com/ui/#object/sent_email__v/VBLZ025E82HQNUR", "SE-000289692")</f>
        <v>SE-000289692</v>
      </c>
      <c r="D12226" s="1" t="s">
        <v>0</v>
      </c>
      <c r="E12226" s="2">
        <v>0</v>
      </c>
      <c r="F12226" s="2">
        <v>0</v>
      </c>
      <c r="G12226" s="2">
        <v>0</v>
      </c>
      <c r="H12226" s="1" t="s">
        <v>0</v>
      </c>
      <c r="I12226" s="2">
        <v>0</v>
      </c>
      <c r="J12226" s="1">
        <v>45951.672997685186</v>
      </c>
    </row>
    <row r="12227" spans="1:10" x14ac:dyDescent="0.2">
      <c r="A12227" s="4" t="s">
        <v>1</v>
      </c>
      <c r="B1222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27" s="3" t="str">
        <f>HYPERLINK("https://otsuka-europe-crm.veevavault.com/ui/#object/sent_email__v/VBLZ025E82HQNUS", "SE-000289693")</f>
        <v>SE-000289693</v>
      </c>
      <c r="D12227" s="1" t="s">
        <v>0</v>
      </c>
      <c r="E12227" s="2">
        <v>0</v>
      </c>
      <c r="F12227" s="2">
        <v>0</v>
      </c>
      <c r="G12227" s="2">
        <v>0</v>
      </c>
      <c r="H12227" s="1" t="s">
        <v>0</v>
      </c>
      <c r="I12227" s="2">
        <v>0</v>
      </c>
      <c r="J12227" s="1">
        <v>45951.673009259262</v>
      </c>
    </row>
    <row r="12228" spans="1:10" x14ac:dyDescent="0.2">
      <c r="A12228" s="4" t="s">
        <v>1</v>
      </c>
      <c r="B1222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28" s="3" t="str">
        <f>HYPERLINK("https://otsuka-europe-crm.veevavault.com/ui/#object/sent_email__v/VBLZ025E82HQNUT", "SE-000289694")</f>
        <v>SE-000289694</v>
      </c>
      <c r="D12228" s="1" t="s">
        <v>0</v>
      </c>
      <c r="E12228" s="2">
        <v>0</v>
      </c>
      <c r="F12228" s="2">
        <v>0</v>
      </c>
      <c r="G12228" s="2">
        <v>0</v>
      </c>
      <c r="H12228" s="1" t="s">
        <v>0</v>
      </c>
      <c r="I12228" s="2">
        <v>0</v>
      </c>
      <c r="J12228" s="1">
        <v>45951.673020833332</v>
      </c>
    </row>
    <row r="12229" spans="1:10" x14ac:dyDescent="0.2">
      <c r="A12229" s="4" t="s">
        <v>1</v>
      </c>
      <c r="B1222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29" s="3" t="str">
        <f>HYPERLINK("https://otsuka-europe-crm.veevavault.com/ui/#object/sent_email__v/VBLZ025E82HQNUU", "SE-000289695")</f>
        <v>SE-000289695</v>
      </c>
      <c r="D12229" s="1" t="s">
        <v>0</v>
      </c>
      <c r="E12229" s="2">
        <v>0</v>
      </c>
      <c r="F12229" s="2">
        <v>0</v>
      </c>
      <c r="G12229" s="2">
        <v>0</v>
      </c>
      <c r="H12229" s="1" t="s">
        <v>0</v>
      </c>
      <c r="I12229" s="2">
        <v>0</v>
      </c>
      <c r="J12229" s="1">
        <v>45951.673032407409</v>
      </c>
    </row>
    <row r="12230" spans="1:10" x14ac:dyDescent="0.2">
      <c r="A12230" s="4" t="s">
        <v>1</v>
      </c>
      <c r="B1223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30" s="3" t="str">
        <f>HYPERLINK("https://otsuka-europe-crm.veevavault.com/ui/#object/sent_email__v/VBLZ025E82HQNUV", "SE-000289696")</f>
        <v>SE-000289696</v>
      </c>
      <c r="D12230" s="1">
        <v>45951.691817129627</v>
      </c>
      <c r="E12230" s="2">
        <v>1</v>
      </c>
      <c r="F12230" s="2">
        <v>1</v>
      </c>
      <c r="G12230" s="2">
        <v>0</v>
      </c>
      <c r="H12230" s="1" t="s">
        <v>0</v>
      </c>
      <c r="I12230" s="2">
        <v>0</v>
      </c>
      <c r="J12230" s="1">
        <v>45951.673043981478</v>
      </c>
    </row>
    <row r="12231" spans="1:10" x14ac:dyDescent="0.2">
      <c r="A12231" s="4" t="s">
        <v>1</v>
      </c>
      <c r="B1223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31" s="3" t="str">
        <f>HYPERLINK("https://otsuka-europe-crm.veevavault.com/ui/#object/sent_email__v/VBLZ025E82HQNUW", "SE-000289697")</f>
        <v>SE-000289697</v>
      </c>
      <c r="D12231" s="1">
        <v>45952.928356481483</v>
      </c>
      <c r="E12231" s="2">
        <v>1</v>
      </c>
      <c r="F12231" s="2">
        <v>1</v>
      </c>
      <c r="G12231" s="2">
        <v>0</v>
      </c>
      <c r="H12231" s="1" t="s">
        <v>0</v>
      </c>
      <c r="I12231" s="2">
        <v>0</v>
      </c>
      <c r="J12231" s="1">
        <v>45951.673055555555</v>
      </c>
    </row>
    <row r="12232" spans="1:10" x14ac:dyDescent="0.2">
      <c r="A12232" s="4" t="s">
        <v>1</v>
      </c>
      <c r="B1223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32" s="3" t="str">
        <f>HYPERLINK("https://otsuka-europe-crm.veevavault.com/ui/#object/sent_email__v/VBLZ025E82HQNUX", "SE-000289698")</f>
        <v>SE-000289698</v>
      </c>
      <c r="D12232" s="1" t="s">
        <v>0</v>
      </c>
      <c r="E12232" s="2">
        <v>0</v>
      </c>
      <c r="F12232" s="2">
        <v>0</v>
      </c>
      <c r="G12232" s="2">
        <v>0</v>
      </c>
      <c r="H12232" s="1" t="s">
        <v>0</v>
      </c>
      <c r="I12232" s="2">
        <v>0</v>
      </c>
      <c r="J12232" s="1">
        <v>45951.673055555555</v>
      </c>
    </row>
    <row r="12233" spans="1:10" x14ac:dyDescent="0.2">
      <c r="A12233" s="4" t="s">
        <v>1</v>
      </c>
      <c r="B1223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33" s="3" t="str">
        <f>HYPERLINK("https://otsuka-europe-crm.veevavault.com/ui/#object/sent_email__v/VBLZ025E82HQNUY", "SE-000289699")</f>
        <v>SE-000289699</v>
      </c>
      <c r="D12233" s="1" t="s">
        <v>0</v>
      </c>
      <c r="E12233" s="2">
        <v>0</v>
      </c>
      <c r="F12233" s="2">
        <v>0</v>
      </c>
      <c r="G12233" s="2">
        <v>0</v>
      </c>
      <c r="H12233" s="1" t="s">
        <v>0</v>
      </c>
      <c r="I12233" s="2">
        <v>0</v>
      </c>
      <c r="J12233" s="1">
        <v>45951.673067129632</v>
      </c>
    </row>
    <row r="12234" spans="1:10" x14ac:dyDescent="0.2">
      <c r="A12234" s="4" t="s">
        <v>1</v>
      </c>
      <c r="B1223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34" s="3" t="str">
        <f>HYPERLINK("https://otsuka-europe-crm.veevavault.com/ui/#object/sent_email__v/VBLZ025E82HQNUZ", "SE-000289700")</f>
        <v>SE-000289700</v>
      </c>
      <c r="D12234" s="1" t="s">
        <v>0</v>
      </c>
      <c r="E12234" s="2">
        <v>0</v>
      </c>
      <c r="F12234" s="2">
        <v>0</v>
      </c>
      <c r="G12234" s="2">
        <v>0</v>
      </c>
      <c r="H12234" s="1" t="s">
        <v>0</v>
      </c>
      <c r="I12234" s="2">
        <v>0</v>
      </c>
      <c r="J12234" s="1">
        <v>45951.673078703701</v>
      </c>
    </row>
    <row r="12235" spans="1:10" x14ac:dyDescent="0.2">
      <c r="A12235" s="4" t="s">
        <v>1</v>
      </c>
      <c r="B1223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35" s="3" t="str">
        <f>HYPERLINK("https://otsuka-europe-crm.veevavault.com/ui/#object/sent_email__v/VBLZ025E82HQNV0", "SE-000289701")</f>
        <v>SE-000289701</v>
      </c>
      <c r="D12235" s="1" t="s">
        <v>0</v>
      </c>
      <c r="E12235" s="2">
        <v>0</v>
      </c>
      <c r="F12235" s="2">
        <v>0</v>
      </c>
      <c r="G12235" s="2">
        <v>0</v>
      </c>
      <c r="H12235" s="1" t="s">
        <v>0</v>
      </c>
      <c r="I12235" s="2">
        <v>0</v>
      </c>
      <c r="J12235" s="1">
        <v>45951.673090277778</v>
      </c>
    </row>
    <row r="12236" spans="1:10" x14ac:dyDescent="0.2">
      <c r="A12236" s="4" t="s">
        <v>1</v>
      </c>
      <c r="B1223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36" s="3" t="str">
        <f>HYPERLINK("https://otsuka-europe-crm.veevavault.com/ui/#object/sent_email__v/VBLZ025E82HQNV1", "SE-000289702")</f>
        <v>SE-000289702</v>
      </c>
      <c r="D12236" s="1">
        <v>45951.675069444442</v>
      </c>
      <c r="E12236" s="2">
        <v>1</v>
      </c>
      <c r="F12236" s="2">
        <v>1</v>
      </c>
      <c r="G12236" s="2">
        <v>0</v>
      </c>
      <c r="H12236" s="1" t="s">
        <v>0</v>
      </c>
      <c r="I12236" s="2">
        <v>0</v>
      </c>
      <c r="J12236" s="1">
        <v>45951.673101851855</v>
      </c>
    </row>
    <row r="12237" spans="1:10" x14ac:dyDescent="0.2">
      <c r="A12237" s="4" t="s">
        <v>1</v>
      </c>
      <c r="B1223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37" s="3" t="str">
        <f>HYPERLINK("https://otsuka-europe-crm.veevavault.com/ui/#object/sent_email__v/VBLZ025E82HQNV2", "SE-000289703")</f>
        <v>SE-000289703</v>
      </c>
      <c r="D12237" s="1" t="s">
        <v>0</v>
      </c>
      <c r="E12237" s="2">
        <v>0</v>
      </c>
      <c r="F12237" s="2">
        <v>0</v>
      </c>
      <c r="G12237" s="2">
        <v>0</v>
      </c>
      <c r="H12237" s="1" t="s">
        <v>0</v>
      </c>
      <c r="I12237" s="2">
        <v>0</v>
      </c>
      <c r="J12237" s="1">
        <v>45951.673101851855</v>
      </c>
    </row>
    <row r="12238" spans="1:10" x14ac:dyDescent="0.2">
      <c r="A12238" s="4" t="s">
        <v>1</v>
      </c>
      <c r="B1223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38" s="3" t="str">
        <f>HYPERLINK("https://otsuka-europe-crm.veevavault.com/ui/#object/sent_email__v/VBLZ025E82HQNV3", "SE-000289704")</f>
        <v>SE-000289704</v>
      </c>
      <c r="D12238" s="1" t="s">
        <v>0</v>
      </c>
      <c r="E12238" s="2">
        <v>0</v>
      </c>
      <c r="F12238" s="2">
        <v>0</v>
      </c>
      <c r="G12238" s="2">
        <v>0</v>
      </c>
      <c r="H12238" s="1" t="s">
        <v>0</v>
      </c>
      <c r="I12238" s="2">
        <v>0</v>
      </c>
      <c r="J12238" s="1">
        <v>45951.673113425924</v>
      </c>
    </row>
    <row r="12239" spans="1:10" x14ac:dyDescent="0.2">
      <c r="A12239" s="4" t="s">
        <v>1</v>
      </c>
      <c r="B1223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39" s="3" t="str">
        <f>HYPERLINK("https://otsuka-europe-crm.veevavault.com/ui/#object/sent_email__v/VBLZ025E82HQNV4", "SE-000289705")</f>
        <v>SE-000289705</v>
      </c>
      <c r="D12239" s="1" t="s">
        <v>0</v>
      </c>
      <c r="E12239" s="2">
        <v>0</v>
      </c>
      <c r="F12239" s="2">
        <v>0</v>
      </c>
      <c r="G12239" s="2">
        <v>0</v>
      </c>
      <c r="H12239" s="1" t="s">
        <v>0</v>
      </c>
      <c r="I12239" s="2">
        <v>0</v>
      </c>
      <c r="J12239" s="1">
        <v>45951.673125000001</v>
      </c>
    </row>
    <row r="12240" spans="1:10" x14ac:dyDescent="0.2">
      <c r="A12240" s="4" t="s">
        <v>1</v>
      </c>
      <c r="B1224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40" s="3" t="str">
        <f>HYPERLINK("https://otsuka-europe-crm.veevavault.com/ui/#object/sent_email__v/VBLZ025E82HQNV5", "SE-000289706")</f>
        <v>SE-000289706</v>
      </c>
      <c r="D12240" s="1" t="s">
        <v>0</v>
      </c>
      <c r="E12240" s="2">
        <v>0</v>
      </c>
      <c r="F12240" s="2">
        <v>0</v>
      </c>
      <c r="G12240" s="2">
        <v>0</v>
      </c>
      <c r="H12240" s="1" t="s">
        <v>0</v>
      </c>
      <c r="I12240" s="2">
        <v>0</v>
      </c>
      <c r="J12240" s="1">
        <v>45951.673136574071</v>
      </c>
    </row>
    <row r="12241" spans="1:10" x14ac:dyDescent="0.2">
      <c r="A12241" s="4" t="s">
        <v>1</v>
      </c>
      <c r="B1224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41" s="3" t="str">
        <f>HYPERLINK("https://otsuka-europe-crm.veevavault.com/ui/#object/sent_email__v/VBLZ025E82HQNV6", "SE-000289707")</f>
        <v>SE-000289707</v>
      </c>
      <c r="D12241" s="1">
        <v>45952.292824074073</v>
      </c>
      <c r="E12241" s="2">
        <v>1</v>
      </c>
      <c r="F12241" s="2">
        <v>4</v>
      </c>
      <c r="G12241" s="2">
        <v>0</v>
      </c>
      <c r="H12241" s="1" t="s">
        <v>0</v>
      </c>
      <c r="I12241" s="2">
        <v>0</v>
      </c>
      <c r="J12241" s="1">
        <v>45951.673136574071</v>
      </c>
    </row>
    <row r="12242" spans="1:10" x14ac:dyDescent="0.2">
      <c r="A12242" s="4" t="s">
        <v>1</v>
      </c>
      <c r="B1224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42" s="3" t="str">
        <f>HYPERLINK("https://otsuka-europe-crm.veevavault.com/ui/#object/sent_email__v/VBLZ025E82HQNV7", "SE-000289708")</f>
        <v>SE-000289708</v>
      </c>
      <c r="D12242" s="1" t="s">
        <v>0</v>
      </c>
      <c r="E12242" s="2">
        <v>0</v>
      </c>
      <c r="F12242" s="2">
        <v>0</v>
      </c>
      <c r="G12242" s="2">
        <v>0</v>
      </c>
      <c r="H12242" s="1" t="s">
        <v>0</v>
      </c>
      <c r="I12242" s="2">
        <v>0</v>
      </c>
      <c r="J12242" s="1">
        <v>45951.673159722224</v>
      </c>
    </row>
    <row r="12243" spans="1:10" x14ac:dyDescent="0.2">
      <c r="A12243" s="4" t="s">
        <v>1</v>
      </c>
      <c r="B1224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43" s="3" t="str">
        <f>HYPERLINK("https://otsuka-europe-crm.veevavault.com/ui/#object/sent_email__v/VBLZ025E82HQNV8", "SE-000289709")</f>
        <v>SE-000289709</v>
      </c>
      <c r="D12243" s="1" t="s">
        <v>0</v>
      </c>
      <c r="E12243" s="2">
        <v>0</v>
      </c>
      <c r="F12243" s="2">
        <v>0</v>
      </c>
      <c r="G12243" s="2">
        <v>0</v>
      </c>
      <c r="H12243" s="1" t="s">
        <v>0</v>
      </c>
      <c r="I12243" s="2">
        <v>0</v>
      </c>
      <c r="J12243" s="1">
        <v>45951.673171296294</v>
      </c>
    </row>
    <row r="12244" spans="1:10" x14ac:dyDescent="0.2">
      <c r="A12244" s="4" t="s">
        <v>1</v>
      </c>
      <c r="B1224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44" s="3" t="str">
        <f>HYPERLINK("https://otsuka-europe-crm.veevavault.com/ui/#object/sent_email__v/VBLZ025E82HQNV9", "SE-000289710")</f>
        <v>SE-000289710</v>
      </c>
      <c r="D12244" s="1" t="s">
        <v>0</v>
      </c>
      <c r="E12244" s="2">
        <v>0</v>
      </c>
      <c r="F12244" s="2">
        <v>0</v>
      </c>
      <c r="G12244" s="2">
        <v>0</v>
      </c>
      <c r="H12244" s="1" t="s">
        <v>0</v>
      </c>
      <c r="I12244" s="2">
        <v>0</v>
      </c>
      <c r="J12244" s="1">
        <v>45951.673171296294</v>
      </c>
    </row>
    <row r="12245" spans="1:10" x14ac:dyDescent="0.2">
      <c r="A12245" s="4" t="s">
        <v>1</v>
      </c>
      <c r="B1224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45" s="3" t="str">
        <f>HYPERLINK("https://otsuka-europe-crm.veevavault.com/ui/#object/sent_email__v/VBLZ025E82HQNVA", "SE-000289711")</f>
        <v>SE-000289711</v>
      </c>
      <c r="D12245" s="1">
        <v>45952.277222222219</v>
      </c>
      <c r="E12245" s="2">
        <v>1</v>
      </c>
      <c r="F12245" s="2">
        <v>1</v>
      </c>
      <c r="G12245" s="2">
        <v>0</v>
      </c>
      <c r="H12245" s="1" t="s">
        <v>0</v>
      </c>
      <c r="I12245" s="2">
        <v>0</v>
      </c>
      <c r="J12245" s="1">
        <v>45951.673182870371</v>
      </c>
    </row>
    <row r="12246" spans="1:10" x14ac:dyDescent="0.2">
      <c r="A12246" s="4" t="s">
        <v>1</v>
      </c>
      <c r="B1224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46" s="3" t="str">
        <f>HYPERLINK("https://otsuka-europe-crm.veevavault.com/ui/#object/sent_email__v/VBLZ025E82HQNVB", "SE-000289712")</f>
        <v>SE-000289712</v>
      </c>
      <c r="D12246" s="1" t="s">
        <v>0</v>
      </c>
      <c r="E12246" s="2">
        <v>0</v>
      </c>
      <c r="F12246" s="2">
        <v>0</v>
      </c>
      <c r="G12246" s="2">
        <v>0</v>
      </c>
      <c r="H12246" s="1" t="s">
        <v>0</v>
      </c>
      <c r="I12246" s="2">
        <v>0</v>
      </c>
      <c r="J12246" s="1">
        <v>45951.673194444447</v>
      </c>
    </row>
    <row r="12247" spans="1:10" x14ac:dyDescent="0.2">
      <c r="A12247" s="4" t="s">
        <v>1</v>
      </c>
      <c r="B1224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47" s="3" t="str">
        <f>HYPERLINK("https://otsuka-europe-crm.veevavault.com/ui/#object/sent_email__v/VBLZ025E82HQNVC", "SE-000289713")</f>
        <v>SE-000289713</v>
      </c>
      <c r="D12247" s="1">
        <v>45951.701111111113</v>
      </c>
      <c r="E12247" s="2">
        <v>1</v>
      </c>
      <c r="F12247" s="2">
        <v>1</v>
      </c>
      <c r="G12247" s="2">
        <v>0</v>
      </c>
      <c r="H12247" s="1" t="s">
        <v>0</v>
      </c>
      <c r="I12247" s="2">
        <v>0</v>
      </c>
      <c r="J12247" s="1">
        <v>45951.673206018517</v>
      </c>
    </row>
    <row r="12248" spans="1:10" x14ac:dyDescent="0.2">
      <c r="A12248" s="4" t="s">
        <v>1</v>
      </c>
      <c r="B1224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48" s="3" t="str">
        <f>HYPERLINK("https://otsuka-europe-crm.veevavault.com/ui/#object/sent_email__v/VBLZ025E82HQNVD", "SE-000289714")</f>
        <v>SE-000289714</v>
      </c>
      <c r="D12248" s="1" t="s">
        <v>0</v>
      </c>
      <c r="E12248" s="2">
        <v>0</v>
      </c>
      <c r="F12248" s="2">
        <v>0</v>
      </c>
      <c r="G12248" s="2">
        <v>0</v>
      </c>
      <c r="H12248" s="1" t="s">
        <v>0</v>
      </c>
      <c r="I12248" s="2">
        <v>0</v>
      </c>
      <c r="J12248" s="1">
        <v>45951.673206018517</v>
      </c>
    </row>
    <row r="12249" spans="1:10" x14ac:dyDescent="0.2">
      <c r="A12249" s="4" t="s">
        <v>1</v>
      </c>
      <c r="B1224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49" s="3" t="str">
        <f>HYPERLINK("https://otsuka-europe-crm.veevavault.com/ui/#object/sent_email__v/VBLZ025E82HQNVE", "SE-000289715")</f>
        <v>SE-000289715</v>
      </c>
      <c r="D12249" s="1">
        <v>45951.685185185182</v>
      </c>
      <c r="E12249" s="2">
        <v>1</v>
      </c>
      <c r="F12249" s="2">
        <v>2</v>
      </c>
      <c r="G12249" s="2">
        <v>0</v>
      </c>
      <c r="H12249" s="1" t="s">
        <v>0</v>
      </c>
      <c r="I12249" s="2">
        <v>0</v>
      </c>
      <c r="J12249" s="1">
        <v>45951.673217592594</v>
      </c>
    </row>
    <row r="12250" spans="1:10" x14ac:dyDescent="0.2">
      <c r="A12250" s="4" t="s">
        <v>1</v>
      </c>
      <c r="B1225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50" s="3" t="str">
        <f>HYPERLINK("https://otsuka-europe-crm.veevavault.com/ui/#object/sent_email__v/VBLZ025E82HQNVF", "SE-000289716")</f>
        <v>SE-000289716</v>
      </c>
      <c r="D12250" s="1" t="s">
        <v>0</v>
      </c>
      <c r="E12250" s="2">
        <v>0</v>
      </c>
      <c r="F12250" s="2">
        <v>0</v>
      </c>
      <c r="G12250" s="2">
        <v>0</v>
      </c>
      <c r="H12250" s="1" t="s">
        <v>0</v>
      </c>
      <c r="I12250" s="2">
        <v>0</v>
      </c>
      <c r="J12250" s="1">
        <v>45951.673229166663</v>
      </c>
    </row>
    <row r="12251" spans="1:10" x14ac:dyDescent="0.2">
      <c r="A12251" s="4" t="s">
        <v>1</v>
      </c>
      <c r="B1225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51" s="3" t="str">
        <f>HYPERLINK("https://otsuka-europe-crm.veevavault.com/ui/#object/sent_email__v/VBLZ025E82HQNVG", "SE-000289717")</f>
        <v>SE-000289717</v>
      </c>
      <c r="D12251" s="1">
        <v>45968.522407407407</v>
      </c>
      <c r="E12251" s="2">
        <v>1</v>
      </c>
      <c r="F12251" s="2">
        <v>1</v>
      </c>
      <c r="G12251" s="2">
        <v>0</v>
      </c>
      <c r="H12251" s="1" t="s">
        <v>0</v>
      </c>
      <c r="I12251" s="2">
        <v>0</v>
      </c>
      <c r="J12251" s="1">
        <v>45951.67324074074</v>
      </c>
    </row>
    <row r="12252" spans="1:10" x14ac:dyDescent="0.2">
      <c r="A12252" s="4" t="s">
        <v>1</v>
      </c>
      <c r="B1225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52" s="3" t="str">
        <f>HYPERLINK("https://otsuka-europe-crm.veevavault.com/ui/#object/sent_email__v/VBLZ025E82HQNVH", "SE-000289718")</f>
        <v>SE-000289718</v>
      </c>
      <c r="D12252" s="1">
        <v>45951.718854166669</v>
      </c>
      <c r="E12252" s="2">
        <v>1</v>
      </c>
      <c r="F12252" s="2">
        <v>3</v>
      </c>
      <c r="G12252" s="2">
        <v>0</v>
      </c>
      <c r="H12252" s="1" t="s">
        <v>0</v>
      </c>
      <c r="I12252" s="2">
        <v>0</v>
      </c>
      <c r="J12252" s="1">
        <v>45951.673263888886</v>
      </c>
    </row>
    <row r="12253" spans="1:10" x14ac:dyDescent="0.2">
      <c r="A12253" s="4" t="s">
        <v>1</v>
      </c>
      <c r="B1225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53" s="3" t="str">
        <f>HYPERLINK("https://otsuka-europe-crm.veevavault.com/ui/#object/sent_email__v/VBLZ025E82HQNVI", "SE-000289719")</f>
        <v>SE-000289719</v>
      </c>
      <c r="D12253" s="1" t="s">
        <v>0</v>
      </c>
      <c r="E12253" s="2">
        <v>0</v>
      </c>
      <c r="F12253" s="2">
        <v>0</v>
      </c>
      <c r="G12253" s="2">
        <v>0</v>
      </c>
      <c r="H12253" s="1" t="s">
        <v>0</v>
      </c>
      <c r="I12253" s="2">
        <v>0</v>
      </c>
      <c r="J12253" s="1">
        <v>45951.673263888886</v>
      </c>
    </row>
    <row r="12254" spans="1:10" x14ac:dyDescent="0.2">
      <c r="A12254" s="4" t="s">
        <v>1</v>
      </c>
      <c r="B1225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54" s="3" t="str">
        <f>HYPERLINK("https://otsuka-europe-crm.veevavault.com/ui/#object/sent_email__v/VBLZ025E82HQNVJ", "SE-000289720")</f>
        <v>SE-000289720</v>
      </c>
      <c r="D12254" s="1">
        <v>45977.794629629629</v>
      </c>
      <c r="E12254" s="2">
        <v>1</v>
      </c>
      <c r="F12254" s="2">
        <v>2</v>
      </c>
      <c r="G12254" s="2">
        <v>1</v>
      </c>
      <c r="H12254" s="1">
        <v>45951.887280092589</v>
      </c>
      <c r="I12254" s="2">
        <v>1</v>
      </c>
      <c r="J12254" s="1">
        <v>45951.673263888886</v>
      </c>
    </row>
    <row r="12255" spans="1:10" x14ac:dyDescent="0.2">
      <c r="A12255" s="4" t="s">
        <v>1</v>
      </c>
      <c r="B1225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55" s="3" t="str">
        <f>HYPERLINK("https://otsuka-europe-crm.veevavault.com/ui/#object/sent_email__v/VBLZ025E82HQNVK", "SE-000289721")</f>
        <v>SE-000289721</v>
      </c>
      <c r="D12255" s="1">
        <v>45951.687164351853</v>
      </c>
      <c r="E12255" s="2">
        <v>1</v>
      </c>
      <c r="F12255" s="2">
        <v>2</v>
      </c>
      <c r="G12255" s="2">
        <v>0</v>
      </c>
      <c r="H12255" s="1" t="s">
        <v>0</v>
      </c>
      <c r="I12255" s="2">
        <v>0</v>
      </c>
      <c r="J12255" s="1">
        <v>45951.673275462963</v>
      </c>
    </row>
    <row r="12256" spans="1:10" x14ac:dyDescent="0.2">
      <c r="A12256" s="4" t="s">
        <v>1</v>
      </c>
      <c r="B1225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56" s="3" t="str">
        <f>HYPERLINK("https://otsuka-europe-crm.veevavault.com/ui/#object/sent_email__v/VBLZ025E82HQNVL", "SE-000289722")</f>
        <v>SE-000289722</v>
      </c>
      <c r="D12256" s="1" t="s">
        <v>0</v>
      </c>
      <c r="E12256" s="2">
        <v>0</v>
      </c>
      <c r="F12256" s="2">
        <v>0</v>
      </c>
      <c r="G12256" s="2">
        <v>0</v>
      </c>
      <c r="H12256" s="1" t="s">
        <v>0</v>
      </c>
      <c r="I12256" s="2">
        <v>0</v>
      </c>
      <c r="J12256" s="1">
        <v>45951.67328703704</v>
      </c>
    </row>
    <row r="12257" spans="1:10" x14ac:dyDescent="0.2">
      <c r="A12257" s="4" t="s">
        <v>1</v>
      </c>
      <c r="B1225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57" s="3" t="str">
        <f>HYPERLINK("https://otsuka-europe-crm.veevavault.com/ui/#object/sent_email__v/VBLZ025E82HQNVM", "SE-000289723")</f>
        <v>SE-000289723</v>
      </c>
      <c r="D12257" s="1">
        <v>45951.673981481479</v>
      </c>
      <c r="E12257" s="2">
        <v>1</v>
      </c>
      <c r="F12257" s="2">
        <v>1</v>
      </c>
      <c r="G12257" s="2">
        <v>0</v>
      </c>
      <c r="H12257" s="1" t="s">
        <v>0</v>
      </c>
      <c r="I12257" s="2">
        <v>0</v>
      </c>
      <c r="J12257" s="1">
        <v>45951.673298611109</v>
      </c>
    </row>
    <row r="12258" spans="1:10" x14ac:dyDescent="0.2">
      <c r="A12258" s="4" t="s">
        <v>1</v>
      </c>
      <c r="B1225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58" s="3" t="str">
        <f>HYPERLINK("https://otsuka-europe-crm.veevavault.com/ui/#object/sent_email__v/VBLZ025E82HQNVN", "SE-000289724")</f>
        <v>SE-000289724</v>
      </c>
      <c r="D12258" s="1" t="s">
        <v>0</v>
      </c>
      <c r="E12258" s="2">
        <v>0</v>
      </c>
      <c r="F12258" s="2">
        <v>0</v>
      </c>
      <c r="G12258" s="2">
        <v>0</v>
      </c>
      <c r="H12258" s="1" t="s">
        <v>0</v>
      </c>
      <c r="I12258" s="2">
        <v>0</v>
      </c>
      <c r="J12258" s="1">
        <v>45951.673310185186</v>
      </c>
    </row>
    <row r="12259" spans="1:10" x14ac:dyDescent="0.2">
      <c r="A12259" s="4" t="s">
        <v>1</v>
      </c>
      <c r="B1225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59" s="3" t="str">
        <f>HYPERLINK("https://otsuka-europe-crm.veevavault.com/ui/#object/sent_email__v/VBLZ025E82HQNVO", "SE-000289725")</f>
        <v>SE-000289725</v>
      </c>
      <c r="D12259" s="1" t="s">
        <v>0</v>
      </c>
      <c r="E12259" s="2">
        <v>0</v>
      </c>
      <c r="F12259" s="2">
        <v>0</v>
      </c>
      <c r="G12259" s="2">
        <v>0</v>
      </c>
      <c r="H12259" s="1" t="s">
        <v>0</v>
      </c>
      <c r="I12259" s="2">
        <v>0</v>
      </c>
      <c r="J12259" s="1">
        <v>45951.673321759263</v>
      </c>
    </row>
    <row r="12260" spans="1:10" x14ac:dyDescent="0.2">
      <c r="A12260" s="4" t="s">
        <v>1</v>
      </c>
      <c r="B1226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60" s="3" t="str">
        <f>HYPERLINK("https://otsuka-europe-crm.veevavault.com/ui/#object/sent_email__v/VBLZ025E82HQNVP", "SE-000289726")</f>
        <v>SE-000289726</v>
      </c>
      <c r="D12260" s="1">
        <v>45951.869409722225</v>
      </c>
      <c r="E12260" s="2">
        <v>1</v>
      </c>
      <c r="F12260" s="2">
        <v>1</v>
      </c>
      <c r="G12260" s="2">
        <v>0</v>
      </c>
      <c r="H12260" s="1" t="s">
        <v>0</v>
      </c>
      <c r="I12260" s="2">
        <v>0</v>
      </c>
      <c r="J12260" s="1">
        <v>45951.673333333332</v>
      </c>
    </row>
    <row r="12261" spans="1:10" x14ac:dyDescent="0.2">
      <c r="A12261" s="4" t="s">
        <v>1</v>
      </c>
      <c r="B1226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61" s="3" t="str">
        <f>HYPERLINK("https://otsuka-europe-crm.veevavault.com/ui/#object/sent_email__v/VBLZ025E82HQNVQ", "SE-000289727")</f>
        <v>SE-000289727</v>
      </c>
      <c r="D12261" s="1" t="s">
        <v>0</v>
      </c>
      <c r="E12261" s="2">
        <v>0</v>
      </c>
      <c r="F12261" s="2">
        <v>0</v>
      </c>
      <c r="G12261" s="2">
        <v>0</v>
      </c>
      <c r="H12261" s="1" t="s">
        <v>0</v>
      </c>
      <c r="I12261" s="2">
        <v>0</v>
      </c>
      <c r="J12261" s="1">
        <v>45951.673344907409</v>
      </c>
    </row>
    <row r="12262" spans="1:10" x14ac:dyDescent="0.2">
      <c r="A12262" s="4" t="s">
        <v>1</v>
      </c>
      <c r="B1226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62" s="3" t="str">
        <f>HYPERLINK("https://otsuka-europe-crm.veevavault.com/ui/#object/sent_email__v/VBLZ025E82HQNVR", "SE-000289728")</f>
        <v>SE-000289728</v>
      </c>
      <c r="D12262" s="1">
        <v>45951.887106481481</v>
      </c>
      <c r="E12262" s="2">
        <v>1</v>
      </c>
      <c r="F12262" s="2">
        <v>1</v>
      </c>
      <c r="G12262" s="2">
        <v>0</v>
      </c>
      <c r="H12262" s="1" t="s">
        <v>0</v>
      </c>
      <c r="I12262" s="2">
        <v>0</v>
      </c>
      <c r="J12262" s="1">
        <v>45951.673356481479</v>
      </c>
    </row>
    <row r="12263" spans="1:10" x14ac:dyDescent="0.2">
      <c r="A12263" s="4" t="s">
        <v>1</v>
      </c>
      <c r="B1226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63" s="3" t="str">
        <f>HYPERLINK("https://otsuka-europe-crm.veevavault.com/ui/#object/sent_email__v/VBLZ025E82HQNVS", "SE-000289729")</f>
        <v>SE-000289729</v>
      </c>
      <c r="D12263" s="1" t="s">
        <v>0</v>
      </c>
      <c r="E12263" s="2">
        <v>0</v>
      </c>
      <c r="F12263" s="2">
        <v>0</v>
      </c>
      <c r="G12263" s="2">
        <v>0</v>
      </c>
      <c r="H12263" s="1" t="s">
        <v>0</v>
      </c>
      <c r="I12263" s="2">
        <v>0</v>
      </c>
      <c r="J12263" s="1">
        <v>45951.673356481479</v>
      </c>
    </row>
    <row r="12264" spans="1:10" x14ac:dyDescent="0.2">
      <c r="A12264" s="4" t="s">
        <v>1</v>
      </c>
      <c r="B1226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64" s="3" t="str">
        <f>HYPERLINK("https://otsuka-europe-crm.veevavault.com/ui/#object/sent_email__v/VBLZ025E82HQNVT", "SE-000289730")</f>
        <v>SE-000289730</v>
      </c>
      <c r="D12264" s="1" t="s">
        <v>0</v>
      </c>
      <c r="E12264" s="2">
        <v>0</v>
      </c>
      <c r="F12264" s="2">
        <v>0</v>
      </c>
      <c r="G12264" s="2">
        <v>0</v>
      </c>
      <c r="H12264" s="1" t="s">
        <v>0</v>
      </c>
      <c r="I12264" s="2">
        <v>0</v>
      </c>
      <c r="J12264" s="1">
        <v>45951.673368055555</v>
      </c>
    </row>
    <row r="12265" spans="1:10" x14ac:dyDescent="0.2">
      <c r="A12265" s="4" t="s">
        <v>1</v>
      </c>
      <c r="B1226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65" s="3" t="str">
        <f>HYPERLINK("https://otsuka-europe-crm.veevavault.com/ui/#object/sent_email__v/VBLZ025E82HQOD1", "SE-000289733")</f>
        <v>SE-000289733</v>
      </c>
      <c r="D12265" s="1">
        <v>45952.214872685188</v>
      </c>
      <c r="E12265" s="2">
        <v>1</v>
      </c>
      <c r="F12265" s="2">
        <v>2</v>
      </c>
      <c r="G12265" s="2">
        <v>0</v>
      </c>
      <c r="H12265" s="1" t="s">
        <v>0</v>
      </c>
      <c r="I12265" s="2">
        <v>0</v>
      </c>
      <c r="J12265" s="1">
        <v>45951.682523148149</v>
      </c>
    </row>
    <row r="12266" spans="1:10" x14ac:dyDescent="0.2">
      <c r="A12266" s="4" t="s">
        <v>1</v>
      </c>
      <c r="B1226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66" s="3" t="str">
        <f>HYPERLINK("https://otsuka-europe-crm.veevavault.com/ui/#object/sent_email__v/VBLZ025E82HQOD2", "SE-000289734")</f>
        <v>SE-000289734</v>
      </c>
      <c r="D12266" s="1" t="s">
        <v>0</v>
      </c>
      <c r="E12266" s="2">
        <v>0</v>
      </c>
      <c r="F12266" s="2">
        <v>0</v>
      </c>
      <c r="G12266" s="2">
        <v>0</v>
      </c>
      <c r="H12266" s="1" t="s">
        <v>0</v>
      </c>
      <c r="I12266" s="2">
        <v>0</v>
      </c>
      <c r="J12266" s="1">
        <v>45951.682546296295</v>
      </c>
    </row>
    <row r="12267" spans="1:10" x14ac:dyDescent="0.2">
      <c r="A12267" s="4" t="s">
        <v>1</v>
      </c>
      <c r="B1226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67" s="3" t="str">
        <f>HYPERLINK("https://otsuka-europe-crm.veevavault.com/ui/#object/sent_email__v/VBLZ025E82HQOD3", "SE-000289735")</f>
        <v>SE-000289735</v>
      </c>
      <c r="D12267" s="1">
        <v>45953.384641203702</v>
      </c>
      <c r="E12267" s="2">
        <v>1</v>
      </c>
      <c r="F12267" s="2">
        <v>2</v>
      </c>
      <c r="G12267" s="2">
        <v>1</v>
      </c>
      <c r="H12267" s="1">
        <v>45953.384699074071</v>
      </c>
      <c r="I12267" s="2">
        <v>1</v>
      </c>
      <c r="J12267" s="1">
        <v>45951.682546296295</v>
      </c>
    </row>
    <row r="12268" spans="1:10" x14ac:dyDescent="0.2">
      <c r="A12268" s="4" t="s">
        <v>1</v>
      </c>
      <c r="B1226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68" s="3" t="str">
        <f>HYPERLINK("https://otsuka-europe-crm.veevavault.com/ui/#object/sent_email__v/VBLZ025E82HQOFT", "SE-000289736")</f>
        <v>SE-000289736</v>
      </c>
      <c r="D12268" s="1" t="s">
        <v>0</v>
      </c>
      <c r="E12268" s="2">
        <v>0</v>
      </c>
      <c r="F12268" s="2">
        <v>0</v>
      </c>
      <c r="G12268" s="2">
        <v>0</v>
      </c>
      <c r="H12268" s="1" t="s">
        <v>0</v>
      </c>
      <c r="I12268" s="2">
        <v>0</v>
      </c>
      <c r="J12268" s="1">
        <v>45951.683749999997</v>
      </c>
    </row>
    <row r="12269" spans="1:10" x14ac:dyDescent="0.2">
      <c r="A12269" s="4" t="s">
        <v>1</v>
      </c>
      <c r="B1226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69" s="3" t="str">
        <f>HYPERLINK("https://otsuka-europe-crm.veevavault.com/ui/#object/sent_email__v/VBLZ025E82HQOFU", "SE-000289737")</f>
        <v>SE-000289737</v>
      </c>
      <c r="D12269" s="1" t="s">
        <v>0</v>
      </c>
      <c r="E12269" s="2">
        <v>0</v>
      </c>
      <c r="F12269" s="2">
        <v>0</v>
      </c>
      <c r="G12269" s="2">
        <v>0</v>
      </c>
      <c r="H12269" s="1" t="s">
        <v>0</v>
      </c>
      <c r="I12269" s="2">
        <v>0</v>
      </c>
      <c r="J12269" s="1">
        <v>45951.68377314815</v>
      </c>
    </row>
    <row r="12270" spans="1:10" x14ac:dyDescent="0.2">
      <c r="A12270" s="4" t="s">
        <v>1</v>
      </c>
      <c r="B1227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70" s="3" t="str">
        <f>HYPERLINK("https://otsuka-europe-crm.veevavault.com/ui/#object/sent_email__v/VBLZ025E82HQOFV", "SE-000289738")</f>
        <v>SE-000289738</v>
      </c>
      <c r="D12270" s="1">
        <v>45951.685231481482</v>
      </c>
      <c r="E12270" s="2">
        <v>1</v>
      </c>
      <c r="F12270" s="2">
        <v>1</v>
      </c>
      <c r="G12270" s="2">
        <v>0</v>
      </c>
      <c r="H12270" s="1" t="s">
        <v>0</v>
      </c>
      <c r="I12270" s="2">
        <v>0</v>
      </c>
      <c r="J12270" s="1">
        <v>45951.683796296296</v>
      </c>
    </row>
    <row r="12271" spans="1:10" x14ac:dyDescent="0.2">
      <c r="A12271" s="4" t="s">
        <v>1</v>
      </c>
      <c r="B1227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71" s="3" t="str">
        <f>HYPERLINK("https://otsuka-europe-crm.veevavault.com/ui/#object/sent_email__v/VBLZ025E82HQOFW", "SE-000289739")</f>
        <v>SE-000289739</v>
      </c>
      <c r="D12271" s="1">
        <v>45951.756319444445</v>
      </c>
      <c r="E12271" s="2">
        <v>1</v>
      </c>
      <c r="F12271" s="2">
        <v>1</v>
      </c>
      <c r="G12271" s="2">
        <v>0</v>
      </c>
      <c r="H12271" s="1" t="s">
        <v>0</v>
      </c>
      <c r="I12271" s="2">
        <v>0</v>
      </c>
      <c r="J12271" s="1">
        <v>45951.68378472222</v>
      </c>
    </row>
    <row r="12272" spans="1:10" x14ac:dyDescent="0.2">
      <c r="A12272" s="4" t="s">
        <v>1</v>
      </c>
      <c r="B1227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72" s="3" t="str">
        <f>HYPERLINK("https://otsuka-europe-crm.veevavault.com/ui/#object/sent_email__v/VBLZ025E82HQOFX", "SE-000289740")</f>
        <v>SE-000289740</v>
      </c>
      <c r="D12272" s="1">
        <v>45951.689270833333</v>
      </c>
      <c r="E12272" s="2">
        <v>1</v>
      </c>
      <c r="F12272" s="2">
        <v>1</v>
      </c>
      <c r="G12272" s="2">
        <v>1</v>
      </c>
      <c r="H12272" s="1">
        <v>45951.689386574071</v>
      </c>
      <c r="I12272" s="2">
        <v>1</v>
      </c>
      <c r="J12272" s="1">
        <v>45951.683807870373</v>
      </c>
    </row>
    <row r="12273" spans="1:10" x14ac:dyDescent="0.2">
      <c r="A12273" s="4" t="s">
        <v>1</v>
      </c>
      <c r="B1227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73" s="3" t="str">
        <f>HYPERLINK("https://otsuka-europe-crm.veevavault.com/ui/#object/sent_email__v/VBLZ025E82HQOIL", "SE-000289741")</f>
        <v>SE-000289741</v>
      </c>
      <c r="D12273" s="1">
        <v>45953.257245370369</v>
      </c>
      <c r="E12273" s="2">
        <v>1</v>
      </c>
      <c r="F12273" s="2">
        <v>1</v>
      </c>
      <c r="G12273" s="2">
        <v>0</v>
      </c>
      <c r="H12273" s="1" t="s">
        <v>0</v>
      </c>
      <c r="I12273" s="2">
        <v>0</v>
      </c>
      <c r="J12273" s="1">
        <v>45951.684814814813</v>
      </c>
    </row>
    <row r="12274" spans="1:10" x14ac:dyDescent="0.2">
      <c r="A12274" s="4" t="s">
        <v>1</v>
      </c>
      <c r="B1227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74" s="3" t="str">
        <f>HYPERLINK("https://otsuka-europe-crm.veevavault.com/ui/#object/sent_email__v/VBLZ025E82HQOIM", "SE-000289742")</f>
        <v>SE-000289742</v>
      </c>
      <c r="D12274" s="1" t="s">
        <v>0</v>
      </c>
      <c r="E12274" s="2">
        <v>0</v>
      </c>
      <c r="F12274" s="2">
        <v>0</v>
      </c>
      <c r="G12274" s="2">
        <v>0</v>
      </c>
      <c r="H12274" s="1" t="s">
        <v>0</v>
      </c>
      <c r="I12274" s="2">
        <v>0</v>
      </c>
      <c r="J12274" s="1">
        <v>45951.684814814813</v>
      </c>
    </row>
    <row r="12275" spans="1:10" x14ac:dyDescent="0.2">
      <c r="A12275" s="4" t="s">
        <v>1</v>
      </c>
      <c r="B1227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75" s="3" t="str">
        <f>HYPERLINK("https://otsuka-europe-crm.veevavault.com/ui/#object/sent_email__v/VBLZ025E82HQOIN", "SE-000289743")</f>
        <v>SE-000289743</v>
      </c>
      <c r="D12275" s="1">
        <v>45951.837210648147</v>
      </c>
      <c r="E12275" s="2">
        <v>1</v>
      </c>
      <c r="F12275" s="2">
        <v>2</v>
      </c>
      <c r="G12275" s="2">
        <v>0</v>
      </c>
      <c r="H12275" s="1" t="s">
        <v>0</v>
      </c>
      <c r="I12275" s="2">
        <v>0</v>
      </c>
      <c r="J12275" s="1">
        <v>45951.684814814813</v>
      </c>
    </row>
    <row r="12276" spans="1:10" x14ac:dyDescent="0.2">
      <c r="A12276" s="4" t="s">
        <v>1</v>
      </c>
      <c r="B1227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76" s="3" t="str">
        <f>HYPERLINK("https://otsuka-europe-crm.veevavault.com/ui/#object/sent_email__v/VBLZ025E82HQOIO", "SE-000289744")</f>
        <v>SE-000289744</v>
      </c>
      <c r="D12276" s="1" t="s">
        <v>0</v>
      </c>
      <c r="E12276" s="2">
        <v>0</v>
      </c>
      <c r="F12276" s="2">
        <v>0</v>
      </c>
      <c r="G12276" s="2">
        <v>0</v>
      </c>
      <c r="H12276" s="1" t="s">
        <v>0</v>
      </c>
      <c r="I12276" s="2">
        <v>0</v>
      </c>
      <c r="J12276" s="1">
        <v>45951.684837962966</v>
      </c>
    </row>
    <row r="12277" spans="1:10" x14ac:dyDescent="0.2">
      <c r="A12277" s="4" t="s">
        <v>1</v>
      </c>
      <c r="B1227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77" s="3" t="str">
        <f>HYPERLINK("https://otsuka-europe-crm.veevavault.com/ui/#object/sent_email__v/VBLZ025E82HQOIP", "SE-000289745")</f>
        <v>SE-000289745</v>
      </c>
      <c r="D12277" s="1" t="s">
        <v>0</v>
      </c>
      <c r="E12277" s="2">
        <v>0</v>
      </c>
      <c r="F12277" s="2">
        <v>0</v>
      </c>
      <c r="G12277" s="2">
        <v>0</v>
      </c>
      <c r="H12277" s="1" t="s">
        <v>0</v>
      </c>
      <c r="I12277" s="2">
        <v>0</v>
      </c>
      <c r="J12277" s="1">
        <v>45951.684837962966</v>
      </c>
    </row>
    <row r="12278" spans="1:10" x14ac:dyDescent="0.2">
      <c r="A12278" s="4" t="s">
        <v>1</v>
      </c>
      <c r="B1227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78" s="3" t="str">
        <f>HYPERLINK("https://otsuka-europe-crm.veevavault.com/ui/#object/sent_email__v/VBLZ025E82HQOIQ", "SE-000289746")</f>
        <v>SE-000289746</v>
      </c>
      <c r="D12278" s="1" t="s">
        <v>0</v>
      </c>
      <c r="E12278" s="2">
        <v>0</v>
      </c>
      <c r="F12278" s="2">
        <v>0</v>
      </c>
      <c r="G12278" s="2">
        <v>0</v>
      </c>
      <c r="H12278" s="1" t="s">
        <v>0</v>
      </c>
      <c r="I12278" s="2">
        <v>0</v>
      </c>
      <c r="J12278" s="1">
        <v>45951.684837962966</v>
      </c>
    </row>
    <row r="12279" spans="1:10" x14ac:dyDescent="0.2">
      <c r="A12279" s="4" t="s">
        <v>1</v>
      </c>
      <c r="B1227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79" s="3" t="str">
        <f>HYPERLINK("https://otsuka-europe-crm.veevavault.com/ui/#object/sent_email__v/VBLZ025E82HQOIR", "SE-000289747")</f>
        <v>SE-000289747</v>
      </c>
      <c r="D12279" s="1" t="s">
        <v>0</v>
      </c>
      <c r="E12279" s="2">
        <v>0</v>
      </c>
      <c r="F12279" s="2">
        <v>0</v>
      </c>
      <c r="G12279" s="2">
        <v>0</v>
      </c>
      <c r="H12279" s="1" t="s">
        <v>0</v>
      </c>
      <c r="I12279" s="2">
        <v>0</v>
      </c>
      <c r="J12279" s="1">
        <v>45951.684849537036</v>
      </c>
    </row>
    <row r="12280" spans="1:10" x14ac:dyDescent="0.2">
      <c r="A12280" s="4" t="s">
        <v>1</v>
      </c>
      <c r="B1228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80" s="3" t="str">
        <f>HYPERLINK("https://otsuka-europe-crm.veevavault.com/ui/#object/sent_email__v/VBLZ025E82HQOLD", "SE-000289748")</f>
        <v>SE-000289748</v>
      </c>
      <c r="D12280" s="1">
        <v>45951.887662037036</v>
      </c>
      <c r="E12280" s="2">
        <v>1</v>
      </c>
      <c r="F12280" s="2">
        <v>1</v>
      </c>
      <c r="G12280" s="2">
        <v>0</v>
      </c>
      <c r="H12280" s="1" t="s">
        <v>0</v>
      </c>
      <c r="I12280" s="2">
        <v>0</v>
      </c>
      <c r="J12280" s="1">
        <v>45951.685243055559</v>
      </c>
    </row>
    <row r="12281" spans="1:10" x14ac:dyDescent="0.2">
      <c r="A12281" s="4" t="s">
        <v>1</v>
      </c>
      <c r="B1228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81" s="3" t="str">
        <f>HYPERLINK("https://otsuka-europe-crm.veevavault.com/ui/#object/sent_email__v/VBLZ025E82HQOLE", "SE-000289749")</f>
        <v>SE-000289749</v>
      </c>
      <c r="D12281" s="1" t="s">
        <v>0</v>
      </c>
      <c r="E12281" s="2">
        <v>0</v>
      </c>
      <c r="F12281" s="2">
        <v>0</v>
      </c>
      <c r="G12281" s="2">
        <v>0</v>
      </c>
      <c r="H12281" s="1" t="s">
        <v>0</v>
      </c>
      <c r="I12281" s="2">
        <v>0</v>
      </c>
      <c r="J12281" s="1">
        <v>45951.685266203705</v>
      </c>
    </row>
    <row r="12282" spans="1:10" x14ac:dyDescent="0.2">
      <c r="A12282" s="4" t="s">
        <v>1</v>
      </c>
      <c r="B1228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82" s="3" t="str">
        <f>HYPERLINK("https://otsuka-europe-crm.veevavault.com/ui/#object/sent_email__v/VBLZ025E82HQOQX", "SE-000289750")</f>
        <v>SE-000289750</v>
      </c>
      <c r="D12282" s="1" t="s">
        <v>0</v>
      </c>
      <c r="E12282" s="2">
        <v>0</v>
      </c>
      <c r="F12282" s="2">
        <v>0</v>
      </c>
      <c r="G12282" s="2">
        <v>0</v>
      </c>
      <c r="H12282" s="1" t="s">
        <v>0</v>
      </c>
      <c r="I12282" s="2">
        <v>0</v>
      </c>
      <c r="J12282" s="1">
        <v>45951.686145833337</v>
      </c>
    </row>
    <row r="12283" spans="1:10" x14ac:dyDescent="0.2">
      <c r="A12283" s="4" t="s">
        <v>1</v>
      </c>
      <c r="B1228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83" s="3" t="str">
        <f>HYPERLINK("https://otsuka-europe-crm.veevavault.com/ui/#object/sent_email__v/VBLZ025E82HQOQY", "SE-000289751")</f>
        <v>SE-000289751</v>
      </c>
      <c r="D12283" s="1" t="s">
        <v>0</v>
      </c>
      <c r="E12283" s="2">
        <v>0</v>
      </c>
      <c r="F12283" s="2">
        <v>0</v>
      </c>
      <c r="G12283" s="2">
        <v>0</v>
      </c>
      <c r="H12283" s="1" t="s">
        <v>0</v>
      </c>
      <c r="I12283" s="2">
        <v>0</v>
      </c>
      <c r="J12283" s="1">
        <v>45951.686145833337</v>
      </c>
    </row>
    <row r="12284" spans="1:10" x14ac:dyDescent="0.2">
      <c r="A12284" s="4" t="s">
        <v>1</v>
      </c>
      <c r="B1228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84" s="3" t="str">
        <f>HYPERLINK("https://otsuka-europe-crm.veevavault.com/ui/#object/sent_email__v/VBLZ025E82HQOQZ", "SE-000289752")</f>
        <v>SE-000289752</v>
      </c>
      <c r="D12284" s="1" t="s">
        <v>0</v>
      </c>
      <c r="E12284" s="2">
        <v>0</v>
      </c>
      <c r="F12284" s="2">
        <v>0</v>
      </c>
      <c r="G12284" s="2">
        <v>0</v>
      </c>
      <c r="H12284" s="1" t="s">
        <v>0</v>
      </c>
      <c r="I12284" s="2">
        <v>0</v>
      </c>
      <c r="J12284" s="1">
        <v>45951.686180555553</v>
      </c>
    </row>
    <row r="12285" spans="1:10" x14ac:dyDescent="0.2">
      <c r="A12285" s="4" t="s">
        <v>1</v>
      </c>
      <c r="B1228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85" s="3" t="str">
        <f>HYPERLINK("https://otsuka-europe-crm.veevavault.com/ui/#object/sent_email__v/VBLZ025E82HQOR0", "SE-000289753")</f>
        <v>SE-000289753</v>
      </c>
      <c r="D12285" s="1">
        <v>46077.554502314815</v>
      </c>
      <c r="E12285" s="2">
        <v>1</v>
      </c>
      <c r="F12285" s="2">
        <v>20</v>
      </c>
      <c r="G12285" s="2">
        <v>1</v>
      </c>
      <c r="H12285" s="1">
        <v>45951.747418981482</v>
      </c>
      <c r="I12285" s="2">
        <v>2</v>
      </c>
      <c r="J12285" s="1">
        <v>45951.686180555553</v>
      </c>
    </row>
    <row r="12286" spans="1:10" x14ac:dyDescent="0.2">
      <c r="A12286" s="4" t="s">
        <v>1</v>
      </c>
      <c r="B1228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86" s="3" t="str">
        <f>HYPERLINK("https://otsuka-europe-crm.veevavault.com/ui/#object/sent_email__v/VBLZ025E82HQOR1", "SE-000289754")</f>
        <v>SE-000289754</v>
      </c>
      <c r="D12286" s="1" t="s">
        <v>0</v>
      </c>
      <c r="E12286" s="2">
        <v>0</v>
      </c>
      <c r="F12286" s="2">
        <v>0</v>
      </c>
      <c r="G12286" s="2">
        <v>0</v>
      </c>
      <c r="H12286" s="1" t="s">
        <v>0</v>
      </c>
      <c r="I12286" s="2">
        <v>0</v>
      </c>
      <c r="J12286" s="1">
        <v>45951.686180555553</v>
      </c>
    </row>
    <row r="12287" spans="1:10" x14ac:dyDescent="0.2">
      <c r="A12287" s="4" t="s">
        <v>1</v>
      </c>
      <c r="B1228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87" s="3" t="str">
        <f>HYPERLINK("https://otsuka-europe-crm.veevavault.com/ui/#object/sent_email__v/VBLZ025E82HQOR2", "SE-000289755")</f>
        <v>SE-000289755</v>
      </c>
      <c r="D12287" s="1">
        <v>45970.600046296298</v>
      </c>
      <c r="E12287" s="2">
        <v>1</v>
      </c>
      <c r="F12287" s="2">
        <v>2</v>
      </c>
      <c r="G12287" s="2">
        <v>0</v>
      </c>
      <c r="H12287" s="1" t="s">
        <v>0</v>
      </c>
      <c r="I12287" s="2">
        <v>0</v>
      </c>
      <c r="J12287" s="1">
        <v>45951.686180555553</v>
      </c>
    </row>
    <row r="12288" spans="1:10" x14ac:dyDescent="0.2">
      <c r="A12288" s="4" t="s">
        <v>1</v>
      </c>
      <c r="B1228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88" s="3" t="str">
        <f>HYPERLINK("https://otsuka-europe-crm.veevavault.com/ui/#object/sent_email__v/VBLZ025E82HQOR3", "SE-000289756")</f>
        <v>SE-000289756</v>
      </c>
      <c r="D12288" s="1">
        <v>45953.355300925927</v>
      </c>
      <c r="E12288" s="2">
        <v>1</v>
      </c>
      <c r="F12288" s="2">
        <v>1</v>
      </c>
      <c r="G12288" s="2">
        <v>1</v>
      </c>
      <c r="H12288" s="1">
        <v>45953.355300925927</v>
      </c>
      <c r="I12288" s="2">
        <v>1</v>
      </c>
      <c r="J12288" s="1">
        <v>45951.686192129629</v>
      </c>
    </row>
    <row r="12289" spans="1:10" x14ac:dyDescent="0.2">
      <c r="A12289" s="4" t="s">
        <v>1</v>
      </c>
      <c r="B12289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89" s="3" t="str">
        <f>HYPERLINK("https://otsuka-europe-crm.veevavault.com/ui/#object/sent_email__v/VBLZ025E82HQOWH", "SE-000289757")</f>
        <v>SE-000289757</v>
      </c>
      <c r="D12289" s="1" t="s">
        <v>0</v>
      </c>
      <c r="E12289" s="2">
        <v>0</v>
      </c>
      <c r="F12289" s="2">
        <v>0</v>
      </c>
      <c r="G12289" s="2">
        <v>0</v>
      </c>
      <c r="H12289" s="1" t="s">
        <v>0</v>
      </c>
      <c r="I12289" s="2">
        <v>0</v>
      </c>
      <c r="J12289" s="1">
        <v>45951.687615740739</v>
      </c>
    </row>
    <row r="12290" spans="1:10" x14ac:dyDescent="0.2">
      <c r="A12290" s="4" t="s">
        <v>1</v>
      </c>
      <c r="B12290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90" s="3" t="str">
        <f>HYPERLINK("https://otsuka-europe-crm.veevavault.com/ui/#object/sent_email__v/VBLZ025E82HQOWI", "SE-000289758")</f>
        <v>SE-000289758</v>
      </c>
      <c r="D12290" s="1" t="s">
        <v>0</v>
      </c>
      <c r="E12290" s="2">
        <v>0</v>
      </c>
      <c r="F12290" s="2">
        <v>0</v>
      </c>
      <c r="G12290" s="2">
        <v>0</v>
      </c>
      <c r="H12290" s="1" t="s">
        <v>0</v>
      </c>
      <c r="I12290" s="2">
        <v>0</v>
      </c>
      <c r="J12290" s="1">
        <v>45951.687650462962</v>
      </c>
    </row>
    <row r="12291" spans="1:10" x14ac:dyDescent="0.2">
      <c r="A12291" s="4" t="s">
        <v>1</v>
      </c>
      <c r="B12291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91" s="3" t="str">
        <f>HYPERLINK("https://otsuka-europe-crm.veevavault.com/ui/#object/sent_email__v/VBLZ025E82HQOWJ", "SE-000289759")</f>
        <v>SE-000289759</v>
      </c>
      <c r="D12291" s="1">
        <v>45952.553819444445</v>
      </c>
      <c r="E12291" s="2">
        <v>1</v>
      </c>
      <c r="F12291" s="2">
        <v>1</v>
      </c>
      <c r="G12291" s="2">
        <v>0</v>
      </c>
      <c r="H12291" s="1" t="s">
        <v>0</v>
      </c>
      <c r="I12291" s="2">
        <v>0</v>
      </c>
      <c r="J12291" s="1">
        <v>45951.687650462962</v>
      </c>
    </row>
    <row r="12292" spans="1:10" x14ac:dyDescent="0.2">
      <c r="A12292" s="4" t="s">
        <v>1</v>
      </c>
      <c r="B12292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92" s="3" t="str">
        <f>HYPERLINK("https://otsuka-europe-crm.veevavault.com/ui/#object/sent_email__v/VBLZ025E82HQP21", "SE-000289760")</f>
        <v>SE-000289760</v>
      </c>
      <c r="D12292" s="1">
        <v>45959.543888888889</v>
      </c>
      <c r="E12292" s="2">
        <v>1</v>
      </c>
      <c r="F12292" s="2">
        <v>2</v>
      </c>
      <c r="G12292" s="2">
        <v>1</v>
      </c>
      <c r="H12292" s="1">
        <v>45959.546805555554</v>
      </c>
      <c r="I12292" s="2">
        <v>2</v>
      </c>
      <c r="J12292" s="1">
        <v>45951.688703703701</v>
      </c>
    </row>
    <row r="12293" spans="1:10" x14ac:dyDescent="0.2">
      <c r="A12293" s="4" t="s">
        <v>1</v>
      </c>
      <c r="B12293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93" s="3" t="str">
        <f>HYPERLINK("https://otsuka-europe-crm.veevavault.com/ui/#object/sent_email__v/VBLZ025E82HQP22", "SE-000289761")</f>
        <v>SE-000289761</v>
      </c>
      <c r="D12293" s="1">
        <v>46065.524085648147</v>
      </c>
      <c r="E12293" s="2">
        <v>1</v>
      </c>
      <c r="F12293" s="2">
        <v>4</v>
      </c>
      <c r="G12293" s="2">
        <v>0</v>
      </c>
      <c r="H12293" s="1" t="s">
        <v>0</v>
      </c>
      <c r="I12293" s="2">
        <v>0</v>
      </c>
      <c r="J12293" s="1">
        <v>45951.688703703701</v>
      </c>
    </row>
    <row r="12294" spans="1:10" x14ac:dyDescent="0.2">
      <c r="A12294" s="4" t="s">
        <v>1</v>
      </c>
      <c r="B12294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94" s="3" t="str">
        <f>HYPERLINK("https://otsuka-europe-crm.veevavault.com/ui/#object/sent_email__v/VBLZ025E82HQP23", "SE-000289762")</f>
        <v>SE-000289762</v>
      </c>
      <c r="D12294" s="1" t="s">
        <v>0</v>
      </c>
      <c r="E12294" s="2">
        <v>0</v>
      </c>
      <c r="F12294" s="2">
        <v>0</v>
      </c>
      <c r="G12294" s="2">
        <v>0</v>
      </c>
      <c r="H12294" s="1" t="s">
        <v>0</v>
      </c>
      <c r="I12294" s="2">
        <v>0</v>
      </c>
      <c r="J12294" s="1">
        <v>45951.688692129632</v>
      </c>
    </row>
    <row r="12295" spans="1:10" x14ac:dyDescent="0.2">
      <c r="A12295" s="4" t="s">
        <v>1</v>
      </c>
      <c r="B12295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95" s="3" t="str">
        <f>HYPERLINK("https://otsuka-europe-crm.veevavault.com/ui/#object/sent_email__v/VBLZ025E82HQP24", "SE-000289763")</f>
        <v>SE-000289763</v>
      </c>
      <c r="D12295" s="1" t="s">
        <v>0</v>
      </c>
      <c r="E12295" s="2">
        <v>0</v>
      </c>
      <c r="F12295" s="2">
        <v>0</v>
      </c>
      <c r="G12295" s="2">
        <v>0</v>
      </c>
      <c r="H12295" s="1" t="s">
        <v>0</v>
      </c>
      <c r="I12295" s="2">
        <v>0</v>
      </c>
      <c r="J12295" s="1">
        <v>45951.688692129632</v>
      </c>
    </row>
    <row r="12296" spans="1:10" x14ac:dyDescent="0.2">
      <c r="A12296" s="4" t="s">
        <v>1</v>
      </c>
      <c r="B12296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96" s="3" t="str">
        <f>HYPERLINK("https://otsuka-europe-crm.veevavault.com/ui/#object/sent_email__v/VBLZ025E82HQP25", "SE-000289764")</f>
        <v>SE-000289764</v>
      </c>
      <c r="D12296" s="1">
        <v>45979.098194444443</v>
      </c>
      <c r="E12296" s="2">
        <v>1</v>
      </c>
      <c r="F12296" s="2">
        <v>2</v>
      </c>
      <c r="G12296" s="2">
        <v>0</v>
      </c>
      <c r="H12296" s="1" t="s">
        <v>0</v>
      </c>
      <c r="I12296" s="2">
        <v>0</v>
      </c>
      <c r="J12296" s="1">
        <v>45951.688715277778</v>
      </c>
    </row>
    <row r="12297" spans="1:10" x14ac:dyDescent="0.2">
      <c r="A12297" s="4" t="s">
        <v>1</v>
      </c>
      <c r="B12297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97" s="3" t="str">
        <f>HYPERLINK("https://otsuka-europe-crm.veevavault.com/ui/#object/sent_email__v/VBLZ025E82HQP26", "SE-000289765")</f>
        <v>SE-000289765</v>
      </c>
      <c r="D12297" s="1" t="s">
        <v>0</v>
      </c>
      <c r="E12297" s="2">
        <v>0</v>
      </c>
      <c r="F12297" s="2">
        <v>0</v>
      </c>
      <c r="G12297" s="2">
        <v>0</v>
      </c>
      <c r="H12297" s="1" t="s">
        <v>0</v>
      </c>
      <c r="I12297" s="2">
        <v>0</v>
      </c>
      <c r="J12297" s="1">
        <v>45951.688726851855</v>
      </c>
    </row>
    <row r="12298" spans="1:10" x14ac:dyDescent="0.2">
      <c r="A12298" s="4" t="s">
        <v>1</v>
      </c>
      <c r="B12298" s="3" t="str">
        <f>HYPERLINK("https://otsuka-europe-crm.veevavault.com/ui/#object/approved_document__v/V5OZ025E82UM7XT", "LUP - 10 cuestiones para pensar: índices de actividad y cronicidad - nefro")</f>
        <v>LUP - 10 cuestiones para pensar: índices de actividad y cronicidad - nefro</v>
      </c>
      <c r="C12298" s="3" t="str">
        <f>HYPERLINK("https://otsuka-europe-crm.veevavault.com/ui/#object/sent_email__v/VBLZ025E82HQP4T", "SE-000289766")</f>
        <v>SE-000289766</v>
      </c>
      <c r="D12298" s="1">
        <v>45951.696238425924</v>
      </c>
      <c r="E12298" s="2">
        <v>1</v>
      </c>
      <c r="F12298" s="2">
        <v>1</v>
      </c>
      <c r="G12298" s="2">
        <v>0</v>
      </c>
      <c r="H12298" s="1" t="s">
        <v>0</v>
      </c>
      <c r="I12298" s="2">
        <v>0</v>
      </c>
      <c r="J12298" s="1">
        <v>45951.690208333333</v>
      </c>
    </row>
    <row r="12299" spans="1:10" x14ac:dyDescent="0.2">
      <c r="A12299" s="4" t="s">
        <v>1</v>
      </c>
      <c r="B1229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299" s="3" t="str">
        <f>HYPERLINK("https://otsuka-europe-crm.veevavault.com/ui/#object/sent_email__v/VBLZ025E82HJVJ5", "SE-000287002")</f>
        <v>SE-000287002</v>
      </c>
      <c r="D12299" s="1">
        <v>45975.89340277778</v>
      </c>
      <c r="E12299" s="2">
        <v>1</v>
      </c>
      <c r="F12299" s="2">
        <v>2</v>
      </c>
      <c r="G12299" s="2">
        <v>0</v>
      </c>
      <c r="H12299" s="1" t="s">
        <v>0</v>
      </c>
      <c r="I12299" s="2">
        <v>0</v>
      </c>
      <c r="J12299" s="1">
        <v>45944.452222222222</v>
      </c>
    </row>
    <row r="12300" spans="1:10" x14ac:dyDescent="0.2">
      <c r="A12300" s="4" t="s">
        <v>1</v>
      </c>
      <c r="B1230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00" s="3" t="str">
        <f>HYPERLINK("https://otsuka-europe-crm.veevavault.com/ui/#object/sent_email__v/VBLZ025E82HJVJ6", "SE-000287003")</f>
        <v>SE-000287003</v>
      </c>
      <c r="D12300" s="1">
        <v>45944.90079861111</v>
      </c>
      <c r="E12300" s="2">
        <v>1</v>
      </c>
      <c r="F12300" s="2">
        <v>1</v>
      </c>
      <c r="G12300" s="2">
        <v>0</v>
      </c>
      <c r="H12300" s="1" t="s">
        <v>0</v>
      </c>
      <c r="I12300" s="2">
        <v>0</v>
      </c>
      <c r="J12300" s="1">
        <v>45944.452233796299</v>
      </c>
    </row>
    <row r="12301" spans="1:10" x14ac:dyDescent="0.2">
      <c r="A12301" s="4" t="s">
        <v>1</v>
      </c>
      <c r="B1230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01" s="3" t="str">
        <f>HYPERLINK("https://otsuka-europe-crm.veevavault.com/ui/#object/sent_email__v/VBLZ025E82HJVJ7", "SE-000287004")</f>
        <v>SE-000287004</v>
      </c>
      <c r="D12301" s="1">
        <v>45944.601736111108</v>
      </c>
      <c r="E12301" s="2">
        <v>1</v>
      </c>
      <c r="F12301" s="2">
        <v>1</v>
      </c>
      <c r="G12301" s="2">
        <v>0</v>
      </c>
      <c r="H12301" s="1" t="s">
        <v>0</v>
      </c>
      <c r="I12301" s="2">
        <v>0</v>
      </c>
      <c r="J12301" s="1">
        <v>45944.452245370368</v>
      </c>
    </row>
    <row r="12302" spans="1:10" x14ac:dyDescent="0.2">
      <c r="A12302" s="4" t="s">
        <v>1</v>
      </c>
      <c r="B1230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02" s="3" t="str">
        <f>HYPERLINK("https://otsuka-europe-crm.veevavault.com/ui/#object/sent_email__v/VBLZ025E82HJVJ8", "SE-000287005")</f>
        <v>SE-000287005</v>
      </c>
      <c r="D12302" s="1">
        <v>45944.482905092591</v>
      </c>
      <c r="E12302" s="2">
        <v>1</v>
      </c>
      <c r="F12302" s="2">
        <v>1</v>
      </c>
      <c r="G12302" s="2">
        <v>0</v>
      </c>
      <c r="H12302" s="1" t="s">
        <v>0</v>
      </c>
      <c r="I12302" s="2">
        <v>0</v>
      </c>
      <c r="J12302" s="1">
        <v>45944.452199074076</v>
      </c>
    </row>
    <row r="12303" spans="1:10" x14ac:dyDescent="0.2">
      <c r="A12303" s="4" t="s">
        <v>1</v>
      </c>
      <c r="B1230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03" s="3" t="str">
        <f>HYPERLINK("https://otsuka-europe-crm.veevavault.com/ui/#object/sent_email__v/VBLZ025E82HJVJ9", "SE-000287006")</f>
        <v>SE-000287006</v>
      </c>
      <c r="D12303" s="1">
        <v>45944.614236111112</v>
      </c>
      <c r="E12303" s="2">
        <v>1</v>
      </c>
      <c r="F12303" s="2">
        <v>2</v>
      </c>
      <c r="G12303" s="2">
        <v>0</v>
      </c>
      <c r="H12303" s="1" t="s">
        <v>0</v>
      </c>
      <c r="I12303" s="2">
        <v>0</v>
      </c>
      <c r="J12303" s="1">
        <v>45944.452222222222</v>
      </c>
    </row>
    <row r="12304" spans="1:10" x14ac:dyDescent="0.2">
      <c r="A12304" s="4" t="s">
        <v>1</v>
      </c>
      <c r="B1230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04" s="3" t="str">
        <f>HYPERLINK("https://otsuka-europe-crm.veevavault.com/ui/#object/sent_email__v/VBLZ025E82HJVJA", "SE-000287007")</f>
        <v>SE-000287007</v>
      </c>
      <c r="D12304" s="1">
        <v>45944.60833333333</v>
      </c>
      <c r="E12304" s="2">
        <v>1</v>
      </c>
      <c r="F12304" s="2">
        <v>2</v>
      </c>
      <c r="G12304" s="2">
        <v>0</v>
      </c>
      <c r="H12304" s="1" t="s">
        <v>0</v>
      </c>
      <c r="I12304" s="2">
        <v>0</v>
      </c>
      <c r="J12304" s="1">
        <v>45944.452199074076</v>
      </c>
    </row>
    <row r="12305" spans="1:10" x14ac:dyDescent="0.2">
      <c r="A12305" s="4" t="s">
        <v>1</v>
      </c>
      <c r="B1230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05" s="3" t="str">
        <f>HYPERLINK("https://otsuka-europe-crm.veevavault.com/ui/#object/sent_email__v/VBLZ025E82HJVJB", "SE-000287008")</f>
        <v>SE-000287008</v>
      </c>
      <c r="D12305" s="1" t="s">
        <v>0</v>
      </c>
      <c r="E12305" s="2">
        <v>0</v>
      </c>
      <c r="F12305" s="2">
        <v>0</v>
      </c>
      <c r="G12305" s="2">
        <v>0</v>
      </c>
      <c r="H12305" s="1" t="s">
        <v>0</v>
      </c>
      <c r="I12305" s="2">
        <v>0</v>
      </c>
      <c r="J12305" s="1">
        <v>45944.452222222222</v>
      </c>
    </row>
    <row r="12306" spans="1:10" x14ac:dyDescent="0.2">
      <c r="A12306" s="4" t="s">
        <v>1</v>
      </c>
      <c r="B1230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06" s="3" t="str">
        <f>HYPERLINK("https://otsuka-europe-crm.veevavault.com/ui/#object/sent_email__v/VBLZ025E82HJVJC", "SE-000287009")</f>
        <v>SE-000287009</v>
      </c>
      <c r="D12306" s="1">
        <v>45944.454097222224</v>
      </c>
      <c r="E12306" s="2">
        <v>1</v>
      </c>
      <c r="F12306" s="2">
        <v>1</v>
      </c>
      <c r="G12306" s="2">
        <v>0</v>
      </c>
      <c r="H12306" s="1" t="s">
        <v>0</v>
      </c>
      <c r="I12306" s="2">
        <v>0</v>
      </c>
      <c r="J12306" s="1">
        <v>45944.452222222222</v>
      </c>
    </row>
    <row r="12307" spans="1:10" x14ac:dyDescent="0.2">
      <c r="A12307" s="4" t="s">
        <v>1</v>
      </c>
      <c r="B1230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07" s="3" t="str">
        <f>HYPERLINK("https://otsuka-europe-crm.veevavault.com/ui/#object/sent_email__v/VBLZ025E82HJVJD", "SE-000287010")</f>
        <v>SE-000287010</v>
      </c>
      <c r="D12307" s="1">
        <v>45945.035555555558</v>
      </c>
      <c r="E12307" s="2">
        <v>1</v>
      </c>
      <c r="F12307" s="2">
        <v>3</v>
      </c>
      <c r="G12307" s="2">
        <v>0</v>
      </c>
      <c r="H12307" s="1" t="s">
        <v>0</v>
      </c>
      <c r="I12307" s="2">
        <v>0</v>
      </c>
      <c r="J12307" s="1">
        <v>45944.452222222222</v>
      </c>
    </row>
    <row r="12308" spans="1:10" x14ac:dyDescent="0.2">
      <c r="A12308" s="4" t="s">
        <v>1</v>
      </c>
      <c r="B1230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08" s="3" t="str">
        <f>HYPERLINK("https://otsuka-europe-crm.veevavault.com/ui/#object/sent_email__v/VBLZ025E82HJVJE", "SE-000287011")</f>
        <v>SE-000287011</v>
      </c>
      <c r="D12308" s="1">
        <v>45944.5002662037</v>
      </c>
      <c r="E12308" s="2">
        <v>1</v>
      </c>
      <c r="F12308" s="2">
        <v>1</v>
      </c>
      <c r="G12308" s="2">
        <v>0</v>
      </c>
      <c r="H12308" s="1" t="s">
        <v>0</v>
      </c>
      <c r="I12308" s="2">
        <v>0</v>
      </c>
      <c r="J12308" s="1">
        <v>45944.452222222222</v>
      </c>
    </row>
    <row r="12309" spans="1:10" x14ac:dyDescent="0.2">
      <c r="A12309" s="4" t="s">
        <v>1</v>
      </c>
      <c r="B1230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09" s="3" t="str">
        <f>HYPERLINK("https://otsuka-europe-crm.veevavault.com/ui/#object/sent_email__v/VBLZ025E82HJVU9", "SE-000287029")</f>
        <v>SE-000287029</v>
      </c>
      <c r="D12309" s="1">
        <v>45944.781759259262</v>
      </c>
      <c r="E12309" s="2">
        <v>1</v>
      </c>
      <c r="F12309" s="2">
        <v>1</v>
      </c>
      <c r="G12309" s="2">
        <v>0</v>
      </c>
      <c r="H12309" s="1" t="s">
        <v>0</v>
      </c>
      <c r="I12309" s="2">
        <v>0</v>
      </c>
      <c r="J12309" s="1">
        <v>45944.45480324074</v>
      </c>
    </row>
    <row r="12310" spans="1:10" x14ac:dyDescent="0.2">
      <c r="A12310" s="4" t="s">
        <v>1</v>
      </c>
      <c r="B1231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10" s="3" t="str">
        <f>HYPERLINK("https://otsuka-europe-crm.veevavault.com/ui/#object/sent_email__v/VBLZ025E82HJVUA", "SE-000287030")</f>
        <v>SE-000287030</v>
      </c>
      <c r="D12310" s="1" t="s">
        <v>0</v>
      </c>
      <c r="E12310" s="2">
        <v>0</v>
      </c>
      <c r="F12310" s="2">
        <v>0</v>
      </c>
      <c r="G12310" s="2">
        <v>0</v>
      </c>
      <c r="H12310" s="1" t="s">
        <v>0</v>
      </c>
      <c r="I12310" s="2">
        <v>0</v>
      </c>
      <c r="J12310" s="1">
        <v>45944.45480324074</v>
      </c>
    </row>
    <row r="12311" spans="1:10" x14ac:dyDescent="0.2">
      <c r="A12311" s="4" t="s">
        <v>1</v>
      </c>
      <c r="B1231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11" s="3" t="str">
        <f>HYPERLINK("https://otsuka-europe-crm.veevavault.com/ui/#object/sent_email__v/VBLZ025E82HJVUB", "SE-000287031")</f>
        <v>SE-000287031</v>
      </c>
      <c r="D12311" s="1">
        <v>45946.656689814816</v>
      </c>
      <c r="E12311" s="2">
        <v>1</v>
      </c>
      <c r="F12311" s="2">
        <v>4</v>
      </c>
      <c r="G12311" s="2">
        <v>0</v>
      </c>
      <c r="H12311" s="1" t="s">
        <v>0</v>
      </c>
      <c r="I12311" s="2">
        <v>0</v>
      </c>
      <c r="J12311" s="1">
        <v>45944.454780092594</v>
      </c>
    </row>
    <row r="12312" spans="1:10" x14ac:dyDescent="0.2">
      <c r="A12312" s="4" t="s">
        <v>1</v>
      </c>
      <c r="B1231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12" s="3" t="str">
        <f>HYPERLINK("https://otsuka-europe-crm.veevavault.com/ui/#object/sent_email__v/VBLZ025E82HJVUC", "SE-000287032")</f>
        <v>SE-000287032</v>
      </c>
      <c r="D12312" s="1" t="s">
        <v>0</v>
      </c>
      <c r="E12312" s="2">
        <v>0</v>
      </c>
      <c r="F12312" s="2">
        <v>0</v>
      </c>
      <c r="G12312" s="2">
        <v>0</v>
      </c>
      <c r="H12312" s="1" t="s">
        <v>0</v>
      </c>
      <c r="I12312" s="2">
        <v>0</v>
      </c>
      <c r="J12312" s="1">
        <v>45944.454768518517</v>
      </c>
    </row>
    <row r="12313" spans="1:10" x14ac:dyDescent="0.2">
      <c r="A12313" s="4" t="s">
        <v>1</v>
      </c>
      <c r="B1231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13" s="3" t="str">
        <f>HYPERLINK("https://otsuka-europe-crm.veevavault.com/ui/#object/sent_email__v/VBLZ025E82HJVUD", "SE-000287033")</f>
        <v>SE-000287033</v>
      </c>
      <c r="D12313" s="1">
        <v>45945.991828703707</v>
      </c>
      <c r="E12313" s="2">
        <v>1</v>
      </c>
      <c r="F12313" s="2">
        <v>1</v>
      </c>
      <c r="G12313" s="2">
        <v>0</v>
      </c>
      <c r="H12313" s="1" t="s">
        <v>0</v>
      </c>
      <c r="I12313" s="2">
        <v>0</v>
      </c>
      <c r="J12313" s="1">
        <v>45944.454780092594</v>
      </c>
    </row>
    <row r="12314" spans="1:10" x14ac:dyDescent="0.2">
      <c r="A12314" s="4" t="s">
        <v>1</v>
      </c>
      <c r="B1231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14" s="3" t="str">
        <f>HYPERLINK("https://otsuka-europe-crm.veevavault.com/ui/#object/sent_email__v/VBLZ025E82HJVUE", "SE-000287034")</f>
        <v>SE-000287034</v>
      </c>
      <c r="D12314" s="1">
        <v>45944.804236111115</v>
      </c>
      <c r="E12314" s="2">
        <v>1</v>
      </c>
      <c r="F12314" s="2">
        <v>2</v>
      </c>
      <c r="G12314" s="2">
        <v>0</v>
      </c>
      <c r="H12314" s="1" t="s">
        <v>0</v>
      </c>
      <c r="I12314" s="2">
        <v>0</v>
      </c>
      <c r="J12314" s="1">
        <v>45944.454791666663</v>
      </c>
    </row>
    <row r="12315" spans="1:10" x14ac:dyDescent="0.2">
      <c r="A12315" s="4" t="s">
        <v>1</v>
      </c>
      <c r="B1231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15" s="3" t="str">
        <f>HYPERLINK("https://otsuka-europe-crm.veevavault.com/ui/#object/sent_email__v/VBLZ025E82HJVUF", "SE-000287035")</f>
        <v>SE-000287035</v>
      </c>
      <c r="D12315" s="1">
        <v>45944.746215277781</v>
      </c>
      <c r="E12315" s="2">
        <v>1</v>
      </c>
      <c r="F12315" s="2">
        <v>1</v>
      </c>
      <c r="G12315" s="2">
        <v>0</v>
      </c>
      <c r="H12315" s="1" t="s">
        <v>0</v>
      </c>
      <c r="I12315" s="2">
        <v>0</v>
      </c>
      <c r="J12315" s="1">
        <v>45944.454837962963</v>
      </c>
    </row>
    <row r="12316" spans="1:10" x14ac:dyDescent="0.2">
      <c r="A12316" s="4" t="s">
        <v>1</v>
      </c>
      <c r="B1231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16" s="3" t="str">
        <f>HYPERLINK("https://otsuka-europe-crm.veevavault.com/ui/#object/sent_email__v/VBLZ025E82HJVUG", "SE-000287036")</f>
        <v>SE-000287036</v>
      </c>
      <c r="D12316" s="1">
        <v>45944.987210648149</v>
      </c>
      <c r="E12316" s="2">
        <v>1</v>
      </c>
      <c r="F12316" s="2">
        <v>1</v>
      </c>
      <c r="G12316" s="2">
        <v>0</v>
      </c>
      <c r="H12316" s="1" t="s">
        <v>0</v>
      </c>
      <c r="I12316" s="2">
        <v>0</v>
      </c>
      <c r="J12316" s="1">
        <v>45944.454814814817</v>
      </c>
    </row>
    <row r="12317" spans="1:10" x14ac:dyDescent="0.2">
      <c r="A12317" s="4" t="s">
        <v>1</v>
      </c>
      <c r="B1231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17" s="3" t="str">
        <f>HYPERLINK("https://otsuka-europe-crm.veevavault.com/ui/#object/sent_email__v/VBLZ025E82HJW2L", "SE-000287049")</f>
        <v>SE-000287049</v>
      </c>
      <c r="D12317" s="1" t="s">
        <v>0</v>
      </c>
      <c r="E12317" s="2">
        <v>0</v>
      </c>
      <c r="F12317" s="2">
        <v>0</v>
      </c>
      <c r="G12317" s="2">
        <v>0</v>
      </c>
      <c r="H12317" s="1" t="s">
        <v>0</v>
      </c>
      <c r="I12317" s="2">
        <v>0</v>
      </c>
      <c r="J12317" s="1">
        <v>45944.455717592595</v>
      </c>
    </row>
    <row r="12318" spans="1:10" x14ac:dyDescent="0.2">
      <c r="A12318" s="4" t="s">
        <v>1</v>
      </c>
      <c r="B1231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18" s="3" t="str">
        <f>HYPERLINK("https://otsuka-europe-crm.veevavault.com/ui/#object/sent_email__v/VBLZ025E82HJW2M", "SE-000287050")</f>
        <v>SE-000287050</v>
      </c>
      <c r="D12318" s="1">
        <v>45946.730231481481</v>
      </c>
      <c r="E12318" s="2">
        <v>1</v>
      </c>
      <c r="F12318" s="2">
        <v>2</v>
      </c>
      <c r="G12318" s="2">
        <v>0</v>
      </c>
      <c r="H12318" s="1" t="s">
        <v>0</v>
      </c>
      <c r="I12318" s="2">
        <v>0</v>
      </c>
      <c r="J12318" s="1">
        <v>45944.455555555556</v>
      </c>
    </row>
    <row r="12319" spans="1:10" x14ac:dyDescent="0.2">
      <c r="A12319" s="4" t="s">
        <v>1</v>
      </c>
      <c r="B1231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19" s="3" t="str">
        <f>HYPERLINK("https://otsuka-europe-crm.veevavault.com/ui/#object/sent_email__v/VBLZ025E82HJW2N", "SE-000287051")</f>
        <v>SE-000287051</v>
      </c>
      <c r="D12319" s="1">
        <v>45944.545590277776</v>
      </c>
      <c r="E12319" s="2">
        <v>1</v>
      </c>
      <c r="F12319" s="2">
        <v>1</v>
      </c>
      <c r="G12319" s="2">
        <v>0</v>
      </c>
      <c r="H12319" s="1" t="s">
        <v>0</v>
      </c>
      <c r="I12319" s="2">
        <v>0</v>
      </c>
      <c r="J12319" s="1">
        <v>45944.455694444441</v>
      </c>
    </row>
    <row r="12320" spans="1:10" x14ac:dyDescent="0.2">
      <c r="A12320" s="4" t="s">
        <v>1</v>
      </c>
      <c r="B1232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20" s="3" t="str">
        <f>HYPERLINK("https://otsuka-europe-crm.veevavault.com/ui/#object/sent_email__v/VBLZ025E82HJW2O", "SE-000287052")</f>
        <v>SE-000287052</v>
      </c>
      <c r="D12320" s="1" t="s">
        <v>0</v>
      </c>
      <c r="E12320" s="2">
        <v>0</v>
      </c>
      <c r="F12320" s="2">
        <v>0</v>
      </c>
      <c r="G12320" s="2">
        <v>0</v>
      </c>
      <c r="H12320" s="1" t="s">
        <v>0</v>
      </c>
      <c r="I12320" s="2">
        <v>0</v>
      </c>
      <c r="J12320" s="1">
        <v>45944.455590277779</v>
      </c>
    </row>
    <row r="12321" spans="1:10" x14ac:dyDescent="0.2">
      <c r="A12321" s="4" t="s">
        <v>1</v>
      </c>
      <c r="B1232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21" s="3" t="str">
        <f>HYPERLINK("https://otsuka-europe-crm.veevavault.com/ui/#object/sent_email__v/VBLZ025E82HJW2P", "SE-000287053")</f>
        <v>SE-000287053</v>
      </c>
      <c r="D12321" s="1" t="s">
        <v>0</v>
      </c>
      <c r="E12321" s="2">
        <v>0</v>
      </c>
      <c r="F12321" s="2">
        <v>0</v>
      </c>
      <c r="G12321" s="2">
        <v>0</v>
      </c>
      <c r="H12321" s="1" t="s">
        <v>0</v>
      </c>
      <c r="I12321" s="2">
        <v>0</v>
      </c>
      <c r="J12321" s="1">
        <v>45944.455706018518</v>
      </c>
    </row>
    <row r="12322" spans="1:10" x14ac:dyDescent="0.2">
      <c r="A12322" s="4" t="s">
        <v>1</v>
      </c>
      <c r="B1232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22" s="3" t="str">
        <f>HYPERLINK("https://otsuka-europe-crm.veevavault.com/ui/#object/sent_email__v/VBLZ025E82HJW2Q", "SE-000287054")</f>
        <v>SE-000287054</v>
      </c>
      <c r="D12322" s="1">
        <v>45946.556921296295</v>
      </c>
      <c r="E12322" s="2">
        <v>1</v>
      </c>
      <c r="F12322" s="2">
        <v>1</v>
      </c>
      <c r="G12322" s="2">
        <v>0</v>
      </c>
      <c r="H12322" s="1" t="s">
        <v>0</v>
      </c>
      <c r="I12322" s="2">
        <v>0</v>
      </c>
      <c r="J12322" s="1">
        <v>45944.455613425926</v>
      </c>
    </row>
    <row r="12323" spans="1:10" x14ac:dyDescent="0.2">
      <c r="A12323" s="4" t="s">
        <v>1</v>
      </c>
      <c r="B1232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23" s="3" t="str">
        <f>HYPERLINK("https://otsuka-europe-crm.veevavault.com/ui/#object/sent_email__v/VBLZ025E82HJW2R", "SE-000287055")</f>
        <v>SE-000287055</v>
      </c>
      <c r="D12323" s="1" t="s">
        <v>0</v>
      </c>
      <c r="E12323" s="2">
        <v>0</v>
      </c>
      <c r="F12323" s="2">
        <v>0</v>
      </c>
      <c r="G12323" s="2">
        <v>0</v>
      </c>
      <c r="H12323" s="1" t="s">
        <v>0</v>
      </c>
      <c r="I12323" s="2">
        <v>0</v>
      </c>
      <c r="J12323" s="1">
        <v>45944.455740740741</v>
      </c>
    </row>
    <row r="12324" spans="1:10" x14ac:dyDescent="0.2">
      <c r="A12324" s="4" t="s">
        <v>1</v>
      </c>
      <c r="B1232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24" s="3" t="str">
        <f>HYPERLINK("https://otsuka-europe-crm.veevavault.com/ui/#object/sent_email__v/VBLZ025E82HJW2S", "SE-000287056")</f>
        <v>SE-000287056</v>
      </c>
      <c r="D12324" s="1">
        <v>45944.466157407405</v>
      </c>
      <c r="E12324" s="2">
        <v>1</v>
      </c>
      <c r="F12324" s="2">
        <v>1</v>
      </c>
      <c r="G12324" s="2">
        <v>0</v>
      </c>
      <c r="H12324" s="1" t="s">
        <v>0</v>
      </c>
      <c r="I12324" s="2">
        <v>0</v>
      </c>
      <c r="J12324" s="1">
        <v>45944.455636574072</v>
      </c>
    </row>
    <row r="12325" spans="1:10" x14ac:dyDescent="0.2">
      <c r="A12325" s="4" t="s">
        <v>1</v>
      </c>
      <c r="B1232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25" s="3" t="str">
        <f>HYPERLINK("https://otsuka-europe-crm.veevavault.com/ui/#object/sent_email__v/VBLZ025E82HJW2T", "SE-000287057")</f>
        <v>SE-000287057</v>
      </c>
      <c r="D12325" s="1" t="s">
        <v>0</v>
      </c>
      <c r="E12325" s="2">
        <v>0</v>
      </c>
      <c r="F12325" s="2">
        <v>0</v>
      </c>
      <c r="G12325" s="2">
        <v>0</v>
      </c>
      <c r="H12325" s="1" t="s">
        <v>0</v>
      </c>
      <c r="I12325" s="2">
        <v>0</v>
      </c>
      <c r="J12325" s="1">
        <v>45944.455729166664</v>
      </c>
    </row>
    <row r="12326" spans="1:10" x14ac:dyDescent="0.2">
      <c r="A12326" s="4" t="s">
        <v>1</v>
      </c>
      <c r="B1232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26" s="3" t="str">
        <f>HYPERLINK("https://otsuka-europe-crm.veevavault.com/ui/#object/sent_email__v/VBLZ025E82HJW2U", "SE-000287058")</f>
        <v>SE-000287058</v>
      </c>
      <c r="D12326" s="1" t="s">
        <v>0</v>
      </c>
      <c r="E12326" s="2">
        <v>0</v>
      </c>
      <c r="F12326" s="2">
        <v>0</v>
      </c>
      <c r="G12326" s="2">
        <v>0</v>
      </c>
      <c r="H12326" s="1" t="s">
        <v>0</v>
      </c>
      <c r="I12326" s="2">
        <v>0</v>
      </c>
      <c r="J12326" s="1">
        <v>45944.455636574072</v>
      </c>
    </row>
    <row r="12327" spans="1:10" x14ac:dyDescent="0.2">
      <c r="A12327" s="4" t="s">
        <v>1</v>
      </c>
      <c r="B1232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27" s="3" t="str">
        <f>HYPERLINK("https://otsuka-europe-crm.veevavault.com/ui/#object/sent_email__v/VBLZ025E82HJW2V", "SE-000287059")</f>
        <v>SE-000287059</v>
      </c>
      <c r="D12327" s="1">
        <v>45944.656886574077</v>
      </c>
      <c r="E12327" s="2">
        <v>1</v>
      </c>
      <c r="F12327" s="2">
        <v>1</v>
      </c>
      <c r="G12327" s="2">
        <v>0</v>
      </c>
      <c r="H12327" s="1" t="s">
        <v>0</v>
      </c>
      <c r="I12327" s="2">
        <v>0</v>
      </c>
      <c r="J12327" s="1">
        <v>45944.455752314818</v>
      </c>
    </row>
    <row r="12328" spans="1:10" x14ac:dyDescent="0.2">
      <c r="A12328" s="4" t="s">
        <v>1</v>
      </c>
      <c r="B1232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28" s="3" t="str">
        <f>HYPERLINK("https://otsuka-europe-crm.veevavault.com/ui/#object/sent_email__v/VBLZ025E82HJW2W", "SE-000287060")</f>
        <v>SE-000287060</v>
      </c>
      <c r="D12328" s="1" t="s">
        <v>0</v>
      </c>
      <c r="E12328" s="2">
        <v>0</v>
      </c>
      <c r="F12328" s="2">
        <v>0</v>
      </c>
      <c r="G12328" s="2">
        <v>0</v>
      </c>
      <c r="H12328" s="1" t="s">
        <v>0</v>
      </c>
      <c r="I12328" s="2">
        <v>0</v>
      </c>
      <c r="J12328" s="1">
        <v>45944.455659722225</v>
      </c>
    </row>
    <row r="12329" spans="1:10" x14ac:dyDescent="0.2">
      <c r="A12329" s="4" t="s">
        <v>1</v>
      </c>
      <c r="B1232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29" s="3" t="str">
        <f>HYPERLINK("https://otsuka-europe-crm.veevavault.com/ui/#object/sent_email__v/VBLZ025E82HJW2X", "SE-000287061")</f>
        <v>SE-000287061</v>
      </c>
      <c r="D12329" s="1" t="s">
        <v>0</v>
      </c>
      <c r="E12329" s="2">
        <v>0</v>
      </c>
      <c r="F12329" s="2">
        <v>0</v>
      </c>
      <c r="G12329" s="2">
        <v>0</v>
      </c>
      <c r="H12329" s="1" t="s">
        <v>0</v>
      </c>
      <c r="I12329" s="2">
        <v>0</v>
      </c>
      <c r="J12329" s="1">
        <v>45944.455775462964</v>
      </c>
    </row>
    <row r="12330" spans="1:10" x14ac:dyDescent="0.2">
      <c r="A12330" s="4" t="s">
        <v>1</v>
      </c>
      <c r="B1233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30" s="3" t="str">
        <f>HYPERLINK("https://otsuka-europe-crm.veevavault.com/ui/#object/sent_email__v/VBLZ025E82HJW2Y", "SE-000287062")</f>
        <v>SE-000287062</v>
      </c>
      <c r="D12330" s="1">
        <v>45949.410370370373</v>
      </c>
      <c r="E12330" s="2">
        <v>1</v>
      </c>
      <c r="F12330" s="2">
        <v>2</v>
      </c>
      <c r="G12330" s="2">
        <v>0</v>
      </c>
      <c r="H12330" s="1" t="s">
        <v>0</v>
      </c>
      <c r="I12330" s="2">
        <v>0</v>
      </c>
      <c r="J12330" s="1">
        <v>45944.455763888887</v>
      </c>
    </row>
    <row r="12331" spans="1:10" x14ac:dyDescent="0.2">
      <c r="A12331" s="4" t="s">
        <v>1</v>
      </c>
      <c r="B1233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31" s="3" t="str">
        <f>HYPERLINK("https://otsuka-europe-crm.veevavault.com/ui/#object/sent_email__v/VBLZ025E82HJW2Z", "SE-000287063")</f>
        <v>SE-000287063</v>
      </c>
      <c r="D12331" s="1">
        <v>45944.963506944441</v>
      </c>
      <c r="E12331" s="2">
        <v>1</v>
      </c>
      <c r="F12331" s="2">
        <v>1</v>
      </c>
      <c r="G12331" s="2">
        <v>0</v>
      </c>
      <c r="H12331" s="1" t="s">
        <v>0</v>
      </c>
      <c r="I12331" s="2">
        <v>0</v>
      </c>
      <c r="J12331" s="1">
        <v>45944.455659722225</v>
      </c>
    </row>
    <row r="12332" spans="1:10" x14ac:dyDescent="0.2">
      <c r="A12332" s="4" t="s">
        <v>1</v>
      </c>
      <c r="B1233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32" s="3" t="str">
        <f>HYPERLINK("https://otsuka-europe-crm.veevavault.com/ui/#object/sent_email__v/VBLZ025E82HJW30", "SE-000287064")</f>
        <v>SE-000287064</v>
      </c>
      <c r="D12332" s="1">
        <v>45944.888749999998</v>
      </c>
      <c r="E12332" s="2">
        <v>1</v>
      </c>
      <c r="F12332" s="2">
        <v>1</v>
      </c>
      <c r="G12332" s="2">
        <v>0</v>
      </c>
      <c r="H12332" s="1" t="s">
        <v>0</v>
      </c>
      <c r="I12332" s="2">
        <v>0</v>
      </c>
      <c r="J12332" s="1">
        <v>45944.455740740741</v>
      </c>
    </row>
    <row r="12333" spans="1:10" x14ac:dyDescent="0.2">
      <c r="A12333" s="4" t="s">
        <v>1</v>
      </c>
      <c r="B1233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33" s="3" t="str">
        <f>HYPERLINK("https://otsuka-europe-crm.veevavault.com/ui/#object/sent_email__v/VBLZ025E82HJW31", "SE-000287065")</f>
        <v>SE-000287065</v>
      </c>
      <c r="D12333" s="1">
        <v>45944.880127314813</v>
      </c>
      <c r="E12333" s="2">
        <v>1</v>
      </c>
      <c r="F12333" s="2">
        <v>1</v>
      </c>
      <c r="G12333" s="2">
        <v>0</v>
      </c>
      <c r="H12333" s="1" t="s">
        <v>0</v>
      </c>
      <c r="I12333" s="2">
        <v>0</v>
      </c>
      <c r="J12333" s="1">
        <v>45944.455636574072</v>
      </c>
    </row>
    <row r="12334" spans="1:10" x14ac:dyDescent="0.2">
      <c r="A12334" s="4" t="s">
        <v>1</v>
      </c>
      <c r="B1233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34" s="3" t="str">
        <f>HYPERLINK("https://otsuka-europe-crm.veevavault.com/ui/#object/sent_email__v/VBLZ025E82HJW32", "SE-000287066")</f>
        <v>SE-000287066</v>
      </c>
      <c r="D12334" s="1" t="s">
        <v>0</v>
      </c>
      <c r="E12334" s="2">
        <v>0</v>
      </c>
      <c r="F12334" s="2">
        <v>0</v>
      </c>
      <c r="G12334" s="2">
        <v>0</v>
      </c>
      <c r="H12334" s="1" t="s">
        <v>0</v>
      </c>
      <c r="I12334" s="2">
        <v>0</v>
      </c>
      <c r="J12334" s="1">
        <v>45944.455717592595</v>
      </c>
    </row>
    <row r="12335" spans="1:10" x14ac:dyDescent="0.2">
      <c r="A12335" s="4" t="s">
        <v>1</v>
      </c>
      <c r="B1233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35" s="3" t="str">
        <f>HYPERLINK("https://otsuka-europe-crm.veevavault.com/ui/#object/sent_email__v/VBLZ025E82HJW33", "SE-000287067")</f>
        <v>SE-000287067</v>
      </c>
      <c r="D12335" s="1" t="s">
        <v>0</v>
      </c>
      <c r="E12335" s="2">
        <v>0</v>
      </c>
      <c r="F12335" s="2">
        <v>0</v>
      </c>
      <c r="G12335" s="2">
        <v>0</v>
      </c>
      <c r="H12335" s="1" t="s">
        <v>0</v>
      </c>
      <c r="I12335" s="2">
        <v>0</v>
      </c>
      <c r="J12335" s="1">
        <v>45944.455601851849</v>
      </c>
    </row>
    <row r="12336" spans="1:10" x14ac:dyDescent="0.2">
      <c r="A12336" s="4" t="s">
        <v>1</v>
      </c>
      <c r="B1233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36" s="3" t="str">
        <f>HYPERLINK("https://otsuka-europe-crm.veevavault.com/ui/#object/sent_email__v/VBLZ025E82HJW34", "SE-000287068")</f>
        <v>SE-000287068</v>
      </c>
      <c r="D12336" s="1">
        <v>45944.706250000003</v>
      </c>
      <c r="E12336" s="2">
        <v>1</v>
      </c>
      <c r="F12336" s="2">
        <v>2</v>
      </c>
      <c r="G12336" s="2">
        <v>0</v>
      </c>
      <c r="H12336" s="1" t="s">
        <v>0</v>
      </c>
      <c r="I12336" s="2">
        <v>0</v>
      </c>
      <c r="J12336" s="1">
        <v>45944.455659722225</v>
      </c>
    </row>
    <row r="12337" spans="1:10" x14ac:dyDescent="0.2">
      <c r="A12337" s="4" t="s">
        <v>1</v>
      </c>
      <c r="B1233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37" s="3" t="str">
        <f>HYPERLINK("https://otsuka-europe-crm.veevavault.com/ui/#object/sent_email__v/VBLZ025E82HJW35", "SE-000287069")</f>
        <v>SE-000287069</v>
      </c>
      <c r="D12337" s="1" t="s">
        <v>0</v>
      </c>
      <c r="E12337" s="2">
        <v>0</v>
      </c>
      <c r="F12337" s="2">
        <v>0</v>
      </c>
      <c r="G12337" s="2">
        <v>0</v>
      </c>
      <c r="H12337" s="1" t="s">
        <v>0</v>
      </c>
      <c r="I12337" s="2">
        <v>0</v>
      </c>
      <c r="J12337" s="1">
        <v>45944.455578703702</v>
      </c>
    </row>
    <row r="12338" spans="1:10" x14ac:dyDescent="0.2">
      <c r="A12338" s="4" t="s">
        <v>1</v>
      </c>
      <c r="B1233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38" s="3" t="str">
        <f>HYPERLINK("https://otsuka-europe-crm.veevavault.com/ui/#object/sent_email__v/VBLZ025E82HJW36", "SE-000287070")</f>
        <v>SE-000287070</v>
      </c>
      <c r="D12338" s="1">
        <v>45947.291597222225</v>
      </c>
      <c r="E12338" s="2">
        <v>1</v>
      </c>
      <c r="F12338" s="2">
        <v>1</v>
      </c>
      <c r="G12338" s="2">
        <v>0</v>
      </c>
      <c r="H12338" s="1" t="s">
        <v>0</v>
      </c>
      <c r="I12338" s="2">
        <v>0</v>
      </c>
      <c r="J12338" s="1">
        <v>45944.455694444441</v>
      </c>
    </row>
    <row r="12339" spans="1:10" x14ac:dyDescent="0.2">
      <c r="A12339" s="4" t="s">
        <v>1</v>
      </c>
      <c r="B1233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39" s="3" t="str">
        <f>HYPERLINK("https://otsuka-europe-crm.veevavault.com/ui/#object/sent_email__v/VBLZ025E82HJW37", "SE-000287071")</f>
        <v>SE-000287071</v>
      </c>
      <c r="D12339" s="1" t="s">
        <v>0</v>
      </c>
      <c r="E12339" s="2">
        <v>0</v>
      </c>
      <c r="F12339" s="2">
        <v>0</v>
      </c>
      <c r="G12339" s="2">
        <v>0</v>
      </c>
      <c r="H12339" s="1" t="s">
        <v>0</v>
      </c>
      <c r="I12339" s="2">
        <v>0</v>
      </c>
      <c r="J12339" s="1">
        <v>45944.455578703702</v>
      </c>
    </row>
    <row r="12340" spans="1:10" x14ac:dyDescent="0.2">
      <c r="A12340" s="4" t="s">
        <v>1</v>
      </c>
      <c r="B1234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40" s="3" t="str">
        <f>HYPERLINK("https://otsuka-europe-crm.veevavault.com/ui/#object/sent_email__v/VBLZ025E82HJW38", "SE-000287072")</f>
        <v>SE-000287072</v>
      </c>
      <c r="D12340" s="1">
        <v>45944.471041666664</v>
      </c>
      <c r="E12340" s="2">
        <v>1</v>
      </c>
      <c r="F12340" s="2">
        <v>1</v>
      </c>
      <c r="G12340" s="2">
        <v>0</v>
      </c>
      <c r="H12340" s="1" t="s">
        <v>0</v>
      </c>
      <c r="I12340" s="2">
        <v>0</v>
      </c>
      <c r="J12340" s="1">
        <v>45944.455682870372</v>
      </c>
    </row>
    <row r="12341" spans="1:10" x14ac:dyDescent="0.2">
      <c r="A12341" s="4" t="s">
        <v>1</v>
      </c>
      <c r="B1234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41" s="3" t="str">
        <f>HYPERLINK("https://otsuka-europe-crm.veevavault.com/ui/#object/sent_email__v/VBLZ025E82HJW39", "SE-000287073")</f>
        <v>SE-000287073</v>
      </c>
      <c r="D12341" s="1" t="s">
        <v>0</v>
      </c>
      <c r="E12341" s="2">
        <v>0</v>
      </c>
      <c r="F12341" s="2">
        <v>0</v>
      </c>
      <c r="G12341" s="2">
        <v>0</v>
      </c>
      <c r="H12341" s="1" t="s">
        <v>0</v>
      </c>
      <c r="I12341" s="2">
        <v>0</v>
      </c>
      <c r="J12341" s="1">
        <v>45944.455555555556</v>
      </c>
    </row>
    <row r="12342" spans="1:10" x14ac:dyDescent="0.2">
      <c r="A12342" s="4" t="s">
        <v>1</v>
      </c>
      <c r="B1234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42" s="3" t="str">
        <f>HYPERLINK("https://otsuka-europe-crm.veevavault.com/ui/#object/sent_email__v/VBLZ025E82HJW3A", "SE-000287074")</f>
        <v>SE-000287074</v>
      </c>
      <c r="D12342" s="1">
        <v>45969.552870370368</v>
      </c>
      <c r="E12342" s="2">
        <v>1</v>
      </c>
      <c r="F12342" s="2">
        <v>11</v>
      </c>
      <c r="G12342" s="2">
        <v>0</v>
      </c>
      <c r="H12342" s="1" t="s">
        <v>0</v>
      </c>
      <c r="I12342" s="2">
        <v>0</v>
      </c>
      <c r="J12342" s="1">
        <v>45944.455671296295</v>
      </c>
    </row>
    <row r="12343" spans="1:10" x14ac:dyDescent="0.2">
      <c r="A12343" s="4" t="s">
        <v>1</v>
      </c>
      <c r="B1234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43" s="3" t="str">
        <f>HYPERLINK("https://otsuka-europe-crm.veevavault.com/ui/#object/sent_email__v/VBLZ025E82HJW3B", "SE-000287075")</f>
        <v>SE-000287075</v>
      </c>
      <c r="D12343" s="1">
        <v>45944.456111111111</v>
      </c>
      <c r="E12343" s="2">
        <v>1</v>
      </c>
      <c r="F12343" s="2">
        <v>4</v>
      </c>
      <c r="G12343" s="2">
        <v>1</v>
      </c>
      <c r="H12343" s="1">
        <v>45944.45590277778</v>
      </c>
      <c r="I12343" s="2">
        <v>3</v>
      </c>
      <c r="J12343" s="1">
        <v>45944.455775462964</v>
      </c>
    </row>
    <row r="12344" spans="1:10" x14ac:dyDescent="0.2">
      <c r="A12344" s="4" t="s">
        <v>1</v>
      </c>
      <c r="B1234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44" s="3" t="str">
        <f>HYPERLINK("https://otsuka-europe-crm.veevavault.com/ui/#object/sent_email__v/VBLZ025E82HJW5D", "SE-000287076")</f>
        <v>SE-000287076</v>
      </c>
      <c r="D12344" s="1" t="s">
        <v>0</v>
      </c>
      <c r="E12344" s="2">
        <v>0</v>
      </c>
      <c r="F12344" s="2">
        <v>0</v>
      </c>
      <c r="G12344" s="2">
        <v>0</v>
      </c>
      <c r="H12344" s="1" t="s">
        <v>0</v>
      </c>
      <c r="I12344" s="2">
        <v>0</v>
      </c>
      <c r="J12344" s="1">
        <v>45944.456087962964</v>
      </c>
    </row>
    <row r="12345" spans="1:10" x14ac:dyDescent="0.2">
      <c r="A12345" s="4" t="s">
        <v>1</v>
      </c>
      <c r="B1234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45" s="3" t="str">
        <f>HYPERLINK("https://otsuka-europe-crm.veevavault.com/ui/#object/sent_email__v/VBLZ025E82HJW5E", "SE-000287077")</f>
        <v>SE-000287077</v>
      </c>
      <c r="D12345" s="1">
        <v>45949.436631944445</v>
      </c>
      <c r="E12345" s="2">
        <v>1</v>
      </c>
      <c r="F12345" s="2">
        <v>3</v>
      </c>
      <c r="G12345" s="2">
        <v>0</v>
      </c>
      <c r="H12345" s="1" t="s">
        <v>0</v>
      </c>
      <c r="I12345" s="2">
        <v>0</v>
      </c>
      <c r="J12345" s="1">
        <v>45944.456099537034</v>
      </c>
    </row>
    <row r="12346" spans="1:10" x14ac:dyDescent="0.2">
      <c r="A12346" s="4" t="s">
        <v>1</v>
      </c>
      <c r="B1234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46" s="3" t="str">
        <f>HYPERLINK("https://otsuka-europe-crm.veevavault.com/ui/#object/sent_email__v/VBLZ025E82HJW5F", "SE-000287078")</f>
        <v>SE-000287078</v>
      </c>
      <c r="D12346" s="1">
        <v>45945.835277777776</v>
      </c>
      <c r="E12346" s="2">
        <v>1</v>
      </c>
      <c r="F12346" s="2">
        <v>2</v>
      </c>
      <c r="G12346" s="2">
        <v>0</v>
      </c>
      <c r="H12346" s="1" t="s">
        <v>0</v>
      </c>
      <c r="I12346" s="2">
        <v>0</v>
      </c>
      <c r="J12346" s="1">
        <v>45944.456076388888</v>
      </c>
    </row>
    <row r="12347" spans="1:10" x14ac:dyDescent="0.2">
      <c r="A12347" s="4" t="s">
        <v>1</v>
      </c>
      <c r="B1234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47" s="3" t="str">
        <f>HYPERLINK("https://otsuka-europe-crm.veevavault.com/ui/#object/sent_email__v/VBLZ025E82HJW5G", "SE-000287079")</f>
        <v>SE-000287079</v>
      </c>
      <c r="D12347" s="1">
        <v>45947.686365740738</v>
      </c>
      <c r="E12347" s="2">
        <v>1</v>
      </c>
      <c r="F12347" s="2">
        <v>1</v>
      </c>
      <c r="G12347" s="2">
        <v>0</v>
      </c>
      <c r="H12347" s="1" t="s">
        <v>0</v>
      </c>
      <c r="I12347" s="2">
        <v>0</v>
      </c>
      <c r="J12347" s="1">
        <v>45944.456064814818</v>
      </c>
    </row>
    <row r="12348" spans="1:10" x14ac:dyDescent="0.2">
      <c r="A12348" s="4" t="s">
        <v>1</v>
      </c>
      <c r="B1234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48" s="3" t="str">
        <f>HYPERLINK("https://otsuka-europe-crm.veevavault.com/ui/#object/sent_email__v/VBLZ025E82HKDFL", "SE-000287235")</f>
        <v>SE-000287235</v>
      </c>
      <c r="D12348" s="1">
        <v>45945.245057870372</v>
      </c>
      <c r="E12348" s="2">
        <v>1</v>
      </c>
      <c r="F12348" s="2">
        <v>1</v>
      </c>
      <c r="G12348" s="2">
        <v>0</v>
      </c>
      <c r="H12348" s="1" t="s">
        <v>0</v>
      </c>
      <c r="I12348" s="2">
        <v>0</v>
      </c>
      <c r="J12348" s="1">
        <v>45944.614918981482</v>
      </c>
    </row>
    <row r="12349" spans="1:10" x14ac:dyDescent="0.2">
      <c r="A12349" s="4" t="s">
        <v>1</v>
      </c>
      <c r="B1234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49" s="3" t="str">
        <f>HYPERLINK("https://otsuka-europe-crm.veevavault.com/ui/#object/sent_email__v/VBLZ025E82HKDFM", "SE-000287236")</f>
        <v>SE-000287236</v>
      </c>
      <c r="D12349" s="1" t="s">
        <v>0</v>
      </c>
      <c r="E12349" s="2">
        <v>0</v>
      </c>
      <c r="F12349" s="2">
        <v>0</v>
      </c>
      <c r="G12349" s="2">
        <v>0</v>
      </c>
      <c r="H12349" s="1" t="s">
        <v>0</v>
      </c>
      <c r="I12349" s="2">
        <v>0</v>
      </c>
      <c r="J12349" s="1">
        <v>45944.614930555559</v>
      </c>
    </row>
    <row r="12350" spans="1:10" x14ac:dyDescent="0.2">
      <c r="A12350" s="4" t="s">
        <v>1</v>
      </c>
      <c r="B1235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50" s="3" t="str">
        <f>HYPERLINK("https://otsuka-europe-crm.veevavault.com/ui/#object/sent_email__v/VBLZ025E82HKDFN", "SE-000287237")</f>
        <v>SE-000287237</v>
      </c>
      <c r="D12350" s="1" t="s">
        <v>0</v>
      </c>
      <c r="E12350" s="2">
        <v>0</v>
      </c>
      <c r="F12350" s="2">
        <v>0</v>
      </c>
      <c r="G12350" s="2">
        <v>0</v>
      </c>
      <c r="H12350" s="1" t="s">
        <v>0</v>
      </c>
      <c r="I12350" s="2">
        <v>0</v>
      </c>
      <c r="J12350" s="1">
        <v>45944.614930555559</v>
      </c>
    </row>
    <row r="12351" spans="1:10" x14ac:dyDescent="0.2">
      <c r="A12351" s="4" t="s">
        <v>1</v>
      </c>
      <c r="B1235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51" s="3" t="str">
        <f>HYPERLINK("https://otsuka-europe-crm.veevavault.com/ui/#object/sent_email__v/VBLZ025E82HKDFO", "SE-000287238")</f>
        <v>SE-000287238</v>
      </c>
      <c r="D12351" s="1" t="s">
        <v>0</v>
      </c>
      <c r="E12351" s="2">
        <v>0</v>
      </c>
      <c r="F12351" s="2">
        <v>0</v>
      </c>
      <c r="G12351" s="2">
        <v>0</v>
      </c>
      <c r="H12351" s="1" t="s">
        <v>0</v>
      </c>
      <c r="I12351" s="2">
        <v>0</v>
      </c>
      <c r="J12351" s="1">
        <v>45944.614953703705</v>
      </c>
    </row>
    <row r="12352" spans="1:10" x14ac:dyDescent="0.2">
      <c r="A12352" s="4" t="s">
        <v>1</v>
      </c>
      <c r="B1235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52" s="3" t="str">
        <f>HYPERLINK("https://otsuka-europe-crm.veevavault.com/ui/#object/sent_email__v/VBLZ025E82HKDFP", "SE-000287239")</f>
        <v>SE-000287239</v>
      </c>
      <c r="D12352" s="1" t="s">
        <v>0</v>
      </c>
      <c r="E12352" s="2">
        <v>0</v>
      </c>
      <c r="F12352" s="2">
        <v>0</v>
      </c>
      <c r="G12352" s="2">
        <v>0</v>
      </c>
      <c r="H12352" s="1" t="s">
        <v>0</v>
      </c>
      <c r="I12352" s="2">
        <v>0</v>
      </c>
      <c r="J12352" s="1">
        <v>45944.614953703705</v>
      </c>
    </row>
    <row r="12353" spans="1:10" x14ac:dyDescent="0.2">
      <c r="A12353" s="4" t="s">
        <v>1</v>
      </c>
      <c r="B1235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53" s="3" t="str">
        <f>HYPERLINK("https://otsuka-europe-crm.veevavault.com/ui/#object/sent_email__v/VBLZ025E82HKDFQ", "SE-000287240")</f>
        <v>SE-000287240</v>
      </c>
      <c r="D12353" s="1" t="s">
        <v>0</v>
      </c>
      <c r="E12353" s="2">
        <v>0</v>
      </c>
      <c r="F12353" s="2">
        <v>0</v>
      </c>
      <c r="G12353" s="2">
        <v>0</v>
      </c>
      <c r="H12353" s="1" t="s">
        <v>0</v>
      </c>
      <c r="I12353" s="2">
        <v>0</v>
      </c>
      <c r="J12353" s="1">
        <v>45944.614965277775</v>
      </c>
    </row>
    <row r="12354" spans="1:10" x14ac:dyDescent="0.2">
      <c r="A12354" s="4" t="s">
        <v>1</v>
      </c>
      <c r="B1235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54" s="3" t="str">
        <f>HYPERLINK("https://otsuka-europe-crm.veevavault.com/ui/#object/sent_email__v/VBLZ025E82HKDFR", "SE-000287241")</f>
        <v>SE-000287241</v>
      </c>
      <c r="D12354" s="1" t="s">
        <v>0</v>
      </c>
      <c r="E12354" s="2">
        <v>0</v>
      </c>
      <c r="F12354" s="2">
        <v>0</v>
      </c>
      <c r="G12354" s="2">
        <v>0</v>
      </c>
      <c r="H12354" s="1" t="s">
        <v>0</v>
      </c>
      <c r="I12354" s="2">
        <v>0</v>
      </c>
      <c r="J12354" s="1">
        <v>45944.614976851852</v>
      </c>
    </row>
    <row r="12355" spans="1:10" x14ac:dyDescent="0.2">
      <c r="A12355" s="4" t="s">
        <v>1</v>
      </c>
      <c r="B1235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55" s="3" t="str">
        <f>HYPERLINK("https://otsuka-europe-crm.veevavault.com/ui/#object/sent_email__v/VBLZ025E82HKDFS", "SE-000287242")</f>
        <v>SE-000287242</v>
      </c>
      <c r="D12355" s="1">
        <v>45948.786192129628</v>
      </c>
      <c r="E12355" s="2">
        <v>1</v>
      </c>
      <c r="F12355" s="2">
        <v>3</v>
      </c>
      <c r="G12355" s="2">
        <v>0</v>
      </c>
      <c r="H12355" s="1" t="s">
        <v>0</v>
      </c>
      <c r="I12355" s="2">
        <v>0</v>
      </c>
      <c r="J12355" s="1">
        <v>45944.614988425928</v>
      </c>
    </row>
    <row r="12356" spans="1:10" x14ac:dyDescent="0.2">
      <c r="A12356" s="4" t="s">
        <v>1</v>
      </c>
      <c r="B1235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56" s="3" t="str">
        <f>HYPERLINK("https://otsuka-europe-crm.veevavault.com/ui/#object/sent_email__v/VBLZ025E82HKDFT", "SE-000287243")</f>
        <v>SE-000287243</v>
      </c>
      <c r="D12356" s="1" t="s">
        <v>0</v>
      </c>
      <c r="E12356" s="2">
        <v>0</v>
      </c>
      <c r="F12356" s="2">
        <v>0</v>
      </c>
      <c r="G12356" s="2">
        <v>0</v>
      </c>
      <c r="H12356" s="1" t="s">
        <v>0</v>
      </c>
      <c r="I12356" s="2">
        <v>0</v>
      </c>
      <c r="J12356" s="1">
        <v>45944.614988425928</v>
      </c>
    </row>
    <row r="12357" spans="1:10" x14ac:dyDescent="0.2">
      <c r="A12357" s="4" t="s">
        <v>1</v>
      </c>
      <c r="B1235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57" s="3" t="str">
        <f>HYPERLINK("https://otsuka-europe-crm.veevavault.com/ui/#object/sent_email__v/VBLZ025E82HKDFU", "SE-000287244")</f>
        <v>SE-000287244</v>
      </c>
      <c r="D12357" s="1" t="s">
        <v>0</v>
      </c>
      <c r="E12357" s="2">
        <v>0</v>
      </c>
      <c r="F12357" s="2">
        <v>0</v>
      </c>
      <c r="G12357" s="2">
        <v>0</v>
      </c>
      <c r="H12357" s="1" t="s">
        <v>0</v>
      </c>
      <c r="I12357" s="2">
        <v>0</v>
      </c>
      <c r="J12357" s="1">
        <v>45944.614999999998</v>
      </c>
    </row>
    <row r="12358" spans="1:10" x14ac:dyDescent="0.2">
      <c r="A12358" s="4" t="s">
        <v>1</v>
      </c>
      <c r="B1235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58" s="3" t="str">
        <f>HYPERLINK("https://otsuka-europe-crm.veevavault.com/ui/#object/sent_email__v/VBLZ025E82HKH25", "SE-000287392")</f>
        <v>SE-000287392</v>
      </c>
      <c r="D12358" s="1" t="s">
        <v>0</v>
      </c>
      <c r="E12358" s="2">
        <v>0</v>
      </c>
      <c r="F12358" s="2">
        <v>0</v>
      </c>
      <c r="G12358" s="2">
        <v>0</v>
      </c>
      <c r="H12358" s="1" t="s">
        <v>0</v>
      </c>
      <c r="I12358" s="2">
        <v>0</v>
      </c>
      <c r="J12358" s="1">
        <v>45944.656805555554</v>
      </c>
    </row>
    <row r="12359" spans="1:10" x14ac:dyDescent="0.2">
      <c r="A12359" s="4" t="s">
        <v>1</v>
      </c>
      <c r="B1235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59" s="3" t="str">
        <f>HYPERLINK("https://otsuka-europe-crm.veevavault.com/ui/#object/sent_email__v/VBLZ025E82HKH26", "SE-000287393")</f>
        <v>SE-000287393</v>
      </c>
      <c r="D12359" s="1" t="s">
        <v>0</v>
      </c>
      <c r="E12359" s="2">
        <v>0</v>
      </c>
      <c r="F12359" s="2">
        <v>0</v>
      </c>
      <c r="G12359" s="2">
        <v>0</v>
      </c>
      <c r="H12359" s="1" t="s">
        <v>0</v>
      </c>
      <c r="I12359" s="2">
        <v>0</v>
      </c>
      <c r="J12359" s="1">
        <v>45944.656666666669</v>
      </c>
    </row>
    <row r="12360" spans="1:10" x14ac:dyDescent="0.2">
      <c r="A12360" s="4" t="s">
        <v>1</v>
      </c>
      <c r="B1236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60" s="3" t="str">
        <f>HYPERLINK("https://otsuka-europe-crm.veevavault.com/ui/#object/sent_email__v/VBLZ025E82HKH27", "SE-000287394")</f>
        <v>SE-000287394</v>
      </c>
      <c r="D12360" s="1" t="s">
        <v>0</v>
      </c>
      <c r="E12360" s="2">
        <v>0</v>
      </c>
      <c r="F12360" s="2">
        <v>0</v>
      </c>
      <c r="G12360" s="2">
        <v>0</v>
      </c>
      <c r="H12360" s="1" t="s">
        <v>0</v>
      </c>
      <c r="I12360" s="2">
        <v>0</v>
      </c>
      <c r="J12360" s="1">
        <v>45944.656793981485</v>
      </c>
    </row>
    <row r="12361" spans="1:10" x14ac:dyDescent="0.2">
      <c r="A12361" s="4" t="s">
        <v>1</v>
      </c>
      <c r="B1236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61" s="3" t="str">
        <f>HYPERLINK("https://otsuka-europe-crm.veevavault.com/ui/#object/sent_email__v/VBLZ025E82HKH28", "SE-000287395")</f>
        <v>SE-000287395</v>
      </c>
      <c r="D12361" s="1">
        <v>45944.658750000002</v>
      </c>
      <c r="E12361" s="2">
        <v>1</v>
      </c>
      <c r="F12361" s="2">
        <v>2</v>
      </c>
      <c r="G12361" s="2">
        <v>0</v>
      </c>
      <c r="H12361" s="1" t="s">
        <v>0</v>
      </c>
      <c r="I12361" s="2">
        <v>0</v>
      </c>
      <c r="J12361" s="1">
        <v>45944.656666666669</v>
      </c>
    </row>
    <row r="12362" spans="1:10" x14ac:dyDescent="0.2">
      <c r="A12362" s="4" t="s">
        <v>1</v>
      </c>
      <c r="B1236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62" s="3" t="str">
        <f>HYPERLINK("https://otsuka-europe-crm.veevavault.com/ui/#object/sent_email__v/VBLZ025E82HKH29", "SE-000287396")</f>
        <v>SE-000287396</v>
      </c>
      <c r="D12362" s="1" t="s">
        <v>0</v>
      </c>
      <c r="E12362" s="2">
        <v>0</v>
      </c>
      <c r="F12362" s="2">
        <v>0</v>
      </c>
      <c r="G12362" s="2">
        <v>0</v>
      </c>
      <c r="H12362" s="1" t="s">
        <v>0</v>
      </c>
      <c r="I12362" s="2">
        <v>0</v>
      </c>
      <c r="J12362" s="1">
        <v>45944.656782407408</v>
      </c>
    </row>
    <row r="12363" spans="1:10" x14ac:dyDescent="0.2">
      <c r="A12363" s="4" t="s">
        <v>1</v>
      </c>
      <c r="B1236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63" s="3" t="str">
        <f>HYPERLINK("https://otsuka-europe-crm.veevavault.com/ui/#object/sent_email__v/VBLZ025E82HKH2A", "SE-000287397")</f>
        <v>SE-000287397</v>
      </c>
      <c r="D12363" s="1" t="s">
        <v>0</v>
      </c>
      <c r="E12363" s="2">
        <v>0</v>
      </c>
      <c r="F12363" s="2">
        <v>0</v>
      </c>
      <c r="G12363" s="2">
        <v>0</v>
      </c>
      <c r="H12363" s="1" t="s">
        <v>0</v>
      </c>
      <c r="I12363" s="2">
        <v>0</v>
      </c>
      <c r="J12363" s="1">
        <v>45944.656643518516</v>
      </c>
    </row>
    <row r="12364" spans="1:10" x14ac:dyDescent="0.2">
      <c r="A12364" s="4" t="s">
        <v>1</v>
      </c>
      <c r="B1236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64" s="3" t="str">
        <f>HYPERLINK("https://otsuka-europe-crm.veevavault.com/ui/#object/sent_email__v/VBLZ025E82HKH2B", "SE-000287398")</f>
        <v>SE-000287398</v>
      </c>
      <c r="D12364" s="1" t="s">
        <v>0</v>
      </c>
      <c r="E12364" s="2">
        <v>0</v>
      </c>
      <c r="F12364" s="2">
        <v>0</v>
      </c>
      <c r="G12364" s="2">
        <v>0</v>
      </c>
      <c r="H12364" s="1" t="s">
        <v>0</v>
      </c>
      <c r="I12364" s="2">
        <v>0</v>
      </c>
      <c r="J12364" s="1">
        <v>45944.656782407408</v>
      </c>
    </row>
    <row r="12365" spans="1:10" x14ac:dyDescent="0.2">
      <c r="A12365" s="4" t="s">
        <v>1</v>
      </c>
      <c r="B1236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65" s="3" t="str">
        <f>HYPERLINK("https://otsuka-europe-crm.veevavault.com/ui/#object/sent_email__v/VBLZ025E82HKH2C", "SE-000287399")</f>
        <v>SE-000287399</v>
      </c>
      <c r="D12365" s="1" t="s">
        <v>0</v>
      </c>
      <c r="E12365" s="2">
        <v>0</v>
      </c>
      <c r="F12365" s="2">
        <v>0</v>
      </c>
      <c r="G12365" s="2">
        <v>0</v>
      </c>
      <c r="H12365" s="1" t="s">
        <v>0</v>
      </c>
      <c r="I12365" s="2">
        <v>0</v>
      </c>
      <c r="J12365" s="1">
        <v>45944.656666666669</v>
      </c>
    </row>
    <row r="12366" spans="1:10" x14ac:dyDescent="0.2">
      <c r="A12366" s="4" t="s">
        <v>1</v>
      </c>
      <c r="B1236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66" s="3" t="str">
        <f>HYPERLINK("https://otsuka-europe-crm.veevavault.com/ui/#object/sent_email__v/VBLZ025E82HKH2D", "SE-000287400")</f>
        <v>SE-000287400</v>
      </c>
      <c r="D12366" s="1" t="s">
        <v>0</v>
      </c>
      <c r="E12366" s="2">
        <v>0</v>
      </c>
      <c r="F12366" s="2">
        <v>0</v>
      </c>
      <c r="G12366" s="2">
        <v>0</v>
      </c>
      <c r="H12366" s="1" t="s">
        <v>0</v>
      </c>
      <c r="I12366" s="2">
        <v>0</v>
      </c>
      <c r="J12366" s="1">
        <v>45944.656550925924</v>
      </c>
    </row>
    <row r="12367" spans="1:10" x14ac:dyDescent="0.2">
      <c r="A12367" s="4" t="s">
        <v>1</v>
      </c>
      <c r="B1236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67" s="3" t="str">
        <f>HYPERLINK("https://otsuka-europe-crm.veevavault.com/ui/#object/sent_email__v/VBLZ025E82HKH2E", "SE-000287401")</f>
        <v>SE-000287401</v>
      </c>
      <c r="D12367" s="1" t="s">
        <v>0</v>
      </c>
      <c r="E12367" s="2">
        <v>0</v>
      </c>
      <c r="F12367" s="2">
        <v>0</v>
      </c>
      <c r="G12367" s="2">
        <v>0</v>
      </c>
      <c r="H12367" s="1" t="s">
        <v>0</v>
      </c>
      <c r="I12367" s="2">
        <v>0</v>
      </c>
      <c r="J12367" s="1">
        <v>45944.656701388885</v>
      </c>
    </row>
    <row r="12368" spans="1:10" x14ac:dyDescent="0.2">
      <c r="A12368" s="4" t="s">
        <v>1</v>
      </c>
      <c r="B1236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68" s="3" t="str">
        <f>HYPERLINK("https://otsuka-europe-crm.veevavault.com/ui/#object/sent_email__v/VBLZ025E82HKH2F", "SE-000287402")</f>
        <v>SE-000287402</v>
      </c>
      <c r="D12368" s="1" t="s">
        <v>0</v>
      </c>
      <c r="E12368" s="2">
        <v>0</v>
      </c>
      <c r="F12368" s="2">
        <v>0</v>
      </c>
      <c r="G12368" s="2">
        <v>0</v>
      </c>
      <c r="H12368" s="1" t="s">
        <v>0</v>
      </c>
      <c r="I12368" s="2">
        <v>0</v>
      </c>
      <c r="J12368" s="1">
        <v>45944.656550925924</v>
      </c>
    </row>
    <row r="12369" spans="1:10" x14ac:dyDescent="0.2">
      <c r="A12369" s="4" t="s">
        <v>1</v>
      </c>
      <c r="B1236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69" s="3" t="str">
        <f>HYPERLINK("https://otsuka-europe-crm.veevavault.com/ui/#object/sent_email__v/VBLZ025E82HKH2G", "SE-000287403")</f>
        <v>SE-000287403</v>
      </c>
      <c r="D12369" s="1" t="s">
        <v>0</v>
      </c>
      <c r="E12369" s="2">
        <v>0</v>
      </c>
      <c r="F12369" s="2">
        <v>0</v>
      </c>
      <c r="G12369" s="2">
        <v>0</v>
      </c>
      <c r="H12369" s="1" t="s">
        <v>0</v>
      </c>
      <c r="I12369" s="2">
        <v>0</v>
      </c>
      <c r="J12369" s="1">
        <v>45944.656747685185</v>
      </c>
    </row>
    <row r="12370" spans="1:10" x14ac:dyDescent="0.2">
      <c r="A12370" s="4" t="s">
        <v>1</v>
      </c>
      <c r="B1237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70" s="3" t="str">
        <f>HYPERLINK("https://otsuka-europe-crm.veevavault.com/ui/#object/sent_email__v/VBLZ025E82HKH2H", "SE-000287404")</f>
        <v>SE-000287404</v>
      </c>
      <c r="D12370" s="1">
        <v>45944.918923611112</v>
      </c>
      <c r="E12370" s="2">
        <v>1</v>
      </c>
      <c r="F12370" s="2">
        <v>2</v>
      </c>
      <c r="G12370" s="2">
        <v>0</v>
      </c>
      <c r="H12370" s="1" t="s">
        <v>0</v>
      </c>
      <c r="I12370" s="2">
        <v>0</v>
      </c>
      <c r="J12370" s="1">
        <v>45944.65662037037</v>
      </c>
    </row>
    <row r="12371" spans="1:10" x14ac:dyDescent="0.2">
      <c r="A12371" s="4" t="s">
        <v>1</v>
      </c>
      <c r="B1237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71" s="3" t="str">
        <f>HYPERLINK("https://otsuka-europe-crm.veevavault.com/ui/#object/sent_email__v/VBLZ025E82HKH2I", "SE-000287405")</f>
        <v>SE-000287405</v>
      </c>
      <c r="D12371" s="1">
        <v>45944.696435185186</v>
      </c>
      <c r="E12371" s="2">
        <v>1</v>
      </c>
      <c r="F12371" s="2">
        <v>1</v>
      </c>
      <c r="G12371" s="2">
        <v>0</v>
      </c>
      <c r="H12371" s="1" t="s">
        <v>0</v>
      </c>
      <c r="I12371" s="2">
        <v>0</v>
      </c>
      <c r="J12371" s="1">
        <v>45944.656736111108</v>
      </c>
    </row>
    <row r="12372" spans="1:10" x14ac:dyDescent="0.2">
      <c r="A12372" s="4" t="s">
        <v>1</v>
      </c>
      <c r="B1237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72" s="3" t="str">
        <f>HYPERLINK("https://otsuka-europe-crm.veevavault.com/ui/#object/sent_email__v/VBLZ025E82HKH2J", "SE-000287406")</f>
        <v>SE-000287406</v>
      </c>
      <c r="D12372" s="1" t="s">
        <v>0</v>
      </c>
      <c r="E12372" s="2">
        <v>0</v>
      </c>
      <c r="F12372" s="2">
        <v>0</v>
      </c>
      <c r="G12372" s="2">
        <v>0</v>
      </c>
      <c r="H12372" s="1" t="s">
        <v>0</v>
      </c>
      <c r="I12372" s="2">
        <v>0</v>
      </c>
      <c r="J12372" s="1">
        <v>45944.65662037037</v>
      </c>
    </row>
    <row r="12373" spans="1:10" x14ac:dyDescent="0.2">
      <c r="A12373" s="4" t="s">
        <v>1</v>
      </c>
      <c r="B1237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73" s="3" t="str">
        <f>HYPERLINK("https://otsuka-europe-crm.veevavault.com/ui/#object/sent_email__v/VBLZ025E82HKH2K", "SE-000287407")</f>
        <v>SE-000287407</v>
      </c>
      <c r="D12373" s="1" t="s">
        <v>0</v>
      </c>
      <c r="E12373" s="2">
        <v>0</v>
      </c>
      <c r="F12373" s="2">
        <v>0</v>
      </c>
      <c r="G12373" s="2">
        <v>0</v>
      </c>
      <c r="H12373" s="1" t="s">
        <v>0</v>
      </c>
      <c r="I12373" s="2">
        <v>0</v>
      </c>
      <c r="J12373" s="1">
        <v>45944.656747685185</v>
      </c>
    </row>
    <row r="12374" spans="1:10" x14ac:dyDescent="0.2">
      <c r="A12374" s="4" t="s">
        <v>1</v>
      </c>
      <c r="B1237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74" s="3" t="str">
        <f>HYPERLINK("https://otsuka-europe-crm.veevavault.com/ui/#object/sent_email__v/VBLZ025E82HKH2L", "SE-000287408")</f>
        <v>SE-000287408</v>
      </c>
      <c r="D12374" s="1">
        <v>45944.713842592595</v>
      </c>
      <c r="E12374" s="2">
        <v>1</v>
      </c>
      <c r="F12374" s="2">
        <v>1</v>
      </c>
      <c r="G12374" s="2">
        <v>0</v>
      </c>
      <c r="H12374" s="1" t="s">
        <v>0</v>
      </c>
      <c r="I12374" s="2">
        <v>0</v>
      </c>
      <c r="J12374" s="1">
        <v>45944.65662037037</v>
      </c>
    </row>
    <row r="12375" spans="1:10" x14ac:dyDescent="0.2">
      <c r="A12375" s="4" t="s">
        <v>1</v>
      </c>
      <c r="B1237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75" s="3" t="str">
        <f>HYPERLINK("https://otsuka-europe-crm.veevavault.com/ui/#object/sent_email__v/VBLZ025E82HKH2M", "SE-000287409")</f>
        <v>SE-000287409</v>
      </c>
      <c r="D12375" s="1" t="s">
        <v>0</v>
      </c>
      <c r="E12375" s="2">
        <v>0</v>
      </c>
      <c r="F12375" s="2">
        <v>0</v>
      </c>
      <c r="G12375" s="2">
        <v>0</v>
      </c>
      <c r="H12375" s="1" t="s">
        <v>0</v>
      </c>
      <c r="I12375" s="2">
        <v>0</v>
      </c>
      <c r="J12375" s="1">
        <v>45944.656724537039</v>
      </c>
    </row>
    <row r="12376" spans="1:10" x14ac:dyDescent="0.2">
      <c r="A12376" s="4" t="s">
        <v>1</v>
      </c>
      <c r="B1237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76" s="3" t="str">
        <f>HYPERLINK("https://otsuka-europe-crm.veevavault.com/ui/#object/sent_email__v/VBLZ025E82HKH2N", "SE-000287410")</f>
        <v>SE-000287410</v>
      </c>
      <c r="D12376" s="1" t="s">
        <v>0</v>
      </c>
      <c r="E12376" s="2">
        <v>0</v>
      </c>
      <c r="F12376" s="2">
        <v>0</v>
      </c>
      <c r="G12376" s="2">
        <v>0</v>
      </c>
      <c r="H12376" s="1" t="s">
        <v>0</v>
      </c>
      <c r="I12376" s="2">
        <v>0</v>
      </c>
      <c r="J12376" s="1">
        <v>45944.656585648147</v>
      </c>
    </row>
    <row r="12377" spans="1:10" x14ac:dyDescent="0.2">
      <c r="A12377" s="4" t="s">
        <v>1</v>
      </c>
      <c r="B1237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77" s="3" t="str">
        <f>HYPERLINK("https://otsuka-europe-crm.veevavault.com/ui/#object/sent_email__v/VBLZ025E82HKH2O", "SE-000287411")</f>
        <v>SE-000287411</v>
      </c>
      <c r="D12377" s="1" t="s">
        <v>0</v>
      </c>
      <c r="E12377" s="2">
        <v>0</v>
      </c>
      <c r="F12377" s="2">
        <v>0</v>
      </c>
      <c r="G12377" s="2">
        <v>0</v>
      </c>
      <c r="H12377" s="1" t="s">
        <v>0</v>
      </c>
      <c r="I12377" s="2">
        <v>0</v>
      </c>
      <c r="J12377" s="1">
        <v>45944.656724537039</v>
      </c>
    </row>
    <row r="12378" spans="1:10" x14ac:dyDescent="0.2">
      <c r="A12378" s="4" t="s">
        <v>1</v>
      </c>
      <c r="B1237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78" s="3" t="str">
        <f>HYPERLINK("https://otsuka-europe-crm.veevavault.com/ui/#object/sent_email__v/VBLZ025E82HKH2P", "SE-000287412")</f>
        <v>SE-000287412</v>
      </c>
      <c r="D12378" s="1" t="s">
        <v>0</v>
      </c>
      <c r="E12378" s="2">
        <v>0</v>
      </c>
      <c r="F12378" s="2">
        <v>0</v>
      </c>
      <c r="G12378" s="2">
        <v>0</v>
      </c>
      <c r="H12378" s="1" t="s">
        <v>0</v>
      </c>
      <c r="I12378" s="2">
        <v>0</v>
      </c>
      <c r="J12378" s="1">
        <v>45944.656597222223</v>
      </c>
    </row>
    <row r="12379" spans="1:10" x14ac:dyDescent="0.2">
      <c r="A12379" s="4" t="s">
        <v>1</v>
      </c>
      <c r="B1237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79" s="3" t="str">
        <f>HYPERLINK("https://otsuka-europe-crm.veevavault.com/ui/#object/sent_email__v/VBLZ025E82HKH2Q", "SE-000287413")</f>
        <v>SE-000287413</v>
      </c>
      <c r="D12379" s="1" t="s">
        <v>0</v>
      </c>
      <c r="E12379" s="2">
        <v>0</v>
      </c>
      <c r="F12379" s="2">
        <v>0</v>
      </c>
      <c r="G12379" s="2">
        <v>0</v>
      </c>
      <c r="H12379" s="1" t="s">
        <v>0</v>
      </c>
      <c r="I12379" s="2">
        <v>0</v>
      </c>
      <c r="J12379" s="1">
        <v>45944.656701388885</v>
      </c>
    </row>
    <row r="12380" spans="1:10" x14ac:dyDescent="0.2">
      <c r="A12380" s="4" t="s">
        <v>1</v>
      </c>
      <c r="B1238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80" s="3" t="str">
        <f>HYPERLINK("https://otsuka-europe-crm.veevavault.com/ui/#object/sent_email__v/VBLZ025E82HKH2R", "SE-000287414")</f>
        <v>SE-000287414</v>
      </c>
      <c r="D12380" s="1" t="s">
        <v>0</v>
      </c>
      <c r="E12380" s="2">
        <v>0</v>
      </c>
      <c r="F12380" s="2">
        <v>0</v>
      </c>
      <c r="G12380" s="2">
        <v>0</v>
      </c>
      <c r="H12380" s="1" t="s">
        <v>0</v>
      </c>
      <c r="I12380" s="2">
        <v>0</v>
      </c>
      <c r="J12380" s="1">
        <v>45944.6565625</v>
      </c>
    </row>
    <row r="12381" spans="1:10" x14ac:dyDescent="0.2">
      <c r="A12381" s="4" t="s">
        <v>1</v>
      </c>
      <c r="B1238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81" s="3" t="str">
        <f>HYPERLINK("https://otsuka-europe-crm.veevavault.com/ui/#object/sent_email__v/VBLZ025E82HKH2S", "SE-000287415")</f>
        <v>SE-000287415</v>
      </c>
      <c r="D12381" s="1">
        <v>45944.670925925922</v>
      </c>
      <c r="E12381" s="2">
        <v>1</v>
      </c>
      <c r="F12381" s="2">
        <v>2</v>
      </c>
      <c r="G12381" s="2">
        <v>0</v>
      </c>
      <c r="H12381" s="1" t="s">
        <v>0</v>
      </c>
      <c r="I12381" s="2">
        <v>0</v>
      </c>
      <c r="J12381" s="1">
        <v>45944.656678240739</v>
      </c>
    </row>
    <row r="12382" spans="1:10" x14ac:dyDescent="0.2">
      <c r="A12382" s="4" t="s">
        <v>1</v>
      </c>
      <c r="B1238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82" s="3" t="str">
        <f>HYPERLINK("https://otsuka-europe-crm.veevavault.com/ui/#object/sent_email__v/VBLZ025E82HKH2T", "SE-000287416")</f>
        <v>SE-000287416</v>
      </c>
      <c r="D12382" s="1">
        <v>45944.743831018517</v>
      </c>
      <c r="E12382" s="2">
        <v>1</v>
      </c>
      <c r="F12382" s="2">
        <v>2</v>
      </c>
      <c r="G12382" s="2">
        <v>0</v>
      </c>
      <c r="H12382" s="1" t="s">
        <v>0</v>
      </c>
      <c r="I12382" s="2">
        <v>0</v>
      </c>
      <c r="J12382" s="1">
        <v>45944.656550925924</v>
      </c>
    </row>
    <row r="12383" spans="1:10" x14ac:dyDescent="0.2">
      <c r="A12383" s="4" t="s">
        <v>1</v>
      </c>
      <c r="B1238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83" s="3" t="str">
        <f>HYPERLINK("https://otsuka-europe-crm.veevavault.com/ui/#object/sent_email__v/VBLZ025E82HKH2U", "SE-000287417")</f>
        <v>SE-000287417</v>
      </c>
      <c r="D12383" s="1">
        <v>45944.71334490741</v>
      </c>
      <c r="E12383" s="2">
        <v>1</v>
      </c>
      <c r="F12383" s="2">
        <v>1</v>
      </c>
      <c r="G12383" s="2">
        <v>0</v>
      </c>
      <c r="H12383" s="1" t="s">
        <v>0</v>
      </c>
      <c r="I12383" s="2">
        <v>0</v>
      </c>
      <c r="J12383" s="1">
        <v>45944.656701388885</v>
      </c>
    </row>
    <row r="12384" spans="1:10" x14ac:dyDescent="0.2">
      <c r="A12384" s="4" t="s">
        <v>1</v>
      </c>
      <c r="B1238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84" s="3" t="str">
        <f>HYPERLINK("https://otsuka-europe-crm.veevavault.com/ui/#object/sent_email__v/VBLZ025E82HKH2V", "SE-000287418")</f>
        <v>SE-000287418</v>
      </c>
      <c r="D12384" s="1" t="s">
        <v>0</v>
      </c>
      <c r="E12384" s="2">
        <v>0</v>
      </c>
      <c r="F12384" s="2">
        <v>0</v>
      </c>
      <c r="G12384" s="2">
        <v>0</v>
      </c>
      <c r="H12384" s="1" t="s">
        <v>0</v>
      </c>
      <c r="I12384" s="2">
        <v>0</v>
      </c>
      <c r="J12384" s="1">
        <v>45944.656585648147</v>
      </c>
    </row>
    <row r="12385" spans="1:10" x14ac:dyDescent="0.2">
      <c r="A12385" s="4" t="s">
        <v>1</v>
      </c>
      <c r="B1238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85" s="3" t="str">
        <f>HYPERLINK("https://otsuka-europe-crm.veevavault.com/ui/#object/sent_email__v/VBLZ025E82HKH2W", "SE-000287419")</f>
        <v>SE-000287419</v>
      </c>
      <c r="D12385" s="1" t="s">
        <v>0</v>
      </c>
      <c r="E12385" s="2">
        <v>0</v>
      </c>
      <c r="F12385" s="2">
        <v>0</v>
      </c>
      <c r="G12385" s="2">
        <v>0</v>
      </c>
      <c r="H12385" s="1" t="s">
        <v>0</v>
      </c>
      <c r="I12385" s="2">
        <v>0</v>
      </c>
      <c r="J12385" s="1">
        <v>45944.656712962962</v>
      </c>
    </row>
    <row r="12386" spans="1:10" x14ac:dyDescent="0.2">
      <c r="A12386" s="4" t="s">
        <v>1</v>
      </c>
      <c r="B1238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86" s="3" t="str">
        <f>HYPERLINK("https://otsuka-europe-crm.veevavault.com/ui/#object/sent_email__v/VBLZ025E82HKH2X", "SE-000287420")</f>
        <v>SE-000287420</v>
      </c>
      <c r="D12386" s="1" t="s">
        <v>0</v>
      </c>
      <c r="E12386" s="2">
        <v>0</v>
      </c>
      <c r="F12386" s="2">
        <v>0</v>
      </c>
      <c r="G12386" s="2">
        <v>0</v>
      </c>
      <c r="H12386" s="1" t="s">
        <v>0</v>
      </c>
      <c r="I12386" s="2">
        <v>0</v>
      </c>
      <c r="J12386" s="1">
        <v>45944.656585648147</v>
      </c>
    </row>
    <row r="12387" spans="1:10" x14ac:dyDescent="0.2">
      <c r="A12387" s="4" t="s">
        <v>1</v>
      </c>
      <c r="B1238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87" s="3" t="str">
        <f>HYPERLINK("https://otsuka-europe-crm.veevavault.com/ui/#object/sent_email__v/VBLZ025E82HKH2Y", "SE-000287421")</f>
        <v>SE-000287421</v>
      </c>
      <c r="D12387" s="1" t="s">
        <v>0</v>
      </c>
      <c r="E12387" s="2">
        <v>0</v>
      </c>
      <c r="F12387" s="2">
        <v>0</v>
      </c>
      <c r="G12387" s="2">
        <v>0</v>
      </c>
      <c r="H12387" s="1" t="s">
        <v>0</v>
      </c>
      <c r="I12387" s="2">
        <v>0</v>
      </c>
      <c r="J12387" s="1">
        <v>45944.656655092593</v>
      </c>
    </row>
    <row r="12388" spans="1:10" x14ac:dyDescent="0.2">
      <c r="A12388" s="4" t="s">
        <v>1</v>
      </c>
      <c r="B1238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88" s="3" t="str">
        <f>HYPERLINK("https://otsuka-europe-crm.veevavault.com/ui/#object/sent_email__v/VBLZ025E82HKH2Z", "SE-000287422")</f>
        <v>SE-000287422</v>
      </c>
      <c r="D12388" s="1" t="s">
        <v>0</v>
      </c>
      <c r="E12388" s="2">
        <v>0</v>
      </c>
      <c r="F12388" s="2">
        <v>0</v>
      </c>
      <c r="G12388" s="2">
        <v>0</v>
      </c>
      <c r="H12388" s="1" t="s">
        <v>0</v>
      </c>
      <c r="I12388" s="2">
        <v>0</v>
      </c>
      <c r="J12388" s="1">
        <v>45944.656770833331</v>
      </c>
    </row>
    <row r="12389" spans="1:10" x14ac:dyDescent="0.2">
      <c r="A12389" s="4" t="s">
        <v>1</v>
      </c>
      <c r="B1238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89" s="3" t="str">
        <f>HYPERLINK("https://otsuka-europe-crm.veevavault.com/ui/#object/sent_email__v/VBLZ025E82HKH30", "SE-000287423")</f>
        <v>SE-000287423</v>
      </c>
      <c r="D12389" s="1">
        <v>45944.925000000003</v>
      </c>
      <c r="E12389" s="2">
        <v>1</v>
      </c>
      <c r="F12389" s="2">
        <v>1</v>
      </c>
      <c r="G12389" s="2">
        <v>0</v>
      </c>
      <c r="H12389" s="1" t="s">
        <v>0</v>
      </c>
      <c r="I12389" s="2">
        <v>0</v>
      </c>
      <c r="J12389" s="1">
        <v>45944.656631944446</v>
      </c>
    </row>
    <row r="12390" spans="1:10" x14ac:dyDescent="0.2">
      <c r="A12390" s="4" t="s">
        <v>1</v>
      </c>
      <c r="B1239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90" s="3" t="str">
        <f>HYPERLINK("https://otsuka-europe-crm.veevavault.com/ui/#object/sent_email__v/VBLZ025E82HKH31", "SE-000287424")</f>
        <v>SE-000287424</v>
      </c>
      <c r="D12390" s="1" t="s">
        <v>0</v>
      </c>
      <c r="E12390" s="2">
        <v>0</v>
      </c>
      <c r="F12390" s="2">
        <v>0</v>
      </c>
      <c r="G12390" s="2">
        <v>0</v>
      </c>
      <c r="H12390" s="1" t="s">
        <v>0</v>
      </c>
      <c r="I12390" s="2">
        <v>0</v>
      </c>
      <c r="J12390" s="1">
        <v>45944.656759259262</v>
      </c>
    </row>
    <row r="12391" spans="1:10" x14ac:dyDescent="0.2">
      <c r="A12391" s="4" t="s">
        <v>1</v>
      </c>
      <c r="B1239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91" s="3" t="str">
        <f>HYPERLINK("https://otsuka-europe-crm.veevavault.com/ui/#object/sent_email__v/VBLZ025E82HKH7P", "SE-000287425")</f>
        <v>SE-000287425</v>
      </c>
      <c r="D12391" s="1" t="s">
        <v>0</v>
      </c>
      <c r="E12391" s="2">
        <v>0</v>
      </c>
      <c r="F12391" s="2">
        <v>0</v>
      </c>
      <c r="G12391" s="2">
        <v>0</v>
      </c>
      <c r="H12391" s="1" t="s">
        <v>0</v>
      </c>
      <c r="I12391" s="2">
        <v>0</v>
      </c>
      <c r="J12391" s="1">
        <v>45944.657812500001</v>
      </c>
    </row>
    <row r="12392" spans="1:10" x14ac:dyDescent="0.2">
      <c r="A12392" s="4" t="s">
        <v>1</v>
      </c>
      <c r="B1239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92" s="3" t="str">
        <f>HYPERLINK("https://otsuka-europe-crm.veevavault.com/ui/#object/sent_email__v/VBLZ025E82HKH7Q", "SE-000287426")</f>
        <v>SE-000287426</v>
      </c>
      <c r="D12392" s="1">
        <v>45947.407060185185</v>
      </c>
      <c r="E12392" s="2">
        <v>1</v>
      </c>
      <c r="F12392" s="2">
        <v>2</v>
      </c>
      <c r="G12392" s="2">
        <v>0</v>
      </c>
      <c r="H12392" s="1" t="s">
        <v>0</v>
      </c>
      <c r="I12392" s="2">
        <v>0</v>
      </c>
      <c r="J12392" s="1">
        <v>45944.657812500001</v>
      </c>
    </row>
    <row r="12393" spans="1:10" x14ac:dyDescent="0.2">
      <c r="A12393" s="4" t="s">
        <v>1</v>
      </c>
      <c r="B1239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93" s="3" t="str">
        <f>HYPERLINK("https://otsuka-europe-crm.veevavault.com/ui/#object/sent_email__v/VBLZ025E82HKH7R", "SE-000287427")</f>
        <v>SE-000287427</v>
      </c>
      <c r="D12393" s="1" t="s">
        <v>0</v>
      </c>
      <c r="E12393" s="2">
        <v>0</v>
      </c>
      <c r="F12393" s="2">
        <v>0</v>
      </c>
      <c r="G12393" s="2">
        <v>0</v>
      </c>
      <c r="H12393" s="1" t="s">
        <v>0</v>
      </c>
      <c r="I12393" s="2">
        <v>0</v>
      </c>
      <c r="J12393" s="1">
        <v>45944.657754629632</v>
      </c>
    </row>
    <row r="12394" spans="1:10" x14ac:dyDescent="0.2">
      <c r="A12394" s="4" t="s">
        <v>1</v>
      </c>
      <c r="B1239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94" s="3" t="str">
        <f>HYPERLINK("https://otsuka-europe-crm.veevavault.com/ui/#object/sent_email__v/VBLZ025E82HKH7S", "SE-000287428")</f>
        <v>SE-000287428</v>
      </c>
      <c r="D12394" s="1">
        <v>45945.700046296297</v>
      </c>
      <c r="E12394" s="2">
        <v>1</v>
      </c>
      <c r="F12394" s="2">
        <v>2</v>
      </c>
      <c r="G12394" s="2">
        <v>0</v>
      </c>
      <c r="H12394" s="1" t="s">
        <v>0</v>
      </c>
      <c r="I12394" s="2">
        <v>0</v>
      </c>
      <c r="J12394" s="1">
        <v>45944.657766203702</v>
      </c>
    </row>
    <row r="12395" spans="1:10" x14ac:dyDescent="0.2">
      <c r="A12395" s="4" t="s">
        <v>1</v>
      </c>
      <c r="B1239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95" s="3" t="str">
        <f>HYPERLINK("https://otsuka-europe-crm.veevavault.com/ui/#object/sent_email__v/VBLZ025E82HKH7T", "SE-000287429")</f>
        <v>SE-000287429</v>
      </c>
      <c r="D12395" s="1">
        <v>45944.797314814816</v>
      </c>
      <c r="E12395" s="2">
        <v>1</v>
      </c>
      <c r="F12395" s="2">
        <v>1</v>
      </c>
      <c r="G12395" s="2">
        <v>0</v>
      </c>
      <c r="H12395" s="1" t="s">
        <v>0</v>
      </c>
      <c r="I12395" s="2">
        <v>0</v>
      </c>
      <c r="J12395" s="1">
        <v>45944.657743055555</v>
      </c>
    </row>
    <row r="12396" spans="1:10" x14ac:dyDescent="0.2">
      <c r="A12396" s="4" t="s">
        <v>1</v>
      </c>
      <c r="B1239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96" s="3" t="str">
        <f>HYPERLINK("https://otsuka-europe-crm.veevavault.com/ui/#object/sent_email__v/VBLZ025E82HKH7U", "SE-000287430")</f>
        <v>SE-000287430</v>
      </c>
      <c r="D12396" s="1" t="s">
        <v>0</v>
      </c>
      <c r="E12396" s="2">
        <v>0</v>
      </c>
      <c r="F12396" s="2">
        <v>0</v>
      </c>
      <c r="G12396" s="2">
        <v>0</v>
      </c>
      <c r="H12396" s="1" t="s">
        <v>0</v>
      </c>
      <c r="I12396" s="2">
        <v>0</v>
      </c>
      <c r="J12396" s="1">
        <v>45944.657743055555</v>
      </c>
    </row>
    <row r="12397" spans="1:10" x14ac:dyDescent="0.2">
      <c r="A12397" s="4" t="s">
        <v>1</v>
      </c>
      <c r="B1239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97" s="3" t="str">
        <f>HYPERLINK("https://otsuka-europe-crm.veevavault.com/ui/#object/sent_email__v/VBLZ025E82HKH7V", "SE-000287431")</f>
        <v>SE-000287431</v>
      </c>
      <c r="D12397" s="1" t="s">
        <v>0</v>
      </c>
      <c r="E12397" s="2">
        <v>0</v>
      </c>
      <c r="F12397" s="2">
        <v>0</v>
      </c>
      <c r="G12397" s="2">
        <v>0</v>
      </c>
      <c r="H12397" s="1" t="s">
        <v>0</v>
      </c>
      <c r="I12397" s="2">
        <v>0</v>
      </c>
      <c r="J12397" s="1">
        <v>45944.657777777778</v>
      </c>
    </row>
    <row r="12398" spans="1:10" x14ac:dyDescent="0.2">
      <c r="A12398" s="4" t="s">
        <v>1</v>
      </c>
      <c r="B1239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98" s="3" t="str">
        <f>HYPERLINK("https://otsuka-europe-crm.veevavault.com/ui/#object/sent_email__v/VBLZ025E82HKH7W", "SE-000287432")</f>
        <v>SE-000287432</v>
      </c>
      <c r="D12398" s="1" t="s">
        <v>0</v>
      </c>
      <c r="E12398" s="2">
        <v>0</v>
      </c>
      <c r="F12398" s="2">
        <v>0</v>
      </c>
      <c r="G12398" s="2">
        <v>0</v>
      </c>
      <c r="H12398" s="1" t="s">
        <v>0</v>
      </c>
      <c r="I12398" s="2">
        <v>0</v>
      </c>
      <c r="J12398" s="1">
        <v>45944.657777777778</v>
      </c>
    </row>
    <row r="12399" spans="1:10" x14ac:dyDescent="0.2">
      <c r="A12399" s="4" t="s">
        <v>1</v>
      </c>
      <c r="B1239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399" s="3" t="str">
        <f>HYPERLINK("https://otsuka-europe-crm.veevavault.com/ui/#object/sent_email__v/VBLZ025E82HKH7X", "SE-000287433")</f>
        <v>SE-000287433</v>
      </c>
      <c r="D12399" s="1">
        <v>46053.799942129626</v>
      </c>
      <c r="E12399" s="2">
        <v>1</v>
      </c>
      <c r="F12399" s="2">
        <v>6</v>
      </c>
      <c r="G12399" s="2">
        <v>1</v>
      </c>
      <c r="H12399" s="1">
        <v>45944.66914351852</v>
      </c>
      <c r="I12399" s="2">
        <v>1</v>
      </c>
      <c r="J12399" s="1">
        <v>45944.657789351855</v>
      </c>
    </row>
    <row r="12400" spans="1:10" x14ac:dyDescent="0.2">
      <c r="A12400" s="4" t="s">
        <v>1</v>
      </c>
      <c r="B1240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00" s="3" t="str">
        <f>HYPERLINK("https://otsuka-europe-crm.veevavault.com/ui/#object/sent_email__v/VBLZ025E82HKH7Y", "SE-000287434")</f>
        <v>SE-000287434</v>
      </c>
      <c r="D12400" s="1">
        <v>45946.374074074076</v>
      </c>
      <c r="E12400" s="2">
        <v>1</v>
      </c>
      <c r="F12400" s="2">
        <v>1</v>
      </c>
      <c r="G12400" s="2">
        <v>0</v>
      </c>
      <c r="H12400" s="1" t="s">
        <v>0</v>
      </c>
      <c r="I12400" s="2">
        <v>0</v>
      </c>
      <c r="J12400" s="1">
        <v>45944.657800925925</v>
      </c>
    </row>
    <row r="12401" spans="1:10" x14ac:dyDescent="0.2">
      <c r="A12401" s="4" t="s">
        <v>1</v>
      </c>
      <c r="B1240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01" s="3" t="str">
        <f>HYPERLINK("https://otsuka-europe-crm.veevavault.com/ui/#object/sent_email__v/VBLZ025E82HPMED", "SE-000288580")</f>
        <v>SE-000288580</v>
      </c>
      <c r="D12401" s="1" t="s">
        <v>0</v>
      </c>
      <c r="E12401" s="2">
        <v>0</v>
      </c>
      <c r="F12401" s="2">
        <v>0</v>
      </c>
      <c r="G12401" s="2">
        <v>0</v>
      </c>
      <c r="H12401" s="1" t="s">
        <v>0</v>
      </c>
      <c r="I12401" s="2">
        <v>0</v>
      </c>
      <c r="J12401" s="1">
        <v>45950.693831018521</v>
      </c>
    </row>
    <row r="12402" spans="1:10" x14ac:dyDescent="0.2">
      <c r="A12402" s="4" t="s">
        <v>1</v>
      </c>
      <c r="B1240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02" s="3" t="str">
        <f>HYPERLINK("https://otsuka-europe-crm.veevavault.com/ui/#object/sent_email__v/VBLZ025E82HPMEE", "SE-000288581")</f>
        <v>SE-000288581</v>
      </c>
      <c r="D12402" s="1" t="s">
        <v>0</v>
      </c>
      <c r="E12402" s="2">
        <v>0</v>
      </c>
      <c r="F12402" s="2">
        <v>0</v>
      </c>
      <c r="G12402" s="2">
        <v>0</v>
      </c>
      <c r="H12402" s="1" t="s">
        <v>0</v>
      </c>
      <c r="I12402" s="2">
        <v>0</v>
      </c>
      <c r="J12402" s="1">
        <v>45950.693819444445</v>
      </c>
    </row>
    <row r="12403" spans="1:10" x14ac:dyDescent="0.2">
      <c r="A12403" s="4" t="s">
        <v>1</v>
      </c>
      <c r="B1240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03" s="3" t="str">
        <f>HYPERLINK("https://otsuka-europe-crm.veevavault.com/ui/#object/sent_email__v/VBLZ025E82HPMEF", "SE-000288582")</f>
        <v>SE-000288582</v>
      </c>
      <c r="D12403" s="1" t="s">
        <v>0</v>
      </c>
      <c r="E12403" s="2">
        <v>0</v>
      </c>
      <c r="F12403" s="2">
        <v>0</v>
      </c>
      <c r="G12403" s="2">
        <v>0</v>
      </c>
      <c r="H12403" s="1" t="s">
        <v>0</v>
      </c>
      <c r="I12403" s="2">
        <v>0</v>
      </c>
      <c r="J12403" s="1">
        <v>45950.693773148145</v>
      </c>
    </row>
    <row r="12404" spans="1:10" x14ac:dyDescent="0.2">
      <c r="A12404" s="4" t="s">
        <v>1</v>
      </c>
      <c r="B1240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04" s="3" t="str">
        <f>HYPERLINK("https://otsuka-europe-crm.veevavault.com/ui/#object/sent_email__v/VBLZ025E82HPMEG", "SE-000288583")</f>
        <v>SE-000288583</v>
      </c>
      <c r="D12404" s="1" t="s">
        <v>0</v>
      </c>
      <c r="E12404" s="2">
        <v>0</v>
      </c>
      <c r="F12404" s="2">
        <v>0</v>
      </c>
      <c r="G12404" s="2">
        <v>0</v>
      </c>
      <c r="H12404" s="1" t="s">
        <v>0</v>
      </c>
      <c r="I12404" s="2">
        <v>0</v>
      </c>
      <c r="J12404" s="1">
        <v>45950.693773148145</v>
      </c>
    </row>
    <row r="12405" spans="1:10" x14ac:dyDescent="0.2">
      <c r="A12405" s="4" t="s">
        <v>1</v>
      </c>
      <c r="B1240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05" s="3" t="str">
        <f>HYPERLINK("https://otsuka-europe-crm.veevavault.com/ui/#object/sent_email__v/VBLZ025E82HPMEH", "SE-000288584")</f>
        <v>SE-000288584</v>
      </c>
      <c r="D12405" s="1" t="s">
        <v>0</v>
      </c>
      <c r="E12405" s="2">
        <v>0</v>
      </c>
      <c r="F12405" s="2">
        <v>0</v>
      </c>
      <c r="G12405" s="2">
        <v>0</v>
      </c>
      <c r="H12405" s="1" t="s">
        <v>0</v>
      </c>
      <c r="I12405" s="2">
        <v>0</v>
      </c>
      <c r="J12405" s="1">
        <v>45950.693807870368</v>
      </c>
    </row>
    <row r="12406" spans="1:10" x14ac:dyDescent="0.2">
      <c r="A12406" s="4" t="s">
        <v>1</v>
      </c>
      <c r="B1240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06" s="3" t="str">
        <f>HYPERLINK("https://otsuka-europe-crm.veevavault.com/ui/#object/sent_email__v/VBLZ025E82HPMEI", "SE-000288585")</f>
        <v>SE-000288585</v>
      </c>
      <c r="D12406" s="1" t="s">
        <v>0</v>
      </c>
      <c r="E12406" s="2">
        <v>0</v>
      </c>
      <c r="F12406" s="2">
        <v>0</v>
      </c>
      <c r="G12406" s="2">
        <v>0</v>
      </c>
      <c r="H12406" s="1" t="s">
        <v>0</v>
      </c>
      <c r="I12406" s="2">
        <v>0</v>
      </c>
      <c r="J12406" s="1">
        <v>45950.693784722222</v>
      </c>
    </row>
    <row r="12407" spans="1:10" x14ac:dyDescent="0.2">
      <c r="A12407" s="4" t="s">
        <v>1</v>
      </c>
      <c r="B1240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07" s="3" t="str">
        <f>HYPERLINK("https://otsuka-europe-crm.veevavault.com/ui/#object/sent_email__v/VBLZ025E82HPMEJ", "SE-000288586")</f>
        <v>SE-000288586</v>
      </c>
      <c r="D12407" s="1" t="s">
        <v>0</v>
      </c>
      <c r="E12407" s="2">
        <v>0</v>
      </c>
      <c r="F12407" s="2">
        <v>0</v>
      </c>
      <c r="G12407" s="2">
        <v>0</v>
      </c>
      <c r="H12407" s="1" t="s">
        <v>0</v>
      </c>
      <c r="I12407" s="2">
        <v>0</v>
      </c>
      <c r="J12407" s="1">
        <v>45950.693726851852</v>
      </c>
    </row>
    <row r="12408" spans="1:10" x14ac:dyDescent="0.2">
      <c r="A12408" s="4" t="s">
        <v>1</v>
      </c>
      <c r="B1240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08" s="3" t="str">
        <f>HYPERLINK("https://otsuka-europe-crm.veevavault.com/ui/#object/sent_email__v/VBLZ025E82HPMEK", "SE-000288587")</f>
        <v>SE-000288587</v>
      </c>
      <c r="D12408" s="1" t="s">
        <v>0</v>
      </c>
      <c r="E12408" s="2">
        <v>0</v>
      </c>
      <c r="F12408" s="2">
        <v>0</v>
      </c>
      <c r="G12408" s="2">
        <v>0</v>
      </c>
      <c r="H12408" s="1" t="s">
        <v>0</v>
      </c>
      <c r="I12408" s="2">
        <v>0</v>
      </c>
      <c r="J12408" s="1">
        <v>45950.693726851852</v>
      </c>
    </row>
    <row r="12409" spans="1:10" x14ac:dyDescent="0.2">
      <c r="A12409" s="4" t="s">
        <v>1</v>
      </c>
      <c r="B1240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09" s="3" t="str">
        <f>HYPERLINK("https://otsuka-europe-crm.veevavault.com/ui/#object/sent_email__v/VBLZ025E82HPMEL", "SE-000288588")</f>
        <v>SE-000288588</v>
      </c>
      <c r="D12409" s="1" t="s">
        <v>0</v>
      </c>
      <c r="E12409" s="2">
        <v>0</v>
      </c>
      <c r="F12409" s="2">
        <v>0</v>
      </c>
      <c r="G12409" s="2">
        <v>0</v>
      </c>
      <c r="H12409" s="1" t="s">
        <v>0</v>
      </c>
      <c r="I12409" s="2">
        <v>0</v>
      </c>
      <c r="J12409" s="1">
        <v>45950.693726851852</v>
      </c>
    </row>
    <row r="12410" spans="1:10" x14ac:dyDescent="0.2">
      <c r="A12410" s="4" t="s">
        <v>1</v>
      </c>
      <c r="B1241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10" s="3" t="str">
        <f>HYPERLINK("https://otsuka-europe-crm.veevavault.com/ui/#object/sent_email__v/VBLZ025E82HPMEM", "SE-000288589")</f>
        <v>SE-000288589</v>
      </c>
      <c r="D12410" s="1" t="s">
        <v>0</v>
      </c>
      <c r="E12410" s="2">
        <v>0</v>
      </c>
      <c r="F12410" s="2">
        <v>0</v>
      </c>
      <c r="G12410" s="2">
        <v>0</v>
      </c>
      <c r="H12410" s="1" t="s">
        <v>0</v>
      </c>
      <c r="I12410" s="2">
        <v>0</v>
      </c>
      <c r="J12410" s="1">
        <v>45950.693726851852</v>
      </c>
    </row>
    <row r="12411" spans="1:10" x14ac:dyDescent="0.2">
      <c r="A12411" s="4" t="s">
        <v>1</v>
      </c>
      <c r="B1241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11" s="3" t="str">
        <f>HYPERLINK("https://otsuka-europe-crm.veevavault.com/ui/#object/sent_email__v/VBLZ025E82HPMEN", "SE-000288590")</f>
        <v>SE-000288590</v>
      </c>
      <c r="D12411" s="1">
        <v>45971.014953703707</v>
      </c>
      <c r="E12411" s="2">
        <v>1</v>
      </c>
      <c r="F12411" s="2">
        <v>1</v>
      </c>
      <c r="G12411" s="2">
        <v>0</v>
      </c>
      <c r="H12411" s="1" t="s">
        <v>0</v>
      </c>
      <c r="I12411" s="2">
        <v>0</v>
      </c>
      <c r="J12411" s="1">
        <v>45950.693738425929</v>
      </c>
    </row>
    <row r="12412" spans="1:10" x14ac:dyDescent="0.2">
      <c r="A12412" s="4" t="s">
        <v>1</v>
      </c>
      <c r="B1241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12" s="3" t="str">
        <f>HYPERLINK("https://otsuka-europe-crm.veevavault.com/ui/#object/sent_email__v/VBLZ025E82HPMEO", "SE-000288591")</f>
        <v>SE-000288591</v>
      </c>
      <c r="D12412" s="1">
        <v>45979.868703703702</v>
      </c>
      <c r="E12412" s="2">
        <v>1</v>
      </c>
      <c r="F12412" s="2">
        <v>2</v>
      </c>
      <c r="G12412" s="2">
        <v>0</v>
      </c>
      <c r="H12412" s="1" t="s">
        <v>0</v>
      </c>
      <c r="I12412" s="2">
        <v>0</v>
      </c>
      <c r="J12412" s="1">
        <v>45950.693738425929</v>
      </c>
    </row>
    <row r="12413" spans="1:10" x14ac:dyDescent="0.2">
      <c r="A12413" s="4" t="s">
        <v>1</v>
      </c>
      <c r="B1241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13" s="3" t="str">
        <f>HYPERLINK("https://otsuka-europe-crm.veevavault.com/ui/#object/sent_email__v/VBLZ025E82HPMEP", "SE-000288592")</f>
        <v>SE-000288592</v>
      </c>
      <c r="D12413" s="1" t="s">
        <v>0</v>
      </c>
      <c r="E12413" s="2">
        <v>0</v>
      </c>
      <c r="F12413" s="2">
        <v>0</v>
      </c>
      <c r="G12413" s="2">
        <v>0</v>
      </c>
      <c r="H12413" s="1" t="s">
        <v>0</v>
      </c>
      <c r="I12413" s="2">
        <v>0</v>
      </c>
      <c r="J12413" s="1">
        <v>45950.693749999999</v>
      </c>
    </row>
    <row r="12414" spans="1:10" x14ac:dyDescent="0.2">
      <c r="A12414" s="4" t="s">
        <v>1</v>
      </c>
      <c r="B1241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14" s="3" t="str">
        <f>HYPERLINK("https://otsuka-europe-crm.veevavault.com/ui/#object/sent_email__v/VBLZ025E82HPMEQ", "SE-000288593")</f>
        <v>SE-000288593</v>
      </c>
      <c r="D12414" s="1" t="s">
        <v>0</v>
      </c>
      <c r="E12414" s="2">
        <v>0</v>
      </c>
      <c r="F12414" s="2">
        <v>0</v>
      </c>
      <c r="G12414" s="2">
        <v>0</v>
      </c>
      <c r="H12414" s="1" t="s">
        <v>0</v>
      </c>
      <c r="I12414" s="2">
        <v>0</v>
      </c>
      <c r="J12414" s="1">
        <v>45950.693773148145</v>
      </c>
    </row>
    <row r="12415" spans="1:10" x14ac:dyDescent="0.2">
      <c r="A12415" s="4" t="s">
        <v>1</v>
      </c>
      <c r="B1241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15" s="3" t="str">
        <f>HYPERLINK("https://otsuka-europe-crm.veevavault.com/ui/#object/sent_email__v/VBLZ025E82HPMPH", "SE-000288594")</f>
        <v>SE-000288594</v>
      </c>
      <c r="D12415" s="1" t="s">
        <v>0</v>
      </c>
      <c r="E12415" s="2">
        <v>0</v>
      </c>
      <c r="F12415" s="2">
        <v>0</v>
      </c>
      <c r="G12415" s="2">
        <v>0</v>
      </c>
      <c r="H12415" s="1" t="s">
        <v>0</v>
      </c>
      <c r="I12415" s="2">
        <v>0</v>
      </c>
      <c r="J12415" s="1">
        <v>45950.694837962961</v>
      </c>
    </row>
    <row r="12416" spans="1:10" x14ac:dyDescent="0.2">
      <c r="A12416" s="4" t="s">
        <v>1</v>
      </c>
      <c r="B1241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16" s="3" t="str">
        <f>HYPERLINK("https://otsuka-europe-crm.veevavault.com/ui/#object/sent_email__v/VBLZ025E82HPMPI", "SE-000288595")</f>
        <v>SE-000288595</v>
      </c>
      <c r="D12416" s="1" t="s">
        <v>0</v>
      </c>
      <c r="E12416" s="2">
        <v>0</v>
      </c>
      <c r="F12416" s="2">
        <v>0</v>
      </c>
      <c r="G12416" s="2">
        <v>0</v>
      </c>
      <c r="H12416" s="1" t="s">
        <v>0</v>
      </c>
      <c r="I12416" s="2">
        <v>0</v>
      </c>
      <c r="J12416" s="1">
        <v>45950.694861111115</v>
      </c>
    </row>
    <row r="12417" spans="1:10" x14ac:dyDescent="0.2">
      <c r="A12417" s="4" t="s">
        <v>1</v>
      </c>
      <c r="B1241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17" s="3" t="str">
        <f>HYPERLINK("https://otsuka-europe-crm.veevavault.com/ui/#object/sent_email__v/VBLZ025E82HPMPJ", "SE-000288596")</f>
        <v>SE-000288596</v>
      </c>
      <c r="D12417" s="1">
        <v>45951.420868055553</v>
      </c>
      <c r="E12417" s="2">
        <v>1</v>
      </c>
      <c r="F12417" s="2">
        <v>1</v>
      </c>
      <c r="G12417" s="2">
        <v>0</v>
      </c>
      <c r="H12417" s="1" t="s">
        <v>0</v>
      </c>
      <c r="I12417" s="2">
        <v>0</v>
      </c>
      <c r="J12417" s="1">
        <v>45950.694803240738</v>
      </c>
    </row>
    <row r="12418" spans="1:10" x14ac:dyDescent="0.2">
      <c r="A12418" s="4" t="s">
        <v>1</v>
      </c>
      <c r="B1241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18" s="3" t="str">
        <f>HYPERLINK("https://otsuka-europe-crm.veevavault.com/ui/#object/sent_email__v/VBLZ025E82HPMPK", "SE-000288597")</f>
        <v>SE-000288597</v>
      </c>
      <c r="D12418" s="1" t="s">
        <v>0</v>
      </c>
      <c r="E12418" s="2">
        <v>0</v>
      </c>
      <c r="F12418" s="2">
        <v>0</v>
      </c>
      <c r="G12418" s="2">
        <v>0</v>
      </c>
      <c r="H12418" s="1" t="s">
        <v>0</v>
      </c>
      <c r="I12418" s="2">
        <v>0</v>
      </c>
      <c r="J12418" s="1">
        <v>45950.694803240738</v>
      </c>
    </row>
    <row r="12419" spans="1:10" x14ac:dyDescent="0.2">
      <c r="A12419" s="4" t="s">
        <v>1</v>
      </c>
      <c r="B1241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19" s="3" t="str">
        <f>HYPERLINK("https://otsuka-europe-crm.veevavault.com/ui/#object/sent_email__v/VBLZ025E82HPMPL", "SE-000288598")</f>
        <v>SE-000288598</v>
      </c>
      <c r="D12419" s="1" t="s">
        <v>0</v>
      </c>
      <c r="E12419" s="2">
        <v>0</v>
      </c>
      <c r="F12419" s="2">
        <v>0</v>
      </c>
      <c r="G12419" s="2">
        <v>0</v>
      </c>
      <c r="H12419" s="1" t="s">
        <v>0</v>
      </c>
      <c r="I12419" s="2">
        <v>0</v>
      </c>
      <c r="J12419" s="1">
        <v>45950.694861111115</v>
      </c>
    </row>
    <row r="12420" spans="1:10" x14ac:dyDescent="0.2">
      <c r="A12420" s="4" t="s">
        <v>1</v>
      </c>
      <c r="B1242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20" s="3" t="str">
        <f>HYPERLINK("https://otsuka-europe-crm.veevavault.com/ui/#object/sent_email__v/VBLZ025E82HPMPM", "SE-000288599")</f>
        <v>SE-000288599</v>
      </c>
      <c r="D12420" s="1">
        <v>45972.417673611111</v>
      </c>
      <c r="E12420" s="2">
        <v>1</v>
      </c>
      <c r="F12420" s="2">
        <v>2</v>
      </c>
      <c r="G12420" s="2">
        <v>0</v>
      </c>
      <c r="H12420" s="1" t="s">
        <v>0</v>
      </c>
      <c r="I12420" s="2">
        <v>0</v>
      </c>
      <c r="J12420" s="1">
        <v>45950.694872685184</v>
      </c>
    </row>
    <row r="12421" spans="1:10" x14ac:dyDescent="0.2">
      <c r="A12421" s="4" t="s">
        <v>1</v>
      </c>
      <c r="B1242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21" s="3" t="str">
        <f>HYPERLINK("https://otsuka-europe-crm.veevavault.com/ui/#object/sent_email__v/VBLZ025E82HPMPN", "SE-000288600")</f>
        <v>SE-000288600</v>
      </c>
      <c r="D12421" s="1" t="s">
        <v>0</v>
      </c>
      <c r="E12421" s="2">
        <v>0</v>
      </c>
      <c r="F12421" s="2">
        <v>0</v>
      </c>
      <c r="G12421" s="2">
        <v>0</v>
      </c>
      <c r="H12421" s="1" t="s">
        <v>0</v>
      </c>
      <c r="I12421" s="2">
        <v>0</v>
      </c>
      <c r="J12421" s="1">
        <v>45950.694872685184</v>
      </c>
    </row>
    <row r="12422" spans="1:10" x14ac:dyDescent="0.2">
      <c r="A12422" s="4" t="s">
        <v>1</v>
      </c>
      <c r="B1242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22" s="3" t="str">
        <f>HYPERLINK("https://otsuka-europe-crm.veevavault.com/ui/#object/sent_email__v/VBLZ025E82HPMPO", "SE-000288601")</f>
        <v>SE-000288601</v>
      </c>
      <c r="D12422" s="1" t="s">
        <v>0</v>
      </c>
      <c r="E12422" s="2">
        <v>0</v>
      </c>
      <c r="F12422" s="2">
        <v>0</v>
      </c>
      <c r="G12422" s="2">
        <v>0</v>
      </c>
      <c r="H12422" s="1" t="s">
        <v>0</v>
      </c>
      <c r="I12422" s="2">
        <v>0</v>
      </c>
      <c r="J12422" s="1">
        <v>45950.694803240738</v>
      </c>
    </row>
    <row r="12423" spans="1:10" x14ac:dyDescent="0.2">
      <c r="A12423" s="4" t="s">
        <v>1</v>
      </c>
      <c r="B1242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23" s="3" t="str">
        <f>HYPERLINK("https://otsuka-europe-crm.veevavault.com/ui/#object/sent_email__v/VBLZ025E82HPMPP", "SE-000288602")</f>
        <v>SE-000288602</v>
      </c>
      <c r="D12423" s="1" t="s">
        <v>0</v>
      </c>
      <c r="E12423" s="2">
        <v>0</v>
      </c>
      <c r="F12423" s="2">
        <v>0</v>
      </c>
      <c r="G12423" s="2">
        <v>0</v>
      </c>
      <c r="H12423" s="1" t="s">
        <v>0</v>
      </c>
      <c r="I12423" s="2">
        <v>0</v>
      </c>
      <c r="J12423" s="1">
        <v>45950.694826388892</v>
      </c>
    </row>
    <row r="12424" spans="1:10" x14ac:dyDescent="0.2">
      <c r="A12424" s="4" t="s">
        <v>1</v>
      </c>
      <c r="B1242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24" s="3" t="str">
        <f>HYPERLINK("https://otsuka-europe-crm.veevavault.com/ui/#object/sent_email__v/VBLZ025E82HPMPQ", "SE-000288603")</f>
        <v>SE-000288603</v>
      </c>
      <c r="D12424" s="1">
        <v>45978.078020833331</v>
      </c>
      <c r="E12424" s="2">
        <v>1</v>
      </c>
      <c r="F12424" s="2">
        <v>3</v>
      </c>
      <c r="G12424" s="2">
        <v>1</v>
      </c>
      <c r="H12424" s="1">
        <v>46001.674560185187</v>
      </c>
      <c r="I12424" s="2">
        <v>7</v>
      </c>
      <c r="J12424" s="1">
        <v>45950.694826388892</v>
      </c>
    </row>
    <row r="12425" spans="1:10" x14ac:dyDescent="0.2">
      <c r="A12425" s="4" t="s">
        <v>1</v>
      </c>
      <c r="B1242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25" s="3" t="str">
        <f>HYPERLINK("https://otsuka-europe-crm.veevavault.com/ui/#object/sent_email__v/VBLZ025E82HPNH9", "SE-000288715")</f>
        <v>SE-000288715</v>
      </c>
      <c r="D12425" s="1" t="s">
        <v>0</v>
      </c>
      <c r="E12425" s="2">
        <v>0</v>
      </c>
      <c r="F12425" s="2">
        <v>0</v>
      </c>
      <c r="G12425" s="2">
        <v>0</v>
      </c>
      <c r="H12425" s="1" t="s">
        <v>0</v>
      </c>
      <c r="I12425" s="2">
        <v>0</v>
      </c>
      <c r="J12425" s="1">
        <v>45950.701458333337</v>
      </c>
    </row>
    <row r="12426" spans="1:10" x14ac:dyDescent="0.2">
      <c r="A12426" s="4" t="s">
        <v>1</v>
      </c>
      <c r="B1242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26" s="3" t="str">
        <f>HYPERLINK("https://otsuka-europe-crm.veevavault.com/ui/#object/sent_email__v/VBLZ025E82HPNMT", "SE-000288716")</f>
        <v>SE-000288716</v>
      </c>
      <c r="D12426" s="1" t="s">
        <v>0</v>
      </c>
      <c r="E12426" s="2">
        <v>0</v>
      </c>
      <c r="F12426" s="2">
        <v>0</v>
      </c>
      <c r="G12426" s="2">
        <v>0</v>
      </c>
      <c r="H12426" s="1" t="s">
        <v>0</v>
      </c>
      <c r="I12426" s="2">
        <v>0</v>
      </c>
      <c r="J12426" s="1">
        <v>45950.702106481483</v>
      </c>
    </row>
    <row r="12427" spans="1:10" x14ac:dyDescent="0.2">
      <c r="A12427" s="4" t="s">
        <v>1</v>
      </c>
      <c r="B1242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27" s="3" t="str">
        <f>HYPERLINK("https://otsuka-europe-crm.veevavault.com/ui/#object/sent_email__v/VBLZ025E82HQNFP", "SE-000289480")</f>
        <v>SE-000289480</v>
      </c>
      <c r="D12427" s="1" t="s">
        <v>0</v>
      </c>
      <c r="E12427" s="2">
        <v>0</v>
      </c>
      <c r="F12427" s="2">
        <v>0</v>
      </c>
      <c r="G12427" s="2">
        <v>0</v>
      </c>
      <c r="H12427" s="1" t="s">
        <v>0</v>
      </c>
      <c r="I12427" s="2">
        <v>0</v>
      </c>
      <c r="J12427" s="1">
        <v>45951.668449074074</v>
      </c>
    </row>
    <row r="12428" spans="1:10" x14ac:dyDescent="0.2">
      <c r="A12428" s="4" t="s">
        <v>1</v>
      </c>
      <c r="B1242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28" s="3" t="str">
        <f>HYPERLINK("https://otsuka-europe-crm.veevavault.com/ui/#object/sent_email__v/VBLZ025E82HQNFQ", "SE-000289481")</f>
        <v>SE-000289481</v>
      </c>
      <c r="D12428" s="1" t="s">
        <v>0</v>
      </c>
      <c r="E12428" s="2">
        <v>0</v>
      </c>
      <c r="F12428" s="2">
        <v>0</v>
      </c>
      <c r="G12428" s="2">
        <v>0</v>
      </c>
      <c r="H12428" s="1" t="s">
        <v>0</v>
      </c>
      <c r="I12428" s="2">
        <v>0</v>
      </c>
      <c r="J12428" s="1">
        <v>45951.66846064815</v>
      </c>
    </row>
    <row r="12429" spans="1:10" x14ac:dyDescent="0.2">
      <c r="A12429" s="4" t="s">
        <v>1</v>
      </c>
      <c r="B1242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29" s="3" t="str">
        <f>HYPERLINK("https://otsuka-europe-crm.veevavault.com/ui/#object/sent_email__v/VBLZ025E82HQNFR", "SE-000289482")</f>
        <v>SE-000289482</v>
      </c>
      <c r="D12429" s="1" t="s">
        <v>0</v>
      </c>
      <c r="E12429" s="2">
        <v>0</v>
      </c>
      <c r="F12429" s="2">
        <v>0</v>
      </c>
      <c r="G12429" s="2">
        <v>0</v>
      </c>
      <c r="H12429" s="1" t="s">
        <v>0</v>
      </c>
      <c r="I12429" s="2">
        <v>0</v>
      </c>
      <c r="J12429" s="1">
        <v>45951.66847222222</v>
      </c>
    </row>
    <row r="12430" spans="1:10" x14ac:dyDescent="0.2">
      <c r="A12430" s="4" t="s">
        <v>1</v>
      </c>
      <c r="B1243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30" s="3" t="str">
        <f>HYPERLINK("https://otsuka-europe-crm.veevavault.com/ui/#object/sent_email__v/VBLZ025E82HQNFS", "SE-000289483")</f>
        <v>SE-000289483</v>
      </c>
      <c r="D12430" s="1" t="s">
        <v>0</v>
      </c>
      <c r="E12430" s="2">
        <v>0</v>
      </c>
      <c r="F12430" s="2">
        <v>0</v>
      </c>
      <c r="G12430" s="2">
        <v>0</v>
      </c>
      <c r="H12430" s="1" t="s">
        <v>0</v>
      </c>
      <c r="I12430" s="2">
        <v>0</v>
      </c>
      <c r="J12430" s="1">
        <v>45951.668483796297</v>
      </c>
    </row>
    <row r="12431" spans="1:10" x14ac:dyDescent="0.2">
      <c r="A12431" s="4" t="s">
        <v>1</v>
      </c>
      <c r="B1243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31" s="3" t="str">
        <f>HYPERLINK("https://otsuka-europe-crm.veevavault.com/ui/#object/sent_email__v/VBLZ025E82HQNFT", "SE-000289484")</f>
        <v>SE-000289484</v>
      </c>
      <c r="D12431" s="1" t="s">
        <v>0</v>
      </c>
      <c r="E12431" s="2">
        <v>0</v>
      </c>
      <c r="F12431" s="2">
        <v>0</v>
      </c>
      <c r="G12431" s="2">
        <v>0</v>
      </c>
      <c r="H12431" s="1" t="s">
        <v>0</v>
      </c>
      <c r="I12431" s="2">
        <v>0</v>
      </c>
      <c r="J12431" s="1">
        <v>45951.668495370373</v>
      </c>
    </row>
    <row r="12432" spans="1:10" x14ac:dyDescent="0.2">
      <c r="A12432" s="4" t="s">
        <v>1</v>
      </c>
      <c r="B1243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32" s="3" t="str">
        <f>HYPERLINK("https://otsuka-europe-crm.veevavault.com/ui/#object/sent_email__v/VBLZ025E82HQNFU", "SE-000289485")</f>
        <v>SE-000289485</v>
      </c>
      <c r="D12432" s="1" t="s">
        <v>0</v>
      </c>
      <c r="E12432" s="2">
        <v>0</v>
      </c>
      <c r="F12432" s="2">
        <v>0</v>
      </c>
      <c r="G12432" s="2">
        <v>0</v>
      </c>
      <c r="H12432" s="1" t="s">
        <v>0</v>
      </c>
      <c r="I12432" s="2">
        <v>0</v>
      </c>
      <c r="J12432" s="1">
        <v>45951.668495370373</v>
      </c>
    </row>
    <row r="12433" spans="1:10" x14ac:dyDescent="0.2">
      <c r="A12433" s="4" t="s">
        <v>1</v>
      </c>
      <c r="B1243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33" s="3" t="str">
        <f>HYPERLINK("https://otsuka-europe-crm.veevavault.com/ui/#object/sent_email__v/VBLZ025E82HQNFV", "SE-000289486")</f>
        <v>SE-000289486</v>
      </c>
      <c r="D12433" s="1" t="s">
        <v>0</v>
      </c>
      <c r="E12433" s="2">
        <v>0</v>
      </c>
      <c r="F12433" s="2">
        <v>0</v>
      </c>
      <c r="G12433" s="2">
        <v>0</v>
      </c>
      <c r="H12433" s="1" t="s">
        <v>0</v>
      </c>
      <c r="I12433" s="2">
        <v>0</v>
      </c>
      <c r="J12433" s="1">
        <v>45951.668530092589</v>
      </c>
    </row>
    <row r="12434" spans="1:10" x14ac:dyDescent="0.2">
      <c r="A12434" s="4" t="s">
        <v>1</v>
      </c>
      <c r="B1243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34" s="3" t="str">
        <f>HYPERLINK("https://otsuka-europe-crm.veevavault.com/ui/#object/sent_email__v/VBLZ025E82HQNFW", "SE-000289487")</f>
        <v>SE-000289487</v>
      </c>
      <c r="D12434" s="1">
        <v>45951.668599537035</v>
      </c>
      <c r="E12434" s="2">
        <v>1</v>
      </c>
      <c r="F12434" s="2">
        <v>1</v>
      </c>
      <c r="G12434" s="2">
        <v>0</v>
      </c>
      <c r="H12434" s="1" t="s">
        <v>0</v>
      </c>
      <c r="I12434" s="2">
        <v>0</v>
      </c>
      <c r="J12434" s="1">
        <v>45951.66851851852</v>
      </c>
    </row>
    <row r="12435" spans="1:10" x14ac:dyDescent="0.2">
      <c r="A12435" s="4" t="s">
        <v>1</v>
      </c>
      <c r="B1243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35" s="3" t="str">
        <f>HYPERLINK("https://otsuka-europe-crm.veevavault.com/ui/#object/sent_email__v/VBLZ025E82HQNFX", "SE-000289488")</f>
        <v>SE-000289488</v>
      </c>
      <c r="D12435" s="1" t="s">
        <v>0</v>
      </c>
      <c r="E12435" s="2">
        <v>0</v>
      </c>
      <c r="F12435" s="2">
        <v>0</v>
      </c>
      <c r="G12435" s="2">
        <v>0</v>
      </c>
      <c r="H12435" s="1" t="s">
        <v>0</v>
      </c>
      <c r="I12435" s="2">
        <v>0</v>
      </c>
      <c r="J12435" s="1">
        <v>45951.668541666666</v>
      </c>
    </row>
    <row r="12436" spans="1:10" x14ac:dyDescent="0.2">
      <c r="A12436" s="4" t="s">
        <v>1</v>
      </c>
      <c r="B1243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36" s="3" t="str">
        <f>HYPERLINK("https://otsuka-europe-crm.veevavault.com/ui/#object/sent_email__v/VBLZ025E82HQNFY", "SE-000289489")</f>
        <v>SE-000289489</v>
      </c>
      <c r="D12436" s="1" t="s">
        <v>0</v>
      </c>
      <c r="E12436" s="2">
        <v>0</v>
      </c>
      <c r="F12436" s="2">
        <v>0</v>
      </c>
      <c r="G12436" s="2">
        <v>0</v>
      </c>
      <c r="H12436" s="1" t="s">
        <v>0</v>
      </c>
      <c r="I12436" s="2">
        <v>0</v>
      </c>
      <c r="J12436" s="1">
        <v>45951.668553240743</v>
      </c>
    </row>
    <row r="12437" spans="1:10" x14ac:dyDescent="0.2">
      <c r="A12437" s="4" t="s">
        <v>1</v>
      </c>
      <c r="B1243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37" s="3" t="str">
        <f>HYPERLINK("https://otsuka-europe-crm.veevavault.com/ui/#object/sent_email__v/VBLZ025E82HQNFZ", "SE-000289490")</f>
        <v>SE-000289490</v>
      </c>
      <c r="D12437" s="1" t="s">
        <v>0</v>
      </c>
      <c r="E12437" s="2">
        <v>0</v>
      </c>
      <c r="F12437" s="2">
        <v>0</v>
      </c>
      <c r="G12437" s="2">
        <v>0</v>
      </c>
      <c r="H12437" s="1" t="s">
        <v>0</v>
      </c>
      <c r="I12437" s="2">
        <v>0</v>
      </c>
      <c r="J12437" s="1">
        <v>45951.668553240743</v>
      </c>
    </row>
    <row r="12438" spans="1:10" x14ac:dyDescent="0.2">
      <c r="A12438" s="4" t="s">
        <v>1</v>
      </c>
      <c r="B1243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38" s="3" t="str">
        <f>HYPERLINK("https://otsuka-europe-crm.veevavault.com/ui/#object/sent_email__v/VBLZ025E82HQNG0", "SE-000289491")</f>
        <v>SE-000289491</v>
      </c>
      <c r="D12438" s="1" t="s">
        <v>0</v>
      </c>
      <c r="E12438" s="2">
        <v>0</v>
      </c>
      <c r="F12438" s="2">
        <v>0</v>
      </c>
      <c r="G12438" s="2">
        <v>0</v>
      </c>
      <c r="H12438" s="1" t="s">
        <v>0</v>
      </c>
      <c r="I12438" s="2">
        <v>0</v>
      </c>
      <c r="J12438" s="1">
        <v>45951.668564814812</v>
      </c>
    </row>
    <row r="12439" spans="1:10" x14ac:dyDescent="0.2">
      <c r="A12439" s="4" t="s">
        <v>1</v>
      </c>
      <c r="B1243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39" s="3" t="str">
        <f>HYPERLINK("https://otsuka-europe-crm.veevavault.com/ui/#object/sent_email__v/VBLZ025E82HQNG1", "SE-000289492")</f>
        <v>SE-000289492</v>
      </c>
      <c r="D12439" s="1" t="s">
        <v>0</v>
      </c>
      <c r="E12439" s="2">
        <v>0</v>
      </c>
      <c r="F12439" s="2">
        <v>0</v>
      </c>
      <c r="G12439" s="2">
        <v>0</v>
      </c>
      <c r="H12439" s="1" t="s">
        <v>0</v>
      </c>
      <c r="I12439" s="2">
        <v>0</v>
      </c>
      <c r="J12439" s="1">
        <v>45951.668564814812</v>
      </c>
    </row>
    <row r="12440" spans="1:10" x14ac:dyDescent="0.2">
      <c r="A12440" s="4" t="s">
        <v>1</v>
      </c>
      <c r="B1244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40" s="3" t="str">
        <f>HYPERLINK("https://otsuka-europe-crm.veevavault.com/ui/#object/sent_email__v/VBLZ025E82HQNG2", "SE-000289493")</f>
        <v>SE-000289493</v>
      </c>
      <c r="D12440" s="1" t="s">
        <v>0</v>
      </c>
      <c r="E12440" s="2">
        <v>0</v>
      </c>
      <c r="F12440" s="2">
        <v>0</v>
      </c>
      <c r="G12440" s="2">
        <v>0</v>
      </c>
      <c r="H12440" s="1" t="s">
        <v>0</v>
      </c>
      <c r="I12440" s="2">
        <v>0</v>
      </c>
      <c r="J12440" s="1">
        <v>45951.668587962966</v>
      </c>
    </row>
    <row r="12441" spans="1:10" x14ac:dyDescent="0.2">
      <c r="A12441" s="4" t="s">
        <v>1</v>
      </c>
      <c r="B1244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41" s="3" t="str">
        <f>HYPERLINK("https://otsuka-europe-crm.veevavault.com/ui/#object/sent_email__v/VBLZ025E82HQNG3", "SE-000289494")</f>
        <v>SE-000289494</v>
      </c>
      <c r="D12441" s="1" t="s">
        <v>0</v>
      </c>
      <c r="E12441" s="2">
        <v>0</v>
      </c>
      <c r="F12441" s="2">
        <v>0</v>
      </c>
      <c r="G12441" s="2">
        <v>0</v>
      </c>
      <c r="H12441" s="1" t="s">
        <v>0</v>
      </c>
      <c r="I12441" s="2">
        <v>0</v>
      </c>
      <c r="J12441" s="1">
        <v>45951.668587962966</v>
      </c>
    </row>
    <row r="12442" spans="1:10" x14ac:dyDescent="0.2">
      <c r="A12442" s="4" t="s">
        <v>1</v>
      </c>
      <c r="B1244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42" s="3" t="str">
        <f>HYPERLINK("https://otsuka-europe-crm.veevavault.com/ui/#object/sent_email__v/VBLZ025E82HQNG4", "SE-000289495")</f>
        <v>SE-000289495</v>
      </c>
      <c r="D12442" s="1" t="s">
        <v>0</v>
      </c>
      <c r="E12442" s="2">
        <v>0</v>
      </c>
      <c r="F12442" s="2">
        <v>0</v>
      </c>
      <c r="G12442" s="2">
        <v>0</v>
      </c>
      <c r="H12442" s="1" t="s">
        <v>0</v>
      </c>
      <c r="I12442" s="2">
        <v>0</v>
      </c>
      <c r="J12442" s="1">
        <v>45951.668599537035</v>
      </c>
    </row>
    <row r="12443" spans="1:10" x14ac:dyDescent="0.2">
      <c r="A12443" s="4" t="s">
        <v>1</v>
      </c>
      <c r="B1244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43" s="3" t="str">
        <f>HYPERLINK("https://otsuka-europe-crm.veevavault.com/ui/#object/sent_email__v/VBLZ025E82HQNG5", "SE-000289496")</f>
        <v>SE-000289496</v>
      </c>
      <c r="D12443" s="1" t="s">
        <v>0</v>
      </c>
      <c r="E12443" s="2">
        <v>0</v>
      </c>
      <c r="F12443" s="2">
        <v>0</v>
      </c>
      <c r="G12443" s="2">
        <v>0</v>
      </c>
      <c r="H12443" s="1" t="s">
        <v>0</v>
      </c>
      <c r="I12443" s="2">
        <v>0</v>
      </c>
      <c r="J12443" s="1">
        <v>45951.668611111112</v>
      </c>
    </row>
    <row r="12444" spans="1:10" x14ac:dyDescent="0.2">
      <c r="A12444" s="4" t="s">
        <v>1</v>
      </c>
      <c r="B1244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44" s="3" t="str">
        <f>HYPERLINK("https://otsuka-europe-crm.veevavault.com/ui/#object/sent_email__v/VBLZ025E82HQNG6", "SE-000289497")</f>
        <v>SE-000289497</v>
      </c>
      <c r="D12444" s="1" t="s">
        <v>0</v>
      </c>
      <c r="E12444" s="2">
        <v>0</v>
      </c>
      <c r="F12444" s="2">
        <v>0</v>
      </c>
      <c r="G12444" s="2">
        <v>0</v>
      </c>
      <c r="H12444" s="1" t="s">
        <v>0</v>
      </c>
      <c r="I12444" s="2">
        <v>0</v>
      </c>
      <c r="J12444" s="1">
        <v>45951.668622685182</v>
      </c>
    </row>
    <row r="12445" spans="1:10" x14ac:dyDescent="0.2">
      <c r="A12445" s="4" t="s">
        <v>1</v>
      </c>
      <c r="B1244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45" s="3" t="str">
        <f>HYPERLINK("https://otsuka-europe-crm.veevavault.com/ui/#object/sent_email__v/VBLZ025E82HQNG7", "SE-000289498")</f>
        <v>SE-000289498</v>
      </c>
      <c r="D12445" s="1" t="s">
        <v>0</v>
      </c>
      <c r="E12445" s="2">
        <v>0</v>
      </c>
      <c r="F12445" s="2">
        <v>0</v>
      </c>
      <c r="G12445" s="2">
        <v>0</v>
      </c>
      <c r="H12445" s="1" t="s">
        <v>0</v>
      </c>
      <c r="I12445" s="2">
        <v>0</v>
      </c>
      <c r="J12445" s="1">
        <v>45951.668622685182</v>
      </c>
    </row>
    <row r="12446" spans="1:10" x14ac:dyDescent="0.2">
      <c r="A12446" s="4" t="s">
        <v>1</v>
      </c>
      <c r="B1244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46" s="3" t="str">
        <f>HYPERLINK("https://otsuka-europe-crm.veevavault.com/ui/#object/sent_email__v/VBLZ025E82HQNG8", "SE-000289499")</f>
        <v>SE-000289499</v>
      </c>
      <c r="D12446" s="1" t="s">
        <v>0</v>
      </c>
      <c r="E12446" s="2">
        <v>0</v>
      </c>
      <c r="F12446" s="2">
        <v>0</v>
      </c>
      <c r="G12446" s="2">
        <v>0</v>
      </c>
      <c r="H12446" s="1" t="s">
        <v>0</v>
      </c>
      <c r="I12446" s="2">
        <v>0</v>
      </c>
      <c r="J12446" s="1">
        <v>45951.668634259258</v>
      </c>
    </row>
    <row r="12447" spans="1:10" x14ac:dyDescent="0.2">
      <c r="A12447" s="4" t="s">
        <v>1</v>
      </c>
      <c r="B1244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47" s="3" t="str">
        <f>HYPERLINK("https://otsuka-europe-crm.veevavault.com/ui/#object/sent_email__v/VBLZ025E82HQNG9", "SE-000289500")</f>
        <v>SE-000289500</v>
      </c>
      <c r="D12447" s="1" t="s">
        <v>0</v>
      </c>
      <c r="E12447" s="2">
        <v>0</v>
      </c>
      <c r="F12447" s="2">
        <v>0</v>
      </c>
      <c r="G12447" s="2">
        <v>0</v>
      </c>
      <c r="H12447" s="1" t="s">
        <v>0</v>
      </c>
      <c r="I12447" s="2">
        <v>0</v>
      </c>
      <c r="J12447" s="1">
        <v>45951.668749999997</v>
      </c>
    </row>
    <row r="12448" spans="1:10" x14ac:dyDescent="0.2">
      <c r="A12448" s="4" t="s">
        <v>1</v>
      </c>
      <c r="B1244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48" s="3" t="str">
        <f>HYPERLINK("https://otsuka-europe-crm.veevavault.com/ui/#object/sent_email__v/VBLZ025E82HQNGA", "SE-000289501")</f>
        <v>SE-000289501</v>
      </c>
      <c r="D12448" s="1" t="s">
        <v>0</v>
      </c>
      <c r="E12448" s="2">
        <v>0</v>
      </c>
      <c r="F12448" s="2">
        <v>0</v>
      </c>
      <c r="G12448" s="2">
        <v>0</v>
      </c>
      <c r="H12448" s="1" t="s">
        <v>0</v>
      </c>
      <c r="I12448" s="2">
        <v>0</v>
      </c>
      <c r="J12448" s="1">
        <v>45951.668749999997</v>
      </c>
    </row>
    <row r="12449" spans="1:10" x14ac:dyDescent="0.2">
      <c r="A12449" s="4" t="s">
        <v>1</v>
      </c>
      <c r="B1244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49" s="3" t="str">
        <f>HYPERLINK("https://otsuka-europe-crm.veevavault.com/ui/#object/sent_email__v/VBLZ025E82HQNGB", "SE-000289502")</f>
        <v>SE-000289502</v>
      </c>
      <c r="D12449" s="1" t="s">
        <v>0</v>
      </c>
      <c r="E12449" s="2">
        <v>0</v>
      </c>
      <c r="F12449" s="2">
        <v>0</v>
      </c>
      <c r="G12449" s="2">
        <v>0</v>
      </c>
      <c r="H12449" s="1" t="s">
        <v>0</v>
      </c>
      <c r="I12449" s="2">
        <v>0</v>
      </c>
      <c r="J12449" s="1">
        <v>45951.668703703705</v>
      </c>
    </row>
    <row r="12450" spans="1:10" x14ac:dyDescent="0.2">
      <c r="A12450" s="4" t="s">
        <v>1</v>
      </c>
      <c r="B1245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50" s="3" t="str">
        <f>HYPERLINK("https://otsuka-europe-crm.veevavault.com/ui/#object/sent_email__v/VBLZ025E82HQNGC", "SE-000289503")</f>
        <v>SE-000289503</v>
      </c>
      <c r="D12450" s="1" t="s">
        <v>0</v>
      </c>
      <c r="E12450" s="2">
        <v>0</v>
      </c>
      <c r="F12450" s="2">
        <v>0</v>
      </c>
      <c r="G12450" s="2">
        <v>0</v>
      </c>
      <c r="H12450" s="1" t="s">
        <v>0</v>
      </c>
      <c r="I12450" s="2">
        <v>0</v>
      </c>
      <c r="J12450" s="1">
        <v>45951.668680555558</v>
      </c>
    </row>
    <row r="12451" spans="1:10" x14ac:dyDescent="0.2">
      <c r="A12451" s="4" t="s">
        <v>1</v>
      </c>
      <c r="B1245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51" s="3" t="str">
        <f>HYPERLINK("https://otsuka-europe-crm.veevavault.com/ui/#object/sent_email__v/VBLZ025E82HQNGD", "SE-000289504")</f>
        <v>SE-000289504</v>
      </c>
      <c r="D12451" s="1" t="s">
        <v>0</v>
      </c>
      <c r="E12451" s="2">
        <v>0</v>
      </c>
      <c r="F12451" s="2">
        <v>0</v>
      </c>
      <c r="G12451" s="2">
        <v>0</v>
      </c>
      <c r="H12451" s="1" t="s">
        <v>0</v>
      </c>
      <c r="I12451" s="2">
        <v>0</v>
      </c>
      <c r="J12451" s="1">
        <v>45951.668680555558</v>
      </c>
    </row>
    <row r="12452" spans="1:10" x14ac:dyDescent="0.2">
      <c r="A12452" s="4" t="s">
        <v>1</v>
      </c>
      <c r="B1245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52" s="3" t="str">
        <f>HYPERLINK("https://otsuka-europe-crm.veevavault.com/ui/#object/sent_email__v/VBLZ025E82HQNGE", "SE-000289505")</f>
        <v>SE-000289505</v>
      </c>
      <c r="D12452" s="1" t="s">
        <v>0</v>
      </c>
      <c r="E12452" s="2">
        <v>0</v>
      </c>
      <c r="F12452" s="2">
        <v>0</v>
      </c>
      <c r="G12452" s="2">
        <v>0</v>
      </c>
      <c r="H12452" s="1" t="s">
        <v>0</v>
      </c>
      <c r="I12452" s="2">
        <v>0</v>
      </c>
      <c r="J12452" s="1">
        <v>45951.66878472222</v>
      </c>
    </row>
    <row r="12453" spans="1:10" x14ac:dyDescent="0.2">
      <c r="A12453" s="4" t="s">
        <v>1</v>
      </c>
      <c r="B1245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53" s="3" t="str">
        <f>HYPERLINK("https://otsuka-europe-crm.veevavault.com/ui/#object/sent_email__v/VBLZ025E82HQNGF", "SE-000289506")</f>
        <v>SE-000289506</v>
      </c>
      <c r="D12453" s="1">
        <v>45951.959432870368</v>
      </c>
      <c r="E12453" s="2">
        <v>1</v>
      </c>
      <c r="F12453" s="2">
        <v>1</v>
      </c>
      <c r="G12453" s="2">
        <v>0</v>
      </c>
      <c r="H12453" s="1" t="s">
        <v>0</v>
      </c>
      <c r="I12453" s="2">
        <v>0</v>
      </c>
      <c r="J12453" s="1">
        <v>45951.668749999997</v>
      </c>
    </row>
    <row r="12454" spans="1:10" x14ac:dyDescent="0.2">
      <c r="A12454" s="4" t="s">
        <v>1</v>
      </c>
      <c r="B1245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54" s="3" t="str">
        <f>HYPERLINK("https://otsuka-europe-crm.veevavault.com/ui/#object/sent_email__v/VBLZ025E82HQNGG", "SE-000289507")</f>
        <v>SE-000289507</v>
      </c>
      <c r="D12454" s="1" t="s">
        <v>0</v>
      </c>
      <c r="E12454" s="2">
        <v>0</v>
      </c>
      <c r="F12454" s="2">
        <v>0</v>
      </c>
      <c r="G12454" s="2">
        <v>0</v>
      </c>
      <c r="H12454" s="1" t="s">
        <v>0</v>
      </c>
      <c r="I12454" s="2">
        <v>0</v>
      </c>
      <c r="J12454" s="1">
        <v>45951.668749999997</v>
      </c>
    </row>
    <row r="12455" spans="1:10" x14ac:dyDescent="0.2">
      <c r="A12455" s="4" t="s">
        <v>1</v>
      </c>
      <c r="B1245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55" s="3" t="str">
        <f>HYPERLINK("https://otsuka-europe-crm.veevavault.com/ui/#object/sent_email__v/VBLZ025E82HQNGH", "SE-000289508")</f>
        <v>SE-000289508</v>
      </c>
      <c r="D12455" s="1" t="s">
        <v>0</v>
      </c>
      <c r="E12455" s="2">
        <v>0</v>
      </c>
      <c r="F12455" s="2">
        <v>0</v>
      </c>
      <c r="G12455" s="2">
        <v>0</v>
      </c>
      <c r="H12455" s="1" t="s">
        <v>0</v>
      </c>
      <c r="I12455" s="2">
        <v>0</v>
      </c>
      <c r="J12455" s="1">
        <v>45951.668773148151</v>
      </c>
    </row>
    <row r="12456" spans="1:10" x14ac:dyDescent="0.2">
      <c r="A12456" s="4" t="s">
        <v>1</v>
      </c>
      <c r="B1245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56" s="3" t="str">
        <f>HYPERLINK("https://otsuka-europe-crm.veevavault.com/ui/#object/sent_email__v/VBLZ025E82HQNGI", "SE-000289509")</f>
        <v>SE-000289509</v>
      </c>
      <c r="D12456" s="1">
        <v>45951.977002314816</v>
      </c>
      <c r="E12456" s="2">
        <v>1</v>
      </c>
      <c r="F12456" s="2">
        <v>1</v>
      </c>
      <c r="G12456" s="2">
        <v>0</v>
      </c>
      <c r="H12456" s="1" t="s">
        <v>0</v>
      </c>
      <c r="I12456" s="2">
        <v>0</v>
      </c>
      <c r="J12456" s="1">
        <v>45951.668761574074</v>
      </c>
    </row>
    <row r="12457" spans="1:10" x14ac:dyDescent="0.2">
      <c r="A12457" s="4" t="s">
        <v>1</v>
      </c>
      <c r="B1245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57" s="3" t="str">
        <f>HYPERLINK("https://otsuka-europe-crm.veevavault.com/ui/#object/sent_email__v/VBLZ025E82HQNGJ", "SE-000289510")</f>
        <v>SE-000289510</v>
      </c>
      <c r="D12457" s="1" t="s">
        <v>0</v>
      </c>
      <c r="E12457" s="2">
        <v>0</v>
      </c>
      <c r="F12457" s="2">
        <v>0</v>
      </c>
      <c r="G12457" s="2">
        <v>0</v>
      </c>
      <c r="H12457" s="1" t="s">
        <v>0</v>
      </c>
      <c r="I12457" s="2">
        <v>0</v>
      </c>
      <c r="J12457" s="1">
        <v>45951.668773148151</v>
      </c>
    </row>
    <row r="12458" spans="1:10" x14ac:dyDescent="0.2">
      <c r="A12458" s="4" t="s">
        <v>1</v>
      </c>
      <c r="B1245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58" s="3" t="str">
        <f>HYPERLINK("https://otsuka-europe-crm.veevavault.com/ui/#object/sent_email__v/VBLZ025E82HQNGK", "SE-000289511")</f>
        <v>SE-000289511</v>
      </c>
      <c r="D12458" s="1" t="s">
        <v>0</v>
      </c>
      <c r="E12458" s="2">
        <v>0</v>
      </c>
      <c r="F12458" s="2">
        <v>0</v>
      </c>
      <c r="G12458" s="2">
        <v>0</v>
      </c>
      <c r="H12458" s="1" t="s">
        <v>0</v>
      </c>
      <c r="I12458" s="2">
        <v>0</v>
      </c>
      <c r="J12458" s="1">
        <v>45951.668796296297</v>
      </c>
    </row>
    <row r="12459" spans="1:10" x14ac:dyDescent="0.2">
      <c r="A12459" s="4" t="s">
        <v>1</v>
      </c>
      <c r="B1245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59" s="3" t="str">
        <f>HYPERLINK("https://otsuka-europe-crm.veevavault.com/ui/#object/sent_email__v/VBLZ025E82HQNGL", "SE-000289512")</f>
        <v>SE-000289512</v>
      </c>
      <c r="D12459" s="1" t="s">
        <v>0</v>
      </c>
      <c r="E12459" s="2">
        <v>0</v>
      </c>
      <c r="F12459" s="2">
        <v>0</v>
      </c>
      <c r="G12459" s="2">
        <v>0</v>
      </c>
      <c r="H12459" s="1" t="s">
        <v>0</v>
      </c>
      <c r="I12459" s="2">
        <v>0</v>
      </c>
      <c r="J12459" s="1">
        <v>45951.66878472222</v>
      </c>
    </row>
    <row r="12460" spans="1:10" x14ac:dyDescent="0.2">
      <c r="A12460" s="4" t="s">
        <v>1</v>
      </c>
      <c r="B1246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60" s="3" t="str">
        <f>HYPERLINK("https://otsuka-europe-crm.veevavault.com/ui/#object/sent_email__v/VBLZ025E82HQNGM", "SE-000289513")</f>
        <v>SE-000289513</v>
      </c>
      <c r="D12460" s="1" t="s">
        <v>0</v>
      </c>
      <c r="E12460" s="2">
        <v>0</v>
      </c>
      <c r="F12460" s="2">
        <v>0</v>
      </c>
      <c r="G12460" s="2">
        <v>0</v>
      </c>
      <c r="H12460" s="1" t="s">
        <v>0</v>
      </c>
      <c r="I12460" s="2">
        <v>0</v>
      </c>
      <c r="J12460" s="1">
        <v>45951.668773148151</v>
      </c>
    </row>
    <row r="12461" spans="1:10" x14ac:dyDescent="0.2">
      <c r="A12461" s="4" t="s">
        <v>1</v>
      </c>
      <c r="B1246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61" s="3" t="str">
        <f>HYPERLINK("https://otsuka-europe-crm.veevavault.com/ui/#object/sent_email__v/VBLZ025E82HQNGN", "SE-000289514")</f>
        <v>SE-000289514</v>
      </c>
      <c r="D12461" s="1">
        <v>45951.927928240744</v>
      </c>
      <c r="E12461" s="2">
        <v>1</v>
      </c>
      <c r="F12461" s="2">
        <v>2</v>
      </c>
      <c r="G12461" s="2">
        <v>0</v>
      </c>
      <c r="H12461" s="1" t="s">
        <v>0</v>
      </c>
      <c r="I12461" s="2">
        <v>0</v>
      </c>
      <c r="J12461" s="1">
        <v>45951.66878472222</v>
      </c>
    </row>
    <row r="12462" spans="1:10" x14ac:dyDescent="0.2">
      <c r="A12462" s="4" t="s">
        <v>1</v>
      </c>
      <c r="B1246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62" s="3" t="str">
        <f>HYPERLINK("https://otsuka-europe-crm.veevavault.com/ui/#object/sent_email__v/VBLZ025E82HQNGO", "SE-000289515")</f>
        <v>SE-000289515</v>
      </c>
      <c r="D12462" s="1" t="s">
        <v>0</v>
      </c>
      <c r="E12462" s="2">
        <v>0</v>
      </c>
      <c r="F12462" s="2">
        <v>0</v>
      </c>
      <c r="G12462" s="2">
        <v>0</v>
      </c>
      <c r="H12462" s="1" t="s">
        <v>0</v>
      </c>
      <c r="I12462" s="2">
        <v>0</v>
      </c>
      <c r="J12462" s="1">
        <v>45951.668796296297</v>
      </c>
    </row>
    <row r="12463" spans="1:10" x14ac:dyDescent="0.2">
      <c r="A12463" s="4" t="s">
        <v>1</v>
      </c>
      <c r="B1246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63" s="3" t="str">
        <f>HYPERLINK("https://otsuka-europe-crm.veevavault.com/ui/#object/sent_email__v/VBLZ025E82HQNGP", "SE-000289516")</f>
        <v>SE-000289516</v>
      </c>
      <c r="D12463" s="1" t="s">
        <v>0</v>
      </c>
      <c r="E12463" s="2">
        <v>0</v>
      </c>
      <c r="F12463" s="2">
        <v>0</v>
      </c>
      <c r="G12463" s="2">
        <v>0</v>
      </c>
      <c r="H12463" s="1" t="s">
        <v>0</v>
      </c>
      <c r="I12463" s="2">
        <v>0</v>
      </c>
      <c r="J12463" s="1">
        <v>45951.668807870374</v>
      </c>
    </row>
    <row r="12464" spans="1:10" x14ac:dyDescent="0.2">
      <c r="A12464" s="4" t="s">
        <v>1</v>
      </c>
      <c r="B1246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64" s="3" t="str">
        <f>HYPERLINK("https://otsuka-europe-crm.veevavault.com/ui/#object/sent_email__v/VBLZ025E82HQNGQ", "SE-000289517")</f>
        <v>SE-000289517</v>
      </c>
      <c r="D12464" s="1">
        <v>45951.668946759259</v>
      </c>
      <c r="E12464" s="2">
        <v>1</v>
      </c>
      <c r="F12464" s="2">
        <v>1</v>
      </c>
      <c r="G12464" s="2">
        <v>0</v>
      </c>
      <c r="H12464" s="1" t="s">
        <v>0</v>
      </c>
      <c r="I12464" s="2">
        <v>0</v>
      </c>
      <c r="J12464" s="1">
        <v>45951.668819444443</v>
      </c>
    </row>
    <row r="12465" spans="1:10" x14ac:dyDescent="0.2">
      <c r="A12465" s="4" t="s">
        <v>1</v>
      </c>
      <c r="B1246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65" s="3" t="str">
        <f>HYPERLINK("https://otsuka-europe-crm.veevavault.com/ui/#object/sent_email__v/VBLZ025E82HQNGR", "SE-000289518")</f>
        <v>SE-000289518</v>
      </c>
      <c r="D12465" s="1" t="s">
        <v>0</v>
      </c>
      <c r="E12465" s="2">
        <v>0</v>
      </c>
      <c r="F12465" s="2">
        <v>0</v>
      </c>
      <c r="G12465" s="2">
        <v>0</v>
      </c>
      <c r="H12465" s="1" t="s">
        <v>0</v>
      </c>
      <c r="I12465" s="2">
        <v>0</v>
      </c>
      <c r="J12465" s="1">
        <v>45951.66883101852</v>
      </c>
    </row>
    <row r="12466" spans="1:10" x14ac:dyDescent="0.2">
      <c r="A12466" s="4" t="s">
        <v>1</v>
      </c>
      <c r="B1246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66" s="3" t="str">
        <f>HYPERLINK("https://otsuka-europe-crm.veevavault.com/ui/#object/sent_email__v/VBLZ025E82HQNGS", "SE-000289519")</f>
        <v>SE-000289519</v>
      </c>
      <c r="D12466" s="1">
        <v>45951.668935185182</v>
      </c>
      <c r="E12466" s="2">
        <v>1</v>
      </c>
      <c r="F12466" s="2">
        <v>1</v>
      </c>
      <c r="G12466" s="2">
        <v>0</v>
      </c>
      <c r="H12466" s="1" t="s">
        <v>0</v>
      </c>
      <c r="I12466" s="2">
        <v>0</v>
      </c>
      <c r="J12466" s="1">
        <v>45951.668842592589</v>
      </c>
    </row>
    <row r="12467" spans="1:10" x14ac:dyDescent="0.2">
      <c r="A12467" s="4" t="s">
        <v>1</v>
      </c>
      <c r="B1246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67" s="3" t="str">
        <f>HYPERLINK("https://otsuka-europe-crm.veevavault.com/ui/#object/sent_email__v/VBLZ025E82HQNGT", "SE-000289520")</f>
        <v>SE-000289520</v>
      </c>
      <c r="D12467" s="1" t="s">
        <v>0</v>
      </c>
      <c r="E12467" s="2">
        <v>0</v>
      </c>
      <c r="F12467" s="2">
        <v>0</v>
      </c>
      <c r="G12467" s="2">
        <v>0</v>
      </c>
      <c r="H12467" s="1" t="s">
        <v>0</v>
      </c>
      <c r="I12467" s="2">
        <v>0</v>
      </c>
      <c r="J12467" s="1">
        <v>45951.668854166666</v>
      </c>
    </row>
    <row r="12468" spans="1:10" x14ac:dyDescent="0.2">
      <c r="A12468" s="4" t="s">
        <v>1</v>
      </c>
      <c r="B1246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68" s="3" t="str">
        <f>HYPERLINK("https://otsuka-europe-crm.veevavault.com/ui/#object/sent_email__v/VBLZ025E82HQNGU", "SE-000289521")</f>
        <v>SE-000289521</v>
      </c>
      <c r="D12468" s="1" t="s">
        <v>0</v>
      </c>
      <c r="E12468" s="2">
        <v>0</v>
      </c>
      <c r="F12468" s="2">
        <v>0</v>
      </c>
      <c r="G12468" s="2">
        <v>0</v>
      </c>
      <c r="H12468" s="1" t="s">
        <v>0</v>
      </c>
      <c r="I12468" s="2">
        <v>0</v>
      </c>
      <c r="J12468" s="1">
        <v>45951.668865740743</v>
      </c>
    </row>
    <row r="12469" spans="1:10" x14ac:dyDescent="0.2">
      <c r="A12469" s="4" t="s">
        <v>1</v>
      </c>
      <c r="B1246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69" s="3" t="str">
        <f>HYPERLINK("https://otsuka-europe-crm.veevavault.com/ui/#object/sent_email__v/VBLZ025E82HQNGV", "SE-000289522")</f>
        <v>SE-000289522</v>
      </c>
      <c r="D12469" s="1" t="s">
        <v>0</v>
      </c>
      <c r="E12469" s="2">
        <v>0</v>
      </c>
      <c r="F12469" s="2">
        <v>0</v>
      </c>
      <c r="G12469" s="2">
        <v>0</v>
      </c>
      <c r="H12469" s="1" t="s">
        <v>0</v>
      </c>
      <c r="I12469" s="2">
        <v>0</v>
      </c>
      <c r="J12469" s="1">
        <v>45951.668877314813</v>
      </c>
    </row>
    <row r="12470" spans="1:10" x14ac:dyDescent="0.2">
      <c r="A12470" s="4" t="s">
        <v>1</v>
      </c>
      <c r="B1247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70" s="3" t="str">
        <f>HYPERLINK("https://otsuka-europe-crm.veevavault.com/ui/#object/sent_email__v/VBLZ025E82HQNGW", "SE-000289523")</f>
        <v>SE-000289523</v>
      </c>
      <c r="D12470" s="1">
        <v>45976.605023148149</v>
      </c>
      <c r="E12470" s="2">
        <v>1</v>
      </c>
      <c r="F12470" s="2">
        <v>1</v>
      </c>
      <c r="G12470" s="2">
        <v>0</v>
      </c>
      <c r="H12470" s="1" t="s">
        <v>0</v>
      </c>
      <c r="I12470" s="2">
        <v>0</v>
      </c>
      <c r="J12470" s="1">
        <v>45951.668877314813</v>
      </c>
    </row>
    <row r="12471" spans="1:10" x14ac:dyDescent="0.2">
      <c r="A12471" s="4" t="s">
        <v>1</v>
      </c>
      <c r="B1247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71" s="3" t="str">
        <f>HYPERLINK("https://otsuka-europe-crm.veevavault.com/ui/#object/sent_email__v/VBLZ025E82HQNGX", "SE-000289524")</f>
        <v>SE-000289524</v>
      </c>
      <c r="D12471" s="1" t="s">
        <v>0</v>
      </c>
      <c r="E12471" s="2">
        <v>0</v>
      </c>
      <c r="F12471" s="2">
        <v>0</v>
      </c>
      <c r="G12471" s="2">
        <v>0</v>
      </c>
      <c r="H12471" s="1" t="s">
        <v>0</v>
      </c>
      <c r="I12471" s="2">
        <v>0</v>
      </c>
      <c r="J12471" s="1">
        <v>45951.668900462966</v>
      </c>
    </row>
    <row r="12472" spans="1:10" x14ac:dyDescent="0.2">
      <c r="A12472" s="4" t="s">
        <v>1</v>
      </c>
      <c r="B1247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72" s="3" t="str">
        <f>HYPERLINK("https://otsuka-europe-crm.veevavault.com/ui/#object/sent_email__v/VBLZ025E82HQNGY", "SE-000289525")</f>
        <v>SE-000289525</v>
      </c>
      <c r="D12472" s="1" t="s">
        <v>0</v>
      </c>
      <c r="E12472" s="2">
        <v>0</v>
      </c>
      <c r="F12472" s="2">
        <v>0</v>
      </c>
      <c r="G12472" s="2">
        <v>0</v>
      </c>
      <c r="H12472" s="1" t="s">
        <v>0</v>
      </c>
      <c r="I12472" s="2">
        <v>0</v>
      </c>
      <c r="J12472" s="1">
        <v>45951.668912037036</v>
      </c>
    </row>
    <row r="12473" spans="1:10" x14ac:dyDescent="0.2">
      <c r="A12473" s="4" t="s">
        <v>1</v>
      </c>
      <c r="B1247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73" s="3" t="str">
        <f>HYPERLINK("https://otsuka-europe-crm.veevavault.com/ui/#object/sent_email__v/VBLZ025E82HQNGZ", "SE-000289526")</f>
        <v>SE-000289526</v>
      </c>
      <c r="D12473" s="1" t="s">
        <v>0</v>
      </c>
      <c r="E12473" s="2">
        <v>0</v>
      </c>
      <c r="F12473" s="2">
        <v>0</v>
      </c>
      <c r="G12473" s="2">
        <v>0</v>
      </c>
      <c r="H12473" s="1" t="s">
        <v>0</v>
      </c>
      <c r="I12473" s="2">
        <v>0</v>
      </c>
      <c r="J12473" s="1">
        <v>45951.668912037036</v>
      </c>
    </row>
    <row r="12474" spans="1:10" x14ac:dyDescent="0.2">
      <c r="A12474" s="4" t="s">
        <v>1</v>
      </c>
      <c r="B1247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74" s="3" t="str">
        <f>HYPERLINK("https://otsuka-europe-crm.veevavault.com/ui/#object/sent_email__v/VBLZ025E82HQNH0", "SE-000289527")</f>
        <v>SE-000289527</v>
      </c>
      <c r="D12474" s="1" t="s">
        <v>0</v>
      </c>
      <c r="E12474" s="2">
        <v>0</v>
      </c>
      <c r="F12474" s="2">
        <v>0</v>
      </c>
      <c r="G12474" s="2">
        <v>0</v>
      </c>
      <c r="H12474" s="1" t="s">
        <v>0</v>
      </c>
      <c r="I12474" s="2">
        <v>0</v>
      </c>
      <c r="J12474" s="1">
        <v>45951.668923611112</v>
      </c>
    </row>
    <row r="12475" spans="1:10" x14ac:dyDescent="0.2">
      <c r="A12475" s="4" t="s">
        <v>1</v>
      </c>
      <c r="B1247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75" s="3" t="str">
        <f>HYPERLINK("https://otsuka-europe-crm.veevavault.com/ui/#object/sent_email__v/VBLZ025E82HQNH1", "SE-000289528")</f>
        <v>SE-000289528</v>
      </c>
      <c r="D12475" s="1" t="s">
        <v>0</v>
      </c>
      <c r="E12475" s="2">
        <v>0</v>
      </c>
      <c r="F12475" s="2">
        <v>0</v>
      </c>
      <c r="G12475" s="2">
        <v>0</v>
      </c>
      <c r="H12475" s="1" t="s">
        <v>0</v>
      </c>
      <c r="I12475" s="2">
        <v>0</v>
      </c>
      <c r="J12475" s="1">
        <v>45951.668935185182</v>
      </c>
    </row>
    <row r="12476" spans="1:10" x14ac:dyDescent="0.2">
      <c r="A12476" s="4" t="s">
        <v>1</v>
      </c>
      <c r="B1247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76" s="3" t="str">
        <f>HYPERLINK("https://otsuka-europe-crm.veevavault.com/ui/#object/sent_email__v/VBLZ025E82HQNH2", "SE-000289529")</f>
        <v>SE-000289529</v>
      </c>
      <c r="D12476" s="1">
        <v>45951.669328703705</v>
      </c>
      <c r="E12476" s="2">
        <v>1</v>
      </c>
      <c r="F12476" s="2">
        <v>1</v>
      </c>
      <c r="G12476" s="2">
        <v>0</v>
      </c>
      <c r="H12476" s="1" t="s">
        <v>0</v>
      </c>
      <c r="I12476" s="2">
        <v>0</v>
      </c>
      <c r="J12476" s="1">
        <v>45951.668946759259</v>
      </c>
    </row>
    <row r="12477" spans="1:10" x14ac:dyDescent="0.2">
      <c r="A12477" s="4" t="s">
        <v>1</v>
      </c>
      <c r="B1247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77" s="3" t="str">
        <f>HYPERLINK("https://otsuka-europe-crm.veevavault.com/ui/#object/sent_email__v/VBLZ025E82HQNH3", "SE-000289530")</f>
        <v>SE-000289530</v>
      </c>
      <c r="D12477" s="1" t="s">
        <v>0</v>
      </c>
      <c r="E12477" s="2">
        <v>0</v>
      </c>
      <c r="F12477" s="2">
        <v>0</v>
      </c>
      <c r="G12477" s="2">
        <v>0</v>
      </c>
      <c r="H12477" s="1" t="s">
        <v>0</v>
      </c>
      <c r="I12477" s="2">
        <v>0</v>
      </c>
      <c r="J12477" s="1">
        <v>45951.668946759259</v>
      </c>
    </row>
    <row r="12478" spans="1:10" x14ac:dyDescent="0.2">
      <c r="A12478" s="4" t="s">
        <v>1</v>
      </c>
      <c r="B1247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78" s="3" t="str">
        <f>HYPERLINK("https://otsuka-europe-crm.veevavault.com/ui/#object/sent_email__v/VBLZ025E82HQNH4", "SE-000289531")</f>
        <v>SE-000289531</v>
      </c>
      <c r="D12478" s="1" t="s">
        <v>0</v>
      </c>
      <c r="E12478" s="2">
        <v>0</v>
      </c>
      <c r="F12478" s="2">
        <v>0</v>
      </c>
      <c r="G12478" s="2">
        <v>0</v>
      </c>
      <c r="H12478" s="1" t="s">
        <v>0</v>
      </c>
      <c r="I12478" s="2">
        <v>0</v>
      </c>
      <c r="J12478" s="1">
        <v>45951.668958333335</v>
      </c>
    </row>
    <row r="12479" spans="1:10" x14ac:dyDescent="0.2">
      <c r="A12479" s="4" t="s">
        <v>1</v>
      </c>
      <c r="B1247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79" s="3" t="str">
        <f>HYPERLINK("https://otsuka-europe-crm.veevavault.com/ui/#object/sent_email__v/VBLZ025E82HQNH5", "SE-000289532")</f>
        <v>SE-000289532</v>
      </c>
      <c r="D12479" s="1">
        <v>45951.881597222222</v>
      </c>
      <c r="E12479" s="2">
        <v>1</v>
      </c>
      <c r="F12479" s="2">
        <v>1</v>
      </c>
      <c r="G12479" s="2">
        <v>0</v>
      </c>
      <c r="H12479" s="1" t="s">
        <v>0</v>
      </c>
      <c r="I12479" s="2">
        <v>0</v>
      </c>
      <c r="J12479" s="1">
        <v>45951.668981481482</v>
      </c>
    </row>
    <row r="12480" spans="1:10" x14ac:dyDescent="0.2">
      <c r="A12480" s="4" t="s">
        <v>1</v>
      </c>
      <c r="B1248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80" s="3" t="str">
        <f>HYPERLINK("https://otsuka-europe-crm.veevavault.com/ui/#object/sent_email__v/VBLZ025E82HQNH6", "SE-000289533")</f>
        <v>SE-000289533</v>
      </c>
      <c r="D12480" s="1" t="s">
        <v>0</v>
      </c>
      <c r="E12480" s="2">
        <v>0</v>
      </c>
      <c r="F12480" s="2">
        <v>0</v>
      </c>
      <c r="G12480" s="2">
        <v>0</v>
      </c>
      <c r="H12480" s="1" t="s">
        <v>0</v>
      </c>
      <c r="I12480" s="2">
        <v>0</v>
      </c>
      <c r="J12480" s="1">
        <v>45951.668981481482</v>
      </c>
    </row>
    <row r="12481" spans="1:10" x14ac:dyDescent="0.2">
      <c r="A12481" s="4" t="s">
        <v>1</v>
      </c>
      <c r="B1248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81" s="3" t="str">
        <f>HYPERLINK("https://otsuka-europe-crm.veevavault.com/ui/#object/sent_email__v/VBLZ025E82HQNH7", "SE-000289534")</f>
        <v>SE-000289534</v>
      </c>
      <c r="D12481" s="1" t="s">
        <v>0</v>
      </c>
      <c r="E12481" s="2">
        <v>0</v>
      </c>
      <c r="F12481" s="2">
        <v>0</v>
      </c>
      <c r="G12481" s="2">
        <v>0</v>
      </c>
      <c r="H12481" s="1" t="s">
        <v>0</v>
      </c>
      <c r="I12481" s="2">
        <v>0</v>
      </c>
      <c r="J12481" s="1">
        <v>45951.668993055559</v>
      </c>
    </row>
    <row r="12482" spans="1:10" x14ac:dyDescent="0.2">
      <c r="A12482" s="4" t="s">
        <v>1</v>
      </c>
      <c r="B1248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82" s="3" t="str">
        <f>HYPERLINK("https://otsuka-europe-crm.veevavault.com/ui/#object/sent_email__v/VBLZ025E82HQNH8", "SE-000289535")</f>
        <v>SE-000289535</v>
      </c>
      <c r="D12482" s="1" t="s">
        <v>0</v>
      </c>
      <c r="E12482" s="2">
        <v>0</v>
      </c>
      <c r="F12482" s="2">
        <v>0</v>
      </c>
      <c r="G12482" s="2">
        <v>0</v>
      </c>
      <c r="H12482" s="1" t="s">
        <v>0</v>
      </c>
      <c r="I12482" s="2">
        <v>0</v>
      </c>
      <c r="J12482" s="1">
        <v>45951.669004629628</v>
      </c>
    </row>
    <row r="12483" spans="1:10" x14ac:dyDescent="0.2">
      <c r="A12483" s="4" t="s">
        <v>1</v>
      </c>
      <c r="B1248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83" s="3" t="str">
        <f>HYPERLINK("https://otsuka-europe-crm.veevavault.com/ui/#object/sent_email__v/VBLZ025E82HQNH9", "SE-000289536")</f>
        <v>SE-000289536</v>
      </c>
      <c r="D12483" s="1" t="s">
        <v>0</v>
      </c>
      <c r="E12483" s="2">
        <v>0</v>
      </c>
      <c r="F12483" s="2">
        <v>0</v>
      </c>
      <c r="G12483" s="2">
        <v>0</v>
      </c>
      <c r="H12483" s="1" t="s">
        <v>0</v>
      </c>
      <c r="I12483" s="2">
        <v>0</v>
      </c>
      <c r="J12483" s="1">
        <v>45951.669016203705</v>
      </c>
    </row>
    <row r="12484" spans="1:10" x14ac:dyDescent="0.2">
      <c r="A12484" s="4" t="s">
        <v>1</v>
      </c>
      <c r="B1248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84" s="3" t="str">
        <f>HYPERLINK("https://otsuka-europe-crm.veevavault.com/ui/#object/sent_email__v/VBLZ025E82HQNHA", "SE-000289537")</f>
        <v>SE-000289537</v>
      </c>
      <c r="D12484" s="1" t="s">
        <v>0</v>
      </c>
      <c r="E12484" s="2">
        <v>0</v>
      </c>
      <c r="F12484" s="2">
        <v>0</v>
      </c>
      <c r="G12484" s="2">
        <v>0</v>
      </c>
      <c r="H12484" s="1" t="s">
        <v>0</v>
      </c>
      <c r="I12484" s="2">
        <v>0</v>
      </c>
      <c r="J12484" s="1">
        <v>45951.669016203705</v>
      </c>
    </row>
    <row r="12485" spans="1:10" x14ac:dyDescent="0.2">
      <c r="A12485" s="4" t="s">
        <v>1</v>
      </c>
      <c r="B1248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85" s="3" t="str">
        <f>HYPERLINK("https://otsuka-europe-crm.veevavault.com/ui/#object/sent_email__v/VBLZ025E82HQNHB", "SE-000289538")</f>
        <v>SE-000289538</v>
      </c>
      <c r="D12485" s="1" t="s">
        <v>0</v>
      </c>
      <c r="E12485" s="2">
        <v>0</v>
      </c>
      <c r="F12485" s="2">
        <v>0</v>
      </c>
      <c r="G12485" s="2">
        <v>0</v>
      </c>
      <c r="H12485" s="1" t="s">
        <v>0</v>
      </c>
      <c r="I12485" s="2">
        <v>0</v>
      </c>
      <c r="J12485" s="1">
        <v>45951.669027777774</v>
      </c>
    </row>
    <row r="12486" spans="1:10" x14ac:dyDescent="0.2">
      <c r="A12486" s="4" t="s">
        <v>1</v>
      </c>
      <c r="B1248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86" s="3" t="str">
        <f>HYPERLINK("https://otsuka-europe-crm.veevavault.com/ui/#object/sent_email__v/VBLZ025E82HQNHC", "SE-000289539")</f>
        <v>SE-000289539</v>
      </c>
      <c r="D12486" s="1" t="s">
        <v>0</v>
      </c>
      <c r="E12486" s="2">
        <v>0</v>
      </c>
      <c r="F12486" s="2">
        <v>0</v>
      </c>
      <c r="G12486" s="2">
        <v>0</v>
      </c>
      <c r="H12486" s="1" t="s">
        <v>0</v>
      </c>
      <c r="I12486" s="2">
        <v>0</v>
      </c>
      <c r="J12486" s="1">
        <v>45951.669050925928</v>
      </c>
    </row>
    <row r="12487" spans="1:10" x14ac:dyDescent="0.2">
      <c r="A12487" s="4" t="s">
        <v>1</v>
      </c>
      <c r="B1248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87" s="3" t="str">
        <f>HYPERLINK("https://otsuka-europe-crm.veevavault.com/ui/#object/sent_email__v/VBLZ025E82HQNHD", "SE-000289540")</f>
        <v>SE-000289540</v>
      </c>
      <c r="D12487" s="1" t="s">
        <v>0</v>
      </c>
      <c r="E12487" s="2">
        <v>0</v>
      </c>
      <c r="F12487" s="2">
        <v>0</v>
      </c>
      <c r="G12487" s="2">
        <v>0</v>
      </c>
      <c r="H12487" s="1" t="s">
        <v>0</v>
      </c>
      <c r="I12487" s="2">
        <v>0</v>
      </c>
      <c r="J12487" s="1">
        <v>45951.669062499997</v>
      </c>
    </row>
    <row r="12488" spans="1:10" x14ac:dyDescent="0.2">
      <c r="A12488" s="4" t="s">
        <v>1</v>
      </c>
      <c r="B1248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88" s="3" t="str">
        <f>HYPERLINK("https://otsuka-europe-crm.veevavault.com/ui/#object/sent_email__v/VBLZ025E82HQNHE", "SE-000289541")</f>
        <v>SE-000289541</v>
      </c>
      <c r="D12488" s="1" t="s">
        <v>0</v>
      </c>
      <c r="E12488" s="2">
        <v>0</v>
      </c>
      <c r="F12488" s="2">
        <v>0</v>
      </c>
      <c r="G12488" s="2">
        <v>0</v>
      </c>
      <c r="H12488" s="1" t="s">
        <v>0</v>
      </c>
      <c r="I12488" s="2">
        <v>0</v>
      </c>
      <c r="J12488" s="1">
        <v>45951.669074074074</v>
      </c>
    </row>
    <row r="12489" spans="1:10" x14ac:dyDescent="0.2">
      <c r="A12489" s="4" t="s">
        <v>1</v>
      </c>
      <c r="B1248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89" s="3" t="str">
        <f>HYPERLINK("https://otsuka-europe-crm.veevavault.com/ui/#object/sent_email__v/VBLZ025E82HQNHF", "SE-000289542")</f>
        <v>SE-000289542</v>
      </c>
      <c r="D12489" s="1" t="s">
        <v>0</v>
      </c>
      <c r="E12489" s="2">
        <v>0</v>
      </c>
      <c r="F12489" s="2">
        <v>0</v>
      </c>
      <c r="G12489" s="2">
        <v>0</v>
      </c>
      <c r="H12489" s="1" t="s">
        <v>0</v>
      </c>
      <c r="I12489" s="2">
        <v>0</v>
      </c>
      <c r="J12489" s="1">
        <v>45951.669085648151</v>
      </c>
    </row>
    <row r="12490" spans="1:10" x14ac:dyDescent="0.2">
      <c r="A12490" s="4" t="s">
        <v>1</v>
      </c>
      <c r="B1249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90" s="3" t="str">
        <f>HYPERLINK("https://otsuka-europe-crm.veevavault.com/ui/#object/sent_email__v/VBLZ025E82HQNHG", "SE-000289543")</f>
        <v>SE-000289543</v>
      </c>
      <c r="D12490" s="1">
        <v>45951.669189814813</v>
      </c>
      <c r="E12490" s="2">
        <v>1</v>
      </c>
      <c r="F12490" s="2">
        <v>1</v>
      </c>
      <c r="G12490" s="2">
        <v>0</v>
      </c>
      <c r="H12490" s="1" t="s">
        <v>0</v>
      </c>
      <c r="I12490" s="2">
        <v>0</v>
      </c>
      <c r="J12490" s="1">
        <v>45951.66909722222</v>
      </c>
    </row>
    <row r="12491" spans="1:10" x14ac:dyDescent="0.2">
      <c r="A12491" s="4" t="s">
        <v>1</v>
      </c>
      <c r="B1249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91" s="3" t="str">
        <f>HYPERLINK("https://otsuka-europe-crm.veevavault.com/ui/#object/sent_email__v/VBLZ025E82HQNHH", "SE-000289544")</f>
        <v>SE-000289544</v>
      </c>
      <c r="D12491" s="1" t="s">
        <v>0</v>
      </c>
      <c r="E12491" s="2">
        <v>0</v>
      </c>
      <c r="F12491" s="2">
        <v>0</v>
      </c>
      <c r="G12491" s="2">
        <v>0</v>
      </c>
      <c r="H12491" s="1" t="s">
        <v>0</v>
      </c>
      <c r="I12491" s="2">
        <v>0</v>
      </c>
      <c r="J12491" s="1">
        <v>45951.669108796297</v>
      </c>
    </row>
    <row r="12492" spans="1:10" x14ac:dyDescent="0.2">
      <c r="A12492" s="4" t="s">
        <v>1</v>
      </c>
      <c r="B1249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92" s="3" t="str">
        <f>HYPERLINK("https://otsuka-europe-crm.veevavault.com/ui/#object/sent_email__v/VBLZ025E82HQNHI", "SE-000289545")</f>
        <v>SE-000289545</v>
      </c>
      <c r="D12492" s="1" t="s">
        <v>0</v>
      </c>
      <c r="E12492" s="2">
        <v>0</v>
      </c>
      <c r="F12492" s="2">
        <v>0</v>
      </c>
      <c r="G12492" s="2">
        <v>0</v>
      </c>
      <c r="H12492" s="1" t="s">
        <v>0</v>
      </c>
      <c r="I12492" s="2">
        <v>0</v>
      </c>
      <c r="J12492" s="1">
        <v>45951.669108796297</v>
      </c>
    </row>
    <row r="12493" spans="1:10" x14ac:dyDescent="0.2">
      <c r="A12493" s="4" t="s">
        <v>1</v>
      </c>
      <c r="B1249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93" s="3" t="str">
        <f>HYPERLINK("https://otsuka-europe-crm.veevavault.com/ui/#object/sent_email__v/VBLZ025E82HQNHJ", "SE-000289546")</f>
        <v>SE-000289546</v>
      </c>
      <c r="D12493" s="1" t="s">
        <v>0</v>
      </c>
      <c r="E12493" s="2">
        <v>0</v>
      </c>
      <c r="F12493" s="2">
        <v>0</v>
      </c>
      <c r="G12493" s="2">
        <v>0</v>
      </c>
      <c r="H12493" s="1" t="s">
        <v>0</v>
      </c>
      <c r="I12493" s="2">
        <v>0</v>
      </c>
      <c r="J12493" s="1">
        <v>45951.669131944444</v>
      </c>
    </row>
    <row r="12494" spans="1:10" x14ac:dyDescent="0.2">
      <c r="A12494" s="4" t="s">
        <v>1</v>
      </c>
      <c r="B1249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94" s="3" t="str">
        <f>HYPERLINK("https://otsuka-europe-crm.veevavault.com/ui/#object/sent_email__v/VBLZ025E82HQNHK", "SE-000289547")</f>
        <v>SE-000289547</v>
      </c>
      <c r="D12494" s="1" t="s">
        <v>0</v>
      </c>
      <c r="E12494" s="2">
        <v>0</v>
      </c>
      <c r="F12494" s="2">
        <v>0</v>
      </c>
      <c r="G12494" s="2">
        <v>0</v>
      </c>
      <c r="H12494" s="1" t="s">
        <v>0</v>
      </c>
      <c r="I12494" s="2">
        <v>0</v>
      </c>
      <c r="J12494" s="1">
        <v>45951.669131944444</v>
      </c>
    </row>
    <row r="12495" spans="1:10" x14ac:dyDescent="0.2">
      <c r="A12495" s="4" t="s">
        <v>1</v>
      </c>
      <c r="B1249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95" s="3" t="str">
        <f>HYPERLINK("https://otsuka-europe-crm.veevavault.com/ui/#object/sent_email__v/VBLZ025E82HQNHL", "SE-000289548")</f>
        <v>SE-000289548</v>
      </c>
      <c r="D12495" s="1">
        <v>45971.040555555555</v>
      </c>
      <c r="E12495" s="2">
        <v>1</v>
      </c>
      <c r="F12495" s="2">
        <v>2</v>
      </c>
      <c r="G12495" s="2">
        <v>0</v>
      </c>
      <c r="H12495" s="1" t="s">
        <v>0</v>
      </c>
      <c r="I12495" s="2">
        <v>0</v>
      </c>
      <c r="J12495" s="1">
        <v>45951.66914351852</v>
      </c>
    </row>
    <row r="12496" spans="1:10" x14ac:dyDescent="0.2">
      <c r="A12496" s="4" t="s">
        <v>1</v>
      </c>
      <c r="B1249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96" s="3" t="str">
        <f>HYPERLINK("https://otsuka-europe-crm.veevavault.com/ui/#object/sent_email__v/VBLZ025E82HQNHM", "SE-000289549")</f>
        <v>SE-000289549</v>
      </c>
      <c r="D12496" s="1" t="s">
        <v>0</v>
      </c>
      <c r="E12496" s="2">
        <v>0</v>
      </c>
      <c r="F12496" s="2">
        <v>0</v>
      </c>
      <c r="G12496" s="2">
        <v>0</v>
      </c>
      <c r="H12496" s="1" t="s">
        <v>0</v>
      </c>
      <c r="I12496" s="2">
        <v>0</v>
      </c>
      <c r="J12496" s="1">
        <v>45951.66915509259</v>
      </c>
    </row>
    <row r="12497" spans="1:10" x14ac:dyDescent="0.2">
      <c r="A12497" s="4" t="s">
        <v>1</v>
      </c>
      <c r="B1249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97" s="3" t="str">
        <f>HYPERLINK("https://otsuka-europe-crm.veevavault.com/ui/#object/sent_email__v/VBLZ025E82HQNHN", "SE-000289550")</f>
        <v>SE-000289550</v>
      </c>
      <c r="D12497" s="1" t="s">
        <v>0</v>
      </c>
      <c r="E12497" s="2">
        <v>0</v>
      </c>
      <c r="F12497" s="2">
        <v>0</v>
      </c>
      <c r="G12497" s="2">
        <v>0</v>
      </c>
      <c r="H12497" s="1" t="s">
        <v>0</v>
      </c>
      <c r="I12497" s="2">
        <v>0</v>
      </c>
      <c r="J12497" s="1">
        <v>45951.669178240743</v>
      </c>
    </row>
    <row r="12498" spans="1:10" x14ac:dyDescent="0.2">
      <c r="A12498" s="4" t="s">
        <v>1</v>
      </c>
      <c r="B1249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98" s="3" t="str">
        <f>HYPERLINK("https://otsuka-europe-crm.veevavault.com/ui/#object/sent_email__v/VBLZ025E82HQNHO", "SE-000289551")</f>
        <v>SE-000289551</v>
      </c>
      <c r="D12498" s="1" t="s">
        <v>0</v>
      </c>
      <c r="E12498" s="2">
        <v>0</v>
      </c>
      <c r="F12498" s="2">
        <v>0</v>
      </c>
      <c r="G12498" s="2">
        <v>0</v>
      </c>
      <c r="H12498" s="1" t="s">
        <v>0</v>
      </c>
      <c r="I12498" s="2">
        <v>0</v>
      </c>
      <c r="J12498" s="1">
        <v>45951.669178240743</v>
      </c>
    </row>
    <row r="12499" spans="1:10" x14ac:dyDescent="0.2">
      <c r="A12499" s="4" t="s">
        <v>1</v>
      </c>
      <c r="B1249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499" s="3" t="str">
        <f>HYPERLINK("https://otsuka-europe-crm.veevavault.com/ui/#object/sent_email__v/VBLZ025E82HQNHP", "SE-000289552")</f>
        <v>SE-000289552</v>
      </c>
      <c r="D12499" s="1" t="s">
        <v>0</v>
      </c>
      <c r="E12499" s="2">
        <v>0</v>
      </c>
      <c r="F12499" s="2">
        <v>0</v>
      </c>
      <c r="G12499" s="2">
        <v>0</v>
      </c>
      <c r="H12499" s="1" t="s">
        <v>0</v>
      </c>
      <c r="I12499" s="2">
        <v>0</v>
      </c>
      <c r="J12499" s="1">
        <v>45951.669189814813</v>
      </c>
    </row>
    <row r="12500" spans="1:10" x14ac:dyDescent="0.2">
      <c r="A12500" s="4" t="s">
        <v>1</v>
      </c>
      <c r="B1250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00" s="3" t="str">
        <f>HYPERLINK("https://otsuka-europe-crm.veevavault.com/ui/#object/sent_email__v/VBLZ025E82HQNHQ", "SE-000289553")</f>
        <v>SE-000289553</v>
      </c>
      <c r="D12500" s="1" t="s">
        <v>0</v>
      </c>
      <c r="E12500" s="2">
        <v>0</v>
      </c>
      <c r="F12500" s="2">
        <v>0</v>
      </c>
      <c r="G12500" s="2">
        <v>0</v>
      </c>
      <c r="H12500" s="1" t="s">
        <v>0</v>
      </c>
      <c r="I12500" s="2">
        <v>0</v>
      </c>
      <c r="J12500" s="1">
        <v>45951.669189814813</v>
      </c>
    </row>
    <row r="12501" spans="1:10" x14ac:dyDescent="0.2">
      <c r="A12501" s="4" t="s">
        <v>1</v>
      </c>
      <c r="B1250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01" s="3" t="str">
        <f>HYPERLINK("https://otsuka-europe-crm.veevavault.com/ui/#object/sent_email__v/VBLZ025E82HQNHR", "SE-000289554")</f>
        <v>SE-000289554</v>
      </c>
      <c r="D12501" s="1" t="s">
        <v>0</v>
      </c>
      <c r="E12501" s="2">
        <v>0</v>
      </c>
      <c r="F12501" s="2">
        <v>0</v>
      </c>
      <c r="G12501" s="2">
        <v>0</v>
      </c>
      <c r="H12501" s="1" t="s">
        <v>0</v>
      </c>
      <c r="I12501" s="2">
        <v>0</v>
      </c>
      <c r="J12501" s="1">
        <v>45951.669212962966</v>
      </c>
    </row>
    <row r="12502" spans="1:10" x14ac:dyDescent="0.2">
      <c r="A12502" s="4" t="s">
        <v>1</v>
      </c>
      <c r="B1250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02" s="3" t="str">
        <f>HYPERLINK("https://otsuka-europe-crm.veevavault.com/ui/#object/sent_email__v/VBLZ025E82HQNHS", "SE-000289555")</f>
        <v>SE-000289555</v>
      </c>
      <c r="D12502" s="1" t="s">
        <v>0</v>
      </c>
      <c r="E12502" s="2">
        <v>0</v>
      </c>
      <c r="F12502" s="2">
        <v>0</v>
      </c>
      <c r="G12502" s="2">
        <v>0</v>
      </c>
      <c r="H12502" s="1" t="s">
        <v>0</v>
      </c>
      <c r="I12502" s="2">
        <v>0</v>
      </c>
      <c r="J12502" s="1">
        <v>45951.669224537036</v>
      </c>
    </row>
    <row r="12503" spans="1:10" x14ac:dyDescent="0.2">
      <c r="A12503" s="4" t="s">
        <v>1</v>
      </c>
      <c r="B1250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03" s="3" t="str">
        <f>HYPERLINK("https://otsuka-europe-crm.veevavault.com/ui/#object/sent_email__v/VBLZ025E82HQNHT", "SE-000289556")</f>
        <v>SE-000289556</v>
      </c>
      <c r="D12503" s="1" t="s">
        <v>0</v>
      </c>
      <c r="E12503" s="2">
        <v>0</v>
      </c>
      <c r="F12503" s="2">
        <v>0</v>
      </c>
      <c r="G12503" s="2">
        <v>0</v>
      </c>
      <c r="H12503" s="1" t="s">
        <v>0</v>
      </c>
      <c r="I12503" s="2">
        <v>0</v>
      </c>
      <c r="J12503" s="1">
        <v>45951.669236111113</v>
      </c>
    </row>
    <row r="12504" spans="1:10" x14ac:dyDescent="0.2">
      <c r="A12504" s="4" t="s">
        <v>1</v>
      </c>
      <c r="B1250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04" s="3" t="str">
        <f>HYPERLINK("https://otsuka-europe-crm.veevavault.com/ui/#object/sent_email__v/VBLZ025E82HQNHU", "SE-000289557")</f>
        <v>SE-000289557</v>
      </c>
      <c r="D12504" s="1" t="s">
        <v>0</v>
      </c>
      <c r="E12504" s="2">
        <v>0</v>
      </c>
      <c r="F12504" s="2">
        <v>0</v>
      </c>
      <c r="G12504" s="2">
        <v>0</v>
      </c>
      <c r="H12504" s="1" t="s">
        <v>0</v>
      </c>
      <c r="I12504" s="2">
        <v>0</v>
      </c>
      <c r="J12504" s="1">
        <v>45951.669236111113</v>
      </c>
    </row>
    <row r="12505" spans="1:10" x14ac:dyDescent="0.2">
      <c r="A12505" s="4" t="s">
        <v>1</v>
      </c>
      <c r="B1250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05" s="3" t="str">
        <f>HYPERLINK("https://otsuka-europe-crm.veevavault.com/ui/#object/sent_email__v/VBLZ025E82HQNHV", "SE-000289558")</f>
        <v>SE-000289558</v>
      </c>
      <c r="D12505" s="1" t="s">
        <v>0</v>
      </c>
      <c r="E12505" s="2">
        <v>0</v>
      </c>
      <c r="F12505" s="2">
        <v>0</v>
      </c>
      <c r="G12505" s="2">
        <v>0</v>
      </c>
      <c r="H12505" s="1" t="s">
        <v>0</v>
      </c>
      <c r="I12505" s="2">
        <v>0</v>
      </c>
      <c r="J12505" s="1">
        <v>45951.669259259259</v>
      </c>
    </row>
    <row r="12506" spans="1:10" x14ac:dyDescent="0.2">
      <c r="A12506" s="4" t="s">
        <v>1</v>
      </c>
      <c r="B1250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06" s="3" t="str">
        <f>HYPERLINK("https://otsuka-europe-crm.veevavault.com/ui/#object/sent_email__v/VBLZ025E82HQNHW", "SE-000289559")</f>
        <v>SE-000289559</v>
      </c>
      <c r="D12506" s="1" t="s">
        <v>0</v>
      </c>
      <c r="E12506" s="2">
        <v>0</v>
      </c>
      <c r="F12506" s="2">
        <v>0</v>
      </c>
      <c r="G12506" s="2">
        <v>0</v>
      </c>
      <c r="H12506" s="1" t="s">
        <v>0</v>
      </c>
      <c r="I12506" s="2">
        <v>0</v>
      </c>
      <c r="J12506" s="1">
        <v>45951.669259259259</v>
      </c>
    </row>
    <row r="12507" spans="1:10" x14ac:dyDescent="0.2">
      <c r="A12507" s="4" t="s">
        <v>1</v>
      </c>
      <c r="B1250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07" s="3" t="str">
        <f>HYPERLINK("https://otsuka-europe-crm.veevavault.com/ui/#object/sent_email__v/VBLZ025E82HQNHX", "SE-000289560")</f>
        <v>SE-000289560</v>
      </c>
      <c r="D12507" s="1">
        <v>45952.006192129629</v>
      </c>
      <c r="E12507" s="2">
        <v>1</v>
      </c>
      <c r="F12507" s="2">
        <v>1</v>
      </c>
      <c r="G12507" s="2">
        <v>0</v>
      </c>
      <c r="H12507" s="1" t="s">
        <v>0</v>
      </c>
      <c r="I12507" s="2">
        <v>0</v>
      </c>
      <c r="J12507" s="1">
        <v>45951.669270833336</v>
      </c>
    </row>
    <row r="12508" spans="1:10" x14ac:dyDescent="0.2">
      <c r="A12508" s="4" t="s">
        <v>1</v>
      </c>
      <c r="B1250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08" s="3" t="str">
        <f>HYPERLINK("https://otsuka-europe-crm.veevavault.com/ui/#object/sent_email__v/VBLZ025E82HQNHY", "SE-000289561")</f>
        <v>SE-000289561</v>
      </c>
      <c r="D12508" s="1" t="s">
        <v>0</v>
      </c>
      <c r="E12508" s="2">
        <v>0</v>
      </c>
      <c r="F12508" s="2">
        <v>0</v>
      </c>
      <c r="G12508" s="2">
        <v>0</v>
      </c>
      <c r="H12508" s="1" t="s">
        <v>0</v>
      </c>
      <c r="I12508" s="2">
        <v>0</v>
      </c>
      <c r="J12508" s="1">
        <v>45951.669293981482</v>
      </c>
    </row>
    <row r="12509" spans="1:10" x14ac:dyDescent="0.2">
      <c r="A12509" s="4" t="s">
        <v>1</v>
      </c>
      <c r="B1250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09" s="3" t="str">
        <f>HYPERLINK("https://otsuka-europe-crm.veevavault.com/ui/#object/sent_email__v/VBLZ025E82HQNHZ", "SE-000289562")</f>
        <v>SE-000289562</v>
      </c>
      <c r="D12509" s="1" t="s">
        <v>0</v>
      </c>
      <c r="E12509" s="2">
        <v>0</v>
      </c>
      <c r="F12509" s="2">
        <v>0</v>
      </c>
      <c r="G12509" s="2">
        <v>0</v>
      </c>
      <c r="H12509" s="1" t="s">
        <v>0</v>
      </c>
      <c r="I12509" s="2">
        <v>0</v>
      </c>
      <c r="J12509" s="1">
        <v>45951.669293981482</v>
      </c>
    </row>
    <row r="12510" spans="1:10" x14ac:dyDescent="0.2">
      <c r="A12510" s="4" t="s">
        <v>1</v>
      </c>
      <c r="B1251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10" s="3" t="str">
        <f>HYPERLINK("https://otsuka-europe-crm.veevavault.com/ui/#object/sent_email__v/VBLZ025E82HQNI0", "SE-000289563")</f>
        <v>SE-000289563</v>
      </c>
      <c r="D12510" s="1" t="s">
        <v>0</v>
      </c>
      <c r="E12510" s="2">
        <v>0</v>
      </c>
      <c r="F12510" s="2">
        <v>0</v>
      </c>
      <c r="G12510" s="2">
        <v>0</v>
      </c>
      <c r="H12510" s="1" t="s">
        <v>0</v>
      </c>
      <c r="I12510" s="2">
        <v>0</v>
      </c>
      <c r="J12510" s="1">
        <v>45951.669305555559</v>
      </c>
    </row>
    <row r="12511" spans="1:10" x14ac:dyDescent="0.2">
      <c r="A12511" s="4" t="s">
        <v>1</v>
      </c>
      <c r="B1251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11" s="3" t="str">
        <f>HYPERLINK("https://otsuka-europe-crm.veevavault.com/ui/#object/sent_email__v/VBLZ025E82HQNI1", "SE-000289564")</f>
        <v>SE-000289564</v>
      </c>
      <c r="D12511" s="1" t="s">
        <v>0</v>
      </c>
      <c r="E12511" s="2">
        <v>0</v>
      </c>
      <c r="F12511" s="2">
        <v>0</v>
      </c>
      <c r="G12511" s="2">
        <v>0</v>
      </c>
      <c r="H12511" s="1" t="s">
        <v>0</v>
      </c>
      <c r="I12511" s="2">
        <v>0</v>
      </c>
      <c r="J12511" s="1">
        <v>45951.669317129628</v>
      </c>
    </row>
    <row r="12512" spans="1:10" x14ac:dyDescent="0.2">
      <c r="A12512" s="4" t="s">
        <v>1</v>
      </c>
      <c r="B1251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12" s="3" t="str">
        <f>HYPERLINK("https://otsuka-europe-crm.veevavault.com/ui/#object/sent_email__v/VBLZ025E82HQNI2", "SE-000289565")</f>
        <v>SE-000289565</v>
      </c>
      <c r="D12512" s="1" t="s">
        <v>0</v>
      </c>
      <c r="E12512" s="2">
        <v>0</v>
      </c>
      <c r="F12512" s="2">
        <v>0</v>
      </c>
      <c r="G12512" s="2">
        <v>0</v>
      </c>
      <c r="H12512" s="1" t="s">
        <v>0</v>
      </c>
      <c r="I12512" s="2">
        <v>0</v>
      </c>
      <c r="J12512" s="1">
        <v>45951.669317129628</v>
      </c>
    </row>
    <row r="12513" spans="1:10" x14ac:dyDescent="0.2">
      <c r="A12513" s="4" t="s">
        <v>1</v>
      </c>
      <c r="B1251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13" s="3" t="str">
        <f>HYPERLINK("https://otsuka-europe-crm.veevavault.com/ui/#object/sent_email__v/VBLZ025E82HQNI3", "SE-000289566")</f>
        <v>SE-000289566</v>
      </c>
      <c r="D12513" s="1">
        <v>45951.669479166667</v>
      </c>
      <c r="E12513" s="2">
        <v>1</v>
      </c>
      <c r="F12513" s="2">
        <v>1</v>
      </c>
      <c r="G12513" s="2">
        <v>0</v>
      </c>
      <c r="H12513" s="1" t="s">
        <v>0</v>
      </c>
      <c r="I12513" s="2">
        <v>0</v>
      </c>
      <c r="J12513" s="1">
        <v>45951.669328703705</v>
      </c>
    </row>
    <row r="12514" spans="1:10" x14ac:dyDescent="0.2">
      <c r="A12514" s="4" t="s">
        <v>1</v>
      </c>
      <c r="B1251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14" s="3" t="str">
        <f>HYPERLINK("https://otsuka-europe-crm.veevavault.com/ui/#object/sent_email__v/VBLZ025E82HQNI4", "SE-000289567")</f>
        <v>SE-000289567</v>
      </c>
      <c r="D12514" s="1">
        <v>45957.290671296294</v>
      </c>
      <c r="E12514" s="2">
        <v>1</v>
      </c>
      <c r="F12514" s="2">
        <v>4</v>
      </c>
      <c r="G12514" s="2">
        <v>0</v>
      </c>
      <c r="H12514" s="1" t="s">
        <v>0</v>
      </c>
      <c r="I12514" s="2">
        <v>0</v>
      </c>
      <c r="J12514" s="1">
        <v>45951.669340277775</v>
      </c>
    </row>
    <row r="12515" spans="1:10" x14ac:dyDescent="0.2">
      <c r="A12515" s="4" t="s">
        <v>1</v>
      </c>
      <c r="B1251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15" s="3" t="str">
        <f>HYPERLINK("https://otsuka-europe-crm.veevavault.com/ui/#object/sent_email__v/VBLZ025E82HQNQT", "SE-000289595")</f>
        <v>SE-000289595</v>
      </c>
      <c r="D12515" s="1" t="s">
        <v>0</v>
      </c>
      <c r="E12515" s="2">
        <v>0</v>
      </c>
      <c r="F12515" s="2">
        <v>0</v>
      </c>
      <c r="G12515" s="2">
        <v>0</v>
      </c>
      <c r="H12515" s="1" t="s">
        <v>0</v>
      </c>
      <c r="I12515" s="2">
        <v>0</v>
      </c>
      <c r="J12515" s="1">
        <v>45951.672048611108</v>
      </c>
    </row>
    <row r="12516" spans="1:10" x14ac:dyDescent="0.2">
      <c r="A12516" s="4" t="s">
        <v>1</v>
      </c>
      <c r="B1251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16" s="3" t="str">
        <f>HYPERLINK("https://otsuka-europe-crm.veevavault.com/ui/#object/sent_email__v/VBLZ025E82HQNQU", "SE-000289596")</f>
        <v>SE-000289596</v>
      </c>
      <c r="D12516" s="1" t="s">
        <v>0</v>
      </c>
      <c r="E12516" s="2">
        <v>0</v>
      </c>
      <c r="F12516" s="2">
        <v>0</v>
      </c>
      <c r="G12516" s="2">
        <v>0</v>
      </c>
      <c r="H12516" s="1" t="s">
        <v>0</v>
      </c>
      <c r="I12516" s="2">
        <v>0</v>
      </c>
      <c r="J12516" s="1">
        <v>45951.672060185185</v>
      </c>
    </row>
    <row r="12517" spans="1:10" x14ac:dyDescent="0.2">
      <c r="A12517" s="4" t="s">
        <v>1</v>
      </c>
      <c r="B1251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17" s="3" t="str">
        <f>HYPERLINK("https://otsuka-europe-crm.veevavault.com/ui/#object/sent_email__v/VBLZ025E82HQNQV", "SE-000289597")</f>
        <v>SE-000289597</v>
      </c>
      <c r="D12517" s="1" t="s">
        <v>0</v>
      </c>
      <c r="E12517" s="2">
        <v>0</v>
      </c>
      <c r="F12517" s="2">
        <v>0</v>
      </c>
      <c r="G12517" s="2">
        <v>0</v>
      </c>
      <c r="H12517" s="1" t="s">
        <v>0</v>
      </c>
      <c r="I12517" s="2">
        <v>0</v>
      </c>
      <c r="J12517" s="1">
        <v>45951.672060185185</v>
      </c>
    </row>
    <row r="12518" spans="1:10" x14ac:dyDescent="0.2">
      <c r="A12518" s="4" t="s">
        <v>1</v>
      </c>
      <c r="B1251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18" s="3" t="str">
        <f>HYPERLINK("https://otsuka-europe-crm.veevavault.com/ui/#object/sent_email__v/VBLZ025E82HQNQW", "SE-000289598")</f>
        <v>SE-000289598</v>
      </c>
      <c r="D12518" s="1" t="s">
        <v>0</v>
      </c>
      <c r="E12518" s="2">
        <v>0</v>
      </c>
      <c r="F12518" s="2">
        <v>0</v>
      </c>
      <c r="G12518" s="2">
        <v>0</v>
      </c>
      <c r="H12518" s="1" t="s">
        <v>0</v>
      </c>
      <c r="I12518" s="2">
        <v>0</v>
      </c>
      <c r="J12518" s="1">
        <v>45951.672071759262</v>
      </c>
    </row>
    <row r="12519" spans="1:10" x14ac:dyDescent="0.2">
      <c r="A12519" s="4" t="s">
        <v>1</v>
      </c>
      <c r="B1251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19" s="3" t="str">
        <f>HYPERLINK("https://otsuka-europe-crm.veevavault.com/ui/#object/sent_email__v/VBLZ025E82HQNQX", "SE-000289599")</f>
        <v>SE-000289599</v>
      </c>
      <c r="D12519" s="1" t="s">
        <v>0</v>
      </c>
      <c r="E12519" s="2">
        <v>0</v>
      </c>
      <c r="F12519" s="2">
        <v>0</v>
      </c>
      <c r="G12519" s="2">
        <v>0</v>
      </c>
      <c r="H12519" s="1" t="s">
        <v>0</v>
      </c>
      <c r="I12519" s="2">
        <v>0</v>
      </c>
      <c r="J12519" s="1">
        <v>45951.672083333331</v>
      </c>
    </row>
    <row r="12520" spans="1:10" x14ac:dyDescent="0.2">
      <c r="A12520" s="4" t="s">
        <v>1</v>
      </c>
      <c r="B1252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20" s="3" t="str">
        <f>HYPERLINK("https://otsuka-europe-crm.veevavault.com/ui/#object/sent_email__v/VBLZ025E82HQNQY", "SE-000289600")</f>
        <v>SE-000289600</v>
      </c>
      <c r="D12520" s="1" t="s">
        <v>0</v>
      </c>
      <c r="E12520" s="2">
        <v>0</v>
      </c>
      <c r="F12520" s="2">
        <v>0</v>
      </c>
      <c r="G12520" s="2">
        <v>0</v>
      </c>
      <c r="H12520" s="1" t="s">
        <v>0</v>
      </c>
      <c r="I12520" s="2">
        <v>0</v>
      </c>
      <c r="J12520" s="1">
        <v>45951.672083333331</v>
      </c>
    </row>
    <row r="12521" spans="1:10" x14ac:dyDescent="0.2">
      <c r="A12521" s="4" t="s">
        <v>1</v>
      </c>
      <c r="B1252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21" s="3" t="str">
        <f>HYPERLINK("https://otsuka-europe-crm.veevavault.com/ui/#object/sent_email__v/VBLZ025E82HQNQZ", "SE-000289601")</f>
        <v>SE-000289601</v>
      </c>
      <c r="D12521" s="1">
        <v>45952.307824074072</v>
      </c>
      <c r="E12521" s="2">
        <v>1</v>
      </c>
      <c r="F12521" s="2">
        <v>1</v>
      </c>
      <c r="G12521" s="2">
        <v>0</v>
      </c>
      <c r="H12521" s="1" t="s">
        <v>0</v>
      </c>
      <c r="I12521" s="2">
        <v>0</v>
      </c>
      <c r="J12521" s="1">
        <v>45951.672106481485</v>
      </c>
    </row>
    <row r="12522" spans="1:10" x14ac:dyDescent="0.2">
      <c r="A12522" s="4" t="s">
        <v>1</v>
      </c>
      <c r="B1252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22" s="3" t="str">
        <f>HYPERLINK("https://otsuka-europe-crm.veevavault.com/ui/#object/sent_email__v/VBLZ025E82HQNR0", "SE-000289602")</f>
        <v>SE-000289602</v>
      </c>
      <c r="D12522" s="1" t="s">
        <v>0</v>
      </c>
      <c r="E12522" s="2">
        <v>0</v>
      </c>
      <c r="F12522" s="2">
        <v>0</v>
      </c>
      <c r="G12522" s="2">
        <v>0</v>
      </c>
      <c r="H12522" s="1" t="s">
        <v>0</v>
      </c>
      <c r="I12522" s="2">
        <v>0</v>
      </c>
      <c r="J12522" s="1">
        <v>45951.672106481485</v>
      </c>
    </row>
    <row r="12523" spans="1:10" x14ac:dyDescent="0.2">
      <c r="A12523" s="4" t="s">
        <v>1</v>
      </c>
      <c r="B1252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23" s="3" t="str">
        <f>HYPERLINK("https://otsuka-europe-crm.veevavault.com/ui/#object/sent_email__v/VBLZ025E82HQNR1", "SE-000289603")</f>
        <v>SE-000289603</v>
      </c>
      <c r="D12523" s="1" t="s">
        <v>0</v>
      </c>
      <c r="E12523" s="2">
        <v>0</v>
      </c>
      <c r="F12523" s="2">
        <v>0</v>
      </c>
      <c r="G12523" s="2">
        <v>0</v>
      </c>
      <c r="H12523" s="1" t="s">
        <v>0</v>
      </c>
      <c r="I12523" s="2">
        <v>0</v>
      </c>
      <c r="J12523" s="1">
        <v>45951.672118055554</v>
      </c>
    </row>
    <row r="12524" spans="1:10" x14ac:dyDescent="0.2">
      <c r="A12524" s="4" t="s">
        <v>1</v>
      </c>
      <c r="B1252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24" s="3" t="str">
        <f>HYPERLINK("https://otsuka-europe-crm.veevavault.com/ui/#object/sent_email__v/VBLZ025E82HQNR2", "SE-000289604")</f>
        <v>SE-000289604</v>
      </c>
      <c r="D12524" s="1">
        <v>45951.949363425927</v>
      </c>
      <c r="E12524" s="2">
        <v>1</v>
      </c>
      <c r="F12524" s="2">
        <v>1</v>
      </c>
      <c r="G12524" s="2">
        <v>0</v>
      </c>
      <c r="H12524" s="1" t="s">
        <v>0</v>
      </c>
      <c r="I12524" s="2">
        <v>0</v>
      </c>
      <c r="J12524" s="1">
        <v>45951.672118055554</v>
      </c>
    </row>
    <row r="12525" spans="1:10" x14ac:dyDescent="0.2">
      <c r="A12525" s="4" t="s">
        <v>1</v>
      </c>
      <c r="B1252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25" s="3" t="str">
        <f>HYPERLINK("https://otsuka-europe-crm.veevavault.com/ui/#object/sent_email__v/VBLZ025E82HQNR3", "SE-000289605")</f>
        <v>SE-000289605</v>
      </c>
      <c r="D12525" s="1" t="s">
        <v>0</v>
      </c>
      <c r="E12525" s="2">
        <v>0</v>
      </c>
      <c r="F12525" s="2">
        <v>0</v>
      </c>
      <c r="G12525" s="2">
        <v>0</v>
      </c>
      <c r="H12525" s="1" t="s">
        <v>0</v>
      </c>
      <c r="I12525" s="2">
        <v>0</v>
      </c>
      <c r="J12525" s="1">
        <v>45951.672129629631</v>
      </c>
    </row>
    <row r="12526" spans="1:10" x14ac:dyDescent="0.2">
      <c r="A12526" s="4" t="s">
        <v>1</v>
      </c>
      <c r="B1252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26" s="3" t="str">
        <f>HYPERLINK("https://otsuka-europe-crm.veevavault.com/ui/#object/sent_email__v/VBLZ025E82HQNR4", "SE-000289606")</f>
        <v>SE-000289606</v>
      </c>
      <c r="D12526" s="1" t="s">
        <v>0</v>
      </c>
      <c r="E12526" s="2">
        <v>0</v>
      </c>
      <c r="F12526" s="2">
        <v>0</v>
      </c>
      <c r="G12526" s="2">
        <v>0</v>
      </c>
      <c r="H12526" s="1" t="s">
        <v>0</v>
      </c>
      <c r="I12526" s="2">
        <v>0</v>
      </c>
      <c r="J12526" s="1">
        <v>45951.6721412037</v>
      </c>
    </row>
    <row r="12527" spans="1:10" x14ac:dyDescent="0.2">
      <c r="A12527" s="4" t="s">
        <v>1</v>
      </c>
      <c r="B1252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27" s="3" t="str">
        <f>HYPERLINK("https://otsuka-europe-crm.veevavault.com/ui/#object/sent_email__v/VBLZ025E82HQNR5", "SE-000289607")</f>
        <v>SE-000289607</v>
      </c>
      <c r="D12527" s="1">
        <v>45989.862164351849</v>
      </c>
      <c r="E12527" s="2">
        <v>1</v>
      </c>
      <c r="F12527" s="2">
        <v>3</v>
      </c>
      <c r="G12527" s="2">
        <v>0</v>
      </c>
      <c r="H12527" s="1" t="s">
        <v>0</v>
      </c>
      <c r="I12527" s="2">
        <v>0</v>
      </c>
      <c r="J12527" s="1">
        <v>45951.672152777777</v>
      </c>
    </row>
    <row r="12528" spans="1:10" x14ac:dyDescent="0.2">
      <c r="A12528" s="4" t="s">
        <v>1</v>
      </c>
      <c r="B1252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28" s="3" t="str">
        <f>HYPERLINK("https://otsuka-europe-crm.veevavault.com/ui/#object/sent_email__v/VBLZ025E82HQNR6", "SE-000289608")</f>
        <v>SE-000289608</v>
      </c>
      <c r="D12528" s="1" t="s">
        <v>0</v>
      </c>
      <c r="E12528" s="2">
        <v>0</v>
      </c>
      <c r="F12528" s="2">
        <v>0</v>
      </c>
      <c r="G12528" s="2">
        <v>0</v>
      </c>
      <c r="H12528" s="1" t="s">
        <v>0</v>
      </c>
      <c r="I12528" s="2">
        <v>0</v>
      </c>
      <c r="J12528" s="1">
        <v>45951.672152777777</v>
      </c>
    </row>
    <row r="12529" spans="1:10" x14ac:dyDescent="0.2">
      <c r="A12529" s="4" t="s">
        <v>1</v>
      </c>
      <c r="B1252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29" s="3" t="str">
        <f>HYPERLINK("https://otsuka-europe-crm.veevavault.com/ui/#object/sent_email__v/VBLZ025E82HQNR7", "SE-000289609")</f>
        <v>SE-000289609</v>
      </c>
      <c r="D12529" s="1" t="s">
        <v>0</v>
      </c>
      <c r="E12529" s="2">
        <v>0</v>
      </c>
      <c r="F12529" s="2">
        <v>0</v>
      </c>
      <c r="G12529" s="2">
        <v>0</v>
      </c>
      <c r="H12529" s="1" t="s">
        <v>0</v>
      </c>
      <c r="I12529" s="2">
        <v>0</v>
      </c>
      <c r="J12529" s="1">
        <v>45951.672164351854</v>
      </c>
    </row>
    <row r="12530" spans="1:10" x14ac:dyDescent="0.2">
      <c r="A12530" s="4" t="s">
        <v>1</v>
      </c>
      <c r="B1253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30" s="3" t="str">
        <f>HYPERLINK("https://otsuka-europe-crm.veevavault.com/ui/#object/sent_email__v/VBLZ025E82HQNR8", "SE-000289610")</f>
        <v>SE-000289610</v>
      </c>
      <c r="D12530" s="1" t="s">
        <v>0</v>
      </c>
      <c r="E12530" s="2">
        <v>0</v>
      </c>
      <c r="F12530" s="2">
        <v>0</v>
      </c>
      <c r="G12530" s="2">
        <v>0</v>
      </c>
      <c r="H12530" s="1" t="s">
        <v>0</v>
      </c>
      <c r="I12530" s="2">
        <v>0</v>
      </c>
      <c r="J12530" s="1">
        <v>45951.672175925924</v>
      </c>
    </row>
    <row r="12531" spans="1:10" x14ac:dyDescent="0.2">
      <c r="A12531" s="4" t="s">
        <v>1</v>
      </c>
      <c r="B1253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31" s="3" t="str">
        <f>HYPERLINK("https://otsuka-europe-crm.veevavault.com/ui/#object/sent_email__v/VBLZ025E82HQNR9", "SE-000289611")</f>
        <v>SE-000289611</v>
      </c>
      <c r="D12531" s="1" t="s">
        <v>0</v>
      </c>
      <c r="E12531" s="2">
        <v>0</v>
      </c>
      <c r="F12531" s="2">
        <v>0</v>
      </c>
      <c r="G12531" s="2">
        <v>0</v>
      </c>
      <c r="H12531" s="1" t="s">
        <v>0</v>
      </c>
      <c r="I12531" s="2">
        <v>0</v>
      </c>
      <c r="J12531" s="1">
        <v>45951.672199074077</v>
      </c>
    </row>
    <row r="12532" spans="1:10" x14ac:dyDescent="0.2">
      <c r="A12532" s="4" t="s">
        <v>1</v>
      </c>
      <c r="B1253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32" s="3" t="str">
        <f>HYPERLINK("https://otsuka-europe-crm.veevavault.com/ui/#object/sent_email__v/VBLZ025E82HQNRA", "SE-000289612")</f>
        <v>SE-000289612</v>
      </c>
      <c r="D12532" s="1" t="s">
        <v>0</v>
      </c>
      <c r="E12532" s="2">
        <v>0</v>
      </c>
      <c r="F12532" s="2">
        <v>0</v>
      </c>
      <c r="G12532" s="2">
        <v>0</v>
      </c>
      <c r="H12532" s="1" t="s">
        <v>0</v>
      </c>
      <c r="I12532" s="2">
        <v>0</v>
      </c>
      <c r="J12532" s="1">
        <v>45951.672210648147</v>
      </c>
    </row>
    <row r="12533" spans="1:10" x14ac:dyDescent="0.2">
      <c r="A12533" s="4" t="s">
        <v>1</v>
      </c>
      <c r="B1253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33" s="3" t="str">
        <f>HYPERLINK("https://otsuka-europe-crm.veevavault.com/ui/#object/sent_email__v/VBLZ025E82HQNRB", "SE-000289613")</f>
        <v>SE-000289613</v>
      </c>
      <c r="D12533" s="1">
        <v>45952.228703703702</v>
      </c>
      <c r="E12533" s="2">
        <v>1</v>
      </c>
      <c r="F12533" s="2">
        <v>1</v>
      </c>
      <c r="G12533" s="2">
        <v>0</v>
      </c>
      <c r="H12533" s="1" t="s">
        <v>0</v>
      </c>
      <c r="I12533" s="2">
        <v>0</v>
      </c>
      <c r="J12533" s="1">
        <v>45951.672210648147</v>
      </c>
    </row>
    <row r="12534" spans="1:10" x14ac:dyDescent="0.2">
      <c r="A12534" s="4" t="s">
        <v>1</v>
      </c>
      <c r="B1253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34" s="3" t="str">
        <f>HYPERLINK("https://otsuka-europe-crm.veevavault.com/ui/#object/sent_email__v/VBLZ025E82HQNRC", "SE-000289614")</f>
        <v>SE-000289614</v>
      </c>
      <c r="D12534" s="1" t="s">
        <v>0</v>
      </c>
      <c r="E12534" s="2">
        <v>0</v>
      </c>
      <c r="F12534" s="2">
        <v>0</v>
      </c>
      <c r="G12534" s="2">
        <v>0</v>
      </c>
      <c r="H12534" s="1" t="s">
        <v>0</v>
      </c>
      <c r="I12534" s="2">
        <v>0</v>
      </c>
      <c r="J12534" s="1">
        <v>45951.672222222223</v>
      </c>
    </row>
    <row r="12535" spans="1:10" x14ac:dyDescent="0.2">
      <c r="A12535" s="4" t="s">
        <v>1</v>
      </c>
      <c r="B1253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35" s="3" t="str">
        <f>HYPERLINK("https://otsuka-europe-crm.veevavault.com/ui/#object/sent_email__v/VBLZ025E82HQNRD", "SE-000289615")</f>
        <v>SE-000289615</v>
      </c>
      <c r="D12535" s="1">
        <v>45953.793749999997</v>
      </c>
      <c r="E12535" s="2">
        <v>1</v>
      </c>
      <c r="F12535" s="2">
        <v>1</v>
      </c>
      <c r="G12535" s="2">
        <v>0</v>
      </c>
      <c r="H12535" s="1" t="s">
        <v>0</v>
      </c>
      <c r="I12535" s="2">
        <v>0</v>
      </c>
      <c r="J12535" s="1">
        <v>45951.672222222223</v>
      </c>
    </row>
    <row r="12536" spans="1:10" x14ac:dyDescent="0.2">
      <c r="A12536" s="4" t="s">
        <v>1</v>
      </c>
      <c r="B1253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36" s="3" t="str">
        <f>HYPERLINK("https://otsuka-europe-crm.veevavault.com/ui/#object/sent_email__v/VBLZ025E82HQNRE", "SE-000289616")</f>
        <v>SE-000289616</v>
      </c>
      <c r="D12536" s="1">
        <v>45952.225081018521</v>
      </c>
      <c r="E12536" s="2">
        <v>1</v>
      </c>
      <c r="F12536" s="2">
        <v>1</v>
      </c>
      <c r="G12536" s="2">
        <v>0</v>
      </c>
      <c r="H12536" s="1" t="s">
        <v>0</v>
      </c>
      <c r="I12536" s="2">
        <v>0</v>
      </c>
      <c r="J12536" s="1">
        <v>45951.672233796293</v>
      </c>
    </row>
    <row r="12537" spans="1:10" x14ac:dyDescent="0.2">
      <c r="A12537" s="4" t="s">
        <v>1</v>
      </c>
      <c r="B1253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37" s="3" t="str">
        <f>HYPERLINK("https://otsuka-europe-crm.veevavault.com/ui/#object/sent_email__v/VBLZ025E82HQNRF", "SE-000289617")</f>
        <v>SE-000289617</v>
      </c>
      <c r="D12537" s="1" t="s">
        <v>0</v>
      </c>
      <c r="E12537" s="2">
        <v>0</v>
      </c>
      <c r="F12537" s="2">
        <v>0</v>
      </c>
      <c r="G12537" s="2">
        <v>0</v>
      </c>
      <c r="H12537" s="1" t="s">
        <v>0</v>
      </c>
      <c r="I12537" s="2">
        <v>0</v>
      </c>
      <c r="J12537" s="1">
        <v>45951.67224537037</v>
      </c>
    </row>
    <row r="12538" spans="1:10" x14ac:dyDescent="0.2">
      <c r="A12538" s="4" t="s">
        <v>1</v>
      </c>
      <c r="B1253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38" s="3" t="str">
        <f>HYPERLINK("https://otsuka-europe-crm.veevavault.com/ui/#object/sent_email__v/VBLZ025E82HQNRG", "SE-000289618")</f>
        <v>SE-000289618</v>
      </c>
      <c r="D12538" s="1" t="s">
        <v>0</v>
      </c>
      <c r="E12538" s="2">
        <v>0</v>
      </c>
      <c r="F12538" s="2">
        <v>0</v>
      </c>
      <c r="G12538" s="2">
        <v>0</v>
      </c>
      <c r="H12538" s="1" t="s">
        <v>0</v>
      </c>
      <c r="I12538" s="2">
        <v>0</v>
      </c>
      <c r="J12538" s="1">
        <v>45951.672256944446</v>
      </c>
    </row>
    <row r="12539" spans="1:10" x14ac:dyDescent="0.2">
      <c r="A12539" s="4" t="s">
        <v>1</v>
      </c>
      <c r="B1253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39" s="3" t="str">
        <f>HYPERLINK("https://otsuka-europe-crm.veevavault.com/ui/#object/sent_email__v/VBLZ025E82HQNRH", "SE-000289619")</f>
        <v>SE-000289619</v>
      </c>
      <c r="D12539" s="1">
        <v>45952.765520833331</v>
      </c>
      <c r="E12539" s="2">
        <v>1</v>
      </c>
      <c r="F12539" s="2">
        <v>1</v>
      </c>
      <c r="G12539" s="2">
        <v>0</v>
      </c>
      <c r="H12539" s="1" t="s">
        <v>0</v>
      </c>
      <c r="I12539" s="2">
        <v>0</v>
      </c>
      <c r="J12539" s="1">
        <v>45951.672256944446</v>
      </c>
    </row>
    <row r="12540" spans="1:10" x14ac:dyDescent="0.2">
      <c r="A12540" s="4" t="s">
        <v>1</v>
      </c>
      <c r="B1254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40" s="3" t="str">
        <f>HYPERLINK("https://otsuka-europe-crm.veevavault.com/ui/#object/sent_email__v/VBLZ025E82HQNRI", "SE-000289620")</f>
        <v>SE-000289620</v>
      </c>
      <c r="D12540" s="1">
        <v>45951.932824074072</v>
      </c>
      <c r="E12540" s="2">
        <v>1</v>
      </c>
      <c r="F12540" s="2">
        <v>1</v>
      </c>
      <c r="G12540" s="2">
        <v>0</v>
      </c>
      <c r="H12540" s="1" t="s">
        <v>0</v>
      </c>
      <c r="I12540" s="2">
        <v>0</v>
      </c>
      <c r="J12540" s="1">
        <v>45951.672280092593</v>
      </c>
    </row>
    <row r="12541" spans="1:10" x14ac:dyDescent="0.2">
      <c r="A12541" s="4" t="s">
        <v>1</v>
      </c>
      <c r="B1254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41" s="3" t="str">
        <f>HYPERLINK("https://otsuka-europe-crm.veevavault.com/ui/#object/sent_email__v/VBLZ025E82HQNRJ", "SE-000289621")</f>
        <v>SE-000289621</v>
      </c>
      <c r="D12541" s="1" t="s">
        <v>0</v>
      </c>
      <c r="E12541" s="2">
        <v>0</v>
      </c>
      <c r="F12541" s="2">
        <v>0</v>
      </c>
      <c r="G12541" s="2">
        <v>0</v>
      </c>
      <c r="H12541" s="1" t="s">
        <v>0</v>
      </c>
      <c r="I12541" s="2">
        <v>0</v>
      </c>
      <c r="J12541" s="1">
        <v>45951.672291666669</v>
      </c>
    </row>
    <row r="12542" spans="1:10" x14ac:dyDescent="0.2">
      <c r="A12542" s="4" t="s">
        <v>1</v>
      </c>
      <c r="B1254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42" s="3" t="str">
        <f>HYPERLINK("https://otsuka-europe-crm.veevavault.com/ui/#object/sent_email__v/VBLZ025E82HQNRK", "SE-000289622")</f>
        <v>SE-000289622</v>
      </c>
      <c r="D12542" s="1">
        <v>45951.950844907406</v>
      </c>
      <c r="E12542" s="2">
        <v>1</v>
      </c>
      <c r="F12542" s="2">
        <v>1</v>
      </c>
      <c r="G12542" s="2">
        <v>0</v>
      </c>
      <c r="H12542" s="1" t="s">
        <v>0</v>
      </c>
      <c r="I12542" s="2">
        <v>0</v>
      </c>
      <c r="J12542" s="1">
        <v>45951.672291666669</v>
      </c>
    </row>
    <row r="12543" spans="1:10" x14ac:dyDescent="0.2">
      <c r="A12543" s="4" t="s">
        <v>1</v>
      </c>
      <c r="B1254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43" s="3" t="str">
        <f>HYPERLINK("https://otsuka-europe-crm.veevavault.com/ui/#object/sent_email__v/VBLZ025E82HQNRL", "SE-000289623")</f>
        <v>SE-000289623</v>
      </c>
      <c r="D12543" s="1">
        <v>45951.680034722223</v>
      </c>
      <c r="E12543" s="2">
        <v>1</v>
      </c>
      <c r="F12543" s="2">
        <v>1</v>
      </c>
      <c r="G12543" s="2">
        <v>0</v>
      </c>
      <c r="H12543" s="1" t="s">
        <v>0</v>
      </c>
      <c r="I12543" s="2">
        <v>0</v>
      </c>
      <c r="J12543" s="1">
        <v>45951.672303240739</v>
      </c>
    </row>
    <row r="12544" spans="1:10" x14ac:dyDescent="0.2">
      <c r="A12544" s="4" t="s">
        <v>1</v>
      </c>
      <c r="B1254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44" s="3" t="str">
        <f>HYPERLINK("https://otsuka-europe-crm.veevavault.com/ui/#object/sent_email__v/VBLZ025E82HQNRM", "SE-000289624")</f>
        <v>SE-000289624</v>
      </c>
      <c r="D12544" s="1">
        <v>45951.676921296297</v>
      </c>
      <c r="E12544" s="2">
        <v>1</v>
      </c>
      <c r="F12544" s="2">
        <v>1</v>
      </c>
      <c r="G12544" s="2">
        <v>0</v>
      </c>
      <c r="H12544" s="1" t="s">
        <v>0</v>
      </c>
      <c r="I12544" s="2">
        <v>0</v>
      </c>
      <c r="J12544" s="1">
        <v>45951.672314814816</v>
      </c>
    </row>
    <row r="12545" spans="1:10" x14ac:dyDescent="0.2">
      <c r="A12545" s="4" t="s">
        <v>1</v>
      </c>
      <c r="B1254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45" s="3" t="str">
        <f>HYPERLINK("https://otsuka-europe-crm.veevavault.com/ui/#object/sent_email__v/VBLZ025E82HQNRN", "SE-000289625")</f>
        <v>SE-000289625</v>
      </c>
      <c r="D12545" s="1" t="s">
        <v>0</v>
      </c>
      <c r="E12545" s="2">
        <v>0</v>
      </c>
      <c r="F12545" s="2">
        <v>0</v>
      </c>
      <c r="G12545" s="2">
        <v>0</v>
      </c>
      <c r="H12545" s="1" t="s">
        <v>0</v>
      </c>
      <c r="I12545" s="2">
        <v>0</v>
      </c>
      <c r="J12545" s="1">
        <v>45951.672314814816</v>
      </c>
    </row>
    <row r="12546" spans="1:10" x14ac:dyDescent="0.2">
      <c r="A12546" s="4" t="s">
        <v>1</v>
      </c>
      <c r="B1254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46" s="3" t="str">
        <f>HYPERLINK("https://otsuka-europe-crm.veevavault.com/ui/#object/sent_email__v/VBLZ025E82HQNRO", "SE-000289626")</f>
        <v>SE-000289626</v>
      </c>
      <c r="D12546" s="1" t="s">
        <v>0</v>
      </c>
      <c r="E12546" s="2">
        <v>0</v>
      </c>
      <c r="F12546" s="2">
        <v>0</v>
      </c>
      <c r="G12546" s="2">
        <v>0</v>
      </c>
      <c r="H12546" s="1" t="s">
        <v>0</v>
      </c>
      <c r="I12546" s="2">
        <v>0</v>
      </c>
      <c r="J12546" s="1">
        <v>45951.672326388885</v>
      </c>
    </row>
    <row r="12547" spans="1:10" x14ac:dyDescent="0.2">
      <c r="A12547" s="4" t="s">
        <v>1</v>
      </c>
      <c r="B1254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47" s="3" t="str">
        <f>HYPERLINK("https://otsuka-europe-crm.veevavault.com/ui/#object/sent_email__v/VBLZ025E82HQNRP", "SE-000289627")</f>
        <v>SE-000289627</v>
      </c>
      <c r="D12547" s="1">
        <v>45959.711585648147</v>
      </c>
      <c r="E12547" s="2">
        <v>1</v>
      </c>
      <c r="F12547" s="2">
        <v>2</v>
      </c>
      <c r="G12547" s="2">
        <v>0</v>
      </c>
      <c r="H12547" s="1" t="s">
        <v>0</v>
      </c>
      <c r="I12547" s="2">
        <v>0</v>
      </c>
      <c r="J12547" s="1">
        <v>45951.672337962962</v>
      </c>
    </row>
    <row r="12548" spans="1:10" x14ac:dyDescent="0.2">
      <c r="A12548" s="4" t="s">
        <v>1</v>
      </c>
      <c r="B1254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48" s="3" t="str">
        <f>HYPERLINK("https://otsuka-europe-crm.veevavault.com/ui/#object/sent_email__v/VBLZ025E82HQNRQ", "SE-000289628")</f>
        <v>SE-000289628</v>
      </c>
      <c r="D12548" s="1">
        <v>45962.393796296295</v>
      </c>
      <c r="E12548" s="2">
        <v>1</v>
      </c>
      <c r="F12548" s="2">
        <v>2</v>
      </c>
      <c r="G12548" s="2">
        <v>0</v>
      </c>
      <c r="H12548" s="1" t="s">
        <v>0</v>
      </c>
      <c r="I12548" s="2">
        <v>0</v>
      </c>
      <c r="J12548" s="1">
        <v>45951.672349537039</v>
      </c>
    </row>
    <row r="12549" spans="1:10" x14ac:dyDescent="0.2">
      <c r="A12549" s="4" t="s">
        <v>1</v>
      </c>
      <c r="B1254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49" s="3" t="str">
        <f>HYPERLINK("https://otsuka-europe-crm.veevavault.com/ui/#object/sent_email__v/VBLZ025E82HQNRR", "SE-000289629")</f>
        <v>SE-000289629</v>
      </c>
      <c r="D12549" s="1">
        <v>45951.702037037037</v>
      </c>
      <c r="E12549" s="2">
        <v>1</v>
      </c>
      <c r="F12549" s="2">
        <v>1</v>
      </c>
      <c r="G12549" s="2">
        <v>0</v>
      </c>
      <c r="H12549" s="1" t="s">
        <v>0</v>
      </c>
      <c r="I12549" s="2">
        <v>0</v>
      </c>
      <c r="J12549" s="1">
        <v>45951.672361111108</v>
      </c>
    </row>
    <row r="12550" spans="1:10" x14ac:dyDescent="0.2">
      <c r="A12550" s="4" t="s">
        <v>1</v>
      </c>
      <c r="B1255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50" s="3" t="str">
        <f>HYPERLINK("https://otsuka-europe-crm.veevavault.com/ui/#object/sent_email__v/VBLZ025E82HQNRS", "SE-000289630")</f>
        <v>SE-000289630</v>
      </c>
      <c r="D12550" s="1" t="s">
        <v>0</v>
      </c>
      <c r="E12550" s="2">
        <v>0</v>
      </c>
      <c r="F12550" s="2">
        <v>0</v>
      </c>
      <c r="G12550" s="2">
        <v>0</v>
      </c>
      <c r="H12550" s="1" t="s">
        <v>0</v>
      </c>
      <c r="I12550" s="2">
        <v>0</v>
      </c>
      <c r="J12550" s="1">
        <v>45951.672372685185</v>
      </c>
    </row>
    <row r="12551" spans="1:10" x14ac:dyDescent="0.2">
      <c r="A12551" s="4" t="s">
        <v>1</v>
      </c>
      <c r="B1255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51" s="3" t="str">
        <f>HYPERLINK("https://otsuka-europe-crm.veevavault.com/ui/#object/sent_email__v/VBLZ025E82HQNRT", "SE-000289631")</f>
        <v>SE-000289631</v>
      </c>
      <c r="D12551" s="1">
        <v>45952.2890162037</v>
      </c>
      <c r="E12551" s="2">
        <v>1</v>
      </c>
      <c r="F12551" s="2">
        <v>2</v>
      </c>
      <c r="G12551" s="2">
        <v>0</v>
      </c>
      <c r="H12551" s="1" t="s">
        <v>0</v>
      </c>
      <c r="I12551" s="2">
        <v>0</v>
      </c>
      <c r="J12551" s="1">
        <v>45951.672384259262</v>
      </c>
    </row>
    <row r="12552" spans="1:10" x14ac:dyDescent="0.2">
      <c r="A12552" s="4" t="s">
        <v>1</v>
      </c>
      <c r="B1255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52" s="3" t="str">
        <f>HYPERLINK("https://otsuka-europe-crm.veevavault.com/ui/#object/sent_email__v/VBLZ025E82HQNRU", "SE-000289632")</f>
        <v>SE-000289632</v>
      </c>
      <c r="D12552" s="1">
        <v>45951.742175925923</v>
      </c>
      <c r="E12552" s="2">
        <v>1</v>
      </c>
      <c r="F12552" s="2">
        <v>1</v>
      </c>
      <c r="G12552" s="2">
        <v>0</v>
      </c>
      <c r="H12552" s="1" t="s">
        <v>0</v>
      </c>
      <c r="I12552" s="2">
        <v>0</v>
      </c>
      <c r="J12552" s="1">
        <v>45951.672395833331</v>
      </c>
    </row>
    <row r="12553" spans="1:10" x14ac:dyDescent="0.2">
      <c r="A12553" s="4" t="s">
        <v>1</v>
      </c>
      <c r="B1255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53" s="3" t="str">
        <f>HYPERLINK("https://otsuka-europe-crm.veevavault.com/ui/#object/sent_email__v/VBLZ025E82HQNRV", "SE-000289633")</f>
        <v>SE-000289633</v>
      </c>
      <c r="D12553" s="1" t="s">
        <v>0</v>
      </c>
      <c r="E12553" s="2">
        <v>0</v>
      </c>
      <c r="F12553" s="2">
        <v>0</v>
      </c>
      <c r="G12553" s="2">
        <v>0</v>
      </c>
      <c r="H12553" s="1" t="s">
        <v>0</v>
      </c>
      <c r="I12553" s="2">
        <v>0</v>
      </c>
      <c r="J12553" s="1">
        <v>45951.672395833331</v>
      </c>
    </row>
    <row r="12554" spans="1:10" x14ac:dyDescent="0.2">
      <c r="A12554" s="4" t="s">
        <v>1</v>
      </c>
      <c r="B1255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54" s="3" t="str">
        <f>HYPERLINK("https://otsuka-europe-crm.veevavault.com/ui/#object/sent_email__v/VBLZ025E82HQNRW", "SE-000289634")</f>
        <v>SE-000289634</v>
      </c>
      <c r="D12554" s="1">
        <v>45951.824189814812</v>
      </c>
      <c r="E12554" s="2">
        <v>1</v>
      </c>
      <c r="F12554" s="2">
        <v>2</v>
      </c>
      <c r="G12554" s="2">
        <v>0</v>
      </c>
      <c r="H12554" s="1" t="s">
        <v>0</v>
      </c>
      <c r="I12554" s="2">
        <v>0</v>
      </c>
      <c r="J12554" s="1">
        <v>45951.672407407408</v>
      </c>
    </row>
    <row r="12555" spans="1:10" x14ac:dyDescent="0.2">
      <c r="A12555" s="4" t="s">
        <v>1</v>
      </c>
      <c r="B1255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55" s="3" t="str">
        <f>HYPERLINK("https://otsuka-europe-crm.veevavault.com/ui/#object/sent_email__v/VBLZ025E82HQNRX", "SE-000289635")</f>
        <v>SE-000289635</v>
      </c>
      <c r="D12555" s="1">
        <v>45951.676932870374</v>
      </c>
      <c r="E12555" s="2">
        <v>1</v>
      </c>
      <c r="F12555" s="2">
        <v>1</v>
      </c>
      <c r="G12555" s="2">
        <v>0</v>
      </c>
      <c r="H12555" s="1" t="s">
        <v>0</v>
      </c>
      <c r="I12555" s="2">
        <v>0</v>
      </c>
      <c r="J12555" s="1">
        <v>45951.672418981485</v>
      </c>
    </row>
    <row r="12556" spans="1:10" x14ac:dyDescent="0.2">
      <c r="A12556" s="4" t="s">
        <v>1</v>
      </c>
      <c r="B1255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56" s="3" t="str">
        <f>HYPERLINK("https://otsuka-europe-crm.veevavault.com/ui/#object/sent_email__v/VBLZ025E82HQNRY", "SE-000289636")</f>
        <v>SE-000289636</v>
      </c>
      <c r="D12556" s="1" t="s">
        <v>0</v>
      </c>
      <c r="E12556" s="2">
        <v>0</v>
      </c>
      <c r="F12556" s="2">
        <v>0</v>
      </c>
      <c r="G12556" s="2">
        <v>0</v>
      </c>
      <c r="H12556" s="1" t="s">
        <v>0</v>
      </c>
      <c r="I12556" s="2">
        <v>0</v>
      </c>
      <c r="J12556" s="1">
        <v>45951.672430555554</v>
      </c>
    </row>
    <row r="12557" spans="1:10" x14ac:dyDescent="0.2">
      <c r="A12557" s="4" t="s">
        <v>1</v>
      </c>
      <c r="B1255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57" s="3" t="str">
        <f>HYPERLINK("https://otsuka-europe-crm.veevavault.com/ui/#object/sent_email__v/VBLZ025E82HQNRZ", "SE-000289637")</f>
        <v>SE-000289637</v>
      </c>
      <c r="D12557" s="1">
        <v>45951.92260416667</v>
      </c>
      <c r="E12557" s="2">
        <v>1</v>
      </c>
      <c r="F12557" s="2">
        <v>1</v>
      </c>
      <c r="G12557" s="2">
        <v>0</v>
      </c>
      <c r="H12557" s="1" t="s">
        <v>0</v>
      </c>
      <c r="I12557" s="2">
        <v>0</v>
      </c>
      <c r="J12557" s="1">
        <v>45951.672430555554</v>
      </c>
    </row>
    <row r="12558" spans="1:10" x14ac:dyDescent="0.2">
      <c r="A12558" s="4" t="s">
        <v>1</v>
      </c>
      <c r="B1255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58" s="3" t="str">
        <f>HYPERLINK("https://otsuka-europe-crm.veevavault.com/ui/#object/sent_email__v/VBLZ025E82HQNS0", "SE-000289638")</f>
        <v>SE-000289638</v>
      </c>
      <c r="D12558" s="1" t="s">
        <v>0</v>
      </c>
      <c r="E12558" s="2">
        <v>0</v>
      </c>
      <c r="F12558" s="2">
        <v>0</v>
      </c>
      <c r="G12558" s="2">
        <v>0</v>
      </c>
      <c r="H12558" s="1" t="s">
        <v>0</v>
      </c>
      <c r="I12558" s="2">
        <v>0</v>
      </c>
      <c r="J12558" s="1">
        <v>45951.672442129631</v>
      </c>
    </row>
    <row r="12559" spans="1:10" x14ac:dyDescent="0.2">
      <c r="A12559" s="4" t="s">
        <v>1</v>
      </c>
      <c r="B1255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59" s="3" t="str">
        <f>HYPERLINK("https://otsuka-europe-crm.veevavault.com/ui/#object/sent_email__v/VBLZ025E82HQNS1", "SE-000289639")</f>
        <v>SE-000289639</v>
      </c>
      <c r="D12559" s="1">
        <v>45951.926226851851</v>
      </c>
      <c r="E12559" s="2">
        <v>1</v>
      </c>
      <c r="F12559" s="2">
        <v>1</v>
      </c>
      <c r="G12559" s="2">
        <v>0</v>
      </c>
      <c r="H12559" s="1" t="s">
        <v>0</v>
      </c>
      <c r="I12559" s="2">
        <v>0</v>
      </c>
      <c r="J12559" s="1">
        <v>45951.672453703701</v>
      </c>
    </row>
    <row r="12560" spans="1:10" x14ac:dyDescent="0.2">
      <c r="A12560" s="4" t="s">
        <v>1</v>
      </c>
      <c r="B1256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60" s="3" t="str">
        <f>HYPERLINK("https://otsuka-europe-crm.veevavault.com/ui/#object/sent_email__v/VBLZ025E82HQNS2", "SE-000289640")</f>
        <v>SE-000289640</v>
      </c>
      <c r="D12560" s="1">
        <v>45951.678460648145</v>
      </c>
      <c r="E12560" s="2">
        <v>1</v>
      </c>
      <c r="F12560" s="2">
        <v>1</v>
      </c>
      <c r="G12560" s="2">
        <v>0</v>
      </c>
      <c r="H12560" s="1" t="s">
        <v>0</v>
      </c>
      <c r="I12560" s="2">
        <v>0</v>
      </c>
      <c r="J12560" s="1">
        <v>45951.672465277778</v>
      </c>
    </row>
    <row r="12561" spans="1:10" x14ac:dyDescent="0.2">
      <c r="A12561" s="4" t="s">
        <v>1</v>
      </c>
      <c r="B1256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61" s="3" t="str">
        <f>HYPERLINK("https://otsuka-europe-crm.veevavault.com/ui/#object/sent_email__v/VBLZ025E82HQNS3", "SE-000289641")</f>
        <v>SE-000289641</v>
      </c>
      <c r="D12561" s="1">
        <v>45952.718009259261</v>
      </c>
      <c r="E12561" s="2">
        <v>1</v>
      </c>
      <c r="F12561" s="2">
        <v>3</v>
      </c>
      <c r="G12561" s="2">
        <v>0</v>
      </c>
      <c r="H12561" s="1" t="s">
        <v>0</v>
      </c>
      <c r="I12561" s="2">
        <v>0</v>
      </c>
      <c r="J12561" s="1">
        <v>45951.672476851854</v>
      </c>
    </row>
    <row r="12562" spans="1:10" x14ac:dyDescent="0.2">
      <c r="A12562" s="4" t="s">
        <v>1</v>
      </c>
      <c r="B1256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62" s="3" t="str">
        <f>HYPERLINK("https://otsuka-europe-crm.veevavault.com/ui/#object/sent_email__v/VBLZ025E82HQNS4", "SE-000289642")</f>
        <v>SE-000289642</v>
      </c>
      <c r="D12562" s="1">
        <v>45958.752546296295</v>
      </c>
      <c r="E12562" s="2">
        <v>1</v>
      </c>
      <c r="F12562" s="2">
        <v>1</v>
      </c>
      <c r="G12562" s="2">
        <v>0</v>
      </c>
      <c r="H12562" s="1" t="s">
        <v>0</v>
      </c>
      <c r="I12562" s="2">
        <v>0</v>
      </c>
      <c r="J12562" s="1">
        <v>45951.672488425924</v>
      </c>
    </row>
    <row r="12563" spans="1:10" x14ac:dyDescent="0.2">
      <c r="A12563" s="4" t="s">
        <v>1</v>
      </c>
      <c r="B1256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63" s="3" t="str">
        <f>HYPERLINK("https://otsuka-europe-crm.veevavault.com/ui/#object/sent_email__v/VBLZ025E82HQNS5", "SE-000289643")</f>
        <v>SE-000289643</v>
      </c>
      <c r="D12563" s="1" t="s">
        <v>0</v>
      </c>
      <c r="E12563" s="2">
        <v>0</v>
      </c>
      <c r="F12563" s="2">
        <v>0</v>
      </c>
      <c r="G12563" s="2">
        <v>0</v>
      </c>
      <c r="H12563" s="1" t="s">
        <v>0</v>
      </c>
      <c r="I12563" s="2">
        <v>0</v>
      </c>
      <c r="J12563" s="1">
        <v>45951.672488425924</v>
      </c>
    </row>
    <row r="12564" spans="1:10" x14ac:dyDescent="0.2">
      <c r="A12564" s="4" t="s">
        <v>1</v>
      </c>
      <c r="B1256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64" s="3" t="str">
        <f>HYPERLINK("https://otsuka-europe-crm.veevavault.com/ui/#object/sent_email__v/VBLZ025E82HQNS6", "SE-000289644")</f>
        <v>SE-000289644</v>
      </c>
      <c r="D12564" s="1" t="s">
        <v>0</v>
      </c>
      <c r="E12564" s="2">
        <v>0</v>
      </c>
      <c r="F12564" s="2">
        <v>0</v>
      </c>
      <c r="G12564" s="2">
        <v>0</v>
      </c>
      <c r="H12564" s="1" t="s">
        <v>0</v>
      </c>
      <c r="I12564" s="2">
        <v>0</v>
      </c>
      <c r="J12564" s="1">
        <v>45951.672500000001</v>
      </c>
    </row>
    <row r="12565" spans="1:10" x14ac:dyDescent="0.2">
      <c r="A12565" s="4" t="s">
        <v>1</v>
      </c>
      <c r="B1256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65" s="3" t="str">
        <f>HYPERLINK("https://otsuka-europe-crm.veevavault.com/ui/#object/sent_email__v/VBLZ025E82HQNS7", "SE-000289645")</f>
        <v>SE-000289645</v>
      </c>
      <c r="D12565" s="1">
        <v>45952.241909722223</v>
      </c>
      <c r="E12565" s="2">
        <v>1</v>
      </c>
      <c r="F12565" s="2">
        <v>2</v>
      </c>
      <c r="G12565" s="2">
        <v>0</v>
      </c>
      <c r="H12565" s="1" t="s">
        <v>0</v>
      </c>
      <c r="I12565" s="2">
        <v>0</v>
      </c>
      <c r="J12565" s="1">
        <v>45951.672511574077</v>
      </c>
    </row>
    <row r="12566" spans="1:10" x14ac:dyDescent="0.2">
      <c r="A12566" s="4" t="s">
        <v>1</v>
      </c>
      <c r="B1256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66" s="3" t="str">
        <f>HYPERLINK("https://otsuka-europe-crm.veevavault.com/ui/#object/sent_email__v/VBLZ025E82HQNS8", "SE-000289646")</f>
        <v>SE-000289646</v>
      </c>
      <c r="D12566" s="1" t="s">
        <v>0</v>
      </c>
      <c r="E12566" s="2">
        <v>0</v>
      </c>
      <c r="F12566" s="2">
        <v>0</v>
      </c>
      <c r="G12566" s="2">
        <v>0</v>
      </c>
      <c r="H12566" s="1" t="s">
        <v>0</v>
      </c>
      <c r="I12566" s="2">
        <v>0</v>
      </c>
      <c r="J12566" s="1">
        <v>45951.672523148147</v>
      </c>
    </row>
    <row r="12567" spans="1:10" x14ac:dyDescent="0.2">
      <c r="A12567" s="4" t="s">
        <v>1</v>
      </c>
      <c r="B1256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67" s="3" t="str">
        <f>HYPERLINK("https://otsuka-europe-crm.veevavault.com/ui/#object/sent_email__v/VBLZ025E82HQNS9", "SE-000289647")</f>
        <v>SE-000289647</v>
      </c>
      <c r="D12567" s="1" t="s">
        <v>0</v>
      </c>
      <c r="E12567" s="2">
        <v>0</v>
      </c>
      <c r="F12567" s="2">
        <v>0</v>
      </c>
      <c r="G12567" s="2">
        <v>0</v>
      </c>
      <c r="H12567" s="1" t="s">
        <v>0</v>
      </c>
      <c r="I12567" s="2">
        <v>0</v>
      </c>
      <c r="J12567" s="1">
        <v>45951.672534722224</v>
      </c>
    </row>
    <row r="12568" spans="1:10" x14ac:dyDescent="0.2">
      <c r="A12568" s="4" t="s">
        <v>1</v>
      </c>
      <c r="B1256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68" s="3" t="str">
        <f>HYPERLINK("https://otsuka-europe-crm.veevavault.com/ui/#object/sent_email__v/VBLZ025E82HQNSA", "SE-000289648")</f>
        <v>SE-000289648</v>
      </c>
      <c r="D12568" s="1">
        <v>45951.689039351855</v>
      </c>
      <c r="E12568" s="2">
        <v>1</v>
      </c>
      <c r="F12568" s="2">
        <v>1</v>
      </c>
      <c r="G12568" s="2">
        <v>0</v>
      </c>
      <c r="H12568" s="1" t="s">
        <v>0</v>
      </c>
      <c r="I12568" s="2">
        <v>0</v>
      </c>
      <c r="J12568" s="1">
        <v>45951.672546296293</v>
      </c>
    </row>
    <row r="12569" spans="1:10" x14ac:dyDescent="0.2">
      <c r="A12569" s="4" t="s">
        <v>1</v>
      </c>
      <c r="B1256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69" s="3" t="str">
        <f>HYPERLINK("https://otsuka-europe-crm.veevavault.com/ui/#object/sent_email__v/VBLZ025E82HQNSB", "SE-000289649")</f>
        <v>SE-000289649</v>
      </c>
      <c r="D12569" s="1">
        <v>45951.82849537037</v>
      </c>
      <c r="E12569" s="2">
        <v>1</v>
      </c>
      <c r="F12569" s="2">
        <v>2</v>
      </c>
      <c r="G12569" s="2">
        <v>0</v>
      </c>
      <c r="H12569" s="1" t="s">
        <v>0</v>
      </c>
      <c r="I12569" s="2">
        <v>0</v>
      </c>
      <c r="J12569" s="1">
        <v>45951.67255787037</v>
      </c>
    </row>
    <row r="12570" spans="1:10" x14ac:dyDescent="0.2">
      <c r="A12570" s="4" t="s">
        <v>1</v>
      </c>
      <c r="B1257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70" s="3" t="str">
        <f>HYPERLINK("https://otsuka-europe-crm.veevavault.com/ui/#object/sent_email__v/VBLZ025E82HQP7L", "SE-000289767")</f>
        <v>SE-000289767</v>
      </c>
      <c r="D12570" s="1">
        <v>45951.742627314816</v>
      </c>
      <c r="E12570" s="2">
        <v>1</v>
      </c>
      <c r="F12570" s="2">
        <v>1</v>
      </c>
      <c r="G12570" s="2">
        <v>0</v>
      </c>
      <c r="H12570" s="1" t="s">
        <v>0</v>
      </c>
      <c r="I12570" s="2">
        <v>0</v>
      </c>
      <c r="J12570" s="1">
        <v>45951.692002314812</v>
      </c>
    </row>
    <row r="12571" spans="1:10" x14ac:dyDescent="0.2">
      <c r="A12571" s="4" t="s">
        <v>1</v>
      </c>
      <c r="B12571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71" s="3" t="str">
        <f>HYPERLINK("https://otsuka-europe-crm.veevavault.com/ui/#object/sent_email__v/VBLZ025E82HQP7M", "SE-000289768")</f>
        <v>SE-000289768</v>
      </c>
      <c r="D12571" s="1">
        <v>45951.89439814815</v>
      </c>
      <c r="E12571" s="2">
        <v>1</v>
      </c>
      <c r="F12571" s="2">
        <v>1</v>
      </c>
      <c r="G12571" s="2">
        <v>0</v>
      </c>
      <c r="H12571" s="1" t="s">
        <v>0</v>
      </c>
      <c r="I12571" s="2">
        <v>0</v>
      </c>
      <c r="J12571" s="1">
        <v>45951.692013888889</v>
      </c>
    </row>
    <row r="12572" spans="1:10" x14ac:dyDescent="0.2">
      <c r="A12572" s="4" t="s">
        <v>1</v>
      </c>
      <c r="B12572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72" s="3" t="str">
        <f>HYPERLINK("https://otsuka-europe-crm.veevavault.com/ui/#object/sent_email__v/VBLZ025E82HQP7N", "SE-000289769")</f>
        <v>SE-000289769</v>
      </c>
      <c r="D12572" s="1">
        <v>45951.765868055554</v>
      </c>
      <c r="E12572" s="2">
        <v>1</v>
      </c>
      <c r="F12572" s="2">
        <v>2</v>
      </c>
      <c r="G12572" s="2">
        <v>0</v>
      </c>
      <c r="H12572" s="1" t="s">
        <v>0</v>
      </c>
      <c r="I12572" s="2">
        <v>0</v>
      </c>
      <c r="J12572" s="1">
        <v>45951.692013888889</v>
      </c>
    </row>
    <row r="12573" spans="1:10" x14ac:dyDescent="0.2">
      <c r="A12573" s="4" t="s">
        <v>1</v>
      </c>
      <c r="B12573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73" s="3" t="str">
        <f>HYPERLINK("https://otsuka-europe-crm.veevavault.com/ui/#object/sent_email__v/VBLZ025E82HQP7O", "SE-000289770")</f>
        <v>SE-000289770</v>
      </c>
      <c r="D12573" s="1">
        <v>45952.388993055552</v>
      </c>
      <c r="E12573" s="2">
        <v>1</v>
      </c>
      <c r="F12573" s="2">
        <v>1</v>
      </c>
      <c r="G12573" s="2">
        <v>1</v>
      </c>
      <c r="H12573" s="1">
        <v>45952.388993055552</v>
      </c>
      <c r="I12573" s="2">
        <v>1</v>
      </c>
      <c r="J12573" s="1">
        <v>45951.692013888889</v>
      </c>
    </row>
    <row r="12574" spans="1:10" x14ac:dyDescent="0.2">
      <c r="A12574" s="4" t="s">
        <v>1</v>
      </c>
      <c r="B12574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74" s="3" t="str">
        <f>HYPERLINK("https://otsuka-europe-crm.veevavault.com/ui/#object/sent_email__v/VBLZ025E82HQP7P", "SE-000289771")</f>
        <v>SE-000289771</v>
      </c>
      <c r="D12574" s="1">
        <v>45951.698506944442</v>
      </c>
      <c r="E12574" s="2">
        <v>1</v>
      </c>
      <c r="F12574" s="2">
        <v>1</v>
      </c>
      <c r="G12574" s="2">
        <v>0</v>
      </c>
      <c r="H12574" s="1" t="s">
        <v>0</v>
      </c>
      <c r="I12574" s="2">
        <v>0</v>
      </c>
      <c r="J12574" s="1">
        <v>45951.692025462966</v>
      </c>
    </row>
    <row r="12575" spans="1:10" x14ac:dyDescent="0.2">
      <c r="A12575" s="4" t="s">
        <v>1</v>
      </c>
      <c r="B12575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75" s="3" t="str">
        <f>HYPERLINK("https://otsuka-europe-crm.veevavault.com/ui/#object/sent_email__v/VBLZ025E82HQP7Q", "SE-000289772")</f>
        <v>SE-000289772</v>
      </c>
      <c r="D12575" s="1" t="s">
        <v>0</v>
      </c>
      <c r="E12575" s="2">
        <v>0</v>
      </c>
      <c r="F12575" s="2">
        <v>0</v>
      </c>
      <c r="G12575" s="2">
        <v>0</v>
      </c>
      <c r="H12575" s="1" t="s">
        <v>0</v>
      </c>
      <c r="I12575" s="2">
        <v>0</v>
      </c>
      <c r="J12575" s="1">
        <v>45951.692048611112</v>
      </c>
    </row>
    <row r="12576" spans="1:10" x14ac:dyDescent="0.2">
      <c r="A12576" s="4" t="s">
        <v>1</v>
      </c>
      <c r="B12576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76" s="3" t="str">
        <f>HYPERLINK("https://otsuka-europe-crm.veevavault.com/ui/#object/sent_email__v/VBLZ025E82HQMU2", "SE-000289773")</f>
        <v>SE-000289773</v>
      </c>
      <c r="D12576" s="1" t="s">
        <v>0</v>
      </c>
      <c r="E12576" s="2">
        <v>0</v>
      </c>
      <c r="F12576" s="2">
        <v>0</v>
      </c>
      <c r="G12576" s="2">
        <v>0</v>
      </c>
      <c r="H12576" s="1" t="s">
        <v>0</v>
      </c>
      <c r="I12576" s="2">
        <v>0</v>
      </c>
      <c r="J12576" s="1">
        <v>45951.693402777775</v>
      </c>
    </row>
    <row r="12577" spans="1:10" x14ac:dyDescent="0.2">
      <c r="A12577" s="4" t="s">
        <v>1</v>
      </c>
      <c r="B12577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77" s="3" t="str">
        <f>HYPERLINK("https://otsuka-europe-crm.veevavault.com/ui/#object/sent_email__v/VBLZ025E82HQMU3", "SE-000289774")</f>
        <v>SE-000289774</v>
      </c>
      <c r="D12577" s="1">
        <v>45951.924699074072</v>
      </c>
      <c r="E12577" s="2">
        <v>1</v>
      </c>
      <c r="F12577" s="2">
        <v>1</v>
      </c>
      <c r="G12577" s="2">
        <v>0</v>
      </c>
      <c r="H12577" s="1" t="s">
        <v>0</v>
      </c>
      <c r="I12577" s="2">
        <v>0</v>
      </c>
      <c r="J12577" s="1">
        <v>45951.693402777775</v>
      </c>
    </row>
    <row r="12578" spans="1:10" x14ac:dyDescent="0.2">
      <c r="A12578" s="4" t="s">
        <v>1</v>
      </c>
      <c r="B12578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78" s="3" t="str">
        <f>HYPERLINK("https://otsuka-europe-crm.veevavault.com/ui/#object/sent_email__v/VBLZ025E82HQMU4", "SE-000289775")</f>
        <v>SE-000289775</v>
      </c>
      <c r="D12578" s="1">
        <v>45967.684907407405</v>
      </c>
      <c r="E12578" s="2">
        <v>1</v>
      </c>
      <c r="F12578" s="2">
        <v>2</v>
      </c>
      <c r="G12578" s="2">
        <v>0</v>
      </c>
      <c r="H12578" s="1" t="s">
        <v>0</v>
      </c>
      <c r="I12578" s="2">
        <v>0</v>
      </c>
      <c r="J12578" s="1">
        <v>45951.693414351852</v>
      </c>
    </row>
    <row r="12579" spans="1:10" x14ac:dyDescent="0.2">
      <c r="A12579" s="4" t="s">
        <v>1</v>
      </c>
      <c r="B12579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79" s="3" t="str">
        <f>HYPERLINK("https://otsuka-europe-crm.veevavault.com/ui/#object/sent_email__v/VBLZ025E82HQMU5", "SE-000289776")</f>
        <v>SE-000289776</v>
      </c>
      <c r="D12579" s="1" t="s">
        <v>0</v>
      </c>
      <c r="E12579" s="2">
        <v>0</v>
      </c>
      <c r="F12579" s="2">
        <v>0</v>
      </c>
      <c r="G12579" s="2">
        <v>0</v>
      </c>
      <c r="H12579" s="1" t="s">
        <v>0</v>
      </c>
      <c r="I12579" s="2">
        <v>0</v>
      </c>
      <c r="J12579" s="1">
        <v>45951.693414351852</v>
      </c>
    </row>
    <row r="12580" spans="1:10" x14ac:dyDescent="0.2">
      <c r="A12580" s="4" t="s">
        <v>1</v>
      </c>
      <c r="B12580" s="3" t="str">
        <f>HYPERLINK("https://otsuka-europe-crm.veevavault.com/ui/#object/approved_document__v/V5OZ025E82UM88Y", "LUP - 10 cuestiones para pensar: índices de actividad y cronicidad - reuma")</f>
        <v>LUP - 10 cuestiones para pensar: índices de actividad y cronicidad - reuma</v>
      </c>
      <c r="C12580" s="3" t="str">
        <f>HYPERLINK("https://otsuka-europe-crm.veevavault.com/ui/#object/sent_email__v/VBLZ025E82HQMU6", "SE-000289777")</f>
        <v>SE-000289777</v>
      </c>
      <c r="D12580" s="1">
        <v>45952.260810185187</v>
      </c>
      <c r="E12580" s="2">
        <v>1</v>
      </c>
      <c r="F12580" s="2">
        <v>2</v>
      </c>
      <c r="G12580" s="2">
        <v>0</v>
      </c>
      <c r="H12580" s="1" t="s">
        <v>0</v>
      </c>
      <c r="I12580" s="2">
        <v>0</v>
      </c>
      <c r="J12580" s="1">
        <v>45951.693425925929</v>
      </c>
    </row>
    <row r="12581" spans="1:10" x14ac:dyDescent="0.2">
      <c r="A12581" s="4" t="s">
        <v>1</v>
      </c>
      <c r="B12581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81" s="3" t="str">
        <f>HYPERLINK("https://otsuka-europe-crm.veevavault.com/ui/#object/sent_email__v/VBL000000010018", "SE-001396630")</f>
        <v>SE-001396630</v>
      </c>
      <c r="D12581" s="1" t="s">
        <v>0</v>
      </c>
      <c r="E12581" s="2">
        <v>0</v>
      </c>
      <c r="F12581" s="2">
        <v>0</v>
      </c>
      <c r="G12581" s="2">
        <v>0</v>
      </c>
      <c r="H12581" s="1" t="s">
        <v>0</v>
      </c>
      <c r="I12581" s="2">
        <v>0</v>
      </c>
      <c r="J12581" s="1">
        <v>46006.324861111112</v>
      </c>
    </row>
    <row r="12582" spans="1:10" x14ac:dyDescent="0.2">
      <c r="A12582" s="4" t="s">
        <v>1</v>
      </c>
      <c r="B12582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82" s="3" t="str">
        <f>HYPERLINK("https://otsuka-europe-crm.veevavault.com/ui/#object/sent_email__v/VBL000000011117", "SE-001396788")</f>
        <v>SE-001396788</v>
      </c>
      <c r="D12582" s="1" t="s">
        <v>0</v>
      </c>
      <c r="E12582" s="2">
        <v>0</v>
      </c>
      <c r="F12582" s="2">
        <v>0</v>
      </c>
      <c r="G12582" s="2">
        <v>0</v>
      </c>
      <c r="H12582" s="1" t="s">
        <v>0</v>
      </c>
      <c r="I12582" s="2">
        <v>0</v>
      </c>
      <c r="J12582" s="1">
        <v>46006.700868055559</v>
      </c>
    </row>
    <row r="12583" spans="1:10" x14ac:dyDescent="0.2">
      <c r="A12583" s="4" t="s">
        <v>1</v>
      </c>
      <c r="B12583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83" s="3" t="str">
        <f>HYPERLINK("https://otsuka-europe-crm.veevavault.com/ui/#object/sent_email__v/VBL000000011118", "SE-001396789")</f>
        <v>SE-001396789</v>
      </c>
      <c r="D12583" s="1">
        <v>46006.973124999997</v>
      </c>
      <c r="E12583" s="2">
        <v>1</v>
      </c>
      <c r="F12583" s="2">
        <v>1</v>
      </c>
      <c r="G12583" s="2">
        <v>0</v>
      </c>
      <c r="H12583" s="1" t="s">
        <v>0</v>
      </c>
      <c r="I12583" s="2">
        <v>0</v>
      </c>
      <c r="J12583" s="1">
        <v>46006.700868055559</v>
      </c>
    </row>
    <row r="12584" spans="1:10" x14ac:dyDescent="0.2">
      <c r="A12584" s="4" t="s">
        <v>1</v>
      </c>
      <c r="B12584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84" s="3" t="str">
        <f>HYPERLINK("https://otsuka-europe-crm.veevavault.com/ui/#object/sent_email__v/VBL000000011119", "SE-001396790")</f>
        <v>SE-001396790</v>
      </c>
      <c r="D12584" s="1" t="s">
        <v>0</v>
      </c>
      <c r="E12584" s="2">
        <v>0</v>
      </c>
      <c r="F12584" s="2">
        <v>0</v>
      </c>
      <c r="G12584" s="2">
        <v>0</v>
      </c>
      <c r="H12584" s="1" t="s">
        <v>0</v>
      </c>
      <c r="I12584" s="2">
        <v>0</v>
      </c>
      <c r="J12584" s="1">
        <v>46006.700925925928</v>
      </c>
    </row>
    <row r="12585" spans="1:10" x14ac:dyDescent="0.2">
      <c r="A12585" s="4" t="s">
        <v>1</v>
      </c>
      <c r="B12585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85" s="3" t="str">
        <f>HYPERLINK("https://otsuka-europe-crm.veevavault.com/ui/#object/sent_email__v/VBL000000011120", "SE-001396791")</f>
        <v>SE-001396791</v>
      </c>
      <c r="D12585" s="1" t="s">
        <v>0</v>
      </c>
      <c r="E12585" s="2">
        <v>0</v>
      </c>
      <c r="F12585" s="2">
        <v>0</v>
      </c>
      <c r="G12585" s="2">
        <v>0</v>
      </c>
      <c r="H12585" s="1" t="s">
        <v>0</v>
      </c>
      <c r="I12585" s="2">
        <v>0</v>
      </c>
      <c r="J12585" s="1">
        <v>46006.700960648152</v>
      </c>
    </row>
    <row r="12586" spans="1:10" x14ac:dyDescent="0.2">
      <c r="A12586" s="4" t="s">
        <v>1</v>
      </c>
      <c r="B12586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86" s="3" t="str">
        <f>HYPERLINK("https://otsuka-europe-crm.veevavault.com/ui/#object/sent_email__v/VBL000000011121", "SE-001396792")</f>
        <v>SE-001396792</v>
      </c>
      <c r="D12586" s="1">
        <v>46006.807696759257</v>
      </c>
      <c r="E12586" s="2">
        <v>1</v>
      </c>
      <c r="F12586" s="2">
        <v>1</v>
      </c>
      <c r="G12586" s="2">
        <v>0</v>
      </c>
      <c r="H12586" s="1" t="s">
        <v>0</v>
      </c>
      <c r="I12586" s="2">
        <v>0</v>
      </c>
      <c r="J12586" s="1">
        <v>46006.701006944444</v>
      </c>
    </row>
    <row r="12587" spans="1:10" x14ac:dyDescent="0.2">
      <c r="A12587" s="4" t="s">
        <v>1</v>
      </c>
      <c r="B12587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87" s="3" t="str">
        <f>HYPERLINK("https://otsuka-europe-crm.veevavault.com/ui/#object/sent_email__v/VBL000000010076", "SE-001396793")</f>
        <v>SE-001396793</v>
      </c>
      <c r="D12587" s="1">
        <v>46030.6250462963</v>
      </c>
      <c r="E12587" s="2">
        <v>1</v>
      </c>
      <c r="F12587" s="2">
        <v>77</v>
      </c>
      <c r="G12587" s="2">
        <v>0</v>
      </c>
      <c r="H12587" s="1" t="s">
        <v>0</v>
      </c>
      <c r="I12587" s="2">
        <v>0</v>
      </c>
      <c r="J12587" s="1">
        <v>46006.702986111108</v>
      </c>
    </row>
    <row r="12588" spans="1:10" x14ac:dyDescent="0.2">
      <c r="A12588" s="4" t="s">
        <v>1</v>
      </c>
      <c r="B12588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88" s="3" t="str">
        <f>HYPERLINK("https://otsuka-europe-crm.veevavault.com/ui/#object/sent_email__v/VBL000000010077", "SE-001396794")</f>
        <v>SE-001396794</v>
      </c>
      <c r="D12588" s="1">
        <v>46006.757164351853</v>
      </c>
      <c r="E12588" s="2">
        <v>1</v>
      </c>
      <c r="F12588" s="2">
        <v>1</v>
      </c>
      <c r="G12588" s="2">
        <v>0</v>
      </c>
      <c r="H12588" s="1" t="s">
        <v>0</v>
      </c>
      <c r="I12588" s="2">
        <v>0</v>
      </c>
      <c r="J12588" s="1">
        <v>46006.703043981484</v>
      </c>
    </row>
    <row r="12589" spans="1:10" x14ac:dyDescent="0.2">
      <c r="A12589" s="4" t="s">
        <v>1</v>
      </c>
      <c r="B12589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89" s="3" t="str">
        <f>HYPERLINK("https://otsuka-europe-crm.veevavault.com/ui/#object/sent_email__v/VBL000000010078", "SE-001396795")</f>
        <v>SE-001396795</v>
      </c>
      <c r="D12589" s="1" t="s">
        <v>0</v>
      </c>
      <c r="E12589" s="2">
        <v>0</v>
      </c>
      <c r="F12589" s="2">
        <v>0</v>
      </c>
      <c r="G12589" s="2">
        <v>0</v>
      </c>
      <c r="H12589" s="1" t="s">
        <v>0</v>
      </c>
      <c r="I12589" s="2">
        <v>0</v>
      </c>
      <c r="J12589" s="1">
        <v>46006.703043981484</v>
      </c>
    </row>
    <row r="12590" spans="1:10" x14ac:dyDescent="0.2">
      <c r="A12590" s="4" t="s">
        <v>1</v>
      </c>
      <c r="B12590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90" s="3" t="str">
        <f>HYPERLINK("https://otsuka-europe-crm.veevavault.com/ui/#object/sent_email__v/VBL000000010079", "SE-001396796")</f>
        <v>SE-001396796</v>
      </c>
      <c r="D12590" s="1" t="s">
        <v>0</v>
      </c>
      <c r="E12590" s="2">
        <v>0</v>
      </c>
      <c r="F12590" s="2">
        <v>0</v>
      </c>
      <c r="G12590" s="2">
        <v>0</v>
      </c>
      <c r="H12590" s="1" t="s">
        <v>0</v>
      </c>
      <c r="I12590" s="2">
        <v>0</v>
      </c>
      <c r="J12590" s="1">
        <v>46006.703090277777</v>
      </c>
    </row>
    <row r="12591" spans="1:10" x14ac:dyDescent="0.2">
      <c r="A12591" s="4" t="s">
        <v>1</v>
      </c>
      <c r="B12591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91" s="3" t="str">
        <f>HYPERLINK("https://otsuka-europe-crm.veevavault.com/ui/#object/sent_email__v/VBL000000010080", "SE-001396797")</f>
        <v>SE-001396797</v>
      </c>
      <c r="D12591" s="1" t="s">
        <v>0</v>
      </c>
      <c r="E12591" s="2">
        <v>0</v>
      </c>
      <c r="F12591" s="2">
        <v>0</v>
      </c>
      <c r="G12591" s="2">
        <v>0</v>
      </c>
      <c r="H12591" s="1" t="s">
        <v>0</v>
      </c>
      <c r="I12591" s="2">
        <v>0</v>
      </c>
      <c r="J12591" s="1">
        <v>46006.703148148146</v>
      </c>
    </row>
    <row r="12592" spans="1:10" x14ac:dyDescent="0.2">
      <c r="A12592" s="4" t="s">
        <v>1</v>
      </c>
      <c r="B12592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92" s="3" t="str">
        <f>HYPERLINK("https://otsuka-europe-crm.veevavault.com/ui/#object/sent_email__v/VBL000000010081", "SE-001396798")</f>
        <v>SE-001396798</v>
      </c>
      <c r="D12592" s="1" t="s">
        <v>0</v>
      </c>
      <c r="E12592" s="2">
        <v>0</v>
      </c>
      <c r="F12592" s="2">
        <v>0</v>
      </c>
      <c r="G12592" s="2">
        <v>0</v>
      </c>
      <c r="H12592" s="1" t="s">
        <v>0</v>
      </c>
      <c r="I12592" s="2">
        <v>0</v>
      </c>
      <c r="J12592" s="1">
        <v>46006.7031712963</v>
      </c>
    </row>
    <row r="12593" spans="1:10" x14ac:dyDescent="0.2">
      <c r="A12593" s="4" t="s">
        <v>1</v>
      </c>
      <c r="B12593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93" s="3" t="str">
        <f>HYPERLINK("https://otsuka-europe-crm.veevavault.com/ui/#object/sent_email__v/VBL000000010082", "SE-001396799")</f>
        <v>SE-001396799</v>
      </c>
      <c r="D12593" s="1" t="s">
        <v>0</v>
      </c>
      <c r="E12593" s="2">
        <v>0</v>
      </c>
      <c r="F12593" s="2">
        <v>0</v>
      </c>
      <c r="G12593" s="2">
        <v>0</v>
      </c>
      <c r="H12593" s="1" t="s">
        <v>0</v>
      </c>
      <c r="I12593" s="2">
        <v>0</v>
      </c>
      <c r="J12593" s="1">
        <v>46006.703206018516</v>
      </c>
    </row>
    <row r="12594" spans="1:10" x14ac:dyDescent="0.2">
      <c r="A12594" s="4" t="s">
        <v>1</v>
      </c>
      <c r="B12594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94" s="3" t="str">
        <f>HYPERLINK("https://otsuka-europe-crm.veevavault.com/ui/#object/sent_email__v/VBL000000011123", "SE-001396802")</f>
        <v>SE-001396802</v>
      </c>
      <c r="D12594" s="1" t="s">
        <v>0</v>
      </c>
      <c r="E12594" s="2">
        <v>0</v>
      </c>
      <c r="F12594" s="2">
        <v>0</v>
      </c>
      <c r="G12594" s="2">
        <v>0</v>
      </c>
      <c r="H12594" s="1" t="s">
        <v>0</v>
      </c>
      <c r="I12594" s="2">
        <v>0</v>
      </c>
      <c r="J12594" s="1">
        <v>46006.707118055558</v>
      </c>
    </row>
    <row r="12595" spans="1:10" x14ac:dyDescent="0.2">
      <c r="A12595" s="4" t="s">
        <v>1</v>
      </c>
      <c r="B12595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95" s="3" t="str">
        <f>HYPERLINK("https://otsuka-europe-crm.veevavault.com/ui/#object/sent_email__v/VBL000000011124", "SE-001396803")</f>
        <v>SE-001396803</v>
      </c>
      <c r="D12595" s="1" t="s">
        <v>0</v>
      </c>
      <c r="E12595" s="2">
        <v>0</v>
      </c>
      <c r="F12595" s="2">
        <v>0</v>
      </c>
      <c r="G12595" s="2">
        <v>0</v>
      </c>
      <c r="H12595" s="1" t="s">
        <v>0</v>
      </c>
      <c r="I12595" s="2">
        <v>0</v>
      </c>
      <c r="J12595" s="1">
        <v>46006.70716435185</v>
      </c>
    </row>
    <row r="12596" spans="1:10" x14ac:dyDescent="0.2">
      <c r="A12596" s="4" t="s">
        <v>1</v>
      </c>
      <c r="B12596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96" s="3" t="str">
        <f>HYPERLINK("https://otsuka-europe-crm.veevavault.com/ui/#object/sent_email__v/VBL000000011125", "SE-001396804")</f>
        <v>SE-001396804</v>
      </c>
      <c r="D12596" s="1">
        <v>46007.691712962966</v>
      </c>
      <c r="E12596" s="2">
        <v>1</v>
      </c>
      <c r="F12596" s="2">
        <v>1</v>
      </c>
      <c r="G12596" s="2">
        <v>0</v>
      </c>
      <c r="H12596" s="1" t="s">
        <v>0</v>
      </c>
      <c r="I12596" s="2">
        <v>0</v>
      </c>
      <c r="J12596" s="1">
        <v>46006.707175925927</v>
      </c>
    </row>
    <row r="12597" spans="1:10" x14ac:dyDescent="0.2">
      <c r="A12597" s="4" t="s">
        <v>1</v>
      </c>
      <c r="B12597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97" s="3" t="str">
        <f>HYPERLINK("https://otsuka-europe-crm.veevavault.com/ui/#object/sent_email__v/VBL000000011126", "SE-001396805")</f>
        <v>SE-001396805</v>
      </c>
      <c r="D12597" s="1">
        <v>46006.710266203707</v>
      </c>
      <c r="E12597" s="2">
        <v>1</v>
      </c>
      <c r="F12597" s="2">
        <v>1</v>
      </c>
      <c r="G12597" s="2">
        <v>0</v>
      </c>
      <c r="H12597" s="1" t="s">
        <v>0</v>
      </c>
      <c r="I12597" s="2">
        <v>0</v>
      </c>
      <c r="J12597" s="1">
        <v>46006.70721064815</v>
      </c>
    </row>
    <row r="12598" spans="1:10" x14ac:dyDescent="0.2">
      <c r="A12598" s="4" t="s">
        <v>1</v>
      </c>
      <c r="B12598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98" s="3" t="str">
        <f>HYPERLINK("https://otsuka-europe-crm.veevavault.com/ui/#object/sent_email__v/VBL000000011127", "SE-001396806")</f>
        <v>SE-001396806</v>
      </c>
      <c r="D12598" s="1" t="s">
        <v>0</v>
      </c>
      <c r="E12598" s="2">
        <v>0</v>
      </c>
      <c r="F12598" s="2">
        <v>0</v>
      </c>
      <c r="G12598" s="2">
        <v>0</v>
      </c>
      <c r="H12598" s="1" t="s">
        <v>0</v>
      </c>
      <c r="I12598" s="2">
        <v>0</v>
      </c>
      <c r="J12598" s="1">
        <v>46006.707256944443</v>
      </c>
    </row>
    <row r="12599" spans="1:10" x14ac:dyDescent="0.2">
      <c r="A12599" s="4" t="s">
        <v>1</v>
      </c>
      <c r="B12599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599" s="3" t="str">
        <f>HYPERLINK("https://otsuka-europe-crm.veevavault.com/ui/#object/sent_email__v/VBL000000011128", "SE-001396807")</f>
        <v>SE-001396807</v>
      </c>
      <c r="D12599" s="1" t="s">
        <v>0</v>
      </c>
      <c r="E12599" s="2">
        <v>0</v>
      </c>
      <c r="F12599" s="2">
        <v>0</v>
      </c>
      <c r="G12599" s="2">
        <v>0</v>
      </c>
      <c r="H12599" s="1" t="s">
        <v>0</v>
      </c>
      <c r="I12599" s="2">
        <v>0</v>
      </c>
      <c r="J12599" s="1">
        <v>46006.707303240742</v>
      </c>
    </row>
    <row r="12600" spans="1:10" x14ac:dyDescent="0.2">
      <c r="A12600" s="4" t="s">
        <v>1</v>
      </c>
      <c r="B12600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00" s="3" t="str">
        <f>HYPERLINK("https://otsuka-europe-crm.veevavault.com/ui/#object/sent_email__v/VBL000000011129", "SE-001396808")</f>
        <v>SE-001396808</v>
      </c>
      <c r="D12600" s="1" t="s">
        <v>0</v>
      </c>
      <c r="E12600" s="2">
        <v>0</v>
      </c>
      <c r="F12600" s="2">
        <v>0</v>
      </c>
      <c r="G12600" s="2">
        <v>0</v>
      </c>
      <c r="H12600" s="1" t="s">
        <v>0</v>
      </c>
      <c r="I12600" s="2">
        <v>0</v>
      </c>
      <c r="J12600" s="1">
        <v>46006.707349537035</v>
      </c>
    </row>
    <row r="12601" spans="1:10" x14ac:dyDescent="0.2">
      <c r="A12601" s="4" t="s">
        <v>1</v>
      </c>
      <c r="B12601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01" s="3" t="str">
        <f>HYPERLINK("https://otsuka-europe-crm.veevavault.com/ui/#object/sent_email__v/VBL000000011130", "SE-001396809")</f>
        <v>SE-001396809</v>
      </c>
      <c r="D12601" s="1">
        <v>46006.723923611113</v>
      </c>
      <c r="E12601" s="2">
        <v>1</v>
      </c>
      <c r="F12601" s="2">
        <v>1</v>
      </c>
      <c r="G12601" s="2">
        <v>0</v>
      </c>
      <c r="H12601" s="1" t="s">
        <v>0</v>
      </c>
      <c r="I12601" s="2">
        <v>0</v>
      </c>
      <c r="J12601" s="1">
        <v>46006.707384259258</v>
      </c>
    </row>
    <row r="12602" spans="1:10" x14ac:dyDescent="0.2">
      <c r="A12602" s="4" t="s">
        <v>1</v>
      </c>
      <c r="B12602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02" s="3" t="str">
        <f>HYPERLINK("https://otsuka-europe-crm.veevavault.com/ui/#object/sent_email__v/VBL000000011131", "SE-001396810")</f>
        <v>SE-001396810</v>
      </c>
      <c r="D12602" s="1">
        <v>46011.772789351853</v>
      </c>
      <c r="E12602" s="2">
        <v>1</v>
      </c>
      <c r="F12602" s="2">
        <v>3</v>
      </c>
      <c r="G12602" s="2">
        <v>1</v>
      </c>
      <c r="H12602" s="1">
        <v>46011.772858796299</v>
      </c>
      <c r="I12602" s="2">
        <v>1</v>
      </c>
      <c r="J12602" s="1">
        <v>46006.707418981481</v>
      </c>
    </row>
    <row r="12603" spans="1:10" x14ac:dyDescent="0.2">
      <c r="A12603" s="4" t="s">
        <v>1</v>
      </c>
      <c r="B12603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03" s="3" t="str">
        <f>HYPERLINK("https://otsuka-europe-crm.veevavault.com/ui/#object/sent_email__v/VBL000000011132", "SE-001396811")</f>
        <v>SE-001396811</v>
      </c>
      <c r="D12603" s="1" t="s">
        <v>0</v>
      </c>
      <c r="E12603" s="2">
        <v>0</v>
      </c>
      <c r="F12603" s="2">
        <v>0</v>
      </c>
      <c r="G12603" s="2">
        <v>0</v>
      </c>
      <c r="H12603" s="1" t="s">
        <v>0</v>
      </c>
      <c r="I12603" s="2">
        <v>0</v>
      </c>
      <c r="J12603" s="1">
        <v>46006.707465277781</v>
      </c>
    </row>
    <row r="12604" spans="1:10" x14ac:dyDescent="0.2">
      <c r="A12604" s="4" t="s">
        <v>1</v>
      </c>
      <c r="B12604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04" s="3" t="str">
        <f>HYPERLINK("https://otsuka-europe-crm.veevavault.com/ui/#object/sent_email__v/VBL000000011133", "SE-001396812")</f>
        <v>SE-001396812</v>
      </c>
      <c r="D12604" s="1" t="s">
        <v>0</v>
      </c>
      <c r="E12604" s="2">
        <v>0</v>
      </c>
      <c r="F12604" s="2">
        <v>0</v>
      </c>
      <c r="G12604" s="2">
        <v>0</v>
      </c>
      <c r="H12604" s="1" t="s">
        <v>0</v>
      </c>
      <c r="I12604" s="2">
        <v>0</v>
      </c>
      <c r="J12604" s="1">
        <v>46006.707499999997</v>
      </c>
    </row>
    <row r="12605" spans="1:10" x14ac:dyDescent="0.2">
      <c r="A12605" s="4" t="s">
        <v>1</v>
      </c>
      <c r="B12605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05" s="3" t="str">
        <f>HYPERLINK("https://otsuka-europe-crm.veevavault.com/ui/#object/sent_email__v/VBL000000011134", "SE-001396813")</f>
        <v>SE-001396813</v>
      </c>
      <c r="D12605" s="1">
        <v>46006.813784722224</v>
      </c>
      <c r="E12605" s="2">
        <v>1</v>
      </c>
      <c r="F12605" s="2">
        <v>1</v>
      </c>
      <c r="G12605" s="2">
        <v>0</v>
      </c>
      <c r="H12605" s="1" t="s">
        <v>0</v>
      </c>
      <c r="I12605" s="2">
        <v>0</v>
      </c>
      <c r="J12605" s="1">
        <v>46006.707546296297</v>
      </c>
    </row>
    <row r="12606" spans="1:10" x14ac:dyDescent="0.2">
      <c r="A12606" s="4" t="s">
        <v>1</v>
      </c>
      <c r="B12606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06" s="3" t="str">
        <f>HYPERLINK("https://otsuka-europe-crm.veevavault.com/ui/#object/sent_email__v/VBL000000011135", "SE-001396814")</f>
        <v>SE-001396814</v>
      </c>
      <c r="D12606" s="1" t="s">
        <v>0</v>
      </c>
      <c r="E12606" s="2">
        <v>0</v>
      </c>
      <c r="F12606" s="2">
        <v>0</v>
      </c>
      <c r="G12606" s="2">
        <v>0</v>
      </c>
      <c r="H12606" s="1" t="s">
        <v>0</v>
      </c>
      <c r="I12606" s="2">
        <v>0</v>
      </c>
      <c r="J12606" s="1">
        <v>46006.70758101852</v>
      </c>
    </row>
    <row r="12607" spans="1:10" x14ac:dyDescent="0.2">
      <c r="A12607" s="4" t="s">
        <v>1</v>
      </c>
      <c r="B12607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07" s="3" t="str">
        <f>HYPERLINK("https://otsuka-europe-crm.veevavault.com/ui/#object/sent_email__v/VBL000000010084", "SE-001396815")</f>
        <v>SE-001396815</v>
      </c>
      <c r="D12607" s="1">
        <v>46007.243101851855</v>
      </c>
      <c r="E12607" s="2">
        <v>1</v>
      </c>
      <c r="F12607" s="2">
        <v>1</v>
      </c>
      <c r="G12607" s="2">
        <v>0</v>
      </c>
      <c r="H12607" s="1" t="s">
        <v>0</v>
      </c>
      <c r="I12607" s="2">
        <v>0</v>
      </c>
      <c r="J12607" s="1">
        <v>46006.708715277775</v>
      </c>
    </row>
    <row r="12608" spans="1:10" x14ac:dyDescent="0.2">
      <c r="A12608" s="4" t="s">
        <v>1</v>
      </c>
      <c r="B12608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08" s="3" t="str">
        <f>HYPERLINK("https://otsuka-europe-crm.veevavault.com/ui/#object/sent_email__v/VBL000000010085", "SE-001396816")</f>
        <v>SE-001396816</v>
      </c>
      <c r="D12608" s="1">
        <v>46006.70988425926</v>
      </c>
      <c r="E12608" s="2">
        <v>1</v>
      </c>
      <c r="F12608" s="2">
        <v>1</v>
      </c>
      <c r="G12608" s="2">
        <v>1</v>
      </c>
      <c r="H12608" s="1">
        <v>46006.710011574076</v>
      </c>
      <c r="I12608" s="2">
        <v>1</v>
      </c>
      <c r="J12608" s="1">
        <v>46006.708749999998</v>
      </c>
    </row>
    <row r="12609" spans="1:10" x14ac:dyDescent="0.2">
      <c r="A12609" s="4" t="s">
        <v>1</v>
      </c>
      <c r="B12609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09" s="3" t="str">
        <f>HYPERLINK("https://otsuka-europe-crm.veevavault.com/ui/#object/sent_email__v/VBL000000010086", "SE-001396817")</f>
        <v>SE-001396817</v>
      </c>
      <c r="D12609" s="1" t="s">
        <v>0</v>
      </c>
      <c r="E12609" s="2">
        <v>0</v>
      </c>
      <c r="F12609" s="2">
        <v>0</v>
      </c>
      <c r="G12609" s="2">
        <v>0</v>
      </c>
      <c r="H12609" s="1" t="s">
        <v>0</v>
      </c>
      <c r="I12609" s="2">
        <v>0</v>
      </c>
      <c r="J12609" s="1">
        <v>46006.708796296298</v>
      </c>
    </row>
    <row r="12610" spans="1:10" x14ac:dyDescent="0.2">
      <c r="A12610" s="4" t="s">
        <v>1</v>
      </c>
      <c r="B12610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10" s="3" t="str">
        <f>HYPERLINK("https://otsuka-europe-crm.veevavault.com/ui/#object/sent_email__v/VBL000000010087", "SE-001396818")</f>
        <v>SE-001396818</v>
      </c>
      <c r="D12610" s="1">
        <v>46007.571585648147</v>
      </c>
      <c r="E12610" s="2">
        <v>1</v>
      </c>
      <c r="F12610" s="2">
        <v>3</v>
      </c>
      <c r="G12610" s="2">
        <v>0</v>
      </c>
      <c r="H12610" s="1" t="s">
        <v>0</v>
      </c>
      <c r="I12610" s="2">
        <v>0</v>
      </c>
      <c r="J12610" s="1">
        <v>46006.708865740744</v>
      </c>
    </row>
    <row r="12611" spans="1:10" x14ac:dyDescent="0.2">
      <c r="A12611" s="4" t="s">
        <v>1</v>
      </c>
      <c r="B12611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11" s="3" t="str">
        <f>HYPERLINK("https://otsuka-europe-crm.veevavault.com/ui/#object/sent_email__v/VBL000000010088", "SE-001396819")</f>
        <v>SE-001396819</v>
      </c>
      <c r="D12611" s="1" t="s">
        <v>0</v>
      </c>
      <c r="E12611" s="2">
        <v>0</v>
      </c>
      <c r="F12611" s="2">
        <v>0</v>
      </c>
      <c r="G12611" s="2">
        <v>0</v>
      </c>
      <c r="H12611" s="1" t="s">
        <v>0</v>
      </c>
      <c r="I12611" s="2">
        <v>0</v>
      </c>
      <c r="J12611" s="1">
        <v>46006.708877314813</v>
      </c>
    </row>
    <row r="12612" spans="1:10" x14ac:dyDescent="0.2">
      <c r="A12612" s="4" t="s">
        <v>1</v>
      </c>
      <c r="B12612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12" s="3" t="str">
        <f>HYPERLINK("https://otsuka-europe-crm.veevavault.com/ui/#object/sent_email__v/VBL000000010089", "SE-001396820")</f>
        <v>SE-001396820</v>
      </c>
      <c r="D12612" s="1" t="s">
        <v>0</v>
      </c>
      <c r="E12612" s="2">
        <v>0</v>
      </c>
      <c r="F12612" s="2">
        <v>0</v>
      </c>
      <c r="G12612" s="2">
        <v>0</v>
      </c>
      <c r="H12612" s="1" t="s">
        <v>0</v>
      </c>
      <c r="I12612" s="2">
        <v>0</v>
      </c>
      <c r="J12612" s="1">
        <v>46006.708923611113</v>
      </c>
    </row>
    <row r="12613" spans="1:10" x14ac:dyDescent="0.2">
      <c r="A12613" s="4" t="s">
        <v>1</v>
      </c>
      <c r="B12613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13" s="3" t="str">
        <f>HYPERLINK("https://otsuka-europe-crm.veevavault.com/ui/#object/sent_email__v/VBL000000010090", "SE-001396821")</f>
        <v>SE-001396821</v>
      </c>
      <c r="D12613" s="1" t="s">
        <v>0</v>
      </c>
      <c r="E12613" s="2">
        <v>0</v>
      </c>
      <c r="F12613" s="2">
        <v>0</v>
      </c>
      <c r="G12613" s="2">
        <v>0</v>
      </c>
      <c r="H12613" s="1" t="s">
        <v>0</v>
      </c>
      <c r="I12613" s="2">
        <v>0</v>
      </c>
      <c r="J12613" s="1">
        <v>46006.708969907406</v>
      </c>
    </row>
    <row r="12614" spans="1:10" x14ac:dyDescent="0.2">
      <c r="A12614" s="4" t="s">
        <v>1</v>
      </c>
      <c r="B12614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14" s="3" t="str">
        <f>HYPERLINK("https://otsuka-europe-crm.veevavault.com/ui/#object/sent_email__v/VBL000000010091", "SE-001396822")</f>
        <v>SE-001396822</v>
      </c>
      <c r="D12614" s="1">
        <v>46006.800358796296</v>
      </c>
      <c r="E12614" s="2">
        <v>1</v>
      </c>
      <c r="F12614" s="2">
        <v>1</v>
      </c>
      <c r="G12614" s="2">
        <v>1</v>
      </c>
      <c r="H12614" s="1">
        <v>46006.800810185188</v>
      </c>
      <c r="I12614" s="2">
        <v>3</v>
      </c>
      <c r="J12614" s="1">
        <v>46006.709016203706</v>
      </c>
    </row>
    <row r="12615" spans="1:10" x14ac:dyDescent="0.2">
      <c r="A12615" s="4" t="s">
        <v>1</v>
      </c>
      <c r="B12615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15" s="3" t="str">
        <f>HYPERLINK("https://otsuka-europe-crm.veevavault.com/ui/#object/sent_email__v/VBL000000010092", "SE-001396823")</f>
        <v>SE-001396823</v>
      </c>
      <c r="D12615" s="1" t="s">
        <v>0</v>
      </c>
      <c r="E12615" s="2">
        <v>0</v>
      </c>
      <c r="F12615" s="2">
        <v>0</v>
      </c>
      <c r="G12615" s="2">
        <v>0</v>
      </c>
      <c r="H12615" s="1" t="s">
        <v>0</v>
      </c>
      <c r="I12615" s="2">
        <v>0</v>
      </c>
      <c r="J12615" s="1">
        <v>46006.710081018522</v>
      </c>
    </row>
    <row r="12616" spans="1:10" x14ac:dyDescent="0.2">
      <c r="A12616" s="4" t="s">
        <v>1</v>
      </c>
      <c r="B12616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16" s="3" t="str">
        <f>HYPERLINK("https://otsuka-europe-crm.veevavault.com/ui/#object/sent_email__v/VBL000000010093", "SE-001396824")</f>
        <v>SE-001396824</v>
      </c>
      <c r="D12616" s="1" t="s">
        <v>0</v>
      </c>
      <c r="E12616" s="2">
        <v>0</v>
      </c>
      <c r="F12616" s="2">
        <v>0</v>
      </c>
      <c r="G12616" s="2">
        <v>0</v>
      </c>
      <c r="H12616" s="1" t="s">
        <v>0</v>
      </c>
      <c r="I12616" s="2">
        <v>0</v>
      </c>
      <c r="J12616" s="1">
        <v>46006.710127314815</v>
      </c>
    </row>
    <row r="12617" spans="1:10" x14ac:dyDescent="0.2">
      <c r="A12617" s="4" t="s">
        <v>1</v>
      </c>
      <c r="B12617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17" s="3" t="str">
        <f>HYPERLINK("https://otsuka-europe-crm.veevavault.com/ui/#object/sent_email__v/VBL000000010094", "SE-001396825")</f>
        <v>SE-001396825</v>
      </c>
      <c r="D12617" s="1">
        <v>46006.832638888889</v>
      </c>
      <c r="E12617" s="2">
        <v>1</v>
      </c>
      <c r="F12617" s="2">
        <v>2</v>
      </c>
      <c r="G12617" s="2">
        <v>0</v>
      </c>
      <c r="H12617" s="1" t="s">
        <v>0</v>
      </c>
      <c r="I12617" s="2">
        <v>0</v>
      </c>
      <c r="J12617" s="1">
        <v>46006.710162037038</v>
      </c>
    </row>
    <row r="12618" spans="1:10" x14ac:dyDescent="0.2">
      <c r="A12618" s="4" t="s">
        <v>1</v>
      </c>
      <c r="B12618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18" s="3" t="str">
        <f>HYPERLINK("https://otsuka-europe-crm.veevavault.com/ui/#object/sent_email__v/VBL000000010095", "SE-001396826")</f>
        <v>SE-001396826</v>
      </c>
      <c r="D12618" s="1" t="s">
        <v>0</v>
      </c>
      <c r="E12618" s="2">
        <v>0</v>
      </c>
      <c r="F12618" s="2">
        <v>0</v>
      </c>
      <c r="G12618" s="2">
        <v>0</v>
      </c>
      <c r="H12618" s="1" t="s">
        <v>0</v>
      </c>
      <c r="I12618" s="2">
        <v>0</v>
      </c>
      <c r="J12618" s="1">
        <v>46006.71020833333</v>
      </c>
    </row>
    <row r="12619" spans="1:10" x14ac:dyDescent="0.2">
      <c r="A12619" s="4" t="s">
        <v>1</v>
      </c>
      <c r="B12619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19" s="3" t="str">
        <f>HYPERLINK("https://otsuka-europe-crm.veevavault.com/ui/#object/sent_email__v/VBL000000010096", "SE-001396827")</f>
        <v>SE-001396827</v>
      </c>
      <c r="D12619" s="1">
        <v>46006.722881944443</v>
      </c>
      <c r="E12619" s="2">
        <v>1</v>
      </c>
      <c r="F12619" s="2">
        <v>1</v>
      </c>
      <c r="G12619" s="2">
        <v>0</v>
      </c>
      <c r="H12619" s="1" t="s">
        <v>0</v>
      </c>
      <c r="I12619" s="2">
        <v>0</v>
      </c>
      <c r="J12619" s="1">
        <v>46006.713680555556</v>
      </c>
    </row>
    <row r="12620" spans="1:10" x14ac:dyDescent="0.2">
      <c r="A12620" s="4" t="s">
        <v>1</v>
      </c>
      <c r="B12620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20" s="3" t="str">
        <f>HYPERLINK("https://otsuka-europe-crm.veevavault.com/ui/#object/sent_email__v/VBL000000010097", "SE-001396828")</f>
        <v>SE-001396828</v>
      </c>
      <c r="D12620" s="1" t="s">
        <v>0</v>
      </c>
      <c r="E12620" s="2">
        <v>0</v>
      </c>
      <c r="F12620" s="2">
        <v>0</v>
      </c>
      <c r="G12620" s="2">
        <v>0</v>
      </c>
      <c r="H12620" s="1" t="s">
        <v>0</v>
      </c>
      <c r="I12620" s="2">
        <v>0</v>
      </c>
      <c r="J12620" s="1">
        <v>46006.71371527778</v>
      </c>
    </row>
    <row r="12621" spans="1:10" x14ac:dyDescent="0.2">
      <c r="A12621" s="4" t="s">
        <v>1</v>
      </c>
      <c r="B12621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21" s="3" t="str">
        <f>HYPERLINK("https://otsuka-europe-crm.veevavault.com/ui/#object/sent_email__v/VBL000000010098", "SE-001396829")</f>
        <v>SE-001396829</v>
      </c>
      <c r="D12621" s="1">
        <v>46006.756840277776</v>
      </c>
      <c r="E12621" s="2">
        <v>1</v>
      </c>
      <c r="F12621" s="2">
        <v>2</v>
      </c>
      <c r="G12621" s="2">
        <v>0</v>
      </c>
      <c r="H12621" s="1" t="s">
        <v>0</v>
      </c>
      <c r="I12621" s="2">
        <v>0</v>
      </c>
      <c r="J12621" s="1">
        <v>46006.713726851849</v>
      </c>
    </row>
    <row r="12622" spans="1:10" x14ac:dyDescent="0.2">
      <c r="A12622" s="4" t="s">
        <v>1</v>
      </c>
      <c r="B12622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22" s="3" t="str">
        <f>HYPERLINK("https://otsuka-europe-crm.veevavault.com/ui/#object/sent_email__v/VBL000000010099", "SE-001396830")</f>
        <v>SE-001396830</v>
      </c>
      <c r="D12622" s="1">
        <v>46006.730405092596</v>
      </c>
      <c r="E12622" s="2">
        <v>1</v>
      </c>
      <c r="F12622" s="2">
        <v>1</v>
      </c>
      <c r="G12622" s="2">
        <v>0</v>
      </c>
      <c r="H12622" s="1" t="s">
        <v>0</v>
      </c>
      <c r="I12622" s="2">
        <v>0</v>
      </c>
      <c r="J12622" s="1">
        <v>46006.713773148149</v>
      </c>
    </row>
    <row r="12623" spans="1:10" x14ac:dyDescent="0.2">
      <c r="A12623" s="4" t="s">
        <v>1</v>
      </c>
      <c r="B12623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23" s="3" t="str">
        <f>HYPERLINK("https://otsuka-europe-crm.veevavault.com/ui/#object/sent_email__v/VBL000000010100", "SE-001396831")</f>
        <v>SE-001396831</v>
      </c>
      <c r="D12623" s="1" t="s">
        <v>0</v>
      </c>
      <c r="E12623" s="2">
        <v>0</v>
      </c>
      <c r="F12623" s="2">
        <v>0</v>
      </c>
      <c r="G12623" s="2">
        <v>0</v>
      </c>
      <c r="H12623" s="1" t="s">
        <v>0</v>
      </c>
      <c r="I12623" s="2">
        <v>0</v>
      </c>
      <c r="J12623" s="1">
        <v>46006.713831018518</v>
      </c>
    </row>
    <row r="12624" spans="1:10" x14ac:dyDescent="0.2">
      <c r="A12624" s="4" t="s">
        <v>1</v>
      </c>
      <c r="B12624" s="3" t="str">
        <f>HYPERLINK("https://otsuka-europe-crm.veevavault.com/ui/#object/approved_document__v/V5O00000000H031", "LUP - 10 cuestiones para pensar: Score Pronóstico - nefro")</f>
        <v>LUP - 10 cuestiones para pensar: Score Pronóstico - nefro</v>
      </c>
      <c r="C12624" s="3" t="str">
        <f>HYPERLINK("https://otsuka-europe-crm.veevavault.com/ui/#object/sent_email__v/VBL000000010101", "SE-001396832")</f>
        <v>SE-001396832</v>
      </c>
      <c r="D12624" s="1">
        <v>46006.714421296296</v>
      </c>
      <c r="E12624" s="2">
        <v>1</v>
      </c>
      <c r="F12624" s="2">
        <v>2</v>
      </c>
      <c r="G12624" s="2">
        <v>1</v>
      </c>
      <c r="H12624" s="1">
        <v>46006.73064814815</v>
      </c>
      <c r="I12624" s="2">
        <v>2</v>
      </c>
      <c r="J12624" s="1">
        <v>46006.713865740741</v>
      </c>
    </row>
    <row r="12625" spans="1:10" x14ac:dyDescent="0.2">
      <c r="A12625" s="4" t="s">
        <v>1</v>
      </c>
      <c r="B1262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25" s="3" t="str">
        <f>HYPERLINK("https://otsuka-europe-crm.veevavault.com/ui/#object/sent_email__v/VBL000000011295", "SE-001397055")</f>
        <v>SE-001397055</v>
      </c>
      <c r="D12625" s="1">
        <v>46008.944652777776</v>
      </c>
      <c r="E12625" s="2">
        <v>1</v>
      </c>
      <c r="F12625" s="2">
        <v>1</v>
      </c>
      <c r="G12625" s="2">
        <v>0</v>
      </c>
      <c r="H12625" s="1" t="s">
        <v>0</v>
      </c>
      <c r="I12625" s="2">
        <v>0</v>
      </c>
      <c r="J12625" s="1">
        <v>46008.439108796294</v>
      </c>
    </row>
    <row r="12626" spans="1:10" x14ac:dyDescent="0.2">
      <c r="A12626" s="4" t="s">
        <v>1</v>
      </c>
      <c r="B1262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26" s="3" t="str">
        <f>HYPERLINK("https://otsuka-europe-crm.veevavault.com/ui/#object/sent_email__v/VBL000000011296", "SE-001397056")</f>
        <v>SE-001397056</v>
      </c>
      <c r="D12626" s="1" t="s">
        <v>0</v>
      </c>
      <c r="E12626" s="2">
        <v>0</v>
      </c>
      <c r="F12626" s="2">
        <v>0</v>
      </c>
      <c r="G12626" s="2">
        <v>0</v>
      </c>
      <c r="H12626" s="1" t="s">
        <v>0</v>
      </c>
      <c r="I12626" s="2">
        <v>0</v>
      </c>
      <c r="J12626" s="1">
        <v>46008.439155092594</v>
      </c>
    </row>
    <row r="12627" spans="1:10" x14ac:dyDescent="0.2">
      <c r="A12627" s="4" t="s">
        <v>1</v>
      </c>
      <c r="B1262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27" s="3" t="str">
        <f>HYPERLINK("https://otsuka-europe-crm.veevavault.com/ui/#object/sent_email__v/VBL000000011297", "SE-001397057")</f>
        <v>SE-001397057</v>
      </c>
      <c r="D12627" s="1" t="s">
        <v>0</v>
      </c>
      <c r="E12627" s="2">
        <v>0</v>
      </c>
      <c r="F12627" s="2">
        <v>0</v>
      </c>
      <c r="G12627" s="2">
        <v>0</v>
      </c>
      <c r="H12627" s="1" t="s">
        <v>0</v>
      </c>
      <c r="I12627" s="2">
        <v>0</v>
      </c>
      <c r="J12627" s="1">
        <v>46008.439166666663</v>
      </c>
    </row>
    <row r="12628" spans="1:10" x14ac:dyDescent="0.2">
      <c r="A12628" s="4" t="s">
        <v>1</v>
      </c>
      <c r="B1262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28" s="3" t="str">
        <f>HYPERLINK("https://otsuka-europe-crm.veevavault.com/ui/#object/sent_email__v/VBL000000011298", "SE-001397058")</f>
        <v>SE-001397058</v>
      </c>
      <c r="D12628" s="1">
        <v>46009.717615740738</v>
      </c>
      <c r="E12628" s="2">
        <v>1</v>
      </c>
      <c r="F12628" s="2">
        <v>2</v>
      </c>
      <c r="G12628" s="2">
        <v>0</v>
      </c>
      <c r="H12628" s="1" t="s">
        <v>0</v>
      </c>
      <c r="I12628" s="2">
        <v>0</v>
      </c>
      <c r="J12628" s="1">
        <v>46008.439212962963</v>
      </c>
    </row>
    <row r="12629" spans="1:10" x14ac:dyDescent="0.2">
      <c r="A12629" s="4" t="s">
        <v>1</v>
      </c>
      <c r="B1262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29" s="3" t="str">
        <f>HYPERLINK("https://otsuka-europe-crm.veevavault.com/ui/#object/sent_email__v/VBL000000011299", "SE-001397059")</f>
        <v>SE-001397059</v>
      </c>
      <c r="D12629" s="1">
        <v>46010.659166666665</v>
      </c>
      <c r="E12629" s="2">
        <v>1</v>
      </c>
      <c r="F12629" s="2">
        <v>1</v>
      </c>
      <c r="G12629" s="2">
        <v>0</v>
      </c>
      <c r="H12629" s="1" t="s">
        <v>0</v>
      </c>
      <c r="I12629" s="2">
        <v>0</v>
      </c>
      <c r="J12629" s="1">
        <v>46008.439247685186</v>
      </c>
    </row>
    <row r="12630" spans="1:10" x14ac:dyDescent="0.2">
      <c r="A12630" s="4" t="s">
        <v>1</v>
      </c>
      <c r="B1263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30" s="3" t="str">
        <f>HYPERLINK("https://otsuka-europe-crm.veevavault.com/ui/#object/sent_email__v/VBL000000011300", "SE-001397060")</f>
        <v>SE-001397060</v>
      </c>
      <c r="D12630" s="1" t="s">
        <v>0</v>
      </c>
      <c r="E12630" s="2">
        <v>0</v>
      </c>
      <c r="F12630" s="2">
        <v>0</v>
      </c>
      <c r="G12630" s="2">
        <v>0</v>
      </c>
      <c r="H12630" s="1" t="s">
        <v>0</v>
      </c>
      <c r="I12630" s="2">
        <v>0</v>
      </c>
      <c r="J12630" s="1">
        <v>46008.439305555556</v>
      </c>
    </row>
    <row r="12631" spans="1:10" x14ac:dyDescent="0.2">
      <c r="A12631" s="4" t="s">
        <v>1</v>
      </c>
      <c r="B1263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31" s="3" t="str">
        <f>HYPERLINK("https://otsuka-europe-crm.veevavault.com/ui/#object/sent_email__v/VBL000000011301", "SE-001397061")</f>
        <v>SE-001397061</v>
      </c>
      <c r="D12631" s="1">
        <v>46012.21429398148</v>
      </c>
      <c r="E12631" s="2">
        <v>1</v>
      </c>
      <c r="F12631" s="2">
        <v>1</v>
      </c>
      <c r="G12631" s="2">
        <v>0</v>
      </c>
      <c r="H12631" s="1" t="s">
        <v>0</v>
      </c>
      <c r="I12631" s="2">
        <v>0</v>
      </c>
      <c r="J12631" s="1">
        <v>46008.439328703702</v>
      </c>
    </row>
    <row r="12632" spans="1:10" x14ac:dyDescent="0.2">
      <c r="A12632" s="4" t="s">
        <v>1</v>
      </c>
      <c r="B1263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32" s="3" t="str">
        <f>HYPERLINK("https://otsuka-europe-crm.veevavault.com/ui/#object/sent_email__v/VBL000000011302", "SE-001397062")</f>
        <v>SE-001397062</v>
      </c>
      <c r="D12632" s="1" t="s">
        <v>0</v>
      </c>
      <c r="E12632" s="2">
        <v>0</v>
      </c>
      <c r="F12632" s="2">
        <v>0</v>
      </c>
      <c r="G12632" s="2">
        <v>0</v>
      </c>
      <c r="H12632" s="1" t="s">
        <v>0</v>
      </c>
      <c r="I12632" s="2">
        <v>0</v>
      </c>
      <c r="J12632" s="1">
        <v>46008.439375000002</v>
      </c>
    </row>
    <row r="12633" spans="1:10" x14ac:dyDescent="0.2">
      <c r="A12633" s="4" t="s">
        <v>1</v>
      </c>
      <c r="B1263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33" s="3" t="str">
        <f>HYPERLINK("https://otsuka-europe-crm.veevavault.com/ui/#object/sent_email__v/VBL000000011303", "SE-001397063")</f>
        <v>SE-001397063</v>
      </c>
      <c r="D12633" s="1" t="s">
        <v>0</v>
      </c>
      <c r="E12633" s="2">
        <v>0</v>
      </c>
      <c r="F12633" s="2">
        <v>0</v>
      </c>
      <c r="G12633" s="2">
        <v>0</v>
      </c>
      <c r="H12633" s="1" t="s">
        <v>0</v>
      </c>
      <c r="I12633" s="2">
        <v>0</v>
      </c>
      <c r="J12633" s="1">
        <v>46008.439409722225</v>
      </c>
    </row>
    <row r="12634" spans="1:10" x14ac:dyDescent="0.2">
      <c r="A12634" s="4" t="s">
        <v>1</v>
      </c>
      <c r="B1263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34" s="3" t="str">
        <f>HYPERLINK("https://otsuka-europe-crm.veevavault.com/ui/#object/sent_email__v/VBL000000011304", "SE-001397064")</f>
        <v>SE-001397064</v>
      </c>
      <c r="D12634" s="1" t="s">
        <v>0</v>
      </c>
      <c r="E12634" s="2">
        <v>0</v>
      </c>
      <c r="F12634" s="2">
        <v>0</v>
      </c>
      <c r="G12634" s="2">
        <v>0</v>
      </c>
      <c r="H12634" s="1" t="s">
        <v>0</v>
      </c>
      <c r="I12634" s="2">
        <v>0</v>
      </c>
      <c r="J12634" s="1">
        <v>46008.439444444448</v>
      </c>
    </row>
    <row r="12635" spans="1:10" x14ac:dyDescent="0.2">
      <c r="A12635" s="4" t="s">
        <v>1</v>
      </c>
      <c r="B1263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35" s="3" t="str">
        <f>HYPERLINK("https://otsuka-europe-crm.veevavault.com/ui/#object/sent_email__v/VBL000000011305", "SE-001397065")</f>
        <v>SE-001397065</v>
      </c>
      <c r="D12635" s="1">
        <v>46008.457858796297</v>
      </c>
      <c r="E12635" s="2">
        <v>1</v>
      </c>
      <c r="F12635" s="2">
        <v>1</v>
      </c>
      <c r="G12635" s="2">
        <v>0</v>
      </c>
      <c r="H12635" s="1" t="s">
        <v>0</v>
      </c>
      <c r="I12635" s="2">
        <v>0</v>
      </c>
      <c r="J12635" s="1">
        <v>46008.439479166664</v>
      </c>
    </row>
    <row r="12636" spans="1:10" x14ac:dyDescent="0.2">
      <c r="A12636" s="4" t="s">
        <v>1</v>
      </c>
      <c r="B1263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36" s="3" t="str">
        <f>HYPERLINK("https://otsuka-europe-crm.veevavault.com/ui/#object/sent_email__v/VBL000000011306", "SE-001397066")</f>
        <v>SE-001397066</v>
      </c>
      <c r="D12636" s="1" t="s">
        <v>0</v>
      </c>
      <c r="E12636" s="2">
        <v>0</v>
      </c>
      <c r="F12636" s="2">
        <v>0</v>
      </c>
      <c r="G12636" s="2">
        <v>0</v>
      </c>
      <c r="H12636" s="1" t="s">
        <v>0</v>
      </c>
      <c r="I12636" s="2">
        <v>0</v>
      </c>
      <c r="J12636" s="1">
        <v>46008.439525462964</v>
      </c>
    </row>
    <row r="12637" spans="1:10" x14ac:dyDescent="0.2">
      <c r="A12637" s="4" t="s">
        <v>1</v>
      </c>
      <c r="B1263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37" s="3" t="str">
        <f>HYPERLINK("https://otsuka-europe-crm.veevavault.com/ui/#object/sent_email__v/VBL000000011307", "SE-001397067")</f>
        <v>SE-001397067</v>
      </c>
      <c r="D12637" s="1" t="s">
        <v>0</v>
      </c>
      <c r="E12637" s="2">
        <v>0</v>
      </c>
      <c r="F12637" s="2">
        <v>0</v>
      </c>
      <c r="G12637" s="2">
        <v>0</v>
      </c>
      <c r="H12637" s="1" t="s">
        <v>0</v>
      </c>
      <c r="I12637" s="2">
        <v>0</v>
      </c>
      <c r="J12637" s="1">
        <v>46008.439560185187</v>
      </c>
    </row>
    <row r="12638" spans="1:10" x14ac:dyDescent="0.2">
      <c r="A12638" s="4" t="s">
        <v>1</v>
      </c>
      <c r="B1263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38" s="3" t="str">
        <f>HYPERLINK("https://otsuka-europe-crm.veevavault.com/ui/#object/sent_email__v/VBL000000011308", "SE-001397068")</f>
        <v>SE-001397068</v>
      </c>
      <c r="D12638" s="1">
        <v>46012.959120370368</v>
      </c>
      <c r="E12638" s="2">
        <v>1</v>
      </c>
      <c r="F12638" s="2">
        <v>1</v>
      </c>
      <c r="G12638" s="2">
        <v>0</v>
      </c>
      <c r="H12638" s="1" t="s">
        <v>0</v>
      </c>
      <c r="I12638" s="2">
        <v>0</v>
      </c>
      <c r="J12638" s="1">
        <v>46008.43959490741</v>
      </c>
    </row>
    <row r="12639" spans="1:10" x14ac:dyDescent="0.2">
      <c r="A12639" s="4" t="s">
        <v>1</v>
      </c>
      <c r="B1263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39" s="3" t="str">
        <f>HYPERLINK("https://otsuka-europe-crm.veevavault.com/ui/#object/sent_email__v/VBL000000011309", "SE-001397069")</f>
        <v>SE-001397069</v>
      </c>
      <c r="D12639" s="1">
        <v>46012.651134259257</v>
      </c>
      <c r="E12639" s="2">
        <v>1</v>
      </c>
      <c r="F12639" s="2">
        <v>3</v>
      </c>
      <c r="G12639" s="2">
        <v>0</v>
      </c>
      <c r="H12639" s="1" t="s">
        <v>0</v>
      </c>
      <c r="I12639" s="2">
        <v>0</v>
      </c>
      <c r="J12639" s="1">
        <v>46008.439675925925</v>
      </c>
    </row>
    <row r="12640" spans="1:10" x14ac:dyDescent="0.2">
      <c r="A12640" s="4" t="s">
        <v>1</v>
      </c>
      <c r="B1264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40" s="3" t="str">
        <f>HYPERLINK("https://otsuka-europe-crm.veevavault.com/ui/#object/sent_email__v/VBL000000011310", "SE-001397070")</f>
        <v>SE-001397070</v>
      </c>
      <c r="D12640" s="1">
        <v>46008.531597222223</v>
      </c>
      <c r="E12640" s="2">
        <v>1</v>
      </c>
      <c r="F12640" s="2">
        <v>2</v>
      </c>
      <c r="G12640" s="2">
        <v>0</v>
      </c>
      <c r="H12640" s="1" t="s">
        <v>0</v>
      </c>
      <c r="I12640" s="2">
        <v>0</v>
      </c>
      <c r="J12640" s="1">
        <v>46008.439745370371</v>
      </c>
    </row>
    <row r="12641" spans="1:10" x14ac:dyDescent="0.2">
      <c r="A12641" s="4" t="s">
        <v>1</v>
      </c>
      <c r="B1264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41" s="3" t="str">
        <f>HYPERLINK("https://otsuka-europe-crm.veevavault.com/ui/#object/sent_email__v/VBL000000011311", "SE-001397071")</f>
        <v>SE-001397071</v>
      </c>
      <c r="D12641" s="1" t="s">
        <v>0</v>
      </c>
      <c r="E12641" s="2">
        <v>0</v>
      </c>
      <c r="F12641" s="2">
        <v>0</v>
      </c>
      <c r="G12641" s="2">
        <v>0</v>
      </c>
      <c r="H12641" s="1" t="s">
        <v>0</v>
      </c>
      <c r="I12641" s="2">
        <v>0</v>
      </c>
      <c r="J12641" s="1">
        <v>46008.439803240741</v>
      </c>
    </row>
    <row r="12642" spans="1:10" x14ac:dyDescent="0.2">
      <c r="A12642" s="4" t="s">
        <v>1</v>
      </c>
      <c r="B1264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42" s="3" t="str">
        <f>HYPERLINK("https://otsuka-europe-crm.veevavault.com/ui/#object/sent_email__v/VBL000000011312", "SE-001397072")</f>
        <v>SE-001397072</v>
      </c>
      <c r="D12642" s="1">
        <v>46020.856307870374</v>
      </c>
      <c r="E12642" s="2">
        <v>1</v>
      </c>
      <c r="F12642" s="2">
        <v>1</v>
      </c>
      <c r="G12642" s="2">
        <v>0</v>
      </c>
      <c r="H12642" s="1" t="s">
        <v>0</v>
      </c>
      <c r="I12642" s="2">
        <v>0</v>
      </c>
      <c r="J12642" s="1">
        <v>46008.44027777778</v>
      </c>
    </row>
    <row r="12643" spans="1:10" x14ac:dyDescent="0.2">
      <c r="A12643" s="4" t="s">
        <v>1</v>
      </c>
      <c r="B1264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43" s="3" t="str">
        <f>HYPERLINK("https://otsuka-europe-crm.veevavault.com/ui/#object/sent_email__v/VBL000000011313", "SE-001397073")</f>
        <v>SE-001397073</v>
      </c>
      <c r="D12643" s="1" t="s">
        <v>0</v>
      </c>
      <c r="E12643" s="2">
        <v>0</v>
      </c>
      <c r="F12643" s="2">
        <v>0</v>
      </c>
      <c r="G12643" s="2">
        <v>0</v>
      </c>
      <c r="H12643" s="1" t="s">
        <v>0</v>
      </c>
      <c r="I12643" s="2">
        <v>0</v>
      </c>
      <c r="J12643" s="1">
        <v>46008.440393518518</v>
      </c>
    </row>
    <row r="12644" spans="1:10" x14ac:dyDescent="0.2">
      <c r="A12644" s="4" t="s">
        <v>1</v>
      </c>
      <c r="B1264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44" s="3" t="str">
        <f>HYPERLINK("https://otsuka-europe-crm.veevavault.com/ui/#object/sent_email__v/VBL000000011314", "SE-001397074")</f>
        <v>SE-001397074</v>
      </c>
      <c r="D12644" s="1">
        <v>46008.460416666669</v>
      </c>
      <c r="E12644" s="2">
        <v>1</v>
      </c>
      <c r="F12644" s="2">
        <v>1</v>
      </c>
      <c r="G12644" s="2">
        <v>0</v>
      </c>
      <c r="H12644" s="1" t="s">
        <v>0</v>
      </c>
      <c r="I12644" s="2">
        <v>0</v>
      </c>
      <c r="J12644" s="1">
        <v>46008.440162037034</v>
      </c>
    </row>
    <row r="12645" spans="1:10" x14ac:dyDescent="0.2">
      <c r="A12645" s="4" t="s">
        <v>1</v>
      </c>
      <c r="B1264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45" s="3" t="str">
        <f>HYPERLINK("https://otsuka-europe-crm.veevavault.com/ui/#object/sent_email__v/VBL000000011315", "SE-001397075")</f>
        <v>SE-001397075</v>
      </c>
      <c r="D12645" s="1">
        <v>46036.875763888886</v>
      </c>
      <c r="E12645" s="2">
        <v>1</v>
      </c>
      <c r="F12645" s="2">
        <v>2</v>
      </c>
      <c r="G12645" s="2">
        <v>0</v>
      </c>
      <c r="H12645" s="1" t="s">
        <v>0</v>
      </c>
      <c r="I12645" s="2">
        <v>0</v>
      </c>
      <c r="J12645" s="1">
        <v>46008.44023148148</v>
      </c>
    </row>
    <row r="12646" spans="1:10" x14ac:dyDescent="0.2">
      <c r="A12646" s="4" t="s">
        <v>1</v>
      </c>
      <c r="B1264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46" s="3" t="str">
        <f>HYPERLINK("https://otsuka-europe-crm.veevavault.com/ui/#object/sent_email__v/VBL000000011316", "SE-001397076")</f>
        <v>SE-001397076</v>
      </c>
      <c r="D12646" s="1">
        <v>46008.727800925924</v>
      </c>
      <c r="E12646" s="2">
        <v>1</v>
      </c>
      <c r="F12646" s="2">
        <v>1</v>
      </c>
      <c r="G12646" s="2">
        <v>0</v>
      </c>
      <c r="H12646" s="1" t="s">
        <v>0</v>
      </c>
      <c r="I12646" s="2">
        <v>0</v>
      </c>
      <c r="J12646" s="1">
        <v>46008.440289351849</v>
      </c>
    </row>
    <row r="12647" spans="1:10" x14ac:dyDescent="0.2">
      <c r="A12647" s="4" t="s">
        <v>1</v>
      </c>
      <c r="B1264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47" s="3" t="str">
        <f>HYPERLINK("https://otsuka-europe-crm.veevavault.com/ui/#object/sent_email__v/VBL000000011317", "SE-001397077")</f>
        <v>SE-001397077</v>
      </c>
      <c r="D12647" s="1" t="s">
        <v>0</v>
      </c>
      <c r="E12647" s="2">
        <v>0</v>
      </c>
      <c r="F12647" s="2">
        <v>0</v>
      </c>
      <c r="G12647" s="2">
        <v>0</v>
      </c>
      <c r="H12647" s="1" t="s">
        <v>0</v>
      </c>
      <c r="I12647" s="2">
        <v>0</v>
      </c>
      <c r="J12647" s="1">
        <v>46008.440358796295</v>
      </c>
    </row>
    <row r="12648" spans="1:10" x14ac:dyDescent="0.2">
      <c r="A12648" s="4" t="s">
        <v>1</v>
      </c>
      <c r="B1264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48" s="3" t="str">
        <f>HYPERLINK("https://otsuka-europe-crm.veevavault.com/ui/#object/sent_email__v/VBL000000011318", "SE-001397078")</f>
        <v>SE-001397078</v>
      </c>
      <c r="D12648" s="1" t="s">
        <v>0</v>
      </c>
      <c r="E12648" s="2">
        <v>0</v>
      </c>
      <c r="F12648" s="2">
        <v>0</v>
      </c>
      <c r="G12648" s="2">
        <v>0</v>
      </c>
      <c r="H12648" s="1" t="s">
        <v>0</v>
      </c>
      <c r="I12648" s="2">
        <v>0</v>
      </c>
      <c r="J12648" s="1">
        <v>46008.440428240741</v>
      </c>
    </row>
    <row r="12649" spans="1:10" x14ac:dyDescent="0.2">
      <c r="A12649" s="4" t="s">
        <v>1</v>
      </c>
      <c r="B1264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49" s="3" t="str">
        <f>HYPERLINK("https://otsuka-europe-crm.veevavault.com/ui/#object/sent_email__v/VBL000000011319", "SE-001397079")</f>
        <v>SE-001397079</v>
      </c>
      <c r="D12649" s="1" t="s">
        <v>0</v>
      </c>
      <c r="E12649" s="2">
        <v>0</v>
      </c>
      <c r="F12649" s="2">
        <v>0</v>
      </c>
      <c r="G12649" s="2">
        <v>0</v>
      </c>
      <c r="H12649" s="1" t="s">
        <v>0</v>
      </c>
      <c r="I12649" s="2">
        <v>0</v>
      </c>
      <c r="J12649" s="1">
        <v>46008.440497685187</v>
      </c>
    </row>
    <row r="12650" spans="1:10" x14ac:dyDescent="0.2">
      <c r="A12650" s="4" t="s">
        <v>1</v>
      </c>
      <c r="B1265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50" s="3" t="str">
        <f>HYPERLINK("https://otsuka-europe-crm.veevavault.com/ui/#object/sent_email__v/VBL000000011320", "SE-001397080")</f>
        <v>SE-001397080</v>
      </c>
      <c r="D12650" s="1">
        <v>46009.099479166667</v>
      </c>
      <c r="E12650" s="2">
        <v>1</v>
      </c>
      <c r="F12650" s="2">
        <v>1</v>
      </c>
      <c r="G12650" s="2">
        <v>0</v>
      </c>
      <c r="H12650" s="1" t="s">
        <v>0</v>
      </c>
      <c r="I12650" s="2">
        <v>0</v>
      </c>
      <c r="J12650" s="1">
        <v>46008.44059027778</v>
      </c>
    </row>
    <row r="12651" spans="1:10" x14ac:dyDescent="0.2">
      <c r="A12651" s="4" t="s">
        <v>1</v>
      </c>
      <c r="B1265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51" s="3" t="str">
        <f>HYPERLINK("https://otsuka-europe-crm.veevavault.com/ui/#object/sent_email__v/VBL000000011321", "SE-001397081")</f>
        <v>SE-001397081</v>
      </c>
      <c r="D12651" s="1" t="s">
        <v>0</v>
      </c>
      <c r="E12651" s="2">
        <v>0</v>
      </c>
      <c r="F12651" s="2">
        <v>0</v>
      </c>
      <c r="G12651" s="2">
        <v>0</v>
      </c>
      <c r="H12651" s="1" t="s">
        <v>0</v>
      </c>
      <c r="I12651" s="2">
        <v>0</v>
      </c>
      <c r="J12651" s="1">
        <v>46008.440659722219</v>
      </c>
    </row>
    <row r="12652" spans="1:10" x14ac:dyDescent="0.2">
      <c r="A12652" s="4" t="s">
        <v>1</v>
      </c>
      <c r="B1265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52" s="3" t="str">
        <f>HYPERLINK("https://otsuka-europe-crm.veevavault.com/ui/#object/sent_email__v/VBL000000011322", "SE-001397082")</f>
        <v>SE-001397082</v>
      </c>
      <c r="D12652" s="1" t="s">
        <v>0</v>
      </c>
      <c r="E12652" s="2">
        <v>0</v>
      </c>
      <c r="F12652" s="2">
        <v>0</v>
      </c>
      <c r="G12652" s="2">
        <v>0</v>
      </c>
      <c r="H12652" s="1" t="s">
        <v>0</v>
      </c>
      <c r="I12652" s="2">
        <v>0</v>
      </c>
      <c r="J12652" s="1">
        <v>46008.440729166665</v>
      </c>
    </row>
    <row r="12653" spans="1:10" x14ac:dyDescent="0.2">
      <c r="A12653" s="4" t="s">
        <v>1</v>
      </c>
      <c r="B1265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53" s="3" t="str">
        <f>HYPERLINK("https://otsuka-europe-crm.veevavault.com/ui/#object/sent_email__v/VBL000000011323", "SE-001397083")</f>
        <v>SE-001397083</v>
      </c>
      <c r="D12653" s="1" t="s">
        <v>0</v>
      </c>
      <c r="E12653" s="2">
        <v>0</v>
      </c>
      <c r="F12653" s="2">
        <v>0</v>
      </c>
      <c r="G12653" s="2">
        <v>0</v>
      </c>
      <c r="H12653" s="1" t="s">
        <v>0</v>
      </c>
      <c r="I12653" s="2">
        <v>0</v>
      </c>
      <c r="J12653" s="1">
        <v>46008.440798611111</v>
      </c>
    </row>
    <row r="12654" spans="1:10" x14ac:dyDescent="0.2">
      <c r="A12654" s="4" t="s">
        <v>1</v>
      </c>
      <c r="B1265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54" s="3" t="str">
        <f>HYPERLINK("https://otsuka-europe-crm.veevavault.com/ui/#object/sent_email__v/VBL000000011324", "SE-001397084")</f>
        <v>SE-001397084</v>
      </c>
      <c r="D12654" s="1" t="s">
        <v>0</v>
      </c>
      <c r="E12654" s="2">
        <v>0</v>
      </c>
      <c r="F12654" s="2">
        <v>0</v>
      </c>
      <c r="G12654" s="2">
        <v>0</v>
      </c>
      <c r="H12654" s="1" t="s">
        <v>0</v>
      </c>
      <c r="I12654" s="2">
        <v>0</v>
      </c>
      <c r="J12654" s="1">
        <v>46008.44085648148</v>
      </c>
    </row>
    <row r="12655" spans="1:10" x14ac:dyDescent="0.2">
      <c r="A12655" s="4" t="s">
        <v>1</v>
      </c>
      <c r="B1265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55" s="3" t="str">
        <f>HYPERLINK("https://otsuka-europe-crm.veevavault.com/ui/#object/sent_email__v/VBL000000011325", "SE-001397085")</f>
        <v>SE-001397085</v>
      </c>
      <c r="D12655" s="1">
        <v>46008.847881944443</v>
      </c>
      <c r="E12655" s="2">
        <v>1</v>
      </c>
      <c r="F12655" s="2">
        <v>1</v>
      </c>
      <c r="G12655" s="2">
        <v>0</v>
      </c>
      <c r="H12655" s="1" t="s">
        <v>0</v>
      </c>
      <c r="I12655" s="2">
        <v>0</v>
      </c>
      <c r="J12655" s="1">
        <v>46008.440937500003</v>
      </c>
    </row>
    <row r="12656" spans="1:10" x14ac:dyDescent="0.2">
      <c r="A12656" s="4" t="s">
        <v>1</v>
      </c>
      <c r="B1265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56" s="3" t="str">
        <f>HYPERLINK("https://otsuka-europe-crm.veevavault.com/ui/#object/sent_email__v/VBL000000011326", "SE-001397086")</f>
        <v>SE-001397086</v>
      </c>
      <c r="D12656" s="1" t="s">
        <v>0</v>
      </c>
      <c r="E12656" s="2">
        <v>0</v>
      </c>
      <c r="F12656" s="2">
        <v>0</v>
      </c>
      <c r="G12656" s="2">
        <v>0</v>
      </c>
      <c r="H12656" s="1" t="s">
        <v>0</v>
      </c>
      <c r="I12656" s="2">
        <v>0</v>
      </c>
      <c r="J12656" s="1">
        <v>46008.440983796296</v>
      </c>
    </row>
    <row r="12657" spans="1:10" x14ac:dyDescent="0.2">
      <c r="A12657" s="4" t="s">
        <v>1</v>
      </c>
      <c r="B1265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57" s="3" t="str">
        <f>HYPERLINK("https://otsuka-europe-crm.veevavault.com/ui/#object/sent_email__v/VBL000000011327", "SE-001397087")</f>
        <v>SE-001397087</v>
      </c>
      <c r="D12657" s="1" t="s">
        <v>0</v>
      </c>
      <c r="E12657" s="2">
        <v>0</v>
      </c>
      <c r="F12657" s="2">
        <v>0</v>
      </c>
      <c r="G12657" s="2">
        <v>0</v>
      </c>
      <c r="H12657" s="1" t="s">
        <v>0</v>
      </c>
      <c r="I12657" s="2">
        <v>0</v>
      </c>
      <c r="J12657" s="1">
        <v>46008.441030092596</v>
      </c>
    </row>
    <row r="12658" spans="1:10" x14ac:dyDescent="0.2">
      <c r="A12658" s="4" t="s">
        <v>1</v>
      </c>
      <c r="B1265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58" s="3" t="str">
        <f>HYPERLINK("https://otsuka-europe-crm.veevavault.com/ui/#object/sent_email__v/VBL000000011328", "SE-001397088")</f>
        <v>SE-001397088</v>
      </c>
      <c r="D12658" s="1">
        <v>46009.992685185185</v>
      </c>
      <c r="E12658" s="2">
        <v>1</v>
      </c>
      <c r="F12658" s="2">
        <v>1</v>
      </c>
      <c r="G12658" s="2">
        <v>0</v>
      </c>
      <c r="H12658" s="1" t="s">
        <v>0</v>
      </c>
      <c r="I12658" s="2">
        <v>0</v>
      </c>
      <c r="J12658" s="1">
        <v>46008.441064814811</v>
      </c>
    </row>
    <row r="12659" spans="1:10" x14ac:dyDescent="0.2">
      <c r="A12659" s="4" t="s">
        <v>1</v>
      </c>
      <c r="B1265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59" s="3" t="str">
        <f>HYPERLINK("https://otsuka-europe-crm.veevavault.com/ui/#object/sent_email__v/VBL000000011329", "SE-001397089")</f>
        <v>SE-001397089</v>
      </c>
      <c r="D12659" s="1" t="s">
        <v>0</v>
      </c>
      <c r="E12659" s="2">
        <v>0</v>
      </c>
      <c r="F12659" s="2">
        <v>0</v>
      </c>
      <c r="G12659" s="2">
        <v>0</v>
      </c>
      <c r="H12659" s="1" t="s">
        <v>0</v>
      </c>
      <c r="I12659" s="2">
        <v>0</v>
      </c>
      <c r="J12659" s="1">
        <v>46008.441111111111</v>
      </c>
    </row>
    <row r="12660" spans="1:10" x14ac:dyDescent="0.2">
      <c r="A12660" s="4" t="s">
        <v>1</v>
      </c>
      <c r="B1266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60" s="3" t="str">
        <f>HYPERLINK("https://otsuka-europe-crm.veevavault.com/ui/#object/sent_email__v/VBL000000011330", "SE-001397090")</f>
        <v>SE-001397090</v>
      </c>
      <c r="D12660" s="1" t="s">
        <v>0</v>
      </c>
      <c r="E12660" s="2">
        <v>0</v>
      </c>
      <c r="F12660" s="2">
        <v>0</v>
      </c>
      <c r="G12660" s="2">
        <v>0</v>
      </c>
      <c r="H12660" s="1" t="s">
        <v>0</v>
      </c>
      <c r="I12660" s="2">
        <v>0</v>
      </c>
      <c r="J12660" s="1">
        <v>46008.441145833334</v>
      </c>
    </row>
    <row r="12661" spans="1:10" x14ac:dyDescent="0.2">
      <c r="A12661" s="4" t="s">
        <v>1</v>
      </c>
      <c r="B1266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61" s="3" t="str">
        <f>HYPERLINK("https://otsuka-europe-crm.veevavault.com/ui/#object/sent_email__v/VBL000000011331", "SE-001397091")</f>
        <v>SE-001397091</v>
      </c>
      <c r="D12661" s="1">
        <v>46008.508275462962</v>
      </c>
      <c r="E12661" s="2">
        <v>1</v>
      </c>
      <c r="F12661" s="2">
        <v>1</v>
      </c>
      <c r="G12661" s="2">
        <v>0</v>
      </c>
      <c r="H12661" s="1" t="s">
        <v>0</v>
      </c>
      <c r="I12661" s="2">
        <v>0</v>
      </c>
      <c r="J12661" s="1">
        <v>46008.441192129627</v>
      </c>
    </row>
    <row r="12662" spans="1:10" x14ac:dyDescent="0.2">
      <c r="A12662" s="4" t="s">
        <v>1</v>
      </c>
      <c r="B1266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62" s="3" t="str">
        <f>HYPERLINK("https://otsuka-europe-crm.veevavault.com/ui/#object/sent_email__v/VBL000000011332", "SE-001397092")</f>
        <v>SE-001397092</v>
      </c>
      <c r="D12662" s="1" t="s">
        <v>0</v>
      </c>
      <c r="E12662" s="2">
        <v>0</v>
      </c>
      <c r="F12662" s="2">
        <v>0</v>
      </c>
      <c r="G12662" s="2">
        <v>0</v>
      </c>
      <c r="H12662" s="1" t="s">
        <v>0</v>
      </c>
      <c r="I12662" s="2">
        <v>0</v>
      </c>
      <c r="J12662" s="1">
        <v>46008.44122685185</v>
      </c>
    </row>
    <row r="12663" spans="1:10" x14ac:dyDescent="0.2">
      <c r="A12663" s="4" t="s">
        <v>1</v>
      </c>
      <c r="B1266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63" s="3" t="str">
        <f>HYPERLINK("https://otsuka-europe-crm.veevavault.com/ui/#object/sent_email__v/VBL000000011333", "SE-001397093")</f>
        <v>SE-001397093</v>
      </c>
      <c r="D12663" s="1" t="s">
        <v>0</v>
      </c>
      <c r="E12663" s="2">
        <v>0</v>
      </c>
      <c r="F12663" s="2">
        <v>0</v>
      </c>
      <c r="G12663" s="2">
        <v>0</v>
      </c>
      <c r="H12663" s="1" t="s">
        <v>0</v>
      </c>
      <c r="I12663" s="2">
        <v>0</v>
      </c>
      <c r="J12663" s="1">
        <v>46008.44127314815</v>
      </c>
    </row>
    <row r="12664" spans="1:10" x14ac:dyDescent="0.2">
      <c r="A12664" s="4" t="s">
        <v>1</v>
      </c>
      <c r="B1266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64" s="3" t="str">
        <f>HYPERLINK("https://otsuka-europe-crm.veevavault.com/ui/#object/sent_email__v/VBL000000011334", "SE-001397094")</f>
        <v>SE-001397094</v>
      </c>
      <c r="D12664" s="1">
        <v>46035.832546296297</v>
      </c>
      <c r="E12664" s="2">
        <v>1</v>
      </c>
      <c r="F12664" s="2">
        <v>2</v>
      </c>
      <c r="G12664" s="2">
        <v>0</v>
      </c>
      <c r="H12664" s="1" t="s">
        <v>0</v>
      </c>
      <c r="I12664" s="2">
        <v>0</v>
      </c>
      <c r="J12664" s="1">
        <v>46008.441307870373</v>
      </c>
    </row>
    <row r="12665" spans="1:10" x14ac:dyDescent="0.2">
      <c r="A12665" s="4" t="s">
        <v>1</v>
      </c>
      <c r="B1266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65" s="3" t="str">
        <f>HYPERLINK("https://otsuka-europe-crm.veevavault.com/ui/#object/sent_email__v/VBL000000011335", "SE-001397095")</f>
        <v>SE-001397095</v>
      </c>
      <c r="D12665" s="1">
        <v>46008.571655092594</v>
      </c>
      <c r="E12665" s="2">
        <v>1</v>
      </c>
      <c r="F12665" s="2">
        <v>1</v>
      </c>
      <c r="G12665" s="2">
        <v>0</v>
      </c>
      <c r="H12665" s="1" t="s">
        <v>0</v>
      </c>
      <c r="I12665" s="2">
        <v>0</v>
      </c>
      <c r="J12665" s="1">
        <v>46008.441354166665</v>
      </c>
    </row>
    <row r="12666" spans="1:10" x14ac:dyDescent="0.2">
      <c r="A12666" s="4" t="s">
        <v>1</v>
      </c>
      <c r="B1266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66" s="3" t="str">
        <f>HYPERLINK("https://otsuka-europe-crm.veevavault.com/ui/#object/sent_email__v/VBL000000011336", "SE-001397096")</f>
        <v>SE-001397096</v>
      </c>
      <c r="D12666" s="1" t="s">
        <v>0</v>
      </c>
      <c r="E12666" s="2">
        <v>0</v>
      </c>
      <c r="F12666" s="2">
        <v>0</v>
      </c>
      <c r="G12666" s="2">
        <v>0</v>
      </c>
      <c r="H12666" s="1" t="s">
        <v>0</v>
      </c>
      <c r="I12666" s="2">
        <v>0</v>
      </c>
      <c r="J12666" s="1">
        <v>46008.441412037035</v>
      </c>
    </row>
    <row r="12667" spans="1:10" x14ac:dyDescent="0.2">
      <c r="A12667" s="4" t="s">
        <v>1</v>
      </c>
      <c r="B1266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67" s="3" t="str">
        <f>HYPERLINK("https://otsuka-europe-crm.veevavault.com/ui/#object/sent_email__v/VBL000000011337", "SE-001397097")</f>
        <v>SE-001397097</v>
      </c>
      <c r="D12667" s="1" t="s">
        <v>0</v>
      </c>
      <c r="E12667" s="2">
        <v>0</v>
      </c>
      <c r="F12667" s="2">
        <v>0</v>
      </c>
      <c r="G12667" s="2">
        <v>0</v>
      </c>
      <c r="H12667" s="1" t="s">
        <v>0</v>
      </c>
      <c r="I12667" s="2">
        <v>0</v>
      </c>
      <c r="J12667" s="1">
        <v>46008.441435185188</v>
      </c>
    </row>
    <row r="12668" spans="1:10" x14ac:dyDescent="0.2">
      <c r="A12668" s="4" t="s">
        <v>1</v>
      </c>
      <c r="B1266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68" s="3" t="str">
        <f>HYPERLINK("https://otsuka-europe-crm.veevavault.com/ui/#object/sent_email__v/VBL000000011338", "SE-001397098")</f>
        <v>SE-001397098</v>
      </c>
      <c r="D12668" s="1" t="s">
        <v>0</v>
      </c>
      <c r="E12668" s="2">
        <v>0</v>
      </c>
      <c r="F12668" s="2">
        <v>0</v>
      </c>
      <c r="G12668" s="2">
        <v>0</v>
      </c>
      <c r="H12668" s="1" t="s">
        <v>0</v>
      </c>
      <c r="I12668" s="2">
        <v>0</v>
      </c>
      <c r="J12668" s="1">
        <v>46008.441481481481</v>
      </c>
    </row>
    <row r="12669" spans="1:10" x14ac:dyDescent="0.2">
      <c r="A12669" s="4" t="s">
        <v>1</v>
      </c>
      <c r="B1266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69" s="3" t="str">
        <f>HYPERLINK("https://otsuka-europe-crm.veevavault.com/ui/#object/sent_email__v/VBL000000011339", "SE-001397099")</f>
        <v>SE-001397099</v>
      </c>
      <c r="D12669" s="1">
        <v>46008.72351851852</v>
      </c>
      <c r="E12669" s="2">
        <v>1</v>
      </c>
      <c r="F12669" s="2">
        <v>1</v>
      </c>
      <c r="G12669" s="2">
        <v>0</v>
      </c>
      <c r="H12669" s="1" t="s">
        <v>0</v>
      </c>
      <c r="I12669" s="2">
        <v>0</v>
      </c>
      <c r="J12669" s="1">
        <v>46008.441527777781</v>
      </c>
    </row>
    <row r="12670" spans="1:10" x14ac:dyDescent="0.2">
      <c r="A12670" s="4" t="s">
        <v>1</v>
      </c>
      <c r="B1267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70" s="3" t="str">
        <f>HYPERLINK("https://otsuka-europe-crm.veevavault.com/ui/#object/sent_email__v/VBL000000011340", "SE-001397100")</f>
        <v>SE-001397100</v>
      </c>
      <c r="D12670" s="1" t="s">
        <v>0</v>
      </c>
      <c r="E12670" s="2">
        <v>0</v>
      </c>
      <c r="F12670" s="2">
        <v>0</v>
      </c>
      <c r="G12670" s="2">
        <v>0</v>
      </c>
      <c r="H12670" s="1" t="s">
        <v>0</v>
      </c>
      <c r="I12670" s="2">
        <v>0</v>
      </c>
      <c r="J12670" s="1">
        <v>46008.441562499997</v>
      </c>
    </row>
    <row r="12671" spans="1:10" x14ac:dyDescent="0.2">
      <c r="A12671" s="4" t="s">
        <v>1</v>
      </c>
      <c r="B1267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71" s="3" t="str">
        <f>HYPERLINK("https://otsuka-europe-crm.veevavault.com/ui/#object/sent_email__v/VBL000000011341", "SE-001397101")</f>
        <v>SE-001397101</v>
      </c>
      <c r="D12671" s="1" t="s">
        <v>0</v>
      </c>
      <c r="E12671" s="2">
        <v>0</v>
      </c>
      <c r="F12671" s="2">
        <v>0</v>
      </c>
      <c r="G12671" s="2">
        <v>0</v>
      </c>
      <c r="H12671" s="1" t="s">
        <v>0</v>
      </c>
      <c r="I12671" s="2">
        <v>0</v>
      </c>
      <c r="J12671" s="1">
        <v>46008.441608796296</v>
      </c>
    </row>
    <row r="12672" spans="1:10" x14ac:dyDescent="0.2">
      <c r="A12672" s="4" t="s">
        <v>1</v>
      </c>
      <c r="B1267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72" s="3" t="str">
        <f>HYPERLINK("https://otsuka-europe-crm.veevavault.com/ui/#object/sent_email__v/VBL000000011342", "SE-001397102")</f>
        <v>SE-001397102</v>
      </c>
      <c r="D12672" s="1">
        <v>46008.441805555558</v>
      </c>
      <c r="E12672" s="2">
        <v>1</v>
      </c>
      <c r="F12672" s="2">
        <v>2</v>
      </c>
      <c r="G12672" s="2">
        <v>0</v>
      </c>
      <c r="H12672" s="1" t="s">
        <v>0</v>
      </c>
      <c r="I12672" s="2">
        <v>0</v>
      </c>
      <c r="J12672" s="1">
        <v>46008.441655092596</v>
      </c>
    </row>
    <row r="12673" spans="1:10" x14ac:dyDescent="0.2">
      <c r="A12673" s="4" t="s">
        <v>1</v>
      </c>
      <c r="B1267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73" s="3" t="str">
        <f>HYPERLINK("https://otsuka-europe-crm.veevavault.com/ui/#object/sent_email__v/VBL000000011343", "SE-001397103")</f>
        <v>SE-001397103</v>
      </c>
      <c r="D12673" s="1" t="s">
        <v>0</v>
      </c>
      <c r="E12673" s="2">
        <v>0</v>
      </c>
      <c r="F12673" s="2">
        <v>0</v>
      </c>
      <c r="G12673" s="2">
        <v>0</v>
      </c>
      <c r="H12673" s="1" t="s">
        <v>0</v>
      </c>
      <c r="I12673" s="2">
        <v>0</v>
      </c>
      <c r="J12673" s="1">
        <v>46008.441701388889</v>
      </c>
    </row>
    <row r="12674" spans="1:10" x14ac:dyDescent="0.2">
      <c r="A12674" s="4" t="s">
        <v>1</v>
      </c>
      <c r="B1267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74" s="3" t="str">
        <f>HYPERLINK("https://otsuka-europe-crm.veevavault.com/ui/#object/sent_email__v/VBL000000011344", "SE-001397104")</f>
        <v>SE-001397104</v>
      </c>
      <c r="D12674" s="1" t="s">
        <v>0</v>
      </c>
      <c r="E12674" s="2">
        <v>0</v>
      </c>
      <c r="F12674" s="2">
        <v>0</v>
      </c>
      <c r="G12674" s="2">
        <v>0</v>
      </c>
      <c r="H12674" s="1" t="s">
        <v>0</v>
      </c>
      <c r="I12674" s="2">
        <v>0</v>
      </c>
      <c r="J12674" s="1">
        <v>46008.441747685189</v>
      </c>
    </row>
    <row r="12675" spans="1:10" x14ac:dyDescent="0.2">
      <c r="A12675" s="4" t="s">
        <v>1</v>
      </c>
      <c r="B1267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75" s="3" t="str">
        <f>HYPERLINK("https://otsuka-europe-crm.veevavault.com/ui/#object/sent_email__v/VBL000000011345", "SE-001397105")</f>
        <v>SE-001397105</v>
      </c>
      <c r="D12675" s="1">
        <v>46008.448993055557</v>
      </c>
      <c r="E12675" s="2">
        <v>1</v>
      </c>
      <c r="F12675" s="2">
        <v>1</v>
      </c>
      <c r="G12675" s="2">
        <v>0</v>
      </c>
      <c r="H12675" s="1" t="s">
        <v>0</v>
      </c>
      <c r="I12675" s="2">
        <v>0</v>
      </c>
      <c r="J12675" s="1">
        <v>46008.441782407404</v>
      </c>
    </row>
    <row r="12676" spans="1:10" x14ac:dyDescent="0.2">
      <c r="A12676" s="4" t="s">
        <v>1</v>
      </c>
      <c r="B1267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76" s="3" t="str">
        <f>HYPERLINK("https://otsuka-europe-crm.veevavault.com/ui/#object/sent_email__v/VBL000000011346", "SE-001397106")</f>
        <v>SE-001397106</v>
      </c>
      <c r="D12676" s="1">
        <v>46018.949178240742</v>
      </c>
      <c r="E12676" s="2">
        <v>1</v>
      </c>
      <c r="F12676" s="2">
        <v>2</v>
      </c>
      <c r="G12676" s="2">
        <v>0</v>
      </c>
      <c r="H12676" s="1" t="s">
        <v>0</v>
      </c>
      <c r="I12676" s="2">
        <v>0</v>
      </c>
      <c r="J12676" s="1">
        <v>46008.441828703704</v>
      </c>
    </row>
    <row r="12677" spans="1:10" x14ac:dyDescent="0.2">
      <c r="A12677" s="4" t="s">
        <v>1</v>
      </c>
      <c r="B1267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77" s="3" t="str">
        <f>HYPERLINK("https://otsuka-europe-crm.veevavault.com/ui/#object/sent_email__v/VBL000000011347", "SE-001397107")</f>
        <v>SE-001397107</v>
      </c>
      <c r="D12677" s="1">
        <v>46008.441944444443</v>
      </c>
      <c r="E12677" s="2">
        <v>1</v>
      </c>
      <c r="F12677" s="2">
        <v>1</v>
      </c>
      <c r="G12677" s="2">
        <v>0</v>
      </c>
      <c r="H12677" s="1" t="s">
        <v>0</v>
      </c>
      <c r="I12677" s="2">
        <v>0</v>
      </c>
      <c r="J12677" s="1">
        <v>46008.441874999997</v>
      </c>
    </row>
    <row r="12678" spans="1:10" x14ac:dyDescent="0.2">
      <c r="A12678" s="4" t="s">
        <v>1</v>
      </c>
      <c r="B1267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78" s="3" t="str">
        <f>HYPERLINK("https://otsuka-europe-crm.veevavault.com/ui/#object/sent_email__v/VBL000000011348", "SE-001397108")</f>
        <v>SE-001397108</v>
      </c>
      <c r="D12678" s="1">
        <v>46008.538587962961</v>
      </c>
      <c r="E12678" s="2">
        <v>1</v>
      </c>
      <c r="F12678" s="2">
        <v>4</v>
      </c>
      <c r="G12678" s="2">
        <v>0</v>
      </c>
      <c r="H12678" s="1" t="s">
        <v>0</v>
      </c>
      <c r="I12678" s="2">
        <v>0</v>
      </c>
      <c r="J12678" s="1">
        <v>46008.44190972222</v>
      </c>
    </row>
    <row r="12679" spans="1:10" x14ac:dyDescent="0.2">
      <c r="A12679" s="4" t="s">
        <v>1</v>
      </c>
      <c r="B1267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79" s="3" t="str">
        <f>HYPERLINK("https://otsuka-europe-crm.veevavault.com/ui/#object/sent_email__v/VBL000000011349", "SE-001397109")</f>
        <v>SE-001397109</v>
      </c>
      <c r="D12679" s="1" t="s">
        <v>0</v>
      </c>
      <c r="E12679" s="2">
        <v>0</v>
      </c>
      <c r="F12679" s="2">
        <v>0</v>
      </c>
      <c r="G12679" s="2">
        <v>0</v>
      </c>
      <c r="H12679" s="1" t="s">
        <v>0</v>
      </c>
      <c r="I12679" s="2">
        <v>0</v>
      </c>
      <c r="J12679" s="1">
        <v>46008.44195601852</v>
      </c>
    </row>
    <row r="12680" spans="1:10" x14ac:dyDescent="0.2">
      <c r="A12680" s="4" t="s">
        <v>1</v>
      </c>
      <c r="B1268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80" s="3" t="str">
        <f>HYPERLINK("https://otsuka-europe-crm.veevavault.com/ui/#object/sent_email__v/VBL000000011350", "SE-001397110")</f>
        <v>SE-001397110</v>
      </c>
      <c r="D12680" s="1">
        <v>46018.934178240743</v>
      </c>
      <c r="E12680" s="2">
        <v>1</v>
      </c>
      <c r="F12680" s="2">
        <v>5</v>
      </c>
      <c r="G12680" s="2">
        <v>0</v>
      </c>
      <c r="H12680" s="1" t="s">
        <v>0</v>
      </c>
      <c r="I12680" s="2">
        <v>0</v>
      </c>
      <c r="J12680" s="1">
        <v>46008.441990740743</v>
      </c>
    </row>
    <row r="12681" spans="1:10" x14ac:dyDescent="0.2">
      <c r="A12681" s="4" t="s">
        <v>1</v>
      </c>
      <c r="B1268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81" s="3" t="str">
        <f>HYPERLINK("https://otsuka-europe-crm.veevavault.com/ui/#object/sent_email__v/VBL000000011351", "SE-001397111")</f>
        <v>SE-001397111</v>
      </c>
      <c r="D12681" s="1" t="s">
        <v>0</v>
      </c>
      <c r="E12681" s="2">
        <v>0</v>
      </c>
      <c r="F12681" s="2">
        <v>0</v>
      </c>
      <c r="G12681" s="2">
        <v>0</v>
      </c>
      <c r="H12681" s="1" t="s">
        <v>0</v>
      </c>
      <c r="I12681" s="2">
        <v>0</v>
      </c>
      <c r="J12681" s="1">
        <v>46008.442037037035</v>
      </c>
    </row>
    <row r="12682" spans="1:10" x14ac:dyDescent="0.2">
      <c r="A12682" s="4" t="s">
        <v>1</v>
      </c>
      <c r="B1268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82" s="3" t="str">
        <f>HYPERLINK("https://otsuka-europe-crm.veevavault.com/ui/#object/sent_email__v/VBL000000011352", "SE-001397112")</f>
        <v>SE-001397112</v>
      </c>
      <c r="D12682" s="1" t="s">
        <v>0</v>
      </c>
      <c r="E12682" s="2">
        <v>0</v>
      </c>
      <c r="F12682" s="2">
        <v>0</v>
      </c>
      <c r="G12682" s="2">
        <v>0</v>
      </c>
      <c r="H12682" s="1" t="s">
        <v>0</v>
      </c>
      <c r="I12682" s="2">
        <v>0</v>
      </c>
      <c r="J12682" s="1">
        <v>46008.442083333335</v>
      </c>
    </row>
    <row r="12683" spans="1:10" x14ac:dyDescent="0.2">
      <c r="A12683" s="4" t="s">
        <v>1</v>
      </c>
      <c r="B1268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83" s="3" t="str">
        <f>HYPERLINK("https://otsuka-europe-crm.veevavault.com/ui/#object/sent_email__v/VBL000000011353", "SE-001397113")</f>
        <v>SE-001397113</v>
      </c>
      <c r="D12683" s="1">
        <v>46008.614479166667</v>
      </c>
      <c r="E12683" s="2">
        <v>1</v>
      </c>
      <c r="F12683" s="2">
        <v>1</v>
      </c>
      <c r="G12683" s="2">
        <v>0</v>
      </c>
      <c r="H12683" s="1" t="s">
        <v>0</v>
      </c>
      <c r="I12683" s="2">
        <v>0</v>
      </c>
      <c r="J12683" s="1">
        <v>46008.442118055558</v>
      </c>
    </row>
    <row r="12684" spans="1:10" x14ac:dyDescent="0.2">
      <c r="A12684" s="4" t="s">
        <v>1</v>
      </c>
      <c r="B1268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84" s="3" t="str">
        <f>HYPERLINK("https://otsuka-europe-crm.veevavault.com/ui/#object/sent_email__v/VBL000000011354", "SE-001397114")</f>
        <v>SE-001397114</v>
      </c>
      <c r="D12684" s="1" t="s">
        <v>0</v>
      </c>
      <c r="E12684" s="2">
        <v>0</v>
      </c>
      <c r="F12684" s="2">
        <v>0</v>
      </c>
      <c r="G12684" s="2">
        <v>0</v>
      </c>
      <c r="H12684" s="1" t="s">
        <v>0</v>
      </c>
      <c r="I12684" s="2">
        <v>0</v>
      </c>
      <c r="J12684" s="1">
        <v>46008.442164351851</v>
      </c>
    </row>
    <row r="12685" spans="1:10" x14ac:dyDescent="0.2">
      <c r="A12685" s="4" t="s">
        <v>1</v>
      </c>
      <c r="B1268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85" s="3" t="str">
        <f>HYPERLINK("https://otsuka-europe-crm.veevavault.com/ui/#object/sent_email__v/VBL000000011355", "SE-001397115")</f>
        <v>SE-001397115</v>
      </c>
      <c r="D12685" s="1" t="s">
        <v>0</v>
      </c>
      <c r="E12685" s="2">
        <v>0</v>
      </c>
      <c r="F12685" s="2">
        <v>0</v>
      </c>
      <c r="G12685" s="2">
        <v>0</v>
      </c>
      <c r="H12685" s="1" t="s">
        <v>0</v>
      </c>
      <c r="I12685" s="2">
        <v>0</v>
      </c>
      <c r="J12685" s="1">
        <v>46008.442199074074</v>
      </c>
    </row>
    <row r="12686" spans="1:10" x14ac:dyDescent="0.2">
      <c r="A12686" s="4" t="s">
        <v>1</v>
      </c>
      <c r="B1268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86" s="3" t="str">
        <f>HYPERLINK("https://otsuka-europe-crm.veevavault.com/ui/#object/sent_email__v/VBL000000011356", "SE-001397116")</f>
        <v>SE-001397116</v>
      </c>
      <c r="D12686" s="1" t="s">
        <v>0</v>
      </c>
      <c r="E12686" s="2">
        <v>0</v>
      </c>
      <c r="F12686" s="2">
        <v>0</v>
      </c>
      <c r="G12686" s="2">
        <v>0</v>
      </c>
      <c r="H12686" s="1" t="s">
        <v>0</v>
      </c>
      <c r="I12686" s="2">
        <v>0</v>
      </c>
      <c r="J12686" s="1">
        <v>46008.442245370374</v>
      </c>
    </row>
    <row r="12687" spans="1:10" x14ac:dyDescent="0.2">
      <c r="A12687" s="4" t="s">
        <v>1</v>
      </c>
      <c r="B1268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87" s="3" t="str">
        <f>HYPERLINK("https://otsuka-europe-crm.veevavault.com/ui/#object/sent_email__v/VBL000000011357", "SE-001397117")</f>
        <v>SE-001397117</v>
      </c>
      <c r="D12687" s="1">
        <v>46009.837071759262</v>
      </c>
      <c r="E12687" s="2">
        <v>1</v>
      </c>
      <c r="F12687" s="2">
        <v>1</v>
      </c>
      <c r="G12687" s="2">
        <v>0</v>
      </c>
      <c r="H12687" s="1" t="s">
        <v>0</v>
      </c>
      <c r="I12687" s="2">
        <v>0</v>
      </c>
      <c r="J12687" s="1">
        <v>46008.442280092589</v>
      </c>
    </row>
    <row r="12688" spans="1:10" x14ac:dyDescent="0.2">
      <c r="A12688" s="4" t="s">
        <v>1</v>
      </c>
      <c r="B1268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88" s="3" t="str">
        <f>HYPERLINK("https://otsuka-europe-crm.veevavault.com/ui/#object/sent_email__v/VBL000000011358", "SE-001397118")</f>
        <v>SE-001397118</v>
      </c>
      <c r="D12688" s="1">
        <v>46031.53875</v>
      </c>
      <c r="E12688" s="2">
        <v>1</v>
      </c>
      <c r="F12688" s="2">
        <v>2</v>
      </c>
      <c r="G12688" s="2">
        <v>0</v>
      </c>
      <c r="H12688" s="1" t="s">
        <v>0</v>
      </c>
      <c r="I12688" s="2">
        <v>0</v>
      </c>
      <c r="J12688" s="1">
        <v>46008.442326388889</v>
      </c>
    </row>
    <row r="12689" spans="1:10" x14ac:dyDescent="0.2">
      <c r="A12689" s="4" t="s">
        <v>1</v>
      </c>
      <c r="B1268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89" s="3" t="str">
        <f>HYPERLINK("https://otsuka-europe-crm.veevavault.com/ui/#object/sent_email__v/VBL000000011359", "SE-001397119")</f>
        <v>SE-001397119</v>
      </c>
      <c r="D12689" s="1" t="s">
        <v>0</v>
      </c>
      <c r="E12689" s="2">
        <v>0</v>
      </c>
      <c r="F12689" s="2">
        <v>0</v>
      </c>
      <c r="G12689" s="2">
        <v>0</v>
      </c>
      <c r="H12689" s="1" t="s">
        <v>0</v>
      </c>
      <c r="I12689" s="2">
        <v>0</v>
      </c>
      <c r="J12689" s="1">
        <v>46008.442361111112</v>
      </c>
    </row>
    <row r="12690" spans="1:10" x14ac:dyDescent="0.2">
      <c r="A12690" s="4" t="s">
        <v>1</v>
      </c>
      <c r="B1269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90" s="3" t="str">
        <f>HYPERLINK("https://otsuka-europe-crm.veevavault.com/ui/#object/sent_email__v/VBL000000011360", "SE-001397120")</f>
        <v>SE-001397120</v>
      </c>
      <c r="D12690" s="1">
        <v>46008.958252314813</v>
      </c>
      <c r="E12690" s="2">
        <v>1</v>
      </c>
      <c r="F12690" s="2">
        <v>2</v>
      </c>
      <c r="G12690" s="2">
        <v>0</v>
      </c>
      <c r="H12690" s="1" t="s">
        <v>0</v>
      </c>
      <c r="I12690" s="2">
        <v>0</v>
      </c>
      <c r="J12690" s="1">
        <v>46008.442395833335</v>
      </c>
    </row>
    <row r="12691" spans="1:10" x14ac:dyDescent="0.2">
      <c r="A12691" s="4" t="s">
        <v>1</v>
      </c>
      <c r="B1269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91" s="3" t="str">
        <f>HYPERLINK("https://otsuka-europe-crm.veevavault.com/ui/#object/sent_email__v/VBL000000011361", "SE-001397121")</f>
        <v>SE-001397121</v>
      </c>
      <c r="D12691" s="1" t="s">
        <v>0</v>
      </c>
      <c r="E12691" s="2">
        <v>0</v>
      </c>
      <c r="F12691" s="2">
        <v>0</v>
      </c>
      <c r="G12691" s="2">
        <v>0</v>
      </c>
      <c r="H12691" s="1" t="s">
        <v>0</v>
      </c>
      <c r="I12691" s="2">
        <v>0</v>
      </c>
      <c r="J12691" s="1">
        <v>46008.442442129628</v>
      </c>
    </row>
    <row r="12692" spans="1:10" x14ac:dyDescent="0.2">
      <c r="A12692" s="4" t="s">
        <v>1</v>
      </c>
      <c r="B1269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92" s="3" t="str">
        <f>HYPERLINK("https://otsuka-europe-crm.veevavault.com/ui/#object/sent_email__v/VBL000000011362", "SE-001397122")</f>
        <v>SE-001397122</v>
      </c>
      <c r="D12692" s="1" t="s">
        <v>0</v>
      </c>
      <c r="E12692" s="2">
        <v>0</v>
      </c>
      <c r="F12692" s="2">
        <v>0</v>
      </c>
      <c r="G12692" s="2">
        <v>0</v>
      </c>
      <c r="H12692" s="1" t="s">
        <v>0</v>
      </c>
      <c r="I12692" s="2">
        <v>0</v>
      </c>
      <c r="J12692" s="1">
        <v>46008.442488425928</v>
      </c>
    </row>
    <row r="12693" spans="1:10" x14ac:dyDescent="0.2">
      <c r="A12693" s="4" t="s">
        <v>1</v>
      </c>
      <c r="B1269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93" s="3" t="str">
        <f>HYPERLINK("https://otsuka-europe-crm.veevavault.com/ui/#object/sent_email__v/VBL000000011363", "SE-001397123")</f>
        <v>SE-001397123</v>
      </c>
      <c r="D12693" s="1">
        <v>46009.769178240742</v>
      </c>
      <c r="E12693" s="2">
        <v>1</v>
      </c>
      <c r="F12693" s="2">
        <v>1</v>
      </c>
      <c r="G12693" s="2">
        <v>0</v>
      </c>
      <c r="H12693" s="1" t="s">
        <v>0</v>
      </c>
      <c r="I12693" s="2">
        <v>0</v>
      </c>
      <c r="J12693" s="1">
        <v>46008.442523148151</v>
      </c>
    </row>
    <row r="12694" spans="1:10" x14ac:dyDescent="0.2">
      <c r="A12694" s="4" t="s">
        <v>1</v>
      </c>
      <c r="B1269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94" s="3" t="str">
        <f>HYPERLINK("https://otsuka-europe-crm.veevavault.com/ui/#object/sent_email__v/VBL000000011364", "SE-001397124")</f>
        <v>SE-001397124</v>
      </c>
      <c r="D12694" s="1" t="s">
        <v>0</v>
      </c>
      <c r="E12694" s="2">
        <v>0</v>
      </c>
      <c r="F12694" s="2">
        <v>0</v>
      </c>
      <c r="G12694" s="2">
        <v>0</v>
      </c>
      <c r="H12694" s="1" t="s">
        <v>0</v>
      </c>
      <c r="I12694" s="2">
        <v>0</v>
      </c>
      <c r="J12694" s="1">
        <v>46008.442557870374</v>
      </c>
    </row>
    <row r="12695" spans="1:10" x14ac:dyDescent="0.2">
      <c r="A12695" s="4" t="s">
        <v>1</v>
      </c>
      <c r="B1269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95" s="3" t="str">
        <f>HYPERLINK("https://otsuka-europe-crm.veevavault.com/ui/#object/sent_email__v/VBL000000011365", "SE-001397125")</f>
        <v>SE-001397125</v>
      </c>
      <c r="D12695" s="1">
        <v>46008.547303240739</v>
      </c>
      <c r="E12695" s="2">
        <v>1</v>
      </c>
      <c r="F12695" s="2">
        <v>1</v>
      </c>
      <c r="G12695" s="2">
        <v>0</v>
      </c>
      <c r="H12695" s="1" t="s">
        <v>0</v>
      </c>
      <c r="I12695" s="2">
        <v>0</v>
      </c>
      <c r="J12695" s="1">
        <v>46008.442604166667</v>
      </c>
    </row>
    <row r="12696" spans="1:10" x14ac:dyDescent="0.2">
      <c r="A12696" s="4" t="s">
        <v>1</v>
      </c>
      <c r="B1269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96" s="3" t="str">
        <f>HYPERLINK("https://otsuka-europe-crm.veevavault.com/ui/#object/sent_email__v/VBL000000011366", "SE-001397126")</f>
        <v>SE-001397126</v>
      </c>
      <c r="D12696" s="1" t="s">
        <v>0</v>
      </c>
      <c r="E12696" s="2">
        <v>0</v>
      </c>
      <c r="F12696" s="2">
        <v>0</v>
      </c>
      <c r="G12696" s="2">
        <v>0</v>
      </c>
      <c r="H12696" s="1" t="s">
        <v>0</v>
      </c>
      <c r="I12696" s="2">
        <v>0</v>
      </c>
      <c r="J12696" s="1">
        <v>46008.44263888889</v>
      </c>
    </row>
    <row r="12697" spans="1:10" x14ac:dyDescent="0.2">
      <c r="A12697" s="4" t="s">
        <v>1</v>
      </c>
      <c r="B1269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97" s="3" t="str">
        <f>HYPERLINK("https://otsuka-europe-crm.veevavault.com/ui/#object/sent_email__v/VBL000000011367", "SE-001397127")</f>
        <v>SE-001397127</v>
      </c>
      <c r="D12697" s="1" t="s">
        <v>0</v>
      </c>
      <c r="E12697" s="2">
        <v>0</v>
      </c>
      <c r="F12697" s="2">
        <v>0</v>
      </c>
      <c r="G12697" s="2">
        <v>0</v>
      </c>
      <c r="H12697" s="1" t="s">
        <v>0</v>
      </c>
      <c r="I12697" s="2">
        <v>0</v>
      </c>
      <c r="J12697" s="1">
        <v>46008.442685185182</v>
      </c>
    </row>
    <row r="12698" spans="1:10" x14ac:dyDescent="0.2">
      <c r="A12698" s="4" t="s">
        <v>1</v>
      </c>
      <c r="B1269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98" s="3" t="str">
        <f>HYPERLINK("https://otsuka-europe-crm.veevavault.com/ui/#object/sent_email__v/VBL000000011368", "SE-001397128")</f>
        <v>SE-001397128</v>
      </c>
      <c r="D12698" s="1">
        <v>46009.024780092594</v>
      </c>
      <c r="E12698" s="2">
        <v>1</v>
      </c>
      <c r="F12698" s="2">
        <v>1</v>
      </c>
      <c r="G12698" s="2">
        <v>0</v>
      </c>
      <c r="H12698" s="1" t="s">
        <v>0</v>
      </c>
      <c r="I12698" s="2">
        <v>0</v>
      </c>
      <c r="J12698" s="1">
        <v>46008.442719907405</v>
      </c>
    </row>
    <row r="12699" spans="1:10" x14ac:dyDescent="0.2">
      <c r="A12699" s="4" t="s">
        <v>1</v>
      </c>
      <c r="B1269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699" s="3" t="str">
        <f>HYPERLINK("https://otsuka-europe-crm.veevavault.com/ui/#object/sent_email__v/VBL000000011369", "SE-001397129")</f>
        <v>SE-001397129</v>
      </c>
      <c r="D12699" s="1" t="s">
        <v>0</v>
      </c>
      <c r="E12699" s="2">
        <v>0</v>
      </c>
      <c r="F12699" s="2">
        <v>0</v>
      </c>
      <c r="G12699" s="2">
        <v>0</v>
      </c>
      <c r="H12699" s="1" t="s">
        <v>0</v>
      </c>
      <c r="I12699" s="2">
        <v>0</v>
      </c>
      <c r="J12699" s="1">
        <v>46008.442766203705</v>
      </c>
    </row>
    <row r="12700" spans="1:10" x14ac:dyDescent="0.2">
      <c r="A12700" s="4" t="s">
        <v>1</v>
      </c>
      <c r="B1270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00" s="3" t="str">
        <f>HYPERLINK("https://otsuka-europe-crm.veevavault.com/ui/#object/sent_email__v/VBL000000011370", "SE-001397130")</f>
        <v>SE-001397130</v>
      </c>
      <c r="D12700" s="1" t="s">
        <v>0</v>
      </c>
      <c r="E12700" s="2">
        <v>0</v>
      </c>
      <c r="F12700" s="2">
        <v>0</v>
      </c>
      <c r="G12700" s="2">
        <v>0</v>
      </c>
      <c r="H12700" s="1" t="s">
        <v>0</v>
      </c>
      <c r="I12700" s="2">
        <v>0</v>
      </c>
      <c r="J12700" s="1">
        <v>46008.442800925928</v>
      </c>
    </row>
    <row r="12701" spans="1:10" x14ac:dyDescent="0.2">
      <c r="A12701" s="4" t="s">
        <v>1</v>
      </c>
      <c r="B1270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01" s="3" t="str">
        <f>HYPERLINK("https://otsuka-europe-crm.veevavault.com/ui/#object/sent_email__v/VBL000000011371", "SE-001397131")</f>
        <v>SE-001397131</v>
      </c>
      <c r="D12701" s="1">
        <v>46009.010092592594</v>
      </c>
      <c r="E12701" s="2">
        <v>1</v>
      </c>
      <c r="F12701" s="2">
        <v>2</v>
      </c>
      <c r="G12701" s="2">
        <v>0</v>
      </c>
      <c r="H12701" s="1" t="s">
        <v>0</v>
      </c>
      <c r="I12701" s="2">
        <v>0</v>
      </c>
      <c r="J12701" s="1">
        <v>46008.442835648151</v>
      </c>
    </row>
    <row r="12702" spans="1:10" x14ac:dyDescent="0.2">
      <c r="A12702" s="4" t="s">
        <v>1</v>
      </c>
      <c r="B1270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02" s="3" t="str">
        <f>HYPERLINK("https://otsuka-europe-crm.veevavault.com/ui/#object/sent_email__v/VBL000000010165", "SE-001397148")</f>
        <v>SE-001397148</v>
      </c>
      <c r="D12702" s="1">
        <v>46008.929537037038</v>
      </c>
      <c r="E12702" s="2">
        <v>1</v>
      </c>
      <c r="F12702" s="2">
        <v>2</v>
      </c>
      <c r="G12702" s="2">
        <v>0</v>
      </c>
      <c r="H12702" s="1" t="s">
        <v>0</v>
      </c>
      <c r="I12702" s="2">
        <v>0</v>
      </c>
      <c r="J12702" s="1">
        <v>46008.44091435185</v>
      </c>
    </row>
    <row r="12703" spans="1:10" x14ac:dyDescent="0.2">
      <c r="A12703" s="4" t="s">
        <v>1</v>
      </c>
      <c r="B1270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03" s="3" t="str">
        <f>HYPERLINK("https://otsuka-europe-crm.veevavault.com/ui/#object/sent_email__v/VBL000000010166", "SE-001397149")</f>
        <v>SE-001397149</v>
      </c>
      <c r="D12703" s="1" t="s">
        <v>0</v>
      </c>
      <c r="E12703" s="2">
        <v>0</v>
      </c>
      <c r="F12703" s="2">
        <v>0</v>
      </c>
      <c r="G12703" s="2">
        <v>0</v>
      </c>
      <c r="H12703" s="1" t="s">
        <v>0</v>
      </c>
      <c r="I12703" s="2">
        <v>0</v>
      </c>
      <c r="J12703" s="1">
        <v>46008.440983796296</v>
      </c>
    </row>
    <row r="12704" spans="1:10" x14ac:dyDescent="0.2">
      <c r="A12704" s="4" t="s">
        <v>1</v>
      </c>
      <c r="B1270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04" s="3" t="str">
        <f>HYPERLINK("https://otsuka-europe-crm.veevavault.com/ui/#object/sent_email__v/VBL000000010167", "SE-001397150")</f>
        <v>SE-001397150</v>
      </c>
      <c r="D12704" s="1">
        <v>46008.937951388885</v>
      </c>
      <c r="E12704" s="2">
        <v>1</v>
      </c>
      <c r="F12704" s="2">
        <v>1</v>
      </c>
      <c r="G12704" s="2">
        <v>0</v>
      </c>
      <c r="H12704" s="1" t="s">
        <v>0</v>
      </c>
      <c r="I12704" s="2">
        <v>0</v>
      </c>
      <c r="J12704" s="1">
        <v>46008.441018518519</v>
      </c>
    </row>
    <row r="12705" spans="1:10" x14ac:dyDescent="0.2">
      <c r="A12705" s="4" t="s">
        <v>1</v>
      </c>
      <c r="B1270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05" s="3" t="str">
        <f>HYPERLINK("https://otsuka-europe-crm.veevavault.com/ui/#object/sent_email__v/VBL000000010168", "SE-001397151")</f>
        <v>SE-001397151</v>
      </c>
      <c r="D12705" s="1">
        <v>46008.76158564815</v>
      </c>
      <c r="E12705" s="2">
        <v>1</v>
      </c>
      <c r="F12705" s="2">
        <v>2</v>
      </c>
      <c r="G12705" s="2">
        <v>0</v>
      </c>
      <c r="H12705" s="1" t="s">
        <v>0</v>
      </c>
      <c r="I12705" s="2">
        <v>0</v>
      </c>
      <c r="J12705" s="1">
        <v>46008.441053240742</v>
      </c>
    </row>
    <row r="12706" spans="1:10" x14ac:dyDescent="0.2">
      <c r="A12706" s="4" t="s">
        <v>1</v>
      </c>
      <c r="B1270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06" s="3" t="str">
        <f>HYPERLINK("https://otsuka-europe-crm.veevavault.com/ui/#object/sent_email__v/VBL000000010169", "SE-001397152")</f>
        <v>SE-001397152</v>
      </c>
      <c r="D12706" s="1" t="s">
        <v>0</v>
      </c>
      <c r="E12706" s="2">
        <v>0</v>
      </c>
      <c r="F12706" s="2">
        <v>0</v>
      </c>
      <c r="G12706" s="2">
        <v>0</v>
      </c>
      <c r="H12706" s="1" t="s">
        <v>0</v>
      </c>
      <c r="I12706" s="2">
        <v>0</v>
      </c>
      <c r="J12706" s="1">
        <v>46008.441099537034</v>
      </c>
    </row>
    <row r="12707" spans="1:10" x14ac:dyDescent="0.2">
      <c r="A12707" s="4" t="s">
        <v>1</v>
      </c>
      <c r="B1270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07" s="3" t="str">
        <f>HYPERLINK("https://otsuka-europe-crm.veevavault.com/ui/#object/sent_email__v/VBL000000010170", "SE-001397153")</f>
        <v>SE-001397153</v>
      </c>
      <c r="D12707" s="1">
        <v>46018.550324074073</v>
      </c>
      <c r="E12707" s="2">
        <v>1</v>
      </c>
      <c r="F12707" s="2">
        <v>2</v>
      </c>
      <c r="G12707" s="2">
        <v>0</v>
      </c>
      <c r="H12707" s="1" t="s">
        <v>0</v>
      </c>
      <c r="I12707" s="2">
        <v>0</v>
      </c>
      <c r="J12707" s="1">
        <v>46008.441145833334</v>
      </c>
    </row>
    <row r="12708" spans="1:10" x14ac:dyDescent="0.2">
      <c r="A12708" s="4" t="s">
        <v>1</v>
      </c>
      <c r="B1270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08" s="3" t="str">
        <f>HYPERLINK("https://otsuka-europe-crm.veevavault.com/ui/#object/sent_email__v/VBL000000010171", "SE-001397154")</f>
        <v>SE-001397154</v>
      </c>
      <c r="D12708" s="1" t="s">
        <v>0</v>
      </c>
      <c r="E12708" s="2">
        <v>0</v>
      </c>
      <c r="F12708" s="2">
        <v>0</v>
      </c>
      <c r="G12708" s="2">
        <v>0</v>
      </c>
      <c r="H12708" s="1" t="s">
        <v>0</v>
      </c>
      <c r="I12708" s="2">
        <v>0</v>
      </c>
      <c r="J12708" s="1">
        <v>46008.441180555557</v>
      </c>
    </row>
    <row r="12709" spans="1:10" x14ac:dyDescent="0.2">
      <c r="A12709" s="4" t="s">
        <v>1</v>
      </c>
      <c r="B1270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09" s="3" t="str">
        <f>HYPERLINK("https://otsuka-europe-crm.veevavault.com/ui/#object/sent_email__v/VBL000000010172", "SE-001397155")</f>
        <v>SE-001397155</v>
      </c>
      <c r="D12709" s="1" t="s">
        <v>0</v>
      </c>
      <c r="E12709" s="2">
        <v>0</v>
      </c>
      <c r="F12709" s="2">
        <v>0</v>
      </c>
      <c r="G12709" s="2">
        <v>0</v>
      </c>
      <c r="H12709" s="1" t="s">
        <v>0</v>
      </c>
      <c r="I12709" s="2">
        <v>0</v>
      </c>
      <c r="J12709" s="1">
        <v>46008.44121527778</v>
      </c>
    </row>
    <row r="12710" spans="1:10" x14ac:dyDescent="0.2">
      <c r="A12710" s="4" t="s">
        <v>1</v>
      </c>
      <c r="B1271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10" s="3" t="str">
        <f>HYPERLINK("https://otsuka-europe-crm.veevavault.com/ui/#object/sent_email__v/VBL000000010173", "SE-001397156")</f>
        <v>SE-001397156</v>
      </c>
      <c r="D12710" s="1">
        <v>46008.650717592594</v>
      </c>
      <c r="E12710" s="2">
        <v>1</v>
      </c>
      <c r="F12710" s="2">
        <v>1</v>
      </c>
      <c r="G12710" s="2">
        <v>0</v>
      </c>
      <c r="H12710" s="1" t="s">
        <v>0</v>
      </c>
      <c r="I12710" s="2">
        <v>0</v>
      </c>
      <c r="J12710" s="1">
        <v>46008.441261574073</v>
      </c>
    </row>
    <row r="12711" spans="1:10" x14ac:dyDescent="0.2">
      <c r="A12711" s="4" t="s">
        <v>1</v>
      </c>
      <c r="B1271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11" s="3" t="str">
        <f>HYPERLINK("https://otsuka-europe-crm.veevavault.com/ui/#object/sent_email__v/VBL000000010174", "SE-001397157")</f>
        <v>SE-001397157</v>
      </c>
      <c r="D12711" s="1">
        <v>46041.336608796293</v>
      </c>
      <c r="E12711" s="2">
        <v>1</v>
      </c>
      <c r="F12711" s="2">
        <v>3</v>
      </c>
      <c r="G12711" s="2">
        <v>0</v>
      </c>
      <c r="H12711" s="1" t="s">
        <v>0</v>
      </c>
      <c r="I12711" s="2">
        <v>0</v>
      </c>
      <c r="J12711" s="1">
        <v>46008.441296296296</v>
      </c>
    </row>
    <row r="12712" spans="1:10" x14ac:dyDescent="0.2">
      <c r="A12712" s="4" t="s">
        <v>1</v>
      </c>
      <c r="B1271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12" s="3" t="str">
        <f>HYPERLINK("https://otsuka-europe-crm.veevavault.com/ui/#object/sent_email__v/VBL000000010175", "SE-001397158")</f>
        <v>SE-001397158</v>
      </c>
      <c r="D12712" s="1" t="s">
        <v>0</v>
      </c>
      <c r="E12712" s="2">
        <v>0</v>
      </c>
      <c r="F12712" s="2">
        <v>0</v>
      </c>
      <c r="G12712" s="2">
        <v>0</v>
      </c>
      <c r="H12712" s="1" t="s">
        <v>0</v>
      </c>
      <c r="I12712" s="2">
        <v>0</v>
      </c>
      <c r="J12712" s="1">
        <v>46008.441342592596</v>
      </c>
    </row>
    <row r="12713" spans="1:10" x14ac:dyDescent="0.2">
      <c r="A12713" s="4" t="s">
        <v>1</v>
      </c>
      <c r="B1271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13" s="3" t="str">
        <f>HYPERLINK("https://otsuka-europe-crm.veevavault.com/ui/#object/sent_email__v/VBL000000010176", "SE-001397159")</f>
        <v>SE-001397159</v>
      </c>
      <c r="D12713" s="1" t="s">
        <v>0</v>
      </c>
      <c r="E12713" s="2">
        <v>0</v>
      </c>
      <c r="F12713" s="2">
        <v>0</v>
      </c>
      <c r="G12713" s="2">
        <v>0</v>
      </c>
      <c r="H12713" s="1" t="s">
        <v>0</v>
      </c>
      <c r="I12713" s="2">
        <v>0</v>
      </c>
      <c r="J12713" s="1">
        <v>46008.441388888888</v>
      </c>
    </row>
    <row r="12714" spans="1:10" x14ac:dyDescent="0.2">
      <c r="A12714" s="4" t="s">
        <v>1</v>
      </c>
      <c r="B1271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14" s="3" t="str">
        <f>HYPERLINK("https://otsuka-europe-crm.veevavault.com/ui/#object/sent_email__v/VBL000000010177", "SE-001397160")</f>
        <v>SE-001397160</v>
      </c>
      <c r="D12714" s="1">
        <v>46008.472418981481</v>
      </c>
      <c r="E12714" s="2">
        <v>1</v>
      </c>
      <c r="F12714" s="2">
        <v>1</v>
      </c>
      <c r="G12714" s="2">
        <v>0</v>
      </c>
      <c r="H12714" s="1" t="s">
        <v>0</v>
      </c>
      <c r="I12714" s="2">
        <v>0</v>
      </c>
      <c r="J12714" s="1">
        <v>46008.441423611112</v>
      </c>
    </row>
    <row r="12715" spans="1:10" x14ac:dyDescent="0.2">
      <c r="A12715" s="4" t="s">
        <v>1</v>
      </c>
      <c r="B1271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15" s="3" t="str">
        <f>HYPERLINK("https://otsuka-europe-crm.veevavault.com/ui/#object/sent_email__v/VBL000000010178", "SE-001397161")</f>
        <v>SE-001397161</v>
      </c>
      <c r="D12715" s="1" t="s">
        <v>0</v>
      </c>
      <c r="E12715" s="2">
        <v>0</v>
      </c>
      <c r="F12715" s="2">
        <v>0</v>
      </c>
      <c r="G12715" s="2">
        <v>0</v>
      </c>
      <c r="H12715" s="1" t="s">
        <v>0</v>
      </c>
      <c r="I12715" s="2">
        <v>0</v>
      </c>
      <c r="J12715" s="1">
        <v>46008.441469907404</v>
      </c>
    </row>
    <row r="12716" spans="1:10" x14ac:dyDescent="0.2">
      <c r="A12716" s="4" t="s">
        <v>1</v>
      </c>
      <c r="B1271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16" s="3" t="str">
        <f>HYPERLINK("https://otsuka-europe-crm.veevavault.com/ui/#object/sent_email__v/VBL000000010179", "SE-001397162")</f>
        <v>SE-001397162</v>
      </c>
      <c r="D12716" s="1" t="s">
        <v>0</v>
      </c>
      <c r="E12716" s="2">
        <v>0</v>
      </c>
      <c r="F12716" s="2">
        <v>0</v>
      </c>
      <c r="G12716" s="2">
        <v>0</v>
      </c>
      <c r="H12716" s="1" t="s">
        <v>0</v>
      </c>
      <c r="I12716" s="2">
        <v>0</v>
      </c>
      <c r="J12716" s="1">
        <v>46008.441516203704</v>
      </c>
    </row>
    <row r="12717" spans="1:10" x14ac:dyDescent="0.2">
      <c r="A12717" s="4" t="s">
        <v>1</v>
      </c>
      <c r="B1271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17" s="3" t="str">
        <f>HYPERLINK("https://otsuka-europe-crm.veevavault.com/ui/#object/sent_email__v/VBL000000010180", "SE-001397163")</f>
        <v>SE-001397163</v>
      </c>
      <c r="D12717" s="1" t="s">
        <v>0</v>
      </c>
      <c r="E12717" s="2">
        <v>0</v>
      </c>
      <c r="F12717" s="2">
        <v>0</v>
      </c>
      <c r="G12717" s="2">
        <v>0</v>
      </c>
      <c r="H12717" s="1" t="s">
        <v>0</v>
      </c>
      <c r="I12717" s="2">
        <v>0</v>
      </c>
      <c r="J12717" s="1">
        <v>46008.441550925927</v>
      </c>
    </row>
    <row r="12718" spans="1:10" x14ac:dyDescent="0.2">
      <c r="A12718" s="4" t="s">
        <v>1</v>
      </c>
      <c r="B1271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18" s="3" t="str">
        <f>HYPERLINK("https://otsuka-europe-crm.veevavault.com/ui/#object/sent_email__v/VBL000000010181", "SE-001397164")</f>
        <v>SE-001397164</v>
      </c>
      <c r="D12718" s="1" t="s">
        <v>0</v>
      </c>
      <c r="E12718" s="2">
        <v>0</v>
      </c>
      <c r="F12718" s="2">
        <v>0</v>
      </c>
      <c r="G12718" s="2">
        <v>0</v>
      </c>
      <c r="H12718" s="1" t="s">
        <v>0</v>
      </c>
      <c r="I12718" s="2">
        <v>0</v>
      </c>
      <c r="J12718" s="1">
        <v>46008.44159722222</v>
      </c>
    </row>
    <row r="12719" spans="1:10" x14ac:dyDescent="0.2">
      <c r="A12719" s="4" t="s">
        <v>1</v>
      </c>
      <c r="B1271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19" s="3" t="str">
        <f>HYPERLINK("https://otsuka-europe-crm.veevavault.com/ui/#object/sent_email__v/VBL000000010182", "SE-001397165")</f>
        <v>SE-001397165</v>
      </c>
      <c r="D12719" s="1" t="s">
        <v>0</v>
      </c>
      <c r="E12719" s="2">
        <v>0</v>
      </c>
      <c r="F12719" s="2">
        <v>0</v>
      </c>
      <c r="G12719" s="2">
        <v>0</v>
      </c>
      <c r="H12719" s="1" t="s">
        <v>0</v>
      </c>
      <c r="I12719" s="2">
        <v>0</v>
      </c>
      <c r="J12719" s="1">
        <v>46008.441643518519</v>
      </c>
    </row>
    <row r="12720" spans="1:10" x14ac:dyDescent="0.2">
      <c r="A12720" s="4" t="s">
        <v>1</v>
      </c>
      <c r="B1272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20" s="3" t="str">
        <f>HYPERLINK("https://otsuka-europe-crm.veevavault.com/ui/#object/sent_email__v/VBL000000010183", "SE-001397166")</f>
        <v>SE-001397166</v>
      </c>
      <c r="D12720" s="1" t="s">
        <v>0</v>
      </c>
      <c r="E12720" s="2">
        <v>0</v>
      </c>
      <c r="F12720" s="2">
        <v>0</v>
      </c>
      <c r="G12720" s="2">
        <v>0</v>
      </c>
      <c r="H12720" s="1" t="s">
        <v>0</v>
      </c>
      <c r="I12720" s="2">
        <v>0</v>
      </c>
      <c r="J12720" s="1">
        <v>46008.441701388889</v>
      </c>
    </row>
    <row r="12721" spans="1:10" x14ac:dyDescent="0.2">
      <c r="A12721" s="4" t="s">
        <v>1</v>
      </c>
      <c r="B1272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21" s="3" t="str">
        <f>HYPERLINK("https://otsuka-europe-crm.veevavault.com/ui/#object/sent_email__v/VBL000000010184", "SE-001397167")</f>
        <v>SE-001397167</v>
      </c>
      <c r="D12721" s="1">
        <v>46014.220069444447</v>
      </c>
      <c r="E12721" s="2">
        <v>1</v>
      </c>
      <c r="F12721" s="2">
        <v>2</v>
      </c>
      <c r="G12721" s="2">
        <v>0</v>
      </c>
      <c r="H12721" s="1" t="s">
        <v>0</v>
      </c>
      <c r="I12721" s="2">
        <v>0</v>
      </c>
      <c r="J12721" s="1">
        <v>46008.441747685189</v>
      </c>
    </row>
    <row r="12722" spans="1:10" x14ac:dyDescent="0.2">
      <c r="A12722" s="4" t="s">
        <v>1</v>
      </c>
      <c r="B1272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22" s="3" t="str">
        <f>HYPERLINK("https://otsuka-europe-crm.veevavault.com/ui/#object/sent_email__v/VBL000000010185", "SE-001397168")</f>
        <v>SE-001397168</v>
      </c>
      <c r="D12722" s="1">
        <v>46008.955023148148</v>
      </c>
      <c r="E12722" s="2">
        <v>1</v>
      </c>
      <c r="F12722" s="2">
        <v>1</v>
      </c>
      <c r="G12722" s="2">
        <v>0</v>
      </c>
      <c r="H12722" s="1" t="s">
        <v>0</v>
      </c>
      <c r="I12722" s="2">
        <v>0</v>
      </c>
      <c r="J12722" s="1">
        <v>46008.441793981481</v>
      </c>
    </row>
    <row r="12723" spans="1:10" x14ac:dyDescent="0.2">
      <c r="A12723" s="4" t="s">
        <v>1</v>
      </c>
      <c r="B1272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23" s="3" t="str">
        <f>HYPERLINK("https://otsuka-europe-crm.veevavault.com/ui/#object/sent_email__v/VBL000000010186", "SE-001397169")</f>
        <v>SE-001397169</v>
      </c>
      <c r="D12723" s="1">
        <v>46008.88013888889</v>
      </c>
      <c r="E12723" s="2">
        <v>1</v>
      </c>
      <c r="F12723" s="2">
        <v>1</v>
      </c>
      <c r="G12723" s="2">
        <v>0</v>
      </c>
      <c r="H12723" s="1" t="s">
        <v>0</v>
      </c>
      <c r="I12723" s="2">
        <v>0</v>
      </c>
      <c r="J12723" s="1">
        <v>46008.441828703704</v>
      </c>
    </row>
    <row r="12724" spans="1:10" x14ac:dyDescent="0.2">
      <c r="A12724" s="4" t="s">
        <v>1</v>
      </c>
      <c r="B1272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24" s="3" t="str">
        <f>HYPERLINK("https://otsuka-europe-crm.veevavault.com/ui/#object/sent_email__v/VBL000000010187", "SE-001397170")</f>
        <v>SE-001397170</v>
      </c>
      <c r="D12724" s="1">
        <v>46009.340752314813</v>
      </c>
      <c r="E12724" s="2">
        <v>1</v>
      </c>
      <c r="F12724" s="2">
        <v>2</v>
      </c>
      <c r="G12724" s="2">
        <v>0</v>
      </c>
      <c r="H12724" s="1" t="s">
        <v>0</v>
      </c>
      <c r="I12724" s="2">
        <v>0</v>
      </c>
      <c r="J12724" s="1">
        <v>46008.441874999997</v>
      </c>
    </row>
    <row r="12725" spans="1:10" x14ac:dyDescent="0.2">
      <c r="A12725" s="4" t="s">
        <v>1</v>
      </c>
      <c r="B1272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25" s="3" t="str">
        <f>HYPERLINK("https://otsuka-europe-crm.veevavault.com/ui/#object/sent_email__v/VBL000000010188", "SE-001397171")</f>
        <v>SE-001397171</v>
      </c>
      <c r="D12725" s="1" t="s">
        <v>0</v>
      </c>
      <c r="E12725" s="2">
        <v>0</v>
      </c>
      <c r="F12725" s="2">
        <v>0</v>
      </c>
      <c r="G12725" s="2">
        <v>0</v>
      </c>
      <c r="H12725" s="1" t="s">
        <v>0</v>
      </c>
      <c r="I12725" s="2">
        <v>0</v>
      </c>
      <c r="J12725" s="1">
        <v>46008.44190972222</v>
      </c>
    </row>
    <row r="12726" spans="1:10" x14ac:dyDescent="0.2">
      <c r="A12726" s="4" t="s">
        <v>1</v>
      </c>
      <c r="B1272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26" s="3" t="str">
        <f>HYPERLINK("https://otsuka-europe-crm.veevavault.com/ui/#object/sent_email__v/VBL000000010189", "SE-001397172")</f>
        <v>SE-001397172</v>
      </c>
      <c r="D12726" s="1">
        <v>46008.720729166664</v>
      </c>
      <c r="E12726" s="2">
        <v>1</v>
      </c>
      <c r="F12726" s="2">
        <v>1</v>
      </c>
      <c r="G12726" s="2">
        <v>0</v>
      </c>
      <c r="H12726" s="1" t="s">
        <v>0</v>
      </c>
      <c r="I12726" s="2">
        <v>0</v>
      </c>
      <c r="J12726" s="1">
        <v>46008.44195601852</v>
      </c>
    </row>
    <row r="12727" spans="1:10" x14ac:dyDescent="0.2">
      <c r="A12727" s="4" t="s">
        <v>1</v>
      </c>
      <c r="B1272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27" s="3" t="str">
        <f>HYPERLINK("https://otsuka-europe-crm.veevavault.com/ui/#object/sent_email__v/VBL000000010190", "SE-001397173")</f>
        <v>SE-001397173</v>
      </c>
      <c r="D12727" s="1" t="s">
        <v>0</v>
      </c>
      <c r="E12727" s="2">
        <v>0</v>
      </c>
      <c r="F12727" s="2">
        <v>0</v>
      </c>
      <c r="G12727" s="2">
        <v>0</v>
      </c>
      <c r="H12727" s="1" t="s">
        <v>0</v>
      </c>
      <c r="I12727" s="2">
        <v>0</v>
      </c>
      <c r="J12727" s="1">
        <v>46008.441990740743</v>
      </c>
    </row>
    <row r="12728" spans="1:10" x14ac:dyDescent="0.2">
      <c r="A12728" s="4" t="s">
        <v>1</v>
      </c>
      <c r="B1272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28" s="3" t="str">
        <f>HYPERLINK("https://otsuka-europe-crm.veevavault.com/ui/#object/sent_email__v/VBL000000010191", "SE-001397174")</f>
        <v>SE-001397174</v>
      </c>
      <c r="D12728" s="1">
        <v>46008.463692129626</v>
      </c>
      <c r="E12728" s="2">
        <v>1</v>
      </c>
      <c r="F12728" s="2">
        <v>1</v>
      </c>
      <c r="G12728" s="2">
        <v>0</v>
      </c>
      <c r="H12728" s="1" t="s">
        <v>0</v>
      </c>
      <c r="I12728" s="2">
        <v>0</v>
      </c>
      <c r="J12728" s="1">
        <v>46008.442037037035</v>
      </c>
    </row>
    <row r="12729" spans="1:10" x14ac:dyDescent="0.2">
      <c r="A12729" s="4" t="s">
        <v>1</v>
      </c>
      <c r="B1272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29" s="3" t="str">
        <f>HYPERLINK("https://otsuka-europe-crm.veevavault.com/ui/#object/sent_email__v/VBL000000010192", "SE-001397175")</f>
        <v>SE-001397175</v>
      </c>
      <c r="D12729" s="1">
        <v>46008.75582175926</v>
      </c>
      <c r="E12729" s="2">
        <v>1</v>
      </c>
      <c r="F12729" s="2">
        <v>1</v>
      </c>
      <c r="G12729" s="2">
        <v>0</v>
      </c>
      <c r="H12729" s="1" t="s">
        <v>0</v>
      </c>
      <c r="I12729" s="2">
        <v>0</v>
      </c>
      <c r="J12729" s="1">
        <v>46008.442071759258</v>
      </c>
    </row>
    <row r="12730" spans="1:10" x14ac:dyDescent="0.2">
      <c r="A12730" s="4" t="s">
        <v>1</v>
      </c>
      <c r="B1273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30" s="3" t="str">
        <f>HYPERLINK("https://otsuka-europe-crm.veevavault.com/ui/#object/sent_email__v/VBL000000010193", "SE-001397176")</f>
        <v>SE-001397176</v>
      </c>
      <c r="D12730" s="1">
        <v>46009.769618055558</v>
      </c>
      <c r="E12730" s="2">
        <v>1</v>
      </c>
      <c r="F12730" s="2">
        <v>2</v>
      </c>
      <c r="G12730" s="2">
        <v>0</v>
      </c>
      <c r="H12730" s="1" t="s">
        <v>0</v>
      </c>
      <c r="I12730" s="2">
        <v>0</v>
      </c>
      <c r="J12730" s="1">
        <v>46008.442118055558</v>
      </c>
    </row>
    <row r="12731" spans="1:10" x14ac:dyDescent="0.2">
      <c r="A12731" s="4" t="s">
        <v>1</v>
      </c>
      <c r="B1273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31" s="3" t="str">
        <f>HYPERLINK("https://otsuka-europe-crm.veevavault.com/ui/#object/sent_email__v/VBL000000011495", "SE-001397286")</f>
        <v>SE-001397286</v>
      </c>
      <c r="D12731" s="1" t="s">
        <v>0</v>
      </c>
      <c r="E12731" s="2">
        <v>0</v>
      </c>
      <c r="F12731" s="2">
        <v>0</v>
      </c>
      <c r="G12731" s="2">
        <v>0</v>
      </c>
      <c r="H12731" s="1" t="s">
        <v>0</v>
      </c>
      <c r="I12731" s="2">
        <v>0</v>
      </c>
      <c r="J12731" s="1">
        <v>46008.466319444444</v>
      </c>
    </row>
    <row r="12732" spans="1:10" x14ac:dyDescent="0.2">
      <c r="A12732" s="4" t="s">
        <v>1</v>
      </c>
      <c r="B1273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32" s="3" t="str">
        <f>HYPERLINK("https://otsuka-europe-crm.veevavault.com/ui/#object/sent_email__v/VBL000000011496", "SE-001397287")</f>
        <v>SE-001397287</v>
      </c>
      <c r="D12732" s="1" t="s">
        <v>0</v>
      </c>
      <c r="E12732" s="2">
        <v>0</v>
      </c>
      <c r="F12732" s="2">
        <v>0</v>
      </c>
      <c r="G12732" s="2">
        <v>0</v>
      </c>
      <c r="H12732" s="1" t="s">
        <v>0</v>
      </c>
      <c r="I12732" s="2">
        <v>0</v>
      </c>
      <c r="J12732" s="1">
        <v>46008.466354166667</v>
      </c>
    </row>
    <row r="12733" spans="1:10" x14ac:dyDescent="0.2">
      <c r="A12733" s="4" t="s">
        <v>1</v>
      </c>
      <c r="B1273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33" s="3" t="str">
        <f>HYPERLINK("https://otsuka-europe-crm.veevavault.com/ui/#object/sent_email__v/VBL000000011497", "SE-001397288")</f>
        <v>SE-001397288</v>
      </c>
      <c r="D12733" s="1" t="s">
        <v>0</v>
      </c>
      <c r="E12733" s="2">
        <v>0</v>
      </c>
      <c r="F12733" s="2">
        <v>0</v>
      </c>
      <c r="G12733" s="2">
        <v>0</v>
      </c>
      <c r="H12733" s="1" t="s">
        <v>0</v>
      </c>
      <c r="I12733" s="2">
        <v>0</v>
      </c>
      <c r="J12733" s="1">
        <v>46008.466400462959</v>
      </c>
    </row>
    <row r="12734" spans="1:10" x14ac:dyDescent="0.2">
      <c r="A12734" s="4" t="s">
        <v>1</v>
      </c>
      <c r="B1273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34" s="3" t="str">
        <f>HYPERLINK("https://otsuka-europe-crm.veevavault.com/ui/#object/sent_email__v/VBL000000011498", "SE-001397289")</f>
        <v>SE-001397289</v>
      </c>
      <c r="D12734" s="1" t="s">
        <v>0</v>
      </c>
      <c r="E12734" s="2">
        <v>0</v>
      </c>
      <c r="F12734" s="2">
        <v>0</v>
      </c>
      <c r="G12734" s="2">
        <v>0</v>
      </c>
      <c r="H12734" s="1" t="s">
        <v>0</v>
      </c>
      <c r="I12734" s="2">
        <v>0</v>
      </c>
      <c r="J12734" s="1">
        <v>46008.466469907406</v>
      </c>
    </row>
    <row r="12735" spans="1:10" x14ac:dyDescent="0.2">
      <c r="A12735" s="4" t="s">
        <v>1</v>
      </c>
      <c r="B1273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35" s="3" t="str">
        <f>HYPERLINK("https://otsuka-europe-crm.veevavault.com/ui/#object/sent_email__v/VBL000000011499", "SE-001397290")</f>
        <v>SE-001397290</v>
      </c>
      <c r="D12735" s="1" t="s">
        <v>0</v>
      </c>
      <c r="E12735" s="2">
        <v>0</v>
      </c>
      <c r="F12735" s="2">
        <v>0</v>
      </c>
      <c r="G12735" s="2">
        <v>0</v>
      </c>
      <c r="H12735" s="1" t="s">
        <v>0</v>
      </c>
      <c r="I12735" s="2">
        <v>0</v>
      </c>
      <c r="J12735" s="1">
        <v>46008.466493055559</v>
      </c>
    </row>
    <row r="12736" spans="1:10" x14ac:dyDescent="0.2">
      <c r="A12736" s="4" t="s">
        <v>1</v>
      </c>
      <c r="B1273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36" s="3" t="str">
        <f>HYPERLINK("https://otsuka-europe-crm.veevavault.com/ui/#object/sent_email__v/VBL000000011500", "SE-001397291")</f>
        <v>SE-001397291</v>
      </c>
      <c r="D12736" s="1" t="s">
        <v>0</v>
      </c>
      <c r="E12736" s="2">
        <v>0</v>
      </c>
      <c r="F12736" s="2">
        <v>0</v>
      </c>
      <c r="G12736" s="2">
        <v>0</v>
      </c>
      <c r="H12736" s="1" t="s">
        <v>0</v>
      </c>
      <c r="I12736" s="2">
        <v>0</v>
      </c>
      <c r="J12736" s="1">
        <v>46008.466527777775</v>
      </c>
    </row>
    <row r="12737" spans="1:10" x14ac:dyDescent="0.2">
      <c r="A12737" s="4" t="s">
        <v>1</v>
      </c>
      <c r="B1273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37" s="3" t="str">
        <f>HYPERLINK("https://otsuka-europe-crm.veevavault.com/ui/#object/sent_email__v/VBL000000011501", "SE-001397292")</f>
        <v>SE-001397292</v>
      </c>
      <c r="D12737" s="1" t="s">
        <v>0</v>
      </c>
      <c r="E12737" s="2">
        <v>0</v>
      </c>
      <c r="F12737" s="2">
        <v>0</v>
      </c>
      <c r="G12737" s="2">
        <v>0</v>
      </c>
      <c r="H12737" s="1" t="s">
        <v>0</v>
      </c>
      <c r="I12737" s="2">
        <v>0</v>
      </c>
      <c r="J12737" s="1">
        <v>46008.466562499998</v>
      </c>
    </row>
    <row r="12738" spans="1:10" x14ac:dyDescent="0.2">
      <c r="A12738" s="4" t="s">
        <v>1</v>
      </c>
      <c r="B1273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38" s="3" t="str">
        <f>HYPERLINK("https://otsuka-europe-crm.veevavault.com/ui/#object/sent_email__v/VBL000000011502", "SE-001397293")</f>
        <v>SE-001397293</v>
      </c>
      <c r="D12738" s="1" t="s">
        <v>0</v>
      </c>
      <c r="E12738" s="2">
        <v>0</v>
      </c>
      <c r="F12738" s="2">
        <v>0</v>
      </c>
      <c r="G12738" s="2">
        <v>0</v>
      </c>
      <c r="H12738" s="1" t="s">
        <v>0</v>
      </c>
      <c r="I12738" s="2">
        <v>0</v>
      </c>
      <c r="J12738" s="1">
        <v>46008.466608796298</v>
      </c>
    </row>
    <row r="12739" spans="1:10" x14ac:dyDescent="0.2">
      <c r="A12739" s="4" t="s">
        <v>1</v>
      </c>
      <c r="B1273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39" s="3" t="str">
        <f>HYPERLINK("https://otsuka-europe-crm.veevavault.com/ui/#object/sent_email__v/VBL000000011503", "SE-001397294")</f>
        <v>SE-001397294</v>
      </c>
      <c r="D12739" s="1" t="s">
        <v>0</v>
      </c>
      <c r="E12739" s="2">
        <v>0</v>
      </c>
      <c r="F12739" s="2">
        <v>0</v>
      </c>
      <c r="G12739" s="2">
        <v>0</v>
      </c>
      <c r="H12739" s="1" t="s">
        <v>0</v>
      </c>
      <c r="I12739" s="2">
        <v>0</v>
      </c>
      <c r="J12739" s="1">
        <v>46008.466643518521</v>
      </c>
    </row>
    <row r="12740" spans="1:10" x14ac:dyDescent="0.2">
      <c r="A12740" s="4" t="s">
        <v>1</v>
      </c>
      <c r="B1274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40" s="3" t="str">
        <f>HYPERLINK("https://otsuka-europe-crm.veevavault.com/ui/#object/sent_email__v/VBL000000011504", "SE-001397295")</f>
        <v>SE-001397295</v>
      </c>
      <c r="D12740" s="1" t="s">
        <v>0</v>
      </c>
      <c r="E12740" s="2">
        <v>0</v>
      </c>
      <c r="F12740" s="2">
        <v>0</v>
      </c>
      <c r="G12740" s="2">
        <v>0</v>
      </c>
      <c r="H12740" s="1" t="s">
        <v>0</v>
      </c>
      <c r="I12740" s="2">
        <v>0</v>
      </c>
      <c r="J12740" s="1">
        <v>46008.466689814813</v>
      </c>
    </row>
    <row r="12741" spans="1:10" x14ac:dyDescent="0.2">
      <c r="A12741" s="4" t="s">
        <v>1</v>
      </c>
      <c r="B1274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41" s="3" t="str">
        <f>HYPERLINK("https://otsuka-europe-crm.veevavault.com/ui/#object/sent_email__v/VBL000000011505", "SE-001397296")</f>
        <v>SE-001397296</v>
      </c>
      <c r="D12741" s="1" t="s">
        <v>0</v>
      </c>
      <c r="E12741" s="2">
        <v>0</v>
      </c>
      <c r="F12741" s="2">
        <v>0</v>
      </c>
      <c r="G12741" s="2">
        <v>0</v>
      </c>
      <c r="H12741" s="1" t="s">
        <v>0</v>
      </c>
      <c r="I12741" s="2">
        <v>0</v>
      </c>
      <c r="J12741" s="1">
        <v>46008.466724537036</v>
      </c>
    </row>
    <row r="12742" spans="1:10" x14ac:dyDescent="0.2">
      <c r="A12742" s="4" t="s">
        <v>1</v>
      </c>
      <c r="B1274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42" s="3" t="str">
        <f>HYPERLINK("https://otsuka-europe-crm.veevavault.com/ui/#object/sent_email__v/VBL000000011506", "SE-001397297")</f>
        <v>SE-001397297</v>
      </c>
      <c r="D12742" s="1" t="s">
        <v>0</v>
      </c>
      <c r="E12742" s="2">
        <v>0</v>
      </c>
      <c r="F12742" s="2">
        <v>0</v>
      </c>
      <c r="G12742" s="2">
        <v>0</v>
      </c>
      <c r="H12742" s="1" t="s">
        <v>0</v>
      </c>
      <c r="I12742" s="2">
        <v>0</v>
      </c>
      <c r="J12742" s="1">
        <v>46008.466770833336</v>
      </c>
    </row>
    <row r="12743" spans="1:10" x14ac:dyDescent="0.2">
      <c r="A12743" s="4" t="s">
        <v>1</v>
      </c>
      <c r="B1274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43" s="3" t="str">
        <f>HYPERLINK("https://otsuka-europe-crm.veevavault.com/ui/#object/sent_email__v/VBL000000011507", "SE-001397298")</f>
        <v>SE-001397298</v>
      </c>
      <c r="D12743" s="1" t="s">
        <v>0</v>
      </c>
      <c r="E12743" s="2">
        <v>0</v>
      </c>
      <c r="F12743" s="2">
        <v>0</v>
      </c>
      <c r="G12743" s="2">
        <v>0</v>
      </c>
      <c r="H12743" s="1" t="s">
        <v>0</v>
      </c>
      <c r="I12743" s="2">
        <v>0</v>
      </c>
      <c r="J12743" s="1">
        <v>46008.466805555552</v>
      </c>
    </row>
    <row r="12744" spans="1:10" x14ac:dyDescent="0.2">
      <c r="A12744" s="4" t="s">
        <v>1</v>
      </c>
      <c r="B1274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44" s="3" t="str">
        <f>HYPERLINK("https://otsuka-europe-crm.veevavault.com/ui/#object/sent_email__v/VBL000000011508", "SE-001397299")</f>
        <v>SE-001397299</v>
      </c>
      <c r="D12744" s="1" t="s">
        <v>0</v>
      </c>
      <c r="E12744" s="2">
        <v>0</v>
      </c>
      <c r="F12744" s="2">
        <v>0</v>
      </c>
      <c r="G12744" s="2">
        <v>0</v>
      </c>
      <c r="H12744" s="1" t="s">
        <v>0</v>
      </c>
      <c r="I12744" s="2">
        <v>0</v>
      </c>
      <c r="J12744" s="1">
        <v>46008.466851851852</v>
      </c>
    </row>
    <row r="12745" spans="1:10" x14ac:dyDescent="0.2">
      <c r="A12745" s="4" t="s">
        <v>1</v>
      </c>
      <c r="B1274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45" s="3" t="str">
        <f>HYPERLINK("https://otsuka-europe-crm.veevavault.com/ui/#object/sent_email__v/VBL000000011509", "SE-001397300")</f>
        <v>SE-001397300</v>
      </c>
      <c r="D12745" s="1" t="s">
        <v>0</v>
      </c>
      <c r="E12745" s="2">
        <v>0</v>
      </c>
      <c r="F12745" s="2">
        <v>0</v>
      </c>
      <c r="G12745" s="2">
        <v>0</v>
      </c>
      <c r="H12745" s="1" t="s">
        <v>0</v>
      </c>
      <c r="I12745" s="2">
        <v>0</v>
      </c>
      <c r="J12745" s="1">
        <v>46008.466898148145</v>
      </c>
    </row>
    <row r="12746" spans="1:10" x14ac:dyDescent="0.2">
      <c r="A12746" s="4" t="s">
        <v>1</v>
      </c>
      <c r="B1274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46" s="3" t="str">
        <f>HYPERLINK("https://otsuka-europe-crm.veevavault.com/ui/#object/sent_email__v/VBL000000011510", "SE-001397301")</f>
        <v>SE-001397301</v>
      </c>
      <c r="D12746" s="1" t="s">
        <v>0</v>
      </c>
      <c r="E12746" s="2">
        <v>0</v>
      </c>
      <c r="F12746" s="2">
        <v>0</v>
      </c>
      <c r="G12746" s="2">
        <v>0</v>
      </c>
      <c r="H12746" s="1" t="s">
        <v>0</v>
      </c>
      <c r="I12746" s="2">
        <v>0</v>
      </c>
      <c r="J12746" s="1">
        <v>46008.466921296298</v>
      </c>
    </row>
    <row r="12747" spans="1:10" x14ac:dyDescent="0.2">
      <c r="A12747" s="4" t="s">
        <v>1</v>
      </c>
      <c r="B1274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47" s="3" t="str">
        <f>HYPERLINK("https://otsuka-europe-crm.veevavault.com/ui/#object/sent_email__v/VBL000000011511", "SE-001397302")</f>
        <v>SE-001397302</v>
      </c>
      <c r="D12747" s="1" t="s">
        <v>0</v>
      </c>
      <c r="E12747" s="2">
        <v>0</v>
      </c>
      <c r="F12747" s="2">
        <v>0</v>
      </c>
      <c r="G12747" s="2">
        <v>0</v>
      </c>
      <c r="H12747" s="1" t="s">
        <v>0</v>
      </c>
      <c r="I12747" s="2">
        <v>0</v>
      </c>
      <c r="J12747" s="1">
        <v>46008.466967592591</v>
      </c>
    </row>
    <row r="12748" spans="1:10" x14ac:dyDescent="0.2">
      <c r="A12748" s="4" t="s">
        <v>1</v>
      </c>
      <c r="B1274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48" s="3" t="str">
        <f>HYPERLINK("https://otsuka-europe-crm.veevavault.com/ui/#object/sent_email__v/VBL000000011512", "SE-001397303")</f>
        <v>SE-001397303</v>
      </c>
      <c r="D12748" s="1" t="s">
        <v>0</v>
      </c>
      <c r="E12748" s="2">
        <v>0</v>
      </c>
      <c r="F12748" s="2">
        <v>0</v>
      </c>
      <c r="G12748" s="2">
        <v>0</v>
      </c>
      <c r="H12748" s="1" t="s">
        <v>0</v>
      </c>
      <c r="I12748" s="2">
        <v>0</v>
      </c>
      <c r="J12748" s="1">
        <v>46008.467013888891</v>
      </c>
    </row>
    <row r="12749" spans="1:10" x14ac:dyDescent="0.2">
      <c r="A12749" s="4" t="s">
        <v>1</v>
      </c>
      <c r="B1274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49" s="3" t="str">
        <f>HYPERLINK("https://otsuka-europe-crm.veevavault.com/ui/#object/sent_email__v/VBL000000011513", "SE-001397304")</f>
        <v>SE-001397304</v>
      </c>
      <c r="D12749" s="1" t="s">
        <v>0</v>
      </c>
      <c r="E12749" s="2">
        <v>0</v>
      </c>
      <c r="F12749" s="2">
        <v>0</v>
      </c>
      <c r="G12749" s="2">
        <v>0</v>
      </c>
      <c r="H12749" s="1" t="s">
        <v>0</v>
      </c>
      <c r="I12749" s="2">
        <v>0</v>
      </c>
      <c r="J12749" s="1">
        <v>46008.467048611114</v>
      </c>
    </row>
    <row r="12750" spans="1:10" x14ac:dyDescent="0.2">
      <c r="A12750" s="4" t="s">
        <v>1</v>
      </c>
      <c r="B1275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50" s="3" t="str">
        <f>HYPERLINK("https://otsuka-europe-crm.veevavault.com/ui/#object/sent_email__v/VBL000000011514", "SE-001397305")</f>
        <v>SE-001397305</v>
      </c>
      <c r="D12750" s="1" t="s">
        <v>0</v>
      </c>
      <c r="E12750" s="2">
        <v>0</v>
      </c>
      <c r="F12750" s="2">
        <v>0</v>
      </c>
      <c r="G12750" s="2">
        <v>0</v>
      </c>
      <c r="H12750" s="1" t="s">
        <v>0</v>
      </c>
      <c r="I12750" s="2">
        <v>0</v>
      </c>
      <c r="J12750" s="1">
        <v>46008.467083333337</v>
      </c>
    </row>
    <row r="12751" spans="1:10" x14ac:dyDescent="0.2">
      <c r="A12751" s="4" t="s">
        <v>1</v>
      </c>
      <c r="B1275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51" s="3" t="str">
        <f>HYPERLINK("https://otsuka-europe-crm.veevavault.com/ui/#object/sent_email__v/VBL000000011515", "SE-001397306")</f>
        <v>SE-001397306</v>
      </c>
      <c r="D12751" s="1" t="s">
        <v>0</v>
      </c>
      <c r="E12751" s="2">
        <v>0</v>
      </c>
      <c r="F12751" s="2">
        <v>0</v>
      </c>
      <c r="G12751" s="2">
        <v>0</v>
      </c>
      <c r="H12751" s="1" t="s">
        <v>0</v>
      </c>
      <c r="I12751" s="2">
        <v>0</v>
      </c>
      <c r="J12751" s="1">
        <v>46008.467129629629</v>
      </c>
    </row>
    <row r="12752" spans="1:10" x14ac:dyDescent="0.2">
      <c r="A12752" s="4" t="s">
        <v>1</v>
      </c>
      <c r="B1275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52" s="3" t="str">
        <f>HYPERLINK("https://otsuka-europe-crm.veevavault.com/ui/#object/sent_email__v/VBL000000011516", "SE-001397307")</f>
        <v>SE-001397307</v>
      </c>
      <c r="D12752" s="1" t="s">
        <v>0</v>
      </c>
      <c r="E12752" s="2">
        <v>0</v>
      </c>
      <c r="F12752" s="2">
        <v>0</v>
      </c>
      <c r="G12752" s="2">
        <v>0</v>
      </c>
      <c r="H12752" s="1" t="s">
        <v>0</v>
      </c>
      <c r="I12752" s="2">
        <v>0</v>
      </c>
      <c r="J12752" s="1">
        <v>46008.467175925929</v>
      </c>
    </row>
    <row r="12753" spans="1:10" x14ac:dyDescent="0.2">
      <c r="A12753" s="4" t="s">
        <v>1</v>
      </c>
      <c r="B1275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53" s="3" t="str">
        <f>HYPERLINK("https://otsuka-europe-crm.veevavault.com/ui/#object/sent_email__v/VBL000000011517", "SE-001397308")</f>
        <v>SE-001397308</v>
      </c>
      <c r="D12753" s="1" t="s">
        <v>0</v>
      </c>
      <c r="E12753" s="2">
        <v>0</v>
      </c>
      <c r="F12753" s="2">
        <v>0</v>
      </c>
      <c r="G12753" s="2">
        <v>0</v>
      </c>
      <c r="H12753" s="1" t="s">
        <v>0</v>
      </c>
      <c r="I12753" s="2">
        <v>0</v>
      </c>
      <c r="J12753" s="1">
        <v>46008.467222222222</v>
      </c>
    </row>
    <row r="12754" spans="1:10" x14ac:dyDescent="0.2">
      <c r="A12754" s="4" t="s">
        <v>1</v>
      </c>
      <c r="B1275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54" s="3" t="str">
        <f>HYPERLINK("https://otsuka-europe-crm.veevavault.com/ui/#object/sent_email__v/VBL000000011518", "SE-001397309")</f>
        <v>SE-001397309</v>
      </c>
      <c r="D12754" s="1" t="s">
        <v>0</v>
      </c>
      <c r="E12754" s="2">
        <v>0</v>
      </c>
      <c r="F12754" s="2">
        <v>0</v>
      </c>
      <c r="G12754" s="2">
        <v>0</v>
      </c>
      <c r="H12754" s="1" t="s">
        <v>0</v>
      </c>
      <c r="I12754" s="2">
        <v>0</v>
      </c>
      <c r="J12754" s="1">
        <v>46008.467268518521</v>
      </c>
    </row>
    <row r="12755" spans="1:10" x14ac:dyDescent="0.2">
      <c r="A12755" s="4" t="s">
        <v>1</v>
      </c>
      <c r="B1275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55" s="3" t="str">
        <f>HYPERLINK("https://otsuka-europe-crm.veevavault.com/ui/#object/sent_email__v/VBL000000011519", "SE-001397310")</f>
        <v>SE-001397310</v>
      </c>
      <c r="D12755" s="1" t="s">
        <v>0</v>
      </c>
      <c r="E12755" s="2">
        <v>0</v>
      </c>
      <c r="F12755" s="2">
        <v>0</v>
      </c>
      <c r="G12755" s="2">
        <v>0</v>
      </c>
      <c r="H12755" s="1" t="s">
        <v>0</v>
      </c>
      <c r="I12755" s="2">
        <v>0</v>
      </c>
      <c r="J12755" s="1">
        <v>46008.467303240737</v>
      </c>
    </row>
    <row r="12756" spans="1:10" x14ac:dyDescent="0.2">
      <c r="A12756" s="4" t="s">
        <v>1</v>
      </c>
      <c r="B1275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56" s="3" t="str">
        <f>HYPERLINK("https://otsuka-europe-crm.veevavault.com/ui/#object/sent_email__v/VBL000000011520", "SE-001397311")</f>
        <v>SE-001397311</v>
      </c>
      <c r="D12756" s="1" t="s">
        <v>0</v>
      </c>
      <c r="E12756" s="2">
        <v>0</v>
      </c>
      <c r="F12756" s="2">
        <v>0</v>
      </c>
      <c r="G12756" s="2">
        <v>0</v>
      </c>
      <c r="H12756" s="1" t="s">
        <v>0</v>
      </c>
      <c r="I12756" s="2">
        <v>0</v>
      </c>
      <c r="J12756" s="1">
        <v>46008.467349537037</v>
      </c>
    </row>
    <row r="12757" spans="1:10" x14ac:dyDescent="0.2">
      <c r="A12757" s="4" t="s">
        <v>1</v>
      </c>
      <c r="B1275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57" s="3" t="str">
        <f>HYPERLINK("https://otsuka-europe-crm.veevavault.com/ui/#object/sent_email__v/VBL000000011521", "SE-001397312")</f>
        <v>SE-001397312</v>
      </c>
      <c r="D12757" s="1" t="s">
        <v>0</v>
      </c>
      <c r="E12757" s="2">
        <v>0</v>
      </c>
      <c r="F12757" s="2">
        <v>0</v>
      </c>
      <c r="G12757" s="2">
        <v>0</v>
      </c>
      <c r="H12757" s="1" t="s">
        <v>0</v>
      </c>
      <c r="I12757" s="2">
        <v>0</v>
      </c>
      <c r="J12757" s="1">
        <v>46008.46738425926</v>
      </c>
    </row>
    <row r="12758" spans="1:10" x14ac:dyDescent="0.2">
      <c r="A12758" s="4" t="s">
        <v>1</v>
      </c>
      <c r="B1275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58" s="3" t="str">
        <f>HYPERLINK("https://otsuka-europe-crm.veevavault.com/ui/#object/sent_email__v/VBL000000011522", "SE-001397313")</f>
        <v>SE-001397313</v>
      </c>
      <c r="D12758" s="1" t="s">
        <v>0</v>
      </c>
      <c r="E12758" s="2">
        <v>0</v>
      </c>
      <c r="F12758" s="2">
        <v>0</v>
      </c>
      <c r="G12758" s="2">
        <v>0</v>
      </c>
      <c r="H12758" s="1" t="s">
        <v>0</v>
      </c>
      <c r="I12758" s="2">
        <v>0</v>
      </c>
      <c r="J12758" s="1">
        <v>46008.467418981483</v>
      </c>
    </row>
    <row r="12759" spans="1:10" x14ac:dyDescent="0.2">
      <c r="A12759" s="4" t="s">
        <v>1</v>
      </c>
      <c r="B1275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59" s="3" t="str">
        <f>HYPERLINK("https://otsuka-europe-crm.veevavault.com/ui/#object/sent_email__v/VBL000000011523", "SE-001397314")</f>
        <v>SE-001397314</v>
      </c>
      <c r="D12759" s="1">
        <v>46008.889409722222</v>
      </c>
      <c r="E12759" s="2">
        <v>1</v>
      </c>
      <c r="F12759" s="2">
        <v>2</v>
      </c>
      <c r="G12759" s="2">
        <v>0</v>
      </c>
      <c r="H12759" s="1" t="s">
        <v>0</v>
      </c>
      <c r="I12759" s="2">
        <v>0</v>
      </c>
      <c r="J12759" s="1">
        <v>46008.467465277776</v>
      </c>
    </row>
    <row r="12760" spans="1:10" x14ac:dyDescent="0.2">
      <c r="A12760" s="4" t="s">
        <v>1</v>
      </c>
      <c r="B1276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60" s="3" t="str">
        <f>HYPERLINK("https://otsuka-europe-crm.veevavault.com/ui/#object/sent_email__v/VBL000000011524", "SE-001397315")</f>
        <v>SE-001397315</v>
      </c>
      <c r="D12760" s="1" t="s">
        <v>0</v>
      </c>
      <c r="E12760" s="2">
        <v>0</v>
      </c>
      <c r="F12760" s="2">
        <v>0</v>
      </c>
      <c r="G12760" s="2">
        <v>0</v>
      </c>
      <c r="H12760" s="1" t="s">
        <v>0</v>
      </c>
      <c r="I12760" s="2">
        <v>0</v>
      </c>
      <c r="J12760" s="1">
        <v>46008.467499999999</v>
      </c>
    </row>
    <row r="12761" spans="1:10" x14ac:dyDescent="0.2">
      <c r="A12761" s="4" t="s">
        <v>1</v>
      </c>
      <c r="B1276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61" s="3" t="str">
        <f>HYPERLINK("https://otsuka-europe-crm.veevavault.com/ui/#object/sent_email__v/VBL000000011525", "SE-001397316")</f>
        <v>SE-001397316</v>
      </c>
      <c r="D12761" s="1" t="s">
        <v>0</v>
      </c>
      <c r="E12761" s="2">
        <v>0</v>
      </c>
      <c r="F12761" s="2">
        <v>0</v>
      </c>
      <c r="G12761" s="2">
        <v>0</v>
      </c>
      <c r="H12761" s="1" t="s">
        <v>0</v>
      </c>
      <c r="I12761" s="2">
        <v>0</v>
      </c>
      <c r="J12761" s="1">
        <v>46008.467546296299</v>
      </c>
    </row>
    <row r="12762" spans="1:10" x14ac:dyDescent="0.2">
      <c r="A12762" s="4" t="s">
        <v>1</v>
      </c>
      <c r="B1276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62" s="3" t="str">
        <f>HYPERLINK("https://otsuka-europe-crm.veevavault.com/ui/#object/sent_email__v/VBL000000011526", "SE-001397317")</f>
        <v>SE-001397317</v>
      </c>
      <c r="D12762" s="1" t="s">
        <v>0</v>
      </c>
      <c r="E12762" s="2">
        <v>0</v>
      </c>
      <c r="F12762" s="2">
        <v>0</v>
      </c>
      <c r="G12762" s="2">
        <v>0</v>
      </c>
      <c r="H12762" s="1" t="s">
        <v>0</v>
      </c>
      <c r="I12762" s="2">
        <v>0</v>
      </c>
      <c r="J12762" s="1">
        <v>46008.467592592591</v>
      </c>
    </row>
    <row r="12763" spans="1:10" x14ac:dyDescent="0.2">
      <c r="A12763" s="4" t="s">
        <v>1</v>
      </c>
      <c r="B1276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63" s="3" t="str">
        <f>HYPERLINK("https://otsuka-europe-crm.veevavault.com/ui/#object/sent_email__v/VBL000000011527", "SE-001397318")</f>
        <v>SE-001397318</v>
      </c>
      <c r="D12763" s="1" t="s">
        <v>0</v>
      </c>
      <c r="E12763" s="2">
        <v>0</v>
      </c>
      <c r="F12763" s="2">
        <v>0</v>
      </c>
      <c r="G12763" s="2">
        <v>0</v>
      </c>
      <c r="H12763" s="1" t="s">
        <v>0</v>
      </c>
      <c r="I12763" s="2">
        <v>0</v>
      </c>
      <c r="J12763" s="1">
        <v>46008.467627314814</v>
      </c>
    </row>
    <row r="12764" spans="1:10" x14ac:dyDescent="0.2">
      <c r="A12764" s="4" t="s">
        <v>1</v>
      </c>
      <c r="B1276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64" s="3" t="str">
        <f>HYPERLINK("https://otsuka-europe-crm.veevavault.com/ui/#object/sent_email__v/VBL000000011528", "SE-001397319")</f>
        <v>SE-001397319</v>
      </c>
      <c r="D12764" s="1" t="s">
        <v>0</v>
      </c>
      <c r="E12764" s="2">
        <v>0</v>
      </c>
      <c r="F12764" s="2">
        <v>0</v>
      </c>
      <c r="G12764" s="2">
        <v>0</v>
      </c>
      <c r="H12764" s="1" t="s">
        <v>0</v>
      </c>
      <c r="I12764" s="2">
        <v>0</v>
      </c>
      <c r="J12764" s="1">
        <v>46008.467662037037</v>
      </c>
    </row>
    <row r="12765" spans="1:10" x14ac:dyDescent="0.2">
      <c r="A12765" s="4" t="s">
        <v>1</v>
      </c>
      <c r="B1276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65" s="3" t="str">
        <f>HYPERLINK("https://otsuka-europe-crm.veevavault.com/ui/#object/sent_email__v/VBL000000011529", "SE-001397320")</f>
        <v>SE-001397320</v>
      </c>
      <c r="D12765" s="1" t="s">
        <v>0</v>
      </c>
      <c r="E12765" s="2">
        <v>0</v>
      </c>
      <c r="F12765" s="2">
        <v>0</v>
      </c>
      <c r="G12765" s="2">
        <v>0</v>
      </c>
      <c r="H12765" s="1" t="s">
        <v>0</v>
      </c>
      <c r="I12765" s="2">
        <v>0</v>
      </c>
      <c r="J12765" s="1">
        <v>46008.46769675926</v>
      </c>
    </row>
    <row r="12766" spans="1:10" x14ac:dyDescent="0.2">
      <c r="A12766" s="4" t="s">
        <v>1</v>
      </c>
      <c r="B1276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66" s="3" t="str">
        <f>HYPERLINK("https://otsuka-europe-crm.veevavault.com/ui/#object/sent_email__v/VBL000000011530", "SE-001397321")</f>
        <v>SE-001397321</v>
      </c>
      <c r="D12766" s="1" t="s">
        <v>0</v>
      </c>
      <c r="E12766" s="2">
        <v>0</v>
      </c>
      <c r="F12766" s="2">
        <v>0</v>
      </c>
      <c r="G12766" s="2">
        <v>0</v>
      </c>
      <c r="H12766" s="1" t="s">
        <v>0</v>
      </c>
      <c r="I12766" s="2">
        <v>0</v>
      </c>
      <c r="J12766" s="1">
        <v>46008.467743055553</v>
      </c>
    </row>
    <row r="12767" spans="1:10" x14ac:dyDescent="0.2">
      <c r="A12767" s="4" t="s">
        <v>1</v>
      </c>
      <c r="B1276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67" s="3" t="str">
        <f>HYPERLINK("https://otsuka-europe-crm.veevavault.com/ui/#object/sent_email__v/VBL000000011531", "SE-001397322")</f>
        <v>SE-001397322</v>
      </c>
      <c r="D12767" s="1">
        <v>46019.518877314818</v>
      </c>
      <c r="E12767" s="2">
        <v>1</v>
      </c>
      <c r="F12767" s="2">
        <v>2</v>
      </c>
      <c r="G12767" s="2">
        <v>0</v>
      </c>
      <c r="H12767" s="1" t="s">
        <v>0</v>
      </c>
      <c r="I12767" s="2">
        <v>0</v>
      </c>
      <c r="J12767" s="1">
        <v>46008.467789351853</v>
      </c>
    </row>
    <row r="12768" spans="1:10" x14ac:dyDescent="0.2">
      <c r="A12768" s="4" t="s">
        <v>1</v>
      </c>
      <c r="B1276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68" s="3" t="str">
        <f>HYPERLINK("https://otsuka-europe-crm.veevavault.com/ui/#object/sent_email__v/VBL000000011532", "SE-001397323")</f>
        <v>SE-001397323</v>
      </c>
      <c r="D12768" s="1" t="s">
        <v>0</v>
      </c>
      <c r="E12768" s="2">
        <v>0</v>
      </c>
      <c r="F12768" s="2">
        <v>0</v>
      </c>
      <c r="G12768" s="2">
        <v>0</v>
      </c>
      <c r="H12768" s="1" t="s">
        <v>0</v>
      </c>
      <c r="I12768" s="2">
        <v>0</v>
      </c>
      <c r="J12768" s="1">
        <v>46008.467812499999</v>
      </c>
    </row>
    <row r="12769" spans="1:10" x14ac:dyDescent="0.2">
      <c r="A12769" s="4" t="s">
        <v>1</v>
      </c>
      <c r="B1276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69" s="3" t="str">
        <f>HYPERLINK("https://otsuka-europe-crm.veevavault.com/ui/#object/sent_email__v/VBL000000011533", "SE-001397324")</f>
        <v>SE-001397324</v>
      </c>
      <c r="D12769" s="1" t="s">
        <v>0</v>
      </c>
      <c r="E12769" s="2">
        <v>0</v>
      </c>
      <c r="F12769" s="2">
        <v>0</v>
      </c>
      <c r="G12769" s="2">
        <v>0</v>
      </c>
      <c r="H12769" s="1" t="s">
        <v>0</v>
      </c>
      <c r="I12769" s="2">
        <v>0</v>
      </c>
      <c r="J12769" s="1">
        <v>46008.467881944445</v>
      </c>
    </row>
    <row r="12770" spans="1:10" x14ac:dyDescent="0.2">
      <c r="A12770" s="4" t="s">
        <v>1</v>
      </c>
      <c r="B1277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70" s="3" t="str">
        <f>HYPERLINK("https://otsuka-europe-crm.veevavault.com/ui/#object/sent_email__v/VBL000000011534", "SE-001397325")</f>
        <v>SE-001397325</v>
      </c>
      <c r="D12770" s="1" t="s">
        <v>0</v>
      </c>
      <c r="E12770" s="2">
        <v>0</v>
      </c>
      <c r="F12770" s="2">
        <v>0</v>
      </c>
      <c r="G12770" s="2">
        <v>0</v>
      </c>
      <c r="H12770" s="1" t="s">
        <v>0</v>
      </c>
      <c r="I12770" s="2">
        <v>0</v>
      </c>
      <c r="J12770" s="1">
        <v>46008.467905092592</v>
      </c>
    </row>
    <row r="12771" spans="1:10" x14ac:dyDescent="0.2">
      <c r="A12771" s="4" t="s">
        <v>1</v>
      </c>
      <c r="B1277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71" s="3" t="str">
        <f>HYPERLINK("https://otsuka-europe-crm.veevavault.com/ui/#object/sent_email__v/VBL000000011535", "SE-001397326")</f>
        <v>SE-001397326</v>
      </c>
      <c r="D12771" s="1" t="s">
        <v>0</v>
      </c>
      <c r="E12771" s="2">
        <v>0</v>
      </c>
      <c r="F12771" s="2">
        <v>0</v>
      </c>
      <c r="G12771" s="2">
        <v>0</v>
      </c>
      <c r="H12771" s="1" t="s">
        <v>0</v>
      </c>
      <c r="I12771" s="2">
        <v>0</v>
      </c>
      <c r="J12771" s="1">
        <v>46008.467951388891</v>
      </c>
    </row>
    <row r="12772" spans="1:10" x14ac:dyDescent="0.2">
      <c r="A12772" s="4" t="s">
        <v>1</v>
      </c>
      <c r="B1277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72" s="3" t="str">
        <f>HYPERLINK("https://otsuka-europe-crm.veevavault.com/ui/#object/sent_email__v/VBL000000011536", "SE-001397327")</f>
        <v>SE-001397327</v>
      </c>
      <c r="D12772" s="1" t="s">
        <v>0</v>
      </c>
      <c r="E12772" s="2">
        <v>0</v>
      </c>
      <c r="F12772" s="2">
        <v>0</v>
      </c>
      <c r="G12772" s="2">
        <v>0</v>
      </c>
      <c r="H12772" s="1" t="s">
        <v>0</v>
      </c>
      <c r="I12772" s="2">
        <v>0</v>
      </c>
      <c r="J12772" s="1">
        <v>46008.467997685184</v>
      </c>
    </row>
    <row r="12773" spans="1:10" x14ac:dyDescent="0.2">
      <c r="A12773" s="4" t="s">
        <v>1</v>
      </c>
      <c r="B1277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73" s="3" t="str">
        <f>HYPERLINK("https://otsuka-europe-crm.veevavault.com/ui/#object/sent_email__v/VBL000000011537", "SE-001397328")</f>
        <v>SE-001397328</v>
      </c>
      <c r="D12773" s="1" t="s">
        <v>0</v>
      </c>
      <c r="E12773" s="2">
        <v>0</v>
      </c>
      <c r="F12773" s="2">
        <v>0</v>
      </c>
      <c r="G12773" s="2">
        <v>0</v>
      </c>
      <c r="H12773" s="1" t="s">
        <v>0</v>
      </c>
      <c r="I12773" s="2">
        <v>0</v>
      </c>
      <c r="J12773" s="1">
        <v>46008.468032407407</v>
      </c>
    </row>
    <row r="12774" spans="1:10" x14ac:dyDescent="0.2">
      <c r="A12774" s="4" t="s">
        <v>1</v>
      </c>
      <c r="B1277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74" s="3" t="str">
        <f>HYPERLINK("https://otsuka-europe-crm.veevavault.com/ui/#object/sent_email__v/VBL000000011538", "SE-001397329")</f>
        <v>SE-001397329</v>
      </c>
      <c r="D12774" s="1" t="s">
        <v>0</v>
      </c>
      <c r="E12774" s="2">
        <v>0</v>
      </c>
      <c r="F12774" s="2">
        <v>0</v>
      </c>
      <c r="G12774" s="2">
        <v>0</v>
      </c>
      <c r="H12774" s="1" t="s">
        <v>0</v>
      </c>
      <c r="I12774" s="2">
        <v>0</v>
      </c>
      <c r="J12774" s="1">
        <v>46008.46806712963</v>
      </c>
    </row>
    <row r="12775" spans="1:10" x14ac:dyDescent="0.2">
      <c r="A12775" s="4" t="s">
        <v>1</v>
      </c>
      <c r="B1277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75" s="3" t="str">
        <f>HYPERLINK("https://otsuka-europe-crm.veevavault.com/ui/#object/sent_email__v/VBL000000011539", "SE-001397330")</f>
        <v>SE-001397330</v>
      </c>
      <c r="D12775" s="1" t="s">
        <v>0</v>
      </c>
      <c r="E12775" s="2">
        <v>0</v>
      </c>
      <c r="F12775" s="2">
        <v>0</v>
      </c>
      <c r="G12775" s="2">
        <v>0</v>
      </c>
      <c r="H12775" s="1" t="s">
        <v>0</v>
      </c>
      <c r="I12775" s="2">
        <v>0</v>
      </c>
      <c r="J12775" s="1">
        <v>46008.468113425923</v>
      </c>
    </row>
    <row r="12776" spans="1:10" x14ac:dyDescent="0.2">
      <c r="A12776" s="4" t="s">
        <v>1</v>
      </c>
      <c r="B1277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76" s="3" t="str">
        <f>HYPERLINK("https://otsuka-europe-crm.veevavault.com/ui/#object/sent_email__v/VBL000000011540", "SE-001397331")</f>
        <v>SE-001397331</v>
      </c>
      <c r="D12776" s="1" t="s">
        <v>0</v>
      </c>
      <c r="E12776" s="2">
        <v>0</v>
      </c>
      <c r="F12776" s="2">
        <v>0</v>
      </c>
      <c r="G12776" s="2">
        <v>0</v>
      </c>
      <c r="H12776" s="1" t="s">
        <v>0</v>
      </c>
      <c r="I12776" s="2">
        <v>0</v>
      </c>
      <c r="J12776" s="1">
        <v>46008.468148148146</v>
      </c>
    </row>
    <row r="12777" spans="1:10" x14ac:dyDescent="0.2">
      <c r="A12777" s="4" t="s">
        <v>1</v>
      </c>
      <c r="B1277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77" s="3" t="str">
        <f>HYPERLINK("https://otsuka-europe-crm.veevavault.com/ui/#object/sent_email__v/VBL000000011541", "SE-001397332")</f>
        <v>SE-001397332</v>
      </c>
      <c r="D12777" s="1" t="s">
        <v>0</v>
      </c>
      <c r="E12777" s="2">
        <v>0</v>
      </c>
      <c r="F12777" s="2">
        <v>0</v>
      </c>
      <c r="G12777" s="2">
        <v>0</v>
      </c>
      <c r="H12777" s="1" t="s">
        <v>0</v>
      </c>
      <c r="I12777" s="2">
        <v>0</v>
      </c>
      <c r="J12777" s="1">
        <v>46008.468229166669</v>
      </c>
    </row>
    <row r="12778" spans="1:10" x14ac:dyDescent="0.2">
      <c r="A12778" s="4" t="s">
        <v>1</v>
      </c>
      <c r="B1277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78" s="3" t="str">
        <f>HYPERLINK("https://otsuka-europe-crm.veevavault.com/ui/#object/sent_email__v/VBL000000011542", "SE-001397333")</f>
        <v>SE-001397333</v>
      </c>
      <c r="D12778" s="1" t="s">
        <v>0</v>
      </c>
      <c r="E12778" s="2">
        <v>0</v>
      </c>
      <c r="F12778" s="2">
        <v>0</v>
      </c>
      <c r="G12778" s="2">
        <v>0</v>
      </c>
      <c r="H12778" s="1" t="s">
        <v>0</v>
      </c>
      <c r="I12778" s="2">
        <v>0</v>
      </c>
      <c r="J12778" s="1">
        <v>46008.468287037038</v>
      </c>
    </row>
    <row r="12779" spans="1:10" x14ac:dyDescent="0.2">
      <c r="A12779" s="4" t="s">
        <v>1</v>
      </c>
      <c r="B1277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79" s="3" t="str">
        <f>HYPERLINK("https://otsuka-europe-crm.veevavault.com/ui/#object/sent_email__v/VBL000000011543", "SE-001397334")</f>
        <v>SE-001397334</v>
      </c>
      <c r="D12779" s="1">
        <v>46010.020243055558</v>
      </c>
      <c r="E12779" s="2">
        <v>1</v>
      </c>
      <c r="F12779" s="2">
        <v>1</v>
      </c>
      <c r="G12779" s="2">
        <v>0</v>
      </c>
      <c r="H12779" s="1" t="s">
        <v>0</v>
      </c>
      <c r="I12779" s="2">
        <v>0</v>
      </c>
      <c r="J12779" s="1">
        <v>46008.468356481484</v>
      </c>
    </row>
    <row r="12780" spans="1:10" x14ac:dyDescent="0.2">
      <c r="A12780" s="4" t="s">
        <v>1</v>
      </c>
      <c r="B1278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80" s="3" t="str">
        <f>HYPERLINK("https://otsuka-europe-crm.veevavault.com/ui/#object/sent_email__v/VBL000000011544", "SE-001397335")</f>
        <v>SE-001397335</v>
      </c>
      <c r="D12780" s="1" t="s">
        <v>0</v>
      </c>
      <c r="E12780" s="2">
        <v>0</v>
      </c>
      <c r="F12780" s="2">
        <v>0</v>
      </c>
      <c r="G12780" s="2">
        <v>0</v>
      </c>
      <c r="H12780" s="1" t="s">
        <v>0</v>
      </c>
      <c r="I12780" s="2">
        <v>0</v>
      </c>
      <c r="J12780" s="1">
        <v>46008.468425925923</v>
      </c>
    </row>
    <row r="12781" spans="1:10" x14ac:dyDescent="0.2">
      <c r="A12781" s="4" t="s">
        <v>1</v>
      </c>
      <c r="B1278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81" s="3" t="str">
        <f>HYPERLINK("https://otsuka-europe-crm.veevavault.com/ui/#object/sent_email__v/VBL000000011545", "SE-001397336")</f>
        <v>SE-001397336</v>
      </c>
      <c r="D12781" s="1" t="s">
        <v>0</v>
      </c>
      <c r="E12781" s="2">
        <v>0</v>
      </c>
      <c r="F12781" s="2">
        <v>0</v>
      </c>
      <c r="G12781" s="2">
        <v>0</v>
      </c>
      <c r="H12781" s="1" t="s">
        <v>0</v>
      </c>
      <c r="I12781" s="2">
        <v>0</v>
      </c>
      <c r="J12781" s="1">
        <v>46008.468506944446</v>
      </c>
    </row>
    <row r="12782" spans="1:10" x14ac:dyDescent="0.2">
      <c r="A12782" s="4" t="s">
        <v>1</v>
      </c>
      <c r="B1278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82" s="3" t="str">
        <f>HYPERLINK("https://otsuka-europe-crm.veevavault.com/ui/#object/sent_email__v/VBL000000011546", "SE-001397337")</f>
        <v>SE-001397337</v>
      </c>
      <c r="D12782" s="1" t="s">
        <v>0</v>
      </c>
      <c r="E12782" s="2">
        <v>0</v>
      </c>
      <c r="F12782" s="2">
        <v>0</v>
      </c>
      <c r="G12782" s="2">
        <v>0</v>
      </c>
      <c r="H12782" s="1" t="s">
        <v>0</v>
      </c>
      <c r="I12782" s="2">
        <v>0</v>
      </c>
      <c r="J12782" s="1">
        <v>46008.468564814815</v>
      </c>
    </row>
    <row r="12783" spans="1:10" x14ac:dyDescent="0.2">
      <c r="A12783" s="4" t="s">
        <v>1</v>
      </c>
      <c r="B1278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83" s="3" t="str">
        <f>HYPERLINK("https://otsuka-europe-crm.veevavault.com/ui/#object/sent_email__v/VBL000000011547", "SE-001397338")</f>
        <v>SE-001397338</v>
      </c>
      <c r="D12783" s="1" t="s">
        <v>0</v>
      </c>
      <c r="E12783" s="2">
        <v>0</v>
      </c>
      <c r="F12783" s="2">
        <v>0</v>
      </c>
      <c r="G12783" s="2">
        <v>0</v>
      </c>
      <c r="H12783" s="1" t="s">
        <v>0</v>
      </c>
      <c r="I12783" s="2">
        <v>0</v>
      </c>
      <c r="J12783" s="1">
        <v>46008.468634259261</v>
      </c>
    </row>
    <row r="12784" spans="1:10" x14ac:dyDescent="0.2">
      <c r="A12784" s="4" t="s">
        <v>1</v>
      </c>
      <c r="B1278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84" s="3" t="str">
        <f>HYPERLINK("https://otsuka-europe-crm.veevavault.com/ui/#object/sent_email__v/VBL000000011548", "SE-001397339")</f>
        <v>SE-001397339</v>
      </c>
      <c r="D12784" s="1" t="s">
        <v>0</v>
      </c>
      <c r="E12784" s="2">
        <v>0</v>
      </c>
      <c r="F12784" s="2">
        <v>0</v>
      </c>
      <c r="G12784" s="2">
        <v>0</v>
      </c>
      <c r="H12784" s="1" t="s">
        <v>0</v>
      </c>
      <c r="I12784" s="2">
        <v>0</v>
      </c>
      <c r="J12784" s="1">
        <v>46008.468692129631</v>
      </c>
    </row>
    <row r="12785" spans="1:10" x14ac:dyDescent="0.2">
      <c r="A12785" s="4" t="s">
        <v>1</v>
      </c>
      <c r="B1278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85" s="3" t="str">
        <f>HYPERLINK("https://otsuka-europe-crm.veevavault.com/ui/#object/sent_email__v/VBL000000011549", "SE-001397340")</f>
        <v>SE-001397340</v>
      </c>
      <c r="D12785" s="1" t="s">
        <v>0</v>
      </c>
      <c r="E12785" s="2">
        <v>0</v>
      </c>
      <c r="F12785" s="2">
        <v>0</v>
      </c>
      <c r="G12785" s="2">
        <v>0</v>
      </c>
      <c r="H12785" s="1" t="s">
        <v>0</v>
      </c>
      <c r="I12785" s="2">
        <v>0</v>
      </c>
      <c r="J12785" s="1">
        <v>46008.468773148146</v>
      </c>
    </row>
    <row r="12786" spans="1:10" x14ac:dyDescent="0.2">
      <c r="A12786" s="4" t="s">
        <v>1</v>
      </c>
      <c r="B1278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86" s="3" t="str">
        <f>HYPERLINK("https://otsuka-europe-crm.veevavault.com/ui/#object/sent_email__v/VBL000000011550", "SE-001397341")</f>
        <v>SE-001397341</v>
      </c>
      <c r="D12786" s="1" t="s">
        <v>0</v>
      </c>
      <c r="E12786" s="2">
        <v>0</v>
      </c>
      <c r="F12786" s="2">
        <v>0</v>
      </c>
      <c r="G12786" s="2">
        <v>0</v>
      </c>
      <c r="H12786" s="1" t="s">
        <v>0</v>
      </c>
      <c r="I12786" s="2">
        <v>0</v>
      </c>
      <c r="J12786" s="1">
        <v>46008.4687962963</v>
      </c>
    </row>
    <row r="12787" spans="1:10" x14ac:dyDescent="0.2">
      <c r="A12787" s="4" t="s">
        <v>1</v>
      </c>
      <c r="B1278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87" s="3" t="str">
        <f>HYPERLINK("https://otsuka-europe-crm.veevavault.com/ui/#object/sent_email__v/VBL000000011551", "SE-001397342")</f>
        <v>SE-001397342</v>
      </c>
      <c r="D12787" s="1" t="s">
        <v>0</v>
      </c>
      <c r="E12787" s="2">
        <v>0</v>
      </c>
      <c r="F12787" s="2">
        <v>0</v>
      </c>
      <c r="G12787" s="2">
        <v>0</v>
      </c>
      <c r="H12787" s="1" t="s">
        <v>0</v>
      </c>
      <c r="I12787" s="2">
        <v>0</v>
      </c>
      <c r="J12787" s="1">
        <v>46008.468842592592</v>
      </c>
    </row>
    <row r="12788" spans="1:10" x14ac:dyDescent="0.2">
      <c r="A12788" s="4" t="s">
        <v>1</v>
      </c>
      <c r="B1278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88" s="3" t="str">
        <f>HYPERLINK("https://otsuka-europe-crm.veevavault.com/ui/#object/sent_email__v/VBL000000011552", "SE-001397343")</f>
        <v>SE-001397343</v>
      </c>
      <c r="D12788" s="1" t="s">
        <v>0</v>
      </c>
      <c r="E12788" s="2">
        <v>0</v>
      </c>
      <c r="F12788" s="2">
        <v>0</v>
      </c>
      <c r="G12788" s="2">
        <v>0</v>
      </c>
      <c r="H12788" s="1" t="s">
        <v>0</v>
      </c>
      <c r="I12788" s="2">
        <v>0</v>
      </c>
      <c r="J12788" s="1">
        <v>46008.468877314815</v>
      </c>
    </row>
    <row r="12789" spans="1:10" x14ac:dyDescent="0.2">
      <c r="A12789" s="4" t="s">
        <v>1</v>
      </c>
      <c r="B1278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89" s="3" t="str">
        <f>HYPERLINK("https://otsuka-europe-crm.veevavault.com/ui/#object/sent_email__v/VBL000000011553", "SE-001397344")</f>
        <v>SE-001397344</v>
      </c>
      <c r="D12789" s="1" t="s">
        <v>0</v>
      </c>
      <c r="E12789" s="2">
        <v>0</v>
      </c>
      <c r="F12789" s="2">
        <v>0</v>
      </c>
      <c r="G12789" s="2">
        <v>0</v>
      </c>
      <c r="H12789" s="1" t="s">
        <v>0</v>
      </c>
      <c r="I12789" s="2">
        <v>0</v>
      </c>
      <c r="J12789" s="1">
        <v>46008.468923611108</v>
      </c>
    </row>
    <row r="12790" spans="1:10" x14ac:dyDescent="0.2">
      <c r="A12790" s="4" t="s">
        <v>1</v>
      </c>
      <c r="B1279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90" s="3" t="str">
        <f>HYPERLINK("https://otsuka-europe-crm.veevavault.com/ui/#object/sent_email__v/VBL000000011554", "SE-001397345")</f>
        <v>SE-001397345</v>
      </c>
      <c r="D12790" s="1" t="s">
        <v>0</v>
      </c>
      <c r="E12790" s="2">
        <v>0</v>
      </c>
      <c r="F12790" s="2">
        <v>0</v>
      </c>
      <c r="G12790" s="2">
        <v>0</v>
      </c>
      <c r="H12790" s="1" t="s">
        <v>0</v>
      </c>
      <c r="I12790" s="2">
        <v>0</v>
      </c>
      <c r="J12790" s="1">
        <v>46008.468969907408</v>
      </c>
    </row>
    <row r="12791" spans="1:10" x14ac:dyDescent="0.2">
      <c r="A12791" s="4" t="s">
        <v>1</v>
      </c>
      <c r="B1279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91" s="3" t="str">
        <f>HYPERLINK("https://otsuka-europe-crm.veevavault.com/ui/#object/sent_email__v/VBL000000011555", "SE-001397346")</f>
        <v>SE-001397346</v>
      </c>
      <c r="D12791" s="1" t="s">
        <v>0</v>
      </c>
      <c r="E12791" s="2">
        <v>0</v>
      </c>
      <c r="F12791" s="2">
        <v>0</v>
      </c>
      <c r="G12791" s="2">
        <v>0</v>
      </c>
      <c r="H12791" s="1" t="s">
        <v>0</v>
      </c>
      <c r="I12791" s="2">
        <v>0</v>
      </c>
      <c r="J12791" s="1">
        <v>46008.469004629631</v>
      </c>
    </row>
    <row r="12792" spans="1:10" x14ac:dyDescent="0.2">
      <c r="A12792" s="4" t="s">
        <v>1</v>
      </c>
      <c r="B1279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92" s="3" t="str">
        <f>HYPERLINK("https://otsuka-europe-crm.veevavault.com/ui/#object/sent_email__v/VBL000000011556", "SE-001397347")</f>
        <v>SE-001397347</v>
      </c>
      <c r="D12792" s="1" t="s">
        <v>0</v>
      </c>
      <c r="E12792" s="2">
        <v>0</v>
      </c>
      <c r="F12792" s="2">
        <v>0</v>
      </c>
      <c r="G12792" s="2">
        <v>0</v>
      </c>
      <c r="H12792" s="1" t="s">
        <v>0</v>
      </c>
      <c r="I12792" s="2">
        <v>0</v>
      </c>
      <c r="J12792" s="1">
        <v>46008.469039351854</v>
      </c>
    </row>
    <row r="12793" spans="1:10" x14ac:dyDescent="0.2">
      <c r="A12793" s="4" t="s">
        <v>1</v>
      </c>
      <c r="B1279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93" s="3" t="str">
        <f>HYPERLINK("https://otsuka-europe-crm.veevavault.com/ui/#object/sent_email__v/VBL000000011557", "SE-001397348")</f>
        <v>SE-001397348</v>
      </c>
      <c r="D12793" s="1" t="s">
        <v>0</v>
      </c>
      <c r="E12793" s="2">
        <v>0</v>
      </c>
      <c r="F12793" s="2">
        <v>0</v>
      </c>
      <c r="G12793" s="2">
        <v>0</v>
      </c>
      <c r="H12793" s="1" t="s">
        <v>0</v>
      </c>
      <c r="I12793" s="2">
        <v>0</v>
      </c>
      <c r="J12793" s="1">
        <v>46008.469074074077</v>
      </c>
    </row>
    <row r="12794" spans="1:10" x14ac:dyDescent="0.2">
      <c r="A12794" s="4" t="s">
        <v>1</v>
      </c>
      <c r="B1279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94" s="3" t="str">
        <f>HYPERLINK("https://otsuka-europe-crm.veevavault.com/ui/#object/sent_email__v/VBL000000011558", "SE-001397349")</f>
        <v>SE-001397349</v>
      </c>
      <c r="D12794" s="1" t="s">
        <v>0</v>
      </c>
      <c r="E12794" s="2">
        <v>0</v>
      </c>
      <c r="F12794" s="2">
        <v>0</v>
      </c>
      <c r="G12794" s="2">
        <v>0</v>
      </c>
      <c r="H12794" s="1" t="s">
        <v>0</v>
      </c>
      <c r="I12794" s="2">
        <v>0</v>
      </c>
      <c r="J12794" s="1">
        <v>46008.469108796293</v>
      </c>
    </row>
    <row r="12795" spans="1:10" x14ac:dyDescent="0.2">
      <c r="A12795" s="4" t="s">
        <v>1</v>
      </c>
      <c r="B1279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95" s="3" t="str">
        <f>HYPERLINK("https://otsuka-europe-crm.veevavault.com/ui/#object/sent_email__v/VBL000000011559", "SE-001397350")</f>
        <v>SE-001397350</v>
      </c>
      <c r="D12795" s="1" t="s">
        <v>0</v>
      </c>
      <c r="E12795" s="2">
        <v>0</v>
      </c>
      <c r="F12795" s="2">
        <v>0</v>
      </c>
      <c r="G12795" s="2">
        <v>0</v>
      </c>
      <c r="H12795" s="1" t="s">
        <v>0</v>
      </c>
      <c r="I12795" s="2">
        <v>0</v>
      </c>
      <c r="J12795" s="1">
        <v>46008.469155092593</v>
      </c>
    </row>
    <row r="12796" spans="1:10" x14ac:dyDescent="0.2">
      <c r="A12796" s="4" t="s">
        <v>1</v>
      </c>
      <c r="B1279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96" s="3" t="str">
        <f>HYPERLINK("https://otsuka-europe-crm.veevavault.com/ui/#object/sent_email__v/VBL000000011560", "SE-001397351")</f>
        <v>SE-001397351</v>
      </c>
      <c r="D12796" s="1" t="s">
        <v>0</v>
      </c>
      <c r="E12796" s="2">
        <v>0</v>
      </c>
      <c r="F12796" s="2">
        <v>0</v>
      </c>
      <c r="G12796" s="2">
        <v>0</v>
      </c>
      <c r="H12796" s="1" t="s">
        <v>0</v>
      </c>
      <c r="I12796" s="2">
        <v>0</v>
      </c>
      <c r="J12796" s="1">
        <v>46008.469201388885</v>
      </c>
    </row>
    <row r="12797" spans="1:10" x14ac:dyDescent="0.2">
      <c r="A12797" s="4" t="s">
        <v>1</v>
      </c>
      <c r="B1279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97" s="3" t="str">
        <f>HYPERLINK("https://otsuka-europe-crm.veevavault.com/ui/#object/sent_email__v/VBL000000011561", "SE-001397352")</f>
        <v>SE-001397352</v>
      </c>
      <c r="D12797" s="1" t="s">
        <v>0</v>
      </c>
      <c r="E12797" s="2">
        <v>0</v>
      </c>
      <c r="F12797" s="2">
        <v>0</v>
      </c>
      <c r="G12797" s="2">
        <v>0</v>
      </c>
      <c r="H12797" s="1" t="s">
        <v>0</v>
      </c>
      <c r="I12797" s="2">
        <v>0</v>
      </c>
      <c r="J12797" s="1">
        <v>46008.469236111108</v>
      </c>
    </row>
    <row r="12798" spans="1:10" x14ac:dyDescent="0.2">
      <c r="A12798" s="4" t="s">
        <v>1</v>
      </c>
      <c r="B1279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98" s="3" t="str">
        <f>HYPERLINK("https://otsuka-europe-crm.veevavault.com/ui/#object/sent_email__v/VBL000000011562", "SE-001397353")</f>
        <v>SE-001397353</v>
      </c>
      <c r="D12798" s="1" t="s">
        <v>0</v>
      </c>
      <c r="E12798" s="2">
        <v>0</v>
      </c>
      <c r="F12798" s="2">
        <v>0</v>
      </c>
      <c r="G12798" s="2">
        <v>0</v>
      </c>
      <c r="H12798" s="1" t="s">
        <v>0</v>
      </c>
      <c r="I12798" s="2">
        <v>0</v>
      </c>
      <c r="J12798" s="1">
        <v>46008.469270833331</v>
      </c>
    </row>
    <row r="12799" spans="1:10" x14ac:dyDescent="0.2">
      <c r="A12799" s="4" t="s">
        <v>1</v>
      </c>
      <c r="B1279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799" s="3" t="str">
        <f>HYPERLINK("https://otsuka-europe-crm.veevavault.com/ui/#object/sent_email__v/VBL000000011563", "SE-001397354")</f>
        <v>SE-001397354</v>
      </c>
      <c r="D12799" s="1">
        <v>46029.946539351855</v>
      </c>
      <c r="E12799" s="2">
        <v>1</v>
      </c>
      <c r="F12799" s="2">
        <v>1</v>
      </c>
      <c r="G12799" s="2">
        <v>0</v>
      </c>
      <c r="H12799" s="1" t="s">
        <v>0</v>
      </c>
      <c r="I12799" s="2">
        <v>0</v>
      </c>
      <c r="J12799" s="1">
        <v>46008.469305555554</v>
      </c>
    </row>
    <row r="12800" spans="1:10" x14ac:dyDescent="0.2">
      <c r="A12800" s="4" t="s">
        <v>1</v>
      </c>
      <c r="B1280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00" s="3" t="str">
        <f>HYPERLINK("https://otsuka-europe-crm.veevavault.com/ui/#object/sent_email__v/VBL000000011564", "SE-001397355")</f>
        <v>SE-001397355</v>
      </c>
      <c r="D12800" s="1" t="s">
        <v>0</v>
      </c>
      <c r="E12800" s="2">
        <v>0</v>
      </c>
      <c r="F12800" s="2">
        <v>0</v>
      </c>
      <c r="G12800" s="2">
        <v>0</v>
      </c>
      <c r="H12800" s="1" t="s">
        <v>0</v>
      </c>
      <c r="I12800" s="2">
        <v>0</v>
      </c>
      <c r="J12800" s="1">
        <v>46008.469351851854</v>
      </c>
    </row>
    <row r="12801" spans="1:10" x14ac:dyDescent="0.2">
      <c r="A12801" s="4" t="s">
        <v>1</v>
      </c>
      <c r="B1280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01" s="3" t="str">
        <f>HYPERLINK("https://otsuka-europe-crm.veevavault.com/ui/#object/sent_email__v/VBL000000011565", "SE-001397356")</f>
        <v>SE-001397356</v>
      </c>
      <c r="D12801" s="1" t="s">
        <v>0</v>
      </c>
      <c r="E12801" s="2">
        <v>0</v>
      </c>
      <c r="F12801" s="2">
        <v>0</v>
      </c>
      <c r="G12801" s="2">
        <v>0</v>
      </c>
      <c r="H12801" s="1" t="s">
        <v>0</v>
      </c>
      <c r="I12801" s="2">
        <v>0</v>
      </c>
      <c r="J12801" s="1">
        <v>46008.469386574077</v>
      </c>
    </row>
    <row r="12802" spans="1:10" x14ac:dyDescent="0.2">
      <c r="A12802" s="4" t="s">
        <v>1</v>
      </c>
      <c r="B1280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02" s="3" t="str">
        <f>HYPERLINK("https://otsuka-europe-crm.veevavault.com/ui/#object/sent_email__v/VBL000000011566", "SE-001397357")</f>
        <v>SE-001397357</v>
      </c>
      <c r="D12802" s="1" t="s">
        <v>0</v>
      </c>
      <c r="E12802" s="2">
        <v>0</v>
      </c>
      <c r="F12802" s="2">
        <v>0</v>
      </c>
      <c r="G12802" s="2">
        <v>0</v>
      </c>
      <c r="H12802" s="1" t="s">
        <v>0</v>
      </c>
      <c r="I12802" s="2">
        <v>0</v>
      </c>
      <c r="J12802" s="1">
        <v>46008.469421296293</v>
      </c>
    </row>
    <row r="12803" spans="1:10" x14ac:dyDescent="0.2">
      <c r="A12803" s="4" t="s">
        <v>1</v>
      </c>
      <c r="B1280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03" s="3" t="str">
        <f>HYPERLINK("https://otsuka-europe-crm.veevavault.com/ui/#object/sent_email__v/VBL000000011567", "SE-001397358")</f>
        <v>SE-001397358</v>
      </c>
      <c r="D12803" s="1" t="s">
        <v>0</v>
      </c>
      <c r="E12803" s="2">
        <v>0</v>
      </c>
      <c r="F12803" s="2">
        <v>0</v>
      </c>
      <c r="G12803" s="2">
        <v>0</v>
      </c>
      <c r="H12803" s="1" t="s">
        <v>0</v>
      </c>
      <c r="I12803" s="2">
        <v>0</v>
      </c>
      <c r="J12803" s="1">
        <v>46008.469467592593</v>
      </c>
    </row>
    <row r="12804" spans="1:10" x14ac:dyDescent="0.2">
      <c r="A12804" s="4" t="s">
        <v>1</v>
      </c>
      <c r="B1280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04" s="3" t="str">
        <f>HYPERLINK("https://otsuka-europe-crm.veevavault.com/ui/#object/sent_email__v/VBL000000011568", "SE-001397359")</f>
        <v>SE-001397359</v>
      </c>
      <c r="D12804" s="1" t="s">
        <v>0</v>
      </c>
      <c r="E12804" s="2">
        <v>0</v>
      </c>
      <c r="F12804" s="2">
        <v>0</v>
      </c>
      <c r="G12804" s="2">
        <v>0</v>
      </c>
      <c r="H12804" s="1" t="s">
        <v>0</v>
      </c>
      <c r="I12804" s="2">
        <v>0</v>
      </c>
      <c r="J12804" s="1">
        <v>46008.469502314816</v>
      </c>
    </row>
    <row r="12805" spans="1:10" x14ac:dyDescent="0.2">
      <c r="A12805" s="4" t="s">
        <v>1</v>
      </c>
      <c r="B1280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05" s="3" t="str">
        <f>HYPERLINK("https://otsuka-europe-crm.veevavault.com/ui/#object/sent_email__v/VBL000000011569", "SE-001397360")</f>
        <v>SE-001397360</v>
      </c>
      <c r="D12805" s="1" t="s">
        <v>0</v>
      </c>
      <c r="E12805" s="2">
        <v>0</v>
      </c>
      <c r="F12805" s="2">
        <v>0</v>
      </c>
      <c r="G12805" s="2">
        <v>0</v>
      </c>
      <c r="H12805" s="1" t="s">
        <v>0</v>
      </c>
      <c r="I12805" s="2">
        <v>0</v>
      </c>
      <c r="J12805" s="1">
        <v>46008.469537037039</v>
      </c>
    </row>
    <row r="12806" spans="1:10" x14ac:dyDescent="0.2">
      <c r="A12806" s="4" t="s">
        <v>1</v>
      </c>
      <c r="B1280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06" s="3" t="str">
        <f>HYPERLINK("https://otsuka-europe-crm.veevavault.com/ui/#object/sent_email__v/VBL000000011570", "SE-001397361")</f>
        <v>SE-001397361</v>
      </c>
      <c r="D12806" s="1">
        <v>46012.537627314814</v>
      </c>
      <c r="E12806" s="2">
        <v>1</v>
      </c>
      <c r="F12806" s="2">
        <v>2</v>
      </c>
      <c r="G12806" s="2">
        <v>0</v>
      </c>
      <c r="H12806" s="1" t="s">
        <v>0</v>
      </c>
      <c r="I12806" s="2">
        <v>0</v>
      </c>
      <c r="J12806" s="1">
        <v>46008.469583333332</v>
      </c>
    </row>
    <row r="12807" spans="1:10" x14ac:dyDescent="0.2">
      <c r="A12807" s="4" t="s">
        <v>1</v>
      </c>
      <c r="B1280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07" s="3" t="str">
        <f>HYPERLINK("https://otsuka-europe-crm.veevavault.com/ui/#object/sent_email__v/VBL000000011571", "SE-001397362")</f>
        <v>SE-001397362</v>
      </c>
      <c r="D12807" s="1" t="s">
        <v>0</v>
      </c>
      <c r="E12807" s="2">
        <v>0</v>
      </c>
      <c r="F12807" s="2">
        <v>0</v>
      </c>
      <c r="G12807" s="2">
        <v>0</v>
      </c>
      <c r="H12807" s="1" t="s">
        <v>0</v>
      </c>
      <c r="I12807" s="2">
        <v>0</v>
      </c>
      <c r="J12807" s="1">
        <v>46008.469629629632</v>
      </c>
    </row>
    <row r="12808" spans="1:10" x14ac:dyDescent="0.2">
      <c r="A12808" s="4" t="s">
        <v>1</v>
      </c>
      <c r="B1280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08" s="3" t="str">
        <f>HYPERLINK("https://otsuka-europe-crm.veevavault.com/ui/#object/sent_email__v/VBL000000011572", "SE-001397363")</f>
        <v>SE-001397363</v>
      </c>
      <c r="D12808" s="1" t="s">
        <v>0</v>
      </c>
      <c r="E12808" s="2">
        <v>0</v>
      </c>
      <c r="F12808" s="2">
        <v>0</v>
      </c>
      <c r="G12808" s="2">
        <v>0</v>
      </c>
      <c r="H12808" s="1" t="s">
        <v>0</v>
      </c>
      <c r="I12808" s="2">
        <v>0</v>
      </c>
      <c r="J12808" s="1">
        <v>46008.469652777778</v>
      </c>
    </row>
    <row r="12809" spans="1:10" x14ac:dyDescent="0.2">
      <c r="A12809" s="4" t="s">
        <v>1</v>
      </c>
      <c r="B1280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09" s="3" t="str">
        <f>HYPERLINK("https://otsuka-europe-crm.veevavault.com/ui/#object/sent_email__v/VBL000000011573", "SE-001397364")</f>
        <v>SE-001397364</v>
      </c>
      <c r="D12809" s="1" t="s">
        <v>0</v>
      </c>
      <c r="E12809" s="2">
        <v>0</v>
      </c>
      <c r="F12809" s="2">
        <v>0</v>
      </c>
      <c r="G12809" s="2">
        <v>0</v>
      </c>
      <c r="H12809" s="1" t="s">
        <v>0</v>
      </c>
      <c r="I12809" s="2">
        <v>0</v>
      </c>
      <c r="J12809" s="1">
        <v>46008.469699074078</v>
      </c>
    </row>
    <row r="12810" spans="1:10" x14ac:dyDescent="0.2">
      <c r="A12810" s="4" t="s">
        <v>1</v>
      </c>
      <c r="B1281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10" s="3" t="str">
        <f>HYPERLINK("https://otsuka-europe-crm.veevavault.com/ui/#object/sent_email__v/VBL000000011574", "SE-001397365")</f>
        <v>SE-001397365</v>
      </c>
      <c r="D12810" s="1" t="s">
        <v>0</v>
      </c>
      <c r="E12810" s="2">
        <v>0</v>
      </c>
      <c r="F12810" s="2">
        <v>0</v>
      </c>
      <c r="G12810" s="2">
        <v>0</v>
      </c>
      <c r="H12810" s="1" t="s">
        <v>0</v>
      </c>
      <c r="I12810" s="2">
        <v>0</v>
      </c>
      <c r="J12810" s="1">
        <v>46008.46974537037</v>
      </c>
    </row>
    <row r="12811" spans="1:10" x14ac:dyDescent="0.2">
      <c r="A12811" s="4" t="s">
        <v>1</v>
      </c>
      <c r="B1281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11" s="3" t="str">
        <f>HYPERLINK("https://otsuka-europe-crm.veevavault.com/ui/#object/sent_email__v/VBL000000011575", "SE-001397366")</f>
        <v>SE-001397366</v>
      </c>
      <c r="D12811" s="1" t="s">
        <v>0</v>
      </c>
      <c r="E12811" s="2">
        <v>0</v>
      </c>
      <c r="F12811" s="2">
        <v>0</v>
      </c>
      <c r="G12811" s="2">
        <v>0</v>
      </c>
      <c r="H12811" s="1" t="s">
        <v>0</v>
      </c>
      <c r="I12811" s="2">
        <v>0</v>
      </c>
      <c r="J12811" s="1">
        <v>46008.469780092593</v>
      </c>
    </row>
    <row r="12812" spans="1:10" x14ac:dyDescent="0.2">
      <c r="A12812" s="4" t="s">
        <v>1</v>
      </c>
      <c r="B1281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12" s="3" t="str">
        <f>HYPERLINK("https://otsuka-europe-crm.veevavault.com/ui/#object/sent_email__v/VBL000000011576", "SE-001397367")</f>
        <v>SE-001397367</v>
      </c>
      <c r="D12812" s="1" t="s">
        <v>0</v>
      </c>
      <c r="E12812" s="2">
        <v>0</v>
      </c>
      <c r="F12812" s="2">
        <v>0</v>
      </c>
      <c r="G12812" s="2">
        <v>0</v>
      </c>
      <c r="H12812" s="1" t="s">
        <v>0</v>
      </c>
      <c r="I12812" s="2">
        <v>0</v>
      </c>
      <c r="J12812" s="1">
        <v>46008.469814814816</v>
      </c>
    </row>
    <row r="12813" spans="1:10" x14ac:dyDescent="0.2">
      <c r="A12813" s="4" t="s">
        <v>1</v>
      </c>
      <c r="B1281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13" s="3" t="str">
        <f>HYPERLINK("https://otsuka-europe-crm.veevavault.com/ui/#object/sent_email__v/VBL000000011577", "SE-001397368")</f>
        <v>SE-001397368</v>
      </c>
      <c r="D12813" s="1" t="s">
        <v>0</v>
      </c>
      <c r="E12813" s="2">
        <v>0</v>
      </c>
      <c r="F12813" s="2">
        <v>0</v>
      </c>
      <c r="G12813" s="2">
        <v>0</v>
      </c>
      <c r="H12813" s="1" t="s">
        <v>0</v>
      </c>
      <c r="I12813" s="2">
        <v>0</v>
      </c>
      <c r="J12813" s="1">
        <v>46008.469861111109</v>
      </c>
    </row>
    <row r="12814" spans="1:10" x14ac:dyDescent="0.2">
      <c r="A12814" s="4" t="s">
        <v>1</v>
      </c>
      <c r="B1281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14" s="3" t="str">
        <f>HYPERLINK("https://otsuka-europe-crm.veevavault.com/ui/#object/sent_email__v/VBL000000011578", "SE-001397369")</f>
        <v>SE-001397369</v>
      </c>
      <c r="D12814" s="1" t="s">
        <v>0</v>
      </c>
      <c r="E12814" s="2">
        <v>0</v>
      </c>
      <c r="F12814" s="2">
        <v>0</v>
      </c>
      <c r="G12814" s="2">
        <v>0</v>
      </c>
      <c r="H12814" s="1" t="s">
        <v>0</v>
      </c>
      <c r="I12814" s="2">
        <v>0</v>
      </c>
      <c r="J12814" s="1">
        <v>46008.469907407409</v>
      </c>
    </row>
    <row r="12815" spans="1:10" x14ac:dyDescent="0.2">
      <c r="A12815" s="4" t="s">
        <v>1</v>
      </c>
      <c r="B1281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15" s="3" t="str">
        <f>HYPERLINK("https://otsuka-europe-crm.veevavault.com/ui/#object/sent_email__v/VBL000000011579", "SE-001397370")</f>
        <v>SE-001397370</v>
      </c>
      <c r="D12815" s="1" t="s">
        <v>0</v>
      </c>
      <c r="E12815" s="2">
        <v>0</v>
      </c>
      <c r="F12815" s="2">
        <v>0</v>
      </c>
      <c r="G12815" s="2">
        <v>0</v>
      </c>
      <c r="H12815" s="1" t="s">
        <v>0</v>
      </c>
      <c r="I12815" s="2">
        <v>0</v>
      </c>
      <c r="J12815" s="1">
        <v>46008.469942129632</v>
      </c>
    </row>
    <row r="12816" spans="1:10" x14ac:dyDescent="0.2">
      <c r="A12816" s="4" t="s">
        <v>1</v>
      </c>
      <c r="B1281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16" s="3" t="str">
        <f>HYPERLINK("https://otsuka-europe-crm.veevavault.com/ui/#object/sent_email__v/VBL000000011580", "SE-001397371")</f>
        <v>SE-001397371</v>
      </c>
      <c r="D12816" s="1" t="s">
        <v>0</v>
      </c>
      <c r="E12816" s="2">
        <v>0</v>
      </c>
      <c r="F12816" s="2">
        <v>0</v>
      </c>
      <c r="G12816" s="2">
        <v>0</v>
      </c>
      <c r="H12816" s="1" t="s">
        <v>0</v>
      </c>
      <c r="I12816" s="2">
        <v>0</v>
      </c>
      <c r="J12816" s="1">
        <v>46008.469988425924</v>
      </c>
    </row>
    <row r="12817" spans="1:10" x14ac:dyDescent="0.2">
      <c r="A12817" s="4" t="s">
        <v>1</v>
      </c>
      <c r="B1281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17" s="3" t="str">
        <f>HYPERLINK("https://otsuka-europe-crm.veevavault.com/ui/#object/sent_email__v/VBL000000011581", "SE-001397372")</f>
        <v>SE-001397372</v>
      </c>
      <c r="D12817" s="1">
        <v>46059.419907407406</v>
      </c>
      <c r="E12817" s="2">
        <v>1</v>
      </c>
      <c r="F12817" s="2">
        <v>1</v>
      </c>
      <c r="G12817" s="2">
        <v>0</v>
      </c>
      <c r="H12817" s="1" t="s">
        <v>0</v>
      </c>
      <c r="I12817" s="2">
        <v>0</v>
      </c>
      <c r="J12817" s="1">
        <v>46008.470034722224</v>
      </c>
    </row>
    <row r="12818" spans="1:10" x14ac:dyDescent="0.2">
      <c r="A12818" s="4" t="s">
        <v>1</v>
      </c>
      <c r="B1281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18" s="3" t="str">
        <f>HYPERLINK("https://otsuka-europe-crm.veevavault.com/ui/#object/sent_email__v/VBL000000011582", "SE-001397373")</f>
        <v>SE-001397373</v>
      </c>
      <c r="D12818" s="1" t="s">
        <v>0</v>
      </c>
      <c r="E12818" s="2">
        <v>0</v>
      </c>
      <c r="F12818" s="2">
        <v>0</v>
      </c>
      <c r="G12818" s="2">
        <v>0</v>
      </c>
      <c r="H12818" s="1" t="s">
        <v>0</v>
      </c>
      <c r="I12818" s="2">
        <v>0</v>
      </c>
      <c r="J12818" s="1">
        <v>46008.470069444447</v>
      </c>
    </row>
    <row r="12819" spans="1:10" x14ac:dyDescent="0.2">
      <c r="A12819" s="4" t="s">
        <v>1</v>
      </c>
      <c r="B1281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19" s="3" t="str">
        <f>HYPERLINK("https://otsuka-europe-crm.veevavault.com/ui/#object/sent_email__v/VBL000000011583", "SE-001397374")</f>
        <v>SE-001397374</v>
      </c>
      <c r="D12819" s="1" t="s">
        <v>0</v>
      </c>
      <c r="E12819" s="2">
        <v>0</v>
      </c>
      <c r="F12819" s="2">
        <v>0</v>
      </c>
      <c r="G12819" s="2">
        <v>0</v>
      </c>
      <c r="H12819" s="1" t="s">
        <v>0</v>
      </c>
      <c r="I12819" s="2">
        <v>0</v>
      </c>
      <c r="J12819" s="1">
        <v>46008.47011574074</v>
      </c>
    </row>
    <row r="12820" spans="1:10" x14ac:dyDescent="0.2">
      <c r="A12820" s="4" t="s">
        <v>1</v>
      </c>
      <c r="B1282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20" s="3" t="str">
        <f>HYPERLINK("https://otsuka-europe-crm.veevavault.com/ui/#object/sent_email__v/VBL000000011584", "SE-001397375")</f>
        <v>SE-001397375</v>
      </c>
      <c r="D12820" s="1" t="s">
        <v>0</v>
      </c>
      <c r="E12820" s="2">
        <v>0</v>
      </c>
      <c r="F12820" s="2">
        <v>0</v>
      </c>
      <c r="G12820" s="2">
        <v>0</v>
      </c>
      <c r="H12820" s="1" t="s">
        <v>0</v>
      </c>
      <c r="I12820" s="2">
        <v>0</v>
      </c>
      <c r="J12820" s="1">
        <v>46008.470150462963</v>
      </c>
    </row>
    <row r="12821" spans="1:10" x14ac:dyDescent="0.2">
      <c r="A12821" s="4" t="s">
        <v>1</v>
      </c>
      <c r="B1282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21" s="3" t="str">
        <f>HYPERLINK("https://otsuka-europe-crm.veevavault.com/ui/#object/sent_email__v/VBL000000011585", "SE-001397376")</f>
        <v>SE-001397376</v>
      </c>
      <c r="D12821" s="1" t="s">
        <v>0</v>
      </c>
      <c r="E12821" s="2">
        <v>0</v>
      </c>
      <c r="F12821" s="2">
        <v>0</v>
      </c>
      <c r="G12821" s="2">
        <v>0</v>
      </c>
      <c r="H12821" s="1" t="s">
        <v>0</v>
      </c>
      <c r="I12821" s="2">
        <v>0</v>
      </c>
      <c r="J12821" s="1">
        <v>46008.470196759263</v>
      </c>
    </row>
    <row r="12822" spans="1:10" x14ac:dyDescent="0.2">
      <c r="A12822" s="4" t="s">
        <v>1</v>
      </c>
      <c r="B1282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22" s="3" t="str">
        <f>HYPERLINK("https://otsuka-europe-crm.veevavault.com/ui/#object/sent_email__v/VBL000000011586", "SE-001397377")</f>
        <v>SE-001397377</v>
      </c>
      <c r="D12822" s="1" t="s">
        <v>0</v>
      </c>
      <c r="E12822" s="2">
        <v>0</v>
      </c>
      <c r="F12822" s="2">
        <v>0</v>
      </c>
      <c r="G12822" s="2">
        <v>0</v>
      </c>
      <c r="H12822" s="1" t="s">
        <v>0</v>
      </c>
      <c r="I12822" s="2">
        <v>0</v>
      </c>
      <c r="J12822" s="1">
        <v>46008.470231481479</v>
      </c>
    </row>
    <row r="12823" spans="1:10" x14ac:dyDescent="0.2">
      <c r="A12823" s="4" t="s">
        <v>1</v>
      </c>
      <c r="B1282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23" s="3" t="str">
        <f>HYPERLINK("https://otsuka-europe-crm.veevavault.com/ui/#object/sent_email__v/VBL000000011587", "SE-001397378")</f>
        <v>SE-001397378</v>
      </c>
      <c r="D12823" s="1" t="s">
        <v>0</v>
      </c>
      <c r="E12823" s="2">
        <v>0</v>
      </c>
      <c r="F12823" s="2">
        <v>0</v>
      </c>
      <c r="G12823" s="2">
        <v>0</v>
      </c>
      <c r="H12823" s="1" t="s">
        <v>0</v>
      </c>
      <c r="I12823" s="2">
        <v>0</v>
      </c>
      <c r="J12823" s="1">
        <v>46008.470277777778</v>
      </c>
    </row>
    <row r="12824" spans="1:10" x14ac:dyDescent="0.2">
      <c r="A12824" s="4" t="s">
        <v>1</v>
      </c>
      <c r="B1282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24" s="3" t="str">
        <f>HYPERLINK("https://otsuka-europe-crm.veevavault.com/ui/#object/sent_email__v/VBL000000011588", "SE-001397379")</f>
        <v>SE-001397379</v>
      </c>
      <c r="D12824" s="1">
        <v>46008.813738425924</v>
      </c>
      <c r="E12824" s="2">
        <v>1</v>
      </c>
      <c r="F12824" s="2">
        <v>1</v>
      </c>
      <c r="G12824" s="2">
        <v>0</v>
      </c>
      <c r="H12824" s="1" t="s">
        <v>0</v>
      </c>
      <c r="I12824" s="2">
        <v>0</v>
      </c>
      <c r="J12824" s="1">
        <v>46008.470312500001</v>
      </c>
    </row>
    <row r="12825" spans="1:10" x14ac:dyDescent="0.2">
      <c r="A12825" s="4" t="s">
        <v>1</v>
      </c>
      <c r="B1282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25" s="3" t="str">
        <f>HYPERLINK("https://otsuka-europe-crm.veevavault.com/ui/#object/sent_email__v/VBL000000011589", "SE-001397380")</f>
        <v>SE-001397380</v>
      </c>
      <c r="D12825" s="1">
        <v>46013.042094907411</v>
      </c>
      <c r="E12825" s="2">
        <v>1</v>
      </c>
      <c r="F12825" s="2">
        <v>2</v>
      </c>
      <c r="G12825" s="2">
        <v>0</v>
      </c>
      <c r="H12825" s="1" t="s">
        <v>0</v>
      </c>
      <c r="I12825" s="2">
        <v>0</v>
      </c>
      <c r="J12825" s="1">
        <v>46008.470347222225</v>
      </c>
    </row>
    <row r="12826" spans="1:10" x14ac:dyDescent="0.2">
      <c r="A12826" s="4" t="s">
        <v>1</v>
      </c>
      <c r="B1282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26" s="3" t="str">
        <f>HYPERLINK("https://otsuka-europe-crm.veevavault.com/ui/#object/sent_email__v/VBL000000011590", "SE-001397381")</f>
        <v>SE-001397381</v>
      </c>
      <c r="D12826" s="1" t="s">
        <v>0</v>
      </c>
      <c r="E12826" s="2">
        <v>0</v>
      </c>
      <c r="F12826" s="2">
        <v>0</v>
      </c>
      <c r="G12826" s="2">
        <v>0</v>
      </c>
      <c r="H12826" s="1" t="s">
        <v>0</v>
      </c>
      <c r="I12826" s="2">
        <v>0</v>
      </c>
      <c r="J12826" s="1">
        <v>46008.470393518517</v>
      </c>
    </row>
    <row r="12827" spans="1:10" x14ac:dyDescent="0.2">
      <c r="A12827" s="4" t="s">
        <v>1</v>
      </c>
      <c r="B1282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27" s="3" t="str">
        <f>HYPERLINK("https://otsuka-europe-crm.veevavault.com/ui/#object/sent_email__v/VBL000000011591", "SE-001397382")</f>
        <v>SE-001397382</v>
      </c>
      <c r="D12827" s="1" t="s">
        <v>0</v>
      </c>
      <c r="E12827" s="2">
        <v>0</v>
      </c>
      <c r="F12827" s="2">
        <v>0</v>
      </c>
      <c r="G12827" s="2">
        <v>0</v>
      </c>
      <c r="H12827" s="1" t="s">
        <v>0</v>
      </c>
      <c r="I12827" s="2">
        <v>0</v>
      </c>
      <c r="J12827" s="1">
        <v>46008.47042824074</v>
      </c>
    </row>
    <row r="12828" spans="1:10" x14ac:dyDescent="0.2">
      <c r="A12828" s="4" t="s">
        <v>1</v>
      </c>
      <c r="B1282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28" s="3" t="str">
        <f>HYPERLINK("https://otsuka-europe-crm.veevavault.com/ui/#object/sent_email__v/VBL000000011592", "SE-001397383")</f>
        <v>SE-001397383</v>
      </c>
      <c r="D12828" s="1" t="s">
        <v>0</v>
      </c>
      <c r="E12828" s="2">
        <v>0</v>
      </c>
      <c r="F12828" s="2">
        <v>0</v>
      </c>
      <c r="G12828" s="2">
        <v>0</v>
      </c>
      <c r="H12828" s="1" t="s">
        <v>0</v>
      </c>
      <c r="I12828" s="2">
        <v>0</v>
      </c>
      <c r="J12828" s="1">
        <v>46008.47047453704</v>
      </c>
    </row>
    <row r="12829" spans="1:10" x14ac:dyDescent="0.2">
      <c r="A12829" s="4" t="s">
        <v>1</v>
      </c>
      <c r="B1282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29" s="3" t="str">
        <f>HYPERLINK("https://otsuka-europe-crm.veevavault.com/ui/#object/sent_email__v/VBL000000011593", "SE-001397384")</f>
        <v>SE-001397384</v>
      </c>
      <c r="D12829" s="1">
        <v>46030.877291666664</v>
      </c>
      <c r="E12829" s="2">
        <v>1</v>
      </c>
      <c r="F12829" s="2">
        <v>2</v>
      </c>
      <c r="G12829" s="2">
        <v>0</v>
      </c>
      <c r="H12829" s="1" t="s">
        <v>0</v>
      </c>
      <c r="I12829" s="2">
        <v>0</v>
      </c>
      <c r="J12829" s="1">
        <v>46008.470509259256</v>
      </c>
    </row>
    <row r="12830" spans="1:10" x14ac:dyDescent="0.2">
      <c r="A12830" s="4" t="s">
        <v>1</v>
      </c>
      <c r="B1283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30" s="3" t="str">
        <f>HYPERLINK("https://otsuka-europe-crm.veevavault.com/ui/#object/sent_email__v/VBL000000011594", "SE-001397385")</f>
        <v>SE-001397385</v>
      </c>
      <c r="D12830" s="1" t="s">
        <v>0</v>
      </c>
      <c r="E12830" s="2">
        <v>0</v>
      </c>
      <c r="F12830" s="2">
        <v>0</v>
      </c>
      <c r="G12830" s="2">
        <v>0</v>
      </c>
      <c r="H12830" s="1" t="s">
        <v>0</v>
      </c>
      <c r="I12830" s="2">
        <v>0</v>
      </c>
      <c r="J12830" s="1">
        <v>46008.470543981479</v>
      </c>
    </row>
    <row r="12831" spans="1:10" x14ac:dyDescent="0.2">
      <c r="A12831" s="4" t="s">
        <v>1</v>
      </c>
      <c r="B1283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31" s="3" t="str">
        <f>HYPERLINK("https://otsuka-europe-crm.veevavault.com/ui/#object/sent_email__v/VBL000000011595", "SE-001397386")</f>
        <v>SE-001397386</v>
      </c>
      <c r="D12831" s="1" t="s">
        <v>0</v>
      </c>
      <c r="E12831" s="2">
        <v>0</v>
      </c>
      <c r="F12831" s="2">
        <v>0</v>
      </c>
      <c r="G12831" s="2">
        <v>0</v>
      </c>
      <c r="H12831" s="1" t="s">
        <v>0</v>
      </c>
      <c r="I12831" s="2">
        <v>0</v>
      </c>
      <c r="J12831" s="1">
        <v>46008.470578703702</v>
      </c>
    </row>
    <row r="12832" spans="1:10" x14ac:dyDescent="0.2">
      <c r="A12832" s="4" t="s">
        <v>1</v>
      </c>
      <c r="B1283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32" s="3" t="str">
        <f>HYPERLINK("https://otsuka-europe-crm.veevavault.com/ui/#object/sent_email__v/VBL000000011596", "SE-001397387")</f>
        <v>SE-001397387</v>
      </c>
      <c r="D12832" s="1" t="s">
        <v>0</v>
      </c>
      <c r="E12832" s="2">
        <v>0</v>
      </c>
      <c r="F12832" s="2">
        <v>0</v>
      </c>
      <c r="G12832" s="2">
        <v>0</v>
      </c>
      <c r="H12832" s="1" t="s">
        <v>0</v>
      </c>
      <c r="I12832" s="2">
        <v>0</v>
      </c>
      <c r="J12832" s="1">
        <v>46008.470625000002</v>
      </c>
    </row>
    <row r="12833" spans="1:10" x14ac:dyDescent="0.2">
      <c r="A12833" s="4" t="s">
        <v>1</v>
      </c>
      <c r="B1283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33" s="3" t="str">
        <f>HYPERLINK("https://otsuka-europe-crm.veevavault.com/ui/#object/sent_email__v/VBL000000011597", "SE-001397388")</f>
        <v>SE-001397388</v>
      </c>
      <c r="D12833" s="1" t="s">
        <v>0</v>
      </c>
      <c r="E12833" s="2">
        <v>0</v>
      </c>
      <c r="F12833" s="2">
        <v>0</v>
      </c>
      <c r="G12833" s="2">
        <v>0</v>
      </c>
      <c r="H12833" s="1" t="s">
        <v>0</v>
      </c>
      <c r="I12833" s="2">
        <v>0</v>
      </c>
      <c r="J12833" s="1">
        <v>46008.470659722225</v>
      </c>
    </row>
    <row r="12834" spans="1:10" x14ac:dyDescent="0.2">
      <c r="A12834" s="4" t="s">
        <v>1</v>
      </c>
      <c r="B1283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34" s="3" t="str">
        <f>HYPERLINK("https://otsuka-europe-crm.veevavault.com/ui/#object/sent_email__v/VBL000000011598", "SE-001397389")</f>
        <v>SE-001397389</v>
      </c>
      <c r="D12834" s="1" t="s">
        <v>0</v>
      </c>
      <c r="E12834" s="2">
        <v>0</v>
      </c>
      <c r="F12834" s="2">
        <v>0</v>
      </c>
      <c r="G12834" s="2">
        <v>0</v>
      </c>
      <c r="H12834" s="1" t="s">
        <v>0</v>
      </c>
      <c r="I12834" s="2">
        <v>0</v>
      </c>
      <c r="J12834" s="1">
        <v>46008.470694444448</v>
      </c>
    </row>
    <row r="12835" spans="1:10" x14ac:dyDescent="0.2">
      <c r="A12835" s="4" t="s">
        <v>1</v>
      </c>
      <c r="B1283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35" s="3" t="str">
        <f>HYPERLINK("https://otsuka-europe-crm.veevavault.com/ui/#object/sent_email__v/VBL000000011599", "SE-001397390")</f>
        <v>SE-001397390</v>
      </c>
      <c r="D12835" s="1" t="s">
        <v>0</v>
      </c>
      <c r="E12835" s="2">
        <v>0</v>
      </c>
      <c r="F12835" s="2">
        <v>0</v>
      </c>
      <c r="G12835" s="2">
        <v>0</v>
      </c>
      <c r="H12835" s="1" t="s">
        <v>0</v>
      </c>
      <c r="I12835" s="2">
        <v>0</v>
      </c>
      <c r="J12835" s="1">
        <v>46008.47074074074</v>
      </c>
    </row>
    <row r="12836" spans="1:10" x14ac:dyDescent="0.2">
      <c r="A12836" s="4" t="s">
        <v>1</v>
      </c>
      <c r="B1283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36" s="3" t="str">
        <f>HYPERLINK("https://otsuka-europe-crm.veevavault.com/ui/#object/sent_email__v/VBL000000011600", "SE-001397391")</f>
        <v>SE-001397391</v>
      </c>
      <c r="D12836" s="1" t="s">
        <v>0</v>
      </c>
      <c r="E12836" s="2">
        <v>0</v>
      </c>
      <c r="F12836" s="2">
        <v>0</v>
      </c>
      <c r="G12836" s="2">
        <v>0</v>
      </c>
      <c r="H12836" s="1" t="s">
        <v>0</v>
      </c>
      <c r="I12836" s="2">
        <v>0</v>
      </c>
      <c r="J12836" s="1">
        <v>46008.470775462964</v>
      </c>
    </row>
    <row r="12837" spans="1:10" x14ac:dyDescent="0.2">
      <c r="A12837" s="4" t="s">
        <v>1</v>
      </c>
      <c r="B1283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37" s="3" t="str">
        <f>HYPERLINK("https://otsuka-europe-crm.veevavault.com/ui/#object/sent_email__v/VBL000000011601", "SE-001397392")</f>
        <v>SE-001397392</v>
      </c>
      <c r="D12837" s="1" t="s">
        <v>0</v>
      </c>
      <c r="E12837" s="2">
        <v>0</v>
      </c>
      <c r="F12837" s="2">
        <v>0</v>
      </c>
      <c r="G12837" s="2">
        <v>0</v>
      </c>
      <c r="H12837" s="1" t="s">
        <v>0</v>
      </c>
      <c r="I12837" s="2">
        <v>0</v>
      </c>
      <c r="J12837" s="1">
        <v>46008.470810185187</v>
      </c>
    </row>
    <row r="12838" spans="1:10" x14ac:dyDescent="0.2">
      <c r="A12838" s="4" t="s">
        <v>1</v>
      </c>
      <c r="B1283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38" s="3" t="str">
        <f>HYPERLINK("https://otsuka-europe-crm.veevavault.com/ui/#object/sent_email__v/VBL000000011602", "SE-001397393")</f>
        <v>SE-001397393</v>
      </c>
      <c r="D12838" s="1" t="s">
        <v>0</v>
      </c>
      <c r="E12838" s="2">
        <v>0</v>
      </c>
      <c r="F12838" s="2">
        <v>0</v>
      </c>
      <c r="G12838" s="2">
        <v>0</v>
      </c>
      <c r="H12838" s="1" t="s">
        <v>0</v>
      </c>
      <c r="I12838" s="2">
        <v>0</v>
      </c>
      <c r="J12838" s="1">
        <v>46008.47084490741</v>
      </c>
    </row>
    <row r="12839" spans="1:10" x14ac:dyDescent="0.2">
      <c r="A12839" s="4" t="s">
        <v>1</v>
      </c>
      <c r="B1283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39" s="3" t="str">
        <f>HYPERLINK("https://otsuka-europe-crm.veevavault.com/ui/#object/sent_email__v/VBL000000011603", "SE-001397394")</f>
        <v>SE-001397394</v>
      </c>
      <c r="D12839" s="1" t="s">
        <v>0</v>
      </c>
      <c r="E12839" s="2">
        <v>0</v>
      </c>
      <c r="F12839" s="2">
        <v>0</v>
      </c>
      <c r="G12839" s="2">
        <v>0</v>
      </c>
      <c r="H12839" s="1" t="s">
        <v>0</v>
      </c>
      <c r="I12839" s="2">
        <v>0</v>
      </c>
      <c r="J12839" s="1">
        <v>46008.470891203702</v>
      </c>
    </row>
    <row r="12840" spans="1:10" x14ac:dyDescent="0.2">
      <c r="A12840" s="4" t="s">
        <v>1</v>
      </c>
      <c r="B1284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40" s="3" t="str">
        <f>HYPERLINK("https://otsuka-europe-crm.veevavault.com/ui/#object/sent_email__v/VBL000000011604", "SE-001397395")</f>
        <v>SE-001397395</v>
      </c>
      <c r="D12840" s="1">
        <v>46008.471192129633</v>
      </c>
      <c r="E12840" s="2">
        <v>1</v>
      </c>
      <c r="F12840" s="2">
        <v>1</v>
      </c>
      <c r="G12840" s="2">
        <v>1</v>
      </c>
      <c r="H12840" s="1">
        <v>46008.471400462964</v>
      </c>
      <c r="I12840" s="2">
        <v>3</v>
      </c>
      <c r="J12840" s="1">
        <v>46008.470937500002</v>
      </c>
    </row>
    <row r="12841" spans="1:10" x14ac:dyDescent="0.2">
      <c r="A12841" s="4" t="s">
        <v>1</v>
      </c>
      <c r="B1284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41" s="3" t="str">
        <f>HYPERLINK("https://otsuka-europe-crm.veevavault.com/ui/#object/sent_email__v/VBL000000011605", "SE-001397396")</f>
        <v>SE-001397396</v>
      </c>
      <c r="D12841" s="1" t="s">
        <v>0</v>
      </c>
      <c r="E12841" s="2">
        <v>0</v>
      </c>
      <c r="F12841" s="2">
        <v>0</v>
      </c>
      <c r="G12841" s="2">
        <v>0</v>
      </c>
      <c r="H12841" s="1" t="s">
        <v>0</v>
      </c>
      <c r="I12841" s="2">
        <v>0</v>
      </c>
      <c r="J12841" s="1">
        <v>46008.470960648148</v>
      </c>
    </row>
    <row r="12842" spans="1:10" x14ac:dyDescent="0.2">
      <c r="A12842" s="4" t="s">
        <v>1</v>
      </c>
      <c r="B1284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42" s="3" t="str">
        <f>HYPERLINK("https://otsuka-europe-crm.veevavault.com/ui/#object/sent_email__v/VBL000000011606", "SE-001397397")</f>
        <v>SE-001397397</v>
      </c>
      <c r="D12842" s="1" t="s">
        <v>0</v>
      </c>
      <c r="E12842" s="2">
        <v>0</v>
      </c>
      <c r="F12842" s="2">
        <v>0</v>
      </c>
      <c r="G12842" s="2">
        <v>0</v>
      </c>
      <c r="H12842" s="1" t="s">
        <v>0</v>
      </c>
      <c r="I12842" s="2">
        <v>0</v>
      </c>
      <c r="J12842" s="1">
        <v>46008.470995370371</v>
      </c>
    </row>
    <row r="12843" spans="1:10" x14ac:dyDescent="0.2">
      <c r="A12843" s="4" t="s">
        <v>1</v>
      </c>
      <c r="B1284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43" s="3" t="str">
        <f>HYPERLINK("https://otsuka-europe-crm.veevavault.com/ui/#object/sent_email__v/VBL000000011607", "SE-001397398")</f>
        <v>SE-001397398</v>
      </c>
      <c r="D12843" s="1" t="s">
        <v>0</v>
      </c>
      <c r="E12843" s="2">
        <v>0</v>
      </c>
      <c r="F12843" s="2">
        <v>0</v>
      </c>
      <c r="G12843" s="2">
        <v>0</v>
      </c>
      <c r="H12843" s="1" t="s">
        <v>0</v>
      </c>
      <c r="I12843" s="2">
        <v>0</v>
      </c>
      <c r="J12843" s="1">
        <v>46008.471041666664</v>
      </c>
    </row>
    <row r="12844" spans="1:10" x14ac:dyDescent="0.2">
      <c r="A12844" s="4" t="s">
        <v>1</v>
      </c>
      <c r="B1284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44" s="3" t="str">
        <f>HYPERLINK("https://otsuka-europe-crm.veevavault.com/ui/#object/sent_email__v/VBL000000011608", "SE-001397399")</f>
        <v>SE-001397399</v>
      </c>
      <c r="D12844" s="1">
        <v>46011.795613425929</v>
      </c>
      <c r="E12844" s="2">
        <v>1</v>
      </c>
      <c r="F12844" s="2">
        <v>1</v>
      </c>
      <c r="G12844" s="2">
        <v>0</v>
      </c>
      <c r="H12844" s="1" t="s">
        <v>0</v>
      </c>
      <c r="I12844" s="2">
        <v>0</v>
      </c>
      <c r="J12844" s="1">
        <v>46008.471180555556</v>
      </c>
    </row>
    <row r="12845" spans="1:10" x14ac:dyDescent="0.2">
      <c r="A12845" s="4" t="s">
        <v>1</v>
      </c>
      <c r="B1284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45" s="3" t="str">
        <f>HYPERLINK("https://otsuka-europe-crm.veevavault.com/ui/#object/sent_email__v/VBL000000011609", "SE-001397400")</f>
        <v>SE-001397400</v>
      </c>
      <c r="D12845" s="1" t="s">
        <v>0</v>
      </c>
      <c r="E12845" s="2">
        <v>0</v>
      </c>
      <c r="F12845" s="2">
        <v>0</v>
      </c>
      <c r="G12845" s="2">
        <v>0</v>
      </c>
      <c r="H12845" s="1" t="s">
        <v>0</v>
      </c>
      <c r="I12845" s="2">
        <v>0</v>
      </c>
      <c r="J12845" s="1">
        <v>46008.47142361111</v>
      </c>
    </row>
    <row r="12846" spans="1:10" x14ac:dyDescent="0.2">
      <c r="A12846" s="4" t="s">
        <v>1</v>
      </c>
      <c r="B1284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46" s="3" t="str">
        <f>HYPERLINK("https://otsuka-europe-crm.veevavault.com/ui/#object/sent_email__v/VBL000000011610", "SE-001397401")</f>
        <v>SE-001397401</v>
      </c>
      <c r="D12846" s="1" t="s">
        <v>0</v>
      </c>
      <c r="E12846" s="2">
        <v>0</v>
      </c>
      <c r="F12846" s="2">
        <v>0</v>
      </c>
      <c r="G12846" s="2">
        <v>0</v>
      </c>
      <c r="H12846" s="1" t="s">
        <v>0</v>
      </c>
      <c r="I12846" s="2">
        <v>0</v>
      </c>
      <c r="J12846" s="1">
        <v>46008.471168981479</v>
      </c>
    </row>
    <row r="12847" spans="1:10" x14ac:dyDescent="0.2">
      <c r="A12847" s="4" t="s">
        <v>1</v>
      </c>
      <c r="B1284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47" s="3" t="str">
        <f>HYPERLINK("https://otsuka-europe-crm.veevavault.com/ui/#object/sent_email__v/VBL000000011611", "SE-001397402")</f>
        <v>SE-001397402</v>
      </c>
      <c r="D12847" s="1" t="s">
        <v>0</v>
      </c>
      <c r="E12847" s="2">
        <v>0</v>
      </c>
      <c r="F12847" s="2">
        <v>0</v>
      </c>
      <c r="G12847" s="2">
        <v>0</v>
      </c>
      <c r="H12847" s="1" t="s">
        <v>0</v>
      </c>
      <c r="I12847" s="2">
        <v>0</v>
      </c>
      <c r="J12847" s="1">
        <v>46008.471203703702</v>
      </c>
    </row>
    <row r="12848" spans="1:10" x14ac:dyDescent="0.2">
      <c r="A12848" s="4" t="s">
        <v>1</v>
      </c>
      <c r="B1284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48" s="3" t="str">
        <f>HYPERLINK("https://otsuka-europe-crm.veevavault.com/ui/#object/sent_email__v/VBL000000011746", "SE-001397572")</f>
        <v>SE-001397572</v>
      </c>
      <c r="D12848" s="1" t="s">
        <v>0</v>
      </c>
      <c r="E12848" s="2">
        <v>0</v>
      </c>
      <c r="F12848" s="2">
        <v>0</v>
      </c>
      <c r="G12848" s="2">
        <v>0</v>
      </c>
      <c r="H12848" s="1" t="s">
        <v>0</v>
      </c>
      <c r="I12848" s="2">
        <v>0</v>
      </c>
      <c r="J12848" s="1">
        <v>46009.545474537037</v>
      </c>
    </row>
    <row r="12849" spans="1:10" x14ac:dyDescent="0.2">
      <c r="A12849" s="4" t="s">
        <v>1</v>
      </c>
      <c r="B1284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49" s="3" t="str">
        <f>HYPERLINK("https://otsuka-europe-crm.veevavault.com/ui/#object/sent_email__v/VBL000000011747", "SE-001397573")</f>
        <v>SE-001397573</v>
      </c>
      <c r="D12849" s="1" t="s">
        <v>0</v>
      </c>
      <c r="E12849" s="2">
        <v>0</v>
      </c>
      <c r="F12849" s="2">
        <v>0</v>
      </c>
      <c r="G12849" s="2">
        <v>0</v>
      </c>
      <c r="H12849" s="1" t="s">
        <v>0</v>
      </c>
      <c r="I12849" s="2">
        <v>0</v>
      </c>
      <c r="J12849" s="1">
        <v>46009.545532407406</v>
      </c>
    </row>
    <row r="12850" spans="1:10" x14ac:dyDescent="0.2">
      <c r="A12850" s="4" t="s">
        <v>1</v>
      </c>
      <c r="B1285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50" s="3" t="str">
        <f>HYPERLINK("https://otsuka-europe-crm.veevavault.com/ui/#object/sent_email__v/VBL000000011748", "SE-001397574")</f>
        <v>SE-001397574</v>
      </c>
      <c r="D12850" s="1" t="s">
        <v>0</v>
      </c>
      <c r="E12850" s="2">
        <v>0</v>
      </c>
      <c r="F12850" s="2">
        <v>0</v>
      </c>
      <c r="G12850" s="2">
        <v>0</v>
      </c>
      <c r="H12850" s="1" t="s">
        <v>0</v>
      </c>
      <c r="I12850" s="2">
        <v>0</v>
      </c>
      <c r="J12850" s="1">
        <v>46009.545555555553</v>
      </c>
    </row>
    <row r="12851" spans="1:10" x14ac:dyDescent="0.2">
      <c r="A12851" s="4" t="s">
        <v>1</v>
      </c>
      <c r="B1285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51" s="3" t="str">
        <f>HYPERLINK("https://otsuka-europe-crm.veevavault.com/ui/#object/sent_email__v/VBL000000011749", "SE-001397575")</f>
        <v>SE-001397575</v>
      </c>
      <c r="D12851" s="1" t="s">
        <v>0</v>
      </c>
      <c r="E12851" s="2">
        <v>0</v>
      </c>
      <c r="F12851" s="2">
        <v>0</v>
      </c>
      <c r="G12851" s="2">
        <v>0</v>
      </c>
      <c r="H12851" s="1" t="s">
        <v>0</v>
      </c>
      <c r="I12851" s="2">
        <v>0</v>
      </c>
      <c r="J12851" s="1">
        <v>46009.545601851853</v>
      </c>
    </row>
    <row r="12852" spans="1:10" x14ac:dyDescent="0.2">
      <c r="A12852" s="4" t="s">
        <v>1</v>
      </c>
      <c r="B1285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52" s="3" t="str">
        <f>HYPERLINK("https://otsuka-europe-crm.veevavault.com/ui/#object/sent_email__v/VBL000000011750", "SE-001397576")</f>
        <v>SE-001397576</v>
      </c>
      <c r="D12852" s="1" t="s">
        <v>0</v>
      </c>
      <c r="E12852" s="2">
        <v>0</v>
      </c>
      <c r="F12852" s="2">
        <v>0</v>
      </c>
      <c r="G12852" s="2">
        <v>0</v>
      </c>
      <c r="H12852" s="1" t="s">
        <v>0</v>
      </c>
      <c r="I12852" s="2">
        <v>0</v>
      </c>
      <c r="J12852" s="1">
        <v>46009.545636574076</v>
      </c>
    </row>
    <row r="12853" spans="1:10" x14ac:dyDescent="0.2">
      <c r="A12853" s="4" t="s">
        <v>1</v>
      </c>
      <c r="B1285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53" s="3" t="str">
        <f>HYPERLINK("https://otsuka-europe-crm.veevavault.com/ui/#object/sent_email__v/VBL000000011751", "SE-001397577")</f>
        <v>SE-001397577</v>
      </c>
      <c r="D12853" s="1" t="s">
        <v>0</v>
      </c>
      <c r="E12853" s="2">
        <v>0</v>
      </c>
      <c r="F12853" s="2">
        <v>0</v>
      </c>
      <c r="G12853" s="2">
        <v>0</v>
      </c>
      <c r="H12853" s="1" t="s">
        <v>0</v>
      </c>
      <c r="I12853" s="2">
        <v>0</v>
      </c>
      <c r="J12853" s="1">
        <v>46009.545671296299</v>
      </c>
    </row>
    <row r="12854" spans="1:10" x14ac:dyDescent="0.2">
      <c r="A12854" s="4" t="s">
        <v>1</v>
      </c>
      <c r="B1285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54" s="3" t="str">
        <f>HYPERLINK("https://otsuka-europe-crm.veevavault.com/ui/#object/sent_email__v/VBL000000011752", "SE-001397578")</f>
        <v>SE-001397578</v>
      </c>
      <c r="D12854" s="1" t="s">
        <v>0</v>
      </c>
      <c r="E12854" s="2">
        <v>0</v>
      </c>
      <c r="F12854" s="2">
        <v>0</v>
      </c>
      <c r="G12854" s="2">
        <v>0</v>
      </c>
      <c r="H12854" s="1" t="s">
        <v>0</v>
      </c>
      <c r="I12854" s="2">
        <v>0</v>
      </c>
      <c r="J12854" s="1">
        <v>46009.545717592591</v>
      </c>
    </row>
    <row r="12855" spans="1:10" x14ac:dyDescent="0.2">
      <c r="A12855" s="4" t="s">
        <v>1</v>
      </c>
      <c r="B1285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55" s="3" t="str">
        <f>HYPERLINK("https://otsuka-europe-crm.veevavault.com/ui/#object/sent_email__v/VBL000000011753", "SE-001397579")</f>
        <v>SE-001397579</v>
      </c>
      <c r="D12855" s="1" t="s">
        <v>0</v>
      </c>
      <c r="E12855" s="2">
        <v>0</v>
      </c>
      <c r="F12855" s="2">
        <v>0</v>
      </c>
      <c r="G12855" s="2">
        <v>0</v>
      </c>
      <c r="H12855" s="1" t="s">
        <v>0</v>
      </c>
      <c r="I12855" s="2">
        <v>0</v>
      </c>
      <c r="J12855" s="1">
        <v>46009.545775462961</v>
      </c>
    </row>
    <row r="12856" spans="1:10" x14ac:dyDescent="0.2">
      <c r="A12856" s="4" t="s">
        <v>1</v>
      </c>
      <c r="B1285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56" s="3" t="str">
        <f>HYPERLINK("https://otsuka-europe-crm.veevavault.com/ui/#object/sent_email__v/VBL000000011754", "SE-001397580")</f>
        <v>SE-001397580</v>
      </c>
      <c r="D12856" s="1" t="s">
        <v>0</v>
      </c>
      <c r="E12856" s="2">
        <v>0</v>
      </c>
      <c r="F12856" s="2">
        <v>0</v>
      </c>
      <c r="G12856" s="2">
        <v>0</v>
      </c>
      <c r="H12856" s="1" t="s">
        <v>0</v>
      </c>
      <c r="I12856" s="2">
        <v>0</v>
      </c>
      <c r="J12856" s="1">
        <v>46009.545787037037</v>
      </c>
    </row>
    <row r="12857" spans="1:10" x14ac:dyDescent="0.2">
      <c r="A12857" s="4" t="s">
        <v>1</v>
      </c>
      <c r="B1285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57" s="3" t="str">
        <f>HYPERLINK("https://otsuka-europe-crm.veevavault.com/ui/#object/sent_email__v/VBL000000011755", "SE-001397581")</f>
        <v>SE-001397581</v>
      </c>
      <c r="D12857" s="1" t="s">
        <v>0</v>
      </c>
      <c r="E12857" s="2">
        <v>0</v>
      </c>
      <c r="F12857" s="2">
        <v>0</v>
      </c>
      <c r="G12857" s="2">
        <v>0</v>
      </c>
      <c r="H12857" s="1" t="s">
        <v>0</v>
      </c>
      <c r="I12857" s="2">
        <v>0</v>
      </c>
      <c r="J12857" s="1">
        <v>46009.54582175926</v>
      </c>
    </row>
    <row r="12858" spans="1:10" x14ac:dyDescent="0.2">
      <c r="A12858" s="4" t="s">
        <v>1</v>
      </c>
      <c r="B1285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58" s="3" t="str">
        <f>HYPERLINK("https://otsuka-europe-crm.veevavault.com/ui/#object/sent_email__v/VBL000000011756", "SE-001397582")</f>
        <v>SE-001397582</v>
      </c>
      <c r="D12858" s="1" t="s">
        <v>0</v>
      </c>
      <c r="E12858" s="2">
        <v>0</v>
      </c>
      <c r="F12858" s="2">
        <v>0</v>
      </c>
      <c r="G12858" s="2">
        <v>0</v>
      </c>
      <c r="H12858" s="1" t="s">
        <v>0</v>
      </c>
      <c r="I12858" s="2">
        <v>0</v>
      </c>
      <c r="J12858" s="1">
        <v>46009.545868055553</v>
      </c>
    </row>
    <row r="12859" spans="1:10" x14ac:dyDescent="0.2">
      <c r="A12859" s="4" t="s">
        <v>1</v>
      </c>
      <c r="B1285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59" s="3" t="str">
        <f>HYPERLINK("https://otsuka-europe-crm.veevavault.com/ui/#object/sent_email__v/VBL000000011757", "SE-001397583")</f>
        <v>SE-001397583</v>
      </c>
      <c r="D12859" s="1">
        <v>46010.182615740741</v>
      </c>
      <c r="E12859" s="2">
        <v>1</v>
      </c>
      <c r="F12859" s="2">
        <v>1</v>
      </c>
      <c r="G12859" s="2">
        <v>0</v>
      </c>
      <c r="H12859" s="1" t="s">
        <v>0</v>
      </c>
      <c r="I12859" s="2">
        <v>0</v>
      </c>
      <c r="J12859" s="1">
        <v>46009.545902777776</v>
      </c>
    </row>
    <row r="12860" spans="1:10" x14ac:dyDescent="0.2">
      <c r="A12860" s="4" t="s">
        <v>1</v>
      </c>
      <c r="B1286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60" s="3" t="str">
        <f>HYPERLINK("https://otsuka-europe-crm.veevavault.com/ui/#object/sent_email__v/VBL000000011758", "SE-001397584")</f>
        <v>SE-001397584</v>
      </c>
      <c r="D12860" s="1" t="s">
        <v>0</v>
      </c>
      <c r="E12860" s="2">
        <v>0</v>
      </c>
      <c r="F12860" s="2">
        <v>0</v>
      </c>
      <c r="G12860" s="2">
        <v>0</v>
      </c>
      <c r="H12860" s="1" t="s">
        <v>0</v>
      </c>
      <c r="I12860" s="2">
        <v>0</v>
      </c>
      <c r="J12860" s="1">
        <v>46009.545949074076</v>
      </c>
    </row>
    <row r="12861" spans="1:10" x14ac:dyDescent="0.2">
      <c r="A12861" s="4" t="s">
        <v>1</v>
      </c>
      <c r="B1286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61" s="3" t="str">
        <f>HYPERLINK("https://otsuka-europe-crm.veevavault.com/ui/#object/sent_email__v/VBL000000011759", "SE-001397585")</f>
        <v>SE-001397585</v>
      </c>
      <c r="D12861" s="1" t="s">
        <v>0</v>
      </c>
      <c r="E12861" s="2">
        <v>0</v>
      </c>
      <c r="F12861" s="2">
        <v>0</v>
      </c>
      <c r="G12861" s="2">
        <v>0</v>
      </c>
      <c r="H12861" s="1" t="s">
        <v>0</v>
      </c>
      <c r="I12861" s="2">
        <v>0</v>
      </c>
      <c r="J12861" s="1">
        <v>46009.545983796299</v>
      </c>
    </row>
    <row r="12862" spans="1:10" x14ac:dyDescent="0.2">
      <c r="A12862" s="4" t="s">
        <v>1</v>
      </c>
      <c r="B1286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62" s="3" t="str">
        <f>HYPERLINK("https://otsuka-europe-crm.veevavault.com/ui/#object/sent_email__v/VBL000000011760", "SE-001397586")</f>
        <v>SE-001397586</v>
      </c>
      <c r="D12862" s="1" t="s">
        <v>0</v>
      </c>
      <c r="E12862" s="2">
        <v>0</v>
      </c>
      <c r="F12862" s="2">
        <v>0</v>
      </c>
      <c r="G12862" s="2">
        <v>0</v>
      </c>
      <c r="H12862" s="1" t="s">
        <v>0</v>
      </c>
      <c r="I12862" s="2">
        <v>0</v>
      </c>
      <c r="J12862" s="1">
        <v>46009.546030092592</v>
      </c>
    </row>
    <row r="12863" spans="1:10" x14ac:dyDescent="0.2">
      <c r="A12863" s="4" t="s">
        <v>1</v>
      </c>
      <c r="B1286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63" s="3" t="str">
        <f>HYPERLINK("https://otsuka-europe-crm.veevavault.com/ui/#object/sent_email__v/VBL000000011761", "SE-001397587")</f>
        <v>SE-001397587</v>
      </c>
      <c r="D12863" s="1">
        <v>46009.569398148145</v>
      </c>
      <c r="E12863" s="2">
        <v>1</v>
      </c>
      <c r="F12863" s="2">
        <v>1</v>
      </c>
      <c r="G12863" s="2">
        <v>0</v>
      </c>
      <c r="H12863" s="1" t="s">
        <v>0</v>
      </c>
      <c r="I12863" s="2">
        <v>0</v>
      </c>
      <c r="J12863" s="1">
        <v>46009.546064814815</v>
      </c>
    </row>
    <row r="12864" spans="1:10" x14ac:dyDescent="0.2">
      <c r="A12864" s="4" t="s">
        <v>1</v>
      </c>
      <c r="B1286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64" s="3" t="str">
        <f>HYPERLINK("https://otsuka-europe-crm.veevavault.com/ui/#object/sent_email__v/VBL000000011762", "SE-001397588")</f>
        <v>SE-001397588</v>
      </c>
      <c r="D12864" s="1" t="s">
        <v>0</v>
      </c>
      <c r="E12864" s="2">
        <v>0</v>
      </c>
      <c r="F12864" s="2">
        <v>0</v>
      </c>
      <c r="G12864" s="2">
        <v>0</v>
      </c>
      <c r="H12864" s="1" t="s">
        <v>0</v>
      </c>
      <c r="I12864" s="2">
        <v>0</v>
      </c>
      <c r="J12864" s="1">
        <v>46009.546122685184</v>
      </c>
    </row>
    <row r="12865" spans="1:10" x14ac:dyDescent="0.2">
      <c r="A12865" s="4" t="s">
        <v>1</v>
      </c>
      <c r="B1286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65" s="3" t="str">
        <f>HYPERLINK("https://otsuka-europe-crm.veevavault.com/ui/#object/sent_email__v/VBL000000011763", "SE-001397589")</f>
        <v>SE-001397589</v>
      </c>
      <c r="D12865" s="1" t="s">
        <v>0</v>
      </c>
      <c r="E12865" s="2">
        <v>0</v>
      </c>
      <c r="F12865" s="2">
        <v>0</v>
      </c>
      <c r="G12865" s="2">
        <v>0</v>
      </c>
      <c r="H12865" s="1" t="s">
        <v>0</v>
      </c>
      <c r="I12865" s="2">
        <v>0</v>
      </c>
      <c r="J12865" s="1">
        <v>46009.54614583333</v>
      </c>
    </row>
    <row r="12866" spans="1:10" x14ac:dyDescent="0.2">
      <c r="A12866" s="4" t="s">
        <v>1</v>
      </c>
      <c r="B1286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66" s="3" t="str">
        <f>HYPERLINK("https://otsuka-europe-crm.veevavault.com/ui/#object/sent_email__v/VBL000000011764", "SE-001397590")</f>
        <v>SE-001397590</v>
      </c>
      <c r="D12866" s="1" t="s">
        <v>0</v>
      </c>
      <c r="E12866" s="2">
        <v>0</v>
      </c>
      <c r="F12866" s="2">
        <v>0</v>
      </c>
      <c r="G12866" s="2">
        <v>0</v>
      </c>
      <c r="H12866" s="1" t="s">
        <v>0</v>
      </c>
      <c r="I12866" s="2">
        <v>0</v>
      </c>
      <c r="J12866" s="1">
        <v>46009.54619212963</v>
      </c>
    </row>
    <row r="12867" spans="1:10" x14ac:dyDescent="0.2">
      <c r="A12867" s="4" t="s">
        <v>1</v>
      </c>
      <c r="B1286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67" s="3" t="str">
        <f>HYPERLINK("https://otsuka-europe-crm.veevavault.com/ui/#object/sent_email__v/VBL000000011765", "SE-001397591")</f>
        <v>SE-001397591</v>
      </c>
      <c r="D12867" s="1" t="s">
        <v>0</v>
      </c>
      <c r="E12867" s="2">
        <v>0</v>
      </c>
      <c r="F12867" s="2">
        <v>0</v>
      </c>
      <c r="G12867" s="2">
        <v>0</v>
      </c>
      <c r="H12867" s="1" t="s">
        <v>0</v>
      </c>
      <c r="I12867" s="2">
        <v>0</v>
      </c>
      <c r="J12867" s="1">
        <v>46009.546238425923</v>
      </c>
    </row>
    <row r="12868" spans="1:10" x14ac:dyDescent="0.2">
      <c r="A12868" s="4" t="s">
        <v>1</v>
      </c>
      <c r="B1286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68" s="3" t="str">
        <f>HYPERLINK("https://otsuka-europe-crm.veevavault.com/ui/#object/sent_email__v/VBL000000011766", "SE-001397592")</f>
        <v>SE-001397592</v>
      </c>
      <c r="D12868" s="1" t="s">
        <v>0</v>
      </c>
      <c r="E12868" s="2">
        <v>0</v>
      </c>
      <c r="F12868" s="2">
        <v>0</v>
      </c>
      <c r="G12868" s="2">
        <v>0</v>
      </c>
      <c r="H12868" s="1" t="s">
        <v>0</v>
      </c>
      <c r="I12868" s="2">
        <v>0</v>
      </c>
      <c r="J12868" s="1">
        <v>46009.546261574076</v>
      </c>
    </row>
    <row r="12869" spans="1:10" x14ac:dyDescent="0.2">
      <c r="A12869" s="4" t="s">
        <v>1</v>
      </c>
      <c r="B1286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69" s="3" t="str">
        <f>HYPERLINK("https://otsuka-europe-crm.veevavault.com/ui/#object/sent_email__v/VBL000000011767", "SE-001397593")</f>
        <v>SE-001397593</v>
      </c>
      <c r="D12869" s="1" t="s">
        <v>0</v>
      </c>
      <c r="E12869" s="2">
        <v>0</v>
      </c>
      <c r="F12869" s="2">
        <v>0</v>
      </c>
      <c r="G12869" s="2">
        <v>0</v>
      </c>
      <c r="H12869" s="1" t="s">
        <v>0</v>
      </c>
      <c r="I12869" s="2">
        <v>0</v>
      </c>
      <c r="J12869" s="1">
        <v>46009.546307870369</v>
      </c>
    </row>
    <row r="12870" spans="1:10" x14ac:dyDescent="0.2">
      <c r="A12870" s="4" t="s">
        <v>1</v>
      </c>
      <c r="B1287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70" s="3" t="str">
        <f>HYPERLINK("https://otsuka-europe-crm.veevavault.com/ui/#object/sent_email__v/VBL000000011768", "SE-001397594")</f>
        <v>SE-001397594</v>
      </c>
      <c r="D12870" s="1" t="s">
        <v>0</v>
      </c>
      <c r="E12870" s="2">
        <v>0</v>
      </c>
      <c r="F12870" s="2">
        <v>0</v>
      </c>
      <c r="G12870" s="2">
        <v>0</v>
      </c>
      <c r="H12870" s="1" t="s">
        <v>0</v>
      </c>
      <c r="I12870" s="2">
        <v>0</v>
      </c>
      <c r="J12870" s="1">
        <v>46009.546342592592</v>
      </c>
    </row>
    <row r="12871" spans="1:10" x14ac:dyDescent="0.2">
      <c r="A12871" s="4" t="s">
        <v>1</v>
      </c>
      <c r="B1287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71" s="3" t="str">
        <f>HYPERLINK("https://otsuka-europe-crm.veevavault.com/ui/#object/sent_email__v/VBL000000011769", "SE-001397595")</f>
        <v>SE-001397595</v>
      </c>
      <c r="D12871" s="1" t="s">
        <v>0</v>
      </c>
      <c r="E12871" s="2">
        <v>0</v>
      </c>
      <c r="F12871" s="2">
        <v>0</v>
      </c>
      <c r="G12871" s="2">
        <v>0</v>
      </c>
      <c r="H12871" s="1" t="s">
        <v>0</v>
      </c>
      <c r="I12871" s="2">
        <v>0</v>
      </c>
      <c r="J12871" s="1">
        <v>46009.546388888892</v>
      </c>
    </row>
    <row r="12872" spans="1:10" x14ac:dyDescent="0.2">
      <c r="A12872" s="4" t="s">
        <v>1</v>
      </c>
      <c r="B1287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72" s="3" t="str">
        <f>HYPERLINK("https://otsuka-europe-crm.veevavault.com/ui/#object/sent_email__v/VBL000000011770", "SE-001397596")</f>
        <v>SE-001397596</v>
      </c>
      <c r="D12872" s="1" t="s">
        <v>0</v>
      </c>
      <c r="E12872" s="2">
        <v>0</v>
      </c>
      <c r="F12872" s="2">
        <v>0</v>
      </c>
      <c r="G12872" s="2">
        <v>0</v>
      </c>
      <c r="H12872" s="1" t="s">
        <v>0</v>
      </c>
      <c r="I12872" s="2">
        <v>0</v>
      </c>
      <c r="J12872" s="1">
        <v>46009.546423611115</v>
      </c>
    </row>
    <row r="12873" spans="1:10" x14ac:dyDescent="0.2">
      <c r="A12873" s="4" t="s">
        <v>1</v>
      </c>
      <c r="B1287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73" s="3" t="str">
        <f>HYPERLINK("https://otsuka-europe-crm.veevavault.com/ui/#object/sent_email__v/VBL000000011771", "SE-001397597")</f>
        <v>SE-001397597</v>
      </c>
      <c r="D12873" s="1" t="s">
        <v>0</v>
      </c>
      <c r="E12873" s="2">
        <v>0</v>
      </c>
      <c r="F12873" s="2">
        <v>0</v>
      </c>
      <c r="G12873" s="2">
        <v>0</v>
      </c>
      <c r="H12873" s="1" t="s">
        <v>0</v>
      </c>
      <c r="I12873" s="2">
        <v>0</v>
      </c>
      <c r="J12873" s="1">
        <v>46009.546458333331</v>
      </c>
    </row>
    <row r="12874" spans="1:10" x14ac:dyDescent="0.2">
      <c r="A12874" s="4" t="s">
        <v>1</v>
      </c>
      <c r="B1287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74" s="3" t="str">
        <f>HYPERLINK("https://otsuka-europe-crm.veevavault.com/ui/#object/sent_email__v/VBL000000011772", "SE-001397598")</f>
        <v>SE-001397598</v>
      </c>
      <c r="D12874" s="1" t="s">
        <v>0</v>
      </c>
      <c r="E12874" s="2">
        <v>0</v>
      </c>
      <c r="F12874" s="2">
        <v>0</v>
      </c>
      <c r="G12874" s="2">
        <v>0</v>
      </c>
      <c r="H12874" s="1" t="s">
        <v>0</v>
      </c>
      <c r="I12874" s="2">
        <v>0</v>
      </c>
      <c r="J12874" s="1">
        <v>46009.54650462963</v>
      </c>
    </row>
    <row r="12875" spans="1:10" x14ac:dyDescent="0.2">
      <c r="A12875" s="4" t="s">
        <v>1</v>
      </c>
      <c r="B1287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75" s="3" t="str">
        <f>HYPERLINK("https://otsuka-europe-crm.veevavault.com/ui/#object/sent_email__v/VBL000000011773", "SE-001397599")</f>
        <v>SE-001397599</v>
      </c>
      <c r="D12875" s="1">
        <v>46009.98097222222</v>
      </c>
      <c r="E12875" s="2">
        <v>1</v>
      </c>
      <c r="F12875" s="2">
        <v>1</v>
      </c>
      <c r="G12875" s="2">
        <v>0</v>
      </c>
      <c r="H12875" s="1" t="s">
        <v>0</v>
      </c>
      <c r="I12875" s="2">
        <v>0</v>
      </c>
      <c r="J12875" s="1">
        <v>46009.546539351853</v>
      </c>
    </row>
    <row r="12876" spans="1:10" x14ac:dyDescent="0.2">
      <c r="A12876" s="4" t="s">
        <v>1</v>
      </c>
      <c r="B1287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76" s="3" t="str">
        <f>HYPERLINK("https://otsuka-europe-crm.veevavault.com/ui/#object/sent_email__v/VBL000000011774", "SE-001397600")</f>
        <v>SE-001397600</v>
      </c>
      <c r="D12876" s="1">
        <v>46009.548634259256</v>
      </c>
      <c r="E12876" s="2">
        <v>1</v>
      </c>
      <c r="F12876" s="2">
        <v>2</v>
      </c>
      <c r="G12876" s="2">
        <v>0</v>
      </c>
      <c r="H12876" s="1" t="s">
        <v>0</v>
      </c>
      <c r="I12876" s="2">
        <v>0</v>
      </c>
      <c r="J12876" s="1">
        <v>46009.546585648146</v>
      </c>
    </row>
    <row r="12877" spans="1:10" x14ac:dyDescent="0.2">
      <c r="A12877" s="4" t="s">
        <v>1</v>
      </c>
      <c r="B1287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77" s="3" t="str">
        <f>HYPERLINK("https://otsuka-europe-crm.veevavault.com/ui/#object/sent_email__v/VBL000000011775", "SE-001397601")</f>
        <v>SE-001397601</v>
      </c>
      <c r="D12877" s="1" t="s">
        <v>0</v>
      </c>
      <c r="E12877" s="2">
        <v>0</v>
      </c>
      <c r="F12877" s="2">
        <v>0</v>
      </c>
      <c r="G12877" s="2">
        <v>0</v>
      </c>
      <c r="H12877" s="1" t="s">
        <v>0</v>
      </c>
      <c r="I12877" s="2">
        <v>0</v>
      </c>
      <c r="J12877" s="1">
        <v>46009.546620370369</v>
      </c>
    </row>
    <row r="12878" spans="1:10" x14ac:dyDescent="0.2">
      <c r="A12878" s="4" t="s">
        <v>1</v>
      </c>
      <c r="B1287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78" s="3" t="str">
        <f>HYPERLINK("https://otsuka-europe-crm.veevavault.com/ui/#object/sent_email__v/VBL000000011776", "SE-001397602")</f>
        <v>SE-001397602</v>
      </c>
      <c r="D12878" s="1" t="s">
        <v>0</v>
      </c>
      <c r="E12878" s="2">
        <v>0</v>
      </c>
      <c r="F12878" s="2">
        <v>0</v>
      </c>
      <c r="G12878" s="2">
        <v>0</v>
      </c>
      <c r="H12878" s="1" t="s">
        <v>0</v>
      </c>
      <c r="I12878" s="2">
        <v>0</v>
      </c>
      <c r="J12878" s="1">
        <v>46009.546655092592</v>
      </c>
    </row>
    <row r="12879" spans="1:10" x14ac:dyDescent="0.2">
      <c r="A12879" s="4" t="s">
        <v>1</v>
      </c>
      <c r="B1287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79" s="3" t="str">
        <f>HYPERLINK("https://otsuka-europe-crm.veevavault.com/ui/#object/sent_email__v/VBL000000011777", "SE-001397603")</f>
        <v>SE-001397603</v>
      </c>
      <c r="D12879" s="1">
        <v>46009.878796296296</v>
      </c>
      <c r="E12879" s="2">
        <v>1</v>
      </c>
      <c r="F12879" s="2">
        <v>2</v>
      </c>
      <c r="G12879" s="2">
        <v>0</v>
      </c>
      <c r="H12879" s="1" t="s">
        <v>0</v>
      </c>
      <c r="I12879" s="2">
        <v>0</v>
      </c>
      <c r="J12879" s="1">
        <v>46009.546701388892</v>
      </c>
    </row>
    <row r="12880" spans="1:10" x14ac:dyDescent="0.2">
      <c r="A12880" s="4" t="s">
        <v>1</v>
      </c>
      <c r="B1288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80" s="3" t="str">
        <f>HYPERLINK("https://otsuka-europe-crm.veevavault.com/ui/#object/sent_email__v/VBL000000011778", "SE-001397604")</f>
        <v>SE-001397604</v>
      </c>
      <c r="D12880" s="1" t="s">
        <v>0</v>
      </c>
      <c r="E12880" s="2">
        <v>0</v>
      </c>
      <c r="F12880" s="2">
        <v>0</v>
      </c>
      <c r="G12880" s="2">
        <v>0</v>
      </c>
      <c r="H12880" s="1" t="s">
        <v>0</v>
      </c>
      <c r="I12880" s="2">
        <v>0</v>
      </c>
      <c r="J12880" s="1">
        <v>46009.546736111108</v>
      </c>
    </row>
    <row r="12881" spans="1:10" x14ac:dyDescent="0.2">
      <c r="A12881" s="4" t="s">
        <v>1</v>
      </c>
      <c r="B1288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81" s="3" t="str">
        <f>HYPERLINK("https://otsuka-europe-crm.veevavault.com/ui/#object/sent_email__v/VBL000000011779", "SE-001397605")</f>
        <v>SE-001397605</v>
      </c>
      <c r="D12881" s="1">
        <v>46012.284826388888</v>
      </c>
      <c r="E12881" s="2">
        <v>1</v>
      </c>
      <c r="F12881" s="2">
        <v>2</v>
      </c>
      <c r="G12881" s="2">
        <v>0</v>
      </c>
      <c r="H12881" s="1" t="s">
        <v>0</v>
      </c>
      <c r="I12881" s="2">
        <v>0</v>
      </c>
      <c r="J12881" s="1">
        <v>46009.546770833331</v>
      </c>
    </row>
    <row r="12882" spans="1:10" x14ac:dyDescent="0.2">
      <c r="A12882" s="4" t="s">
        <v>1</v>
      </c>
      <c r="B1288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82" s="3" t="str">
        <f>HYPERLINK("https://otsuka-europe-crm.veevavault.com/ui/#object/sent_email__v/VBL000000011780", "SE-001397606")</f>
        <v>SE-001397606</v>
      </c>
      <c r="D12882" s="1" t="s">
        <v>0</v>
      </c>
      <c r="E12882" s="2">
        <v>0</v>
      </c>
      <c r="F12882" s="2">
        <v>0</v>
      </c>
      <c r="G12882" s="2">
        <v>0</v>
      </c>
      <c r="H12882" s="1" t="s">
        <v>0</v>
      </c>
      <c r="I12882" s="2">
        <v>0</v>
      </c>
      <c r="J12882" s="1">
        <v>46009.546805555554</v>
      </c>
    </row>
    <row r="12883" spans="1:10" x14ac:dyDescent="0.2">
      <c r="A12883" s="4" t="s">
        <v>1</v>
      </c>
      <c r="B1288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83" s="3" t="str">
        <f>HYPERLINK("https://otsuka-europe-crm.veevavault.com/ui/#object/sent_email__v/VBL000000011781", "SE-001397607")</f>
        <v>SE-001397607</v>
      </c>
      <c r="D12883" s="1" t="s">
        <v>0</v>
      </c>
      <c r="E12883" s="2">
        <v>0</v>
      </c>
      <c r="F12883" s="2">
        <v>0</v>
      </c>
      <c r="G12883" s="2">
        <v>0</v>
      </c>
      <c r="H12883" s="1" t="s">
        <v>0</v>
      </c>
      <c r="I12883" s="2">
        <v>0</v>
      </c>
      <c r="J12883" s="1">
        <v>46009.546851851854</v>
      </c>
    </row>
    <row r="12884" spans="1:10" x14ac:dyDescent="0.2">
      <c r="A12884" s="4" t="s">
        <v>1</v>
      </c>
      <c r="B1288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84" s="3" t="str">
        <f>HYPERLINK("https://otsuka-europe-crm.veevavault.com/ui/#object/sent_email__v/VBL000000011782", "SE-001397608")</f>
        <v>SE-001397608</v>
      </c>
      <c r="D12884" s="1" t="s">
        <v>0</v>
      </c>
      <c r="E12884" s="2">
        <v>0</v>
      </c>
      <c r="F12884" s="2">
        <v>0</v>
      </c>
      <c r="G12884" s="2">
        <v>0</v>
      </c>
      <c r="H12884" s="1" t="s">
        <v>0</v>
      </c>
      <c r="I12884" s="2">
        <v>0</v>
      </c>
      <c r="J12884" s="1">
        <v>46009.546886574077</v>
      </c>
    </row>
    <row r="12885" spans="1:10" x14ac:dyDescent="0.2">
      <c r="A12885" s="4" t="s">
        <v>1</v>
      </c>
      <c r="B1288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85" s="3" t="str">
        <f>HYPERLINK("https://otsuka-europe-crm.veevavault.com/ui/#object/sent_email__v/VBL000000011783", "SE-001397609")</f>
        <v>SE-001397609</v>
      </c>
      <c r="D12885" s="1" t="s">
        <v>0</v>
      </c>
      <c r="E12885" s="2">
        <v>0</v>
      </c>
      <c r="F12885" s="2">
        <v>0</v>
      </c>
      <c r="G12885" s="2">
        <v>0</v>
      </c>
      <c r="H12885" s="1" t="s">
        <v>0</v>
      </c>
      <c r="I12885" s="2">
        <v>0</v>
      </c>
      <c r="J12885" s="1">
        <v>46009.5469212963</v>
      </c>
    </row>
    <row r="12886" spans="1:10" x14ac:dyDescent="0.2">
      <c r="A12886" s="4" t="s">
        <v>1</v>
      </c>
      <c r="B1288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86" s="3" t="str">
        <f>HYPERLINK("https://otsuka-europe-crm.veevavault.com/ui/#object/sent_email__v/VBL000000011784", "SE-001397610")</f>
        <v>SE-001397610</v>
      </c>
      <c r="D12886" s="1" t="s">
        <v>0</v>
      </c>
      <c r="E12886" s="2">
        <v>0</v>
      </c>
      <c r="F12886" s="2">
        <v>0</v>
      </c>
      <c r="G12886" s="2">
        <v>0</v>
      </c>
      <c r="H12886" s="1" t="s">
        <v>0</v>
      </c>
      <c r="I12886" s="2">
        <v>0</v>
      </c>
      <c r="J12886" s="1">
        <v>46009.546967592592</v>
      </c>
    </row>
    <row r="12887" spans="1:10" x14ac:dyDescent="0.2">
      <c r="A12887" s="4" t="s">
        <v>1</v>
      </c>
      <c r="B1288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87" s="3" t="str">
        <f>HYPERLINK("https://otsuka-europe-crm.veevavault.com/ui/#object/sent_email__v/VBL000000011785", "SE-001397611")</f>
        <v>SE-001397611</v>
      </c>
      <c r="D12887" s="1" t="s">
        <v>0</v>
      </c>
      <c r="E12887" s="2">
        <v>0</v>
      </c>
      <c r="F12887" s="2">
        <v>0</v>
      </c>
      <c r="G12887" s="2">
        <v>0</v>
      </c>
      <c r="H12887" s="1" t="s">
        <v>0</v>
      </c>
      <c r="I12887" s="2">
        <v>0</v>
      </c>
      <c r="J12887" s="1">
        <v>46009.547002314815</v>
      </c>
    </row>
    <row r="12888" spans="1:10" x14ac:dyDescent="0.2">
      <c r="A12888" s="4" t="s">
        <v>1</v>
      </c>
      <c r="B1288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88" s="3" t="str">
        <f>HYPERLINK("https://otsuka-europe-crm.veevavault.com/ui/#object/sent_email__v/VBL000000011786", "SE-001397612")</f>
        <v>SE-001397612</v>
      </c>
      <c r="D12888" s="1" t="s">
        <v>0</v>
      </c>
      <c r="E12888" s="2">
        <v>0</v>
      </c>
      <c r="F12888" s="2">
        <v>0</v>
      </c>
      <c r="G12888" s="2">
        <v>0</v>
      </c>
      <c r="H12888" s="1" t="s">
        <v>0</v>
      </c>
      <c r="I12888" s="2">
        <v>0</v>
      </c>
      <c r="J12888" s="1">
        <v>46009.547037037039</v>
      </c>
    </row>
    <row r="12889" spans="1:10" x14ac:dyDescent="0.2">
      <c r="A12889" s="4" t="s">
        <v>1</v>
      </c>
      <c r="B1288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89" s="3" t="str">
        <f>HYPERLINK("https://otsuka-europe-crm.veevavault.com/ui/#object/sent_email__v/VBL000000011787", "SE-001397613")</f>
        <v>SE-001397613</v>
      </c>
      <c r="D12889" s="1" t="s">
        <v>0</v>
      </c>
      <c r="E12889" s="2">
        <v>0</v>
      </c>
      <c r="F12889" s="2">
        <v>0</v>
      </c>
      <c r="G12889" s="2">
        <v>0</v>
      </c>
      <c r="H12889" s="1" t="s">
        <v>0</v>
      </c>
      <c r="I12889" s="2">
        <v>0</v>
      </c>
      <c r="J12889" s="1">
        <v>46009.547083333331</v>
      </c>
    </row>
    <row r="12890" spans="1:10" x14ac:dyDescent="0.2">
      <c r="A12890" s="4" t="s">
        <v>1</v>
      </c>
      <c r="B1289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90" s="3" t="str">
        <f>HYPERLINK("https://otsuka-europe-crm.veevavault.com/ui/#object/sent_email__v/VBL000000011788", "SE-001397614")</f>
        <v>SE-001397614</v>
      </c>
      <c r="D12890" s="1">
        <v>46022.677060185182</v>
      </c>
      <c r="E12890" s="2">
        <v>1</v>
      </c>
      <c r="F12890" s="2">
        <v>1</v>
      </c>
      <c r="G12890" s="2">
        <v>0</v>
      </c>
      <c r="H12890" s="1" t="s">
        <v>0</v>
      </c>
      <c r="I12890" s="2">
        <v>0</v>
      </c>
      <c r="J12890" s="1">
        <v>46009.547118055554</v>
      </c>
    </row>
    <row r="12891" spans="1:10" x14ac:dyDescent="0.2">
      <c r="A12891" s="4" t="s">
        <v>1</v>
      </c>
      <c r="B1289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91" s="3" t="str">
        <f>HYPERLINK("https://otsuka-europe-crm.veevavault.com/ui/#object/sent_email__v/VBL000000011789", "SE-001397615")</f>
        <v>SE-001397615</v>
      </c>
      <c r="D12891" s="1" t="s">
        <v>0</v>
      </c>
      <c r="E12891" s="2">
        <v>0</v>
      </c>
      <c r="F12891" s="2">
        <v>0</v>
      </c>
      <c r="G12891" s="2">
        <v>0</v>
      </c>
      <c r="H12891" s="1" t="s">
        <v>0</v>
      </c>
      <c r="I12891" s="2">
        <v>0</v>
      </c>
      <c r="J12891" s="1">
        <v>46009.547152777777</v>
      </c>
    </row>
    <row r="12892" spans="1:10" x14ac:dyDescent="0.2">
      <c r="A12892" s="4" t="s">
        <v>1</v>
      </c>
      <c r="B1289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92" s="3" t="str">
        <f>HYPERLINK("https://otsuka-europe-crm.veevavault.com/ui/#object/sent_email__v/VBL000000011790", "SE-001397616")</f>
        <v>SE-001397616</v>
      </c>
      <c r="D12892" s="1" t="s">
        <v>0</v>
      </c>
      <c r="E12892" s="2">
        <v>0</v>
      </c>
      <c r="F12892" s="2">
        <v>0</v>
      </c>
      <c r="G12892" s="2">
        <v>0</v>
      </c>
      <c r="H12892" s="1" t="s">
        <v>0</v>
      </c>
      <c r="I12892" s="2">
        <v>0</v>
      </c>
      <c r="J12892" s="1">
        <v>46009.5471875</v>
      </c>
    </row>
    <row r="12893" spans="1:10" x14ac:dyDescent="0.2">
      <c r="A12893" s="4" t="s">
        <v>1</v>
      </c>
      <c r="B1289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93" s="3" t="str">
        <f>HYPERLINK("https://otsuka-europe-crm.veevavault.com/ui/#object/sent_email__v/VBL000000011791", "SE-001397617")</f>
        <v>SE-001397617</v>
      </c>
      <c r="D12893" s="1" t="s">
        <v>0</v>
      </c>
      <c r="E12893" s="2">
        <v>0</v>
      </c>
      <c r="F12893" s="2">
        <v>0</v>
      </c>
      <c r="G12893" s="2">
        <v>0</v>
      </c>
      <c r="H12893" s="1" t="s">
        <v>0</v>
      </c>
      <c r="I12893" s="2">
        <v>0</v>
      </c>
      <c r="J12893" s="1">
        <v>46009.547222222223</v>
      </c>
    </row>
    <row r="12894" spans="1:10" x14ac:dyDescent="0.2">
      <c r="A12894" s="4" t="s">
        <v>1</v>
      </c>
      <c r="B1289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94" s="3" t="str">
        <f>HYPERLINK("https://otsuka-europe-crm.veevavault.com/ui/#object/sent_email__v/VBL000000011792", "SE-001397618")</f>
        <v>SE-001397618</v>
      </c>
      <c r="D12894" s="1" t="s">
        <v>0</v>
      </c>
      <c r="E12894" s="2">
        <v>0</v>
      </c>
      <c r="F12894" s="2">
        <v>0</v>
      </c>
      <c r="G12894" s="2">
        <v>0</v>
      </c>
      <c r="H12894" s="1" t="s">
        <v>0</v>
      </c>
      <c r="I12894" s="2">
        <v>0</v>
      </c>
      <c r="J12894" s="1">
        <v>46009.547268518516</v>
      </c>
    </row>
    <row r="12895" spans="1:10" x14ac:dyDescent="0.2">
      <c r="A12895" s="4" t="s">
        <v>1</v>
      </c>
      <c r="B1289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95" s="3" t="str">
        <f>HYPERLINK("https://otsuka-europe-crm.veevavault.com/ui/#object/sent_email__v/VBL000000011793", "SE-001397619")</f>
        <v>SE-001397619</v>
      </c>
      <c r="D12895" s="1" t="s">
        <v>0</v>
      </c>
      <c r="E12895" s="2">
        <v>0</v>
      </c>
      <c r="F12895" s="2">
        <v>0</v>
      </c>
      <c r="G12895" s="2">
        <v>0</v>
      </c>
      <c r="H12895" s="1" t="s">
        <v>0</v>
      </c>
      <c r="I12895" s="2">
        <v>0</v>
      </c>
      <c r="J12895" s="1">
        <v>46009.547303240739</v>
      </c>
    </row>
    <row r="12896" spans="1:10" x14ac:dyDescent="0.2">
      <c r="A12896" s="4" t="s">
        <v>1</v>
      </c>
      <c r="B1289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96" s="3" t="str">
        <f>HYPERLINK("https://otsuka-europe-crm.veevavault.com/ui/#object/sent_email__v/VBL000000011794", "SE-001397620")</f>
        <v>SE-001397620</v>
      </c>
      <c r="D12896" s="1" t="s">
        <v>0</v>
      </c>
      <c r="E12896" s="2">
        <v>0</v>
      </c>
      <c r="F12896" s="2">
        <v>0</v>
      </c>
      <c r="G12896" s="2">
        <v>0</v>
      </c>
      <c r="H12896" s="1" t="s">
        <v>0</v>
      </c>
      <c r="I12896" s="2">
        <v>0</v>
      </c>
      <c r="J12896" s="1">
        <v>46009.547349537039</v>
      </c>
    </row>
    <row r="12897" spans="1:10" x14ac:dyDescent="0.2">
      <c r="A12897" s="4" t="s">
        <v>1</v>
      </c>
      <c r="B1289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97" s="3" t="str">
        <f>HYPERLINK("https://otsuka-europe-crm.veevavault.com/ui/#object/sent_email__v/VBL000000011795", "SE-001397621")</f>
        <v>SE-001397621</v>
      </c>
      <c r="D12897" s="1" t="s">
        <v>0</v>
      </c>
      <c r="E12897" s="2">
        <v>0</v>
      </c>
      <c r="F12897" s="2">
        <v>0</v>
      </c>
      <c r="G12897" s="2">
        <v>0</v>
      </c>
      <c r="H12897" s="1" t="s">
        <v>0</v>
      </c>
      <c r="I12897" s="2">
        <v>0</v>
      </c>
      <c r="J12897" s="1">
        <v>46009.547384259262</v>
      </c>
    </row>
    <row r="12898" spans="1:10" x14ac:dyDescent="0.2">
      <c r="A12898" s="4" t="s">
        <v>1</v>
      </c>
      <c r="B1289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98" s="3" t="str">
        <f>HYPERLINK("https://otsuka-europe-crm.veevavault.com/ui/#object/sent_email__v/VBL000000011796", "SE-001397622")</f>
        <v>SE-001397622</v>
      </c>
      <c r="D12898" s="1" t="s">
        <v>0</v>
      </c>
      <c r="E12898" s="2">
        <v>0</v>
      </c>
      <c r="F12898" s="2">
        <v>0</v>
      </c>
      <c r="G12898" s="2">
        <v>0</v>
      </c>
      <c r="H12898" s="1" t="s">
        <v>0</v>
      </c>
      <c r="I12898" s="2">
        <v>0</v>
      </c>
      <c r="J12898" s="1">
        <v>46009.547430555554</v>
      </c>
    </row>
    <row r="12899" spans="1:10" x14ac:dyDescent="0.2">
      <c r="A12899" s="4" t="s">
        <v>1</v>
      </c>
      <c r="B1289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899" s="3" t="str">
        <f>HYPERLINK("https://otsuka-europe-crm.veevavault.com/ui/#object/sent_email__v/VBL000000011797", "SE-001397623")</f>
        <v>SE-001397623</v>
      </c>
      <c r="D12899" s="1" t="s">
        <v>0</v>
      </c>
      <c r="E12899" s="2">
        <v>0</v>
      </c>
      <c r="F12899" s="2">
        <v>0</v>
      </c>
      <c r="G12899" s="2">
        <v>0</v>
      </c>
      <c r="H12899" s="1" t="s">
        <v>0</v>
      </c>
      <c r="I12899" s="2">
        <v>0</v>
      </c>
      <c r="J12899" s="1">
        <v>46009.547465277778</v>
      </c>
    </row>
    <row r="12900" spans="1:10" x14ac:dyDescent="0.2">
      <c r="A12900" s="4" t="s">
        <v>1</v>
      </c>
      <c r="B1290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00" s="3" t="str">
        <f>HYPERLINK("https://otsuka-europe-crm.veevavault.com/ui/#object/sent_email__v/VBL000000011798", "SE-001397624")</f>
        <v>SE-001397624</v>
      </c>
      <c r="D12900" s="1" t="s">
        <v>0</v>
      </c>
      <c r="E12900" s="2">
        <v>0</v>
      </c>
      <c r="F12900" s="2">
        <v>0</v>
      </c>
      <c r="G12900" s="2">
        <v>0</v>
      </c>
      <c r="H12900" s="1" t="s">
        <v>0</v>
      </c>
      <c r="I12900" s="2">
        <v>0</v>
      </c>
      <c r="J12900" s="1">
        <v>46009.547511574077</v>
      </c>
    </row>
    <row r="12901" spans="1:10" x14ac:dyDescent="0.2">
      <c r="A12901" s="4" t="s">
        <v>1</v>
      </c>
      <c r="B1290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01" s="3" t="str">
        <f>HYPERLINK("https://otsuka-europe-crm.veevavault.com/ui/#object/sent_email__v/VBL000000011799", "SE-001397625")</f>
        <v>SE-001397625</v>
      </c>
      <c r="D12901" s="1" t="s">
        <v>0</v>
      </c>
      <c r="E12901" s="2">
        <v>0</v>
      </c>
      <c r="F12901" s="2">
        <v>0</v>
      </c>
      <c r="G12901" s="2">
        <v>0</v>
      </c>
      <c r="H12901" s="1" t="s">
        <v>0</v>
      </c>
      <c r="I12901" s="2">
        <v>0</v>
      </c>
      <c r="J12901" s="1">
        <v>46009.547546296293</v>
      </c>
    </row>
    <row r="12902" spans="1:10" x14ac:dyDescent="0.2">
      <c r="A12902" s="4" t="s">
        <v>1</v>
      </c>
      <c r="B1290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02" s="3" t="str">
        <f>HYPERLINK("https://otsuka-europe-crm.veevavault.com/ui/#object/sent_email__v/VBL000000011800", "SE-001397626")</f>
        <v>SE-001397626</v>
      </c>
      <c r="D12902" s="1" t="s">
        <v>0</v>
      </c>
      <c r="E12902" s="2">
        <v>0</v>
      </c>
      <c r="F12902" s="2">
        <v>0</v>
      </c>
      <c r="G12902" s="2">
        <v>0</v>
      </c>
      <c r="H12902" s="1" t="s">
        <v>0</v>
      </c>
      <c r="I12902" s="2">
        <v>0</v>
      </c>
      <c r="J12902" s="1">
        <v>46009.547581018516</v>
      </c>
    </row>
    <row r="12903" spans="1:10" x14ac:dyDescent="0.2">
      <c r="A12903" s="4" t="s">
        <v>1</v>
      </c>
      <c r="B1290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03" s="3" t="str">
        <f>HYPERLINK("https://otsuka-europe-crm.veevavault.com/ui/#object/sent_email__v/VBL000000013430", "SE-001398530")</f>
        <v>SE-001398530</v>
      </c>
      <c r="D12903" s="1" t="s">
        <v>0</v>
      </c>
      <c r="E12903" s="2">
        <v>0</v>
      </c>
      <c r="F12903" s="2">
        <v>0</v>
      </c>
      <c r="G12903" s="2">
        <v>0</v>
      </c>
      <c r="H12903" s="1" t="s">
        <v>0</v>
      </c>
      <c r="I12903" s="2">
        <v>0</v>
      </c>
      <c r="J12903" s="1">
        <v>46013.379583333335</v>
      </c>
    </row>
    <row r="12904" spans="1:10" x14ac:dyDescent="0.2">
      <c r="A12904" s="4" t="s">
        <v>1</v>
      </c>
      <c r="B1290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04" s="3" t="str">
        <f>HYPERLINK("https://otsuka-europe-crm.veevavault.com/ui/#object/sent_email__v/VBL000000013431", "SE-001398531")</f>
        <v>SE-001398531</v>
      </c>
      <c r="D12904" s="1" t="s">
        <v>0</v>
      </c>
      <c r="E12904" s="2">
        <v>0</v>
      </c>
      <c r="F12904" s="2">
        <v>0</v>
      </c>
      <c r="G12904" s="2">
        <v>0</v>
      </c>
      <c r="H12904" s="1" t="s">
        <v>0</v>
      </c>
      <c r="I12904" s="2">
        <v>0</v>
      </c>
      <c r="J12904" s="1">
        <v>46013.379594907405</v>
      </c>
    </row>
    <row r="12905" spans="1:10" x14ac:dyDescent="0.2">
      <c r="A12905" s="4" t="s">
        <v>1</v>
      </c>
      <c r="B1290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05" s="3" t="str">
        <f>HYPERLINK("https://otsuka-europe-crm.veevavault.com/ui/#object/sent_email__v/VBL000000013432", "SE-001398532")</f>
        <v>SE-001398532</v>
      </c>
      <c r="D12905" s="1" t="s">
        <v>0</v>
      </c>
      <c r="E12905" s="2">
        <v>0</v>
      </c>
      <c r="F12905" s="2">
        <v>0</v>
      </c>
      <c r="G12905" s="2">
        <v>0</v>
      </c>
      <c r="H12905" s="1" t="s">
        <v>0</v>
      </c>
      <c r="I12905" s="2">
        <v>0</v>
      </c>
      <c r="J12905" s="1">
        <v>46013.379594907405</v>
      </c>
    </row>
    <row r="12906" spans="1:10" x14ac:dyDescent="0.2">
      <c r="A12906" s="4" t="s">
        <v>1</v>
      </c>
      <c r="B1290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06" s="3" t="str">
        <f>HYPERLINK("https://otsuka-europe-crm.veevavault.com/ui/#object/sent_email__v/VBL000000013433", "SE-001398533")</f>
        <v>SE-001398533</v>
      </c>
      <c r="D12906" s="1" t="s">
        <v>0</v>
      </c>
      <c r="E12906" s="2">
        <v>0</v>
      </c>
      <c r="F12906" s="2">
        <v>0</v>
      </c>
      <c r="G12906" s="2">
        <v>0</v>
      </c>
      <c r="H12906" s="1" t="s">
        <v>0</v>
      </c>
      <c r="I12906" s="2">
        <v>0</v>
      </c>
      <c r="J12906" s="1">
        <v>46013.379594907405</v>
      </c>
    </row>
    <row r="12907" spans="1:10" x14ac:dyDescent="0.2">
      <c r="A12907" s="4" t="s">
        <v>1</v>
      </c>
      <c r="B1290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07" s="3" t="str">
        <f>HYPERLINK("https://otsuka-europe-crm.veevavault.com/ui/#object/sent_email__v/VBL000000013434", "SE-001398534")</f>
        <v>SE-001398534</v>
      </c>
      <c r="D12907" s="1" t="s">
        <v>0</v>
      </c>
      <c r="E12907" s="2">
        <v>0</v>
      </c>
      <c r="F12907" s="2">
        <v>0</v>
      </c>
      <c r="G12907" s="2">
        <v>0</v>
      </c>
      <c r="H12907" s="1" t="s">
        <v>0</v>
      </c>
      <c r="I12907" s="2">
        <v>0</v>
      </c>
      <c r="J12907" s="1">
        <v>46013.379594907405</v>
      </c>
    </row>
    <row r="12908" spans="1:10" x14ac:dyDescent="0.2">
      <c r="A12908" s="4" t="s">
        <v>1</v>
      </c>
      <c r="B1290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08" s="3" t="str">
        <f>HYPERLINK("https://otsuka-europe-crm.veevavault.com/ui/#object/sent_email__v/VBL000000013435", "SE-001398535")</f>
        <v>SE-001398535</v>
      </c>
      <c r="D12908" s="1" t="s">
        <v>0</v>
      </c>
      <c r="E12908" s="2">
        <v>0</v>
      </c>
      <c r="F12908" s="2">
        <v>0</v>
      </c>
      <c r="G12908" s="2">
        <v>0</v>
      </c>
      <c r="H12908" s="1" t="s">
        <v>0</v>
      </c>
      <c r="I12908" s="2">
        <v>0</v>
      </c>
      <c r="J12908" s="1">
        <v>46013.379594907405</v>
      </c>
    </row>
    <row r="12909" spans="1:10" x14ac:dyDescent="0.2">
      <c r="A12909" s="4" t="s">
        <v>1</v>
      </c>
      <c r="B1290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09" s="3" t="str">
        <f>HYPERLINK("https://otsuka-europe-crm.veevavault.com/ui/#object/sent_email__v/VBL000000013436", "SE-001398536")</f>
        <v>SE-001398536</v>
      </c>
      <c r="D12909" s="1" t="s">
        <v>0</v>
      </c>
      <c r="E12909" s="2">
        <v>0</v>
      </c>
      <c r="F12909" s="2">
        <v>0</v>
      </c>
      <c r="G12909" s="2">
        <v>0</v>
      </c>
      <c r="H12909" s="1" t="s">
        <v>0</v>
      </c>
      <c r="I12909" s="2">
        <v>0</v>
      </c>
      <c r="J12909" s="1">
        <v>46013.379594907405</v>
      </c>
    </row>
    <row r="12910" spans="1:10" x14ac:dyDescent="0.2">
      <c r="A12910" s="4" t="s">
        <v>1</v>
      </c>
      <c r="B1291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10" s="3" t="str">
        <f>HYPERLINK("https://otsuka-europe-crm.veevavault.com/ui/#object/sent_email__v/VBL000000013437", "SE-001398537")</f>
        <v>SE-001398537</v>
      </c>
      <c r="D12910" s="1" t="s">
        <v>0</v>
      </c>
      <c r="E12910" s="2">
        <v>0</v>
      </c>
      <c r="F12910" s="2">
        <v>0</v>
      </c>
      <c r="G12910" s="2">
        <v>0</v>
      </c>
      <c r="H12910" s="1" t="s">
        <v>0</v>
      </c>
      <c r="I12910" s="2">
        <v>0</v>
      </c>
      <c r="J12910" s="1">
        <v>46013.379606481481</v>
      </c>
    </row>
    <row r="12911" spans="1:10" x14ac:dyDescent="0.2">
      <c r="A12911" s="4" t="s">
        <v>1</v>
      </c>
      <c r="B1291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11" s="3" t="str">
        <f>HYPERLINK("https://otsuka-europe-crm.veevavault.com/ui/#object/sent_email__v/VBL000000013438", "SE-001398538")</f>
        <v>SE-001398538</v>
      </c>
      <c r="D12911" s="1" t="s">
        <v>0</v>
      </c>
      <c r="E12911" s="2">
        <v>0</v>
      </c>
      <c r="F12911" s="2">
        <v>0</v>
      </c>
      <c r="G12911" s="2">
        <v>0</v>
      </c>
      <c r="H12911" s="1" t="s">
        <v>0</v>
      </c>
      <c r="I12911" s="2">
        <v>0</v>
      </c>
      <c r="J12911" s="1">
        <v>46013.379594907405</v>
      </c>
    </row>
    <row r="12912" spans="1:10" x14ac:dyDescent="0.2">
      <c r="A12912" s="4" t="s">
        <v>1</v>
      </c>
      <c r="B1291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12" s="3" t="str">
        <f>HYPERLINK("https://otsuka-europe-crm.veevavault.com/ui/#object/sent_email__v/VBL000000013439", "SE-001398539")</f>
        <v>SE-001398539</v>
      </c>
      <c r="D12912" s="1" t="s">
        <v>0</v>
      </c>
      <c r="E12912" s="2">
        <v>0</v>
      </c>
      <c r="F12912" s="2">
        <v>0</v>
      </c>
      <c r="G12912" s="2">
        <v>0</v>
      </c>
      <c r="H12912" s="1" t="s">
        <v>0</v>
      </c>
      <c r="I12912" s="2">
        <v>0</v>
      </c>
      <c r="J12912" s="1">
        <v>46013.379594907405</v>
      </c>
    </row>
    <row r="12913" spans="1:10" x14ac:dyDescent="0.2">
      <c r="A12913" s="4" t="s">
        <v>1</v>
      </c>
      <c r="B1291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13" s="3" t="str">
        <f>HYPERLINK("https://otsuka-europe-crm.veevavault.com/ui/#object/sent_email__v/VBL000000013440", "SE-001398540")</f>
        <v>SE-001398540</v>
      </c>
      <c r="D12913" s="1" t="s">
        <v>0</v>
      </c>
      <c r="E12913" s="2">
        <v>0</v>
      </c>
      <c r="F12913" s="2">
        <v>0</v>
      </c>
      <c r="G12913" s="2">
        <v>0</v>
      </c>
      <c r="H12913" s="1" t="s">
        <v>0</v>
      </c>
      <c r="I12913" s="2">
        <v>0</v>
      </c>
      <c r="J12913" s="1">
        <v>46013.379594907405</v>
      </c>
    </row>
    <row r="12914" spans="1:10" x14ac:dyDescent="0.2">
      <c r="A12914" s="4" t="s">
        <v>1</v>
      </c>
      <c r="B1291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14" s="3" t="str">
        <f>HYPERLINK("https://otsuka-europe-crm.veevavault.com/ui/#object/sent_email__v/VBL000000013441", "SE-001398541")</f>
        <v>SE-001398541</v>
      </c>
      <c r="D12914" s="1" t="s">
        <v>0</v>
      </c>
      <c r="E12914" s="2">
        <v>0</v>
      </c>
      <c r="F12914" s="2">
        <v>0</v>
      </c>
      <c r="G12914" s="2">
        <v>0</v>
      </c>
      <c r="H12914" s="1" t="s">
        <v>0</v>
      </c>
      <c r="I12914" s="2">
        <v>0</v>
      </c>
      <c r="J12914" s="1">
        <v>46013.379606481481</v>
      </c>
    </row>
    <row r="12915" spans="1:10" x14ac:dyDescent="0.2">
      <c r="A12915" s="4" t="s">
        <v>1</v>
      </c>
      <c r="B1291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15" s="3" t="str">
        <f>HYPERLINK("https://otsuka-europe-crm.veevavault.com/ui/#object/sent_email__v/VBL000000013442", "SE-001398542")</f>
        <v>SE-001398542</v>
      </c>
      <c r="D12915" s="1" t="s">
        <v>0</v>
      </c>
      <c r="E12915" s="2">
        <v>0</v>
      </c>
      <c r="F12915" s="2">
        <v>0</v>
      </c>
      <c r="G12915" s="2">
        <v>0</v>
      </c>
      <c r="H12915" s="1" t="s">
        <v>0</v>
      </c>
      <c r="I12915" s="2">
        <v>0</v>
      </c>
      <c r="J12915" s="1">
        <v>46013.379606481481</v>
      </c>
    </row>
    <row r="12916" spans="1:10" x14ac:dyDescent="0.2">
      <c r="A12916" s="4" t="s">
        <v>1</v>
      </c>
      <c r="B1291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16" s="3" t="str">
        <f>HYPERLINK("https://otsuka-europe-crm.veevavault.com/ui/#object/sent_email__v/VBL000000013443", "SE-001398543")</f>
        <v>SE-001398543</v>
      </c>
      <c r="D12916" s="1" t="s">
        <v>0</v>
      </c>
      <c r="E12916" s="2">
        <v>0</v>
      </c>
      <c r="F12916" s="2">
        <v>0</v>
      </c>
      <c r="G12916" s="2">
        <v>0</v>
      </c>
      <c r="H12916" s="1" t="s">
        <v>0</v>
      </c>
      <c r="I12916" s="2">
        <v>0</v>
      </c>
      <c r="J12916" s="1">
        <v>46013.379606481481</v>
      </c>
    </row>
    <row r="12917" spans="1:10" x14ac:dyDescent="0.2">
      <c r="A12917" s="4" t="s">
        <v>1</v>
      </c>
      <c r="B1291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17" s="3" t="str">
        <f>HYPERLINK("https://otsuka-europe-crm.veevavault.com/ui/#object/sent_email__v/VBL000000013444", "SE-001398544")</f>
        <v>SE-001398544</v>
      </c>
      <c r="D12917" s="1" t="s">
        <v>0</v>
      </c>
      <c r="E12917" s="2">
        <v>0</v>
      </c>
      <c r="F12917" s="2">
        <v>0</v>
      </c>
      <c r="G12917" s="2">
        <v>0</v>
      </c>
      <c r="H12917" s="1" t="s">
        <v>0</v>
      </c>
      <c r="I12917" s="2">
        <v>0</v>
      </c>
      <c r="J12917" s="1">
        <v>46013.379606481481</v>
      </c>
    </row>
    <row r="12918" spans="1:10" x14ac:dyDescent="0.2">
      <c r="A12918" s="4" t="s">
        <v>1</v>
      </c>
      <c r="B1291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18" s="3" t="str">
        <f>HYPERLINK("https://otsuka-europe-crm.veevavault.com/ui/#object/sent_email__v/VBL000000013445", "SE-001398545")</f>
        <v>SE-001398545</v>
      </c>
      <c r="D12918" s="1" t="s">
        <v>0</v>
      </c>
      <c r="E12918" s="2">
        <v>0</v>
      </c>
      <c r="F12918" s="2">
        <v>0</v>
      </c>
      <c r="G12918" s="2">
        <v>0</v>
      </c>
      <c r="H12918" s="1" t="s">
        <v>0</v>
      </c>
      <c r="I12918" s="2">
        <v>0</v>
      </c>
      <c r="J12918" s="1">
        <v>46013.379606481481</v>
      </c>
    </row>
    <row r="12919" spans="1:10" x14ac:dyDescent="0.2">
      <c r="A12919" s="4" t="s">
        <v>1</v>
      </c>
      <c r="B1291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19" s="3" t="str">
        <f>HYPERLINK("https://otsuka-europe-crm.veevavault.com/ui/#object/sent_email__v/VBL000000013446", "SE-001398546")</f>
        <v>SE-001398546</v>
      </c>
      <c r="D12919" s="1" t="s">
        <v>0</v>
      </c>
      <c r="E12919" s="2">
        <v>0</v>
      </c>
      <c r="F12919" s="2">
        <v>0</v>
      </c>
      <c r="G12919" s="2">
        <v>0</v>
      </c>
      <c r="H12919" s="1" t="s">
        <v>0</v>
      </c>
      <c r="I12919" s="2">
        <v>0</v>
      </c>
      <c r="J12919" s="1">
        <v>46013.379606481481</v>
      </c>
    </row>
    <row r="12920" spans="1:10" x14ac:dyDescent="0.2">
      <c r="A12920" s="4" t="s">
        <v>1</v>
      </c>
      <c r="B1292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20" s="3" t="str">
        <f>HYPERLINK("https://otsuka-europe-crm.veevavault.com/ui/#object/sent_email__v/VBL000000013447", "SE-001398547")</f>
        <v>SE-001398547</v>
      </c>
      <c r="D12920" s="1" t="s">
        <v>0</v>
      </c>
      <c r="E12920" s="2">
        <v>0</v>
      </c>
      <c r="F12920" s="2">
        <v>0</v>
      </c>
      <c r="G12920" s="2">
        <v>0</v>
      </c>
      <c r="H12920" s="1" t="s">
        <v>0</v>
      </c>
      <c r="I12920" s="2">
        <v>0</v>
      </c>
      <c r="J12920" s="1">
        <v>46013.379606481481</v>
      </c>
    </row>
    <row r="12921" spans="1:10" x14ac:dyDescent="0.2">
      <c r="A12921" s="4" t="s">
        <v>1</v>
      </c>
      <c r="B1292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21" s="3" t="str">
        <f>HYPERLINK("https://otsuka-europe-crm.veevavault.com/ui/#object/sent_email__v/VBL000000013448", "SE-001398548")</f>
        <v>SE-001398548</v>
      </c>
      <c r="D12921" s="1" t="s">
        <v>0</v>
      </c>
      <c r="E12921" s="2">
        <v>0</v>
      </c>
      <c r="F12921" s="2">
        <v>0</v>
      </c>
      <c r="G12921" s="2">
        <v>0</v>
      </c>
      <c r="H12921" s="1" t="s">
        <v>0</v>
      </c>
      <c r="I12921" s="2">
        <v>0</v>
      </c>
      <c r="J12921" s="1">
        <v>46013.379606481481</v>
      </c>
    </row>
    <row r="12922" spans="1:10" x14ac:dyDescent="0.2">
      <c r="A12922" s="4" t="s">
        <v>1</v>
      </c>
      <c r="B1292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22" s="3" t="str">
        <f>HYPERLINK("https://otsuka-europe-crm.veevavault.com/ui/#object/sent_email__v/VBL000000013449", "SE-001398549")</f>
        <v>SE-001398549</v>
      </c>
      <c r="D12922" s="1" t="s">
        <v>0</v>
      </c>
      <c r="E12922" s="2">
        <v>0</v>
      </c>
      <c r="F12922" s="2">
        <v>0</v>
      </c>
      <c r="G12922" s="2">
        <v>0</v>
      </c>
      <c r="H12922" s="1" t="s">
        <v>0</v>
      </c>
      <c r="I12922" s="2">
        <v>0</v>
      </c>
      <c r="J12922" s="1">
        <v>46013.379606481481</v>
      </c>
    </row>
    <row r="12923" spans="1:10" x14ac:dyDescent="0.2">
      <c r="A12923" s="4" t="s">
        <v>1</v>
      </c>
      <c r="B1292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23" s="3" t="str">
        <f>HYPERLINK("https://otsuka-europe-crm.veevavault.com/ui/#object/sent_email__v/VBL000000013450", "SE-001398550")</f>
        <v>SE-001398550</v>
      </c>
      <c r="D12923" s="1" t="s">
        <v>0</v>
      </c>
      <c r="E12923" s="2">
        <v>0</v>
      </c>
      <c r="F12923" s="2">
        <v>0</v>
      </c>
      <c r="G12923" s="2">
        <v>0</v>
      </c>
      <c r="H12923" s="1" t="s">
        <v>0</v>
      </c>
      <c r="I12923" s="2">
        <v>0</v>
      </c>
      <c r="J12923" s="1">
        <v>46013.379606481481</v>
      </c>
    </row>
    <row r="12924" spans="1:10" x14ac:dyDescent="0.2">
      <c r="A12924" s="4" t="s">
        <v>1</v>
      </c>
      <c r="B1292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24" s="3" t="str">
        <f>HYPERLINK("https://otsuka-europe-crm.veevavault.com/ui/#object/sent_email__v/VBL000000013451", "SE-001398551")</f>
        <v>SE-001398551</v>
      </c>
      <c r="D12924" s="1" t="s">
        <v>0</v>
      </c>
      <c r="E12924" s="2">
        <v>0</v>
      </c>
      <c r="F12924" s="2">
        <v>0</v>
      </c>
      <c r="G12924" s="2">
        <v>0</v>
      </c>
      <c r="H12924" s="1" t="s">
        <v>0</v>
      </c>
      <c r="I12924" s="2">
        <v>0</v>
      </c>
      <c r="J12924" s="1">
        <v>46013.379606481481</v>
      </c>
    </row>
    <row r="12925" spans="1:10" x14ac:dyDescent="0.2">
      <c r="A12925" s="4" t="s">
        <v>1</v>
      </c>
      <c r="B1292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25" s="3" t="str">
        <f>HYPERLINK("https://otsuka-europe-crm.veevavault.com/ui/#object/sent_email__v/VBL000000013452", "SE-001398552")</f>
        <v>SE-001398552</v>
      </c>
      <c r="D12925" s="1" t="s">
        <v>0</v>
      </c>
      <c r="E12925" s="2">
        <v>0</v>
      </c>
      <c r="F12925" s="2">
        <v>0</v>
      </c>
      <c r="G12925" s="2">
        <v>0</v>
      </c>
      <c r="H12925" s="1" t="s">
        <v>0</v>
      </c>
      <c r="I12925" s="2">
        <v>0</v>
      </c>
      <c r="J12925" s="1">
        <v>46013.379618055558</v>
      </c>
    </row>
    <row r="12926" spans="1:10" x14ac:dyDescent="0.2">
      <c r="A12926" s="4" t="s">
        <v>1</v>
      </c>
      <c r="B1292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26" s="3" t="str">
        <f>HYPERLINK("https://otsuka-europe-crm.veevavault.com/ui/#object/sent_email__v/VBL000000012273", "SE-001398554")</f>
        <v>SE-001398554</v>
      </c>
      <c r="D12926" s="1" t="s">
        <v>0</v>
      </c>
      <c r="E12926" s="2">
        <v>0</v>
      </c>
      <c r="F12926" s="2">
        <v>0</v>
      </c>
      <c r="G12926" s="2">
        <v>0</v>
      </c>
      <c r="H12926" s="1" t="s">
        <v>0</v>
      </c>
      <c r="I12926" s="2">
        <v>0</v>
      </c>
      <c r="J12926" s="1">
        <v>46013.381597222222</v>
      </c>
    </row>
    <row r="12927" spans="1:10" x14ac:dyDescent="0.2">
      <c r="A12927" s="4" t="s">
        <v>1</v>
      </c>
      <c r="B1292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27" s="3" t="str">
        <f>HYPERLINK("https://otsuka-europe-crm.veevavault.com/ui/#object/sent_email__v/VBL000000012274", "SE-001398555")</f>
        <v>SE-001398555</v>
      </c>
      <c r="D12927" s="1" t="s">
        <v>0</v>
      </c>
      <c r="E12927" s="2">
        <v>0</v>
      </c>
      <c r="F12927" s="2">
        <v>0</v>
      </c>
      <c r="G12927" s="2">
        <v>0</v>
      </c>
      <c r="H12927" s="1" t="s">
        <v>0</v>
      </c>
      <c r="I12927" s="2">
        <v>0</v>
      </c>
      <c r="J12927" s="1">
        <v>46013.381608796299</v>
      </c>
    </row>
    <row r="12928" spans="1:10" x14ac:dyDescent="0.2">
      <c r="A12928" s="4" t="s">
        <v>1</v>
      </c>
      <c r="B1292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28" s="3" t="str">
        <f>HYPERLINK("https://otsuka-europe-crm.veevavault.com/ui/#object/sent_email__v/VBL000000012275", "SE-001398556")</f>
        <v>SE-001398556</v>
      </c>
      <c r="D12928" s="1" t="s">
        <v>0</v>
      </c>
      <c r="E12928" s="2">
        <v>0</v>
      </c>
      <c r="F12928" s="2">
        <v>0</v>
      </c>
      <c r="G12928" s="2">
        <v>0</v>
      </c>
      <c r="H12928" s="1" t="s">
        <v>0</v>
      </c>
      <c r="I12928" s="2">
        <v>0</v>
      </c>
      <c r="J12928" s="1">
        <v>46013.381608796299</v>
      </c>
    </row>
    <row r="12929" spans="1:10" x14ac:dyDescent="0.2">
      <c r="A12929" s="4" t="s">
        <v>1</v>
      </c>
      <c r="B1292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29" s="3" t="str">
        <f>HYPERLINK("https://otsuka-europe-crm.veevavault.com/ui/#object/sent_email__v/VBL000000012276", "SE-001398557")</f>
        <v>SE-001398557</v>
      </c>
      <c r="D12929" s="1" t="s">
        <v>0</v>
      </c>
      <c r="E12929" s="2">
        <v>0</v>
      </c>
      <c r="F12929" s="2">
        <v>0</v>
      </c>
      <c r="G12929" s="2">
        <v>0</v>
      </c>
      <c r="H12929" s="1" t="s">
        <v>0</v>
      </c>
      <c r="I12929" s="2">
        <v>0</v>
      </c>
      <c r="J12929" s="1">
        <v>46013.381597222222</v>
      </c>
    </row>
    <row r="12930" spans="1:10" x14ac:dyDescent="0.2">
      <c r="A12930" s="4" t="s">
        <v>1</v>
      </c>
      <c r="B1293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30" s="3" t="str">
        <f>HYPERLINK("https://otsuka-europe-crm.veevavault.com/ui/#object/sent_email__v/VBL000000012277", "SE-001398558")</f>
        <v>SE-001398558</v>
      </c>
      <c r="D12930" s="1" t="s">
        <v>0</v>
      </c>
      <c r="E12930" s="2">
        <v>0</v>
      </c>
      <c r="F12930" s="2">
        <v>0</v>
      </c>
      <c r="G12930" s="2">
        <v>0</v>
      </c>
      <c r="H12930" s="1" t="s">
        <v>0</v>
      </c>
      <c r="I12930" s="2">
        <v>0</v>
      </c>
      <c r="J12930" s="1">
        <v>46013.381597222222</v>
      </c>
    </row>
    <row r="12931" spans="1:10" x14ac:dyDescent="0.2">
      <c r="A12931" s="4" t="s">
        <v>1</v>
      </c>
      <c r="B1293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31" s="3" t="str">
        <f>HYPERLINK("https://otsuka-europe-crm.veevavault.com/ui/#object/sent_email__v/VBL000000012278", "SE-001398559")</f>
        <v>SE-001398559</v>
      </c>
      <c r="D12931" s="1" t="s">
        <v>0</v>
      </c>
      <c r="E12931" s="2">
        <v>0</v>
      </c>
      <c r="F12931" s="2">
        <v>0</v>
      </c>
      <c r="G12931" s="2">
        <v>0</v>
      </c>
      <c r="H12931" s="1" t="s">
        <v>0</v>
      </c>
      <c r="I12931" s="2">
        <v>0</v>
      </c>
      <c r="J12931" s="1">
        <v>46013.381608796299</v>
      </c>
    </row>
    <row r="12932" spans="1:10" x14ac:dyDescent="0.2">
      <c r="A12932" s="4" t="s">
        <v>1</v>
      </c>
      <c r="B1293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32" s="3" t="str">
        <f>HYPERLINK("https://otsuka-europe-crm.veevavault.com/ui/#object/sent_email__v/VBL000000012279", "SE-001398560")</f>
        <v>SE-001398560</v>
      </c>
      <c r="D12932" s="1" t="s">
        <v>0</v>
      </c>
      <c r="E12932" s="2">
        <v>0</v>
      </c>
      <c r="F12932" s="2">
        <v>0</v>
      </c>
      <c r="G12932" s="2">
        <v>0</v>
      </c>
      <c r="H12932" s="1" t="s">
        <v>0</v>
      </c>
      <c r="I12932" s="2">
        <v>0</v>
      </c>
      <c r="J12932" s="1">
        <v>46013.381608796299</v>
      </c>
    </row>
    <row r="12933" spans="1:10" x14ac:dyDescent="0.2">
      <c r="A12933" s="4" t="s">
        <v>1</v>
      </c>
      <c r="B1293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33" s="3" t="str">
        <f>HYPERLINK("https://otsuka-europe-crm.veevavault.com/ui/#object/sent_email__v/VBL000000012280", "SE-001398561")</f>
        <v>SE-001398561</v>
      </c>
      <c r="D12933" s="1" t="s">
        <v>0</v>
      </c>
      <c r="E12933" s="2">
        <v>0</v>
      </c>
      <c r="F12933" s="2">
        <v>0</v>
      </c>
      <c r="G12933" s="2">
        <v>0</v>
      </c>
      <c r="H12933" s="1" t="s">
        <v>0</v>
      </c>
      <c r="I12933" s="2">
        <v>0</v>
      </c>
      <c r="J12933" s="1">
        <v>46013.381608796299</v>
      </c>
    </row>
    <row r="12934" spans="1:10" x14ac:dyDescent="0.2">
      <c r="A12934" s="4" t="s">
        <v>1</v>
      </c>
      <c r="B1293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34" s="3" t="str">
        <f>HYPERLINK("https://otsuka-europe-crm.veevavault.com/ui/#object/sent_email__v/VBL000000012281", "SE-001398562")</f>
        <v>SE-001398562</v>
      </c>
      <c r="D12934" s="1" t="s">
        <v>0</v>
      </c>
      <c r="E12934" s="2">
        <v>0</v>
      </c>
      <c r="F12934" s="2">
        <v>0</v>
      </c>
      <c r="G12934" s="2">
        <v>0</v>
      </c>
      <c r="H12934" s="1" t="s">
        <v>0</v>
      </c>
      <c r="I12934" s="2">
        <v>0</v>
      </c>
      <c r="J12934" s="1">
        <v>46013.381608796299</v>
      </c>
    </row>
    <row r="12935" spans="1:10" x14ac:dyDescent="0.2">
      <c r="A12935" s="4" t="s">
        <v>1</v>
      </c>
      <c r="B1293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35" s="3" t="str">
        <f>HYPERLINK("https://otsuka-europe-crm.veevavault.com/ui/#object/sent_email__v/VBL000000012282", "SE-001398563")</f>
        <v>SE-001398563</v>
      </c>
      <c r="D12935" s="1" t="s">
        <v>0</v>
      </c>
      <c r="E12935" s="2">
        <v>0</v>
      </c>
      <c r="F12935" s="2">
        <v>0</v>
      </c>
      <c r="G12935" s="2">
        <v>0</v>
      </c>
      <c r="H12935" s="1" t="s">
        <v>0</v>
      </c>
      <c r="I12935" s="2">
        <v>0</v>
      </c>
      <c r="J12935" s="1">
        <v>46013.381608796299</v>
      </c>
    </row>
    <row r="12936" spans="1:10" x14ac:dyDescent="0.2">
      <c r="A12936" s="4" t="s">
        <v>1</v>
      </c>
      <c r="B1293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36" s="3" t="str">
        <f>HYPERLINK("https://otsuka-europe-crm.veevavault.com/ui/#object/sent_email__v/VBL000000012283", "SE-001398564")</f>
        <v>SE-001398564</v>
      </c>
      <c r="D12936" s="1" t="s">
        <v>0</v>
      </c>
      <c r="E12936" s="2">
        <v>0</v>
      </c>
      <c r="F12936" s="2">
        <v>0</v>
      </c>
      <c r="G12936" s="2">
        <v>0</v>
      </c>
      <c r="H12936" s="1" t="s">
        <v>0</v>
      </c>
      <c r="I12936" s="2">
        <v>0</v>
      </c>
      <c r="J12936" s="1">
        <v>46013.381608796299</v>
      </c>
    </row>
    <row r="12937" spans="1:10" x14ac:dyDescent="0.2">
      <c r="A12937" s="4" t="s">
        <v>1</v>
      </c>
      <c r="B1293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37" s="3" t="str">
        <f>HYPERLINK("https://otsuka-europe-crm.veevavault.com/ui/#object/sent_email__v/VBL000000012284", "SE-001398565")</f>
        <v>SE-001398565</v>
      </c>
      <c r="D12937" s="1" t="s">
        <v>0</v>
      </c>
      <c r="E12937" s="2">
        <v>0</v>
      </c>
      <c r="F12937" s="2">
        <v>0</v>
      </c>
      <c r="G12937" s="2">
        <v>0</v>
      </c>
      <c r="H12937" s="1" t="s">
        <v>0</v>
      </c>
      <c r="I12937" s="2">
        <v>0</v>
      </c>
      <c r="J12937" s="1">
        <v>46013.381608796299</v>
      </c>
    </row>
    <row r="12938" spans="1:10" x14ac:dyDescent="0.2">
      <c r="A12938" s="4" t="s">
        <v>1</v>
      </c>
      <c r="B1293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38" s="3" t="str">
        <f>HYPERLINK("https://otsuka-europe-crm.veevavault.com/ui/#object/sent_email__v/VBL000000012285", "SE-001398566")</f>
        <v>SE-001398566</v>
      </c>
      <c r="D12938" s="1" t="s">
        <v>0</v>
      </c>
      <c r="E12938" s="2">
        <v>0</v>
      </c>
      <c r="F12938" s="2">
        <v>0</v>
      </c>
      <c r="G12938" s="2">
        <v>0</v>
      </c>
      <c r="H12938" s="1" t="s">
        <v>0</v>
      </c>
      <c r="I12938" s="2">
        <v>0</v>
      </c>
      <c r="J12938" s="1">
        <v>46013.381608796299</v>
      </c>
    </row>
    <row r="12939" spans="1:10" x14ac:dyDescent="0.2">
      <c r="A12939" s="4" t="s">
        <v>1</v>
      </c>
      <c r="B1293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39" s="3" t="str">
        <f>HYPERLINK("https://otsuka-europe-crm.veevavault.com/ui/#object/sent_email__v/VBL000000012286", "SE-001398567")</f>
        <v>SE-001398567</v>
      </c>
      <c r="D12939" s="1" t="s">
        <v>0</v>
      </c>
      <c r="E12939" s="2">
        <v>0</v>
      </c>
      <c r="F12939" s="2">
        <v>0</v>
      </c>
      <c r="G12939" s="2">
        <v>0</v>
      </c>
      <c r="H12939" s="1" t="s">
        <v>0</v>
      </c>
      <c r="I12939" s="2">
        <v>0</v>
      </c>
      <c r="J12939" s="1">
        <v>46013.381608796299</v>
      </c>
    </row>
    <row r="12940" spans="1:10" x14ac:dyDescent="0.2">
      <c r="A12940" s="4" t="s">
        <v>1</v>
      </c>
      <c r="B1294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40" s="3" t="str">
        <f>HYPERLINK("https://otsuka-europe-crm.veevavault.com/ui/#object/sent_email__v/VBL000000012287", "SE-001398568")</f>
        <v>SE-001398568</v>
      </c>
      <c r="D12940" s="1" t="s">
        <v>0</v>
      </c>
      <c r="E12940" s="2">
        <v>0</v>
      </c>
      <c r="F12940" s="2">
        <v>0</v>
      </c>
      <c r="G12940" s="2">
        <v>0</v>
      </c>
      <c r="H12940" s="1" t="s">
        <v>0</v>
      </c>
      <c r="I12940" s="2">
        <v>0</v>
      </c>
      <c r="J12940" s="1">
        <v>46013.381608796299</v>
      </c>
    </row>
    <row r="12941" spans="1:10" x14ac:dyDescent="0.2">
      <c r="A12941" s="4" t="s">
        <v>1</v>
      </c>
      <c r="B1294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41" s="3" t="str">
        <f>HYPERLINK("https://otsuka-europe-crm.veevavault.com/ui/#object/sent_email__v/VBL000000012288", "SE-001398569")</f>
        <v>SE-001398569</v>
      </c>
      <c r="D12941" s="1" t="s">
        <v>0</v>
      </c>
      <c r="E12941" s="2">
        <v>0</v>
      </c>
      <c r="F12941" s="2">
        <v>0</v>
      </c>
      <c r="G12941" s="2">
        <v>0</v>
      </c>
      <c r="H12941" s="1" t="s">
        <v>0</v>
      </c>
      <c r="I12941" s="2">
        <v>0</v>
      </c>
      <c r="J12941" s="1">
        <v>46013.381608796299</v>
      </c>
    </row>
    <row r="12942" spans="1:10" x14ac:dyDescent="0.2">
      <c r="A12942" s="4" t="s">
        <v>1</v>
      </c>
      <c r="B1294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42" s="3" t="str">
        <f>HYPERLINK("https://otsuka-europe-crm.veevavault.com/ui/#object/sent_email__v/VBL000000012289", "SE-001398570")</f>
        <v>SE-001398570</v>
      </c>
      <c r="D12942" s="1" t="s">
        <v>0</v>
      </c>
      <c r="E12942" s="2">
        <v>0</v>
      </c>
      <c r="F12942" s="2">
        <v>0</v>
      </c>
      <c r="G12942" s="2">
        <v>0</v>
      </c>
      <c r="H12942" s="1" t="s">
        <v>0</v>
      </c>
      <c r="I12942" s="2">
        <v>0</v>
      </c>
      <c r="J12942" s="1">
        <v>46013.381608796299</v>
      </c>
    </row>
    <row r="12943" spans="1:10" x14ac:dyDescent="0.2">
      <c r="A12943" s="4" t="s">
        <v>1</v>
      </c>
      <c r="B1294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43" s="3" t="str">
        <f>HYPERLINK("https://otsuka-europe-crm.veevavault.com/ui/#object/sent_email__v/VBL000000012290", "SE-001398571")</f>
        <v>SE-001398571</v>
      </c>
      <c r="D12943" s="1" t="s">
        <v>0</v>
      </c>
      <c r="E12943" s="2">
        <v>0</v>
      </c>
      <c r="F12943" s="2">
        <v>0</v>
      </c>
      <c r="G12943" s="2">
        <v>0</v>
      </c>
      <c r="H12943" s="1" t="s">
        <v>0</v>
      </c>
      <c r="I12943" s="2">
        <v>0</v>
      </c>
      <c r="J12943" s="1">
        <v>46013.381620370368</v>
      </c>
    </row>
    <row r="12944" spans="1:10" x14ac:dyDescent="0.2">
      <c r="A12944" s="4" t="s">
        <v>1</v>
      </c>
      <c r="B1294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44" s="3" t="str">
        <f>HYPERLINK("https://otsuka-europe-crm.veevavault.com/ui/#object/sent_email__v/VBL000000012291", "SE-001398572")</f>
        <v>SE-001398572</v>
      </c>
      <c r="D12944" s="1" t="s">
        <v>0</v>
      </c>
      <c r="E12944" s="2">
        <v>0</v>
      </c>
      <c r="F12944" s="2">
        <v>0</v>
      </c>
      <c r="G12944" s="2">
        <v>0</v>
      </c>
      <c r="H12944" s="1" t="s">
        <v>0</v>
      </c>
      <c r="I12944" s="2">
        <v>0</v>
      </c>
      <c r="J12944" s="1">
        <v>46013.381620370368</v>
      </c>
    </row>
    <row r="12945" spans="1:10" x14ac:dyDescent="0.2">
      <c r="A12945" s="4" t="s">
        <v>1</v>
      </c>
      <c r="B1294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45" s="3" t="str">
        <f>HYPERLINK("https://otsuka-europe-crm.veevavault.com/ui/#object/sent_email__v/VBL000000012292", "SE-001398573")</f>
        <v>SE-001398573</v>
      </c>
      <c r="D12945" s="1" t="s">
        <v>0</v>
      </c>
      <c r="E12945" s="2">
        <v>0</v>
      </c>
      <c r="F12945" s="2">
        <v>0</v>
      </c>
      <c r="G12945" s="2">
        <v>0</v>
      </c>
      <c r="H12945" s="1" t="s">
        <v>0</v>
      </c>
      <c r="I12945" s="2">
        <v>0</v>
      </c>
      <c r="J12945" s="1">
        <v>46013.381620370368</v>
      </c>
    </row>
    <row r="12946" spans="1:10" x14ac:dyDescent="0.2">
      <c r="A12946" s="4" t="s">
        <v>1</v>
      </c>
      <c r="B1294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46" s="3" t="str">
        <f>HYPERLINK("https://otsuka-europe-crm.veevavault.com/ui/#object/sent_email__v/VBL000000012293", "SE-001398574")</f>
        <v>SE-001398574</v>
      </c>
      <c r="D12946" s="1" t="s">
        <v>0</v>
      </c>
      <c r="E12946" s="2">
        <v>0</v>
      </c>
      <c r="F12946" s="2">
        <v>0</v>
      </c>
      <c r="G12946" s="2">
        <v>0</v>
      </c>
      <c r="H12946" s="1" t="s">
        <v>0</v>
      </c>
      <c r="I12946" s="2">
        <v>0</v>
      </c>
      <c r="J12946" s="1">
        <v>46013.381620370368</v>
      </c>
    </row>
    <row r="12947" spans="1:10" x14ac:dyDescent="0.2">
      <c r="A12947" s="4" t="s">
        <v>1</v>
      </c>
      <c r="B1294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47" s="3" t="str">
        <f>HYPERLINK("https://otsuka-europe-crm.veevavault.com/ui/#object/sent_email__v/VBL000000012294", "SE-001398575")</f>
        <v>SE-001398575</v>
      </c>
      <c r="D12947" s="1" t="s">
        <v>0</v>
      </c>
      <c r="E12947" s="2">
        <v>0</v>
      </c>
      <c r="F12947" s="2">
        <v>0</v>
      </c>
      <c r="G12947" s="2">
        <v>0</v>
      </c>
      <c r="H12947" s="1" t="s">
        <v>0</v>
      </c>
      <c r="I12947" s="2">
        <v>0</v>
      </c>
      <c r="J12947" s="1">
        <v>46013.381620370368</v>
      </c>
    </row>
    <row r="12948" spans="1:10" x14ac:dyDescent="0.2">
      <c r="A12948" s="4" t="s">
        <v>1</v>
      </c>
      <c r="B1294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48" s="3" t="str">
        <f>HYPERLINK("https://otsuka-europe-crm.veevavault.com/ui/#object/sent_email__v/VBL000000012295", "SE-001398576")</f>
        <v>SE-001398576</v>
      </c>
      <c r="D12948" s="1" t="s">
        <v>0</v>
      </c>
      <c r="E12948" s="2">
        <v>0</v>
      </c>
      <c r="F12948" s="2">
        <v>0</v>
      </c>
      <c r="G12948" s="2">
        <v>0</v>
      </c>
      <c r="H12948" s="1" t="s">
        <v>0</v>
      </c>
      <c r="I12948" s="2">
        <v>0</v>
      </c>
      <c r="J12948" s="1">
        <v>46013.381620370368</v>
      </c>
    </row>
    <row r="12949" spans="1:10" x14ac:dyDescent="0.2">
      <c r="A12949" s="4" t="s">
        <v>1</v>
      </c>
      <c r="B1294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49" s="3" t="str">
        <f>HYPERLINK("https://otsuka-europe-crm.veevavault.com/ui/#object/sent_email__v/VBL000000012296", "SE-001398577")</f>
        <v>SE-001398577</v>
      </c>
      <c r="D12949" s="1" t="s">
        <v>0</v>
      </c>
      <c r="E12949" s="2">
        <v>0</v>
      </c>
      <c r="F12949" s="2">
        <v>0</v>
      </c>
      <c r="G12949" s="2">
        <v>0</v>
      </c>
      <c r="H12949" s="1" t="s">
        <v>0</v>
      </c>
      <c r="I12949" s="2">
        <v>0</v>
      </c>
      <c r="J12949" s="1">
        <v>46013.381620370368</v>
      </c>
    </row>
    <row r="12950" spans="1:10" x14ac:dyDescent="0.2">
      <c r="A12950" s="4" t="s">
        <v>1</v>
      </c>
      <c r="B1295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50" s="3" t="str">
        <f>HYPERLINK("https://otsuka-europe-crm.veevavault.com/ui/#object/sent_email__v/VBL000000012297", "SE-001398578")</f>
        <v>SE-001398578</v>
      </c>
      <c r="D12950" s="1" t="s">
        <v>0</v>
      </c>
      <c r="E12950" s="2">
        <v>0</v>
      </c>
      <c r="F12950" s="2">
        <v>0</v>
      </c>
      <c r="G12950" s="2">
        <v>0</v>
      </c>
      <c r="H12950" s="1" t="s">
        <v>0</v>
      </c>
      <c r="I12950" s="2">
        <v>0</v>
      </c>
      <c r="J12950" s="1">
        <v>46013.381620370368</v>
      </c>
    </row>
    <row r="12951" spans="1:10" x14ac:dyDescent="0.2">
      <c r="A12951" s="4" t="s">
        <v>1</v>
      </c>
      <c r="B1295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51" s="3" t="str">
        <f>HYPERLINK("https://otsuka-europe-crm.veevavault.com/ui/#object/sent_email__v/VBL000000012298", "SE-001398579")</f>
        <v>SE-001398579</v>
      </c>
      <c r="D12951" s="1" t="s">
        <v>0</v>
      </c>
      <c r="E12951" s="2">
        <v>0</v>
      </c>
      <c r="F12951" s="2">
        <v>0</v>
      </c>
      <c r="G12951" s="2">
        <v>0</v>
      </c>
      <c r="H12951" s="1" t="s">
        <v>0</v>
      </c>
      <c r="I12951" s="2">
        <v>0</v>
      </c>
      <c r="J12951" s="1">
        <v>46013.381620370368</v>
      </c>
    </row>
    <row r="12952" spans="1:10" x14ac:dyDescent="0.2">
      <c r="A12952" s="4" t="s">
        <v>1</v>
      </c>
      <c r="B1295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52" s="3" t="str">
        <f>HYPERLINK("https://otsuka-europe-crm.veevavault.com/ui/#object/sent_email__v/VBL000000012299", "SE-001398580")</f>
        <v>SE-001398580</v>
      </c>
      <c r="D12952" s="1" t="s">
        <v>0</v>
      </c>
      <c r="E12952" s="2">
        <v>0</v>
      </c>
      <c r="F12952" s="2">
        <v>0</v>
      </c>
      <c r="G12952" s="2">
        <v>0</v>
      </c>
      <c r="H12952" s="1" t="s">
        <v>0</v>
      </c>
      <c r="I12952" s="2">
        <v>0</v>
      </c>
      <c r="J12952" s="1">
        <v>46013.381631944445</v>
      </c>
    </row>
    <row r="12953" spans="1:10" x14ac:dyDescent="0.2">
      <c r="A12953" s="4" t="s">
        <v>1</v>
      </c>
      <c r="B1295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53" s="3" t="str">
        <f>HYPERLINK("https://otsuka-europe-crm.veevavault.com/ui/#object/sent_email__v/VBL000000012300", "SE-001398581")</f>
        <v>SE-001398581</v>
      </c>
      <c r="D12953" s="1" t="s">
        <v>0</v>
      </c>
      <c r="E12953" s="2">
        <v>0</v>
      </c>
      <c r="F12953" s="2">
        <v>0</v>
      </c>
      <c r="G12953" s="2">
        <v>0</v>
      </c>
      <c r="H12953" s="1" t="s">
        <v>0</v>
      </c>
      <c r="I12953" s="2">
        <v>0</v>
      </c>
      <c r="J12953" s="1">
        <v>46013.381631944445</v>
      </c>
    </row>
    <row r="12954" spans="1:10" x14ac:dyDescent="0.2">
      <c r="A12954" s="4" t="s">
        <v>1</v>
      </c>
      <c r="B1295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54" s="3" t="str">
        <f>HYPERLINK("https://otsuka-europe-crm.veevavault.com/ui/#object/sent_email__v/VBL000000012301", "SE-001398582")</f>
        <v>SE-001398582</v>
      </c>
      <c r="D12954" s="1" t="s">
        <v>0</v>
      </c>
      <c r="E12954" s="2">
        <v>0</v>
      </c>
      <c r="F12954" s="2">
        <v>0</v>
      </c>
      <c r="G12954" s="2">
        <v>0</v>
      </c>
      <c r="H12954" s="1" t="s">
        <v>0</v>
      </c>
      <c r="I12954" s="2">
        <v>0</v>
      </c>
      <c r="J12954" s="1">
        <v>46013.381631944445</v>
      </c>
    </row>
    <row r="12955" spans="1:10" x14ac:dyDescent="0.2">
      <c r="A12955" s="4" t="s">
        <v>1</v>
      </c>
      <c r="B1295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55" s="3" t="str">
        <f>HYPERLINK("https://otsuka-europe-crm.veevavault.com/ui/#object/sent_email__v/VBL000000012302", "SE-001398583")</f>
        <v>SE-001398583</v>
      </c>
      <c r="D12955" s="1" t="s">
        <v>0</v>
      </c>
      <c r="E12955" s="2">
        <v>0</v>
      </c>
      <c r="F12955" s="2">
        <v>0</v>
      </c>
      <c r="G12955" s="2">
        <v>0</v>
      </c>
      <c r="H12955" s="1" t="s">
        <v>0</v>
      </c>
      <c r="I12955" s="2">
        <v>0</v>
      </c>
      <c r="J12955" s="1">
        <v>46013.381631944445</v>
      </c>
    </row>
    <row r="12956" spans="1:10" x14ac:dyDescent="0.2">
      <c r="A12956" s="4" t="s">
        <v>1</v>
      </c>
      <c r="B1295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56" s="3" t="str">
        <f>HYPERLINK("https://otsuka-europe-crm.veevavault.com/ui/#object/sent_email__v/VBL000000012303", "SE-001398584")</f>
        <v>SE-001398584</v>
      </c>
      <c r="D12956" s="1" t="s">
        <v>0</v>
      </c>
      <c r="E12956" s="2">
        <v>0</v>
      </c>
      <c r="F12956" s="2">
        <v>0</v>
      </c>
      <c r="G12956" s="2">
        <v>0</v>
      </c>
      <c r="H12956" s="1" t="s">
        <v>0</v>
      </c>
      <c r="I12956" s="2">
        <v>0</v>
      </c>
      <c r="J12956" s="1">
        <v>46013.381631944445</v>
      </c>
    </row>
    <row r="12957" spans="1:10" x14ac:dyDescent="0.2">
      <c r="A12957" s="4" t="s">
        <v>1</v>
      </c>
      <c r="B1295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57" s="3" t="str">
        <f>HYPERLINK("https://otsuka-europe-crm.veevavault.com/ui/#object/sent_email__v/VBL000000012304", "SE-001398585")</f>
        <v>SE-001398585</v>
      </c>
      <c r="D12957" s="1" t="s">
        <v>0</v>
      </c>
      <c r="E12957" s="2">
        <v>0</v>
      </c>
      <c r="F12957" s="2">
        <v>0</v>
      </c>
      <c r="G12957" s="2">
        <v>0</v>
      </c>
      <c r="H12957" s="1" t="s">
        <v>0</v>
      </c>
      <c r="I12957" s="2">
        <v>0</v>
      </c>
      <c r="J12957" s="1">
        <v>46013.381631944445</v>
      </c>
    </row>
    <row r="12958" spans="1:10" x14ac:dyDescent="0.2">
      <c r="A12958" s="4" t="s">
        <v>1</v>
      </c>
      <c r="B1295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58" s="3" t="str">
        <f>HYPERLINK("https://otsuka-europe-crm.veevavault.com/ui/#object/sent_email__v/VBL000000012305", "SE-001398586")</f>
        <v>SE-001398586</v>
      </c>
      <c r="D12958" s="1" t="s">
        <v>0</v>
      </c>
      <c r="E12958" s="2">
        <v>0</v>
      </c>
      <c r="F12958" s="2">
        <v>0</v>
      </c>
      <c r="G12958" s="2">
        <v>0</v>
      </c>
      <c r="H12958" s="1" t="s">
        <v>0</v>
      </c>
      <c r="I12958" s="2">
        <v>0</v>
      </c>
      <c r="J12958" s="1">
        <v>46013.381631944445</v>
      </c>
    </row>
    <row r="12959" spans="1:10" x14ac:dyDescent="0.2">
      <c r="A12959" s="4" t="s">
        <v>1</v>
      </c>
      <c r="B1295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59" s="3" t="str">
        <f>HYPERLINK("https://otsuka-europe-crm.veevavault.com/ui/#object/sent_email__v/VBL000000012306", "SE-001398587")</f>
        <v>SE-001398587</v>
      </c>
      <c r="D12959" s="1" t="s">
        <v>0</v>
      </c>
      <c r="E12959" s="2">
        <v>0</v>
      </c>
      <c r="F12959" s="2">
        <v>0</v>
      </c>
      <c r="G12959" s="2">
        <v>0</v>
      </c>
      <c r="H12959" s="1" t="s">
        <v>0</v>
      </c>
      <c r="I12959" s="2">
        <v>0</v>
      </c>
      <c r="J12959" s="1">
        <v>46013.381631944445</v>
      </c>
    </row>
    <row r="12960" spans="1:10" x14ac:dyDescent="0.2">
      <c r="A12960" s="4" t="s">
        <v>1</v>
      </c>
      <c r="B1296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60" s="3" t="str">
        <f>HYPERLINK("https://otsuka-europe-crm.veevavault.com/ui/#object/sent_email__v/VBL000000012307", "SE-001398588")</f>
        <v>SE-001398588</v>
      </c>
      <c r="D12960" s="1" t="s">
        <v>0</v>
      </c>
      <c r="E12960" s="2">
        <v>0</v>
      </c>
      <c r="F12960" s="2">
        <v>0</v>
      </c>
      <c r="G12960" s="2">
        <v>0</v>
      </c>
      <c r="H12960" s="1" t="s">
        <v>0</v>
      </c>
      <c r="I12960" s="2">
        <v>0</v>
      </c>
      <c r="J12960" s="1">
        <v>46013.381643518522</v>
      </c>
    </row>
    <row r="12961" spans="1:10" x14ac:dyDescent="0.2">
      <c r="A12961" s="4" t="s">
        <v>1</v>
      </c>
      <c r="B1296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61" s="3" t="str">
        <f>HYPERLINK("https://otsuka-europe-crm.veevavault.com/ui/#object/sent_email__v/VBL000000012308", "SE-001398589")</f>
        <v>SE-001398589</v>
      </c>
      <c r="D12961" s="1" t="s">
        <v>0</v>
      </c>
      <c r="E12961" s="2">
        <v>0</v>
      </c>
      <c r="F12961" s="2">
        <v>0</v>
      </c>
      <c r="G12961" s="2">
        <v>0</v>
      </c>
      <c r="H12961" s="1" t="s">
        <v>0</v>
      </c>
      <c r="I12961" s="2">
        <v>0</v>
      </c>
      <c r="J12961" s="1">
        <v>46013.384062500001</v>
      </c>
    </row>
    <row r="12962" spans="1:10" x14ac:dyDescent="0.2">
      <c r="A12962" s="4" t="s">
        <v>1</v>
      </c>
      <c r="B1296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62" s="3" t="str">
        <f>HYPERLINK("https://otsuka-europe-crm.veevavault.com/ui/#object/sent_email__v/VBL000000012309", "SE-001398590")</f>
        <v>SE-001398590</v>
      </c>
      <c r="D12962" s="1" t="s">
        <v>0</v>
      </c>
      <c r="E12962" s="2">
        <v>0</v>
      </c>
      <c r="F12962" s="2">
        <v>0</v>
      </c>
      <c r="G12962" s="2">
        <v>0</v>
      </c>
      <c r="H12962" s="1" t="s">
        <v>0</v>
      </c>
      <c r="I12962" s="2">
        <v>0</v>
      </c>
      <c r="J12962" s="1">
        <v>46013.384074074071</v>
      </c>
    </row>
    <row r="12963" spans="1:10" x14ac:dyDescent="0.2">
      <c r="A12963" s="4" t="s">
        <v>1</v>
      </c>
      <c r="B1296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63" s="3" t="str">
        <f>HYPERLINK("https://otsuka-europe-crm.veevavault.com/ui/#object/sent_email__v/VBL000000012310", "SE-001398591")</f>
        <v>SE-001398591</v>
      </c>
      <c r="D12963" s="1" t="s">
        <v>0</v>
      </c>
      <c r="E12963" s="2">
        <v>0</v>
      </c>
      <c r="F12963" s="2">
        <v>0</v>
      </c>
      <c r="G12963" s="2">
        <v>0</v>
      </c>
      <c r="H12963" s="1" t="s">
        <v>0</v>
      </c>
      <c r="I12963" s="2">
        <v>0</v>
      </c>
      <c r="J12963" s="1">
        <v>46013.384085648147</v>
      </c>
    </row>
    <row r="12964" spans="1:10" x14ac:dyDescent="0.2">
      <c r="A12964" s="4" t="s">
        <v>1</v>
      </c>
      <c r="B1296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64" s="3" t="str">
        <f>HYPERLINK("https://otsuka-europe-crm.veevavault.com/ui/#object/sent_email__v/VBL000000012311", "SE-001398592")</f>
        <v>SE-001398592</v>
      </c>
      <c r="D12964" s="1" t="s">
        <v>0</v>
      </c>
      <c r="E12964" s="2">
        <v>0</v>
      </c>
      <c r="F12964" s="2">
        <v>0</v>
      </c>
      <c r="G12964" s="2">
        <v>0</v>
      </c>
      <c r="H12964" s="1" t="s">
        <v>0</v>
      </c>
      <c r="I12964" s="2">
        <v>0</v>
      </c>
      <c r="J12964" s="1">
        <v>46013.384085648147</v>
      </c>
    </row>
    <row r="12965" spans="1:10" x14ac:dyDescent="0.2">
      <c r="A12965" s="4" t="s">
        <v>1</v>
      </c>
      <c r="B1296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65" s="3" t="str">
        <f>HYPERLINK("https://otsuka-europe-crm.veevavault.com/ui/#object/sent_email__v/VBL000000012312", "SE-001398593")</f>
        <v>SE-001398593</v>
      </c>
      <c r="D12965" s="1" t="s">
        <v>0</v>
      </c>
      <c r="E12965" s="2">
        <v>0</v>
      </c>
      <c r="F12965" s="2">
        <v>0</v>
      </c>
      <c r="G12965" s="2">
        <v>0</v>
      </c>
      <c r="H12965" s="1" t="s">
        <v>0</v>
      </c>
      <c r="I12965" s="2">
        <v>0</v>
      </c>
      <c r="J12965" s="1">
        <v>46013.384074074071</v>
      </c>
    </row>
    <row r="12966" spans="1:10" x14ac:dyDescent="0.2">
      <c r="A12966" s="4" t="s">
        <v>1</v>
      </c>
      <c r="B1296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66" s="3" t="str">
        <f>HYPERLINK("https://otsuka-europe-crm.veevavault.com/ui/#object/sent_email__v/VBL000000012313", "SE-001398594")</f>
        <v>SE-001398594</v>
      </c>
      <c r="D12966" s="1" t="s">
        <v>0</v>
      </c>
      <c r="E12966" s="2">
        <v>0</v>
      </c>
      <c r="F12966" s="2">
        <v>0</v>
      </c>
      <c r="G12966" s="2">
        <v>0</v>
      </c>
      <c r="H12966" s="1" t="s">
        <v>0</v>
      </c>
      <c r="I12966" s="2">
        <v>0</v>
      </c>
      <c r="J12966" s="1">
        <v>46013.384085648147</v>
      </c>
    </row>
    <row r="12967" spans="1:10" x14ac:dyDescent="0.2">
      <c r="A12967" s="4" t="s">
        <v>1</v>
      </c>
      <c r="B1296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67" s="3" t="str">
        <f>HYPERLINK("https://otsuka-europe-crm.veevavault.com/ui/#object/sent_email__v/VBL000000012314", "SE-001398595")</f>
        <v>SE-001398595</v>
      </c>
      <c r="D12967" s="1" t="s">
        <v>0</v>
      </c>
      <c r="E12967" s="2">
        <v>0</v>
      </c>
      <c r="F12967" s="2">
        <v>0</v>
      </c>
      <c r="G12967" s="2">
        <v>0</v>
      </c>
      <c r="H12967" s="1" t="s">
        <v>0</v>
      </c>
      <c r="I12967" s="2">
        <v>0</v>
      </c>
      <c r="J12967" s="1">
        <v>46013.384085648147</v>
      </c>
    </row>
    <row r="12968" spans="1:10" x14ac:dyDescent="0.2">
      <c r="A12968" s="4" t="s">
        <v>1</v>
      </c>
      <c r="B1296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68" s="3" t="str">
        <f>HYPERLINK("https://otsuka-europe-crm.veevavault.com/ui/#object/sent_email__v/VBL000000012315", "SE-001398596")</f>
        <v>SE-001398596</v>
      </c>
      <c r="D12968" s="1" t="s">
        <v>0</v>
      </c>
      <c r="E12968" s="2">
        <v>0</v>
      </c>
      <c r="F12968" s="2">
        <v>0</v>
      </c>
      <c r="G12968" s="2">
        <v>0</v>
      </c>
      <c r="H12968" s="1" t="s">
        <v>0</v>
      </c>
      <c r="I12968" s="2">
        <v>0</v>
      </c>
      <c r="J12968" s="1">
        <v>46013.384085648147</v>
      </c>
    </row>
    <row r="12969" spans="1:10" x14ac:dyDescent="0.2">
      <c r="A12969" s="4" t="s">
        <v>1</v>
      </c>
      <c r="B1296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69" s="3" t="str">
        <f>HYPERLINK("https://otsuka-europe-crm.veevavault.com/ui/#object/sent_email__v/VBL000000012316", "SE-001398597")</f>
        <v>SE-001398597</v>
      </c>
      <c r="D12969" s="1" t="s">
        <v>0</v>
      </c>
      <c r="E12969" s="2">
        <v>0</v>
      </c>
      <c r="F12969" s="2">
        <v>0</v>
      </c>
      <c r="G12969" s="2">
        <v>0</v>
      </c>
      <c r="H12969" s="1" t="s">
        <v>0</v>
      </c>
      <c r="I12969" s="2">
        <v>0</v>
      </c>
      <c r="J12969" s="1">
        <v>46013.384085648147</v>
      </c>
    </row>
    <row r="12970" spans="1:10" x14ac:dyDescent="0.2">
      <c r="A12970" s="4" t="s">
        <v>1</v>
      </c>
      <c r="B1297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70" s="3" t="str">
        <f>HYPERLINK("https://otsuka-europe-crm.veevavault.com/ui/#object/sent_email__v/VBL000000012317", "SE-001398598")</f>
        <v>SE-001398598</v>
      </c>
      <c r="D12970" s="1" t="s">
        <v>0</v>
      </c>
      <c r="E12970" s="2">
        <v>0</v>
      </c>
      <c r="F12970" s="2">
        <v>0</v>
      </c>
      <c r="G12970" s="2">
        <v>0</v>
      </c>
      <c r="H12970" s="1" t="s">
        <v>0</v>
      </c>
      <c r="I12970" s="2">
        <v>0</v>
      </c>
      <c r="J12970" s="1">
        <v>46013.384085648147</v>
      </c>
    </row>
    <row r="12971" spans="1:10" x14ac:dyDescent="0.2">
      <c r="A12971" s="4" t="s">
        <v>1</v>
      </c>
      <c r="B1297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71" s="3" t="str">
        <f>HYPERLINK("https://otsuka-europe-crm.veevavault.com/ui/#object/sent_email__v/VBL000000012318", "SE-001398599")</f>
        <v>SE-001398599</v>
      </c>
      <c r="D12971" s="1" t="s">
        <v>0</v>
      </c>
      <c r="E12971" s="2">
        <v>0</v>
      </c>
      <c r="F12971" s="2">
        <v>0</v>
      </c>
      <c r="G12971" s="2">
        <v>0</v>
      </c>
      <c r="H12971" s="1" t="s">
        <v>0</v>
      </c>
      <c r="I12971" s="2">
        <v>0</v>
      </c>
      <c r="J12971" s="1">
        <v>46013.384085648147</v>
      </c>
    </row>
    <row r="12972" spans="1:10" x14ac:dyDescent="0.2">
      <c r="A12972" s="4" t="s">
        <v>1</v>
      </c>
      <c r="B1297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72" s="3" t="str">
        <f>HYPERLINK("https://otsuka-europe-crm.veevavault.com/ui/#object/sent_email__v/VBL000000012319", "SE-001398600")</f>
        <v>SE-001398600</v>
      </c>
      <c r="D12972" s="1" t="s">
        <v>0</v>
      </c>
      <c r="E12972" s="2">
        <v>0</v>
      </c>
      <c r="F12972" s="2">
        <v>0</v>
      </c>
      <c r="G12972" s="2">
        <v>0</v>
      </c>
      <c r="H12972" s="1" t="s">
        <v>0</v>
      </c>
      <c r="I12972" s="2">
        <v>0</v>
      </c>
      <c r="J12972" s="1">
        <v>46013.384085648147</v>
      </c>
    </row>
    <row r="12973" spans="1:10" x14ac:dyDescent="0.2">
      <c r="A12973" s="4" t="s">
        <v>1</v>
      </c>
      <c r="B1297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73" s="3" t="str">
        <f>HYPERLINK("https://otsuka-europe-crm.veevavault.com/ui/#object/sent_email__v/VBL000000012320", "SE-001398601")</f>
        <v>SE-001398601</v>
      </c>
      <c r="D12973" s="1" t="s">
        <v>0</v>
      </c>
      <c r="E12973" s="2">
        <v>0</v>
      </c>
      <c r="F12973" s="2">
        <v>0</v>
      </c>
      <c r="G12973" s="2">
        <v>0</v>
      </c>
      <c r="H12973" s="1" t="s">
        <v>0</v>
      </c>
      <c r="I12973" s="2">
        <v>0</v>
      </c>
      <c r="J12973" s="1">
        <v>46013.384085648147</v>
      </c>
    </row>
    <row r="12974" spans="1:10" x14ac:dyDescent="0.2">
      <c r="A12974" s="4" t="s">
        <v>1</v>
      </c>
      <c r="B1297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74" s="3" t="str">
        <f>HYPERLINK("https://otsuka-europe-crm.veevavault.com/ui/#object/sent_email__v/VBL000000012321", "SE-001398602")</f>
        <v>SE-001398602</v>
      </c>
      <c r="D12974" s="1" t="s">
        <v>0</v>
      </c>
      <c r="E12974" s="2">
        <v>0</v>
      </c>
      <c r="F12974" s="2">
        <v>0</v>
      </c>
      <c r="G12974" s="2">
        <v>0</v>
      </c>
      <c r="H12974" s="1" t="s">
        <v>0</v>
      </c>
      <c r="I12974" s="2">
        <v>0</v>
      </c>
      <c r="J12974" s="1">
        <v>46013.384085648147</v>
      </c>
    </row>
    <row r="12975" spans="1:10" x14ac:dyDescent="0.2">
      <c r="A12975" s="4" t="s">
        <v>1</v>
      </c>
      <c r="B1297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75" s="3" t="str">
        <f>HYPERLINK("https://otsuka-europe-crm.veevavault.com/ui/#object/sent_email__v/VBL000000012322", "SE-001398603")</f>
        <v>SE-001398603</v>
      </c>
      <c r="D12975" s="1" t="s">
        <v>0</v>
      </c>
      <c r="E12975" s="2">
        <v>0</v>
      </c>
      <c r="F12975" s="2">
        <v>0</v>
      </c>
      <c r="G12975" s="2">
        <v>0</v>
      </c>
      <c r="H12975" s="1" t="s">
        <v>0</v>
      </c>
      <c r="I12975" s="2">
        <v>0</v>
      </c>
      <c r="J12975" s="1">
        <v>46013.384097222224</v>
      </c>
    </row>
    <row r="12976" spans="1:10" x14ac:dyDescent="0.2">
      <c r="A12976" s="4" t="s">
        <v>1</v>
      </c>
      <c r="B1297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76" s="3" t="str">
        <f>HYPERLINK("https://otsuka-europe-crm.veevavault.com/ui/#object/sent_email__v/VBL000000012323", "SE-001398604")</f>
        <v>SE-001398604</v>
      </c>
      <c r="D12976" s="1" t="s">
        <v>0</v>
      </c>
      <c r="E12976" s="2">
        <v>0</v>
      </c>
      <c r="F12976" s="2">
        <v>0</v>
      </c>
      <c r="G12976" s="2">
        <v>0</v>
      </c>
      <c r="H12976" s="1" t="s">
        <v>0</v>
      </c>
      <c r="I12976" s="2">
        <v>0</v>
      </c>
      <c r="J12976" s="1">
        <v>46013.384097222224</v>
      </c>
    </row>
    <row r="12977" spans="1:10" x14ac:dyDescent="0.2">
      <c r="A12977" s="4" t="s">
        <v>1</v>
      </c>
      <c r="B1297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77" s="3" t="str">
        <f>HYPERLINK("https://otsuka-europe-crm.veevavault.com/ui/#object/sent_email__v/VBL000000012324", "SE-001398605")</f>
        <v>SE-001398605</v>
      </c>
      <c r="D12977" s="1" t="s">
        <v>0</v>
      </c>
      <c r="E12977" s="2">
        <v>0</v>
      </c>
      <c r="F12977" s="2">
        <v>0</v>
      </c>
      <c r="G12977" s="2">
        <v>0</v>
      </c>
      <c r="H12977" s="1" t="s">
        <v>0</v>
      </c>
      <c r="I12977" s="2">
        <v>0</v>
      </c>
      <c r="J12977" s="1">
        <v>46013.384097222224</v>
      </c>
    </row>
    <row r="12978" spans="1:10" x14ac:dyDescent="0.2">
      <c r="A12978" s="4" t="s">
        <v>1</v>
      </c>
      <c r="B1297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78" s="3" t="str">
        <f>HYPERLINK("https://otsuka-europe-crm.veevavault.com/ui/#object/sent_email__v/VBL000000012325", "SE-001398606")</f>
        <v>SE-001398606</v>
      </c>
      <c r="D12978" s="1" t="s">
        <v>0</v>
      </c>
      <c r="E12978" s="2">
        <v>0</v>
      </c>
      <c r="F12978" s="2">
        <v>0</v>
      </c>
      <c r="G12978" s="2">
        <v>0</v>
      </c>
      <c r="H12978" s="1" t="s">
        <v>0</v>
      </c>
      <c r="I12978" s="2">
        <v>0</v>
      </c>
      <c r="J12978" s="1">
        <v>46013.384097222224</v>
      </c>
    </row>
    <row r="12979" spans="1:10" x14ac:dyDescent="0.2">
      <c r="A12979" s="4" t="s">
        <v>1</v>
      </c>
      <c r="B1297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79" s="3" t="str">
        <f>HYPERLINK("https://otsuka-europe-crm.veevavault.com/ui/#object/sent_email__v/VBL000000012326", "SE-001398607")</f>
        <v>SE-001398607</v>
      </c>
      <c r="D12979" s="1" t="s">
        <v>0</v>
      </c>
      <c r="E12979" s="2">
        <v>0</v>
      </c>
      <c r="F12979" s="2">
        <v>0</v>
      </c>
      <c r="G12979" s="2">
        <v>0</v>
      </c>
      <c r="H12979" s="1" t="s">
        <v>0</v>
      </c>
      <c r="I12979" s="2">
        <v>0</v>
      </c>
      <c r="J12979" s="1">
        <v>46013.384097222224</v>
      </c>
    </row>
    <row r="12980" spans="1:10" x14ac:dyDescent="0.2">
      <c r="A12980" s="4" t="s">
        <v>1</v>
      </c>
      <c r="B1298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80" s="3" t="str">
        <f>HYPERLINK("https://otsuka-europe-crm.veevavault.com/ui/#object/sent_email__v/VBL000000012327", "SE-001398608")</f>
        <v>SE-001398608</v>
      </c>
      <c r="D12980" s="1" t="s">
        <v>0</v>
      </c>
      <c r="E12980" s="2">
        <v>0</v>
      </c>
      <c r="F12980" s="2">
        <v>0</v>
      </c>
      <c r="G12980" s="2">
        <v>0</v>
      </c>
      <c r="H12980" s="1" t="s">
        <v>0</v>
      </c>
      <c r="I12980" s="2">
        <v>0</v>
      </c>
      <c r="J12980" s="1">
        <v>46013.384097222224</v>
      </c>
    </row>
    <row r="12981" spans="1:10" x14ac:dyDescent="0.2">
      <c r="A12981" s="4" t="s">
        <v>1</v>
      </c>
      <c r="B1298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81" s="3" t="str">
        <f>HYPERLINK("https://otsuka-europe-crm.veevavault.com/ui/#object/sent_email__v/VBL000000012328", "SE-001398609")</f>
        <v>SE-001398609</v>
      </c>
      <c r="D12981" s="1" t="s">
        <v>0</v>
      </c>
      <c r="E12981" s="2">
        <v>0</v>
      </c>
      <c r="F12981" s="2">
        <v>0</v>
      </c>
      <c r="G12981" s="2">
        <v>0</v>
      </c>
      <c r="H12981" s="1" t="s">
        <v>0</v>
      </c>
      <c r="I12981" s="2">
        <v>0</v>
      </c>
      <c r="J12981" s="1">
        <v>46013.384097222224</v>
      </c>
    </row>
    <row r="12982" spans="1:10" x14ac:dyDescent="0.2">
      <c r="A12982" s="4" t="s">
        <v>1</v>
      </c>
      <c r="B1298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82" s="3" t="str">
        <f>HYPERLINK("https://otsuka-europe-crm.veevavault.com/ui/#object/sent_email__v/VBL000000012329", "SE-001398610")</f>
        <v>SE-001398610</v>
      </c>
      <c r="D12982" s="1" t="s">
        <v>0</v>
      </c>
      <c r="E12982" s="2">
        <v>0</v>
      </c>
      <c r="F12982" s="2">
        <v>0</v>
      </c>
      <c r="G12982" s="2">
        <v>0</v>
      </c>
      <c r="H12982" s="1" t="s">
        <v>0</v>
      </c>
      <c r="I12982" s="2">
        <v>0</v>
      </c>
      <c r="J12982" s="1">
        <v>46013.384097222224</v>
      </c>
    </row>
    <row r="12983" spans="1:10" x14ac:dyDescent="0.2">
      <c r="A12983" s="4" t="s">
        <v>1</v>
      </c>
      <c r="B1298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83" s="3" t="str">
        <f>HYPERLINK("https://otsuka-europe-crm.veevavault.com/ui/#object/sent_email__v/VBL000000012330", "SE-001398611")</f>
        <v>SE-001398611</v>
      </c>
      <c r="D12983" s="1" t="s">
        <v>0</v>
      </c>
      <c r="E12983" s="2">
        <v>0</v>
      </c>
      <c r="F12983" s="2">
        <v>0</v>
      </c>
      <c r="G12983" s="2">
        <v>0</v>
      </c>
      <c r="H12983" s="1" t="s">
        <v>0</v>
      </c>
      <c r="I12983" s="2">
        <v>0</v>
      </c>
      <c r="J12983" s="1">
        <v>46013.384108796294</v>
      </c>
    </row>
    <row r="12984" spans="1:10" x14ac:dyDescent="0.2">
      <c r="A12984" s="4" t="s">
        <v>1</v>
      </c>
      <c r="B1298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84" s="3" t="str">
        <f>HYPERLINK("https://otsuka-europe-crm.veevavault.com/ui/#object/sent_email__v/VBL000000012331", "SE-001398612")</f>
        <v>SE-001398612</v>
      </c>
      <c r="D12984" s="1" t="s">
        <v>0</v>
      </c>
      <c r="E12984" s="2">
        <v>0</v>
      </c>
      <c r="F12984" s="2">
        <v>0</v>
      </c>
      <c r="G12984" s="2">
        <v>0</v>
      </c>
      <c r="H12984" s="1" t="s">
        <v>0</v>
      </c>
      <c r="I12984" s="2">
        <v>0</v>
      </c>
      <c r="J12984" s="1">
        <v>46013.384108796294</v>
      </c>
    </row>
    <row r="12985" spans="1:10" x14ac:dyDescent="0.2">
      <c r="A12985" s="4" t="s">
        <v>1</v>
      </c>
      <c r="B1298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85" s="3" t="str">
        <f>HYPERLINK("https://otsuka-europe-crm.veevavault.com/ui/#object/sent_email__v/VBL000000012332", "SE-001398613")</f>
        <v>SE-001398613</v>
      </c>
      <c r="D12985" s="1" t="s">
        <v>0</v>
      </c>
      <c r="E12985" s="2">
        <v>0</v>
      </c>
      <c r="F12985" s="2">
        <v>0</v>
      </c>
      <c r="G12985" s="2">
        <v>0</v>
      </c>
      <c r="H12985" s="1" t="s">
        <v>0</v>
      </c>
      <c r="I12985" s="2">
        <v>0</v>
      </c>
      <c r="J12985" s="1">
        <v>46013.384108796294</v>
      </c>
    </row>
    <row r="12986" spans="1:10" x14ac:dyDescent="0.2">
      <c r="A12986" s="4" t="s">
        <v>1</v>
      </c>
      <c r="B1298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86" s="3" t="str">
        <f>HYPERLINK("https://otsuka-europe-crm.veevavault.com/ui/#object/sent_email__v/VBL000000012333", "SE-001398614")</f>
        <v>SE-001398614</v>
      </c>
      <c r="D12986" s="1" t="s">
        <v>0</v>
      </c>
      <c r="E12986" s="2">
        <v>0</v>
      </c>
      <c r="F12986" s="2">
        <v>0</v>
      </c>
      <c r="G12986" s="2">
        <v>0</v>
      </c>
      <c r="H12986" s="1" t="s">
        <v>0</v>
      </c>
      <c r="I12986" s="2">
        <v>0</v>
      </c>
      <c r="J12986" s="1">
        <v>46013.384108796294</v>
      </c>
    </row>
    <row r="12987" spans="1:10" x14ac:dyDescent="0.2">
      <c r="A12987" s="4" t="s">
        <v>1</v>
      </c>
      <c r="B1298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87" s="3" t="str">
        <f>HYPERLINK("https://otsuka-europe-crm.veevavault.com/ui/#object/sent_email__v/VBL000000012334", "SE-001398615")</f>
        <v>SE-001398615</v>
      </c>
      <c r="D12987" s="1" t="s">
        <v>0</v>
      </c>
      <c r="E12987" s="2">
        <v>0</v>
      </c>
      <c r="F12987" s="2">
        <v>0</v>
      </c>
      <c r="G12987" s="2">
        <v>0</v>
      </c>
      <c r="H12987" s="1" t="s">
        <v>0</v>
      </c>
      <c r="I12987" s="2">
        <v>0</v>
      </c>
      <c r="J12987" s="1">
        <v>46013.384108796294</v>
      </c>
    </row>
    <row r="12988" spans="1:10" x14ac:dyDescent="0.2">
      <c r="A12988" s="4" t="s">
        <v>1</v>
      </c>
      <c r="B1298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88" s="3" t="str">
        <f>HYPERLINK("https://otsuka-europe-crm.veevavault.com/ui/#object/sent_email__v/VBL000000012335", "SE-001398616")</f>
        <v>SE-001398616</v>
      </c>
      <c r="D12988" s="1" t="s">
        <v>0</v>
      </c>
      <c r="E12988" s="2">
        <v>0</v>
      </c>
      <c r="F12988" s="2">
        <v>0</v>
      </c>
      <c r="G12988" s="2">
        <v>0</v>
      </c>
      <c r="H12988" s="1" t="s">
        <v>0</v>
      </c>
      <c r="I12988" s="2">
        <v>0</v>
      </c>
      <c r="J12988" s="1">
        <v>46013.384108796294</v>
      </c>
    </row>
    <row r="12989" spans="1:10" x14ac:dyDescent="0.2">
      <c r="A12989" s="4" t="s">
        <v>1</v>
      </c>
      <c r="B1298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89" s="3" t="str">
        <f>HYPERLINK("https://otsuka-europe-crm.veevavault.com/ui/#object/sent_email__v/VBL000000012336", "SE-001398617")</f>
        <v>SE-001398617</v>
      </c>
      <c r="D12989" s="1" t="s">
        <v>0</v>
      </c>
      <c r="E12989" s="2">
        <v>0</v>
      </c>
      <c r="F12989" s="2">
        <v>0</v>
      </c>
      <c r="G12989" s="2">
        <v>0</v>
      </c>
      <c r="H12989" s="1" t="s">
        <v>0</v>
      </c>
      <c r="I12989" s="2">
        <v>0</v>
      </c>
      <c r="J12989" s="1">
        <v>46013.384108796294</v>
      </c>
    </row>
    <row r="12990" spans="1:10" x14ac:dyDescent="0.2">
      <c r="A12990" s="4" t="s">
        <v>1</v>
      </c>
      <c r="B1299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90" s="3" t="str">
        <f>HYPERLINK("https://otsuka-europe-crm.veevavault.com/ui/#object/sent_email__v/VBL000000013457", "SE-001398621")</f>
        <v>SE-001398621</v>
      </c>
      <c r="D12990" s="1" t="s">
        <v>0</v>
      </c>
      <c r="E12990" s="2">
        <v>0</v>
      </c>
      <c r="F12990" s="2">
        <v>0</v>
      </c>
      <c r="G12990" s="2">
        <v>0</v>
      </c>
      <c r="H12990" s="1" t="s">
        <v>0</v>
      </c>
      <c r="I12990" s="2">
        <v>0</v>
      </c>
      <c r="J12990" s="1">
        <v>46013.387048611112</v>
      </c>
    </row>
    <row r="12991" spans="1:10" x14ac:dyDescent="0.2">
      <c r="A12991" s="4" t="s">
        <v>1</v>
      </c>
      <c r="B1299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91" s="3" t="str">
        <f>HYPERLINK("https://otsuka-europe-crm.veevavault.com/ui/#object/sent_email__v/VBL000000013458", "SE-001398622")</f>
        <v>SE-001398622</v>
      </c>
      <c r="D12991" s="1" t="s">
        <v>0</v>
      </c>
      <c r="E12991" s="2">
        <v>0</v>
      </c>
      <c r="F12991" s="2">
        <v>0</v>
      </c>
      <c r="G12991" s="2">
        <v>0</v>
      </c>
      <c r="H12991" s="1" t="s">
        <v>0</v>
      </c>
      <c r="I12991" s="2">
        <v>0</v>
      </c>
      <c r="J12991" s="1">
        <v>46013.387048611112</v>
      </c>
    </row>
    <row r="12992" spans="1:10" x14ac:dyDescent="0.2">
      <c r="A12992" s="4" t="s">
        <v>1</v>
      </c>
      <c r="B1299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92" s="3" t="str">
        <f>HYPERLINK("https://otsuka-europe-crm.veevavault.com/ui/#object/sent_email__v/VBL000000013459", "SE-001398623")</f>
        <v>SE-001398623</v>
      </c>
      <c r="D12992" s="1" t="s">
        <v>0</v>
      </c>
      <c r="E12992" s="2">
        <v>0</v>
      </c>
      <c r="F12992" s="2">
        <v>0</v>
      </c>
      <c r="G12992" s="2">
        <v>0</v>
      </c>
      <c r="H12992" s="1" t="s">
        <v>0</v>
      </c>
      <c r="I12992" s="2">
        <v>0</v>
      </c>
      <c r="J12992" s="1">
        <v>46013.387048611112</v>
      </c>
    </row>
    <row r="12993" spans="1:10" x14ac:dyDescent="0.2">
      <c r="A12993" s="4" t="s">
        <v>1</v>
      </c>
      <c r="B1299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93" s="3" t="str">
        <f>HYPERLINK("https://otsuka-europe-crm.veevavault.com/ui/#object/sent_email__v/VBL000000013460", "SE-001398624")</f>
        <v>SE-001398624</v>
      </c>
      <c r="D12993" s="1" t="s">
        <v>0</v>
      </c>
      <c r="E12993" s="2">
        <v>0</v>
      </c>
      <c r="F12993" s="2">
        <v>0</v>
      </c>
      <c r="G12993" s="2">
        <v>0</v>
      </c>
      <c r="H12993" s="1" t="s">
        <v>0</v>
      </c>
      <c r="I12993" s="2">
        <v>0</v>
      </c>
      <c r="J12993" s="1">
        <v>46013.387048611112</v>
      </c>
    </row>
    <row r="12994" spans="1:10" x14ac:dyDescent="0.2">
      <c r="A12994" s="4" t="s">
        <v>1</v>
      </c>
      <c r="B1299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94" s="3" t="str">
        <f>HYPERLINK("https://otsuka-europe-crm.veevavault.com/ui/#object/sent_email__v/VBL000000013461", "SE-001398625")</f>
        <v>SE-001398625</v>
      </c>
      <c r="D12994" s="1" t="s">
        <v>0</v>
      </c>
      <c r="E12994" s="2">
        <v>0</v>
      </c>
      <c r="F12994" s="2">
        <v>0</v>
      </c>
      <c r="G12994" s="2">
        <v>0</v>
      </c>
      <c r="H12994" s="1" t="s">
        <v>0</v>
      </c>
      <c r="I12994" s="2">
        <v>0</v>
      </c>
      <c r="J12994" s="1">
        <v>46013.387048611112</v>
      </c>
    </row>
    <row r="12995" spans="1:10" x14ac:dyDescent="0.2">
      <c r="A12995" s="4" t="s">
        <v>1</v>
      </c>
      <c r="B1299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95" s="3" t="str">
        <f>HYPERLINK("https://otsuka-europe-crm.veevavault.com/ui/#object/sent_email__v/VBL000000013462", "SE-001398626")</f>
        <v>SE-001398626</v>
      </c>
      <c r="D12995" s="1" t="s">
        <v>0</v>
      </c>
      <c r="E12995" s="2">
        <v>0</v>
      </c>
      <c r="F12995" s="2">
        <v>0</v>
      </c>
      <c r="G12995" s="2">
        <v>0</v>
      </c>
      <c r="H12995" s="1" t="s">
        <v>0</v>
      </c>
      <c r="I12995" s="2">
        <v>0</v>
      </c>
      <c r="J12995" s="1">
        <v>46013.387060185189</v>
      </c>
    </row>
    <row r="12996" spans="1:10" x14ac:dyDescent="0.2">
      <c r="A12996" s="4" t="s">
        <v>1</v>
      </c>
      <c r="B1299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96" s="3" t="str">
        <f>HYPERLINK("https://otsuka-europe-crm.veevavault.com/ui/#object/sent_email__v/VBL000000013463", "SE-001398627")</f>
        <v>SE-001398627</v>
      </c>
      <c r="D12996" s="1" t="s">
        <v>0</v>
      </c>
      <c r="E12996" s="2">
        <v>0</v>
      </c>
      <c r="F12996" s="2">
        <v>0</v>
      </c>
      <c r="G12996" s="2">
        <v>0</v>
      </c>
      <c r="H12996" s="1" t="s">
        <v>0</v>
      </c>
      <c r="I12996" s="2">
        <v>0</v>
      </c>
      <c r="J12996" s="1">
        <v>46013.387048611112</v>
      </c>
    </row>
    <row r="12997" spans="1:10" x14ac:dyDescent="0.2">
      <c r="A12997" s="4" t="s">
        <v>1</v>
      </c>
      <c r="B1299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97" s="3" t="str">
        <f>HYPERLINK("https://otsuka-europe-crm.veevavault.com/ui/#object/sent_email__v/VBL000000013464", "SE-001398628")</f>
        <v>SE-001398628</v>
      </c>
      <c r="D12997" s="1" t="s">
        <v>0</v>
      </c>
      <c r="E12997" s="2">
        <v>0</v>
      </c>
      <c r="F12997" s="2">
        <v>0</v>
      </c>
      <c r="G12997" s="2">
        <v>0</v>
      </c>
      <c r="H12997" s="1" t="s">
        <v>0</v>
      </c>
      <c r="I12997" s="2">
        <v>0</v>
      </c>
      <c r="J12997" s="1">
        <v>46013.387048611112</v>
      </c>
    </row>
    <row r="12998" spans="1:10" x14ac:dyDescent="0.2">
      <c r="A12998" s="4" t="s">
        <v>1</v>
      </c>
      <c r="B1299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98" s="3" t="str">
        <f>HYPERLINK("https://otsuka-europe-crm.veevavault.com/ui/#object/sent_email__v/VBL000000013465", "SE-001398629")</f>
        <v>SE-001398629</v>
      </c>
      <c r="D12998" s="1" t="s">
        <v>0</v>
      </c>
      <c r="E12998" s="2">
        <v>0</v>
      </c>
      <c r="F12998" s="2">
        <v>0</v>
      </c>
      <c r="G12998" s="2">
        <v>0</v>
      </c>
      <c r="H12998" s="1" t="s">
        <v>0</v>
      </c>
      <c r="I12998" s="2">
        <v>0</v>
      </c>
      <c r="J12998" s="1">
        <v>46013.387048611112</v>
      </c>
    </row>
    <row r="12999" spans="1:10" x14ac:dyDescent="0.2">
      <c r="A12999" s="4" t="s">
        <v>1</v>
      </c>
      <c r="B1299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2999" s="3" t="str">
        <f>HYPERLINK("https://otsuka-europe-crm.veevavault.com/ui/#object/sent_email__v/VBL000000013466", "SE-001398630")</f>
        <v>SE-001398630</v>
      </c>
      <c r="D12999" s="1" t="s">
        <v>0</v>
      </c>
      <c r="E12999" s="2">
        <v>0</v>
      </c>
      <c r="F12999" s="2">
        <v>0</v>
      </c>
      <c r="G12999" s="2">
        <v>0</v>
      </c>
      <c r="H12999" s="1" t="s">
        <v>0</v>
      </c>
      <c r="I12999" s="2">
        <v>0</v>
      </c>
      <c r="J12999" s="1">
        <v>46013.387060185189</v>
      </c>
    </row>
    <row r="13000" spans="1:10" x14ac:dyDescent="0.2">
      <c r="A13000" s="4" t="s">
        <v>1</v>
      </c>
      <c r="B1300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00" s="3" t="str">
        <f>HYPERLINK("https://otsuka-europe-crm.veevavault.com/ui/#object/sent_email__v/VBL000000013467", "SE-001398631")</f>
        <v>SE-001398631</v>
      </c>
      <c r="D13000" s="1" t="s">
        <v>0</v>
      </c>
      <c r="E13000" s="2">
        <v>0</v>
      </c>
      <c r="F13000" s="2">
        <v>0</v>
      </c>
      <c r="G13000" s="2">
        <v>0</v>
      </c>
      <c r="H13000" s="1" t="s">
        <v>0</v>
      </c>
      <c r="I13000" s="2">
        <v>0</v>
      </c>
      <c r="J13000" s="1">
        <v>46013.387060185189</v>
      </c>
    </row>
    <row r="13001" spans="1:10" x14ac:dyDescent="0.2">
      <c r="A13001" s="4" t="s">
        <v>1</v>
      </c>
      <c r="B1300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01" s="3" t="str">
        <f>HYPERLINK("https://otsuka-europe-crm.veevavault.com/ui/#object/sent_email__v/VBL000000013468", "SE-001398632")</f>
        <v>SE-001398632</v>
      </c>
      <c r="D13001" s="1" t="s">
        <v>0</v>
      </c>
      <c r="E13001" s="2">
        <v>0</v>
      </c>
      <c r="F13001" s="2">
        <v>0</v>
      </c>
      <c r="G13001" s="2">
        <v>0</v>
      </c>
      <c r="H13001" s="1" t="s">
        <v>0</v>
      </c>
      <c r="I13001" s="2">
        <v>0</v>
      </c>
      <c r="J13001" s="1">
        <v>46013.387060185189</v>
      </c>
    </row>
    <row r="13002" spans="1:10" x14ac:dyDescent="0.2">
      <c r="A13002" s="4" t="s">
        <v>1</v>
      </c>
      <c r="B1300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02" s="3" t="str">
        <f>HYPERLINK("https://otsuka-europe-crm.veevavault.com/ui/#object/sent_email__v/VBL000000013469", "SE-001398633")</f>
        <v>SE-001398633</v>
      </c>
      <c r="D13002" s="1" t="s">
        <v>0</v>
      </c>
      <c r="E13002" s="2">
        <v>0</v>
      </c>
      <c r="F13002" s="2">
        <v>0</v>
      </c>
      <c r="G13002" s="2">
        <v>0</v>
      </c>
      <c r="H13002" s="1" t="s">
        <v>0</v>
      </c>
      <c r="I13002" s="2">
        <v>0</v>
      </c>
      <c r="J13002" s="1">
        <v>46013.387060185189</v>
      </c>
    </row>
    <row r="13003" spans="1:10" x14ac:dyDescent="0.2">
      <c r="A13003" s="4" t="s">
        <v>1</v>
      </c>
      <c r="B1300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03" s="3" t="str">
        <f>HYPERLINK("https://otsuka-europe-crm.veevavault.com/ui/#object/sent_email__v/VBL000000013470", "SE-001398634")</f>
        <v>SE-001398634</v>
      </c>
      <c r="D13003" s="1" t="s">
        <v>0</v>
      </c>
      <c r="E13003" s="2">
        <v>0</v>
      </c>
      <c r="F13003" s="2">
        <v>0</v>
      </c>
      <c r="G13003" s="2">
        <v>0</v>
      </c>
      <c r="H13003" s="1" t="s">
        <v>0</v>
      </c>
      <c r="I13003" s="2">
        <v>0</v>
      </c>
      <c r="J13003" s="1">
        <v>46013.387060185189</v>
      </c>
    </row>
    <row r="13004" spans="1:10" x14ac:dyDescent="0.2">
      <c r="A13004" s="4" t="s">
        <v>1</v>
      </c>
      <c r="B1300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04" s="3" t="str">
        <f>HYPERLINK("https://otsuka-europe-crm.veevavault.com/ui/#object/sent_email__v/VBL000000013471", "SE-001398635")</f>
        <v>SE-001398635</v>
      </c>
      <c r="D13004" s="1" t="s">
        <v>0</v>
      </c>
      <c r="E13004" s="2">
        <v>0</v>
      </c>
      <c r="F13004" s="2">
        <v>0</v>
      </c>
      <c r="G13004" s="2">
        <v>0</v>
      </c>
      <c r="H13004" s="1" t="s">
        <v>0</v>
      </c>
      <c r="I13004" s="2">
        <v>0</v>
      </c>
      <c r="J13004" s="1">
        <v>46013.387060185189</v>
      </c>
    </row>
    <row r="13005" spans="1:10" x14ac:dyDescent="0.2">
      <c r="A13005" s="4" t="s">
        <v>1</v>
      </c>
      <c r="B1300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05" s="3" t="str">
        <f>HYPERLINK("https://otsuka-europe-crm.veevavault.com/ui/#object/sent_email__v/VBL000000013472", "SE-001398636")</f>
        <v>SE-001398636</v>
      </c>
      <c r="D13005" s="1" t="s">
        <v>0</v>
      </c>
      <c r="E13005" s="2">
        <v>0</v>
      </c>
      <c r="F13005" s="2">
        <v>0</v>
      </c>
      <c r="G13005" s="2">
        <v>0</v>
      </c>
      <c r="H13005" s="1" t="s">
        <v>0</v>
      </c>
      <c r="I13005" s="2">
        <v>0</v>
      </c>
      <c r="J13005" s="1">
        <v>46013.387060185189</v>
      </c>
    </row>
    <row r="13006" spans="1:10" x14ac:dyDescent="0.2">
      <c r="A13006" s="4" t="s">
        <v>1</v>
      </c>
      <c r="B1300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06" s="3" t="str">
        <f>HYPERLINK("https://otsuka-europe-crm.veevavault.com/ui/#object/sent_email__v/VBL000000013473", "SE-001398637")</f>
        <v>SE-001398637</v>
      </c>
      <c r="D13006" s="1" t="s">
        <v>0</v>
      </c>
      <c r="E13006" s="2">
        <v>0</v>
      </c>
      <c r="F13006" s="2">
        <v>0</v>
      </c>
      <c r="G13006" s="2">
        <v>0</v>
      </c>
      <c r="H13006" s="1" t="s">
        <v>0</v>
      </c>
      <c r="I13006" s="2">
        <v>0</v>
      </c>
      <c r="J13006" s="1">
        <v>46013.387060185189</v>
      </c>
    </row>
    <row r="13007" spans="1:10" x14ac:dyDescent="0.2">
      <c r="A13007" s="4" t="s">
        <v>1</v>
      </c>
      <c r="B1300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07" s="3" t="str">
        <f>HYPERLINK("https://otsuka-europe-crm.veevavault.com/ui/#object/sent_email__v/VBL000000013474", "SE-001398638")</f>
        <v>SE-001398638</v>
      </c>
      <c r="D13007" s="1" t="s">
        <v>0</v>
      </c>
      <c r="E13007" s="2">
        <v>0</v>
      </c>
      <c r="F13007" s="2">
        <v>0</v>
      </c>
      <c r="G13007" s="2">
        <v>0</v>
      </c>
      <c r="H13007" s="1" t="s">
        <v>0</v>
      </c>
      <c r="I13007" s="2">
        <v>0</v>
      </c>
      <c r="J13007" s="1">
        <v>46013.387060185189</v>
      </c>
    </row>
    <row r="13008" spans="1:10" x14ac:dyDescent="0.2">
      <c r="A13008" s="4" t="s">
        <v>1</v>
      </c>
      <c r="B13008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08" s="3" t="str">
        <f>HYPERLINK("https://otsuka-europe-crm.veevavault.com/ui/#object/sent_email__v/VBL000000013475", "SE-001398639")</f>
        <v>SE-001398639</v>
      </c>
      <c r="D13008" s="1" t="s">
        <v>0</v>
      </c>
      <c r="E13008" s="2">
        <v>0</v>
      </c>
      <c r="F13008" s="2">
        <v>0</v>
      </c>
      <c r="G13008" s="2">
        <v>0</v>
      </c>
      <c r="H13008" s="1" t="s">
        <v>0</v>
      </c>
      <c r="I13008" s="2">
        <v>0</v>
      </c>
      <c r="J13008" s="1">
        <v>46013.387060185189</v>
      </c>
    </row>
    <row r="13009" spans="1:10" x14ac:dyDescent="0.2">
      <c r="A13009" s="4" t="s">
        <v>1</v>
      </c>
      <c r="B13009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09" s="3" t="str">
        <f>HYPERLINK("https://otsuka-europe-crm.veevavault.com/ui/#object/sent_email__v/VBL000000013476", "SE-001398640")</f>
        <v>SE-001398640</v>
      </c>
      <c r="D13009" s="1" t="s">
        <v>0</v>
      </c>
      <c r="E13009" s="2">
        <v>0</v>
      </c>
      <c r="F13009" s="2">
        <v>0</v>
      </c>
      <c r="G13009" s="2">
        <v>0</v>
      </c>
      <c r="H13009" s="1" t="s">
        <v>0</v>
      </c>
      <c r="I13009" s="2">
        <v>0</v>
      </c>
      <c r="J13009" s="1">
        <v>46013.387060185189</v>
      </c>
    </row>
    <row r="13010" spans="1:10" x14ac:dyDescent="0.2">
      <c r="A13010" s="4" t="s">
        <v>1</v>
      </c>
      <c r="B13010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10" s="3" t="str">
        <f>HYPERLINK("https://otsuka-europe-crm.veevavault.com/ui/#object/sent_email__v/VBL000000013477", "SE-001398641")</f>
        <v>SE-001398641</v>
      </c>
      <c r="D13010" s="1" t="s">
        <v>0</v>
      </c>
      <c r="E13010" s="2">
        <v>0</v>
      </c>
      <c r="F13010" s="2">
        <v>0</v>
      </c>
      <c r="G13010" s="2">
        <v>0</v>
      </c>
      <c r="H13010" s="1" t="s">
        <v>0</v>
      </c>
      <c r="I13010" s="2">
        <v>0</v>
      </c>
      <c r="J13010" s="1">
        <v>46013.387071759258</v>
      </c>
    </row>
    <row r="13011" spans="1:10" x14ac:dyDescent="0.2">
      <c r="A13011" s="4" t="s">
        <v>1</v>
      </c>
      <c r="B13011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11" s="3" t="str">
        <f>HYPERLINK("https://otsuka-europe-crm.veevavault.com/ui/#object/sent_email__v/VBL000000013478", "SE-001398642")</f>
        <v>SE-001398642</v>
      </c>
      <c r="D13011" s="1" t="s">
        <v>0</v>
      </c>
      <c r="E13011" s="2">
        <v>0</v>
      </c>
      <c r="F13011" s="2">
        <v>0</v>
      </c>
      <c r="G13011" s="2">
        <v>0</v>
      </c>
      <c r="H13011" s="1" t="s">
        <v>0</v>
      </c>
      <c r="I13011" s="2">
        <v>0</v>
      </c>
      <c r="J13011" s="1">
        <v>46013.387071759258</v>
      </c>
    </row>
    <row r="13012" spans="1:10" x14ac:dyDescent="0.2">
      <c r="A13012" s="4" t="s">
        <v>1</v>
      </c>
      <c r="B13012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12" s="3" t="str">
        <f>HYPERLINK("https://otsuka-europe-crm.veevavault.com/ui/#object/sent_email__v/VBL000000013479", "SE-001398643")</f>
        <v>SE-001398643</v>
      </c>
      <c r="D13012" s="1" t="s">
        <v>0</v>
      </c>
      <c r="E13012" s="2">
        <v>0</v>
      </c>
      <c r="F13012" s="2">
        <v>0</v>
      </c>
      <c r="G13012" s="2">
        <v>0</v>
      </c>
      <c r="H13012" s="1" t="s">
        <v>0</v>
      </c>
      <c r="I13012" s="2">
        <v>0</v>
      </c>
      <c r="J13012" s="1">
        <v>46013.387071759258</v>
      </c>
    </row>
    <row r="13013" spans="1:10" x14ac:dyDescent="0.2">
      <c r="A13013" s="4" t="s">
        <v>1</v>
      </c>
      <c r="B13013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13" s="3" t="str">
        <f>HYPERLINK("https://otsuka-europe-crm.veevavault.com/ui/#object/sent_email__v/VBL000000013480", "SE-001398644")</f>
        <v>SE-001398644</v>
      </c>
      <c r="D13013" s="1" t="s">
        <v>0</v>
      </c>
      <c r="E13013" s="2">
        <v>0</v>
      </c>
      <c r="F13013" s="2">
        <v>0</v>
      </c>
      <c r="G13013" s="2">
        <v>0</v>
      </c>
      <c r="H13013" s="1" t="s">
        <v>0</v>
      </c>
      <c r="I13013" s="2">
        <v>0</v>
      </c>
      <c r="J13013" s="1">
        <v>46013.387071759258</v>
      </c>
    </row>
    <row r="13014" spans="1:10" x14ac:dyDescent="0.2">
      <c r="A13014" s="4" t="s">
        <v>1</v>
      </c>
      <c r="B13014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14" s="3" t="str">
        <f>HYPERLINK("https://otsuka-europe-crm.veevavault.com/ui/#object/sent_email__v/VBL000000013481", "SE-001398645")</f>
        <v>SE-001398645</v>
      </c>
      <c r="D13014" s="1" t="s">
        <v>0</v>
      </c>
      <c r="E13014" s="2">
        <v>0</v>
      </c>
      <c r="F13014" s="2">
        <v>0</v>
      </c>
      <c r="G13014" s="2">
        <v>0</v>
      </c>
      <c r="H13014" s="1" t="s">
        <v>0</v>
      </c>
      <c r="I13014" s="2">
        <v>0</v>
      </c>
      <c r="J13014" s="1">
        <v>46013.387071759258</v>
      </c>
    </row>
    <row r="13015" spans="1:10" x14ac:dyDescent="0.2">
      <c r="A13015" s="4" t="s">
        <v>1</v>
      </c>
      <c r="B13015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15" s="3" t="str">
        <f>HYPERLINK("https://otsuka-europe-crm.veevavault.com/ui/#object/sent_email__v/VBL000000013482", "SE-001398646")</f>
        <v>SE-001398646</v>
      </c>
      <c r="D13015" s="1" t="s">
        <v>0</v>
      </c>
      <c r="E13015" s="2">
        <v>0</v>
      </c>
      <c r="F13015" s="2">
        <v>0</v>
      </c>
      <c r="G13015" s="2">
        <v>0</v>
      </c>
      <c r="H13015" s="1" t="s">
        <v>0</v>
      </c>
      <c r="I13015" s="2">
        <v>0</v>
      </c>
      <c r="J13015" s="1">
        <v>46013.387071759258</v>
      </c>
    </row>
    <row r="13016" spans="1:10" x14ac:dyDescent="0.2">
      <c r="A13016" s="4" t="s">
        <v>1</v>
      </c>
      <c r="B13016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16" s="3" t="str">
        <f>HYPERLINK("https://otsuka-europe-crm.veevavault.com/ui/#object/sent_email__v/VBL000000013483", "SE-001398647")</f>
        <v>SE-001398647</v>
      </c>
      <c r="D13016" s="1" t="s">
        <v>0</v>
      </c>
      <c r="E13016" s="2">
        <v>0</v>
      </c>
      <c r="F13016" s="2">
        <v>0</v>
      </c>
      <c r="G13016" s="2">
        <v>0</v>
      </c>
      <c r="H13016" s="1" t="s">
        <v>0</v>
      </c>
      <c r="I13016" s="2">
        <v>0</v>
      </c>
      <c r="J13016" s="1">
        <v>46013.387071759258</v>
      </c>
    </row>
    <row r="13017" spans="1:10" x14ac:dyDescent="0.2">
      <c r="A13017" s="4" t="s">
        <v>1</v>
      </c>
      <c r="B13017" s="3" t="str">
        <f>HYPERLINK("https://otsuka-europe-crm.veevavault.com/ui/#object/approved_document__v/V5O00000000H060", "LUP - 10 cuestiones para pensar: Score Pronóstico - nefro")</f>
        <v>LUP - 10 cuestiones para pensar: Score Pronóstico - nefro</v>
      </c>
      <c r="C13017" s="3" t="str">
        <f>HYPERLINK("https://otsuka-europe-crm.veevavault.com/ui/#object/sent_email__v/VBL000000013484", "SE-001398648")</f>
        <v>SE-001398648</v>
      </c>
      <c r="D13017" s="1" t="s">
        <v>0</v>
      </c>
      <c r="E13017" s="2">
        <v>0</v>
      </c>
      <c r="F13017" s="2">
        <v>0</v>
      </c>
      <c r="G13017" s="2">
        <v>0</v>
      </c>
      <c r="H13017" s="1" t="s">
        <v>0</v>
      </c>
      <c r="I13017" s="2">
        <v>0</v>
      </c>
      <c r="J13017" s="1">
        <v>46013.387071759258</v>
      </c>
    </row>
    <row r="13018" spans="1:10" x14ac:dyDescent="0.2">
      <c r="A13018" s="4" t="s">
        <v>1</v>
      </c>
      <c r="B1301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18" s="3" t="str">
        <f>HYPERLINK("https://otsuka-europe-crm.veevavault.com/ui/#object/sent_email__v/VBL000000011240", "SE-001396947")</f>
        <v>SE-001396947</v>
      </c>
      <c r="D13018" s="1" t="s">
        <v>0</v>
      </c>
      <c r="E13018" s="2">
        <v>0</v>
      </c>
      <c r="F13018" s="2">
        <v>0</v>
      </c>
      <c r="G13018" s="2">
        <v>0</v>
      </c>
      <c r="H13018" s="1" t="s">
        <v>0</v>
      </c>
      <c r="I13018" s="2">
        <v>0</v>
      </c>
      <c r="J13018" s="1">
        <v>46007.370034722226</v>
      </c>
    </row>
    <row r="13019" spans="1:10" x14ac:dyDescent="0.2">
      <c r="A13019" s="4" t="s">
        <v>1</v>
      </c>
      <c r="B1301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19" s="3" t="str">
        <f>HYPERLINK("https://otsuka-europe-crm.veevavault.com/ui/#object/sent_email__v/VBL000000011372", "SE-001397132")</f>
        <v>SE-001397132</v>
      </c>
      <c r="D13019" s="1">
        <v>46008.531076388892</v>
      </c>
      <c r="E13019" s="2">
        <v>1</v>
      </c>
      <c r="F13019" s="2">
        <v>3</v>
      </c>
      <c r="G13019" s="2">
        <v>0</v>
      </c>
      <c r="H13019" s="1" t="s">
        <v>0</v>
      </c>
      <c r="I13019" s="2">
        <v>0</v>
      </c>
      <c r="J13019" s="1">
        <v>46008.440439814818</v>
      </c>
    </row>
    <row r="13020" spans="1:10" x14ac:dyDescent="0.2">
      <c r="A13020" s="4" t="s">
        <v>1</v>
      </c>
      <c r="B1302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20" s="3" t="str">
        <f>HYPERLINK("https://otsuka-europe-crm.veevavault.com/ui/#object/sent_email__v/VBL000000011373", "SE-001397133")</f>
        <v>SE-001397133</v>
      </c>
      <c r="D13020" s="1">
        <v>46014.220069444447</v>
      </c>
      <c r="E13020" s="2">
        <v>1</v>
      </c>
      <c r="F13020" s="2">
        <v>2</v>
      </c>
      <c r="G13020" s="2">
        <v>0</v>
      </c>
      <c r="H13020" s="1" t="s">
        <v>0</v>
      </c>
      <c r="I13020" s="2">
        <v>0</v>
      </c>
      <c r="J13020" s="1">
        <v>46008.44017361111</v>
      </c>
    </row>
    <row r="13021" spans="1:10" x14ac:dyDescent="0.2">
      <c r="A13021" s="4" t="s">
        <v>1</v>
      </c>
      <c r="B1302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21" s="3" t="str">
        <f>HYPERLINK("https://otsuka-europe-crm.veevavault.com/ui/#object/sent_email__v/VBL000000011374", "SE-001397134")</f>
        <v>SE-001397134</v>
      </c>
      <c r="D13021" s="1">
        <v>46008.75582175926</v>
      </c>
      <c r="E13021" s="2">
        <v>1</v>
      </c>
      <c r="F13021" s="2">
        <v>1</v>
      </c>
      <c r="G13021" s="2">
        <v>0</v>
      </c>
      <c r="H13021" s="1" t="s">
        <v>0</v>
      </c>
      <c r="I13021" s="2">
        <v>0</v>
      </c>
      <c r="J13021" s="1">
        <v>46008.44023148148</v>
      </c>
    </row>
    <row r="13022" spans="1:10" x14ac:dyDescent="0.2">
      <c r="A13022" s="4" t="s">
        <v>1</v>
      </c>
      <c r="B1302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22" s="3" t="str">
        <f>HYPERLINK("https://otsuka-europe-crm.veevavault.com/ui/#object/sent_email__v/VBL000000011375", "SE-001397135")</f>
        <v>SE-001397135</v>
      </c>
      <c r="D13022" s="1">
        <v>46008.650717592594</v>
      </c>
      <c r="E13022" s="2">
        <v>1</v>
      </c>
      <c r="F13022" s="2">
        <v>1</v>
      </c>
      <c r="G13022" s="2">
        <v>0</v>
      </c>
      <c r="H13022" s="1" t="s">
        <v>0</v>
      </c>
      <c r="I13022" s="2">
        <v>0</v>
      </c>
      <c r="J13022" s="1">
        <v>46008.440300925926</v>
      </c>
    </row>
    <row r="13023" spans="1:10" x14ac:dyDescent="0.2">
      <c r="A13023" s="4" t="s">
        <v>1</v>
      </c>
      <c r="B1302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23" s="3" t="str">
        <f>HYPERLINK("https://otsuka-europe-crm.veevavault.com/ui/#object/sent_email__v/VBL000000011376", "SE-001397136")</f>
        <v>SE-001397136</v>
      </c>
      <c r="D13023" s="1" t="s">
        <v>0</v>
      </c>
      <c r="E13023" s="2">
        <v>0</v>
      </c>
      <c r="F13023" s="2">
        <v>0</v>
      </c>
      <c r="G13023" s="2">
        <v>0</v>
      </c>
      <c r="H13023" s="1" t="s">
        <v>0</v>
      </c>
      <c r="I13023" s="2">
        <v>0</v>
      </c>
      <c r="J13023" s="1">
        <v>46008.440370370372</v>
      </c>
    </row>
    <row r="13024" spans="1:10" x14ac:dyDescent="0.2">
      <c r="A13024" s="4" t="s">
        <v>1</v>
      </c>
      <c r="B1302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24" s="3" t="str">
        <f>HYPERLINK("https://otsuka-europe-crm.veevavault.com/ui/#object/sent_email__v/VBL000000011377", "SE-001397137")</f>
        <v>SE-001397137</v>
      </c>
      <c r="D13024" s="1" t="s">
        <v>0</v>
      </c>
      <c r="E13024" s="2">
        <v>0</v>
      </c>
      <c r="F13024" s="2">
        <v>0</v>
      </c>
      <c r="G13024" s="2">
        <v>0</v>
      </c>
      <c r="H13024" s="1" t="s">
        <v>0</v>
      </c>
      <c r="I13024" s="2">
        <v>0</v>
      </c>
      <c r="J13024" s="1">
        <v>46008.440439814818</v>
      </c>
    </row>
    <row r="13025" spans="1:10" x14ac:dyDescent="0.2">
      <c r="A13025" s="4" t="s">
        <v>1</v>
      </c>
      <c r="B1302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25" s="3" t="str">
        <f>HYPERLINK("https://otsuka-europe-crm.veevavault.com/ui/#object/sent_email__v/VBL000000011378", "SE-001397138")</f>
        <v>SE-001397138</v>
      </c>
      <c r="D13025" s="1">
        <v>46018.550324074073</v>
      </c>
      <c r="E13025" s="2">
        <v>1</v>
      </c>
      <c r="F13025" s="2">
        <v>2</v>
      </c>
      <c r="G13025" s="2">
        <v>0</v>
      </c>
      <c r="H13025" s="1" t="s">
        <v>0</v>
      </c>
      <c r="I13025" s="2">
        <v>0</v>
      </c>
      <c r="J13025" s="1">
        <v>46008.440520833334</v>
      </c>
    </row>
    <row r="13026" spans="1:10" x14ac:dyDescent="0.2">
      <c r="A13026" s="4" t="s">
        <v>1</v>
      </c>
      <c r="B1302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26" s="3" t="str">
        <f>HYPERLINK("https://otsuka-europe-crm.veevavault.com/ui/#object/sent_email__v/VBL000000011379", "SE-001397139")</f>
        <v>SE-001397139</v>
      </c>
      <c r="D13026" s="1">
        <v>46008.955023148148</v>
      </c>
      <c r="E13026" s="2">
        <v>1</v>
      </c>
      <c r="F13026" s="2">
        <v>1</v>
      </c>
      <c r="G13026" s="2">
        <v>0</v>
      </c>
      <c r="H13026" s="1" t="s">
        <v>0</v>
      </c>
      <c r="I13026" s="2">
        <v>0</v>
      </c>
      <c r="J13026" s="1">
        <v>46008.44059027778</v>
      </c>
    </row>
    <row r="13027" spans="1:10" x14ac:dyDescent="0.2">
      <c r="A13027" s="4" t="s">
        <v>1</v>
      </c>
      <c r="B1302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27" s="3" t="str">
        <f>HYPERLINK("https://otsuka-europe-crm.veevavault.com/ui/#object/sent_email__v/VBL000000011380", "SE-001397140")</f>
        <v>SE-001397140</v>
      </c>
      <c r="D13027" s="1" t="s">
        <v>0</v>
      </c>
      <c r="E13027" s="2">
        <v>0</v>
      </c>
      <c r="F13027" s="2">
        <v>0</v>
      </c>
      <c r="G13027" s="2">
        <v>0</v>
      </c>
      <c r="H13027" s="1" t="s">
        <v>0</v>
      </c>
      <c r="I13027" s="2">
        <v>0</v>
      </c>
      <c r="J13027" s="1">
        <v>46008.440671296295</v>
      </c>
    </row>
    <row r="13028" spans="1:10" x14ac:dyDescent="0.2">
      <c r="A13028" s="4" t="s">
        <v>1</v>
      </c>
      <c r="B1302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28" s="3" t="str">
        <f>HYPERLINK("https://otsuka-europe-crm.veevavault.com/ui/#object/sent_email__v/VBL000000011381", "SE-001397141")</f>
        <v>SE-001397141</v>
      </c>
      <c r="D13028" s="1" t="s">
        <v>0</v>
      </c>
      <c r="E13028" s="2">
        <v>0</v>
      </c>
      <c r="F13028" s="2">
        <v>0</v>
      </c>
      <c r="G13028" s="2">
        <v>0</v>
      </c>
      <c r="H13028" s="1" t="s">
        <v>0</v>
      </c>
      <c r="I13028" s="2">
        <v>0</v>
      </c>
      <c r="J13028" s="1">
        <v>46008.440740740742</v>
      </c>
    </row>
    <row r="13029" spans="1:10" x14ac:dyDescent="0.2">
      <c r="A13029" s="4" t="s">
        <v>1</v>
      </c>
      <c r="B1302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29" s="3" t="str">
        <f>HYPERLINK("https://otsuka-europe-crm.veevavault.com/ui/#object/sent_email__v/VBL000000011382", "SE-001397142")</f>
        <v>SE-001397142</v>
      </c>
      <c r="D13029" s="1">
        <v>46008.441886574074</v>
      </c>
      <c r="E13029" s="2">
        <v>1</v>
      </c>
      <c r="F13029" s="2">
        <v>1</v>
      </c>
      <c r="G13029" s="2">
        <v>0</v>
      </c>
      <c r="H13029" s="1" t="s">
        <v>0</v>
      </c>
      <c r="I13029" s="2">
        <v>0</v>
      </c>
      <c r="J13029" s="1">
        <v>46008.440798611111</v>
      </c>
    </row>
    <row r="13030" spans="1:10" x14ac:dyDescent="0.2">
      <c r="A13030" s="4" t="s">
        <v>1</v>
      </c>
      <c r="B1303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30" s="3" t="str">
        <f>HYPERLINK("https://otsuka-europe-crm.veevavault.com/ui/#object/sent_email__v/VBL000000011383", "SE-001397143")</f>
        <v>SE-001397143</v>
      </c>
      <c r="D13030" s="1">
        <v>46008.88013888889</v>
      </c>
      <c r="E13030" s="2">
        <v>1</v>
      </c>
      <c r="F13030" s="2">
        <v>1</v>
      </c>
      <c r="G13030" s="2">
        <v>0</v>
      </c>
      <c r="H13030" s="1" t="s">
        <v>0</v>
      </c>
      <c r="I13030" s="2">
        <v>0</v>
      </c>
      <c r="J13030" s="1">
        <v>46008.440879629627</v>
      </c>
    </row>
    <row r="13031" spans="1:10" x14ac:dyDescent="0.2">
      <c r="A13031" s="4" t="s">
        <v>1</v>
      </c>
      <c r="B1303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31" s="3" t="str">
        <f>HYPERLINK("https://otsuka-europe-crm.veevavault.com/ui/#object/sent_email__v/VBL000000011384", "SE-001397144")</f>
        <v>SE-001397144</v>
      </c>
      <c r="D13031" s="1" t="s">
        <v>0</v>
      </c>
      <c r="E13031" s="2">
        <v>0</v>
      </c>
      <c r="F13031" s="2">
        <v>0</v>
      </c>
      <c r="G13031" s="2">
        <v>0</v>
      </c>
      <c r="H13031" s="1" t="s">
        <v>0</v>
      </c>
      <c r="I13031" s="2">
        <v>0</v>
      </c>
      <c r="J13031" s="1">
        <v>46008.440949074073</v>
      </c>
    </row>
    <row r="13032" spans="1:10" x14ac:dyDescent="0.2">
      <c r="A13032" s="4" t="s">
        <v>1</v>
      </c>
      <c r="B1303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32" s="3" t="str">
        <f>HYPERLINK("https://otsuka-europe-crm.veevavault.com/ui/#object/sent_email__v/VBL000000011385", "SE-001397145")</f>
        <v>SE-001397145</v>
      </c>
      <c r="D13032" s="1">
        <v>46008.947789351849</v>
      </c>
      <c r="E13032" s="2">
        <v>1</v>
      </c>
      <c r="F13032" s="2">
        <v>1</v>
      </c>
      <c r="G13032" s="2">
        <v>0</v>
      </c>
      <c r="H13032" s="1" t="s">
        <v>0</v>
      </c>
      <c r="I13032" s="2">
        <v>0</v>
      </c>
      <c r="J13032" s="1">
        <v>46008.440995370373</v>
      </c>
    </row>
    <row r="13033" spans="1:10" x14ac:dyDescent="0.2">
      <c r="A13033" s="4" t="s">
        <v>1</v>
      </c>
      <c r="B1303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33" s="3" t="str">
        <f>HYPERLINK("https://otsuka-europe-crm.veevavault.com/ui/#object/sent_email__v/VBL000000011386", "SE-001397146")</f>
        <v>SE-001397146</v>
      </c>
      <c r="D13033" s="1">
        <v>46008.929537037038</v>
      </c>
      <c r="E13033" s="2">
        <v>1</v>
      </c>
      <c r="F13033" s="2">
        <v>2</v>
      </c>
      <c r="G13033" s="2">
        <v>0</v>
      </c>
      <c r="H13033" s="1" t="s">
        <v>0</v>
      </c>
      <c r="I13033" s="2">
        <v>0</v>
      </c>
      <c r="J13033" s="1">
        <v>46008.441030092596</v>
      </c>
    </row>
    <row r="13034" spans="1:10" x14ac:dyDescent="0.2">
      <c r="A13034" s="4" t="s">
        <v>1</v>
      </c>
      <c r="B1303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34" s="3" t="str">
        <f>HYPERLINK("https://otsuka-europe-crm.veevavault.com/ui/#object/sent_email__v/VBL000000011387", "SE-001397147")</f>
        <v>SE-001397147</v>
      </c>
      <c r="D13034" s="1">
        <v>46008.472418981481</v>
      </c>
      <c r="E13034" s="2">
        <v>1</v>
      </c>
      <c r="F13034" s="2">
        <v>1</v>
      </c>
      <c r="G13034" s="2">
        <v>1</v>
      </c>
      <c r="H13034" s="1">
        <v>46008.47246527778</v>
      </c>
      <c r="I13034" s="2">
        <v>1</v>
      </c>
      <c r="J13034" s="1">
        <v>46008.441064814811</v>
      </c>
    </row>
    <row r="13035" spans="1:10" x14ac:dyDescent="0.2">
      <c r="A13035" s="4" t="s">
        <v>1</v>
      </c>
      <c r="B1303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35" s="3" t="str">
        <f>HYPERLINK("https://otsuka-europe-crm.veevavault.com/ui/#object/sent_email__v/VBL000000011388", "SE-001397178")</f>
        <v>SE-001397178</v>
      </c>
      <c r="D13035" s="1">
        <v>46009.780092592591</v>
      </c>
      <c r="E13035" s="2">
        <v>1</v>
      </c>
      <c r="F13035" s="2">
        <v>2</v>
      </c>
      <c r="G13035" s="2">
        <v>0</v>
      </c>
      <c r="H13035" s="1" t="s">
        <v>0</v>
      </c>
      <c r="I13035" s="2">
        <v>0</v>
      </c>
      <c r="J13035" s="1">
        <v>46008.441053240742</v>
      </c>
    </row>
    <row r="13036" spans="1:10" x14ac:dyDescent="0.2">
      <c r="A13036" s="4" t="s">
        <v>1</v>
      </c>
      <c r="B1303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36" s="3" t="str">
        <f>HYPERLINK("https://otsuka-europe-crm.veevavault.com/ui/#object/sent_email__v/VBL000000011389", "SE-001397179")</f>
        <v>SE-001397179</v>
      </c>
      <c r="D13036" s="1">
        <v>46008.582291666666</v>
      </c>
      <c r="E13036" s="2">
        <v>1</v>
      </c>
      <c r="F13036" s="2">
        <v>1</v>
      </c>
      <c r="G13036" s="2">
        <v>0</v>
      </c>
      <c r="H13036" s="1" t="s">
        <v>0</v>
      </c>
      <c r="I13036" s="2">
        <v>0</v>
      </c>
      <c r="J13036" s="1">
        <v>46008.441099537034</v>
      </c>
    </row>
    <row r="13037" spans="1:10" x14ac:dyDescent="0.2">
      <c r="A13037" s="4" t="s">
        <v>1</v>
      </c>
      <c r="B1303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37" s="3" t="str">
        <f>HYPERLINK("https://otsuka-europe-crm.veevavault.com/ui/#object/sent_email__v/VBL000000011390", "SE-001397180")</f>
        <v>SE-001397180</v>
      </c>
      <c r="D13037" s="1" t="s">
        <v>0</v>
      </c>
      <c r="E13037" s="2">
        <v>0</v>
      </c>
      <c r="F13037" s="2">
        <v>0</v>
      </c>
      <c r="G13037" s="2">
        <v>0</v>
      </c>
      <c r="H13037" s="1" t="s">
        <v>0</v>
      </c>
      <c r="I13037" s="2">
        <v>0</v>
      </c>
      <c r="J13037" s="1">
        <v>46008.441134259258</v>
      </c>
    </row>
    <row r="13038" spans="1:10" x14ac:dyDescent="0.2">
      <c r="A13038" s="4" t="s">
        <v>1</v>
      </c>
      <c r="B1303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38" s="3" t="str">
        <f>HYPERLINK("https://otsuka-europe-crm.veevavault.com/ui/#object/sent_email__v/VBL000000011391", "SE-001397181")</f>
        <v>SE-001397181</v>
      </c>
      <c r="D13038" s="1" t="s">
        <v>0</v>
      </c>
      <c r="E13038" s="2">
        <v>0</v>
      </c>
      <c r="F13038" s="2">
        <v>0</v>
      </c>
      <c r="G13038" s="2">
        <v>0</v>
      </c>
      <c r="H13038" s="1" t="s">
        <v>0</v>
      </c>
      <c r="I13038" s="2">
        <v>0</v>
      </c>
      <c r="J13038" s="1">
        <v>46008.441180555557</v>
      </c>
    </row>
    <row r="13039" spans="1:10" x14ac:dyDescent="0.2">
      <c r="A13039" s="4" t="s">
        <v>1</v>
      </c>
      <c r="B1303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39" s="3" t="str">
        <f>HYPERLINK("https://otsuka-europe-crm.veevavault.com/ui/#object/sent_email__v/VBL000000011392", "SE-001397182")</f>
        <v>SE-001397182</v>
      </c>
      <c r="D13039" s="1" t="s">
        <v>0</v>
      </c>
      <c r="E13039" s="2">
        <v>0</v>
      </c>
      <c r="F13039" s="2">
        <v>0</v>
      </c>
      <c r="G13039" s="2">
        <v>0</v>
      </c>
      <c r="H13039" s="1" t="s">
        <v>0</v>
      </c>
      <c r="I13039" s="2">
        <v>0</v>
      </c>
      <c r="J13039" s="1">
        <v>46008.44121527778</v>
      </c>
    </row>
    <row r="13040" spans="1:10" x14ac:dyDescent="0.2">
      <c r="A13040" s="4" t="s">
        <v>1</v>
      </c>
      <c r="B1304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40" s="3" t="str">
        <f>HYPERLINK("https://otsuka-europe-crm.veevavault.com/ui/#object/sent_email__v/VBL000000011393", "SE-001397183")</f>
        <v>SE-001397183</v>
      </c>
      <c r="D13040" s="1" t="s">
        <v>0</v>
      </c>
      <c r="E13040" s="2">
        <v>0</v>
      </c>
      <c r="F13040" s="2">
        <v>0</v>
      </c>
      <c r="G13040" s="2">
        <v>0</v>
      </c>
      <c r="H13040" s="1" t="s">
        <v>0</v>
      </c>
      <c r="I13040" s="2">
        <v>0</v>
      </c>
      <c r="J13040" s="1">
        <v>46008.441261574073</v>
      </c>
    </row>
    <row r="13041" spans="1:10" x14ac:dyDescent="0.2">
      <c r="A13041" s="4" t="s">
        <v>1</v>
      </c>
      <c r="B1304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41" s="3" t="str">
        <f>HYPERLINK("https://otsuka-europe-crm.veevavault.com/ui/#object/sent_email__v/VBL000000011394", "SE-001397184")</f>
        <v>SE-001397184</v>
      </c>
      <c r="D13041" s="1">
        <v>46014.336701388886</v>
      </c>
      <c r="E13041" s="2">
        <v>1</v>
      </c>
      <c r="F13041" s="2">
        <v>2</v>
      </c>
      <c r="G13041" s="2">
        <v>0</v>
      </c>
      <c r="H13041" s="1" t="s">
        <v>0</v>
      </c>
      <c r="I13041" s="2">
        <v>0</v>
      </c>
      <c r="J13041" s="1">
        <v>46008.441307870373</v>
      </c>
    </row>
    <row r="13042" spans="1:10" x14ac:dyDescent="0.2">
      <c r="A13042" s="4" t="s">
        <v>1</v>
      </c>
      <c r="B1304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42" s="3" t="str">
        <f>HYPERLINK("https://otsuka-europe-crm.veevavault.com/ui/#object/sent_email__v/VBL000000011395", "SE-001397185")</f>
        <v>SE-001397185</v>
      </c>
      <c r="D13042" s="1" t="s">
        <v>0</v>
      </c>
      <c r="E13042" s="2">
        <v>0</v>
      </c>
      <c r="F13042" s="2">
        <v>0</v>
      </c>
      <c r="G13042" s="2">
        <v>0</v>
      </c>
      <c r="H13042" s="1" t="s">
        <v>0</v>
      </c>
      <c r="I13042" s="2">
        <v>0</v>
      </c>
      <c r="J13042" s="1">
        <v>46008.441354166665</v>
      </c>
    </row>
    <row r="13043" spans="1:10" x14ac:dyDescent="0.2">
      <c r="A13043" s="4" t="s">
        <v>1</v>
      </c>
      <c r="B1304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43" s="3" t="str">
        <f>HYPERLINK("https://otsuka-europe-crm.veevavault.com/ui/#object/sent_email__v/VBL000000011396", "SE-001397186")</f>
        <v>SE-001397186</v>
      </c>
      <c r="D13043" s="1" t="s">
        <v>0</v>
      </c>
      <c r="E13043" s="2">
        <v>0</v>
      </c>
      <c r="F13043" s="2">
        <v>0</v>
      </c>
      <c r="G13043" s="2">
        <v>0</v>
      </c>
      <c r="H13043" s="1" t="s">
        <v>0</v>
      </c>
      <c r="I13043" s="2">
        <v>0</v>
      </c>
      <c r="J13043" s="1">
        <v>46008.441388888888</v>
      </c>
    </row>
    <row r="13044" spans="1:10" x14ac:dyDescent="0.2">
      <c r="A13044" s="4" t="s">
        <v>1</v>
      </c>
      <c r="B1304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44" s="3" t="str">
        <f>HYPERLINK("https://otsuka-europe-crm.veevavault.com/ui/#object/sent_email__v/VBL000000011397", "SE-001397187")</f>
        <v>SE-001397187</v>
      </c>
      <c r="D13044" s="1" t="s">
        <v>0</v>
      </c>
      <c r="E13044" s="2">
        <v>0</v>
      </c>
      <c r="F13044" s="2">
        <v>0</v>
      </c>
      <c r="G13044" s="2">
        <v>0</v>
      </c>
      <c r="H13044" s="1" t="s">
        <v>0</v>
      </c>
      <c r="I13044" s="2">
        <v>0</v>
      </c>
      <c r="J13044" s="1">
        <v>46008.441446759258</v>
      </c>
    </row>
    <row r="13045" spans="1:10" x14ac:dyDescent="0.2">
      <c r="A13045" s="4" t="s">
        <v>1</v>
      </c>
      <c r="B1304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45" s="3" t="str">
        <f>HYPERLINK("https://otsuka-europe-crm.veevavault.com/ui/#object/sent_email__v/VBL000000011398", "SE-001397188")</f>
        <v>SE-001397188</v>
      </c>
      <c r="D13045" s="1" t="s">
        <v>0</v>
      </c>
      <c r="E13045" s="2">
        <v>0</v>
      </c>
      <c r="F13045" s="2">
        <v>0</v>
      </c>
      <c r="G13045" s="2">
        <v>0</v>
      </c>
      <c r="H13045" s="1" t="s">
        <v>0</v>
      </c>
      <c r="I13045" s="2">
        <v>0</v>
      </c>
      <c r="J13045" s="1">
        <v>46008.441493055558</v>
      </c>
    </row>
    <row r="13046" spans="1:10" x14ac:dyDescent="0.2">
      <c r="A13046" s="4" t="s">
        <v>1</v>
      </c>
      <c r="B1304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46" s="3" t="str">
        <f>HYPERLINK("https://otsuka-europe-crm.veevavault.com/ui/#object/sent_email__v/VBL000000011399", "SE-001397189")</f>
        <v>SE-001397189</v>
      </c>
      <c r="D13046" s="1">
        <v>46011.109317129631</v>
      </c>
      <c r="E13046" s="2">
        <v>1</v>
      </c>
      <c r="F13046" s="2">
        <v>1</v>
      </c>
      <c r="G13046" s="2">
        <v>0</v>
      </c>
      <c r="H13046" s="1" t="s">
        <v>0</v>
      </c>
      <c r="I13046" s="2">
        <v>0</v>
      </c>
      <c r="J13046" s="1">
        <v>46008.44153935185</v>
      </c>
    </row>
    <row r="13047" spans="1:10" x14ac:dyDescent="0.2">
      <c r="A13047" s="4" t="s">
        <v>1</v>
      </c>
      <c r="B1304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47" s="3" t="str">
        <f>HYPERLINK("https://otsuka-europe-crm.veevavault.com/ui/#object/sent_email__v/VBL000000011400", "SE-001397190")</f>
        <v>SE-001397190</v>
      </c>
      <c r="D13047" s="1" t="s">
        <v>0</v>
      </c>
      <c r="E13047" s="2">
        <v>0</v>
      </c>
      <c r="F13047" s="2">
        <v>0</v>
      </c>
      <c r="G13047" s="2">
        <v>0</v>
      </c>
      <c r="H13047" s="1" t="s">
        <v>0</v>
      </c>
      <c r="I13047" s="2">
        <v>0</v>
      </c>
      <c r="J13047" s="1">
        <v>46008.44158564815</v>
      </c>
    </row>
    <row r="13048" spans="1:10" x14ac:dyDescent="0.2">
      <c r="A13048" s="4" t="s">
        <v>1</v>
      </c>
      <c r="B1304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48" s="3" t="str">
        <f>HYPERLINK("https://otsuka-europe-crm.veevavault.com/ui/#object/sent_email__v/VBL000000011401", "SE-001397191")</f>
        <v>SE-001397191</v>
      </c>
      <c r="D13048" s="1">
        <v>46050.697083333333</v>
      </c>
      <c r="E13048" s="2">
        <v>1</v>
      </c>
      <c r="F13048" s="2">
        <v>5</v>
      </c>
      <c r="G13048" s="2">
        <v>0</v>
      </c>
      <c r="H13048" s="1" t="s">
        <v>0</v>
      </c>
      <c r="I13048" s="2">
        <v>0</v>
      </c>
      <c r="J13048" s="1">
        <v>46008.441631944443</v>
      </c>
    </row>
    <row r="13049" spans="1:10" x14ac:dyDescent="0.2">
      <c r="A13049" s="4" t="s">
        <v>1</v>
      </c>
      <c r="B1304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49" s="3" t="str">
        <f>HYPERLINK("https://otsuka-europe-crm.veevavault.com/ui/#object/sent_email__v/VBL000000011402", "SE-001397192")</f>
        <v>SE-001397192</v>
      </c>
      <c r="D13049" s="1" t="s">
        <v>0</v>
      </c>
      <c r="E13049" s="2">
        <v>0</v>
      </c>
      <c r="F13049" s="2">
        <v>0</v>
      </c>
      <c r="G13049" s="2">
        <v>0</v>
      </c>
      <c r="H13049" s="1" t="s">
        <v>0</v>
      </c>
      <c r="I13049" s="2">
        <v>0</v>
      </c>
      <c r="J13049" s="1">
        <v>46008.441678240742</v>
      </c>
    </row>
    <row r="13050" spans="1:10" x14ac:dyDescent="0.2">
      <c r="A13050" s="4" t="s">
        <v>1</v>
      </c>
      <c r="B1305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50" s="3" t="str">
        <f>HYPERLINK("https://otsuka-europe-crm.veevavault.com/ui/#object/sent_email__v/VBL000000011403", "SE-001397193")</f>
        <v>SE-001397193</v>
      </c>
      <c r="D13050" s="1" t="s">
        <v>0</v>
      </c>
      <c r="E13050" s="2">
        <v>0</v>
      </c>
      <c r="F13050" s="2">
        <v>0</v>
      </c>
      <c r="G13050" s="2">
        <v>0</v>
      </c>
      <c r="H13050" s="1" t="s">
        <v>0</v>
      </c>
      <c r="I13050" s="2">
        <v>0</v>
      </c>
      <c r="J13050" s="1">
        <v>46008.441736111112</v>
      </c>
    </row>
    <row r="13051" spans="1:10" x14ac:dyDescent="0.2">
      <c r="A13051" s="4" t="s">
        <v>1</v>
      </c>
      <c r="B1305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51" s="3" t="str">
        <f>HYPERLINK("https://otsuka-europe-crm.veevavault.com/ui/#object/sent_email__v/VBL000000011404", "SE-001397194")</f>
        <v>SE-001397194</v>
      </c>
      <c r="D13051" s="1">
        <v>46008.497604166667</v>
      </c>
      <c r="E13051" s="2">
        <v>1</v>
      </c>
      <c r="F13051" s="2">
        <v>1</v>
      </c>
      <c r="G13051" s="2">
        <v>0</v>
      </c>
      <c r="H13051" s="1" t="s">
        <v>0</v>
      </c>
      <c r="I13051" s="2">
        <v>0</v>
      </c>
      <c r="J13051" s="1">
        <v>46008.441782407404</v>
      </c>
    </row>
    <row r="13052" spans="1:10" x14ac:dyDescent="0.2">
      <c r="A13052" s="4" t="s">
        <v>1</v>
      </c>
      <c r="B1305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52" s="3" t="str">
        <f>HYPERLINK("https://otsuka-europe-crm.veevavault.com/ui/#object/sent_email__v/VBL000000011405", "SE-001397195")</f>
        <v>SE-001397195</v>
      </c>
      <c r="D13052" s="1">
        <v>46009.449143518519</v>
      </c>
      <c r="E13052" s="2">
        <v>1</v>
      </c>
      <c r="F13052" s="2">
        <v>1</v>
      </c>
      <c r="G13052" s="2">
        <v>0</v>
      </c>
      <c r="H13052" s="1" t="s">
        <v>0</v>
      </c>
      <c r="I13052" s="2">
        <v>0</v>
      </c>
      <c r="J13052" s="1">
        <v>46008.441817129627</v>
      </c>
    </row>
    <row r="13053" spans="1:10" x14ac:dyDescent="0.2">
      <c r="A13053" s="4" t="s">
        <v>1</v>
      </c>
      <c r="B1305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53" s="3" t="str">
        <f>HYPERLINK("https://otsuka-europe-crm.veevavault.com/ui/#object/sent_email__v/VBL000000011406", "SE-001397196")</f>
        <v>SE-001397196</v>
      </c>
      <c r="D13053" s="1" t="s">
        <v>0</v>
      </c>
      <c r="E13053" s="2">
        <v>0</v>
      </c>
      <c r="F13053" s="2">
        <v>0</v>
      </c>
      <c r="G13053" s="2">
        <v>0</v>
      </c>
      <c r="H13053" s="1" t="s">
        <v>0</v>
      </c>
      <c r="I13053" s="2">
        <v>0</v>
      </c>
      <c r="J13053" s="1">
        <v>46008.441863425927</v>
      </c>
    </row>
    <row r="13054" spans="1:10" x14ac:dyDescent="0.2">
      <c r="A13054" s="4" t="s">
        <v>1</v>
      </c>
      <c r="B1305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54" s="3" t="str">
        <f>HYPERLINK("https://otsuka-europe-crm.veevavault.com/ui/#object/sent_email__v/VBL000000011407", "SE-001397197")</f>
        <v>SE-001397197</v>
      </c>
      <c r="D13054" s="1">
        <v>46008.846250000002</v>
      </c>
      <c r="E13054" s="2">
        <v>1</v>
      </c>
      <c r="F13054" s="2">
        <v>3</v>
      </c>
      <c r="G13054" s="2">
        <v>0</v>
      </c>
      <c r="H13054" s="1" t="s">
        <v>0</v>
      </c>
      <c r="I13054" s="2">
        <v>0</v>
      </c>
      <c r="J13054" s="1">
        <v>46008.44190972222</v>
      </c>
    </row>
    <row r="13055" spans="1:10" x14ac:dyDescent="0.2">
      <c r="A13055" s="4" t="s">
        <v>1</v>
      </c>
      <c r="B1305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55" s="3" t="str">
        <f>HYPERLINK("https://otsuka-europe-crm.veevavault.com/ui/#object/sent_email__v/VBL000000011408", "SE-001397198")</f>
        <v>SE-001397198</v>
      </c>
      <c r="D13055" s="1">
        <v>46009.476412037038</v>
      </c>
      <c r="E13055" s="2">
        <v>1</v>
      </c>
      <c r="F13055" s="2">
        <v>1</v>
      </c>
      <c r="G13055" s="2">
        <v>0</v>
      </c>
      <c r="H13055" s="1" t="s">
        <v>0</v>
      </c>
      <c r="I13055" s="2">
        <v>0</v>
      </c>
      <c r="J13055" s="1">
        <v>46008.441944444443</v>
      </c>
    </row>
    <row r="13056" spans="1:10" x14ac:dyDescent="0.2">
      <c r="A13056" s="4" t="s">
        <v>1</v>
      </c>
      <c r="B1305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56" s="3" t="str">
        <f>HYPERLINK("https://otsuka-europe-crm.veevavault.com/ui/#object/sent_email__v/VBL000000011409", "SE-001397199")</f>
        <v>SE-001397199</v>
      </c>
      <c r="D13056" s="1">
        <v>46009.290405092594</v>
      </c>
      <c r="E13056" s="2">
        <v>1</v>
      </c>
      <c r="F13056" s="2">
        <v>1</v>
      </c>
      <c r="G13056" s="2">
        <v>0</v>
      </c>
      <c r="H13056" s="1" t="s">
        <v>0</v>
      </c>
      <c r="I13056" s="2">
        <v>0</v>
      </c>
      <c r="J13056" s="1">
        <v>46008.441990740743</v>
      </c>
    </row>
    <row r="13057" spans="1:10" x14ac:dyDescent="0.2">
      <c r="A13057" s="4" t="s">
        <v>1</v>
      </c>
      <c r="B1305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57" s="3" t="str">
        <f>HYPERLINK("https://otsuka-europe-crm.veevavault.com/ui/#object/sent_email__v/VBL000000011410", "SE-001397200")</f>
        <v>SE-001397200</v>
      </c>
      <c r="D13057" s="1" t="s">
        <v>0</v>
      </c>
      <c r="E13057" s="2">
        <v>0</v>
      </c>
      <c r="F13057" s="2">
        <v>0</v>
      </c>
      <c r="G13057" s="2">
        <v>0</v>
      </c>
      <c r="H13057" s="1" t="s">
        <v>0</v>
      </c>
      <c r="I13057" s="2">
        <v>0</v>
      </c>
      <c r="J13057" s="1">
        <v>46008.442025462966</v>
      </c>
    </row>
    <row r="13058" spans="1:10" x14ac:dyDescent="0.2">
      <c r="A13058" s="4" t="s">
        <v>1</v>
      </c>
      <c r="B1305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58" s="3" t="str">
        <f>HYPERLINK("https://otsuka-europe-crm.veevavault.com/ui/#object/sent_email__v/VBL000000011411", "SE-001397201")</f>
        <v>SE-001397201</v>
      </c>
      <c r="D13058" s="1">
        <v>46008.442164351851</v>
      </c>
      <c r="E13058" s="2">
        <v>1</v>
      </c>
      <c r="F13058" s="2">
        <v>1</v>
      </c>
      <c r="G13058" s="2">
        <v>0</v>
      </c>
      <c r="H13058" s="1" t="s">
        <v>0</v>
      </c>
      <c r="I13058" s="2">
        <v>0</v>
      </c>
      <c r="J13058" s="1">
        <v>46008.442071759258</v>
      </c>
    </row>
    <row r="13059" spans="1:10" x14ac:dyDescent="0.2">
      <c r="A13059" s="4" t="s">
        <v>1</v>
      </c>
      <c r="B1305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59" s="3" t="str">
        <f>HYPERLINK("https://otsuka-europe-crm.veevavault.com/ui/#object/sent_email__v/VBL000000011412", "SE-001397202")</f>
        <v>SE-001397202</v>
      </c>
      <c r="D13059" s="1">
        <v>46008.454456018517</v>
      </c>
      <c r="E13059" s="2">
        <v>1</v>
      </c>
      <c r="F13059" s="2">
        <v>1</v>
      </c>
      <c r="G13059" s="2">
        <v>0</v>
      </c>
      <c r="H13059" s="1" t="s">
        <v>0</v>
      </c>
      <c r="I13059" s="2">
        <v>0</v>
      </c>
      <c r="J13059" s="1">
        <v>46008.442106481481</v>
      </c>
    </row>
    <row r="13060" spans="1:10" x14ac:dyDescent="0.2">
      <c r="A13060" s="4" t="s">
        <v>1</v>
      </c>
      <c r="B1306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60" s="3" t="str">
        <f>HYPERLINK("https://otsuka-europe-crm.veevavault.com/ui/#object/sent_email__v/VBL000000011413", "SE-001397203")</f>
        <v>SE-001397203</v>
      </c>
      <c r="D13060" s="1">
        <v>46010.00403935185</v>
      </c>
      <c r="E13060" s="2">
        <v>1</v>
      </c>
      <c r="F13060" s="2">
        <v>1</v>
      </c>
      <c r="G13060" s="2">
        <v>0</v>
      </c>
      <c r="H13060" s="1" t="s">
        <v>0</v>
      </c>
      <c r="I13060" s="2">
        <v>0</v>
      </c>
      <c r="J13060" s="1">
        <v>46008.442152777781</v>
      </c>
    </row>
    <row r="13061" spans="1:10" x14ac:dyDescent="0.2">
      <c r="A13061" s="4" t="s">
        <v>1</v>
      </c>
      <c r="B1306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61" s="3" t="str">
        <f>HYPERLINK("https://otsuka-europe-crm.veevavault.com/ui/#object/sent_email__v/VBL000000011414", "SE-001397204")</f>
        <v>SE-001397204</v>
      </c>
      <c r="D13061" s="1" t="s">
        <v>0</v>
      </c>
      <c r="E13061" s="2">
        <v>0</v>
      </c>
      <c r="F13061" s="2">
        <v>0</v>
      </c>
      <c r="G13061" s="2">
        <v>0</v>
      </c>
      <c r="H13061" s="1" t="s">
        <v>0</v>
      </c>
      <c r="I13061" s="2">
        <v>0</v>
      </c>
      <c r="J13061" s="1">
        <v>46008.442187499997</v>
      </c>
    </row>
    <row r="13062" spans="1:10" x14ac:dyDescent="0.2">
      <c r="A13062" s="4" t="s">
        <v>1</v>
      </c>
      <c r="B1306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62" s="3" t="str">
        <f>HYPERLINK("https://otsuka-europe-crm.veevavault.com/ui/#object/sent_email__v/VBL000000011415", "SE-001397205")</f>
        <v>SE-001397205</v>
      </c>
      <c r="D13062" s="1" t="s">
        <v>0</v>
      </c>
      <c r="E13062" s="2">
        <v>0</v>
      </c>
      <c r="F13062" s="2">
        <v>0</v>
      </c>
      <c r="G13062" s="2">
        <v>0</v>
      </c>
      <c r="H13062" s="1" t="s">
        <v>0</v>
      </c>
      <c r="I13062" s="2">
        <v>0</v>
      </c>
      <c r="J13062" s="1">
        <v>46008.44222222222</v>
      </c>
    </row>
    <row r="13063" spans="1:10" x14ac:dyDescent="0.2">
      <c r="A13063" s="4" t="s">
        <v>1</v>
      </c>
      <c r="B1306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63" s="3" t="str">
        <f>HYPERLINK("https://otsuka-europe-crm.veevavault.com/ui/#object/sent_email__v/VBL000000011416", "SE-001397206")</f>
        <v>SE-001397206</v>
      </c>
      <c r="D13063" s="1">
        <v>46019.678148148145</v>
      </c>
      <c r="E13063" s="2">
        <v>1</v>
      </c>
      <c r="F13063" s="2">
        <v>3</v>
      </c>
      <c r="G13063" s="2">
        <v>0</v>
      </c>
      <c r="H13063" s="1" t="s">
        <v>0</v>
      </c>
      <c r="I13063" s="2">
        <v>0</v>
      </c>
      <c r="J13063" s="1">
        <v>46008.44226851852</v>
      </c>
    </row>
    <row r="13064" spans="1:10" x14ac:dyDescent="0.2">
      <c r="A13064" s="4" t="s">
        <v>1</v>
      </c>
      <c r="B1306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64" s="3" t="str">
        <f>HYPERLINK("https://otsuka-europe-crm.veevavault.com/ui/#object/sent_email__v/VBL000000011417", "SE-001397207")</f>
        <v>SE-001397207</v>
      </c>
      <c r="D13064" s="1">
        <v>46008.660763888889</v>
      </c>
      <c r="E13064" s="2">
        <v>1</v>
      </c>
      <c r="F13064" s="2">
        <v>1</v>
      </c>
      <c r="G13064" s="2">
        <v>0</v>
      </c>
      <c r="H13064" s="1" t="s">
        <v>0</v>
      </c>
      <c r="I13064" s="2">
        <v>0</v>
      </c>
      <c r="J13064" s="1">
        <v>46008.442303240743</v>
      </c>
    </row>
    <row r="13065" spans="1:10" x14ac:dyDescent="0.2">
      <c r="A13065" s="4" t="s">
        <v>1</v>
      </c>
      <c r="B1306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65" s="3" t="str">
        <f>HYPERLINK("https://otsuka-europe-crm.veevavault.com/ui/#object/sent_email__v/VBL000000011418", "SE-001397208")</f>
        <v>SE-001397208</v>
      </c>
      <c r="D13065" s="1" t="s">
        <v>0</v>
      </c>
      <c r="E13065" s="2">
        <v>0</v>
      </c>
      <c r="F13065" s="2">
        <v>0</v>
      </c>
      <c r="G13065" s="2">
        <v>0</v>
      </c>
      <c r="H13065" s="1" t="s">
        <v>0</v>
      </c>
      <c r="I13065" s="2">
        <v>0</v>
      </c>
      <c r="J13065" s="1">
        <v>46008.442337962966</v>
      </c>
    </row>
    <row r="13066" spans="1:10" x14ac:dyDescent="0.2">
      <c r="A13066" s="4" t="s">
        <v>1</v>
      </c>
      <c r="B1306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66" s="3" t="str">
        <f>HYPERLINK("https://otsuka-europe-crm.veevavault.com/ui/#object/sent_email__v/VBL000000011419", "SE-001397209")</f>
        <v>SE-001397209</v>
      </c>
      <c r="D13066" s="1" t="s">
        <v>0</v>
      </c>
      <c r="E13066" s="2">
        <v>0</v>
      </c>
      <c r="F13066" s="2">
        <v>0</v>
      </c>
      <c r="G13066" s="2">
        <v>0</v>
      </c>
      <c r="H13066" s="1" t="s">
        <v>0</v>
      </c>
      <c r="I13066" s="2">
        <v>0</v>
      </c>
      <c r="J13066" s="1">
        <v>46008.442384259259</v>
      </c>
    </row>
    <row r="13067" spans="1:10" x14ac:dyDescent="0.2">
      <c r="A13067" s="4" t="s">
        <v>1</v>
      </c>
      <c r="B1306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67" s="3" t="str">
        <f>HYPERLINK("https://otsuka-europe-crm.veevavault.com/ui/#object/sent_email__v/VBL000000011420", "SE-001397210")</f>
        <v>SE-001397210</v>
      </c>
      <c r="D13067" s="1" t="s">
        <v>0</v>
      </c>
      <c r="E13067" s="2">
        <v>0</v>
      </c>
      <c r="F13067" s="2">
        <v>0</v>
      </c>
      <c r="G13067" s="2">
        <v>0</v>
      </c>
      <c r="H13067" s="1" t="s">
        <v>0</v>
      </c>
      <c r="I13067" s="2">
        <v>0</v>
      </c>
      <c r="J13067" s="1">
        <v>46008.442418981482</v>
      </c>
    </row>
    <row r="13068" spans="1:10" x14ac:dyDescent="0.2">
      <c r="A13068" s="4" t="s">
        <v>1</v>
      </c>
      <c r="B1306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68" s="3" t="str">
        <f>HYPERLINK("https://otsuka-europe-crm.veevavault.com/ui/#object/sent_email__v/VBL000000011612", "SE-001397403")</f>
        <v>SE-001397403</v>
      </c>
      <c r="D13068" s="1">
        <v>46016.705277777779</v>
      </c>
      <c r="E13068" s="2">
        <v>1</v>
      </c>
      <c r="F13068" s="2">
        <v>2</v>
      </c>
      <c r="G13068" s="2">
        <v>0</v>
      </c>
      <c r="H13068" s="1" t="s">
        <v>0</v>
      </c>
      <c r="I13068" s="2">
        <v>0</v>
      </c>
      <c r="J13068" s="1">
        <v>46008.466805555552</v>
      </c>
    </row>
    <row r="13069" spans="1:10" x14ac:dyDescent="0.2">
      <c r="A13069" s="4" t="s">
        <v>1</v>
      </c>
      <c r="B1306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69" s="3" t="str">
        <f>HYPERLINK("https://otsuka-europe-crm.veevavault.com/ui/#object/sent_email__v/VBL000000011613", "SE-001397404")</f>
        <v>SE-001397404</v>
      </c>
      <c r="D13069" s="1" t="s">
        <v>0</v>
      </c>
      <c r="E13069" s="2">
        <v>0</v>
      </c>
      <c r="F13069" s="2">
        <v>0</v>
      </c>
      <c r="G13069" s="2">
        <v>0</v>
      </c>
      <c r="H13069" s="1" t="s">
        <v>0</v>
      </c>
      <c r="I13069" s="2">
        <v>0</v>
      </c>
      <c r="J13069" s="1">
        <v>46008.466840277775</v>
      </c>
    </row>
    <row r="13070" spans="1:10" x14ac:dyDescent="0.2">
      <c r="A13070" s="4" t="s">
        <v>1</v>
      </c>
      <c r="B1307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70" s="3" t="str">
        <f>HYPERLINK("https://otsuka-europe-crm.veevavault.com/ui/#object/sent_email__v/VBL000000011614", "SE-001397405")</f>
        <v>SE-001397405</v>
      </c>
      <c r="D13070" s="1" t="s">
        <v>0</v>
      </c>
      <c r="E13070" s="2">
        <v>0</v>
      </c>
      <c r="F13070" s="2">
        <v>0</v>
      </c>
      <c r="G13070" s="2">
        <v>0</v>
      </c>
      <c r="H13070" s="1" t="s">
        <v>0</v>
      </c>
      <c r="I13070" s="2">
        <v>0</v>
      </c>
      <c r="J13070" s="1">
        <v>46008.466898148145</v>
      </c>
    </row>
    <row r="13071" spans="1:10" x14ac:dyDescent="0.2">
      <c r="A13071" s="4" t="s">
        <v>1</v>
      </c>
      <c r="B1307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71" s="3" t="str">
        <f>HYPERLINK("https://otsuka-europe-crm.veevavault.com/ui/#object/sent_email__v/VBL000000011615", "SE-001397406")</f>
        <v>SE-001397406</v>
      </c>
      <c r="D13071" s="1" t="s">
        <v>0</v>
      </c>
      <c r="E13071" s="2">
        <v>0</v>
      </c>
      <c r="F13071" s="2">
        <v>0</v>
      </c>
      <c r="G13071" s="2">
        <v>0</v>
      </c>
      <c r="H13071" s="1" t="s">
        <v>0</v>
      </c>
      <c r="I13071" s="2">
        <v>0</v>
      </c>
      <c r="J13071" s="1">
        <v>46008.466921296298</v>
      </c>
    </row>
    <row r="13072" spans="1:10" x14ac:dyDescent="0.2">
      <c r="A13072" s="4" t="s">
        <v>1</v>
      </c>
      <c r="B1307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72" s="3" t="str">
        <f>HYPERLINK("https://otsuka-europe-crm.veevavault.com/ui/#object/sent_email__v/VBL000000011616", "SE-001397407")</f>
        <v>SE-001397407</v>
      </c>
      <c r="D13072" s="1" t="s">
        <v>0</v>
      </c>
      <c r="E13072" s="2">
        <v>0</v>
      </c>
      <c r="F13072" s="2">
        <v>0</v>
      </c>
      <c r="G13072" s="2">
        <v>0</v>
      </c>
      <c r="H13072" s="1" t="s">
        <v>0</v>
      </c>
      <c r="I13072" s="2">
        <v>0</v>
      </c>
      <c r="J13072" s="1">
        <v>46008.466956018521</v>
      </c>
    </row>
    <row r="13073" spans="1:10" x14ac:dyDescent="0.2">
      <c r="A13073" s="4" t="s">
        <v>1</v>
      </c>
      <c r="B1307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73" s="3" t="str">
        <f>HYPERLINK("https://otsuka-europe-crm.veevavault.com/ui/#object/sent_email__v/VBL000000011617", "SE-001397408")</f>
        <v>SE-001397408</v>
      </c>
      <c r="D13073" s="1" t="s">
        <v>0</v>
      </c>
      <c r="E13073" s="2">
        <v>0</v>
      </c>
      <c r="F13073" s="2">
        <v>0</v>
      </c>
      <c r="G13073" s="2">
        <v>0</v>
      </c>
      <c r="H13073" s="1" t="s">
        <v>0</v>
      </c>
      <c r="I13073" s="2">
        <v>0</v>
      </c>
      <c r="J13073" s="1">
        <v>46008.467002314814</v>
      </c>
    </row>
    <row r="13074" spans="1:10" x14ac:dyDescent="0.2">
      <c r="A13074" s="4" t="s">
        <v>1</v>
      </c>
      <c r="B1307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74" s="3" t="str">
        <f>HYPERLINK("https://otsuka-europe-crm.veevavault.com/ui/#object/sent_email__v/VBL000000011618", "SE-001397409")</f>
        <v>SE-001397409</v>
      </c>
      <c r="D13074" s="1">
        <v>46011.418703703705</v>
      </c>
      <c r="E13074" s="2">
        <v>1</v>
      </c>
      <c r="F13074" s="2">
        <v>1</v>
      </c>
      <c r="G13074" s="2">
        <v>0</v>
      </c>
      <c r="H13074" s="1" t="s">
        <v>0</v>
      </c>
      <c r="I13074" s="2">
        <v>0</v>
      </c>
      <c r="J13074" s="1">
        <v>46008.467048611114</v>
      </c>
    </row>
    <row r="13075" spans="1:10" x14ac:dyDescent="0.2">
      <c r="A13075" s="4" t="s">
        <v>1</v>
      </c>
      <c r="B1307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75" s="3" t="str">
        <f>HYPERLINK("https://otsuka-europe-crm.veevavault.com/ui/#object/sent_email__v/VBL000000011619", "SE-001397410")</f>
        <v>SE-001397410</v>
      </c>
      <c r="D13075" s="1" t="s">
        <v>0</v>
      </c>
      <c r="E13075" s="2">
        <v>0</v>
      </c>
      <c r="F13075" s="2">
        <v>0</v>
      </c>
      <c r="G13075" s="2">
        <v>0</v>
      </c>
      <c r="H13075" s="1" t="s">
        <v>0</v>
      </c>
      <c r="I13075" s="2">
        <v>0</v>
      </c>
      <c r="J13075" s="1">
        <v>46008.46707175926</v>
      </c>
    </row>
    <row r="13076" spans="1:10" x14ac:dyDescent="0.2">
      <c r="A13076" s="4" t="s">
        <v>1</v>
      </c>
      <c r="B1307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76" s="3" t="str">
        <f>HYPERLINK("https://otsuka-europe-crm.veevavault.com/ui/#object/sent_email__v/VBL000000011620", "SE-001397411")</f>
        <v>SE-001397411</v>
      </c>
      <c r="D13076" s="1" t="s">
        <v>0</v>
      </c>
      <c r="E13076" s="2">
        <v>0</v>
      </c>
      <c r="F13076" s="2">
        <v>0</v>
      </c>
      <c r="G13076" s="2">
        <v>0</v>
      </c>
      <c r="H13076" s="1" t="s">
        <v>0</v>
      </c>
      <c r="I13076" s="2">
        <v>0</v>
      </c>
      <c r="J13076" s="1">
        <v>46008.467118055552</v>
      </c>
    </row>
    <row r="13077" spans="1:10" x14ac:dyDescent="0.2">
      <c r="A13077" s="4" t="s">
        <v>1</v>
      </c>
      <c r="B1307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77" s="3" t="str">
        <f>HYPERLINK("https://otsuka-europe-crm.veevavault.com/ui/#object/sent_email__v/VBL000000011621", "SE-001397412")</f>
        <v>SE-001397412</v>
      </c>
      <c r="D13077" s="1" t="s">
        <v>0</v>
      </c>
      <c r="E13077" s="2">
        <v>0</v>
      </c>
      <c r="F13077" s="2">
        <v>0</v>
      </c>
      <c r="G13077" s="2">
        <v>0</v>
      </c>
      <c r="H13077" s="1" t="s">
        <v>0</v>
      </c>
      <c r="I13077" s="2">
        <v>0</v>
      </c>
      <c r="J13077" s="1">
        <v>46008.467164351852</v>
      </c>
    </row>
    <row r="13078" spans="1:10" x14ac:dyDescent="0.2">
      <c r="A13078" s="4" t="s">
        <v>1</v>
      </c>
      <c r="B1307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78" s="3" t="str">
        <f>HYPERLINK("https://otsuka-europe-crm.veevavault.com/ui/#object/sent_email__v/VBL000000011622", "SE-001397413")</f>
        <v>SE-001397413</v>
      </c>
      <c r="D13078" s="1" t="s">
        <v>0</v>
      </c>
      <c r="E13078" s="2">
        <v>0</v>
      </c>
      <c r="F13078" s="2">
        <v>0</v>
      </c>
      <c r="G13078" s="2">
        <v>0</v>
      </c>
      <c r="H13078" s="1" t="s">
        <v>0</v>
      </c>
      <c r="I13078" s="2">
        <v>0</v>
      </c>
      <c r="J13078" s="1">
        <v>46008.467210648145</v>
      </c>
    </row>
    <row r="13079" spans="1:10" x14ac:dyDescent="0.2">
      <c r="A13079" s="4" t="s">
        <v>1</v>
      </c>
      <c r="B1307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79" s="3" t="str">
        <f>HYPERLINK("https://otsuka-europe-crm.veevavault.com/ui/#object/sent_email__v/VBL000000011623", "SE-001397414")</f>
        <v>SE-001397414</v>
      </c>
      <c r="D13079" s="1" t="s">
        <v>0</v>
      </c>
      <c r="E13079" s="2">
        <v>0</v>
      </c>
      <c r="F13079" s="2">
        <v>0</v>
      </c>
      <c r="G13079" s="2">
        <v>0</v>
      </c>
      <c r="H13079" s="1" t="s">
        <v>0</v>
      </c>
      <c r="I13079" s="2">
        <v>0</v>
      </c>
      <c r="J13079" s="1">
        <v>46008.467256944445</v>
      </c>
    </row>
    <row r="13080" spans="1:10" x14ac:dyDescent="0.2">
      <c r="A13080" s="4" t="s">
        <v>1</v>
      </c>
      <c r="B1308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80" s="3" t="str">
        <f>HYPERLINK("https://otsuka-europe-crm.veevavault.com/ui/#object/sent_email__v/VBL000000011624", "SE-001397415")</f>
        <v>SE-001397415</v>
      </c>
      <c r="D13080" s="1" t="s">
        <v>0</v>
      </c>
      <c r="E13080" s="2">
        <v>0</v>
      </c>
      <c r="F13080" s="2">
        <v>0</v>
      </c>
      <c r="G13080" s="2">
        <v>0</v>
      </c>
      <c r="H13080" s="1" t="s">
        <v>0</v>
      </c>
      <c r="I13080" s="2">
        <v>0</v>
      </c>
      <c r="J13080" s="1">
        <v>46008.467291666668</v>
      </c>
    </row>
    <row r="13081" spans="1:10" x14ac:dyDescent="0.2">
      <c r="A13081" s="4" t="s">
        <v>1</v>
      </c>
      <c r="B1308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81" s="3" t="str">
        <f>HYPERLINK("https://otsuka-europe-crm.veevavault.com/ui/#object/sent_email__v/VBL000000011625", "SE-001397416")</f>
        <v>SE-001397416</v>
      </c>
      <c r="D13081" s="1" t="s">
        <v>0</v>
      </c>
      <c r="E13081" s="2">
        <v>0</v>
      </c>
      <c r="F13081" s="2">
        <v>0</v>
      </c>
      <c r="G13081" s="2">
        <v>0</v>
      </c>
      <c r="H13081" s="1" t="s">
        <v>0</v>
      </c>
      <c r="I13081" s="2">
        <v>0</v>
      </c>
      <c r="J13081" s="1">
        <v>46008.46733796296</v>
      </c>
    </row>
    <row r="13082" spans="1:10" x14ac:dyDescent="0.2">
      <c r="A13082" s="4" t="s">
        <v>1</v>
      </c>
      <c r="B1308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82" s="3" t="str">
        <f>HYPERLINK("https://otsuka-europe-crm.veevavault.com/ui/#object/sent_email__v/VBL000000011626", "SE-001397417")</f>
        <v>SE-001397417</v>
      </c>
      <c r="D13082" s="1" t="s">
        <v>0</v>
      </c>
      <c r="E13082" s="2">
        <v>0</v>
      </c>
      <c r="F13082" s="2">
        <v>0</v>
      </c>
      <c r="G13082" s="2">
        <v>0</v>
      </c>
      <c r="H13082" s="1" t="s">
        <v>0</v>
      </c>
      <c r="I13082" s="2">
        <v>0</v>
      </c>
      <c r="J13082" s="1">
        <v>46008.467372685183</v>
      </c>
    </row>
    <row r="13083" spans="1:10" x14ac:dyDescent="0.2">
      <c r="A13083" s="4" t="s">
        <v>1</v>
      </c>
      <c r="B1308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83" s="3" t="str">
        <f>HYPERLINK("https://otsuka-europe-crm.veevavault.com/ui/#object/sent_email__v/VBL000000011627", "SE-001397418")</f>
        <v>SE-001397418</v>
      </c>
      <c r="D13083" s="1" t="s">
        <v>0</v>
      </c>
      <c r="E13083" s="2">
        <v>0</v>
      </c>
      <c r="F13083" s="2">
        <v>0</v>
      </c>
      <c r="G13083" s="2">
        <v>0</v>
      </c>
      <c r="H13083" s="1" t="s">
        <v>0</v>
      </c>
      <c r="I13083" s="2">
        <v>0</v>
      </c>
      <c r="J13083" s="1">
        <v>46008.467418981483</v>
      </c>
    </row>
    <row r="13084" spans="1:10" x14ac:dyDescent="0.2">
      <c r="A13084" s="4" t="s">
        <v>1</v>
      </c>
      <c r="B1308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84" s="3" t="str">
        <f>HYPERLINK("https://otsuka-europe-crm.veevavault.com/ui/#object/sent_email__v/VBL000000011628", "SE-001397419")</f>
        <v>SE-001397419</v>
      </c>
      <c r="D13084" s="1" t="s">
        <v>0</v>
      </c>
      <c r="E13084" s="2">
        <v>0</v>
      </c>
      <c r="F13084" s="2">
        <v>0</v>
      </c>
      <c r="G13084" s="2">
        <v>0</v>
      </c>
      <c r="H13084" s="1" t="s">
        <v>0</v>
      </c>
      <c r="I13084" s="2">
        <v>0</v>
      </c>
      <c r="J13084" s="1">
        <v>46008.467453703706</v>
      </c>
    </row>
    <row r="13085" spans="1:10" x14ac:dyDescent="0.2">
      <c r="A13085" s="4" t="s">
        <v>1</v>
      </c>
      <c r="B1308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85" s="3" t="str">
        <f>HYPERLINK("https://otsuka-europe-crm.veevavault.com/ui/#object/sent_email__v/VBL000000011629", "SE-001397420")</f>
        <v>SE-001397420</v>
      </c>
      <c r="D13085" s="1" t="s">
        <v>0</v>
      </c>
      <c r="E13085" s="2">
        <v>0</v>
      </c>
      <c r="F13085" s="2">
        <v>0</v>
      </c>
      <c r="G13085" s="2">
        <v>0</v>
      </c>
      <c r="H13085" s="1" t="s">
        <v>0</v>
      </c>
      <c r="I13085" s="2">
        <v>0</v>
      </c>
      <c r="J13085" s="1">
        <v>46008.467499999999</v>
      </c>
    </row>
    <row r="13086" spans="1:10" x14ac:dyDescent="0.2">
      <c r="A13086" s="4" t="s">
        <v>1</v>
      </c>
      <c r="B1308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86" s="3" t="str">
        <f>HYPERLINK("https://otsuka-europe-crm.veevavault.com/ui/#object/sent_email__v/VBL000000011630", "SE-001397421")</f>
        <v>SE-001397421</v>
      </c>
      <c r="D13086" s="1" t="s">
        <v>0</v>
      </c>
      <c r="E13086" s="2">
        <v>0</v>
      </c>
      <c r="F13086" s="2">
        <v>0</v>
      </c>
      <c r="G13086" s="2">
        <v>0</v>
      </c>
      <c r="H13086" s="1" t="s">
        <v>0</v>
      </c>
      <c r="I13086" s="2">
        <v>0</v>
      </c>
      <c r="J13086" s="1">
        <v>46008.467546296299</v>
      </c>
    </row>
    <row r="13087" spans="1:10" x14ac:dyDescent="0.2">
      <c r="A13087" s="4" t="s">
        <v>1</v>
      </c>
      <c r="B1308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87" s="3" t="str">
        <f>HYPERLINK("https://otsuka-europe-crm.veevavault.com/ui/#object/sent_email__v/VBL000000011631", "SE-001397422")</f>
        <v>SE-001397422</v>
      </c>
      <c r="D13087" s="1" t="s">
        <v>0</v>
      </c>
      <c r="E13087" s="2">
        <v>0</v>
      </c>
      <c r="F13087" s="2">
        <v>0</v>
      </c>
      <c r="G13087" s="2">
        <v>0</v>
      </c>
      <c r="H13087" s="1" t="s">
        <v>0</v>
      </c>
      <c r="I13087" s="2">
        <v>0</v>
      </c>
      <c r="J13087" s="1">
        <v>46008.467592592591</v>
      </c>
    </row>
    <row r="13088" spans="1:10" x14ac:dyDescent="0.2">
      <c r="A13088" s="4" t="s">
        <v>1</v>
      </c>
      <c r="B1308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88" s="3" t="str">
        <f>HYPERLINK("https://otsuka-europe-crm.veevavault.com/ui/#object/sent_email__v/VBL000000011632", "SE-001397423")</f>
        <v>SE-001397423</v>
      </c>
      <c r="D13088" s="1" t="s">
        <v>0</v>
      </c>
      <c r="E13088" s="2">
        <v>0</v>
      </c>
      <c r="F13088" s="2">
        <v>0</v>
      </c>
      <c r="G13088" s="2">
        <v>0</v>
      </c>
      <c r="H13088" s="1" t="s">
        <v>0</v>
      </c>
      <c r="I13088" s="2">
        <v>0</v>
      </c>
      <c r="J13088" s="1">
        <v>46008.467627314814</v>
      </c>
    </row>
    <row r="13089" spans="1:10" x14ac:dyDescent="0.2">
      <c r="A13089" s="4" t="s">
        <v>1</v>
      </c>
      <c r="B1308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89" s="3" t="str">
        <f>HYPERLINK("https://otsuka-europe-crm.veevavault.com/ui/#object/sent_email__v/VBL000000011633", "SE-001397424")</f>
        <v>SE-001397424</v>
      </c>
      <c r="D13089" s="1">
        <v>46044.73201388889</v>
      </c>
      <c r="E13089" s="2">
        <v>1</v>
      </c>
      <c r="F13089" s="2">
        <v>5</v>
      </c>
      <c r="G13089" s="2">
        <v>1</v>
      </c>
      <c r="H13089" s="1">
        <v>46051.891921296294</v>
      </c>
      <c r="I13089" s="2">
        <v>2</v>
      </c>
      <c r="J13089" s="1">
        <v>46008.467673611114</v>
      </c>
    </row>
    <row r="13090" spans="1:10" x14ac:dyDescent="0.2">
      <c r="A13090" s="4" t="s">
        <v>1</v>
      </c>
      <c r="B1309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90" s="3" t="str">
        <f>HYPERLINK("https://otsuka-europe-crm.veevavault.com/ui/#object/sent_email__v/VBL000000011634", "SE-001397425")</f>
        <v>SE-001397425</v>
      </c>
      <c r="D13090" s="1" t="s">
        <v>0</v>
      </c>
      <c r="E13090" s="2">
        <v>0</v>
      </c>
      <c r="F13090" s="2">
        <v>0</v>
      </c>
      <c r="G13090" s="2">
        <v>0</v>
      </c>
      <c r="H13090" s="1" t="s">
        <v>0</v>
      </c>
      <c r="I13090" s="2">
        <v>0</v>
      </c>
      <c r="J13090" s="1">
        <v>46008.467719907407</v>
      </c>
    </row>
    <row r="13091" spans="1:10" x14ac:dyDescent="0.2">
      <c r="A13091" s="4" t="s">
        <v>1</v>
      </c>
      <c r="B1309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91" s="3" t="str">
        <f>HYPERLINK("https://otsuka-europe-crm.veevavault.com/ui/#object/sent_email__v/VBL000000011635", "SE-001397426")</f>
        <v>SE-001397426</v>
      </c>
      <c r="D13091" s="1" t="s">
        <v>0</v>
      </c>
      <c r="E13091" s="2">
        <v>0</v>
      </c>
      <c r="F13091" s="2">
        <v>0</v>
      </c>
      <c r="G13091" s="2">
        <v>0</v>
      </c>
      <c r="H13091" s="1" t="s">
        <v>0</v>
      </c>
      <c r="I13091" s="2">
        <v>0</v>
      </c>
      <c r="J13091" s="1">
        <v>46008.46775462963</v>
      </c>
    </row>
    <row r="13092" spans="1:10" x14ac:dyDescent="0.2">
      <c r="A13092" s="4" t="s">
        <v>1</v>
      </c>
      <c r="B1309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92" s="3" t="str">
        <f>HYPERLINK("https://otsuka-europe-crm.veevavault.com/ui/#object/sent_email__v/VBL000000011636", "SE-001397427")</f>
        <v>SE-001397427</v>
      </c>
      <c r="D13092" s="1" t="s">
        <v>0</v>
      </c>
      <c r="E13092" s="2">
        <v>0</v>
      </c>
      <c r="F13092" s="2">
        <v>0</v>
      </c>
      <c r="G13092" s="2">
        <v>0</v>
      </c>
      <c r="H13092" s="1" t="s">
        <v>0</v>
      </c>
      <c r="I13092" s="2">
        <v>0</v>
      </c>
      <c r="J13092" s="1">
        <v>46008.467789351853</v>
      </c>
    </row>
    <row r="13093" spans="1:10" x14ac:dyDescent="0.2">
      <c r="A13093" s="4" t="s">
        <v>1</v>
      </c>
      <c r="B1309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93" s="3" t="str">
        <f>HYPERLINK("https://otsuka-europe-crm.veevavault.com/ui/#object/sent_email__v/VBL000000011637", "SE-001397428")</f>
        <v>SE-001397428</v>
      </c>
      <c r="D13093" s="1" t="s">
        <v>0</v>
      </c>
      <c r="E13093" s="2">
        <v>0</v>
      </c>
      <c r="F13093" s="2">
        <v>0</v>
      </c>
      <c r="G13093" s="2">
        <v>0</v>
      </c>
      <c r="H13093" s="1" t="s">
        <v>0</v>
      </c>
      <c r="I13093" s="2">
        <v>0</v>
      </c>
      <c r="J13093" s="1">
        <v>46008.467824074076</v>
      </c>
    </row>
    <row r="13094" spans="1:10" x14ac:dyDescent="0.2">
      <c r="A13094" s="4" t="s">
        <v>1</v>
      </c>
      <c r="B1309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94" s="3" t="str">
        <f>HYPERLINK("https://otsuka-europe-crm.veevavault.com/ui/#object/sent_email__v/VBL000000011638", "SE-001397429")</f>
        <v>SE-001397429</v>
      </c>
      <c r="D13094" s="1" t="s">
        <v>0</v>
      </c>
      <c r="E13094" s="2">
        <v>0</v>
      </c>
      <c r="F13094" s="2">
        <v>0</v>
      </c>
      <c r="G13094" s="2">
        <v>0</v>
      </c>
      <c r="H13094" s="1" t="s">
        <v>0</v>
      </c>
      <c r="I13094" s="2">
        <v>0</v>
      </c>
      <c r="J13094" s="1">
        <v>46008.467881944445</v>
      </c>
    </row>
    <row r="13095" spans="1:10" x14ac:dyDescent="0.2">
      <c r="A13095" s="4" t="s">
        <v>1</v>
      </c>
      <c r="B1309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95" s="3" t="str">
        <f>HYPERLINK("https://otsuka-europe-crm.veevavault.com/ui/#object/sent_email__v/VBL000000011639", "SE-001397430")</f>
        <v>SE-001397430</v>
      </c>
      <c r="D13095" s="1">
        <v>46011.756747685184</v>
      </c>
      <c r="E13095" s="2">
        <v>1</v>
      </c>
      <c r="F13095" s="2">
        <v>1</v>
      </c>
      <c r="G13095" s="2">
        <v>0</v>
      </c>
      <c r="H13095" s="1" t="s">
        <v>0</v>
      </c>
      <c r="I13095" s="2">
        <v>0</v>
      </c>
      <c r="J13095" s="1">
        <v>46008.467928240738</v>
      </c>
    </row>
    <row r="13096" spans="1:10" x14ac:dyDescent="0.2">
      <c r="A13096" s="4" t="s">
        <v>1</v>
      </c>
      <c r="B1309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96" s="3" t="str">
        <f>HYPERLINK("https://otsuka-europe-crm.veevavault.com/ui/#object/sent_email__v/VBL000000011640", "SE-001397431")</f>
        <v>SE-001397431</v>
      </c>
      <c r="D13096" s="1" t="s">
        <v>0</v>
      </c>
      <c r="E13096" s="2">
        <v>0</v>
      </c>
      <c r="F13096" s="2">
        <v>0</v>
      </c>
      <c r="G13096" s="2">
        <v>0</v>
      </c>
      <c r="H13096" s="1" t="s">
        <v>0</v>
      </c>
      <c r="I13096" s="2">
        <v>0</v>
      </c>
      <c r="J13096" s="1">
        <v>46008.467962962961</v>
      </c>
    </row>
    <row r="13097" spans="1:10" x14ac:dyDescent="0.2">
      <c r="A13097" s="4" t="s">
        <v>1</v>
      </c>
      <c r="B1309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97" s="3" t="str">
        <f>HYPERLINK("https://otsuka-europe-crm.veevavault.com/ui/#object/sent_email__v/VBL000000011641", "SE-001397432")</f>
        <v>SE-001397432</v>
      </c>
      <c r="D13097" s="1" t="s">
        <v>0</v>
      </c>
      <c r="E13097" s="2">
        <v>0</v>
      </c>
      <c r="F13097" s="2">
        <v>0</v>
      </c>
      <c r="G13097" s="2">
        <v>0</v>
      </c>
      <c r="H13097" s="1" t="s">
        <v>0</v>
      </c>
      <c r="I13097" s="2">
        <v>0</v>
      </c>
      <c r="J13097" s="1">
        <v>46008.467997685184</v>
      </c>
    </row>
    <row r="13098" spans="1:10" x14ac:dyDescent="0.2">
      <c r="A13098" s="4" t="s">
        <v>1</v>
      </c>
      <c r="B1309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98" s="3" t="str">
        <f>HYPERLINK("https://otsuka-europe-crm.veevavault.com/ui/#object/sent_email__v/VBL000000011642", "SE-001397433")</f>
        <v>SE-001397433</v>
      </c>
      <c r="D13098" s="1" t="s">
        <v>0</v>
      </c>
      <c r="E13098" s="2">
        <v>0</v>
      </c>
      <c r="F13098" s="2">
        <v>0</v>
      </c>
      <c r="G13098" s="2">
        <v>0</v>
      </c>
      <c r="H13098" s="1" t="s">
        <v>0</v>
      </c>
      <c r="I13098" s="2">
        <v>0</v>
      </c>
      <c r="J13098" s="1">
        <v>46008.468032407407</v>
      </c>
    </row>
    <row r="13099" spans="1:10" x14ac:dyDescent="0.2">
      <c r="A13099" s="4" t="s">
        <v>1</v>
      </c>
      <c r="B1309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099" s="3" t="str">
        <f>HYPERLINK("https://otsuka-europe-crm.veevavault.com/ui/#object/sent_email__v/VBL000000011643", "SE-001397434")</f>
        <v>SE-001397434</v>
      </c>
      <c r="D13099" s="1">
        <v>46008.558634259258</v>
      </c>
      <c r="E13099" s="2">
        <v>1</v>
      </c>
      <c r="F13099" s="2">
        <v>2</v>
      </c>
      <c r="G13099" s="2">
        <v>0</v>
      </c>
      <c r="H13099" s="1" t="s">
        <v>0</v>
      </c>
      <c r="I13099" s="2">
        <v>0</v>
      </c>
      <c r="J13099" s="1">
        <v>46008.468078703707</v>
      </c>
    </row>
    <row r="13100" spans="1:10" x14ac:dyDescent="0.2">
      <c r="A13100" s="4" t="s">
        <v>1</v>
      </c>
      <c r="B1310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00" s="3" t="str">
        <f>HYPERLINK("https://otsuka-europe-crm.veevavault.com/ui/#object/sent_email__v/VBL000000011644", "SE-001397435")</f>
        <v>SE-001397435</v>
      </c>
      <c r="D13100" s="1" t="s">
        <v>0</v>
      </c>
      <c r="E13100" s="2">
        <v>0</v>
      </c>
      <c r="F13100" s="2">
        <v>0</v>
      </c>
      <c r="G13100" s="2">
        <v>0</v>
      </c>
      <c r="H13100" s="1" t="s">
        <v>0</v>
      </c>
      <c r="I13100" s="2">
        <v>0</v>
      </c>
      <c r="J13100" s="1">
        <v>46008.468113425923</v>
      </c>
    </row>
    <row r="13101" spans="1:10" x14ac:dyDescent="0.2">
      <c r="A13101" s="4" t="s">
        <v>1</v>
      </c>
      <c r="B1310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01" s="3" t="str">
        <f>HYPERLINK("https://otsuka-europe-crm.veevavault.com/ui/#object/sent_email__v/VBL000000011645", "SE-001397436")</f>
        <v>SE-001397436</v>
      </c>
      <c r="D13101" s="1" t="s">
        <v>0</v>
      </c>
      <c r="E13101" s="2">
        <v>0</v>
      </c>
      <c r="F13101" s="2">
        <v>0</v>
      </c>
      <c r="G13101" s="2">
        <v>0</v>
      </c>
      <c r="H13101" s="1" t="s">
        <v>0</v>
      </c>
      <c r="I13101" s="2">
        <v>0</v>
      </c>
      <c r="J13101" s="1">
        <v>46008.468159722222</v>
      </c>
    </row>
    <row r="13102" spans="1:10" x14ac:dyDescent="0.2">
      <c r="A13102" s="4" t="s">
        <v>1</v>
      </c>
      <c r="B1310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02" s="3" t="str">
        <f>HYPERLINK("https://otsuka-europe-crm.veevavault.com/ui/#object/sent_email__v/VBL000000011646", "SE-001397437")</f>
        <v>SE-001397437</v>
      </c>
      <c r="D13102" s="1" t="s">
        <v>0</v>
      </c>
      <c r="E13102" s="2">
        <v>0</v>
      </c>
      <c r="F13102" s="2">
        <v>0</v>
      </c>
      <c r="G13102" s="2">
        <v>0</v>
      </c>
      <c r="H13102" s="1" t="s">
        <v>0</v>
      </c>
      <c r="I13102" s="2">
        <v>0</v>
      </c>
      <c r="J13102" s="1">
        <v>46008.468229166669</v>
      </c>
    </row>
    <row r="13103" spans="1:10" x14ac:dyDescent="0.2">
      <c r="A13103" s="4" t="s">
        <v>1</v>
      </c>
      <c r="B1310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03" s="3" t="str">
        <f>HYPERLINK("https://otsuka-europe-crm.veevavault.com/ui/#object/sent_email__v/VBL000000011647", "SE-001397438")</f>
        <v>SE-001397438</v>
      </c>
      <c r="D13103" s="1" t="s">
        <v>0</v>
      </c>
      <c r="E13103" s="2">
        <v>0</v>
      </c>
      <c r="F13103" s="2">
        <v>0</v>
      </c>
      <c r="G13103" s="2">
        <v>0</v>
      </c>
      <c r="H13103" s="1" t="s">
        <v>0</v>
      </c>
      <c r="I13103" s="2">
        <v>0</v>
      </c>
      <c r="J13103" s="1">
        <v>46008.468298611115</v>
      </c>
    </row>
    <row r="13104" spans="1:10" x14ac:dyDescent="0.2">
      <c r="A13104" s="4" t="s">
        <v>1</v>
      </c>
      <c r="B1310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04" s="3" t="str">
        <f>HYPERLINK("https://otsuka-europe-crm.veevavault.com/ui/#object/sent_email__v/VBL000000011648", "SE-001397439")</f>
        <v>SE-001397439</v>
      </c>
      <c r="D13104" s="1" t="s">
        <v>0</v>
      </c>
      <c r="E13104" s="2">
        <v>0</v>
      </c>
      <c r="F13104" s="2">
        <v>0</v>
      </c>
      <c r="G13104" s="2">
        <v>0</v>
      </c>
      <c r="H13104" s="1" t="s">
        <v>0</v>
      </c>
      <c r="I13104" s="2">
        <v>0</v>
      </c>
      <c r="J13104" s="1">
        <v>46008.468368055554</v>
      </c>
    </row>
    <row r="13105" spans="1:10" x14ac:dyDescent="0.2">
      <c r="A13105" s="4" t="s">
        <v>1</v>
      </c>
      <c r="B1310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05" s="3" t="str">
        <f>HYPERLINK("https://otsuka-europe-crm.veevavault.com/ui/#object/sent_email__v/VBL000000011649", "SE-001397440")</f>
        <v>SE-001397440</v>
      </c>
      <c r="D13105" s="1" t="s">
        <v>0</v>
      </c>
      <c r="E13105" s="2">
        <v>0</v>
      </c>
      <c r="F13105" s="2">
        <v>0</v>
      </c>
      <c r="G13105" s="2">
        <v>0</v>
      </c>
      <c r="H13105" s="1" t="s">
        <v>0</v>
      </c>
      <c r="I13105" s="2">
        <v>0</v>
      </c>
      <c r="J13105" s="1">
        <v>46008.468425925923</v>
      </c>
    </row>
    <row r="13106" spans="1:10" x14ac:dyDescent="0.2">
      <c r="A13106" s="4" t="s">
        <v>1</v>
      </c>
      <c r="B1310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06" s="3" t="str">
        <f>HYPERLINK("https://otsuka-europe-crm.veevavault.com/ui/#object/sent_email__v/VBL000000011650", "SE-001397441")</f>
        <v>SE-001397441</v>
      </c>
      <c r="D13106" s="1">
        <v>46008.591805555552</v>
      </c>
      <c r="E13106" s="2">
        <v>1</v>
      </c>
      <c r="F13106" s="2">
        <v>1</v>
      </c>
      <c r="G13106" s="2">
        <v>0</v>
      </c>
      <c r="H13106" s="1" t="s">
        <v>0</v>
      </c>
      <c r="I13106" s="2">
        <v>0</v>
      </c>
      <c r="J13106" s="1">
        <v>46008.468506944446</v>
      </c>
    </row>
    <row r="13107" spans="1:10" x14ac:dyDescent="0.2">
      <c r="A13107" s="4" t="s">
        <v>1</v>
      </c>
      <c r="B1310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07" s="3" t="str">
        <f>HYPERLINK("https://otsuka-europe-crm.veevavault.com/ui/#object/sent_email__v/VBL000000011651", "SE-001397442")</f>
        <v>SE-001397442</v>
      </c>
      <c r="D13107" s="1" t="s">
        <v>0</v>
      </c>
      <c r="E13107" s="2">
        <v>0</v>
      </c>
      <c r="F13107" s="2">
        <v>0</v>
      </c>
      <c r="G13107" s="2">
        <v>0</v>
      </c>
      <c r="H13107" s="1" t="s">
        <v>0</v>
      </c>
      <c r="I13107" s="2">
        <v>0</v>
      </c>
      <c r="J13107" s="1">
        <v>46008.468564814815</v>
      </c>
    </row>
    <row r="13108" spans="1:10" x14ac:dyDescent="0.2">
      <c r="A13108" s="4" t="s">
        <v>1</v>
      </c>
      <c r="B1310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08" s="3" t="str">
        <f>HYPERLINK("https://otsuka-europe-crm.veevavault.com/ui/#object/sent_email__v/VBL000000011652", "SE-001397443")</f>
        <v>SE-001397443</v>
      </c>
      <c r="D13108" s="1" t="s">
        <v>0</v>
      </c>
      <c r="E13108" s="2">
        <v>0</v>
      </c>
      <c r="F13108" s="2">
        <v>0</v>
      </c>
      <c r="G13108" s="2">
        <v>0</v>
      </c>
      <c r="H13108" s="1" t="s">
        <v>0</v>
      </c>
      <c r="I13108" s="2">
        <v>0</v>
      </c>
      <c r="J13108" s="1">
        <v>46008.468634259261</v>
      </c>
    </row>
    <row r="13109" spans="1:10" x14ac:dyDescent="0.2">
      <c r="A13109" s="4" t="s">
        <v>1</v>
      </c>
      <c r="B1310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09" s="3" t="str">
        <f>HYPERLINK("https://otsuka-europe-crm.veevavault.com/ui/#object/sent_email__v/VBL000000011653", "SE-001397444")</f>
        <v>SE-001397444</v>
      </c>
      <c r="D13109" s="1" t="s">
        <v>0</v>
      </c>
      <c r="E13109" s="2">
        <v>0</v>
      </c>
      <c r="F13109" s="2">
        <v>0</v>
      </c>
      <c r="G13109" s="2">
        <v>0</v>
      </c>
      <c r="H13109" s="1" t="s">
        <v>0</v>
      </c>
      <c r="I13109" s="2">
        <v>0</v>
      </c>
      <c r="J13109" s="1">
        <v>46008.468692129631</v>
      </c>
    </row>
    <row r="13110" spans="1:10" x14ac:dyDescent="0.2">
      <c r="A13110" s="4" t="s">
        <v>1</v>
      </c>
      <c r="B1311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10" s="3" t="str">
        <f>HYPERLINK("https://otsuka-europe-crm.veevavault.com/ui/#object/sent_email__v/VBL000000011654", "SE-001397445")</f>
        <v>SE-001397445</v>
      </c>
      <c r="D13110" s="1" t="s">
        <v>0</v>
      </c>
      <c r="E13110" s="2">
        <v>0</v>
      </c>
      <c r="F13110" s="2">
        <v>0</v>
      </c>
      <c r="G13110" s="2">
        <v>0</v>
      </c>
      <c r="H13110" s="1" t="s">
        <v>0</v>
      </c>
      <c r="I13110" s="2">
        <v>0</v>
      </c>
      <c r="J13110" s="1">
        <v>46008.468761574077</v>
      </c>
    </row>
    <row r="13111" spans="1:10" x14ac:dyDescent="0.2">
      <c r="A13111" s="4" t="s">
        <v>1</v>
      </c>
      <c r="B1311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11" s="3" t="str">
        <f>HYPERLINK("https://otsuka-europe-crm.veevavault.com/ui/#object/sent_email__v/VBL000000011655", "SE-001397446")</f>
        <v>SE-001397446</v>
      </c>
      <c r="D13111" s="1" t="s">
        <v>0</v>
      </c>
      <c r="E13111" s="2">
        <v>0</v>
      </c>
      <c r="F13111" s="2">
        <v>0</v>
      </c>
      <c r="G13111" s="2">
        <v>0</v>
      </c>
      <c r="H13111" s="1" t="s">
        <v>0</v>
      </c>
      <c r="I13111" s="2">
        <v>0</v>
      </c>
      <c r="J13111" s="1">
        <v>46008.468807870369</v>
      </c>
    </row>
    <row r="13112" spans="1:10" x14ac:dyDescent="0.2">
      <c r="A13112" s="4" t="s">
        <v>1</v>
      </c>
      <c r="B1311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12" s="3" t="str">
        <f>HYPERLINK("https://otsuka-europe-crm.veevavault.com/ui/#object/sent_email__v/VBL000000011656", "SE-001397447")</f>
        <v>SE-001397447</v>
      </c>
      <c r="D13112" s="1" t="s">
        <v>0</v>
      </c>
      <c r="E13112" s="2">
        <v>0</v>
      </c>
      <c r="F13112" s="2">
        <v>0</v>
      </c>
      <c r="G13112" s="2">
        <v>0</v>
      </c>
      <c r="H13112" s="1" t="s">
        <v>0</v>
      </c>
      <c r="I13112" s="2">
        <v>0</v>
      </c>
      <c r="J13112" s="1">
        <v>46008.468842592592</v>
      </c>
    </row>
    <row r="13113" spans="1:10" x14ac:dyDescent="0.2">
      <c r="A13113" s="4" t="s">
        <v>1</v>
      </c>
      <c r="B1311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13" s="3" t="str">
        <f>HYPERLINK("https://otsuka-europe-crm.veevavault.com/ui/#object/sent_email__v/VBL000000011657", "SE-001397448")</f>
        <v>SE-001397448</v>
      </c>
      <c r="D13113" s="1" t="s">
        <v>0</v>
      </c>
      <c r="E13113" s="2">
        <v>0</v>
      </c>
      <c r="F13113" s="2">
        <v>0</v>
      </c>
      <c r="G13113" s="2">
        <v>0</v>
      </c>
      <c r="H13113" s="1" t="s">
        <v>0</v>
      </c>
      <c r="I13113" s="2">
        <v>0</v>
      </c>
      <c r="J13113" s="1">
        <v>46008.468877314815</v>
      </c>
    </row>
    <row r="13114" spans="1:10" x14ac:dyDescent="0.2">
      <c r="A13114" s="4" t="s">
        <v>1</v>
      </c>
      <c r="B1311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14" s="3" t="str">
        <f>HYPERLINK("https://otsuka-europe-crm.veevavault.com/ui/#object/sent_email__v/VBL000000011658", "SE-001397449")</f>
        <v>SE-001397449</v>
      </c>
      <c r="D13114" s="1" t="s">
        <v>0</v>
      </c>
      <c r="E13114" s="2">
        <v>0</v>
      </c>
      <c r="F13114" s="2">
        <v>0</v>
      </c>
      <c r="G13114" s="2">
        <v>0</v>
      </c>
      <c r="H13114" s="1" t="s">
        <v>0</v>
      </c>
      <c r="I13114" s="2">
        <v>0</v>
      </c>
      <c r="J13114" s="1">
        <v>46008.468923611108</v>
      </c>
    </row>
    <row r="13115" spans="1:10" x14ac:dyDescent="0.2">
      <c r="A13115" s="4" t="s">
        <v>1</v>
      </c>
      <c r="B1311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15" s="3" t="str">
        <f>HYPERLINK("https://otsuka-europe-crm.veevavault.com/ui/#object/sent_email__v/VBL000000011659", "SE-001397450")</f>
        <v>SE-001397450</v>
      </c>
      <c r="D13115" s="1" t="s">
        <v>0</v>
      </c>
      <c r="E13115" s="2">
        <v>0</v>
      </c>
      <c r="F13115" s="2">
        <v>0</v>
      </c>
      <c r="G13115" s="2">
        <v>0</v>
      </c>
      <c r="H13115" s="1" t="s">
        <v>0</v>
      </c>
      <c r="I13115" s="2">
        <v>0</v>
      </c>
      <c r="J13115" s="1">
        <v>46008.468958333331</v>
      </c>
    </row>
    <row r="13116" spans="1:10" x14ac:dyDescent="0.2">
      <c r="A13116" s="4" t="s">
        <v>1</v>
      </c>
      <c r="B1311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16" s="3" t="str">
        <f>HYPERLINK("https://otsuka-europe-crm.veevavault.com/ui/#object/sent_email__v/VBL000000011660", "SE-001397451")</f>
        <v>SE-001397451</v>
      </c>
      <c r="D13116" s="1" t="s">
        <v>0</v>
      </c>
      <c r="E13116" s="2">
        <v>0</v>
      </c>
      <c r="F13116" s="2">
        <v>0</v>
      </c>
      <c r="G13116" s="2">
        <v>0</v>
      </c>
      <c r="H13116" s="1" t="s">
        <v>0</v>
      </c>
      <c r="I13116" s="2">
        <v>0</v>
      </c>
      <c r="J13116" s="1">
        <v>46008.469004629631</v>
      </c>
    </row>
    <row r="13117" spans="1:10" x14ac:dyDescent="0.2">
      <c r="A13117" s="4" t="s">
        <v>1</v>
      </c>
      <c r="B1311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17" s="3" t="str">
        <f>HYPERLINK("https://otsuka-europe-crm.veevavault.com/ui/#object/sent_email__v/VBL000000011661", "SE-001397452")</f>
        <v>SE-001397452</v>
      </c>
      <c r="D13117" s="1" t="s">
        <v>0</v>
      </c>
      <c r="E13117" s="2">
        <v>0</v>
      </c>
      <c r="F13117" s="2">
        <v>0</v>
      </c>
      <c r="G13117" s="2">
        <v>0</v>
      </c>
      <c r="H13117" s="1" t="s">
        <v>0</v>
      </c>
      <c r="I13117" s="2">
        <v>0</v>
      </c>
      <c r="J13117" s="1">
        <v>46008.469039351854</v>
      </c>
    </row>
    <row r="13118" spans="1:10" x14ac:dyDescent="0.2">
      <c r="A13118" s="4" t="s">
        <v>1</v>
      </c>
      <c r="B1311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18" s="3" t="str">
        <f>HYPERLINK("https://otsuka-europe-crm.veevavault.com/ui/#object/sent_email__v/VBL000000011662", "SE-001397453")</f>
        <v>SE-001397453</v>
      </c>
      <c r="D13118" s="1" t="s">
        <v>0</v>
      </c>
      <c r="E13118" s="2">
        <v>0</v>
      </c>
      <c r="F13118" s="2">
        <v>0</v>
      </c>
      <c r="G13118" s="2">
        <v>0</v>
      </c>
      <c r="H13118" s="1" t="s">
        <v>0</v>
      </c>
      <c r="I13118" s="2">
        <v>0</v>
      </c>
      <c r="J13118" s="1">
        <v>46008.469085648147</v>
      </c>
    </row>
    <row r="13119" spans="1:10" x14ac:dyDescent="0.2">
      <c r="A13119" s="4" t="s">
        <v>1</v>
      </c>
      <c r="B1311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19" s="3" t="str">
        <f>HYPERLINK("https://otsuka-europe-crm.veevavault.com/ui/#object/sent_email__v/VBL000000011663", "SE-001397454")</f>
        <v>SE-001397454</v>
      </c>
      <c r="D13119" s="1" t="s">
        <v>0</v>
      </c>
      <c r="E13119" s="2">
        <v>0</v>
      </c>
      <c r="F13119" s="2">
        <v>0</v>
      </c>
      <c r="G13119" s="2">
        <v>0</v>
      </c>
      <c r="H13119" s="1" t="s">
        <v>0</v>
      </c>
      <c r="I13119" s="2">
        <v>0</v>
      </c>
      <c r="J13119" s="1">
        <v>46008.46912037037</v>
      </c>
    </row>
    <row r="13120" spans="1:10" x14ac:dyDescent="0.2">
      <c r="A13120" s="4" t="s">
        <v>1</v>
      </c>
      <c r="B1312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20" s="3" t="str">
        <f>HYPERLINK("https://otsuka-europe-crm.veevavault.com/ui/#object/sent_email__v/VBL000000011664", "SE-001397455")</f>
        <v>SE-001397455</v>
      </c>
      <c r="D13120" s="1" t="s">
        <v>0</v>
      </c>
      <c r="E13120" s="2">
        <v>0</v>
      </c>
      <c r="F13120" s="2">
        <v>0</v>
      </c>
      <c r="G13120" s="2">
        <v>0</v>
      </c>
      <c r="H13120" s="1" t="s">
        <v>0</v>
      </c>
      <c r="I13120" s="2">
        <v>0</v>
      </c>
      <c r="J13120" s="1">
        <v>46008.469155092593</v>
      </c>
    </row>
    <row r="13121" spans="1:10" x14ac:dyDescent="0.2">
      <c r="A13121" s="4" t="s">
        <v>1</v>
      </c>
      <c r="B1312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21" s="3" t="str">
        <f>HYPERLINK("https://otsuka-europe-crm.veevavault.com/ui/#object/sent_email__v/VBL000000011665", "SE-001397456")</f>
        <v>SE-001397456</v>
      </c>
      <c r="D13121" s="1" t="s">
        <v>0</v>
      </c>
      <c r="E13121" s="2">
        <v>0</v>
      </c>
      <c r="F13121" s="2">
        <v>0</v>
      </c>
      <c r="G13121" s="2">
        <v>0</v>
      </c>
      <c r="H13121" s="1" t="s">
        <v>0</v>
      </c>
      <c r="I13121" s="2">
        <v>0</v>
      </c>
      <c r="J13121" s="1">
        <v>46008.469201388885</v>
      </c>
    </row>
    <row r="13122" spans="1:10" x14ac:dyDescent="0.2">
      <c r="A13122" s="4" t="s">
        <v>1</v>
      </c>
      <c r="B1312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22" s="3" t="str">
        <f>HYPERLINK("https://otsuka-europe-crm.veevavault.com/ui/#object/sent_email__v/VBL000000011666", "SE-001397457")</f>
        <v>SE-001397457</v>
      </c>
      <c r="D13122" s="1" t="s">
        <v>0</v>
      </c>
      <c r="E13122" s="2">
        <v>0</v>
      </c>
      <c r="F13122" s="2">
        <v>0</v>
      </c>
      <c r="G13122" s="2">
        <v>0</v>
      </c>
      <c r="H13122" s="1" t="s">
        <v>0</v>
      </c>
      <c r="I13122" s="2">
        <v>0</v>
      </c>
      <c r="J13122" s="1">
        <v>46008.469236111108</v>
      </c>
    </row>
    <row r="13123" spans="1:10" x14ac:dyDescent="0.2">
      <c r="A13123" s="4" t="s">
        <v>1</v>
      </c>
      <c r="B1312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23" s="3" t="str">
        <f>HYPERLINK("https://otsuka-europe-crm.veevavault.com/ui/#object/sent_email__v/VBL000000011667", "SE-001397458")</f>
        <v>SE-001397458</v>
      </c>
      <c r="D13123" s="1" t="s">
        <v>0</v>
      </c>
      <c r="E13123" s="2">
        <v>0</v>
      </c>
      <c r="F13123" s="2">
        <v>0</v>
      </c>
      <c r="G13123" s="2">
        <v>0</v>
      </c>
      <c r="H13123" s="1" t="s">
        <v>0</v>
      </c>
      <c r="I13123" s="2">
        <v>0</v>
      </c>
      <c r="J13123" s="1">
        <v>46008.469270833331</v>
      </c>
    </row>
    <row r="13124" spans="1:10" x14ac:dyDescent="0.2">
      <c r="A13124" s="4" t="s">
        <v>1</v>
      </c>
      <c r="B1312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24" s="3" t="str">
        <f>HYPERLINK("https://otsuka-europe-crm.veevavault.com/ui/#object/sent_email__v/VBL000000011668", "SE-001397459")</f>
        <v>SE-001397459</v>
      </c>
      <c r="D13124" s="1">
        <v>46009.744710648149</v>
      </c>
      <c r="E13124" s="2">
        <v>1</v>
      </c>
      <c r="F13124" s="2">
        <v>1</v>
      </c>
      <c r="G13124" s="2">
        <v>0</v>
      </c>
      <c r="H13124" s="1" t="s">
        <v>0</v>
      </c>
      <c r="I13124" s="2">
        <v>0</v>
      </c>
      <c r="J13124" s="1">
        <v>46008.469317129631</v>
      </c>
    </row>
    <row r="13125" spans="1:10" x14ac:dyDescent="0.2">
      <c r="A13125" s="4" t="s">
        <v>1</v>
      </c>
      <c r="B1312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25" s="3" t="str">
        <f>HYPERLINK("https://otsuka-europe-crm.veevavault.com/ui/#object/sent_email__v/VBL000000011669", "SE-001397460")</f>
        <v>SE-001397460</v>
      </c>
      <c r="D13125" s="1" t="s">
        <v>0</v>
      </c>
      <c r="E13125" s="2">
        <v>0</v>
      </c>
      <c r="F13125" s="2">
        <v>0</v>
      </c>
      <c r="G13125" s="2">
        <v>0</v>
      </c>
      <c r="H13125" s="1" t="s">
        <v>0</v>
      </c>
      <c r="I13125" s="2">
        <v>0</v>
      </c>
      <c r="J13125" s="1">
        <v>46008.469351851854</v>
      </c>
    </row>
    <row r="13126" spans="1:10" x14ac:dyDescent="0.2">
      <c r="A13126" s="4" t="s">
        <v>1</v>
      </c>
      <c r="B1312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26" s="3" t="str">
        <f>HYPERLINK("https://otsuka-europe-crm.veevavault.com/ui/#object/sent_email__v/VBL000000011670", "SE-001397461")</f>
        <v>SE-001397461</v>
      </c>
      <c r="D13126" s="1" t="s">
        <v>0</v>
      </c>
      <c r="E13126" s="2">
        <v>0</v>
      </c>
      <c r="F13126" s="2">
        <v>0</v>
      </c>
      <c r="G13126" s="2">
        <v>0</v>
      </c>
      <c r="H13126" s="1" t="s">
        <v>0</v>
      </c>
      <c r="I13126" s="2">
        <v>0</v>
      </c>
      <c r="J13126" s="1">
        <v>46008.469398148147</v>
      </c>
    </row>
    <row r="13127" spans="1:10" x14ac:dyDescent="0.2">
      <c r="A13127" s="4" t="s">
        <v>1</v>
      </c>
      <c r="B1312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27" s="3" t="str">
        <f>HYPERLINK("https://otsuka-europe-crm.veevavault.com/ui/#object/sent_email__v/VBL000000011671", "SE-001397462")</f>
        <v>SE-001397462</v>
      </c>
      <c r="D13127" s="1" t="s">
        <v>0</v>
      </c>
      <c r="E13127" s="2">
        <v>0</v>
      </c>
      <c r="F13127" s="2">
        <v>0</v>
      </c>
      <c r="G13127" s="2">
        <v>0</v>
      </c>
      <c r="H13127" s="1" t="s">
        <v>0</v>
      </c>
      <c r="I13127" s="2">
        <v>0</v>
      </c>
      <c r="J13127" s="1">
        <v>46008.46943287037</v>
      </c>
    </row>
    <row r="13128" spans="1:10" x14ac:dyDescent="0.2">
      <c r="A13128" s="4" t="s">
        <v>1</v>
      </c>
      <c r="B1312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28" s="3" t="str">
        <f>HYPERLINK("https://otsuka-europe-crm.veevavault.com/ui/#object/sent_email__v/VBL000000011672", "SE-001397463")</f>
        <v>SE-001397463</v>
      </c>
      <c r="D13128" s="1" t="s">
        <v>0</v>
      </c>
      <c r="E13128" s="2">
        <v>0</v>
      </c>
      <c r="F13128" s="2">
        <v>0</v>
      </c>
      <c r="G13128" s="2">
        <v>0</v>
      </c>
      <c r="H13128" s="1" t="s">
        <v>0</v>
      </c>
      <c r="I13128" s="2">
        <v>0</v>
      </c>
      <c r="J13128" s="1">
        <v>46008.469467592593</v>
      </c>
    </row>
    <row r="13129" spans="1:10" x14ac:dyDescent="0.2">
      <c r="A13129" s="4" t="s">
        <v>1</v>
      </c>
      <c r="B1312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29" s="3" t="str">
        <f>HYPERLINK("https://otsuka-europe-crm.veevavault.com/ui/#object/sent_email__v/VBL000000011673", "SE-001397464")</f>
        <v>SE-001397464</v>
      </c>
      <c r="D13129" s="1">
        <v>46018.149247685185</v>
      </c>
      <c r="E13129" s="2">
        <v>1</v>
      </c>
      <c r="F13129" s="2">
        <v>2</v>
      </c>
      <c r="G13129" s="2">
        <v>0</v>
      </c>
      <c r="H13129" s="1" t="s">
        <v>0</v>
      </c>
      <c r="I13129" s="2">
        <v>0</v>
      </c>
      <c r="J13129" s="1">
        <v>46008.469502314816</v>
      </c>
    </row>
    <row r="13130" spans="1:10" x14ac:dyDescent="0.2">
      <c r="A13130" s="4" t="s">
        <v>1</v>
      </c>
      <c r="B1313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30" s="3" t="str">
        <f>HYPERLINK("https://otsuka-europe-crm.veevavault.com/ui/#object/sent_email__v/VBL000000011674", "SE-001397465")</f>
        <v>SE-001397465</v>
      </c>
      <c r="D13130" s="1" t="s">
        <v>0</v>
      </c>
      <c r="E13130" s="2">
        <v>0</v>
      </c>
      <c r="F13130" s="2">
        <v>0</v>
      </c>
      <c r="G13130" s="2">
        <v>0</v>
      </c>
      <c r="H13130" s="1" t="s">
        <v>0</v>
      </c>
      <c r="I13130" s="2">
        <v>0</v>
      </c>
      <c r="J13130" s="1">
        <v>46008.469548611109</v>
      </c>
    </row>
    <row r="13131" spans="1:10" x14ac:dyDescent="0.2">
      <c r="A13131" s="4" t="s">
        <v>1</v>
      </c>
      <c r="B1313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31" s="3" t="str">
        <f>HYPERLINK("https://otsuka-europe-crm.veevavault.com/ui/#object/sent_email__v/VBL000000011675", "SE-001397466")</f>
        <v>SE-001397466</v>
      </c>
      <c r="D13131" s="1" t="s">
        <v>0</v>
      </c>
      <c r="E13131" s="2">
        <v>0</v>
      </c>
      <c r="F13131" s="2">
        <v>0</v>
      </c>
      <c r="G13131" s="2">
        <v>0</v>
      </c>
      <c r="H13131" s="1" t="s">
        <v>0</v>
      </c>
      <c r="I13131" s="2">
        <v>0</v>
      </c>
      <c r="J13131" s="1">
        <v>46008.469583333332</v>
      </c>
    </row>
    <row r="13132" spans="1:10" x14ac:dyDescent="0.2">
      <c r="A13132" s="4" t="s">
        <v>1</v>
      </c>
      <c r="B1313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32" s="3" t="str">
        <f>HYPERLINK("https://otsuka-europe-crm.veevavault.com/ui/#object/sent_email__v/VBL000000011676", "SE-001397467")</f>
        <v>SE-001397467</v>
      </c>
      <c r="D13132" s="1" t="s">
        <v>0</v>
      </c>
      <c r="E13132" s="2">
        <v>0</v>
      </c>
      <c r="F13132" s="2">
        <v>0</v>
      </c>
      <c r="G13132" s="2">
        <v>0</v>
      </c>
      <c r="H13132" s="1" t="s">
        <v>0</v>
      </c>
      <c r="I13132" s="2">
        <v>0</v>
      </c>
      <c r="J13132" s="1">
        <v>46008.469629629632</v>
      </c>
    </row>
    <row r="13133" spans="1:10" x14ac:dyDescent="0.2">
      <c r="A13133" s="4" t="s">
        <v>1</v>
      </c>
      <c r="B1313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33" s="3" t="str">
        <f>HYPERLINK("https://otsuka-europe-crm.veevavault.com/ui/#object/sent_email__v/VBL000000011677", "SE-001397468")</f>
        <v>SE-001397468</v>
      </c>
      <c r="D13133" s="1" t="s">
        <v>0</v>
      </c>
      <c r="E13133" s="2">
        <v>0</v>
      </c>
      <c r="F13133" s="2">
        <v>0</v>
      </c>
      <c r="G13133" s="2">
        <v>0</v>
      </c>
      <c r="H13133" s="1" t="s">
        <v>0</v>
      </c>
      <c r="I13133" s="2">
        <v>0</v>
      </c>
      <c r="J13133" s="1">
        <v>46008.469664351855</v>
      </c>
    </row>
    <row r="13134" spans="1:10" x14ac:dyDescent="0.2">
      <c r="A13134" s="4" t="s">
        <v>1</v>
      </c>
      <c r="B1313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34" s="3" t="str">
        <f>HYPERLINK("https://otsuka-europe-crm.veevavault.com/ui/#object/sent_email__v/VBL000000011678", "SE-001397469")</f>
        <v>SE-001397469</v>
      </c>
      <c r="D13134" s="1" t="s">
        <v>0</v>
      </c>
      <c r="E13134" s="2">
        <v>0</v>
      </c>
      <c r="F13134" s="2">
        <v>0</v>
      </c>
      <c r="G13134" s="2">
        <v>0</v>
      </c>
      <c r="H13134" s="1" t="s">
        <v>0</v>
      </c>
      <c r="I13134" s="2">
        <v>0</v>
      </c>
      <c r="J13134" s="1">
        <v>46008.469699074078</v>
      </c>
    </row>
    <row r="13135" spans="1:10" x14ac:dyDescent="0.2">
      <c r="A13135" s="4" t="s">
        <v>1</v>
      </c>
      <c r="B1313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35" s="3" t="str">
        <f>HYPERLINK("https://otsuka-europe-crm.veevavault.com/ui/#object/sent_email__v/VBL000000011679", "SE-001397470")</f>
        <v>SE-001397470</v>
      </c>
      <c r="D13135" s="1" t="s">
        <v>0</v>
      </c>
      <c r="E13135" s="2">
        <v>0</v>
      </c>
      <c r="F13135" s="2">
        <v>0</v>
      </c>
      <c r="G13135" s="2">
        <v>0</v>
      </c>
      <c r="H13135" s="1" t="s">
        <v>0</v>
      </c>
      <c r="I13135" s="2">
        <v>0</v>
      </c>
      <c r="J13135" s="1">
        <v>46008.46974537037</v>
      </c>
    </row>
    <row r="13136" spans="1:10" x14ac:dyDescent="0.2">
      <c r="A13136" s="4" t="s">
        <v>1</v>
      </c>
      <c r="B1313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36" s="3" t="str">
        <f>HYPERLINK("https://otsuka-europe-crm.veevavault.com/ui/#object/sent_email__v/VBL000000011680", "SE-001397471")</f>
        <v>SE-001397471</v>
      </c>
      <c r="D13136" s="1" t="s">
        <v>0</v>
      </c>
      <c r="E13136" s="2">
        <v>0</v>
      </c>
      <c r="F13136" s="2">
        <v>0</v>
      </c>
      <c r="G13136" s="2">
        <v>0</v>
      </c>
      <c r="H13136" s="1" t="s">
        <v>0</v>
      </c>
      <c r="I13136" s="2">
        <v>0</v>
      </c>
      <c r="J13136" s="1">
        <v>46008.469780092593</v>
      </c>
    </row>
    <row r="13137" spans="1:10" x14ac:dyDescent="0.2">
      <c r="A13137" s="4" t="s">
        <v>1</v>
      </c>
      <c r="B1313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37" s="3" t="str">
        <f>HYPERLINK("https://otsuka-europe-crm.veevavault.com/ui/#object/sent_email__v/VBL000000011681", "SE-001397472")</f>
        <v>SE-001397472</v>
      </c>
      <c r="D13137" s="1" t="s">
        <v>0</v>
      </c>
      <c r="E13137" s="2">
        <v>0</v>
      </c>
      <c r="F13137" s="2">
        <v>0</v>
      </c>
      <c r="G13137" s="2">
        <v>0</v>
      </c>
      <c r="H13137" s="1" t="s">
        <v>0</v>
      </c>
      <c r="I13137" s="2">
        <v>0</v>
      </c>
      <c r="J13137" s="1">
        <v>46008.469826388886</v>
      </c>
    </row>
    <row r="13138" spans="1:10" x14ac:dyDescent="0.2">
      <c r="A13138" s="4" t="s">
        <v>1</v>
      </c>
      <c r="B1313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38" s="3" t="str">
        <f>HYPERLINK("https://otsuka-europe-crm.veevavault.com/ui/#object/sent_email__v/VBL000000011682", "SE-001397473")</f>
        <v>SE-001397473</v>
      </c>
      <c r="D13138" s="1" t="s">
        <v>0</v>
      </c>
      <c r="E13138" s="2">
        <v>0</v>
      </c>
      <c r="F13138" s="2">
        <v>0</v>
      </c>
      <c r="G13138" s="2">
        <v>0</v>
      </c>
      <c r="H13138" s="1" t="s">
        <v>0</v>
      </c>
      <c r="I13138" s="2">
        <v>0</v>
      </c>
      <c r="J13138" s="1">
        <v>46008.469861111109</v>
      </c>
    </row>
    <row r="13139" spans="1:10" x14ac:dyDescent="0.2">
      <c r="A13139" s="4" t="s">
        <v>1</v>
      </c>
      <c r="B1313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39" s="3" t="str">
        <f>HYPERLINK("https://otsuka-europe-crm.veevavault.com/ui/#object/sent_email__v/VBL000000011683", "SE-001397474")</f>
        <v>SE-001397474</v>
      </c>
      <c r="D13139" s="1" t="s">
        <v>0</v>
      </c>
      <c r="E13139" s="2">
        <v>0</v>
      </c>
      <c r="F13139" s="2">
        <v>0</v>
      </c>
      <c r="G13139" s="2">
        <v>0</v>
      </c>
      <c r="H13139" s="1" t="s">
        <v>0</v>
      </c>
      <c r="I13139" s="2">
        <v>0</v>
      </c>
      <c r="J13139" s="1">
        <v>46008.469907407409</v>
      </c>
    </row>
    <row r="13140" spans="1:10" x14ac:dyDescent="0.2">
      <c r="A13140" s="4" t="s">
        <v>1</v>
      </c>
      <c r="B1314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40" s="3" t="str">
        <f>HYPERLINK("https://otsuka-europe-crm.veevavault.com/ui/#object/sent_email__v/VBL000000011684", "SE-001397475")</f>
        <v>SE-001397475</v>
      </c>
      <c r="D13140" s="1" t="s">
        <v>0</v>
      </c>
      <c r="E13140" s="2">
        <v>0</v>
      </c>
      <c r="F13140" s="2">
        <v>0</v>
      </c>
      <c r="G13140" s="2">
        <v>0</v>
      </c>
      <c r="H13140" s="1" t="s">
        <v>0</v>
      </c>
      <c r="I13140" s="2">
        <v>0</v>
      </c>
      <c r="J13140" s="1">
        <v>46008.469942129632</v>
      </c>
    </row>
    <row r="13141" spans="1:10" x14ac:dyDescent="0.2">
      <c r="A13141" s="4" t="s">
        <v>1</v>
      </c>
      <c r="B1314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41" s="3" t="str">
        <f>HYPERLINK("https://otsuka-europe-crm.veevavault.com/ui/#object/sent_email__v/VBL000000011685", "SE-001397476")</f>
        <v>SE-001397476</v>
      </c>
      <c r="D13141" s="1" t="s">
        <v>0</v>
      </c>
      <c r="E13141" s="2">
        <v>0</v>
      </c>
      <c r="F13141" s="2">
        <v>0</v>
      </c>
      <c r="G13141" s="2">
        <v>0</v>
      </c>
      <c r="H13141" s="1" t="s">
        <v>0</v>
      </c>
      <c r="I13141" s="2">
        <v>0</v>
      </c>
      <c r="J13141" s="1">
        <v>46008.469988425924</v>
      </c>
    </row>
    <row r="13142" spans="1:10" x14ac:dyDescent="0.2">
      <c r="A13142" s="4" t="s">
        <v>1</v>
      </c>
      <c r="B1314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42" s="3" t="str">
        <f>HYPERLINK("https://otsuka-europe-crm.veevavault.com/ui/#object/sent_email__v/VBL000000011686", "SE-001397477")</f>
        <v>SE-001397477</v>
      </c>
      <c r="D13142" s="1" t="s">
        <v>0</v>
      </c>
      <c r="E13142" s="2">
        <v>0</v>
      </c>
      <c r="F13142" s="2">
        <v>0</v>
      </c>
      <c r="G13142" s="2">
        <v>0</v>
      </c>
      <c r="H13142" s="1" t="s">
        <v>0</v>
      </c>
      <c r="I13142" s="2">
        <v>0</v>
      </c>
      <c r="J13142" s="1">
        <v>46008.470034722224</v>
      </c>
    </row>
    <row r="13143" spans="1:10" x14ac:dyDescent="0.2">
      <c r="A13143" s="4" t="s">
        <v>1</v>
      </c>
      <c r="B1314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43" s="3" t="str">
        <f>HYPERLINK("https://otsuka-europe-crm.veevavault.com/ui/#object/sent_email__v/VBL000000011687", "SE-001397478")</f>
        <v>SE-001397478</v>
      </c>
      <c r="D13143" s="1" t="s">
        <v>0</v>
      </c>
      <c r="E13143" s="2">
        <v>0</v>
      </c>
      <c r="F13143" s="2">
        <v>0</v>
      </c>
      <c r="G13143" s="2">
        <v>0</v>
      </c>
      <c r="H13143" s="1" t="s">
        <v>0</v>
      </c>
      <c r="I13143" s="2">
        <v>0</v>
      </c>
      <c r="J13143" s="1">
        <v>46008.470069444447</v>
      </c>
    </row>
    <row r="13144" spans="1:10" x14ac:dyDescent="0.2">
      <c r="A13144" s="4" t="s">
        <v>1</v>
      </c>
      <c r="B1314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44" s="3" t="str">
        <f>HYPERLINK("https://otsuka-europe-crm.veevavault.com/ui/#object/sent_email__v/VBL000000011688", "SE-001397479")</f>
        <v>SE-001397479</v>
      </c>
      <c r="D13144" s="1" t="s">
        <v>0</v>
      </c>
      <c r="E13144" s="2">
        <v>0</v>
      </c>
      <c r="F13144" s="2">
        <v>0</v>
      </c>
      <c r="G13144" s="2">
        <v>0</v>
      </c>
      <c r="H13144" s="1" t="s">
        <v>0</v>
      </c>
      <c r="I13144" s="2">
        <v>0</v>
      </c>
      <c r="J13144" s="1">
        <v>46008.47011574074</v>
      </c>
    </row>
    <row r="13145" spans="1:10" x14ac:dyDescent="0.2">
      <c r="A13145" s="4" t="s">
        <v>1</v>
      </c>
      <c r="B1314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45" s="3" t="str">
        <f>HYPERLINK("https://otsuka-europe-crm.veevavault.com/ui/#object/sent_email__v/VBL000000011689", "SE-001397480")</f>
        <v>SE-001397480</v>
      </c>
      <c r="D13145" s="1" t="s">
        <v>0</v>
      </c>
      <c r="E13145" s="2">
        <v>0</v>
      </c>
      <c r="F13145" s="2">
        <v>0</v>
      </c>
      <c r="G13145" s="2">
        <v>0</v>
      </c>
      <c r="H13145" s="1" t="s">
        <v>0</v>
      </c>
      <c r="I13145" s="2">
        <v>0</v>
      </c>
      <c r="J13145" s="1">
        <v>46008.470150462963</v>
      </c>
    </row>
    <row r="13146" spans="1:10" x14ac:dyDescent="0.2">
      <c r="A13146" s="4" t="s">
        <v>1</v>
      </c>
      <c r="B1314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46" s="3" t="str">
        <f>HYPERLINK("https://otsuka-europe-crm.veevavault.com/ui/#object/sent_email__v/VBL000000011690", "SE-001397481")</f>
        <v>SE-001397481</v>
      </c>
      <c r="D13146" s="1" t="s">
        <v>0</v>
      </c>
      <c r="E13146" s="2">
        <v>0</v>
      </c>
      <c r="F13146" s="2">
        <v>0</v>
      </c>
      <c r="G13146" s="2">
        <v>0</v>
      </c>
      <c r="H13146" s="1" t="s">
        <v>0</v>
      </c>
      <c r="I13146" s="2">
        <v>0</v>
      </c>
      <c r="J13146" s="1">
        <v>46008.470185185186</v>
      </c>
    </row>
    <row r="13147" spans="1:10" x14ac:dyDescent="0.2">
      <c r="A13147" s="4" t="s">
        <v>1</v>
      </c>
      <c r="B1314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47" s="3" t="str">
        <f>HYPERLINK("https://otsuka-europe-crm.veevavault.com/ui/#object/sent_email__v/VBL000000011691", "SE-001397482")</f>
        <v>SE-001397482</v>
      </c>
      <c r="D13147" s="1" t="s">
        <v>0</v>
      </c>
      <c r="E13147" s="2">
        <v>0</v>
      </c>
      <c r="F13147" s="2">
        <v>0</v>
      </c>
      <c r="G13147" s="2">
        <v>0</v>
      </c>
      <c r="H13147" s="1" t="s">
        <v>0</v>
      </c>
      <c r="I13147" s="2">
        <v>0</v>
      </c>
      <c r="J13147" s="1">
        <v>46008.470231481479</v>
      </c>
    </row>
    <row r="13148" spans="1:10" x14ac:dyDescent="0.2">
      <c r="A13148" s="4" t="s">
        <v>1</v>
      </c>
      <c r="B1314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48" s="3" t="str">
        <f>HYPERLINK("https://otsuka-europe-crm.veevavault.com/ui/#object/sent_email__v/VBL000000011692", "SE-001397483")</f>
        <v>SE-001397483</v>
      </c>
      <c r="D13148" s="1" t="s">
        <v>0</v>
      </c>
      <c r="E13148" s="2">
        <v>0</v>
      </c>
      <c r="F13148" s="2">
        <v>0</v>
      </c>
      <c r="G13148" s="2">
        <v>0</v>
      </c>
      <c r="H13148" s="1" t="s">
        <v>0</v>
      </c>
      <c r="I13148" s="2">
        <v>0</v>
      </c>
      <c r="J13148" s="1">
        <v>46008.470266203702</v>
      </c>
    </row>
    <row r="13149" spans="1:10" x14ac:dyDescent="0.2">
      <c r="A13149" s="4" t="s">
        <v>1</v>
      </c>
      <c r="B1314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49" s="3" t="str">
        <f>HYPERLINK("https://otsuka-europe-crm.veevavault.com/ui/#object/sent_email__v/VBL000000011693", "SE-001397484")</f>
        <v>SE-001397484</v>
      </c>
      <c r="D13149" s="1" t="s">
        <v>0</v>
      </c>
      <c r="E13149" s="2">
        <v>0</v>
      </c>
      <c r="F13149" s="2">
        <v>0</v>
      </c>
      <c r="G13149" s="2">
        <v>0</v>
      </c>
      <c r="H13149" s="1" t="s">
        <v>0</v>
      </c>
      <c r="I13149" s="2">
        <v>0</v>
      </c>
      <c r="J13149" s="1">
        <v>46008.470312500001</v>
      </c>
    </row>
    <row r="13150" spans="1:10" x14ac:dyDescent="0.2">
      <c r="A13150" s="4" t="s">
        <v>1</v>
      </c>
      <c r="B1315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50" s="3" t="str">
        <f>HYPERLINK("https://otsuka-europe-crm.veevavault.com/ui/#object/sent_email__v/VBL000000011694", "SE-001397485")</f>
        <v>SE-001397485</v>
      </c>
      <c r="D13150" s="1" t="s">
        <v>0</v>
      </c>
      <c r="E13150" s="2">
        <v>0</v>
      </c>
      <c r="F13150" s="2">
        <v>0</v>
      </c>
      <c r="G13150" s="2">
        <v>0</v>
      </c>
      <c r="H13150" s="1" t="s">
        <v>0</v>
      </c>
      <c r="I13150" s="2">
        <v>0</v>
      </c>
      <c r="J13150" s="1">
        <v>46008.470347222225</v>
      </c>
    </row>
    <row r="13151" spans="1:10" x14ac:dyDescent="0.2">
      <c r="A13151" s="4" t="s">
        <v>1</v>
      </c>
      <c r="B1315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51" s="3" t="str">
        <f>HYPERLINK("https://otsuka-europe-crm.veevavault.com/ui/#object/sent_email__v/VBL000000011695", "SE-001397486")</f>
        <v>SE-001397486</v>
      </c>
      <c r="D13151" s="1" t="s">
        <v>0</v>
      </c>
      <c r="E13151" s="2">
        <v>0</v>
      </c>
      <c r="F13151" s="2">
        <v>0</v>
      </c>
      <c r="G13151" s="2">
        <v>0</v>
      </c>
      <c r="H13151" s="1" t="s">
        <v>0</v>
      </c>
      <c r="I13151" s="2">
        <v>0</v>
      </c>
      <c r="J13151" s="1">
        <v>46008.470393518517</v>
      </c>
    </row>
    <row r="13152" spans="1:10" x14ac:dyDescent="0.2">
      <c r="A13152" s="4" t="s">
        <v>1</v>
      </c>
      <c r="B1315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52" s="3" t="str">
        <f>HYPERLINK("https://otsuka-europe-crm.veevavault.com/ui/#object/sent_email__v/VBL000000011696", "SE-001397487")</f>
        <v>SE-001397487</v>
      </c>
      <c r="D13152" s="1" t="s">
        <v>0</v>
      </c>
      <c r="E13152" s="2">
        <v>0</v>
      </c>
      <c r="F13152" s="2">
        <v>0</v>
      </c>
      <c r="G13152" s="2">
        <v>0</v>
      </c>
      <c r="H13152" s="1" t="s">
        <v>0</v>
      </c>
      <c r="I13152" s="2">
        <v>0</v>
      </c>
      <c r="J13152" s="1">
        <v>46008.47042824074</v>
      </c>
    </row>
    <row r="13153" spans="1:10" x14ac:dyDescent="0.2">
      <c r="A13153" s="4" t="s">
        <v>1</v>
      </c>
      <c r="B1315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53" s="3" t="str">
        <f>HYPERLINK("https://otsuka-europe-crm.veevavault.com/ui/#object/sent_email__v/VBL000000011697", "SE-001397488")</f>
        <v>SE-001397488</v>
      </c>
      <c r="D13153" s="1">
        <v>46008.709236111114</v>
      </c>
      <c r="E13153" s="2">
        <v>1</v>
      </c>
      <c r="F13153" s="2">
        <v>1</v>
      </c>
      <c r="G13153" s="2">
        <v>0</v>
      </c>
      <c r="H13153" s="1" t="s">
        <v>0</v>
      </c>
      <c r="I13153" s="2">
        <v>0</v>
      </c>
      <c r="J13153" s="1">
        <v>46008.47047453704</v>
      </c>
    </row>
    <row r="13154" spans="1:10" x14ac:dyDescent="0.2">
      <c r="A13154" s="4" t="s">
        <v>1</v>
      </c>
      <c r="B1315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54" s="3" t="str">
        <f>HYPERLINK("https://otsuka-europe-crm.veevavault.com/ui/#object/sent_email__v/VBL000000011698", "SE-001397489")</f>
        <v>SE-001397489</v>
      </c>
      <c r="D13154" s="1" t="s">
        <v>0</v>
      </c>
      <c r="E13154" s="2">
        <v>0</v>
      </c>
      <c r="F13154" s="2">
        <v>0</v>
      </c>
      <c r="G13154" s="2">
        <v>0</v>
      </c>
      <c r="H13154" s="1" t="s">
        <v>0</v>
      </c>
      <c r="I13154" s="2">
        <v>0</v>
      </c>
      <c r="J13154" s="1">
        <v>46008.470509259256</v>
      </c>
    </row>
    <row r="13155" spans="1:10" x14ac:dyDescent="0.2">
      <c r="A13155" s="4" t="s">
        <v>1</v>
      </c>
      <c r="B1315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55" s="3" t="str">
        <f>HYPERLINK("https://otsuka-europe-crm.veevavault.com/ui/#object/sent_email__v/VBL000000011699", "SE-001397490")</f>
        <v>SE-001397490</v>
      </c>
      <c r="D13155" s="1" t="s">
        <v>0</v>
      </c>
      <c r="E13155" s="2">
        <v>0</v>
      </c>
      <c r="F13155" s="2">
        <v>0</v>
      </c>
      <c r="G13155" s="2">
        <v>0</v>
      </c>
      <c r="H13155" s="1" t="s">
        <v>0</v>
      </c>
      <c r="I13155" s="2">
        <v>0</v>
      </c>
      <c r="J13155" s="1">
        <v>46008.470543981479</v>
      </c>
    </row>
    <row r="13156" spans="1:10" x14ac:dyDescent="0.2">
      <c r="A13156" s="4" t="s">
        <v>1</v>
      </c>
      <c r="B1315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56" s="3" t="str">
        <f>HYPERLINK("https://otsuka-europe-crm.veevavault.com/ui/#object/sent_email__v/VBL000000011700", "SE-001397491")</f>
        <v>SE-001397491</v>
      </c>
      <c r="D13156" s="1" t="s">
        <v>0</v>
      </c>
      <c r="E13156" s="2">
        <v>0</v>
      </c>
      <c r="F13156" s="2">
        <v>0</v>
      </c>
      <c r="G13156" s="2">
        <v>0</v>
      </c>
      <c r="H13156" s="1" t="s">
        <v>0</v>
      </c>
      <c r="I13156" s="2">
        <v>0</v>
      </c>
      <c r="J13156" s="1">
        <v>46008.470578703702</v>
      </c>
    </row>
    <row r="13157" spans="1:10" x14ac:dyDescent="0.2">
      <c r="A13157" s="4" t="s">
        <v>1</v>
      </c>
      <c r="B1315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57" s="3" t="str">
        <f>HYPERLINK("https://otsuka-europe-crm.veevavault.com/ui/#object/sent_email__v/VBL000000011801", "SE-001397627")</f>
        <v>SE-001397627</v>
      </c>
      <c r="D13157" s="1">
        <v>46010.298148148147</v>
      </c>
      <c r="E13157" s="2">
        <v>1</v>
      </c>
      <c r="F13157" s="2">
        <v>1</v>
      </c>
      <c r="G13157" s="2">
        <v>0</v>
      </c>
      <c r="H13157" s="1" t="s">
        <v>0</v>
      </c>
      <c r="I13157" s="2">
        <v>0</v>
      </c>
      <c r="J13157" s="1">
        <v>46009.545787037037</v>
      </c>
    </row>
    <row r="13158" spans="1:10" x14ac:dyDescent="0.2">
      <c r="A13158" s="4" t="s">
        <v>1</v>
      </c>
      <c r="B1315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58" s="3" t="str">
        <f>HYPERLINK("https://otsuka-europe-crm.veevavault.com/ui/#object/sent_email__v/VBL000000011802", "SE-001397628")</f>
        <v>SE-001397628</v>
      </c>
      <c r="D13158" s="1" t="s">
        <v>0</v>
      </c>
      <c r="E13158" s="2">
        <v>0</v>
      </c>
      <c r="F13158" s="2">
        <v>0</v>
      </c>
      <c r="G13158" s="2">
        <v>0</v>
      </c>
      <c r="H13158" s="1" t="s">
        <v>0</v>
      </c>
      <c r="I13158" s="2">
        <v>0</v>
      </c>
      <c r="J13158" s="1">
        <v>46009.54583333333</v>
      </c>
    </row>
    <row r="13159" spans="1:10" x14ac:dyDescent="0.2">
      <c r="A13159" s="4" t="s">
        <v>1</v>
      </c>
      <c r="B1315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59" s="3" t="str">
        <f>HYPERLINK("https://otsuka-europe-crm.veevavault.com/ui/#object/sent_email__v/VBL000000011803", "SE-001397629")</f>
        <v>SE-001397629</v>
      </c>
      <c r="D13159" s="1" t="s">
        <v>0</v>
      </c>
      <c r="E13159" s="2">
        <v>0</v>
      </c>
      <c r="F13159" s="2">
        <v>0</v>
      </c>
      <c r="G13159" s="2">
        <v>0</v>
      </c>
      <c r="H13159" s="1" t="s">
        <v>0</v>
      </c>
      <c r="I13159" s="2">
        <v>0</v>
      </c>
      <c r="J13159" s="1">
        <v>46009.545868055553</v>
      </c>
    </row>
    <row r="13160" spans="1:10" x14ac:dyDescent="0.2">
      <c r="A13160" s="4" t="s">
        <v>1</v>
      </c>
      <c r="B1316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60" s="3" t="str">
        <f>HYPERLINK("https://otsuka-europe-crm.veevavault.com/ui/#object/sent_email__v/VBL000000011804", "SE-001397630")</f>
        <v>SE-001397630</v>
      </c>
      <c r="D13160" s="1" t="s">
        <v>0</v>
      </c>
      <c r="E13160" s="2">
        <v>0</v>
      </c>
      <c r="F13160" s="2">
        <v>0</v>
      </c>
      <c r="G13160" s="2">
        <v>0</v>
      </c>
      <c r="H13160" s="1" t="s">
        <v>0</v>
      </c>
      <c r="I13160" s="2">
        <v>0</v>
      </c>
      <c r="J13160" s="1">
        <v>46009.545902777776</v>
      </c>
    </row>
    <row r="13161" spans="1:10" x14ac:dyDescent="0.2">
      <c r="A13161" s="4" t="s">
        <v>1</v>
      </c>
      <c r="B1316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61" s="3" t="str">
        <f>HYPERLINK("https://otsuka-europe-crm.veevavault.com/ui/#object/sent_email__v/VBL000000011805", "SE-001397631")</f>
        <v>SE-001397631</v>
      </c>
      <c r="D13161" s="1" t="s">
        <v>0</v>
      </c>
      <c r="E13161" s="2">
        <v>0</v>
      </c>
      <c r="F13161" s="2">
        <v>0</v>
      </c>
      <c r="G13161" s="2">
        <v>0</v>
      </c>
      <c r="H13161" s="1" t="s">
        <v>0</v>
      </c>
      <c r="I13161" s="2">
        <v>0</v>
      </c>
      <c r="J13161" s="1">
        <v>46009.545949074076</v>
      </c>
    </row>
    <row r="13162" spans="1:10" x14ac:dyDescent="0.2">
      <c r="A13162" s="4" t="s">
        <v>1</v>
      </c>
      <c r="B1316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62" s="3" t="str">
        <f>HYPERLINK("https://otsuka-europe-crm.veevavault.com/ui/#object/sent_email__v/VBL000000011806", "SE-001397632")</f>
        <v>SE-001397632</v>
      </c>
      <c r="D13162" s="1">
        <v>46009.783321759256</v>
      </c>
      <c r="E13162" s="2">
        <v>1</v>
      </c>
      <c r="F13162" s="2">
        <v>27</v>
      </c>
      <c r="G13162" s="2">
        <v>0</v>
      </c>
      <c r="H13162" s="1" t="s">
        <v>0</v>
      </c>
      <c r="I13162" s="2">
        <v>0</v>
      </c>
      <c r="J13162" s="1">
        <v>46009.545995370368</v>
      </c>
    </row>
    <row r="13163" spans="1:10" x14ac:dyDescent="0.2">
      <c r="A13163" s="4" t="s">
        <v>1</v>
      </c>
      <c r="B1316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63" s="3" t="str">
        <f>HYPERLINK("https://otsuka-europe-crm.veevavault.com/ui/#object/sent_email__v/VBL000000011807", "SE-001397633")</f>
        <v>SE-001397633</v>
      </c>
      <c r="D13163" s="1" t="s">
        <v>0</v>
      </c>
      <c r="E13163" s="2">
        <v>0</v>
      </c>
      <c r="F13163" s="2">
        <v>0</v>
      </c>
      <c r="G13163" s="2">
        <v>0</v>
      </c>
      <c r="H13163" s="1" t="s">
        <v>0</v>
      </c>
      <c r="I13163" s="2">
        <v>0</v>
      </c>
      <c r="J13163" s="1">
        <v>46009.546030092592</v>
      </c>
    </row>
    <row r="13164" spans="1:10" x14ac:dyDescent="0.2">
      <c r="A13164" s="4" t="s">
        <v>1</v>
      </c>
      <c r="B1316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64" s="3" t="str">
        <f>HYPERLINK("https://otsuka-europe-crm.veevavault.com/ui/#object/sent_email__v/VBL000000011808", "SE-001397634")</f>
        <v>SE-001397634</v>
      </c>
      <c r="D13164" s="1">
        <v>46009.77416666667</v>
      </c>
      <c r="E13164" s="2">
        <v>1</v>
      </c>
      <c r="F13164" s="2">
        <v>1</v>
      </c>
      <c r="G13164" s="2">
        <v>0</v>
      </c>
      <c r="H13164" s="1" t="s">
        <v>0</v>
      </c>
      <c r="I13164" s="2">
        <v>0</v>
      </c>
      <c r="J13164" s="1">
        <v>46009.546076388891</v>
      </c>
    </row>
    <row r="13165" spans="1:10" x14ac:dyDescent="0.2">
      <c r="A13165" s="4" t="s">
        <v>1</v>
      </c>
      <c r="B1316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65" s="3" t="str">
        <f>HYPERLINK("https://otsuka-europe-crm.veevavault.com/ui/#object/sent_email__v/VBL000000011809", "SE-001397635")</f>
        <v>SE-001397635</v>
      </c>
      <c r="D13165" s="1" t="s">
        <v>0</v>
      </c>
      <c r="E13165" s="2">
        <v>0</v>
      </c>
      <c r="F13165" s="2">
        <v>0</v>
      </c>
      <c r="G13165" s="2">
        <v>0</v>
      </c>
      <c r="H13165" s="1" t="s">
        <v>0</v>
      </c>
      <c r="I13165" s="2">
        <v>0</v>
      </c>
      <c r="J13165" s="1">
        <v>46009.546111111114</v>
      </c>
    </row>
    <row r="13166" spans="1:10" x14ac:dyDescent="0.2">
      <c r="A13166" s="4" t="s">
        <v>1</v>
      </c>
      <c r="B1316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66" s="3" t="str">
        <f>HYPERLINK("https://otsuka-europe-crm.veevavault.com/ui/#object/sent_email__v/VBL000000011810", "SE-001397636")</f>
        <v>SE-001397636</v>
      </c>
      <c r="D13166" s="1" t="s">
        <v>0</v>
      </c>
      <c r="E13166" s="2">
        <v>0</v>
      </c>
      <c r="F13166" s="2">
        <v>0</v>
      </c>
      <c r="G13166" s="2">
        <v>0</v>
      </c>
      <c r="H13166" s="1" t="s">
        <v>0</v>
      </c>
      <c r="I13166" s="2">
        <v>0</v>
      </c>
      <c r="J13166" s="1">
        <v>46009.54614583333</v>
      </c>
    </row>
    <row r="13167" spans="1:10" x14ac:dyDescent="0.2">
      <c r="A13167" s="4" t="s">
        <v>1</v>
      </c>
      <c r="B1316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67" s="3" t="str">
        <f>HYPERLINK("https://otsuka-europe-crm.veevavault.com/ui/#object/sent_email__v/VBL000000013486", "SE-001398650")</f>
        <v>SE-001398650</v>
      </c>
      <c r="D13167" s="1" t="s">
        <v>0</v>
      </c>
      <c r="E13167" s="2">
        <v>0</v>
      </c>
      <c r="F13167" s="2">
        <v>0</v>
      </c>
      <c r="G13167" s="2">
        <v>0</v>
      </c>
      <c r="H13167" s="1" t="s">
        <v>0</v>
      </c>
      <c r="I13167" s="2">
        <v>0</v>
      </c>
      <c r="J13167" s="1">
        <v>46013.38821759259</v>
      </c>
    </row>
    <row r="13168" spans="1:10" x14ac:dyDescent="0.2">
      <c r="A13168" s="4" t="s">
        <v>1</v>
      </c>
      <c r="B1316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68" s="3" t="str">
        <f>HYPERLINK("https://otsuka-europe-crm.veevavault.com/ui/#object/sent_email__v/VBL000000013487", "SE-001398651")</f>
        <v>SE-001398651</v>
      </c>
      <c r="D13168" s="1" t="s">
        <v>0</v>
      </c>
      <c r="E13168" s="2">
        <v>0</v>
      </c>
      <c r="F13168" s="2">
        <v>0</v>
      </c>
      <c r="G13168" s="2">
        <v>0</v>
      </c>
      <c r="H13168" s="1" t="s">
        <v>0</v>
      </c>
      <c r="I13168" s="2">
        <v>0</v>
      </c>
      <c r="J13168" s="1">
        <v>46013.38821759259</v>
      </c>
    </row>
    <row r="13169" spans="1:10" x14ac:dyDescent="0.2">
      <c r="A13169" s="4" t="s">
        <v>1</v>
      </c>
      <c r="B1316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69" s="3" t="str">
        <f>HYPERLINK("https://otsuka-europe-crm.veevavault.com/ui/#object/sent_email__v/VBL000000013488", "SE-001398652")</f>
        <v>SE-001398652</v>
      </c>
      <c r="D13169" s="1" t="s">
        <v>0</v>
      </c>
      <c r="E13169" s="2">
        <v>0</v>
      </c>
      <c r="F13169" s="2">
        <v>0</v>
      </c>
      <c r="G13169" s="2">
        <v>0</v>
      </c>
      <c r="H13169" s="1" t="s">
        <v>0</v>
      </c>
      <c r="I13169" s="2">
        <v>0</v>
      </c>
      <c r="J13169" s="1">
        <v>46013.38821759259</v>
      </c>
    </row>
    <row r="13170" spans="1:10" x14ac:dyDescent="0.2">
      <c r="A13170" s="4" t="s">
        <v>1</v>
      </c>
      <c r="B1317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70" s="3" t="str">
        <f>HYPERLINK("https://otsuka-europe-crm.veevavault.com/ui/#object/sent_email__v/VBL000000013489", "SE-001398653")</f>
        <v>SE-001398653</v>
      </c>
      <c r="D13170" s="1" t="s">
        <v>0</v>
      </c>
      <c r="E13170" s="2">
        <v>0</v>
      </c>
      <c r="F13170" s="2">
        <v>0</v>
      </c>
      <c r="G13170" s="2">
        <v>0</v>
      </c>
      <c r="H13170" s="1" t="s">
        <v>0</v>
      </c>
      <c r="I13170" s="2">
        <v>0</v>
      </c>
      <c r="J13170" s="1">
        <v>46013.38821759259</v>
      </c>
    </row>
    <row r="13171" spans="1:10" x14ac:dyDescent="0.2">
      <c r="A13171" s="4" t="s">
        <v>1</v>
      </c>
      <c r="B1317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71" s="3" t="str">
        <f>HYPERLINK("https://otsuka-europe-crm.veevavault.com/ui/#object/sent_email__v/VBL000000013490", "SE-001398654")</f>
        <v>SE-001398654</v>
      </c>
      <c r="D13171" s="1" t="s">
        <v>0</v>
      </c>
      <c r="E13171" s="2">
        <v>0</v>
      </c>
      <c r="F13171" s="2">
        <v>0</v>
      </c>
      <c r="G13171" s="2">
        <v>0</v>
      </c>
      <c r="H13171" s="1" t="s">
        <v>0</v>
      </c>
      <c r="I13171" s="2">
        <v>0</v>
      </c>
      <c r="J13171" s="1">
        <v>46013.38821759259</v>
      </c>
    </row>
    <row r="13172" spans="1:10" x14ac:dyDescent="0.2">
      <c r="A13172" s="4" t="s">
        <v>1</v>
      </c>
      <c r="B1317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72" s="3" t="str">
        <f>HYPERLINK("https://otsuka-europe-crm.veevavault.com/ui/#object/sent_email__v/VBL000000013491", "SE-001398655")</f>
        <v>SE-001398655</v>
      </c>
      <c r="D13172" s="1" t="s">
        <v>0</v>
      </c>
      <c r="E13172" s="2">
        <v>0</v>
      </c>
      <c r="F13172" s="2">
        <v>0</v>
      </c>
      <c r="G13172" s="2">
        <v>0</v>
      </c>
      <c r="H13172" s="1" t="s">
        <v>0</v>
      </c>
      <c r="I13172" s="2">
        <v>0</v>
      </c>
      <c r="J13172" s="1">
        <v>46013.38821759259</v>
      </c>
    </row>
    <row r="13173" spans="1:10" x14ac:dyDescent="0.2">
      <c r="A13173" s="4" t="s">
        <v>1</v>
      </c>
      <c r="B1317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73" s="3" t="str">
        <f>HYPERLINK("https://otsuka-europe-crm.veevavault.com/ui/#object/sent_email__v/VBL000000013492", "SE-001398656")</f>
        <v>SE-001398656</v>
      </c>
      <c r="D13173" s="1" t="s">
        <v>0</v>
      </c>
      <c r="E13173" s="2">
        <v>0</v>
      </c>
      <c r="F13173" s="2">
        <v>0</v>
      </c>
      <c r="G13173" s="2">
        <v>0</v>
      </c>
      <c r="H13173" s="1" t="s">
        <v>0</v>
      </c>
      <c r="I13173" s="2">
        <v>0</v>
      </c>
      <c r="J13173" s="1">
        <v>46013.38821759259</v>
      </c>
    </row>
    <row r="13174" spans="1:10" x14ac:dyDescent="0.2">
      <c r="A13174" s="4" t="s">
        <v>1</v>
      </c>
      <c r="B1317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74" s="3" t="str">
        <f>HYPERLINK("https://otsuka-europe-crm.veevavault.com/ui/#object/sent_email__v/VBL000000013493", "SE-001398657")</f>
        <v>SE-001398657</v>
      </c>
      <c r="D13174" s="1" t="s">
        <v>0</v>
      </c>
      <c r="E13174" s="2">
        <v>0</v>
      </c>
      <c r="F13174" s="2">
        <v>0</v>
      </c>
      <c r="G13174" s="2">
        <v>0</v>
      </c>
      <c r="H13174" s="1" t="s">
        <v>0</v>
      </c>
      <c r="I13174" s="2">
        <v>0</v>
      </c>
      <c r="J13174" s="1">
        <v>46013.38821759259</v>
      </c>
    </row>
    <row r="13175" spans="1:10" x14ac:dyDescent="0.2">
      <c r="A13175" s="4" t="s">
        <v>1</v>
      </c>
      <c r="B1317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75" s="3" t="str">
        <f>HYPERLINK("https://otsuka-europe-crm.veevavault.com/ui/#object/sent_email__v/VBL000000013494", "SE-001398658")</f>
        <v>SE-001398658</v>
      </c>
      <c r="D13175" s="1" t="s">
        <v>0</v>
      </c>
      <c r="E13175" s="2">
        <v>0</v>
      </c>
      <c r="F13175" s="2">
        <v>0</v>
      </c>
      <c r="G13175" s="2">
        <v>0</v>
      </c>
      <c r="H13175" s="1" t="s">
        <v>0</v>
      </c>
      <c r="I13175" s="2">
        <v>0</v>
      </c>
      <c r="J13175" s="1">
        <v>46013.38821759259</v>
      </c>
    </row>
    <row r="13176" spans="1:10" x14ac:dyDescent="0.2">
      <c r="A13176" s="4" t="s">
        <v>1</v>
      </c>
      <c r="B1317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76" s="3" t="str">
        <f>HYPERLINK("https://otsuka-europe-crm.veevavault.com/ui/#object/sent_email__v/VBL000000013495", "SE-001398659")</f>
        <v>SE-001398659</v>
      </c>
      <c r="D13176" s="1" t="s">
        <v>0</v>
      </c>
      <c r="E13176" s="2">
        <v>0</v>
      </c>
      <c r="F13176" s="2">
        <v>0</v>
      </c>
      <c r="G13176" s="2">
        <v>0</v>
      </c>
      <c r="H13176" s="1" t="s">
        <v>0</v>
      </c>
      <c r="I13176" s="2">
        <v>0</v>
      </c>
      <c r="J13176" s="1">
        <v>46013.38821759259</v>
      </c>
    </row>
    <row r="13177" spans="1:10" x14ac:dyDescent="0.2">
      <c r="A13177" s="4" t="s">
        <v>1</v>
      </c>
      <c r="B1317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77" s="3" t="str">
        <f>HYPERLINK("https://otsuka-europe-crm.veevavault.com/ui/#object/sent_email__v/VBL000000013496", "SE-001398660")</f>
        <v>SE-001398660</v>
      </c>
      <c r="D13177" s="1" t="s">
        <v>0</v>
      </c>
      <c r="E13177" s="2">
        <v>0</v>
      </c>
      <c r="F13177" s="2">
        <v>0</v>
      </c>
      <c r="G13177" s="2">
        <v>0</v>
      </c>
      <c r="H13177" s="1" t="s">
        <v>0</v>
      </c>
      <c r="I13177" s="2">
        <v>0</v>
      </c>
      <c r="J13177" s="1">
        <v>46013.38821759259</v>
      </c>
    </row>
    <row r="13178" spans="1:10" x14ac:dyDescent="0.2">
      <c r="A13178" s="4" t="s">
        <v>1</v>
      </c>
      <c r="B1317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78" s="3" t="str">
        <f>HYPERLINK("https://otsuka-europe-crm.veevavault.com/ui/#object/sent_email__v/VBL000000013497", "SE-001398661")</f>
        <v>SE-001398661</v>
      </c>
      <c r="D13178" s="1" t="s">
        <v>0</v>
      </c>
      <c r="E13178" s="2">
        <v>0</v>
      </c>
      <c r="F13178" s="2">
        <v>0</v>
      </c>
      <c r="G13178" s="2">
        <v>0</v>
      </c>
      <c r="H13178" s="1" t="s">
        <v>0</v>
      </c>
      <c r="I13178" s="2">
        <v>0</v>
      </c>
      <c r="J13178" s="1">
        <v>46013.38821759259</v>
      </c>
    </row>
    <row r="13179" spans="1:10" x14ac:dyDescent="0.2">
      <c r="A13179" s="4" t="s">
        <v>1</v>
      </c>
      <c r="B1317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79" s="3" t="str">
        <f>HYPERLINK("https://otsuka-europe-crm.veevavault.com/ui/#object/sent_email__v/VBL000000013498", "SE-001398662")</f>
        <v>SE-001398662</v>
      </c>
      <c r="D13179" s="1" t="s">
        <v>0</v>
      </c>
      <c r="E13179" s="2">
        <v>0</v>
      </c>
      <c r="F13179" s="2">
        <v>0</v>
      </c>
      <c r="G13179" s="2">
        <v>0</v>
      </c>
      <c r="H13179" s="1" t="s">
        <v>0</v>
      </c>
      <c r="I13179" s="2">
        <v>0</v>
      </c>
      <c r="J13179" s="1">
        <v>46013.388229166667</v>
      </c>
    </row>
    <row r="13180" spans="1:10" x14ac:dyDescent="0.2">
      <c r="A13180" s="4" t="s">
        <v>1</v>
      </c>
      <c r="B1318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80" s="3" t="str">
        <f>HYPERLINK("https://otsuka-europe-crm.veevavault.com/ui/#object/sent_email__v/VBL000000013499", "SE-001398663")</f>
        <v>SE-001398663</v>
      </c>
      <c r="D13180" s="1" t="s">
        <v>0</v>
      </c>
      <c r="E13180" s="2">
        <v>0</v>
      </c>
      <c r="F13180" s="2">
        <v>0</v>
      </c>
      <c r="G13180" s="2">
        <v>0</v>
      </c>
      <c r="H13180" s="1" t="s">
        <v>0</v>
      </c>
      <c r="I13180" s="2">
        <v>0</v>
      </c>
      <c r="J13180" s="1">
        <v>46013.388229166667</v>
      </c>
    </row>
    <row r="13181" spans="1:10" x14ac:dyDescent="0.2">
      <c r="A13181" s="4" t="s">
        <v>1</v>
      </c>
      <c r="B1318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81" s="3" t="str">
        <f>HYPERLINK("https://otsuka-europe-crm.veevavault.com/ui/#object/sent_email__v/VBL000000013500", "SE-001398664")</f>
        <v>SE-001398664</v>
      </c>
      <c r="D13181" s="1" t="s">
        <v>0</v>
      </c>
      <c r="E13181" s="2">
        <v>0</v>
      </c>
      <c r="F13181" s="2">
        <v>0</v>
      </c>
      <c r="G13181" s="2">
        <v>0</v>
      </c>
      <c r="H13181" s="1" t="s">
        <v>0</v>
      </c>
      <c r="I13181" s="2">
        <v>0</v>
      </c>
      <c r="J13181" s="1">
        <v>46013.388229166667</v>
      </c>
    </row>
    <row r="13182" spans="1:10" x14ac:dyDescent="0.2">
      <c r="A13182" s="4" t="s">
        <v>1</v>
      </c>
      <c r="B1318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82" s="3" t="str">
        <f>HYPERLINK("https://otsuka-europe-crm.veevavault.com/ui/#object/sent_email__v/VBL000000013501", "SE-001398665")</f>
        <v>SE-001398665</v>
      </c>
      <c r="D13182" s="1" t="s">
        <v>0</v>
      </c>
      <c r="E13182" s="2">
        <v>0</v>
      </c>
      <c r="F13182" s="2">
        <v>0</v>
      </c>
      <c r="G13182" s="2">
        <v>0</v>
      </c>
      <c r="H13182" s="1" t="s">
        <v>0</v>
      </c>
      <c r="I13182" s="2">
        <v>0</v>
      </c>
      <c r="J13182" s="1">
        <v>46013.388229166667</v>
      </c>
    </row>
    <row r="13183" spans="1:10" x14ac:dyDescent="0.2">
      <c r="A13183" s="4" t="s">
        <v>1</v>
      </c>
      <c r="B1318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83" s="3" t="str">
        <f>HYPERLINK("https://otsuka-europe-crm.veevavault.com/ui/#object/sent_email__v/VBL000000013502", "SE-001398666")</f>
        <v>SE-001398666</v>
      </c>
      <c r="D13183" s="1" t="s">
        <v>0</v>
      </c>
      <c r="E13183" s="2">
        <v>0</v>
      </c>
      <c r="F13183" s="2">
        <v>0</v>
      </c>
      <c r="G13183" s="2">
        <v>0</v>
      </c>
      <c r="H13183" s="1" t="s">
        <v>0</v>
      </c>
      <c r="I13183" s="2">
        <v>0</v>
      </c>
      <c r="J13183" s="1">
        <v>46013.388229166667</v>
      </c>
    </row>
    <row r="13184" spans="1:10" x14ac:dyDescent="0.2">
      <c r="A13184" s="4" t="s">
        <v>1</v>
      </c>
      <c r="B1318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84" s="3" t="str">
        <f>HYPERLINK("https://otsuka-europe-crm.veevavault.com/ui/#object/sent_email__v/VBL000000013503", "SE-001398667")</f>
        <v>SE-001398667</v>
      </c>
      <c r="D13184" s="1" t="s">
        <v>0</v>
      </c>
      <c r="E13184" s="2">
        <v>0</v>
      </c>
      <c r="F13184" s="2">
        <v>0</v>
      </c>
      <c r="G13184" s="2">
        <v>0</v>
      </c>
      <c r="H13184" s="1" t="s">
        <v>0</v>
      </c>
      <c r="I13184" s="2">
        <v>0</v>
      </c>
      <c r="J13184" s="1">
        <v>46013.388229166667</v>
      </c>
    </row>
    <row r="13185" spans="1:10" x14ac:dyDescent="0.2">
      <c r="A13185" s="4" t="s">
        <v>1</v>
      </c>
      <c r="B1318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85" s="3" t="str">
        <f>HYPERLINK("https://otsuka-europe-crm.veevavault.com/ui/#object/sent_email__v/VBL000000013504", "SE-001398668")</f>
        <v>SE-001398668</v>
      </c>
      <c r="D13185" s="1" t="s">
        <v>0</v>
      </c>
      <c r="E13185" s="2">
        <v>0</v>
      </c>
      <c r="F13185" s="2">
        <v>0</v>
      </c>
      <c r="G13185" s="2">
        <v>0</v>
      </c>
      <c r="H13185" s="1" t="s">
        <v>0</v>
      </c>
      <c r="I13185" s="2">
        <v>0</v>
      </c>
      <c r="J13185" s="1">
        <v>46013.388229166667</v>
      </c>
    </row>
    <row r="13186" spans="1:10" x14ac:dyDescent="0.2">
      <c r="A13186" s="4" t="s">
        <v>1</v>
      </c>
      <c r="B1318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86" s="3" t="str">
        <f>HYPERLINK("https://otsuka-europe-crm.veevavault.com/ui/#object/sent_email__v/VBL000000013505", "SE-001398669")</f>
        <v>SE-001398669</v>
      </c>
      <c r="D13186" s="1" t="s">
        <v>0</v>
      </c>
      <c r="E13186" s="2">
        <v>0</v>
      </c>
      <c r="F13186" s="2">
        <v>0</v>
      </c>
      <c r="G13186" s="2">
        <v>0</v>
      </c>
      <c r="H13186" s="1" t="s">
        <v>0</v>
      </c>
      <c r="I13186" s="2">
        <v>0</v>
      </c>
      <c r="J13186" s="1">
        <v>46013.388229166667</v>
      </c>
    </row>
    <row r="13187" spans="1:10" x14ac:dyDescent="0.2">
      <c r="A13187" s="4" t="s">
        <v>1</v>
      </c>
      <c r="B1318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87" s="3" t="str">
        <f>HYPERLINK("https://otsuka-europe-crm.veevavault.com/ui/#object/sent_email__v/VBL000000013506", "SE-001398670")</f>
        <v>SE-001398670</v>
      </c>
      <c r="D13187" s="1" t="s">
        <v>0</v>
      </c>
      <c r="E13187" s="2">
        <v>0</v>
      </c>
      <c r="F13187" s="2">
        <v>0</v>
      </c>
      <c r="G13187" s="2">
        <v>0</v>
      </c>
      <c r="H13187" s="1" t="s">
        <v>0</v>
      </c>
      <c r="I13187" s="2">
        <v>0</v>
      </c>
      <c r="J13187" s="1">
        <v>46013.388229166667</v>
      </c>
    </row>
    <row r="13188" spans="1:10" x14ac:dyDescent="0.2">
      <c r="A13188" s="4" t="s">
        <v>1</v>
      </c>
      <c r="B1318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88" s="3" t="str">
        <f>HYPERLINK("https://otsuka-europe-crm.veevavault.com/ui/#object/sent_email__v/VBL000000013507", "SE-001398671")</f>
        <v>SE-001398671</v>
      </c>
      <c r="D13188" s="1" t="s">
        <v>0</v>
      </c>
      <c r="E13188" s="2">
        <v>0</v>
      </c>
      <c r="F13188" s="2">
        <v>0</v>
      </c>
      <c r="G13188" s="2">
        <v>0</v>
      </c>
      <c r="H13188" s="1" t="s">
        <v>0</v>
      </c>
      <c r="I13188" s="2">
        <v>0</v>
      </c>
      <c r="J13188" s="1">
        <v>46013.388229166667</v>
      </c>
    </row>
    <row r="13189" spans="1:10" x14ac:dyDescent="0.2">
      <c r="A13189" s="4" t="s">
        <v>1</v>
      </c>
      <c r="B1318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89" s="3" t="str">
        <f>HYPERLINK("https://otsuka-europe-crm.veevavault.com/ui/#object/sent_email__v/VBL000000013508", "SE-001398672")</f>
        <v>SE-001398672</v>
      </c>
      <c r="D13189" s="1" t="s">
        <v>0</v>
      </c>
      <c r="E13189" s="2">
        <v>0</v>
      </c>
      <c r="F13189" s="2">
        <v>0</v>
      </c>
      <c r="G13189" s="2">
        <v>0</v>
      </c>
      <c r="H13189" s="1" t="s">
        <v>0</v>
      </c>
      <c r="I13189" s="2">
        <v>0</v>
      </c>
      <c r="J13189" s="1">
        <v>46013.388240740744</v>
      </c>
    </row>
    <row r="13190" spans="1:10" x14ac:dyDescent="0.2">
      <c r="A13190" s="4" t="s">
        <v>1</v>
      </c>
      <c r="B1319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90" s="3" t="str">
        <f>HYPERLINK("https://otsuka-europe-crm.veevavault.com/ui/#object/sent_email__v/VBL000000013509", "SE-001398673")</f>
        <v>SE-001398673</v>
      </c>
      <c r="D13190" s="1" t="s">
        <v>0</v>
      </c>
      <c r="E13190" s="2">
        <v>0</v>
      </c>
      <c r="F13190" s="2">
        <v>0</v>
      </c>
      <c r="G13190" s="2">
        <v>0</v>
      </c>
      <c r="H13190" s="1" t="s">
        <v>0</v>
      </c>
      <c r="I13190" s="2">
        <v>0</v>
      </c>
      <c r="J13190" s="1">
        <v>46013.388240740744</v>
      </c>
    </row>
    <row r="13191" spans="1:10" x14ac:dyDescent="0.2">
      <c r="A13191" s="4" t="s">
        <v>1</v>
      </c>
      <c r="B1319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91" s="3" t="str">
        <f>HYPERLINK("https://otsuka-europe-crm.veevavault.com/ui/#object/sent_email__v/VBL000000013510", "SE-001398674")</f>
        <v>SE-001398674</v>
      </c>
      <c r="D13191" s="1" t="s">
        <v>0</v>
      </c>
      <c r="E13191" s="2">
        <v>0</v>
      </c>
      <c r="F13191" s="2">
        <v>0</v>
      </c>
      <c r="G13191" s="2">
        <v>0</v>
      </c>
      <c r="H13191" s="1" t="s">
        <v>0</v>
      </c>
      <c r="I13191" s="2">
        <v>0</v>
      </c>
      <c r="J13191" s="1">
        <v>46013.388240740744</v>
      </c>
    </row>
    <row r="13192" spans="1:10" x14ac:dyDescent="0.2">
      <c r="A13192" s="4" t="s">
        <v>1</v>
      </c>
      <c r="B1319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92" s="3" t="str">
        <f>HYPERLINK("https://otsuka-europe-crm.veevavault.com/ui/#object/sent_email__v/VBL000000013511", "SE-001398675")</f>
        <v>SE-001398675</v>
      </c>
      <c r="D13192" s="1" t="s">
        <v>0</v>
      </c>
      <c r="E13192" s="2">
        <v>0</v>
      </c>
      <c r="F13192" s="2">
        <v>0</v>
      </c>
      <c r="G13192" s="2">
        <v>0</v>
      </c>
      <c r="H13192" s="1" t="s">
        <v>0</v>
      </c>
      <c r="I13192" s="2">
        <v>0</v>
      </c>
      <c r="J13192" s="1">
        <v>46013.388240740744</v>
      </c>
    </row>
    <row r="13193" spans="1:10" x14ac:dyDescent="0.2">
      <c r="A13193" s="4" t="s">
        <v>1</v>
      </c>
      <c r="B1319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93" s="3" t="str">
        <f>HYPERLINK("https://otsuka-europe-crm.veevavault.com/ui/#object/sent_email__v/VBL000000013512", "SE-001398676")</f>
        <v>SE-001398676</v>
      </c>
      <c r="D13193" s="1" t="s">
        <v>0</v>
      </c>
      <c r="E13193" s="2">
        <v>0</v>
      </c>
      <c r="F13193" s="2">
        <v>0</v>
      </c>
      <c r="G13193" s="2">
        <v>0</v>
      </c>
      <c r="H13193" s="1" t="s">
        <v>0</v>
      </c>
      <c r="I13193" s="2">
        <v>0</v>
      </c>
      <c r="J13193" s="1">
        <v>46013.388240740744</v>
      </c>
    </row>
    <row r="13194" spans="1:10" x14ac:dyDescent="0.2">
      <c r="A13194" s="4" t="s">
        <v>1</v>
      </c>
      <c r="B1319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94" s="3" t="str">
        <f>HYPERLINK("https://otsuka-europe-crm.veevavault.com/ui/#object/sent_email__v/VBL000000013513", "SE-001398677")</f>
        <v>SE-001398677</v>
      </c>
      <c r="D13194" s="1" t="s">
        <v>0</v>
      </c>
      <c r="E13194" s="2">
        <v>0</v>
      </c>
      <c r="F13194" s="2">
        <v>0</v>
      </c>
      <c r="G13194" s="2">
        <v>0</v>
      </c>
      <c r="H13194" s="1" t="s">
        <v>0</v>
      </c>
      <c r="I13194" s="2">
        <v>0</v>
      </c>
      <c r="J13194" s="1">
        <v>46013.388240740744</v>
      </c>
    </row>
    <row r="13195" spans="1:10" x14ac:dyDescent="0.2">
      <c r="A13195" s="4" t="s">
        <v>1</v>
      </c>
      <c r="B1319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95" s="3" t="str">
        <f>HYPERLINK("https://otsuka-europe-crm.veevavault.com/ui/#object/sent_email__v/VBL000000013514", "SE-001398678")</f>
        <v>SE-001398678</v>
      </c>
      <c r="D13195" s="1" t="s">
        <v>0</v>
      </c>
      <c r="E13195" s="2">
        <v>0</v>
      </c>
      <c r="F13195" s="2">
        <v>0</v>
      </c>
      <c r="G13195" s="2">
        <v>0</v>
      </c>
      <c r="H13195" s="1" t="s">
        <v>0</v>
      </c>
      <c r="I13195" s="2">
        <v>0</v>
      </c>
      <c r="J13195" s="1">
        <v>46013.388240740744</v>
      </c>
    </row>
    <row r="13196" spans="1:10" x14ac:dyDescent="0.2">
      <c r="A13196" s="4" t="s">
        <v>1</v>
      </c>
      <c r="B1319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96" s="3" t="str">
        <f>HYPERLINK("https://otsuka-europe-crm.veevavault.com/ui/#object/sent_email__v/VBL000000013515", "SE-001398679")</f>
        <v>SE-001398679</v>
      </c>
      <c r="D13196" s="1" t="s">
        <v>0</v>
      </c>
      <c r="E13196" s="2">
        <v>0</v>
      </c>
      <c r="F13196" s="2">
        <v>0</v>
      </c>
      <c r="G13196" s="2">
        <v>0</v>
      </c>
      <c r="H13196" s="1" t="s">
        <v>0</v>
      </c>
      <c r="I13196" s="2">
        <v>0</v>
      </c>
      <c r="J13196" s="1">
        <v>46013.388240740744</v>
      </c>
    </row>
    <row r="13197" spans="1:10" x14ac:dyDescent="0.2">
      <c r="A13197" s="4" t="s">
        <v>1</v>
      </c>
      <c r="B1319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97" s="3" t="str">
        <f>HYPERLINK("https://otsuka-europe-crm.veevavault.com/ui/#object/sent_email__v/VBL000000013516", "SE-001398680")</f>
        <v>SE-001398680</v>
      </c>
      <c r="D13197" s="1" t="s">
        <v>0</v>
      </c>
      <c r="E13197" s="2">
        <v>0</v>
      </c>
      <c r="F13197" s="2">
        <v>0</v>
      </c>
      <c r="G13197" s="2">
        <v>0</v>
      </c>
      <c r="H13197" s="1" t="s">
        <v>0</v>
      </c>
      <c r="I13197" s="2">
        <v>0</v>
      </c>
      <c r="J13197" s="1">
        <v>46013.388240740744</v>
      </c>
    </row>
    <row r="13198" spans="1:10" x14ac:dyDescent="0.2">
      <c r="A13198" s="4" t="s">
        <v>1</v>
      </c>
      <c r="B1319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98" s="3" t="str">
        <f>HYPERLINK("https://otsuka-europe-crm.veevavault.com/ui/#object/sent_email__v/VBL000000013517", "SE-001398681")</f>
        <v>SE-001398681</v>
      </c>
      <c r="D13198" s="1" t="s">
        <v>0</v>
      </c>
      <c r="E13198" s="2">
        <v>0</v>
      </c>
      <c r="F13198" s="2">
        <v>0</v>
      </c>
      <c r="G13198" s="2">
        <v>0</v>
      </c>
      <c r="H13198" s="1" t="s">
        <v>0</v>
      </c>
      <c r="I13198" s="2">
        <v>0</v>
      </c>
      <c r="J13198" s="1">
        <v>46013.388252314813</v>
      </c>
    </row>
    <row r="13199" spans="1:10" x14ac:dyDescent="0.2">
      <c r="A13199" s="4" t="s">
        <v>1</v>
      </c>
      <c r="B13199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199" s="3" t="str">
        <f>HYPERLINK("https://otsuka-europe-crm.veevavault.com/ui/#object/sent_email__v/VBL000000013518", "SE-001398682")</f>
        <v>SE-001398682</v>
      </c>
      <c r="D13199" s="1" t="s">
        <v>0</v>
      </c>
      <c r="E13199" s="2">
        <v>0</v>
      </c>
      <c r="F13199" s="2">
        <v>0</v>
      </c>
      <c r="G13199" s="2">
        <v>0</v>
      </c>
      <c r="H13199" s="1" t="s">
        <v>0</v>
      </c>
      <c r="I13199" s="2">
        <v>0</v>
      </c>
      <c r="J13199" s="1">
        <v>46013.388252314813</v>
      </c>
    </row>
    <row r="13200" spans="1:10" x14ac:dyDescent="0.2">
      <c r="A13200" s="4" t="s">
        <v>1</v>
      </c>
      <c r="B13200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200" s="3" t="str">
        <f>HYPERLINK("https://otsuka-europe-crm.veevavault.com/ui/#object/sent_email__v/VBL000000012337", "SE-001398683")</f>
        <v>SE-001398683</v>
      </c>
      <c r="D13200" s="1" t="s">
        <v>0</v>
      </c>
      <c r="E13200" s="2">
        <v>0</v>
      </c>
      <c r="F13200" s="2">
        <v>0</v>
      </c>
      <c r="G13200" s="2">
        <v>0</v>
      </c>
      <c r="H13200" s="1" t="s">
        <v>0</v>
      </c>
      <c r="I13200" s="2">
        <v>0</v>
      </c>
      <c r="J13200" s="1">
        <v>46013.389155092591</v>
      </c>
    </row>
    <row r="13201" spans="1:10" x14ac:dyDescent="0.2">
      <c r="A13201" s="4" t="s">
        <v>1</v>
      </c>
      <c r="B13201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201" s="3" t="str">
        <f>HYPERLINK("https://otsuka-europe-crm.veevavault.com/ui/#object/sent_email__v/VBL000000012338", "SE-001398684")</f>
        <v>SE-001398684</v>
      </c>
      <c r="D13201" s="1" t="s">
        <v>0</v>
      </c>
      <c r="E13201" s="2">
        <v>0</v>
      </c>
      <c r="F13201" s="2">
        <v>0</v>
      </c>
      <c r="G13201" s="2">
        <v>0</v>
      </c>
      <c r="H13201" s="1" t="s">
        <v>0</v>
      </c>
      <c r="I13201" s="2">
        <v>0</v>
      </c>
      <c r="J13201" s="1">
        <v>46013.389143518521</v>
      </c>
    </row>
    <row r="13202" spans="1:10" x14ac:dyDescent="0.2">
      <c r="A13202" s="4" t="s">
        <v>1</v>
      </c>
      <c r="B13202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202" s="3" t="str">
        <f>HYPERLINK("https://otsuka-europe-crm.veevavault.com/ui/#object/sent_email__v/VBL000000012339", "SE-001398685")</f>
        <v>SE-001398685</v>
      </c>
      <c r="D13202" s="1" t="s">
        <v>0</v>
      </c>
      <c r="E13202" s="2">
        <v>0</v>
      </c>
      <c r="F13202" s="2">
        <v>0</v>
      </c>
      <c r="G13202" s="2">
        <v>0</v>
      </c>
      <c r="H13202" s="1" t="s">
        <v>0</v>
      </c>
      <c r="I13202" s="2">
        <v>0</v>
      </c>
      <c r="J13202" s="1">
        <v>46013.389155092591</v>
      </c>
    </row>
    <row r="13203" spans="1:10" x14ac:dyDescent="0.2">
      <c r="A13203" s="4" t="s">
        <v>1</v>
      </c>
      <c r="B13203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203" s="3" t="str">
        <f>HYPERLINK("https://otsuka-europe-crm.veevavault.com/ui/#object/sent_email__v/VBL000000012340", "SE-001398686")</f>
        <v>SE-001398686</v>
      </c>
      <c r="D13203" s="1" t="s">
        <v>0</v>
      </c>
      <c r="E13203" s="2">
        <v>0</v>
      </c>
      <c r="F13203" s="2">
        <v>0</v>
      </c>
      <c r="G13203" s="2">
        <v>0</v>
      </c>
      <c r="H13203" s="1" t="s">
        <v>0</v>
      </c>
      <c r="I13203" s="2">
        <v>0</v>
      </c>
      <c r="J13203" s="1">
        <v>46013.389155092591</v>
      </c>
    </row>
    <row r="13204" spans="1:10" x14ac:dyDescent="0.2">
      <c r="A13204" s="4" t="s">
        <v>1</v>
      </c>
      <c r="B13204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204" s="3" t="str">
        <f>HYPERLINK("https://otsuka-europe-crm.veevavault.com/ui/#object/sent_email__v/VBL000000012341", "SE-001398687")</f>
        <v>SE-001398687</v>
      </c>
      <c r="D13204" s="1" t="s">
        <v>0</v>
      </c>
      <c r="E13204" s="2">
        <v>0</v>
      </c>
      <c r="F13204" s="2">
        <v>0</v>
      </c>
      <c r="G13204" s="2">
        <v>0</v>
      </c>
      <c r="H13204" s="1" t="s">
        <v>0</v>
      </c>
      <c r="I13204" s="2">
        <v>0</v>
      </c>
      <c r="J13204" s="1">
        <v>46013.389155092591</v>
      </c>
    </row>
    <row r="13205" spans="1:10" x14ac:dyDescent="0.2">
      <c r="A13205" s="4" t="s">
        <v>1</v>
      </c>
      <c r="B13205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205" s="3" t="str">
        <f>HYPERLINK("https://otsuka-europe-crm.veevavault.com/ui/#object/sent_email__v/VBL000000012342", "SE-001398688")</f>
        <v>SE-001398688</v>
      </c>
      <c r="D13205" s="1" t="s">
        <v>0</v>
      </c>
      <c r="E13205" s="2">
        <v>0</v>
      </c>
      <c r="F13205" s="2">
        <v>0</v>
      </c>
      <c r="G13205" s="2">
        <v>0</v>
      </c>
      <c r="H13205" s="1" t="s">
        <v>0</v>
      </c>
      <c r="I13205" s="2">
        <v>0</v>
      </c>
      <c r="J13205" s="1">
        <v>46013.389166666668</v>
      </c>
    </row>
    <row r="13206" spans="1:10" x14ac:dyDescent="0.2">
      <c r="A13206" s="4" t="s">
        <v>1</v>
      </c>
      <c r="B13206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206" s="3" t="str">
        <f>HYPERLINK("https://otsuka-europe-crm.veevavault.com/ui/#object/sent_email__v/VBL000000012343", "SE-001398689")</f>
        <v>SE-001398689</v>
      </c>
      <c r="D13206" s="1" t="s">
        <v>0</v>
      </c>
      <c r="E13206" s="2">
        <v>0</v>
      </c>
      <c r="F13206" s="2">
        <v>0</v>
      </c>
      <c r="G13206" s="2">
        <v>0</v>
      </c>
      <c r="H13206" s="1" t="s">
        <v>0</v>
      </c>
      <c r="I13206" s="2">
        <v>0</v>
      </c>
      <c r="J13206" s="1">
        <v>46013.389166666668</v>
      </c>
    </row>
    <row r="13207" spans="1:10" x14ac:dyDescent="0.2">
      <c r="A13207" s="4" t="s">
        <v>1</v>
      </c>
      <c r="B13207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207" s="3" t="str">
        <f>HYPERLINK("https://otsuka-europe-crm.veevavault.com/ui/#object/sent_email__v/VBL000000012344", "SE-001398690")</f>
        <v>SE-001398690</v>
      </c>
      <c r="D13207" s="1" t="s">
        <v>0</v>
      </c>
      <c r="E13207" s="2">
        <v>0</v>
      </c>
      <c r="F13207" s="2">
        <v>0</v>
      </c>
      <c r="G13207" s="2">
        <v>0</v>
      </c>
      <c r="H13207" s="1" t="s">
        <v>0</v>
      </c>
      <c r="I13207" s="2">
        <v>0</v>
      </c>
      <c r="J13207" s="1">
        <v>46013.389166666668</v>
      </c>
    </row>
    <row r="13208" spans="1:10" x14ac:dyDescent="0.2">
      <c r="A13208" s="4" t="s">
        <v>1</v>
      </c>
      <c r="B13208" s="3" t="str">
        <f>HYPERLINK("https://otsuka-europe-crm.veevavault.com/ui/#object/approved_document__v/V5O00000000G049", "LUP - 10 cuestiones para pensar: Score Pronóstico - reuma")</f>
        <v>LUP - 10 cuestiones para pensar: Score Pronóstico - reuma</v>
      </c>
      <c r="C13208" s="3" t="str">
        <f>HYPERLINK("https://otsuka-europe-crm.veevavault.com/ui/#object/sent_email__v/VBL000000012345", "SE-001398691")</f>
        <v>SE-001398691</v>
      </c>
      <c r="D13208" s="1" t="s">
        <v>0</v>
      </c>
      <c r="E13208" s="2">
        <v>0</v>
      </c>
      <c r="F13208" s="2">
        <v>0</v>
      </c>
      <c r="G13208" s="2">
        <v>0</v>
      </c>
      <c r="H13208" s="1" t="s">
        <v>0</v>
      </c>
      <c r="I13208" s="2">
        <v>0</v>
      </c>
      <c r="J13208" s="1">
        <v>46013.389166666668</v>
      </c>
    </row>
    <row r="13209" spans="1:10" x14ac:dyDescent="0.2">
      <c r="A13209" s="4" t="s">
        <v>1</v>
      </c>
      <c r="B13209" s="3" t="str">
        <f>HYPERLINK("https://otsuka-europe-crm.veevavault.com/ui/#object/approved_document__v/V5O00000000R012", "LUP - 10 cuestiones: Inmunosupresión - nefro")</f>
        <v>LUP - 10 cuestiones: Inmunosupresión - nefro</v>
      </c>
      <c r="C13209" s="3" t="str">
        <f>HYPERLINK("https://otsuka-europe-crm.veevavault.com/ui/#object/sent_email__v/VBL00000001E358", "SE-001404517")</f>
        <v>SE-001404517</v>
      </c>
      <c r="D13209" s="1" t="s">
        <v>0</v>
      </c>
      <c r="E13209" s="2">
        <v>0</v>
      </c>
      <c r="F13209" s="2">
        <v>0</v>
      </c>
      <c r="G13209" s="2">
        <v>0</v>
      </c>
      <c r="H13209" s="1" t="s">
        <v>0</v>
      </c>
      <c r="I13209" s="2">
        <v>0</v>
      </c>
      <c r="J13209" s="1">
        <v>46071.526689814818</v>
      </c>
    </row>
    <row r="13210" spans="1:10" x14ac:dyDescent="0.2">
      <c r="A13210" s="4" t="s">
        <v>1</v>
      </c>
      <c r="B13210" s="3" t="str">
        <f>HYPERLINK("https://otsuka-europe-crm.veevavault.com/ui/#object/approved_document__v/V5O00000000Q011", "LUP - 10 cuestiones: Inmunosupresión - nefro")</f>
        <v>LUP - 10 cuestiones: Inmunosupresión - nefro</v>
      </c>
      <c r="C13210" s="3" t="str">
        <f>HYPERLINK("https://otsuka-europe-crm.veevavault.com/ui/#object/sent_email__v/VBL00000001E360", "SE-001404520")</f>
        <v>SE-001404520</v>
      </c>
      <c r="D13210" s="1" t="s">
        <v>0</v>
      </c>
      <c r="E13210" s="2">
        <v>0</v>
      </c>
      <c r="F13210" s="2">
        <v>0</v>
      </c>
      <c r="G13210" s="2">
        <v>0</v>
      </c>
      <c r="H13210" s="1" t="s">
        <v>0</v>
      </c>
      <c r="I13210" s="2">
        <v>0</v>
      </c>
      <c r="J13210" s="1">
        <v>46071.541712962964</v>
      </c>
    </row>
    <row r="13211" spans="1:10" x14ac:dyDescent="0.2">
      <c r="A13211" s="4" t="s">
        <v>1</v>
      </c>
      <c r="B13211" s="3" t="str">
        <f>HYPERLINK("https://otsuka-europe-crm.veevavault.com/ui/#object/approved_document__v/V5O00000000Q011", "LUP - 10 cuestiones: Inmunosupresión - nefro")</f>
        <v>LUP - 10 cuestiones: Inmunosupresión - nefro</v>
      </c>
      <c r="C13211" s="3" t="str">
        <f>HYPERLINK("https://otsuka-europe-crm.veevavault.com/ui/#object/sent_email__v/VBL00000001G035", "SE-001405204")</f>
        <v>SE-001405204</v>
      </c>
      <c r="D13211" s="1" t="s">
        <v>0</v>
      </c>
      <c r="E13211" s="2">
        <v>0</v>
      </c>
      <c r="F13211" s="2">
        <v>0</v>
      </c>
      <c r="G13211" s="2">
        <v>0</v>
      </c>
      <c r="H13211" s="1" t="s">
        <v>0</v>
      </c>
      <c r="I13211" s="2">
        <v>0</v>
      </c>
      <c r="J13211" s="1">
        <v>46073.455277777779</v>
      </c>
    </row>
    <row r="13212" spans="1:10" x14ac:dyDescent="0.2">
      <c r="A13212" s="4" t="s">
        <v>1</v>
      </c>
      <c r="B13212" s="3" t="str">
        <f>HYPERLINK("https://otsuka-europe-crm.veevavault.com/ui/#object/approved_document__v/V5O00000000Q011", "LUP - 10 cuestiones: Inmunosupresión - nefro")</f>
        <v>LUP - 10 cuestiones: Inmunosupresión - nefro</v>
      </c>
      <c r="C13212" s="3" t="str">
        <f>HYPERLINK("https://otsuka-europe-crm.veevavault.com/ui/#object/sent_email__v/VBL00000001G036", "SE-001405205")</f>
        <v>SE-001405205</v>
      </c>
      <c r="D13212" s="1" t="s">
        <v>0</v>
      </c>
      <c r="E13212" s="2">
        <v>0</v>
      </c>
      <c r="F13212" s="2">
        <v>0</v>
      </c>
      <c r="G13212" s="2">
        <v>0</v>
      </c>
      <c r="H13212" s="1" t="s">
        <v>0</v>
      </c>
      <c r="I13212" s="2">
        <v>0</v>
      </c>
      <c r="J13212" s="1">
        <v>46073.455289351848</v>
      </c>
    </row>
    <row r="13213" spans="1:10" x14ac:dyDescent="0.2">
      <c r="A13213" s="4" t="s">
        <v>1</v>
      </c>
      <c r="B13213" s="3" t="str">
        <f>HYPERLINK("https://otsuka-europe-crm.veevavault.com/ui/#object/approved_document__v/V5O00000000Q011", "LUP - 10 cuestiones: Inmunosupresión - nefro")</f>
        <v>LUP - 10 cuestiones: Inmunosupresión - nefro</v>
      </c>
      <c r="C13213" s="3" t="str">
        <f>HYPERLINK("https://otsuka-europe-crm.veevavault.com/ui/#object/sent_email__v/VBL00000001G037", "SE-001405206")</f>
        <v>SE-001405206</v>
      </c>
      <c r="D13213" s="1" t="s">
        <v>0</v>
      </c>
      <c r="E13213" s="2">
        <v>0</v>
      </c>
      <c r="F13213" s="2">
        <v>0</v>
      </c>
      <c r="G13213" s="2">
        <v>0</v>
      </c>
      <c r="H13213" s="1" t="s">
        <v>0</v>
      </c>
      <c r="I13213" s="2">
        <v>0</v>
      </c>
      <c r="J13213" s="1">
        <v>46073.455300925925</v>
      </c>
    </row>
    <row r="13214" spans="1:10" x14ac:dyDescent="0.2">
      <c r="A13214" s="4" t="s">
        <v>1</v>
      </c>
      <c r="B13214" s="3" t="str">
        <f>HYPERLINK("https://otsuka-europe-crm.veevavault.com/ui/#object/approved_document__v/V5O00000000Q011", "LUP - 10 cuestiones: Inmunosupresión - nefro")</f>
        <v>LUP - 10 cuestiones: Inmunosupresión - nefro</v>
      </c>
      <c r="C13214" s="3" t="str">
        <f>HYPERLINK("https://otsuka-europe-crm.veevavault.com/ui/#object/sent_email__v/VBL00000001G038", "SE-001405207")</f>
        <v>SE-001405207</v>
      </c>
      <c r="D13214" s="1" t="s">
        <v>0</v>
      </c>
      <c r="E13214" s="2">
        <v>0</v>
      </c>
      <c r="F13214" s="2">
        <v>0</v>
      </c>
      <c r="G13214" s="2">
        <v>0</v>
      </c>
      <c r="H13214" s="1" t="s">
        <v>0</v>
      </c>
      <c r="I13214" s="2">
        <v>0</v>
      </c>
      <c r="J13214" s="1">
        <v>46073.455300925925</v>
      </c>
    </row>
    <row r="13215" spans="1:10" x14ac:dyDescent="0.2">
      <c r="A13215" s="4" t="s">
        <v>1</v>
      </c>
      <c r="B13215" s="3" t="str">
        <f>HYPERLINK("https://otsuka-europe-crm.veevavault.com/ui/#object/approved_document__v/V5O00000000Q011", "LUP - 10 cuestiones: Inmunosupresión - nefro")</f>
        <v>LUP - 10 cuestiones: Inmunosupresión - nefro</v>
      </c>
      <c r="C13215" s="3" t="str">
        <f>HYPERLINK("https://otsuka-europe-crm.veevavault.com/ui/#object/sent_email__v/VBL00000001G039", "SE-001405208")</f>
        <v>SE-001405208</v>
      </c>
      <c r="D13215" s="1" t="s">
        <v>0</v>
      </c>
      <c r="E13215" s="2">
        <v>0</v>
      </c>
      <c r="F13215" s="2">
        <v>0</v>
      </c>
      <c r="G13215" s="2">
        <v>0</v>
      </c>
      <c r="H13215" s="1" t="s">
        <v>0</v>
      </c>
      <c r="I13215" s="2">
        <v>0</v>
      </c>
      <c r="J13215" s="1">
        <v>46073.455300925925</v>
      </c>
    </row>
    <row r="13216" spans="1:10" x14ac:dyDescent="0.2">
      <c r="A13216" s="4" t="s">
        <v>1</v>
      </c>
      <c r="B13216" s="3" t="str">
        <f>HYPERLINK("https://otsuka-europe-crm.veevavault.com/ui/#object/approved_document__v/V5O00000000Q011", "LUP - 10 cuestiones: Inmunosupresión - nefro")</f>
        <v>LUP - 10 cuestiones: Inmunosupresión - nefro</v>
      </c>
      <c r="C13216" s="3" t="str">
        <f>HYPERLINK("https://otsuka-europe-crm.veevavault.com/ui/#object/sent_email__v/VBL00000001G040", "SE-001405209")</f>
        <v>SE-001405209</v>
      </c>
      <c r="D13216" s="1" t="s">
        <v>0</v>
      </c>
      <c r="E13216" s="2">
        <v>0</v>
      </c>
      <c r="F13216" s="2">
        <v>0</v>
      </c>
      <c r="G13216" s="2">
        <v>0</v>
      </c>
      <c r="H13216" s="1" t="s">
        <v>0</v>
      </c>
      <c r="I13216" s="2">
        <v>0</v>
      </c>
      <c r="J13216" s="1">
        <v>46073.455312500002</v>
      </c>
    </row>
    <row r="13217" spans="1:10" x14ac:dyDescent="0.2">
      <c r="A13217" s="4" t="s">
        <v>1</v>
      </c>
      <c r="B13217" s="3" t="str">
        <f>HYPERLINK("https://otsuka-europe-crm.veevavault.com/ui/#object/approved_document__v/V5O00000000Q011", "LUP - 10 cuestiones: Inmunosupresión - nefro")</f>
        <v>LUP - 10 cuestiones: Inmunosupresión - nefro</v>
      </c>
      <c r="C13217" s="3" t="str">
        <f>HYPERLINK("https://otsuka-europe-crm.veevavault.com/ui/#object/sent_email__v/VBL00000001G041", "SE-001405210")</f>
        <v>SE-001405210</v>
      </c>
      <c r="D13217" s="1" t="s">
        <v>0</v>
      </c>
      <c r="E13217" s="2">
        <v>0</v>
      </c>
      <c r="F13217" s="2">
        <v>0</v>
      </c>
      <c r="G13217" s="2">
        <v>0</v>
      </c>
      <c r="H13217" s="1" t="s">
        <v>0</v>
      </c>
      <c r="I13217" s="2">
        <v>0</v>
      </c>
      <c r="J13217" s="1">
        <v>46073.455312500002</v>
      </c>
    </row>
    <row r="13218" spans="1:10" x14ac:dyDescent="0.2">
      <c r="A13218" s="4" t="s">
        <v>1</v>
      </c>
      <c r="B13218" s="3" t="str">
        <f>HYPERLINK("https://otsuka-europe-crm.veevavault.com/ui/#object/approved_document__v/V5O00000000Q011", "LUP - 10 cuestiones: Inmunosupresión - nefro")</f>
        <v>LUP - 10 cuestiones: Inmunosupresión - nefro</v>
      </c>
      <c r="C13218" s="3" t="str">
        <f>HYPERLINK("https://otsuka-europe-crm.veevavault.com/ui/#object/sent_email__v/VBL00000001G042", "SE-001405211")</f>
        <v>SE-001405211</v>
      </c>
      <c r="D13218" s="1" t="s">
        <v>0</v>
      </c>
      <c r="E13218" s="2">
        <v>0</v>
      </c>
      <c r="F13218" s="2">
        <v>0</v>
      </c>
      <c r="G13218" s="2">
        <v>0</v>
      </c>
      <c r="H13218" s="1" t="s">
        <v>0</v>
      </c>
      <c r="I13218" s="2">
        <v>0</v>
      </c>
      <c r="J13218" s="1">
        <v>46073.455312500002</v>
      </c>
    </row>
    <row r="13219" spans="1:10" x14ac:dyDescent="0.2">
      <c r="A13219" s="4" t="s">
        <v>1</v>
      </c>
      <c r="B13219" s="3" t="str">
        <f>HYPERLINK("https://otsuka-europe-crm.veevavault.com/ui/#object/approved_document__v/V5O00000000Q011", "LUP - 10 cuestiones: Inmunosupresión - nefro")</f>
        <v>LUP - 10 cuestiones: Inmunosupresión - nefro</v>
      </c>
      <c r="C13219" s="3" t="str">
        <f>HYPERLINK("https://otsuka-europe-crm.veevavault.com/ui/#object/sent_email__v/VBL00000001G043", "SE-001405212")</f>
        <v>SE-001405212</v>
      </c>
      <c r="D13219" s="1" t="s">
        <v>0</v>
      </c>
      <c r="E13219" s="2">
        <v>0</v>
      </c>
      <c r="F13219" s="2">
        <v>0</v>
      </c>
      <c r="G13219" s="2">
        <v>0</v>
      </c>
      <c r="H13219" s="1" t="s">
        <v>0</v>
      </c>
      <c r="I13219" s="2">
        <v>0</v>
      </c>
      <c r="J13219" s="1">
        <v>46073.455300925925</v>
      </c>
    </row>
    <row r="13220" spans="1:10" x14ac:dyDescent="0.2">
      <c r="A13220" s="4" t="s">
        <v>1</v>
      </c>
      <c r="B13220" s="3" t="str">
        <f>HYPERLINK("https://otsuka-europe-crm.veevavault.com/ui/#object/approved_document__v/V5O00000000Q011", "LUP - 10 cuestiones: Inmunosupresión - nefro")</f>
        <v>LUP - 10 cuestiones: Inmunosupresión - nefro</v>
      </c>
      <c r="C13220" s="3" t="str">
        <f>HYPERLINK("https://otsuka-europe-crm.veevavault.com/ui/#object/sent_email__v/VBL00000001G044", "SE-001405213")</f>
        <v>SE-001405213</v>
      </c>
      <c r="D13220" s="1" t="s">
        <v>0</v>
      </c>
      <c r="E13220" s="2">
        <v>0</v>
      </c>
      <c r="F13220" s="2">
        <v>0</v>
      </c>
      <c r="G13220" s="2">
        <v>0</v>
      </c>
      <c r="H13220" s="1" t="s">
        <v>0</v>
      </c>
      <c r="I13220" s="2">
        <v>0</v>
      </c>
      <c r="J13220" s="1">
        <v>46073.455312500002</v>
      </c>
    </row>
    <row r="13221" spans="1:10" x14ac:dyDescent="0.2">
      <c r="A13221" s="4" t="s">
        <v>1</v>
      </c>
      <c r="B13221" s="3" t="str">
        <f>HYPERLINK("https://otsuka-europe-crm.veevavault.com/ui/#object/approved_document__v/V5O00000000Q011", "LUP - 10 cuestiones: Inmunosupresión - nefro")</f>
        <v>LUP - 10 cuestiones: Inmunosupresión - nefro</v>
      </c>
      <c r="C13221" s="3" t="str">
        <f>HYPERLINK("https://otsuka-europe-crm.veevavault.com/ui/#object/sent_email__v/VBL00000001G045", "SE-001405214")</f>
        <v>SE-001405214</v>
      </c>
      <c r="D13221" s="1" t="s">
        <v>0</v>
      </c>
      <c r="E13221" s="2">
        <v>0</v>
      </c>
      <c r="F13221" s="2">
        <v>0</v>
      </c>
      <c r="G13221" s="2">
        <v>0</v>
      </c>
      <c r="H13221" s="1" t="s">
        <v>0</v>
      </c>
      <c r="I13221" s="2">
        <v>0</v>
      </c>
      <c r="J13221" s="1">
        <v>46073.455312500002</v>
      </c>
    </row>
    <row r="13222" spans="1:10" x14ac:dyDescent="0.2">
      <c r="A13222" s="4" t="s">
        <v>1</v>
      </c>
      <c r="B13222" s="3" t="str">
        <f>HYPERLINK("https://otsuka-europe-crm.veevavault.com/ui/#object/approved_document__v/V5O00000000Q011", "LUP - 10 cuestiones: Inmunosupresión - nefro")</f>
        <v>LUP - 10 cuestiones: Inmunosupresión - nefro</v>
      </c>
      <c r="C13222" s="3" t="str">
        <f>HYPERLINK("https://otsuka-europe-crm.veevavault.com/ui/#object/sent_email__v/VBL00000001G046", "SE-001405215")</f>
        <v>SE-001405215</v>
      </c>
      <c r="D13222" s="1" t="s">
        <v>0</v>
      </c>
      <c r="E13222" s="2">
        <v>0</v>
      </c>
      <c r="F13222" s="2">
        <v>0</v>
      </c>
      <c r="G13222" s="2">
        <v>0</v>
      </c>
      <c r="H13222" s="1" t="s">
        <v>0</v>
      </c>
      <c r="I13222" s="2">
        <v>0</v>
      </c>
      <c r="J13222" s="1">
        <v>46073.455312500002</v>
      </c>
    </row>
    <row r="13223" spans="1:10" x14ac:dyDescent="0.2">
      <c r="A13223" s="4" t="s">
        <v>1</v>
      </c>
      <c r="B13223" s="3" t="str">
        <f>HYPERLINK("https://otsuka-europe-crm.veevavault.com/ui/#object/approved_document__v/V5O00000000Q011", "LUP - 10 cuestiones: Inmunosupresión - nefro")</f>
        <v>LUP - 10 cuestiones: Inmunosupresión - nefro</v>
      </c>
      <c r="C13223" s="3" t="str">
        <f>HYPERLINK("https://otsuka-europe-crm.veevavault.com/ui/#object/sent_email__v/VBL00000001G047", "SE-001405216")</f>
        <v>SE-001405216</v>
      </c>
      <c r="D13223" s="1" t="s">
        <v>0</v>
      </c>
      <c r="E13223" s="2">
        <v>0</v>
      </c>
      <c r="F13223" s="2">
        <v>0</v>
      </c>
      <c r="G13223" s="2">
        <v>0</v>
      </c>
      <c r="H13223" s="1" t="s">
        <v>0</v>
      </c>
      <c r="I13223" s="2">
        <v>0</v>
      </c>
      <c r="J13223" s="1">
        <v>46073.455312500002</v>
      </c>
    </row>
    <row r="13224" spans="1:10" x14ac:dyDescent="0.2">
      <c r="A13224" s="4" t="s">
        <v>1</v>
      </c>
      <c r="B13224" s="3" t="str">
        <f>HYPERLINK("https://otsuka-europe-crm.veevavault.com/ui/#object/approved_document__v/V5O00000000Q011", "LUP - 10 cuestiones: Inmunosupresión - nefro")</f>
        <v>LUP - 10 cuestiones: Inmunosupresión - nefro</v>
      </c>
      <c r="C13224" s="3" t="str">
        <f>HYPERLINK("https://otsuka-europe-crm.veevavault.com/ui/#object/sent_email__v/VBL00000001G048", "SE-001405217")</f>
        <v>SE-001405217</v>
      </c>
      <c r="D13224" s="1" t="s">
        <v>0</v>
      </c>
      <c r="E13224" s="2">
        <v>0</v>
      </c>
      <c r="F13224" s="2">
        <v>0</v>
      </c>
      <c r="G13224" s="2">
        <v>0</v>
      </c>
      <c r="H13224" s="1" t="s">
        <v>0</v>
      </c>
      <c r="I13224" s="2">
        <v>0</v>
      </c>
      <c r="J13224" s="1">
        <v>46073.455312500002</v>
      </c>
    </row>
    <row r="13225" spans="1:10" x14ac:dyDescent="0.2">
      <c r="A13225" s="4" t="s">
        <v>1</v>
      </c>
      <c r="B13225" s="3" t="str">
        <f>HYPERLINK("https://otsuka-europe-crm.veevavault.com/ui/#object/approved_document__v/V5O00000000Q011", "LUP - 10 cuestiones: Inmunosupresión - nefro")</f>
        <v>LUP - 10 cuestiones: Inmunosupresión - nefro</v>
      </c>
      <c r="C13225" s="3" t="str">
        <f>HYPERLINK("https://otsuka-europe-crm.veevavault.com/ui/#object/sent_email__v/VBL00000001G049", "SE-001405218")</f>
        <v>SE-001405218</v>
      </c>
      <c r="D13225" s="1" t="s">
        <v>0</v>
      </c>
      <c r="E13225" s="2">
        <v>0</v>
      </c>
      <c r="F13225" s="2">
        <v>0</v>
      </c>
      <c r="G13225" s="2">
        <v>0</v>
      </c>
      <c r="H13225" s="1" t="s">
        <v>0</v>
      </c>
      <c r="I13225" s="2">
        <v>0</v>
      </c>
      <c r="J13225" s="1">
        <v>46073.455312500002</v>
      </c>
    </row>
    <row r="13226" spans="1:10" x14ac:dyDescent="0.2">
      <c r="A13226" s="4" t="s">
        <v>1</v>
      </c>
      <c r="B13226" s="3" t="str">
        <f>HYPERLINK("https://otsuka-europe-crm.veevavault.com/ui/#object/approved_document__v/V5O00000000Q011", "LUP - 10 cuestiones: Inmunosupresión - nefro")</f>
        <v>LUP - 10 cuestiones: Inmunosupresión - nefro</v>
      </c>
      <c r="C13226" s="3" t="str">
        <f>HYPERLINK("https://otsuka-europe-crm.veevavault.com/ui/#object/sent_email__v/VBL00000001G050", "SE-001405219")</f>
        <v>SE-001405219</v>
      </c>
      <c r="D13226" s="1" t="s">
        <v>0</v>
      </c>
      <c r="E13226" s="2">
        <v>0</v>
      </c>
      <c r="F13226" s="2">
        <v>0</v>
      </c>
      <c r="G13226" s="2">
        <v>0</v>
      </c>
      <c r="H13226" s="1" t="s">
        <v>0</v>
      </c>
      <c r="I13226" s="2">
        <v>0</v>
      </c>
      <c r="J13226" s="1">
        <v>46073.455312500002</v>
      </c>
    </row>
    <row r="13227" spans="1:10" x14ac:dyDescent="0.2">
      <c r="A13227" s="4" t="s">
        <v>1</v>
      </c>
      <c r="B13227" s="3" t="str">
        <f>HYPERLINK("https://otsuka-europe-crm.veevavault.com/ui/#object/approved_document__v/V5O00000000Q011", "LUP - 10 cuestiones: Inmunosupresión - nefro")</f>
        <v>LUP - 10 cuestiones: Inmunosupresión - nefro</v>
      </c>
      <c r="C13227" s="3" t="str">
        <f>HYPERLINK("https://otsuka-europe-crm.veevavault.com/ui/#object/sent_email__v/VBL00000001G051", "SE-001405220")</f>
        <v>SE-001405220</v>
      </c>
      <c r="D13227" s="1" t="s">
        <v>0</v>
      </c>
      <c r="E13227" s="2">
        <v>0</v>
      </c>
      <c r="F13227" s="2">
        <v>0</v>
      </c>
      <c r="G13227" s="2">
        <v>0</v>
      </c>
      <c r="H13227" s="1" t="s">
        <v>0</v>
      </c>
      <c r="I13227" s="2">
        <v>0</v>
      </c>
      <c r="J13227" s="1">
        <v>46073.455312500002</v>
      </c>
    </row>
    <row r="13228" spans="1:10" x14ac:dyDescent="0.2">
      <c r="A13228" s="4" t="s">
        <v>1</v>
      </c>
      <c r="B13228" s="3" t="str">
        <f>HYPERLINK("https://otsuka-europe-crm.veevavault.com/ui/#object/approved_document__v/V5O00000000Q011", "LUP - 10 cuestiones: Inmunosupresión - nefro")</f>
        <v>LUP - 10 cuestiones: Inmunosupresión - nefro</v>
      </c>
      <c r="C13228" s="3" t="str">
        <f>HYPERLINK("https://otsuka-europe-crm.veevavault.com/ui/#object/sent_email__v/VBL00000001G052", "SE-001405221")</f>
        <v>SE-001405221</v>
      </c>
      <c r="D13228" s="1" t="s">
        <v>0</v>
      </c>
      <c r="E13228" s="2">
        <v>0</v>
      </c>
      <c r="F13228" s="2">
        <v>0</v>
      </c>
      <c r="G13228" s="2">
        <v>0</v>
      </c>
      <c r="H13228" s="1" t="s">
        <v>0</v>
      </c>
      <c r="I13228" s="2">
        <v>0</v>
      </c>
      <c r="J13228" s="1">
        <v>46073.455324074072</v>
      </c>
    </row>
    <row r="13229" spans="1:10" x14ac:dyDescent="0.2">
      <c r="A13229" s="4" t="s">
        <v>1</v>
      </c>
      <c r="B13229" s="3" t="str">
        <f>HYPERLINK("https://otsuka-europe-crm.veevavault.com/ui/#object/approved_document__v/V5O00000000Q011", "LUP - 10 cuestiones: Inmunosupresión - nefro")</f>
        <v>LUP - 10 cuestiones: Inmunosupresión - nefro</v>
      </c>
      <c r="C13229" s="3" t="str">
        <f>HYPERLINK("https://otsuka-europe-crm.veevavault.com/ui/#object/sent_email__v/VBL00000001G053", "SE-001405222")</f>
        <v>SE-001405222</v>
      </c>
      <c r="D13229" s="1" t="s">
        <v>0</v>
      </c>
      <c r="E13229" s="2">
        <v>0</v>
      </c>
      <c r="F13229" s="2">
        <v>0</v>
      </c>
      <c r="G13229" s="2">
        <v>0</v>
      </c>
      <c r="H13229" s="1" t="s">
        <v>0</v>
      </c>
      <c r="I13229" s="2">
        <v>0</v>
      </c>
      <c r="J13229" s="1">
        <v>46073.455324074072</v>
      </c>
    </row>
    <row r="13230" spans="1:10" x14ac:dyDescent="0.2">
      <c r="A13230" s="4" t="s">
        <v>1</v>
      </c>
      <c r="B13230" s="3" t="str">
        <f>HYPERLINK("https://otsuka-europe-crm.veevavault.com/ui/#object/approved_document__v/V5O00000000Q011", "LUP - 10 cuestiones: Inmunosupresión - nefro")</f>
        <v>LUP - 10 cuestiones: Inmunosupresión - nefro</v>
      </c>
      <c r="C13230" s="3" t="str">
        <f>HYPERLINK("https://otsuka-europe-crm.veevavault.com/ui/#object/sent_email__v/VBL00000001G054", "SE-001405223")</f>
        <v>SE-001405223</v>
      </c>
      <c r="D13230" s="1" t="s">
        <v>0</v>
      </c>
      <c r="E13230" s="2">
        <v>0</v>
      </c>
      <c r="F13230" s="2">
        <v>0</v>
      </c>
      <c r="G13230" s="2">
        <v>0</v>
      </c>
      <c r="H13230" s="1" t="s">
        <v>0</v>
      </c>
      <c r="I13230" s="2">
        <v>0</v>
      </c>
      <c r="J13230" s="1">
        <v>46073.455324074072</v>
      </c>
    </row>
    <row r="13231" spans="1:10" x14ac:dyDescent="0.2">
      <c r="A13231" s="4" t="s">
        <v>1</v>
      </c>
      <c r="B13231" s="3" t="str">
        <f>HYPERLINK("https://otsuka-europe-crm.veevavault.com/ui/#object/approved_document__v/V5O00000000Q011", "LUP - 10 cuestiones: Inmunosupresión - nefro")</f>
        <v>LUP - 10 cuestiones: Inmunosupresión - nefro</v>
      </c>
      <c r="C13231" s="3" t="str">
        <f>HYPERLINK("https://otsuka-europe-crm.veevavault.com/ui/#object/sent_email__v/VBL00000001G055", "SE-001405224")</f>
        <v>SE-001405224</v>
      </c>
      <c r="D13231" s="1" t="s">
        <v>0</v>
      </c>
      <c r="E13231" s="2">
        <v>0</v>
      </c>
      <c r="F13231" s="2">
        <v>0</v>
      </c>
      <c r="G13231" s="2">
        <v>0</v>
      </c>
      <c r="H13231" s="1" t="s">
        <v>0</v>
      </c>
      <c r="I13231" s="2">
        <v>0</v>
      </c>
      <c r="J13231" s="1">
        <v>46073.455324074072</v>
      </c>
    </row>
    <row r="13232" spans="1:10" x14ac:dyDescent="0.2">
      <c r="A13232" s="4" t="s">
        <v>1</v>
      </c>
      <c r="B13232" s="3" t="str">
        <f>HYPERLINK("https://otsuka-europe-crm.veevavault.com/ui/#object/approved_document__v/V5O00000000Q011", "LUP - 10 cuestiones: Inmunosupresión - nefro")</f>
        <v>LUP - 10 cuestiones: Inmunosupresión - nefro</v>
      </c>
      <c r="C13232" s="3" t="str">
        <f>HYPERLINK("https://otsuka-europe-crm.veevavault.com/ui/#object/sent_email__v/VBL00000001G056", "SE-001405225")</f>
        <v>SE-001405225</v>
      </c>
      <c r="D13232" s="1" t="s">
        <v>0</v>
      </c>
      <c r="E13232" s="2">
        <v>0</v>
      </c>
      <c r="F13232" s="2">
        <v>0</v>
      </c>
      <c r="G13232" s="2">
        <v>0</v>
      </c>
      <c r="H13232" s="1" t="s">
        <v>0</v>
      </c>
      <c r="I13232" s="2">
        <v>0</v>
      </c>
      <c r="J13232" s="1">
        <v>46073.455324074072</v>
      </c>
    </row>
    <row r="13233" spans="1:10" x14ac:dyDescent="0.2">
      <c r="A13233" s="4" t="s">
        <v>1</v>
      </c>
      <c r="B13233" s="3" t="str">
        <f>HYPERLINK("https://otsuka-europe-crm.veevavault.com/ui/#object/approved_document__v/V5O00000000Q011", "LUP - 10 cuestiones: Inmunosupresión - nefro")</f>
        <v>LUP - 10 cuestiones: Inmunosupresión - nefro</v>
      </c>
      <c r="C13233" s="3" t="str">
        <f>HYPERLINK("https://otsuka-europe-crm.veevavault.com/ui/#object/sent_email__v/VBL00000001G057", "SE-001405226")</f>
        <v>SE-001405226</v>
      </c>
      <c r="D13233" s="1" t="s">
        <v>0</v>
      </c>
      <c r="E13233" s="2">
        <v>0</v>
      </c>
      <c r="F13233" s="2">
        <v>0</v>
      </c>
      <c r="G13233" s="2">
        <v>0</v>
      </c>
      <c r="H13233" s="1" t="s">
        <v>0</v>
      </c>
      <c r="I13233" s="2">
        <v>0</v>
      </c>
      <c r="J13233" s="1">
        <v>46073.455324074072</v>
      </c>
    </row>
    <row r="13234" spans="1:10" x14ac:dyDescent="0.2">
      <c r="A13234" s="4" t="s">
        <v>1</v>
      </c>
      <c r="B13234" s="3" t="str">
        <f>HYPERLINK("https://otsuka-europe-crm.veevavault.com/ui/#object/approved_document__v/V5O00000000Q011", "LUP - 10 cuestiones: Inmunosupresión - nefro")</f>
        <v>LUP - 10 cuestiones: Inmunosupresión - nefro</v>
      </c>
      <c r="C13234" s="3" t="str">
        <f>HYPERLINK("https://otsuka-europe-crm.veevavault.com/ui/#object/sent_email__v/VBL00000001G058", "SE-001405227")</f>
        <v>SE-001405227</v>
      </c>
      <c r="D13234" s="1" t="s">
        <v>0</v>
      </c>
      <c r="E13234" s="2">
        <v>0</v>
      </c>
      <c r="F13234" s="2">
        <v>0</v>
      </c>
      <c r="G13234" s="2">
        <v>0</v>
      </c>
      <c r="H13234" s="1" t="s">
        <v>0</v>
      </c>
      <c r="I13234" s="2">
        <v>0</v>
      </c>
      <c r="J13234" s="1">
        <v>46073.455324074072</v>
      </c>
    </row>
    <row r="13235" spans="1:10" x14ac:dyDescent="0.2">
      <c r="A13235" s="4" t="s">
        <v>1</v>
      </c>
      <c r="B13235" s="3" t="str">
        <f>HYPERLINK("https://otsuka-europe-crm.veevavault.com/ui/#object/approved_document__v/V5O00000000Q011", "LUP - 10 cuestiones: Inmunosupresión - nefro")</f>
        <v>LUP - 10 cuestiones: Inmunosupresión - nefro</v>
      </c>
      <c r="C13235" s="3" t="str">
        <f>HYPERLINK("https://otsuka-europe-crm.veevavault.com/ui/#object/sent_email__v/VBL00000001G059", "SE-001405228")</f>
        <v>SE-001405228</v>
      </c>
      <c r="D13235" s="1" t="s">
        <v>0</v>
      </c>
      <c r="E13235" s="2">
        <v>0</v>
      </c>
      <c r="F13235" s="2">
        <v>0</v>
      </c>
      <c r="G13235" s="2">
        <v>0</v>
      </c>
      <c r="H13235" s="1" t="s">
        <v>0</v>
      </c>
      <c r="I13235" s="2">
        <v>0</v>
      </c>
      <c r="J13235" s="1">
        <v>46073.455324074072</v>
      </c>
    </row>
    <row r="13236" spans="1:10" x14ac:dyDescent="0.2">
      <c r="A13236" s="4" t="s">
        <v>1</v>
      </c>
      <c r="B13236" s="3" t="str">
        <f>HYPERLINK("https://otsuka-europe-crm.veevavault.com/ui/#object/approved_document__v/V5O00000000Q011", "LUP - 10 cuestiones: Inmunosupresión - nefro")</f>
        <v>LUP - 10 cuestiones: Inmunosupresión - nefro</v>
      </c>
      <c r="C13236" s="3" t="str">
        <f>HYPERLINK("https://otsuka-europe-crm.veevavault.com/ui/#object/sent_email__v/VBL00000001G060", "SE-001405229")</f>
        <v>SE-001405229</v>
      </c>
      <c r="D13236" s="1" t="s">
        <v>0</v>
      </c>
      <c r="E13236" s="2">
        <v>0</v>
      </c>
      <c r="F13236" s="2">
        <v>0</v>
      </c>
      <c r="G13236" s="2">
        <v>0</v>
      </c>
      <c r="H13236" s="1" t="s">
        <v>0</v>
      </c>
      <c r="I13236" s="2">
        <v>0</v>
      </c>
      <c r="J13236" s="1">
        <v>46073.455335648148</v>
      </c>
    </row>
    <row r="13237" spans="1:10" x14ac:dyDescent="0.2">
      <c r="A13237" s="4" t="s">
        <v>1</v>
      </c>
      <c r="B13237" s="3" t="str">
        <f>HYPERLINK("https://otsuka-europe-crm.veevavault.com/ui/#object/approved_document__v/V5O00000000Q011", "LUP - 10 cuestiones: Inmunosupresión - nefro")</f>
        <v>LUP - 10 cuestiones: Inmunosupresión - nefro</v>
      </c>
      <c r="C13237" s="3" t="str">
        <f>HYPERLINK("https://otsuka-europe-crm.veevavault.com/ui/#object/sent_email__v/VBL00000001G061", "SE-001405230")</f>
        <v>SE-001405230</v>
      </c>
      <c r="D13237" s="1" t="s">
        <v>0</v>
      </c>
      <c r="E13237" s="2">
        <v>0</v>
      </c>
      <c r="F13237" s="2">
        <v>0</v>
      </c>
      <c r="G13237" s="2">
        <v>0</v>
      </c>
      <c r="H13237" s="1" t="s">
        <v>0</v>
      </c>
      <c r="I13237" s="2">
        <v>0</v>
      </c>
      <c r="J13237" s="1">
        <v>46073.455335648148</v>
      </c>
    </row>
    <row r="13238" spans="1:10" x14ac:dyDescent="0.2">
      <c r="A13238" s="4" t="s">
        <v>1</v>
      </c>
      <c r="B13238" s="3" t="str">
        <f>HYPERLINK("https://otsuka-europe-crm.veevavault.com/ui/#object/approved_document__v/V5O00000000Q011", "LUP - 10 cuestiones: Inmunosupresión - nefro")</f>
        <v>LUP - 10 cuestiones: Inmunosupresión - nefro</v>
      </c>
      <c r="C13238" s="3" t="str">
        <f>HYPERLINK("https://otsuka-europe-crm.veevavault.com/ui/#object/sent_email__v/VBL00000001G062", "SE-001405231")</f>
        <v>SE-001405231</v>
      </c>
      <c r="D13238" s="1" t="s">
        <v>0</v>
      </c>
      <c r="E13238" s="2">
        <v>0</v>
      </c>
      <c r="F13238" s="2">
        <v>0</v>
      </c>
      <c r="G13238" s="2">
        <v>0</v>
      </c>
      <c r="H13238" s="1" t="s">
        <v>0</v>
      </c>
      <c r="I13238" s="2">
        <v>0</v>
      </c>
      <c r="J13238" s="1">
        <v>46073.455335648148</v>
      </c>
    </row>
    <row r="13239" spans="1:10" x14ac:dyDescent="0.2">
      <c r="A13239" s="4" t="s">
        <v>1</v>
      </c>
      <c r="B13239" s="3" t="str">
        <f>HYPERLINK("https://otsuka-europe-crm.veevavault.com/ui/#object/approved_document__v/V5O00000000Q011", "LUP - 10 cuestiones: Inmunosupresión - nefro")</f>
        <v>LUP - 10 cuestiones: Inmunosupresión - nefro</v>
      </c>
      <c r="C13239" s="3" t="str">
        <f>HYPERLINK("https://otsuka-europe-crm.veevavault.com/ui/#object/sent_email__v/VBL00000001G063", "SE-001405232")</f>
        <v>SE-001405232</v>
      </c>
      <c r="D13239" s="1" t="s">
        <v>0</v>
      </c>
      <c r="E13239" s="2">
        <v>0</v>
      </c>
      <c r="F13239" s="2">
        <v>0</v>
      </c>
      <c r="G13239" s="2">
        <v>0</v>
      </c>
      <c r="H13239" s="1" t="s">
        <v>0</v>
      </c>
      <c r="I13239" s="2">
        <v>0</v>
      </c>
      <c r="J13239" s="1">
        <v>46073.455335648148</v>
      </c>
    </row>
    <row r="13240" spans="1:10" x14ac:dyDescent="0.2">
      <c r="A13240" s="4" t="s">
        <v>1</v>
      </c>
      <c r="B13240" s="3" t="str">
        <f>HYPERLINK("https://otsuka-europe-crm.veevavault.com/ui/#object/approved_document__v/V5O00000000Q011", "LUP - 10 cuestiones: Inmunosupresión - nefro")</f>
        <v>LUP - 10 cuestiones: Inmunosupresión - nefro</v>
      </c>
      <c r="C13240" s="3" t="str">
        <f>HYPERLINK("https://otsuka-europe-crm.veevavault.com/ui/#object/sent_email__v/VBL00000001G064", "SE-001405233")</f>
        <v>SE-001405233</v>
      </c>
      <c r="D13240" s="1" t="s">
        <v>0</v>
      </c>
      <c r="E13240" s="2">
        <v>0</v>
      </c>
      <c r="F13240" s="2">
        <v>0</v>
      </c>
      <c r="G13240" s="2">
        <v>0</v>
      </c>
      <c r="H13240" s="1" t="s">
        <v>0</v>
      </c>
      <c r="I13240" s="2">
        <v>0</v>
      </c>
      <c r="J13240" s="1">
        <v>46073.455335648148</v>
      </c>
    </row>
    <row r="13241" spans="1:10" x14ac:dyDescent="0.2">
      <c r="A13241" s="4" t="s">
        <v>1</v>
      </c>
      <c r="B13241" s="3" t="str">
        <f>HYPERLINK("https://otsuka-europe-crm.veevavault.com/ui/#object/approved_document__v/V5O00000000Q011", "LUP - 10 cuestiones: Inmunosupresión - nefro")</f>
        <v>LUP - 10 cuestiones: Inmunosupresión - nefro</v>
      </c>
      <c r="C13241" s="3" t="str">
        <f>HYPERLINK("https://otsuka-europe-crm.veevavault.com/ui/#object/sent_email__v/VBL00000001G065", "SE-001405234")</f>
        <v>SE-001405234</v>
      </c>
      <c r="D13241" s="1" t="s">
        <v>0</v>
      </c>
      <c r="E13241" s="2">
        <v>0</v>
      </c>
      <c r="F13241" s="2">
        <v>0</v>
      </c>
      <c r="G13241" s="2">
        <v>0</v>
      </c>
      <c r="H13241" s="1" t="s">
        <v>0</v>
      </c>
      <c r="I13241" s="2">
        <v>0</v>
      </c>
      <c r="J13241" s="1">
        <v>46073.455335648148</v>
      </c>
    </row>
    <row r="13242" spans="1:10" x14ac:dyDescent="0.2">
      <c r="A13242" s="4" t="s">
        <v>1</v>
      </c>
      <c r="B13242" s="3" t="str">
        <f>HYPERLINK("https://otsuka-europe-crm.veevavault.com/ui/#object/approved_document__v/V5O00000000Q011", "LUP - 10 cuestiones: Inmunosupresión - nefro")</f>
        <v>LUP - 10 cuestiones: Inmunosupresión - nefro</v>
      </c>
      <c r="C13242" s="3" t="str">
        <f>HYPERLINK("https://otsuka-europe-crm.veevavault.com/ui/#object/sent_email__v/VBL00000001G066", "SE-001405235")</f>
        <v>SE-001405235</v>
      </c>
      <c r="D13242" s="1" t="s">
        <v>0</v>
      </c>
      <c r="E13242" s="2">
        <v>0</v>
      </c>
      <c r="F13242" s="2">
        <v>0</v>
      </c>
      <c r="G13242" s="2">
        <v>0</v>
      </c>
      <c r="H13242" s="1" t="s">
        <v>0</v>
      </c>
      <c r="I13242" s="2">
        <v>0</v>
      </c>
      <c r="J13242" s="1">
        <v>46073.455347222225</v>
      </c>
    </row>
    <row r="13243" spans="1:10" x14ac:dyDescent="0.2">
      <c r="A13243" s="4" t="s">
        <v>1</v>
      </c>
      <c r="B13243" s="3" t="str">
        <f>HYPERLINK("https://otsuka-europe-crm.veevavault.com/ui/#object/approved_document__v/V5O00000000Q011", "LUP - 10 cuestiones: Inmunosupresión - nefro")</f>
        <v>LUP - 10 cuestiones: Inmunosupresión - nefro</v>
      </c>
      <c r="C13243" s="3" t="str">
        <f>HYPERLINK("https://otsuka-europe-crm.veevavault.com/ui/#object/sent_email__v/VBL00000001G067", "SE-001405236")</f>
        <v>SE-001405236</v>
      </c>
      <c r="D13243" s="1" t="s">
        <v>0</v>
      </c>
      <c r="E13243" s="2">
        <v>0</v>
      </c>
      <c r="F13243" s="2">
        <v>0</v>
      </c>
      <c r="G13243" s="2">
        <v>0</v>
      </c>
      <c r="H13243" s="1" t="s">
        <v>0</v>
      </c>
      <c r="I13243" s="2">
        <v>0</v>
      </c>
      <c r="J13243" s="1">
        <v>46073.455347222225</v>
      </c>
    </row>
    <row r="13244" spans="1:10" x14ac:dyDescent="0.2">
      <c r="A13244" s="4" t="s">
        <v>1</v>
      </c>
      <c r="B13244" s="3" t="str">
        <f>HYPERLINK("https://otsuka-europe-crm.veevavault.com/ui/#object/approved_document__v/V5O00000000Q011", "LUP - 10 cuestiones: Inmunosupresión - nefro")</f>
        <v>LUP - 10 cuestiones: Inmunosupresión - nefro</v>
      </c>
      <c r="C13244" s="3" t="str">
        <f>HYPERLINK("https://otsuka-europe-crm.veevavault.com/ui/#object/sent_email__v/VBL00000001G068", "SE-001405237")</f>
        <v>SE-001405237</v>
      </c>
      <c r="D13244" s="1" t="s">
        <v>0</v>
      </c>
      <c r="E13244" s="2">
        <v>0</v>
      </c>
      <c r="F13244" s="2">
        <v>0</v>
      </c>
      <c r="G13244" s="2">
        <v>0</v>
      </c>
      <c r="H13244" s="1" t="s">
        <v>0</v>
      </c>
      <c r="I13244" s="2">
        <v>0</v>
      </c>
      <c r="J13244" s="1">
        <v>46073.455347222225</v>
      </c>
    </row>
    <row r="13245" spans="1:10" x14ac:dyDescent="0.2">
      <c r="A13245" s="4" t="s">
        <v>1</v>
      </c>
      <c r="B13245" s="3" t="str">
        <f>HYPERLINK("https://otsuka-europe-crm.veevavault.com/ui/#object/approved_document__v/V5O00000000Q011", "LUP - 10 cuestiones: Inmunosupresión - nefro")</f>
        <v>LUP - 10 cuestiones: Inmunosupresión - nefro</v>
      </c>
      <c r="C13245" s="3" t="str">
        <f>HYPERLINK("https://otsuka-europe-crm.veevavault.com/ui/#object/sent_email__v/VBL00000001G069", "SE-001405238")</f>
        <v>SE-001405238</v>
      </c>
      <c r="D13245" s="1" t="s">
        <v>0</v>
      </c>
      <c r="E13245" s="2">
        <v>0</v>
      </c>
      <c r="F13245" s="2">
        <v>0</v>
      </c>
      <c r="G13245" s="2">
        <v>0</v>
      </c>
      <c r="H13245" s="1" t="s">
        <v>0</v>
      </c>
      <c r="I13245" s="2">
        <v>0</v>
      </c>
      <c r="J13245" s="1">
        <v>46073.455347222225</v>
      </c>
    </row>
    <row r="13246" spans="1:10" x14ac:dyDescent="0.2">
      <c r="A13246" s="4" t="s">
        <v>1</v>
      </c>
      <c r="B13246" s="3" t="str">
        <f>HYPERLINK("https://otsuka-europe-crm.veevavault.com/ui/#object/approved_document__v/V5O00000000Q011", "LUP - 10 cuestiones: Inmunosupresión - nefro")</f>
        <v>LUP - 10 cuestiones: Inmunosupresión - nefro</v>
      </c>
      <c r="C13246" s="3" t="str">
        <f>HYPERLINK("https://otsuka-europe-crm.veevavault.com/ui/#object/sent_email__v/VBL00000001G070", "SE-001405239")</f>
        <v>SE-001405239</v>
      </c>
      <c r="D13246" s="1" t="s">
        <v>0</v>
      </c>
      <c r="E13246" s="2">
        <v>0</v>
      </c>
      <c r="F13246" s="2">
        <v>0</v>
      </c>
      <c r="G13246" s="2">
        <v>0</v>
      </c>
      <c r="H13246" s="1" t="s">
        <v>0</v>
      </c>
      <c r="I13246" s="2">
        <v>0</v>
      </c>
      <c r="J13246" s="1">
        <v>46073.455347222225</v>
      </c>
    </row>
    <row r="13247" spans="1:10" x14ac:dyDescent="0.2">
      <c r="A13247" s="4" t="s">
        <v>1</v>
      </c>
      <c r="B13247" s="3" t="str">
        <f>HYPERLINK("https://otsuka-europe-crm.veevavault.com/ui/#object/approved_document__v/V5O00000000Q011", "LUP - 10 cuestiones: Inmunosupresión - nefro")</f>
        <v>LUP - 10 cuestiones: Inmunosupresión - nefro</v>
      </c>
      <c r="C13247" s="3" t="str">
        <f>HYPERLINK("https://otsuka-europe-crm.veevavault.com/ui/#object/sent_email__v/VBL00000001G071", "SE-001405240")</f>
        <v>SE-001405240</v>
      </c>
      <c r="D13247" s="1" t="s">
        <v>0</v>
      </c>
      <c r="E13247" s="2">
        <v>0</v>
      </c>
      <c r="F13247" s="2">
        <v>0</v>
      </c>
      <c r="G13247" s="2">
        <v>0</v>
      </c>
      <c r="H13247" s="1" t="s">
        <v>0</v>
      </c>
      <c r="I13247" s="2">
        <v>0</v>
      </c>
      <c r="J13247" s="1">
        <v>46073.455347222225</v>
      </c>
    </row>
    <row r="13248" spans="1:10" x14ac:dyDescent="0.2">
      <c r="A13248" s="4" t="s">
        <v>1</v>
      </c>
      <c r="B13248" s="3" t="str">
        <f>HYPERLINK("https://otsuka-europe-crm.veevavault.com/ui/#object/approved_document__v/V5O00000000Q011", "LUP - 10 cuestiones: Inmunosupresión - nefro")</f>
        <v>LUP - 10 cuestiones: Inmunosupresión - nefro</v>
      </c>
      <c r="C13248" s="3" t="str">
        <f>HYPERLINK("https://otsuka-europe-crm.veevavault.com/ui/#object/sent_email__v/VBL00000001G072", "SE-001405241")</f>
        <v>SE-001405241</v>
      </c>
      <c r="D13248" s="1" t="s">
        <v>0</v>
      </c>
      <c r="E13248" s="2">
        <v>0</v>
      </c>
      <c r="F13248" s="2">
        <v>0</v>
      </c>
      <c r="G13248" s="2">
        <v>0</v>
      </c>
      <c r="H13248" s="1" t="s">
        <v>0</v>
      </c>
      <c r="I13248" s="2">
        <v>0</v>
      </c>
      <c r="J13248" s="1">
        <v>46073.455347222225</v>
      </c>
    </row>
    <row r="13249" spans="1:10" x14ac:dyDescent="0.2">
      <c r="A13249" s="4" t="s">
        <v>1</v>
      </c>
      <c r="B13249" s="3" t="str">
        <f>HYPERLINK("https://otsuka-europe-crm.veevavault.com/ui/#object/approved_document__v/V5O00000000Q011", "LUP - 10 cuestiones: Inmunosupresión - nefro")</f>
        <v>LUP - 10 cuestiones: Inmunosupresión - nefro</v>
      </c>
      <c r="C13249" s="3" t="str">
        <f>HYPERLINK("https://otsuka-europe-crm.veevavault.com/ui/#object/sent_email__v/VBL00000001G073", "SE-001405242")</f>
        <v>SE-001405242</v>
      </c>
      <c r="D13249" s="1" t="s">
        <v>0</v>
      </c>
      <c r="E13249" s="2">
        <v>0</v>
      </c>
      <c r="F13249" s="2">
        <v>0</v>
      </c>
      <c r="G13249" s="2">
        <v>0</v>
      </c>
      <c r="H13249" s="1" t="s">
        <v>0</v>
      </c>
      <c r="I13249" s="2">
        <v>0</v>
      </c>
      <c r="J13249" s="1">
        <v>46073.455347222225</v>
      </c>
    </row>
    <row r="13250" spans="1:10" x14ac:dyDescent="0.2">
      <c r="A13250" s="4" t="s">
        <v>1</v>
      </c>
      <c r="B13250" s="3" t="str">
        <f>HYPERLINK("https://otsuka-europe-crm.veevavault.com/ui/#object/approved_document__v/V5O00000000Q011", "LUP - 10 cuestiones: Inmunosupresión - nefro")</f>
        <v>LUP - 10 cuestiones: Inmunosupresión - nefro</v>
      </c>
      <c r="C13250" s="3" t="str">
        <f>HYPERLINK("https://otsuka-europe-crm.veevavault.com/ui/#object/sent_email__v/VBL00000001G074", "SE-001405243")</f>
        <v>SE-001405243</v>
      </c>
      <c r="D13250" s="1" t="s">
        <v>0</v>
      </c>
      <c r="E13250" s="2">
        <v>0</v>
      </c>
      <c r="F13250" s="2">
        <v>0</v>
      </c>
      <c r="G13250" s="2">
        <v>0</v>
      </c>
      <c r="H13250" s="1" t="s">
        <v>0</v>
      </c>
      <c r="I13250" s="2">
        <v>0</v>
      </c>
      <c r="J13250" s="1">
        <v>46073.455358796295</v>
      </c>
    </row>
    <row r="13251" spans="1:10" x14ac:dyDescent="0.2">
      <c r="A13251" s="4" t="s">
        <v>1</v>
      </c>
      <c r="B13251" s="3" t="str">
        <f>HYPERLINK("https://otsuka-europe-crm.veevavault.com/ui/#object/approved_document__v/V5O00000000Q011", "LUP - 10 cuestiones: Inmunosupresión - nefro")</f>
        <v>LUP - 10 cuestiones: Inmunosupresión - nefro</v>
      </c>
      <c r="C13251" s="3" t="str">
        <f>HYPERLINK("https://otsuka-europe-crm.veevavault.com/ui/#object/sent_email__v/VBL00000001G075", "SE-001405244")</f>
        <v>SE-001405244</v>
      </c>
      <c r="D13251" s="1" t="s">
        <v>0</v>
      </c>
      <c r="E13251" s="2">
        <v>0</v>
      </c>
      <c r="F13251" s="2">
        <v>0</v>
      </c>
      <c r="G13251" s="2">
        <v>0</v>
      </c>
      <c r="H13251" s="1" t="s">
        <v>0</v>
      </c>
      <c r="I13251" s="2">
        <v>0</v>
      </c>
      <c r="J13251" s="1">
        <v>46073.455358796295</v>
      </c>
    </row>
    <row r="13252" spans="1:10" x14ac:dyDescent="0.2">
      <c r="A13252" s="4" t="s">
        <v>1</v>
      </c>
      <c r="B13252" s="3" t="str">
        <f>HYPERLINK("https://otsuka-europe-crm.veevavault.com/ui/#object/approved_document__v/V5O00000000Q011", "LUP - 10 cuestiones: Inmunosupresión - nefro")</f>
        <v>LUP - 10 cuestiones: Inmunosupresión - nefro</v>
      </c>
      <c r="C13252" s="3" t="str">
        <f>HYPERLINK("https://otsuka-europe-crm.veevavault.com/ui/#object/sent_email__v/VBL00000001G076", "SE-001405245")</f>
        <v>SE-001405245</v>
      </c>
      <c r="D13252" s="1" t="s">
        <v>0</v>
      </c>
      <c r="E13252" s="2">
        <v>0</v>
      </c>
      <c r="F13252" s="2">
        <v>0</v>
      </c>
      <c r="G13252" s="2">
        <v>0</v>
      </c>
      <c r="H13252" s="1" t="s">
        <v>0</v>
      </c>
      <c r="I13252" s="2">
        <v>0</v>
      </c>
      <c r="J13252" s="1">
        <v>46073.455358796295</v>
      </c>
    </row>
    <row r="13253" spans="1:10" x14ac:dyDescent="0.2">
      <c r="A13253" s="4" t="s">
        <v>1</v>
      </c>
      <c r="B13253" s="3" t="str">
        <f>HYPERLINK("https://otsuka-europe-crm.veevavault.com/ui/#object/approved_document__v/V5O00000000Q011", "LUP - 10 cuestiones: Inmunosupresión - nefro")</f>
        <v>LUP - 10 cuestiones: Inmunosupresión - nefro</v>
      </c>
      <c r="C13253" s="3" t="str">
        <f>HYPERLINK("https://otsuka-europe-crm.veevavault.com/ui/#object/sent_email__v/VBL00000001G077", "SE-001405246")</f>
        <v>SE-001405246</v>
      </c>
      <c r="D13253" s="1" t="s">
        <v>0</v>
      </c>
      <c r="E13253" s="2">
        <v>0</v>
      </c>
      <c r="F13253" s="2">
        <v>0</v>
      </c>
      <c r="G13253" s="2">
        <v>0</v>
      </c>
      <c r="H13253" s="1" t="s">
        <v>0</v>
      </c>
      <c r="I13253" s="2">
        <v>0</v>
      </c>
      <c r="J13253" s="1">
        <v>46073.455358796295</v>
      </c>
    </row>
    <row r="13254" spans="1:10" x14ac:dyDescent="0.2">
      <c r="A13254" s="4" t="s">
        <v>1</v>
      </c>
      <c r="B13254" s="3" t="str">
        <f>HYPERLINK("https://otsuka-europe-crm.veevavault.com/ui/#object/approved_document__v/V5O00000000Q011", "LUP - 10 cuestiones: Inmunosupresión - nefro")</f>
        <v>LUP - 10 cuestiones: Inmunosupresión - nefro</v>
      </c>
      <c r="C13254" s="3" t="str">
        <f>HYPERLINK("https://otsuka-europe-crm.veevavault.com/ui/#object/sent_email__v/VBL00000001G078", "SE-001405247")</f>
        <v>SE-001405247</v>
      </c>
      <c r="D13254" s="1" t="s">
        <v>0</v>
      </c>
      <c r="E13254" s="2">
        <v>0</v>
      </c>
      <c r="F13254" s="2">
        <v>0</v>
      </c>
      <c r="G13254" s="2">
        <v>0</v>
      </c>
      <c r="H13254" s="1" t="s">
        <v>0</v>
      </c>
      <c r="I13254" s="2">
        <v>0</v>
      </c>
      <c r="J13254" s="1">
        <v>46073.455358796295</v>
      </c>
    </row>
    <row r="13255" spans="1:10" x14ac:dyDescent="0.2">
      <c r="A13255" s="4" t="s">
        <v>1</v>
      </c>
      <c r="B13255" s="3" t="str">
        <f>HYPERLINK("https://otsuka-europe-crm.veevavault.com/ui/#object/approved_document__v/V5O00000000Q011", "LUP - 10 cuestiones: Inmunosupresión - nefro")</f>
        <v>LUP - 10 cuestiones: Inmunosupresión - nefro</v>
      </c>
      <c r="C13255" s="3" t="str">
        <f>HYPERLINK("https://otsuka-europe-crm.veevavault.com/ui/#object/sent_email__v/VBL00000001G079", "SE-001405248")</f>
        <v>SE-001405248</v>
      </c>
      <c r="D13255" s="1" t="s">
        <v>0</v>
      </c>
      <c r="E13255" s="2">
        <v>0</v>
      </c>
      <c r="F13255" s="2">
        <v>0</v>
      </c>
      <c r="G13255" s="2">
        <v>0</v>
      </c>
      <c r="H13255" s="1" t="s">
        <v>0</v>
      </c>
      <c r="I13255" s="2">
        <v>0</v>
      </c>
      <c r="J13255" s="1">
        <v>46073.455358796295</v>
      </c>
    </row>
    <row r="13256" spans="1:10" x14ac:dyDescent="0.2">
      <c r="A13256" s="4" t="s">
        <v>1</v>
      </c>
      <c r="B13256" s="3" t="str">
        <f>HYPERLINK("https://otsuka-europe-crm.veevavault.com/ui/#object/approved_document__v/V5O00000000Q011", "LUP - 10 cuestiones: Inmunosupresión - nefro")</f>
        <v>LUP - 10 cuestiones: Inmunosupresión - nefro</v>
      </c>
      <c r="C13256" s="3" t="str">
        <f>HYPERLINK("https://otsuka-europe-crm.veevavault.com/ui/#object/sent_email__v/VBL00000001G080", "SE-001405249")</f>
        <v>SE-001405249</v>
      </c>
      <c r="D13256" s="1" t="s">
        <v>0</v>
      </c>
      <c r="E13256" s="2">
        <v>0</v>
      </c>
      <c r="F13256" s="2">
        <v>0</v>
      </c>
      <c r="G13256" s="2">
        <v>0</v>
      </c>
      <c r="H13256" s="1" t="s">
        <v>0</v>
      </c>
      <c r="I13256" s="2">
        <v>0</v>
      </c>
      <c r="J13256" s="1">
        <v>46073.455370370371</v>
      </c>
    </row>
    <row r="13257" spans="1:10" x14ac:dyDescent="0.2">
      <c r="A13257" s="4" t="s">
        <v>1</v>
      </c>
      <c r="B13257" s="3" t="str">
        <f>HYPERLINK("https://otsuka-europe-crm.veevavault.com/ui/#object/approved_document__v/V5O00000000Q011", "LUP - 10 cuestiones: Inmunosupresión - nefro")</f>
        <v>LUP - 10 cuestiones: Inmunosupresión - nefro</v>
      </c>
      <c r="C13257" s="3" t="str">
        <f>HYPERLINK("https://otsuka-europe-crm.veevavault.com/ui/#object/sent_email__v/VBL00000001G081", "SE-001405250")</f>
        <v>SE-001405250</v>
      </c>
      <c r="D13257" s="1" t="s">
        <v>0</v>
      </c>
      <c r="E13257" s="2">
        <v>0</v>
      </c>
      <c r="F13257" s="2">
        <v>0</v>
      </c>
      <c r="G13257" s="2">
        <v>0</v>
      </c>
      <c r="H13257" s="1" t="s">
        <v>0</v>
      </c>
      <c r="I13257" s="2">
        <v>0</v>
      </c>
      <c r="J13257" s="1">
        <v>46073.455370370371</v>
      </c>
    </row>
    <row r="13258" spans="1:10" x14ac:dyDescent="0.2">
      <c r="A13258" s="4" t="s">
        <v>1</v>
      </c>
      <c r="B13258" s="3" t="str">
        <f>HYPERLINK("https://otsuka-europe-crm.veevavault.com/ui/#object/approved_document__v/V5O00000000Q011", "LUP - 10 cuestiones: Inmunosupresión - nefro")</f>
        <v>LUP - 10 cuestiones: Inmunosupresión - nefro</v>
      </c>
      <c r="C13258" s="3" t="str">
        <f>HYPERLINK("https://otsuka-europe-crm.veevavault.com/ui/#object/sent_email__v/VBL00000001G082", "SE-001405251")</f>
        <v>SE-001405251</v>
      </c>
      <c r="D13258" s="1" t="s">
        <v>0</v>
      </c>
      <c r="E13258" s="2">
        <v>0</v>
      </c>
      <c r="F13258" s="2">
        <v>0</v>
      </c>
      <c r="G13258" s="2">
        <v>0</v>
      </c>
      <c r="H13258" s="1" t="s">
        <v>0</v>
      </c>
      <c r="I13258" s="2">
        <v>0</v>
      </c>
      <c r="J13258" s="1">
        <v>46073.455370370371</v>
      </c>
    </row>
    <row r="13259" spans="1:10" x14ac:dyDescent="0.2">
      <c r="A13259" s="4" t="s">
        <v>1</v>
      </c>
      <c r="B13259" s="3" t="str">
        <f>HYPERLINK("https://otsuka-europe-crm.veevavault.com/ui/#object/approved_document__v/V5O00000000Q011", "LUP - 10 cuestiones: Inmunosupresión - nefro")</f>
        <v>LUP - 10 cuestiones: Inmunosupresión - nefro</v>
      </c>
      <c r="C13259" s="3" t="str">
        <f>HYPERLINK("https://otsuka-europe-crm.veevavault.com/ui/#object/sent_email__v/VBL00000001G083", "SE-001405252")</f>
        <v>SE-001405252</v>
      </c>
      <c r="D13259" s="1" t="s">
        <v>0</v>
      </c>
      <c r="E13259" s="2">
        <v>0</v>
      </c>
      <c r="F13259" s="2">
        <v>0</v>
      </c>
      <c r="G13259" s="2">
        <v>0</v>
      </c>
      <c r="H13259" s="1" t="s">
        <v>0</v>
      </c>
      <c r="I13259" s="2">
        <v>0</v>
      </c>
      <c r="J13259" s="1">
        <v>46073.455370370371</v>
      </c>
    </row>
    <row r="13260" spans="1:10" x14ac:dyDescent="0.2">
      <c r="A13260" s="4" t="s">
        <v>1</v>
      </c>
      <c r="B13260" s="3" t="str">
        <f>HYPERLINK("https://otsuka-europe-crm.veevavault.com/ui/#object/approved_document__v/V5O00000000Q011", "LUP - 10 cuestiones: Inmunosupresión - nefro")</f>
        <v>LUP - 10 cuestiones: Inmunosupresión - nefro</v>
      </c>
      <c r="C13260" s="3" t="str">
        <f>HYPERLINK("https://otsuka-europe-crm.veevavault.com/ui/#object/sent_email__v/VBL00000001G084", "SE-001405253")</f>
        <v>SE-001405253</v>
      </c>
      <c r="D13260" s="1" t="s">
        <v>0</v>
      </c>
      <c r="E13260" s="2">
        <v>0</v>
      </c>
      <c r="F13260" s="2">
        <v>0</v>
      </c>
      <c r="G13260" s="2">
        <v>0</v>
      </c>
      <c r="H13260" s="1" t="s">
        <v>0</v>
      </c>
      <c r="I13260" s="2">
        <v>0</v>
      </c>
      <c r="J13260" s="1">
        <v>46073.455370370371</v>
      </c>
    </row>
    <row r="13261" spans="1:10" x14ac:dyDescent="0.2">
      <c r="A13261" s="4" t="s">
        <v>1</v>
      </c>
      <c r="B13261" s="3" t="str">
        <f>HYPERLINK("https://otsuka-europe-crm.veevavault.com/ui/#object/approved_document__v/V5O00000000Q011", "LUP - 10 cuestiones: Inmunosupresión - nefro")</f>
        <v>LUP - 10 cuestiones: Inmunosupresión - nefro</v>
      </c>
      <c r="C13261" s="3" t="str">
        <f>HYPERLINK("https://otsuka-europe-crm.veevavault.com/ui/#object/sent_email__v/VBL00000001G085", "SE-001405254")</f>
        <v>SE-001405254</v>
      </c>
      <c r="D13261" s="1" t="s">
        <v>0</v>
      </c>
      <c r="E13261" s="2">
        <v>0</v>
      </c>
      <c r="F13261" s="2">
        <v>0</v>
      </c>
      <c r="G13261" s="2">
        <v>0</v>
      </c>
      <c r="H13261" s="1" t="s">
        <v>0</v>
      </c>
      <c r="I13261" s="2">
        <v>0</v>
      </c>
      <c r="J13261" s="1">
        <v>46073.455370370371</v>
      </c>
    </row>
    <row r="13262" spans="1:10" x14ac:dyDescent="0.2">
      <c r="A13262" s="4" t="s">
        <v>1</v>
      </c>
      <c r="B13262" s="3" t="str">
        <f>HYPERLINK("https://otsuka-europe-crm.veevavault.com/ui/#object/approved_document__v/V5O00000000Q011", "LUP - 10 cuestiones: Inmunosupresión - nefro")</f>
        <v>LUP - 10 cuestiones: Inmunosupresión - nefro</v>
      </c>
      <c r="C13262" s="3" t="str">
        <f>HYPERLINK("https://otsuka-europe-crm.veevavault.com/ui/#object/sent_email__v/VBL00000001G086", "SE-001405255")</f>
        <v>SE-001405255</v>
      </c>
      <c r="D13262" s="1" t="s">
        <v>0</v>
      </c>
      <c r="E13262" s="2">
        <v>0</v>
      </c>
      <c r="F13262" s="2">
        <v>0</v>
      </c>
      <c r="G13262" s="2">
        <v>0</v>
      </c>
      <c r="H13262" s="1" t="s">
        <v>0</v>
      </c>
      <c r="I13262" s="2">
        <v>0</v>
      </c>
      <c r="J13262" s="1">
        <v>46073.455370370371</v>
      </c>
    </row>
    <row r="13263" spans="1:10" x14ac:dyDescent="0.2">
      <c r="A13263" s="4" t="s">
        <v>1</v>
      </c>
      <c r="B13263" s="3" t="str">
        <f>HYPERLINK("https://otsuka-europe-crm.veevavault.com/ui/#object/approved_document__v/V5O00000000Q011", "LUP - 10 cuestiones: Inmunosupresión - nefro")</f>
        <v>LUP - 10 cuestiones: Inmunosupresión - nefro</v>
      </c>
      <c r="C13263" s="3" t="str">
        <f>HYPERLINK("https://otsuka-europe-crm.veevavault.com/ui/#object/sent_email__v/VBL00000001G087", "SE-001405256")</f>
        <v>SE-001405256</v>
      </c>
      <c r="D13263" s="1" t="s">
        <v>0</v>
      </c>
      <c r="E13263" s="2">
        <v>0</v>
      </c>
      <c r="F13263" s="2">
        <v>0</v>
      </c>
      <c r="G13263" s="2">
        <v>0</v>
      </c>
      <c r="H13263" s="1" t="s">
        <v>0</v>
      </c>
      <c r="I13263" s="2">
        <v>0</v>
      </c>
      <c r="J13263" s="1">
        <v>46073.455370370371</v>
      </c>
    </row>
    <row r="13264" spans="1:10" x14ac:dyDescent="0.2">
      <c r="A13264" s="4" t="s">
        <v>1</v>
      </c>
      <c r="B13264" s="3" t="str">
        <f>HYPERLINK("https://otsuka-europe-crm.veevavault.com/ui/#object/approved_document__v/V5O00000000Q011", "LUP - 10 cuestiones: Inmunosupresión - nefro")</f>
        <v>LUP - 10 cuestiones: Inmunosupresión - nefro</v>
      </c>
      <c r="C13264" s="3" t="str">
        <f>HYPERLINK("https://otsuka-europe-crm.veevavault.com/ui/#object/sent_email__v/VBL00000001G088", "SE-001405257")</f>
        <v>SE-001405257</v>
      </c>
      <c r="D13264" s="1" t="s">
        <v>0</v>
      </c>
      <c r="E13264" s="2">
        <v>0</v>
      </c>
      <c r="F13264" s="2">
        <v>0</v>
      </c>
      <c r="G13264" s="2">
        <v>0</v>
      </c>
      <c r="H13264" s="1" t="s">
        <v>0</v>
      </c>
      <c r="I13264" s="2">
        <v>0</v>
      </c>
      <c r="J13264" s="1">
        <v>46073.455381944441</v>
      </c>
    </row>
    <row r="13265" spans="1:10" x14ac:dyDescent="0.2">
      <c r="A13265" s="4" t="s">
        <v>1</v>
      </c>
      <c r="B13265" s="3" t="str">
        <f>HYPERLINK("https://otsuka-europe-crm.veevavault.com/ui/#object/approved_document__v/V5O00000000Q011", "LUP - 10 cuestiones: Inmunosupresión - nefro")</f>
        <v>LUP - 10 cuestiones: Inmunosupresión - nefro</v>
      </c>
      <c r="C13265" s="3" t="str">
        <f>HYPERLINK("https://otsuka-europe-crm.veevavault.com/ui/#object/sent_email__v/VBL00000001G089", "SE-001405258")</f>
        <v>SE-001405258</v>
      </c>
      <c r="D13265" s="1" t="s">
        <v>0</v>
      </c>
      <c r="E13265" s="2">
        <v>0</v>
      </c>
      <c r="F13265" s="2">
        <v>0</v>
      </c>
      <c r="G13265" s="2">
        <v>0</v>
      </c>
      <c r="H13265" s="1" t="s">
        <v>0</v>
      </c>
      <c r="I13265" s="2">
        <v>0</v>
      </c>
      <c r="J13265" s="1">
        <v>46073.455381944441</v>
      </c>
    </row>
    <row r="13266" spans="1:10" x14ac:dyDescent="0.2">
      <c r="A13266" s="4" t="s">
        <v>1</v>
      </c>
      <c r="B13266" s="3" t="str">
        <f>HYPERLINK("https://otsuka-europe-crm.veevavault.com/ui/#object/approved_document__v/V5O00000000Q011", "LUP - 10 cuestiones: Inmunosupresión - nefro")</f>
        <v>LUP - 10 cuestiones: Inmunosupresión - nefro</v>
      </c>
      <c r="C13266" s="3" t="str">
        <f>HYPERLINK("https://otsuka-europe-crm.veevavault.com/ui/#object/sent_email__v/VBL00000001G090", "SE-001405259")</f>
        <v>SE-001405259</v>
      </c>
      <c r="D13266" s="1" t="s">
        <v>0</v>
      </c>
      <c r="E13266" s="2">
        <v>0</v>
      </c>
      <c r="F13266" s="2">
        <v>0</v>
      </c>
      <c r="G13266" s="2">
        <v>0</v>
      </c>
      <c r="H13266" s="1" t="s">
        <v>0</v>
      </c>
      <c r="I13266" s="2">
        <v>0</v>
      </c>
      <c r="J13266" s="1">
        <v>46073.455381944441</v>
      </c>
    </row>
    <row r="13267" spans="1:10" x14ac:dyDescent="0.2">
      <c r="A13267" s="4" t="s">
        <v>1</v>
      </c>
      <c r="B13267" s="3" t="str">
        <f>HYPERLINK("https://otsuka-europe-crm.veevavault.com/ui/#object/approved_document__v/V5O00000000Q011", "LUP - 10 cuestiones: Inmunosupresión - nefro")</f>
        <v>LUP - 10 cuestiones: Inmunosupresión - nefro</v>
      </c>
      <c r="C13267" s="3" t="str">
        <f>HYPERLINK("https://otsuka-europe-crm.veevavault.com/ui/#object/sent_email__v/VBL00000001G091", "SE-001405260")</f>
        <v>SE-001405260</v>
      </c>
      <c r="D13267" s="1" t="s">
        <v>0</v>
      </c>
      <c r="E13267" s="2">
        <v>0</v>
      </c>
      <c r="F13267" s="2">
        <v>0</v>
      </c>
      <c r="G13267" s="2">
        <v>0</v>
      </c>
      <c r="H13267" s="1" t="s">
        <v>0</v>
      </c>
      <c r="I13267" s="2">
        <v>0</v>
      </c>
      <c r="J13267" s="1">
        <v>46073.455381944441</v>
      </c>
    </row>
    <row r="13268" spans="1:10" x14ac:dyDescent="0.2">
      <c r="A13268" s="4" t="s">
        <v>1</v>
      </c>
      <c r="B13268" s="3" t="str">
        <f>HYPERLINK("https://otsuka-europe-crm.veevavault.com/ui/#object/approved_document__v/V5O00000000Q011", "LUP - 10 cuestiones: Inmunosupresión - nefro")</f>
        <v>LUP - 10 cuestiones: Inmunosupresión - nefro</v>
      </c>
      <c r="C13268" s="3" t="str">
        <f>HYPERLINK("https://otsuka-europe-crm.veevavault.com/ui/#object/sent_email__v/VBL00000001G092", "SE-001405261")</f>
        <v>SE-001405261</v>
      </c>
      <c r="D13268" s="1" t="s">
        <v>0</v>
      </c>
      <c r="E13268" s="2">
        <v>0</v>
      </c>
      <c r="F13268" s="2">
        <v>0</v>
      </c>
      <c r="G13268" s="2">
        <v>0</v>
      </c>
      <c r="H13268" s="1" t="s">
        <v>0</v>
      </c>
      <c r="I13268" s="2">
        <v>0</v>
      </c>
      <c r="J13268" s="1">
        <v>46073.455381944441</v>
      </c>
    </row>
    <row r="13269" spans="1:10" x14ac:dyDescent="0.2">
      <c r="A13269" s="4" t="s">
        <v>1</v>
      </c>
      <c r="B13269" s="3" t="str">
        <f>HYPERLINK("https://otsuka-europe-crm.veevavault.com/ui/#object/approved_document__v/V5O00000000Q011", "LUP - 10 cuestiones: Inmunosupresión - nefro")</f>
        <v>LUP - 10 cuestiones: Inmunosupresión - nefro</v>
      </c>
      <c r="C13269" s="3" t="str">
        <f>HYPERLINK("https://otsuka-europe-crm.veevavault.com/ui/#object/sent_email__v/VBL00000001G093", "SE-001405262")</f>
        <v>SE-001405262</v>
      </c>
      <c r="D13269" s="1" t="s">
        <v>0</v>
      </c>
      <c r="E13269" s="2">
        <v>0</v>
      </c>
      <c r="F13269" s="2">
        <v>0</v>
      </c>
      <c r="G13269" s="2">
        <v>0</v>
      </c>
      <c r="H13269" s="1" t="s">
        <v>0</v>
      </c>
      <c r="I13269" s="2">
        <v>0</v>
      </c>
      <c r="J13269" s="1">
        <v>46073.455381944441</v>
      </c>
    </row>
    <row r="13270" spans="1:10" x14ac:dyDescent="0.2">
      <c r="A13270" s="4" t="s">
        <v>1</v>
      </c>
      <c r="B13270" s="3" t="str">
        <f>HYPERLINK("https://otsuka-europe-crm.veevavault.com/ui/#object/approved_document__v/V5O00000000Q011", "LUP - 10 cuestiones: Inmunosupresión - nefro")</f>
        <v>LUP - 10 cuestiones: Inmunosupresión - nefro</v>
      </c>
      <c r="C13270" s="3" t="str">
        <f>HYPERLINK("https://otsuka-europe-crm.veevavault.com/ui/#object/sent_email__v/VBL00000001G094", "SE-001405263")</f>
        <v>SE-001405263</v>
      </c>
      <c r="D13270" s="1" t="s">
        <v>0</v>
      </c>
      <c r="E13270" s="2">
        <v>0</v>
      </c>
      <c r="F13270" s="2">
        <v>0</v>
      </c>
      <c r="G13270" s="2">
        <v>0</v>
      </c>
      <c r="H13270" s="1" t="s">
        <v>0</v>
      </c>
      <c r="I13270" s="2">
        <v>0</v>
      </c>
      <c r="J13270" s="1">
        <v>46073.455393518518</v>
      </c>
    </row>
    <row r="13271" spans="1:10" x14ac:dyDescent="0.2">
      <c r="A13271" s="4" t="s">
        <v>1</v>
      </c>
      <c r="B13271" s="3" t="str">
        <f>HYPERLINK("https://otsuka-europe-crm.veevavault.com/ui/#object/approved_document__v/V5O00000000Q011", "LUP - 10 cuestiones: Inmunosupresión - nefro")</f>
        <v>LUP - 10 cuestiones: Inmunosupresión - nefro</v>
      </c>
      <c r="C13271" s="3" t="str">
        <f>HYPERLINK("https://otsuka-europe-crm.veevavault.com/ui/#object/sent_email__v/VBL00000001G095", "SE-001405264")</f>
        <v>SE-001405264</v>
      </c>
      <c r="D13271" s="1" t="s">
        <v>0</v>
      </c>
      <c r="E13271" s="2">
        <v>0</v>
      </c>
      <c r="F13271" s="2">
        <v>0</v>
      </c>
      <c r="G13271" s="2">
        <v>0</v>
      </c>
      <c r="H13271" s="1" t="s">
        <v>0</v>
      </c>
      <c r="I13271" s="2">
        <v>0</v>
      </c>
      <c r="J13271" s="1">
        <v>46073.455393518518</v>
      </c>
    </row>
    <row r="13272" spans="1:10" x14ac:dyDescent="0.2">
      <c r="A13272" s="4" t="s">
        <v>1</v>
      </c>
      <c r="B13272" s="3" t="str">
        <f>HYPERLINK("https://otsuka-europe-crm.veevavault.com/ui/#object/approved_document__v/V5O00000000Q011", "LUP - 10 cuestiones: Inmunosupresión - nefro")</f>
        <v>LUP - 10 cuestiones: Inmunosupresión - nefro</v>
      </c>
      <c r="C13272" s="3" t="str">
        <f>HYPERLINK("https://otsuka-europe-crm.veevavault.com/ui/#object/sent_email__v/VBL00000001G096", "SE-001405265")</f>
        <v>SE-001405265</v>
      </c>
      <c r="D13272" s="1" t="s">
        <v>0</v>
      </c>
      <c r="E13272" s="2">
        <v>0</v>
      </c>
      <c r="F13272" s="2">
        <v>0</v>
      </c>
      <c r="G13272" s="2">
        <v>0</v>
      </c>
      <c r="H13272" s="1" t="s">
        <v>0</v>
      </c>
      <c r="I13272" s="2">
        <v>0</v>
      </c>
      <c r="J13272" s="1">
        <v>46073.455393518518</v>
      </c>
    </row>
    <row r="13273" spans="1:10" x14ac:dyDescent="0.2">
      <c r="A13273" s="4" t="s">
        <v>1</v>
      </c>
      <c r="B13273" s="3" t="str">
        <f>HYPERLINK("https://otsuka-europe-crm.veevavault.com/ui/#object/approved_document__v/V5O00000000Q011", "LUP - 10 cuestiones: Inmunosupresión - nefro")</f>
        <v>LUP - 10 cuestiones: Inmunosupresión - nefro</v>
      </c>
      <c r="C13273" s="3" t="str">
        <f>HYPERLINK("https://otsuka-europe-crm.veevavault.com/ui/#object/sent_email__v/VBL00000001G097", "SE-001405266")</f>
        <v>SE-001405266</v>
      </c>
      <c r="D13273" s="1" t="s">
        <v>0</v>
      </c>
      <c r="E13273" s="2">
        <v>0</v>
      </c>
      <c r="F13273" s="2">
        <v>0</v>
      </c>
      <c r="G13273" s="2">
        <v>0</v>
      </c>
      <c r="H13273" s="1" t="s">
        <v>0</v>
      </c>
      <c r="I13273" s="2">
        <v>0</v>
      </c>
      <c r="J13273" s="1">
        <v>46073.455393518518</v>
      </c>
    </row>
    <row r="13274" spans="1:10" x14ac:dyDescent="0.2">
      <c r="A13274" s="4" t="s">
        <v>1</v>
      </c>
      <c r="B13274" s="3" t="str">
        <f>HYPERLINK("https://otsuka-europe-crm.veevavault.com/ui/#object/approved_document__v/V5O00000000Q011", "LUP - 10 cuestiones: Inmunosupresión - nefro")</f>
        <v>LUP - 10 cuestiones: Inmunosupresión - nefro</v>
      </c>
      <c r="C13274" s="3" t="str">
        <f>HYPERLINK("https://otsuka-europe-crm.veevavault.com/ui/#object/sent_email__v/VBL00000001G101", "SE-001405272")</f>
        <v>SE-001405272</v>
      </c>
      <c r="D13274" s="1" t="s">
        <v>0</v>
      </c>
      <c r="E13274" s="2">
        <v>0</v>
      </c>
      <c r="F13274" s="2">
        <v>0</v>
      </c>
      <c r="G13274" s="2">
        <v>0</v>
      </c>
      <c r="H13274" s="1" t="s">
        <v>0</v>
      </c>
      <c r="I13274" s="2">
        <v>0</v>
      </c>
      <c r="J13274" s="1">
        <v>46073.456446759257</v>
      </c>
    </row>
    <row r="13275" spans="1:10" x14ac:dyDescent="0.2">
      <c r="A13275" s="4" t="s">
        <v>1</v>
      </c>
      <c r="B13275" s="3" t="str">
        <f>HYPERLINK("https://otsuka-europe-crm.veevavault.com/ui/#object/approved_document__v/V5O00000000Q011", "LUP - 10 cuestiones: Inmunosupresión - nefro")</f>
        <v>LUP - 10 cuestiones: Inmunosupresión - nefro</v>
      </c>
      <c r="C13275" s="3" t="str">
        <f>HYPERLINK("https://otsuka-europe-crm.veevavault.com/ui/#object/sent_email__v/VBL00000001G102", "SE-001405273")</f>
        <v>SE-001405273</v>
      </c>
      <c r="D13275" s="1" t="s">
        <v>0</v>
      </c>
      <c r="E13275" s="2">
        <v>0</v>
      </c>
      <c r="F13275" s="2">
        <v>0</v>
      </c>
      <c r="G13275" s="2">
        <v>0</v>
      </c>
      <c r="H13275" s="1" t="s">
        <v>0</v>
      </c>
      <c r="I13275" s="2">
        <v>0</v>
      </c>
      <c r="J13275" s="1">
        <v>46073.456446759257</v>
      </c>
    </row>
    <row r="13276" spans="1:10" x14ac:dyDescent="0.2">
      <c r="A13276" s="4" t="s">
        <v>1</v>
      </c>
      <c r="B13276" s="3" t="str">
        <f>HYPERLINK("https://otsuka-europe-crm.veevavault.com/ui/#object/approved_document__v/V5O00000000Q011", "LUP - 10 cuestiones: Inmunosupresión - nefro")</f>
        <v>LUP - 10 cuestiones: Inmunosupresión - nefro</v>
      </c>
      <c r="C13276" s="3" t="str">
        <f>HYPERLINK("https://otsuka-europe-crm.veevavault.com/ui/#object/sent_email__v/VBL00000001G103", "SE-001405274")</f>
        <v>SE-001405274</v>
      </c>
      <c r="D13276" s="1" t="s">
        <v>0</v>
      </c>
      <c r="E13276" s="2">
        <v>0</v>
      </c>
      <c r="F13276" s="2">
        <v>0</v>
      </c>
      <c r="G13276" s="2">
        <v>0</v>
      </c>
      <c r="H13276" s="1" t="s">
        <v>0</v>
      </c>
      <c r="I13276" s="2">
        <v>0</v>
      </c>
      <c r="J13276" s="1">
        <v>46073.456469907411</v>
      </c>
    </row>
    <row r="13277" spans="1:10" x14ac:dyDescent="0.2">
      <c r="A13277" s="4" t="s">
        <v>1</v>
      </c>
      <c r="B13277" s="3" t="str">
        <f>HYPERLINK("https://otsuka-europe-crm.veevavault.com/ui/#object/approved_document__v/V5O00000000Q011", "LUP - 10 cuestiones: Inmunosupresión - nefro")</f>
        <v>LUP - 10 cuestiones: Inmunosupresión - nefro</v>
      </c>
      <c r="C13277" s="3" t="str">
        <f>HYPERLINK("https://otsuka-europe-crm.veevavault.com/ui/#object/sent_email__v/VBL00000001G104", "SE-001405275")</f>
        <v>SE-001405275</v>
      </c>
      <c r="D13277" s="1" t="s">
        <v>0</v>
      </c>
      <c r="E13277" s="2">
        <v>0</v>
      </c>
      <c r="F13277" s="2">
        <v>0</v>
      </c>
      <c r="G13277" s="2">
        <v>0</v>
      </c>
      <c r="H13277" s="1" t="s">
        <v>0</v>
      </c>
      <c r="I13277" s="2">
        <v>0</v>
      </c>
      <c r="J13277" s="1">
        <v>46073.456469907411</v>
      </c>
    </row>
    <row r="13278" spans="1:10" x14ac:dyDescent="0.2">
      <c r="A13278" s="4" t="s">
        <v>1</v>
      </c>
      <c r="B13278" s="3" t="str">
        <f>HYPERLINK("https://otsuka-europe-crm.veevavault.com/ui/#object/approved_document__v/V5O00000000Q011", "LUP - 10 cuestiones: Inmunosupresión - nefro")</f>
        <v>LUP - 10 cuestiones: Inmunosupresión - nefro</v>
      </c>
      <c r="C13278" s="3" t="str">
        <f>HYPERLINK("https://otsuka-europe-crm.veevavault.com/ui/#object/sent_email__v/VBL00000001G105", "SE-001405276")</f>
        <v>SE-001405276</v>
      </c>
      <c r="D13278" s="1" t="s">
        <v>0</v>
      </c>
      <c r="E13278" s="2">
        <v>0</v>
      </c>
      <c r="F13278" s="2">
        <v>0</v>
      </c>
      <c r="G13278" s="2">
        <v>0</v>
      </c>
      <c r="H13278" s="1" t="s">
        <v>0</v>
      </c>
      <c r="I13278" s="2">
        <v>0</v>
      </c>
      <c r="J13278" s="1">
        <v>46073.456469907411</v>
      </c>
    </row>
    <row r="13279" spans="1:10" x14ac:dyDescent="0.2">
      <c r="A13279" s="4" t="s">
        <v>1</v>
      </c>
      <c r="B13279" s="3" t="str">
        <f>HYPERLINK("https://otsuka-europe-crm.veevavault.com/ui/#object/approved_document__v/V5O00000000Q011", "LUP - 10 cuestiones: Inmunosupresión - nefro")</f>
        <v>LUP - 10 cuestiones: Inmunosupresión - nefro</v>
      </c>
      <c r="C13279" s="3" t="str">
        <f>HYPERLINK("https://otsuka-europe-crm.veevavault.com/ui/#object/sent_email__v/VBL00000001G106", "SE-001405277")</f>
        <v>SE-001405277</v>
      </c>
      <c r="D13279" s="1" t="s">
        <v>0</v>
      </c>
      <c r="E13279" s="2">
        <v>0</v>
      </c>
      <c r="F13279" s="2">
        <v>0</v>
      </c>
      <c r="G13279" s="2">
        <v>0</v>
      </c>
      <c r="H13279" s="1" t="s">
        <v>0</v>
      </c>
      <c r="I13279" s="2">
        <v>0</v>
      </c>
      <c r="J13279" s="1">
        <v>46073.456469907411</v>
      </c>
    </row>
    <row r="13280" spans="1:10" x14ac:dyDescent="0.2">
      <c r="A13280" s="4" t="s">
        <v>1</v>
      </c>
      <c r="B13280" s="3" t="str">
        <f>HYPERLINK("https://otsuka-europe-crm.veevavault.com/ui/#object/approved_document__v/V5O00000000Q011", "LUP - 10 cuestiones: Inmunosupresión - nefro")</f>
        <v>LUP - 10 cuestiones: Inmunosupresión - nefro</v>
      </c>
      <c r="C13280" s="3" t="str">
        <f>HYPERLINK("https://otsuka-europe-crm.veevavault.com/ui/#object/sent_email__v/VBL00000001G107", "SE-001405278")</f>
        <v>SE-001405278</v>
      </c>
      <c r="D13280" s="1" t="s">
        <v>0</v>
      </c>
      <c r="E13280" s="2">
        <v>0</v>
      </c>
      <c r="F13280" s="2">
        <v>0</v>
      </c>
      <c r="G13280" s="2">
        <v>0</v>
      </c>
      <c r="H13280" s="1" t="s">
        <v>0</v>
      </c>
      <c r="I13280" s="2">
        <v>0</v>
      </c>
      <c r="J13280" s="1">
        <v>46073.456469907411</v>
      </c>
    </row>
    <row r="13281" spans="1:10" x14ac:dyDescent="0.2">
      <c r="A13281" s="4" t="s">
        <v>1</v>
      </c>
      <c r="B13281" s="3" t="str">
        <f>HYPERLINK("https://otsuka-europe-crm.veevavault.com/ui/#object/approved_document__v/V5O00000000Q011", "LUP - 10 cuestiones: Inmunosupresión - nefro")</f>
        <v>LUP - 10 cuestiones: Inmunosupresión - nefro</v>
      </c>
      <c r="C13281" s="3" t="str">
        <f>HYPERLINK("https://otsuka-europe-crm.veevavault.com/ui/#object/sent_email__v/VBL00000001G108", "SE-001405279")</f>
        <v>SE-001405279</v>
      </c>
      <c r="D13281" s="1" t="s">
        <v>0</v>
      </c>
      <c r="E13281" s="2">
        <v>0</v>
      </c>
      <c r="F13281" s="2">
        <v>0</v>
      </c>
      <c r="G13281" s="2">
        <v>0</v>
      </c>
      <c r="H13281" s="1" t="s">
        <v>0</v>
      </c>
      <c r="I13281" s="2">
        <v>0</v>
      </c>
      <c r="J13281" s="1">
        <v>46073.456469907411</v>
      </c>
    </row>
    <row r="13282" spans="1:10" x14ac:dyDescent="0.2">
      <c r="A13282" s="4" t="s">
        <v>1</v>
      </c>
      <c r="B13282" s="3" t="str">
        <f>HYPERLINK("https://otsuka-europe-crm.veevavault.com/ui/#object/approved_document__v/V5O00000000Q011", "LUP - 10 cuestiones: Inmunosupresión - nefro")</f>
        <v>LUP - 10 cuestiones: Inmunosupresión - nefro</v>
      </c>
      <c r="C13282" s="3" t="str">
        <f>HYPERLINK("https://otsuka-europe-crm.veevavault.com/ui/#object/sent_email__v/VBL00000001G109", "SE-001405280")</f>
        <v>SE-001405280</v>
      </c>
      <c r="D13282" s="1" t="s">
        <v>0</v>
      </c>
      <c r="E13282" s="2">
        <v>0</v>
      </c>
      <c r="F13282" s="2">
        <v>0</v>
      </c>
      <c r="G13282" s="2">
        <v>0</v>
      </c>
      <c r="H13282" s="1" t="s">
        <v>0</v>
      </c>
      <c r="I13282" s="2">
        <v>0</v>
      </c>
      <c r="J13282" s="1">
        <v>46073.456469907411</v>
      </c>
    </row>
    <row r="13283" spans="1:10" x14ac:dyDescent="0.2">
      <c r="A13283" s="4" t="s">
        <v>1</v>
      </c>
      <c r="B13283" s="3" t="str">
        <f>HYPERLINK("https://otsuka-europe-crm.veevavault.com/ui/#object/approved_document__v/V5O00000000Q011", "LUP - 10 cuestiones: Inmunosupresión - nefro")</f>
        <v>LUP - 10 cuestiones: Inmunosupresión - nefro</v>
      </c>
      <c r="C13283" s="3" t="str">
        <f>HYPERLINK("https://otsuka-europe-crm.veevavault.com/ui/#object/sent_email__v/VBL00000001G110", "SE-001405281")</f>
        <v>SE-001405281</v>
      </c>
      <c r="D13283" s="1" t="s">
        <v>0</v>
      </c>
      <c r="E13283" s="2">
        <v>0</v>
      </c>
      <c r="F13283" s="2">
        <v>0</v>
      </c>
      <c r="G13283" s="2">
        <v>0</v>
      </c>
      <c r="H13283" s="1" t="s">
        <v>0</v>
      </c>
      <c r="I13283" s="2">
        <v>0</v>
      </c>
      <c r="J13283" s="1">
        <v>46073.456469907411</v>
      </c>
    </row>
    <row r="13284" spans="1:10" x14ac:dyDescent="0.2">
      <c r="A13284" s="4" t="s">
        <v>1</v>
      </c>
      <c r="B13284" s="3" t="str">
        <f>HYPERLINK("https://otsuka-europe-crm.veevavault.com/ui/#object/approved_document__v/V5O00000000Q011", "LUP - 10 cuestiones: Inmunosupresión - nefro")</f>
        <v>LUP - 10 cuestiones: Inmunosupresión - nefro</v>
      </c>
      <c r="C13284" s="3" t="str">
        <f>HYPERLINK("https://otsuka-europe-crm.veevavault.com/ui/#object/sent_email__v/VBL00000001G111", "SE-001405282")</f>
        <v>SE-001405282</v>
      </c>
      <c r="D13284" s="1" t="s">
        <v>0</v>
      </c>
      <c r="E13284" s="2">
        <v>0</v>
      </c>
      <c r="F13284" s="2">
        <v>0</v>
      </c>
      <c r="G13284" s="2">
        <v>0</v>
      </c>
      <c r="H13284" s="1" t="s">
        <v>0</v>
      </c>
      <c r="I13284" s="2">
        <v>0</v>
      </c>
      <c r="J13284" s="1">
        <v>46073.45648148148</v>
      </c>
    </row>
    <row r="13285" spans="1:10" x14ac:dyDescent="0.2">
      <c r="A13285" s="4" t="s">
        <v>1</v>
      </c>
      <c r="B13285" s="3" t="str">
        <f>HYPERLINK("https://otsuka-europe-crm.veevavault.com/ui/#object/approved_document__v/V5O00000000Q011", "LUP - 10 cuestiones: Inmunosupresión - nefro")</f>
        <v>LUP - 10 cuestiones: Inmunosupresión - nefro</v>
      </c>
      <c r="C13285" s="3" t="str">
        <f>HYPERLINK("https://otsuka-europe-crm.veevavault.com/ui/#object/sent_email__v/VBL00000001G112", "SE-001405283")</f>
        <v>SE-001405283</v>
      </c>
      <c r="D13285" s="1" t="s">
        <v>0</v>
      </c>
      <c r="E13285" s="2">
        <v>0</v>
      </c>
      <c r="F13285" s="2">
        <v>0</v>
      </c>
      <c r="G13285" s="2">
        <v>0</v>
      </c>
      <c r="H13285" s="1" t="s">
        <v>0</v>
      </c>
      <c r="I13285" s="2">
        <v>0</v>
      </c>
      <c r="J13285" s="1">
        <v>46073.45648148148</v>
      </c>
    </row>
    <row r="13286" spans="1:10" x14ac:dyDescent="0.2">
      <c r="A13286" s="4" t="s">
        <v>1</v>
      </c>
      <c r="B13286" s="3" t="str">
        <f>HYPERLINK("https://otsuka-europe-crm.veevavault.com/ui/#object/approved_document__v/V5O00000000Q011", "LUP - 10 cuestiones: Inmunosupresión - nefro")</f>
        <v>LUP - 10 cuestiones: Inmunosupresión - nefro</v>
      </c>
      <c r="C13286" s="3" t="str">
        <f>HYPERLINK("https://otsuka-europe-crm.veevavault.com/ui/#object/sent_email__v/VBL00000001G113", "SE-001405284")</f>
        <v>SE-001405284</v>
      </c>
      <c r="D13286" s="1" t="s">
        <v>0</v>
      </c>
      <c r="E13286" s="2">
        <v>0</v>
      </c>
      <c r="F13286" s="2">
        <v>0</v>
      </c>
      <c r="G13286" s="2">
        <v>0</v>
      </c>
      <c r="H13286" s="1" t="s">
        <v>0</v>
      </c>
      <c r="I13286" s="2">
        <v>0</v>
      </c>
      <c r="J13286" s="1">
        <v>46073.45648148148</v>
      </c>
    </row>
    <row r="13287" spans="1:10" x14ac:dyDescent="0.2">
      <c r="A13287" s="4" t="s">
        <v>1</v>
      </c>
      <c r="B13287" s="3" t="str">
        <f>HYPERLINK("https://otsuka-europe-crm.veevavault.com/ui/#object/approved_document__v/V5O00000000Q011", "LUP - 10 cuestiones: Inmunosupresión - nefro")</f>
        <v>LUP - 10 cuestiones: Inmunosupresión - nefro</v>
      </c>
      <c r="C13287" s="3" t="str">
        <f>HYPERLINK("https://otsuka-europe-crm.veevavault.com/ui/#object/sent_email__v/VBL00000001G114", "SE-001405285")</f>
        <v>SE-001405285</v>
      </c>
      <c r="D13287" s="1" t="s">
        <v>0</v>
      </c>
      <c r="E13287" s="2">
        <v>0</v>
      </c>
      <c r="F13287" s="2">
        <v>0</v>
      </c>
      <c r="G13287" s="2">
        <v>0</v>
      </c>
      <c r="H13287" s="1" t="s">
        <v>0</v>
      </c>
      <c r="I13287" s="2">
        <v>0</v>
      </c>
      <c r="J13287" s="1">
        <v>46073.45648148148</v>
      </c>
    </row>
    <row r="13288" spans="1:10" x14ac:dyDescent="0.2">
      <c r="A13288" s="4" t="s">
        <v>1</v>
      </c>
      <c r="B13288" s="3" t="str">
        <f>HYPERLINK("https://otsuka-europe-crm.veevavault.com/ui/#object/approved_document__v/V5O00000000Q011", "LUP - 10 cuestiones: Inmunosupresión - nefro")</f>
        <v>LUP - 10 cuestiones: Inmunosupresión - nefro</v>
      </c>
      <c r="C13288" s="3" t="str">
        <f>HYPERLINK("https://otsuka-europe-crm.veevavault.com/ui/#object/sent_email__v/VBL00000001G115", "SE-001405286")</f>
        <v>SE-001405286</v>
      </c>
      <c r="D13288" s="1" t="s">
        <v>0</v>
      </c>
      <c r="E13288" s="2">
        <v>0</v>
      </c>
      <c r="F13288" s="2">
        <v>0</v>
      </c>
      <c r="G13288" s="2">
        <v>0</v>
      </c>
      <c r="H13288" s="1" t="s">
        <v>0</v>
      </c>
      <c r="I13288" s="2">
        <v>0</v>
      </c>
      <c r="J13288" s="1">
        <v>46073.45648148148</v>
      </c>
    </row>
    <row r="13289" spans="1:10" x14ac:dyDescent="0.2">
      <c r="A13289" s="4" t="s">
        <v>1</v>
      </c>
      <c r="B13289" s="3" t="str">
        <f>HYPERLINK("https://otsuka-europe-crm.veevavault.com/ui/#object/approved_document__v/V5O00000000Q011", "LUP - 10 cuestiones: Inmunosupresión - nefro")</f>
        <v>LUP - 10 cuestiones: Inmunosupresión - nefro</v>
      </c>
      <c r="C13289" s="3" t="str">
        <f>HYPERLINK("https://otsuka-europe-crm.veevavault.com/ui/#object/sent_email__v/VBL00000001G116", "SE-001405287")</f>
        <v>SE-001405287</v>
      </c>
      <c r="D13289" s="1" t="s">
        <v>0</v>
      </c>
      <c r="E13289" s="2">
        <v>0</v>
      </c>
      <c r="F13289" s="2">
        <v>0</v>
      </c>
      <c r="G13289" s="2">
        <v>0</v>
      </c>
      <c r="H13289" s="1" t="s">
        <v>0</v>
      </c>
      <c r="I13289" s="2">
        <v>0</v>
      </c>
      <c r="J13289" s="1">
        <v>46073.45648148148</v>
      </c>
    </row>
    <row r="13290" spans="1:10" x14ac:dyDescent="0.2">
      <c r="A13290" s="4" t="s">
        <v>1</v>
      </c>
      <c r="B13290" s="3" t="str">
        <f>HYPERLINK("https://otsuka-europe-crm.veevavault.com/ui/#object/approved_document__v/V5O00000000Q011", "LUP - 10 cuestiones: Inmunosupresión - nefro")</f>
        <v>LUP - 10 cuestiones: Inmunosupresión - nefro</v>
      </c>
      <c r="C13290" s="3" t="str">
        <f>HYPERLINK("https://otsuka-europe-crm.veevavault.com/ui/#object/sent_email__v/VBL00000001G117", "SE-001405288")</f>
        <v>SE-001405288</v>
      </c>
      <c r="D13290" s="1" t="s">
        <v>0</v>
      </c>
      <c r="E13290" s="2">
        <v>0</v>
      </c>
      <c r="F13290" s="2">
        <v>0</v>
      </c>
      <c r="G13290" s="2">
        <v>0</v>
      </c>
      <c r="H13290" s="1" t="s">
        <v>0</v>
      </c>
      <c r="I13290" s="2">
        <v>0</v>
      </c>
      <c r="J13290" s="1">
        <v>46073.45648148148</v>
      </c>
    </row>
    <row r="13291" spans="1:10" x14ac:dyDescent="0.2">
      <c r="A13291" s="4" t="s">
        <v>1</v>
      </c>
      <c r="B13291" s="3" t="str">
        <f>HYPERLINK("https://otsuka-europe-crm.veevavault.com/ui/#object/approved_document__v/V5O00000000Q011", "LUP - 10 cuestiones: Inmunosupresión - nefro")</f>
        <v>LUP - 10 cuestiones: Inmunosupresión - nefro</v>
      </c>
      <c r="C13291" s="3" t="str">
        <f>HYPERLINK("https://otsuka-europe-crm.veevavault.com/ui/#object/sent_email__v/VBL00000001G118", "SE-001405289")</f>
        <v>SE-001405289</v>
      </c>
      <c r="D13291" s="1" t="s">
        <v>0</v>
      </c>
      <c r="E13291" s="2">
        <v>0</v>
      </c>
      <c r="F13291" s="2">
        <v>0</v>
      </c>
      <c r="G13291" s="2">
        <v>0</v>
      </c>
      <c r="H13291" s="1" t="s">
        <v>0</v>
      </c>
      <c r="I13291" s="2">
        <v>0</v>
      </c>
      <c r="J13291" s="1">
        <v>46073.45648148148</v>
      </c>
    </row>
    <row r="13292" spans="1:10" x14ac:dyDescent="0.2">
      <c r="A13292" s="4" t="s">
        <v>1</v>
      </c>
      <c r="B13292" s="3" t="str">
        <f>HYPERLINK("https://otsuka-europe-crm.veevavault.com/ui/#object/approved_document__v/V5O00000000Q011", "LUP - 10 cuestiones: Inmunosupresión - nefro")</f>
        <v>LUP - 10 cuestiones: Inmunosupresión - nefro</v>
      </c>
      <c r="C13292" s="3" t="str">
        <f>HYPERLINK("https://otsuka-europe-crm.veevavault.com/ui/#object/sent_email__v/VBL00000001G119", "SE-001405290")</f>
        <v>SE-001405290</v>
      </c>
      <c r="D13292" s="1" t="s">
        <v>0</v>
      </c>
      <c r="E13292" s="2">
        <v>0</v>
      </c>
      <c r="F13292" s="2">
        <v>0</v>
      </c>
      <c r="G13292" s="2">
        <v>0</v>
      </c>
      <c r="H13292" s="1" t="s">
        <v>0</v>
      </c>
      <c r="I13292" s="2">
        <v>0</v>
      </c>
      <c r="J13292" s="1">
        <v>46073.45648148148</v>
      </c>
    </row>
    <row r="13293" spans="1:10" x14ac:dyDescent="0.2">
      <c r="A13293" s="4" t="s">
        <v>1</v>
      </c>
      <c r="B13293" s="3" t="str">
        <f>HYPERLINK("https://otsuka-europe-crm.veevavault.com/ui/#object/approved_document__v/V5O00000000Q011", "LUP - 10 cuestiones: Inmunosupresión - nefro")</f>
        <v>LUP - 10 cuestiones: Inmunosupresión - nefro</v>
      </c>
      <c r="C13293" s="3" t="str">
        <f>HYPERLINK("https://otsuka-europe-crm.veevavault.com/ui/#object/sent_email__v/VBL00000001G120", "SE-001405291")</f>
        <v>SE-001405291</v>
      </c>
      <c r="D13293" s="1" t="s">
        <v>0</v>
      </c>
      <c r="E13293" s="2">
        <v>0</v>
      </c>
      <c r="F13293" s="2">
        <v>0</v>
      </c>
      <c r="G13293" s="2">
        <v>0</v>
      </c>
      <c r="H13293" s="1" t="s">
        <v>0</v>
      </c>
      <c r="I13293" s="2">
        <v>0</v>
      </c>
      <c r="J13293" s="1">
        <v>46073.45648148148</v>
      </c>
    </row>
    <row r="13294" spans="1:10" x14ac:dyDescent="0.2">
      <c r="A13294" s="4" t="s">
        <v>1</v>
      </c>
      <c r="B13294" s="3" t="str">
        <f>HYPERLINK("https://otsuka-europe-crm.veevavault.com/ui/#object/approved_document__v/V5O00000000Q011", "LUP - 10 cuestiones: Inmunosupresión - nefro")</f>
        <v>LUP - 10 cuestiones: Inmunosupresión - nefro</v>
      </c>
      <c r="C13294" s="3" t="str">
        <f>HYPERLINK("https://otsuka-europe-crm.veevavault.com/ui/#object/sent_email__v/VBL00000001G121", "SE-001405292")</f>
        <v>SE-001405292</v>
      </c>
      <c r="D13294" s="1" t="s">
        <v>0</v>
      </c>
      <c r="E13294" s="2">
        <v>0</v>
      </c>
      <c r="F13294" s="2">
        <v>0</v>
      </c>
      <c r="G13294" s="2">
        <v>0</v>
      </c>
      <c r="H13294" s="1" t="s">
        <v>0</v>
      </c>
      <c r="I13294" s="2">
        <v>0</v>
      </c>
      <c r="J13294" s="1">
        <v>46073.456493055557</v>
      </c>
    </row>
    <row r="13295" spans="1:10" x14ac:dyDescent="0.2">
      <c r="A13295" s="4" t="s">
        <v>1</v>
      </c>
      <c r="B13295" s="3" t="str">
        <f>HYPERLINK("https://otsuka-europe-crm.veevavault.com/ui/#object/approved_document__v/V5O00000000Q011", "LUP - 10 cuestiones: Inmunosupresión - nefro")</f>
        <v>LUP - 10 cuestiones: Inmunosupresión - nefro</v>
      </c>
      <c r="C13295" s="3" t="str">
        <f>HYPERLINK("https://otsuka-europe-crm.veevavault.com/ui/#object/sent_email__v/VBL00000001G122", "SE-001405293")</f>
        <v>SE-001405293</v>
      </c>
      <c r="D13295" s="1" t="s">
        <v>0</v>
      </c>
      <c r="E13295" s="2">
        <v>0</v>
      </c>
      <c r="F13295" s="2">
        <v>0</v>
      </c>
      <c r="G13295" s="2">
        <v>0</v>
      </c>
      <c r="H13295" s="1" t="s">
        <v>0</v>
      </c>
      <c r="I13295" s="2">
        <v>0</v>
      </c>
      <c r="J13295" s="1">
        <v>46073.45648148148</v>
      </c>
    </row>
    <row r="13296" spans="1:10" x14ac:dyDescent="0.2">
      <c r="A13296" s="4" t="s">
        <v>1</v>
      </c>
      <c r="B13296" s="3" t="str">
        <f>HYPERLINK("https://otsuka-europe-crm.veevavault.com/ui/#object/approved_document__v/V5O00000000Q011", "LUP - 10 cuestiones: Inmunosupresión - nefro")</f>
        <v>LUP - 10 cuestiones: Inmunosupresión - nefro</v>
      </c>
      <c r="C13296" s="3" t="str">
        <f>HYPERLINK("https://otsuka-europe-crm.veevavault.com/ui/#object/sent_email__v/VBL00000001G123", "SE-001405294")</f>
        <v>SE-001405294</v>
      </c>
      <c r="D13296" s="1" t="s">
        <v>0</v>
      </c>
      <c r="E13296" s="2">
        <v>0</v>
      </c>
      <c r="F13296" s="2">
        <v>0</v>
      </c>
      <c r="G13296" s="2">
        <v>0</v>
      </c>
      <c r="H13296" s="1" t="s">
        <v>0</v>
      </c>
      <c r="I13296" s="2">
        <v>0</v>
      </c>
      <c r="J13296" s="1">
        <v>46073.456493055557</v>
      </c>
    </row>
    <row r="13297" spans="1:10" x14ac:dyDescent="0.2">
      <c r="A13297" s="4" t="s">
        <v>1</v>
      </c>
      <c r="B13297" s="3" t="str">
        <f>HYPERLINK("https://otsuka-europe-crm.veevavault.com/ui/#object/approved_document__v/V5O00000000Q011", "LUP - 10 cuestiones: Inmunosupresión - nefro")</f>
        <v>LUP - 10 cuestiones: Inmunosupresión - nefro</v>
      </c>
      <c r="C13297" s="3" t="str">
        <f>HYPERLINK("https://otsuka-europe-crm.veevavault.com/ui/#object/sent_email__v/VBL00000001G124", "SE-001405295")</f>
        <v>SE-001405295</v>
      </c>
      <c r="D13297" s="1" t="s">
        <v>0</v>
      </c>
      <c r="E13297" s="2">
        <v>0</v>
      </c>
      <c r="F13297" s="2">
        <v>0</v>
      </c>
      <c r="G13297" s="2">
        <v>0</v>
      </c>
      <c r="H13297" s="1" t="s">
        <v>0</v>
      </c>
      <c r="I13297" s="2">
        <v>0</v>
      </c>
      <c r="J13297" s="1">
        <v>46073.456493055557</v>
      </c>
    </row>
    <row r="13298" spans="1:10" x14ac:dyDescent="0.2">
      <c r="A13298" s="4" t="s">
        <v>1</v>
      </c>
      <c r="B13298" s="3" t="str">
        <f>HYPERLINK("https://otsuka-europe-crm.veevavault.com/ui/#object/approved_document__v/V5O00000000Q011", "LUP - 10 cuestiones: Inmunosupresión - nefro")</f>
        <v>LUP - 10 cuestiones: Inmunosupresión - nefro</v>
      </c>
      <c r="C13298" s="3" t="str">
        <f>HYPERLINK("https://otsuka-europe-crm.veevavault.com/ui/#object/sent_email__v/VBL00000001G125", "SE-001405296")</f>
        <v>SE-001405296</v>
      </c>
      <c r="D13298" s="1" t="s">
        <v>0</v>
      </c>
      <c r="E13298" s="2">
        <v>0</v>
      </c>
      <c r="F13298" s="2">
        <v>0</v>
      </c>
      <c r="G13298" s="2">
        <v>0</v>
      </c>
      <c r="H13298" s="1" t="s">
        <v>0</v>
      </c>
      <c r="I13298" s="2">
        <v>0</v>
      </c>
      <c r="J13298" s="1">
        <v>46073.456493055557</v>
      </c>
    </row>
    <row r="13299" spans="1:10" x14ac:dyDescent="0.2">
      <c r="A13299" s="4" t="s">
        <v>1</v>
      </c>
      <c r="B13299" s="3" t="str">
        <f>HYPERLINK("https://otsuka-europe-crm.veevavault.com/ui/#object/approved_document__v/V5O00000000Q011", "LUP - 10 cuestiones: Inmunosupresión - nefro")</f>
        <v>LUP - 10 cuestiones: Inmunosupresión - nefro</v>
      </c>
      <c r="C13299" s="3" t="str">
        <f>HYPERLINK("https://otsuka-europe-crm.veevavault.com/ui/#object/sent_email__v/VBL00000001G126", "SE-001405297")</f>
        <v>SE-001405297</v>
      </c>
      <c r="D13299" s="1" t="s">
        <v>0</v>
      </c>
      <c r="E13299" s="2">
        <v>0</v>
      </c>
      <c r="F13299" s="2">
        <v>0</v>
      </c>
      <c r="G13299" s="2">
        <v>0</v>
      </c>
      <c r="H13299" s="1" t="s">
        <v>0</v>
      </c>
      <c r="I13299" s="2">
        <v>0</v>
      </c>
      <c r="J13299" s="1">
        <v>46073.456493055557</v>
      </c>
    </row>
    <row r="13300" spans="1:10" x14ac:dyDescent="0.2">
      <c r="A13300" s="4" t="s">
        <v>1</v>
      </c>
      <c r="B13300" s="3" t="str">
        <f>HYPERLINK("https://otsuka-europe-crm.veevavault.com/ui/#object/approved_document__v/V5O00000000Q011", "LUP - 10 cuestiones: Inmunosupresión - nefro")</f>
        <v>LUP - 10 cuestiones: Inmunosupresión - nefro</v>
      </c>
      <c r="C13300" s="3" t="str">
        <f>HYPERLINK("https://otsuka-europe-crm.veevavault.com/ui/#object/sent_email__v/VBL00000001G127", "SE-001405298")</f>
        <v>SE-001405298</v>
      </c>
      <c r="D13300" s="1" t="s">
        <v>0</v>
      </c>
      <c r="E13300" s="2">
        <v>0</v>
      </c>
      <c r="F13300" s="2">
        <v>0</v>
      </c>
      <c r="G13300" s="2">
        <v>0</v>
      </c>
      <c r="H13300" s="1" t="s">
        <v>0</v>
      </c>
      <c r="I13300" s="2">
        <v>0</v>
      </c>
      <c r="J13300" s="1">
        <v>46073.456493055557</v>
      </c>
    </row>
    <row r="13301" spans="1:10" x14ac:dyDescent="0.2">
      <c r="A13301" s="4" t="s">
        <v>1</v>
      </c>
      <c r="B13301" s="3" t="str">
        <f>HYPERLINK("https://otsuka-europe-crm.veevavault.com/ui/#object/approved_document__v/V5O00000000Q011", "LUP - 10 cuestiones: Inmunosupresión - nefro")</f>
        <v>LUP - 10 cuestiones: Inmunosupresión - nefro</v>
      </c>
      <c r="C13301" s="3" t="str">
        <f>HYPERLINK("https://otsuka-europe-crm.veevavault.com/ui/#object/sent_email__v/VBL00000001G128", "SE-001405299")</f>
        <v>SE-001405299</v>
      </c>
      <c r="D13301" s="1" t="s">
        <v>0</v>
      </c>
      <c r="E13301" s="2">
        <v>0</v>
      </c>
      <c r="F13301" s="2">
        <v>0</v>
      </c>
      <c r="G13301" s="2">
        <v>0</v>
      </c>
      <c r="H13301" s="1" t="s">
        <v>0</v>
      </c>
      <c r="I13301" s="2">
        <v>0</v>
      </c>
      <c r="J13301" s="1">
        <v>46073.456493055557</v>
      </c>
    </row>
    <row r="13302" spans="1:10" x14ac:dyDescent="0.2">
      <c r="A13302" s="4" t="s">
        <v>1</v>
      </c>
      <c r="B13302" s="3" t="str">
        <f>HYPERLINK("https://otsuka-europe-crm.veevavault.com/ui/#object/approved_document__v/V5O00000000Q011", "LUP - 10 cuestiones: Inmunosupresión - nefro")</f>
        <v>LUP - 10 cuestiones: Inmunosupresión - nefro</v>
      </c>
      <c r="C13302" s="3" t="str">
        <f>HYPERLINK("https://otsuka-europe-crm.veevavault.com/ui/#object/sent_email__v/VBL00000001G129", "SE-001405300")</f>
        <v>SE-001405300</v>
      </c>
      <c r="D13302" s="1" t="s">
        <v>0</v>
      </c>
      <c r="E13302" s="2">
        <v>0</v>
      </c>
      <c r="F13302" s="2">
        <v>0</v>
      </c>
      <c r="G13302" s="2">
        <v>0</v>
      </c>
      <c r="H13302" s="1" t="s">
        <v>0</v>
      </c>
      <c r="I13302" s="2">
        <v>0</v>
      </c>
      <c r="J13302" s="1">
        <v>46073.456493055557</v>
      </c>
    </row>
    <row r="13303" spans="1:10" x14ac:dyDescent="0.2">
      <c r="A13303" s="4" t="s">
        <v>1</v>
      </c>
      <c r="B13303" s="3" t="str">
        <f>HYPERLINK("https://otsuka-europe-crm.veevavault.com/ui/#object/approved_document__v/V5O00000000Q011", "LUP - 10 cuestiones: Inmunosupresión - nefro")</f>
        <v>LUP - 10 cuestiones: Inmunosupresión - nefro</v>
      </c>
      <c r="C13303" s="3" t="str">
        <f>HYPERLINK("https://otsuka-europe-crm.veevavault.com/ui/#object/sent_email__v/VBL00000001G130", "SE-001405301")</f>
        <v>SE-001405301</v>
      </c>
      <c r="D13303" s="1" t="s">
        <v>0</v>
      </c>
      <c r="E13303" s="2">
        <v>0</v>
      </c>
      <c r="F13303" s="2">
        <v>0</v>
      </c>
      <c r="G13303" s="2">
        <v>0</v>
      </c>
      <c r="H13303" s="1" t="s">
        <v>0</v>
      </c>
      <c r="I13303" s="2">
        <v>0</v>
      </c>
      <c r="J13303" s="1">
        <v>46073.456493055557</v>
      </c>
    </row>
    <row r="13304" spans="1:10" x14ac:dyDescent="0.2">
      <c r="A13304" s="4" t="s">
        <v>1</v>
      </c>
      <c r="B13304" s="3" t="str">
        <f>HYPERLINK("https://otsuka-europe-crm.veevavault.com/ui/#object/approved_document__v/V5O00000000Q011", "LUP - 10 cuestiones: Inmunosupresión - nefro")</f>
        <v>LUP - 10 cuestiones: Inmunosupresión - nefro</v>
      </c>
      <c r="C13304" s="3" t="str">
        <f>HYPERLINK("https://otsuka-europe-crm.veevavault.com/ui/#object/sent_email__v/VBL00000001G131", "SE-001405302")</f>
        <v>SE-001405302</v>
      </c>
      <c r="D13304" s="1" t="s">
        <v>0</v>
      </c>
      <c r="E13304" s="2">
        <v>0</v>
      </c>
      <c r="F13304" s="2">
        <v>0</v>
      </c>
      <c r="G13304" s="2">
        <v>0</v>
      </c>
      <c r="H13304" s="1" t="s">
        <v>0</v>
      </c>
      <c r="I13304" s="2">
        <v>0</v>
      </c>
      <c r="J13304" s="1">
        <v>46073.456493055557</v>
      </c>
    </row>
    <row r="13305" spans="1:10" x14ac:dyDescent="0.2">
      <c r="A13305" s="4" t="s">
        <v>1</v>
      </c>
      <c r="B13305" s="3" t="str">
        <f>HYPERLINK("https://otsuka-europe-crm.veevavault.com/ui/#object/approved_document__v/V5O00000000Q011", "LUP - 10 cuestiones: Inmunosupresión - nefro")</f>
        <v>LUP - 10 cuestiones: Inmunosupresión - nefro</v>
      </c>
      <c r="C13305" s="3" t="str">
        <f>HYPERLINK("https://otsuka-europe-crm.veevavault.com/ui/#object/sent_email__v/VBL00000001G132", "SE-001405303")</f>
        <v>SE-001405303</v>
      </c>
      <c r="D13305" s="1" t="s">
        <v>0</v>
      </c>
      <c r="E13305" s="2">
        <v>0</v>
      </c>
      <c r="F13305" s="2">
        <v>0</v>
      </c>
      <c r="G13305" s="2">
        <v>0</v>
      </c>
      <c r="H13305" s="1" t="s">
        <v>0</v>
      </c>
      <c r="I13305" s="2">
        <v>0</v>
      </c>
      <c r="J13305" s="1">
        <v>46073.456504629627</v>
      </c>
    </row>
    <row r="13306" spans="1:10" x14ac:dyDescent="0.2">
      <c r="A13306" s="4" t="s">
        <v>1</v>
      </c>
      <c r="B13306" s="3" t="str">
        <f>HYPERLINK("https://otsuka-europe-crm.veevavault.com/ui/#object/approved_document__v/V5O00000000Q011", "LUP - 10 cuestiones: Inmunosupresión - nefro")</f>
        <v>LUP - 10 cuestiones: Inmunosupresión - nefro</v>
      </c>
      <c r="C13306" s="3" t="str">
        <f>HYPERLINK("https://otsuka-europe-crm.veevavault.com/ui/#object/sent_email__v/VBL00000001G133", "SE-001405304")</f>
        <v>SE-001405304</v>
      </c>
      <c r="D13306" s="1" t="s">
        <v>0</v>
      </c>
      <c r="E13306" s="2">
        <v>0</v>
      </c>
      <c r="F13306" s="2">
        <v>0</v>
      </c>
      <c r="G13306" s="2">
        <v>0</v>
      </c>
      <c r="H13306" s="1" t="s">
        <v>0</v>
      </c>
      <c r="I13306" s="2">
        <v>0</v>
      </c>
      <c r="J13306" s="1">
        <v>46073.456504629627</v>
      </c>
    </row>
    <row r="13307" spans="1:10" x14ac:dyDescent="0.2">
      <c r="A13307" s="4" t="s">
        <v>1</v>
      </c>
      <c r="B13307" s="3" t="str">
        <f>HYPERLINK("https://otsuka-europe-crm.veevavault.com/ui/#object/approved_document__v/V5O00000000Q011", "LUP - 10 cuestiones: Inmunosupresión - nefro")</f>
        <v>LUP - 10 cuestiones: Inmunosupresión - nefro</v>
      </c>
      <c r="C13307" s="3" t="str">
        <f>HYPERLINK("https://otsuka-europe-crm.veevavault.com/ui/#object/sent_email__v/VBL00000001G397", "SE-001405667")</f>
        <v>SE-001405667</v>
      </c>
      <c r="D13307" s="1">
        <v>46076.618460648147</v>
      </c>
      <c r="E13307" s="2">
        <v>1</v>
      </c>
      <c r="F13307" s="2">
        <v>2</v>
      </c>
      <c r="G13307" s="2">
        <v>0</v>
      </c>
      <c r="H13307" s="1" t="s">
        <v>0</v>
      </c>
      <c r="I13307" s="2">
        <v>0</v>
      </c>
      <c r="J13307" s="1">
        <v>46076.572129629632</v>
      </c>
    </row>
    <row r="13308" spans="1:10" x14ac:dyDescent="0.2">
      <c r="A13308" s="4" t="s">
        <v>1</v>
      </c>
      <c r="B13308" s="3" t="str">
        <f>HYPERLINK("https://otsuka-europe-crm.veevavault.com/ui/#object/approved_document__v/V5O00000000Q011", "LUP - 10 cuestiones: Inmunosupresión - nefro")</f>
        <v>LUP - 10 cuestiones: Inmunosupresión - nefro</v>
      </c>
      <c r="C13308" s="3" t="str">
        <f>HYPERLINK("https://otsuka-europe-crm.veevavault.com/ui/#object/sent_email__v/VBL00000001G398", "SE-001405668")</f>
        <v>SE-001405668</v>
      </c>
      <c r="D13308" s="1" t="s">
        <v>0</v>
      </c>
      <c r="E13308" s="2">
        <v>0</v>
      </c>
      <c r="F13308" s="2">
        <v>0</v>
      </c>
      <c r="G13308" s="2">
        <v>0</v>
      </c>
      <c r="H13308" s="1" t="s">
        <v>0</v>
      </c>
      <c r="I13308" s="2">
        <v>0</v>
      </c>
      <c r="J13308" s="1">
        <v>46076.572291666664</v>
      </c>
    </row>
    <row r="13309" spans="1:10" x14ac:dyDescent="0.2">
      <c r="A13309" s="4" t="s">
        <v>1</v>
      </c>
      <c r="B13309" s="3" t="str">
        <f>HYPERLINK("https://otsuka-europe-crm.veevavault.com/ui/#object/approved_document__v/V5O00000000Q011", "LUP - 10 cuestiones: Inmunosupresión - nefro")</f>
        <v>LUP - 10 cuestiones: Inmunosupresión - nefro</v>
      </c>
      <c r="C13309" s="3" t="str">
        <f>HYPERLINK("https://otsuka-europe-crm.veevavault.com/ui/#object/sent_email__v/VBL00000001G399", "SE-001405669")</f>
        <v>SE-001405669</v>
      </c>
      <c r="D13309" s="1">
        <v>46076.649444444447</v>
      </c>
      <c r="E13309" s="2">
        <v>1</v>
      </c>
      <c r="F13309" s="2">
        <v>1</v>
      </c>
      <c r="G13309" s="2">
        <v>0</v>
      </c>
      <c r="H13309" s="1" t="s">
        <v>0</v>
      </c>
      <c r="I13309" s="2">
        <v>0</v>
      </c>
      <c r="J13309" s="1">
        <v>46076.572453703702</v>
      </c>
    </row>
    <row r="13310" spans="1:10" x14ac:dyDescent="0.2">
      <c r="A13310" s="4" t="s">
        <v>1</v>
      </c>
      <c r="B13310" s="3" t="str">
        <f>HYPERLINK("https://otsuka-europe-crm.veevavault.com/ui/#object/approved_document__v/V5O00000000Q011", "LUP - 10 cuestiones: Inmunosupresión - nefro")</f>
        <v>LUP - 10 cuestiones: Inmunosupresión - nefro</v>
      </c>
      <c r="C13310" s="3" t="str">
        <f>HYPERLINK("https://otsuka-europe-crm.veevavault.com/ui/#object/sent_email__v/VBL00000001G400", "SE-001405670")</f>
        <v>SE-001405670</v>
      </c>
      <c r="D13310" s="1">
        <v>46076.762997685182</v>
      </c>
      <c r="E13310" s="2">
        <v>1</v>
      </c>
      <c r="F13310" s="2">
        <v>2</v>
      </c>
      <c r="G13310" s="2">
        <v>0</v>
      </c>
      <c r="H13310" s="1" t="s">
        <v>0</v>
      </c>
      <c r="I13310" s="2">
        <v>0</v>
      </c>
      <c r="J13310" s="1">
        <v>46076.572627314818</v>
      </c>
    </row>
    <row r="13311" spans="1:10" x14ac:dyDescent="0.2">
      <c r="A13311" s="4" t="s">
        <v>1</v>
      </c>
      <c r="B13311" s="3" t="str">
        <f>HYPERLINK("https://otsuka-europe-crm.veevavault.com/ui/#object/approved_document__v/V5O00000000Q011", "LUP - 10 cuestiones: Inmunosupresión - nefro")</f>
        <v>LUP - 10 cuestiones: Inmunosupresión - nefro</v>
      </c>
      <c r="C13311" s="3" t="str">
        <f>HYPERLINK("https://otsuka-europe-crm.veevavault.com/ui/#object/sent_email__v/VBL00000001G401", "SE-001405671")</f>
        <v>SE-001405671</v>
      </c>
      <c r="D13311" s="1" t="s">
        <v>0</v>
      </c>
      <c r="E13311" s="2">
        <v>0</v>
      </c>
      <c r="F13311" s="2">
        <v>0</v>
      </c>
      <c r="G13311" s="2">
        <v>0</v>
      </c>
      <c r="H13311" s="1" t="s">
        <v>0</v>
      </c>
      <c r="I13311" s="2">
        <v>0</v>
      </c>
      <c r="J13311" s="1">
        <v>46076.572800925926</v>
      </c>
    </row>
    <row r="13312" spans="1:10" x14ac:dyDescent="0.2">
      <c r="A13312" s="4" t="s">
        <v>1</v>
      </c>
      <c r="B13312" s="3" t="str">
        <f>HYPERLINK("https://otsuka-europe-crm.veevavault.com/ui/#object/approved_document__v/V5O00000000Q011", "LUP - 10 cuestiones: Inmunosupresión - nefro")</f>
        <v>LUP - 10 cuestiones: Inmunosupresión - nefro</v>
      </c>
      <c r="C13312" s="3" t="str">
        <f>HYPERLINK("https://otsuka-europe-crm.veevavault.com/ui/#object/sent_email__v/VBL00000001G402", "SE-001405672")</f>
        <v>SE-001405672</v>
      </c>
      <c r="D13312" s="1" t="s">
        <v>0</v>
      </c>
      <c r="E13312" s="2">
        <v>0</v>
      </c>
      <c r="F13312" s="2">
        <v>0</v>
      </c>
      <c r="G13312" s="2">
        <v>0</v>
      </c>
      <c r="H13312" s="1" t="s">
        <v>0</v>
      </c>
      <c r="I13312" s="2">
        <v>0</v>
      </c>
      <c r="J13312" s="1">
        <v>46076.572997685187</v>
      </c>
    </row>
    <row r="13313" spans="1:10" x14ac:dyDescent="0.2">
      <c r="A13313" s="4" t="s">
        <v>1</v>
      </c>
      <c r="B13313" s="3" t="str">
        <f>HYPERLINK("https://otsuka-europe-crm.veevavault.com/ui/#object/approved_document__v/V5O00000000Q011", "LUP - 10 cuestiones: Inmunosupresión - nefro")</f>
        <v>LUP - 10 cuestiones: Inmunosupresión - nefro</v>
      </c>
      <c r="C13313" s="3" t="str">
        <f>HYPERLINK("https://otsuka-europe-crm.veevavault.com/ui/#object/sent_email__v/VBL00000001G403", "SE-001405673")</f>
        <v>SE-001405673</v>
      </c>
      <c r="D13313" s="1" t="s">
        <v>0</v>
      </c>
      <c r="E13313" s="2">
        <v>0</v>
      </c>
      <c r="F13313" s="2">
        <v>0</v>
      </c>
      <c r="G13313" s="2">
        <v>0</v>
      </c>
      <c r="H13313" s="1" t="s">
        <v>0</v>
      </c>
      <c r="I13313" s="2">
        <v>0</v>
      </c>
      <c r="J13313" s="1">
        <v>46076.573159722226</v>
      </c>
    </row>
    <row r="13314" spans="1:10" x14ac:dyDescent="0.2">
      <c r="A13314" s="4" t="s">
        <v>1</v>
      </c>
      <c r="B13314" s="3" t="str">
        <f>HYPERLINK("https://otsuka-europe-crm.veevavault.com/ui/#object/approved_document__v/V5O00000000Q011", "LUP - 10 cuestiones: Inmunosupresión - nefro")</f>
        <v>LUP - 10 cuestiones: Inmunosupresión - nefro</v>
      </c>
      <c r="C13314" s="3" t="str">
        <f>HYPERLINK("https://otsuka-europe-crm.veevavault.com/ui/#object/sent_email__v/VBL00000001G404", "SE-001405674")</f>
        <v>SE-001405674</v>
      </c>
      <c r="D13314" s="1">
        <v>46078.526666666665</v>
      </c>
      <c r="E13314" s="2">
        <v>1</v>
      </c>
      <c r="F13314" s="2">
        <v>2</v>
      </c>
      <c r="G13314" s="2">
        <v>0</v>
      </c>
      <c r="H13314" s="1" t="s">
        <v>0</v>
      </c>
      <c r="I13314" s="2">
        <v>0</v>
      </c>
      <c r="J13314" s="1">
        <v>46076.573333333334</v>
      </c>
    </row>
    <row r="13315" spans="1:10" x14ac:dyDescent="0.2">
      <c r="A13315" s="4" t="s">
        <v>1</v>
      </c>
      <c r="B13315" s="3" t="str">
        <f>HYPERLINK("https://otsuka-europe-crm.veevavault.com/ui/#object/approved_document__v/V5O00000000Q011", "LUP - 10 cuestiones: Inmunosupresión - nefro")</f>
        <v>LUP - 10 cuestiones: Inmunosupresión - nefro</v>
      </c>
      <c r="C13315" s="3" t="str">
        <f>HYPERLINK("https://otsuka-europe-crm.veevavault.com/ui/#object/sent_email__v/VBL00000001G405", "SE-001405675")</f>
        <v>SE-001405675</v>
      </c>
      <c r="D13315" s="1" t="s">
        <v>0</v>
      </c>
      <c r="E13315" s="2">
        <v>0</v>
      </c>
      <c r="F13315" s="2">
        <v>0</v>
      </c>
      <c r="G13315" s="2">
        <v>0</v>
      </c>
      <c r="H13315" s="1" t="s">
        <v>0</v>
      </c>
      <c r="I13315" s="2">
        <v>0</v>
      </c>
      <c r="J13315" s="1">
        <v>46076.573495370372</v>
      </c>
    </row>
    <row r="13316" spans="1:10" x14ac:dyDescent="0.2">
      <c r="A13316" s="4" t="s">
        <v>1</v>
      </c>
      <c r="B13316" s="3" t="str">
        <f>HYPERLINK("https://otsuka-europe-crm.veevavault.com/ui/#object/approved_document__v/V5O00000000Q011", "LUP - 10 cuestiones: Inmunosupresión - nefro")</f>
        <v>LUP - 10 cuestiones: Inmunosupresión - nefro</v>
      </c>
      <c r="C13316" s="3" t="str">
        <f>HYPERLINK("https://otsuka-europe-crm.veevavault.com/ui/#object/sent_email__v/VBL00000001G406", "SE-001405676")</f>
        <v>SE-001405676</v>
      </c>
      <c r="D13316" s="1" t="s">
        <v>0</v>
      </c>
      <c r="E13316" s="2">
        <v>0</v>
      </c>
      <c r="F13316" s="2">
        <v>0</v>
      </c>
      <c r="G13316" s="2">
        <v>0</v>
      </c>
      <c r="H13316" s="1" t="s">
        <v>0</v>
      </c>
      <c r="I13316" s="2">
        <v>0</v>
      </c>
      <c r="J13316" s="1">
        <v>46076.573657407411</v>
      </c>
    </row>
    <row r="13317" spans="1:10" x14ac:dyDescent="0.2">
      <c r="A13317" s="4" t="s">
        <v>1</v>
      </c>
      <c r="B13317" s="3" t="str">
        <f>HYPERLINK("https://otsuka-europe-crm.veevavault.com/ui/#object/approved_document__v/V5O00000000Q011", "LUP - 10 cuestiones: Inmunosupresión - nefro")</f>
        <v>LUP - 10 cuestiones: Inmunosupresión - nefro</v>
      </c>
      <c r="C13317" s="3" t="str">
        <f>HYPERLINK("https://otsuka-europe-crm.veevavault.com/ui/#object/sent_email__v/VBL00000001G407", "SE-001405677")</f>
        <v>SE-001405677</v>
      </c>
      <c r="D13317" s="1" t="s">
        <v>0</v>
      </c>
      <c r="E13317" s="2">
        <v>0</v>
      </c>
      <c r="F13317" s="2">
        <v>0</v>
      </c>
      <c r="G13317" s="2">
        <v>0</v>
      </c>
      <c r="H13317" s="1" t="s">
        <v>0</v>
      </c>
      <c r="I13317" s="2">
        <v>0</v>
      </c>
      <c r="J13317" s="1">
        <v>46076.573819444442</v>
      </c>
    </row>
    <row r="13318" spans="1:10" x14ac:dyDescent="0.2">
      <c r="A13318" s="4" t="s">
        <v>1</v>
      </c>
      <c r="B13318" s="3" t="str">
        <f>HYPERLINK("https://otsuka-europe-crm.veevavault.com/ui/#object/approved_document__v/V5O00000000Q011", "LUP - 10 cuestiones: Inmunosupresión - nefro")</f>
        <v>LUP - 10 cuestiones: Inmunosupresión - nefro</v>
      </c>
      <c r="C13318" s="3" t="str">
        <f>HYPERLINK("https://otsuka-europe-crm.veevavault.com/ui/#object/sent_email__v/VBL00000001G408", "SE-001405678")</f>
        <v>SE-001405678</v>
      </c>
      <c r="D13318" s="1" t="s">
        <v>0</v>
      </c>
      <c r="E13318" s="2">
        <v>0</v>
      </c>
      <c r="F13318" s="2">
        <v>0</v>
      </c>
      <c r="G13318" s="2">
        <v>0</v>
      </c>
      <c r="H13318" s="1" t="s">
        <v>0</v>
      </c>
      <c r="I13318" s="2">
        <v>0</v>
      </c>
      <c r="J13318" s="1">
        <v>46076.573993055557</v>
      </c>
    </row>
    <row r="13319" spans="1:10" x14ac:dyDescent="0.2">
      <c r="A13319" s="4" t="s">
        <v>1</v>
      </c>
      <c r="B13319" s="3" t="str">
        <f>HYPERLINK("https://otsuka-europe-crm.veevavault.com/ui/#object/approved_document__v/V5O00000000Q011", "LUP - 10 cuestiones: Inmunosupresión - nefro")</f>
        <v>LUP - 10 cuestiones: Inmunosupresión - nefro</v>
      </c>
      <c r="C13319" s="3" t="str">
        <f>HYPERLINK("https://otsuka-europe-crm.veevavault.com/ui/#object/sent_email__v/VBL00000001G409", "SE-001405679")</f>
        <v>SE-001405679</v>
      </c>
      <c r="D13319" s="1">
        <v>46076.582812499997</v>
      </c>
      <c r="E13319" s="2">
        <v>1</v>
      </c>
      <c r="F13319" s="2">
        <v>1</v>
      </c>
      <c r="G13319" s="2">
        <v>1</v>
      </c>
      <c r="H13319" s="1">
        <v>46076.583483796298</v>
      </c>
      <c r="I13319" s="2">
        <v>1</v>
      </c>
      <c r="J13319" s="1">
        <v>46076.574155092596</v>
      </c>
    </row>
    <row r="13320" spans="1:10" x14ac:dyDescent="0.2">
      <c r="A13320" s="4" t="s">
        <v>1</v>
      </c>
      <c r="B13320" s="3" t="str">
        <f>HYPERLINK("https://otsuka-europe-crm.veevavault.com/ui/#object/approved_document__v/V5O00000000Q011", "LUP - 10 cuestiones: Inmunosupresión - nefro")</f>
        <v>LUP - 10 cuestiones: Inmunosupresión - nefro</v>
      </c>
      <c r="C13320" s="3" t="str">
        <f>HYPERLINK("https://otsuka-europe-crm.veevavault.com/ui/#object/sent_email__v/VBL00000001G410", "SE-001405680")</f>
        <v>SE-001405680</v>
      </c>
      <c r="D13320" s="1">
        <v>46076.604826388888</v>
      </c>
      <c r="E13320" s="2">
        <v>1</v>
      </c>
      <c r="F13320" s="2">
        <v>1</v>
      </c>
      <c r="G13320" s="2">
        <v>0</v>
      </c>
      <c r="H13320" s="1" t="s">
        <v>0</v>
      </c>
      <c r="I13320" s="2">
        <v>0</v>
      </c>
      <c r="J13320" s="1">
        <v>46076.574328703704</v>
      </c>
    </row>
    <row r="13321" spans="1:10" x14ac:dyDescent="0.2">
      <c r="A13321" s="4" t="s">
        <v>1</v>
      </c>
      <c r="B13321" s="3" t="str">
        <f>HYPERLINK("https://otsuka-europe-crm.veevavault.com/ui/#object/approved_document__v/V5O00000000Q011", "LUP - 10 cuestiones: Inmunosupresión - nefro")</f>
        <v>LUP - 10 cuestiones: Inmunosupresión - nefro</v>
      </c>
      <c r="C13321" s="3" t="str">
        <f>HYPERLINK("https://otsuka-europe-crm.veevavault.com/ui/#object/sent_email__v/VBL00000001G411", "SE-001405681")</f>
        <v>SE-001405681</v>
      </c>
      <c r="D13321" s="1">
        <v>46077.228356481479</v>
      </c>
      <c r="E13321" s="2">
        <v>1</v>
      </c>
      <c r="F13321" s="2">
        <v>1</v>
      </c>
      <c r="G13321" s="2">
        <v>0</v>
      </c>
      <c r="H13321" s="1" t="s">
        <v>0</v>
      </c>
      <c r="I13321" s="2">
        <v>0</v>
      </c>
      <c r="J13321" s="1">
        <v>46076.574502314812</v>
      </c>
    </row>
    <row r="13322" spans="1:10" x14ac:dyDescent="0.2">
      <c r="A13322" s="4" t="s">
        <v>1</v>
      </c>
      <c r="B13322" s="3" t="str">
        <f>HYPERLINK("https://otsuka-europe-crm.veevavault.com/ui/#object/approved_document__v/V5O00000000Q011", "LUP - 10 cuestiones: Inmunosupresión - nefro")</f>
        <v>LUP - 10 cuestiones: Inmunosupresión - nefro</v>
      </c>
      <c r="C13322" s="3" t="str">
        <f>HYPERLINK("https://otsuka-europe-crm.veevavault.com/ui/#object/sent_email__v/VBL00000001G412", "SE-001405682")</f>
        <v>SE-001405682</v>
      </c>
      <c r="D13322" s="1" t="s">
        <v>0</v>
      </c>
      <c r="E13322" s="2">
        <v>0</v>
      </c>
      <c r="F13322" s="2">
        <v>0</v>
      </c>
      <c r="G13322" s="2">
        <v>0</v>
      </c>
      <c r="H13322" s="1" t="s">
        <v>0</v>
      </c>
      <c r="I13322" s="2">
        <v>0</v>
      </c>
      <c r="J13322" s="1">
        <v>46076.574664351851</v>
      </c>
    </row>
    <row r="13323" spans="1:10" x14ac:dyDescent="0.2">
      <c r="A13323" s="4" t="s">
        <v>1</v>
      </c>
      <c r="B13323" s="3" t="str">
        <f>HYPERLINK("https://otsuka-europe-crm.veevavault.com/ui/#object/approved_document__v/V5O00000000Q011", "LUP - 10 cuestiones: Inmunosupresión - nefro")</f>
        <v>LUP - 10 cuestiones: Inmunosupresión - nefro</v>
      </c>
      <c r="C13323" s="3" t="str">
        <f>HYPERLINK("https://otsuka-europe-crm.veevavault.com/ui/#object/sent_email__v/VBL00000001G413", "SE-001405683")</f>
        <v>SE-001405683</v>
      </c>
      <c r="D13323" s="1" t="s">
        <v>0</v>
      </c>
      <c r="E13323" s="2">
        <v>0</v>
      </c>
      <c r="F13323" s="2">
        <v>0</v>
      </c>
      <c r="G13323" s="2">
        <v>0</v>
      </c>
      <c r="H13323" s="1" t="s">
        <v>0</v>
      </c>
      <c r="I13323" s="2">
        <v>0</v>
      </c>
      <c r="J13323" s="1">
        <v>46076.574837962966</v>
      </c>
    </row>
    <row r="13324" spans="1:10" x14ac:dyDescent="0.2">
      <c r="A13324" s="4" t="s">
        <v>1</v>
      </c>
      <c r="B13324" s="3" t="str">
        <f>HYPERLINK("https://otsuka-europe-crm.veevavault.com/ui/#object/approved_document__v/V5O00000000Q011", "LUP - 10 cuestiones: Inmunosupresión - nefro")</f>
        <v>LUP - 10 cuestiones: Inmunosupresión - nefro</v>
      </c>
      <c r="C13324" s="3" t="str">
        <f>HYPERLINK("https://otsuka-europe-crm.veevavault.com/ui/#object/sent_email__v/VBL00000001G414", "SE-001405684")</f>
        <v>SE-001405684</v>
      </c>
      <c r="D13324" s="1">
        <v>46076.652453703704</v>
      </c>
      <c r="E13324" s="2">
        <v>1</v>
      </c>
      <c r="F13324" s="2">
        <v>1</v>
      </c>
      <c r="G13324" s="2">
        <v>0</v>
      </c>
      <c r="H13324" s="1" t="s">
        <v>0</v>
      </c>
      <c r="I13324" s="2">
        <v>0</v>
      </c>
      <c r="J13324" s="1">
        <v>46076.574999999997</v>
      </c>
    </row>
    <row r="13325" spans="1:10" x14ac:dyDescent="0.2">
      <c r="A13325" s="4" t="s">
        <v>1</v>
      </c>
      <c r="B13325" s="3" t="str">
        <f>HYPERLINK("https://otsuka-europe-crm.veevavault.com/ui/#object/approved_document__v/V5O00000000Q011", "LUP - 10 cuestiones: Inmunosupresión - nefro")</f>
        <v>LUP - 10 cuestiones: Inmunosupresión - nefro</v>
      </c>
      <c r="C13325" s="3" t="str">
        <f>HYPERLINK("https://otsuka-europe-crm.veevavault.com/ui/#object/sent_email__v/VBL00000001G415", "SE-001405685")</f>
        <v>SE-001405685</v>
      </c>
      <c r="D13325" s="1">
        <v>46076.581238425926</v>
      </c>
      <c r="E13325" s="2">
        <v>1</v>
      </c>
      <c r="F13325" s="2">
        <v>1</v>
      </c>
      <c r="G13325" s="2">
        <v>0</v>
      </c>
      <c r="H13325" s="1" t="s">
        <v>0</v>
      </c>
      <c r="I13325" s="2">
        <v>0</v>
      </c>
      <c r="J13325" s="1">
        <v>46076.575173611112</v>
      </c>
    </row>
    <row r="13326" spans="1:10" x14ac:dyDescent="0.2">
      <c r="A13326" s="4" t="s">
        <v>1</v>
      </c>
      <c r="B13326" s="3" t="str">
        <f>HYPERLINK("https://otsuka-europe-crm.veevavault.com/ui/#object/approved_document__v/V5O00000000Q011", "LUP - 10 cuestiones: Inmunosupresión - nefro")</f>
        <v>LUP - 10 cuestiones: Inmunosupresión - nefro</v>
      </c>
      <c r="C13326" s="3" t="str">
        <f>HYPERLINK("https://otsuka-europe-crm.veevavault.com/ui/#object/sent_email__v/VBL00000001G416", "SE-001405686")</f>
        <v>SE-001405686</v>
      </c>
      <c r="D13326" s="1" t="s">
        <v>0</v>
      </c>
      <c r="E13326" s="2">
        <v>0</v>
      </c>
      <c r="F13326" s="2">
        <v>0</v>
      </c>
      <c r="G13326" s="2">
        <v>0</v>
      </c>
      <c r="H13326" s="1" t="s">
        <v>0</v>
      </c>
      <c r="I13326" s="2">
        <v>0</v>
      </c>
      <c r="J13326" s="1">
        <v>46076.575370370374</v>
      </c>
    </row>
    <row r="13327" spans="1:10" x14ac:dyDescent="0.2">
      <c r="A13327" s="4" t="s">
        <v>1</v>
      </c>
      <c r="B13327" s="3" t="str">
        <f>HYPERLINK("https://otsuka-europe-crm.veevavault.com/ui/#object/approved_document__v/V5O00000000Q011", "LUP - 10 cuestiones: Inmunosupresión - nefro")</f>
        <v>LUP - 10 cuestiones: Inmunosupresión - nefro</v>
      </c>
      <c r="C13327" s="3" t="str">
        <f>HYPERLINK("https://otsuka-europe-crm.veevavault.com/ui/#object/sent_email__v/VBL00000001G417", "SE-001405687")</f>
        <v>SE-001405687</v>
      </c>
      <c r="D13327" s="1" t="s">
        <v>0</v>
      </c>
      <c r="E13327" s="2">
        <v>0</v>
      </c>
      <c r="F13327" s="2">
        <v>0</v>
      </c>
      <c r="G13327" s="2">
        <v>0</v>
      </c>
      <c r="H13327" s="1" t="s">
        <v>0</v>
      </c>
      <c r="I13327" s="2">
        <v>0</v>
      </c>
      <c r="J13327" s="1">
        <v>46076.575509259259</v>
      </c>
    </row>
    <row r="13328" spans="1:10" x14ac:dyDescent="0.2">
      <c r="A13328" s="4" t="s">
        <v>1</v>
      </c>
      <c r="B13328" s="3" t="str">
        <f>HYPERLINK("https://otsuka-europe-crm.veevavault.com/ui/#object/approved_document__v/V5O00000000Q011", "LUP - 10 cuestiones: Inmunosupresión - nefro")</f>
        <v>LUP - 10 cuestiones: Inmunosupresión - nefro</v>
      </c>
      <c r="C13328" s="3" t="str">
        <f>HYPERLINK("https://otsuka-europe-crm.veevavault.com/ui/#object/sent_email__v/VBL00000001G418", "SE-001405688")</f>
        <v>SE-001405688</v>
      </c>
      <c r="D13328" s="1">
        <v>46076.640775462962</v>
      </c>
      <c r="E13328" s="2">
        <v>1</v>
      </c>
      <c r="F13328" s="2">
        <v>1</v>
      </c>
      <c r="G13328" s="2">
        <v>0</v>
      </c>
      <c r="H13328" s="1" t="s">
        <v>0</v>
      </c>
      <c r="I13328" s="2">
        <v>0</v>
      </c>
      <c r="J13328" s="1">
        <v>46076.575682870367</v>
      </c>
    </row>
    <row r="13329" spans="1:10" x14ac:dyDescent="0.2">
      <c r="A13329" s="4" t="s">
        <v>1</v>
      </c>
      <c r="B13329" s="3" t="str">
        <f>HYPERLINK("https://otsuka-europe-crm.veevavault.com/ui/#object/approved_document__v/V5O00000000Q011", "LUP - 10 cuestiones: Inmunosupresión - nefro")</f>
        <v>LUP - 10 cuestiones: Inmunosupresión - nefro</v>
      </c>
      <c r="C13329" s="3" t="str">
        <f>HYPERLINK("https://otsuka-europe-crm.veevavault.com/ui/#object/sent_email__v/VBL00000001G419", "SE-001405689")</f>
        <v>SE-001405689</v>
      </c>
      <c r="D13329" s="1">
        <v>46076.605995370373</v>
      </c>
      <c r="E13329" s="2">
        <v>1</v>
      </c>
      <c r="F13329" s="2">
        <v>1</v>
      </c>
      <c r="G13329" s="2">
        <v>0</v>
      </c>
      <c r="H13329" s="1" t="s">
        <v>0</v>
      </c>
      <c r="I13329" s="2">
        <v>0</v>
      </c>
      <c r="J13329" s="1">
        <v>46076.575844907406</v>
      </c>
    </row>
    <row r="13330" spans="1:10" x14ac:dyDescent="0.2">
      <c r="A13330" s="4" t="s">
        <v>1</v>
      </c>
      <c r="B13330" s="3" t="str">
        <f>HYPERLINK("https://otsuka-europe-crm.veevavault.com/ui/#object/approved_document__v/V5O00000000Q011", "LUP - 10 cuestiones: Inmunosupresión - nefro")</f>
        <v>LUP - 10 cuestiones: Inmunosupresión - nefro</v>
      </c>
      <c r="C13330" s="3" t="str">
        <f>HYPERLINK("https://otsuka-europe-crm.veevavault.com/ui/#object/sent_email__v/VBL00000001G420", "SE-001405690")</f>
        <v>SE-001405690</v>
      </c>
      <c r="D13330" s="1">
        <v>46076.576261574075</v>
      </c>
      <c r="E13330" s="2">
        <v>1</v>
      </c>
      <c r="F13330" s="2">
        <v>1</v>
      </c>
      <c r="G13330" s="2">
        <v>0</v>
      </c>
      <c r="H13330" s="1" t="s">
        <v>0</v>
      </c>
      <c r="I13330" s="2">
        <v>0</v>
      </c>
      <c r="J13330" s="1">
        <v>46076.576018518521</v>
      </c>
    </row>
    <row r="13331" spans="1:10" x14ac:dyDescent="0.2">
      <c r="A13331" s="4" t="s">
        <v>1</v>
      </c>
      <c r="B13331" s="3" t="str">
        <f>HYPERLINK("https://otsuka-europe-crm.veevavault.com/ui/#object/approved_document__v/V5O00000000Q011", "LUP - 10 cuestiones: Inmunosupresión - nefro")</f>
        <v>LUP - 10 cuestiones: Inmunosupresión - nefro</v>
      </c>
      <c r="C13331" s="3" t="str">
        <f>HYPERLINK("https://otsuka-europe-crm.veevavault.com/ui/#object/sent_email__v/VBL00000001G421", "SE-001405691")</f>
        <v>SE-001405691</v>
      </c>
      <c r="D13331" s="1">
        <v>46076.582175925927</v>
      </c>
      <c r="E13331" s="2">
        <v>1</v>
      </c>
      <c r="F13331" s="2">
        <v>2</v>
      </c>
      <c r="G13331" s="2">
        <v>0</v>
      </c>
      <c r="H13331" s="1" t="s">
        <v>0</v>
      </c>
      <c r="I13331" s="2">
        <v>0</v>
      </c>
      <c r="J13331" s="1">
        <v>46076.576180555552</v>
      </c>
    </row>
    <row r="13332" spans="1:10" x14ac:dyDescent="0.2">
      <c r="A13332" s="4" t="s">
        <v>1</v>
      </c>
      <c r="B13332" s="3" t="str">
        <f>HYPERLINK("https://otsuka-europe-crm.veevavault.com/ui/#object/approved_document__v/V5O00000000Q011", "LUP - 10 cuestiones: Inmunosupresión - nefro")</f>
        <v>LUP - 10 cuestiones: Inmunosupresión - nefro</v>
      </c>
      <c r="C13332" s="3" t="str">
        <f>HYPERLINK("https://otsuka-europe-crm.veevavault.com/ui/#object/sent_email__v/VBL00000001G422", "SE-001405692")</f>
        <v>SE-001405692</v>
      </c>
      <c r="D13332" s="1" t="s">
        <v>0</v>
      </c>
      <c r="E13332" s="2">
        <v>0</v>
      </c>
      <c r="F13332" s="2">
        <v>0</v>
      </c>
      <c r="G13332" s="2">
        <v>0</v>
      </c>
      <c r="H13332" s="1" t="s">
        <v>0</v>
      </c>
      <c r="I13332" s="2">
        <v>0</v>
      </c>
      <c r="J13332" s="1">
        <v>46076.576342592591</v>
      </c>
    </row>
    <row r="13333" spans="1:10" x14ac:dyDescent="0.2">
      <c r="A13333" s="4" t="s">
        <v>1</v>
      </c>
      <c r="B13333" s="3" t="str">
        <f>HYPERLINK("https://otsuka-europe-crm.veevavault.com/ui/#object/approved_document__v/V5O00000000Q011", "LUP - 10 cuestiones: Inmunosupresión - nefro")</f>
        <v>LUP - 10 cuestiones: Inmunosupresión - nefro</v>
      </c>
      <c r="C13333" s="3" t="str">
        <f>HYPERLINK("https://otsuka-europe-crm.veevavault.com/ui/#object/sent_email__v/VBL00000001G423", "SE-001405693")</f>
        <v>SE-001405693</v>
      </c>
      <c r="D13333" s="1" t="s">
        <v>0</v>
      </c>
      <c r="E13333" s="2">
        <v>0</v>
      </c>
      <c r="F13333" s="2">
        <v>0</v>
      </c>
      <c r="G13333" s="2">
        <v>0</v>
      </c>
      <c r="H13333" s="1" t="s">
        <v>0</v>
      </c>
      <c r="I13333" s="2">
        <v>0</v>
      </c>
      <c r="J13333" s="1">
        <v>46076.576504629629</v>
      </c>
    </row>
    <row r="13334" spans="1:10" x14ac:dyDescent="0.2">
      <c r="A13334" s="4" t="s">
        <v>1</v>
      </c>
      <c r="B13334" s="3" t="str">
        <f>HYPERLINK("https://otsuka-europe-crm.veevavault.com/ui/#object/approved_document__v/V5O00000000Q011", "LUP - 10 cuestiones: Inmunosupresión - nefro")</f>
        <v>LUP - 10 cuestiones: Inmunosupresión - nefro</v>
      </c>
      <c r="C13334" s="3" t="str">
        <f>HYPERLINK("https://otsuka-europe-crm.veevavault.com/ui/#object/sent_email__v/VBL00000001G424", "SE-001405694")</f>
        <v>SE-001405694</v>
      </c>
      <c r="D13334" s="1">
        <v>46077.062627314815</v>
      </c>
      <c r="E13334" s="2">
        <v>1</v>
      </c>
      <c r="F13334" s="2">
        <v>1</v>
      </c>
      <c r="G13334" s="2">
        <v>0</v>
      </c>
      <c r="H13334" s="1" t="s">
        <v>0</v>
      </c>
      <c r="I13334" s="2">
        <v>0</v>
      </c>
      <c r="J13334" s="1">
        <v>46076.576678240737</v>
      </c>
    </row>
    <row r="13335" spans="1:10" x14ac:dyDescent="0.2">
      <c r="A13335" s="4" t="s">
        <v>1</v>
      </c>
      <c r="B13335" s="3" t="str">
        <f>HYPERLINK("https://otsuka-europe-crm.veevavault.com/ui/#object/approved_document__v/V5O00000000Q011", "LUP - 10 cuestiones: Inmunosupresión - nefro")</f>
        <v>LUP - 10 cuestiones: Inmunosupresión - nefro</v>
      </c>
      <c r="C13335" s="3" t="str">
        <f>HYPERLINK("https://otsuka-europe-crm.veevavault.com/ui/#object/sent_email__v/VBL00000001G425", "SE-001405695")</f>
        <v>SE-001405695</v>
      </c>
      <c r="D13335" s="1" t="s">
        <v>0</v>
      </c>
      <c r="E13335" s="2">
        <v>0</v>
      </c>
      <c r="F13335" s="2">
        <v>0</v>
      </c>
      <c r="G13335" s="2">
        <v>0</v>
      </c>
      <c r="H13335" s="1" t="s">
        <v>0</v>
      </c>
      <c r="I13335" s="2">
        <v>0</v>
      </c>
      <c r="J13335" s="1">
        <v>46076.576828703706</v>
      </c>
    </row>
    <row r="13336" spans="1:10" x14ac:dyDescent="0.2">
      <c r="A13336" s="4" t="s">
        <v>1</v>
      </c>
      <c r="B13336" s="3" t="str">
        <f>HYPERLINK("https://otsuka-europe-crm.veevavault.com/ui/#object/approved_document__v/V5O00000000Q011", "LUP - 10 cuestiones: Inmunosupresión - nefro")</f>
        <v>LUP - 10 cuestiones: Inmunosupresión - nefro</v>
      </c>
      <c r="C13336" s="3" t="str">
        <f>HYPERLINK("https://otsuka-europe-crm.veevavault.com/ui/#object/sent_email__v/VBL00000001G426", "SE-001405696")</f>
        <v>SE-001405696</v>
      </c>
      <c r="D13336" s="1">
        <v>46076.821064814816</v>
      </c>
      <c r="E13336" s="2">
        <v>1</v>
      </c>
      <c r="F13336" s="2">
        <v>2</v>
      </c>
      <c r="G13336" s="2">
        <v>0</v>
      </c>
      <c r="H13336" s="1" t="s">
        <v>0</v>
      </c>
      <c r="I13336" s="2">
        <v>0</v>
      </c>
      <c r="J13336" s="1">
        <v>46076.577002314814</v>
      </c>
    </row>
    <row r="13337" spans="1:10" x14ac:dyDescent="0.2">
      <c r="A13337" s="4" t="s">
        <v>1</v>
      </c>
      <c r="B13337" s="3" t="str">
        <f>HYPERLINK("https://otsuka-europe-crm.veevavault.com/ui/#object/approved_document__v/V5O00000000Q011", "LUP - 10 cuestiones: Inmunosupresión - nefro")</f>
        <v>LUP - 10 cuestiones: Inmunosupresión - nefro</v>
      </c>
      <c r="C13337" s="3" t="str">
        <f>HYPERLINK("https://otsuka-europe-crm.veevavault.com/ui/#object/sent_email__v/VBL00000001G427", "SE-001405697")</f>
        <v>SE-001405697</v>
      </c>
      <c r="D13337" s="1" t="s">
        <v>0</v>
      </c>
      <c r="E13337" s="2">
        <v>0</v>
      </c>
      <c r="F13337" s="2">
        <v>0</v>
      </c>
      <c r="G13337" s="2">
        <v>0</v>
      </c>
      <c r="H13337" s="1" t="s">
        <v>0</v>
      </c>
      <c r="I13337" s="2">
        <v>0</v>
      </c>
      <c r="J13337" s="1">
        <v>46076.577164351853</v>
      </c>
    </row>
    <row r="13338" spans="1:10" x14ac:dyDescent="0.2">
      <c r="A13338" s="4" t="s">
        <v>1</v>
      </c>
      <c r="B13338" s="3" t="str">
        <f>HYPERLINK("https://otsuka-europe-crm.veevavault.com/ui/#object/approved_document__v/V5O00000000Q011", "LUP - 10 cuestiones: Inmunosupresión - nefro")</f>
        <v>LUP - 10 cuestiones: Inmunosupresión - nefro</v>
      </c>
      <c r="C13338" s="3" t="str">
        <f>HYPERLINK("https://otsuka-europe-crm.veevavault.com/ui/#object/sent_email__v/VBL00000001G428", "SE-001405698")</f>
        <v>SE-001405698</v>
      </c>
      <c r="D13338" s="1" t="s">
        <v>0</v>
      </c>
      <c r="E13338" s="2">
        <v>0</v>
      </c>
      <c r="F13338" s="2">
        <v>0</v>
      </c>
      <c r="G13338" s="2">
        <v>0</v>
      </c>
      <c r="H13338" s="1" t="s">
        <v>0</v>
      </c>
      <c r="I13338" s="2">
        <v>0</v>
      </c>
      <c r="J13338" s="1">
        <v>46076.577337962961</v>
      </c>
    </row>
    <row r="13339" spans="1:10" x14ac:dyDescent="0.2">
      <c r="A13339" s="4" t="s">
        <v>1</v>
      </c>
      <c r="B13339" s="3" t="str">
        <f>HYPERLINK("https://otsuka-europe-crm.veevavault.com/ui/#object/approved_document__v/V5O00000000Q011", "LUP - 10 cuestiones: Inmunosupresión - nefro")</f>
        <v>LUP - 10 cuestiones: Inmunosupresión - nefro</v>
      </c>
      <c r="C13339" s="3" t="str">
        <f>HYPERLINK("https://otsuka-europe-crm.veevavault.com/ui/#object/sent_email__v/VBL00000001G429", "SE-001405699")</f>
        <v>SE-001405699</v>
      </c>
      <c r="D13339" s="1" t="s">
        <v>0</v>
      </c>
      <c r="E13339" s="2">
        <v>0</v>
      </c>
      <c r="F13339" s="2">
        <v>0</v>
      </c>
      <c r="G13339" s="2">
        <v>0</v>
      </c>
      <c r="H13339" s="1" t="s">
        <v>0</v>
      </c>
      <c r="I13339" s="2">
        <v>0</v>
      </c>
      <c r="J13339" s="1">
        <v>46076.577488425923</v>
      </c>
    </row>
    <row r="13340" spans="1:10" x14ac:dyDescent="0.2">
      <c r="A13340" s="4" t="s">
        <v>1</v>
      </c>
      <c r="B13340" s="3" t="str">
        <f>HYPERLINK("https://otsuka-europe-crm.veevavault.com/ui/#object/approved_document__v/V5O00000000Q011", "LUP - 10 cuestiones: Inmunosupresión - nefro")</f>
        <v>LUP - 10 cuestiones: Inmunosupresión - nefro</v>
      </c>
      <c r="C13340" s="3" t="str">
        <f>HYPERLINK("https://otsuka-europe-crm.veevavault.com/ui/#object/sent_email__v/VBL00000001G430", "SE-001405700")</f>
        <v>SE-001405700</v>
      </c>
      <c r="D13340" s="1">
        <v>46078.619074074071</v>
      </c>
      <c r="E13340" s="2">
        <v>1</v>
      </c>
      <c r="F13340" s="2">
        <v>2</v>
      </c>
      <c r="G13340" s="2">
        <v>0</v>
      </c>
      <c r="H13340" s="1" t="s">
        <v>0</v>
      </c>
      <c r="I13340" s="2">
        <v>0</v>
      </c>
      <c r="J13340" s="1">
        <v>46076.577650462961</v>
      </c>
    </row>
    <row r="13341" spans="1:10" x14ac:dyDescent="0.2">
      <c r="A13341" s="4" t="s">
        <v>1</v>
      </c>
      <c r="B13341" s="3" t="str">
        <f>HYPERLINK("https://otsuka-europe-crm.veevavault.com/ui/#object/approved_document__v/V5O00000000Q011", "LUP - 10 cuestiones: Inmunosupresión - nefro")</f>
        <v>LUP - 10 cuestiones: Inmunosupresión - nefro</v>
      </c>
      <c r="C13341" s="3" t="str">
        <f>HYPERLINK("https://otsuka-europe-crm.veevavault.com/ui/#object/sent_email__v/VBL00000001G431", "SE-001405701")</f>
        <v>SE-001405701</v>
      </c>
      <c r="D13341" s="1">
        <v>46076.982951388891</v>
      </c>
      <c r="E13341" s="2">
        <v>1</v>
      </c>
      <c r="F13341" s="2">
        <v>1</v>
      </c>
      <c r="G13341" s="2">
        <v>0</v>
      </c>
      <c r="H13341" s="1" t="s">
        <v>0</v>
      </c>
      <c r="I13341" s="2">
        <v>0</v>
      </c>
      <c r="J13341" s="1">
        <v>46076.577824074076</v>
      </c>
    </row>
    <row r="13342" spans="1:10" x14ac:dyDescent="0.2">
      <c r="A13342" s="4" t="s">
        <v>1</v>
      </c>
      <c r="B13342" s="3" t="str">
        <f>HYPERLINK("https://otsuka-europe-crm.veevavault.com/ui/#object/approved_document__v/V5O00000000Q011", "LUP - 10 cuestiones: Inmunosupresión - nefro")</f>
        <v>LUP - 10 cuestiones: Inmunosupresión - nefro</v>
      </c>
      <c r="C13342" s="3" t="str">
        <f>HYPERLINK("https://otsuka-europe-crm.veevavault.com/ui/#object/sent_email__v/VBL00000001G432", "SE-001405702")</f>
        <v>SE-001405702</v>
      </c>
      <c r="D13342" s="1" t="s">
        <v>0</v>
      </c>
      <c r="E13342" s="2">
        <v>0</v>
      </c>
      <c r="F13342" s="2">
        <v>0</v>
      </c>
      <c r="G13342" s="2">
        <v>0</v>
      </c>
      <c r="H13342" s="1" t="s">
        <v>0</v>
      </c>
      <c r="I13342" s="2">
        <v>0</v>
      </c>
      <c r="J13342" s="1">
        <v>46076.577986111108</v>
      </c>
    </row>
    <row r="13343" spans="1:10" x14ac:dyDescent="0.2">
      <c r="A13343" s="4" t="s">
        <v>1</v>
      </c>
      <c r="B13343" s="3" t="str">
        <f>HYPERLINK("https://otsuka-europe-crm.veevavault.com/ui/#object/approved_document__v/V5O00000000Q011", "LUP - 10 cuestiones: Inmunosupresión - nefro")</f>
        <v>LUP - 10 cuestiones: Inmunosupresión - nefro</v>
      </c>
      <c r="C13343" s="3" t="str">
        <f>HYPERLINK("https://otsuka-europe-crm.veevavault.com/ui/#object/sent_email__v/VBL00000001G433", "SE-001405703")</f>
        <v>SE-001405703</v>
      </c>
      <c r="D13343" s="1" t="s">
        <v>0</v>
      </c>
      <c r="E13343" s="2">
        <v>0</v>
      </c>
      <c r="F13343" s="2">
        <v>0</v>
      </c>
      <c r="G13343" s="2">
        <v>0</v>
      </c>
      <c r="H13343" s="1" t="s">
        <v>0</v>
      </c>
      <c r="I13343" s="2">
        <v>0</v>
      </c>
      <c r="J13343" s="1">
        <v>46076.578148148146</v>
      </c>
    </row>
    <row r="13344" spans="1:10" x14ac:dyDescent="0.2">
      <c r="A13344" s="4" t="s">
        <v>1</v>
      </c>
      <c r="B13344" s="3" t="str">
        <f>HYPERLINK("https://otsuka-europe-crm.veevavault.com/ui/#object/approved_document__v/V5O00000000Q011", "LUP - 10 cuestiones: Inmunosupresión - nefro")</f>
        <v>LUP - 10 cuestiones: Inmunosupresión - nefro</v>
      </c>
      <c r="C13344" s="3" t="str">
        <f>HYPERLINK("https://otsuka-europe-crm.veevavault.com/ui/#object/sent_email__v/VBL00000001G434", "SE-001405704")</f>
        <v>SE-001405704</v>
      </c>
      <c r="D13344" s="1" t="s">
        <v>0</v>
      </c>
      <c r="E13344" s="2">
        <v>0</v>
      </c>
      <c r="F13344" s="2">
        <v>0</v>
      </c>
      <c r="G13344" s="2">
        <v>0</v>
      </c>
      <c r="H13344" s="1" t="s">
        <v>0</v>
      </c>
      <c r="I13344" s="2">
        <v>0</v>
      </c>
      <c r="J13344" s="1">
        <v>46076.578321759262</v>
      </c>
    </row>
    <row r="13345" spans="1:10" x14ac:dyDescent="0.2">
      <c r="A13345" s="4" t="s">
        <v>1</v>
      </c>
      <c r="B13345" s="3" t="str">
        <f>HYPERLINK("https://otsuka-europe-crm.veevavault.com/ui/#object/approved_document__v/V5O00000000Q011", "LUP - 10 cuestiones: Inmunosupresión - nefro")</f>
        <v>LUP - 10 cuestiones: Inmunosupresión - nefro</v>
      </c>
      <c r="C13345" s="3" t="str">
        <f>HYPERLINK("https://otsuka-europe-crm.veevavault.com/ui/#object/sent_email__v/VBL00000001G435", "SE-001405705")</f>
        <v>SE-001405705</v>
      </c>
      <c r="D13345" s="1" t="s">
        <v>0</v>
      </c>
      <c r="E13345" s="2">
        <v>0</v>
      </c>
      <c r="F13345" s="2">
        <v>0</v>
      </c>
      <c r="G13345" s="2">
        <v>0</v>
      </c>
      <c r="H13345" s="1" t="s">
        <v>0</v>
      </c>
      <c r="I13345" s="2">
        <v>0</v>
      </c>
      <c r="J13345" s="1">
        <v>46076.57849537037</v>
      </c>
    </row>
    <row r="13346" spans="1:10" x14ac:dyDescent="0.2">
      <c r="A13346" s="4" t="s">
        <v>1</v>
      </c>
      <c r="B13346" s="3" t="str">
        <f>HYPERLINK("https://otsuka-europe-crm.veevavault.com/ui/#object/approved_document__v/V5O00000000Q011", "LUP - 10 cuestiones: Inmunosupresión - nefro")</f>
        <v>LUP - 10 cuestiones: Inmunosupresión - nefro</v>
      </c>
      <c r="C13346" s="3" t="str">
        <f>HYPERLINK("https://otsuka-europe-crm.veevavault.com/ui/#object/sent_email__v/VBL00000001G436", "SE-001405706")</f>
        <v>SE-001405706</v>
      </c>
      <c r="D13346" s="1" t="s">
        <v>0</v>
      </c>
      <c r="E13346" s="2">
        <v>0</v>
      </c>
      <c r="F13346" s="2">
        <v>0</v>
      </c>
      <c r="G13346" s="2">
        <v>0</v>
      </c>
      <c r="H13346" s="1" t="s">
        <v>0</v>
      </c>
      <c r="I13346" s="2">
        <v>0</v>
      </c>
      <c r="J13346" s="1">
        <v>46076.578657407408</v>
      </c>
    </row>
    <row r="13347" spans="1:10" x14ac:dyDescent="0.2">
      <c r="A13347" s="4" t="s">
        <v>1</v>
      </c>
      <c r="B13347" s="3" t="str">
        <f>HYPERLINK("https://otsuka-europe-crm.veevavault.com/ui/#object/approved_document__v/V5O00000000Q011", "LUP - 10 cuestiones: Inmunosupresión - nefro")</f>
        <v>LUP - 10 cuestiones: Inmunosupresión - nefro</v>
      </c>
      <c r="C13347" s="3" t="str">
        <f>HYPERLINK("https://otsuka-europe-crm.veevavault.com/ui/#object/sent_email__v/VBL00000001G437", "SE-001405707")</f>
        <v>SE-001405707</v>
      </c>
      <c r="D13347" s="1">
        <v>46076.594641203701</v>
      </c>
      <c r="E13347" s="2">
        <v>1</v>
      </c>
      <c r="F13347" s="2">
        <v>1</v>
      </c>
      <c r="G13347" s="2">
        <v>0</v>
      </c>
      <c r="H13347" s="1" t="s">
        <v>0</v>
      </c>
      <c r="I13347" s="2">
        <v>0</v>
      </c>
      <c r="J13347" s="1">
        <v>46076.578819444447</v>
      </c>
    </row>
    <row r="13348" spans="1:10" x14ac:dyDescent="0.2">
      <c r="A13348" s="4" t="s">
        <v>1</v>
      </c>
      <c r="B13348" s="3" t="str">
        <f>HYPERLINK("https://otsuka-europe-crm.veevavault.com/ui/#object/approved_document__v/V5O00000000Q011", "LUP - 10 cuestiones: Inmunosupresión - nefro")</f>
        <v>LUP - 10 cuestiones: Inmunosupresión - nefro</v>
      </c>
      <c r="C13348" s="3" t="str">
        <f>HYPERLINK("https://otsuka-europe-crm.veevavault.com/ui/#object/sent_email__v/VBL00000001G438", "SE-001405708")</f>
        <v>SE-001405708</v>
      </c>
      <c r="D13348" s="1" t="s">
        <v>0</v>
      </c>
      <c r="E13348" s="2">
        <v>0</v>
      </c>
      <c r="F13348" s="2">
        <v>0</v>
      </c>
      <c r="G13348" s="2">
        <v>0</v>
      </c>
      <c r="H13348" s="1" t="s">
        <v>0</v>
      </c>
      <c r="I13348" s="2">
        <v>0</v>
      </c>
      <c r="J13348" s="1">
        <v>46076.579004629632</v>
      </c>
    </row>
    <row r="13349" spans="1:10" x14ac:dyDescent="0.2">
      <c r="A13349" s="4" t="s">
        <v>1</v>
      </c>
      <c r="B13349" s="3" t="str">
        <f>HYPERLINK("https://otsuka-europe-crm.veevavault.com/ui/#object/approved_document__v/V5O00000000Q011", "LUP - 10 cuestiones: Inmunosupresión - nefro")</f>
        <v>LUP - 10 cuestiones: Inmunosupresión - nefro</v>
      </c>
      <c r="C13349" s="3" t="str">
        <f>HYPERLINK("https://otsuka-europe-crm.veevavault.com/ui/#object/sent_email__v/VBL00000001G439", "SE-001405709")</f>
        <v>SE-001405709</v>
      </c>
      <c r="D13349" s="1">
        <v>46077.43677083333</v>
      </c>
      <c r="E13349" s="2">
        <v>1</v>
      </c>
      <c r="F13349" s="2">
        <v>5</v>
      </c>
      <c r="G13349" s="2">
        <v>1</v>
      </c>
      <c r="H13349" s="1">
        <v>46076.579525462963</v>
      </c>
      <c r="I13349" s="2">
        <v>2</v>
      </c>
      <c r="J13349" s="1">
        <v>46076.579155092593</v>
      </c>
    </row>
    <row r="13350" spans="1:10" x14ac:dyDescent="0.2">
      <c r="A13350" s="4" t="s">
        <v>1</v>
      </c>
      <c r="B13350" s="3" t="str">
        <f>HYPERLINK("https://otsuka-europe-crm.veevavault.com/ui/#object/approved_document__v/V5O00000000Q011", "LUP - 10 cuestiones: Inmunosupresión - nefro")</f>
        <v>LUP - 10 cuestiones: Inmunosupresión - nefro</v>
      </c>
      <c r="C13350" s="3" t="str">
        <f>HYPERLINK("https://otsuka-europe-crm.veevavault.com/ui/#object/sent_email__v/VBL00000001G440", "SE-001405710")</f>
        <v>SE-001405710</v>
      </c>
      <c r="D13350" s="1">
        <v>46076.596006944441</v>
      </c>
      <c r="E13350" s="2">
        <v>1</v>
      </c>
      <c r="F13350" s="2">
        <v>1</v>
      </c>
      <c r="G13350" s="2">
        <v>0</v>
      </c>
      <c r="H13350" s="1" t="s">
        <v>0</v>
      </c>
      <c r="I13350" s="2">
        <v>0</v>
      </c>
      <c r="J13350" s="1">
        <v>46076.579340277778</v>
      </c>
    </row>
    <row r="13351" spans="1:10" x14ac:dyDescent="0.2">
      <c r="A13351" s="4" t="s">
        <v>1</v>
      </c>
      <c r="B13351" s="3" t="str">
        <f>HYPERLINK("https://otsuka-europe-crm.veevavault.com/ui/#object/approved_document__v/V5O00000000Q011", "LUP - 10 cuestiones: Inmunosupresión - nefro")</f>
        <v>LUP - 10 cuestiones: Inmunosupresión - nefro</v>
      </c>
      <c r="C13351" s="3" t="str">
        <f>HYPERLINK("https://otsuka-europe-crm.veevavault.com/ui/#object/sent_email__v/VBL00000001G441", "SE-001405711")</f>
        <v>SE-001405711</v>
      </c>
      <c r="D13351" s="1" t="s">
        <v>0</v>
      </c>
      <c r="E13351" s="2">
        <v>0</v>
      </c>
      <c r="F13351" s="2">
        <v>0</v>
      </c>
      <c r="G13351" s="2">
        <v>0</v>
      </c>
      <c r="H13351" s="1" t="s">
        <v>0</v>
      </c>
      <c r="I13351" s="2">
        <v>0</v>
      </c>
      <c r="J13351" s="1">
        <v>46076.579513888886</v>
      </c>
    </row>
    <row r="13352" spans="1:10" x14ac:dyDescent="0.2">
      <c r="A13352" s="4" t="s">
        <v>1</v>
      </c>
      <c r="B13352" s="3" t="str">
        <f>HYPERLINK("https://otsuka-europe-crm.veevavault.com/ui/#object/approved_document__v/V5O00000000Q011", "LUP - 10 cuestiones: Inmunosupresión - nefro")</f>
        <v>LUP - 10 cuestiones: Inmunosupresión - nefro</v>
      </c>
      <c r="C13352" s="3" t="str">
        <f>HYPERLINK("https://otsuka-europe-crm.veevavault.com/ui/#object/sent_email__v/VBL00000001G442", "SE-001405712")</f>
        <v>SE-001405712</v>
      </c>
      <c r="D13352" s="1" t="s">
        <v>0</v>
      </c>
      <c r="E13352" s="2">
        <v>0</v>
      </c>
      <c r="F13352" s="2">
        <v>0</v>
      </c>
      <c r="G13352" s="2">
        <v>0</v>
      </c>
      <c r="H13352" s="1" t="s">
        <v>0</v>
      </c>
      <c r="I13352" s="2">
        <v>0</v>
      </c>
      <c r="J13352" s="1">
        <v>46076.579664351855</v>
      </c>
    </row>
    <row r="13353" spans="1:10" x14ac:dyDescent="0.2">
      <c r="A13353" s="4" t="s">
        <v>1</v>
      </c>
      <c r="B13353" s="3" t="str">
        <f>HYPERLINK("https://otsuka-europe-crm.veevavault.com/ui/#object/approved_document__v/V5O00000000Q011", "LUP - 10 cuestiones: Inmunosupresión - nefro")</f>
        <v>LUP - 10 cuestiones: Inmunosupresión - nefro</v>
      </c>
      <c r="C13353" s="3" t="str">
        <f>HYPERLINK("https://otsuka-europe-crm.veevavault.com/ui/#object/sent_email__v/VBL00000001G443", "SE-001405713")</f>
        <v>SE-001405713</v>
      </c>
      <c r="D13353" s="1">
        <v>46076.58929398148</v>
      </c>
      <c r="E13353" s="2">
        <v>1</v>
      </c>
      <c r="F13353" s="2">
        <v>2</v>
      </c>
      <c r="G13353" s="2">
        <v>0</v>
      </c>
      <c r="H13353" s="1" t="s">
        <v>0</v>
      </c>
      <c r="I13353" s="2">
        <v>0</v>
      </c>
      <c r="J13353" s="1">
        <v>46076.579826388886</v>
      </c>
    </row>
    <row r="13354" spans="1:10" x14ac:dyDescent="0.2">
      <c r="A13354" s="4" t="s">
        <v>1</v>
      </c>
      <c r="B13354" s="3" t="str">
        <f>HYPERLINK("https://otsuka-europe-crm.veevavault.com/ui/#object/approved_document__v/V5O00000000Q011", "LUP - 10 cuestiones: Inmunosupresión - nefro")</f>
        <v>LUP - 10 cuestiones: Inmunosupresión - nefro</v>
      </c>
      <c r="C13354" s="3" t="str">
        <f>HYPERLINK("https://otsuka-europe-crm.veevavault.com/ui/#object/sent_email__v/VBL00000001G444", "SE-001405714")</f>
        <v>SE-001405714</v>
      </c>
      <c r="D13354" s="1" t="s">
        <v>0</v>
      </c>
      <c r="E13354" s="2">
        <v>0</v>
      </c>
      <c r="F13354" s="2">
        <v>0</v>
      </c>
      <c r="G13354" s="2">
        <v>0</v>
      </c>
      <c r="H13354" s="1" t="s">
        <v>0</v>
      </c>
      <c r="I13354" s="2">
        <v>0</v>
      </c>
      <c r="J13354" s="1">
        <v>46076.58</v>
      </c>
    </row>
    <row r="13355" spans="1:10" x14ac:dyDescent="0.2">
      <c r="A13355" s="4" t="s">
        <v>1</v>
      </c>
      <c r="B13355" s="3" t="str">
        <f>HYPERLINK("https://otsuka-europe-crm.veevavault.com/ui/#object/approved_document__v/V5O00000000Q011", "LUP - 10 cuestiones: Inmunosupresión - nefro")</f>
        <v>LUP - 10 cuestiones: Inmunosupresión - nefro</v>
      </c>
      <c r="C13355" s="3" t="str">
        <f>HYPERLINK("https://otsuka-europe-crm.veevavault.com/ui/#object/sent_email__v/VBL00000001G445", "SE-001405715")</f>
        <v>SE-001405715</v>
      </c>
      <c r="D13355" s="1" t="s">
        <v>0</v>
      </c>
      <c r="E13355" s="2">
        <v>0</v>
      </c>
      <c r="F13355" s="2">
        <v>0</v>
      </c>
      <c r="G13355" s="2">
        <v>0</v>
      </c>
      <c r="H13355" s="1" t="s">
        <v>0</v>
      </c>
      <c r="I13355" s="2">
        <v>0</v>
      </c>
      <c r="J13355" s="1">
        <v>46076.58016203704</v>
      </c>
    </row>
    <row r="13356" spans="1:10" x14ac:dyDescent="0.2">
      <c r="A13356" s="4" t="s">
        <v>1</v>
      </c>
      <c r="B13356" s="3" t="str">
        <f>HYPERLINK("https://otsuka-europe-crm.veevavault.com/ui/#object/approved_document__v/V5O00000000Q011", "LUP - 10 cuestiones: Inmunosupresión - nefro")</f>
        <v>LUP - 10 cuestiones: Inmunosupresión - nefro</v>
      </c>
      <c r="C13356" s="3" t="str">
        <f>HYPERLINK("https://otsuka-europe-crm.veevavault.com/ui/#object/sent_email__v/VBL00000001G446", "SE-001405716")</f>
        <v>SE-001405716</v>
      </c>
      <c r="D13356" s="1" t="s">
        <v>0</v>
      </c>
      <c r="E13356" s="2">
        <v>0</v>
      </c>
      <c r="F13356" s="2">
        <v>0</v>
      </c>
      <c r="G13356" s="2">
        <v>0</v>
      </c>
      <c r="H13356" s="1" t="s">
        <v>0</v>
      </c>
      <c r="I13356" s="2">
        <v>0</v>
      </c>
      <c r="J13356" s="1">
        <v>46076.580324074072</v>
      </c>
    </row>
    <row r="13357" spans="1:10" x14ac:dyDescent="0.2">
      <c r="A13357" s="4" t="s">
        <v>1</v>
      </c>
      <c r="B13357" s="3" t="str">
        <f>HYPERLINK("https://otsuka-europe-crm.veevavault.com/ui/#object/approved_document__v/V5O00000000Q011", "LUP - 10 cuestiones: Inmunosupresión - nefro")</f>
        <v>LUP - 10 cuestiones: Inmunosupresión - nefro</v>
      </c>
      <c r="C13357" s="3" t="str">
        <f>HYPERLINK("https://otsuka-europe-crm.veevavault.com/ui/#object/sent_email__v/VBL00000001G447", "SE-001405717")</f>
        <v>SE-001405717</v>
      </c>
      <c r="D13357" s="1">
        <v>46076.666504629633</v>
      </c>
      <c r="E13357" s="2">
        <v>1</v>
      </c>
      <c r="F13357" s="2">
        <v>1</v>
      </c>
      <c r="G13357" s="2">
        <v>0</v>
      </c>
      <c r="H13357" s="1" t="s">
        <v>0</v>
      </c>
      <c r="I13357" s="2">
        <v>0</v>
      </c>
      <c r="J13357" s="1">
        <v>46076.580497685187</v>
      </c>
    </row>
    <row r="13358" spans="1:10" x14ac:dyDescent="0.2">
      <c r="A13358" s="4" t="s">
        <v>1</v>
      </c>
      <c r="B13358" s="3" t="str">
        <f>HYPERLINK("https://otsuka-europe-crm.veevavault.com/ui/#object/approved_document__v/V5O00000000Q011", "LUP - 10 cuestiones: Inmunosupresión - nefro")</f>
        <v>LUP - 10 cuestiones: Inmunosupresión - nefro</v>
      </c>
      <c r="C13358" s="3" t="str">
        <f>HYPERLINK("https://otsuka-europe-crm.veevavault.com/ui/#object/sent_email__v/VBL00000001G448", "SE-001405718")</f>
        <v>SE-001405718</v>
      </c>
      <c r="D13358" s="1">
        <v>46076.890300925923</v>
      </c>
      <c r="E13358" s="2">
        <v>1</v>
      </c>
      <c r="F13358" s="2">
        <v>2</v>
      </c>
      <c r="G13358" s="2">
        <v>0</v>
      </c>
      <c r="H13358" s="1" t="s">
        <v>0</v>
      </c>
      <c r="I13358" s="2">
        <v>0</v>
      </c>
      <c r="J13358" s="1">
        <v>46076.580659722225</v>
      </c>
    </row>
    <row r="13359" spans="1:10" x14ac:dyDescent="0.2">
      <c r="A13359" s="4" t="s">
        <v>1</v>
      </c>
      <c r="B13359" s="3" t="str">
        <f>HYPERLINK("https://otsuka-europe-crm.veevavault.com/ui/#object/approved_document__v/V5O00000000Q011", "LUP - 10 cuestiones: Inmunosupresión - nefro")</f>
        <v>LUP - 10 cuestiones: Inmunosupresión - nefro</v>
      </c>
      <c r="C13359" s="3" t="str">
        <f>HYPERLINK("https://otsuka-europe-crm.veevavault.com/ui/#object/sent_email__v/VBL00000001F132", "SE-001405752")</f>
        <v>SE-001405752</v>
      </c>
      <c r="D13359" s="1">
        <v>46076.677789351852</v>
      </c>
      <c r="E13359" s="2">
        <v>1</v>
      </c>
      <c r="F13359" s="2">
        <v>4</v>
      </c>
      <c r="G13359" s="2">
        <v>1</v>
      </c>
      <c r="H13359" s="1">
        <v>46076.677766203706</v>
      </c>
      <c r="I13359" s="2">
        <v>7</v>
      </c>
      <c r="J13359" s="1">
        <v>46076.677569444444</v>
      </c>
    </row>
    <row r="13360" spans="1:10" x14ac:dyDescent="0.2">
      <c r="A13360" s="4" t="s">
        <v>1</v>
      </c>
      <c r="B13360" s="3" t="str">
        <f>HYPERLINK("https://otsuka-europe-crm.veevavault.com/ui/#object/approved_document__v/V5O00000000Q011", "LUP - 10 cuestiones: Inmunosupresión - nefro")</f>
        <v>LUP - 10 cuestiones: Inmunosupresión - nefro</v>
      </c>
      <c r="C13360" s="3" t="str">
        <f>HYPERLINK("https://otsuka-europe-crm.veevavault.com/ui/#object/sent_email__v/VBL00000001F133", "SE-001405753")</f>
        <v>SE-001405753</v>
      </c>
      <c r="D13360" s="1">
        <v>46076.681608796294</v>
      </c>
      <c r="E13360" s="2">
        <v>1</v>
      </c>
      <c r="F13360" s="2">
        <v>2</v>
      </c>
      <c r="G13360" s="2">
        <v>0</v>
      </c>
      <c r="H13360" s="1" t="s">
        <v>0</v>
      </c>
      <c r="I13360" s="2">
        <v>0</v>
      </c>
      <c r="J13360" s="1">
        <v>46076.677754629629</v>
      </c>
    </row>
    <row r="13361" spans="1:10" x14ac:dyDescent="0.2">
      <c r="A13361" s="4" t="s">
        <v>1</v>
      </c>
      <c r="B13361" s="3" t="str">
        <f>HYPERLINK("https://otsuka-europe-crm.veevavault.com/ui/#object/approved_document__v/V5O00000000Q011", "LUP - 10 cuestiones: Inmunosupresión - nefro")</f>
        <v>LUP - 10 cuestiones: Inmunosupresión - nefro</v>
      </c>
      <c r="C13361" s="3" t="str">
        <f>HYPERLINK("https://otsuka-europe-crm.veevavault.com/ui/#object/sent_email__v/VBL00000001F134", "SE-001405754")</f>
        <v>SE-001405754</v>
      </c>
      <c r="D13361" s="1">
        <v>46076.837847222225</v>
      </c>
      <c r="E13361" s="2">
        <v>1</v>
      </c>
      <c r="F13361" s="2">
        <v>1</v>
      </c>
      <c r="G13361" s="2">
        <v>1</v>
      </c>
      <c r="H13361" s="1">
        <v>46076.838125000002</v>
      </c>
      <c r="I13361" s="2">
        <v>1</v>
      </c>
      <c r="J13361" s="1">
        <v>46076.677905092591</v>
      </c>
    </row>
    <row r="13362" spans="1:10" x14ac:dyDescent="0.2">
      <c r="A13362" s="4" t="s">
        <v>1</v>
      </c>
      <c r="B13362" s="3" t="str">
        <f>HYPERLINK("https://otsuka-europe-crm.veevavault.com/ui/#object/approved_document__v/V5O00000000Q011", "LUP - 10 cuestiones: Inmunosupresión - nefro")</f>
        <v>LUP - 10 cuestiones: Inmunosupresión - nefro</v>
      </c>
      <c r="C13362" s="3" t="str">
        <f>HYPERLINK("https://otsuka-europe-crm.veevavault.com/ui/#object/sent_email__v/VBL00000001F135", "SE-001405755")</f>
        <v>SE-001405755</v>
      </c>
      <c r="D13362" s="1" t="s">
        <v>0</v>
      </c>
      <c r="E13362" s="2">
        <v>0</v>
      </c>
      <c r="F13362" s="2">
        <v>0</v>
      </c>
      <c r="G13362" s="2">
        <v>0</v>
      </c>
      <c r="H13362" s="1" t="s">
        <v>0</v>
      </c>
      <c r="I13362" s="2">
        <v>0</v>
      </c>
      <c r="J13362" s="1">
        <v>46076.678078703706</v>
      </c>
    </row>
    <row r="13363" spans="1:10" x14ac:dyDescent="0.2">
      <c r="A13363" s="4" t="s">
        <v>1</v>
      </c>
      <c r="B13363" s="3" t="str">
        <f>HYPERLINK("https://otsuka-europe-crm.veevavault.com/ui/#object/approved_document__v/V5O00000000Q011", "LUP - 10 cuestiones: Inmunosupresión - nefro")</f>
        <v>LUP - 10 cuestiones: Inmunosupresión - nefro</v>
      </c>
      <c r="C13363" s="3" t="str">
        <f>HYPERLINK("https://otsuka-europe-crm.veevavault.com/ui/#object/sent_email__v/VBL00000001F136", "SE-001405756")</f>
        <v>SE-001405756</v>
      </c>
      <c r="D13363" s="1" t="s">
        <v>0</v>
      </c>
      <c r="E13363" s="2">
        <v>0</v>
      </c>
      <c r="F13363" s="2">
        <v>0</v>
      </c>
      <c r="G13363" s="2">
        <v>0</v>
      </c>
      <c r="H13363" s="1" t="s">
        <v>0</v>
      </c>
      <c r="I13363" s="2">
        <v>0</v>
      </c>
      <c r="J13363" s="1">
        <v>46076.678252314814</v>
      </c>
    </row>
    <row r="13364" spans="1:10" x14ac:dyDescent="0.2">
      <c r="A13364" s="4" t="s">
        <v>1</v>
      </c>
      <c r="B13364" s="3" t="str">
        <f>HYPERLINK("https://otsuka-europe-crm.veevavault.com/ui/#object/approved_document__v/V5O00000000Q011", "LUP - 10 cuestiones: Inmunosupresión - nefro")</f>
        <v>LUP - 10 cuestiones: Inmunosupresión - nefro</v>
      </c>
      <c r="C13364" s="3" t="str">
        <f>HYPERLINK("https://otsuka-europe-crm.veevavault.com/ui/#object/sent_email__v/VBL00000001F137", "SE-001405757")</f>
        <v>SE-001405757</v>
      </c>
      <c r="D13364" s="1" t="s">
        <v>0</v>
      </c>
      <c r="E13364" s="2">
        <v>0</v>
      </c>
      <c r="F13364" s="2">
        <v>0</v>
      </c>
      <c r="G13364" s="2">
        <v>0</v>
      </c>
      <c r="H13364" s="1" t="s">
        <v>0</v>
      </c>
      <c r="I13364" s="2">
        <v>0</v>
      </c>
      <c r="J13364" s="1">
        <v>46076.678425925929</v>
      </c>
    </row>
    <row r="13365" spans="1:10" x14ac:dyDescent="0.2">
      <c r="A13365" s="4" t="s">
        <v>1</v>
      </c>
      <c r="B13365" s="3" t="str">
        <f>HYPERLINK("https://otsuka-europe-crm.veevavault.com/ui/#object/approved_document__v/V5O00000000Q011", "LUP - 10 cuestiones: Inmunosupresión - nefro")</f>
        <v>LUP - 10 cuestiones: Inmunosupresión - nefro</v>
      </c>
      <c r="C13365" s="3" t="str">
        <f>HYPERLINK("https://otsuka-europe-crm.veevavault.com/ui/#object/sent_email__v/VBL00000001F138", "SE-001405758")</f>
        <v>SE-001405758</v>
      </c>
      <c r="D13365" s="1" t="s">
        <v>0</v>
      </c>
      <c r="E13365" s="2">
        <v>0</v>
      </c>
      <c r="F13365" s="2">
        <v>0</v>
      </c>
      <c r="G13365" s="2">
        <v>0</v>
      </c>
      <c r="H13365" s="1" t="s">
        <v>0</v>
      </c>
      <c r="I13365" s="2">
        <v>0</v>
      </c>
      <c r="J13365" s="1">
        <v>46076.678576388891</v>
      </c>
    </row>
    <row r="13366" spans="1:10" x14ac:dyDescent="0.2">
      <c r="A13366" s="4" t="s">
        <v>1</v>
      </c>
      <c r="B13366" s="3" t="str">
        <f>HYPERLINK("https://otsuka-europe-crm.veevavault.com/ui/#object/approved_document__v/V5O00000000Q011", "LUP - 10 cuestiones: Inmunosupresión - nefro")</f>
        <v>LUP - 10 cuestiones: Inmunosupresión - nefro</v>
      </c>
      <c r="C13366" s="3" t="str">
        <f>HYPERLINK("https://otsuka-europe-crm.veevavault.com/ui/#object/sent_email__v/VBL00000001F139", "SE-001405759")</f>
        <v>SE-001405759</v>
      </c>
      <c r="D13366" s="1">
        <v>46076.687002314815</v>
      </c>
      <c r="E13366" s="2">
        <v>1</v>
      </c>
      <c r="F13366" s="2">
        <v>1</v>
      </c>
      <c r="G13366" s="2">
        <v>1</v>
      </c>
      <c r="H13366" s="1">
        <v>46076.687002314815</v>
      </c>
      <c r="I13366" s="2">
        <v>1</v>
      </c>
      <c r="J13366" s="1">
        <v>46076.678749999999</v>
      </c>
    </row>
    <row r="13367" spans="1:10" x14ac:dyDescent="0.2">
      <c r="A13367" s="4" t="s">
        <v>1</v>
      </c>
      <c r="B13367" s="3" t="str">
        <f>HYPERLINK("https://otsuka-europe-crm.veevavault.com/ui/#object/approved_document__v/V5O00000000Q011", "LUP - 10 cuestiones: Inmunosupresión - nefro")</f>
        <v>LUP - 10 cuestiones: Inmunosupresión - nefro</v>
      </c>
      <c r="C13367" s="3" t="str">
        <f>HYPERLINK("https://otsuka-europe-crm.veevavault.com/ui/#object/sent_email__v/VBL00000001F140", "SE-001405760")</f>
        <v>SE-001405760</v>
      </c>
      <c r="D13367" s="1" t="s">
        <v>0</v>
      </c>
      <c r="E13367" s="2">
        <v>0</v>
      </c>
      <c r="F13367" s="2">
        <v>0</v>
      </c>
      <c r="G13367" s="2">
        <v>0</v>
      </c>
      <c r="H13367" s="1" t="s">
        <v>0</v>
      </c>
      <c r="I13367" s="2">
        <v>0</v>
      </c>
      <c r="J13367" s="1">
        <v>46076.678912037038</v>
      </c>
    </row>
    <row r="13368" spans="1:10" x14ac:dyDescent="0.2">
      <c r="A13368" s="4" t="s">
        <v>1</v>
      </c>
      <c r="B13368" s="3" t="str">
        <f>HYPERLINK("https://otsuka-europe-crm.veevavault.com/ui/#object/approved_document__v/V5O00000000Q011", "LUP - 10 cuestiones: Inmunosupresión - nefro")</f>
        <v>LUP - 10 cuestiones: Inmunosupresión - nefro</v>
      </c>
      <c r="C13368" s="3" t="str">
        <f>HYPERLINK("https://otsuka-europe-crm.veevavault.com/ui/#object/sent_email__v/VBL00000001F141", "SE-001405761")</f>
        <v>SE-001405761</v>
      </c>
      <c r="D13368" s="1" t="s">
        <v>0</v>
      </c>
      <c r="E13368" s="2">
        <v>0</v>
      </c>
      <c r="F13368" s="2">
        <v>0</v>
      </c>
      <c r="G13368" s="2">
        <v>0</v>
      </c>
      <c r="H13368" s="1" t="s">
        <v>0</v>
      </c>
      <c r="I13368" s="2">
        <v>0</v>
      </c>
      <c r="J13368" s="1">
        <v>46076.679074074076</v>
      </c>
    </row>
    <row r="13369" spans="1:10" x14ac:dyDescent="0.2">
      <c r="A13369" s="4" t="s">
        <v>1</v>
      </c>
      <c r="B13369" s="3" t="str">
        <f>HYPERLINK("https://otsuka-europe-crm.veevavault.com/ui/#object/approved_document__v/V5O00000000Q011", "LUP - 10 cuestiones: Inmunosupresión - nefro")</f>
        <v>LUP - 10 cuestiones: Inmunosupresión - nefro</v>
      </c>
      <c r="C13369" s="3" t="str">
        <f>HYPERLINK("https://otsuka-europe-crm.veevavault.com/ui/#object/sent_email__v/VBL00000001F142", "SE-001405762")</f>
        <v>SE-001405762</v>
      </c>
      <c r="D13369" s="1" t="s">
        <v>0</v>
      </c>
      <c r="E13369" s="2">
        <v>0</v>
      </c>
      <c r="F13369" s="2">
        <v>0</v>
      </c>
      <c r="G13369" s="2">
        <v>0</v>
      </c>
      <c r="H13369" s="1" t="s">
        <v>0</v>
      </c>
      <c r="I13369" s="2">
        <v>0</v>
      </c>
      <c r="J13369" s="1">
        <v>46076.679247685184</v>
      </c>
    </row>
    <row r="13370" spans="1:10" x14ac:dyDescent="0.2">
      <c r="A13370" s="4" t="s">
        <v>1</v>
      </c>
      <c r="B13370" s="3" t="str">
        <f>HYPERLINK("https://otsuka-europe-crm.veevavault.com/ui/#object/approved_document__v/V5O00000000Q011", "LUP - 10 cuestiones: Inmunosupresión - nefro")</f>
        <v>LUP - 10 cuestiones: Inmunosupresión - nefro</v>
      </c>
      <c r="C13370" s="3" t="str">
        <f>HYPERLINK("https://otsuka-europe-crm.veevavault.com/ui/#object/sent_email__v/VBL00000001F143", "SE-001405763")</f>
        <v>SE-001405763</v>
      </c>
      <c r="D13370" s="1" t="s">
        <v>0</v>
      </c>
      <c r="E13370" s="2">
        <v>0</v>
      </c>
      <c r="F13370" s="2">
        <v>0</v>
      </c>
      <c r="G13370" s="2">
        <v>0</v>
      </c>
      <c r="H13370" s="1" t="s">
        <v>0</v>
      </c>
      <c r="I13370" s="2">
        <v>0</v>
      </c>
      <c r="J13370" s="1">
        <v>46076.6794212963</v>
      </c>
    </row>
    <row r="13371" spans="1:10" x14ac:dyDescent="0.2">
      <c r="A13371" s="4" t="s">
        <v>1</v>
      </c>
      <c r="B13371" s="3" t="str">
        <f>HYPERLINK("https://otsuka-europe-crm.veevavault.com/ui/#object/approved_document__v/V5O00000000Q011", "LUP - 10 cuestiones: Inmunosupresión - nefro")</f>
        <v>LUP - 10 cuestiones: Inmunosupresión - nefro</v>
      </c>
      <c r="C13371" s="3" t="str">
        <f>HYPERLINK("https://otsuka-europe-crm.veevavault.com/ui/#object/sent_email__v/VBL00000001F144", "SE-001405764")</f>
        <v>SE-001405764</v>
      </c>
      <c r="D13371" s="1" t="s">
        <v>0</v>
      </c>
      <c r="E13371" s="2">
        <v>0</v>
      </c>
      <c r="F13371" s="2">
        <v>0</v>
      </c>
      <c r="G13371" s="2">
        <v>0</v>
      </c>
      <c r="H13371" s="1" t="s">
        <v>0</v>
      </c>
      <c r="I13371" s="2">
        <v>0</v>
      </c>
      <c r="J13371" s="1">
        <v>46076.679594907408</v>
      </c>
    </row>
    <row r="13372" spans="1:10" x14ac:dyDescent="0.2">
      <c r="A13372" s="4" t="s">
        <v>1</v>
      </c>
      <c r="B13372" s="3" t="str">
        <f>HYPERLINK("https://otsuka-europe-crm.veevavault.com/ui/#object/approved_document__v/V5O00000000Q011", "LUP - 10 cuestiones: Inmunosupresión - nefro")</f>
        <v>LUP - 10 cuestiones: Inmunosupresión - nefro</v>
      </c>
      <c r="C13372" s="3" t="str">
        <f>HYPERLINK("https://otsuka-europe-crm.veevavault.com/ui/#object/sent_email__v/VBL00000001F145", "SE-001405765")</f>
        <v>SE-001405765</v>
      </c>
      <c r="D13372" s="1">
        <v>46076.812824074077</v>
      </c>
      <c r="E13372" s="2">
        <v>1</v>
      </c>
      <c r="F13372" s="2">
        <v>4</v>
      </c>
      <c r="G13372" s="2">
        <v>0</v>
      </c>
      <c r="H13372" s="1" t="s">
        <v>0</v>
      </c>
      <c r="I13372" s="2">
        <v>0</v>
      </c>
      <c r="J13372" s="1">
        <v>46076.679756944446</v>
      </c>
    </row>
    <row r="13373" spans="1:10" x14ac:dyDescent="0.2">
      <c r="A13373" s="4" t="s">
        <v>1</v>
      </c>
      <c r="B13373" s="3" t="str">
        <f>HYPERLINK("https://otsuka-europe-crm.veevavault.com/ui/#object/approved_document__v/V5O00000000Q011", "LUP - 10 cuestiones: Inmunosupresión - nefro")</f>
        <v>LUP - 10 cuestiones: Inmunosupresión - nefro</v>
      </c>
      <c r="C13373" s="3" t="str">
        <f>HYPERLINK("https://otsuka-europe-crm.veevavault.com/ui/#object/sent_email__v/VBL00000001F146", "SE-001405766")</f>
        <v>SE-001405766</v>
      </c>
      <c r="D13373" s="1">
        <v>46076.712106481478</v>
      </c>
      <c r="E13373" s="2">
        <v>1</v>
      </c>
      <c r="F13373" s="2">
        <v>1</v>
      </c>
      <c r="G13373" s="2">
        <v>0</v>
      </c>
      <c r="H13373" s="1" t="s">
        <v>0</v>
      </c>
      <c r="I13373" s="2">
        <v>0</v>
      </c>
      <c r="J13373" s="1">
        <v>46076.679918981485</v>
      </c>
    </row>
    <row r="13374" spans="1:10" x14ac:dyDescent="0.2">
      <c r="A13374" s="4" t="s">
        <v>1</v>
      </c>
      <c r="B13374" s="3" t="str">
        <f>HYPERLINK("https://otsuka-europe-crm.veevavault.com/ui/#object/approved_document__v/V5O00000000Q011", "LUP - 10 cuestiones: Inmunosupresión - nefro")</f>
        <v>LUP - 10 cuestiones: Inmunosupresión - nefro</v>
      </c>
      <c r="C13374" s="3" t="str">
        <f>HYPERLINK("https://otsuka-europe-crm.veevavault.com/ui/#object/sent_email__v/VBL00000001F147", "SE-001405767")</f>
        <v>SE-001405767</v>
      </c>
      <c r="D13374" s="1" t="s">
        <v>0</v>
      </c>
      <c r="E13374" s="2">
        <v>0</v>
      </c>
      <c r="F13374" s="2">
        <v>0</v>
      </c>
      <c r="G13374" s="2">
        <v>0</v>
      </c>
      <c r="H13374" s="1" t="s">
        <v>0</v>
      </c>
      <c r="I13374" s="2">
        <v>0</v>
      </c>
      <c r="J13374" s="1">
        <v>46076.680138888885</v>
      </c>
    </row>
    <row r="13375" spans="1:10" x14ac:dyDescent="0.2">
      <c r="A13375" s="4" t="s">
        <v>1</v>
      </c>
      <c r="B13375" s="3" t="str">
        <f>HYPERLINK("https://otsuka-europe-crm.veevavault.com/ui/#object/approved_document__v/V5O00000000Q011", "LUP - 10 cuestiones: Inmunosupresión - nefro")</f>
        <v>LUP - 10 cuestiones: Inmunosupresión - nefro</v>
      </c>
      <c r="C13375" s="3" t="str">
        <f>HYPERLINK("https://otsuka-europe-crm.veevavault.com/ui/#object/sent_email__v/VBL00000001F148", "SE-001405768")</f>
        <v>SE-001405768</v>
      </c>
      <c r="D13375" s="1" t="s">
        <v>0</v>
      </c>
      <c r="E13375" s="2">
        <v>0</v>
      </c>
      <c r="F13375" s="2">
        <v>0</v>
      </c>
      <c r="G13375" s="2">
        <v>0</v>
      </c>
      <c r="H13375" s="1" t="s">
        <v>0</v>
      </c>
      <c r="I13375" s="2">
        <v>0</v>
      </c>
      <c r="J13375" s="1">
        <v>46076.680393518516</v>
      </c>
    </row>
    <row r="13376" spans="1:10" x14ac:dyDescent="0.2">
      <c r="A13376" s="4" t="s">
        <v>1</v>
      </c>
      <c r="B13376" s="3" t="str">
        <f>HYPERLINK("https://otsuka-europe-crm.veevavault.com/ui/#object/approved_document__v/V5O00000000Q011", "LUP - 10 cuestiones: Inmunosupresión - nefro")</f>
        <v>LUP - 10 cuestiones: Inmunosupresión - nefro</v>
      </c>
      <c r="C13376" s="3" t="str">
        <f>HYPERLINK("https://otsuka-europe-crm.veevavault.com/ui/#object/sent_email__v/VBL00000001F149", "SE-001405769")</f>
        <v>SE-001405769</v>
      </c>
      <c r="D13376" s="1" t="s">
        <v>0</v>
      </c>
      <c r="E13376" s="2">
        <v>0</v>
      </c>
      <c r="F13376" s="2">
        <v>0</v>
      </c>
      <c r="G13376" s="2">
        <v>0</v>
      </c>
      <c r="H13376" s="1" t="s">
        <v>0</v>
      </c>
      <c r="I13376" s="2">
        <v>0</v>
      </c>
      <c r="J13376" s="1">
        <v>46076.680578703701</v>
      </c>
    </row>
    <row r="13377" spans="1:10" x14ac:dyDescent="0.2">
      <c r="A13377" s="4" t="s">
        <v>1</v>
      </c>
      <c r="B13377" s="3" t="str">
        <f>HYPERLINK("https://otsuka-europe-crm.veevavault.com/ui/#object/approved_document__v/V5O00000000Q011", "LUP - 10 cuestiones: Inmunosupresión - nefro")</f>
        <v>LUP - 10 cuestiones: Inmunosupresión - nefro</v>
      </c>
      <c r="C13377" s="3" t="str">
        <f>HYPERLINK("https://otsuka-europe-crm.veevavault.com/ui/#object/sent_email__v/VBL00000001F150", "SE-001405770")</f>
        <v>SE-001405770</v>
      </c>
      <c r="D13377" s="1" t="s">
        <v>0</v>
      </c>
      <c r="E13377" s="2">
        <v>0</v>
      </c>
      <c r="F13377" s="2">
        <v>0</v>
      </c>
      <c r="G13377" s="2">
        <v>0</v>
      </c>
      <c r="H13377" s="1" t="s">
        <v>0</v>
      </c>
      <c r="I13377" s="2">
        <v>0</v>
      </c>
      <c r="J13377" s="1">
        <v>46076.680752314816</v>
      </c>
    </row>
    <row r="13378" spans="1:10" x14ac:dyDescent="0.2">
      <c r="A13378" s="4" t="s">
        <v>1</v>
      </c>
      <c r="B13378" s="3" t="str">
        <f>HYPERLINK("https://otsuka-europe-crm.veevavault.com/ui/#object/approved_document__v/V5O00000000Q011", "LUP - 10 cuestiones: Inmunosupresión - nefro")</f>
        <v>LUP - 10 cuestiones: Inmunosupresión - nefro</v>
      </c>
      <c r="C13378" s="3" t="str">
        <f>HYPERLINK("https://otsuka-europe-crm.veevavault.com/ui/#object/sent_email__v/VBL00000001F151", "SE-001405771")</f>
        <v>SE-001405771</v>
      </c>
      <c r="D13378" s="1">
        <v>46076.936840277776</v>
      </c>
      <c r="E13378" s="2">
        <v>1</v>
      </c>
      <c r="F13378" s="2">
        <v>2</v>
      </c>
      <c r="G13378" s="2">
        <v>0</v>
      </c>
      <c r="H13378" s="1" t="s">
        <v>0</v>
      </c>
      <c r="I13378" s="2">
        <v>0</v>
      </c>
      <c r="J13378" s="1">
        <v>46076.680925925924</v>
      </c>
    </row>
    <row r="13379" spans="1:10" x14ac:dyDescent="0.2">
      <c r="A13379" s="4" t="s">
        <v>1</v>
      </c>
      <c r="B13379" s="3" t="str">
        <f>HYPERLINK("https://otsuka-europe-crm.veevavault.com/ui/#object/approved_document__v/V5O00000000Q011", "LUP - 10 cuestiones: Inmunosupresión - nefro")</f>
        <v>LUP - 10 cuestiones: Inmunosupresión - nefro</v>
      </c>
      <c r="C13379" s="3" t="str">
        <f>HYPERLINK("https://otsuka-europe-crm.veevavault.com/ui/#object/sent_email__v/VBL00000001F152", "SE-001405772")</f>
        <v>SE-001405772</v>
      </c>
      <c r="D13379" s="1">
        <v>46076.681990740741</v>
      </c>
      <c r="E13379" s="2">
        <v>1</v>
      </c>
      <c r="F13379" s="2">
        <v>1</v>
      </c>
      <c r="G13379" s="2">
        <v>0</v>
      </c>
      <c r="H13379" s="1" t="s">
        <v>0</v>
      </c>
      <c r="I13379" s="2">
        <v>0</v>
      </c>
      <c r="J13379" s="1">
        <v>46076.681087962963</v>
      </c>
    </row>
    <row r="13380" spans="1:10" x14ac:dyDescent="0.2">
      <c r="A13380" s="4" t="s">
        <v>1</v>
      </c>
      <c r="B13380" s="3" t="str">
        <f>HYPERLINK("https://otsuka-europe-crm.veevavault.com/ui/#object/approved_document__v/V5O00000000Q011", "LUP - 10 cuestiones: Inmunosupresión - nefro")</f>
        <v>LUP - 10 cuestiones: Inmunosupresión - nefro</v>
      </c>
      <c r="C13380" s="3" t="str">
        <f>HYPERLINK("https://otsuka-europe-crm.veevavault.com/ui/#object/sent_email__v/VBL00000001F153", "SE-001405773")</f>
        <v>SE-001405773</v>
      </c>
      <c r="D13380" s="1" t="s">
        <v>0</v>
      </c>
      <c r="E13380" s="2">
        <v>0</v>
      </c>
      <c r="F13380" s="2">
        <v>0</v>
      </c>
      <c r="G13380" s="2">
        <v>0</v>
      </c>
      <c r="H13380" s="1" t="s">
        <v>0</v>
      </c>
      <c r="I13380" s="2">
        <v>0</v>
      </c>
      <c r="J13380" s="1">
        <v>46076.681250000001</v>
      </c>
    </row>
    <row r="13381" spans="1:10" x14ac:dyDescent="0.2">
      <c r="A13381" s="4" t="s">
        <v>1</v>
      </c>
      <c r="B13381" s="3" t="str">
        <f>HYPERLINK("https://otsuka-europe-crm.veevavault.com/ui/#object/approved_document__v/V5O00000000Q011", "LUP - 10 cuestiones: Inmunosupresión - nefro")</f>
        <v>LUP - 10 cuestiones: Inmunosupresión - nefro</v>
      </c>
      <c r="C13381" s="3" t="str">
        <f>HYPERLINK("https://otsuka-europe-crm.veevavault.com/ui/#object/sent_email__v/VBL00000001F154", "SE-001405774")</f>
        <v>SE-001405774</v>
      </c>
      <c r="D13381" s="1">
        <v>46076.725752314815</v>
      </c>
      <c r="E13381" s="2">
        <v>1</v>
      </c>
      <c r="F13381" s="2">
        <v>2</v>
      </c>
      <c r="G13381" s="2">
        <v>0</v>
      </c>
      <c r="H13381" s="1" t="s">
        <v>0</v>
      </c>
      <c r="I13381" s="2">
        <v>0</v>
      </c>
      <c r="J13381" s="1">
        <v>46076.681423611109</v>
      </c>
    </row>
    <row r="13382" spans="1:10" x14ac:dyDescent="0.2">
      <c r="A13382" s="4" t="s">
        <v>1</v>
      </c>
      <c r="B13382" s="3" t="str">
        <f>HYPERLINK("https://otsuka-europe-crm.veevavault.com/ui/#object/approved_document__v/V5O00000000Q011", "LUP - 10 cuestiones: Inmunosupresión - nefro")</f>
        <v>LUP - 10 cuestiones: Inmunosupresión - nefro</v>
      </c>
      <c r="C13382" s="3" t="str">
        <f>HYPERLINK("https://otsuka-europe-crm.veevavault.com/ui/#object/sent_email__v/VBL00000001F155", "SE-001405775")</f>
        <v>SE-001405775</v>
      </c>
      <c r="D13382" s="1">
        <v>46076.681875000002</v>
      </c>
      <c r="E13382" s="2">
        <v>1</v>
      </c>
      <c r="F13382" s="2">
        <v>3</v>
      </c>
      <c r="G13382" s="2">
        <v>1</v>
      </c>
      <c r="H13382" s="1">
        <v>46076.681851851848</v>
      </c>
      <c r="I13382" s="2">
        <v>8</v>
      </c>
      <c r="J13382" s="1">
        <v>46076.681585648148</v>
      </c>
    </row>
    <row r="13383" spans="1:10" x14ac:dyDescent="0.2">
      <c r="A13383" s="4" t="s">
        <v>1</v>
      </c>
      <c r="B13383" s="3" t="str">
        <f>HYPERLINK("https://otsuka-europe-crm.veevavault.com/ui/#object/approved_document__v/V5O00000000Q011", "LUP - 10 cuestiones: Inmunosupresión - nefro")</f>
        <v>LUP - 10 cuestiones: Inmunosupresión - nefro</v>
      </c>
      <c r="C13383" s="3" t="str">
        <f>HYPERLINK("https://otsuka-europe-crm.veevavault.com/ui/#object/sent_email__v/VBL00000001F156", "SE-001405776")</f>
        <v>SE-001405776</v>
      </c>
      <c r="D13383" s="1">
        <v>46076.731921296298</v>
      </c>
      <c r="E13383" s="2">
        <v>1</v>
      </c>
      <c r="F13383" s="2">
        <v>2</v>
      </c>
      <c r="G13383" s="2">
        <v>0</v>
      </c>
      <c r="H13383" s="1" t="s">
        <v>0</v>
      </c>
      <c r="I13383" s="2">
        <v>0</v>
      </c>
      <c r="J13383" s="1">
        <v>46076.681759259256</v>
      </c>
    </row>
    <row r="13384" spans="1:10" x14ac:dyDescent="0.2">
      <c r="A13384" s="4" t="s">
        <v>1</v>
      </c>
      <c r="B13384" s="3" t="str">
        <f>HYPERLINK("https://otsuka-europe-crm.veevavault.com/ui/#object/approved_document__v/V5O00000000Q011", "LUP - 10 cuestiones: Inmunosupresión - nefro")</f>
        <v>LUP - 10 cuestiones: Inmunosupresión - nefro</v>
      </c>
      <c r="C13384" s="3" t="str">
        <f>HYPERLINK("https://otsuka-europe-crm.veevavault.com/ui/#object/sent_email__v/VBL00000001F157", "SE-001405777")</f>
        <v>SE-001405777</v>
      </c>
      <c r="D13384" s="1">
        <v>46077.068229166667</v>
      </c>
      <c r="E13384" s="2">
        <v>1</v>
      </c>
      <c r="F13384" s="2">
        <v>1</v>
      </c>
      <c r="G13384" s="2">
        <v>0</v>
      </c>
      <c r="H13384" s="1" t="s">
        <v>0</v>
      </c>
      <c r="I13384" s="2">
        <v>0</v>
      </c>
      <c r="J13384" s="1">
        <v>46076.681932870371</v>
      </c>
    </row>
    <row r="13385" spans="1:10" x14ac:dyDescent="0.2">
      <c r="A13385" s="4" t="s">
        <v>1</v>
      </c>
      <c r="B13385" s="3" t="str">
        <f>HYPERLINK("https://otsuka-europe-crm.veevavault.com/ui/#object/approved_document__v/V5O00000000Q011", "LUP - 10 cuestiones: Inmunosupresión - nefro")</f>
        <v>LUP - 10 cuestiones: Inmunosupresión - nefro</v>
      </c>
      <c r="C13385" s="3" t="str">
        <f>HYPERLINK("https://otsuka-europe-crm.veevavault.com/ui/#object/sent_email__v/VBL00000001F158", "SE-001405778")</f>
        <v>SE-001405778</v>
      </c>
      <c r="D13385" s="1">
        <v>46077.193622685183</v>
      </c>
      <c r="E13385" s="2">
        <v>1</v>
      </c>
      <c r="F13385" s="2">
        <v>2</v>
      </c>
      <c r="G13385" s="2">
        <v>0</v>
      </c>
      <c r="H13385" s="1" t="s">
        <v>0</v>
      </c>
      <c r="I13385" s="2">
        <v>0</v>
      </c>
      <c r="J13385" s="1">
        <v>46076.68209490741</v>
      </c>
    </row>
    <row r="13386" spans="1:10" x14ac:dyDescent="0.2">
      <c r="A13386" s="4" t="s">
        <v>1</v>
      </c>
      <c r="B13386" s="3" t="str">
        <f>HYPERLINK("https://otsuka-europe-crm.veevavault.com/ui/#object/approved_document__v/V5O00000000Q011", "LUP - 10 cuestiones: Inmunosupresión - nefro")</f>
        <v>LUP - 10 cuestiones: Inmunosupresión - nefro</v>
      </c>
      <c r="C13386" s="3" t="str">
        <f>HYPERLINK("https://otsuka-europe-crm.veevavault.com/ui/#object/sent_email__v/VBL00000001F159", "SE-001405779")</f>
        <v>SE-001405779</v>
      </c>
      <c r="D13386" s="1">
        <v>46076.725358796299</v>
      </c>
      <c r="E13386" s="2">
        <v>1</v>
      </c>
      <c r="F13386" s="2">
        <v>1</v>
      </c>
      <c r="G13386" s="2">
        <v>0</v>
      </c>
      <c r="H13386" s="1" t="s">
        <v>0</v>
      </c>
      <c r="I13386" s="2">
        <v>0</v>
      </c>
      <c r="J13386" s="1">
        <v>46076.682268518518</v>
      </c>
    </row>
    <row r="13387" spans="1:10" x14ac:dyDescent="0.2">
      <c r="A13387" s="4" t="s">
        <v>1</v>
      </c>
      <c r="B13387" s="3" t="str">
        <f>HYPERLINK("https://otsuka-europe-crm.veevavault.com/ui/#object/approved_document__v/V5O00000000Q011", "LUP - 10 cuestiones: Inmunosupresión - nefro")</f>
        <v>LUP - 10 cuestiones: Inmunosupresión - nefro</v>
      </c>
      <c r="C13387" s="3" t="str">
        <f>HYPERLINK("https://otsuka-europe-crm.veevavault.com/ui/#object/sent_email__v/VBL00000001F160", "SE-001405780")</f>
        <v>SE-001405780</v>
      </c>
      <c r="D13387" s="1">
        <v>46078.715231481481</v>
      </c>
      <c r="E13387" s="2">
        <v>1</v>
      </c>
      <c r="F13387" s="2">
        <v>1</v>
      </c>
      <c r="G13387" s="2">
        <v>1</v>
      </c>
      <c r="H13387" s="1">
        <v>46078.715428240743</v>
      </c>
      <c r="I13387" s="2">
        <v>1</v>
      </c>
      <c r="J13387" s="1">
        <v>46076.682523148149</v>
      </c>
    </row>
    <row r="13388" spans="1:10" x14ac:dyDescent="0.2">
      <c r="A13388" s="4" t="s">
        <v>1</v>
      </c>
      <c r="B13388" s="3" t="str">
        <f>HYPERLINK("https://otsuka-europe-crm.veevavault.com/ui/#object/approved_document__v/V5O00000000Q011", "LUP - 10 cuestiones: Inmunosupresión - nefro")</f>
        <v>LUP - 10 cuestiones: Inmunosupresión - nefro</v>
      </c>
      <c r="C13388" s="3" t="str">
        <f>HYPERLINK("https://otsuka-europe-crm.veevavault.com/ui/#object/sent_email__v/VBL00000001F161", "SE-001405781")</f>
        <v>SE-001405781</v>
      </c>
      <c r="D13388" s="1">
        <v>46077.450046296297</v>
      </c>
      <c r="E13388" s="2">
        <v>1</v>
      </c>
      <c r="F13388" s="2">
        <v>1</v>
      </c>
      <c r="G13388" s="2">
        <v>0</v>
      </c>
      <c r="H13388" s="1" t="s">
        <v>0</v>
      </c>
      <c r="I13388" s="2">
        <v>0</v>
      </c>
      <c r="J13388" s="1">
        <v>46076.682754629626</v>
      </c>
    </row>
    <row r="13389" spans="1:10" x14ac:dyDescent="0.2">
      <c r="A13389" s="4" t="s">
        <v>1</v>
      </c>
      <c r="B13389" s="3" t="str">
        <f>HYPERLINK("https://otsuka-europe-crm.veevavault.com/ui/#object/approved_document__v/V5O00000000Q011", "LUP - 10 cuestiones: Inmunosupresión - nefro")</f>
        <v>LUP - 10 cuestiones: Inmunosupresión - nefro</v>
      </c>
      <c r="C13389" s="3" t="str">
        <f>HYPERLINK("https://otsuka-europe-crm.veevavault.com/ui/#object/sent_email__v/VBL00000001F162", "SE-001405782")</f>
        <v>SE-001405782</v>
      </c>
      <c r="D13389" s="1" t="s">
        <v>0</v>
      </c>
      <c r="E13389" s="2">
        <v>0</v>
      </c>
      <c r="F13389" s="2">
        <v>0</v>
      </c>
      <c r="G13389" s="2">
        <v>0</v>
      </c>
      <c r="H13389" s="1" t="s">
        <v>0</v>
      </c>
      <c r="I13389" s="2">
        <v>0</v>
      </c>
      <c r="J13389" s="1">
        <v>46076.682997685188</v>
      </c>
    </row>
    <row r="13390" spans="1:10" x14ac:dyDescent="0.2">
      <c r="A13390" s="4" t="s">
        <v>1</v>
      </c>
      <c r="B13390" s="3" t="str">
        <f>HYPERLINK("https://otsuka-europe-crm.veevavault.com/ui/#object/approved_document__v/V5O00000000Q011", "LUP - 10 cuestiones: Inmunosupresión - nefro")</f>
        <v>LUP - 10 cuestiones: Inmunosupresión - nefro</v>
      </c>
      <c r="C13390" s="3" t="str">
        <f>HYPERLINK("https://otsuka-europe-crm.veevavault.com/ui/#object/sent_email__v/VBL00000001F163", "SE-001405783")</f>
        <v>SE-001405783</v>
      </c>
      <c r="D13390" s="1">
        <v>46079.28601851852</v>
      </c>
      <c r="E13390" s="2">
        <v>1</v>
      </c>
      <c r="F13390" s="2">
        <v>3</v>
      </c>
      <c r="G13390" s="2">
        <v>0</v>
      </c>
      <c r="H13390" s="1" t="s">
        <v>0</v>
      </c>
      <c r="I13390" s="2">
        <v>0</v>
      </c>
      <c r="J13390" s="1">
        <v>46076.683263888888</v>
      </c>
    </row>
    <row r="13391" spans="1:10" x14ac:dyDescent="0.2">
      <c r="A13391" s="4" t="s">
        <v>1</v>
      </c>
      <c r="B13391" s="3" t="str">
        <f>HYPERLINK("https://otsuka-europe-crm.veevavault.com/ui/#object/approved_document__v/V5O00000000Q011", "LUP - 10 cuestiones: Inmunosupresión - nefro")</f>
        <v>LUP - 10 cuestiones: Inmunosupresión - nefro</v>
      </c>
      <c r="C13391" s="3" t="str">
        <f>HYPERLINK("https://otsuka-europe-crm.veevavault.com/ui/#object/sent_email__v/VBL00000001F164", "SE-001405784")</f>
        <v>SE-001405784</v>
      </c>
      <c r="D13391" s="1">
        <v>46076.927905092591</v>
      </c>
      <c r="E13391" s="2">
        <v>1</v>
      </c>
      <c r="F13391" s="2">
        <v>1</v>
      </c>
      <c r="G13391" s="2">
        <v>0</v>
      </c>
      <c r="H13391" s="1" t="s">
        <v>0</v>
      </c>
      <c r="I13391" s="2">
        <v>0</v>
      </c>
      <c r="J13391" s="1">
        <v>46076.683506944442</v>
      </c>
    </row>
    <row r="13392" spans="1:10" x14ac:dyDescent="0.2">
      <c r="A13392" s="4" t="s">
        <v>1</v>
      </c>
      <c r="B13392" s="3" t="str">
        <f>HYPERLINK("https://otsuka-europe-crm.veevavault.com/ui/#object/approved_document__v/V5O00000000Q011", "LUP - 10 cuestiones: Inmunosupresión - nefro")</f>
        <v>LUP - 10 cuestiones: Inmunosupresión - nefro</v>
      </c>
      <c r="C13392" s="3" t="str">
        <f>HYPERLINK("https://otsuka-europe-crm.veevavault.com/ui/#object/sent_email__v/VBL00000001F165", "SE-001405785")</f>
        <v>SE-001405785</v>
      </c>
      <c r="D13392" s="1" t="s">
        <v>0</v>
      </c>
      <c r="E13392" s="2">
        <v>0</v>
      </c>
      <c r="F13392" s="2">
        <v>0</v>
      </c>
      <c r="G13392" s="2">
        <v>0</v>
      </c>
      <c r="H13392" s="1" t="s">
        <v>0</v>
      </c>
      <c r="I13392" s="2">
        <v>0</v>
      </c>
      <c r="J13392" s="1">
        <v>46076.683749999997</v>
      </c>
    </row>
    <row r="13393" spans="1:10" x14ac:dyDescent="0.2">
      <c r="A13393" s="4" t="s">
        <v>1</v>
      </c>
      <c r="B13393" s="3" t="str">
        <f>HYPERLINK("https://otsuka-europe-crm.veevavault.com/ui/#object/approved_document__v/V5O00000000Q011", "LUP - 10 cuestiones: Inmunosupresión - nefro")</f>
        <v>LUP - 10 cuestiones: Inmunosupresión - nefro</v>
      </c>
      <c r="C13393" s="3" t="str">
        <f>HYPERLINK("https://otsuka-europe-crm.veevavault.com/ui/#object/sent_email__v/VBL00000001F166", "SE-001405786")</f>
        <v>SE-001405786</v>
      </c>
      <c r="D13393" s="1">
        <v>46076.726527777777</v>
      </c>
      <c r="E13393" s="2">
        <v>1</v>
      </c>
      <c r="F13393" s="2">
        <v>1</v>
      </c>
      <c r="G13393" s="2">
        <v>0</v>
      </c>
      <c r="H13393" s="1" t="s">
        <v>0</v>
      </c>
      <c r="I13393" s="2">
        <v>0</v>
      </c>
      <c r="J13393" s="1">
        <v>46076.684016203704</v>
      </c>
    </row>
    <row r="13394" spans="1:10" x14ac:dyDescent="0.2">
      <c r="A13394" s="4" t="s">
        <v>1</v>
      </c>
      <c r="B13394" s="3" t="str">
        <f>HYPERLINK("https://otsuka-europe-crm.veevavault.com/ui/#object/approved_document__v/V5O00000000Q011", "LUP - 10 cuestiones: Inmunosupresión - nefro")</f>
        <v>LUP - 10 cuestiones: Inmunosupresión - nefro</v>
      </c>
      <c r="C13394" s="3" t="str">
        <f>HYPERLINK("https://otsuka-europe-crm.veevavault.com/ui/#object/sent_email__v/VBL00000001F167", "SE-001405787")</f>
        <v>SE-001405787</v>
      </c>
      <c r="D13394" s="1" t="s">
        <v>0</v>
      </c>
      <c r="E13394" s="2">
        <v>0</v>
      </c>
      <c r="F13394" s="2">
        <v>0</v>
      </c>
      <c r="G13394" s="2">
        <v>0</v>
      </c>
      <c r="H13394" s="1" t="s">
        <v>0</v>
      </c>
      <c r="I13394" s="2">
        <v>0</v>
      </c>
      <c r="J13394" s="1">
        <v>46076.684189814812</v>
      </c>
    </row>
    <row r="13395" spans="1:10" x14ac:dyDescent="0.2">
      <c r="A13395" s="4" t="s">
        <v>1</v>
      </c>
      <c r="B13395" s="3" t="str">
        <f>HYPERLINK("https://otsuka-europe-crm.veevavault.com/ui/#object/approved_document__v/V5O00000000Q011", "LUP - 10 cuestiones: Inmunosupresión - nefro")</f>
        <v>LUP - 10 cuestiones: Inmunosupresión - nefro</v>
      </c>
      <c r="C13395" s="3" t="str">
        <f>HYPERLINK("https://otsuka-europe-crm.veevavault.com/ui/#object/sent_email__v/VBL00000001F168", "SE-001405788")</f>
        <v>SE-001405788</v>
      </c>
      <c r="D13395" s="1">
        <v>46076.684537037036</v>
      </c>
      <c r="E13395" s="2">
        <v>1</v>
      </c>
      <c r="F13395" s="2">
        <v>2</v>
      </c>
      <c r="G13395" s="2">
        <v>1</v>
      </c>
      <c r="H13395" s="1">
        <v>46076.684525462966</v>
      </c>
      <c r="I13395" s="2">
        <v>8</v>
      </c>
      <c r="J13395" s="1">
        <v>46076.684351851851</v>
      </c>
    </row>
    <row r="13396" spans="1:10" x14ac:dyDescent="0.2">
      <c r="A13396" s="4" t="s">
        <v>1</v>
      </c>
      <c r="B13396" s="3" t="str">
        <f>HYPERLINK("https://otsuka-europe-crm.veevavault.com/ui/#object/approved_document__v/V5O00000000Q011", "LUP - 10 cuestiones: Inmunosupresión - nefro")</f>
        <v>LUP - 10 cuestiones: Inmunosupresión - nefro</v>
      </c>
      <c r="C13396" s="3" t="str">
        <f>HYPERLINK("https://otsuka-europe-crm.veevavault.com/ui/#object/sent_email__v/VBL00000001F169", "SE-001405789")</f>
        <v>SE-001405789</v>
      </c>
      <c r="D13396" s="1">
        <v>46076.943113425928</v>
      </c>
      <c r="E13396" s="2">
        <v>1</v>
      </c>
      <c r="F13396" s="2">
        <v>1</v>
      </c>
      <c r="G13396" s="2">
        <v>0</v>
      </c>
      <c r="H13396" s="1" t="s">
        <v>0</v>
      </c>
      <c r="I13396" s="2">
        <v>0</v>
      </c>
      <c r="J13396" s="1">
        <v>46076.684513888889</v>
      </c>
    </row>
    <row r="13397" spans="1:10" x14ac:dyDescent="0.2">
      <c r="A13397" s="4" t="s">
        <v>1</v>
      </c>
      <c r="B13397" s="3" t="str">
        <f>HYPERLINK("https://otsuka-europe-crm.veevavault.com/ui/#object/approved_document__v/V5O00000000Q011", "LUP - 10 cuestiones: Inmunosupresión - nefro")</f>
        <v>LUP - 10 cuestiones: Inmunosupresión - nefro</v>
      </c>
      <c r="C13397" s="3" t="str">
        <f>HYPERLINK("https://otsuka-europe-crm.veevavault.com/ui/#object/sent_email__v/VBL00000001F170", "SE-001405790")</f>
        <v>SE-001405790</v>
      </c>
      <c r="D13397" s="1" t="s">
        <v>0</v>
      </c>
      <c r="E13397" s="2">
        <v>0</v>
      </c>
      <c r="F13397" s="2">
        <v>0</v>
      </c>
      <c r="G13397" s="2">
        <v>0</v>
      </c>
      <c r="H13397" s="1" t="s">
        <v>0</v>
      </c>
      <c r="I13397" s="2">
        <v>0</v>
      </c>
      <c r="J13397" s="1">
        <v>46076.684687499997</v>
      </c>
    </row>
    <row r="13398" spans="1:10" x14ac:dyDescent="0.2">
      <c r="A13398" s="4" t="s">
        <v>1</v>
      </c>
      <c r="B13398" s="3" t="str">
        <f>HYPERLINK("https://otsuka-europe-crm.veevavault.com/ui/#object/approved_document__v/V5O00000000Q011", "LUP - 10 cuestiones: Inmunosupresión - nefro")</f>
        <v>LUP - 10 cuestiones: Inmunosupresión - nefro</v>
      </c>
      <c r="C13398" s="3" t="str">
        <f>HYPERLINK("https://otsuka-europe-crm.veevavault.com/ui/#object/sent_email__v/VBL00000001F171", "SE-001405791")</f>
        <v>SE-001405791</v>
      </c>
      <c r="D13398" s="1" t="s">
        <v>0</v>
      </c>
      <c r="E13398" s="2">
        <v>0</v>
      </c>
      <c r="F13398" s="2">
        <v>0</v>
      </c>
      <c r="G13398" s="2">
        <v>0</v>
      </c>
      <c r="H13398" s="1" t="s">
        <v>0</v>
      </c>
      <c r="I13398" s="2">
        <v>0</v>
      </c>
      <c r="J13398" s="1">
        <v>46076.684849537036</v>
      </c>
    </row>
    <row r="13399" spans="1:10" x14ac:dyDescent="0.2">
      <c r="A13399" s="4" t="s">
        <v>1</v>
      </c>
      <c r="B13399" s="3" t="str">
        <f>HYPERLINK("https://otsuka-europe-crm.veevavault.com/ui/#object/approved_document__v/V5O00000000Q011", "LUP - 10 cuestiones: Inmunosupresión - nefro")</f>
        <v>LUP - 10 cuestiones: Inmunosupresión - nefro</v>
      </c>
      <c r="C13399" s="3" t="str">
        <f>HYPERLINK("https://otsuka-europe-crm.veevavault.com/ui/#object/sent_email__v/VBL00000001F172", "SE-001405792")</f>
        <v>SE-001405792</v>
      </c>
      <c r="D13399" s="1" t="s">
        <v>0</v>
      </c>
      <c r="E13399" s="2">
        <v>0</v>
      </c>
      <c r="F13399" s="2">
        <v>0</v>
      </c>
      <c r="G13399" s="2">
        <v>0</v>
      </c>
      <c r="H13399" s="1" t="s">
        <v>0</v>
      </c>
      <c r="I13399" s="2">
        <v>0</v>
      </c>
      <c r="J13399" s="1">
        <v>46076.685011574074</v>
      </c>
    </row>
    <row r="13400" spans="1:10" x14ac:dyDescent="0.2">
      <c r="A13400" s="4" t="s">
        <v>1</v>
      </c>
      <c r="B13400" s="3" t="str">
        <f>HYPERLINK("https://otsuka-europe-crm.veevavault.com/ui/#object/approved_document__v/V5O00000000Q011", "LUP - 10 cuestiones: Inmunosupresión - nefro")</f>
        <v>LUP - 10 cuestiones: Inmunosupresión - nefro</v>
      </c>
      <c r="C13400" s="3" t="str">
        <f>HYPERLINK("https://otsuka-europe-crm.veevavault.com/ui/#object/sent_email__v/VBL00000001F173", "SE-001405793")</f>
        <v>SE-001405793</v>
      </c>
      <c r="D13400" s="1">
        <v>46076.692245370374</v>
      </c>
      <c r="E13400" s="2">
        <v>1</v>
      </c>
      <c r="F13400" s="2">
        <v>1</v>
      </c>
      <c r="G13400" s="2">
        <v>0</v>
      </c>
      <c r="H13400" s="1" t="s">
        <v>0</v>
      </c>
      <c r="I13400" s="2">
        <v>0</v>
      </c>
      <c r="J13400" s="1">
        <v>46076.685185185182</v>
      </c>
    </row>
    <row r="13401" spans="1:10" x14ac:dyDescent="0.2">
      <c r="A13401" s="4" t="s">
        <v>1</v>
      </c>
      <c r="B13401" s="3" t="str">
        <f>HYPERLINK("https://otsuka-europe-crm.veevavault.com/ui/#object/approved_document__v/V5O00000000Q011", "LUP - 10 cuestiones: Inmunosupresión - nefro")</f>
        <v>LUP - 10 cuestiones: Inmunosupresión - nefro</v>
      </c>
      <c r="C13401" s="3" t="str">
        <f>HYPERLINK("https://otsuka-europe-crm.veevavault.com/ui/#object/sent_email__v/VBL00000001F174", "SE-001405794")</f>
        <v>SE-001405794</v>
      </c>
      <c r="D13401" s="1" t="s">
        <v>0</v>
      </c>
      <c r="E13401" s="2">
        <v>0</v>
      </c>
      <c r="F13401" s="2">
        <v>0</v>
      </c>
      <c r="G13401" s="2">
        <v>0</v>
      </c>
      <c r="H13401" s="1" t="s">
        <v>0</v>
      </c>
      <c r="I13401" s="2">
        <v>0</v>
      </c>
      <c r="J13401" s="1">
        <v>46076.685335648152</v>
      </c>
    </row>
    <row r="13402" spans="1:10" x14ac:dyDescent="0.2">
      <c r="A13402" s="4" t="s">
        <v>1</v>
      </c>
      <c r="B13402" s="3" t="str">
        <f>HYPERLINK("https://otsuka-europe-crm.veevavault.com/ui/#object/approved_document__v/V5O00000000Q011", "LUP - 10 cuestiones: Inmunosupresión - nefro")</f>
        <v>LUP - 10 cuestiones: Inmunosupresión - nefro</v>
      </c>
      <c r="C13402" s="3" t="str">
        <f>HYPERLINK("https://otsuka-europe-crm.veevavault.com/ui/#object/sent_email__v/VBL00000001F175", "SE-001405795")</f>
        <v>SE-001405795</v>
      </c>
      <c r="D13402" s="1" t="s">
        <v>0</v>
      </c>
      <c r="E13402" s="2">
        <v>0</v>
      </c>
      <c r="F13402" s="2">
        <v>0</v>
      </c>
      <c r="G13402" s="2">
        <v>0</v>
      </c>
      <c r="H13402" s="1" t="s">
        <v>0</v>
      </c>
      <c r="I13402" s="2">
        <v>0</v>
      </c>
      <c r="J13402" s="1">
        <v>46076.68550925926</v>
      </c>
    </row>
    <row r="13403" spans="1:10" x14ac:dyDescent="0.2">
      <c r="A13403" s="4" t="s">
        <v>1</v>
      </c>
      <c r="B13403" s="3" t="str">
        <f>HYPERLINK("https://otsuka-europe-crm.veevavault.com/ui/#object/approved_document__v/V5O00000000Q011", "LUP - 10 cuestiones: Inmunosupresión - nefro")</f>
        <v>LUP - 10 cuestiones: Inmunosupresión - nefro</v>
      </c>
      <c r="C13403" s="3" t="str">
        <f>HYPERLINK("https://otsuka-europe-crm.veevavault.com/ui/#object/sent_email__v/VBL00000001F176", "SE-001405796")</f>
        <v>SE-001405796</v>
      </c>
      <c r="D13403" s="1">
        <v>46076.739039351851</v>
      </c>
      <c r="E13403" s="2">
        <v>1</v>
      </c>
      <c r="F13403" s="2">
        <v>1</v>
      </c>
      <c r="G13403" s="2">
        <v>0</v>
      </c>
      <c r="H13403" s="1" t="s">
        <v>0</v>
      </c>
      <c r="I13403" s="2">
        <v>0</v>
      </c>
      <c r="J13403" s="1">
        <v>46076.685671296298</v>
      </c>
    </row>
    <row r="13404" spans="1:10" x14ac:dyDescent="0.2">
      <c r="A13404" s="4" t="s">
        <v>1</v>
      </c>
      <c r="B13404" s="3" t="str">
        <f>HYPERLINK("https://otsuka-europe-crm.veevavault.com/ui/#object/approved_document__v/V5O00000000Q011", "LUP - 10 cuestiones: Inmunosupresión - nefro")</f>
        <v>LUP - 10 cuestiones: Inmunosupresión - nefro</v>
      </c>
      <c r="C13404" s="3" t="str">
        <f>HYPERLINK("https://otsuka-europe-crm.veevavault.com/ui/#object/sent_email__v/VBL00000001F177", "SE-001405797")</f>
        <v>SE-001405797</v>
      </c>
      <c r="D13404" s="1" t="s">
        <v>0</v>
      </c>
      <c r="E13404" s="2">
        <v>0</v>
      </c>
      <c r="F13404" s="2">
        <v>0</v>
      </c>
      <c r="G13404" s="2">
        <v>0</v>
      </c>
      <c r="H13404" s="1" t="s">
        <v>0</v>
      </c>
      <c r="I13404" s="2">
        <v>0</v>
      </c>
      <c r="J13404" s="1">
        <v>46076.685833333337</v>
      </c>
    </row>
    <row r="13405" spans="1:10" x14ac:dyDescent="0.2">
      <c r="A13405" s="4" t="s">
        <v>1</v>
      </c>
      <c r="B13405" s="3" t="str">
        <f>HYPERLINK("https://otsuka-europe-crm.veevavault.com/ui/#object/approved_document__v/V5O00000000Q011", "LUP - 10 cuestiones: Inmunosupresión - nefro")</f>
        <v>LUP - 10 cuestiones: Inmunosupresión - nefro</v>
      </c>
      <c r="C13405" s="3" t="str">
        <f>HYPERLINK("https://otsuka-europe-crm.veevavault.com/ui/#object/sent_email__v/VBL00000001F178", "SE-001405798")</f>
        <v>SE-001405798</v>
      </c>
      <c r="D13405" s="1">
        <v>46076.686192129629</v>
      </c>
      <c r="E13405" s="2">
        <v>1</v>
      </c>
      <c r="F13405" s="2">
        <v>2</v>
      </c>
      <c r="G13405" s="2">
        <v>1</v>
      </c>
      <c r="H13405" s="1">
        <v>46076.686180555553</v>
      </c>
      <c r="I13405" s="2">
        <v>8</v>
      </c>
      <c r="J13405" s="1">
        <v>46076.686006944445</v>
      </c>
    </row>
    <row r="13406" spans="1:10" x14ac:dyDescent="0.2">
      <c r="A13406" s="4" t="s">
        <v>1</v>
      </c>
      <c r="B13406" s="3" t="str">
        <f>HYPERLINK("https://otsuka-europe-crm.veevavault.com/ui/#object/approved_document__v/V5O00000000Q011", "LUP - 10 cuestiones: Inmunosupresión - nefro")</f>
        <v>LUP - 10 cuestiones: Inmunosupresión - nefro</v>
      </c>
      <c r="C13406" s="3" t="str">
        <f>HYPERLINK("https://otsuka-europe-crm.veevavault.com/ui/#object/sent_email__v/VBL00000001F179", "SE-001405799")</f>
        <v>SE-001405799</v>
      </c>
      <c r="D13406" s="1" t="s">
        <v>0</v>
      </c>
      <c r="E13406" s="2">
        <v>0</v>
      </c>
      <c r="F13406" s="2">
        <v>0</v>
      </c>
      <c r="G13406" s="2">
        <v>0</v>
      </c>
      <c r="H13406" s="1" t="s">
        <v>0</v>
      </c>
      <c r="I13406" s="2">
        <v>0</v>
      </c>
      <c r="J13406" s="1">
        <v>46076.686168981483</v>
      </c>
    </row>
    <row r="13407" spans="1:10" x14ac:dyDescent="0.2">
      <c r="A13407" s="4" t="s">
        <v>1</v>
      </c>
      <c r="B13407" s="3" t="str">
        <f>HYPERLINK("https://otsuka-europe-crm.veevavault.com/ui/#object/approved_document__v/V5O00000000Q011", "LUP - 10 cuestiones: Inmunosupresión - nefro")</f>
        <v>LUP - 10 cuestiones: Inmunosupresión - nefro</v>
      </c>
      <c r="C13407" s="3" t="str">
        <f>HYPERLINK("https://otsuka-europe-crm.veevavault.com/ui/#object/sent_email__v/VBL00000001F180", "SE-001405800")</f>
        <v>SE-001405800</v>
      </c>
      <c r="D13407" s="1" t="s">
        <v>0</v>
      </c>
      <c r="E13407" s="2">
        <v>0</v>
      </c>
      <c r="F13407" s="2">
        <v>0</v>
      </c>
      <c r="G13407" s="2">
        <v>0</v>
      </c>
      <c r="H13407" s="1" t="s">
        <v>0</v>
      </c>
      <c r="I13407" s="2">
        <v>0</v>
      </c>
      <c r="J13407" s="1">
        <v>46076.686331018522</v>
      </c>
    </row>
    <row r="13408" spans="1:10" x14ac:dyDescent="0.2">
      <c r="A13408" s="4" t="s">
        <v>1</v>
      </c>
      <c r="B13408" s="3" t="str">
        <f>HYPERLINK("https://otsuka-europe-crm.veevavault.com/ui/#object/approved_document__v/V5O00000000Q011", "LUP - 10 cuestiones: Inmunosupresión - nefro")</f>
        <v>LUP - 10 cuestiones: Inmunosupresión - nefro</v>
      </c>
      <c r="C13408" s="3" t="str">
        <f>HYPERLINK("https://otsuka-europe-crm.veevavault.com/ui/#object/sent_email__v/VBL00000001F181", "SE-001405801")</f>
        <v>SE-001405801</v>
      </c>
      <c r="D13408" s="1">
        <v>46076.912662037037</v>
      </c>
      <c r="E13408" s="2">
        <v>1</v>
      </c>
      <c r="F13408" s="2">
        <v>1</v>
      </c>
      <c r="G13408" s="2">
        <v>0</v>
      </c>
      <c r="H13408" s="1" t="s">
        <v>0</v>
      </c>
      <c r="I13408" s="2">
        <v>0</v>
      </c>
      <c r="J13408" s="1">
        <v>46076.686493055553</v>
      </c>
    </row>
    <row r="13409" spans="1:10" x14ac:dyDescent="0.2">
      <c r="A13409" s="4" t="s">
        <v>1</v>
      </c>
      <c r="B13409" s="3" t="str">
        <f>HYPERLINK("https://otsuka-europe-crm.veevavault.com/ui/#object/approved_document__v/V5O00000000Q011", "LUP - 10 cuestiones: Inmunosupresión - nefro")</f>
        <v>LUP - 10 cuestiones: Inmunosupresión - nefro</v>
      </c>
      <c r="C13409" s="3" t="str">
        <f>HYPERLINK("https://otsuka-europe-crm.veevavault.com/ui/#object/sent_email__v/VBL00000001F182", "SE-001405802")</f>
        <v>SE-001405802</v>
      </c>
      <c r="D13409" s="1">
        <v>46076.68681712963</v>
      </c>
      <c r="E13409" s="2">
        <v>1</v>
      </c>
      <c r="F13409" s="2">
        <v>2</v>
      </c>
      <c r="G13409" s="2">
        <v>1</v>
      </c>
      <c r="H13409" s="1">
        <v>46076.686805555553</v>
      </c>
      <c r="I13409" s="2">
        <v>8</v>
      </c>
      <c r="J13409" s="1">
        <v>46076.686666666668</v>
      </c>
    </row>
    <row r="13410" spans="1:10" x14ac:dyDescent="0.2">
      <c r="A13410" s="4" t="s">
        <v>1</v>
      </c>
      <c r="B13410" s="3" t="str">
        <f>HYPERLINK("https://otsuka-europe-crm.veevavault.com/ui/#object/approved_document__v/V5O00000000Q011", "LUP - 10 cuestiones: Inmunosupresión - nefro")</f>
        <v>LUP - 10 cuestiones: Inmunosupresión - nefro</v>
      </c>
      <c r="C13410" s="3" t="str">
        <f>HYPERLINK("https://otsuka-europe-crm.veevavault.com/ui/#object/sent_email__v/VBL00000001F183", "SE-001405803")</f>
        <v>SE-001405803</v>
      </c>
      <c r="D13410" s="1">
        <v>46077.953946759262</v>
      </c>
      <c r="E13410" s="2">
        <v>1</v>
      </c>
      <c r="F13410" s="2">
        <v>3</v>
      </c>
      <c r="G13410" s="2">
        <v>0</v>
      </c>
      <c r="H13410" s="1" t="s">
        <v>0</v>
      </c>
      <c r="I13410" s="2">
        <v>0</v>
      </c>
      <c r="J13410" s="1">
        <v>46076.686840277776</v>
      </c>
    </row>
    <row r="13411" spans="1:10" x14ac:dyDescent="0.2">
      <c r="A13411" s="4" t="s">
        <v>1</v>
      </c>
      <c r="B13411" s="3" t="str">
        <f>HYPERLINK("https://otsuka-europe-crm.veevavault.com/ui/#object/approved_document__v/V5O00000000Q011", "LUP - 10 cuestiones: Inmunosupresión - nefro")</f>
        <v>LUP - 10 cuestiones: Inmunosupresión - nefro</v>
      </c>
      <c r="C13411" s="3" t="str">
        <f>HYPERLINK("https://otsuka-europe-crm.veevavault.com/ui/#object/sent_email__v/VBL00000001F184", "SE-001405804")</f>
        <v>SE-001405804</v>
      </c>
      <c r="D13411" s="1" t="s">
        <v>0</v>
      </c>
      <c r="E13411" s="2">
        <v>0</v>
      </c>
      <c r="F13411" s="2">
        <v>0</v>
      </c>
      <c r="G13411" s="2">
        <v>0</v>
      </c>
      <c r="H13411" s="1" t="s">
        <v>0</v>
      </c>
      <c r="I13411" s="2">
        <v>0</v>
      </c>
      <c r="J13411" s="1">
        <v>46076.686990740738</v>
      </c>
    </row>
    <row r="13412" spans="1:10" x14ac:dyDescent="0.2">
      <c r="A13412" s="4" t="s">
        <v>1</v>
      </c>
      <c r="B13412" s="3" t="str">
        <f>HYPERLINK("https://otsuka-europe-crm.veevavault.com/ui/#object/approved_document__v/V5O00000000Q011", "LUP - 10 cuestiones: Inmunosupresión - nefro")</f>
        <v>LUP - 10 cuestiones: Inmunosupresión - nefro</v>
      </c>
      <c r="C13412" s="3" t="str">
        <f>HYPERLINK("https://otsuka-europe-crm.veevavault.com/ui/#object/sent_email__v/VBL00000001F185", "SE-001405805")</f>
        <v>SE-001405805</v>
      </c>
      <c r="D13412" s="1" t="s">
        <v>0</v>
      </c>
      <c r="E13412" s="2">
        <v>0</v>
      </c>
      <c r="F13412" s="2">
        <v>0</v>
      </c>
      <c r="G13412" s="2">
        <v>0</v>
      </c>
      <c r="H13412" s="1" t="s">
        <v>0</v>
      </c>
      <c r="I13412" s="2">
        <v>0</v>
      </c>
      <c r="J13412" s="1">
        <v>46076.687152777777</v>
      </c>
    </row>
    <row r="13413" spans="1:10" x14ac:dyDescent="0.2">
      <c r="A13413" s="4" t="s">
        <v>1</v>
      </c>
      <c r="B13413" s="3" t="str">
        <f>HYPERLINK("https://otsuka-europe-crm.veevavault.com/ui/#object/approved_document__v/V5O00000000Q011", "LUP - 10 cuestiones: Inmunosupresión - nefro")</f>
        <v>LUP - 10 cuestiones: Inmunosupresión - nefro</v>
      </c>
      <c r="C13413" s="3" t="str">
        <f>HYPERLINK("https://otsuka-europe-crm.veevavault.com/ui/#object/sent_email__v/VBL00000001F186", "SE-001405806")</f>
        <v>SE-001405806</v>
      </c>
      <c r="D13413" s="1">
        <v>46076.694479166668</v>
      </c>
      <c r="E13413" s="2">
        <v>1</v>
      </c>
      <c r="F13413" s="2">
        <v>2</v>
      </c>
      <c r="G13413" s="2">
        <v>1</v>
      </c>
      <c r="H13413" s="1">
        <v>46076.694456018522</v>
      </c>
      <c r="I13413" s="2">
        <v>8</v>
      </c>
      <c r="J13413" s="1">
        <v>46076.687361111108</v>
      </c>
    </row>
    <row r="13414" spans="1:10" x14ac:dyDescent="0.2">
      <c r="A13414" s="4" t="s">
        <v>1</v>
      </c>
      <c r="B13414" s="3" t="str">
        <f>HYPERLINK("https://otsuka-europe-crm.veevavault.com/ui/#object/approved_document__v/V5O00000000Q011", "LUP - 10 cuestiones: Inmunosupresión - nefro")</f>
        <v>LUP - 10 cuestiones: Inmunosupresión - nefro</v>
      </c>
      <c r="C13414" s="3" t="str">
        <f>HYPERLINK("https://otsuka-europe-crm.veevavault.com/ui/#object/sent_email__v/VBL00000001F187", "SE-001405807")</f>
        <v>SE-001405807</v>
      </c>
      <c r="D13414" s="1" t="s">
        <v>0</v>
      </c>
      <c r="E13414" s="2">
        <v>0</v>
      </c>
      <c r="F13414" s="2">
        <v>0</v>
      </c>
      <c r="G13414" s="2">
        <v>0</v>
      </c>
      <c r="H13414" s="1" t="s">
        <v>0</v>
      </c>
      <c r="I13414" s="2">
        <v>0</v>
      </c>
      <c r="J13414" s="1">
        <v>46076.687476851854</v>
      </c>
    </row>
    <row r="13415" spans="1:10" x14ac:dyDescent="0.2">
      <c r="A13415" s="4" t="s">
        <v>1</v>
      </c>
      <c r="B13415" s="3" t="str">
        <f>HYPERLINK("https://otsuka-europe-crm.veevavault.com/ui/#object/approved_document__v/V5O00000000Q011", "LUP - 10 cuestiones: Inmunosupresión - nefro")</f>
        <v>LUP - 10 cuestiones: Inmunosupresión - nefro</v>
      </c>
      <c r="C13415" s="3" t="str">
        <f>HYPERLINK("https://otsuka-europe-crm.veevavault.com/ui/#object/sent_email__v/VBL00000001F188", "SE-001405808")</f>
        <v>SE-001405808</v>
      </c>
      <c r="D13415" s="1">
        <v>46077.263518518521</v>
      </c>
      <c r="E13415" s="2">
        <v>1</v>
      </c>
      <c r="F13415" s="2">
        <v>1</v>
      </c>
      <c r="G13415" s="2">
        <v>0</v>
      </c>
      <c r="H13415" s="1" t="s">
        <v>0</v>
      </c>
      <c r="I13415" s="2">
        <v>0</v>
      </c>
      <c r="J13415" s="1">
        <v>46076.687662037039</v>
      </c>
    </row>
    <row r="13416" spans="1:10" x14ac:dyDescent="0.2">
      <c r="A13416" s="4" t="s">
        <v>1</v>
      </c>
      <c r="B13416" s="3" t="str">
        <f>HYPERLINK("https://otsuka-europe-crm.veevavault.com/ui/#object/approved_document__v/V5O00000000Q011", "LUP - 10 cuestiones: Inmunosupresión - nefro")</f>
        <v>LUP - 10 cuestiones: Inmunosupresión - nefro</v>
      </c>
      <c r="C13416" s="3" t="str">
        <f>HYPERLINK("https://otsuka-europe-crm.veevavault.com/ui/#object/sent_email__v/VBL00000001F189", "SE-001405809")</f>
        <v>SE-001405809</v>
      </c>
      <c r="D13416" s="1" t="s">
        <v>0</v>
      </c>
      <c r="E13416" s="2">
        <v>0</v>
      </c>
      <c r="F13416" s="2">
        <v>0</v>
      </c>
      <c r="G13416" s="2">
        <v>0</v>
      </c>
      <c r="H13416" s="1" t="s">
        <v>0</v>
      </c>
      <c r="I13416" s="2">
        <v>0</v>
      </c>
      <c r="J13416" s="1">
        <v>46076.6878125</v>
      </c>
    </row>
    <row r="13417" spans="1:10" x14ac:dyDescent="0.2">
      <c r="A13417" s="4" t="s">
        <v>1</v>
      </c>
      <c r="B13417" s="3" t="str">
        <f>HYPERLINK("https://otsuka-europe-crm.veevavault.com/ui/#object/approved_document__v/V5O00000000Q011", "LUP - 10 cuestiones: Inmunosupresión - nefro")</f>
        <v>LUP - 10 cuestiones: Inmunosupresión - nefro</v>
      </c>
      <c r="C13417" s="3" t="str">
        <f>HYPERLINK("https://otsuka-europe-crm.veevavault.com/ui/#object/sent_email__v/VBL00000001F190", "SE-001405810")</f>
        <v>SE-001405810</v>
      </c>
      <c r="D13417" s="1" t="s">
        <v>0</v>
      </c>
      <c r="E13417" s="2">
        <v>0</v>
      </c>
      <c r="F13417" s="2">
        <v>0</v>
      </c>
      <c r="G13417" s="2">
        <v>0</v>
      </c>
      <c r="H13417" s="1" t="s">
        <v>0</v>
      </c>
      <c r="I13417" s="2">
        <v>0</v>
      </c>
      <c r="J13417" s="1">
        <v>46076.687974537039</v>
      </c>
    </row>
    <row r="13418" spans="1:10" x14ac:dyDescent="0.2">
      <c r="A13418" s="4" t="s">
        <v>1</v>
      </c>
      <c r="B13418" s="3" t="str">
        <f>HYPERLINK("https://otsuka-europe-crm.veevavault.com/ui/#object/approved_document__v/V5O00000000Q011", "LUP - 10 cuestiones: Inmunosupresión - nefro")</f>
        <v>LUP - 10 cuestiones: Inmunosupresión - nefro</v>
      </c>
      <c r="C13418" s="3" t="str">
        <f>HYPERLINK("https://otsuka-europe-crm.veevavault.com/ui/#object/sent_email__v/VBL00000001F191", "SE-001405811")</f>
        <v>SE-001405811</v>
      </c>
      <c r="D13418" s="1">
        <v>46076.774259259262</v>
      </c>
      <c r="E13418" s="2">
        <v>1</v>
      </c>
      <c r="F13418" s="2">
        <v>1</v>
      </c>
      <c r="G13418" s="2">
        <v>0</v>
      </c>
      <c r="H13418" s="1" t="s">
        <v>0</v>
      </c>
      <c r="I13418" s="2">
        <v>0</v>
      </c>
      <c r="J13418" s="1">
        <v>46076.688148148147</v>
      </c>
    </row>
    <row r="13419" spans="1:10" x14ac:dyDescent="0.2">
      <c r="A13419" s="4" t="s">
        <v>1</v>
      </c>
      <c r="B13419" s="3" t="str">
        <f>HYPERLINK("https://otsuka-europe-crm.veevavault.com/ui/#object/approved_document__v/V5O00000000Q011", "LUP - 10 cuestiones: Inmunosupresión - nefro")</f>
        <v>LUP - 10 cuestiones: Inmunosupresión - nefro</v>
      </c>
      <c r="C13419" s="3" t="str">
        <f>HYPERLINK("https://otsuka-europe-crm.veevavault.com/ui/#object/sent_email__v/VBL00000001F192", "SE-001405812")</f>
        <v>SE-001405812</v>
      </c>
      <c r="D13419" s="1" t="s">
        <v>0</v>
      </c>
      <c r="E13419" s="2">
        <v>0</v>
      </c>
      <c r="F13419" s="2">
        <v>0</v>
      </c>
      <c r="G13419" s="2">
        <v>0</v>
      </c>
      <c r="H13419" s="1" t="s">
        <v>0</v>
      </c>
      <c r="I13419" s="2">
        <v>0</v>
      </c>
      <c r="J13419" s="1">
        <v>46076.688321759262</v>
      </c>
    </row>
    <row r="13420" spans="1:10" x14ac:dyDescent="0.2">
      <c r="A13420" s="4" t="s">
        <v>1</v>
      </c>
      <c r="B13420" s="3" t="str">
        <f>HYPERLINK("https://otsuka-europe-crm.veevavault.com/ui/#object/approved_document__v/V5O00000000Q011", "LUP - 10 cuestiones: Inmunosupresión - nefro")</f>
        <v>LUP - 10 cuestiones: Inmunosupresión - nefro</v>
      </c>
      <c r="C13420" s="3" t="str">
        <f>HYPERLINK("https://otsuka-europe-crm.veevavault.com/ui/#object/sent_email__v/VBL00000001F193", "SE-001405813")</f>
        <v>SE-001405813</v>
      </c>
      <c r="D13420" s="1" t="s">
        <v>0</v>
      </c>
      <c r="E13420" s="2">
        <v>0</v>
      </c>
      <c r="F13420" s="2">
        <v>0</v>
      </c>
      <c r="G13420" s="2">
        <v>0</v>
      </c>
      <c r="H13420" s="1" t="s">
        <v>0</v>
      </c>
      <c r="I13420" s="2">
        <v>0</v>
      </c>
      <c r="J13420" s="1">
        <v>46076.68849537037</v>
      </c>
    </row>
    <row r="13421" spans="1:10" x14ac:dyDescent="0.2">
      <c r="A13421" s="4" t="s">
        <v>1</v>
      </c>
      <c r="B13421" s="3" t="str">
        <f>HYPERLINK("https://otsuka-europe-crm.veevavault.com/ui/#object/approved_document__v/V5O00000000Q011", "LUP - 10 cuestiones: Inmunosupresión - nefro")</f>
        <v>LUP - 10 cuestiones: Inmunosupresión - nefro</v>
      </c>
      <c r="C13421" s="3" t="str">
        <f>HYPERLINK("https://otsuka-europe-crm.veevavault.com/ui/#object/sent_email__v/VBL00000001F194", "SE-001405814")</f>
        <v>SE-001405814</v>
      </c>
      <c r="D13421" s="1" t="s">
        <v>0</v>
      </c>
      <c r="E13421" s="2">
        <v>0</v>
      </c>
      <c r="F13421" s="2">
        <v>0</v>
      </c>
      <c r="G13421" s="2">
        <v>0</v>
      </c>
      <c r="H13421" s="1" t="s">
        <v>0</v>
      </c>
      <c r="I13421" s="2">
        <v>0</v>
      </c>
      <c r="J13421" s="1">
        <v>46076.688645833332</v>
      </c>
    </row>
    <row r="13422" spans="1:10" x14ac:dyDescent="0.2">
      <c r="A13422" s="4" t="s">
        <v>1</v>
      </c>
      <c r="B13422" s="3" t="str">
        <f>HYPERLINK("https://otsuka-europe-crm.veevavault.com/ui/#object/approved_document__v/V5O00000000Q011", "LUP - 10 cuestiones: Inmunosupresión - nefro")</f>
        <v>LUP - 10 cuestiones: Inmunosupresión - nefro</v>
      </c>
      <c r="C13422" s="3" t="str">
        <f>HYPERLINK("https://otsuka-europe-crm.veevavault.com/ui/#object/sent_email__v/VBL00000001F195", "SE-001405815")</f>
        <v>SE-001405815</v>
      </c>
      <c r="D13422" s="1">
        <v>46076.741388888891</v>
      </c>
      <c r="E13422" s="2">
        <v>1</v>
      </c>
      <c r="F13422" s="2">
        <v>1</v>
      </c>
      <c r="G13422" s="2">
        <v>0</v>
      </c>
      <c r="H13422" s="1" t="s">
        <v>0</v>
      </c>
      <c r="I13422" s="2">
        <v>0</v>
      </c>
      <c r="J13422" s="1">
        <v>46076.688819444447</v>
      </c>
    </row>
    <row r="13423" spans="1:10" x14ac:dyDescent="0.2">
      <c r="A13423" s="4" t="s">
        <v>1</v>
      </c>
      <c r="B13423" s="3" t="str">
        <f>HYPERLINK("https://otsuka-europe-crm.veevavault.com/ui/#object/approved_document__v/V5O00000000Q011", "LUP - 10 cuestiones: Inmunosupresión - nefro")</f>
        <v>LUP - 10 cuestiones: Inmunosupresión - nefro</v>
      </c>
      <c r="C13423" s="3" t="str">
        <f>HYPERLINK("https://otsuka-europe-crm.veevavault.com/ui/#object/sent_email__v/VBL00000001F196", "SE-001405816")</f>
        <v>SE-001405816</v>
      </c>
      <c r="D13423" s="1" t="s">
        <v>0</v>
      </c>
      <c r="E13423" s="2">
        <v>0</v>
      </c>
      <c r="F13423" s="2">
        <v>0</v>
      </c>
      <c r="G13423" s="2">
        <v>0</v>
      </c>
      <c r="H13423" s="1" t="s">
        <v>0</v>
      </c>
      <c r="I13423" s="2">
        <v>0</v>
      </c>
      <c r="J13423" s="1">
        <v>46076.688993055555</v>
      </c>
    </row>
    <row r="13424" spans="1:10" x14ac:dyDescent="0.2">
      <c r="A13424" s="4" t="s">
        <v>1</v>
      </c>
      <c r="B13424" s="3" t="str">
        <f>HYPERLINK("https://otsuka-europe-crm.veevavault.com/ui/#object/approved_document__v/V5O00000000Q011", "LUP - 10 cuestiones: Inmunosupresión - nefro")</f>
        <v>LUP - 10 cuestiones: Inmunosupresión - nefro</v>
      </c>
      <c r="C13424" s="3" t="str">
        <f>HYPERLINK("https://otsuka-europe-crm.veevavault.com/ui/#object/sent_email__v/VBL00000001F197", "SE-001405817")</f>
        <v>SE-001405817</v>
      </c>
      <c r="D13424" s="1">
        <v>46079.213819444441</v>
      </c>
      <c r="E13424" s="2">
        <v>1</v>
      </c>
      <c r="F13424" s="2">
        <v>1</v>
      </c>
      <c r="G13424" s="2">
        <v>0</v>
      </c>
      <c r="H13424" s="1" t="s">
        <v>0</v>
      </c>
      <c r="I13424" s="2">
        <v>0</v>
      </c>
      <c r="J13424" s="1">
        <v>46076.689143518517</v>
      </c>
    </row>
    <row r="13425" spans="1:10" x14ac:dyDescent="0.2">
      <c r="A13425" s="4" t="s">
        <v>1</v>
      </c>
      <c r="B13425" s="3" t="str">
        <f>HYPERLINK("https://otsuka-europe-crm.veevavault.com/ui/#object/approved_document__v/V5O00000000Q011", "LUP - 10 cuestiones: Inmunosupresión - nefro")</f>
        <v>LUP - 10 cuestiones: Inmunosupresión - nefro</v>
      </c>
      <c r="C13425" s="3" t="str">
        <f>HYPERLINK("https://otsuka-europe-crm.veevavault.com/ui/#object/sent_email__v/VBL00000001F198", "SE-001405818")</f>
        <v>SE-001405818</v>
      </c>
      <c r="D13425" s="1" t="s">
        <v>0</v>
      </c>
      <c r="E13425" s="2">
        <v>0</v>
      </c>
      <c r="F13425" s="2">
        <v>0</v>
      </c>
      <c r="G13425" s="2">
        <v>0</v>
      </c>
      <c r="H13425" s="1" t="s">
        <v>0</v>
      </c>
      <c r="I13425" s="2">
        <v>0</v>
      </c>
      <c r="J13425" s="1">
        <v>46076.689317129632</v>
      </c>
    </row>
    <row r="13426" spans="1:10" x14ac:dyDescent="0.2">
      <c r="A13426" s="4" t="s">
        <v>1</v>
      </c>
      <c r="B13426" s="3" t="str">
        <f>HYPERLINK("https://otsuka-europe-crm.veevavault.com/ui/#object/approved_document__v/V5O00000000Q011", "LUP - 10 cuestiones: Inmunosupresión - nefro")</f>
        <v>LUP - 10 cuestiones: Inmunosupresión - nefro</v>
      </c>
      <c r="C13426" s="3" t="str">
        <f>HYPERLINK("https://otsuka-europe-crm.veevavault.com/ui/#object/sent_email__v/VBL00000001F199", "SE-001405819")</f>
        <v>SE-001405819</v>
      </c>
      <c r="D13426" s="1" t="s">
        <v>0</v>
      </c>
      <c r="E13426" s="2">
        <v>0</v>
      </c>
      <c r="F13426" s="2">
        <v>0</v>
      </c>
      <c r="G13426" s="2">
        <v>0</v>
      </c>
      <c r="H13426" s="1" t="s">
        <v>0</v>
      </c>
      <c r="I13426" s="2">
        <v>0</v>
      </c>
      <c r="J13426" s="1">
        <v>46076.68949074074</v>
      </c>
    </row>
    <row r="13427" spans="1:10" x14ac:dyDescent="0.2">
      <c r="A13427" s="4" t="s">
        <v>1</v>
      </c>
      <c r="B13427" s="3" t="str">
        <f>HYPERLINK("https://otsuka-europe-crm.veevavault.com/ui/#object/approved_document__v/V5O00000000Q011", "LUP - 10 cuestiones: Inmunosupresión - nefro")</f>
        <v>LUP - 10 cuestiones: Inmunosupresión - nefro</v>
      </c>
      <c r="C13427" s="3" t="str">
        <f>HYPERLINK("https://otsuka-europe-crm.veevavault.com/ui/#object/sent_email__v/VBL00000001F200", "SE-001405820")</f>
        <v>SE-001405820</v>
      </c>
      <c r="D13427" s="1">
        <v>46076.689814814818</v>
      </c>
      <c r="E13427" s="2">
        <v>1</v>
      </c>
      <c r="F13427" s="2">
        <v>2</v>
      </c>
      <c r="G13427" s="2">
        <v>1</v>
      </c>
      <c r="H13427" s="1">
        <v>46076.689803240741</v>
      </c>
      <c r="I13427" s="2">
        <v>8</v>
      </c>
      <c r="J13427" s="1">
        <v>46076.689641203702</v>
      </c>
    </row>
    <row r="13428" spans="1:10" x14ac:dyDescent="0.2">
      <c r="A13428" s="4" t="s">
        <v>1</v>
      </c>
      <c r="B13428" s="3" t="str">
        <f>HYPERLINK("https://otsuka-europe-crm.veevavault.com/ui/#object/approved_document__v/V5O00000000Q011", "LUP - 10 cuestiones: Inmunosupresión - nefro")</f>
        <v>LUP - 10 cuestiones: Inmunosupresión - nefro</v>
      </c>
      <c r="C13428" s="3" t="str">
        <f>HYPERLINK("https://otsuka-europe-crm.veevavault.com/ui/#object/sent_email__v/VBL00000001F201", "SE-001405821")</f>
        <v>SE-001405821</v>
      </c>
      <c r="D13428" s="1">
        <v>46076.936550925922</v>
      </c>
      <c r="E13428" s="2">
        <v>1</v>
      </c>
      <c r="F13428" s="2">
        <v>1</v>
      </c>
      <c r="G13428" s="2">
        <v>0</v>
      </c>
      <c r="H13428" s="1" t="s">
        <v>0</v>
      </c>
      <c r="I13428" s="2">
        <v>0</v>
      </c>
      <c r="J13428" s="1">
        <v>46076.689814814818</v>
      </c>
    </row>
    <row r="13429" spans="1:10" x14ac:dyDescent="0.2">
      <c r="A13429" s="4" t="s">
        <v>1</v>
      </c>
      <c r="B13429" s="3" t="str">
        <f>HYPERLINK("https://otsuka-europe-crm.veevavault.com/ui/#object/approved_document__v/V5O00000000Q011", "LUP - 10 cuestiones: Inmunosupresión - nefro")</f>
        <v>LUP - 10 cuestiones: Inmunosupresión - nefro</v>
      </c>
      <c r="C13429" s="3" t="str">
        <f>HYPERLINK("https://otsuka-europe-crm.veevavault.com/ui/#object/sent_email__v/VBL00000001F202", "SE-001405822")</f>
        <v>SE-001405822</v>
      </c>
      <c r="D13429" s="1">
        <v>46076.709699074076</v>
      </c>
      <c r="E13429" s="2">
        <v>1</v>
      </c>
      <c r="F13429" s="2">
        <v>1</v>
      </c>
      <c r="G13429" s="2">
        <v>1</v>
      </c>
      <c r="H13429" s="1">
        <v>46076.709699074076</v>
      </c>
      <c r="I13429" s="2">
        <v>1</v>
      </c>
      <c r="J13429" s="1">
        <v>46076.689976851849</v>
      </c>
    </row>
    <row r="13430" spans="1:10" x14ac:dyDescent="0.2">
      <c r="A13430" s="4" t="s">
        <v>1</v>
      </c>
      <c r="B13430" s="3" t="str">
        <f>HYPERLINK("https://otsuka-europe-crm.veevavault.com/ui/#object/approved_document__v/V5O00000000Q011", "LUP - 10 cuestiones: Inmunosupresión - nefro")</f>
        <v>LUP - 10 cuestiones: Inmunosupresión - nefro</v>
      </c>
      <c r="C13430" s="3" t="str">
        <f>HYPERLINK("https://otsuka-europe-crm.veevavault.com/ui/#object/sent_email__v/VBL00000001F203", "SE-001405823")</f>
        <v>SE-001405823</v>
      </c>
      <c r="D13430" s="1" t="s">
        <v>0</v>
      </c>
      <c r="E13430" s="2">
        <v>0</v>
      </c>
      <c r="F13430" s="2">
        <v>0</v>
      </c>
      <c r="G13430" s="2">
        <v>0</v>
      </c>
      <c r="H13430" s="1" t="s">
        <v>0</v>
      </c>
      <c r="I13430" s="2">
        <v>0</v>
      </c>
      <c r="J13430" s="1">
        <v>46076.690150462964</v>
      </c>
    </row>
    <row r="13431" spans="1:10" x14ac:dyDescent="0.2">
      <c r="A13431" s="4" t="s">
        <v>1</v>
      </c>
      <c r="B13431" s="3" t="str">
        <f>HYPERLINK("https://otsuka-europe-crm.veevavault.com/ui/#object/approved_document__v/V5O00000000Q011", "LUP - 10 cuestiones: Inmunosupresión - nefro")</f>
        <v>LUP - 10 cuestiones: Inmunosupresión - nefro</v>
      </c>
      <c r="C13431" s="3" t="str">
        <f>HYPERLINK("https://otsuka-europe-crm.veevavault.com/ui/#object/sent_email__v/VBL00000001F204", "SE-001405824")</f>
        <v>SE-001405824</v>
      </c>
      <c r="D13431" s="1" t="s">
        <v>0</v>
      </c>
      <c r="E13431" s="2">
        <v>0</v>
      </c>
      <c r="F13431" s="2">
        <v>0</v>
      </c>
      <c r="G13431" s="2">
        <v>0</v>
      </c>
      <c r="H13431" s="1" t="s">
        <v>0</v>
      </c>
      <c r="I13431" s="2">
        <v>0</v>
      </c>
      <c r="J13431" s="1">
        <v>46076.690324074072</v>
      </c>
    </row>
    <row r="13432" spans="1:10" x14ac:dyDescent="0.2">
      <c r="A13432" s="4" t="s">
        <v>1</v>
      </c>
      <c r="B13432" s="3" t="str">
        <f>HYPERLINK("https://otsuka-europe-crm.veevavault.com/ui/#object/approved_document__v/V5O00000000Q011", "LUP - 10 cuestiones: Inmunosupresión - nefro")</f>
        <v>LUP - 10 cuestiones: Inmunosupresión - nefro</v>
      </c>
      <c r="C13432" s="3" t="str">
        <f>HYPERLINK("https://otsuka-europe-crm.veevavault.com/ui/#object/sent_email__v/VBL00000001F205", "SE-001405825")</f>
        <v>SE-001405825</v>
      </c>
      <c r="D13432" s="1">
        <v>46079.280960648146</v>
      </c>
      <c r="E13432" s="2">
        <v>1</v>
      </c>
      <c r="F13432" s="2">
        <v>12</v>
      </c>
      <c r="G13432" s="2">
        <v>0</v>
      </c>
      <c r="H13432" s="1" t="s">
        <v>0</v>
      </c>
      <c r="I13432" s="2">
        <v>0</v>
      </c>
      <c r="J13432" s="1">
        <v>46076.690486111111</v>
      </c>
    </row>
    <row r="13433" spans="1:10" x14ac:dyDescent="0.2">
      <c r="A13433" s="4" t="s">
        <v>1</v>
      </c>
      <c r="B13433" s="3" t="str">
        <f>HYPERLINK("https://otsuka-europe-crm.veevavault.com/ui/#object/approved_document__v/V5O00000000Q011", "LUP - 10 cuestiones: Inmunosupresión - nefro")</f>
        <v>LUP - 10 cuestiones: Inmunosupresión - nefro</v>
      </c>
      <c r="C13433" s="3" t="str">
        <f>HYPERLINK("https://otsuka-europe-crm.veevavault.com/ui/#object/sent_email__v/VBL00000001F206", "SE-001405826")</f>
        <v>SE-001405826</v>
      </c>
      <c r="D13433" s="1" t="s">
        <v>0</v>
      </c>
      <c r="E13433" s="2">
        <v>0</v>
      </c>
      <c r="F13433" s="2">
        <v>0</v>
      </c>
      <c r="G13433" s="2">
        <v>0</v>
      </c>
      <c r="H13433" s="1" t="s">
        <v>0</v>
      </c>
      <c r="I13433" s="2">
        <v>0</v>
      </c>
      <c r="J13433" s="1">
        <v>46076.690752314818</v>
      </c>
    </row>
    <row r="13434" spans="1:10" x14ac:dyDescent="0.2">
      <c r="A13434" s="4" t="s">
        <v>1</v>
      </c>
      <c r="B13434" s="3" t="str">
        <f>HYPERLINK("https://otsuka-europe-crm.veevavault.com/ui/#object/approved_document__v/V5O00000000Q011", "LUP - 10 cuestiones: Inmunosupresión - nefro")</f>
        <v>LUP - 10 cuestiones: Inmunosupresión - nefro</v>
      </c>
      <c r="C13434" s="3" t="str">
        <f>HYPERLINK("https://otsuka-europe-crm.veevavault.com/ui/#object/sent_email__v/VBL00000001F207", "SE-001405827")</f>
        <v>SE-001405827</v>
      </c>
      <c r="D13434" s="1">
        <v>46078.709733796299</v>
      </c>
      <c r="E13434" s="2">
        <v>1</v>
      </c>
      <c r="F13434" s="2">
        <v>1</v>
      </c>
      <c r="G13434" s="2">
        <v>0</v>
      </c>
      <c r="H13434" s="1" t="s">
        <v>0</v>
      </c>
      <c r="I13434" s="2">
        <v>0</v>
      </c>
      <c r="J13434" s="1">
        <v>46076.690995370373</v>
      </c>
    </row>
    <row r="13435" spans="1:10" x14ac:dyDescent="0.2">
      <c r="A13435" s="4" t="s">
        <v>1</v>
      </c>
      <c r="B13435" s="3" t="str">
        <f>HYPERLINK("https://otsuka-europe-crm.veevavault.com/ui/#object/approved_document__v/V5O00000000Q011", "LUP - 10 cuestiones: Inmunosupresión - nefro")</f>
        <v>LUP - 10 cuestiones: Inmunosupresión - nefro</v>
      </c>
      <c r="C13435" s="3" t="str">
        <f>HYPERLINK("https://otsuka-europe-crm.veevavault.com/ui/#object/sent_email__v/VBL00000001F208", "SE-001405828")</f>
        <v>SE-001405828</v>
      </c>
      <c r="D13435" s="1">
        <v>46076.718472222223</v>
      </c>
      <c r="E13435" s="2">
        <v>1</v>
      </c>
      <c r="F13435" s="2">
        <v>1</v>
      </c>
      <c r="G13435" s="2">
        <v>0</v>
      </c>
      <c r="H13435" s="1" t="s">
        <v>0</v>
      </c>
      <c r="I13435" s="2">
        <v>0</v>
      </c>
      <c r="J13435" s="1">
        <v>46076.691145833334</v>
      </c>
    </row>
    <row r="13436" spans="1:10" x14ac:dyDescent="0.2">
      <c r="A13436" s="4" t="s">
        <v>1</v>
      </c>
      <c r="B13436" s="3" t="str">
        <f>HYPERLINK("https://otsuka-europe-crm.veevavault.com/ui/#object/approved_document__v/V5O00000000Q011", "LUP - 10 cuestiones: Inmunosupresión - nefro")</f>
        <v>LUP - 10 cuestiones: Inmunosupresión - nefro</v>
      </c>
      <c r="C13436" s="3" t="str">
        <f>HYPERLINK("https://otsuka-europe-crm.veevavault.com/ui/#object/sent_email__v/VBL00000001F209", "SE-001405829")</f>
        <v>SE-001405829</v>
      </c>
      <c r="D13436" s="1">
        <v>46077.607546296298</v>
      </c>
      <c r="E13436" s="2">
        <v>1</v>
      </c>
      <c r="F13436" s="2">
        <v>2</v>
      </c>
      <c r="G13436" s="2">
        <v>0</v>
      </c>
      <c r="H13436" s="1" t="s">
        <v>0</v>
      </c>
      <c r="I13436" s="2">
        <v>0</v>
      </c>
      <c r="J13436" s="1">
        <v>46076.691307870373</v>
      </c>
    </row>
    <row r="13437" spans="1:10" x14ac:dyDescent="0.2">
      <c r="A13437" s="4" t="s">
        <v>1</v>
      </c>
      <c r="B13437" s="3" t="str">
        <f>HYPERLINK("https://otsuka-europe-crm.veevavault.com/ui/#object/approved_document__v/V5O00000000Q011", "LUP - 10 cuestiones: Inmunosupresión - nefro")</f>
        <v>LUP - 10 cuestiones: Inmunosupresión - nefro</v>
      </c>
      <c r="C13437" s="3" t="str">
        <f>HYPERLINK("https://otsuka-europe-crm.veevavault.com/ui/#object/sent_email__v/VBL00000001F210", "SE-001405830")</f>
        <v>SE-001405830</v>
      </c>
      <c r="D13437" s="1">
        <v>46076.691678240742</v>
      </c>
      <c r="E13437" s="2">
        <v>1</v>
      </c>
      <c r="F13437" s="2">
        <v>2</v>
      </c>
      <c r="G13437" s="2">
        <v>1</v>
      </c>
      <c r="H13437" s="1">
        <v>46076.691655092596</v>
      </c>
      <c r="I13437" s="2">
        <v>8</v>
      </c>
      <c r="J13437" s="1">
        <v>46076.691481481481</v>
      </c>
    </row>
    <row r="13438" spans="1:10" x14ac:dyDescent="0.2">
      <c r="A13438" s="4" t="s">
        <v>1</v>
      </c>
      <c r="B13438" s="3" t="str">
        <f>HYPERLINK("https://otsuka-europe-crm.veevavault.com/ui/#object/approved_document__v/V5O00000000Q011", "LUP - 10 cuestiones: Inmunosupresión - nefro")</f>
        <v>LUP - 10 cuestiones: Inmunosupresión - nefro</v>
      </c>
      <c r="C13438" s="3" t="str">
        <f>HYPERLINK("https://otsuka-europe-crm.veevavault.com/ui/#object/sent_email__v/VBL00000001F211", "SE-001405831")</f>
        <v>SE-001405831</v>
      </c>
      <c r="D13438" s="1">
        <v>46077.619016203702</v>
      </c>
      <c r="E13438" s="2">
        <v>1</v>
      </c>
      <c r="F13438" s="2">
        <v>3</v>
      </c>
      <c r="G13438" s="2">
        <v>0</v>
      </c>
      <c r="H13438" s="1" t="s">
        <v>0</v>
      </c>
      <c r="I13438" s="2">
        <v>0</v>
      </c>
      <c r="J13438" s="1">
        <v>46076.691643518519</v>
      </c>
    </row>
    <row r="13439" spans="1:10" x14ac:dyDescent="0.2">
      <c r="A13439" s="4" t="s">
        <v>1</v>
      </c>
      <c r="B13439" s="3" t="str">
        <f>HYPERLINK("https://otsuka-europe-crm.veevavault.com/ui/#object/approved_document__v/V5O00000000Q011", "LUP - 10 cuestiones: Inmunosupresión - nefro")</f>
        <v>LUP - 10 cuestiones: Inmunosupresión - nefro</v>
      </c>
      <c r="C13439" s="3" t="str">
        <f>HYPERLINK("https://otsuka-europe-crm.veevavault.com/ui/#object/sent_email__v/VBL00000001F212", "SE-001405832")</f>
        <v>SE-001405832</v>
      </c>
      <c r="D13439" s="1" t="s">
        <v>0</v>
      </c>
      <c r="E13439" s="2">
        <v>0</v>
      </c>
      <c r="F13439" s="2">
        <v>0</v>
      </c>
      <c r="G13439" s="2">
        <v>0</v>
      </c>
      <c r="H13439" s="1" t="s">
        <v>0</v>
      </c>
      <c r="I13439" s="2">
        <v>0</v>
      </c>
      <c r="J13439" s="1">
        <v>46076.691817129627</v>
      </c>
    </row>
    <row r="13440" spans="1:10" x14ac:dyDescent="0.2">
      <c r="A13440" s="4" t="s">
        <v>1</v>
      </c>
      <c r="B13440" s="3" t="str">
        <f>HYPERLINK("https://otsuka-europe-crm.veevavault.com/ui/#object/approved_document__v/V5O00000000Q011", "LUP - 10 cuestiones: Inmunosupresión - nefro")</f>
        <v>LUP - 10 cuestiones: Inmunosupresión - nefro</v>
      </c>
      <c r="C13440" s="3" t="str">
        <f>HYPERLINK("https://otsuka-europe-crm.veevavault.com/ui/#object/sent_email__v/VBL00000001F213", "SE-001405833")</f>
        <v>SE-001405833</v>
      </c>
      <c r="D13440" s="1" t="s">
        <v>0</v>
      </c>
      <c r="E13440" s="2">
        <v>0</v>
      </c>
      <c r="F13440" s="2">
        <v>0</v>
      </c>
      <c r="G13440" s="2">
        <v>0</v>
      </c>
      <c r="H13440" s="1" t="s">
        <v>0</v>
      </c>
      <c r="I13440" s="2">
        <v>0</v>
      </c>
      <c r="J13440" s="1">
        <v>46076.691979166666</v>
      </c>
    </row>
    <row r="13441" spans="1:10" x14ac:dyDescent="0.2">
      <c r="A13441" s="4" t="s">
        <v>1</v>
      </c>
      <c r="B13441" s="3" t="str">
        <f>HYPERLINK("https://otsuka-europe-crm.veevavault.com/ui/#object/approved_document__v/V5O00000000Q011", "LUP - 10 cuestiones: Inmunosupresión - nefro")</f>
        <v>LUP - 10 cuestiones: Inmunosupresión - nefro</v>
      </c>
      <c r="C13441" s="3" t="str">
        <f>HYPERLINK("https://otsuka-europe-crm.veevavault.com/ui/#object/sent_email__v/VBL00000001F214", "SE-001405834")</f>
        <v>SE-001405834</v>
      </c>
      <c r="D13441" s="1" t="s">
        <v>0</v>
      </c>
      <c r="E13441" s="2">
        <v>0</v>
      </c>
      <c r="F13441" s="2">
        <v>0</v>
      </c>
      <c r="G13441" s="2">
        <v>0</v>
      </c>
      <c r="H13441" s="1" t="s">
        <v>0</v>
      </c>
      <c r="I13441" s="2">
        <v>0</v>
      </c>
      <c r="J13441" s="1">
        <v>46076.692152777781</v>
      </c>
    </row>
    <row r="13442" spans="1:10" x14ac:dyDescent="0.2">
      <c r="A13442" s="4" t="s">
        <v>1</v>
      </c>
      <c r="B13442" s="3" t="str">
        <f>HYPERLINK("https://otsuka-europe-crm.veevavault.com/ui/#object/approved_document__v/V5O00000000Q011", "LUP - 10 cuestiones: Inmunosupresión - nefro")</f>
        <v>LUP - 10 cuestiones: Inmunosupresión - nefro</v>
      </c>
      <c r="C13442" s="3" t="str">
        <f>HYPERLINK("https://otsuka-europe-crm.veevavault.com/ui/#object/sent_email__v/VBL00000001F215", "SE-001405835")</f>
        <v>SE-001405835</v>
      </c>
      <c r="D13442" s="1">
        <v>46076.692476851851</v>
      </c>
      <c r="E13442" s="2">
        <v>1</v>
      </c>
      <c r="F13442" s="2">
        <v>2</v>
      </c>
      <c r="G13442" s="2">
        <v>1</v>
      </c>
      <c r="H13442" s="1">
        <v>46076.692465277774</v>
      </c>
      <c r="I13442" s="2">
        <v>8</v>
      </c>
      <c r="J13442" s="1">
        <v>46076.692314814813</v>
      </c>
    </row>
    <row r="13443" spans="1:10" x14ac:dyDescent="0.2">
      <c r="A13443" s="4" t="s">
        <v>1</v>
      </c>
      <c r="B13443" s="3" t="str">
        <f>HYPERLINK("https://otsuka-europe-crm.veevavault.com/ui/#object/approved_document__v/V5O00000000Q011", "LUP - 10 cuestiones: Inmunosupresión - nefro")</f>
        <v>LUP - 10 cuestiones: Inmunosupresión - nefro</v>
      </c>
      <c r="C13443" s="3" t="str">
        <f>HYPERLINK("https://otsuka-europe-crm.veevavault.com/ui/#object/sent_email__v/VBL00000001F216", "SE-001405836")</f>
        <v>SE-001405836</v>
      </c>
      <c r="D13443" s="1">
        <v>46076.699606481481</v>
      </c>
      <c r="E13443" s="2">
        <v>1</v>
      </c>
      <c r="F13443" s="2">
        <v>2</v>
      </c>
      <c r="G13443" s="2">
        <v>1</v>
      </c>
      <c r="H13443" s="1">
        <v>46076.699594907404</v>
      </c>
      <c r="I13443" s="2">
        <v>8</v>
      </c>
      <c r="J13443" s="1">
        <v>46076.692476851851</v>
      </c>
    </row>
    <row r="13444" spans="1:10" x14ac:dyDescent="0.2">
      <c r="A13444" s="4" t="s">
        <v>1</v>
      </c>
      <c r="B13444" s="3" t="str">
        <f>HYPERLINK("https://otsuka-europe-crm.veevavault.com/ui/#object/approved_document__v/V5O00000000Q011", "LUP - 10 cuestiones: Inmunosupresión - nefro")</f>
        <v>LUP - 10 cuestiones: Inmunosupresión - nefro</v>
      </c>
      <c r="C13444" s="3" t="str">
        <f>HYPERLINK("https://otsuka-europe-crm.veevavault.com/ui/#object/sent_email__v/VBL00000001F217", "SE-001405837")</f>
        <v>SE-001405837</v>
      </c>
      <c r="D13444" s="1" t="s">
        <v>0</v>
      </c>
      <c r="E13444" s="2">
        <v>0</v>
      </c>
      <c r="F13444" s="2">
        <v>0</v>
      </c>
      <c r="G13444" s="2">
        <v>0</v>
      </c>
      <c r="H13444" s="1" t="s">
        <v>0</v>
      </c>
      <c r="I13444" s="2">
        <v>0</v>
      </c>
      <c r="J13444" s="1">
        <v>46076.692627314813</v>
      </c>
    </row>
    <row r="13445" spans="1:10" x14ac:dyDescent="0.2">
      <c r="A13445" s="4" t="s">
        <v>1</v>
      </c>
      <c r="B13445" s="3" t="str">
        <f>HYPERLINK("https://otsuka-europe-crm.veevavault.com/ui/#object/approved_document__v/V5O00000000Q011", "LUP - 10 cuestiones: Inmunosupresión - nefro")</f>
        <v>LUP - 10 cuestiones: Inmunosupresión - nefro</v>
      </c>
      <c r="C13445" s="3" t="str">
        <f>HYPERLINK("https://otsuka-europe-crm.veevavault.com/ui/#object/sent_email__v/VBL00000001F218", "SE-001405838")</f>
        <v>SE-001405838</v>
      </c>
      <c r="D13445" s="1">
        <v>46076.850532407407</v>
      </c>
      <c r="E13445" s="2">
        <v>1</v>
      </c>
      <c r="F13445" s="2">
        <v>2</v>
      </c>
      <c r="G13445" s="2">
        <v>0</v>
      </c>
      <c r="H13445" s="1" t="s">
        <v>0</v>
      </c>
      <c r="I13445" s="2">
        <v>0</v>
      </c>
      <c r="J13445" s="1">
        <v>46076.692812499998</v>
      </c>
    </row>
    <row r="13446" spans="1:10" x14ac:dyDescent="0.2">
      <c r="A13446" s="4" t="s">
        <v>1</v>
      </c>
      <c r="B13446" s="3" t="str">
        <f>HYPERLINK("https://otsuka-europe-crm.veevavault.com/ui/#object/approved_document__v/V5O00000000Q011", "LUP - 10 cuestiones: Inmunosupresión - nefro")</f>
        <v>LUP - 10 cuestiones: Inmunosupresión - nefro</v>
      </c>
      <c r="C13446" s="3" t="str">
        <f>HYPERLINK("https://otsuka-europe-crm.veevavault.com/ui/#object/sent_email__v/VBL00000001F219", "SE-001405839")</f>
        <v>SE-001405839</v>
      </c>
      <c r="D13446" s="1" t="s">
        <v>0</v>
      </c>
      <c r="E13446" s="2">
        <v>0</v>
      </c>
      <c r="F13446" s="2">
        <v>0</v>
      </c>
      <c r="G13446" s="2">
        <v>0</v>
      </c>
      <c r="H13446" s="1" t="s">
        <v>0</v>
      </c>
      <c r="I13446" s="2">
        <v>0</v>
      </c>
      <c r="J13446" s="1">
        <v>46076.692974537036</v>
      </c>
    </row>
    <row r="13447" spans="1:10" x14ac:dyDescent="0.2">
      <c r="A13447" s="4" t="s">
        <v>1</v>
      </c>
      <c r="B13447" s="3" t="str">
        <f>HYPERLINK("https://otsuka-europe-crm.veevavault.com/ui/#object/approved_document__v/V5O00000000Q011", "LUP - 10 cuestiones: Inmunosupresión - nefro")</f>
        <v>LUP - 10 cuestiones: Inmunosupresión - nefro</v>
      </c>
      <c r="C13447" s="3" t="str">
        <f>HYPERLINK("https://otsuka-europe-crm.veevavault.com/ui/#object/sent_email__v/VBL00000001F220", "SE-001405840")</f>
        <v>SE-001405840</v>
      </c>
      <c r="D13447" s="1" t="s">
        <v>0</v>
      </c>
      <c r="E13447" s="2">
        <v>0</v>
      </c>
      <c r="F13447" s="2">
        <v>0</v>
      </c>
      <c r="G13447" s="2">
        <v>0</v>
      </c>
      <c r="H13447" s="1" t="s">
        <v>0</v>
      </c>
      <c r="I13447" s="2">
        <v>0</v>
      </c>
      <c r="J13447" s="1">
        <v>46076.693148148152</v>
      </c>
    </row>
    <row r="13448" spans="1:10" x14ac:dyDescent="0.2">
      <c r="A13448" s="4" t="s">
        <v>1</v>
      </c>
      <c r="B13448" s="3" t="str">
        <f>HYPERLINK("https://otsuka-europe-crm.veevavault.com/ui/#object/approved_document__v/V5O00000000Q011", "LUP - 10 cuestiones: Inmunosupresión - nefro")</f>
        <v>LUP - 10 cuestiones: Inmunosupresión - nefro</v>
      </c>
      <c r="C13448" s="3" t="str">
        <f>HYPERLINK("https://otsuka-europe-crm.veevavault.com/ui/#object/sent_email__v/VBL00000001F221", "SE-001405841")</f>
        <v>SE-001405841</v>
      </c>
      <c r="D13448" s="1">
        <v>46077.286863425928</v>
      </c>
      <c r="E13448" s="2">
        <v>1</v>
      </c>
      <c r="F13448" s="2">
        <v>2</v>
      </c>
      <c r="G13448" s="2">
        <v>0</v>
      </c>
      <c r="H13448" s="1" t="s">
        <v>0</v>
      </c>
      <c r="I13448" s="2">
        <v>0</v>
      </c>
      <c r="J13448" s="1">
        <v>46076.693310185183</v>
      </c>
    </row>
    <row r="13449" spans="1:10" x14ac:dyDescent="0.2">
      <c r="A13449" s="4" t="s">
        <v>1</v>
      </c>
      <c r="B13449" s="3" t="str">
        <f>HYPERLINK("https://otsuka-europe-crm.veevavault.com/ui/#object/approved_document__v/V5O00000000Q011", "LUP - 10 cuestiones: Inmunosupresión - nefro")</f>
        <v>LUP - 10 cuestiones: Inmunosupresión - nefro</v>
      </c>
      <c r="C13449" s="3" t="str">
        <f>HYPERLINK("https://otsuka-europe-crm.veevavault.com/ui/#object/sent_email__v/VBL00000001F222", "SE-001405842")</f>
        <v>SE-001405842</v>
      </c>
      <c r="D13449" s="1" t="s">
        <v>0</v>
      </c>
      <c r="E13449" s="2">
        <v>0</v>
      </c>
      <c r="F13449" s="2">
        <v>0</v>
      </c>
      <c r="G13449" s="2">
        <v>0</v>
      </c>
      <c r="H13449" s="1" t="s">
        <v>0</v>
      </c>
      <c r="I13449" s="2">
        <v>0</v>
      </c>
      <c r="J13449" s="1">
        <v>46076.693472222221</v>
      </c>
    </row>
    <row r="13450" spans="1:10" x14ac:dyDescent="0.2">
      <c r="A13450" s="4" t="s">
        <v>1</v>
      </c>
      <c r="B13450" s="3" t="str">
        <f>HYPERLINK("https://otsuka-europe-crm.veevavault.com/ui/#object/approved_document__v/V5O00000000Q011", "LUP - 10 cuestiones: Inmunosupresión - nefro")</f>
        <v>LUP - 10 cuestiones: Inmunosupresión - nefro</v>
      </c>
      <c r="C13450" s="3" t="str">
        <f>HYPERLINK("https://otsuka-europe-crm.veevavault.com/ui/#object/sent_email__v/VBL00000001F223", "SE-001405843")</f>
        <v>SE-001405843</v>
      </c>
      <c r="D13450" s="1">
        <v>46076.695787037039</v>
      </c>
      <c r="E13450" s="2">
        <v>1</v>
      </c>
      <c r="F13450" s="2">
        <v>2</v>
      </c>
      <c r="G13450" s="2">
        <v>0</v>
      </c>
      <c r="H13450" s="1" t="s">
        <v>0</v>
      </c>
      <c r="I13450" s="2">
        <v>0</v>
      </c>
      <c r="J13450" s="1">
        <v>46076.693645833337</v>
      </c>
    </row>
    <row r="13451" spans="1:10" x14ac:dyDescent="0.2">
      <c r="A13451" s="4" t="s">
        <v>1</v>
      </c>
      <c r="B13451" s="3" t="str">
        <f>HYPERLINK("https://otsuka-europe-crm.veevavault.com/ui/#object/approved_document__v/V5O00000000Q011", "LUP - 10 cuestiones: Inmunosupresión - nefro")</f>
        <v>LUP - 10 cuestiones: Inmunosupresión - nefro</v>
      </c>
      <c r="C13451" s="3" t="str">
        <f>HYPERLINK("https://otsuka-europe-crm.veevavault.com/ui/#object/sent_email__v/VBL00000001G470", "SE-001405908")</f>
        <v>SE-001405908</v>
      </c>
      <c r="D13451" s="1">
        <v>46076.752962962964</v>
      </c>
      <c r="E13451" s="2">
        <v>1</v>
      </c>
      <c r="F13451" s="2">
        <v>1</v>
      </c>
      <c r="G13451" s="2">
        <v>0</v>
      </c>
      <c r="H13451" s="1" t="s">
        <v>0</v>
      </c>
      <c r="I13451" s="2">
        <v>0</v>
      </c>
      <c r="J13451" s="1">
        <v>46076.746319444443</v>
      </c>
    </row>
    <row r="13452" spans="1:10" x14ac:dyDescent="0.2">
      <c r="A13452" s="4" t="s">
        <v>1</v>
      </c>
      <c r="B13452" s="3" t="str">
        <f>HYPERLINK("https://otsuka-europe-crm.veevavault.com/ui/#object/approved_document__v/V5O00000000Q011", "LUP - 10 cuestiones: Inmunosupresión - nefro")</f>
        <v>LUP - 10 cuestiones: Inmunosupresión - nefro</v>
      </c>
      <c r="C13452" s="3" t="str">
        <f>HYPERLINK("https://otsuka-europe-crm.veevavault.com/ui/#object/sent_email__v/VBL00000001G471", "SE-001405909")</f>
        <v>SE-001405909</v>
      </c>
      <c r="D13452" s="1" t="s">
        <v>0</v>
      </c>
      <c r="E13452" s="2">
        <v>0</v>
      </c>
      <c r="F13452" s="2">
        <v>0</v>
      </c>
      <c r="G13452" s="2">
        <v>0</v>
      </c>
      <c r="H13452" s="1" t="s">
        <v>0</v>
      </c>
      <c r="I13452" s="2">
        <v>0</v>
      </c>
      <c r="J13452" s="1">
        <v>46076.746504629627</v>
      </c>
    </row>
    <row r="13453" spans="1:10" x14ac:dyDescent="0.2">
      <c r="A13453" s="4" t="s">
        <v>1</v>
      </c>
      <c r="B13453" s="3" t="str">
        <f>HYPERLINK("https://otsuka-europe-crm.veevavault.com/ui/#object/approved_document__v/V5O00000000Q011", "LUP - 10 cuestiones: Inmunosupresión - nefro")</f>
        <v>LUP - 10 cuestiones: Inmunosupresión - nefro</v>
      </c>
      <c r="C13453" s="3" t="str">
        <f>HYPERLINK("https://otsuka-europe-crm.veevavault.com/ui/#object/sent_email__v/VBL00000001G472", "SE-001405910")</f>
        <v>SE-001405910</v>
      </c>
      <c r="D13453" s="1" t="s">
        <v>0</v>
      </c>
      <c r="E13453" s="2">
        <v>0</v>
      </c>
      <c r="F13453" s="2">
        <v>0</v>
      </c>
      <c r="G13453" s="2">
        <v>0</v>
      </c>
      <c r="H13453" s="1" t="s">
        <v>0</v>
      </c>
      <c r="I13453" s="2">
        <v>0</v>
      </c>
      <c r="J13453" s="1">
        <v>46076.746655092589</v>
      </c>
    </row>
    <row r="13454" spans="1:10" x14ac:dyDescent="0.2">
      <c r="A13454" s="4" t="s">
        <v>1</v>
      </c>
      <c r="B13454" s="3" t="str">
        <f>HYPERLINK("https://otsuka-europe-crm.veevavault.com/ui/#object/approved_document__v/V5O00000000Q011", "LUP - 10 cuestiones: Inmunosupresión - nefro")</f>
        <v>LUP - 10 cuestiones: Inmunosupresión - nefro</v>
      </c>
      <c r="C13454" s="3" t="str">
        <f>HYPERLINK("https://otsuka-europe-crm.veevavault.com/ui/#object/sent_email__v/VBL00000001G473", "SE-001405911")</f>
        <v>SE-001405911</v>
      </c>
      <c r="D13454" s="1" t="s">
        <v>0</v>
      </c>
      <c r="E13454" s="2">
        <v>0</v>
      </c>
      <c r="F13454" s="2">
        <v>0</v>
      </c>
      <c r="G13454" s="2">
        <v>0</v>
      </c>
      <c r="H13454" s="1" t="s">
        <v>0</v>
      </c>
      <c r="I13454" s="2">
        <v>0</v>
      </c>
      <c r="J13454" s="1">
        <v>46076.746840277781</v>
      </c>
    </row>
    <row r="13455" spans="1:10" x14ac:dyDescent="0.2">
      <c r="A13455" s="4" t="s">
        <v>1</v>
      </c>
      <c r="B13455" s="3" t="str">
        <f>HYPERLINK("https://otsuka-europe-crm.veevavault.com/ui/#object/approved_document__v/V5O00000000Q011", "LUP - 10 cuestiones: Inmunosupresión - nefro")</f>
        <v>LUP - 10 cuestiones: Inmunosupresión - nefro</v>
      </c>
      <c r="C13455" s="3" t="str">
        <f>HYPERLINK("https://otsuka-europe-crm.veevavault.com/ui/#object/sent_email__v/VBL00000001G474", "SE-001405912")</f>
        <v>SE-001405912</v>
      </c>
      <c r="D13455" s="1">
        <v>46077.399062500001</v>
      </c>
      <c r="E13455" s="2">
        <v>1</v>
      </c>
      <c r="F13455" s="2">
        <v>1</v>
      </c>
      <c r="G13455" s="2">
        <v>1</v>
      </c>
      <c r="H13455" s="1">
        <v>46077.399062500001</v>
      </c>
      <c r="I13455" s="2">
        <v>1</v>
      </c>
      <c r="J13455" s="1">
        <v>46076.746990740743</v>
      </c>
    </row>
    <row r="13456" spans="1:10" x14ac:dyDescent="0.2">
      <c r="A13456" s="4" t="s">
        <v>1</v>
      </c>
      <c r="B13456" s="3" t="str">
        <f>HYPERLINK("https://otsuka-europe-crm.veevavault.com/ui/#object/approved_document__v/V5O00000000Q011", "LUP - 10 cuestiones: Inmunosupresión - nefro")</f>
        <v>LUP - 10 cuestiones: Inmunosupresión - nefro</v>
      </c>
      <c r="C13456" s="3" t="str">
        <f>HYPERLINK("https://otsuka-europe-crm.veevavault.com/ui/#object/sent_email__v/VBL00000001G475", "SE-001405913")</f>
        <v>SE-001405913</v>
      </c>
      <c r="D13456" s="1" t="s">
        <v>0</v>
      </c>
      <c r="E13456" s="2">
        <v>0</v>
      </c>
      <c r="F13456" s="2">
        <v>0</v>
      </c>
      <c r="G13456" s="2">
        <v>0</v>
      </c>
      <c r="H13456" s="1" t="s">
        <v>0</v>
      </c>
      <c r="I13456" s="2">
        <v>0</v>
      </c>
      <c r="J13456" s="1">
        <v>46076.747152777774</v>
      </c>
    </row>
    <row r="13457" spans="1:10" x14ac:dyDescent="0.2">
      <c r="A13457" s="4" t="s">
        <v>1</v>
      </c>
      <c r="B13457" s="3" t="str">
        <f>HYPERLINK("https://otsuka-europe-crm.veevavault.com/ui/#object/approved_document__v/V5O00000000Q011", "LUP - 10 cuestiones: Inmunosupresión - nefro")</f>
        <v>LUP - 10 cuestiones: Inmunosupresión - nefro</v>
      </c>
      <c r="C13457" s="3" t="str">
        <f>HYPERLINK("https://otsuka-europe-crm.veevavault.com/ui/#object/sent_email__v/VBL00000001G476", "SE-001405914")</f>
        <v>SE-001405914</v>
      </c>
      <c r="D13457" s="1">
        <v>46076.909513888888</v>
      </c>
      <c r="E13457" s="2">
        <v>1</v>
      </c>
      <c r="F13457" s="2">
        <v>1</v>
      </c>
      <c r="G13457" s="2">
        <v>0</v>
      </c>
      <c r="H13457" s="1" t="s">
        <v>0</v>
      </c>
      <c r="I13457" s="2">
        <v>0</v>
      </c>
      <c r="J13457" s="1">
        <v>46076.747337962966</v>
      </c>
    </row>
    <row r="13458" spans="1:10" x14ac:dyDescent="0.2">
      <c r="A13458" s="4" t="s">
        <v>1</v>
      </c>
      <c r="B13458" s="3" t="str">
        <f>HYPERLINK("https://otsuka-europe-crm.veevavault.com/ui/#object/approved_document__v/V5O00000000Q011", "LUP - 10 cuestiones: Inmunosupresión - nefro")</f>
        <v>LUP - 10 cuestiones: Inmunosupresión - nefro</v>
      </c>
      <c r="C13458" s="3" t="str">
        <f>HYPERLINK("https://otsuka-europe-crm.veevavault.com/ui/#object/sent_email__v/VBL00000001F284", "SE-001405915")</f>
        <v>SE-001405915</v>
      </c>
      <c r="D13458" s="1">
        <v>46078.692083333335</v>
      </c>
      <c r="E13458" s="2">
        <v>1</v>
      </c>
      <c r="F13458" s="2">
        <v>1</v>
      </c>
      <c r="G13458" s="2">
        <v>0</v>
      </c>
      <c r="H13458" s="1" t="s">
        <v>0</v>
      </c>
      <c r="I13458" s="2">
        <v>0</v>
      </c>
      <c r="J13458" s="1">
        <v>46076.746712962966</v>
      </c>
    </row>
    <row r="13459" spans="1:10" x14ac:dyDescent="0.2">
      <c r="A13459" s="4" t="s">
        <v>1</v>
      </c>
      <c r="B13459" s="3" t="str">
        <f>HYPERLINK("https://otsuka-europe-crm.veevavault.com/ui/#object/approved_document__v/V5O00000000Q011", "LUP - 10 cuestiones: Inmunosupresión - nefro")</f>
        <v>LUP - 10 cuestiones: Inmunosupresión - nefro</v>
      </c>
      <c r="C13459" s="3" t="str">
        <f>HYPERLINK("https://otsuka-europe-crm.veevavault.com/ui/#object/sent_email__v/VBL00000001G477", "SE-001405916")</f>
        <v>SE-001405916</v>
      </c>
      <c r="D13459" s="1" t="s">
        <v>0</v>
      </c>
      <c r="E13459" s="2">
        <v>0</v>
      </c>
      <c r="F13459" s="2">
        <v>0</v>
      </c>
      <c r="G13459" s="2">
        <v>0</v>
      </c>
      <c r="H13459" s="1" t="s">
        <v>0</v>
      </c>
      <c r="I13459" s="2">
        <v>0</v>
      </c>
      <c r="J13459" s="1">
        <v>46076.748368055552</v>
      </c>
    </row>
    <row r="13460" spans="1:10" x14ac:dyDescent="0.2">
      <c r="A13460" s="4" t="s">
        <v>1</v>
      </c>
      <c r="B13460" s="3" t="str">
        <f>HYPERLINK("https://otsuka-europe-crm.veevavault.com/ui/#object/approved_document__v/V5O00000000Q011", "LUP - 10 cuestiones: Inmunosupresión - nefro")</f>
        <v>LUP - 10 cuestiones: Inmunosupresión - nefro</v>
      </c>
      <c r="C13460" s="3" t="str">
        <f>HYPERLINK("https://otsuka-europe-crm.veevavault.com/ui/#object/sent_email__v/VBL00000001G478", "SE-001405917")</f>
        <v>SE-001405917</v>
      </c>
      <c r="D13460" s="1" t="s">
        <v>0</v>
      </c>
      <c r="E13460" s="2">
        <v>0</v>
      </c>
      <c r="F13460" s="2">
        <v>0</v>
      </c>
      <c r="G13460" s="2">
        <v>0</v>
      </c>
      <c r="H13460" s="1" t="s">
        <v>0</v>
      </c>
      <c r="I13460" s="2">
        <v>0</v>
      </c>
      <c r="J13460" s="1">
        <v>46076.748530092591</v>
      </c>
    </row>
    <row r="13461" spans="1:10" x14ac:dyDescent="0.2">
      <c r="A13461" s="4" t="s">
        <v>1</v>
      </c>
      <c r="B13461" s="3" t="str">
        <f>HYPERLINK("https://otsuka-europe-crm.veevavault.com/ui/#object/approved_document__v/V5O00000000Q011", "LUP - 10 cuestiones: Inmunosupresión - nefro")</f>
        <v>LUP - 10 cuestiones: Inmunosupresión - nefro</v>
      </c>
      <c r="C13461" s="3" t="str">
        <f>HYPERLINK("https://otsuka-europe-crm.veevavault.com/ui/#object/sent_email__v/VBL00000001G479", "SE-001405918")</f>
        <v>SE-001405918</v>
      </c>
      <c r="D13461" s="1" t="s">
        <v>0</v>
      </c>
      <c r="E13461" s="2">
        <v>0</v>
      </c>
      <c r="F13461" s="2">
        <v>0</v>
      </c>
      <c r="G13461" s="2">
        <v>0</v>
      </c>
      <c r="H13461" s="1" t="s">
        <v>0</v>
      </c>
      <c r="I13461" s="2">
        <v>0</v>
      </c>
      <c r="J13461" s="1">
        <v>46076.748703703706</v>
      </c>
    </row>
    <row r="13462" spans="1:10" x14ac:dyDescent="0.2">
      <c r="A13462" s="4" t="s">
        <v>1</v>
      </c>
      <c r="B13462" s="3" t="str">
        <f>HYPERLINK("https://otsuka-europe-crm.veevavault.com/ui/#object/approved_document__v/V5O00000000Q011", "LUP - 10 cuestiones: Inmunosupresión - nefro")</f>
        <v>LUP - 10 cuestiones: Inmunosupresión - nefro</v>
      </c>
      <c r="C13462" s="3" t="str">
        <f>HYPERLINK("https://otsuka-europe-crm.veevavault.com/ui/#object/sent_email__v/VBL00000001G480", "SE-001405919")</f>
        <v>SE-001405919</v>
      </c>
      <c r="D13462" s="1">
        <v>46078.581608796296</v>
      </c>
      <c r="E13462" s="2">
        <v>1</v>
      </c>
      <c r="F13462" s="2">
        <v>3</v>
      </c>
      <c r="G13462" s="2">
        <v>0</v>
      </c>
      <c r="H13462" s="1" t="s">
        <v>0</v>
      </c>
      <c r="I13462" s="2">
        <v>0</v>
      </c>
      <c r="J13462" s="1">
        <v>46076.748854166668</v>
      </c>
    </row>
    <row r="13463" spans="1:10" x14ac:dyDescent="0.2">
      <c r="A13463" s="4" t="s">
        <v>1</v>
      </c>
      <c r="B13463" s="3" t="str">
        <f>HYPERLINK("https://otsuka-europe-crm.veevavault.com/ui/#object/approved_document__v/V5O00000000Q011", "LUP - 10 cuestiones: Inmunosupresión - nefro")</f>
        <v>LUP - 10 cuestiones: Inmunosupresión - nefro</v>
      </c>
      <c r="C13463" s="3" t="str">
        <f>HYPERLINK("https://otsuka-europe-crm.veevavault.com/ui/#object/sent_email__v/VBL00000001G481", "SE-001405920")</f>
        <v>SE-001405920</v>
      </c>
      <c r="D13463" s="1" t="s">
        <v>0</v>
      </c>
      <c r="E13463" s="2">
        <v>0</v>
      </c>
      <c r="F13463" s="2">
        <v>0</v>
      </c>
      <c r="G13463" s="2">
        <v>0</v>
      </c>
      <c r="H13463" s="1" t="s">
        <v>0</v>
      </c>
      <c r="I13463" s="2">
        <v>0</v>
      </c>
      <c r="J13463" s="1">
        <v>46076.749016203707</v>
      </c>
    </row>
    <row r="13464" spans="1:10" x14ac:dyDescent="0.2">
      <c r="A13464" s="4" t="s">
        <v>1</v>
      </c>
      <c r="B13464" s="3" t="str">
        <f>HYPERLINK("https://otsuka-europe-crm.veevavault.com/ui/#object/approved_document__v/V5O00000000Q011", "LUP - 10 cuestiones: Inmunosupresión - nefro")</f>
        <v>LUP - 10 cuestiones: Inmunosupresión - nefro</v>
      </c>
      <c r="C13464" s="3" t="str">
        <f>HYPERLINK("https://otsuka-europe-crm.veevavault.com/ui/#object/sent_email__v/VBL00000001F285", "SE-001405921")</f>
        <v>SE-001405921</v>
      </c>
      <c r="D13464" s="1" t="s">
        <v>0</v>
      </c>
      <c r="E13464" s="2">
        <v>0</v>
      </c>
      <c r="F13464" s="2">
        <v>0</v>
      </c>
      <c r="G13464" s="2">
        <v>0</v>
      </c>
      <c r="H13464" s="1" t="s">
        <v>0</v>
      </c>
      <c r="I13464" s="2">
        <v>0</v>
      </c>
      <c r="J13464" s="1">
        <v>46076.749884259261</v>
      </c>
    </row>
    <row r="13465" spans="1:10" x14ac:dyDescent="0.2">
      <c r="A13465" s="4" t="s">
        <v>1</v>
      </c>
      <c r="B13465" s="3" t="str">
        <f>HYPERLINK("https://otsuka-europe-crm.veevavault.com/ui/#object/approved_document__v/V5O00000000Q011", "LUP - 10 cuestiones: Inmunosupresión - nefro")</f>
        <v>LUP - 10 cuestiones: Inmunosupresión - nefro</v>
      </c>
      <c r="C13465" s="3" t="str">
        <f>HYPERLINK("https://otsuka-europe-crm.veevavault.com/ui/#object/sent_email__v/VBL00000001F286", "SE-001405922")</f>
        <v>SE-001405922</v>
      </c>
      <c r="D13465" s="1">
        <v>46076.767731481479</v>
      </c>
      <c r="E13465" s="2">
        <v>1</v>
      </c>
      <c r="F13465" s="2">
        <v>1</v>
      </c>
      <c r="G13465" s="2">
        <v>0</v>
      </c>
      <c r="H13465" s="1" t="s">
        <v>0</v>
      </c>
      <c r="I13465" s="2">
        <v>0</v>
      </c>
      <c r="J13465" s="1">
        <v>46076.750057870369</v>
      </c>
    </row>
    <row r="13466" spans="1:10" x14ac:dyDescent="0.2">
      <c r="A13466" s="4" t="s">
        <v>1</v>
      </c>
      <c r="B13466" s="3" t="str">
        <f>HYPERLINK("https://otsuka-europe-crm.veevavault.com/ui/#object/approved_document__v/V5O00000000Q011", "LUP - 10 cuestiones: Inmunosupresión - nefro")</f>
        <v>LUP - 10 cuestiones: Inmunosupresión - nefro</v>
      </c>
      <c r="C13466" s="3" t="str">
        <f>HYPERLINK("https://otsuka-europe-crm.veevavault.com/ui/#object/sent_email__v/VBL00000001F287", "SE-001405923")</f>
        <v>SE-001405923</v>
      </c>
      <c r="D13466" s="1" t="s">
        <v>0</v>
      </c>
      <c r="E13466" s="2">
        <v>0</v>
      </c>
      <c r="F13466" s="2">
        <v>0</v>
      </c>
      <c r="G13466" s="2">
        <v>0</v>
      </c>
      <c r="H13466" s="1" t="s">
        <v>0</v>
      </c>
      <c r="I13466" s="2">
        <v>0</v>
      </c>
      <c r="J13466" s="1">
        <v>46076.750231481485</v>
      </c>
    </row>
    <row r="13467" spans="1:10" x14ac:dyDescent="0.2">
      <c r="A13467" s="4" t="s">
        <v>1</v>
      </c>
      <c r="B13467" s="3" t="str">
        <f>HYPERLINK("https://otsuka-europe-crm.veevavault.com/ui/#object/approved_document__v/V5O00000000Q011", "LUP - 10 cuestiones: Inmunosupresión - nefro")</f>
        <v>LUP - 10 cuestiones: Inmunosupresión - nefro</v>
      </c>
      <c r="C13467" s="3" t="str">
        <f>HYPERLINK("https://otsuka-europe-crm.veevavault.com/ui/#object/sent_email__v/VBL00000001F288", "SE-001405924")</f>
        <v>SE-001405924</v>
      </c>
      <c r="D13467" s="1">
        <v>46076.754687499997</v>
      </c>
      <c r="E13467" s="2">
        <v>1</v>
      </c>
      <c r="F13467" s="2">
        <v>1</v>
      </c>
      <c r="G13467" s="2">
        <v>0</v>
      </c>
      <c r="H13467" s="1" t="s">
        <v>0</v>
      </c>
      <c r="I13467" s="2">
        <v>0</v>
      </c>
      <c r="J13467" s="1">
        <v>46076.750393518516</v>
      </c>
    </row>
    <row r="13468" spans="1:10" x14ac:dyDescent="0.2">
      <c r="A13468" s="4" t="s">
        <v>1</v>
      </c>
      <c r="B13468" s="3" t="str">
        <f>HYPERLINK("https://otsuka-europe-crm.veevavault.com/ui/#object/approved_document__v/V5O00000000Q011", "LUP - 10 cuestiones: Inmunosupresión - nefro")</f>
        <v>LUP - 10 cuestiones: Inmunosupresión - nefro</v>
      </c>
      <c r="C13468" s="3" t="str">
        <f>HYPERLINK("https://otsuka-europe-crm.veevavault.com/ui/#object/sent_email__v/VBL00000001F289", "SE-001405925")</f>
        <v>SE-001405925</v>
      </c>
      <c r="D13468" s="1">
        <v>46076.755185185182</v>
      </c>
      <c r="E13468" s="2">
        <v>1</v>
      </c>
      <c r="F13468" s="2">
        <v>2</v>
      </c>
      <c r="G13468" s="2">
        <v>0</v>
      </c>
      <c r="H13468" s="1" t="s">
        <v>0</v>
      </c>
      <c r="I13468" s="2">
        <v>0</v>
      </c>
      <c r="J13468" s="1">
        <v>46076.750555555554</v>
      </c>
    </row>
    <row r="13469" spans="1:10" x14ac:dyDescent="0.2">
      <c r="A13469" s="4" t="s">
        <v>1</v>
      </c>
      <c r="B13469" s="3" t="str">
        <f>HYPERLINK("https://otsuka-europe-crm.veevavault.com/ui/#object/approved_document__v/V5O00000000Q011", "LUP - 10 cuestiones: Inmunosupresión - nefro")</f>
        <v>LUP - 10 cuestiones: Inmunosupresión - nefro</v>
      </c>
      <c r="C13469" s="3" t="str">
        <f>HYPERLINK("https://otsuka-europe-crm.veevavault.com/ui/#object/sent_email__v/VBL00000001F290", "SE-001405926")</f>
        <v>SE-001405926</v>
      </c>
      <c r="D13469" s="1">
        <v>46076.751226851855</v>
      </c>
      <c r="E13469" s="2">
        <v>1</v>
      </c>
      <c r="F13469" s="2">
        <v>1</v>
      </c>
      <c r="G13469" s="2">
        <v>1</v>
      </c>
      <c r="H13469" s="1">
        <v>46076.75136574074</v>
      </c>
      <c r="I13469" s="2">
        <v>2</v>
      </c>
      <c r="J13469" s="1">
        <v>46076.75072916667</v>
      </c>
    </row>
    <row r="13470" spans="1:10" x14ac:dyDescent="0.2">
      <c r="A13470" s="4" t="s">
        <v>1</v>
      </c>
      <c r="B13470" s="3" t="str">
        <f>HYPERLINK("https://otsuka-europe-crm.veevavault.com/ui/#object/approved_document__v/V5O00000000Q011", "LUP - 10 cuestiones: Inmunosupresión - nefro")</f>
        <v>LUP - 10 cuestiones: Inmunosupresión - nefro</v>
      </c>
      <c r="C13470" s="3" t="str">
        <f>HYPERLINK("https://otsuka-europe-crm.veevavault.com/ui/#object/sent_email__v/VBL00000001F291", "SE-001405927")</f>
        <v>SE-001405927</v>
      </c>
      <c r="D13470" s="1" t="s">
        <v>0</v>
      </c>
      <c r="E13470" s="2">
        <v>0</v>
      </c>
      <c r="F13470" s="2">
        <v>0</v>
      </c>
      <c r="G13470" s="2">
        <v>0</v>
      </c>
      <c r="H13470" s="1" t="s">
        <v>0</v>
      </c>
      <c r="I13470" s="2">
        <v>0</v>
      </c>
      <c r="J13470" s="1">
        <v>46076.750891203701</v>
      </c>
    </row>
    <row r="13471" spans="1:10" x14ac:dyDescent="0.2">
      <c r="A13471" s="4" t="s">
        <v>1</v>
      </c>
      <c r="B13471" s="3" t="str">
        <f>HYPERLINK("https://otsuka-europe-crm.veevavault.com/ui/#object/approved_document__v/V5O00000000Q011", "LUP - 10 cuestiones: Inmunosupresión - nefro")</f>
        <v>LUP - 10 cuestiones: Inmunosupresión - nefro</v>
      </c>
      <c r="C13471" s="3" t="str">
        <f>HYPERLINK("https://otsuka-europe-crm.veevavault.com/ui/#object/sent_email__v/VBL00000001F292", "SE-001405928")</f>
        <v>SE-001405928</v>
      </c>
      <c r="D13471" s="1">
        <v>46076.87840277778</v>
      </c>
      <c r="E13471" s="2">
        <v>1</v>
      </c>
      <c r="F13471" s="2">
        <v>2</v>
      </c>
      <c r="G13471" s="2">
        <v>0</v>
      </c>
      <c r="H13471" s="1" t="s">
        <v>0</v>
      </c>
      <c r="I13471" s="2">
        <v>0</v>
      </c>
      <c r="J13471" s="1">
        <v>46076.751064814816</v>
      </c>
    </row>
    <row r="13472" spans="1:10" x14ac:dyDescent="0.2">
      <c r="A13472" s="4" t="s">
        <v>1</v>
      </c>
      <c r="B13472" s="3" t="str">
        <f>HYPERLINK("https://otsuka-europe-crm.veevavault.com/ui/#object/approved_document__v/V5O00000000Q011", "LUP - 10 cuestiones: Inmunosupresión - nefro")</f>
        <v>LUP - 10 cuestiones: Inmunosupresión - nefro</v>
      </c>
      <c r="C13472" s="3" t="str">
        <f>HYPERLINK("https://otsuka-europe-crm.veevavault.com/ui/#object/sent_email__v/VBL00000001F293", "SE-001405929")</f>
        <v>SE-001405929</v>
      </c>
      <c r="D13472" s="1" t="s">
        <v>0</v>
      </c>
      <c r="E13472" s="2">
        <v>0</v>
      </c>
      <c r="F13472" s="2">
        <v>0</v>
      </c>
      <c r="G13472" s="2">
        <v>0</v>
      </c>
      <c r="H13472" s="1" t="s">
        <v>0</v>
      </c>
      <c r="I13472" s="2">
        <v>0</v>
      </c>
      <c r="J13472" s="1">
        <v>46076.751585648148</v>
      </c>
    </row>
    <row r="13473" spans="1:10" x14ac:dyDescent="0.2">
      <c r="A13473" s="4" t="s">
        <v>1</v>
      </c>
      <c r="B13473" s="3" t="str">
        <f>HYPERLINK("https://otsuka-europe-crm.veevavault.com/ui/#object/approved_document__v/V5O00000000Q011", "LUP - 10 cuestiones: Inmunosupresión - nefro")</f>
        <v>LUP - 10 cuestiones: Inmunosupresión - nefro</v>
      </c>
      <c r="C13473" s="3" t="str">
        <f>HYPERLINK("https://otsuka-europe-crm.veevavault.com/ui/#object/sent_email__v/VBL00000001F294", "SE-001405930")</f>
        <v>SE-001405930</v>
      </c>
      <c r="D13473" s="1" t="s">
        <v>0</v>
      </c>
      <c r="E13473" s="2">
        <v>0</v>
      </c>
      <c r="F13473" s="2">
        <v>0</v>
      </c>
      <c r="G13473" s="2">
        <v>0</v>
      </c>
      <c r="H13473" s="1" t="s">
        <v>0</v>
      </c>
      <c r="I13473" s="2">
        <v>0</v>
      </c>
      <c r="J13473" s="1">
        <v>46076.751736111109</v>
      </c>
    </row>
    <row r="13474" spans="1:10" x14ac:dyDescent="0.2">
      <c r="A13474" s="4" t="s">
        <v>1</v>
      </c>
      <c r="B13474" s="3" t="str">
        <f>HYPERLINK("https://otsuka-europe-crm.veevavault.com/ui/#object/approved_document__v/V5O00000000Q011", "LUP - 10 cuestiones: Inmunosupresión - nefro")</f>
        <v>LUP - 10 cuestiones: Inmunosupresión - nefro</v>
      </c>
      <c r="C13474" s="3" t="str">
        <f>HYPERLINK("https://otsuka-europe-crm.veevavault.com/ui/#object/sent_email__v/VBL00000001F295", "SE-001405931")</f>
        <v>SE-001405931</v>
      </c>
      <c r="D13474" s="1" t="s">
        <v>0</v>
      </c>
      <c r="E13474" s="2">
        <v>0</v>
      </c>
      <c r="F13474" s="2">
        <v>0</v>
      </c>
      <c r="G13474" s="2">
        <v>0</v>
      </c>
      <c r="H13474" s="1" t="s">
        <v>0</v>
      </c>
      <c r="I13474" s="2">
        <v>0</v>
      </c>
      <c r="J13474" s="1">
        <v>46076.751921296294</v>
      </c>
    </row>
    <row r="13475" spans="1:10" x14ac:dyDescent="0.2">
      <c r="A13475" s="4" t="s">
        <v>1</v>
      </c>
      <c r="B13475" s="3" t="str">
        <f>HYPERLINK("https://otsuka-europe-crm.veevavault.com/ui/#object/approved_document__v/V5O00000000Q011", "LUP - 10 cuestiones: Inmunosupresión - nefro")</f>
        <v>LUP - 10 cuestiones: Inmunosupresión - nefro</v>
      </c>
      <c r="C13475" s="3" t="str">
        <f>HYPERLINK("https://otsuka-europe-crm.veevavault.com/ui/#object/sent_email__v/VBL00000001F296", "SE-001405932")</f>
        <v>SE-001405932</v>
      </c>
      <c r="D13475" s="1">
        <v>46077.277418981481</v>
      </c>
      <c r="E13475" s="2">
        <v>1</v>
      </c>
      <c r="F13475" s="2">
        <v>1</v>
      </c>
      <c r="G13475" s="2">
        <v>0</v>
      </c>
      <c r="H13475" s="1" t="s">
        <v>0</v>
      </c>
      <c r="I13475" s="2">
        <v>0</v>
      </c>
      <c r="J13475" s="1">
        <v>46076.752071759256</v>
      </c>
    </row>
    <row r="13476" spans="1:10" x14ac:dyDescent="0.2">
      <c r="A13476" s="4" t="s">
        <v>1</v>
      </c>
      <c r="B13476" s="3" t="str">
        <f>HYPERLINK("https://otsuka-europe-crm.veevavault.com/ui/#object/approved_document__v/V5O00000000Q011", "LUP - 10 cuestiones: Inmunosupresión - nefro")</f>
        <v>LUP - 10 cuestiones: Inmunosupresión - nefro</v>
      </c>
      <c r="C13476" s="3" t="str">
        <f>HYPERLINK("https://otsuka-europe-crm.veevavault.com/ui/#object/sent_email__v/VBL00000001F297", "SE-001405933")</f>
        <v>SE-001405933</v>
      </c>
      <c r="D13476" s="1">
        <v>46077.217418981483</v>
      </c>
      <c r="E13476" s="2">
        <v>1</v>
      </c>
      <c r="F13476" s="2">
        <v>2</v>
      </c>
      <c r="G13476" s="2">
        <v>0</v>
      </c>
      <c r="H13476" s="1" t="s">
        <v>0</v>
      </c>
      <c r="I13476" s="2">
        <v>0</v>
      </c>
      <c r="J13476" s="1">
        <v>46076.752233796295</v>
      </c>
    </row>
    <row r="13477" spans="1:10" x14ac:dyDescent="0.2">
      <c r="A13477" s="4" t="s">
        <v>1</v>
      </c>
      <c r="B13477" s="3" t="str">
        <f>HYPERLINK("https://otsuka-europe-crm.veevavault.com/ui/#object/approved_document__v/V5O00000000Q011", "LUP - 10 cuestiones: Inmunosupresión - nefro")</f>
        <v>LUP - 10 cuestiones: Inmunosupresión - nefro</v>
      </c>
      <c r="C13477" s="3" t="str">
        <f>HYPERLINK("https://otsuka-europe-crm.veevavault.com/ui/#object/sent_email__v/VBL00000001F298", "SE-001405934")</f>
        <v>SE-001405934</v>
      </c>
      <c r="D13477" s="1">
        <v>46077.37699074074</v>
      </c>
      <c r="E13477" s="2">
        <v>1</v>
      </c>
      <c r="F13477" s="2">
        <v>2</v>
      </c>
      <c r="G13477" s="2">
        <v>0</v>
      </c>
      <c r="H13477" s="1" t="s">
        <v>0</v>
      </c>
      <c r="I13477" s="2">
        <v>0</v>
      </c>
      <c r="J13477" s="1">
        <v>46076.75240740741</v>
      </c>
    </row>
    <row r="13478" spans="1:10" x14ac:dyDescent="0.2">
      <c r="A13478" s="4" t="s">
        <v>1</v>
      </c>
      <c r="B13478" s="3" t="str">
        <f>HYPERLINK("https://otsuka-europe-crm.veevavault.com/ui/#object/approved_document__v/V5O00000000Q011", "LUP - 10 cuestiones: Inmunosupresión - nefro")</f>
        <v>LUP - 10 cuestiones: Inmunosupresión - nefro</v>
      </c>
      <c r="C13478" s="3" t="str">
        <f>HYPERLINK("https://otsuka-europe-crm.veevavault.com/ui/#object/sent_email__v/VBL00000001G482", "SE-001405935")</f>
        <v>SE-001405935</v>
      </c>
      <c r="D13478" s="1" t="s">
        <v>0</v>
      </c>
      <c r="E13478" s="2">
        <v>0</v>
      </c>
      <c r="F13478" s="2">
        <v>0</v>
      </c>
      <c r="G13478" s="2">
        <v>0</v>
      </c>
      <c r="H13478" s="1" t="s">
        <v>0</v>
      </c>
      <c r="I13478" s="2">
        <v>0</v>
      </c>
      <c r="J13478" s="1">
        <v>46076.753553240742</v>
      </c>
    </row>
    <row r="13479" spans="1:10" x14ac:dyDescent="0.2">
      <c r="A13479" s="4" t="s">
        <v>1</v>
      </c>
      <c r="B13479" s="3" t="str">
        <f>HYPERLINK("https://otsuka-europe-crm.veevavault.com/ui/#object/approved_document__v/V5O00000000Q011", "LUP - 10 cuestiones: Inmunosupresión - nefro")</f>
        <v>LUP - 10 cuestiones: Inmunosupresión - nefro</v>
      </c>
      <c r="C13479" s="3" t="str">
        <f>HYPERLINK("https://otsuka-europe-crm.veevavault.com/ui/#object/sent_email__v/VBL00000001G483", "SE-001405936")</f>
        <v>SE-001405936</v>
      </c>
      <c r="D13479" s="1">
        <v>46077.154907407406</v>
      </c>
      <c r="E13479" s="2">
        <v>1</v>
      </c>
      <c r="F13479" s="2">
        <v>2</v>
      </c>
      <c r="G13479" s="2">
        <v>0</v>
      </c>
      <c r="H13479" s="1" t="s">
        <v>0</v>
      </c>
      <c r="I13479" s="2">
        <v>0</v>
      </c>
      <c r="J13479" s="1">
        <v>46076.753703703704</v>
      </c>
    </row>
    <row r="13480" spans="1:10" x14ac:dyDescent="0.2">
      <c r="A13480" s="4" t="s">
        <v>1</v>
      </c>
      <c r="B13480" s="3" t="str">
        <f>HYPERLINK("https://otsuka-europe-crm.veevavault.com/ui/#object/approved_document__v/V5O00000000Q011", "LUP - 10 cuestiones: Inmunosupresión - nefro")</f>
        <v>LUP - 10 cuestiones: Inmunosupresión - nefro</v>
      </c>
      <c r="C13480" s="3" t="str">
        <f>HYPERLINK("https://otsuka-europe-crm.veevavault.com/ui/#object/sent_email__v/VBL00000001G484", "SE-001405937")</f>
        <v>SE-001405937</v>
      </c>
      <c r="D13480" s="1" t="s">
        <v>0</v>
      </c>
      <c r="E13480" s="2">
        <v>0</v>
      </c>
      <c r="F13480" s="2">
        <v>0</v>
      </c>
      <c r="G13480" s="2">
        <v>0</v>
      </c>
      <c r="H13480" s="1" t="s">
        <v>0</v>
      </c>
      <c r="I13480" s="2">
        <v>0</v>
      </c>
      <c r="J13480" s="1">
        <v>46076.753877314812</v>
      </c>
    </row>
    <row r="13481" spans="1:10" x14ac:dyDescent="0.2">
      <c r="A13481" s="4" t="s">
        <v>1</v>
      </c>
      <c r="B13481" s="3" t="str">
        <f>HYPERLINK("https://otsuka-europe-crm.veevavault.com/ui/#object/approved_document__v/V5O00000000Q011", "LUP - 10 cuestiones: Inmunosupresión - nefro")</f>
        <v>LUP - 10 cuestiones: Inmunosupresión - nefro</v>
      </c>
      <c r="C13481" s="3" t="str">
        <f>HYPERLINK("https://otsuka-europe-crm.veevavault.com/ui/#object/sent_email__v/VBL00000001G485", "SE-001405938")</f>
        <v>SE-001405938</v>
      </c>
      <c r="D13481" s="1">
        <v>46077.786412037036</v>
      </c>
      <c r="E13481" s="2">
        <v>1</v>
      </c>
      <c r="F13481" s="2">
        <v>1</v>
      </c>
      <c r="G13481" s="2">
        <v>0</v>
      </c>
      <c r="H13481" s="1" t="s">
        <v>0</v>
      </c>
      <c r="I13481" s="2">
        <v>0</v>
      </c>
      <c r="J13481" s="1">
        <v>46076.75403935185</v>
      </c>
    </row>
    <row r="13482" spans="1:10" x14ac:dyDescent="0.2">
      <c r="A13482" s="4" t="s">
        <v>1</v>
      </c>
      <c r="B13482" s="3" t="str">
        <f>HYPERLINK("https://otsuka-europe-crm.veevavault.com/ui/#object/approved_document__v/V5O00000000Q011", "LUP - 10 cuestiones: Inmunosupresión - nefro")</f>
        <v>LUP - 10 cuestiones: Inmunosupresión - nefro</v>
      </c>
      <c r="C13482" s="3" t="str">
        <f>HYPERLINK("https://otsuka-europe-crm.veevavault.com/ui/#object/sent_email__v/VBL00000001F299", "SE-001405939")</f>
        <v>SE-001405939</v>
      </c>
      <c r="D13482" s="1" t="s">
        <v>0</v>
      </c>
      <c r="E13482" s="2">
        <v>0</v>
      </c>
      <c r="F13482" s="2">
        <v>0</v>
      </c>
      <c r="G13482" s="2">
        <v>0</v>
      </c>
      <c r="H13482" s="1" t="s">
        <v>0</v>
      </c>
      <c r="I13482" s="2">
        <v>0</v>
      </c>
      <c r="J13482" s="1">
        <v>46076.754062499997</v>
      </c>
    </row>
    <row r="13483" spans="1:10" x14ac:dyDescent="0.2">
      <c r="A13483" s="4" t="s">
        <v>1</v>
      </c>
      <c r="B13483" s="3" t="str">
        <f>HYPERLINK("https://otsuka-europe-crm.veevavault.com/ui/#object/approved_document__v/V5O00000000Q011", "LUP - 10 cuestiones: Inmunosupresión - nefro")</f>
        <v>LUP - 10 cuestiones: Inmunosupresión - nefro</v>
      </c>
      <c r="C13483" s="3" t="str">
        <f>HYPERLINK("https://otsuka-europe-crm.veevavault.com/ui/#object/sent_email__v/VBL00000001F300", "SE-001405940")</f>
        <v>SE-001405940</v>
      </c>
      <c r="D13483" s="1" t="s">
        <v>0</v>
      </c>
      <c r="E13483" s="2">
        <v>0</v>
      </c>
      <c r="F13483" s="2">
        <v>0</v>
      </c>
      <c r="G13483" s="2">
        <v>0</v>
      </c>
      <c r="H13483" s="1" t="s">
        <v>0</v>
      </c>
      <c r="I13483" s="2">
        <v>0</v>
      </c>
      <c r="J13483" s="1">
        <v>46076.754224537035</v>
      </c>
    </row>
    <row r="13484" spans="1:10" x14ac:dyDescent="0.2">
      <c r="A13484" s="4" t="s">
        <v>1</v>
      </c>
      <c r="B13484" s="3" t="str">
        <f>HYPERLINK("https://otsuka-europe-crm.veevavault.com/ui/#object/approved_document__v/V5O00000000Q012", "LUP - 10 cuestiones: Inmunosupresión - reuma")</f>
        <v>LUP - 10 cuestiones: Inmunosupresión - reuma</v>
      </c>
      <c r="C13484" s="3" t="str">
        <f>HYPERLINK("https://otsuka-europe-crm.veevavault.com/ui/#object/sent_email__v/VBL00000001E363", "SE-001404870")</f>
        <v>SE-001404870</v>
      </c>
      <c r="D13484" s="1" t="s">
        <v>0</v>
      </c>
      <c r="E13484" s="2">
        <v>0</v>
      </c>
      <c r="F13484" s="2">
        <v>0</v>
      </c>
      <c r="G13484" s="2">
        <v>0</v>
      </c>
      <c r="H13484" s="1" t="s">
        <v>0</v>
      </c>
      <c r="I13484" s="2">
        <v>0</v>
      </c>
      <c r="J13484" s="1">
        <v>46071.608263888891</v>
      </c>
    </row>
    <row r="13485" spans="1:10" x14ac:dyDescent="0.2">
      <c r="A13485" s="4" t="s">
        <v>1</v>
      </c>
      <c r="B13485" s="3" t="str">
        <f>HYPERLINK("https://otsuka-europe-crm.veevavault.com/ui/#object/approved_document__v/V5O00000000Q012", "LUP - 10 cuestiones: Inmunosupresión - reuma")</f>
        <v>LUP - 10 cuestiones: Inmunosupresión - reuma</v>
      </c>
      <c r="C13485" s="3" t="str">
        <f>HYPERLINK("https://otsuka-europe-crm.veevavault.com/ui/#object/sent_email__v/VBL00000001E381", "SE-001404894")</f>
        <v>SE-001404894</v>
      </c>
      <c r="D13485" s="1" t="s">
        <v>0</v>
      </c>
      <c r="E13485" s="2">
        <v>0</v>
      </c>
      <c r="F13485" s="2">
        <v>0</v>
      </c>
      <c r="G13485" s="2">
        <v>0</v>
      </c>
      <c r="H13485" s="1" t="s">
        <v>0</v>
      </c>
      <c r="I13485" s="2">
        <v>0</v>
      </c>
      <c r="J13485" s="1">
        <v>46072.285312499997</v>
      </c>
    </row>
    <row r="13486" spans="1:10" x14ac:dyDescent="0.2">
      <c r="A13486" s="4" t="s">
        <v>1</v>
      </c>
      <c r="B13486" s="3" t="str">
        <f>HYPERLINK("https://otsuka-europe-crm.veevavault.com/ui/#object/approved_document__v/V5O00000000Q012", "LUP - 10 cuestiones: Inmunosupresión - reuma")</f>
        <v>LUP - 10 cuestiones: Inmunosupresión - reuma</v>
      </c>
      <c r="C13486" s="3" t="str">
        <f>HYPERLINK("https://otsuka-europe-crm.veevavault.com/ui/#object/sent_email__v/VBL00000001E382", "SE-001404895")</f>
        <v>SE-001404895</v>
      </c>
      <c r="D13486" s="1">
        <v>46076.569722222222</v>
      </c>
      <c r="E13486" s="2">
        <v>1</v>
      </c>
      <c r="F13486" s="2">
        <v>3</v>
      </c>
      <c r="G13486" s="2">
        <v>0</v>
      </c>
      <c r="H13486" s="1" t="s">
        <v>0</v>
      </c>
      <c r="I13486" s="2">
        <v>0</v>
      </c>
      <c r="J13486" s="1">
        <v>46072.285474537035</v>
      </c>
    </row>
    <row r="13487" spans="1:10" x14ac:dyDescent="0.2">
      <c r="A13487" s="4" t="s">
        <v>1</v>
      </c>
      <c r="B13487" s="3" t="str">
        <f>HYPERLINK("https://otsuka-europe-crm.veevavault.com/ui/#object/approved_document__v/V5O00000000Q012", "LUP - 10 cuestiones: Inmunosupresión - reuma")</f>
        <v>LUP - 10 cuestiones: Inmunosupresión - reuma</v>
      </c>
      <c r="C13487" s="3" t="str">
        <f>HYPERLINK("https://otsuka-europe-crm.veevavault.com/ui/#object/sent_email__v/VBL00000001E383", "SE-001404896")</f>
        <v>SE-001404896</v>
      </c>
      <c r="D13487" s="1" t="s">
        <v>0</v>
      </c>
      <c r="E13487" s="2">
        <v>0</v>
      </c>
      <c r="F13487" s="2">
        <v>0</v>
      </c>
      <c r="G13487" s="2">
        <v>0</v>
      </c>
      <c r="H13487" s="1" t="s">
        <v>0</v>
      </c>
      <c r="I13487" s="2">
        <v>0</v>
      </c>
      <c r="J13487" s="1">
        <v>46072.28564814815</v>
      </c>
    </row>
    <row r="13488" spans="1:10" x14ac:dyDescent="0.2">
      <c r="A13488" s="4" t="s">
        <v>1</v>
      </c>
      <c r="B13488" s="3" t="str">
        <f>HYPERLINK("https://otsuka-europe-crm.veevavault.com/ui/#object/approved_document__v/V5O00000000Q012", "LUP - 10 cuestiones: Inmunosupresión - reuma")</f>
        <v>LUP - 10 cuestiones: Inmunosupresión - reuma</v>
      </c>
      <c r="C13488" s="3" t="str">
        <f>HYPERLINK("https://otsuka-europe-crm.veevavault.com/ui/#object/sent_email__v/VBL00000001E384", "SE-001404897")</f>
        <v>SE-001404897</v>
      </c>
      <c r="D13488" s="1">
        <v>46075.443761574075</v>
      </c>
      <c r="E13488" s="2">
        <v>1</v>
      </c>
      <c r="F13488" s="2">
        <v>1</v>
      </c>
      <c r="G13488" s="2">
        <v>0</v>
      </c>
      <c r="H13488" s="1" t="s">
        <v>0</v>
      </c>
      <c r="I13488" s="2">
        <v>0</v>
      </c>
      <c r="J13488" s="1">
        <v>46072.285810185182</v>
      </c>
    </row>
    <row r="13489" spans="1:10" x14ac:dyDescent="0.2">
      <c r="A13489" s="4" t="s">
        <v>1</v>
      </c>
      <c r="B13489" s="3" t="str">
        <f>HYPERLINK("https://otsuka-europe-crm.veevavault.com/ui/#object/approved_document__v/V5O00000000Q012", "LUP - 10 cuestiones: Inmunosupresión - reuma")</f>
        <v>LUP - 10 cuestiones: Inmunosupresión - reuma</v>
      </c>
      <c r="C13489" s="3" t="str">
        <f>HYPERLINK("https://otsuka-europe-crm.veevavault.com/ui/#object/sent_email__v/VBL00000001E385", "SE-001404898")</f>
        <v>SE-001404898</v>
      </c>
      <c r="D13489" s="1" t="s">
        <v>0</v>
      </c>
      <c r="E13489" s="2">
        <v>0</v>
      </c>
      <c r="F13489" s="2">
        <v>0</v>
      </c>
      <c r="G13489" s="2">
        <v>0</v>
      </c>
      <c r="H13489" s="1" t="s">
        <v>0</v>
      </c>
      <c r="I13489" s="2">
        <v>0</v>
      </c>
      <c r="J13489" s="1">
        <v>46072.28597222222</v>
      </c>
    </row>
    <row r="13490" spans="1:10" x14ac:dyDescent="0.2">
      <c r="A13490" s="4" t="s">
        <v>1</v>
      </c>
      <c r="B13490" s="3" t="str">
        <f>HYPERLINK("https://otsuka-europe-crm.veevavault.com/ui/#object/approved_document__v/V5O00000000Q012", "LUP - 10 cuestiones: Inmunosupresión - reuma")</f>
        <v>LUP - 10 cuestiones: Inmunosupresión - reuma</v>
      </c>
      <c r="C13490" s="3" t="str">
        <f>HYPERLINK("https://otsuka-europe-crm.veevavault.com/ui/#object/sent_email__v/VBL00000001E386", "SE-001404899")</f>
        <v>SE-001404899</v>
      </c>
      <c r="D13490" s="1">
        <v>46074.515023148146</v>
      </c>
      <c r="E13490" s="2">
        <v>1</v>
      </c>
      <c r="F13490" s="2">
        <v>2</v>
      </c>
      <c r="G13490" s="2">
        <v>0</v>
      </c>
      <c r="H13490" s="1" t="s">
        <v>0</v>
      </c>
      <c r="I13490" s="2">
        <v>0</v>
      </c>
      <c r="J13490" s="1">
        <v>46072.286145833335</v>
      </c>
    </row>
    <row r="13491" spans="1:10" x14ac:dyDescent="0.2">
      <c r="A13491" s="4" t="s">
        <v>1</v>
      </c>
      <c r="B13491" s="3" t="str">
        <f>HYPERLINK("https://otsuka-europe-crm.veevavault.com/ui/#object/approved_document__v/V5O00000000Q012", "LUP - 10 cuestiones: Inmunosupresión - reuma")</f>
        <v>LUP - 10 cuestiones: Inmunosupresión - reuma</v>
      </c>
      <c r="C13491" s="3" t="str">
        <f>HYPERLINK("https://otsuka-europe-crm.veevavault.com/ui/#object/sent_email__v/VBL00000001E387", "SE-001404900")</f>
        <v>SE-001404900</v>
      </c>
      <c r="D13491" s="1">
        <v>46073.399826388886</v>
      </c>
      <c r="E13491" s="2">
        <v>1</v>
      </c>
      <c r="F13491" s="2">
        <v>3</v>
      </c>
      <c r="G13491" s="2">
        <v>0</v>
      </c>
      <c r="H13491" s="1" t="s">
        <v>0</v>
      </c>
      <c r="I13491" s="2">
        <v>0</v>
      </c>
      <c r="J13491" s="1">
        <v>46072.286319444444</v>
      </c>
    </row>
    <row r="13492" spans="1:10" x14ac:dyDescent="0.2">
      <c r="A13492" s="4" t="s">
        <v>1</v>
      </c>
      <c r="B13492" s="3" t="str">
        <f>HYPERLINK("https://otsuka-europe-crm.veevavault.com/ui/#object/approved_document__v/V5O00000000Q012", "LUP - 10 cuestiones: Inmunosupresión - reuma")</f>
        <v>LUP - 10 cuestiones: Inmunosupresión - reuma</v>
      </c>
      <c r="C13492" s="3" t="str">
        <f>HYPERLINK("https://otsuka-europe-crm.veevavault.com/ui/#object/sent_email__v/VBL00000001E388", "SE-001404901")</f>
        <v>SE-001404901</v>
      </c>
      <c r="D13492" s="1">
        <v>46072.287314814814</v>
      </c>
      <c r="E13492" s="2">
        <v>1</v>
      </c>
      <c r="F13492" s="2">
        <v>4</v>
      </c>
      <c r="G13492" s="2">
        <v>1</v>
      </c>
      <c r="H13492" s="1">
        <v>46072.288518518515</v>
      </c>
      <c r="I13492" s="2">
        <v>24</v>
      </c>
      <c r="J13492" s="1">
        <v>46072.286469907405</v>
      </c>
    </row>
    <row r="13493" spans="1:10" x14ac:dyDescent="0.2">
      <c r="A13493" s="4" t="s">
        <v>1</v>
      </c>
      <c r="B13493" s="3" t="str">
        <f>HYPERLINK("https://otsuka-europe-crm.veevavault.com/ui/#object/approved_document__v/V5O00000000Q012", "LUP - 10 cuestiones: Inmunosupresión - reuma")</f>
        <v>LUP - 10 cuestiones: Inmunosupresión - reuma</v>
      </c>
      <c r="C13493" s="3" t="str">
        <f>HYPERLINK("https://otsuka-europe-crm.veevavault.com/ui/#object/sent_email__v/VBL00000001E389", "SE-001404902")</f>
        <v>SE-001404902</v>
      </c>
      <c r="D13493" s="1">
        <v>46072.293599537035</v>
      </c>
      <c r="E13493" s="2">
        <v>1</v>
      </c>
      <c r="F13493" s="2">
        <v>1</v>
      </c>
      <c r="G13493" s="2">
        <v>0</v>
      </c>
      <c r="H13493" s="1" t="s">
        <v>0</v>
      </c>
      <c r="I13493" s="2">
        <v>0</v>
      </c>
      <c r="J13493" s="1">
        <v>46072.286678240744</v>
      </c>
    </row>
    <row r="13494" spans="1:10" x14ac:dyDescent="0.2">
      <c r="A13494" s="4" t="s">
        <v>1</v>
      </c>
      <c r="B13494" s="3" t="str">
        <f>HYPERLINK("https://otsuka-europe-crm.veevavault.com/ui/#object/approved_document__v/V5O00000000Q012", "LUP - 10 cuestiones: Inmunosupresión - reuma")</f>
        <v>LUP - 10 cuestiones: Inmunosupresión - reuma</v>
      </c>
      <c r="C13494" s="3" t="str">
        <f>HYPERLINK("https://otsuka-europe-crm.veevavault.com/ui/#object/sent_email__v/VBL00000001E390", "SE-001404903")</f>
        <v>SE-001404903</v>
      </c>
      <c r="D13494" s="1">
        <v>46073.803969907407</v>
      </c>
      <c r="E13494" s="2">
        <v>1</v>
      </c>
      <c r="F13494" s="2">
        <v>1</v>
      </c>
      <c r="G13494" s="2">
        <v>0</v>
      </c>
      <c r="H13494" s="1" t="s">
        <v>0</v>
      </c>
      <c r="I13494" s="2">
        <v>0</v>
      </c>
      <c r="J13494" s="1">
        <v>46072.286840277775</v>
      </c>
    </row>
    <row r="13495" spans="1:10" x14ac:dyDescent="0.2">
      <c r="A13495" s="4" t="s">
        <v>1</v>
      </c>
      <c r="B13495" s="3" t="str">
        <f>HYPERLINK("https://otsuka-europe-crm.veevavault.com/ui/#object/approved_document__v/V5O00000000Q012", "LUP - 10 cuestiones: Inmunosupresión - reuma")</f>
        <v>LUP - 10 cuestiones: Inmunosupresión - reuma</v>
      </c>
      <c r="C13495" s="3" t="str">
        <f>HYPERLINK("https://otsuka-europe-crm.veevavault.com/ui/#object/sent_email__v/VBL00000001E391", "SE-001404904")</f>
        <v>SE-001404904</v>
      </c>
      <c r="D13495" s="1">
        <v>46072.287662037037</v>
      </c>
      <c r="E13495" s="2">
        <v>1</v>
      </c>
      <c r="F13495" s="2">
        <v>3</v>
      </c>
      <c r="G13495" s="2">
        <v>1</v>
      </c>
      <c r="H13495" s="1">
        <v>46072.288703703707</v>
      </c>
      <c r="I13495" s="2">
        <v>24</v>
      </c>
      <c r="J13495" s="1">
        <v>46072.287060185183</v>
      </c>
    </row>
    <row r="13496" spans="1:10" x14ac:dyDescent="0.2">
      <c r="A13496" s="4" t="s">
        <v>1</v>
      </c>
      <c r="B13496" s="3" t="str">
        <f>HYPERLINK("https://otsuka-europe-crm.veevavault.com/ui/#object/approved_document__v/V5O00000000Q012", "LUP - 10 cuestiones: Inmunosupresión - reuma")</f>
        <v>LUP - 10 cuestiones: Inmunosupresión - reuma</v>
      </c>
      <c r="C13496" s="3" t="str">
        <f>HYPERLINK("https://otsuka-europe-crm.veevavault.com/ui/#object/sent_email__v/VBL00000001E392", "SE-001404905")</f>
        <v>SE-001404905</v>
      </c>
      <c r="D13496" s="1" t="s">
        <v>0</v>
      </c>
      <c r="E13496" s="2">
        <v>0</v>
      </c>
      <c r="F13496" s="2">
        <v>0</v>
      </c>
      <c r="G13496" s="2">
        <v>0</v>
      </c>
      <c r="H13496" s="1" t="s">
        <v>0</v>
      </c>
      <c r="I13496" s="2">
        <v>0</v>
      </c>
      <c r="J13496" s="1">
        <v>46072.287314814814</v>
      </c>
    </row>
    <row r="13497" spans="1:10" x14ac:dyDescent="0.2">
      <c r="A13497" s="4" t="s">
        <v>1</v>
      </c>
      <c r="B13497" s="3" t="str">
        <f>HYPERLINK("https://otsuka-europe-crm.veevavault.com/ui/#object/approved_document__v/V5O00000000Q012", "LUP - 10 cuestiones: Inmunosupresión - reuma")</f>
        <v>LUP - 10 cuestiones: Inmunosupresión - reuma</v>
      </c>
      <c r="C13497" s="3" t="str">
        <f>HYPERLINK("https://otsuka-europe-crm.veevavault.com/ui/#object/sent_email__v/VBL00000001E393", "SE-001404906")</f>
        <v>SE-001404906</v>
      </c>
      <c r="D13497" s="1">
        <v>46074.666134259256</v>
      </c>
      <c r="E13497" s="2">
        <v>1</v>
      </c>
      <c r="F13497" s="2">
        <v>5</v>
      </c>
      <c r="G13497" s="2">
        <v>0</v>
      </c>
      <c r="H13497" s="1" t="s">
        <v>0</v>
      </c>
      <c r="I13497" s="2">
        <v>0</v>
      </c>
      <c r="J13497" s="1">
        <v>46072.287557870368</v>
      </c>
    </row>
    <row r="13498" spans="1:10" x14ac:dyDescent="0.2">
      <c r="A13498" s="4" t="s">
        <v>1</v>
      </c>
      <c r="B13498" s="3" t="str">
        <f>HYPERLINK("https://otsuka-europe-crm.veevavault.com/ui/#object/approved_document__v/V5O00000000Q012", "LUP - 10 cuestiones: Inmunosupresión - reuma")</f>
        <v>LUP - 10 cuestiones: Inmunosupresión - reuma</v>
      </c>
      <c r="C13498" s="3" t="str">
        <f>HYPERLINK("https://otsuka-europe-crm.veevavault.com/ui/#object/sent_email__v/VBL00000001E394", "SE-001404907")</f>
        <v>SE-001404907</v>
      </c>
      <c r="D13498" s="1" t="s">
        <v>0</v>
      </c>
      <c r="E13498" s="2">
        <v>0</v>
      </c>
      <c r="F13498" s="2">
        <v>0</v>
      </c>
      <c r="G13498" s="2">
        <v>0</v>
      </c>
      <c r="H13498" s="1" t="s">
        <v>0</v>
      </c>
      <c r="I13498" s="2">
        <v>0</v>
      </c>
      <c r="J13498" s="1">
        <v>46072.287812499999</v>
      </c>
    </row>
    <row r="13499" spans="1:10" x14ac:dyDescent="0.2">
      <c r="A13499" s="4" t="s">
        <v>1</v>
      </c>
      <c r="B13499" s="3" t="str">
        <f>HYPERLINK("https://otsuka-europe-crm.veevavault.com/ui/#object/approved_document__v/V5O00000000Q012", "LUP - 10 cuestiones: Inmunosupresión - reuma")</f>
        <v>LUP - 10 cuestiones: Inmunosupresión - reuma</v>
      </c>
      <c r="C13499" s="3" t="str">
        <f>HYPERLINK("https://otsuka-europe-crm.veevavault.com/ui/#object/sent_email__v/VBL00000001E395", "SE-001404908")</f>
        <v>SE-001404908</v>
      </c>
      <c r="D13499" s="1">
        <v>46072.732731481483</v>
      </c>
      <c r="E13499" s="2">
        <v>1</v>
      </c>
      <c r="F13499" s="2">
        <v>11</v>
      </c>
      <c r="G13499" s="2">
        <v>0</v>
      </c>
      <c r="H13499" s="1" t="s">
        <v>0</v>
      </c>
      <c r="I13499" s="2">
        <v>0</v>
      </c>
      <c r="J13499" s="1">
        <v>46072.288055555553</v>
      </c>
    </row>
    <row r="13500" spans="1:10" x14ac:dyDescent="0.2">
      <c r="A13500" s="4" t="s">
        <v>1</v>
      </c>
      <c r="B13500" s="3" t="str">
        <f>HYPERLINK("https://otsuka-europe-crm.veevavault.com/ui/#object/approved_document__v/V5O00000000Q012", "LUP - 10 cuestiones: Inmunosupresión - reuma")</f>
        <v>LUP - 10 cuestiones: Inmunosupresión - reuma</v>
      </c>
      <c r="C13500" s="3" t="str">
        <f>HYPERLINK("https://otsuka-europe-crm.veevavault.com/ui/#object/sent_email__v/VBL00000001E396", "SE-001404909")</f>
        <v>SE-001404909</v>
      </c>
      <c r="D13500" s="1" t="s">
        <v>0</v>
      </c>
      <c r="E13500" s="2">
        <v>0</v>
      </c>
      <c r="F13500" s="2">
        <v>0</v>
      </c>
      <c r="G13500" s="2">
        <v>0</v>
      </c>
      <c r="H13500" s="1" t="s">
        <v>0</v>
      </c>
      <c r="I13500" s="2">
        <v>0</v>
      </c>
      <c r="J13500" s="1">
        <v>46072.285810185182</v>
      </c>
    </row>
    <row r="13501" spans="1:10" x14ac:dyDescent="0.2">
      <c r="A13501" s="4" t="s">
        <v>1</v>
      </c>
      <c r="B13501" s="3" t="str">
        <f>HYPERLINK("https://otsuka-europe-crm.veevavault.com/ui/#object/approved_document__v/V5O00000000Q012", "LUP - 10 cuestiones: Inmunosupresión - reuma")</f>
        <v>LUP - 10 cuestiones: Inmunosupresión - reuma</v>
      </c>
      <c r="C13501" s="3" t="str">
        <f>HYPERLINK("https://otsuka-europe-crm.veevavault.com/ui/#object/sent_email__v/VBL00000001E397", "SE-001404910")</f>
        <v>SE-001404910</v>
      </c>
      <c r="D13501" s="1" t="s">
        <v>0</v>
      </c>
      <c r="E13501" s="2">
        <v>0</v>
      </c>
      <c r="F13501" s="2">
        <v>0</v>
      </c>
      <c r="G13501" s="2">
        <v>0</v>
      </c>
      <c r="H13501" s="1" t="s">
        <v>0</v>
      </c>
      <c r="I13501" s="2">
        <v>0</v>
      </c>
      <c r="J13501" s="1">
        <v>46072.285983796297</v>
      </c>
    </row>
    <row r="13502" spans="1:10" x14ac:dyDescent="0.2">
      <c r="A13502" s="4" t="s">
        <v>1</v>
      </c>
      <c r="B13502" s="3" t="str">
        <f>HYPERLINK("https://otsuka-europe-crm.veevavault.com/ui/#object/approved_document__v/V5O00000000Q012", "LUP - 10 cuestiones: Inmunosupresión - reuma")</f>
        <v>LUP - 10 cuestiones: Inmunosupresión - reuma</v>
      </c>
      <c r="C13502" s="3" t="str">
        <f>HYPERLINK("https://otsuka-europe-crm.veevavault.com/ui/#object/sent_email__v/VBL00000001E398", "SE-001404911")</f>
        <v>SE-001404911</v>
      </c>
      <c r="D13502" s="1" t="s">
        <v>0</v>
      </c>
      <c r="E13502" s="2">
        <v>0</v>
      </c>
      <c r="F13502" s="2">
        <v>0</v>
      </c>
      <c r="G13502" s="2">
        <v>0</v>
      </c>
      <c r="H13502" s="1" t="s">
        <v>0</v>
      </c>
      <c r="I13502" s="2">
        <v>0</v>
      </c>
      <c r="J13502" s="1">
        <v>46072.286145833335</v>
      </c>
    </row>
    <row r="13503" spans="1:10" x14ac:dyDescent="0.2">
      <c r="A13503" s="4" t="s">
        <v>1</v>
      </c>
      <c r="B13503" s="3" t="str">
        <f>HYPERLINK("https://otsuka-europe-crm.veevavault.com/ui/#object/approved_document__v/V5O00000000Q012", "LUP - 10 cuestiones: Inmunosupresión - reuma")</f>
        <v>LUP - 10 cuestiones: Inmunosupresión - reuma</v>
      </c>
      <c r="C13503" s="3" t="str">
        <f>HYPERLINK("https://otsuka-europe-crm.veevavault.com/ui/#object/sent_email__v/VBL00000001E399", "SE-001404912")</f>
        <v>SE-001404912</v>
      </c>
      <c r="D13503" s="1">
        <v>46072.631990740738</v>
      </c>
      <c r="E13503" s="2">
        <v>1</v>
      </c>
      <c r="F13503" s="2">
        <v>1</v>
      </c>
      <c r="G13503" s="2">
        <v>0</v>
      </c>
      <c r="H13503" s="1" t="s">
        <v>0</v>
      </c>
      <c r="I13503" s="2">
        <v>0</v>
      </c>
      <c r="J13503" s="1">
        <v>46072.286319444444</v>
      </c>
    </row>
    <row r="13504" spans="1:10" x14ac:dyDescent="0.2">
      <c r="A13504" s="4" t="s">
        <v>1</v>
      </c>
      <c r="B13504" s="3" t="str">
        <f>HYPERLINK("https://otsuka-europe-crm.veevavault.com/ui/#object/approved_document__v/V5O00000000Q012", "LUP - 10 cuestiones: Inmunosupresión - reuma")</f>
        <v>LUP - 10 cuestiones: Inmunosupresión - reuma</v>
      </c>
      <c r="C13504" s="3" t="str">
        <f>HYPERLINK("https://otsuka-europe-crm.veevavault.com/ui/#object/sent_email__v/VBL00000001G135", "SE-001405306")</f>
        <v>SE-001405306</v>
      </c>
      <c r="D13504" s="1" t="s">
        <v>0</v>
      </c>
      <c r="E13504" s="2">
        <v>0</v>
      </c>
      <c r="F13504" s="2">
        <v>0</v>
      </c>
      <c r="G13504" s="2">
        <v>0</v>
      </c>
      <c r="H13504" s="1" t="s">
        <v>0</v>
      </c>
      <c r="I13504" s="2">
        <v>0</v>
      </c>
      <c r="J13504" s="1">
        <v>46073.457002314812</v>
      </c>
    </row>
    <row r="13505" spans="1:10" x14ac:dyDescent="0.2">
      <c r="A13505" s="4" t="s">
        <v>1</v>
      </c>
      <c r="B13505" s="3" t="str">
        <f>HYPERLINK("https://otsuka-europe-crm.veevavault.com/ui/#object/approved_document__v/V5O00000000Q012", "LUP - 10 cuestiones: Inmunosupresión - reuma")</f>
        <v>LUP - 10 cuestiones: Inmunosupresión - reuma</v>
      </c>
      <c r="C13505" s="3" t="str">
        <f>HYPERLINK("https://otsuka-europe-crm.veevavault.com/ui/#object/sent_email__v/VBL00000001G136", "SE-001405307")</f>
        <v>SE-001405307</v>
      </c>
      <c r="D13505" s="1" t="s">
        <v>0</v>
      </c>
      <c r="E13505" s="2">
        <v>0</v>
      </c>
      <c r="F13505" s="2">
        <v>0</v>
      </c>
      <c r="G13505" s="2">
        <v>0</v>
      </c>
      <c r="H13505" s="1" t="s">
        <v>0</v>
      </c>
      <c r="I13505" s="2">
        <v>0</v>
      </c>
      <c r="J13505" s="1">
        <v>46073.457002314812</v>
      </c>
    </row>
    <row r="13506" spans="1:10" x14ac:dyDescent="0.2">
      <c r="A13506" s="4" t="s">
        <v>1</v>
      </c>
      <c r="B13506" s="3" t="str">
        <f>HYPERLINK("https://otsuka-europe-crm.veevavault.com/ui/#object/approved_document__v/V5O00000000Q012", "LUP - 10 cuestiones: Inmunosupresión - reuma")</f>
        <v>LUP - 10 cuestiones: Inmunosupresión - reuma</v>
      </c>
      <c r="C13506" s="3" t="str">
        <f>HYPERLINK("https://otsuka-europe-crm.veevavault.com/ui/#object/sent_email__v/VBL00000001G137", "SE-001405308")</f>
        <v>SE-001405308</v>
      </c>
      <c r="D13506" s="1" t="s">
        <v>0</v>
      </c>
      <c r="E13506" s="2">
        <v>0</v>
      </c>
      <c r="F13506" s="2">
        <v>0</v>
      </c>
      <c r="G13506" s="2">
        <v>0</v>
      </c>
      <c r="H13506" s="1" t="s">
        <v>0</v>
      </c>
      <c r="I13506" s="2">
        <v>0</v>
      </c>
      <c r="J13506" s="1">
        <v>46073.45752314815</v>
      </c>
    </row>
    <row r="13507" spans="1:10" x14ac:dyDescent="0.2">
      <c r="A13507" s="4" t="s">
        <v>1</v>
      </c>
      <c r="B13507" s="3" t="str">
        <f>HYPERLINK("https://otsuka-europe-crm.veevavault.com/ui/#object/approved_document__v/V5O00000000Q012", "LUP - 10 cuestiones: Inmunosupresión - reuma")</f>
        <v>LUP - 10 cuestiones: Inmunosupresión - reuma</v>
      </c>
      <c r="C13507" s="3" t="str">
        <f>HYPERLINK("https://otsuka-europe-crm.veevavault.com/ui/#object/sent_email__v/VBL00000001G138", "SE-001405309")</f>
        <v>SE-001405309</v>
      </c>
      <c r="D13507" s="1" t="s">
        <v>0</v>
      </c>
      <c r="E13507" s="2">
        <v>0</v>
      </c>
      <c r="F13507" s="2">
        <v>0</v>
      </c>
      <c r="G13507" s="2">
        <v>0</v>
      </c>
      <c r="H13507" s="1" t="s">
        <v>0</v>
      </c>
      <c r="I13507" s="2">
        <v>0</v>
      </c>
      <c r="J13507" s="1">
        <v>46073.45752314815</v>
      </c>
    </row>
    <row r="13508" spans="1:10" x14ac:dyDescent="0.2">
      <c r="A13508" s="4" t="s">
        <v>1</v>
      </c>
      <c r="B13508" s="3" t="str">
        <f>HYPERLINK("https://otsuka-europe-crm.veevavault.com/ui/#object/approved_document__v/V5O00000000Q012", "LUP - 10 cuestiones: Inmunosupresión - reuma")</f>
        <v>LUP - 10 cuestiones: Inmunosupresión - reuma</v>
      </c>
      <c r="C13508" s="3" t="str">
        <f>HYPERLINK("https://otsuka-europe-crm.veevavault.com/ui/#object/sent_email__v/VBL00000001G139", "SE-001405310")</f>
        <v>SE-001405310</v>
      </c>
      <c r="D13508" s="1" t="s">
        <v>0</v>
      </c>
      <c r="E13508" s="2">
        <v>0</v>
      </c>
      <c r="F13508" s="2">
        <v>0</v>
      </c>
      <c r="G13508" s="2">
        <v>0</v>
      </c>
      <c r="H13508" s="1" t="s">
        <v>0</v>
      </c>
      <c r="I13508" s="2">
        <v>0</v>
      </c>
      <c r="J13508" s="1">
        <v>46073.45752314815</v>
      </c>
    </row>
    <row r="13509" spans="1:10" x14ac:dyDescent="0.2">
      <c r="A13509" s="4" t="s">
        <v>1</v>
      </c>
      <c r="B13509" s="3" t="str">
        <f>HYPERLINK("https://otsuka-europe-crm.veevavault.com/ui/#object/approved_document__v/V5O00000000Q012", "LUP - 10 cuestiones: Inmunosupresión - reuma")</f>
        <v>LUP - 10 cuestiones: Inmunosupresión - reuma</v>
      </c>
      <c r="C13509" s="3" t="str">
        <f>HYPERLINK("https://otsuka-europe-crm.veevavault.com/ui/#object/sent_email__v/VBL00000001G140", "SE-001405311")</f>
        <v>SE-001405311</v>
      </c>
      <c r="D13509" s="1" t="s">
        <v>0</v>
      </c>
      <c r="E13509" s="2">
        <v>0</v>
      </c>
      <c r="F13509" s="2">
        <v>0</v>
      </c>
      <c r="G13509" s="2">
        <v>0</v>
      </c>
      <c r="H13509" s="1" t="s">
        <v>0</v>
      </c>
      <c r="I13509" s="2">
        <v>0</v>
      </c>
      <c r="J13509" s="1">
        <v>46073.45752314815</v>
      </c>
    </row>
    <row r="13510" spans="1:10" x14ac:dyDescent="0.2">
      <c r="A13510" s="4" t="s">
        <v>1</v>
      </c>
      <c r="B13510" s="3" t="str">
        <f>HYPERLINK("https://otsuka-europe-crm.veevavault.com/ui/#object/approved_document__v/V5O00000000Q012", "LUP - 10 cuestiones: Inmunosupresión - reuma")</f>
        <v>LUP - 10 cuestiones: Inmunosupresión - reuma</v>
      </c>
      <c r="C13510" s="3" t="str">
        <f>HYPERLINK("https://otsuka-europe-crm.veevavault.com/ui/#object/sent_email__v/VBL00000001G141", "SE-001405312")</f>
        <v>SE-001405312</v>
      </c>
      <c r="D13510" s="1" t="s">
        <v>0</v>
      </c>
      <c r="E13510" s="2">
        <v>0</v>
      </c>
      <c r="F13510" s="2">
        <v>0</v>
      </c>
      <c r="G13510" s="2">
        <v>0</v>
      </c>
      <c r="H13510" s="1" t="s">
        <v>0</v>
      </c>
      <c r="I13510" s="2">
        <v>0</v>
      </c>
      <c r="J13510" s="1">
        <v>46073.45753472222</v>
      </c>
    </row>
    <row r="13511" spans="1:10" x14ac:dyDescent="0.2">
      <c r="A13511" s="4" t="s">
        <v>1</v>
      </c>
      <c r="B13511" s="3" t="str">
        <f>HYPERLINK("https://otsuka-europe-crm.veevavault.com/ui/#object/approved_document__v/V5O00000000Q012", "LUP - 10 cuestiones: Inmunosupresión - reuma")</f>
        <v>LUP - 10 cuestiones: Inmunosupresión - reuma</v>
      </c>
      <c r="C13511" s="3" t="str">
        <f>HYPERLINK("https://otsuka-europe-crm.veevavault.com/ui/#object/sent_email__v/VBL00000001G142", "SE-001405313")</f>
        <v>SE-001405313</v>
      </c>
      <c r="D13511" s="1" t="s">
        <v>0</v>
      </c>
      <c r="E13511" s="2">
        <v>0</v>
      </c>
      <c r="F13511" s="2">
        <v>0</v>
      </c>
      <c r="G13511" s="2">
        <v>0</v>
      </c>
      <c r="H13511" s="1" t="s">
        <v>0</v>
      </c>
      <c r="I13511" s="2">
        <v>0</v>
      </c>
      <c r="J13511" s="1">
        <v>46073.45752314815</v>
      </c>
    </row>
    <row r="13512" spans="1:10" x14ac:dyDescent="0.2">
      <c r="A13512" s="4" t="s">
        <v>1</v>
      </c>
      <c r="B13512" s="3" t="str">
        <f>HYPERLINK("https://otsuka-europe-crm.veevavault.com/ui/#object/approved_document__v/V5O00000000Q012", "LUP - 10 cuestiones: Inmunosupresión - reuma")</f>
        <v>LUP - 10 cuestiones: Inmunosupresión - reuma</v>
      </c>
      <c r="C13512" s="3" t="str">
        <f>HYPERLINK("https://otsuka-europe-crm.veevavault.com/ui/#object/sent_email__v/VBL00000001G143", "SE-001405314")</f>
        <v>SE-001405314</v>
      </c>
      <c r="D13512" s="1" t="s">
        <v>0</v>
      </c>
      <c r="E13512" s="2">
        <v>0</v>
      </c>
      <c r="F13512" s="2">
        <v>0</v>
      </c>
      <c r="G13512" s="2">
        <v>0</v>
      </c>
      <c r="H13512" s="1" t="s">
        <v>0</v>
      </c>
      <c r="I13512" s="2">
        <v>0</v>
      </c>
      <c r="J13512" s="1">
        <v>46073.45753472222</v>
      </c>
    </row>
    <row r="13513" spans="1:10" x14ac:dyDescent="0.2">
      <c r="A13513" s="4" t="s">
        <v>1</v>
      </c>
      <c r="B13513" s="3" t="str">
        <f>HYPERLINK("https://otsuka-europe-crm.veevavault.com/ui/#object/approved_document__v/V5O00000000Q012", "LUP - 10 cuestiones: Inmunosupresión - reuma")</f>
        <v>LUP - 10 cuestiones: Inmunosupresión - reuma</v>
      </c>
      <c r="C13513" s="3" t="str">
        <f>HYPERLINK("https://otsuka-europe-crm.veevavault.com/ui/#object/sent_email__v/VBL00000001G144", "SE-001405315")</f>
        <v>SE-001405315</v>
      </c>
      <c r="D13513" s="1" t="s">
        <v>0</v>
      </c>
      <c r="E13513" s="2">
        <v>0</v>
      </c>
      <c r="F13513" s="2">
        <v>0</v>
      </c>
      <c r="G13513" s="2">
        <v>0</v>
      </c>
      <c r="H13513" s="1" t="s">
        <v>0</v>
      </c>
      <c r="I13513" s="2">
        <v>0</v>
      </c>
      <c r="J13513" s="1">
        <v>46073.45753472222</v>
      </c>
    </row>
    <row r="13514" spans="1:10" x14ac:dyDescent="0.2">
      <c r="A13514" s="4" t="s">
        <v>1</v>
      </c>
      <c r="B13514" s="3" t="str">
        <f>HYPERLINK("https://otsuka-europe-crm.veevavault.com/ui/#object/approved_document__v/V5O00000000Q012", "LUP - 10 cuestiones: Inmunosupresión - reuma")</f>
        <v>LUP - 10 cuestiones: Inmunosupresión - reuma</v>
      </c>
      <c r="C13514" s="3" t="str">
        <f>HYPERLINK("https://otsuka-europe-crm.veevavault.com/ui/#object/sent_email__v/VBL00000001G145", "SE-001405316")</f>
        <v>SE-001405316</v>
      </c>
      <c r="D13514" s="1" t="s">
        <v>0</v>
      </c>
      <c r="E13514" s="2">
        <v>0</v>
      </c>
      <c r="F13514" s="2">
        <v>0</v>
      </c>
      <c r="G13514" s="2">
        <v>0</v>
      </c>
      <c r="H13514" s="1" t="s">
        <v>0</v>
      </c>
      <c r="I13514" s="2">
        <v>0</v>
      </c>
      <c r="J13514" s="1">
        <v>46073.45753472222</v>
      </c>
    </row>
    <row r="13515" spans="1:10" x14ac:dyDescent="0.2">
      <c r="A13515" s="4" t="s">
        <v>1</v>
      </c>
      <c r="B13515" s="3" t="str">
        <f>HYPERLINK("https://otsuka-europe-crm.veevavault.com/ui/#object/approved_document__v/V5O00000000Q012", "LUP - 10 cuestiones: Inmunosupresión - reuma")</f>
        <v>LUP - 10 cuestiones: Inmunosupresión - reuma</v>
      </c>
      <c r="C13515" s="3" t="str">
        <f>HYPERLINK("https://otsuka-europe-crm.veevavault.com/ui/#object/sent_email__v/VBL00000001G146", "SE-001405317")</f>
        <v>SE-001405317</v>
      </c>
      <c r="D13515" s="1" t="s">
        <v>0</v>
      </c>
      <c r="E13515" s="2">
        <v>0</v>
      </c>
      <c r="F13515" s="2">
        <v>0</v>
      </c>
      <c r="G13515" s="2">
        <v>0</v>
      </c>
      <c r="H13515" s="1" t="s">
        <v>0</v>
      </c>
      <c r="I13515" s="2">
        <v>0</v>
      </c>
      <c r="J13515" s="1">
        <v>46073.45753472222</v>
      </c>
    </row>
    <row r="13516" spans="1:10" x14ac:dyDescent="0.2">
      <c r="A13516" s="4" t="s">
        <v>1</v>
      </c>
      <c r="B13516" s="3" t="str">
        <f>HYPERLINK("https://otsuka-europe-crm.veevavault.com/ui/#object/approved_document__v/V5O00000000Q012", "LUP - 10 cuestiones: Inmunosupresión - reuma")</f>
        <v>LUP - 10 cuestiones: Inmunosupresión - reuma</v>
      </c>
      <c r="C13516" s="3" t="str">
        <f>HYPERLINK("https://otsuka-europe-crm.veevavault.com/ui/#object/sent_email__v/VBL00000001G147", "SE-001405318")</f>
        <v>SE-001405318</v>
      </c>
      <c r="D13516" s="1" t="s">
        <v>0</v>
      </c>
      <c r="E13516" s="2">
        <v>0</v>
      </c>
      <c r="F13516" s="2">
        <v>0</v>
      </c>
      <c r="G13516" s="2">
        <v>0</v>
      </c>
      <c r="H13516" s="1" t="s">
        <v>0</v>
      </c>
      <c r="I13516" s="2">
        <v>0</v>
      </c>
      <c r="J13516" s="1">
        <v>46073.45753472222</v>
      </c>
    </row>
    <row r="13517" spans="1:10" x14ac:dyDescent="0.2">
      <c r="A13517" s="4" t="s">
        <v>1</v>
      </c>
      <c r="B13517" s="3" t="str">
        <f>HYPERLINK("https://otsuka-europe-crm.veevavault.com/ui/#object/approved_document__v/V5O00000000Q012", "LUP - 10 cuestiones: Inmunosupresión - reuma")</f>
        <v>LUP - 10 cuestiones: Inmunosupresión - reuma</v>
      </c>
      <c r="C13517" s="3" t="str">
        <f>HYPERLINK("https://otsuka-europe-crm.veevavault.com/ui/#object/sent_email__v/VBL00000001G148", "SE-001405319")</f>
        <v>SE-001405319</v>
      </c>
      <c r="D13517" s="1" t="s">
        <v>0</v>
      </c>
      <c r="E13517" s="2">
        <v>0</v>
      </c>
      <c r="F13517" s="2">
        <v>0</v>
      </c>
      <c r="G13517" s="2">
        <v>0</v>
      </c>
      <c r="H13517" s="1" t="s">
        <v>0</v>
      </c>
      <c r="I13517" s="2">
        <v>0</v>
      </c>
      <c r="J13517" s="1">
        <v>46073.45753472222</v>
      </c>
    </row>
    <row r="13518" spans="1:10" x14ac:dyDescent="0.2">
      <c r="A13518" s="4" t="s">
        <v>1</v>
      </c>
      <c r="B13518" s="3" t="str">
        <f>HYPERLINK("https://otsuka-europe-crm.veevavault.com/ui/#object/approved_document__v/V5O00000000Q012", "LUP - 10 cuestiones: Inmunosupresión - reuma")</f>
        <v>LUP - 10 cuestiones: Inmunosupresión - reuma</v>
      </c>
      <c r="C13518" s="3" t="str">
        <f>HYPERLINK("https://otsuka-europe-crm.veevavault.com/ui/#object/sent_email__v/VBL00000001G149", "SE-001405320")</f>
        <v>SE-001405320</v>
      </c>
      <c r="D13518" s="1" t="s">
        <v>0</v>
      </c>
      <c r="E13518" s="2">
        <v>0</v>
      </c>
      <c r="F13518" s="2">
        <v>0</v>
      </c>
      <c r="G13518" s="2">
        <v>0</v>
      </c>
      <c r="H13518" s="1" t="s">
        <v>0</v>
      </c>
      <c r="I13518" s="2">
        <v>0</v>
      </c>
      <c r="J13518" s="1">
        <v>46073.45753472222</v>
      </c>
    </row>
    <row r="13519" spans="1:10" x14ac:dyDescent="0.2">
      <c r="A13519" s="4" t="s">
        <v>1</v>
      </c>
      <c r="B13519" s="3" t="str">
        <f>HYPERLINK("https://otsuka-europe-crm.veevavault.com/ui/#object/approved_document__v/V5O00000000Q012", "LUP - 10 cuestiones: Inmunosupresión - reuma")</f>
        <v>LUP - 10 cuestiones: Inmunosupresión - reuma</v>
      </c>
      <c r="C13519" s="3" t="str">
        <f>HYPERLINK("https://otsuka-europe-crm.veevavault.com/ui/#object/sent_email__v/VBL00000001G150", "SE-001405321")</f>
        <v>SE-001405321</v>
      </c>
      <c r="D13519" s="1" t="s">
        <v>0</v>
      </c>
      <c r="E13519" s="2">
        <v>0</v>
      </c>
      <c r="F13519" s="2">
        <v>0</v>
      </c>
      <c r="G13519" s="2">
        <v>0</v>
      </c>
      <c r="H13519" s="1" t="s">
        <v>0</v>
      </c>
      <c r="I13519" s="2">
        <v>0</v>
      </c>
      <c r="J13519" s="1">
        <v>46073.45753472222</v>
      </c>
    </row>
    <row r="13520" spans="1:10" x14ac:dyDescent="0.2">
      <c r="A13520" s="4" t="s">
        <v>1</v>
      </c>
      <c r="B13520" s="3" t="str">
        <f>HYPERLINK("https://otsuka-europe-crm.veevavault.com/ui/#object/approved_document__v/V5O00000000Q012", "LUP - 10 cuestiones: Inmunosupresión - reuma")</f>
        <v>LUP - 10 cuestiones: Inmunosupresión - reuma</v>
      </c>
      <c r="C13520" s="3" t="str">
        <f>HYPERLINK("https://otsuka-europe-crm.veevavault.com/ui/#object/sent_email__v/VBL00000001G151", "SE-001405322")</f>
        <v>SE-001405322</v>
      </c>
      <c r="D13520" s="1" t="s">
        <v>0</v>
      </c>
      <c r="E13520" s="2">
        <v>0</v>
      </c>
      <c r="F13520" s="2">
        <v>0</v>
      </c>
      <c r="G13520" s="2">
        <v>0</v>
      </c>
      <c r="H13520" s="1" t="s">
        <v>0</v>
      </c>
      <c r="I13520" s="2">
        <v>0</v>
      </c>
      <c r="J13520" s="1">
        <v>46073.45753472222</v>
      </c>
    </row>
    <row r="13521" spans="1:10" x14ac:dyDescent="0.2">
      <c r="A13521" s="4" t="s">
        <v>1</v>
      </c>
      <c r="B13521" s="3" t="str">
        <f>HYPERLINK("https://otsuka-europe-crm.veevavault.com/ui/#object/approved_document__v/V5O00000000Q012", "LUP - 10 cuestiones: Inmunosupresión - reuma")</f>
        <v>LUP - 10 cuestiones: Inmunosupresión - reuma</v>
      </c>
      <c r="C13521" s="3" t="str">
        <f>HYPERLINK("https://otsuka-europe-crm.veevavault.com/ui/#object/sent_email__v/VBL00000001G152", "SE-001405323")</f>
        <v>SE-001405323</v>
      </c>
      <c r="D13521" s="1" t="s">
        <v>0</v>
      </c>
      <c r="E13521" s="2">
        <v>0</v>
      </c>
      <c r="F13521" s="2">
        <v>0</v>
      </c>
      <c r="G13521" s="2">
        <v>0</v>
      </c>
      <c r="H13521" s="1" t="s">
        <v>0</v>
      </c>
      <c r="I13521" s="2">
        <v>0</v>
      </c>
      <c r="J13521" s="1">
        <v>46073.457546296297</v>
      </c>
    </row>
    <row r="13522" spans="1:10" x14ac:dyDescent="0.2">
      <c r="A13522" s="4" t="s">
        <v>1</v>
      </c>
      <c r="B13522" s="3" t="str">
        <f>HYPERLINK("https://otsuka-europe-crm.veevavault.com/ui/#object/approved_document__v/V5O00000000Q012", "LUP - 10 cuestiones: Inmunosupresión - reuma")</f>
        <v>LUP - 10 cuestiones: Inmunosupresión - reuma</v>
      </c>
      <c r="C13522" s="3" t="str">
        <f>HYPERLINK("https://otsuka-europe-crm.veevavault.com/ui/#object/sent_email__v/VBL00000001G153", "SE-001405324")</f>
        <v>SE-001405324</v>
      </c>
      <c r="D13522" s="1" t="s">
        <v>0</v>
      </c>
      <c r="E13522" s="2">
        <v>0</v>
      </c>
      <c r="F13522" s="2">
        <v>0</v>
      </c>
      <c r="G13522" s="2">
        <v>0</v>
      </c>
      <c r="H13522" s="1" t="s">
        <v>0</v>
      </c>
      <c r="I13522" s="2">
        <v>0</v>
      </c>
      <c r="J13522" s="1">
        <v>46073.45753472222</v>
      </c>
    </row>
    <row r="13523" spans="1:10" x14ac:dyDescent="0.2">
      <c r="A13523" s="4" t="s">
        <v>1</v>
      </c>
      <c r="B13523" s="3" t="str">
        <f>HYPERLINK("https://otsuka-europe-crm.veevavault.com/ui/#object/approved_document__v/V5O00000000Q012", "LUP - 10 cuestiones: Inmunosupresión - reuma")</f>
        <v>LUP - 10 cuestiones: Inmunosupresión - reuma</v>
      </c>
      <c r="C13523" s="3" t="str">
        <f>HYPERLINK("https://otsuka-europe-crm.veevavault.com/ui/#object/sent_email__v/VBL00000001G154", "SE-001405325")</f>
        <v>SE-001405325</v>
      </c>
      <c r="D13523" s="1" t="s">
        <v>0</v>
      </c>
      <c r="E13523" s="2">
        <v>0</v>
      </c>
      <c r="F13523" s="2">
        <v>0</v>
      </c>
      <c r="G13523" s="2">
        <v>0</v>
      </c>
      <c r="H13523" s="1" t="s">
        <v>0</v>
      </c>
      <c r="I13523" s="2">
        <v>0</v>
      </c>
      <c r="J13523" s="1">
        <v>46073.45753472222</v>
      </c>
    </row>
    <row r="13524" spans="1:10" x14ac:dyDescent="0.2">
      <c r="A13524" s="4" t="s">
        <v>1</v>
      </c>
      <c r="B13524" s="3" t="str">
        <f>HYPERLINK("https://otsuka-europe-crm.veevavault.com/ui/#object/approved_document__v/V5O00000000Q012", "LUP - 10 cuestiones: Inmunosupresión - reuma")</f>
        <v>LUP - 10 cuestiones: Inmunosupresión - reuma</v>
      </c>
      <c r="C13524" s="3" t="str">
        <f>HYPERLINK("https://otsuka-europe-crm.veevavault.com/ui/#object/sent_email__v/VBL00000001G155", "SE-001405326")</f>
        <v>SE-001405326</v>
      </c>
      <c r="D13524" s="1" t="s">
        <v>0</v>
      </c>
      <c r="E13524" s="2">
        <v>0</v>
      </c>
      <c r="F13524" s="2">
        <v>0</v>
      </c>
      <c r="G13524" s="2">
        <v>0</v>
      </c>
      <c r="H13524" s="1" t="s">
        <v>0</v>
      </c>
      <c r="I13524" s="2">
        <v>0</v>
      </c>
      <c r="J13524" s="1">
        <v>46073.457546296297</v>
      </c>
    </row>
    <row r="13525" spans="1:10" x14ac:dyDescent="0.2">
      <c r="A13525" s="4" t="s">
        <v>1</v>
      </c>
      <c r="B13525" s="3" t="str">
        <f>HYPERLINK("https://otsuka-europe-crm.veevavault.com/ui/#object/approved_document__v/V5O00000000Q012", "LUP - 10 cuestiones: Inmunosupresión - reuma")</f>
        <v>LUP - 10 cuestiones: Inmunosupresión - reuma</v>
      </c>
      <c r="C13525" s="3" t="str">
        <f>HYPERLINK("https://otsuka-europe-crm.veevavault.com/ui/#object/sent_email__v/VBL00000001G156", "SE-001405327")</f>
        <v>SE-001405327</v>
      </c>
      <c r="D13525" s="1" t="s">
        <v>0</v>
      </c>
      <c r="E13525" s="2">
        <v>0</v>
      </c>
      <c r="F13525" s="2">
        <v>0</v>
      </c>
      <c r="G13525" s="2">
        <v>0</v>
      </c>
      <c r="H13525" s="1" t="s">
        <v>0</v>
      </c>
      <c r="I13525" s="2">
        <v>0</v>
      </c>
      <c r="J13525" s="1">
        <v>46073.457546296297</v>
      </c>
    </row>
    <row r="13526" spans="1:10" x14ac:dyDescent="0.2">
      <c r="A13526" s="4" t="s">
        <v>1</v>
      </c>
      <c r="B13526" s="3" t="str">
        <f>HYPERLINK("https://otsuka-europe-crm.veevavault.com/ui/#object/approved_document__v/V5O00000000Q012", "LUP - 10 cuestiones: Inmunosupresión - reuma")</f>
        <v>LUP - 10 cuestiones: Inmunosupresión - reuma</v>
      </c>
      <c r="C13526" s="3" t="str">
        <f>HYPERLINK("https://otsuka-europe-crm.veevavault.com/ui/#object/sent_email__v/VBL00000001G157", "SE-001405328")</f>
        <v>SE-001405328</v>
      </c>
      <c r="D13526" s="1" t="s">
        <v>0</v>
      </c>
      <c r="E13526" s="2">
        <v>0</v>
      </c>
      <c r="F13526" s="2">
        <v>0</v>
      </c>
      <c r="G13526" s="2">
        <v>0</v>
      </c>
      <c r="H13526" s="1" t="s">
        <v>0</v>
      </c>
      <c r="I13526" s="2">
        <v>0</v>
      </c>
      <c r="J13526" s="1">
        <v>46073.457546296297</v>
      </c>
    </row>
    <row r="13527" spans="1:10" x14ac:dyDescent="0.2">
      <c r="A13527" s="4" t="s">
        <v>1</v>
      </c>
      <c r="B13527" s="3" t="str">
        <f>HYPERLINK("https://otsuka-europe-crm.veevavault.com/ui/#object/approved_document__v/V5O00000000Q012", "LUP - 10 cuestiones: Inmunosupresión - reuma")</f>
        <v>LUP - 10 cuestiones: Inmunosupresión - reuma</v>
      </c>
      <c r="C13527" s="3" t="str">
        <f>HYPERLINK("https://otsuka-europe-crm.veevavault.com/ui/#object/sent_email__v/VBL00000001G158", "SE-001405329")</f>
        <v>SE-001405329</v>
      </c>
      <c r="D13527" s="1" t="s">
        <v>0</v>
      </c>
      <c r="E13527" s="2">
        <v>0</v>
      </c>
      <c r="F13527" s="2">
        <v>0</v>
      </c>
      <c r="G13527" s="2">
        <v>0</v>
      </c>
      <c r="H13527" s="1" t="s">
        <v>0</v>
      </c>
      <c r="I13527" s="2">
        <v>0</v>
      </c>
      <c r="J13527" s="1">
        <v>46073.457546296297</v>
      </c>
    </row>
    <row r="13528" spans="1:10" x14ac:dyDescent="0.2">
      <c r="A13528" s="4" t="s">
        <v>1</v>
      </c>
      <c r="B13528" s="3" t="str">
        <f>HYPERLINK("https://otsuka-europe-crm.veevavault.com/ui/#object/approved_document__v/V5O00000000Q012", "LUP - 10 cuestiones: Inmunosupresión - reuma")</f>
        <v>LUP - 10 cuestiones: Inmunosupresión - reuma</v>
      </c>
      <c r="C13528" s="3" t="str">
        <f>HYPERLINK("https://otsuka-europe-crm.veevavault.com/ui/#object/sent_email__v/VBL00000001G159", "SE-001405330")</f>
        <v>SE-001405330</v>
      </c>
      <c r="D13528" s="1" t="s">
        <v>0</v>
      </c>
      <c r="E13528" s="2">
        <v>0</v>
      </c>
      <c r="F13528" s="2">
        <v>0</v>
      </c>
      <c r="G13528" s="2">
        <v>0</v>
      </c>
      <c r="H13528" s="1" t="s">
        <v>0</v>
      </c>
      <c r="I13528" s="2">
        <v>0</v>
      </c>
      <c r="J13528" s="1">
        <v>46073.457546296297</v>
      </c>
    </row>
    <row r="13529" spans="1:10" x14ac:dyDescent="0.2">
      <c r="A13529" s="4" t="s">
        <v>1</v>
      </c>
      <c r="B13529" s="3" t="str">
        <f>HYPERLINK("https://otsuka-europe-crm.veevavault.com/ui/#object/approved_document__v/V5O00000000Q012", "LUP - 10 cuestiones: Inmunosupresión - reuma")</f>
        <v>LUP - 10 cuestiones: Inmunosupresión - reuma</v>
      </c>
      <c r="C13529" s="3" t="str">
        <f>HYPERLINK("https://otsuka-europe-crm.veevavault.com/ui/#object/sent_email__v/VBL00000001G160", "SE-001405331")</f>
        <v>SE-001405331</v>
      </c>
      <c r="D13529" s="1" t="s">
        <v>0</v>
      </c>
      <c r="E13529" s="2">
        <v>0</v>
      </c>
      <c r="F13529" s="2">
        <v>0</v>
      </c>
      <c r="G13529" s="2">
        <v>0</v>
      </c>
      <c r="H13529" s="1" t="s">
        <v>0</v>
      </c>
      <c r="I13529" s="2">
        <v>0</v>
      </c>
      <c r="J13529" s="1">
        <v>46073.457546296297</v>
      </c>
    </row>
    <row r="13530" spans="1:10" x14ac:dyDescent="0.2">
      <c r="A13530" s="4" t="s">
        <v>1</v>
      </c>
      <c r="B13530" s="3" t="str">
        <f>HYPERLINK("https://otsuka-europe-crm.veevavault.com/ui/#object/approved_document__v/V5O00000000Q012", "LUP - 10 cuestiones: Inmunosupresión - reuma")</f>
        <v>LUP - 10 cuestiones: Inmunosupresión - reuma</v>
      </c>
      <c r="C13530" s="3" t="str">
        <f>HYPERLINK("https://otsuka-europe-crm.veevavault.com/ui/#object/sent_email__v/VBL00000001G161", "SE-001405332")</f>
        <v>SE-001405332</v>
      </c>
      <c r="D13530" s="1" t="s">
        <v>0</v>
      </c>
      <c r="E13530" s="2">
        <v>0</v>
      </c>
      <c r="F13530" s="2">
        <v>0</v>
      </c>
      <c r="G13530" s="2">
        <v>0</v>
      </c>
      <c r="H13530" s="1" t="s">
        <v>0</v>
      </c>
      <c r="I13530" s="2">
        <v>0</v>
      </c>
      <c r="J13530" s="1">
        <v>46073.457546296297</v>
      </c>
    </row>
    <row r="13531" spans="1:10" x14ac:dyDescent="0.2">
      <c r="A13531" s="4" t="s">
        <v>1</v>
      </c>
      <c r="B13531" s="3" t="str">
        <f>HYPERLINK("https://otsuka-europe-crm.veevavault.com/ui/#object/approved_document__v/V5O00000000Q012", "LUP - 10 cuestiones: Inmunosupresión - reuma")</f>
        <v>LUP - 10 cuestiones: Inmunosupresión - reuma</v>
      </c>
      <c r="C13531" s="3" t="str">
        <f>HYPERLINK("https://otsuka-europe-crm.veevavault.com/ui/#object/sent_email__v/VBL00000001G162", "SE-001405333")</f>
        <v>SE-001405333</v>
      </c>
      <c r="D13531" s="1" t="s">
        <v>0</v>
      </c>
      <c r="E13531" s="2">
        <v>0</v>
      </c>
      <c r="F13531" s="2">
        <v>0</v>
      </c>
      <c r="G13531" s="2">
        <v>0</v>
      </c>
      <c r="H13531" s="1" t="s">
        <v>0</v>
      </c>
      <c r="I13531" s="2">
        <v>0</v>
      </c>
      <c r="J13531" s="1">
        <v>46073.457546296297</v>
      </c>
    </row>
    <row r="13532" spans="1:10" x14ac:dyDescent="0.2">
      <c r="A13532" s="4" t="s">
        <v>1</v>
      </c>
      <c r="B13532" s="3" t="str">
        <f>HYPERLINK("https://otsuka-europe-crm.veevavault.com/ui/#object/approved_document__v/V5O00000000Q012", "LUP - 10 cuestiones: Inmunosupresión - reuma")</f>
        <v>LUP - 10 cuestiones: Inmunosupresión - reuma</v>
      </c>
      <c r="C13532" s="3" t="str">
        <f>HYPERLINK("https://otsuka-europe-crm.veevavault.com/ui/#object/sent_email__v/VBL00000001G163", "SE-001405334")</f>
        <v>SE-001405334</v>
      </c>
      <c r="D13532" s="1" t="s">
        <v>0</v>
      </c>
      <c r="E13532" s="2">
        <v>0</v>
      </c>
      <c r="F13532" s="2">
        <v>0</v>
      </c>
      <c r="G13532" s="2">
        <v>0</v>
      </c>
      <c r="H13532" s="1" t="s">
        <v>0</v>
      </c>
      <c r="I13532" s="2">
        <v>0</v>
      </c>
      <c r="J13532" s="1">
        <v>46073.457557870373</v>
      </c>
    </row>
    <row r="13533" spans="1:10" x14ac:dyDescent="0.2">
      <c r="A13533" s="4" t="s">
        <v>1</v>
      </c>
      <c r="B13533" s="3" t="str">
        <f>HYPERLINK("https://otsuka-europe-crm.veevavault.com/ui/#object/approved_document__v/V5O00000000Q012", "LUP - 10 cuestiones: Inmunosupresión - reuma")</f>
        <v>LUP - 10 cuestiones: Inmunosupresión - reuma</v>
      </c>
      <c r="C13533" s="3" t="str">
        <f>HYPERLINK("https://otsuka-europe-crm.veevavault.com/ui/#object/sent_email__v/VBL00000001G173", "SE-001405353")</f>
        <v>SE-001405353</v>
      </c>
      <c r="D13533" s="1">
        <v>46073.554988425924</v>
      </c>
      <c r="E13533" s="2">
        <v>1</v>
      </c>
      <c r="F13533" s="2">
        <v>1</v>
      </c>
      <c r="G13533" s="2">
        <v>0</v>
      </c>
      <c r="H13533" s="1" t="s">
        <v>0</v>
      </c>
      <c r="I13533" s="2">
        <v>0</v>
      </c>
      <c r="J13533" s="1">
        <v>46073.491631944446</v>
      </c>
    </row>
    <row r="13534" spans="1:10" x14ac:dyDescent="0.2">
      <c r="A13534" s="4" t="s">
        <v>1</v>
      </c>
      <c r="B13534" s="3" t="str">
        <f>HYPERLINK("https://otsuka-europe-crm.veevavault.com/ui/#object/approved_document__v/V5O00000000Q012", "LUP - 10 cuestiones: Inmunosupresión - reuma")</f>
        <v>LUP - 10 cuestiones: Inmunosupresión - reuma</v>
      </c>
      <c r="C13534" s="3" t="str">
        <f>HYPERLINK("https://otsuka-europe-crm.veevavault.com/ui/#object/sent_email__v/VBL00000001G174", "SE-001405354")</f>
        <v>SE-001405354</v>
      </c>
      <c r="D13534" s="1" t="s">
        <v>0</v>
      </c>
      <c r="E13534" s="2">
        <v>0</v>
      </c>
      <c r="F13534" s="2">
        <v>0</v>
      </c>
      <c r="G13534" s="2">
        <v>0</v>
      </c>
      <c r="H13534" s="1" t="s">
        <v>0</v>
      </c>
      <c r="I13534" s="2">
        <v>0</v>
      </c>
      <c r="J13534" s="1">
        <v>46073.491875</v>
      </c>
    </row>
    <row r="13535" spans="1:10" x14ac:dyDescent="0.2">
      <c r="A13535" s="4" t="s">
        <v>1</v>
      </c>
      <c r="B13535" s="3" t="str">
        <f>HYPERLINK("https://otsuka-europe-crm.veevavault.com/ui/#object/approved_document__v/V5O00000000Q012", "LUP - 10 cuestiones: Inmunosupresión - reuma")</f>
        <v>LUP - 10 cuestiones: Inmunosupresión - reuma</v>
      </c>
      <c r="C13535" s="3" t="str">
        <f>HYPERLINK("https://otsuka-europe-crm.veevavault.com/ui/#object/sent_email__v/VBL00000001G175", "SE-001405355")</f>
        <v>SE-001405355</v>
      </c>
      <c r="D13535" s="1" t="s">
        <v>0</v>
      </c>
      <c r="E13535" s="2">
        <v>0</v>
      </c>
      <c r="F13535" s="2">
        <v>0</v>
      </c>
      <c r="G13535" s="2">
        <v>0</v>
      </c>
      <c r="H13535" s="1" t="s">
        <v>0</v>
      </c>
      <c r="I13535" s="2">
        <v>0</v>
      </c>
      <c r="J13535" s="1">
        <v>46073.492118055554</v>
      </c>
    </row>
    <row r="13536" spans="1:10" x14ac:dyDescent="0.2">
      <c r="A13536" s="4" t="s">
        <v>1</v>
      </c>
      <c r="B13536" s="3" t="str">
        <f>HYPERLINK("https://otsuka-europe-crm.veevavault.com/ui/#object/approved_document__v/V5O00000000Q012", "LUP - 10 cuestiones: Inmunosupresión - reuma")</f>
        <v>LUP - 10 cuestiones: Inmunosupresión - reuma</v>
      </c>
      <c r="C13536" s="3" t="str">
        <f>HYPERLINK("https://otsuka-europe-crm.veevavault.com/ui/#object/sent_email__v/VBL00000001G176", "SE-001405356")</f>
        <v>SE-001405356</v>
      </c>
      <c r="D13536" s="1">
        <v>46073.875902777778</v>
      </c>
      <c r="E13536" s="2">
        <v>1</v>
      </c>
      <c r="F13536" s="2">
        <v>2</v>
      </c>
      <c r="G13536" s="2">
        <v>0</v>
      </c>
      <c r="H13536" s="1" t="s">
        <v>0</v>
      </c>
      <c r="I13536" s="2">
        <v>0</v>
      </c>
      <c r="J13536" s="1">
        <v>46073.492361111108</v>
      </c>
    </row>
    <row r="13537" spans="1:10" x14ac:dyDescent="0.2">
      <c r="A13537" s="4" t="s">
        <v>1</v>
      </c>
      <c r="B13537" s="3" t="str">
        <f>HYPERLINK("https://otsuka-europe-crm.veevavault.com/ui/#object/approved_document__v/V5O00000000Q012", "LUP - 10 cuestiones: Inmunosupresión - reuma")</f>
        <v>LUP - 10 cuestiones: Inmunosupresión - reuma</v>
      </c>
      <c r="C13537" s="3" t="str">
        <f>HYPERLINK("https://otsuka-europe-crm.veevavault.com/ui/#object/sent_email__v/VBL00000001G177", "SE-001405357")</f>
        <v>SE-001405357</v>
      </c>
      <c r="D13537" s="1" t="s">
        <v>0</v>
      </c>
      <c r="E13537" s="2">
        <v>0</v>
      </c>
      <c r="F13537" s="2">
        <v>0</v>
      </c>
      <c r="G13537" s="2">
        <v>0</v>
      </c>
      <c r="H13537" s="1" t="s">
        <v>0</v>
      </c>
      <c r="I13537" s="2">
        <v>0</v>
      </c>
      <c r="J13537" s="1">
        <v>46073.492627314816</v>
      </c>
    </row>
    <row r="13538" spans="1:10" x14ac:dyDescent="0.2">
      <c r="A13538" s="4" t="s">
        <v>1</v>
      </c>
      <c r="B13538" s="3" t="str">
        <f>HYPERLINK("https://otsuka-europe-crm.veevavault.com/ui/#object/approved_document__v/V5O00000000Q012", "LUP - 10 cuestiones: Inmunosupresión - reuma")</f>
        <v>LUP - 10 cuestiones: Inmunosupresión - reuma</v>
      </c>
      <c r="C13538" s="3" t="str">
        <f>HYPERLINK("https://otsuka-europe-crm.veevavault.com/ui/#object/sent_email__v/VBL00000001G178", "SE-001405358")</f>
        <v>SE-001405358</v>
      </c>
      <c r="D13538" s="1">
        <v>46075.978912037041</v>
      </c>
      <c r="E13538" s="2">
        <v>1</v>
      </c>
      <c r="F13538" s="2">
        <v>1</v>
      </c>
      <c r="G13538" s="2">
        <v>0</v>
      </c>
      <c r="H13538" s="1" t="s">
        <v>0</v>
      </c>
      <c r="I13538" s="2">
        <v>0</v>
      </c>
      <c r="J13538" s="1">
        <v>46073.49287037037</v>
      </c>
    </row>
    <row r="13539" spans="1:10" x14ac:dyDescent="0.2">
      <c r="A13539" s="4" t="s">
        <v>1</v>
      </c>
      <c r="B13539" s="3" t="str">
        <f>HYPERLINK("https://otsuka-europe-crm.veevavault.com/ui/#object/approved_document__v/V5O00000000Q012", "LUP - 10 cuestiones: Inmunosupresión - reuma")</f>
        <v>LUP - 10 cuestiones: Inmunosupresión - reuma</v>
      </c>
      <c r="C13539" s="3" t="str">
        <f>HYPERLINK("https://otsuka-europe-crm.veevavault.com/ui/#object/sent_email__v/VBL00000001G179", "SE-001405359")</f>
        <v>SE-001405359</v>
      </c>
      <c r="D13539" s="1">
        <v>46073.620081018518</v>
      </c>
      <c r="E13539" s="2">
        <v>1</v>
      </c>
      <c r="F13539" s="2">
        <v>1</v>
      </c>
      <c r="G13539" s="2">
        <v>0</v>
      </c>
      <c r="H13539" s="1" t="s">
        <v>0</v>
      </c>
      <c r="I13539" s="2">
        <v>0</v>
      </c>
      <c r="J13539" s="1">
        <v>46073.493090277778</v>
      </c>
    </row>
    <row r="13540" spans="1:10" x14ac:dyDescent="0.2">
      <c r="A13540" s="4" t="s">
        <v>1</v>
      </c>
      <c r="B13540" s="3" t="str">
        <f>HYPERLINK("https://otsuka-europe-crm.veevavault.com/ui/#object/approved_document__v/V5O00000000Q012", "LUP - 10 cuestiones: Inmunosupresión - reuma")</f>
        <v>LUP - 10 cuestiones: Inmunosupresión - reuma</v>
      </c>
      <c r="C13540" s="3" t="str">
        <f>HYPERLINK("https://otsuka-europe-crm.veevavault.com/ui/#object/sent_email__v/VBL00000001G180", "SE-001405360")</f>
        <v>SE-001405360</v>
      </c>
      <c r="D13540" s="1" t="s">
        <v>0</v>
      </c>
      <c r="E13540" s="2">
        <v>0</v>
      </c>
      <c r="F13540" s="2">
        <v>0</v>
      </c>
      <c r="G13540" s="2">
        <v>0</v>
      </c>
      <c r="H13540" s="1" t="s">
        <v>0</v>
      </c>
      <c r="I13540" s="2">
        <v>0</v>
      </c>
      <c r="J13540" s="1">
        <v>46073.49324074074</v>
      </c>
    </row>
    <row r="13541" spans="1:10" x14ac:dyDescent="0.2">
      <c r="A13541" s="4" t="s">
        <v>1</v>
      </c>
      <c r="B13541" s="3" t="str">
        <f>HYPERLINK("https://otsuka-europe-crm.veevavault.com/ui/#object/approved_document__v/V5O00000000Q012", "LUP - 10 cuestiones: Inmunosupresión - reuma")</f>
        <v>LUP - 10 cuestiones: Inmunosupresión - reuma</v>
      </c>
      <c r="C13541" s="3" t="str">
        <f>HYPERLINK("https://otsuka-europe-crm.veevavault.com/ui/#object/sent_email__v/VBL00000001G181", "SE-001405361")</f>
        <v>SE-001405361</v>
      </c>
      <c r="D13541" s="1" t="s">
        <v>0</v>
      </c>
      <c r="E13541" s="2">
        <v>0</v>
      </c>
      <c r="F13541" s="2">
        <v>0</v>
      </c>
      <c r="G13541" s="2">
        <v>0</v>
      </c>
      <c r="H13541" s="1" t="s">
        <v>0</v>
      </c>
      <c r="I13541" s="2">
        <v>0</v>
      </c>
      <c r="J13541" s="1">
        <v>46073.493402777778</v>
      </c>
    </row>
    <row r="13542" spans="1:10" x14ac:dyDescent="0.2">
      <c r="A13542" s="4" t="s">
        <v>1</v>
      </c>
      <c r="B13542" s="3" t="str">
        <f>HYPERLINK("https://otsuka-europe-crm.veevavault.com/ui/#object/approved_document__v/V5O00000000Q012", "LUP - 10 cuestiones: Inmunosupresión - reuma")</f>
        <v>LUP - 10 cuestiones: Inmunosupresión - reuma</v>
      </c>
      <c r="C13542" s="3" t="str">
        <f>HYPERLINK("https://otsuka-europe-crm.veevavault.com/ui/#object/sent_email__v/VBL00000001G182", "SE-001405362")</f>
        <v>SE-001405362</v>
      </c>
      <c r="D13542" s="1" t="s">
        <v>0</v>
      </c>
      <c r="E13542" s="2">
        <v>0</v>
      </c>
      <c r="F13542" s="2">
        <v>0</v>
      </c>
      <c r="G13542" s="2">
        <v>0</v>
      </c>
      <c r="H13542" s="1" t="s">
        <v>0</v>
      </c>
      <c r="I13542" s="2">
        <v>0</v>
      </c>
      <c r="J13542" s="1">
        <v>46073.493576388886</v>
      </c>
    </row>
    <row r="13543" spans="1:10" x14ac:dyDescent="0.2">
      <c r="A13543" s="4" t="s">
        <v>1</v>
      </c>
      <c r="B13543" s="3" t="str">
        <f>HYPERLINK("https://otsuka-europe-crm.veevavault.com/ui/#object/approved_document__v/V5O00000000Q012", "LUP - 10 cuestiones: Inmunosupresión - reuma")</f>
        <v>LUP - 10 cuestiones: Inmunosupresión - reuma</v>
      </c>
      <c r="C13543" s="3" t="str">
        <f>HYPERLINK("https://otsuka-europe-crm.veevavault.com/ui/#object/sent_email__v/VBL00000001G183", "SE-001405363")</f>
        <v>SE-001405363</v>
      </c>
      <c r="D13543" s="1">
        <v>46073.679988425924</v>
      </c>
      <c r="E13543" s="2">
        <v>1</v>
      </c>
      <c r="F13543" s="2">
        <v>1</v>
      </c>
      <c r="G13543" s="2">
        <v>0</v>
      </c>
      <c r="H13543" s="1" t="s">
        <v>0</v>
      </c>
      <c r="I13543" s="2">
        <v>0</v>
      </c>
      <c r="J13543" s="1">
        <v>46073.493726851855</v>
      </c>
    </row>
    <row r="13544" spans="1:10" x14ac:dyDescent="0.2">
      <c r="A13544" s="4" t="s">
        <v>1</v>
      </c>
      <c r="B13544" s="3" t="str">
        <f>HYPERLINK("https://otsuka-europe-crm.veevavault.com/ui/#object/approved_document__v/V5O00000000Q012", "LUP - 10 cuestiones: Inmunosupresión - reuma")</f>
        <v>LUP - 10 cuestiones: Inmunosupresión - reuma</v>
      </c>
      <c r="C13544" s="3" t="str">
        <f>HYPERLINK("https://otsuka-europe-crm.veevavault.com/ui/#object/sent_email__v/VBL00000001G184", "SE-001405364")</f>
        <v>SE-001405364</v>
      </c>
      <c r="D13544" s="1" t="s">
        <v>0</v>
      </c>
      <c r="E13544" s="2">
        <v>0</v>
      </c>
      <c r="F13544" s="2">
        <v>0</v>
      </c>
      <c r="G13544" s="2">
        <v>0</v>
      </c>
      <c r="H13544" s="1" t="s">
        <v>0</v>
      </c>
      <c r="I13544" s="2">
        <v>0</v>
      </c>
      <c r="J13544" s="1">
        <v>46073.49391203704</v>
      </c>
    </row>
    <row r="13545" spans="1:10" x14ac:dyDescent="0.2">
      <c r="A13545" s="4" t="s">
        <v>1</v>
      </c>
      <c r="B13545" s="3" t="str">
        <f>HYPERLINK("https://otsuka-europe-crm.veevavault.com/ui/#object/approved_document__v/V5O00000000Q012", "LUP - 10 cuestiones: Inmunosupresión - reuma")</f>
        <v>LUP - 10 cuestiones: Inmunosupresión - reuma</v>
      </c>
      <c r="C13545" s="3" t="str">
        <f>HYPERLINK("https://otsuka-europe-crm.veevavault.com/ui/#object/sent_email__v/VBL00000001G185", "SE-001405365")</f>
        <v>SE-001405365</v>
      </c>
      <c r="D13545" s="1" t="s">
        <v>0</v>
      </c>
      <c r="E13545" s="2">
        <v>0</v>
      </c>
      <c r="F13545" s="2">
        <v>0</v>
      </c>
      <c r="G13545" s="2">
        <v>0</v>
      </c>
      <c r="H13545" s="1" t="s">
        <v>0</v>
      </c>
      <c r="I13545" s="2">
        <v>0</v>
      </c>
      <c r="J13545" s="1">
        <v>46073.494074074071</v>
      </c>
    </row>
    <row r="13546" spans="1:10" x14ac:dyDescent="0.2">
      <c r="A13546" s="4" t="s">
        <v>1</v>
      </c>
      <c r="B13546" s="3" t="str">
        <f>HYPERLINK("https://otsuka-europe-crm.veevavault.com/ui/#object/approved_document__v/V5O00000000Q012", "LUP - 10 cuestiones: Inmunosupresión - reuma")</f>
        <v>LUP - 10 cuestiones: Inmunosupresión - reuma</v>
      </c>
      <c r="C13546" s="3" t="str">
        <f>HYPERLINK("https://otsuka-europe-crm.veevavault.com/ui/#object/sent_email__v/VBL00000001G186", "SE-001405366")</f>
        <v>SE-001405366</v>
      </c>
      <c r="D13546" s="1" t="s">
        <v>0</v>
      </c>
      <c r="E13546" s="2">
        <v>0</v>
      </c>
      <c r="F13546" s="2">
        <v>0</v>
      </c>
      <c r="G13546" s="2">
        <v>0</v>
      </c>
      <c r="H13546" s="1" t="s">
        <v>0</v>
      </c>
      <c r="I13546" s="2">
        <v>0</v>
      </c>
      <c r="J13546" s="1">
        <v>46073.49423611111</v>
      </c>
    </row>
    <row r="13547" spans="1:10" x14ac:dyDescent="0.2">
      <c r="A13547" s="4" t="s">
        <v>1</v>
      </c>
      <c r="B13547" s="3" t="str">
        <f>HYPERLINK("https://otsuka-europe-crm.veevavault.com/ui/#object/approved_document__v/V5O00000000Q012", "LUP - 10 cuestiones: Inmunosupresión - reuma")</f>
        <v>LUP - 10 cuestiones: Inmunosupresión - reuma</v>
      </c>
      <c r="C13547" s="3" t="str">
        <f>HYPERLINK("https://otsuka-europe-crm.veevavault.com/ui/#object/sent_email__v/VBL00000001G187", "SE-001405367")</f>
        <v>SE-001405367</v>
      </c>
      <c r="D13547" s="1" t="s">
        <v>0</v>
      </c>
      <c r="E13547" s="2">
        <v>0</v>
      </c>
      <c r="F13547" s="2">
        <v>0</v>
      </c>
      <c r="G13547" s="2">
        <v>0</v>
      </c>
      <c r="H13547" s="1" t="s">
        <v>0</v>
      </c>
      <c r="I13547" s="2">
        <v>0</v>
      </c>
      <c r="J13547" s="1">
        <v>46073.494409722225</v>
      </c>
    </row>
    <row r="13548" spans="1:10" x14ac:dyDescent="0.2">
      <c r="A13548" s="4" t="s">
        <v>1</v>
      </c>
      <c r="B13548" s="3" t="str">
        <f>HYPERLINK("https://otsuka-europe-crm.veevavault.com/ui/#object/approved_document__v/V5O00000000Q012", "LUP - 10 cuestiones: Inmunosupresión - reuma")</f>
        <v>LUP - 10 cuestiones: Inmunosupresión - reuma</v>
      </c>
      <c r="C13548" s="3" t="str">
        <f>HYPERLINK("https://otsuka-europe-crm.veevavault.com/ui/#object/sent_email__v/VBL00000001G188", "SE-001405368")</f>
        <v>SE-001405368</v>
      </c>
      <c r="D13548" s="1">
        <v>46073.942557870374</v>
      </c>
      <c r="E13548" s="2">
        <v>1</v>
      </c>
      <c r="F13548" s="2">
        <v>2</v>
      </c>
      <c r="G13548" s="2">
        <v>0</v>
      </c>
      <c r="H13548" s="1" t="s">
        <v>0</v>
      </c>
      <c r="I13548" s="2">
        <v>0</v>
      </c>
      <c r="J13548" s="1">
        <v>46073.494560185187</v>
      </c>
    </row>
    <row r="13549" spans="1:10" x14ac:dyDescent="0.2">
      <c r="A13549" s="4" t="s">
        <v>1</v>
      </c>
      <c r="B13549" s="3" t="str">
        <f>HYPERLINK("https://otsuka-europe-crm.veevavault.com/ui/#object/approved_document__v/V5O00000000Q012", "LUP - 10 cuestiones: Inmunosupresión - reuma")</f>
        <v>LUP - 10 cuestiones: Inmunosupresión - reuma</v>
      </c>
      <c r="C13549" s="3" t="str">
        <f>HYPERLINK("https://otsuka-europe-crm.veevavault.com/ui/#object/sent_email__v/VBL00000001G189", "SE-001405369")</f>
        <v>SE-001405369</v>
      </c>
      <c r="D13549" s="1">
        <v>46074.907800925925</v>
      </c>
      <c r="E13549" s="2">
        <v>1</v>
      </c>
      <c r="F13549" s="2">
        <v>1</v>
      </c>
      <c r="G13549" s="2">
        <v>0</v>
      </c>
      <c r="H13549" s="1" t="s">
        <v>0</v>
      </c>
      <c r="I13549" s="2">
        <v>0</v>
      </c>
      <c r="J13549" s="1">
        <v>46073.494722222225</v>
      </c>
    </row>
    <row r="13550" spans="1:10" x14ac:dyDescent="0.2">
      <c r="A13550" s="4" t="s">
        <v>1</v>
      </c>
      <c r="B13550" s="3" t="str">
        <f>HYPERLINK("https://otsuka-europe-crm.veevavault.com/ui/#object/approved_document__v/V5O00000000Q012", "LUP - 10 cuestiones: Inmunosupresión - reuma")</f>
        <v>LUP - 10 cuestiones: Inmunosupresión - reuma</v>
      </c>
      <c r="C13550" s="3" t="str">
        <f>HYPERLINK("https://otsuka-europe-crm.veevavault.com/ui/#object/sent_email__v/VBL00000001G190", "SE-001405370")</f>
        <v>SE-001405370</v>
      </c>
      <c r="D13550" s="1" t="s">
        <v>0</v>
      </c>
      <c r="E13550" s="2">
        <v>0</v>
      </c>
      <c r="F13550" s="2">
        <v>0</v>
      </c>
      <c r="G13550" s="2">
        <v>0</v>
      </c>
      <c r="H13550" s="1" t="s">
        <v>0</v>
      </c>
      <c r="I13550" s="2">
        <v>0</v>
      </c>
      <c r="J13550" s="1">
        <v>46073.494895833333</v>
      </c>
    </row>
    <row r="13551" spans="1:10" x14ac:dyDescent="0.2">
      <c r="A13551" s="4" t="s">
        <v>1</v>
      </c>
      <c r="B13551" s="3" t="str">
        <f>HYPERLINK("https://otsuka-europe-crm.veevavault.com/ui/#object/approved_document__v/V5O00000000Q012", "LUP - 10 cuestiones: Inmunosupresión - reuma")</f>
        <v>LUP - 10 cuestiones: Inmunosupresión - reuma</v>
      </c>
      <c r="C13551" s="3" t="str">
        <f>HYPERLINK("https://otsuka-europe-crm.veevavault.com/ui/#object/sent_email__v/VBL00000001G191", "SE-001405371")</f>
        <v>SE-001405371</v>
      </c>
      <c r="D13551" s="1">
        <v>46074.355115740742</v>
      </c>
      <c r="E13551" s="2">
        <v>1</v>
      </c>
      <c r="F13551" s="2">
        <v>1</v>
      </c>
      <c r="G13551" s="2">
        <v>0</v>
      </c>
      <c r="H13551" s="1" t="s">
        <v>0</v>
      </c>
      <c r="I13551" s="2">
        <v>0</v>
      </c>
      <c r="J13551" s="1">
        <v>46073.495057870372</v>
      </c>
    </row>
    <row r="13552" spans="1:10" x14ac:dyDescent="0.2">
      <c r="A13552" s="4" t="s">
        <v>1</v>
      </c>
      <c r="B13552" s="3" t="str">
        <f>HYPERLINK("https://otsuka-europe-crm.veevavault.com/ui/#object/approved_document__v/V5O00000000Q012", "LUP - 10 cuestiones: Inmunosupresión - reuma")</f>
        <v>LUP - 10 cuestiones: Inmunosupresión - reuma</v>
      </c>
      <c r="C13552" s="3" t="str">
        <f>HYPERLINK("https://otsuka-europe-crm.veevavault.com/ui/#object/sent_email__v/VBL00000001G192", "SE-001405372")</f>
        <v>SE-001405372</v>
      </c>
      <c r="D13552" s="1">
        <v>46075.388055555559</v>
      </c>
      <c r="E13552" s="2">
        <v>1</v>
      </c>
      <c r="F13552" s="2">
        <v>2</v>
      </c>
      <c r="G13552" s="2">
        <v>0</v>
      </c>
      <c r="H13552" s="1" t="s">
        <v>0</v>
      </c>
      <c r="I13552" s="2">
        <v>0</v>
      </c>
      <c r="J13552" s="1">
        <v>46073.492349537039</v>
      </c>
    </row>
    <row r="13553" spans="1:10" x14ac:dyDescent="0.2">
      <c r="A13553" s="4" t="s">
        <v>1</v>
      </c>
      <c r="B13553" s="3" t="str">
        <f>HYPERLINK("https://otsuka-europe-crm.veevavault.com/ui/#object/approved_document__v/V5O00000000Q012", "LUP - 10 cuestiones: Inmunosupresión - reuma")</f>
        <v>LUP - 10 cuestiones: Inmunosupresión - reuma</v>
      </c>
      <c r="C13553" s="3" t="str">
        <f>HYPERLINK("https://otsuka-europe-crm.veevavault.com/ui/#object/sent_email__v/VBL00000001G193", "SE-001405373")</f>
        <v>SE-001405373</v>
      </c>
      <c r="D13553" s="1">
        <v>46075.364861111113</v>
      </c>
      <c r="E13553" s="2">
        <v>1</v>
      </c>
      <c r="F13553" s="2">
        <v>2</v>
      </c>
      <c r="G13553" s="2">
        <v>0</v>
      </c>
      <c r="H13553" s="1" t="s">
        <v>0</v>
      </c>
      <c r="I13553" s="2">
        <v>0</v>
      </c>
      <c r="J13553" s="1">
        <v>46073.492592592593</v>
      </c>
    </row>
    <row r="13554" spans="1:10" x14ac:dyDescent="0.2">
      <c r="A13554" s="4" t="s">
        <v>1</v>
      </c>
      <c r="B13554" s="3" t="str">
        <f>HYPERLINK("https://otsuka-europe-crm.veevavault.com/ui/#object/approved_document__v/V5O00000000Q012", "LUP - 10 cuestiones: Inmunosupresión - reuma")</f>
        <v>LUP - 10 cuestiones: Inmunosupresión - reuma</v>
      </c>
      <c r="C13554" s="3" t="str">
        <f>HYPERLINK("https://otsuka-europe-crm.veevavault.com/ui/#object/sent_email__v/VBL00000001G194", "SE-001405374")</f>
        <v>SE-001405374</v>
      </c>
      <c r="D13554" s="1" t="s">
        <v>0</v>
      </c>
      <c r="E13554" s="2">
        <v>0</v>
      </c>
      <c r="F13554" s="2">
        <v>0</v>
      </c>
      <c r="G13554" s="2">
        <v>0</v>
      </c>
      <c r="H13554" s="1" t="s">
        <v>0</v>
      </c>
      <c r="I13554" s="2">
        <v>0</v>
      </c>
      <c r="J13554" s="1">
        <v>46073.492835648147</v>
      </c>
    </row>
    <row r="13555" spans="1:10" x14ac:dyDescent="0.2">
      <c r="A13555" s="4" t="s">
        <v>1</v>
      </c>
      <c r="B13555" s="3" t="str">
        <f>HYPERLINK("https://otsuka-europe-crm.veevavault.com/ui/#object/approved_document__v/V5O00000000Q012", "LUP - 10 cuestiones: Inmunosupresión - reuma")</f>
        <v>LUP - 10 cuestiones: Inmunosupresión - reuma</v>
      </c>
      <c r="C13555" s="3" t="str">
        <f>HYPERLINK("https://otsuka-europe-crm.veevavault.com/ui/#object/sent_email__v/VBL00000001G195", "SE-001405375")</f>
        <v>SE-001405375</v>
      </c>
      <c r="D13555" s="1" t="s">
        <v>0</v>
      </c>
      <c r="E13555" s="2">
        <v>0</v>
      </c>
      <c r="F13555" s="2">
        <v>0</v>
      </c>
      <c r="G13555" s="2">
        <v>0</v>
      </c>
      <c r="H13555" s="1" t="s">
        <v>0</v>
      </c>
      <c r="I13555" s="2">
        <v>0</v>
      </c>
      <c r="J13555" s="1">
        <v>46073.493067129632</v>
      </c>
    </row>
    <row r="13556" spans="1:10" x14ac:dyDescent="0.2">
      <c r="A13556" s="4" t="s">
        <v>1</v>
      </c>
      <c r="B13556" s="3" t="str">
        <f>HYPERLINK("https://otsuka-europe-crm.veevavault.com/ui/#object/approved_document__v/V5O00000000Q012", "LUP - 10 cuestiones: Inmunosupresión - reuma")</f>
        <v>LUP - 10 cuestiones: Inmunosupresión - reuma</v>
      </c>
      <c r="C13556" s="3" t="str">
        <f>HYPERLINK("https://otsuka-europe-crm.veevavault.com/ui/#object/sent_email__v/VBL00000001G196", "SE-001405376")</f>
        <v>SE-001405376</v>
      </c>
      <c r="D13556" s="1">
        <v>46074.388148148151</v>
      </c>
      <c r="E13556" s="2">
        <v>1</v>
      </c>
      <c r="F13556" s="2">
        <v>4</v>
      </c>
      <c r="G13556" s="2">
        <v>0</v>
      </c>
      <c r="H13556" s="1" t="s">
        <v>0</v>
      </c>
      <c r="I13556" s="2">
        <v>0</v>
      </c>
      <c r="J13556" s="1">
        <v>46073.49322916667</v>
      </c>
    </row>
    <row r="13557" spans="1:10" x14ac:dyDescent="0.2">
      <c r="A13557" s="4" t="s">
        <v>1</v>
      </c>
      <c r="B13557" s="3" t="str">
        <f>HYPERLINK("https://otsuka-europe-crm.veevavault.com/ui/#object/approved_document__v/V5O00000000Q012", "LUP - 10 cuestiones: Inmunosupresión - reuma")</f>
        <v>LUP - 10 cuestiones: Inmunosupresión - reuma</v>
      </c>
      <c r="C13557" s="3" t="str">
        <f>HYPERLINK("https://otsuka-europe-crm.veevavault.com/ui/#object/sent_email__v/VBL00000001G197", "SE-001405377")</f>
        <v>SE-001405377</v>
      </c>
      <c r="D13557" s="1">
        <v>46075.784675925926</v>
      </c>
      <c r="E13557" s="2">
        <v>1</v>
      </c>
      <c r="F13557" s="2">
        <v>3</v>
      </c>
      <c r="G13557" s="2">
        <v>0</v>
      </c>
      <c r="H13557" s="1" t="s">
        <v>0</v>
      </c>
      <c r="I13557" s="2">
        <v>0</v>
      </c>
      <c r="J13557" s="1">
        <v>46073.493402777778</v>
      </c>
    </row>
    <row r="13558" spans="1:10" x14ac:dyDescent="0.2">
      <c r="A13558" s="4" t="s">
        <v>1</v>
      </c>
      <c r="B13558" s="3" t="str">
        <f>HYPERLINK("https://otsuka-europe-crm.veevavault.com/ui/#object/approved_document__v/V5O00000000Q012", "LUP - 10 cuestiones: Inmunosupresión - reuma")</f>
        <v>LUP - 10 cuestiones: Inmunosupresión - reuma</v>
      </c>
      <c r="C13558" s="3" t="str">
        <f>HYPERLINK("https://otsuka-europe-crm.veevavault.com/ui/#object/sent_email__v/VBL00000001G198", "SE-001405378")</f>
        <v>SE-001405378</v>
      </c>
      <c r="D13558" s="1">
        <v>46073.568969907406</v>
      </c>
      <c r="E13558" s="2">
        <v>1</v>
      </c>
      <c r="F13558" s="2">
        <v>1</v>
      </c>
      <c r="G13558" s="2">
        <v>0</v>
      </c>
      <c r="H13558" s="1" t="s">
        <v>0</v>
      </c>
      <c r="I13558" s="2">
        <v>0</v>
      </c>
      <c r="J13558" s="1">
        <v>46073.493564814817</v>
      </c>
    </row>
    <row r="13559" spans="1:10" x14ac:dyDescent="0.2">
      <c r="A13559" s="4" t="s">
        <v>1</v>
      </c>
      <c r="B13559" s="3" t="str">
        <f>HYPERLINK("https://otsuka-europe-crm.veevavault.com/ui/#object/approved_document__v/V5O00000000Q012", "LUP - 10 cuestiones: Inmunosupresión - reuma")</f>
        <v>LUP - 10 cuestiones: Inmunosupresión - reuma</v>
      </c>
      <c r="C13559" s="3" t="str">
        <f>HYPERLINK("https://otsuka-europe-crm.veevavault.com/ui/#object/sent_email__v/VBL00000001G199", "SE-001405379")</f>
        <v>SE-001405379</v>
      </c>
      <c r="D13559" s="1" t="s">
        <v>0</v>
      </c>
      <c r="E13559" s="2">
        <v>0</v>
      </c>
      <c r="F13559" s="2">
        <v>0</v>
      </c>
      <c r="G13559" s="2">
        <v>0</v>
      </c>
      <c r="H13559" s="1" t="s">
        <v>0</v>
      </c>
      <c r="I13559" s="2">
        <v>0</v>
      </c>
      <c r="J13559" s="1">
        <v>46073.493726851855</v>
      </c>
    </row>
    <row r="13560" spans="1:10" x14ac:dyDescent="0.2">
      <c r="A13560" s="4" t="s">
        <v>1</v>
      </c>
      <c r="B13560" s="3" t="str">
        <f>HYPERLINK("https://otsuka-europe-crm.veevavault.com/ui/#object/approved_document__v/V5O00000000Q012", "LUP - 10 cuestiones: Inmunosupresión - reuma")</f>
        <v>LUP - 10 cuestiones: Inmunosupresión - reuma</v>
      </c>
      <c r="C13560" s="3" t="str">
        <f>HYPERLINK("https://otsuka-europe-crm.veevavault.com/ui/#object/sent_email__v/VBL00000001G200", "SE-001405380")</f>
        <v>SE-001405380</v>
      </c>
      <c r="D13560" s="1">
        <v>46075.357858796298</v>
      </c>
      <c r="E13560" s="2">
        <v>1</v>
      </c>
      <c r="F13560" s="2">
        <v>1</v>
      </c>
      <c r="G13560" s="2">
        <v>0</v>
      </c>
      <c r="H13560" s="1" t="s">
        <v>0</v>
      </c>
      <c r="I13560" s="2">
        <v>0</v>
      </c>
      <c r="J13560" s="1">
        <v>46073.493888888886</v>
      </c>
    </row>
    <row r="13561" spans="1:10" x14ac:dyDescent="0.2">
      <c r="A13561" s="4" t="s">
        <v>1</v>
      </c>
      <c r="B13561" s="3" t="str">
        <f>HYPERLINK("https://otsuka-europe-crm.veevavault.com/ui/#object/approved_document__v/V5O00000000Q012", "LUP - 10 cuestiones: Inmunosupresión - reuma")</f>
        <v>LUP - 10 cuestiones: Inmunosupresión - reuma</v>
      </c>
      <c r="C13561" s="3" t="str">
        <f>HYPERLINK("https://otsuka-europe-crm.veevavault.com/ui/#object/sent_email__v/VBL00000001G201", "SE-001405381")</f>
        <v>SE-001405381</v>
      </c>
      <c r="D13561" s="1">
        <v>46073.657314814816</v>
      </c>
      <c r="E13561" s="2">
        <v>1</v>
      </c>
      <c r="F13561" s="2">
        <v>1</v>
      </c>
      <c r="G13561" s="2">
        <v>0</v>
      </c>
      <c r="H13561" s="1" t="s">
        <v>0</v>
      </c>
      <c r="I13561" s="2">
        <v>0</v>
      </c>
      <c r="J13561" s="1">
        <v>46073.494062500002</v>
      </c>
    </row>
    <row r="13562" spans="1:10" x14ac:dyDescent="0.2">
      <c r="A13562" s="4" t="s">
        <v>1</v>
      </c>
      <c r="B13562" s="3" t="str">
        <f>HYPERLINK("https://otsuka-europe-crm.veevavault.com/ui/#object/approved_document__v/V5O00000000Q012", "LUP - 10 cuestiones: Inmunosupresión - reuma")</f>
        <v>LUP - 10 cuestiones: Inmunosupresión - reuma</v>
      </c>
      <c r="C13562" s="3" t="str">
        <f>HYPERLINK("https://otsuka-europe-crm.veevavault.com/ui/#object/sent_email__v/VBL00000001G202", "SE-001405382")</f>
        <v>SE-001405382</v>
      </c>
      <c r="D13562" s="1">
        <v>46073.698495370372</v>
      </c>
      <c r="E13562" s="2">
        <v>1</v>
      </c>
      <c r="F13562" s="2">
        <v>1</v>
      </c>
      <c r="G13562" s="2">
        <v>0</v>
      </c>
      <c r="H13562" s="1" t="s">
        <v>0</v>
      </c>
      <c r="I13562" s="2">
        <v>0</v>
      </c>
      <c r="J13562" s="1">
        <v>46073.49422453704</v>
      </c>
    </row>
    <row r="13563" spans="1:10" x14ac:dyDescent="0.2">
      <c r="A13563" s="4" t="s">
        <v>1</v>
      </c>
      <c r="B13563" s="3" t="str">
        <f>HYPERLINK("https://otsuka-europe-crm.veevavault.com/ui/#object/approved_document__v/V5O00000000Q012", "LUP - 10 cuestiones: Inmunosupresión - reuma")</f>
        <v>LUP - 10 cuestiones: Inmunosupresión - reuma</v>
      </c>
      <c r="C13563" s="3" t="str">
        <f>HYPERLINK("https://otsuka-europe-crm.veevavault.com/ui/#object/sent_email__v/VBL00000001G203", "SE-001405383")</f>
        <v>SE-001405383</v>
      </c>
      <c r="D13563" s="1">
        <v>46077.04582175926</v>
      </c>
      <c r="E13563" s="2">
        <v>1</v>
      </c>
      <c r="F13563" s="2">
        <v>1</v>
      </c>
      <c r="G13563" s="2">
        <v>0</v>
      </c>
      <c r="H13563" s="1" t="s">
        <v>0</v>
      </c>
      <c r="I13563" s="2">
        <v>0</v>
      </c>
      <c r="J13563" s="1">
        <v>46073.494386574072</v>
      </c>
    </row>
    <row r="13564" spans="1:10" x14ac:dyDescent="0.2">
      <c r="A13564" s="4" t="s">
        <v>1</v>
      </c>
      <c r="B13564" s="3" t="str">
        <f>HYPERLINK("https://otsuka-europe-crm.veevavault.com/ui/#object/approved_document__v/V5O00000000Q012", "LUP - 10 cuestiones: Inmunosupresión - reuma")</f>
        <v>LUP - 10 cuestiones: Inmunosupresión - reuma</v>
      </c>
      <c r="C13564" s="3" t="str">
        <f>HYPERLINK("https://otsuka-europe-crm.veevavault.com/ui/#object/sent_email__v/VBL00000001G204", "SE-001405384")</f>
        <v>SE-001405384</v>
      </c>
      <c r="D13564" s="1" t="s">
        <v>0</v>
      </c>
      <c r="E13564" s="2">
        <v>0</v>
      </c>
      <c r="F13564" s="2">
        <v>0</v>
      </c>
      <c r="G13564" s="2">
        <v>0</v>
      </c>
      <c r="H13564" s="1" t="s">
        <v>0</v>
      </c>
      <c r="I13564" s="2">
        <v>0</v>
      </c>
      <c r="J13564" s="1">
        <v>46073.494560185187</v>
      </c>
    </row>
    <row r="13565" spans="1:10" x14ac:dyDescent="0.2">
      <c r="A13565" s="4" t="s">
        <v>1</v>
      </c>
      <c r="B13565" s="3" t="str">
        <f>HYPERLINK("https://otsuka-europe-crm.veevavault.com/ui/#object/approved_document__v/V5O00000000Q012", "LUP - 10 cuestiones: Inmunosupresión - reuma")</f>
        <v>LUP - 10 cuestiones: Inmunosupresión - reuma</v>
      </c>
      <c r="C13565" s="3" t="str">
        <f>HYPERLINK("https://otsuka-europe-crm.veevavault.com/ui/#object/sent_email__v/VBL00000001G205", "SE-001405385")</f>
        <v>SE-001405385</v>
      </c>
      <c r="D13565" s="1">
        <v>46075.504583333335</v>
      </c>
      <c r="E13565" s="2">
        <v>1</v>
      </c>
      <c r="F13565" s="2">
        <v>2</v>
      </c>
      <c r="G13565" s="2">
        <v>0</v>
      </c>
      <c r="H13565" s="1" t="s">
        <v>0</v>
      </c>
      <c r="I13565" s="2">
        <v>0</v>
      </c>
      <c r="J13565" s="1">
        <v>46073.494710648149</v>
      </c>
    </row>
    <row r="13566" spans="1:10" x14ac:dyDescent="0.2">
      <c r="A13566" s="4" t="s">
        <v>1</v>
      </c>
      <c r="B13566" s="3" t="str">
        <f>HYPERLINK("https://otsuka-europe-crm.veevavault.com/ui/#object/approved_document__v/V5O00000000Q012", "LUP - 10 cuestiones: Inmunosupresión - reuma")</f>
        <v>LUP - 10 cuestiones: Inmunosupresión - reuma</v>
      </c>
      <c r="C13566" s="3" t="str">
        <f>HYPERLINK("https://otsuka-europe-crm.veevavault.com/ui/#object/sent_email__v/VBL00000001G206", "SE-001405386")</f>
        <v>SE-001405386</v>
      </c>
      <c r="D13566" s="1" t="s">
        <v>0</v>
      </c>
      <c r="E13566" s="2">
        <v>0</v>
      </c>
      <c r="F13566" s="2">
        <v>0</v>
      </c>
      <c r="G13566" s="2">
        <v>0</v>
      </c>
      <c r="H13566" s="1" t="s">
        <v>0</v>
      </c>
      <c r="I13566" s="2">
        <v>0</v>
      </c>
      <c r="J13566" s="1">
        <v>46073.494884259257</v>
      </c>
    </row>
    <row r="13567" spans="1:10" x14ac:dyDescent="0.2">
      <c r="A13567" s="4" t="s">
        <v>1</v>
      </c>
      <c r="B13567" s="3" t="str">
        <f>HYPERLINK("https://otsuka-europe-crm.veevavault.com/ui/#object/approved_document__v/V5O00000000Q012", "LUP - 10 cuestiones: Inmunosupresión - reuma")</f>
        <v>LUP - 10 cuestiones: Inmunosupresión - reuma</v>
      </c>
      <c r="C13567" s="3" t="str">
        <f>HYPERLINK("https://otsuka-europe-crm.veevavault.com/ui/#object/sent_email__v/VBL00000001G207", "SE-001405387")</f>
        <v>SE-001405387</v>
      </c>
      <c r="D13567" s="1" t="s">
        <v>0</v>
      </c>
      <c r="E13567" s="2">
        <v>0</v>
      </c>
      <c r="F13567" s="2">
        <v>0</v>
      </c>
      <c r="G13567" s="2">
        <v>0</v>
      </c>
      <c r="H13567" s="1" t="s">
        <v>0</v>
      </c>
      <c r="I13567" s="2">
        <v>0</v>
      </c>
      <c r="J13567" s="1">
        <v>46073.495046296295</v>
      </c>
    </row>
    <row r="13568" spans="1:10" x14ac:dyDescent="0.2">
      <c r="A13568" s="4" t="s">
        <v>1</v>
      </c>
      <c r="B13568" s="3" t="str">
        <f>HYPERLINK("https://otsuka-europe-crm.veevavault.com/ui/#object/approved_document__v/V5O00000000Q012", "LUP - 10 cuestiones: Inmunosupresión - reuma")</f>
        <v>LUP - 10 cuestiones: Inmunosupresión - reuma</v>
      </c>
      <c r="C13568" s="3" t="str">
        <f>HYPERLINK("https://otsuka-europe-crm.veevavault.com/ui/#object/sent_email__v/VBL00000001G208", "SE-001405388")</f>
        <v>SE-001405388</v>
      </c>
      <c r="D13568" s="1" t="s">
        <v>0</v>
      </c>
      <c r="E13568" s="2">
        <v>0</v>
      </c>
      <c r="F13568" s="2">
        <v>0</v>
      </c>
      <c r="G13568" s="2">
        <v>0</v>
      </c>
      <c r="H13568" s="1" t="s">
        <v>0</v>
      </c>
      <c r="I13568" s="2">
        <v>0</v>
      </c>
      <c r="J13568" s="1">
        <v>46073.495219907411</v>
      </c>
    </row>
    <row r="13569" spans="1:10" x14ac:dyDescent="0.2">
      <c r="A13569" s="4" t="s">
        <v>1</v>
      </c>
      <c r="B13569" s="3" t="str">
        <f>HYPERLINK("https://otsuka-europe-crm.veevavault.com/ui/#object/approved_document__v/V5O00000000Q012", "LUP - 10 cuestiones: Inmunosupresión - reuma")</f>
        <v>LUP - 10 cuestiones: Inmunosupresión - reuma</v>
      </c>
      <c r="C13569" s="3" t="str">
        <f>HYPERLINK("https://otsuka-europe-crm.veevavault.com/ui/#object/sent_email__v/VBL00000001G209", "SE-001405389")</f>
        <v>SE-001405389</v>
      </c>
      <c r="D13569" s="1">
        <v>46076.780694444446</v>
      </c>
      <c r="E13569" s="2">
        <v>1</v>
      </c>
      <c r="F13569" s="2">
        <v>2</v>
      </c>
      <c r="G13569" s="2">
        <v>0</v>
      </c>
      <c r="H13569" s="1" t="s">
        <v>0</v>
      </c>
      <c r="I13569" s="2">
        <v>0</v>
      </c>
      <c r="J13569" s="1">
        <v>46073.495381944442</v>
      </c>
    </row>
    <row r="13570" spans="1:10" x14ac:dyDescent="0.2">
      <c r="A13570" s="4" t="s">
        <v>1</v>
      </c>
      <c r="B13570" s="3" t="str">
        <f>HYPERLINK("https://otsuka-europe-crm.veevavault.com/ui/#object/approved_document__v/V5O00000000Q012", "LUP - 10 cuestiones: Inmunosupresión - reuma")</f>
        <v>LUP - 10 cuestiones: Inmunosupresión - reuma</v>
      </c>
      <c r="C13570" s="3" t="str">
        <f>HYPERLINK("https://otsuka-europe-crm.veevavault.com/ui/#object/sent_email__v/VBL00000001G210", "SE-001405390")</f>
        <v>SE-001405390</v>
      </c>
      <c r="D13570" s="1">
        <v>46073.756331018521</v>
      </c>
      <c r="E13570" s="2">
        <v>1</v>
      </c>
      <c r="F13570" s="2">
        <v>1</v>
      </c>
      <c r="G13570" s="2">
        <v>0</v>
      </c>
      <c r="H13570" s="1" t="s">
        <v>0</v>
      </c>
      <c r="I13570" s="2">
        <v>0</v>
      </c>
      <c r="J13570" s="1">
        <v>46073.495636574073</v>
      </c>
    </row>
    <row r="13571" spans="1:10" x14ac:dyDescent="0.2">
      <c r="A13571" s="4" t="s">
        <v>1</v>
      </c>
      <c r="B13571" s="3" t="str">
        <f>HYPERLINK("https://otsuka-europe-crm.veevavault.com/ui/#object/approved_document__v/V5O00000000Q012", "LUP - 10 cuestiones: Inmunosupresión - reuma")</f>
        <v>LUP - 10 cuestiones: Inmunosupresión - reuma</v>
      </c>
      <c r="C13571" s="3" t="str">
        <f>HYPERLINK("https://otsuka-europe-crm.veevavault.com/ui/#object/sent_email__v/VBL00000001G211", "SE-001405391")</f>
        <v>SE-001405391</v>
      </c>
      <c r="D13571" s="1" t="s">
        <v>0</v>
      </c>
      <c r="E13571" s="2">
        <v>0</v>
      </c>
      <c r="F13571" s="2">
        <v>0</v>
      </c>
      <c r="G13571" s="2">
        <v>0</v>
      </c>
      <c r="H13571" s="1" t="s">
        <v>0</v>
      </c>
      <c r="I13571" s="2">
        <v>0</v>
      </c>
      <c r="J13571" s="1">
        <v>46073.495891203704</v>
      </c>
    </row>
    <row r="13572" spans="1:10" x14ac:dyDescent="0.2">
      <c r="A13572" s="4" t="s">
        <v>1</v>
      </c>
      <c r="B13572" s="3" t="str">
        <f>HYPERLINK("https://otsuka-europe-crm.veevavault.com/ui/#object/approved_document__v/V5O00000000Q012", "LUP - 10 cuestiones: Inmunosupresión - reuma")</f>
        <v>LUP - 10 cuestiones: Inmunosupresión - reuma</v>
      </c>
      <c r="C13572" s="3" t="str">
        <f>HYPERLINK("https://otsuka-europe-crm.veevavault.com/ui/#object/sent_email__v/VBL00000001G212", "SE-001405392")</f>
        <v>SE-001405392</v>
      </c>
      <c r="D13572" s="1" t="s">
        <v>0</v>
      </c>
      <c r="E13572" s="2">
        <v>0</v>
      </c>
      <c r="F13572" s="2">
        <v>0</v>
      </c>
      <c r="G13572" s="2">
        <v>0</v>
      </c>
      <c r="H13572" s="1" t="s">
        <v>0</v>
      </c>
      <c r="I13572" s="2">
        <v>0</v>
      </c>
      <c r="J13572" s="1">
        <v>46073.496145833335</v>
      </c>
    </row>
    <row r="13573" spans="1:10" x14ac:dyDescent="0.2">
      <c r="A13573" s="4" t="s">
        <v>1</v>
      </c>
      <c r="B13573" s="3" t="str">
        <f>HYPERLINK("https://otsuka-europe-crm.veevavault.com/ui/#object/approved_document__v/V5O00000000Q012", "LUP - 10 cuestiones: Inmunosupresión - reuma")</f>
        <v>LUP - 10 cuestiones: Inmunosupresión - reuma</v>
      </c>
      <c r="C13573" s="3" t="str">
        <f>HYPERLINK("https://otsuka-europe-crm.veevavault.com/ui/#object/sent_email__v/VBL00000001G213", "SE-001405393")</f>
        <v>SE-001405393</v>
      </c>
      <c r="D13573" s="1">
        <v>46073.69872685185</v>
      </c>
      <c r="E13573" s="2">
        <v>1</v>
      </c>
      <c r="F13573" s="2">
        <v>2</v>
      </c>
      <c r="G13573" s="2">
        <v>0</v>
      </c>
      <c r="H13573" s="1" t="s">
        <v>0</v>
      </c>
      <c r="I13573" s="2">
        <v>0</v>
      </c>
      <c r="J13573" s="1">
        <v>46073.496388888889</v>
      </c>
    </row>
    <row r="13574" spans="1:10" x14ac:dyDescent="0.2">
      <c r="A13574" s="4" t="s">
        <v>1</v>
      </c>
      <c r="B13574" s="3" t="str">
        <f>HYPERLINK("https://otsuka-europe-crm.veevavault.com/ui/#object/approved_document__v/V5O00000000Q012", "LUP - 10 cuestiones: Inmunosupresión - reuma")</f>
        <v>LUP - 10 cuestiones: Inmunosupresión - reuma</v>
      </c>
      <c r="C13574" s="3" t="str">
        <f>HYPERLINK("https://otsuka-europe-crm.veevavault.com/ui/#object/sent_email__v/VBL00000001G214", "SE-001405394")</f>
        <v>SE-001405394</v>
      </c>
      <c r="D13574" s="1" t="s">
        <v>0</v>
      </c>
      <c r="E13574" s="2">
        <v>0</v>
      </c>
      <c r="F13574" s="2">
        <v>0</v>
      </c>
      <c r="G13574" s="2">
        <v>0</v>
      </c>
      <c r="H13574" s="1" t="s">
        <v>0</v>
      </c>
      <c r="I13574" s="2">
        <v>0</v>
      </c>
      <c r="J13574" s="1">
        <v>46073.49658564815</v>
      </c>
    </row>
    <row r="13575" spans="1:10" x14ac:dyDescent="0.2">
      <c r="A13575" s="4" t="s">
        <v>1</v>
      </c>
      <c r="B13575" s="3" t="str">
        <f>HYPERLINK("https://otsuka-europe-crm.veevavault.com/ui/#object/approved_document__v/V5O00000000Q012", "LUP - 10 cuestiones: Inmunosupresión - reuma")</f>
        <v>LUP - 10 cuestiones: Inmunosupresión - reuma</v>
      </c>
      <c r="C13575" s="3" t="str">
        <f>HYPERLINK("https://otsuka-europe-crm.veevavault.com/ui/#object/sent_email__v/VBL00000001G215", "SE-001405395")</f>
        <v>SE-001405395</v>
      </c>
      <c r="D13575" s="1" t="s">
        <v>0</v>
      </c>
      <c r="E13575" s="2">
        <v>0</v>
      </c>
      <c r="F13575" s="2">
        <v>0</v>
      </c>
      <c r="G13575" s="2">
        <v>0</v>
      </c>
      <c r="H13575" s="1" t="s">
        <v>0</v>
      </c>
      <c r="I13575" s="2">
        <v>0</v>
      </c>
      <c r="J13575" s="1">
        <v>46073.496747685182</v>
      </c>
    </row>
    <row r="13576" spans="1:10" x14ac:dyDescent="0.2">
      <c r="A13576" s="4" t="s">
        <v>1</v>
      </c>
      <c r="B13576" s="3" t="str">
        <f>HYPERLINK("https://otsuka-europe-crm.veevavault.com/ui/#object/approved_document__v/V5O00000000Q012", "LUP - 10 cuestiones: Inmunosupresión - reuma")</f>
        <v>LUP - 10 cuestiones: Inmunosupresión - reuma</v>
      </c>
      <c r="C13576" s="3" t="str">
        <f>HYPERLINK("https://otsuka-europe-crm.veevavault.com/ui/#object/sent_email__v/VBL00000001G216", "SE-001405396")</f>
        <v>SE-001405396</v>
      </c>
      <c r="D13576" s="1" t="s">
        <v>0</v>
      </c>
      <c r="E13576" s="2">
        <v>0</v>
      </c>
      <c r="F13576" s="2">
        <v>0</v>
      </c>
      <c r="G13576" s="2">
        <v>0</v>
      </c>
      <c r="H13576" s="1" t="s">
        <v>0</v>
      </c>
      <c r="I13576" s="2">
        <v>0</v>
      </c>
      <c r="J13576" s="1">
        <v>46073.496921296297</v>
      </c>
    </row>
    <row r="13577" spans="1:10" x14ac:dyDescent="0.2">
      <c r="A13577" s="4" t="s">
        <v>1</v>
      </c>
      <c r="B13577" s="3" t="str">
        <f>HYPERLINK("https://otsuka-europe-crm.veevavault.com/ui/#object/approved_document__v/V5O00000000Q012", "LUP - 10 cuestiones: Inmunosupresión - reuma")</f>
        <v>LUP - 10 cuestiones: Inmunosupresión - reuma</v>
      </c>
      <c r="C13577" s="3" t="str">
        <f>HYPERLINK("https://otsuka-europe-crm.veevavault.com/ui/#object/sent_email__v/VBL00000001G217", "SE-001405397")</f>
        <v>SE-001405397</v>
      </c>
      <c r="D13577" s="1">
        <v>46073.503865740742</v>
      </c>
      <c r="E13577" s="2">
        <v>1</v>
      </c>
      <c r="F13577" s="2">
        <v>1</v>
      </c>
      <c r="G13577" s="2">
        <v>0</v>
      </c>
      <c r="H13577" s="1" t="s">
        <v>0</v>
      </c>
      <c r="I13577" s="2">
        <v>0</v>
      </c>
      <c r="J13577" s="1">
        <v>46073.497083333335</v>
      </c>
    </row>
    <row r="13578" spans="1:10" x14ac:dyDescent="0.2">
      <c r="A13578" s="4" t="s">
        <v>1</v>
      </c>
      <c r="B13578" s="3" t="str">
        <f>HYPERLINK("https://otsuka-europe-crm.veevavault.com/ui/#object/approved_document__v/V5O00000000Q012", "LUP - 10 cuestiones: Inmunosupresión - reuma")</f>
        <v>LUP - 10 cuestiones: Inmunosupresión - reuma</v>
      </c>
      <c r="C13578" s="3" t="str">
        <f>HYPERLINK("https://otsuka-europe-crm.veevavault.com/ui/#object/sent_email__v/VBL00000001G218", "SE-001405398")</f>
        <v>SE-001405398</v>
      </c>
      <c r="D13578" s="1">
        <v>46074.201018518521</v>
      </c>
      <c r="E13578" s="2">
        <v>1</v>
      </c>
      <c r="F13578" s="2">
        <v>2</v>
      </c>
      <c r="G13578" s="2">
        <v>0</v>
      </c>
      <c r="H13578" s="1" t="s">
        <v>0</v>
      </c>
      <c r="I13578" s="2">
        <v>0</v>
      </c>
      <c r="J13578" s="1">
        <v>46073.497256944444</v>
      </c>
    </row>
    <row r="13579" spans="1:10" x14ac:dyDescent="0.2">
      <c r="A13579" s="4" t="s">
        <v>1</v>
      </c>
      <c r="B13579" s="3" t="str">
        <f>HYPERLINK("https://otsuka-europe-crm.veevavault.com/ui/#object/approved_document__v/V5O00000000Q012", "LUP - 10 cuestiones: Inmunosupresión - reuma")</f>
        <v>LUP - 10 cuestiones: Inmunosupresión - reuma</v>
      </c>
      <c r="C13579" s="3" t="str">
        <f>HYPERLINK("https://otsuka-europe-crm.veevavault.com/ui/#object/sent_email__v/VBL00000001G219", "SE-001405399")</f>
        <v>SE-001405399</v>
      </c>
      <c r="D13579" s="1">
        <v>46075.848460648151</v>
      </c>
      <c r="E13579" s="2">
        <v>1</v>
      </c>
      <c r="F13579" s="2">
        <v>2</v>
      </c>
      <c r="G13579" s="2">
        <v>1</v>
      </c>
      <c r="H13579" s="1">
        <v>46075.848680555559</v>
      </c>
      <c r="I13579" s="2">
        <v>2</v>
      </c>
      <c r="J13579" s="1">
        <v>46073.497418981482</v>
      </c>
    </row>
    <row r="13580" spans="1:10" x14ac:dyDescent="0.2">
      <c r="A13580" s="4" t="s">
        <v>1</v>
      </c>
      <c r="B13580" s="3" t="str">
        <f>HYPERLINK("https://otsuka-europe-crm.veevavault.com/ui/#object/approved_document__v/V5O00000000Q012", "LUP - 10 cuestiones: Inmunosupresión - reuma")</f>
        <v>LUP - 10 cuestiones: Inmunosupresión - reuma</v>
      </c>
      <c r="C13580" s="3" t="str">
        <f>HYPERLINK("https://otsuka-europe-crm.veevavault.com/ui/#object/sent_email__v/VBL00000001G220", "SE-001405400")</f>
        <v>SE-001405400</v>
      </c>
      <c r="D13580" s="1" t="s">
        <v>0</v>
      </c>
      <c r="E13580" s="2">
        <v>0</v>
      </c>
      <c r="F13580" s="2">
        <v>0</v>
      </c>
      <c r="G13580" s="2">
        <v>0</v>
      </c>
      <c r="H13580" s="1" t="s">
        <v>0</v>
      </c>
      <c r="I13580" s="2">
        <v>0</v>
      </c>
      <c r="J13580" s="1">
        <v>46073.497581018521</v>
      </c>
    </row>
    <row r="13581" spans="1:10" x14ac:dyDescent="0.2">
      <c r="A13581" s="4" t="s">
        <v>1</v>
      </c>
      <c r="B13581" s="3" t="str">
        <f>HYPERLINK("https://otsuka-europe-crm.veevavault.com/ui/#object/approved_document__v/V5O00000000Q012", "LUP - 10 cuestiones: Inmunosupresión - reuma")</f>
        <v>LUP - 10 cuestiones: Inmunosupresión - reuma</v>
      </c>
      <c r="C13581" s="3" t="str">
        <f>HYPERLINK("https://otsuka-europe-crm.veevavault.com/ui/#object/sent_email__v/VBL00000001G221", "SE-001405401")</f>
        <v>SE-001405401</v>
      </c>
      <c r="D13581" s="1" t="s">
        <v>0</v>
      </c>
      <c r="E13581" s="2">
        <v>0</v>
      </c>
      <c r="F13581" s="2">
        <v>0</v>
      </c>
      <c r="G13581" s="2">
        <v>0</v>
      </c>
      <c r="H13581" s="1" t="s">
        <v>0</v>
      </c>
      <c r="I13581" s="2">
        <v>0</v>
      </c>
      <c r="J13581" s="1">
        <v>46073.497766203705</v>
      </c>
    </row>
    <row r="13582" spans="1:10" x14ac:dyDescent="0.2">
      <c r="A13582" s="4" t="s">
        <v>1</v>
      </c>
      <c r="B13582" s="3" t="str">
        <f>HYPERLINK("https://otsuka-europe-crm.veevavault.com/ui/#object/approved_document__v/V5O00000000Q012", "LUP - 10 cuestiones: Inmunosupresión - reuma")</f>
        <v>LUP - 10 cuestiones: Inmunosupresión - reuma</v>
      </c>
      <c r="C13582" s="3" t="str">
        <f>HYPERLINK("https://otsuka-europe-crm.veevavault.com/ui/#object/sent_email__v/VBL00000001G222", "SE-001405402")</f>
        <v>SE-001405402</v>
      </c>
      <c r="D13582" s="1" t="s">
        <v>0</v>
      </c>
      <c r="E13582" s="2">
        <v>0</v>
      </c>
      <c r="F13582" s="2">
        <v>0</v>
      </c>
      <c r="G13582" s="2">
        <v>0</v>
      </c>
      <c r="H13582" s="1" t="s">
        <v>0</v>
      </c>
      <c r="I13582" s="2">
        <v>0</v>
      </c>
      <c r="J13582" s="1">
        <v>46073.497928240744</v>
      </c>
    </row>
    <row r="13583" spans="1:10" x14ac:dyDescent="0.2">
      <c r="A13583" s="4" t="s">
        <v>1</v>
      </c>
      <c r="B13583" s="3" t="str">
        <f>HYPERLINK("https://otsuka-europe-crm.veevavault.com/ui/#object/approved_document__v/V5O00000000Q012", "LUP - 10 cuestiones: Inmunosupresión - reuma")</f>
        <v>LUP - 10 cuestiones: Inmunosupresión - reuma</v>
      </c>
      <c r="C13583" s="3" t="str">
        <f>HYPERLINK("https://otsuka-europe-crm.veevavault.com/ui/#object/sent_email__v/VBL00000001G223", "SE-001405403")</f>
        <v>SE-001405403</v>
      </c>
      <c r="D13583" s="1" t="s">
        <v>0</v>
      </c>
      <c r="E13583" s="2">
        <v>0</v>
      </c>
      <c r="F13583" s="2">
        <v>0</v>
      </c>
      <c r="G13583" s="2">
        <v>0</v>
      </c>
      <c r="H13583" s="1" t="s">
        <v>0</v>
      </c>
      <c r="I13583" s="2">
        <v>0</v>
      </c>
      <c r="J13583" s="1">
        <v>46073.498078703706</v>
      </c>
    </row>
    <row r="13584" spans="1:10" x14ac:dyDescent="0.2">
      <c r="A13584" s="4" t="s">
        <v>1</v>
      </c>
      <c r="B13584" s="3" t="str">
        <f>HYPERLINK("https://otsuka-europe-crm.veevavault.com/ui/#object/approved_document__v/V5O00000000Q012", "LUP - 10 cuestiones: Inmunosupresión - reuma")</f>
        <v>LUP - 10 cuestiones: Inmunosupresión - reuma</v>
      </c>
      <c r="C13584" s="3" t="str">
        <f>HYPERLINK("https://otsuka-europe-crm.veevavault.com/ui/#object/sent_email__v/VBL00000001G224", "SE-001405404")</f>
        <v>SE-001405404</v>
      </c>
      <c r="D13584" s="1">
        <v>46073.538923611108</v>
      </c>
      <c r="E13584" s="2">
        <v>1</v>
      </c>
      <c r="F13584" s="2">
        <v>1</v>
      </c>
      <c r="G13584" s="2">
        <v>0</v>
      </c>
      <c r="H13584" s="1" t="s">
        <v>0</v>
      </c>
      <c r="I13584" s="2">
        <v>0</v>
      </c>
      <c r="J13584" s="1">
        <v>46073.498252314814</v>
      </c>
    </row>
    <row r="13585" spans="1:10" x14ac:dyDescent="0.2">
      <c r="A13585" s="4" t="s">
        <v>1</v>
      </c>
      <c r="B13585" s="3" t="str">
        <f>HYPERLINK("https://otsuka-europe-crm.veevavault.com/ui/#object/approved_document__v/V5O00000000Q012", "LUP - 10 cuestiones: Inmunosupresión - reuma")</f>
        <v>LUP - 10 cuestiones: Inmunosupresión - reuma</v>
      </c>
      <c r="C13585" s="3" t="str">
        <f>HYPERLINK("https://otsuka-europe-crm.veevavault.com/ui/#object/sent_email__v/VBL00000001G225", "SE-001405405")</f>
        <v>SE-001405405</v>
      </c>
      <c r="D13585" s="1">
        <v>46073.902453703704</v>
      </c>
      <c r="E13585" s="2">
        <v>1</v>
      </c>
      <c r="F13585" s="2">
        <v>2</v>
      </c>
      <c r="G13585" s="2">
        <v>0</v>
      </c>
      <c r="H13585" s="1" t="s">
        <v>0</v>
      </c>
      <c r="I13585" s="2">
        <v>0</v>
      </c>
      <c r="J13585" s="1">
        <v>46073.498414351852</v>
      </c>
    </row>
    <row r="13586" spans="1:10" x14ac:dyDescent="0.2">
      <c r="A13586" s="4" t="s">
        <v>1</v>
      </c>
      <c r="B13586" s="3" t="str">
        <f>HYPERLINK("https://otsuka-europe-crm.veevavault.com/ui/#object/approved_document__v/V5O00000000Q012", "LUP - 10 cuestiones: Inmunosupresión - reuma")</f>
        <v>LUP - 10 cuestiones: Inmunosupresión - reuma</v>
      </c>
      <c r="C13586" s="3" t="str">
        <f>HYPERLINK("https://otsuka-europe-crm.veevavault.com/ui/#object/sent_email__v/VBL00000001G226", "SE-001405406")</f>
        <v>SE-001405406</v>
      </c>
      <c r="D13586" s="1">
        <v>46073.874988425923</v>
      </c>
      <c r="E13586" s="2">
        <v>1</v>
      </c>
      <c r="F13586" s="2">
        <v>1</v>
      </c>
      <c r="G13586" s="2">
        <v>0</v>
      </c>
      <c r="H13586" s="1" t="s">
        <v>0</v>
      </c>
      <c r="I13586" s="2">
        <v>0</v>
      </c>
      <c r="J13586" s="1">
        <v>46073.49858796296</v>
      </c>
    </row>
    <row r="13587" spans="1:10" x14ac:dyDescent="0.2">
      <c r="A13587" s="4" t="s">
        <v>1</v>
      </c>
      <c r="B13587" s="3" t="str">
        <f>HYPERLINK("https://otsuka-europe-crm.veevavault.com/ui/#object/approved_document__v/V5O00000000Q012", "LUP - 10 cuestiones: Inmunosupresión - reuma")</f>
        <v>LUP - 10 cuestiones: Inmunosupresión - reuma</v>
      </c>
      <c r="C13587" s="3" t="str">
        <f>HYPERLINK("https://otsuka-europe-crm.veevavault.com/ui/#object/sent_email__v/VBL00000001G309", "SE-001405579")</f>
        <v>SE-001405579</v>
      </c>
      <c r="D13587" s="1">
        <v>46077.047592592593</v>
      </c>
      <c r="E13587" s="2">
        <v>1</v>
      </c>
      <c r="F13587" s="2">
        <v>1</v>
      </c>
      <c r="G13587" s="2">
        <v>0</v>
      </c>
      <c r="H13587" s="1" t="s">
        <v>0</v>
      </c>
      <c r="I13587" s="2">
        <v>0</v>
      </c>
      <c r="J13587" s="1">
        <v>46076.571458333332</v>
      </c>
    </row>
    <row r="13588" spans="1:10" x14ac:dyDescent="0.2">
      <c r="A13588" s="4" t="s">
        <v>1</v>
      </c>
      <c r="B13588" s="3" t="str">
        <f>HYPERLINK("https://otsuka-europe-crm.veevavault.com/ui/#object/approved_document__v/V5O00000000Q012", "LUP - 10 cuestiones: Inmunosupresión - reuma")</f>
        <v>LUP - 10 cuestiones: Inmunosupresión - reuma</v>
      </c>
      <c r="C13588" s="3" t="str">
        <f>HYPERLINK("https://otsuka-europe-crm.veevavault.com/ui/#object/sent_email__v/VBL00000001G310", "SE-001405580")</f>
        <v>SE-001405580</v>
      </c>
      <c r="D13588" s="1" t="s">
        <v>0</v>
      </c>
      <c r="E13588" s="2">
        <v>0</v>
      </c>
      <c r="F13588" s="2">
        <v>0</v>
      </c>
      <c r="G13588" s="2">
        <v>0</v>
      </c>
      <c r="H13588" s="1" t="s">
        <v>0</v>
      </c>
      <c r="I13588" s="2">
        <v>0</v>
      </c>
      <c r="J13588" s="1">
        <v>46076.571608796294</v>
      </c>
    </row>
    <row r="13589" spans="1:10" x14ac:dyDescent="0.2">
      <c r="A13589" s="4" t="s">
        <v>1</v>
      </c>
      <c r="B13589" s="3" t="str">
        <f>HYPERLINK("https://otsuka-europe-crm.veevavault.com/ui/#object/approved_document__v/V5O00000000Q012", "LUP - 10 cuestiones: Inmunosupresión - reuma")</f>
        <v>LUP - 10 cuestiones: Inmunosupresión - reuma</v>
      </c>
      <c r="C13589" s="3" t="str">
        <f>HYPERLINK("https://otsuka-europe-crm.veevavault.com/ui/#object/sent_email__v/VBL00000001G311", "SE-001405581")</f>
        <v>SE-001405581</v>
      </c>
      <c r="D13589" s="1" t="s">
        <v>0</v>
      </c>
      <c r="E13589" s="2">
        <v>0</v>
      </c>
      <c r="F13589" s="2">
        <v>0</v>
      </c>
      <c r="G13589" s="2">
        <v>0</v>
      </c>
      <c r="H13589" s="1" t="s">
        <v>0</v>
      </c>
      <c r="I13589" s="2">
        <v>0</v>
      </c>
      <c r="J13589" s="1">
        <v>46076.571805555555</v>
      </c>
    </row>
    <row r="13590" spans="1:10" x14ac:dyDescent="0.2">
      <c r="A13590" s="4" t="s">
        <v>1</v>
      </c>
      <c r="B13590" s="3" t="str">
        <f>HYPERLINK("https://otsuka-europe-crm.veevavault.com/ui/#object/approved_document__v/V5O00000000Q012", "LUP - 10 cuestiones: Inmunosupresión - reuma")</f>
        <v>LUP - 10 cuestiones: Inmunosupresión - reuma</v>
      </c>
      <c r="C13590" s="3" t="str">
        <f>HYPERLINK("https://otsuka-europe-crm.veevavault.com/ui/#object/sent_email__v/VBL00000001G312", "SE-001405582")</f>
        <v>SE-001405582</v>
      </c>
      <c r="D13590" s="1" t="s">
        <v>0</v>
      </c>
      <c r="E13590" s="2">
        <v>0</v>
      </c>
      <c r="F13590" s="2">
        <v>0</v>
      </c>
      <c r="G13590" s="2">
        <v>0</v>
      </c>
      <c r="H13590" s="1" t="s">
        <v>0</v>
      </c>
      <c r="I13590" s="2">
        <v>0</v>
      </c>
      <c r="J13590" s="1">
        <v>46076.571956018517</v>
      </c>
    </row>
    <row r="13591" spans="1:10" x14ac:dyDescent="0.2">
      <c r="A13591" s="4" t="s">
        <v>1</v>
      </c>
      <c r="B13591" s="3" t="str">
        <f>HYPERLINK("https://otsuka-europe-crm.veevavault.com/ui/#object/approved_document__v/V5O00000000Q012", "LUP - 10 cuestiones: Inmunosupresión - reuma")</f>
        <v>LUP - 10 cuestiones: Inmunosupresión - reuma</v>
      </c>
      <c r="C13591" s="3" t="str">
        <f>HYPERLINK("https://otsuka-europe-crm.veevavault.com/ui/#object/sent_email__v/VBL00000001G313", "SE-001405583")</f>
        <v>SE-001405583</v>
      </c>
      <c r="D13591" s="1" t="s">
        <v>0</v>
      </c>
      <c r="E13591" s="2">
        <v>0</v>
      </c>
      <c r="F13591" s="2">
        <v>0</v>
      </c>
      <c r="G13591" s="2">
        <v>0</v>
      </c>
      <c r="H13591" s="1" t="s">
        <v>0</v>
      </c>
      <c r="I13591" s="2">
        <v>0</v>
      </c>
      <c r="J13591" s="1">
        <v>46076.572118055556</v>
      </c>
    </row>
    <row r="13592" spans="1:10" x14ac:dyDescent="0.2">
      <c r="A13592" s="4" t="s">
        <v>1</v>
      </c>
      <c r="B13592" s="3" t="str">
        <f>HYPERLINK("https://otsuka-europe-crm.veevavault.com/ui/#object/approved_document__v/V5O00000000Q012", "LUP - 10 cuestiones: Inmunosupresión - reuma")</f>
        <v>LUP - 10 cuestiones: Inmunosupresión - reuma</v>
      </c>
      <c r="C13592" s="3" t="str">
        <f>HYPERLINK("https://otsuka-europe-crm.veevavault.com/ui/#object/sent_email__v/VBL00000001G314", "SE-001405584")</f>
        <v>SE-001405584</v>
      </c>
      <c r="D13592" s="1">
        <v>46076.946817129632</v>
      </c>
      <c r="E13592" s="2">
        <v>1</v>
      </c>
      <c r="F13592" s="2">
        <v>1</v>
      </c>
      <c r="G13592" s="2">
        <v>0</v>
      </c>
      <c r="H13592" s="1" t="s">
        <v>0</v>
      </c>
      <c r="I13592" s="2">
        <v>0</v>
      </c>
      <c r="J13592" s="1">
        <v>46076.572280092594</v>
      </c>
    </row>
    <row r="13593" spans="1:10" x14ac:dyDescent="0.2">
      <c r="A13593" s="4" t="s">
        <v>1</v>
      </c>
      <c r="B13593" s="3" t="str">
        <f>HYPERLINK("https://otsuka-europe-crm.veevavault.com/ui/#object/approved_document__v/V5O00000000Q012", "LUP - 10 cuestiones: Inmunosupresión - reuma")</f>
        <v>LUP - 10 cuestiones: Inmunosupresión - reuma</v>
      </c>
      <c r="C13593" s="3" t="str">
        <f>HYPERLINK("https://otsuka-europe-crm.veevavault.com/ui/#object/sent_email__v/VBL00000001G315", "SE-001405585")</f>
        <v>SE-001405585</v>
      </c>
      <c r="D13593" s="1" t="s">
        <v>0</v>
      </c>
      <c r="E13593" s="2">
        <v>0</v>
      </c>
      <c r="F13593" s="2">
        <v>0</v>
      </c>
      <c r="G13593" s="2">
        <v>0</v>
      </c>
      <c r="H13593" s="1" t="s">
        <v>0</v>
      </c>
      <c r="I13593" s="2">
        <v>0</v>
      </c>
      <c r="J13593" s="1">
        <v>46076.572442129633</v>
      </c>
    </row>
    <row r="13594" spans="1:10" x14ac:dyDescent="0.2">
      <c r="A13594" s="4" t="s">
        <v>1</v>
      </c>
      <c r="B13594" s="3" t="str">
        <f>HYPERLINK("https://otsuka-europe-crm.veevavault.com/ui/#object/approved_document__v/V5O00000000Q012", "LUP - 10 cuestiones: Inmunosupresión - reuma")</f>
        <v>LUP - 10 cuestiones: Inmunosupresión - reuma</v>
      </c>
      <c r="C13594" s="3" t="str">
        <f>HYPERLINK("https://otsuka-europe-crm.veevavault.com/ui/#object/sent_email__v/VBL00000001G316", "SE-001405586")</f>
        <v>SE-001405586</v>
      </c>
      <c r="D13594" s="1">
        <v>46078.313634259262</v>
      </c>
      <c r="E13594" s="2">
        <v>1</v>
      </c>
      <c r="F13594" s="2">
        <v>4</v>
      </c>
      <c r="G13594" s="2">
        <v>0</v>
      </c>
      <c r="H13594" s="1" t="s">
        <v>0</v>
      </c>
      <c r="I13594" s="2">
        <v>0</v>
      </c>
      <c r="J13594" s="1">
        <v>46076.572604166664</v>
      </c>
    </row>
    <row r="13595" spans="1:10" x14ac:dyDescent="0.2">
      <c r="A13595" s="4" t="s">
        <v>1</v>
      </c>
      <c r="B13595" s="3" t="str">
        <f>HYPERLINK("https://otsuka-europe-crm.veevavault.com/ui/#object/approved_document__v/V5O00000000Q012", "LUP - 10 cuestiones: Inmunosupresión - reuma")</f>
        <v>LUP - 10 cuestiones: Inmunosupresión - reuma</v>
      </c>
      <c r="C13595" s="3" t="str">
        <f>HYPERLINK("https://otsuka-europe-crm.veevavault.com/ui/#object/sent_email__v/VBL00000001G317", "SE-001405587")</f>
        <v>SE-001405587</v>
      </c>
      <c r="D13595" s="1">
        <v>46077.790601851855</v>
      </c>
      <c r="E13595" s="2">
        <v>1</v>
      </c>
      <c r="F13595" s="2">
        <v>2</v>
      </c>
      <c r="G13595" s="2">
        <v>0</v>
      </c>
      <c r="H13595" s="1" t="s">
        <v>0</v>
      </c>
      <c r="I13595" s="2">
        <v>0</v>
      </c>
      <c r="J13595" s="1">
        <v>46076.572766203702</v>
      </c>
    </row>
    <row r="13596" spans="1:10" x14ac:dyDescent="0.2">
      <c r="A13596" s="4" t="s">
        <v>1</v>
      </c>
      <c r="B13596" s="3" t="str">
        <f>HYPERLINK("https://otsuka-europe-crm.veevavault.com/ui/#object/approved_document__v/V5O00000000Q012", "LUP - 10 cuestiones: Inmunosupresión - reuma")</f>
        <v>LUP - 10 cuestiones: Inmunosupresión - reuma</v>
      </c>
      <c r="C13596" s="3" t="str">
        <f>HYPERLINK("https://otsuka-europe-crm.veevavault.com/ui/#object/sent_email__v/VBL00000001G318", "SE-001405588")</f>
        <v>SE-001405588</v>
      </c>
      <c r="D13596" s="1">
        <v>46077.979641203703</v>
      </c>
      <c r="E13596" s="2">
        <v>1</v>
      </c>
      <c r="F13596" s="2">
        <v>1</v>
      </c>
      <c r="G13596" s="2">
        <v>0</v>
      </c>
      <c r="H13596" s="1" t="s">
        <v>0</v>
      </c>
      <c r="I13596" s="2">
        <v>0</v>
      </c>
      <c r="J13596" s="1">
        <v>46076.572974537034</v>
      </c>
    </row>
    <row r="13597" spans="1:10" x14ac:dyDescent="0.2">
      <c r="A13597" s="4" t="s">
        <v>1</v>
      </c>
      <c r="B13597" s="3" t="str">
        <f>HYPERLINK("https://otsuka-europe-crm.veevavault.com/ui/#object/approved_document__v/V5O00000000Q012", "LUP - 10 cuestiones: Inmunosupresión - reuma")</f>
        <v>LUP - 10 cuestiones: Inmunosupresión - reuma</v>
      </c>
      <c r="C13597" s="3" t="str">
        <f>HYPERLINK("https://otsuka-europe-crm.veevavault.com/ui/#object/sent_email__v/VBL00000001G319", "SE-001405589")</f>
        <v>SE-001405589</v>
      </c>
      <c r="D13597" s="1">
        <v>46076.601238425923</v>
      </c>
      <c r="E13597" s="2">
        <v>1</v>
      </c>
      <c r="F13597" s="2">
        <v>1</v>
      </c>
      <c r="G13597" s="2">
        <v>0</v>
      </c>
      <c r="H13597" s="1" t="s">
        <v>0</v>
      </c>
      <c r="I13597" s="2">
        <v>0</v>
      </c>
      <c r="J13597" s="1">
        <v>46076.573148148149</v>
      </c>
    </row>
    <row r="13598" spans="1:10" x14ac:dyDescent="0.2">
      <c r="A13598" s="4" t="s">
        <v>1</v>
      </c>
      <c r="B13598" s="3" t="str">
        <f>HYPERLINK("https://otsuka-europe-crm.veevavault.com/ui/#object/approved_document__v/V5O00000000Q012", "LUP - 10 cuestiones: Inmunosupresión - reuma")</f>
        <v>LUP - 10 cuestiones: Inmunosupresión - reuma</v>
      </c>
      <c r="C13598" s="3" t="str">
        <f>HYPERLINK("https://otsuka-europe-crm.veevavault.com/ui/#object/sent_email__v/VBL00000001G320", "SE-001405590")</f>
        <v>SE-001405590</v>
      </c>
      <c r="D13598" s="1">
        <v>46076.939131944448</v>
      </c>
      <c r="E13598" s="2">
        <v>1</v>
      </c>
      <c r="F13598" s="2">
        <v>1</v>
      </c>
      <c r="G13598" s="2">
        <v>0</v>
      </c>
      <c r="H13598" s="1" t="s">
        <v>0</v>
      </c>
      <c r="I13598" s="2">
        <v>0</v>
      </c>
      <c r="J13598" s="1">
        <v>46076.573310185187</v>
      </c>
    </row>
    <row r="13599" spans="1:10" x14ac:dyDescent="0.2">
      <c r="A13599" s="4" t="s">
        <v>1</v>
      </c>
      <c r="B13599" s="3" t="str">
        <f>HYPERLINK("https://otsuka-europe-crm.veevavault.com/ui/#object/approved_document__v/V5O00000000Q012", "LUP - 10 cuestiones: Inmunosupresión - reuma")</f>
        <v>LUP - 10 cuestiones: Inmunosupresión - reuma</v>
      </c>
      <c r="C13599" s="3" t="str">
        <f>HYPERLINK("https://otsuka-europe-crm.veevavault.com/ui/#object/sent_email__v/VBL00000001G321", "SE-001405591")</f>
        <v>SE-001405591</v>
      </c>
      <c r="D13599" s="1" t="s">
        <v>0</v>
      </c>
      <c r="E13599" s="2">
        <v>0</v>
      </c>
      <c r="F13599" s="2">
        <v>0</v>
      </c>
      <c r="G13599" s="2">
        <v>0</v>
      </c>
      <c r="H13599" s="1" t="s">
        <v>0</v>
      </c>
      <c r="I13599" s="2">
        <v>0</v>
      </c>
      <c r="J13599" s="1">
        <v>46076.573472222219</v>
      </c>
    </row>
    <row r="13600" spans="1:10" x14ac:dyDescent="0.2">
      <c r="A13600" s="4" t="s">
        <v>1</v>
      </c>
      <c r="B13600" s="3" t="str">
        <f>HYPERLINK("https://otsuka-europe-crm.veevavault.com/ui/#object/approved_document__v/V5O00000000Q012", "LUP - 10 cuestiones: Inmunosupresión - reuma")</f>
        <v>LUP - 10 cuestiones: Inmunosupresión - reuma</v>
      </c>
      <c r="C13600" s="3" t="str">
        <f>HYPERLINK("https://otsuka-europe-crm.veevavault.com/ui/#object/sent_email__v/VBL00000001G322", "SE-001405592")</f>
        <v>SE-001405592</v>
      </c>
      <c r="D13600" s="1">
        <v>46077.997164351851</v>
      </c>
      <c r="E13600" s="2">
        <v>1</v>
      </c>
      <c r="F13600" s="2">
        <v>2</v>
      </c>
      <c r="G13600" s="2">
        <v>0</v>
      </c>
      <c r="H13600" s="1" t="s">
        <v>0</v>
      </c>
      <c r="I13600" s="2">
        <v>0</v>
      </c>
      <c r="J13600" s="1">
        <v>46076.573634259257</v>
      </c>
    </row>
    <row r="13601" spans="1:10" x14ac:dyDescent="0.2">
      <c r="A13601" s="4" t="s">
        <v>1</v>
      </c>
      <c r="B13601" s="3" t="str">
        <f>HYPERLINK("https://otsuka-europe-crm.veevavault.com/ui/#object/approved_document__v/V5O00000000Q012", "LUP - 10 cuestiones: Inmunosupresión - reuma")</f>
        <v>LUP - 10 cuestiones: Inmunosupresión - reuma</v>
      </c>
      <c r="C13601" s="3" t="str">
        <f>HYPERLINK("https://otsuka-europe-crm.veevavault.com/ui/#object/sent_email__v/VBL00000001G323", "SE-001405593")</f>
        <v>SE-001405593</v>
      </c>
      <c r="D13601" s="1">
        <v>46076.660393518519</v>
      </c>
      <c r="E13601" s="2">
        <v>1</v>
      </c>
      <c r="F13601" s="2">
        <v>1</v>
      </c>
      <c r="G13601" s="2">
        <v>0</v>
      </c>
      <c r="H13601" s="1" t="s">
        <v>0</v>
      </c>
      <c r="I13601" s="2">
        <v>0</v>
      </c>
      <c r="J13601" s="1">
        <v>46076.573807870373</v>
      </c>
    </row>
    <row r="13602" spans="1:10" x14ac:dyDescent="0.2">
      <c r="A13602" s="4" t="s">
        <v>1</v>
      </c>
      <c r="B13602" s="3" t="str">
        <f>HYPERLINK("https://otsuka-europe-crm.veevavault.com/ui/#object/approved_document__v/V5O00000000Q012", "LUP - 10 cuestiones: Inmunosupresión - reuma")</f>
        <v>LUP - 10 cuestiones: Inmunosupresión - reuma</v>
      </c>
      <c r="C13602" s="3" t="str">
        <f>HYPERLINK("https://otsuka-europe-crm.veevavault.com/ui/#object/sent_email__v/VBL00000001G324", "SE-001405594")</f>
        <v>SE-001405594</v>
      </c>
      <c r="D13602" s="1" t="s">
        <v>0</v>
      </c>
      <c r="E13602" s="2">
        <v>0</v>
      </c>
      <c r="F13602" s="2">
        <v>0</v>
      </c>
      <c r="G13602" s="2">
        <v>0</v>
      </c>
      <c r="H13602" s="1" t="s">
        <v>0</v>
      </c>
      <c r="I13602" s="2">
        <v>0</v>
      </c>
      <c r="J13602" s="1">
        <v>46076.574016203704</v>
      </c>
    </row>
    <row r="13603" spans="1:10" x14ac:dyDescent="0.2">
      <c r="A13603" s="4" t="s">
        <v>1</v>
      </c>
      <c r="B13603" s="3" t="str">
        <f>HYPERLINK("https://otsuka-europe-crm.veevavault.com/ui/#object/approved_document__v/V5O00000000Q012", "LUP - 10 cuestiones: Inmunosupresión - reuma")</f>
        <v>LUP - 10 cuestiones: Inmunosupresión - reuma</v>
      </c>
      <c r="C13603" s="3" t="str">
        <f>HYPERLINK("https://otsuka-europe-crm.veevavault.com/ui/#object/sent_email__v/VBL00000001G325", "SE-001405595")</f>
        <v>SE-001405595</v>
      </c>
      <c r="D13603" s="1">
        <v>46076.742905092593</v>
      </c>
      <c r="E13603" s="2">
        <v>1</v>
      </c>
      <c r="F13603" s="2">
        <v>2</v>
      </c>
      <c r="G13603" s="2">
        <v>0</v>
      </c>
      <c r="H13603" s="1" t="s">
        <v>0</v>
      </c>
      <c r="I13603" s="2">
        <v>0</v>
      </c>
      <c r="J13603" s="1">
        <v>46076.574143518519</v>
      </c>
    </row>
    <row r="13604" spans="1:10" x14ac:dyDescent="0.2">
      <c r="A13604" s="4" t="s">
        <v>1</v>
      </c>
      <c r="B13604" s="3" t="str">
        <f>HYPERLINK("https://otsuka-europe-crm.veevavault.com/ui/#object/approved_document__v/V5O00000000Q012", "LUP - 10 cuestiones: Inmunosupresión - reuma")</f>
        <v>LUP - 10 cuestiones: Inmunosupresión - reuma</v>
      </c>
      <c r="C13604" s="3" t="str">
        <f>HYPERLINK("https://otsuka-europe-crm.veevavault.com/ui/#object/sent_email__v/VBL00000001G326", "SE-001405596")</f>
        <v>SE-001405596</v>
      </c>
      <c r="D13604" s="1">
        <v>46076.580763888887</v>
      </c>
      <c r="E13604" s="2">
        <v>1</v>
      </c>
      <c r="F13604" s="2">
        <v>1</v>
      </c>
      <c r="G13604" s="2">
        <v>0</v>
      </c>
      <c r="H13604" s="1" t="s">
        <v>0</v>
      </c>
      <c r="I13604" s="2">
        <v>0</v>
      </c>
      <c r="J13604" s="1">
        <v>46076.574317129627</v>
      </c>
    </row>
    <row r="13605" spans="1:10" x14ac:dyDescent="0.2">
      <c r="A13605" s="4" t="s">
        <v>1</v>
      </c>
      <c r="B13605" s="3" t="str">
        <f>HYPERLINK("https://otsuka-europe-crm.veevavault.com/ui/#object/approved_document__v/V5O00000000Q012", "LUP - 10 cuestiones: Inmunosupresión - reuma")</f>
        <v>LUP - 10 cuestiones: Inmunosupresión - reuma</v>
      </c>
      <c r="C13605" s="3" t="str">
        <f>HYPERLINK("https://otsuka-europe-crm.veevavault.com/ui/#object/sent_email__v/VBL00000001G327", "SE-001405597")</f>
        <v>SE-001405597</v>
      </c>
      <c r="D13605" s="1">
        <v>46078.527372685188</v>
      </c>
      <c r="E13605" s="2">
        <v>1</v>
      </c>
      <c r="F13605" s="2">
        <v>1</v>
      </c>
      <c r="G13605" s="2">
        <v>0</v>
      </c>
      <c r="H13605" s="1" t="s">
        <v>0</v>
      </c>
      <c r="I13605" s="2">
        <v>0</v>
      </c>
      <c r="J13605" s="1">
        <v>46076.574490740742</v>
      </c>
    </row>
    <row r="13606" spans="1:10" x14ac:dyDescent="0.2">
      <c r="A13606" s="4" t="s">
        <v>1</v>
      </c>
      <c r="B13606" s="3" t="str">
        <f>HYPERLINK("https://otsuka-europe-crm.veevavault.com/ui/#object/approved_document__v/V5O00000000Q012", "LUP - 10 cuestiones: Inmunosupresión - reuma")</f>
        <v>LUP - 10 cuestiones: Inmunosupresión - reuma</v>
      </c>
      <c r="C13606" s="3" t="str">
        <f>HYPERLINK("https://otsuka-europe-crm.veevavault.com/ui/#object/sent_email__v/VBL00000001G328", "SE-001405598")</f>
        <v>SE-001405598</v>
      </c>
      <c r="D13606" s="1">
        <v>46076.578923611109</v>
      </c>
      <c r="E13606" s="2">
        <v>1</v>
      </c>
      <c r="F13606" s="2">
        <v>2</v>
      </c>
      <c r="G13606" s="2">
        <v>1</v>
      </c>
      <c r="H13606" s="1">
        <v>46076.580057870371</v>
      </c>
      <c r="I13606" s="2">
        <v>7</v>
      </c>
      <c r="J13606" s="1">
        <v>46076.574641203704</v>
      </c>
    </row>
    <row r="13607" spans="1:10" x14ac:dyDescent="0.2">
      <c r="A13607" s="4" t="s">
        <v>1</v>
      </c>
      <c r="B13607" s="3" t="str">
        <f>HYPERLINK("https://otsuka-europe-crm.veevavault.com/ui/#object/approved_document__v/V5O00000000Q012", "LUP - 10 cuestiones: Inmunosupresión - reuma")</f>
        <v>LUP - 10 cuestiones: Inmunosupresión - reuma</v>
      </c>
      <c r="C13607" s="3" t="str">
        <f>HYPERLINK("https://otsuka-europe-crm.veevavault.com/ui/#object/sent_email__v/VBL00000001G329", "SE-001405599")</f>
        <v>SE-001405599</v>
      </c>
      <c r="D13607" s="1" t="s">
        <v>0</v>
      </c>
      <c r="E13607" s="2">
        <v>0</v>
      </c>
      <c r="F13607" s="2">
        <v>0</v>
      </c>
      <c r="G13607" s="2">
        <v>0</v>
      </c>
      <c r="H13607" s="1" t="s">
        <v>0</v>
      </c>
      <c r="I13607" s="2">
        <v>0</v>
      </c>
      <c r="J13607" s="1">
        <v>46076.574826388889</v>
      </c>
    </row>
    <row r="13608" spans="1:10" x14ac:dyDescent="0.2">
      <c r="A13608" s="4" t="s">
        <v>1</v>
      </c>
      <c r="B13608" s="3" t="str">
        <f>HYPERLINK("https://otsuka-europe-crm.veevavault.com/ui/#object/approved_document__v/V5O00000000Q012", "LUP - 10 cuestiones: Inmunosupresión - reuma")</f>
        <v>LUP - 10 cuestiones: Inmunosupresión - reuma</v>
      </c>
      <c r="C13608" s="3" t="str">
        <f>HYPERLINK("https://otsuka-europe-crm.veevavault.com/ui/#object/sent_email__v/VBL00000001G330", "SE-001405600")</f>
        <v>SE-001405600</v>
      </c>
      <c r="D13608" s="1" t="s">
        <v>0</v>
      </c>
      <c r="E13608" s="2">
        <v>0</v>
      </c>
      <c r="F13608" s="2">
        <v>0</v>
      </c>
      <c r="G13608" s="2">
        <v>0</v>
      </c>
      <c r="H13608" s="1" t="s">
        <v>0</v>
      </c>
      <c r="I13608" s="2">
        <v>0</v>
      </c>
      <c r="J13608" s="1">
        <v>46076.574976851851</v>
      </c>
    </row>
    <row r="13609" spans="1:10" x14ac:dyDescent="0.2">
      <c r="A13609" s="4" t="s">
        <v>1</v>
      </c>
      <c r="B13609" s="3" t="str">
        <f>HYPERLINK("https://otsuka-europe-crm.veevavault.com/ui/#object/approved_document__v/V5O00000000Q012", "LUP - 10 cuestiones: Inmunosupresión - reuma")</f>
        <v>LUP - 10 cuestiones: Inmunosupresión - reuma</v>
      </c>
      <c r="C13609" s="3" t="str">
        <f>HYPERLINK("https://otsuka-europe-crm.veevavault.com/ui/#object/sent_email__v/VBL00000001G331", "SE-001405601")</f>
        <v>SE-001405601</v>
      </c>
      <c r="D13609" s="1" t="s">
        <v>0</v>
      </c>
      <c r="E13609" s="2">
        <v>0</v>
      </c>
      <c r="F13609" s="2">
        <v>0</v>
      </c>
      <c r="G13609" s="2">
        <v>0</v>
      </c>
      <c r="H13609" s="1" t="s">
        <v>0</v>
      </c>
      <c r="I13609" s="2">
        <v>0</v>
      </c>
      <c r="J13609" s="1">
        <v>46076.575150462966</v>
      </c>
    </row>
    <row r="13610" spans="1:10" x14ac:dyDescent="0.2">
      <c r="A13610" s="4" t="s">
        <v>1</v>
      </c>
      <c r="B13610" s="3" t="str">
        <f>HYPERLINK("https://otsuka-europe-crm.veevavault.com/ui/#object/approved_document__v/V5O00000000Q012", "LUP - 10 cuestiones: Inmunosupresión - reuma")</f>
        <v>LUP - 10 cuestiones: Inmunosupresión - reuma</v>
      </c>
      <c r="C13610" s="3" t="str">
        <f>HYPERLINK("https://otsuka-europe-crm.veevavault.com/ui/#object/sent_email__v/VBL00000001G332", "SE-001405602")</f>
        <v>SE-001405602</v>
      </c>
      <c r="D13610" s="1">
        <v>46076.598379629628</v>
      </c>
      <c r="E13610" s="2">
        <v>1</v>
      </c>
      <c r="F13610" s="2">
        <v>1</v>
      </c>
      <c r="G13610" s="2">
        <v>0</v>
      </c>
      <c r="H13610" s="1" t="s">
        <v>0</v>
      </c>
      <c r="I13610" s="2">
        <v>0</v>
      </c>
      <c r="J13610" s="1">
        <v>46076.575324074074</v>
      </c>
    </row>
    <row r="13611" spans="1:10" x14ac:dyDescent="0.2">
      <c r="A13611" s="4" t="s">
        <v>1</v>
      </c>
      <c r="B13611" s="3" t="str">
        <f>HYPERLINK("https://otsuka-europe-crm.veevavault.com/ui/#object/approved_document__v/V5O00000000Q012", "LUP - 10 cuestiones: Inmunosupresión - reuma")</f>
        <v>LUP - 10 cuestiones: Inmunosupresión - reuma</v>
      </c>
      <c r="C13611" s="3" t="str">
        <f>HYPERLINK("https://otsuka-europe-crm.veevavault.com/ui/#object/sent_email__v/VBL00000001G333", "SE-001405603")</f>
        <v>SE-001405603</v>
      </c>
      <c r="D13611" s="1" t="s">
        <v>0</v>
      </c>
      <c r="E13611" s="2">
        <v>0</v>
      </c>
      <c r="F13611" s="2">
        <v>0</v>
      </c>
      <c r="G13611" s="2">
        <v>0</v>
      </c>
      <c r="H13611" s="1" t="s">
        <v>0</v>
      </c>
      <c r="I13611" s="2">
        <v>0</v>
      </c>
      <c r="J13611" s="1">
        <v>46076.575497685182</v>
      </c>
    </row>
    <row r="13612" spans="1:10" x14ac:dyDescent="0.2">
      <c r="A13612" s="4" t="s">
        <v>1</v>
      </c>
      <c r="B13612" s="3" t="str">
        <f>HYPERLINK("https://otsuka-europe-crm.veevavault.com/ui/#object/approved_document__v/V5O00000000Q012", "LUP - 10 cuestiones: Inmunosupresión - reuma")</f>
        <v>LUP - 10 cuestiones: Inmunosupresión - reuma</v>
      </c>
      <c r="C13612" s="3" t="str">
        <f>HYPERLINK("https://otsuka-europe-crm.veevavault.com/ui/#object/sent_email__v/VBL00000001G334", "SE-001405604")</f>
        <v>SE-001405604</v>
      </c>
      <c r="D13612" s="1" t="s">
        <v>0</v>
      </c>
      <c r="E13612" s="2">
        <v>0</v>
      </c>
      <c r="F13612" s="2">
        <v>0</v>
      </c>
      <c r="G13612" s="2">
        <v>0</v>
      </c>
      <c r="H13612" s="1" t="s">
        <v>0</v>
      </c>
      <c r="I13612" s="2">
        <v>0</v>
      </c>
      <c r="J13612" s="1">
        <v>46076.575659722221</v>
      </c>
    </row>
    <row r="13613" spans="1:10" x14ac:dyDescent="0.2">
      <c r="A13613" s="4" t="s">
        <v>1</v>
      </c>
      <c r="B13613" s="3" t="str">
        <f>HYPERLINK("https://otsuka-europe-crm.veevavault.com/ui/#object/approved_document__v/V5O00000000Q012", "LUP - 10 cuestiones: Inmunosupresión - reuma")</f>
        <v>LUP - 10 cuestiones: Inmunosupresión - reuma</v>
      </c>
      <c r="C13613" s="3" t="str">
        <f>HYPERLINK("https://otsuka-europe-crm.veevavault.com/ui/#object/sent_email__v/VBL00000001G335", "SE-001405605")</f>
        <v>SE-001405605</v>
      </c>
      <c r="D13613" s="1" t="s">
        <v>0</v>
      </c>
      <c r="E13613" s="2">
        <v>0</v>
      </c>
      <c r="F13613" s="2">
        <v>0</v>
      </c>
      <c r="G13613" s="2">
        <v>0</v>
      </c>
      <c r="H13613" s="1" t="s">
        <v>0</v>
      </c>
      <c r="I13613" s="2">
        <v>0</v>
      </c>
      <c r="J13613" s="1">
        <v>46076.575821759259</v>
      </c>
    </row>
    <row r="13614" spans="1:10" x14ac:dyDescent="0.2">
      <c r="A13614" s="4" t="s">
        <v>1</v>
      </c>
      <c r="B13614" s="3" t="str">
        <f>HYPERLINK("https://otsuka-europe-crm.veevavault.com/ui/#object/approved_document__v/V5O00000000Q012", "LUP - 10 cuestiones: Inmunosupresión - reuma")</f>
        <v>LUP - 10 cuestiones: Inmunosupresión - reuma</v>
      </c>
      <c r="C13614" s="3" t="str">
        <f>HYPERLINK("https://otsuka-europe-crm.veevavault.com/ui/#object/sent_email__v/VBL00000001G336", "SE-001405606")</f>
        <v>SE-001405606</v>
      </c>
      <c r="D13614" s="1" t="s">
        <v>0</v>
      </c>
      <c r="E13614" s="2">
        <v>0</v>
      </c>
      <c r="F13614" s="2">
        <v>0</v>
      </c>
      <c r="G13614" s="2">
        <v>0</v>
      </c>
      <c r="H13614" s="1" t="s">
        <v>0</v>
      </c>
      <c r="I13614" s="2">
        <v>0</v>
      </c>
      <c r="J13614" s="1">
        <v>46076.575983796298</v>
      </c>
    </row>
    <row r="13615" spans="1:10" x14ac:dyDescent="0.2">
      <c r="A13615" s="4" t="s">
        <v>1</v>
      </c>
      <c r="B13615" s="3" t="str">
        <f>HYPERLINK("https://otsuka-europe-crm.veevavault.com/ui/#object/approved_document__v/V5O00000000Q012", "LUP - 10 cuestiones: Inmunosupresión - reuma")</f>
        <v>LUP - 10 cuestiones: Inmunosupresión - reuma</v>
      </c>
      <c r="C13615" s="3" t="str">
        <f>HYPERLINK("https://otsuka-europe-crm.veevavault.com/ui/#object/sent_email__v/VBL00000001G337", "SE-001405607")</f>
        <v>SE-001405607</v>
      </c>
      <c r="D13615" s="1" t="s">
        <v>0</v>
      </c>
      <c r="E13615" s="2">
        <v>0</v>
      </c>
      <c r="F13615" s="2">
        <v>0</v>
      </c>
      <c r="G13615" s="2">
        <v>0</v>
      </c>
      <c r="H13615" s="1" t="s">
        <v>0</v>
      </c>
      <c r="I13615" s="2">
        <v>0</v>
      </c>
      <c r="J13615" s="1">
        <v>46076.576157407406</v>
      </c>
    </row>
    <row r="13616" spans="1:10" x14ac:dyDescent="0.2">
      <c r="A13616" s="4" t="s">
        <v>1</v>
      </c>
      <c r="B13616" s="3" t="str">
        <f>HYPERLINK("https://otsuka-europe-crm.veevavault.com/ui/#object/approved_document__v/V5O00000000Q012", "LUP - 10 cuestiones: Inmunosupresión - reuma")</f>
        <v>LUP - 10 cuestiones: Inmunosupresión - reuma</v>
      </c>
      <c r="C13616" s="3" t="str">
        <f>HYPERLINK("https://otsuka-europe-crm.veevavault.com/ui/#object/sent_email__v/VBL00000001G338", "SE-001405608")</f>
        <v>SE-001405608</v>
      </c>
      <c r="D13616" s="1">
        <v>46076.581782407404</v>
      </c>
      <c r="E13616" s="2">
        <v>1</v>
      </c>
      <c r="F13616" s="2">
        <v>1</v>
      </c>
      <c r="G13616" s="2">
        <v>0</v>
      </c>
      <c r="H13616" s="1" t="s">
        <v>0</v>
      </c>
      <c r="I13616" s="2">
        <v>0</v>
      </c>
      <c r="J13616" s="1">
        <v>46076.576319444444</v>
      </c>
    </row>
    <row r="13617" spans="1:10" x14ac:dyDescent="0.2">
      <c r="A13617" s="4" t="s">
        <v>1</v>
      </c>
      <c r="B13617" s="3" t="str">
        <f>HYPERLINK("https://otsuka-europe-crm.veevavault.com/ui/#object/approved_document__v/V5O00000000Q012", "LUP - 10 cuestiones: Inmunosupresión - reuma")</f>
        <v>LUP - 10 cuestiones: Inmunosupresión - reuma</v>
      </c>
      <c r="C13617" s="3" t="str">
        <f>HYPERLINK("https://otsuka-europe-crm.veevavault.com/ui/#object/sent_email__v/VBL00000001G339", "SE-001405609")</f>
        <v>SE-001405609</v>
      </c>
      <c r="D13617" s="1" t="s">
        <v>0</v>
      </c>
      <c r="E13617" s="2">
        <v>0</v>
      </c>
      <c r="F13617" s="2">
        <v>0</v>
      </c>
      <c r="G13617" s="2">
        <v>0</v>
      </c>
      <c r="H13617" s="1" t="s">
        <v>0</v>
      </c>
      <c r="I13617" s="2">
        <v>0</v>
      </c>
      <c r="J13617" s="1">
        <v>46076.576493055552</v>
      </c>
    </row>
    <row r="13618" spans="1:10" x14ac:dyDescent="0.2">
      <c r="A13618" s="4" t="s">
        <v>1</v>
      </c>
      <c r="B13618" s="3" t="str">
        <f>HYPERLINK("https://otsuka-europe-crm.veevavault.com/ui/#object/approved_document__v/V5O00000000Q012", "LUP - 10 cuestiones: Inmunosupresión - reuma")</f>
        <v>LUP - 10 cuestiones: Inmunosupresión - reuma</v>
      </c>
      <c r="C13618" s="3" t="str">
        <f>HYPERLINK("https://otsuka-europe-crm.veevavault.com/ui/#object/sent_email__v/VBL00000001G340", "SE-001405610")</f>
        <v>SE-001405610</v>
      </c>
      <c r="D13618" s="1">
        <v>46076.716203703705</v>
      </c>
      <c r="E13618" s="2">
        <v>1</v>
      </c>
      <c r="F13618" s="2">
        <v>2</v>
      </c>
      <c r="G13618" s="2">
        <v>0</v>
      </c>
      <c r="H13618" s="1" t="s">
        <v>0</v>
      </c>
      <c r="I13618" s="2">
        <v>0</v>
      </c>
      <c r="J13618" s="1">
        <v>46076.576643518521</v>
      </c>
    </row>
    <row r="13619" spans="1:10" x14ac:dyDescent="0.2">
      <c r="A13619" s="4" t="s">
        <v>1</v>
      </c>
      <c r="B13619" s="3" t="str">
        <f>HYPERLINK("https://otsuka-europe-crm.veevavault.com/ui/#object/approved_document__v/V5O00000000Q012", "LUP - 10 cuestiones: Inmunosupresión - reuma")</f>
        <v>LUP - 10 cuestiones: Inmunosupresión - reuma</v>
      </c>
      <c r="C13619" s="3" t="str">
        <f>HYPERLINK("https://otsuka-europe-crm.veevavault.com/ui/#object/sent_email__v/VBL00000001G341", "SE-001405611")</f>
        <v>SE-001405611</v>
      </c>
      <c r="D13619" s="1">
        <v>46076.592638888891</v>
      </c>
      <c r="E13619" s="2">
        <v>1</v>
      </c>
      <c r="F13619" s="2">
        <v>1</v>
      </c>
      <c r="G13619" s="2">
        <v>0</v>
      </c>
      <c r="H13619" s="1" t="s">
        <v>0</v>
      </c>
      <c r="I13619" s="2">
        <v>0</v>
      </c>
      <c r="J13619" s="1">
        <v>46076.576805555553</v>
      </c>
    </row>
    <row r="13620" spans="1:10" x14ac:dyDescent="0.2">
      <c r="A13620" s="4" t="s">
        <v>1</v>
      </c>
      <c r="B13620" s="3" t="str">
        <f>HYPERLINK("https://otsuka-europe-crm.veevavault.com/ui/#object/approved_document__v/V5O00000000Q012", "LUP - 10 cuestiones: Inmunosupresión - reuma")</f>
        <v>LUP - 10 cuestiones: Inmunosupresión - reuma</v>
      </c>
      <c r="C13620" s="3" t="str">
        <f>HYPERLINK("https://otsuka-europe-crm.veevavault.com/ui/#object/sent_email__v/VBL00000001G342", "SE-001405612")</f>
        <v>SE-001405612</v>
      </c>
      <c r="D13620" s="1" t="s">
        <v>0</v>
      </c>
      <c r="E13620" s="2">
        <v>0</v>
      </c>
      <c r="F13620" s="2">
        <v>0</v>
      </c>
      <c r="G13620" s="2">
        <v>0</v>
      </c>
      <c r="H13620" s="1" t="s">
        <v>0</v>
      </c>
      <c r="I13620" s="2">
        <v>0</v>
      </c>
      <c r="J13620" s="1">
        <v>46076.576979166668</v>
      </c>
    </row>
    <row r="13621" spans="1:10" x14ac:dyDescent="0.2">
      <c r="A13621" s="4" t="s">
        <v>1</v>
      </c>
      <c r="B13621" s="3" t="str">
        <f>HYPERLINK("https://otsuka-europe-crm.veevavault.com/ui/#object/approved_document__v/V5O00000000Q012", "LUP - 10 cuestiones: Inmunosupresión - reuma")</f>
        <v>LUP - 10 cuestiones: Inmunosupresión - reuma</v>
      </c>
      <c r="C13621" s="3" t="str">
        <f>HYPERLINK("https://otsuka-europe-crm.veevavault.com/ui/#object/sent_email__v/VBL00000001G343", "SE-001405613")</f>
        <v>SE-001405613</v>
      </c>
      <c r="D13621" s="1" t="s">
        <v>0</v>
      </c>
      <c r="E13621" s="2">
        <v>0</v>
      </c>
      <c r="F13621" s="2">
        <v>0</v>
      </c>
      <c r="G13621" s="2">
        <v>0</v>
      </c>
      <c r="H13621" s="1" t="s">
        <v>0</v>
      </c>
      <c r="I13621" s="2">
        <v>0</v>
      </c>
      <c r="J13621" s="1">
        <v>46076.577152777776</v>
      </c>
    </row>
    <row r="13622" spans="1:10" x14ac:dyDescent="0.2">
      <c r="A13622" s="4" t="s">
        <v>1</v>
      </c>
      <c r="B13622" s="3" t="str">
        <f>HYPERLINK("https://otsuka-europe-crm.veevavault.com/ui/#object/approved_document__v/V5O00000000Q012", "LUP - 10 cuestiones: Inmunosupresión - reuma")</f>
        <v>LUP - 10 cuestiones: Inmunosupresión - reuma</v>
      </c>
      <c r="C13622" s="3" t="str">
        <f>HYPERLINK("https://otsuka-europe-crm.veevavault.com/ui/#object/sent_email__v/VBL00000001G344", "SE-001405614")</f>
        <v>SE-001405614</v>
      </c>
      <c r="D13622" s="1" t="s">
        <v>0</v>
      </c>
      <c r="E13622" s="2">
        <v>0</v>
      </c>
      <c r="F13622" s="2">
        <v>0</v>
      </c>
      <c r="G13622" s="2">
        <v>0</v>
      </c>
      <c r="H13622" s="1" t="s">
        <v>0</v>
      </c>
      <c r="I13622" s="2">
        <v>0</v>
      </c>
      <c r="J13622" s="1">
        <v>46076.577314814815</v>
      </c>
    </row>
    <row r="13623" spans="1:10" x14ac:dyDescent="0.2">
      <c r="A13623" s="4" t="s">
        <v>1</v>
      </c>
      <c r="B13623" s="3" t="str">
        <f>HYPERLINK("https://otsuka-europe-crm.veevavault.com/ui/#object/approved_document__v/V5O00000000Q012", "LUP - 10 cuestiones: Inmunosupresión - reuma")</f>
        <v>LUP - 10 cuestiones: Inmunosupresión - reuma</v>
      </c>
      <c r="C13623" s="3" t="str">
        <f>HYPERLINK("https://otsuka-europe-crm.veevavault.com/ui/#object/sent_email__v/VBL00000001G345", "SE-001405615")</f>
        <v>SE-001405615</v>
      </c>
      <c r="D13623" s="1" t="s">
        <v>0</v>
      </c>
      <c r="E13623" s="2">
        <v>0</v>
      </c>
      <c r="F13623" s="2">
        <v>0</v>
      </c>
      <c r="G13623" s="2">
        <v>0</v>
      </c>
      <c r="H13623" s="1" t="s">
        <v>0</v>
      </c>
      <c r="I13623" s="2">
        <v>0</v>
      </c>
      <c r="J13623" s="1">
        <v>46076.577488425923</v>
      </c>
    </row>
    <row r="13624" spans="1:10" x14ac:dyDescent="0.2">
      <c r="A13624" s="4" t="s">
        <v>1</v>
      </c>
      <c r="B13624" s="3" t="str">
        <f>HYPERLINK("https://otsuka-europe-crm.veevavault.com/ui/#object/approved_document__v/V5O00000000Q012", "LUP - 10 cuestiones: Inmunosupresión - reuma")</f>
        <v>LUP - 10 cuestiones: Inmunosupresión - reuma</v>
      </c>
      <c r="C13624" s="3" t="str">
        <f>HYPERLINK("https://otsuka-europe-crm.veevavault.com/ui/#object/sent_email__v/VBL00000001G346", "SE-001405616")</f>
        <v>SE-001405616</v>
      </c>
      <c r="D13624" s="1" t="s">
        <v>0</v>
      </c>
      <c r="E13624" s="2">
        <v>0</v>
      </c>
      <c r="F13624" s="2">
        <v>0</v>
      </c>
      <c r="G13624" s="2">
        <v>0</v>
      </c>
      <c r="H13624" s="1" t="s">
        <v>0</v>
      </c>
      <c r="I13624" s="2">
        <v>0</v>
      </c>
      <c r="J13624" s="1">
        <v>46076.577650462961</v>
      </c>
    </row>
    <row r="13625" spans="1:10" x14ac:dyDescent="0.2">
      <c r="A13625" s="4" t="s">
        <v>1</v>
      </c>
      <c r="B13625" s="3" t="str">
        <f>HYPERLINK("https://otsuka-europe-crm.veevavault.com/ui/#object/approved_document__v/V5O00000000Q012", "LUP - 10 cuestiones: Inmunosupresión - reuma")</f>
        <v>LUP - 10 cuestiones: Inmunosupresión - reuma</v>
      </c>
      <c r="C13625" s="3" t="str">
        <f>HYPERLINK("https://otsuka-europe-crm.veevavault.com/ui/#object/sent_email__v/VBL00000001G347", "SE-001405617")</f>
        <v>SE-001405617</v>
      </c>
      <c r="D13625" s="1" t="s">
        <v>0</v>
      </c>
      <c r="E13625" s="2">
        <v>0</v>
      </c>
      <c r="F13625" s="2">
        <v>0</v>
      </c>
      <c r="G13625" s="2">
        <v>0</v>
      </c>
      <c r="H13625" s="1" t="s">
        <v>0</v>
      </c>
      <c r="I13625" s="2">
        <v>0</v>
      </c>
      <c r="J13625" s="1">
        <v>46076.5778125</v>
      </c>
    </row>
    <row r="13626" spans="1:10" x14ac:dyDescent="0.2">
      <c r="A13626" s="4" t="s">
        <v>1</v>
      </c>
      <c r="B13626" s="3" t="str">
        <f>HYPERLINK("https://otsuka-europe-crm.veevavault.com/ui/#object/approved_document__v/V5O00000000Q012", "LUP - 10 cuestiones: Inmunosupresión - reuma")</f>
        <v>LUP - 10 cuestiones: Inmunosupresión - reuma</v>
      </c>
      <c r="C13626" s="3" t="str">
        <f>HYPERLINK("https://otsuka-europe-crm.veevavault.com/ui/#object/sent_email__v/VBL00000001G348", "SE-001405618")</f>
        <v>SE-001405618</v>
      </c>
      <c r="D13626" s="1">
        <v>46076.629930555559</v>
      </c>
      <c r="E13626" s="2">
        <v>1</v>
      </c>
      <c r="F13626" s="2">
        <v>1</v>
      </c>
      <c r="G13626" s="2">
        <v>1</v>
      </c>
      <c r="H13626" s="1">
        <v>46076.630254629628</v>
      </c>
      <c r="I13626" s="2">
        <v>1</v>
      </c>
      <c r="J13626" s="1">
        <v>46076.577986111108</v>
      </c>
    </row>
    <row r="13627" spans="1:10" x14ac:dyDescent="0.2">
      <c r="A13627" s="4" t="s">
        <v>1</v>
      </c>
      <c r="B13627" s="3" t="str">
        <f>HYPERLINK("https://otsuka-europe-crm.veevavault.com/ui/#object/approved_document__v/V5O00000000Q012", "LUP - 10 cuestiones: Inmunosupresión - reuma")</f>
        <v>LUP - 10 cuestiones: Inmunosupresión - reuma</v>
      </c>
      <c r="C13627" s="3" t="str">
        <f>HYPERLINK("https://otsuka-europe-crm.veevavault.com/ui/#object/sent_email__v/VBL00000001G349", "SE-001405619")</f>
        <v>SE-001405619</v>
      </c>
      <c r="D13627" s="1" t="s">
        <v>0</v>
      </c>
      <c r="E13627" s="2">
        <v>0</v>
      </c>
      <c r="F13627" s="2">
        <v>0</v>
      </c>
      <c r="G13627" s="2">
        <v>0</v>
      </c>
      <c r="H13627" s="1" t="s">
        <v>0</v>
      </c>
      <c r="I13627" s="2">
        <v>0</v>
      </c>
      <c r="J13627" s="1">
        <v>46076.578148148146</v>
      </c>
    </row>
    <row r="13628" spans="1:10" x14ac:dyDescent="0.2">
      <c r="A13628" s="4" t="s">
        <v>1</v>
      </c>
      <c r="B13628" s="3" t="str">
        <f>HYPERLINK("https://otsuka-europe-crm.veevavault.com/ui/#object/approved_document__v/V5O00000000Q012", "LUP - 10 cuestiones: Inmunosupresión - reuma")</f>
        <v>LUP - 10 cuestiones: Inmunosupresión - reuma</v>
      </c>
      <c r="C13628" s="3" t="str">
        <f>HYPERLINK("https://otsuka-europe-crm.veevavault.com/ui/#object/sent_email__v/VBL00000001G350", "SE-001405620")</f>
        <v>SE-001405620</v>
      </c>
      <c r="D13628" s="1">
        <v>46076.897951388892</v>
      </c>
      <c r="E13628" s="2">
        <v>1</v>
      </c>
      <c r="F13628" s="2">
        <v>1</v>
      </c>
      <c r="G13628" s="2">
        <v>0</v>
      </c>
      <c r="H13628" s="1" t="s">
        <v>0</v>
      </c>
      <c r="I13628" s="2">
        <v>0</v>
      </c>
      <c r="J13628" s="1">
        <v>46076.578310185185</v>
      </c>
    </row>
    <row r="13629" spans="1:10" x14ac:dyDescent="0.2">
      <c r="A13629" s="4" t="s">
        <v>1</v>
      </c>
      <c r="B13629" s="3" t="str">
        <f>HYPERLINK("https://otsuka-europe-crm.veevavault.com/ui/#object/approved_document__v/V5O00000000Q012", "LUP - 10 cuestiones: Inmunosupresión - reuma")</f>
        <v>LUP - 10 cuestiones: Inmunosupresión - reuma</v>
      </c>
      <c r="C13629" s="3" t="str">
        <f>HYPERLINK("https://otsuka-europe-crm.veevavault.com/ui/#object/sent_email__v/VBL00000001G351", "SE-001405621")</f>
        <v>SE-001405621</v>
      </c>
      <c r="D13629" s="1" t="s">
        <v>0</v>
      </c>
      <c r="E13629" s="2">
        <v>0</v>
      </c>
      <c r="F13629" s="2">
        <v>0</v>
      </c>
      <c r="G13629" s="2">
        <v>0</v>
      </c>
      <c r="H13629" s="1" t="s">
        <v>0</v>
      </c>
      <c r="I13629" s="2">
        <v>0</v>
      </c>
      <c r="J13629" s="1">
        <v>46076.578483796293</v>
      </c>
    </row>
    <row r="13630" spans="1:10" x14ac:dyDescent="0.2">
      <c r="A13630" s="4" t="s">
        <v>1</v>
      </c>
      <c r="B13630" s="3" t="str">
        <f>HYPERLINK("https://otsuka-europe-crm.veevavault.com/ui/#object/approved_document__v/V5O00000000Q012", "LUP - 10 cuestiones: Inmunosupresión - reuma")</f>
        <v>LUP - 10 cuestiones: Inmunosupresión - reuma</v>
      </c>
      <c r="C13630" s="3" t="str">
        <f>HYPERLINK("https://otsuka-europe-crm.veevavault.com/ui/#object/sent_email__v/VBL00000001G352", "SE-001405622")</f>
        <v>SE-001405622</v>
      </c>
      <c r="D13630" s="1" t="s">
        <v>0</v>
      </c>
      <c r="E13630" s="2">
        <v>0</v>
      </c>
      <c r="F13630" s="2">
        <v>0</v>
      </c>
      <c r="G13630" s="2">
        <v>0</v>
      </c>
      <c r="H13630" s="1" t="s">
        <v>0</v>
      </c>
      <c r="I13630" s="2">
        <v>0</v>
      </c>
      <c r="J13630" s="1">
        <v>46076.578634259262</v>
      </c>
    </row>
    <row r="13631" spans="1:10" x14ac:dyDescent="0.2">
      <c r="A13631" s="4" t="s">
        <v>1</v>
      </c>
      <c r="B13631" s="3" t="str">
        <f>HYPERLINK("https://otsuka-europe-crm.veevavault.com/ui/#object/approved_document__v/V5O00000000Q012", "LUP - 10 cuestiones: Inmunosupresión - reuma")</f>
        <v>LUP - 10 cuestiones: Inmunosupresión - reuma</v>
      </c>
      <c r="C13631" s="3" t="str">
        <f>HYPERLINK("https://otsuka-europe-crm.veevavault.com/ui/#object/sent_email__v/VBL00000001G353", "SE-001405623")</f>
        <v>SE-001405623</v>
      </c>
      <c r="D13631" s="1" t="s">
        <v>0</v>
      </c>
      <c r="E13631" s="2">
        <v>0</v>
      </c>
      <c r="F13631" s="2">
        <v>0</v>
      </c>
      <c r="G13631" s="2">
        <v>0</v>
      </c>
      <c r="H13631" s="1" t="s">
        <v>0</v>
      </c>
      <c r="I13631" s="2">
        <v>0</v>
      </c>
      <c r="J13631" s="1">
        <v>46076.57880787037</v>
      </c>
    </row>
    <row r="13632" spans="1:10" x14ac:dyDescent="0.2">
      <c r="A13632" s="4" t="s">
        <v>1</v>
      </c>
      <c r="B13632" s="3" t="str">
        <f>HYPERLINK("https://otsuka-europe-crm.veevavault.com/ui/#object/approved_document__v/V5O00000000Q012", "LUP - 10 cuestiones: Inmunosupresión - reuma")</f>
        <v>LUP - 10 cuestiones: Inmunosupresión - reuma</v>
      </c>
      <c r="C13632" s="3" t="str">
        <f>HYPERLINK("https://otsuka-europe-crm.veevavault.com/ui/#object/sent_email__v/VBL00000001G354", "SE-001405624")</f>
        <v>SE-001405624</v>
      </c>
      <c r="D13632" s="1">
        <v>46076.821863425925</v>
      </c>
      <c r="E13632" s="2">
        <v>1</v>
      </c>
      <c r="F13632" s="2">
        <v>1</v>
      </c>
      <c r="G13632" s="2">
        <v>1</v>
      </c>
      <c r="H13632" s="1">
        <v>46077.627071759256</v>
      </c>
      <c r="I13632" s="2">
        <v>2</v>
      </c>
      <c r="J13632" s="1">
        <v>46076.578981481478</v>
      </c>
    </row>
    <row r="13633" spans="1:10" x14ac:dyDescent="0.2">
      <c r="A13633" s="4" t="s">
        <v>1</v>
      </c>
      <c r="B13633" s="3" t="str">
        <f>HYPERLINK("https://otsuka-europe-crm.veevavault.com/ui/#object/approved_document__v/V5O00000000Q012", "LUP - 10 cuestiones: Inmunosupresión - reuma")</f>
        <v>LUP - 10 cuestiones: Inmunosupresión - reuma</v>
      </c>
      <c r="C13633" s="3" t="str">
        <f>HYPERLINK("https://otsuka-europe-crm.veevavault.com/ui/#object/sent_email__v/VBL00000001G355", "SE-001405625")</f>
        <v>SE-001405625</v>
      </c>
      <c r="D13633" s="1">
        <v>46076.634733796294</v>
      </c>
      <c r="E13633" s="2">
        <v>1</v>
      </c>
      <c r="F13633" s="2">
        <v>1</v>
      </c>
      <c r="G13633" s="2">
        <v>0</v>
      </c>
      <c r="H13633" s="1" t="s">
        <v>0</v>
      </c>
      <c r="I13633" s="2">
        <v>0</v>
      </c>
      <c r="J13633" s="1">
        <v>46076.579131944447</v>
      </c>
    </row>
    <row r="13634" spans="1:10" x14ac:dyDescent="0.2">
      <c r="A13634" s="4" t="s">
        <v>1</v>
      </c>
      <c r="B13634" s="3" t="str">
        <f>HYPERLINK("https://otsuka-europe-crm.veevavault.com/ui/#object/approved_document__v/V5O00000000Q012", "LUP - 10 cuestiones: Inmunosupresión - reuma")</f>
        <v>LUP - 10 cuestiones: Inmunosupresión - reuma</v>
      </c>
      <c r="C13634" s="3" t="str">
        <f>HYPERLINK("https://otsuka-europe-crm.veevavault.com/ui/#object/sent_email__v/VBL00000001G356", "SE-001405626")</f>
        <v>SE-001405626</v>
      </c>
      <c r="D13634" s="1" t="s">
        <v>0</v>
      </c>
      <c r="E13634" s="2">
        <v>0</v>
      </c>
      <c r="F13634" s="2">
        <v>0</v>
      </c>
      <c r="G13634" s="2">
        <v>0</v>
      </c>
      <c r="H13634" s="1" t="s">
        <v>0</v>
      </c>
      <c r="I13634" s="2">
        <v>0</v>
      </c>
      <c r="J13634" s="1">
        <v>46076.579363425924</v>
      </c>
    </row>
    <row r="13635" spans="1:10" x14ac:dyDescent="0.2">
      <c r="A13635" s="4" t="s">
        <v>1</v>
      </c>
      <c r="B13635" s="3" t="str">
        <f>HYPERLINK("https://otsuka-europe-crm.veevavault.com/ui/#object/approved_document__v/V5O00000000Q012", "LUP - 10 cuestiones: Inmunosupresión - reuma")</f>
        <v>LUP - 10 cuestiones: Inmunosupresión - reuma</v>
      </c>
      <c r="C13635" s="3" t="str">
        <f>HYPERLINK("https://otsuka-europe-crm.veevavault.com/ui/#object/sent_email__v/VBL00000001G357", "SE-001405627")</f>
        <v>SE-001405627</v>
      </c>
      <c r="D13635" s="1">
        <v>46077.245185185187</v>
      </c>
      <c r="E13635" s="2">
        <v>1</v>
      </c>
      <c r="F13635" s="2">
        <v>1</v>
      </c>
      <c r="G13635" s="2">
        <v>0</v>
      </c>
      <c r="H13635" s="1" t="s">
        <v>0</v>
      </c>
      <c r="I13635" s="2">
        <v>0</v>
      </c>
      <c r="J13635" s="1">
        <v>46076.579502314817</v>
      </c>
    </row>
    <row r="13636" spans="1:10" x14ac:dyDescent="0.2">
      <c r="A13636" s="4" t="s">
        <v>1</v>
      </c>
      <c r="B13636" s="3" t="str">
        <f>HYPERLINK("https://otsuka-europe-crm.veevavault.com/ui/#object/approved_document__v/V5O00000000Q012", "LUP - 10 cuestiones: Inmunosupresión - reuma")</f>
        <v>LUP - 10 cuestiones: Inmunosupresión - reuma</v>
      </c>
      <c r="C13636" s="3" t="str">
        <f>HYPERLINK("https://otsuka-europe-crm.veevavault.com/ui/#object/sent_email__v/VBL00000001G358", "SE-001405628")</f>
        <v>SE-001405628</v>
      </c>
      <c r="D13636" s="1" t="s">
        <v>0</v>
      </c>
      <c r="E13636" s="2">
        <v>0</v>
      </c>
      <c r="F13636" s="2">
        <v>0</v>
      </c>
      <c r="G13636" s="2">
        <v>0</v>
      </c>
      <c r="H13636" s="1" t="s">
        <v>0</v>
      </c>
      <c r="I13636" s="2">
        <v>0</v>
      </c>
      <c r="J13636" s="1">
        <v>46076.579641203702</v>
      </c>
    </row>
    <row r="13637" spans="1:10" x14ac:dyDescent="0.2">
      <c r="A13637" s="4" t="s">
        <v>1</v>
      </c>
      <c r="B13637" s="3" t="str">
        <f>HYPERLINK("https://otsuka-europe-crm.veevavault.com/ui/#object/approved_document__v/V5O00000000Q012", "LUP - 10 cuestiones: Inmunosupresión - reuma")</f>
        <v>LUP - 10 cuestiones: Inmunosupresión - reuma</v>
      </c>
      <c r="C13637" s="3" t="str">
        <f>HYPERLINK("https://otsuka-europe-crm.veevavault.com/ui/#object/sent_email__v/VBL00000001G359", "SE-001405629")</f>
        <v>SE-001405629</v>
      </c>
      <c r="D13637" s="1" t="s">
        <v>0</v>
      </c>
      <c r="E13637" s="2">
        <v>0</v>
      </c>
      <c r="F13637" s="2">
        <v>0</v>
      </c>
      <c r="G13637" s="2">
        <v>0</v>
      </c>
      <c r="H13637" s="1" t="s">
        <v>0</v>
      </c>
      <c r="I13637" s="2">
        <v>0</v>
      </c>
      <c r="J13637" s="1">
        <v>46076.579814814817</v>
      </c>
    </row>
    <row r="13638" spans="1:10" x14ac:dyDescent="0.2">
      <c r="A13638" s="4" t="s">
        <v>1</v>
      </c>
      <c r="B13638" s="3" t="str">
        <f>HYPERLINK("https://otsuka-europe-crm.veevavault.com/ui/#object/approved_document__v/V5O00000000Q012", "LUP - 10 cuestiones: Inmunosupresión - reuma")</f>
        <v>LUP - 10 cuestiones: Inmunosupresión - reuma</v>
      </c>
      <c r="C13638" s="3" t="str">
        <f>HYPERLINK("https://otsuka-europe-crm.veevavault.com/ui/#object/sent_email__v/VBL00000001G360", "SE-001405630")</f>
        <v>SE-001405630</v>
      </c>
      <c r="D13638" s="1" t="s">
        <v>0</v>
      </c>
      <c r="E13638" s="2">
        <v>0</v>
      </c>
      <c r="F13638" s="2">
        <v>0</v>
      </c>
      <c r="G13638" s="2">
        <v>0</v>
      </c>
      <c r="H13638" s="1" t="s">
        <v>0</v>
      </c>
      <c r="I13638" s="2">
        <v>0</v>
      </c>
      <c r="J13638" s="1">
        <v>46076.579976851855</v>
      </c>
    </row>
    <row r="13639" spans="1:10" x14ac:dyDescent="0.2">
      <c r="A13639" s="4" t="s">
        <v>1</v>
      </c>
      <c r="B13639" s="3" t="str">
        <f>HYPERLINK("https://otsuka-europe-crm.veevavault.com/ui/#object/approved_document__v/V5O00000000Q012", "LUP - 10 cuestiones: Inmunosupresión - reuma")</f>
        <v>LUP - 10 cuestiones: Inmunosupresión - reuma</v>
      </c>
      <c r="C13639" s="3" t="str">
        <f>HYPERLINK("https://otsuka-europe-crm.veevavault.com/ui/#object/sent_email__v/VBL00000001G361", "SE-001405631")</f>
        <v>SE-001405631</v>
      </c>
      <c r="D13639" s="1">
        <v>46076.828703703701</v>
      </c>
      <c r="E13639" s="2">
        <v>1</v>
      </c>
      <c r="F13639" s="2">
        <v>2</v>
      </c>
      <c r="G13639" s="2">
        <v>0</v>
      </c>
      <c r="H13639" s="1" t="s">
        <v>0</v>
      </c>
      <c r="I13639" s="2">
        <v>0</v>
      </c>
      <c r="J13639" s="1">
        <v>46076.580138888887</v>
      </c>
    </row>
    <row r="13640" spans="1:10" x14ac:dyDescent="0.2">
      <c r="A13640" s="4" t="s">
        <v>1</v>
      </c>
      <c r="B13640" s="3" t="str">
        <f>HYPERLINK("https://otsuka-europe-crm.veevavault.com/ui/#object/approved_document__v/V5O00000000Q012", "LUP - 10 cuestiones: Inmunosupresión - reuma")</f>
        <v>LUP - 10 cuestiones: Inmunosupresión - reuma</v>
      </c>
      <c r="C13640" s="3" t="str">
        <f>HYPERLINK("https://otsuka-europe-crm.veevavault.com/ui/#object/sent_email__v/VBL00000001G362", "SE-001405632")</f>
        <v>SE-001405632</v>
      </c>
      <c r="D13640" s="1">
        <v>46078.926319444443</v>
      </c>
      <c r="E13640" s="2">
        <v>1</v>
      </c>
      <c r="F13640" s="2">
        <v>2</v>
      </c>
      <c r="G13640" s="2">
        <v>0</v>
      </c>
      <c r="H13640" s="1" t="s">
        <v>0</v>
      </c>
      <c r="I13640" s="2">
        <v>0</v>
      </c>
      <c r="J13640" s="1">
        <v>46076.580300925925</v>
      </c>
    </row>
    <row r="13641" spans="1:10" x14ac:dyDescent="0.2">
      <c r="A13641" s="4" t="s">
        <v>1</v>
      </c>
      <c r="B13641" s="3" t="str">
        <f>HYPERLINK("https://otsuka-europe-crm.veevavault.com/ui/#object/approved_document__v/V5O00000000Q012", "LUP - 10 cuestiones: Inmunosupresión - reuma")</f>
        <v>LUP - 10 cuestiones: Inmunosupresión - reuma</v>
      </c>
      <c r="C13641" s="3" t="str">
        <f>HYPERLINK("https://otsuka-europe-crm.veevavault.com/ui/#object/sent_email__v/VBL00000001G363", "SE-001405633")</f>
        <v>SE-001405633</v>
      </c>
      <c r="D13641" s="1" t="s">
        <v>0</v>
      </c>
      <c r="E13641" s="2">
        <v>0</v>
      </c>
      <c r="F13641" s="2">
        <v>0</v>
      </c>
      <c r="G13641" s="2">
        <v>0</v>
      </c>
      <c r="H13641" s="1" t="s">
        <v>0</v>
      </c>
      <c r="I13641" s="2">
        <v>0</v>
      </c>
      <c r="J13641" s="1">
        <v>46076.58048611111</v>
      </c>
    </row>
    <row r="13642" spans="1:10" x14ac:dyDescent="0.2">
      <c r="A13642" s="4" t="s">
        <v>1</v>
      </c>
      <c r="B13642" s="3" t="str">
        <f>HYPERLINK("https://otsuka-europe-crm.veevavault.com/ui/#object/approved_document__v/V5O00000000Q012", "LUP - 10 cuestiones: Inmunosupresión - reuma")</f>
        <v>LUP - 10 cuestiones: Inmunosupresión - reuma</v>
      </c>
      <c r="C13642" s="3" t="str">
        <f>HYPERLINK("https://otsuka-europe-crm.veevavault.com/ui/#object/sent_email__v/VBL00000001G364", "SE-001405634")</f>
        <v>SE-001405634</v>
      </c>
      <c r="D13642" s="1">
        <v>46077.878958333335</v>
      </c>
      <c r="E13642" s="2">
        <v>1</v>
      </c>
      <c r="F13642" s="2">
        <v>2</v>
      </c>
      <c r="G13642" s="2">
        <v>0</v>
      </c>
      <c r="H13642" s="1" t="s">
        <v>0</v>
      </c>
      <c r="I13642" s="2">
        <v>0</v>
      </c>
      <c r="J13642" s="1">
        <v>46076.580636574072</v>
      </c>
    </row>
    <row r="13643" spans="1:10" x14ac:dyDescent="0.2">
      <c r="A13643" s="4" t="s">
        <v>1</v>
      </c>
      <c r="B13643" s="3" t="str">
        <f>HYPERLINK("https://otsuka-europe-crm.veevavault.com/ui/#object/approved_document__v/V5O00000000Q012", "LUP - 10 cuestiones: Inmunosupresión - reuma")</f>
        <v>LUP - 10 cuestiones: Inmunosupresión - reuma</v>
      </c>
      <c r="C13643" s="3" t="str">
        <f>HYPERLINK("https://otsuka-europe-crm.veevavault.com/ui/#object/sent_email__v/VBL00000001G365", "SE-001405635")</f>
        <v>SE-001405635</v>
      </c>
      <c r="D13643" s="1">
        <v>46076.584849537037</v>
      </c>
      <c r="E13643" s="2">
        <v>1</v>
      </c>
      <c r="F13643" s="2">
        <v>2</v>
      </c>
      <c r="G13643" s="2">
        <v>0</v>
      </c>
      <c r="H13643" s="1" t="s">
        <v>0</v>
      </c>
      <c r="I13643" s="2">
        <v>0</v>
      </c>
      <c r="J13643" s="1">
        <v>46076.580810185187</v>
      </c>
    </row>
    <row r="13644" spans="1:10" x14ac:dyDescent="0.2">
      <c r="A13644" s="4" t="s">
        <v>1</v>
      </c>
      <c r="B13644" s="3" t="str">
        <f>HYPERLINK("https://otsuka-europe-crm.veevavault.com/ui/#object/approved_document__v/V5O00000000Q012", "LUP - 10 cuestiones: Inmunosupresión - reuma")</f>
        <v>LUP - 10 cuestiones: Inmunosupresión - reuma</v>
      </c>
      <c r="C13644" s="3" t="str">
        <f>HYPERLINK("https://otsuka-europe-crm.veevavault.com/ui/#object/sent_email__v/VBL00000001G366", "SE-001405636")</f>
        <v>SE-001405636</v>
      </c>
      <c r="D13644" s="1">
        <v>46076.621666666666</v>
      </c>
      <c r="E13644" s="2">
        <v>1</v>
      </c>
      <c r="F13644" s="2">
        <v>1</v>
      </c>
      <c r="G13644" s="2">
        <v>0</v>
      </c>
      <c r="H13644" s="1" t="s">
        <v>0</v>
      </c>
      <c r="I13644" s="2">
        <v>0</v>
      </c>
      <c r="J13644" s="1">
        <v>46076.580983796295</v>
      </c>
    </row>
    <row r="13645" spans="1:10" x14ac:dyDescent="0.2">
      <c r="A13645" s="4" t="s">
        <v>1</v>
      </c>
      <c r="B13645" s="3" t="str">
        <f>HYPERLINK("https://otsuka-europe-crm.veevavault.com/ui/#object/approved_document__v/V5O00000000Q012", "LUP - 10 cuestiones: Inmunosupresión - reuma")</f>
        <v>LUP - 10 cuestiones: Inmunosupresión - reuma</v>
      </c>
      <c r="C13645" s="3" t="str">
        <f>HYPERLINK("https://otsuka-europe-crm.veevavault.com/ui/#object/sent_email__v/VBL00000001G367", "SE-001405637")</f>
        <v>SE-001405637</v>
      </c>
      <c r="D13645" s="1" t="s">
        <v>0</v>
      </c>
      <c r="E13645" s="2">
        <v>0</v>
      </c>
      <c r="F13645" s="2">
        <v>0</v>
      </c>
      <c r="G13645" s="2">
        <v>0</v>
      </c>
      <c r="H13645" s="1" t="s">
        <v>0</v>
      </c>
      <c r="I13645" s="2">
        <v>0</v>
      </c>
      <c r="J13645" s="1">
        <v>46076.581145833334</v>
      </c>
    </row>
    <row r="13646" spans="1:10" x14ac:dyDescent="0.2">
      <c r="A13646" s="4" t="s">
        <v>1</v>
      </c>
      <c r="B13646" s="3" t="str">
        <f>HYPERLINK("https://otsuka-europe-crm.veevavault.com/ui/#object/approved_document__v/V5O00000000Q012", "LUP - 10 cuestiones: Inmunosupresión - reuma")</f>
        <v>LUP - 10 cuestiones: Inmunosupresión - reuma</v>
      </c>
      <c r="C13646" s="3" t="str">
        <f>HYPERLINK("https://otsuka-europe-crm.veevavault.com/ui/#object/sent_email__v/VBL00000001G368", "SE-001405638")</f>
        <v>SE-001405638</v>
      </c>
      <c r="D13646" s="1" t="s">
        <v>0</v>
      </c>
      <c r="E13646" s="2">
        <v>0</v>
      </c>
      <c r="F13646" s="2">
        <v>0</v>
      </c>
      <c r="G13646" s="2">
        <v>0</v>
      </c>
      <c r="H13646" s="1" t="s">
        <v>0</v>
      </c>
      <c r="I13646" s="2">
        <v>0</v>
      </c>
      <c r="J13646" s="1">
        <v>46076.581319444442</v>
      </c>
    </row>
    <row r="13647" spans="1:10" x14ac:dyDescent="0.2">
      <c r="A13647" s="4" t="s">
        <v>1</v>
      </c>
      <c r="B13647" s="3" t="str">
        <f>HYPERLINK("https://otsuka-europe-crm.veevavault.com/ui/#object/approved_document__v/V5O00000000Q012", "LUP - 10 cuestiones: Inmunosupresión - reuma")</f>
        <v>LUP - 10 cuestiones: Inmunosupresión - reuma</v>
      </c>
      <c r="C13647" s="3" t="str">
        <f>HYPERLINK("https://otsuka-europe-crm.veevavault.com/ui/#object/sent_email__v/VBL00000001G369", "SE-001405639")</f>
        <v>SE-001405639</v>
      </c>
      <c r="D13647" s="1" t="s">
        <v>0</v>
      </c>
      <c r="E13647" s="2">
        <v>0</v>
      </c>
      <c r="F13647" s="2">
        <v>0</v>
      </c>
      <c r="G13647" s="2">
        <v>0</v>
      </c>
      <c r="H13647" s="1" t="s">
        <v>0</v>
      </c>
      <c r="I13647" s="2">
        <v>0</v>
      </c>
      <c r="J13647" s="1">
        <v>46076.58148148148</v>
      </c>
    </row>
    <row r="13648" spans="1:10" x14ac:dyDescent="0.2">
      <c r="A13648" s="4" t="s">
        <v>1</v>
      </c>
      <c r="B13648" s="3" t="str">
        <f>HYPERLINK("https://otsuka-europe-crm.veevavault.com/ui/#object/approved_document__v/V5O00000000Q012", "LUP - 10 cuestiones: Inmunosupresión - reuma")</f>
        <v>LUP - 10 cuestiones: Inmunosupresión - reuma</v>
      </c>
      <c r="C13648" s="3" t="str">
        <f>HYPERLINK("https://otsuka-europe-crm.veevavault.com/ui/#object/sent_email__v/VBL00000001G370", "SE-001405640")</f>
        <v>SE-001405640</v>
      </c>
      <c r="D13648" s="1">
        <v>46076.992245370369</v>
      </c>
      <c r="E13648" s="2">
        <v>1</v>
      </c>
      <c r="F13648" s="2">
        <v>1</v>
      </c>
      <c r="G13648" s="2">
        <v>0</v>
      </c>
      <c r="H13648" s="1" t="s">
        <v>0</v>
      </c>
      <c r="I13648" s="2">
        <v>0</v>
      </c>
      <c r="J13648" s="1">
        <v>46076.581643518519</v>
      </c>
    </row>
    <row r="13649" spans="1:10" x14ac:dyDescent="0.2">
      <c r="A13649" s="4" t="s">
        <v>1</v>
      </c>
      <c r="B13649" s="3" t="str">
        <f>HYPERLINK("https://otsuka-europe-crm.veevavault.com/ui/#object/approved_document__v/V5O00000000Q012", "LUP - 10 cuestiones: Inmunosupresión - reuma")</f>
        <v>LUP - 10 cuestiones: Inmunosupresión - reuma</v>
      </c>
      <c r="C13649" s="3" t="str">
        <f>HYPERLINK("https://otsuka-europe-crm.veevavault.com/ui/#object/sent_email__v/VBL00000001G371", "SE-001405641")</f>
        <v>SE-001405641</v>
      </c>
      <c r="D13649" s="1">
        <v>46077.77270833333</v>
      </c>
      <c r="E13649" s="2">
        <v>1</v>
      </c>
      <c r="F13649" s="2">
        <v>1</v>
      </c>
      <c r="G13649" s="2">
        <v>0</v>
      </c>
      <c r="H13649" s="1" t="s">
        <v>0</v>
      </c>
      <c r="I13649" s="2">
        <v>0</v>
      </c>
      <c r="J13649" s="1">
        <v>46076.581817129627</v>
      </c>
    </row>
    <row r="13650" spans="1:10" x14ac:dyDescent="0.2">
      <c r="A13650" s="4" t="s">
        <v>1</v>
      </c>
      <c r="B13650" s="3" t="str">
        <f>HYPERLINK("https://otsuka-europe-crm.veevavault.com/ui/#object/approved_document__v/V5O00000000Q012", "LUP - 10 cuestiones: Inmunosupresión - reuma")</f>
        <v>LUP - 10 cuestiones: Inmunosupresión - reuma</v>
      </c>
      <c r="C13650" s="3" t="str">
        <f>HYPERLINK("https://otsuka-europe-crm.veevavault.com/ui/#object/sent_email__v/VBL00000001G372", "SE-001405642")</f>
        <v>SE-001405642</v>
      </c>
      <c r="D13650" s="1">
        <v>46076.956354166665</v>
      </c>
      <c r="E13650" s="2">
        <v>1</v>
      </c>
      <c r="F13650" s="2">
        <v>1</v>
      </c>
      <c r="G13650" s="2">
        <v>0</v>
      </c>
      <c r="H13650" s="1" t="s">
        <v>0</v>
      </c>
      <c r="I13650" s="2">
        <v>0</v>
      </c>
      <c r="J13650" s="1">
        <v>46076.581979166665</v>
      </c>
    </row>
    <row r="13651" spans="1:10" x14ac:dyDescent="0.2">
      <c r="A13651" s="4" t="s">
        <v>1</v>
      </c>
      <c r="B13651" s="3" t="str">
        <f>HYPERLINK("https://otsuka-europe-crm.veevavault.com/ui/#object/approved_document__v/V5O00000000Q012", "LUP - 10 cuestiones: Inmunosupresión - reuma")</f>
        <v>LUP - 10 cuestiones: Inmunosupresión - reuma</v>
      </c>
      <c r="C13651" s="3" t="str">
        <f>HYPERLINK("https://otsuka-europe-crm.veevavault.com/ui/#object/sent_email__v/VBL00000001G373", "SE-001405643")</f>
        <v>SE-001405643</v>
      </c>
      <c r="D13651" s="1" t="s">
        <v>0</v>
      </c>
      <c r="E13651" s="2">
        <v>0</v>
      </c>
      <c r="F13651" s="2">
        <v>0</v>
      </c>
      <c r="G13651" s="2">
        <v>0</v>
      </c>
      <c r="H13651" s="1" t="s">
        <v>0</v>
      </c>
      <c r="I13651" s="2">
        <v>0</v>
      </c>
      <c r="J13651" s="1">
        <v>46076.582152777781</v>
      </c>
    </row>
    <row r="13652" spans="1:10" x14ac:dyDescent="0.2">
      <c r="A13652" s="4" t="s">
        <v>1</v>
      </c>
      <c r="B13652" s="3" t="str">
        <f>HYPERLINK("https://otsuka-europe-crm.veevavault.com/ui/#object/approved_document__v/V5O00000000Q012", "LUP - 10 cuestiones: Inmunosupresión - reuma")</f>
        <v>LUP - 10 cuestiones: Inmunosupresión - reuma</v>
      </c>
      <c r="C13652" s="3" t="str">
        <f>HYPERLINK("https://otsuka-europe-crm.veevavault.com/ui/#object/sent_email__v/VBL00000001G374", "SE-001405644")</f>
        <v>SE-001405644</v>
      </c>
      <c r="D13652" s="1">
        <v>46076.655902777777</v>
      </c>
      <c r="E13652" s="2">
        <v>1</v>
      </c>
      <c r="F13652" s="2">
        <v>2</v>
      </c>
      <c r="G13652" s="2">
        <v>0</v>
      </c>
      <c r="H13652" s="1" t="s">
        <v>0</v>
      </c>
      <c r="I13652" s="2">
        <v>0</v>
      </c>
      <c r="J13652" s="1">
        <v>46076.582314814812</v>
      </c>
    </row>
    <row r="13653" spans="1:10" x14ac:dyDescent="0.2">
      <c r="A13653" s="4" t="s">
        <v>1</v>
      </c>
      <c r="B13653" s="3" t="str">
        <f>HYPERLINK("https://otsuka-europe-crm.veevavault.com/ui/#object/approved_document__v/V5O00000000Q012", "LUP - 10 cuestiones: Inmunosupresión - reuma")</f>
        <v>LUP - 10 cuestiones: Inmunosupresión - reuma</v>
      </c>
      <c r="C13653" s="3" t="str">
        <f>HYPERLINK("https://otsuka-europe-crm.veevavault.com/ui/#object/sent_email__v/VBL00000001G375", "SE-001405645")</f>
        <v>SE-001405645</v>
      </c>
      <c r="D13653" s="1" t="s">
        <v>0</v>
      </c>
      <c r="E13653" s="2">
        <v>0</v>
      </c>
      <c r="F13653" s="2">
        <v>0</v>
      </c>
      <c r="G13653" s="2">
        <v>0</v>
      </c>
      <c r="H13653" s="1" t="s">
        <v>0</v>
      </c>
      <c r="I13653" s="2">
        <v>0</v>
      </c>
      <c r="J13653" s="1">
        <v>46076.582465277781</v>
      </c>
    </row>
    <row r="13654" spans="1:10" x14ac:dyDescent="0.2">
      <c r="A13654" s="4" t="s">
        <v>1</v>
      </c>
      <c r="B13654" s="3" t="str">
        <f>HYPERLINK("https://otsuka-europe-crm.veevavault.com/ui/#object/approved_document__v/V5O00000000Q012", "LUP - 10 cuestiones: Inmunosupresión - reuma")</f>
        <v>LUP - 10 cuestiones: Inmunosupresión - reuma</v>
      </c>
      <c r="C13654" s="3" t="str">
        <f>HYPERLINK("https://otsuka-europe-crm.veevavault.com/ui/#object/sent_email__v/VBL00000001G376", "SE-001405646")</f>
        <v>SE-001405646</v>
      </c>
      <c r="D13654" s="1" t="s">
        <v>0</v>
      </c>
      <c r="E13654" s="2">
        <v>0</v>
      </c>
      <c r="F13654" s="2">
        <v>0</v>
      </c>
      <c r="G13654" s="2">
        <v>0</v>
      </c>
      <c r="H13654" s="1" t="s">
        <v>0</v>
      </c>
      <c r="I13654" s="2">
        <v>0</v>
      </c>
      <c r="J13654" s="1">
        <v>46076.582650462966</v>
      </c>
    </row>
    <row r="13655" spans="1:10" x14ac:dyDescent="0.2">
      <c r="A13655" s="4" t="s">
        <v>1</v>
      </c>
      <c r="B13655" s="3" t="str">
        <f>HYPERLINK("https://otsuka-europe-crm.veevavault.com/ui/#object/approved_document__v/V5O00000000Q012", "LUP - 10 cuestiones: Inmunosupresión - reuma")</f>
        <v>LUP - 10 cuestiones: Inmunosupresión - reuma</v>
      </c>
      <c r="C13655" s="3" t="str">
        <f>HYPERLINK("https://otsuka-europe-crm.veevavault.com/ui/#object/sent_email__v/VBL00000001G377", "SE-001405647")</f>
        <v>SE-001405647</v>
      </c>
      <c r="D13655" s="1" t="s">
        <v>0</v>
      </c>
      <c r="E13655" s="2">
        <v>0</v>
      </c>
      <c r="F13655" s="2">
        <v>0</v>
      </c>
      <c r="G13655" s="2">
        <v>0</v>
      </c>
      <c r="H13655" s="1" t="s">
        <v>0</v>
      </c>
      <c r="I13655" s="2">
        <v>0</v>
      </c>
      <c r="J13655" s="1">
        <v>46076.582800925928</v>
      </c>
    </row>
    <row r="13656" spans="1:10" x14ac:dyDescent="0.2">
      <c r="A13656" s="4" t="s">
        <v>1</v>
      </c>
      <c r="B13656" s="3" t="str">
        <f>HYPERLINK("https://otsuka-europe-crm.veevavault.com/ui/#object/approved_document__v/V5O00000000Q012", "LUP - 10 cuestiones: Inmunosupresión - reuma")</f>
        <v>LUP - 10 cuestiones: Inmunosupresión - reuma</v>
      </c>
      <c r="C13656" s="3" t="str">
        <f>HYPERLINK("https://otsuka-europe-crm.veevavault.com/ui/#object/sent_email__v/VBL00000001G378", "SE-001405648")</f>
        <v>SE-001405648</v>
      </c>
      <c r="D13656" s="1" t="s">
        <v>0</v>
      </c>
      <c r="E13656" s="2">
        <v>0</v>
      </c>
      <c r="F13656" s="2">
        <v>0</v>
      </c>
      <c r="G13656" s="2">
        <v>0</v>
      </c>
      <c r="H13656" s="1" t="s">
        <v>0</v>
      </c>
      <c r="I13656" s="2">
        <v>0</v>
      </c>
      <c r="J13656" s="1">
        <v>46076.582974537036</v>
      </c>
    </row>
    <row r="13657" spans="1:10" x14ac:dyDescent="0.2">
      <c r="A13657" s="4" t="s">
        <v>1</v>
      </c>
      <c r="B13657" s="3" t="str">
        <f>HYPERLINK("https://otsuka-europe-crm.veevavault.com/ui/#object/approved_document__v/V5O00000000Q012", "LUP - 10 cuestiones: Inmunosupresión - reuma")</f>
        <v>LUP - 10 cuestiones: Inmunosupresión - reuma</v>
      </c>
      <c r="C13657" s="3" t="str">
        <f>HYPERLINK("https://otsuka-europe-crm.veevavault.com/ui/#object/sent_email__v/VBL00000001G379", "SE-001405649")</f>
        <v>SE-001405649</v>
      </c>
      <c r="D13657" s="1" t="s">
        <v>0</v>
      </c>
      <c r="E13657" s="2">
        <v>0</v>
      </c>
      <c r="F13657" s="2">
        <v>0</v>
      </c>
      <c r="G13657" s="2">
        <v>0</v>
      </c>
      <c r="H13657" s="1" t="s">
        <v>0</v>
      </c>
      <c r="I13657" s="2">
        <v>0</v>
      </c>
      <c r="J13657" s="1">
        <v>46076.583136574074</v>
      </c>
    </row>
    <row r="13658" spans="1:10" x14ac:dyDescent="0.2">
      <c r="A13658" s="4" t="s">
        <v>1</v>
      </c>
      <c r="B13658" s="3" t="str">
        <f>HYPERLINK("https://otsuka-europe-crm.veevavault.com/ui/#object/approved_document__v/V5O00000000Q012", "LUP - 10 cuestiones: Inmunosupresión - reuma")</f>
        <v>LUP - 10 cuestiones: Inmunosupresión - reuma</v>
      </c>
      <c r="C13658" s="3" t="str">
        <f>HYPERLINK("https://otsuka-europe-crm.veevavault.com/ui/#object/sent_email__v/VBL00000001G380", "SE-001405650")</f>
        <v>SE-001405650</v>
      </c>
      <c r="D13658" s="1">
        <v>46076.660104166665</v>
      </c>
      <c r="E13658" s="2">
        <v>1</v>
      </c>
      <c r="F13658" s="2">
        <v>1</v>
      </c>
      <c r="G13658" s="2">
        <v>0</v>
      </c>
      <c r="H13658" s="1" t="s">
        <v>0</v>
      </c>
      <c r="I13658" s="2">
        <v>0</v>
      </c>
      <c r="J13658" s="1">
        <v>46076.583298611113</v>
      </c>
    </row>
    <row r="13659" spans="1:10" x14ac:dyDescent="0.2">
      <c r="A13659" s="4" t="s">
        <v>1</v>
      </c>
      <c r="B13659" s="3" t="str">
        <f>HYPERLINK("https://otsuka-europe-crm.veevavault.com/ui/#object/approved_document__v/V5O00000000Q012", "LUP - 10 cuestiones: Inmunosupresión - reuma")</f>
        <v>LUP - 10 cuestiones: Inmunosupresión - reuma</v>
      </c>
      <c r="C13659" s="3" t="str">
        <f>HYPERLINK("https://otsuka-europe-crm.veevavault.com/ui/#object/sent_email__v/VBL00000001G381", "SE-001405651")</f>
        <v>SE-001405651</v>
      </c>
      <c r="D13659" s="1" t="s">
        <v>0</v>
      </c>
      <c r="E13659" s="2">
        <v>0</v>
      </c>
      <c r="F13659" s="2">
        <v>0</v>
      </c>
      <c r="G13659" s="2">
        <v>0</v>
      </c>
      <c r="H13659" s="1" t="s">
        <v>0</v>
      </c>
      <c r="I13659" s="2">
        <v>0</v>
      </c>
      <c r="J13659" s="1">
        <v>46076.583460648151</v>
      </c>
    </row>
    <row r="13660" spans="1:10" x14ac:dyDescent="0.2">
      <c r="A13660" s="4" t="s">
        <v>1</v>
      </c>
      <c r="B13660" s="3" t="str">
        <f>HYPERLINK("https://otsuka-europe-crm.veevavault.com/ui/#object/approved_document__v/V5O00000000Q012", "LUP - 10 cuestiones: Inmunosupresión - reuma")</f>
        <v>LUP - 10 cuestiones: Inmunosupresión - reuma</v>
      </c>
      <c r="C13660" s="3" t="str">
        <f>HYPERLINK("https://otsuka-europe-crm.veevavault.com/ui/#object/sent_email__v/VBL00000001G382", "SE-001405652")</f>
        <v>SE-001405652</v>
      </c>
      <c r="D13660" s="1">
        <v>46076.877233796295</v>
      </c>
      <c r="E13660" s="2">
        <v>1</v>
      </c>
      <c r="F13660" s="2">
        <v>4</v>
      </c>
      <c r="G13660" s="2">
        <v>0</v>
      </c>
      <c r="H13660" s="1" t="s">
        <v>0</v>
      </c>
      <c r="I13660" s="2">
        <v>0</v>
      </c>
      <c r="J13660" s="1">
        <v>46076.583634259259</v>
      </c>
    </row>
    <row r="13661" spans="1:10" x14ac:dyDescent="0.2">
      <c r="A13661" s="4" t="s">
        <v>1</v>
      </c>
      <c r="B13661" s="3" t="str">
        <f>HYPERLINK("https://otsuka-europe-crm.veevavault.com/ui/#object/approved_document__v/V5O00000000Q012", "LUP - 10 cuestiones: Inmunosupresión - reuma")</f>
        <v>LUP - 10 cuestiones: Inmunosupresión - reuma</v>
      </c>
      <c r="C13661" s="3" t="str">
        <f>HYPERLINK("https://otsuka-europe-crm.veevavault.com/ui/#object/sent_email__v/VBL00000001G383", "SE-001405653")</f>
        <v>SE-001405653</v>
      </c>
      <c r="D13661" s="1" t="s">
        <v>0</v>
      </c>
      <c r="E13661" s="2">
        <v>0</v>
      </c>
      <c r="F13661" s="2">
        <v>0</v>
      </c>
      <c r="G13661" s="2">
        <v>0</v>
      </c>
      <c r="H13661" s="1" t="s">
        <v>0</v>
      </c>
      <c r="I13661" s="2">
        <v>0</v>
      </c>
      <c r="J13661" s="1">
        <v>46076.583796296298</v>
      </c>
    </row>
    <row r="13662" spans="1:10" x14ac:dyDescent="0.2">
      <c r="A13662" s="4" t="s">
        <v>1</v>
      </c>
      <c r="B13662" s="3" t="str">
        <f>HYPERLINK("https://otsuka-europe-crm.veevavault.com/ui/#object/approved_document__v/V5O00000000Q012", "LUP - 10 cuestiones: Inmunosupresión - reuma")</f>
        <v>LUP - 10 cuestiones: Inmunosupresión - reuma</v>
      </c>
      <c r="C13662" s="3" t="str">
        <f>HYPERLINK("https://otsuka-europe-crm.veevavault.com/ui/#object/sent_email__v/VBL00000001G384", "SE-001405654")</f>
        <v>SE-001405654</v>
      </c>
      <c r="D13662" s="1">
        <v>46076.696342592593</v>
      </c>
      <c r="E13662" s="2">
        <v>1</v>
      </c>
      <c r="F13662" s="2">
        <v>1</v>
      </c>
      <c r="G13662" s="2">
        <v>0</v>
      </c>
      <c r="H13662" s="1" t="s">
        <v>0</v>
      </c>
      <c r="I13662" s="2">
        <v>0</v>
      </c>
      <c r="J13662" s="1">
        <v>46076.583958333336</v>
      </c>
    </row>
    <row r="13663" spans="1:10" x14ac:dyDescent="0.2">
      <c r="A13663" s="4" t="s">
        <v>1</v>
      </c>
      <c r="B13663" s="3" t="str">
        <f>HYPERLINK("https://otsuka-europe-crm.veevavault.com/ui/#object/approved_document__v/V5O00000000Q012", "LUP - 10 cuestiones: Inmunosupresión - reuma")</f>
        <v>LUP - 10 cuestiones: Inmunosupresión - reuma</v>
      </c>
      <c r="C13663" s="3" t="str">
        <f>HYPERLINK("https://otsuka-europe-crm.veevavault.com/ui/#object/sent_email__v/VBL00000001G385", "SE-001405655")</f>
        <v>SE-001405655</v>
      </c>
      <c r="D13663" s="1">
        <v>46077.25576388889</v>
      </c>
      <c r="E13663" s="2">
        <v>1</v>
      </c>
      <c r="F13663" s="2">
        <v>1</v>
      </c>
      <c r="G13663" s="2">
        <v>0</v>
      </c>
      <c r="H13663" s="1" t="s">
        <v>0</v>
      </c>
      <c r="I13663" s="2">
        <v>0</v>
      </c>
      <c r="J13663" s="1">
        <v>46076.584131944444</v>
      </c>
    </row>
    <row r="13664" spans="1:10" x14ac:dyDescent="0.2">
      <c r="A13664" s="4" t="s">
        <v>1</v>
      </c>
      <c r="B13664" s="3" t="str">
        <f>HYPERLINK("https://otsuka-europe-crm.veevavault.com/ui/#object/approved_document__v/V5O00000000Q012", "LUP - 10 cuestiones: Inmunosupresión - reuma")</f>
        <v>LUP - 10 cuestiones: Inmunosupresión - reuma</v>
      </c>
      <c r="C13664" s="3" t="str">
        <f>HYPERLINK("https://otsuka-europe-crm.veevavault.com/ui/#object/sent_email__v/VBL00000001G386", "SE-001405656")</f>
        <v>SE-001405656</v>
      </c>
      <c r="D13664" s="1">
        <v>46078.867986111109</v>
      </c>
      <c r="E13664" s="2">
        <v>1</v>
      </c>
      <c r="F13664" s="2">
        <v>2</v>
      </c>
      <c r="G13664" s="2">
        <v>0</v>
      </c>
      <c r="H13664" s="1" t="s">
        <v>0</v>
      </c>
      <c r="I13664" s="2">
        <v>0</v>
      </c>
      <c r="J13664" s="1">
        <v>46076.584293981483</v>
      </c>
    </row>
    <row r="13665" spans="1:10" x14ac:dyDescent="0.2">
      <c r="A13665" s="4" t="s">
        <v>1</v>
      </c>
      <c r="B13665" s="3" t="str">
        <f>HYPERLINK("https://otsuka-europe-crm.veevavault.com/ui/#object/approved_document__v/V5O00000000Q012", "LUP - 10 cuestiones: Inmunosupresión - reuma")</f>
        <v>LUP - 10 cuestiones: Inmunosupresión - reuma</v>
      </c>
      <c r="C13665" s="3" t="str">
        <f>HYPERLINK("https://otsuka-europe-crm.veevavault.com/ui/#object/sent_email__v/VBL00000001G387", "SE-001405657")</f>
        <v>SE-001405657</v>
      </c>
      <c r="D13665" s="1">
        <v>46077.918171296296</v>
      </c>
      <c r="E13665" s="2">
        <v>1</v>
      </c>
      <c r="F13665" s="2">
        <v>1</v>
      </c>
      <c r="G13665" s="2">
        <v>0</v>
      </c>
      <c r="H13665" s="1" t="s">
        <v>0</v>
      </c>
      <c r="I13665" s="2">
        <v>0</v>
      </c>
      <c r="J13665" s="1">
        <v>46076.584479166668</v>
      </c>
    </row>
    <row r="13666" spans="1:10" x14ac:dyDescent="0.2">
      <c r="A13666" s="4" t="s">
        <v>1</v>
      </c>
      <c r="B13666" s="3" t="str">
        <f>HYPERLINK("https://otsuka-europe-crm.veevavault.com/ui/#object/approved_document__v/V5O00000000Q012", "LUP - 10 cuestiones: Inmunosupresión - reuma")</f>
        <v>LUP - 10 cuestiones: Inmunosupresión - reuma</v>
      </c>
      <c r="C13666" s="3" t="str">
        <f>HYPERLINK("https://otsuka-europe-crm.veevavault.com/ui/#object/sent_email__v/VBL00000001G388", "SE-001405658")</f>
        <v>SE-001405658</v>
      </c>
      <c r="D13666" s="1" t="s">
        <v>0</v>
      </c>
      <c r="E13666" s="2">
        <v>0</v>
      </c>
      <c r="F13666" s="2">
        <v>0</v>
      </c>
      <c r="G13666" s="2">
        <v>0</v>
      </c>
      <c r="H13666" s="1" t="s">
        <v>0</v>
      </c>
      <c r="I13666" s="2">
        <v>0</v>
      </c>
      <c r="J13666" s="1">
        <v>46076.571770833332</v>
      </c>
    </row>
    <row r="13667" spans="1:10" x14ac:dyDescent="0.2">
      <c r="A13667" s="4" t="s">
        <v>1</v>
      </c>
      <c r="B13667" s="3" t="str">
        <f>HYPERLINK("https://otsuka-europe-crm.veevavault.com/ui/#object/approved_document__v/V5O00000000Q012", "LUP - 10 cuestiones: Inmunosupresión - reuma")</f>
        <v>LUP - 10 cuestiones: Inmunosupresión - reuma</v>
      </c>
      <c r="C13667" s="3" t="str">
        <f>HYPERLINK("https://otsuka-europe-crm.veevavault.com/ui/#object/sent_email__v/VBL00000001G389", "SE-001405659")</f>
        <v>SE-001405659</v>
      </c>
      <c r="D13667" s="1">
        <v>46076.596006944441</v>
      </c>
      <c r="E13667" s="2">
        <v>1</v>
      </c>
      <c r="F13667" s="2">
        <v>1</v>
      </c>
      <c r="G13667" s="2">
        <v>1</v>
      </c>
      <c r="H13667" s="1">
        <v>46076.816354166665</v>
      </c>
      <c r="I13667" s="2">
        <v>1</v>
      </c>
      <c r="J13667" s="1">
        <v>46076.571932870371</v>
      </c>
    </row>
    <row r="13668" spans="1:10" x14ac:dyDescent="0.2">
      <c r="A13668" s="4" t="s">
        <v>1</v>
      </c>
      <c r="B13668" s="3" t="str">
        <f>HYPERLINK("https://otsuka-europe-crm.veevavault.com/ui/#object/approved_document__v/V5O00000000Q012", "LUP - 10 cuestiones: Inmunosupresión - reuma")</f>
        <v>LUP - 10 cuestiones: Inmunosupresión - reuma</v>
      </c>
      <c r="C13668" s="3" t="str">
        <f>HYPERLINK("https://otsuka-europe-crm.veevavault.com/ui/#object/sent_email__v/VBL00000001G390", "SE-001405660")</f>
        <v>SE-001405660</v>
      </c>
      <c r="D13668" s="1" t="s">
        <v>0</v>
      </c>
      <c r="E13668" s="2">
        <v>0</v>
      </c>
      <c r="F13668" s="2">
        <v>0</v>
      </c>
      <c r="G13668" s="2">
        <v>0</v>
      </c>
      <c r="H13668" s="1" t="s">
        <v>0</v>
      </c>
      <c r="I13668" s="2">
        <v>0</v>
      </c>
      <c r="J13668" s="1">
        <v>46076.572106481479</v>
      </c>
    </row>
    <row r="13669" spans="1:10" x14ac:dyDescent="0.2">
      <c r="A13669" s="4" t="s">
        <v>1</v>
      </c>
      <c r="B13669" s="3" t="str">
        <f>HYPERLINK("https://otsuka-europe-crm.veevavault.com/ui/#object/approved_document__v/V5O00000000Q012", "LUP - 10 cuestiones: Inmunosupresión - reuma")</f>
        <v>LUP - 10 cuestiones: Inmunosupresión - reuma</v>
      </c>
      <c r="C13669" s="3" t="str">
        <f>HYPERLINK("https://otsuka-europe-crm.veevavault.com/ui/#object/sent_email__v/VBL00000001G391", "SE-001405661")</f>
        <v>SE-001405661</v>
      </c>
      <c r="D13669" s="1" t="s">
        <v>0</v>
      </c>
      <c r="E13669" s="2">
        <v>0</v>
      </c>
      <c r="F13669" s="2">
        <v>0</v>
      </c>
      <c r="G13669" s="2">
        <v>0</v>
      </c>
      <c r="H13669" s="1" t="s">
        <v>0</v>
      </c>
      <c r="I13669" s="2">
        <v>0</v>
      </c>
      <c r="J13669" s="1">
        <v>46076.572268518517</v>
      </c>
    </row>
    <row r="13670" spans="1:10" x14ac:dyDescent="0.2">
      <c r="A13670" s="4" t="s">
        <v>1</v>
      </c>
      <c r="B13670" s="3" t="str">
        <f>HYPERLINK("https://otsuka-europe-crm.veevavault.com/ui/#object/approved_document__v/V5O00000000Q012", "LUP - 10 cuestiones: Inmunosupresión - reuma")</f>
        <v>LUP - 10 cuestiones: Inmunosupresión - reuma</v>
      </c>
      <c r="C13670" s="3" t="str">
        <f>HYPERLINK("https://otsuka-europe-crm.veevavault.com/ui/#object/sent_email__v/VBL00000001G392", "SE-001405662")</f>
        <v>SE-001405662</v>
      </c>
      <c r="D13670" s="1" t="s">
        <v>0</v>
      </c>
      <c r="E13670" s="2">
        <v>0</v>
      </c>
      <c r="F13670" s="2">
        <v>0</v>
      </c>
      <c r="G13670" s="2">
        <v>0</v>
      </c>
      <c r="H13670" s="1" t="s">
        <v>0</v>
      </c>
      <c r="I13670" s="2">
        <v>0</v>
      </c>
      <c r="J13670" s="1">
        <v>46076.572430555556</v>
      </c>
    </row>
    <row r="13671" spans="1:10" x14ac:dyDescent="0.2">
      <c r="A13671" s="4" t="s">
        <v>1</v>
      </c>
      <c r="B13671" s="3" t="str">
        <f>HYPERLINK("https://otsuka-europe-crm.veevavault.com/ui/#object/approved_document__v/V5O00000000Q012", "LUP - 10 cuestiones: Inmunosupresión - reuma")</f>
        <v>LUP - 10 cuestiones: Inmunosupresión - reuma</v>
      </c>
      <c r="C13671" s="3" t="str">
        <f>HYPERLINK("https://otsuka-europe-crm.veevavault.com/ui/#object/sent_email__v/VBL00000001G393", "SE-001405663")</f>
        <v>SE-001405663</v>
      </c>
      <c r="D13671" s="1" t="s">
        <v>0</v>
      </c>
      <c r="E13671" s="2">
        <v>0</v>
      </c>
      <c r="F13671" s="2">
        <v>0</v>
      </c>
      <c r="G13671" s="2">
        <v>0</v>
      </c>
      <c r="H13671" s="1" t="s">
        <v>0</v>
      </c>
      <c r="I13671" s="2">
        <v>0</v>
      </c>
      <c r="J13671" s="1">
        <v>46076.572592592594</v>
      </c>
    </row>
    <row r="13672" spans="1:10" x14ac:dyDescent="0.2">
      <c r="A13672" s="4" t="s">
        <v>1</v>
      </c>
      <c r="B13672" s="3" t="str">
        <f>HYPERLINK("https://otsuka-europe-crm.veevavault.com/ui/#object/approved_document__v/V5O00000000Q012", "LUP - 10 cuestiones: Inmunosupresión - reuma")</f>
        <v>LUP - 10 cuestiones: Inmunosupresión - reuma</v>
      </c>
      <c r="C13672" s="3" t="str">
        <f>HYPERLINK("https://otsuka-europe-crm.veevavault.com/ui/#object/sent_email__v/VBL00000001G394", "SE-001405664")</f>
        <v>SE-001405664</v>
      </c>
      <c r="D13672" s="1">
        <v>46076.575578703705</v>
      </c>
      <c r="E13672" s="2">
        <v>1</v>
      </c>
      <c r="F13672" s="2">
        <v>1</v>
      </c>
      <c r="G13672" s="2">
        <v>0</v>
      </c>
      <c r="H13672" s="1" t="s">
        <v>0</v>
      </c>
      <c r="I13672" s="2">
        <v>0</v>
      </c>
      <c r="J13672" s="1">
        <v>46076.572766203702</v>
      </c>
    </row>
    <row r="13673" spans="1:10" x14ac:dyDescent="0.2">
      <c r="A13673" s="4" t="s">
        <v>1</v>
      </c>
      <c r="B13673" s="3" t="str">
        <f>HYPERLINK("https://otsuka-europe-crm.veevavault.com/ui/#object/approved_document__v/V5O00000000Q012", "LUP - 10 cuestiones: Inmunosupresión - reuma")</f>
        <v>LUP - 10 cuestiones: Inmunosupresión - reuma</v>
      </c>
      <c r="C13673" s="3" t="str">
        <f>HYPERLINK("https://otsuka-europe-crm.veevavault.com/ui/#object/sent_email__v/VBL00000001G395", "SE-001405665")</f>
        <v>SE-001405665</v>
      </c>
      <c r="D13673" s="1" t="s">
        <v>0</v>
      </c>
      <c r="E13673" s="2">
        <v>0</v>
      </c>
      <c r="F13673" s="2">
        <v>0</v>
      </c>
      <c r="G13673" s="2">
        <v>0</v>
      </c>
      <c r="H13673" s="1" t="s">
        <v>0</v>
      </c>
      <c r="I13673" s="2">
        <v>0</v>
      </c>
      <c r="J13673" s="1">
        <v>46076.572962962964</v>
      </c>
    </row>
    <row r="13674" spans="1:10" x14ac:dyDescent="0.2">
      <c r="A13674" s="4" t="s">
        <v>1</v>
      </c>
      <c r="B13674" s="3" t="str">
        <f>HYPERLINK("https://otsuka-europe-crm.veevavault.com/ui/#object/approved_document__v/V5O00000000Q012", "LUP - 10 cuestiones: Inmunosupresión - reuma")</f>
        <v>LUP - 10 cuestiones: Inmunosupresión - reuma</v>
      </c>
      <c r="C13674" s="3" t="str">
        <f>HYPERLINK("https://otsuka-europe-crm.veevavault.com/ui/#object/sent_email__v/VBL00000001G396", "SE-001405666")</f>
        <v>SE-001405666</v>
      </c>
      <c r="D13674" s="1">
        <v>46076.697256944448</v>
      </c>
      <c r="E13674" s="2">
        <v>1</v>
      </c>
      <c r="F13674" s="2">
        <v>1</v>
      </c>
      <c r="G13674" s="2">
        <v>0</v>
      </c>
      <c r="H13674" s="1" t="s">
        <v>0</v>
      </c>
      <c r="I13674" s="2">
        <v>0</v>
      </c>
      <c r="J13674" s="1">
        <v>46076.573125000003</v>
      </c>
    </row>
    <row r="13675" spans="1:10" x14ac:dyDescent="0.2">
      <c r="A13675" s="4" t="s">
        <v>1</v>
      </c>
      <c r="B13675" s="3" t="str">
        <f>HYPERLINK("https://otsuka-europe-crm.veevavault.com/ui/#object/approved_document__v/V5O00000000Q012", "LUP - 10 cuestiones: Inmunosupresión - reuma")</f>
        <v>LUP - 10 cuestiones: Inmunosupresión - reuma</v>
      </c>
      <c r="C13675" s="3" t="str">
        <f>HYPERLINK("https://otsuka-europe-crm.veevavault.com/ui/#object/sent_email__v/VBL00000001F224", "SE-001405844")</f>
        <v>SE-001405844</v>
      </c>
      <c r="D13675" s="1">
        <v>46076.693356481483</v>
      </c>
      <c r="E13675" s="2">
        <v>1</v>
      </c>
      <c r="F13675" s="2">
        <v>1</v>
      </c>
      <c r="G13675" s="2">
        <v>0</v>
      </c>
      <c r="H13675" s="1" t="s">
        <v>0</v>
      </c>
      <c r="I13675" s="2">
        <v>0</v>
      </c>
      <c r="J13675" s="1">
        <v>46076.67832175926</v>
      </c>
    </row>
    <row r="13676" spans="1:10" x14ac:dyDescent="0.2">
      <c r="A13676" s="4" t="s">
        <v>1</v>
      </c>
      <c r="B13676" s="3" t="str">
        <f>HYPERLINK("https://otsuka-europe-crm.veevavault.com/ui/#object/approved_document__v/V5O00000000Q012", "LUP - 10 cuestiones: Inmunosupresión - reuma")</f>
        <v>LUP - 10 cuestiones: Inmunosupresión - reuma</v>
      </c>
      <c r="C13676" s="3" t="str">
        <f>HYPERLINK("https://otsuka-europe-crm.veevavault.com/ui/#object/sent_email__v/VBL00000001F225", "SE-001405845")</f>
        <v>SE-001405845</v>
      </c>
      <c r="D13676" s="1" t="s">
        <v>0</v>
      </c>
      <c r="E13676" s="2">
        <v>0</v>
      </c>
      <c r="F13676" s="2">
        <v>0</v>
      </c>
      <c r="G13676" s="2">
        <v>0</v>
      </c>
      <c r="H13676" s="1" t="s">
        <v>0</v>
      </c>
      <c r="I13676" s="2">
        <v>0</v>
      </c>
      <c r="J13676" s="1">
        <v>46076.678495370368</v>
      </c>
    </row>
    <row r="13677" spans="1:10" x14ac:dyDescent="0.2">
      <c r="A13677" s="4" t="s">
        <v>1</v>
      </c>
      <c r="B13677" s="3" t="str">
        <f>HYPERLINK("https://otsuka-europe-crm.veevavault.com/ui/#object/approved_document__v/V5O00000000Q012", "LUP - 10 cuestiones: Inmunosupresión - reuma")</f>
        <v>LUP - 10 cuestiones: Inmunosupresión - reuma</v>
      </c>
      <c r="C13677" s="3" t="str">
        <f>HYPERLINK("https://otsuka-europe-crm.veevavault.com/ui/#object/sent_email__v/VBL00000001F226", "SE-001405846")</f>
        <v>SE-001405846</v>
      </c>
      <c r="D13677" s="1">
        <v>46076.750844907408</v>
      </c>
      <c r="E13677" s="2">
        <v>1</v>
      </c>
      <c r="F13677" s="2">
        <v>3</v>
      </c>
      <c r="G13677" s="2">
        <v>0</v>
      </c>
      <c r="H13677" s="1" t="s">
        <v>0</v>
      </c>
      <c r="I13677" s="2">
        <v>0</v>
      </c>
      <c r="J13677" s="1">
        <v>46076.678668981483</v>
      </c>
    </row>
    <row r="13678" spans="1:10" x14ac:dyDescent="0.2">
      <c r="A13678" s="4" t="s">
        <v>1</v>
      </c>
      <c r="B13678" s="3" t="str">
        <f>HYPERLINK("https://otsuka-europe-crm.veevavault.com/ui/#object/approved_document__v/V5O00000000Q012", "LUP - 10 cuestiones: Inmunosupresión - reuma")</f>
        <v>LUP - 10 cuestiones: Inmunosupresión - reuma</v>
      </c>
      <c r="C13678" s="3" t="str">
        <f>HYPERLINK("https://otsuka-europe-crm.veevavault.com/ui/#object/sent_email__v/VBL00000001F227", "SE-001405847")</f>
        <v>SE-001405847</v>
      </c>
      <c r="D13678" s="1" t="s">
        <v>0</v>
      </c>
      <c r="E13678" s="2">
        <v>0</v>
      </c>
      <c r="F13678" s="2">
        <v>0</v>
      </c>
      <c r="G13678" s="2">
        <v>0</v>
      </c>
      <c r="H13678" s="1" t="s">
        <v>0</v>
      </c>
      <c r="I13678" s="2">
        <v>0</v>
      </c>
      <c r="J13678" s="1">
        <v>46076.678831018522</v>
      </c>
    </row>
    <row r="13679" spans="1:10" x14ac:dyDescent="0.2">
      <c r="A13679" s="4" t="s">
        <v>1</v>
      </c>
      <c r="B13679" s="3" t="str">
        <f>HYPERLINK("https://otsuka-europe-crm.veevavault.com/ui/#object/approved_document__v/V5O00000000Q012", "LUP - 10 cuestiones: Inmunosupresión - reuma")</f>
        <v>LUP - 10 cuestiones: Inmunosupresión - reuma</v>
      </c>
      <c r="C13679" s="3" t="str">
        <f>HYPERLINK("https://otsuka-europe-crm.veevavault.com/ui/#object/sent_email__v/VBL00000001F228", "SE-001405848")</f>
        <v>SE-001405848</v>
      </c>
      <c r="D13679" s="1">
        <v>46076.75203703704</v>
      </c>
      <c r="E13679" s="2">
        <v>1</v>
      </c>
      <c r="F13679" s="2">
        <v>1</v>
      </c>
      <c r="G13679" s="2">
        <v>0</v>
      </c>
      <c r="H13679" s="1" t="s">
        <v>0</v>
      </c>
      <c r="I13679" s="2">
        <v>0</v>
      </c>
      <c r="J13679" s="1">
        <v>46076.678993055553</v>
      </c>
    </row>
    <row r="13680" spans="1:10" x14ac:dyDescent="0.2">
      <c r="A13680" s="4" t="s">
        <v>1</v>
      </c>
      <c r="B13680" s="3" t="str">
        <f>HYPERLINK("https://otsuka-europe-crm.veevavault.com/ui/#object/approved_document__v/V5O00000000Q012", "LUP - 10 cuestiones: Inmunosupresión - reuma")</f>
        <v>LUP - 10 cuestiones: Inmunosupresión - reuma</v>
      </c>
      <c r="C13680" s="3" t="str">
        <f>HYPERLINK("https://otsuka-europe-crm.veevavault.com/ui/#object/sent_email__v/VBL00000001F229", "SE-001405849")</f>
        <v>SE-001405849</v>
      </c>
      <c r="D13680" s="1">
        <v>46076.693657407406</v>
      </c>
      <c r="E13680" s="2">
        <v>1</v>
      </c>
      <c r="F13680" s="2">
        <v>1</v>
      </c>
      <c r="G13680" s="2">
        <v>1</v>
      </c>
      <c r="H13680" s="1">
        <v>46076.693657407406</v>
      </c>
      <c r="I13680" s="2">
        <v>1</v>
      </c>
      <c r="J13680" s="1">
        <v>46076.679155092592</v>
      </c>
    </row>
    <row r="13681" spans="1:10" x14ac:dyDescent="0.2">
      <c r="A13681" s="4" t="s">
        <v>1</v>
      </c>
      <c r="B13681" s="3" t="str">
        <f>HYPERLINK("https://otsuka-europe-crm.veevavault.com/ui/#object/approved_document__v/V5O00000000Q012", "LUP - 10 cuestiones: Inmunosupresión - reuma")</f>
        <v>LUP - 10 cuestiones: Inmunosupresión - reuma</v>
      </c>
      <c r="C13681" s="3" t="str">
        <f>HYPERLINK("https://otsuka-europe-crm.veevavault.com/ui/#object/sent_email__v/VBL00000001F230", "SE-001405850")</f>
        <v>SE-001405850</v>
      </c>
      <c r="D13681" s="1" t="s">
        <v>0</v>
      </c>
      <c r="E13681" s="2">
        <v>0</v>
      </c>
      <c r="F13681" s="2">
        <v>0</v>
      </c>
      <c r="G13681" s="2">
        <v>0</v>
      </c>
      <c r="H13681" s="1" t="s">
        <v>0</v>
      </c>
      <c r="I13681" s="2">
        <v>0</v>
      </c>
      <c r="J13681" s="1">
        <v>46076.679328703707</v>
      </c>
    </row>
    <row r="13682" spans="1:10" x14ac:dyDescent="0.2">
      <c r="A13682" s="4" t="s">
        <v>1</v>
      </c>
      <c r="B13682" s="3" t="str">
        <f>HYPERLINK("https://otsuka-europe-crm.veevavault.com/ui/#object/approved_document__v/V5O00000000Q012", "LUP - 10 cuestiones: Inmunosupresión - reuma")</f>
        <v>LUP - 10 cuestiones: Inmunosupresión - reuma</v>
      </c>
      <c r="C13682" s="3" t="str">
        <f>HYPERLINK("https://otsuka-europe-crm.veevavault.com/ui/#object/sent_email__v/VBL00000001F231", "SE-001405851")</f>
        <v>SE-001405851</v>
      </c>
      <c r="D13682" s="1" t="s">
        <v>0</v>
      </c>
      <c r="E13682" s="2">
        <v>0</v>
      </c>
      <c r="F13682" s="2">
        <v>0</v>
      </c>
      <c r="G13682" s="2">
        <v>0</v>
      </c>
      <c r="H13682" s="1" t="s">
        <v>0</v>
      </c>
      <c r="I13682" s="2">
        <v>0</v>
      </c>
      <c r="J13682" s="1">
        <v>46076.679479166669</v>
      </c>
    </row>
    <row r="13683" spans="1:10" x14ac:dyDescent="0.2">
      <c r="A13683" s="4" t="s">
        <v>1</v>
      </c>
      <c r="B13683" s="3" t="str">
        <f>HYPERLINK("https://otsuka-europe-crm.veevavault.com/ui/#object/approved_document__v/V5O00000000Q012", "LUP - 10 cuestiones: Inmunosupresión - reuma")</f>
        <v>LUP - 10 cuestiones: Inmunosupresión - reuma</v>
      </c>
      <c r="C13683" s="3" t="str">
        <f>HYPERLINK("https://otsuka-europe-crm.veevavault.com/ui/#object/sent_email__v/VBL00000001F232", "SE-001405852")</f>
        <v>SE-001405852</v>
      </c>
      <c r="D13683" s="1" t="s">
        <v>0</v>
      </c>
      <c r="E13683" s="2">
        <v>0</v>
      </c>
      <c r="F13683" s="2">
        <v>0</v>
      </c>
      <c r="G13683" s="2">
        <v>0</v>
      </c>
      <c r="H13683" s="1" t="s">
        <v>0</v>
      </c>
      <c r="I13683" s="2">
        <v>0</v>
      </c>
      <c r="J13683" s="1">
        <v>46076.679652777777</v>
      </c>
    </row>
    <row r="13684" spans="1:10" x14ac:dyDescent="0.2">
      <c r="A13684" s="4" t="s">
        <v>1</v>
      </c>
      <c r="B13684" s="3" t="str">
        <f>HYPERLINK("https://otsuka-europe-crm.veevavault.com/ui/#object/approved_document__v/V5O00000000Q012", "LUP - 10 cuestiones: Inmunosupresión - reuma")</f>
        <v>LUP - 10 cuestiones: Inmunosupresión - reuma</v>
      </c>
      <c r="C13684" s="3" t="str">
        <f>HYPERLINK("https://otsuka-europe-crm.veevavault.com/ui/#object/sent_email__v/VBL00000001F233", "SE-001405853")</f>
        <v>SE-001405853</v>
      </c>
      <c r="D13684" s="1" t="s">
        <v>0</v>
      </c>
      <c r="E13684" s="2">
        <v>0</v>
      </c>
      <c r="F13684" s="2">
        <v>0</v>
      </c>
      <c r="G13684" s="2">
        <v>0</v>
      </c>
      <c r="H13684" s="1" t="s">
        <v>0</v>
      </c>
      <c r="I13684" s="2">
        <v>0</v>
      </c>
      <c r="J13684" s="1">
        <v>46076.679814814815</v>
      </c>
    </row>
    <row r="13685" spans="1:10" x14ac:dyDescent="0.2">
      <c r="A13685" s="4" t="s">
        <v>1</v>
      </c>
      <c r="B13685" s="3" t="str">
        <f>HYPERLINK("https://otsuka-europe-crm.veevavault.com/ui/#object/approved_document__v/V5O00000000Q012", "LUP - 10 cuestiones: Inmunosupresión - reuma")</f>
        <v>LUP - 10 cuestiones: Inmunosupresión - reuma</v>
      </c>
      <c r="C13685" s="3" t="str">
        <f>HYPERLINK("https://otsuka-europe-crm.veevavault.com/ui/#object/sent_email__v/VBL00000001F234", "SE-001405854")</f>
        <v>SE-001405854</v>
      </c>
      <c r="D13685" s="1">
        <v>46076.681608796294</v>
      </c>
      <c r="E13685" s="2">
        <v>1</v>
      </c>
      <c r="F13685" s="2">
        <v>2</v>
      </c>
      <c r="G13685" s="2">
        <v>0</v>
      </c>
      <c r="H13685" s="1" t="s">
        <v>0</v>
      </c>
      <c r="I13685" s="2">
        <v>0</v>
      </c>
      <c r="J13685" s="1">
        <v>46076.679976851854</v>
      </c>
    </row>
    <row r="13686" spans="1:10" x14ac:dyDescent="0.2">
      <c r="A13686" s="4" t="s">
        <v>1</v>
      </c>
      <c r="B13686" s="3" t="str">
        <f>HYPERLINK("https://otsuka-europe-crm.veevavault.com/ui/#object/approved_document__v/V5O00000000Q012", "LUP - 10 cuestiones: Inmunosupresión - reuma")</f>
        <v>LUP - 10 cuestiones: Inmunosupresión - reuma</v>
      </c>
      <c r="C13686" s="3" t="str">
        <f>HYPERLINK("https://otsuka-europe-crm.veevavault.com/ui/#object/sent_email__v/VBL00000001F235", "SE-001405855")</f>
        <v>SE-001405855</v>
      </c>
      <c r="D13686" s="1">
        <v>46076.688425925924</v>
      </c>
      <c r="E13686" s="2">
        <v>1</v>
      </c>
      <c r="F13686" s="2">
        <v>2</v>
      </c>
      <c r="G13686" s="2">
        <v>0</v>
      </c>
      <c r="H13686" s="1" t="s">
        <v>0</v>
      </c>
      <c r="I13686" s="2">
        <v>0</v>
      </c>
      <c r="J13686" s="1">
        <v>46076.680185185185</v>
      </c>
    </row>
    <row r="13687" spans="1:10" x14ac:dyDescent="0.2">
      <c r="A13687" s="4" t="s">
        <v>1</v>
      </c>
      <c r="B13687" s="3" t="str">
        <f>HYPERLINK("https://otsuka-europe-crm.veevavault.com/ui/#object/approved_document__v/V5O00000000Q012", "LUP - 10 cuestiones: Inmunosupresión - reuma")</f>
        <v>LUP - 10 cuestiones: Inmunosupresión - reuma</v>
      </c>
      <c r="C13687" s="3" t="str">
        <f>HYPERLINK("https://otsuka-europe-crm.veevavault.com/ui/#object/sent_email__v/VBL00000001F236", "SE-001405856")</f>
        <v>SE-001405856</v>
      </c>
      <c r="D13687" s="1">
        <v>46076.717569444445</v>
      </c>
      <c r="E13687" s="2">
        <v>1</v>
      </c>
      <c r="F13687" s="2">
        <v>1</v>
      </c>
      <c r="G13687" s="2">
        <v>0</v>
      </c>
      <c r="H13687" s="1" t="s">
        <v>0</v>
      </c>
      <c r="I13687" s="2">
        <v>0</v>
      </c>
      <c r="J13687" s="1">
        <v>46076.680439814816</v>
      </c>
    </row>
    <row r="13688" spans="1:10" x14ac:dyDescent="0.2">
      <c r="A13688" s="4" t="s">
        <v>1</v>
      </c>
      <c r="B13688" s="3" t="str">
        <f>HYPERLINK("https://otsuka-europe-crm.veevavault.com/ui/#object/approved_document__v/V5O00000000Q012", "LUP - 10 cuestiones: Inmunosupresión - reuma")</f>
        <v>LUP - 10 cuestiones: Inmunosupresión - reuma</v>
      </c>
      <c r="C13688" s="3" t="str">
        <f>HYPERLINK("https://otsuka-europe-crm.veevavault.com/ui/#object/sent_email__v/VBL00000001F237", "SE-001405857")</f>
        <v>SE-001405857</v>
      </c>
      <c r="D13688" s="1" t="s">
        <v>0</v>
      </c>
      <c r="E13688" s="2">
        <v>0</v>
      </c>
      <c r="F13688" s="2">
        <v>0</v>
      </c>
      <c r="G13688" s="2">
        <v>0</v>
      </c>
      <c r="H13688" s="1" t="s">
        <v>0</v>
      </c>
      <c r="I13688" s="2">
        <v>0</v>
      </c>
      <c r="J13688" s="1">
        <v>46076.680636574078</v>
      </c>
    </row>
    <row r="13689" spans="1:10" x14ac:dyDescent="0.2">
      <c r="A13689" s="4" t="s">
        <v>1</v>
      </c>
      <c r="B13689" s="3" t="str">
        <f>HYPERLINK("https://otsuka-europe-crm.veevavault.com/ui/#object/approved_document__v/V5O00000000Q012", "LUP - 10 cuestiones: Inmunosupresión - reuma")</f>
        <v>LUP - 10 cuestiones: Inmunosupresión - reuma</v>
      </c>
      <c r="C13689" s="3" t="str">
        <f>HYPERLINK("https://otsuka-europe-crm.veevavault.com/ui/#object/sent_email__v/VBL00000001F238", "SE-001405858")</f>
        <v>SE-001405858</v>
      </c>
      <c r="D13689" s="1" t="s">
        <v>0</v>
      </c>
      <c r="E13689" s="2">
        <v>0</v>
      </c>
      <c r="F13689" s="2">
        <v>0</v>
      </c>
      <c r="G13689" s="2">
        <v>0</v>
      </c>
      <c r="H13689" s="1" t="s">
        <v>0</v>
      </c>
      <c r="I13689" s="2">
        <v>0</v>
      </c>
      <c r="J13689" s="1">
        <v>46076.680810185186</v>
      </c>
    </row>
    <row r="13690" spans="1:10" x14ac:dyDescent="0.2">
      <c r="A13690" s="4" t="s">
        <v>1</v>
      </c>
      <c r="B13690" s="3" t="str">
        <f>HYPERLINK("https://otsuka-europe-crm.veevavault.com/ui/#object/approved_document__v/V5O00000000Q012", "LUP - 10 cuestiones: Inmunosupresión - reuma")</f>
        <v>LUP - 10 cuestiones: Inmunosupresión - reuma</v>
      </c>
      <c r="C13690" s="3" t="str">
        <f>HYPERLINK("https://otsuka-europe-crm.veevavault.com/ui/#object/sent_email__v/VBL00000001F239", "SE-001405859")</f>
        <v>SE-001405859</v>
      </c>
      <c r="D13690" s="1" t="s">
        <v>0</v>
      </c>
      <c r="E13690" s="2">
        <v>0</v>
      </c>
      <c r="F13690" s="2">
        <v>0</v>
      </c>
      <c r="G13690" s="2">
        <v>0</v>
      </c>
      <c r="H13690" s="1" t="s">
        <v>0</v>
      </c>
      <c r="I13690" s="2">
        <v>0</v>
      </c>
      <c r="J13690" s="1">
        <v>46076.680960648147</v>
      </c>
    </row>
    <row r="13691" spans="1:10" x14ac:dyDescent="0.2">
      <c r="A13691" s="4" t="s">
        <v>1</v>
      </c>
      <c r="B13691" s="3" t="str">
        <f>HYPERLINK("https://otsuka-europe-crm.veevavault.com/ui/#object/approved_document__v/V5O00000000Q012", "LUP - 10 cuestiones: Inmunosupresión - reuma")</f>
        <v>LUP - 10 cuestiones: Inmunosupresión - reuma</v>
      </c>
      <c r="C13691" s="3" t="str">
        <f>HYPERLINK("https://otsuka-europe-crm.veevavault.com/ui/#object/sent_email__v/VBL00000001F240", "SE-001405860")</f>
        <v>SE-001405860</v>
      </c>
      <c r="D13691" s="1">
        <v>46076.962118055555</v>
      </c>
      <c r="E13691" s="2">
        <v>1</v>
      </c>
      <c r="F13691" s="2">
        <v>2</v>
      </c>
      <c r="G13691" s="2">
        <v>0</v>
      </c>
      <c r="H13691" s="1" t="s">
        <v>0</v>
      </c>
      <c r="I13691" s="2">
        <v>0</v>
      </c>
      <c r="J13691" s="1">
        <v>46076.681134259263</v>
      </c>
    </row>
    <row r="13692" spans="1:10" x14ac:dyDescent="0.2">
      <c r="A13692" s="4" t="s">
        <v>1</v>
      </c>
      <c r="B13692" s="3" t="str">
        <f>HYPERLINK("https://otsuka-europe-crm.veevavault.com/ui/#object/approved_document__v/V5O00000000Q012", "LUP - 10 cuestiones: Inmunosupresión - reuma")</f>
        <v>LUP - 10 cuestiones: Inmunosupresión - reuma</v>
      </c>
      <c r="C13692" s="3" t="str">
        <f>HYPERLINK("https://otsuka-europe-crm.veevavault.com/ui/#object/sent_email__v/VBL00000001F241", "SE-001405861")</f>
        <v>SE-001405861</v>
      </c>
      <c r="D13692" s="1">
        <v>46076.681481481479</v>
      </c>
      <c r="E13692" s="2">
        <v>1</v>
      </c>
      <c r="F13692" s="2">
        <v>2</v>
      </c>
      <c r="G13692" s="2">
        <v>1</v>
      </c>
      <c r="H13692" s="1">
        <v>46076.681469907409</v>
      </c>
      <c r="I13692" s="2">
        <v>8</v>
      </c>
      <c r="J13692" s="1">
        <v>46076.681296296294</v>
      </c>
    </row>
    <row r="13693" spans="1:10" x14ac:dyDescent="0.2">
      <c r="A13693" s="4" t="s">
        <v>1</v>
      </c>
      <c r="B13693" s="3" t="str">
        <f>HYPERLINK("https://otsuka-europe-crm.veevavault.com/ui/#object/approved_document__v/V5O00000000Q012", "LUP - 10 cuestiones: Inmunosupresión - reuma")</f>
        <v>LUP - 10 cuestiones: Inmunosupresión - reuma</v>
      </c>
      <c r="C13693" s="3" t="str">
        <f>HYPERLINK("https://otsuka-europe-crm.veevavault.com/ui/#object/sent_email__v/VBL00000001F242", "SE-001405862")</f>
        <v>SE-001405862</v>
      </c>
      <c r="D13693" s="1" t="s">
        <v>0</v>
      </c>
      <c r="E13693" s="2">
        <v>0</v>
      </c>
      <c r="F13693" s="2">
        <v>0</v>
      </c>
      <c r="G13693" s="2">
        <v>0</v>
      </c>
      <c r="H13693" s="1" t="s">
        <v>0</v>
      </c>
      <c r="I13693" s="2">
        <v>0</v>
      </c>
      <c r="J13693" s="1">
        <v>46076.681458333333</v>
      </c>
    </row>
    <row r="13694" spans="1:10" x14ac:dyDescent="0.2">
      <c r="A13694" s="4" t="s">
        <v>1</v>
      </c>
      <c r="B13694" s="3" t="str">
        <f>HYPERLINK("https://otsuka-europe-crm.veevavault.com/ui/#object/approved_document__v/V5O00000000Q012", "LUP - 10 cuestiones: Inmunosupresión - reuma")</f>
        <v>LUP - 10 cuestiones: Inmunosupresión - reuma</v>
      </c>
      <c r="C13694" s="3" t="str">
        <f>HYPERLINK("https://otsuka-europe-crm.veevavault.com/ui/#object/sent_email__v/VBL00000001F243", "SE-001405863")</f>
        <v>SE-001405863</v>
      </c>
      <c r="D13694" s="1" t="s">
        <v>0</v>
      </c>
      <c r="E13694" s="2">
        <v>0</v>
      </c>
      <c r="F13694" s="2">
        <v>0</v>
      </c>
      <c r="G13694" s="2">
        <v>0</v>
      </c>
      <c r="H13694" s="1" t="s">
        <v>0</v>
      </c>
      <c r="I13694" s="2">
        <v>0</v>
      </c>
      <c r="J13694" s="1">
        <v>46076.681631944448</v>
      </c>
    </row>
    <row r="13695" spans="1:10" x14ac:dyDescent="0.2">
      <c r="A13695" s="4" t="s">
        <v>1</v>
      </c>
      <c r="B13695" s="3" t="str">
        <f>HYPERLINK("https://otsuka-europe-crm.veevavault.com/ui/#object/approved_document__v/V5O00000000Q012", "LUP - 10 cuestiones: Inmunosupresión - reuma")</f>
        <v>LUP - 10 cuestiones: Inmunosupresión - reuma</v>
      </c>
      <c r="C13695" s="3" t="str">
        <f>HYPERLINK("https://otsuka-europe-crm.veevavault.com/ui/#object/sent_email__v/VBL00000001F244", "SE-001405864")</f>
        <v>SE-001405864</v>
      </c>
      <c r="D13695" s="1" t="s">
        <v>0</v>
      </c>
      <c r="E13695" s="2">
        <v>0</v>
      </c>
      <c r="F13695" s="2">
        <v>0</v>
      </c>
      <c r="G13695" s="2">
        <v>0</v>
      </c>
      <c r="H13695" s="1" t="s">
        <v>0</v>
      </c>
      <c r="I13695" s="2">
        <v>0</v>
      </c>
      <c r="J13695" s="1">
        <v>46076.681793981479</v>
      </c>
    </row>
    <row r="13696" spans="1:10" x14ac:dyDescent="0.2">
      <c r="A13696" s="4" t="s">
        <v>1</v>
      </c>
      <c r="B13696" s="3" t="str">
        <f>HYPERLINK("https://otsuka-europe-crm.veevavault.com/ui/#object/approved_document__v/V5O00000000Q012", "LUP - 10 cuestiones: Inmunosupresión - reuma")</f>
        <v>LUP - 10 cuestiones: Inmunosupresión - reuma</v>
      </c>
      <c r="C13696" s="3" t="str">
        <f>HYPERLINK("https://otsuka-europe-crm.veevavault.com/ui/#object/sent_email__v/VBL00000001F245", "SE-001405865")</f>
        <v>SE-001405865</v>
      </c>
      <c r="D13696" s="1" t="s">
        <v>0</v>
      </c>
      <c r="E13696" s="2">
        <v>0</v>
      </c>
      <c r="F13696" s="2">
        <v>0</v>
      </c>
      <c r="G13696" s="2">
        <v>0</v>
      </c>
      <c r="H13696" s="1" t="s">
        <v>0</v>
      </c>
      <c r="I13696" s="2">
        <v>0</v>
      </c>
      <c r="J13696" s="1">
        <v>46076.681956018518</v>
      </c>
    </row>
    <row r="13697" spans="1:10" x14ac:dyDescent="0.2">
      <c r="A13697" s="4" t="s">
        <v>1</v>
      </c>
      <c r="B13697" s="3" t="str">
        <f>HYPERLINK("https://otsuka-europe-crm.veevavault.com/ui/#object/approved_document__v/V5O00000000Q012", "LUP - 10 cuestiones: Inmunosupresión - reuma")</f>
        <v>LUP - 10 cuestiones: Inmunosupresión - reuma</v>
      </c>
      <c r="C13697" s="3" t="str">
        <f>HYPERLINK("https://otsuka-europe-crm.veevavault.com/ui/#object/sent_email__v/VBL00000001F246", "SE-001405866")</f>
        <v>SE-001405866</v>
      </c>
      <c r="D13697" s="1" t="s">
        <v>0</v>
      </c>
      <c r="E13697" s="2">
        <v>0</v>
      </c>
      <c r="F13697" s="2">
        <v>0</v>
      </c>
      <c r="G13697" s="2">
        <v>0</v>
      </c>
      <c r="H13697" s="1" t="s">
        <v>0</v>
      </c>
      <c r="I13697" s="2">
        <v>0</v>
      </c>
      <c r="J13697" s="1">
        <v>46076.682118055556</v>
      </c>
    </row>
    <row r="13698" spans="1:10" x14ac:dyDescent="0.2">
      <c r="A13698" s="4" t="s">
        <v>1</v>
      </c>
      <c r="B13698" s="3" t="str">
        <f>HYPERLINK("https://otsuka-europe-crm.veevavault.com/ui/#object/approved_document__v/V5O00000000Q012", "LUP - 10 cuestiones: Inmunosupresión - reuma")</f>
        <v>LUP - 10 cuestiones: Inmunosupresión - reuma</v>
      </c>
      <c r="C13698" s="3" t="str">
        <f>HYPERLINK("https://otsuka-europe-crm.veevavault.com/ui/#object/sent_email__v/VBL00000001F247", "SE-001405867")</f>
        <v>SE-001405867</v>
      </c>
      <c r="D13698" s="1">
        <v>46077.193622685183</v>
      </c>
      <c r="E13698" s="2">
        <v>1</v>
      </c>
      <c r="F13698" s="2">
        <v>2</v>
      </c>
      <c r="G13698" s="2">
        <v>0</v>
      </c>
      <c r="H13698" s="1" t="s">
        <v>0</v>
      </c>
      <c r="I13698" s="2">
        <v>0</v>
      </c>
      <c r="J13698" s="1">
        <v>46076.682291666664</v>
      </c>
    </row>
    <row r="13699" spans="1:10" x14ac:dyDescent="0.2">
      <c r="A13699" s="4" t="s">
        <v>1</v>
      </c>
      <c r="B13699" s="3" t="str">
        <f>HYPERLINK("https://otsuka-europe-crm.veevavault.com/ui/#object/approved_document__v/V5O00000000Q012", "LUP - 10 cuestiones: Inmunosupresión - reuma")</f>
        <v>LUP - 10 cuestiones: Inmunosupresión - reuma</v>
      </c>
      <c r="C13699" s="3" t="str">
        <f>HYPERLINK("https://otsuka-europe-crm.veevavault.com/ui/#object/sent_email__v/VBL00000001F248", "SE-001405868")</f>
        <v>SE-001405868</v>
      </c>
      <c r="D13699" s="1">
        <v>46076.682800925926</v>
      </c>
      <c r="E13699" s="2">
        <v>1</v>
      </c>
      <c r="F13699" s="2">
        <v>2</v>
      </c>
      <c r="G13699" s="2">
        <v>1</v>
      </c>
      <c r="H13699" s="1">
        <v>46076.682789351849</v>
      </c>
      <c r="I13699" s="2">
        <v>9</v>
      </c>
      <c r="J13699" s="1">
        <v>46076.682534722226</v>
      </c>
    </row>
    <row r="13700" spans="1:10" x14ac:dyDescent="0.2">
      <c r="A13700" s="4" t="s">
        <v>1</v>
      </c>
      <c r="B13700" s="3" t="str">
        <f>HYPERLINK("https://otsuka-europe-crm.veevavault.com/ui/#object/approved_document__v/V5O00000000Q012", "LUP - 10 cuestiones: Inmunosupresión - reuma")</f>
        <v>LUP - 10 cuestiones: Inmunosupresión - reuma</v>
      </c>
      <c r="C13700" s="3" t="str">
        <f>HYPERLINK("https://otsuka-europe-crm.veevavault.com/ui/#object/sent_email__v/VBL00000001F249", "SE-001405869")</f>
        <v>SE-001405869</v>
      </c>
      <c r="D13700" s="1">
        <v>46077.275625000002</v>
      </c>
      <c r="E13700" s="2">
        <v>1</v>
      </c>
      <c r="F13700" s="2">
        <v>4</v>
      </c>
      <c r="G13700" s="2">
        <v>1</v>
      </c>
      <c r="H13700" s="1">
        <v>46076.682974537034</v>
      </c>
      <c r="I13700" s="2">
        <v>8</v>
      </c>
      <c r="J13700" s="1">
        <v>46076.682789351849</v>
      </c>
    </row>
    <row r="13701" spans="1:10" x14ac:dyDescent="0.2">
      <c r="A13701" s="4" t="s">
        <v>1</v>
      </c>
      <c r="B13701" s="3" t="str">
        <f>HYPERLINK("https://otsuka-europe-crm.veevavault.com/ui/#object/approved_document__v/V5O00000000Q012", "LUP - 10 cuestiones: Inmunosupresión - reuma")</f>
        <v>LUP - 10 cuestiones: Inmunosupresión - reuma</v>
      </c>
      <c r="C13701" s="3" t="str">
        <f>HYPERLINK("https://otsuka-europe-crm.veevavault.com/ui/#object/sent_email__v/VBL00000001F250", "SE-001405870")</f>
        <v>SE-001405870</v>
      </c>
      <c r="D13701" s="1" t="s">
        <v>0</v>
      </c>
      <c r="E13701" s="2">
        <v>0</v>
      </c>
      <c r="F13701" s="2">
        <v>0</v>
      </c>
      <c r="G13701" s="2">
        <v>0</v>
      </c>
      <c r="H13701" s="1" t="s">
        <v>0</v>
      </c>
      <c r="I13701" s="2">
        <v>0</v>
      </c>
      <c r="J13701" s="1">
        <v>46076.68304398148</v>
      </c>
    </row>
    <row r="13702" spans="1:10" x14ac:dyDescent="0.2">
      <c r="A13702" s="4" t="s">
        <v>1</v>
      </c>
      <c r="B13702" s="3" t="str">
        <f>HYPERLINK("https://otsuka-europe-crm.veevavault.com/ui/#object/approved_document__v/V5O00000000Q012", "LUP - 10 cuestiones: Inmunosupresión - reuma")</f>
        <v>LUP - 10 cuestiones: Inmunosupresión - reuma</v>
      </c>
      <c r="C13702" s="3" t="str">
        <f>HYPERLINK("https://otsuka-europe-crm.veevavault.com/ui/#object/sent_email__v/VBL00000001F251", "SE-001405871")</f>
        <v>SE-001405871</v>
      </c>
      <c r="D13702" s="1">
        <v>46078.300243055557</v>
      </c>
      <c r="E13702" s="2">
        <v>1</v>
      </c>
      <c r="F13702" s="2">
        <v>1</v>
      </c>
      <c r="G13702" s="2">
        <v>1</v>
      </c>
      <c r="H13702" s="1">
        <v>46078.300486111111</v>
      </c>
      <c r="I13702" s="2">
        <v>1</v>
      </c>
      <c r="J13702" s="1">
        <v>46076.683287037034</v>
      </c>
    </row>
    <row r="13703" spans="1:10" x14ac:dyDescent="0.2">
      <c r="A13703" s="4" t="s">
        <v>1</v>
      </c>
      <c r="B13703" s="3" t="str">
        <f>HYPERLINK("https://otsuka-europe-crm.veevavault.com/ui/#object/approved_document__v/V5O00000000Q012", "LUP - 10 cuestiones: Inmunosupresión - reuma")</f>
        <v>LUP - 10 cuestiones: Inmunosupresión - reuma</v>
      </c>
      <c r="C13703" s="3" t="str">
        <f>HYPERLINK("https://otsuka-europe-crm.veevavault.com/ui/#object/sent_email__v/VBL00000001F252", "SE-001405872")</f>
        <v>SE-001405872</v>
      </c>
      <c r="D13703" s="1" t="s">
        <v>0</v>
      </c>
      <c r="E13703" s="2">
        <v>0</v>
      </c>
      <c r="F13703" s="2">
        <v>0</v>
      </c>
      <c r="G13703" s="2">
        <v>0</v>
      </c>
      <c r="H13703" s="1" t="s">
        <v>0</v>
      </c>
      <c r="I13703" s="2">
        <v>0</v>
      </c>
      <c r="J13703" s="1">
        <v>46076.683530092596</v>
      </c>
    </row>
    <row r="13704" spans="1:10" x14ac:dyDescent="0.2">
      <c r="A13704" s="4" t="s">
        <v>1</v>
      </c>
      <c r="B13704" s="3" t="str">
        <f>HYPERLINK("https://otsuka-europe-crm.veevavault.com/ui/#object/approved_document__v/V5O00000000Q012", "LUP - 10 cuestiones: Inmunosupresión - reuma")</f>
        <v>LUP - 10 cuestiones: Inmunosupresión - reuma</v>
      </c>
      <c r="C13704" s="3" t="str">
        <f>HYPERLINK("https://otsuka-europe-crm.veevavault.com/ui/#object/sent_email__v/VBL00000001F253", "SE-001405873")</f>
        <v>SE-001405873</v>
      </c>
      <c r="D13704" s="1" t="s">
        <v>0</v>
      </c>
      <c r="E13704" s="2">
        <v>0</v>
      </c>
      <c r="F13704" s="2">
        <v>0</v>
      </c>
      <c r="G13704" s="2">
        <v>0</v>
      </c>
      <c r="H13704" s="1" t="s">
        <v>0</v>
      </c>
      <c r="I13704" s="2">
        <v>0</v>
      </c>
      <c r="J13704" s="1">
        <v>46076.68377314815</v>
      </c>
    </row>
    <row r="13705" spans="1:10" x14ac:dyDescent="0.2">
      <c r="A13705" s="4" t="s">
        <v>1</v>
      </c>
      <c r="B13705" s="3" t="str">
        <f>HYPERLINK("https://otsuka-europe-crm.veevavault.com/ui/#object/approved_document__v/V5O00000000Q012", "LUP - 10 cuestiones: Inmunosupresión - reuma")</f>
        <v>LUP - 10 cuestiones: Inmunosupresión - reuma</v>
      </c>
      <c r="C13705" s="3" t="str">
        <f>HYPERLINK("https://otsuka-europe-crm.veevavault.com/ui/#object/sent_email__v/VBL00000001F254", "SE-001405874")</f>
        <v>SE-001405874</v>
      </c>
      <c r="D13705" s="1">
        <v>46076.704652777778</v>
      </c>
      <c r="E13705" s="2">
        <v>1</v>
      </c>
      <c r="F13705" s="2">
        <v>1</v>
      </c>
      <c r="G13705" s="2">
        <v>1</v>
      </c>
      <c r="H13705" s="1">
        <v>46076.704652777778</v>
      </c>
      <c r="I13705" s="2">
        <v>1</v>
      </c>
      <c r="J13705" s="1">
        <v>46076.684016203704</v>
      </c>
    </row>
    <row r="13706" spans="1:10" x14ac:dyDescent="0.2">
      <c r="A13706" s="4" t="s">
        <v>1</v>
      </c>
      <c r="B13706" s="3" t="str">
        <f>HYPERLINK("https://otsuka-europe-crm.veevavault.com/ui/#object/approved_document__v/V5O00000000Q012", "LUP - 10 cuestiones: Inmunosupresión - reuma")</f>
        <v>LUP - 10 cuestiones: Inmunosupresión - reuma</v>
      </c>
      <c r="C13706" s="3" t="str">
        <f>HYPERLINK("https://otsuka-europe-crm.veevavault.com/ui/#object/sent_email__v/VBL00000001F255", "SE-001405875")</f>
        <v>SE-001405875</v>
      </c>
      <c r="D13706" s="1" t="s">
        <v>0</v>
      </c>
      <c r="E13706" s="2">
        <v>0</v>
      </c>
      <c r="F13706" s="2">
        <v>0</v>
      </c>
      <c r="G13706" s="2">
        <v>0</v>
      </c>
      <c r="H13706" s="1" t="s">
        <v>0</v>
      </c>
      <c r="I13706" s="2">
        <v>0</v>
      </c>
      <c r="J13706" s="1">
        <v>46076.684189814812</v>
      </c>
    </row>
    <row r="13707" spans="1:10" x14ac:dyDescent="0.2">
      <c r="A13707" s="4" t="s">
        <v>1</v>
      </c>
      <c r="B13707" s="3" t="str">
        <f>HYPERLINK("https://otsuka-europe-crm.veevavault.com/ui/#object/approved_document__v/V5O00000000Q012", "LUP - 10 cuestiones: Inmunosupresión - reuma")</f>
        <v>LUP - 10 cuestiones: Inmunosupresión - reuma</v>
      </c>
      <c r="C13707" s="3" t="str">
        <f>HYPERLINK("https://otsuka-europe-crm.veevavault.com/ui/#object/sent_email__v/VBL00000001F256", "SE-001405876")</f>
        <v>SE-001405876</v>
      </c>
      <c r="D13707" s="1">
        <v>46076.705671296295</v>
      </c>
      <c r="E13707" s="2">
        <v>1</v>
      </c>
      <c r="F13707" s="2">
        <v>1</v>
      </c>
      <c r="G13707" s="2">
        <v>0</v>
      </c>
      <c r="H13707" s="1" t="s">
        <v>0</v>
      </c>
      <c r="I13707" s="2">
        <v>0</v>
      </c>
      <c r="J13707" s="1">
        <v>46076.684363425928</v>
      </c>
    </row>
    <row r="13708" spans="1:10" x14ac:dyDescent="0.2">
      <c r="A13708" s="4" t="s">
        <v>1</v>
      </c>
      <c r="B13708" s="3" t="str">
        <f>HYPERLINK("https://otsuka-europe-crm.veevavault.com/ui/#object/approved_document__v/V5O00000000Q012", "LUP - 10 cuestiones: Inmunosupresión - reuma")</f>
        <v>LUP - 10 cuestiones: Inmunosupresión - reuma</v>
      </c>
      <c r="C13708" s="3" t="str">
        <f>HYPERLINK("https://otsuka-europe-crm.veevavault.com/ui/#object/sent_email__v/VBL00000001F257", "SE-001405877")</f>
        <v>SE-001405877</v>
      </c>
      <c r="D13708" s="1">
        <v>46078.289027777777</v>
      </c>
      <c r="E13708" s="2">
        <v>1</v>
      </c>
      <c r="F13708" s="2">
        <v>1</v>
      </c>
      <c r="G13708" s="2">
        <v>0</v>
      </c>
      <c r="H13708" s="1" t="s">
        <v>0</v>
      </c>
      <c r="I13708" s="2">
        <v>0</v>
      </c>
      <c r="J13708" s="1">
        <v>46076.684525462966</v>
      </c>
    </row>
    <row r="13709" spans="1:10" x14ac:dyDescent="0.2">
      <c r="A13709" s="4" t="s">
        <v>1</v>
      </c>
      <c r="B13709" s="3" t="str">
        <f>HYPERLINK("https://otsuka-europe-crm.veevavault.com/ui/#object/approved_document__v/V5O00000000Q012", "LUP - 10 cuestiones: Inmunosupresión - reuma")</f>
        <v>LUP - 10 cuestiones: Inmunosupresión - reuma</v>
      </c>
      <c r="C13709" s="3" t="str">
        <f>HYPERLINK("https://otsuka-europe-crm.veevavault.com/ui/#object/sent_email__v/VBL00000001F258", "SE-001405878")</f>
        <v>SE-001405878</v>
      </c>
      <c r="D13709" s="1" t="s">
        <v>0</v>
      </c>
      <c r="E13709" s="2">
        <v>0</v>
      </c>
      <c r="F13709" s="2">
        <v>0</v>
      </c>
      <c r="G13709" s="2">
        <v>0</v>
      </c>
      <c r="H13709" s="1" t="s">
        <v>0</v>
      </c>
      <c r="I13709" s="2">
        <v>0</v>
      </c>
      <c r="J13709" s="1">
        <v>46076.684687499997</v>
      </c>
    </row>
    <row r="13710" spans="1:10" x14ac:dyDescent="0.2">
      <c r="A13710" s="4" t="s">
        <v>1</v>
      </c>
      <c r="B13710" s="3" t="str">
        <f>HYPERLINK("https://otsuka-europe-crm.veevavault.com/ui/#object/approved_document__v/V5O00000000Q012", "LUP - 10 cuestiones: Inmunosupresión - reuma")</f>
        <v>LUP - 10 cuestiones: Inmunosupresión - reuma</v>
      </c>
      <c r="C13710" s="3" t="str">
        <f>HYPERLINK("https://otsuka-europe-crm.veevavault.com/ui/#object/sent_email__v/VBL00000001F259", "SE-001405879")</f>
        <v>SE-001405879</v>
      </c>
      <c r="D13710" s="1" t="s">
        <v>0</v>
      </c>
      <c r="E13710" s="2">
        <v>0</v>
      </c>
      <c r="F13710" s="2">
        <v>0</v>
      </c>
      <c r="G13710" s="2">
        <v>0</v>
      </c>
      <c r="H13710" s="1" t="s">
        <v>0</v>
      </c>
      <c r="I13710" s="2">
        <v>0</v>
      </c>
      <c r="J13710" s="1">
        <v>46076.684849537036</v>
      </c>
    </row>
    <row r="13711" spans="1:10" x14ac:dyDescent="0.2">
      <c r="A13711" s="4" t="s">
        <v>1</v>
      </c>
      <c r="B13711" s="3" t="str">
        <f>HYPERLINK("https://otsuka-europe-crm.veevavault.com/ui/#object/approved_document__v/V5O00000000Q012", "LUP - 10 cuestiones: Inmunosupresión - reuma")</f>
        <v>LUP - 10 cuestiones: Inmunosupresión - reuma</v>
      </c>
      <c r="C13711" s="3" t="str">
        <f>HYPERLINK("https://otsuka-europe-crm.veevavault.com/ui/#object/sent_email__v/VBL00000001F260", "SE-001405880")</f>
        <v>SE-001405880</v>
      </c>
      <c r="D13711" s="1" t="s">
        <v>0</v>
      </c>
      <c r="E13711" s="2">
        <v>0</v>
      </c>
      <c r="F13711" s="2">
        <v>0</v>
      </c>
      <c r="G13711" s="2">
        <v>0</v>
      </c>
      <c r="H13711" s="1" t="s">
        <v>0</v>
      </c>
      <c r="I13711" s="2">
        <v>0</v>
      </c>
      <c r="J13711" s="1">
        <v>46076.685011574074</v>
      </c>
    </row>
    <row r="13712" spans="1:10" x14ac:dyDescent="0.2">
      <c r="A13712" s="4" t="s">
        <v>1</v>
      </c>
      <c r="B13712" s="3" t="str">
        <f>HYPERLINK("https://otsuka-europe-crm.veevavault.com/ui/#object/approved_document__v/V5O00000000Q012", "LUP - 10 cuestiones: Inmunosupresión - reuma")</f>
        <v>LUP - 10 cuestiones: Inmunosupresión - reuma</v>
      </c>
      <c r="C13712" s="3" t="str">
        <f>HYPERLINK("https://otsuka-europe-crm.veevavault.com/ui/#object/sent_email__v/VBL00000001F261", "SE-001405881")</f>
        <v>SE-001405881</v>
      </c>
      <c r="D13712" s="1" t="s">
        <v>0</v>
      </c>
      <c r="E13712" s="2">
        <v>0</v>
      </c>
      <c r="F13712" s="2">
        <v>0</v>
      </c>
      <c r="G13712" s="2">
        <v>0</v>
      </c>
      <c r="H13712" s="1" t="s">
        <v>0</v>
      </c>
      <c r="I13712" s="2">
        <v>0</v>
      </c>
      <c r="J13712" s="1">
        <v>46076.685185185182</v>
      </c>
    </row>
    <row r="13713" spans="1:10" x14ac:dyDescent="0.2">
      <c r="A13713" s="4" t="s">
        <v>1</v>
      </c>
      <c r="B13713" s="3" t="str">
        <f>HYPERLINK("https://otsuka-europe-crm.veevavault.com/ui/#object/approved_document__v/V5O00000000Q012", "LUP - 10 cuestiones: Inmunosupresión - reuma")</f>
        <v>LUP - 10 cuestiones: Inmunosupresión - reuma</v>
      </c>
      <c r="C13713" s="3" t="str">
        <f>HYPERLINK("https://otsuka-europe-crm.veevavault.com/ui/#object/sent_email__v/VBL00000001F262", "SE-001405882")</f>
        <v>SE-001405882</v>
      </c>
      <c r="D13713" s="1">
        <v>46076.685520833336</v>
      </c>
      <c r="E13713" s="2">
        <v>1</v>
      </c>
      <c r="F13713" s="2">
        <v>2</v>
      </c>
      <c r="G13713" s="2">
        <v>1</v>
      </c>
      <c r="H13713" s="1">
        <v>46076.685497685183</v>
      </c>
      <c r="I13713" s="2">
        <v>9</v>
      </c>
      <c r="J13713" s="1">
        <v>46076.685347222221</v>
      </c>
    </row>
    <row r="13714" spans="1:10" x14ac:dyDescent="0.2">
      <c r="A13714" s="4" t="s">
        <v>1</v>
      </c>
      <c r="B13714" s="3" t="str">
        <f>HYPERLINK("https://otsuka-europe-crm.veevavault.com/ui/#object/approved_document__v/V5O00000000Q012", "LUP - 10 cuestiones: Inmunosupresión - reuma")</f>
        <v>LUP - 10 cuestiones: Inmunosupresión - reuma</v>
      </c>
      <c r="C13714" s="3" t="str">
        <f>HYPERLINK("https://otsuka-europe-crm.veevavault.com/ui/#object/sent_email__v/VBL00000001F263", "SE-001405883")</f>
        <v>SE-001405883</v>
      </c>
      <c r="D13714" s="1">
        <v>46077.365300925929</v>
      </c>
      <c r="E13714" s="2">
        <v>1</v>
      </c>
      <c r="F13714" s="2">
        <v>1</v>
      </c>
      <c r="G13714" s="2">
        <v>0</v>
      </c>
      <c r="H13714" s="1" t="s">
        <v>0</v>
      </c>
      <c r="I13714" s="2">
        <v>0</v>
      </c>
      <c r="J13714" s="1">
        <v>46076.68550925926</v>
      </c>
    </row>
    <row r="13715" spans="1:10" x14ac:dyDescent="0.2">
      <c r="A13715" s="4" t="s">
        <v>1</v>
      </c>
      <c r="B13715" s="3" t="str">
        <f>HYPERLINK("https://otsuka-europe-crm.veevavault.com/ui/#object/approved_document__v/V5O00000000Q012", "LUP - 10 cuestiones: Inmunosupresión - reuma")</f>
        <v>LUP - 10 cuestiones: Inmunosupresión - reuma</v>
      </c>
      <c r="C13715" s="3" t="str">
        <f>HYPERLINK("https://otsuka-europe-crm.veevavault.com/ui/#object/sent_email__v/VBL00000001F264", "SE-001405884")</f>
        <v>SE-001405884</v>
      </c>
      <c r="D13715" s="1" t="s">
        <v>0</v>
      </c>
      <c r="E13715" s="2">
        <v>0</v>
      </c>
      <c r="F13715" s="2">
        <v>0</v>
      </c>
      <c r="G13715" s="2">
        <v>0</v>
      </c>
      <c r="H13715" s="1" t="s">
        <v>0</v>
      </c>
      <c r="I13715" s="2">
        <v>0</v>
      </c>
      <c r="J13715" s="1">
        <v>46076.685671296298</v>
      </c>
    </row>
    <row r="13716" spans="1:10" x14ac:dyDescent="0.2">
      <c r="A13716" s="4" t="s">
        <v>1</v>
      </c>
      <c r="B13716" s="3" t="str">
        <f>HYPERLINK("https://otsuka-europe-crm.veevavault.com/ui/#object/approved_document__v/V5O00000000Q012", "LUP - 10 cuestiones: Inmunosupresión - reuma")</f>
        <v>LUP - 10 cuestiones: Inmunosupresión - reuma</v>
      </c>
      <c r="C13716" s="3" t="str">
        <f>HYPERLINK("https://otsuka-europe-crm.veevavault.com/ui/#object/sent_email__v/VBL00000001F265", "SE-001405885")</f>
        <v>SE-001405885</v>
      </c>
      <c r="D13716" s="1">
        <v>46078.503437500003</v>
      </c>
      <c r="E13716" s="2">
        <v>1</v>
      </c>
      <c r="F13716" s="2">
        <v>1</v>
      </c>
      <c r="G13716" s="2">
        <v>0</v>
      </c>
      <c r="H13716" s="1" t="s">
        <v>0</v>
      </c>
      <c r="I13716" s="2">
        <v>0</v>
      </c>
      <c r="J13716" s="1">
        <v>46076.685844907406</v>
      </c>
    </row>
    <row r="13717" spans="1:10" x14ac:dyDescent="0.2">
      <c r="A13717" s="4" t="s">
        <v>1</v>
      </c>
      <c r="B13717" s="3" t="str">
        <f>HYPERLINK("https://otsuka-europe-crm.veevavault.com/ui/#object/approved_document__v/V5O00000000Q012", "LUP - 10 cuestiones: Inmunosupresión - reuma")</f>
        <v>LUP - 10 cuestiones: Inmunosupresión - reuma</v>
      </c>
      <c r="C13717" s="3" t="str">
        <f>HYPERLINK("https://otsuka-europe-crm.veevavault.com/ui/#object/sent_email__v/VBL00000001F266", "SE-001405886")</f>
        <v>SE-001405886</v>
      </c>
      <c r="D13717" s="1" t="s">
        <v>0</v>
      </c>
      <c r="E13717" s="2">
        <v>0</v>
      </c>
      <c r="F13717" s="2">
        <v>0</v>
      </c>
      <c r="G13717" s="2">
        <v>0</v>
      </c>
      <c r="H13717" s="1" t="s">
        <v>0</v>
      </c>
      <c r="I13717" s="2">
        <v>0</v>
      </c>
      <c r="J13717" s="1">
        <v>46076.686006944445</v>
      </c>
    </row>
    <row r="13718" spans="1:10" x14ac:dyDescent="0.2">
      <c r="A13718" s="4" t="s">
        <v>1</v>
      </c>
      <c r="B13718" s="3" t="str">
        <f>HYPERLINK("https://otsuka-europe-crm.veevavault.com/ui/#object/approved_document__v/V5O00000000Q012", "LUP - 10 cuestiones: Inmunosupresión - reuma")</f>
        <v>LUP - 10 cuestiones: Inmunosupresión - reuma</v>
      </c>
      <c r="C13718" s="3" t="str">
        <f>HYPERLINK("https://otsuka-europe-crm.veevavault.com/ui/#object/sent_email__v/VBL00000001F267", "SE-001405887")</f>
        <v>SE-001405887</v>
      </c>
      <c r="D13718" s="1">
        <v>46077.321435185186</v>
      </c>
      <c r="E13718" s="2">
        <v>1</v>
      </c>
      <c r="F13718" s="2">
        <v>2</v>
      </c>
      <c r="G13718" s="2">
        <v>0</v>
      </c>
      <c r="H13718" s="1" t="s">
        <v>0</v>
      </c>
      <c r="I13718" s="2">
        <v>0</v>
      </c>
      <c r="J13718" s="1">
        <v>46076.686180555553</v>
      </c>
    </row>
    <row r="13719" spans="1:10" x14ac:dyDescent="0.2">
      <c r="A13719" s="4" t="s">
        <v>1</v>
      </c>
      <c r="B13719" s="3" t="str">
        <f>HYPERLINK("https://otsuka-europe-crm.veevavault.com/ui/#object/approved_document__v/V5O00000000Q012", "LUP - 10 cuestiones: Inmunosupresión - reuma")</f>
        <v>LUP - 10 cuestiones: Inmunosupresión - reuma</v>
      </c>
      <c r="C13719" s="3" t="str">
        <f>HYPERLINK("https://otsuka-europe-crm.veevavault.com/ui/#object/sent_email__v/VBL00000001F268", "SE-001405888")</f>
        <v>SE-001405888</v>
      </c>
      <c r="D13719" s="1" t="s">
        <v>0</v>
      </c>
      <c r="E13719" s="2">
        <v>0</v>
      </c>
      <c r="F13719" s="2">
        <v>0</v>
      </c>
      <c r="G13719" s="2">
        <v>0</v>
      </c>
      <c r="H13719" s="1" t="s">
        <v>0</v>
      </c>
      <c r="I13719" s="2">
        <v>0</v>
      </c>
      <c r="J13719" s="1">
        <v>46076.686342592591</v>
      </c>
    </row>
    <row r="13720" spans="1:10" x14ac:dyDescent="0.2">
      <c r="A13720" s="4" t="s">
        <v>1</v>
      </c>
      <c r="B13720" s="3" t="str">
        <f>HYPERLINK("https://otsuka-europe-crm.veevavault.com/ui/#object/approved_document__v/V5O00000000Q012", "LUP - 10 cuestiones: Inmunosupresión - reuma")</f>
        <v>LUP - 10 cuestiones: Inmunosupresión - reuma</v>
      </c>
      <c r="C13720" s="3" t="str">
        <f>HYPERLINK("https://otsuka-europe-crm.veevavault.com/ui/#object/sent_email__v/VBL00000001F269", "SE-001405889")</f>
        <v>SE-001405889</v>
      </c>
      <c r="D13720" s="1">
        <v>46076.686666666668</v>
      </c>
      <c r="E13720" s="2">
        <v>1</v>
      </c>
      <c r="F13720" s="2">
        <v>2</v>
      </c>
      <c r="G13720" s="2">
        <v>1</v>
      </c>
      <c r="H13720" s="1">
        <v>46076.686643518522</v>
      </c>
      <c r="I13720" s="2">
        <v>8</v>
      </c>
      <c r="J13720" s="1">
        <v>46076.68650462963</v>
      </c>
    </row>
    <row r="13721" spans="1:10" x14ac:dyDescent="0.2">
      <c r="A13721" s="4" t="s">
        <v>1</v>
      </c>
      <c r="B13721" s="3" t="str">
        <f>HYPERLINK("https://otsuka-europe-crm.veevavault.com/ui/#object/approved_document__v/V5O00000000Q012", "LUP - 10 cuestiones: Inmunosupresión - reuma")</f>
        <v>LUP - 10 cuestiones: Inmunosupresión - reuma</v>
      </c>
      <c r="C13721" s="3" t="str">
        <f>HYPERLINK("https://otsuka-europe-crm.veevavault.com/ui/#object/sent_email__v/VBL00000001F270", "SE-001405890")</f>
        <v>SE-001405890</v>
      </c>
      <c r="D13721" s="1" t="s">
        <v>0</v>
      </c>
      <c r="E13721" s="2">
        <v>0</v>
      </c>
      <c r="F13721" s="2">
        <v>0</v>
      </c>
      <c r="G13721" s="2">
        <v>0</v>
      </c>
      <c r="H13721" s="1" t="s">
        <v>0</v>
      </c>
      <c r="I13721" s="2">
        <v>0</v>
      </c>
      <c r="J13721" s="1">
        <v>46076.686666666668</v>
      </c>
    </row>
    <row r="13722" spans="1:10" x14ac:dyDescent="0.2">
      <c r="A13722" s="4" t="s">
        <v>1</v>
      </c>
      <c r="B13722" s="3" t="str">
        <f>HYPERLINK("https://otsuka-europe-crm.veevavault.com/ui/#object/approved_document__v/V5O00000000Q012", "LUP - 10 cuestiones: Inmunosupresión - reuma")</f>
        <v>LUP - 10 cuestiones: Inmunosupresión - reuma</v>
      </c>
      <c r="C13722" s="3" t="str">
        <f>HYPERLINK("https://otsuka-europe-crm.veevavault.com/ui/#object/sent_email__v/VBL00000001F271", "SE-001405891")</f>
        <v>SE-001405891</v>
      </c>
      <c r="D13722" s="1">
        <v>46076.687002314815</v>
      </c>
      <c r="E13722" s="2">
        <v>1</v>
      </c>
      <c r="F13722" s="2">
        <v>2</v>
      </c>
      <c r="G13722" s="2">
        <v>1</v>
      </c>
      <c r="H13722" s="1">
        <v>46076.686990740738</v>
      </c>
      <c r="I13722" s="2">
        <v>8</v>
      </c>
      <c r="J13722" s="1">
        <v>46076.686828703707</v>
      </c>
    </row>
    <row r="13723" spans="1:10" x14ac:dyDescent="0.2">
      <c r="A13723" s="4" t="s">
        <v>1</v>
      </c>
      <c r="B13723" s="3" t="str">
        <f>HYPERLINK("https://otsuka-europe-crm.veevavault.com/ui/#object/approved_document__v/V5O00000000Q012", "LUP - 10 cuestiones: Inmunosupresión - reuma")</f>
        <v>LUP - 10 cuestiones: Inmunosupresión - reuma</v>
      </c>
      <c r="C13723" s="3" t="str">
        <f>HYPERLINK("https://otsuka-europe-crm.veevavault.com/ui/#object/sent_email__v/VBL00000001F272", "SE-001405892")</f>
        <v>SE-001405892</v>
      </c>
      <c r="D13723" s="1">
        <v>46076.894305555557</v>
      </c>
      <c r="E13723" s="2">
        <v>1</v>
      </c>
      <c r="F13723" s="2">
        <v>1</v>
      </c>
      <c r="G13723" s="2">
        <v>0</v>
      </c>
      <c r="H13723" s="1" t="s">
        <v>0</v>
      </c>
      <c r="I13723" s="2">
        <v>0</v>
      </c>
      <c r="J13723" s="1">
        <v>46076.687002314815</v>
      </c>
    </row>
    <row r="13724" spans="1:10" x14ac:dyDescent="0.2">
      <c r="A13724" s="4" t="s">
        <v>1</v>
      </c>
      <c r="B13724" s="3" t="str">
        <f>HYPERLINK("https://otsuka-europe-crm.veevavault.com/ui/#object/approved_document__v/V5O00000000Q012", "LUP - 10 cuestiones: Inmunosupresión - reuma")</f>
        <v>LUP - 10 cuestiones: Inmunosupresión - reuma</v>
      </c>
      <c r="C13724" s="3" t="str">
        <f>HYPERLINK("https://otsuka-europe-crm.veevavault.com/ui/#object/sent_email__v/VBL00000001F273", "SE-001405893")</f>
        <v>SE-001405893</v>
      </c>
      <c r="D13724" s="1">
        <v>46076.721701388888</v>
      </c>
      <c r="E13724" s="2">
        <v>1</v>
      </c>
      <c r="F13724" s="2">
        <v>4</v>
      </c>
      <c r="G13724" s="2">
        <v>0</v>
      </c>
      <c r="H13724" s="1" t="s">
        <v>0</v>
      </c>
      <c r="I13724" s="2">
        <v>0</v>
      </c>
      <c r="J13724" s="1">
        <v>46076.687164351853</v>
      </c>
    </row>
    <row r="13725" spans="1:10" x14ac:dyDescent="0.2">
      <c r="A13725" s="4" t="s">
        <v>1</v>
      </c>
      <c r="B13725" s="3" t="str">
        <f>HYPERLINK("https://otsuka-europe-crm.veevavault.com/ui/#object/approved_document__v/V5O00000000Q012", "LUP - 10 cuestiones: Inmunosupresión - reuma")</f>
        <v>LUP - 10 cuestiones: Inmunosupresión - reuma</v>
      </c>
      <c r="C13725" s="3" t="str">
        <f>HYPERLINK("https://otsuka-europe-crm.veevavault.com/ui/#object/sent_email__v/VBL00000001F274", "SE-001405894")</f>
        <v>SE-001405894</v>
      </c>
      <c r="D13725" s="1">
        <v>46077.654432870368</v>
      </c>
      <c r="E13725" s="2">
        <v>1</v>
      </c>
      <c r="F13725" s="2">
        <v>2</v>
      </c>
      <c r="G13725" s="2">
        <v>0</v>
      </c>
      <c r="H13725" s="1" t="s">
        <v>0</v>
      </c>
      <c r="I13725" s="2">
        <v>0</v>
      </c>
      <c r="J13725" s="1">
        <v>46076.687326388892</v>
      </c>
    </row>
    <row r="13726" spans="1:10" x14ac:dyDescent="0.2">
      <c r="A13726" s="4" t="s">
        <v>1</v>
      </c>
      <c r="B13726" s="3" t="str">
        <f>HYPERLINK("https://otsuka-europe-crm.veevavault.com/ui/#object/approved_document__v/V5O00000000Q012", "LUP - 10 cuestiones: Inmunosupresión - reuma")</f>
        <v>LUP - 10 cuestiones: Inmunosupresión - reuma</v>
      </c>
      <c r="C13726" s="3" t="str">
        <f>HYPERLINK("https://otsuka-europe-crm.veevavault.com/ui/#object/sent_email__v/VBL00000001F275", "SE-001405895")</f>
        <v>SE-001405895</v>
      </c>
      <c r="D13726" s="1">
        <v>46078.331423611111</v>
      </c>
      <c r="E13726" s="2">
        <v>1</v>
      </c>
      <c r="F13726" s="2">
        <v>1</v>
      </c>
      <c r="G13726" s="2">
        <v>1</v>
      </c>
      <c r="H13726" s="1">
        <v>46078.331458333334</v>
      </c>
      <c r="I13726" s="2">
        <v>3</v>
      </c>
      <c r="J13726" s="1">
        <v>46076.6875</v>
      </c>
    </row>
    <row r="13727" spans="1:10" x14ac:dyDescent="0.2">
      <c r="A13727" s="4" t="s">
        <v>1</v>
      </c>
      <c r="B13727" s="3" t="str">
        <f>HYPERLINK("https://otsuka-europe-crm.veevavault.com/ui/#object/approved_document__v/V5O00000000Q012", "LUP - 10 cuestiones: Inmunosupresión - reuma")</f>
        <v>LUP - 10 cuestiones: Inmunosupresión - reuma</v>
      </c>
      <c r="C13727" s="3" t="str">
        <f>HYPERLINK("https://otsuka-europe-crm.veevavault.com/ui/#object/sent_email__v/VBL00000001F276", "SE-001405896")</f>
        <v>SE-001405896</v>
      </c>
      <c r="D13727" s="1">
        <v>46079.407442129632</v>
      </c>
      <c r="E13727" s="2">
        <v>1</v>
      </c>
      <c r="F13727" s="2">
        <v>2</v>
      </c>
      <c r="G13727" s="2">
        <v>0</v>
      </c>
      <c r="H13727" s="1" t="s">
        <v>0</v>
      </c>
      <c r="I13727" s="2">
        <v>0</v>
      </c>
      <c r="J13727" s="1">
        <v>46076.687662037039</v>
      </c>
    </row>
    <row r="13728" spans="1:10" x14ac:dyDescent="0.2">
      <c r="A13728" s="4" t="s">
        <v>1</v>
      </c>
      <c r="B13728" s="3" t="str">
        <f>HYPERLINK("https://otsuka-europe-crm.veevavault.com/ui/#object/approved_document__v/V5O00000000Q012", "LUP - 10 cuestiones: Inmunosupresión - reuma")</f>
        <v>LUP - 10 cuestiones: Inmunosupresión - reuma</v>
      </c>
      <c r="C13728" s="3" t="str">
        <f>HYPERLINK("https://otsuka-europe-crm.veevavault.com/ui/#object/sent_email__v/VBL00000001F277", "SE-001405897")</f>
        <v>SE-001405897</v>
      </c>
      <c r="D13728" s="1">
        <v>46076.694710648146</v>
      </c>
      <c r="E13728" s="2">
        <v>1</v>
      </c>
      <c r="F13728" s="2">
        <v>4</v>
      </c>
      <c r="G13728" s="2">
        <v>1</v>
      </c>
      <c r="H13728" s="1">
        <v>46076.687997685185</v>
      </c>
      <c r="I13728" s="2">
        <v>8</v>
      </c>
      <c r="J13728" s="1">
        <v>46076.687824074077</v>
      </c>
    </row>
    <row r="13729" spans="1:10" x14ac:dyDescent="0.2">
      <c r="A13729" s="4" t="s">
        <v>1</v>
      </c>
      <c r="B13729" s="3" t="str">
        <f>HYPERLINK("https://otsuka-europe-crm.veevavault.com/ui/#object/approved_document__v/V5O00000000Q012", "LUP - 10 cuestiones: Inmunosupresión - reuma")</f>
        <v>LUP - 10 cuestiones: Inmunosupresión - reuma</v>
      </c>
      <c r="C13729" s="3" t="str">
        <f>HYPERLINK("https://otsuka-europe-crm.veevavault.com/ui/#object/sent_email__v/VBL00000001F278", "SE-001405898")</f>
        <v>SE-001405898</v>
      </c>
      <c r="D13729" s="1">
        <v>46076.688159722224</v>
      </c>
      <c r="E13729" s="2">
        <v>1</v>
      </c>
      <c r="F13729" s="2">
        <v>2</v>
      </c>
      <c r="G13729" s="2">
        <v>1</v>
      </c>
      <c r="H13729" s="1">
        <v>46076.688148148147</v>
      </c>
      <c r="I13729" s="2">
        <v>8</v>
      </c>
      <c r="J13729" s="1">
        <v>46076.687986111108</v>
      </c>
    </row>
    <row r="13730" spans="1:10" x14ac:dyDescent="0.2">
      <c r="A13730" s="4" t="s">
        <v>1</v>
      </c>
      <c r="B13730" s="3" t="str">
        <f>HYPERLINK("https://otsuka-europe-crm.veevavault.com/ui/#object/approved_document__v/V5O00000000Q012", "LUP - 10 cuestiones: Inmunosupresión - reuma")</f>
        <v>LUP - 10 cuestiones: Inmunosupresión - reuma</v>
      </c>
      <c r="C13730" s="3" t="str">
        <f>HYPERLINK("https://otsuka-europe-crm.veevavault.com/ui/#object/sent_email__v/VBL00000001F279", "SE-001405899")</f>
        <v>SE-001405899</v>
      </c>
      <c r="D13730" s="1" t="s">
        <v>0</v>
      </c>
      <c r="E13730" s="2">
        <v>0</v>
      </c>
      <c r="F13730" s="2">
        <v>0</v>
      </c>
      <c r="G13730" s="2">
        <v>0</v>
      </c>
      <c r="H13730" s="1" t="s">
        <v>0</v>
      </c>
      <c r="I13730" s="2">
        <v>0</v>
      </c>
      <c r="J13730" s="1">
        <v>46076.688148148147</v>
      </c>
    </row>
    <row r="13731" spans="1:10" x14ac:dyDescent="0.2">
      <c r="A13731" s="4" t="s">
        <v>1</v>
      </c>
      <c r="B13731" s="3" t="str">
        <f>HYPERLINK("https://otsuka-europe-crm.veevavault.com/ui/#object/approved_document__v/V5O00000000Q012", "LUP - 10 cuestiones: Inmunosupresión - reuma")</f>
        <v>LUP - 10 cuestiones: Inmunosupresión - reuma</v>
      </c>
      <c r="C13731" s="3" t="str">
        <f>HYPERLINK("https://otsuka-europe-crm.veevavault.com/ui/#object/sent_email__v/VBL00000001F280", "SE-001405900")</f>
        <v>SE-001405900</v>
      </c>
      <c r="D13731" s="1" t="s">
        <v>0</v>
      </c>
      <c r="E13731" s="2">
        <v>0</v>
      </c>
      <c r="F13731" s="2">
        <v>0</v>
      </c>
      <c r="G13731" s="2">
        <v>0</v>
      </c>
      <c r="H13731" s="1" t="s">
        <v>0</v>
      </c>
      <c r="I13731" s="2">
        <v>0</v>
      </c>
      <c r="J13731" s="1">
        <v>46076.688333333332</v>
      </c>
    </row>
    <row r="13732" spans="1:10" x14ac:dyDescent="0.2">
      <c r="A13732" s="4" t="s">
        <v>1</v>
      </c>
      <c r="B13732" s="3" t="str">
        <f>HYPERLINK("https://otsuka-europe-crm.veevavault.com/ui/#object/approved_document__v/V5O00000000Q012", "LUP - 10 cuestiones: Inmunosupresión - reuma")</f>
        <v>LUP - 10 cuestiones: Inmunosupresión - reuma</v>
      </c>
      <c r="C13732" s="3" t="str">
        <f>HYPERLINK("https://otsuka-europe-crm.veevavault.com/ui/#object/sent_email__v/VBL00000001F281", "SE-001405901")</f>
        <v>SE-001405901</v>
      </c>
      <c r="D13732" s="1" t="s">
        <v>0</v>
      </c>
      <c r="E13732" s="2">
        <v>0</v>
      </c>
      <c r="F13732" s="2">
        <v>0</v>
      </c>
      <c r="G13732" s="2">
        <v>0</v>
      </c>
      <c r="H13732" s="1" t="s">
        <v>0</v>
      </c>
      <c r="I13732" s="2">
        <v>0</v>
      </c>
      <c r="J13732" s="1">
        <v>46076.68849537037</v>
      </c>
    </row>
    <row r="13733" spans="1:10" x14ac:dyDescent="0.2">
      <c r="A13733" s="4" t="s">
        <v>1</v>
      </c>
      <c r="B13733" s="3" t="str">
        <f>HYPERLINK("https://otsuka-europe-crm.veevavault.com/ui/#object/approved_document__v/V5O00000000O004", "LUP - Congreso EAS- SER 2026 - nefro")</f>
        <v>LUP - Congreso EAS- SER 2026 - nefro</v>
      </c>
      <c r="C13733" s="3" t="str">
        <f>HYPERLINK("https://otsuka-europe-crm.veevavault.com/ui/#object/sent_email__v/VBL00000001C110", "SE-001403125")</f>
        <v>SE-001403125</v>
      </c>
      <c r="D13733" s="1" t="s">
        <v>0</v>
      </c>
      <c r="E13733" s="2">
        <v>0</v>
      </c>
      <c r="F13733" s="2">
        <v>0</v>
      </c>
      <c r="G13733" s="2">
        <v>0</v>
      </c>
      <c r="H13733" s="1" t="s">
        <v>0</v>
      </c>
      <c r="I13733" s="2">
        <v>0</v>
      </c>
      <c r="J13733" s="1">
        <v>46062.396354166667</v>
      </c>
    </row>
    <row r="13734" spans="1:10" x14ac:dyDescent="0.2">
      <c r="A13734" s="4" t="s">
        <v>1</v>
      </c>
      <c r="B13734" s="3" t="str">
        <f>HYPERLINK("https://otsuka-europe-crm.veevavault.com/ui/#object/approved_document__v/V5O00000000O004", "LUP - Congreso EAS- SER 2026 - nefro")</f>
        <v>LUP - Congreso EAS- SER 2026 - nefro</v>
      </c>
      <c r="C13734" s="3" t="str">
        <f>HYPERLINK("https://otsuka-europe-crm.veevavault.com/ui/#object/sent_email__v/VBL00000001B110", "SE-001403130")</f>
        <v>SE-001403130</v>
      </c>
      <c r="D13734" s="1">
        <v>46065.517060185186</v>
      </c>
      <c r="E13734" s="2">
        <v>1</v>
      </c>
      <c r="F13734" s="2">
        <v>3</v>
      </c>
      <c r="G13734" s="2">
        <v>0</v>
      </c>
      <c r="H13734" s="1" t="s">
        <v>0</v>
      </c>
      <c r="I13734" s="2">
        <v>0</v>
      </c>
      <c r="J13734" s="1">
        <v>46062.442002314812</v>
      </c>
    </row>
    <row r="13735" spans="1:10" x14ac:dyDescent="0.2">
      <c r="A13735" s="4" t="s">
        <v>1</v>
      </c>
      <c r="B13735" s="3" t="str">
        <f>HYPERLINK("https://otsuka-europe-crm.veevavault.com/ui/#object/approved_document__v/V5O00000000O004", "LUP - Congreso EAS- SER 2026 - nefro")</f>
        <v>LUP - Congreso EAS- SER 2026 - nefro</v>
      </c>
      <c r="C13735" s="3" t="str">
        <f>HYPERLINK("https://otsuka-europe-crm.veevavault.com/ui/#object/sent_email__v/VBL00000001B111", "SE-001403131")</f>
        <v>SE-001403131</v>
      </c>
      <c r="D13735" s="1" t="s">
        <v>0</v>
      </c>
      <c r="E13735" s="2">
        <v>0</v>
      </c>
      <c r="F13735" s="2">
        <v>0</v>
      </c>
      <c r="G13735" s="2">
        <v>0</v>
      </c>
      <c r="H13735" s="1" t="s">
        <v>0</v>
      </c>
      <c r="I13735" s="2">
        <v>0</v>
      </c>
      <c r="J13735" s="1">
        <v>46062.442175925928</v>
      </c>
    </row>
    <row r="13736" spans="1:10" x14ac:dyDescent="0.2">
      <c r="A13736" s="4" t="s">
        <v>1</v>
      </c>
      <c r="B13736" s="3" t="str">
        <f>HYPERLINK("https://otsuka-europe-crm.veevavault.com/ui/#object/approved_document__v/V5O00000000O004", "LUP - Congreso EAS- SER 2026 - nefro")</f>
        <v>LUP - Congreso EAS- SER 2026 - nefro</v>
      </c>
      <c r="C13736" s="3" t="str">
        <f>HYPERLINK("https://otsuka-europe-crm.veevavault.com/ui/#object/sent_email__v/VBL00000001B112", "SE-001403132")</f>
        <v>SE-001403132</v>
      </c>
      <c r="D13736" s="1" t="s">
        <v>0</v>
      </c>
      <c r="E13736" s="2">
        <v>0</v>
      </c>
      <c r="F13736" s="2">
        <v>0</v>
      </c>
      <c r="G13736" s="2">
        <v>0</v>
      </c>
      <c r="H13736" s="1" t="s">
        <v>0</v>
      </c>
      <c r="I13736" s="2">
        <v>0</v>
      </c>
      <c r="J13736" s="1">
        <v>46062.442337962966</v>
      </c>
    </row>
    <row r="13737" spans="1:10" x14ac:dyDescent="0.2">
      <c r="A13737" s="4" t="s">
        <v>1</v>
      </c>
      <c r="B13737" s="3" t="str">
        <f>HYPERLINK("https://otsuka-europe-crm.veevavault.com/ui/#object/approved_document__v/V5O00000000O004", "LUP - Congreso EAS- SER 2026 - nefro")</f>
        <v>LUP - Congreso EAS- SER 2026 - nefro</v>
      </c>
      <c r="C13737" s="3" t="str">
        <f>HYPERLINK("https://otsuka-europe-crm.veevavault.com/ui/#object/sent_email__v/VBL00000001B113", "SE-001403133")</f>
        <v>SE-001403133</v>
      </c>
      <c r="D13737" s="1" t="s">
        <v>0</v>
      </c>
      <c r="E13737" s="2">
        <v>0</v>
      </c>
      <c r="F13737" s="2">
        <v>0</v>
      </c>
      <c r="G13737" s="2">
        <v>0</v>
      </c>
      <c r="H13737" s="1" t="s">
        <v>0</v>
      </c>
      <c r="I13737" s="2">
        <v>0</v>
      </c>
      <c r="J13737" s="1">
        <v>46062.442499999997</v>
      </c>
    </row>
    <row r="13738" spans="1:10" x14ac:dyDescent="0.2">
      <c r="A13738" s="4" t="s">
        <v>1</v>
      </c>
      <c r="B13738" s="3" t="str">
        <f>HYPERLINK("https://otsuka-europe-crm.veevavault.com/ui/#object/approved_document__v/V5O00000000O004", "LUP - Congreso EAS- SER 2026 - nefro")</f>
        <v>LUP - Congreso EAS- SER 2026 - nefro</v>
      </c>
      <c r="C13738" s="3" t="str">
        <f>HYPERLINK("https://otsuka-europe-crm.veevavault.com/ui/#object/sent_email__v/VBL00000001B114", "SE-001403134")</f>
        <v>SE-001403134</v>
      </c>
      <c r="D13738" s="1" t="s">
        <v>0</v>
      </c>
      <c r="E13738" s="2">
        <v>0</v>
      </c>
      <c r="F13738" s="2">
        <v>0</v>
      </c>
      <c r="G13738" s="2">
        <v>0</v>
      </c>
      <c r="H13738" s="1" t="s">
        <v>0</v>
      </c>
      <c r="I13738" s="2">
        <v>0</v>
      </c>
      <c r="J13738" s="1">
        <v>46062.442662037036</v>
      </c>
    </row>
    <row r="13739" spans="1:10" x14ac:dyDescent="0.2">
      <c r="A13739" s="4" t="s">
        <v>1</v>
      </c>
      <c r="B13739" s="3" t="str">
        <f>HYPERLINK("https://otsuka-europe-crm.veevavault.com/ui/#object/approved_document__v/V5O00000000O004", "LUP - Congreso EAS- SER 2026 - nefro")</f>
        <v>LUP - Congreso EAS- SER 2026 - nefro</v>
      </c>
      <c r="C13739" s="3" t="str">
        <f>HYPERLINK("https://otsuka-europe-crm.veevavault.com/ui/#object/sent_email__v/VBL00000001B115", "SE-001403135")</f>
        <v>SE-001403135</v>
      </c>
      <c r="D13739" s="1" t="s">
        <v>0</v>
      </c>
      <c r="E13739" s="2">
        <v>0</v>
      </c>
      <c r="F13739" s="2">
        <v>0</v>
      </c>
      <c r="G13739" s="2">
        <v>0</v>
      </c>
      <c r="H13739" s="1" t="s">
        <v>0</v>
      </c>
      <c r="I13739" s="2">
        <v>0</v>
      </c>
      <c r="J13739" s="1">
        <v>46062.442847222221</v>
      </c>
    </row>
    <row r="13740" spans="1:10" x14ac:dyDescent="0.2">
      <c r="A13740" s="4" t="s">
        <v>1</v>
      </c>
      <c r="B13740" s="3" t="str">
        <f>HYPERLINK("https://otsuka-europe-crm.veevavault.com/ui/#object/approved_document__v/V5O00000000O004", "LUP - Congreso EAS- SER 2026 - nefro")</f>
        <v>LUP - Congreso EAS- SER 2026 - nefro</v>
      </c>
      <c r="C13740" s="3" t="str">
        <f>HYPERLINK("https://otsuka-europe-crm.veevavault.com/ui/#object/sent_email__v/VBL00000001B116", "SE-001403136")</f>
        <v>SE-001403136</v>
      </c>
      <c r="D13740" s="1" t="s">
        <v>0</v>
      </c>
      <c r="E13740" s="2">
        <v>0</v>
      </c>
      <c r="F13740" s="2">
        <v>0</v>
      </c>
      <c r="G13740" s="2">
        <v>0</v>
      </c>
      <c r="H13740" s="1" t="s">
        <v>0</v>
      </c>
      <c r="I13740" s="2">
        <v>0</v>
      </c>
      <c r="J13740" s="1">
        <v>46062.442997685182</v>
      </c>
    </row>
    <row r="13741" spans="1:10" x14ac:dyDescent="0.2">
      <c r="A13741" s="4" t="s">
        <v>1</v>
      </c>
      <c r="B13741" s="3" t="str">
        <f>HYPERLINK("https://otsuka-europe-crm.veevavault.com/ui/#object/approved_document__v/V5O00000000O004", "LUP - Congreso EAS- SER 2026 - nefro")</f>
        <v>LUP - Congreso EAS- SER 2026 - nefro</v>
      </c>
      <c r="C13741" s="3" t="str">
        <f>HYPERLINK("https://otsuka-europe-crm.veevavault.com/ui/#object/sent_email__v/VBL00000001B117", "SE-001403137")</f>
        <v>SE-001403137</v>
      </c>
      <c r="D13741" s="1" t="s">
        <v>0</v>
      </c>
      <c r="E13741" s="2">
        <v>0</v>
      </c>
      <c r="F13741" s="2">
        <v>0</v>
      </c>
      <c r="G13741" s="2">
        <v>0</v>
      </c>
      <c r="H13741" s="1" t="s">
        <v>0</v>
      </c>
      <c r="I13741" s="2">
        <v>0</v>
      </c>
      <c r="J13741" s="1">
        <v>46062.44321759259</v>
      </c>
    </row>
    <row r="13742" spans="1:10" x14ac:dyDescent="0.2">
      <c r="A13742" s="4" t="s">
        <v>1</v>
      </c>
      <c r="B13742" s="3" t="str">
        <f>HYPERLINK("https://otsuka-europe-crm.veevavault.com/ui/#object/approved_document__v/V5O00000000O004", "LUP - Congreso EAS- SER 2026 - nefro")</f>
        <v>LUP - Congreso EAS- SER 2026 - nefro</v>
      </c>
      <c r="C13742" s="3" t="str">
        <f>HYPERLINK("https://otsuka-europe-crm.veevavault.com/ui/#object/sent_email__v/VBL00000001B118", "SE-001403138")</f>
        <v>SE-001403138</v>
      </c>
      <c r="D13742" s="1" t="s">
        <v>0</v>
      </c>
      <c r="E13742" s="2">
        <v>0</v>
      </c>
      <c r="F13742" s="2">
        <v>0</v>
      </c>
      <c r="G13742" s="2">
        <v>0</v>
      </c>
      <c r="H13742" s="1" t="s">
        <v>0</v>
      </c>
      <c r="I13742" s="2">
        <v>0</v>
      </c>
      <c r="J13742" s="1">
        <v>46062.443460648145</v>
      </c>
    </row>
    <row r="13743" spans="1:10" x14ac:dyDescent="0.2">
      <c r="A13743" s="4" t="s">
        <v>1</v>
      </c>
      <c r="B13743" s="3" t="str">
        <f>HYPERLINK("https://otsuka-europe-crm.veevavault.com/ui/#object/approved_document__v/V5O00000000O004", "LUP - Congreso EAS- SER 2026 - nefro")</f>
        <v>LUP - Congreso EAS- SER 2026 - nefro</v>
      </c>
      <c r="C13743" s="3" t="str">
        <f>HYPERLINK("https://otsuka-europe-crm.veevavault.com/ui/#object/sent_email__v/VBL00000001B119", "SE-001403139")</f>
        <v>SE-001403139</v>
      </c>
      <c r="D13743" s="1" t="s">
        <v>0</v>
      </c>
      <c r="E13743" s="2">
        <v>0</v>
      </c>
      <c r="F13743" s="2">
        <v>0</v>
      </c>
      <c r="G13743" s="2">
        <v>0</v>
      </c>
      <c r="H13743" s="1" t="s">
        <v>0</v>
      </c>
      <c r="I13743" s="2">
        <v>0</v>
      </c>
      <c r="J13743" s="1">
        <v>46062.443726851852</v>
      </c>
    </row>
    <row r="13744" spans="1:10" x14ac:dyDescent="0.2">
      <c r="A13744" s="4" t="s">
        <v>1</v>
      </c>
      <c r="B13744" s="3" t="str">
        <f>HYPERLINK("https://otsuka-europe-crm.veevavault.com/ui/#object/approved_document__v/V5O00000000O004", "LUP - Congreso EAS- SER 2026 - nefro")</f>
        <v>LUP - Congreso EAS- SER 2026 - nefro</v>
      </c>
      <c r="C13744" s="3" t="str">
        <f>HYPERLINK("https://otsuka-europe-crm.veevavault.com/ui/#object/sent_email__v/VBL00000001B120", "SE-001403140")</f>
        <v>SE-001403140</v>
      </c>
      <c r="D13744" s="1" t="s">
        <v>0</v>
      </c>
      <c r="E13744" s="2">
        <v>0</v>
      </c>
      <c r="F13744" s="2">
        <v>0</v>
      </c>
      <c r="G13744" s="2">
        <v>0</v>
      </c>
      <c r="H13744" s="1" t="s">
        <v>0</v>
      </c>
      <c r="I13744" s="2">
        <v>0</v>
      </c>
      <c r="J13744" s="1">
        <v>46062.443981481483</v>
      </c>
    </row>
    <row r="13745" spans="1:10" x14ac:dyDescent="0.2">
      <c r="A13745" s="4" t="s">
        <v>1</v>
      </c>
      <c r="B13745" s="3" t="str">
        <f>HYPERLINK("https://otsuka-europe-crm.veevavault.com/ui/#object/approved_document__v/V5O00000000O004", "LUP - Congreso EAS- SER 2026 - nefro")</f>
        <v>LUP - Congreso EAS- SER 2026 - nefro</v>
      </c>
      <c r="C13745" s="3" t="str">
        <f>HYPERLINK("https://otsuka-europe-crm.veevavault.com/ui/#object/sent_email__v/VBL00000001B121", "SE-001403141")</f>
        <v>SE-001403141</v>
      </c>
      <c r="D13745" s="1" t="s">
        <v>0</v>
      </c>
      <c r="E13745" s="2">
        <v>0</v>
      </c>
      <c r="F13745" s="2">
        <v>0</v>
      </c>
      <c r="G13745" s="2">
        <v>0</v>
      </c>
      <c r="H13745" s="1" t="s">
        <v>0</v>
      </c>
      <c r="I13745" s="2">
        <v>0</v>
      </c>
      <c r="J13745" s="1">
        <v>46062.444236111114</v>
      </c>
    </row>
    <row r="13746" spans="1:10" x14ac:dyDescent="0.2">
      <c r="A13746" s="4" t="s">
        <v>1</v>
      </c>
      <c r="B13746" s="3" t="str">
        <f>HYPERLINK("https://otsuka-europe-crm.veevavault.com/ui/#object/approved_document__v/V5O00000000O004", "LUP - Congreso EAS- SER 2026 - nefro")</f>
        <v>LUP - Congreso EAS- SER 2026 - nefro</v>
      </c>
      <c r="C13746" s="3" t="str">
        <f>HYPERLINK("https://otsuka-europe-crm.veevavault.com/ui/#object/sent_email__v/VBL00000001B122", "SE-001403142")</f>
        <v>SE-001403142</v>
      </c>
      <c r="D13746" s="1" t="s">
        <v>0</v>
      </c>
      <c r="E13746" s="2">
        <v>0</v>
      </c>
      <c r="F13746" s="2">
        <v>0</v>
      </c>
      <c r="G13746" s="2">
        <v>0</v>
      </c>
      <c r="H13746" s="1" t="s">
        <v>0</v>
      </c>
      <c r="I13746" s="2">
        <v>0</v>
      </c>
      <c r="J13746" s="1">
        <v>46062.444467592592</v>
      </c>
    </row>
    <row r="13747" spans="1:10" x14ac:dyDescent="0.2">
      <c r="A13747" s="4" t="s">
        <v>1</v>
      </c>
      <c r="B13747" s="3" t="str">
        <f>HYPERLINK("https://otsuka-europe-crm.veevavault.com/ui/#object/approved_document__v/V5O00000000O004", "LUP - Congreso EAS- SER 2026 - nefro")</f>
        <v>LUP - Congreso EAS- SER 2026 - nefro</v>
      </c>
      <c r="C13747" s="3" t="str">
        <f>HYPERLINK("https://otsuka-europe-crm.veevavault.com/ui/#object/sent_email__v/VBL00000001B123", "SE-001403143")</f>
        <v>SE-001403143</v>
      </c>
      <c r="D13747" s="1" t="s">
        <v>0</v>
      </c>
      <c r="E13747" s="2">
        <v>0</v>
      </c>
      <c r="F13747" s="2">
        <v>0</v>
      </c>
      <c r="G13747" s="2">
        <v>0</v>
      </c>
      <c r="H13747" s="1" t="s">
        <v>0</v>
      </c>
      <c r="I13747" s="2">
        <v>0</v>
      </c>
      <c r="J13747" s="1">
        <v>46062.44462962963</v>
      </c>
    </row>
    <row r="13748" spans="1:10" x14ac:dyDescent="0.2">
      <c r="A13748" s="4" t="s">
        <v>1</v>
      </c>
      <c r="B13748" s="3" t="str">
        <f>HYPERLINK("https://otsuka-europe-crm.veevavault.com/ui/#object/approved_document__v/V5O00000000O004", "LUP - Congreso EAS- SER 2026 - nefro")</f>
        <v>LUP - Congreso EAS- SER 2026 - nefro</v>
      </c>
      <c r="C13748" s="3" t="str">
        <f>HYPERLINK("https://otsuka-europe-crm.veevavault.com/ui/#object/sent_email__v/VBL00000001B124", "SE-001403144")</f>
        <v>SE-001403144</v>
      </c>
      <c r="D13748" s="1" t="s">
        <v>0</v>
      </c>
      <c r="E13748" s="2">
        <v>0</v>
      </c>
      <c r="F13748" s="2">
        <v>0</v>
      </c>
      <c r="G13748" s="2">
        <v>0</v>
      </c>
      <c r="H13748" s="1" t="s">
        <v>0</v>
      </c>
      <c r="I13748" s="2">
        <v>0</v>
      </c>
      <c r="J13748" s="1">
        <v>46062.444803240738</v>
      </c>
    </row>
    <row r="13749" spans="1:10" x14ac:dyDescent="0.2">
      <c r="A13749" s="4" t="s">
        <v>1</v>
      </c>
      <c r="B13749" s="3" t="str">
        <f>HYPERLINK("https://otsuka-europe-crm.veevavault.com/ui/#object/approved_document__v/V5O00000000O004", "LUP - Congreso EAS- SER 2026 - nefro")</f>
        <v>LUP - Congreso EAS- SER 2026 - nefro</v>
      </c>
      <c r="C13749" s="3" t="str">
        <f>HYPERLINK("https://otsuka-europe-crm.veevavault.com/ui/#object/sent_email__v/VBL00000001B125", "SE-001403145")</f>
        <v>SE-001403145</v>
      </c>
      <c r="D13749" s="1" t="s">
        <v>0</v>
      </c>
      <c r="E13749" s="2">
        <v>0</v>
      </c>
      <c r="F13749" s="2">
        <v>0</v>
      </c>
      <c r="G13749" s="2">
        <v>0</v>
      </c>
      <c r="H13749" s="1" t="s">
        <v>0</v>
      </c>
      <c r="I13749" s="2">
        <v>0</v>
      </c>
      <c r="J13749" s="1">
        <v>46062.444988425923</v>
      </c>
    </row>
    <row r="13750" spans="1:10" x14ac:dyDescent="0.2">
      <c r="A13750" s="4" t="s">
        <v>1</v>
      </c>
      <c r="B13750" s="3" t="str">
        <f>HYPERLINK("https://otsuka-europe-crm.veevavault.com/ui/#object/approved_document__v/V5O00000000O004", "LUP - Congreso EAS- SER 2026 - nefro")</f>
        <v>LUP - Congreso EAS- SER 2026 - nefro</v>
      </c>
      <c r="C13750" s="3" t="str">
        <f>HYPERLINK("https://otsuka-europe-crm.veevavault.com/ui/#object/sent_email__v/VBL00000001B126", "SE-001403146")</f>
        <v>SE-001403146</v>
      </c>
      <c r="D13750" s="1" t="s">
        <v>0</v>
      </c>
      <c r="E13750" s="2">
        <v>0</v>
      </c>
      <c r="F13750" s="2">
        <v>0</v>
      </c>
      <c r="G13750" s="2">
        <v>0</v>
      </c>
      <c r="H13750" s="1" t="s">
        <v>0</v>
      </c>
      <c r="I13750" s="2">
        <v>0</v>
      </c>
      <c r="J13750" s="1">
        <v>46062.445150462961</v>
      </c>
    </row>
    <row r="13751" spans="1:10" x14ac:dyDescent="0.2">
      <c r="A13751" s="4" t="s">
        <v>1</v>
      </c>
      <c r="B13751" s="3" t="str">
        <f>HYPERLINK("https://otsuka-europe-crm.veevavault.com/ui/#object/approved_document__v/V5O00000000O004", "LUP - Congreso EAS- SER 2026 - nefro")</f>
        <v>LUP - Congreso EAS- SER 2026 - nefro</v>
      </c>
      <c r="C13751" s="3" t="str">
        <f>HYPERLINK("https://otsuka-europe-crm.veevavault.com/ui/#object/sent_email__v/VBL00000001B127", "SE-001403147")</f>
        <v>SE-001403147</v>
      </c>
      <c r="D13751" s="1" t="s">
        <v>0</v>
      </c>
      <c r="E13751" s="2">
        <v>0</v>
      </c>
      <c r="F13751" s="2">
        <v>0</v>
      </c>
      <c r="G13751" s="2">
        <v>0</v>
      </c>
      <c r="H13751" s="1" t="s">
        <v>0</v>
      </c>
      <c r="I13751" s="2">
        <v>0</v>
      </c>
      <c r="J13751" s="1">
        <v>46062.4453125</v>
      </c>
    </row>
    <row r="13752" spans="1:10" x14ac:dyDescent="0.2">
      <c r="A13752" s="4" t="s">
        <v>1</v>
      </c>
      <c r="B13752" s="3" t="str">
        <f>HYPERLINK("https://otsuka-europe-crm.veevavault.com/ui/#object/approved_document__v/V5O00000000O004", "LUP - Congreso EAS- SER 2026 - nefro")</f>
        <v>LUP - Congreso EAS- SER 2026 - nefro</v>
      </c>
      <c r="C13752" s="3" t="str">
        <f>HYPERLINK("https://otsuka-europe-crm.veevavault.com/ui/#object/sent_email__v/VBL00000001B128", "SE-001403148")</f>
        <v>SE-001403148</v>
      </c>
      <c r="D13752" s="1">
        <v>46062.445636574077</v>
      </c>
      <c r="E13752" s="2">
        <v>1</v>
      </c>
      <c r="F13752" s="2">
        <v>2</v>
      </c>
      <c r="G13752" s="2">
        <v>1</v>
      </c>
      <c r="H13752" s="1">
        <v>46062.445625</v>
      </c>
      <c r="I13752" s="2">
        <v>6</v>
      </c>
      <c r="J13752" s="1">
        <v>46062.445486111108</v>
      </c>
    </row>
    <row r="13753" spans="1:10" x14ac:dyDescent="0.2">
      <c r="A13753" s="4" t="s">
        <v>1</v>
      </c>
      <c r="B13753" s="3" t="str">
        <f>HYPERLINK("https://otsuka-europe-crm.veevavault.com/ui/#object/approved_document__v/V5O00000000O004", "LUP - Congreso EAS- SER 2026 - nefro")</f>
        <v>LUP - Congreso EAS- SER 2026 - nefro</v>
      </c>
      <c r="C13753" s="3" t="str">
        <f>HYPERLINK("https://otsuka-europe-crm.veevavault.com/ui/#object/sent_email__v/VBL00000001B129", "SE-001403149")</f>
        <v>SE-001403149</v>
      </c>
      <c r="D13753" s="1" t="s">
        <v>0</v>
      </c>
      <c r="E13753" s="2">
        <v>0</v>
      </c>
      <c r="F13753" s="2">
        <v>0</v>
      </c>
      <c r="G13753" s="2">
        <v>0</v>
      </c>
      <c r="H13753" s="1" t="s">
        <v>0</v>
      </c>
      <c r="I13753" s="2">
        <v>0</v>
      </c>
      <c r="J13753" s="1">
        <v>46062.445706018516</v>
      </c>
    </row>
    <row r="13754" spans="1:10" x14ac:dyDescent="0.2">
      <c r="A13754" s="4" t="s">
        <v>1</v>
      </c>
      <c r="B13754" s="3" t="str">
        <f>HYPERLINK("https://otsuka-europe-crm.veevavault.com/ui/#object/approved_document__v/V5O00000000O004", "LUP - Congreso EAS- SER 2026 - nefro")</f>
        <v>LUP - Congreso EAS- SER 2026 - nefro</v>
      </c>
      <c r="C13754" s="3" t="str">
        <f>HYPERLINK("https://otsuka-europe-crm.veevavault.com/ui/#object/sent_email__v/VBL00000001B130", "SE-001403150")</f>
        <v>SE-001403150</v>
      </c>
      <c r="D13754" s="1" t="s">
        <v>0</v>
      </c>
      <c r="E13754" s="2">
        <v>0</v>
      </c>
      <c r="F13754" s="2">
        <v>0</v>
      </c>
      <c r="G13754" s="2">
        <v>0</v>
      </c>
      <c r="H13754" s="1" t="s">
        <v>0</v>
      </c>
      <c r="I13754" s="2">
        <v>0</v>
      </c>
      <c r="J13754" s="1">
        <v>46062.445949074077</v>
      </c>
    </row>
    <row r="13755" spans="1:10" x14ac:dyDescent="0.2">
      <c r="A13755" s="4" t="s">
        <v>1</v>
      </c>
      <c r="B13755" s="3" t="str">
        <f>HYPERLINK("https://otsuka-europe-crm.veevavault.com/ui/#object/approved_document__v/V5O00000000O004", "LUP - Congreso EAS- SER 2026 - nefro")</f>
        <v>LUP - Congreso EAS- SER 2026 - nefro</v>
      </c>
      <c r="C13755" s="3" t="str">
        <f>HYPERLINK("https://otsuka-europe-crm.veevavault.com/ui/#object/sent_email__v/VBL00000001B131", "SE-001403151")</f>
        <v>SE-001403151</v>
      </c>
      <c r="D13755" s="1" t="s">
        <v>0</v>
      </c>
      <c r="E13755" s="2">
        <v>0</v>
      </c>
      <c r="F13755" s="2">
        <v>0</v>
      </c>
      <c r="G13755" s="2">
        <v>0</v>
      </c>
      <c r="H13755" s="1" t="s">
        <v>0</v>
      </c>
      <c r="I13755" s="2">
        <v>0</v>
      </c>
      <c r="J13755" s="1">
        <v>46062.446215277778</v>
      </c>
    </row>
    <row r="13756" spans="1:10" x14ac:dyDescent="0.2">
      <c r="A13756" s="4" t="s">
        <v>1</v>
      </c>
      <c r="B13756" s="3" t="str">
        <f>HYPERLINK("https://otsuka-europe-crm.veevavault.com/ui/#object/approved_document__v/V5O00000000O004", "LUP - Congreso EAS- SER 2026 - nefro")</f>
        <v>LUP - Congreso EAS- SER 2026 - nefro</v>
      </c>
      <c r="C13756" s="3" t="str">
        <f>HYPERLINK("https://otsuka-europe-crm.veevavault.com/ui/#object/sent_email__v/VBL00000001B132", "SE-001403152")</f>
        <v>SE-001403152</v>
      </c>
      <c r="D13756" s="1" t="s">
        <v>0</v>
      </c>
      <c r="E13756" s="2">
        <v>0</v>
      </c>
      <c r="F13756" s="2">
        <v>0</v>
      </c>
      <c r="G13756" s="2">
        <v>0</v>
      </c>
      <c r="H13756" s="1" t="s">
        <v>0</v>
      </c>
      <c r="I13756" s="2">
        <v>0</v>
      </c>
      <c r="J13756" s="1">
        <v>46062.446469907409</v>
      </c>
    </row>
    <row r="13757" spans="1:10" x14ac:dyDescent="0.2">
      <c r="A13757" s="4" t="s">
        <v>1</v>
      </c>
      <c r="B13757" s="3" t="str">
        <f>HYPERLINK("https://otsuka-europe-crm.veevavault.com/ui/#object/approved_document__v/V5O00000000O004", "LUP - Congreso EAS- SER 2026 - nefro")</f>
        <v>LUP - Congreso EAS- SER 2026 - nefro</v>
      </c>
      <c r="C13757" s="3" t="str">
        <f>HYPERLINK("https://otsuka-europe-crm.veevavault.com/ui/#object/sent_email__v/VBL00000001B133", "SE-001403153")</f>
        <v>SE-001403153</v>
      </c>
      <c r="D13757" s="1" t="s">
        <v>0</v>
      </c>
      <c r="E13757" s="2">
        <v>0</v>
      </c>
      <c r="F13757" s="2">
        <v>0</v>
      </c>
      <c r="G13757" s="2">
        <v>0</v>
      </c>
      <c r="H13757" s="1" t="s">
        <v>0</v>
      </c>
      <c r="I13757" s="2">
        <v>0</v>
      </c>
      <c r="J13757" s="1">
        <v>46062.44672453704</v>
      </c>
    </row>
    <row r="13758" spans="1:10" x14ac:dyDescent="0.2">
      <c r="A13758" s="4" t="s">
        <v>1</v>
      </c>
      <c r="B13758" s="3" t="str">
        <f>HYPERLINK("https://otsuka-europe-crm.veevavault.com/ui/#object/approved_document__v/V5O00000000O004", "LUP - Congreso EAS- SER 2026 - nefro")</f>
        <v>LUP - Congreso EAS- SER 2026 - nefro</v>
      </c>
      <c r="C13758" s="3" t="str">
        <f>HYPERLINK("https://otsuka-europe-crm.veevavault.com/ui/#object/sent_email__v/VBL00000001B134", "SE-001403154")</f>
        <v>SE-001403154</v>
      </c>
      <c r="D13758" s="1" t="s">
        <v>0</v>
      </c>
      <c r="E13758" s="2">
        <v>0</v>
      </c>
      <c r="F13758" s="2">
        <v>0</v>
      </c>
      <c r="G13758" s="2">
        <v>0</v>
      </c>
      <c r="H13758" s="1" t="s">
        <v>0</v>
      </c>
      <c r="I13758" s="2">
        <v>0</v>
      </c>
      <c r="J13758" s="1">
        <v>46062.446956018517</v>
      </c>
    </row>
    <row r="13759" spans="1:10" x14ac:dyDescent="0.2">
      <c r="A13759" s="4" t="s">
        <v>1</v>
      </c>
      <c r="B13759" s="3" t="str">
        <f>HYPERLINK("https://otsuka-europe-crm.veevavault.com/ui/#object/approved_document__v/V5O00000000O004", "LUP - Congreso EAS- SER 2026 - nefro")</f>
        <v>LUP - Congreso EAS- SER 2026 - nefro</v>
      </c>
      <c r="C13759" s="3" t="str">
        <f>HYPERLINK("https://otsuka-europe-crm.veevavault.com/ui/#object/sent_email__v/VBL00000001B135", "SE-001403155")</f>
        <v>SE-001403155</v>
      </c>
      <c r="D13759" s="1" t="s">
        <v>0</v>
      </c>
      <c r="E13759" s="2">
        <v>0</v>
      </c>
      <c r="F13759" s="2">
        <v>0</v>
      </c>
      <c r="G13759" s="2">
        <v>0</v>
      </c>
      <c r="H13759" s="1" t="s">
        <v>0</v>
      </c>
      <c r="I13759" s="2">
        <v>0</v>
      </c>
      <c r="J13759" s="1">
        <v>46062.447256944448</v>
      </c>
    </row>
    <row r="13760" spans="1:10" x14ac:dyDescent="0.2">
      <c r="A13760" s="4" t="s">
        <v>1</v>
      </c>
      <c r="B13760" s="3" t="str">
        <f>HYPERLINK("https://otsuka-europe-crm.veevavault.com/ui/#object/approved_document__v/V5O00000000O004", "LUP - Congreso EAS- SER 2026 - nefro")</f>
        <v>LUP - Congreso EAS- SER 2026 - nefro</v>
      </c>
      <c r="C13760" s="3" t="str">
        <f>HYPERLINK("https://otsuka-europe-crm.veevavault.com/ui/#object/sent_email__v/VBL00000001B136", "SE-001403156")</f>
        <v>SE-001403156</v>
      </c>
      <c r="D13760" s="1">
        <v>46062.447754629633</v>
      </c>
      <c r="E13760" s="2">
        <v>1</v>
      </c>
      <c r="F13760" s="2">
        <v>2</v>
      </c>
      <c r="G13760" s="2">
        <v>1</v>
      </c>
      <c r="H13760" s="1">
        <v>46062.447731481479</v>
      </c>
      <c r="I13760" s="2">
        <v>6</v>
      </c>
      <c r="J13760" s="1">
        <v>46062.447511574072</v>
      </c>
    </row>
    <row r="13761" spans="1:10" x14ac:dyDescent="0.2">
      <c r="A13761" s="4" t="s">
        <v>1</v>
      </c>
      <c r="B13761" s="3" t="str">
        <f>HYPERLINK("https://otsuka-europe-crm.veevavault.com/ui/#object/approved_document__v/V5O00000000O004", "LUP - Congreso EAS- SER 2026 - nefro")</f>
        <v>LUP - Congreso EAS- SER 2026 - nefro</v>
      </c>
      <c r="C13761" s="3" t="str">
        <f>HYPERLINK("https://otsuka-europe-crm.veevavault.com/ui/#object/sent_email__v/VBL00000001B137", "SE-001403157")</f>
        <v>SE-001403157</v>
      </c>
      <c r="D13761" s="1" t="s">
        <v>0</v>
      </c>
      <c r="E13761" s="2">
        <v>0</v>
      </c>
      <c r="F13761" s="2">
        <v>0</v>
      </c>
      <c r="G13761" s="2">
        <v>0</v>
      </c>
      <c r="H13761" s="1" t="s">
        <v>0</v>
      </c>
      <c r="I13761" s="2">
        <v>0</v>
      </c>
      <c r="J13761" s="1">
        <v>46062.447766203702</v>
      </c>
    </row>
    <row r="13762" spans="1:10" x14ac:dyDescent="0.2">
      <c r="A13762" s="4" t="s">
        <v>1</v>
      </c>
      <c r="B13762" s="3" t="str">
        <f>HYPERLINK("https://otsuka-europe-crm.veevavault.com/ui/#object/approved_document__v/V5O00000000O004", "LUP - Congreso EAS- SER 2026 - nefro")</f>
        <v>LUP - Congreso EAS- SER 2026 - nefro</v>
      </c>
      <c r="C13762" s="3" t="str">
        <f>HYPERLINK("https://otsuka-europe-crm.veevavault.com/ui/#object/sent_email__v/VBL00000001B138", "SE-001403158")</f>
        <v>SE-001403158</v>
      </c>
      <c r="D13762" s="1" t="s">
        <v>0</v>
      </c>
      <c r="E13762" s="2">
        <v>0</v>
      </c>
      <c r="F13762" s="2">
        <v>0</v>
      </c>
      <c r="G13762" s="2">
        <v>0</v>
      </c>
      <c r="H13762" s="1" t="s">
        <v>0</v>
      </c>
      <c r="I13762" s="2">
        <v>0</v>
      </c>
      <c r="J13762" s="1">
        <v>46062.447974537034</v>
      </c>
    </row>
    <row r="13763" spans="1:10" x14ac:dyDescent="0.2">
      <c r="A13763" s="4" t="s">
        <v>1</v>
      </c>
      <c r="B13763" s="3" t="str">
        <f>HYPERLINK("https://otsuka-europe-crm.veevavault.com/ui/#object/approved_document__v/V5O00000000O004", "LUP - Congreso EAS- SER 2026 - nefro")</f>
        <v>LUP - Congreso EAS- SER 2026 - nefro</v>
      </c>
      <c r="C13763" s="3" t="str">
        <f>HYPERLINK("https://otsuka-europe-crm.veevavault.com/ui/#object/sent_email__v/VBL00000001B139", "SE-001403159")</f>
        <v>SE-001403159</v>
      </c>
      <c r="D13763" s="1" t="s">
        <v>0</v>
      </c>
      <c r="E13763" s="2">
        <v>0</v>
      </c>
      <c r="F13763" s="2">
        <v>0</v>
      </c>
      <c r="G13763" s="2">
        <v>0</v>
      </c>
      <c r="H13763" s="1" t="s">
        <v>0</v>
      </c>
      <c r="I13763" s="2">
        <v>0</v>
      </c>
      <c r="J13763" s="1">
        <v>46062.448136574072</v>
      </c>
    </row>
    <row r="13764" spans="1:10" x14ac:dyDescent="0.2">
      <c r="A13764" s="4" t="s">
        <v>1</v>
      </c>
      <c r="B13764" s="3" t="str">
        <f>HYPERLINK("https://otsuka-europe-crm.veevavault.com/ui/#object/approved_document__v/V5O00000000O004", "LUP - Congreso EAS- SER 2026 - nefro")</f>
        <v>LUP - Congreso EAS- SER 2026 - nefro</v>
      </c>
      <c r="C13764" s="3" t="str">
        <f>HYPERLINK("https://otsuka-europe-crm.veevavault.com/ui/#object/sent_email__v/VBL00000001B140", "SE-001403160")</f>
        <v>SE-001403160</v>
      </c>
      <c r="D13764" s="1" t="s">
        <v>0</v>
      </c>
      <c r="E13764" s="2">
        <v>0</v>
      </c>
      <c r="F13764" s="2">
        <v>0</v>
      </c>
      <c r="G13764" s="2">
        <v>0</v>
      </c>
      <c r="H13764" s="1" t="s">
        <v>0</v>
      </c>
      <c r="I13764" s="2">
        <v>0</v>
      </c>
      <c r="J13764" s="1">
        <v>46062.448298611111</v>
      </c>
    </row>
    <row r="13765" spans="1:10" x14ac:dyDescent="0.2">
      <c r="A13765" s="4" t="s">
        <v>1</v>
      </c>
      <c r="B13765" s="3" t="str">
        <f>HYPERLINK("https://otsuka-europe-crm.veevavault.com/ui/#object/approved_document__v/V5O00000000O004", "LUP - Congreso EAS- SER 2026 - nefro")</f>
        <v>LUP - Congreso EAS- SER 2026 - nefro</v>
      </c>
      <c r="C13765" s="3" t="str">
        <f>HYPERLINK("https://otsuka-europe-crm.veevavault.com/ui/#object/sent_email__v/VBL00000001B141", "SE-001403161")</f>
        <v>SE-001403161</v>
      </c>
      <c r="D13765" s="1">
        <v>46062.683564814812</v>
      </c>
      <c r="E13765" s="2">
        <v>1</v>
      </c>
      <c r="F13765" s="2">
        <v>1</v>
      </c>
      <c r="G13765" s="2">
        <v>0</v>
      </c>
      <c r="H13765" s="1" t="s">
        <v>0</v>
      </c>
      <c r="I13765" s="2">
        <v>0</v>
      </c>
      <c r="J13765" s="1">
        <v>46062.448472222219</v>
      </c>
    </row>
    <row r="13766" spans="1:10" x14ac:dyDescent="0.2">
      <c r="A13766" s="4" t="s">
        <v>1</v>
      </c>
      <c r="B13766" s="3" t="str">
        <f>HYPERLINK("https://otsuka-europe-crm.veevavault.com/ui/#object/approved_document__v/V5O00000000O004", "LUP - Congreso EAS- SER 2026 - nefro")</f>
        <v>LUP - Congreso EAS- SER 2026 - nefro</v>
      </c>
      <c r="C13766" s="3" t="str">
        <f>HYPERLINK("https://otsuka-europe-crm.veevavault.com/ui/#object/sent_email__v/VBL00000001B142", "SE-001403162")</f>
        <v>SE-001403162</v>
      </c>
      <c r="D13766" s="1" t="s">
        <v>0</v>
      </c>
      <c r="E13766" s="2">
        <v>0</v>
      </c>
      <c r="F13766" s="2">
        <v>0</v>
      </c>
      <c r="G13766" s="2">
        <v>0</v>
      </c>
      <c r="H13766" s="1" t="s">
        <v>0</v>
      </c>
      <c r="I13766" s="2">
        <v>0</v>
      </c>
      <c r="J13766" s="1">
        <v>46062.448645833334</v>
      </c>
    </row>
    <row r="13767" spans="1:10" x14ac:dyDescent="0.2">
      <c r="A13767" s="4" t="s">
        <v>1</v>
      </c>
      <c r="B13767" s="3" t="str">
        <f>HYPERLINK("https://otsuka-europe-crm.veevavault.com/ui/#object/approved_document__v/V5O00000000O004", "LUP - Congreso EAS- SER 2026 - nefro")</f>
        <v>LUP - Congreso EAS- SER 2026 - nefro</v>
      </c>
      <c r="C13767" s="3" t="str">
        <f>HYPERLINK("https://otsuka-europe-crm.veevavault.com/ui/#object/sent_email__v/VBL00000001B143", "SE-001403163")</f>
        <v>SE-001403163</v>
      </c>
      <c r="D13767" s="1" t="s">
        <v>0</v>
      </c>
      <c r="E13767" s="2">
        <v>0</v>
      </c>
      <c r="F13767" s="2">
        <v>0</v>
      </c>
      <c r="G13767" s="2">
        <v>0</v>
      </c>
      <c r="H13767" s="1" t="s">
        <v>0</v>
      </c>
      <c r="I13767" s="2">
        <v>0</v>
      </c>
      <c r="J13767" s="1">
        <v>46062.448807870373</v>
      </c>
    </row>
    <row r="13768" spans="1:10" x14ac:dyDescent="0.2">
      <c r="A13768" s="4" t="s">
        <v>1</v>
      </c>
      <c r="B13768" s="3" t="str">
        <f>HYPERLINK("https://otsuka-europe-crm.veevavault.com/ui/#object/approved_document__v/V5O00000000O004", "LUP - Congreso EAS- SER 2026 - nefro")</f>
        <v>LUP - Congreso EAS- SER 2026 - nefro</v>
      </c>
      <c r="C13768" s="3" t="str">
        <f>HYPERLINK("https://otsuka-europe-crm.veevavault.com/ui/#object/sent_email__v/VBL00000001B144", "SE-001403164")</f>
        <v>SE-001403164</v>
      </c>
      <c r="D13768" s="1">
        <v>46062.928263888891</v>
      </c>
      <c r="E13768" s="2">
        <v>1</v>
      </c>
      <c r="F13768" s="2">
        <v>1</v>
      </c>
      <c r="G13768" s="2">
        <v>0</v>
      </c>
      <c r="H13768" s="1" t="s">
        <v>0</v>
      </c>
      <c r="I13768" s="2">
        <v>0</v>
      </c>
      <c r="J13768" s="1">
        <v>46062.448981481481</v>
      </c>
    </row>
    <row r="13769" spans="1:10" x14ac:dyDescent="0.2">
      <c r="A13769" s="4" t="s">
        <v>1</v>
      </c>
      <c r="B13769" s="3" t="str">
        <f>HYPERLINK("https://otsuka-europe-crm.veevavault.com/ui/#object/approved_document__v/V5O00000000O004", "LUP - Congreso EAS- SER 2026 - nefro")</f>
        <v>LUP - Congreso EAS- SER 2026 - nefro</v>
      </c>
      <c r="C13769" s="3" t="str">
        <f>HYPERLINK("https://otsuka-europe-crm.veevavault.com/ui/#object/sent_email__v/VBL00000001B145", "SE-001403165")</f>
        <v>SE-001403165</v>
      </c>
      <c r="D13769" s="1" t="s">
        <v>0</v>
      </c>
      <c r="E13769" s="2">
        <v>0</v>
      </c>
      <c r="F13769" s="2">
        <v>0</v>
      </c>
      <c r="G13769" s="2">
        <v>0</v>
      </c>
      <c r="H13769" s="1" t="s">
        <v>0</v>
      </c>
      <c r="I13769" s="2">
        <v>0</v>
      </c>
      <c r="J13769" s="1">
        <v>46062.449166666665</v>
      </c>
    </row>
    <row r="13770" spans="1:10" x14ac:dyDescent="0.2">
      <c r="A13770" s="4" t="s">
        <v>1</v>
      </c>
      <c r="B13770" s="3" t="str">
        <f>HYPERLINK("https://otsuka-europe-crm.veevavault.com/ui/#object/approved_document__v/V5O00000000O004", "LUP - Congreso EAS- SER 2026 - nefro")</f>
        <v>LUP - Congreso EAS- SER 2026 - nefro</v>
      </c>
      <c r="C13770" s="3" t="str">
        <f>HYPERLINK("https://otsuka-europe-crm.veevavault.com/ui/#object/sent_email__v/VBL00000001B146", "SE-001403166")</f>
        <v>SE-001403166</v>
      </c>
      <c r="D13770" s="1" t="s">
        <v>0</v>
      </c>
      <c r="E13770" s="2">
        <v>0</v>
      </c>
      <c r="F13770" s="2">
        <v>0</v>
      </c>
      <c r="G13770" s="2">
        <v>0</v>
      </c>
      <c r="H13770" s="1" t="s">
        <v>0</v>
      </c>
      <c r="I13770" s="2">
        <v>0</v>
      </c>
      <c r="J13770" s="1">
        <v>46062.44935185185</v>
      </c>
    </row>
    <row r="13771" spans="1:10" x14ac:dyDescent="0.2">
      <c r="A13771" s="4" t="s">
        <v>1</v>
      </c>
      <c r="B13771" s="3" t="str">
        <f>HYPERLINK("https://otsuka-europe-crm.veevavault.com/ui/#object/approved_document__v/V5O00000000O004", "LUP - Congreso EAS- SER 2026 - nefro")</f>
        <v>LUP - Congreso EAS- SER 2026 - nefro</v>
      </c>
      <c r="C13771" s="3" t="str">
        <f>HYPERLINK("https://otsuka-europe-crm.veevavault.com/ui/#object/sent_email__v/VBL00000001B147", "SE-001403167")</f>
        <v>SE-001403167</v>
      </c>
      <c r="D13771" s="1" t="s">
        <v>0</v>
      </c>
      <c r="E13771" s="2">
        <v>0</v>
      </c>
      <c r="F13771" s="2">
        <v>0</v>
      </c>
      <c r="G13771" s="2">
        <v>0</v>
      </c>
      <c r="H13771" s="1" t="s">
        <v>0</v>
      </c>
      <c r="I13771" s="2">
        <v>0</v>
      </c>
      <c r="J13771" s="1">
        <v>46062.449513888889</v>
      </c>
    </row>
    <row r="13772" spans="1:10" x14ac:dyDescent="0.2">
      <c r="A13772" s="4" t="s">
        <v>1</v>
      </c>
      <c r="B13772" s="3" t="str">
        <f>HYPERLINK("https://otsuka-europe-crm.veevavault.com/ui/#object/approved_document__v/V5O00000000O004", "LUP - Congreso EAS- SER 2026 - nefro")</f>
        <v>LUP - Congreso EAS- SER 2026 - nefro</v>
      </c>
      <c r="C13772" s="3" t="str">
        <f>HYPERLINK("https://otsuka-europe-crm.veevavault.com/ui/#object/sent_email__v/VBL00000001B148", "SE-001403168")</f>
        <v>SE-001403168</v>
      </c>
      <c r="D13772" s="1">
        <v>46071.929456018515</v>
      </c>
      <c r="E13772" s="2">
        <v>1</v>
      </c>
      <c r="F13772" s="2">
        <v>2</v>
      </c>
      <c r="G13772" s="2">
        <v>0</v>
      </c>
      <c r="H13772" s="1" t="s">
        <v>0</v>
      </c>
      <c r="I13772" s="2">
        <v>0</v>
      </c>
      <c r="J13772" s="1">
        <v>46062.449733796297</v>
      </c>
    </row>
    <row r="13773" spans="1:10" x14ac:dyDescent="0.2">
      <c r="A13773" s="4" t="s">
        <v>1</v>
      </c>
      <c r="B13773" s="3" t="str">
        <f>HYPERLINK("https://otsuka-europe-crm.veevavault.com/ui/#object/approved_document__v/V5O00000000O004", "LUP - Congreso EAS- SER 2026 - nefro")</f>
        <v>LUP - Congreso EAS- SER 2026 - nefro</v>
      </c>
      <c r="C13773" s="3" t="str">
        <f>HYPERLINK("https://otsuka-europe-crm.veevavault.com/ui/#object/sent_email__v/VBL00000001B149", "SE-001403169")</f>
        <v>SE-001403169</v>
      </c>
      <c r="D13773" s="1" t="s">
        <v>0</v>
      </c>
      <c r="E13773" s="2">
        <v>0</v>
      </c>
      <c r="F13773" s="2">
        <v>0</v>
      </c>
      <c r="G13773" s="2">
        <v>0</v>
      </c>
      <c r="H13773" s="1" t="s">
        <v>0</v>
      </c>
      <c r="I13773" s="2">
        <v>0</v>
      </c>
      <c r="J13773" s="1">
        <v>46062.449988425928</v>
      </c>
    </row>
    <row r="13774" spans="1:10" x14ac:dyDescent="0.2">
      <c r="A13774" s="4" t="s">
        <v>1</v>
      </c>
      <c r="B13774" s="3" t="str">
        <f>HYPERLINK("https://otsuka-europe-crm.veevavault.com/ui/#object/approved_document__v/V5O00000000O004", "LUP - Congreso EAS- SER 2026 - nefro")</f>
        <v>LUP - Congreso EAS- SER 2026 - nefro</v>
      </c>
      <c r="C13774" s="3" t="str">
        <f>HYPERLINK("https://otsuka-europe-crm.veevavault.com/ui/#object/sent_email__v/VBL00000001B150", "SE-001403170")</f>
        <v>SE-001403170</v>
      </c>
      <c r="D13774" s="1" t="s">
        <v>0</v>
      </c>
      <c r="E13774" s="2">
        <v>0</v>
      </c>
      <c r="F13774" s="2">
        <v>0</v>
      </c>
      <c r="G13774" s="2">
        <v>0</v>
      </c>
      <c r="H13774" s="1" t="s">
        <v>0</v>
      </c>
      <c r="I13774" s="2">
        <v>0</v>
      </c>
      <c r="J13774" s="1">
        <v>46062.450231481482</v>
      </c>
    </row>
    <row r="13775" spans="1:10" x14ac:dyDescent="0.2">
      <c r="A13775" s="4" t="s">
        <v>1</v>
      </c>
      <c r="B13775" s="3" t="str">
        <f>HYPERLINK("https://otsuka-europe-crm.veevavault.com/ui/#object/approved_document__v/V5O00000000O004", "LUP - Congreso EAS- SER 2026 - nefro")</f>
        <v>LUP - Congreso EAS- SER 2026 - nefro</v>
      </c>
      <c r="C13775" s="3" t="str">
        <f>HYPERLINK("https://otsuka-europe-crm.veevavault.com/ui/#object/sent_email__v/VBL00000001B151", "SE-001403171")</f>
        <v>SE-001403171</v>
      </c>
      <c r="D13775" s="1" t="s">
        <v>0</v>
      </c>
      <c r="E13775" s="2">
        <v>0</v>
      </c>
      <c r="F13775" s="2">
        <v>0</v>
      </c>
      <c r="G13775" s="2">
        <v>0</v>
      </c>
      <c r="H13775" s="1" t="s">
        <v>0</v>
      </c>
      <c r="I13775" s="2">
        <v>0</v>
      </c>
      <c r="J13775" s="1">
        <v>46062.450486111113</v>
      </c>
    </row>
    <row r="13776" spans="1:10" x14ac:dyDescent="0.2">
      <c r="A13776" s="4" t="s">
        <v>1</v>
      </c>
      <c r="B13776" s="3" t="str">
        <f>HYPERLINK("https://otsuka-europe-crm.veevavault.com/ui/#object/approved_document__v/V5O00000000O004", "LUP - Congreso EAS- SER 2026 - nefro")</f>
        <v>LUP - Congreso EAS- SER 2026 - nefro</v>
      </c>
      <c r="C13776" s="3" t="str">
        <f>HYPERLINK("https://otsuka-europe-crm.veevavault.com/ui/#object/sent_email__v/VBL00000001B152", "SE-001403172")</f>
        <v>SE-001403172</v>
      </c>
      <c r="D13776" s="1" t="s">
        <v>0</v>
      </c>
      <c r="E13776" s="2">
        <v>0</v>
      </c>
      <c r="F13776" s="2">
        <v>0</v>
      </c>
      <c r="G13776" s="2">
        <v>0</v>
      </c>
      <c r="H13776" s="1" t="s">
        <v>0</v>
      </c>
      <c r="I13776" s="2">
        <v>0</v>
      </c>
      <c r="J13776" s="1">
        <v>46062.450752314813</v>
      </c>
    </row>
    <row r="13777" spans="1:10" x14ac:dyDescent="0.2">
      <c r="A13777" s="4" t="s">
        <v>1</v>
      </c>
      <c r="B13777" s="3" t="str">
        <f>HYPERLINK("https://otsuka-europe-crm.veevavault.com/ui/#object/approved_document__v/V5O00000000O004", "LUP - Congreso EAS- SER 2026 - nefro")</f>
        <v>LUP - Congreso EAS- SER 2026 - nefro</v>
      </c>
      <c r="C13777" s="3" t="str">
        <f>HYPERLINK("https://otsuka-europe-crm.veevavault.com/ui/#object/sent_email__v/VBL00000001B153", "SE-001403173")</f>
        <v>SE-001403173</v>
      </c>
      <c r="D13777" s="1" t="s">
        <v>0</v>
      </c>
      <c r="E13777" s="2">
        <v>0</v>
      </c>
      <c r="F13777" s="2">
        <v>0</v>
      </c>
      <c r="G13777" s="2">
        <v>0</v>
      </c>
      <c r="H13777" s="1" t="s">
        <v>0</v>
      </c>
      <c r="I13777" s="2">
        <v>0</v>
      </c>
      <c r="J13777" s="1">
        <v>46062.450995370367</v>
      </c>
    </row>
    <row r="13778" spans="1:10" x14ac:dyDescent="0.2">
      <c r="A13778" s="4" t="s">
        <v>1</v>
      </c>
      <c r="B13778" s="3" t="str">
        <f>HYPERLINK("https://otsuka-europe-crm.veevavault.com/ui/#object/approved_document__v/V5O00000000O004", "LUP - Congreso EAS- SER 2026 - nefro")</f>
        <v>LUP - Congreso EAS- SER 2026 - nefro</v>
      </c>
      <c r="C13778" s="3" t="str">
        <f>HYPERLINK("https://otsuka-europe-crm.veevavault.com/ui/#object/sent_email__v/VBL00000001B154", "SE-001403174")</f>
        <v>SE-001403174</v>
      </c>
      <c r="D13778" s="1" t="s">
        <v>0</v>
      </c>
      <c r="E13778" s="2">
        <v>0</v>
      </c>
      <c r="F13778" s="2">
        <v>0</v>
      </c>
      <c r="G13778" s="2">
        <v>0</v>
      </c>
      <c r="H13778" s="1" t="s">
        <v>0</v>
      </c>
      <c r="I13778" s="2">
        <v>0</v>
      </c>
      <c r="J13778" s="1">
        <v>46062.451238425929</v>
      </c>
    </row>
    <row r="13779" spans="1:10" x14ac:dyDescent="0.2">
      <c r="A13779" s="4" t="s">
        <v>1</v>
      </c>
      <c r="B13779" s="3" t="str">
        <f>HYPERLINK("https://otsuka-europe-crm.veevavault.com/ui/#object/approved_document__v/V5O00000000O004", "LUP - Congreso EAS- SER 2026 - nefro")</f>
        <v>LUP - Congreso EAS- SER 2026 - nefro</v>
      </c>
      <c r="C13779" s="3" t="str">
        <f>HYPERLINK("https://otsuka-europe-crm.veevavault.com/ui/#object/sent_email__v/VBL00000001B155", "SE-001403175")</f>
        <v>SE-001403175</v>
      </c>
      <c r="D13779" s="1" t="s">
        <v>0</v>
      </c>
      <c r="E13779" s="2">
        <v>0</v>
      </c>
      <c r="F13779" s="2">
        <v>0</v>
      </c>
      <c r="G13779" s="2">
        <v>0</v>
      </c>
      <c r="H13779" s="1" t="s">
        <v>0</v>
      </c>
      <c r="I13779" s="2">
        <v>0</v>
      </c>
      <c r="J13779" s="1">
        <v>46062.45144675926</v>
      </c>
    </row>
    <row r="13780" spans="1:10" x14ac:dyDescent="0.2">
      <c r="A13780" s="4" t="s">
        <v>1</v>
      </c>
      <c r="B13780" s="3" t="str">
        <f>HYPERLINK("https://otsuka-europe-crm.veevavault.com/ui/#object/approved_document__v/V5O00000000O004", "LUP - Congreso EAS- SER 2026 - nefro")</f>
        <v>LUP - Congreso EAS- SER 2026 - nefro</v>
      </c>
      <c r="C13780" s="3" t="str">
        <f>HYPERLINK("https://otsuka-europe-crm.veevavault.com/ui/#object/sent_email__v/VBL00000001B156", "SE-001403176")</f>
        <v>SE-001403176</v>
      </c>
      <c r="D13780" s="1" t="s">
        <v>0</v>
      </c>
      <c r="E13780" s="2">
        <v>0</v>
      </c>
      <c r="F13780" s="2">
        <v>0</v>
      </c>
      <c r="G13780" s="2">
        <v>0</v>
      </c>
      <c r="H13780" s="1" t="s">
        <v>0</v>
      </c>
      <c r="I13780" s="2">
        <v>0</v>
      </c>
      <c r="J13780" s="1">
        <v>46062.451608796298</v>
      </c>
    </row>
    <row r="13781" spans="1:10" x14ac:dyDescent="0.2">
      <c r="A13781" s="4" t="s">
        <v>1</v>
      </c>
      <c r="B13781" s="3" t="str">
        <f>HYPERLINK("https://otsuka-europe-crm.veevavault.com/ui/#object/approved_document__v/V5O00000000O004", "LUP - Congreso EAS- SER 2026 - nefro")</f>
        <v>LUP - Congreso EAS- SER 2026 - nefro</v>
      </c>
      <c r="C13781" s="3" t="str">
        <f>HYPERLINK("https://otsuka-europe-crm.veevavault.com/ui/#object/sent_email__v/VBL00000001B157", "SE-001403177")</f>
        <v>SE-001403177</v>
      </c>
      <c r="D13781" s="1" t="s">
        <v>0</v>
      </c>
      <c r="E13781" s="2">
        <v>0</v>
      </c>
      <c r="F13781" s="2">
        <v>0</v>
      </c>
      <c r="G13781" s="2">
        <v>0</v>
      </c>
      <c r="H13781" s="1" t="s">
        <v>0</v>
      </c>
      <c r="I13781" s="2">
        <v>0</v>
      </c>
      <c r="J13781" s="1">
        <v>46062.451782407406</v>
      </c>
    </row>
    <row r="13782" spans="1:10" x14ac:dyDescent="0.2">
      <c r="A13782" s="4" t="s">
        <v>1</v>
      </c>
      <c r="B13782" s="3" t="str">
        <f>HYPERLINK("https://otsuka-europe-crm.veevavault.com/ui/#object/approved_document__v/V5O00000000O004", "LUP - Congreso EAS- SER 2026 - nefro")</f>
        <v>LUP - Congreso EAS- SER 2026 - nefro</v>
      </c>
      <c r="C13782" s="3" t="str">
        <f>HYPERLINK("https://otsuka-europe-crm.veevavault.com/ui/#object/sent_email__v/VBL00000001B158", "SE-001403178")</f>
        <v>SE-001403178</v>
      </c>
      <c r="D13782" s="1">
        <v>46062.632013888891</v>
      </c>
      <c r="E13782" s="2">
        <v>1</v>
      </c>
      <c r="F13782" s="2">
        <v>3</v>
      </c>
      <c r="G13782" s="2">
        <v>1</v>
      </c>
      <c r="H13782" s="1">
        <v>46062.452152777776</v>
      </c>
      <c r="I13782" s="2">
        <v>6</v>
      </c>
      <c r="J13782" s="1">
        <v>46062.451956018522</v>
      </c>
    </row>
    <row r="13783" spans="1:10" x14ac:dyDescent="0.2">
      <c r="A13783" s="4" t="s">
        <v>1</v>
      </c>
      <c r="B13783" s="3" t="str">
        <f>HYPERLINK("https://otsuka-europe-crm.veevavault.com/ui/#object/approved_document__v/V5O00000000O004", "LUP - Congreso EAS- SER 2026 - nefro")</f>
        <v>LUP - Congreso EAS- SER 2026 - nefro</v>
      </c>
      <c r="C13783" s="3" t="str">
        <f>HYPERLINK("https://otsuka-europe-crm.veevavault.com/ui/#object/sent_email__v/VBL00000001B159", "SE-001403179")</f>
        <v>SE-001403179</v>
      </c>
      <c r="D13783" s="1" t="s">
        <v>0</v>
      </c>
      <c r="E13783" s="2">
        <v>0</v>
      </c>
      <c r="F13783" s="2">
        <v>0</v>
      </c>
      <c r="G13783" s="2">
        <v>0</v>
      </c>
      <c r="H13783" s="1" t="s">
        <v>0</v>
      </c>
      <c r="I13783" s="2">
        <v>0</v>
      </c>
      <c r="J13783" s="1">
        <v>46062.452141203707</v>
      </c>
    </row>
    <row r="13784" spans="1:10" x14ac:dyDescent="0.2">
      <c r="A13784" s="4" t="s">
        <v>1</v>
      </c>
      <c r="B13784" s="3" t="str">
        <f>HYPERLINK("https://otsuka-europe-crm.veevavault.com/ui/#object/approved_document__v/V5O00000000O004", "LUP - Congreso EAS- SER 2026 - nefro")</f>
        <v>LUP - Congreso EAS- SER 2026 - nefro</v>
      </c>
      <c r="C13784" s="3" t="str">
        <f>HYPERLINK("https://otsuka-europe-crm.veevavault.com/ui/#object/sent_email__v/VBL00000001B160", "SE-001403180")</f>
        <v>SE-001403180</v>
      </c>
      <c r="D13784" s="1" t="s">
        <v>0</v>
      </c>
      <c r="E13784" s="2">
        <v>0</v>
      </c>
      <c r="F13784" s="2">
        <v>0</v>
      </c>
      <c r="G13784" s="2">
        <v>0</v>
      </c>
      <c r="H13784" s="1" t="s">
        <v>0</v>
      </c>
      <c r="I13784" s="2">
        <v>0</v>
      </c>
      <c r="J13784" s="1">
        <v>46062.452326388891</v>
      </c>
    </row>
    <row r="13785" spans="1:10" x14ac:dyDescent="0.2">
      <c r="A13785" s="4" t="s">
        <v>1</v>
      </c>
      <c r="B13785" s="3" t="str">
        <f>HYPERLINK("https://otsuka-europe-crm.veevavault.com/ui/#object/approved_document__v/V5O00000000O004", "LUP - Congreso EAS- SER 2026 - nefro")</f>
        <v>LUP - Congreso EAS- SER 2026 - nefro</v>
      </c>
      <c r="C13785" s="3" t="str">
        <f>HYPERLINK("https://otsuka-europe-crm.veevavault.com/ui/#object/sent_email__v/VBL00000001B161", "SE-001403181")</f>
        <v>SE-001403181</v>
      </c>
      <c r="D13785" s="1" t="s">
        <v>0</v>
      </c>
      <c r="E13785" s="2">
        <v>0</v>
      </c>
      <c r="F13785" s="2">
        <v>0</v>
      </c>
      <c r="G13785" s="2">
        <v>0</v>
      </c>
      <c r="H13785" s="1" t="s">
        <v>0</v>
      </c>
      <c r="I13785" s="2">
        <v>0</v>
      </c>
      <c r="J13785" s="1">
        <v>46062.452476851853</v>
      </c>
    </row>
    <row r="13786" spans="1:10" x14ac:dyDescent="0.2">
      <c r="A13786" s="4" t="s">
        <v>1</v>
      </c>
      <c r="B13786" s="3" t="str">
        <f>HYPERLINK("https://otsuka-europe-crm.veevavault.com/ui/#object/approved_document__v/V5O00000000O004", "LUP - Congreso EAS- SER 2026 - nefro")</f>
        <v>LUP - Congreso EAS- SER 2026 - nefro</v>
      </c>
      <c r="C13786" s="3" t="str">
        <f>HYPERLINK("https://otsuka-europe-crm.veevavault.com/ui/#object/sent_email__v/VBL00000001B162", "SE-001403182")</f>
        <v>SE-001403182</v>
      </c>
      <c r="D13786" s="1" t="s">
        <v>0</v>
      </c>
      <c r="E13786" s="2">
        <v>0</v>
      </c>
      <c r="F13786" s="2">
        <v>0</v>
      </c>
      <c r="G13786" s="2">
        <v>0</v>
      </c>
      <c r="H13786" s="1" t="s">
        <v>0</v>
      </c>
      <c r="I13786" s="2">
        <v>0</v>
      </c>
      <c r="J13786" s="1">
        <v>46062.452650462961</v>
      </c>
    </row>
    <row r="13787" spans="1:10" x14ac:dyDescent="0.2">
      <c r="A13787" s="4" t="s">
        <v>1</v>
      </c>
      <c r="B13787" s="3" t="str">
        <f>HYPERLINK("https://otsuka-europe-crm.veevavault.com/ui/#object/approved_document__v/V5O00000000O004", "LUP - Congreso EAS- SER 2026 - nefro")</f>
        <v>LUP - Congreso EAS- SER 2026 - nefro</v>
      </c>
      <c r="C13787" s="3" t="str">
        <f>HYPERLINK("https://otsuka-europe-crm.veevavault.com/ui/#object/sent_email__v/VBL00000001B163", "SE-001403183")</f>
        <v>SE-001403183</v>
      </c>
      <c r="D13787" s="1" t="s">
        <v>0</v>
      </c>
      <c r="E13787" s="2">
        <v>0</v>
      </c>
      <c r="F13787" s="2">
        <v>0</v>
      </c>
      <c r="G13787" s="2">
        <v>0</v>
      </c>
      <c r="H13787" s="1" t="s">
        <v>0</v>
      </c>
      <c r="I13787" s="2">
        <v>0</v>
      </c>
      <c r="J13787" s="1">
        <v>46062.4528587963</v>
      </c>
    </row>
    <row r="13788" spans="1:10" x14ac:dyDescent="0.2">
      <c r="A13788" s="4" t="s">
        <v>1</v>
      </c>
      <c r="B13788" s="3" t="str">
        <f>HYPERLINK("https://otsuka-europe-crm.veevavault.com/ui/#object/approved_document__v/V5O00000000O004", "LUP - Congreso EAS- SER 2026 - nefro")</f>
        <v>LUP - Congreso EAS- SER 2026 - nefro</v>
      </c>
      <c r="C13788" s="3" t="str">
        <f>HYPERLINK("https://otsuka-europe-crm.veevavault.com/ui/#object/sent_email__v/VBL00000001B164", "SE-001403184")</f>
        <v>SE-001403184</v>
      </c>
      <c r="D13788" s="1" t="s">
        <v>0</v>
      </c>
      <c r="E13788" s="2">
        <v>0</v>
      </c>
      <c r="F13788" s="2">
        <v>0</v>
      </c>
      <c r="G13788" s="2">
        <v>0</v>
      </c>
      <c r="H13788" s="1" t="s">
        <v>0</v>
      </c>
      <c r="I13788" s="2">
        <v>0</v>
      </c>
      <c r="J13788" s="1">
        <v>46062.453113425923</v>
      </c>
    </row>
    <row r="13789" spans="1:10" x14ac:dyDescent="0.2">
      <c r="A13789" s="4" t="s">
        <v>1</v>
      </c>
      <c r="B13789" s="3" t="str">
        <f>HYPERLINK("https://otsuka-europe-crm.veevavault.com/ui/#object/approved_document__v/V5O00000000O004", "LUP - Congreso EAS- SER 2026 - nefro")</f>
        <v>LUP - Congreso EAS- SER 2026 - nefro</v>
      </c>
      <c r="C13789" s="3" t="str">
        <f>HYPERLINK("https://otsuka-europe-crm.veevavault.com/ui/#object/sent_email__v/VBL00000001B165", "SE-001403185")</f>
        <v>SE-001403185</v>
      </c>
      <c r="D13789" s="1" t="s">
        <v>0</v>
      </c>
      <c r="E13789" s="2">
        <v>0</v>
      </c>
      <c r="F13789" s="2">
        <v>0</v>
      </c>
      <c r="G13789" s="2">
        <v>0</v>
      </c>
      <c r="H13789" s="1" t="s">
        <v>0</v>
      </c>
      <c r="I13789" s="2">
        <v>0</v>
      </c>
      <c r="J13789" s="1">
        <v>46062.453356481485</v>
      </c>
    </row>
    <row r="13790" spans="1:10" x14ac:dyDescent="0.2">
      <c r="A13790" s="4" t="s">
        <v>1</v>
      </c>
      <c r="B13790" s="3" t="str">
        <f>HYPERLINK("https://otsuka-europe-crm.veevavault.com/ui/#object/approved_document__v/V5O00000000O004", "LUP - Congreso EAS- SER 2026 - nefro")</f>
        <v>LUP - Congreso EAS- SER 2026 - nefro</v>
      </c>
      <c r="C13790" s="3" t="str">
        <f>HYPERLINK("https://otsuka-europe-crm.veevavault.com/ui/#object/sent_email__v/VBL00000001B166", "SE-001403186")</f>
        <v>SE-001403186</v>
      </c>
      <c r="D13790" s="1" t="s">
        <v>0</v>
      </c>
      <c r="E13790" s="2">
        <v>0</v>
      </c>
      <c r="F13790" s="2">
        <v>0</v>
      </c>
      <c r="G13790" s="2">
        <v>0</v>
      </c>
      <c r="H13790" s="1" t="s">
        <v>0</v>
      </c>
      <c r="I13790" s="2">
        <v>0</v>
      </c>
      <c r="J13790" s="1">
        <v>46062.453599537039</v>
      </c>
    </row>
    <row r="13791" spans="1:10" x14ac:dyDescent="0.2">
      <c r="A13791" s="4" t="s">
        <v>1</v>
      </c>
      <c r="B13791" s="3" t="str">
        <f>HYPERLINK("https://otsuka-europe-crm.veevavault.com/ui/#object/approved_document__v/V5O00000000O004", "LUP - Congreso EAS- SER 2026 - nefro")</f>
        <v>LUP - Congreso EAS- SER 2026 - nefro</v>
      </c>
      <c r="C13791" s="3" t="str">
        <f>HYPERLINK("https://otsuka-europe-crm.veevavault.com/ui/#object/sent_email__v/VBL00000001B167", "SE-001403187")</f>
        <v>SE-001403187</v>
      </c>
      <c r="D13791" s="1" t="s">
        <v>0</v>
      </c>
      <c r="E13791" s="2">
        <v>0</v>
      </c>
      <c r="F13791" s="2">
        <v>0</v>
      </c>
      <c r="G13791" s="2">
        <v>0</v>
      </c>
      <c r="H13791" s="1" t="s">
        <v>0</v>
      </c>
      <c r="I13791" s="2">
        <v>0</v>
      </c>
      <c r="J13791" s="1">
        <v>46062.45385416667</v>
      </c>
    </row>
    <row r="13792" spans="1:10" x14ac:dyDescent="0.2">
      <c r="A13792" s="4" t="s">
        <v>1</v>
      </c>
      <c r="B13792" s="3" t="str">
        <f>HYPERLINK("https://otsuka-europe-crm.veevavault.com/ui/#object/approved_document__v/V5O00000000O004", "LUP - Congreso EAS- SER 2026 - nefro")</f>
        <v>LUP - Congreso EAS- SER 2026 - nefro</v>
      </c>
      <c r="C13792" s="3" t="str">
        <f>HYPERLINK("https://otsuka-europe-crm.veevavault.com/ui/#object/sent_email__v/VBL00000001B168", "SE-001403188")</f>
        <v>SE-001403188</v>
      </c>
      <c r="D13792" s="1" t="s">
        <v>0</v>
      </c>
      <c r="E13792" s="2">
        <v>0</v>
      </c>
      <c r="F13792" s="2">
        <v>0</v>
      </c>
      <c r="G13792" s="2">
        <v>0</v>
      </c>
      <c r="H13792" s="1" t="s">
        <v>0</v>
      </c>
      <c r="I13792" s="2">
        <v>0</v>
      </c>
      <c r="J13792" s="1">
        <v>46062.454097222224</v>
      </c>
    </row>
    <row r="13793" spans="1:10" x14ac:dyDescent="0.2">
      <c r="A13793" s="4" t="s">
        <v>1</v>
      </c>
      <c r="B13793" s="3" t="str">
        <f>HYPERLINK("https://otsuka-europe-crm.veevavault.com/ui/#object/approved_document__v/V5O00000000O004", "LUP - Congreso EAS- SER 2026 - nefro")</f>
        <v>LUP - Congreso EAS- SER 2026 - nefro</v>
      </c>
      <c r="C13793" s="3" t="str">
        <f>HYPERLINK("https://otsuka-europe-crm.veevavault.com/ui/#object/sent_email__v/VBL00000001B169", "SE-001403189")</f>
        <v>SE-001403189</v>
      </c>
      <c r="D13793" s="1" t="s">
        <v>0</v>
      </c>
      <c r="E13793" s="2">
        <v>0</v>
      </c>
      <c r="F13793" s="2">
        <v>0</v>
      </c>
      <c r="G13793" s="2">
        <v>0</v>
      </c>
      <c r="H13793" s="1" t="s">
        <v>0</v>
      </c>
      <c r="I13793" s="2">
        <v>0</v>
      </c>
      <c r="J13793" s="1">
        <v>46062.454386574071</v>
      </c>
    </row>
    <row r="13794" spans="1:10" x14ac:dyDescent="0.2">
      <c r="A13794" s="4" t="s">
        <v>1</v>
      </c>
      <c r="B13794" s="3" t="str">
        <f>HYPERLINK("https://otsuka-europe-crm.veevavault.com/ui/#object/approved_document__v/V5O00000000O004", "LUP - Congreso EAS- SER 2026 - nefro")</f>
        <v>LUP - Congreso EAS- SER 2026 - nefro</v>
      </c>
      <c r="C13794" s="3" t="str">
        <f>HYPERLINK("https://otsuka-europe-crm.veevavault.com/ui/#object/sent_email__v/VBL00000001B170", "SE-001403190")</f>
        <v>SE-001403190</v>
      </c>
      <c r="D13794" s="1" t="s">
        <v>0</v>
      </c>
      <c r="E13794" s="2">
        <v>0</v>
      </c>
      <c r="F13794" s="2">
        <v>0</v>
      </c>
      <c r="G13794" s="2">
        <v>0</v>
      </c>
      <c r="H13794" s="1" t="s">
        <v>0</v>
      </c>
      <c r="I13794" s="2">
        <v>0</v>
      </c>
      <c r="J13794" s="1">
        <v>46062.454629629632</v>
      </c>
    </row>
    <row r="13795" spans="1:10" x14ac:dyDescent="0.2">
      <c r="A13795" s="4" t="s">
        <v>1</v>
      </c>
      <c r="B13795" s="3" t="str">
        <f>HYPERLINK("https://otsuka-europe-crm.veevavault.com/ui/#object/approved_document__v/V5O00000000O004", "LUP - Congreso EAS- SER 2026 - nefro")</f>
        <v>LUP - Congreso EAS- SER 2026 - nefro</v>
      </c>
      <c r="C13795" s="3" t="str">
        <f>HYPERLINK("https://otsuka-europe-crm.veevavault.com/ui/#object/sent_email__v/VBL00000001B171", "SE-001403191")</f>
        <v>SE-001403191</v>
      </c>
      <c r="D13795" s="1" t="s">
        <v>0</v>
      </c>
      <c r="E13795" s="2">
        <v>0</v>
      </c>
      <c r="F13795" s="2">
        <v>0</v>
      </c>
      <c r="G13795" s="2">
        <v>0</v>
      </c>
      <c r="H13795" s="1" t="s">
        <v>0</v>
      </c>
      <c r="I13795" s="2">
        <v>0</v>
      </c>
      <c r="J13795" s="1">
        <v>46062.454872685186</v>
      </c>
    </row>
    <row r="13796" spans="1:10" x14ac:dyDescent="0.2">
      <c r="A13796" s="4" t="s">
        <v>1</v>
      </c>
      <c r="B13796" s="3" t="str">
        <f>HYPERLINK("https://otsuka-europe-crm.veevavault.com/ui/#object/approved_document__v/V5O00000000O004", "LUP - Congreso EAS- SER 2026 - nefro")</f>
        <v>LUP - Congreso EAS- SER 2026 - nefro</v>
      </c>
      <c r="C13796" s="3" t="str">
        <f>HYPERLINK("https://otsuka-europe-crm.veevavault.com/ui/#object/sent_email__v/VBL00000001B172", "SE-001403192")</f>
        <v>SE-001403192</v>
      </c>
      <c r="D13796" s="1" t="s">
        <v>0</v>
      </c>
      <c r="E13796" s="2">
        <v>0</v>
      </c>
      <c r="F13796" s="2">
        <v>0</v>
      </c>
      <c r="G13796" s="2">
        <v>0</v>
      </c>
      <c r="H13796" s="1" t="s">
        <v>0</v>
      </c>
      <c r="I13796" s="2">
        <v>0</v>
      </c>
      <c r="J13796" s="1">
        <v>46062.455046296294</v>
      </c>
    </row>
    <row r="13797" spans="1:10" x14ac:dyDescent="0.2">
      <c r="A13797" s="4" t="s">
        <v>1</v>
      </c>
      <c r="B13797" s="3" t="str">
        <f>HYPERLINK("https://otsuka-europe-crm.veevavault.com/ui/#object/approved_document__v/V5O00000000O004", "LUP - Congreso EAS- SER 2026 - nefro")</f>
        <v>LUP - Congreso EAS- SER 2026 - nefro</v>
      </c>
      <c r="C13797" s="3" t="str">
        <f>HYPERLINK("https://otsuka-europe-crm.veevavault.com/ui/#object/sent_email__v/VBL00000001B173", "SE-001403193")</f>
        <v>SE-001403193</v>
      </c>
      <c r="D13797" s="1" t="s">
        <v>0</v>
      </c>
      <c r="E13797" s="2">
        <v>0</v>
      </c>
      <c r="F13797" s="2">
        <v>0</v>
      </c>
      <c r="G13797" s="2">
        <v>0</v>
      </c>
      <c r="H13797" s="1" t="s">
        <v>0</v>
      </c>
      <c r="I13797" s="2">
        <v>0</v>
      </c>
      <c r="J13797" s="1">
        <v>46062.45521990741</v>
      </c>
    </row>
    <row r="13798" spans="1:10" x14ac:dyDescent="0.2">
      <c r="A13798" s="4" t="s">
        <v>1</v>
      </c>
      <c r="B13798" s="3" t="str">
        <f>HYPERLINK("https://otsuka-europe-crm.veevavault.com/ui/#object/approved_document__v/V5O00000000O004", "LUP - Congreso EAS- SER 2026 - nefro")</f>
        <v>LUP - Congreso EAS- SER 2026 - nefro</v>
      </c>
      <c r="C13798" s="3" t="str">
        <f>HYPERLINK("https://otsuka-europe-crm.veevavault.com/ui/#object/sent_email__v/VBL00000001B174", "SE-001403194")</f>
        <v>SE-001403194</v>
      </c>
      <c r="D13798" s="1" t="s">
        <v>0</v>
      </c>
      <c r="E13798" s="2">
        <v>0</v>
      </c>
      <c r="F13798" s="2">
        <v>0</v>
      </c>
      <c r="G13798" s="2">
        <v>0</v>
      </c>
      <c r="H13798" s="1" t="s">
        <v>0</v>
      </c>
      <c r="I13798" s="2">
        <v>0</v>
      </c>
      <c r="J13798" s="1">
        <v>46062.455381944441</v>
      </c>
    </row>
    <row r="13799" spans="1:10" x14ac:dyDescent="0.2">
      <c r="A13799" s="4" t="s">
        <v>1</v>
      </c>
      <c r="B13799" s="3" t="str">
        <f>HYPERLINK("https://otsuka-europe-crm.veevavault.com/ui/#object/approved_document__v/V5O00000000O004", "LUP - Congreso EAS- SER 2026 - nefro")</f>
        <v>LUP - Congreso EAS- SER 2026 - nefro</v>
      </c>
      <c r="C13799" s="3" t="str">
        <f>HYPERLINK("https://otsuka-europe-crm.veevavault.com/ui/#object/sent_email__v/VBL00000001B175", "SE-001403195")</f>
        <v>SE-001403195</v>
      </c>
      <c r="D13799" s="1">
        <v>46062.504259259258</v>
      </c>
      <c r="E13799" s="2">
        <v>1</v>
      </c>
      <c r="F13799" s="2">
        <v>1</v>
      </c>
      <c r="G13799" s="2">
        <v>0</v>
      </c>
      <c r="H13799" s="1" t="s">
        <v>0</v>
      </c>
      <c r="I13799" s="2">
        <v>0</v>
      </c>
      <c r="J13799" s="1">
        <v>46062.455543981479</v>
      </c>
    </row>
    <row r="13800" spans="1:10" x14ac:dyDescent="0.2">
      <c r="A13800" s="4" t="s">
        <v>1</v>
      </c>
      <c r="B13800" s="3" t="str">
        <f>HYPERLINK("https://otsuka-europe-crm.veevavault.com/ui/#object/approved_document__v/V5O00000000O004", "LUP - Congreso EAS- SER 2026 - nefro")</f>
        <v>LUP - Congreso EAS- SER 2026 - nefro</v>
      </c>
      <c r="C13800" s="3" t="str">
        <f>HYPERLINK("https://otsuka-europe-crm.veevavault.com/ui/#object/sent_email__v/VBL00000001B176", "SE-001403196")</f>
        <v>SE-001403196</v>
      </c>
      <c r="D13800" s="1" t="s">
        <v>0</v>
      </c>
      <c r="E13800" s="2">
        <v>0</v>
      </c>
      <c r="F13800" s="2">
        <v>0</v>
      </c>
      <c r="G13800" s="2">
        <v>0</v>
      </c>
      <c r="H13800" s="1" t="s">
        <v>0</v>
      </c>
      <c r="I13800" s="2">
        <v>0</v>
      </c>
      <c r="J13800" s="1">
        <v>46062.455706018518</v>
      </c>
    </row>
    <row r="13801" spans="1:10" x14ac:dyDescent="0.2">
      <c r="A13801" s="4" t="s">
        <v>1</v>
      </c>
      <c r="B13801" s="3" t="str">
        <f>HYPERLINK("https://otsuka-europe-crm.veevavault.com/ui/#object/approved_document__v/V5O00000000O004", "LUP - Congreso EAS- SER 2026 - nefro")</f>
        <v>LUP - Congreso EAS- SER 2026 - nefro</v>
      </c>
      <c r="C13801" s="3" t="str">
        <f>HYPERLINK("https://otsuka-europe-crm.veevavault.com/ui/#object/sent_email__v/VBL00000001B177", "SE-001403197")</f>
        <v>SE-001403197</v>
      </c>
      <c r="D13801" s="1" t="s">
        <v>0</v>
      </c>
      <c r="E13801" s="2">
        <v>0</v>
      </c>
      <c r="F13801" s="2">
        <v>0</v>
      </c>
      <c r="G13801" s="2">
        <v>0</v>
      </c>
      <c r="H13801" s="1" t="s">
        <v>0</v>
      </c>
      <c r="I13801" s="2">
        <v>0</v>
      </c>
      <c r="J13801" s="1">
        <v>46062.455879629626</v>
      </c>
    </row>
    <row r="13802" spans="1:10" x14ac:dyDescent="0.2">
      <c r="A13802" s="4" t="s">
        <v>1</v>
      </c>
      <c r="B13802" s="3" t="str">
        <f>HYPERLINK("https://otsuka-europe-crm.veevavault.com/ui/#object/approved_document__v/V5O00000000O004", "LUP - Congreso EAS- SER 2026 - nefro")</f>
        <v>LUP - Congreso EAS- SER 2026 - nefro</v>
      </c>
      <c r="C13802" s="3" t="str">
        <f>HYPERLINK("https://otsuka-europe-crm.veevavault.com/ui/#object/sent_email__v/VBL00000001B178", "SE-001403198")</f>
        <v>SE-001403198</v>
      </c>
      <c r="D13802" s="1" t="s">
        <v>0</v>
      </c>
      <c r="E13802" s="2">
        <v>0</v>
      </c>
      <c r="F13802" s="2">
        <v>0</v>
      </c>
      <c r="G13802" s="2">
        <v>0</v>
      </c>
      <c r="H13802" s="1" t="s">
        <v>0</v>
      </c>
      <c r="I13802" s="2">
        <v>0</v>
      </c>
      <c r="J13802" s="1">
        <v>46062.456041666665</v>
      </c>
    </row>
    <row r="13803" spans="1:10" x14ac:dyDescent="0.2">
      <c r="A13803" s="4" t="s">
        <v>1</v>
      </c>
      <c r="B13803" s="3" t="str">
        <f>HYPERLINK("https://otsuka-europe-crm.veevavault.com/ui/#object/approved_document__v/V5O00000000O004", "LUP - Congreso EAS- SER 2026 - nefro")</f>
        <v>LUP - Congreso EAS- SER 2026 - nefro</v>
      </c>
      <c r="C13803" s="3" t="str">
        <f>HYPERLINK("https://otsuka-europe-crm.veevavault.com/ui/#object/sent_email__v/VBL00000001B179", "SE-001403199")</f>
        <v>SE-001403199</v>
      </c>
      <c r="D13803" s="1" t="s">
        <v>0</v>
      </c>
      <c r="E13803" s="2">
        <v>0</v>
      </c>
      <c r="F13803" s="2">
        <v>0</v>
      </c>
      <c r="G13803" s="2">
        <v>0</v>
      </c>
      <c r="H13803" s="1" t="s">
        <v>0</v>
      </c>
      <c r="I13803" s="2">
        <v>0</v>
      </c>
      <c r="J13803" s="1">
        <v>46062.45621527778</v>
      </c>
    </row>
    <row r="13804" spans="1:10" x14ac:dyDescent="0.2">
      <c r="A13804" s="4" t="s">
        <v>1</v>
      </c>
      <c r="B13804" s="3" t="str">
        <f>HYPERLINK("https://otsuka-europe-crm.veevavault.com/ui/#object/approved_document__v/V5O00000000O004", "LUP - Congreso EAS- SER 2026 - nefro")</f>
        <v>LUP - Congreso EAS- SER 2026 - nefro</v>
      </c>
      <c r="C13804" s="3" t="str">
        <f>HYPERLINK("https://otsuka-europe-crm.veevavault.com/ui/#object/sent_email__v/VBL00000001B180", "SE-001403200")</f>
        <v>SE-001403200</v>
      </c>
      <c r="D13804" s="1" t="s">
        <v>0</v>
      </c>
      <c r="E13804" s="2">
        <v>0</v>
      </c>
      <c r="F13804" s="2">
        <v>0</v>
      </c>
      <c r="G13804" s="2">
        <v>0</v>
      </c>
      <c r="H13804" s="1" t="s">
        <v>0</v>
      </c>
      <c r="I13804" s="2">
        <v>0</v>
      </c>
      <c r="J13804" s="1">
        <v>46062.456446759257</v>
      </c>
    </row>
    <row r="13805" spans="1:10" x14ac:dyDescent="0.2">
      <c r="A13805" s="4" t="s">
        <v>1</v>
      </c>
      <c r="B13805" s="3" t="str">
        <f>HYPERLINK("https://otsuka-europe-crm.veevavault.com/ui/#object/approved_document__v/V5O00000000O004", "LUP - Congreso EAS- SER 2026 - nefro")</f>
        <v>LUP - Congreso EAS- SER 2026 - nefro</v>
      </c>
      <c r="C13805" s="3" t="str">
        <f>HYPERLINK("https://otsuka-europe-crm.veevavault.com/ui/#object/sent_email__v/VBL00000001B181", "SE-001403201")</f>
        <v>SE-001403201</v>
      </c>
      <c r="D13805" s="1" t="s">
        <v>0</v>
      </c>
      <c r="E13805" s="2">
        <v>0</v>
      </c>
      <c r="F13805" s="2">
        <v>0</v>
      </c>
      <c r="G13805" s="2">
        <v>0</v>
      </c>
      <c r="H13805" s="1" t="s">
        <v>0</v>
      </c>
      <c r="I13805" s="2">
        <v>0</v>
      </c>
      <c r="J13805" s="1">
        <v>46062.456712962965</v>
      </c>
    </row>
    <row r="13806" spans="1:10" x14ac:dyDescent="0.2">
      <c r="A13806" s="4" t="s">
        <v>1</v>
      </c>
      <c r="B13806" s="3" t="str">
        <f>HYPERLINK("https://otsuka-europe-crm.veevavault.com/ui/#object/approved_document__v/V5O00000000O004", "LUP - Congreso EAS- SER 2026 - nefro")</f>
        <v>LUP - Congreso EAS- SER 2026 - nefro</v>
      </c>
      <c r="C13806" s="3" t="str">
        <f>HYPERLINK("https://otsuka-europe-crm.veevavault.com/ui/#object/sent_email__v/VBL00000001B182", "SE-001403202")</f>
        <v>SE-001403202</v>
      </c>
      <c r="D13806" s="1" t="s">
        <v>0</v>
      </c>
      <c r="E13806" s="2">
        <v>0</v>
      </c>
      <c r="F13806" s="2">
        <v>0</v>
      </c>
      <c r="G13806" s="2">
        <v>0</v>
      </c>
      <c r="H13806" s="1" t="s">
        <v>0</v>
      </c>
      <c r="I13806" s="2">
        <v>0</v>
      </c>
      <c r="J13806" s="1">
        <v>46062.456990740742</v>
      </c>
    </row>
    <row r="13807" spans="1:10" x14ac:dyDescent="0.2">
      <c r="A13807" s="4" t="s">
        <v>1</v>
      </c>
      <c r="B13807" s="3" t="str">
        <f>HYPERLINK("https://otsuka-europe-crm.veevavault.com/ui/#object/approved_document__v/V5O00000000O004", "LUP - Congreso EAS- SER 2026 - nefro")</f>
        <v>LUP - Congreso EAS- SER 2026 - nefro</v>
      </c>
      <c r="C13807" s="3" t="str">
        <f>HYPERLINK("https://otsuka-europe-crm.veevavault.com/ui/#object/sent_email__v/VBL00000001B183", "SE-001403203")</f>
        <v>SE-001403203</v>
      </c>
      <c r="D13807" s="1" t="s">
        <v>0</v>
      </c>
      <c r="E13807" s="2">
        <v>0</v>
      </c>
      <c r="F13807" s="2">
        <v>0</v>
      </c>
      <c r="G13807" s="2">
        <v>0</v>
      </c>
      <c r="H13807" s="1" t="s">
        <v>0</v>
      </c>
      <c r="I13807" s="2">
        <v>0</v>
      </c>
      <c r="J13807" s="1">
        <v>46062.45722222222</v>
      </c>
    </row>
    <row r="13808" spans="1:10" x14ac:dyDescent="0.2">
      <c r="A13808" s="4" t="s">
        <v>1</v>
      </c>
      <c r="B13808" s="3" t="str">
        <f>HYPERLINK("https://otsuka-europe-crm.veevavault.com/ui/#object/approved_document__v/V5O00000000O004", "LUP - Congreso EAS- SER 2026 - nefro")</f>
        <v>LUP - Congreso EAS- SER 2026 - nefro</v>
      </c>
      <c r="C13808" s="3" t="str">
        <f>HYPERLINK("https://otsuka-europe-crm.veevavault.com/ui/#object/sent_email__v/VBL00000001B184", "SE-001403204")</f>
        <v>SE-001403204</v>
      </c>
      <c r="D13808" s="1" t="s">
        <v>0</v>
      </c>
      <c r="E13808" s="2">
        <v>0</v>
      </c>
      <c r="F13808" s="2">
        <v>0</v>
      </c>
      <c r="G13808" s="2">
        <v>0</v>
      </c>
      <c r="H13808" s="1" t="s">
        <v>0</v>
      </c>
      <c r="I13808" s="2">
        <v>0</v>
      </c>
      <c r="J13808" s="1">
        <v>46062.457476851851</v>
      </c>
    </row>
    <row r="13809" spans="1:10" x14ac:dyDescent="0.2">
      <c r="A13809" s="4" t="s">
        <v>1</v>
      </c>
      <c r="B13809" s="3" t="str">
        <f>HYPERLINK("https://otsuka-europe-crm.veevavault.com/ui/#object/approved_document__v/V5O00000000O004", "LUP - Congreso EAS- SER 2026 - nefro")</f>
        <v>LUP - Congreso EAS- SER 2026 - nefro</v>
      </c>
      <c r="C13809" s="3" t="str">
        <f>HYPERLINK("https://otsuka-europe-crm.veevavault.com/ui/#object/sent_email__v/VBL00000001B185", "SE-001403205")</f>
        <v>SE-001403205</v>
      </c>
      <c r="D13809" s="1">
        <v>46062.78020833333</v>
      </c>
      <c r="E13809" s="2">
        <v>1</v>
      </c>
      <c r="F13809" s="2">
        <v>2</v>
      </c>
      <c r="G13809" s="2">
        <v>0</v>
      </c>
      <c r="H13809" s="1" t="s">
        <v>0</v>
      </c>
      <c r="I13809" s="2">
        <v>0</v>
      </c>
      <c r="J13809" s="1">
        <v>46062.457754629628</v>
      </c>
    </row>
    <row r="13810" spans="1:10" x14ac:dyDescent="0.2">
      <c r="A13810" s="4" t="s">
        <v>1</v>
      </c>
      <c r="B13810" s="3" t="str">
        <f>HYPERLINK("https://otsuka-europe-crm.veevavault.com/ui/#object/approved_document__v/V5O00000000O004", "LUP - Congreso EAS- SER 2026 - nefro")</f>
        <v>LUP - Congreso EAS- SER 2026 - nefro</v>
      </c>
      <c r="C13810" s="3" t="str">
        <f>HYPERLINK("https://otsuka-europe-crm.veevavault.com/ui/#object/sent_email__v/VBL00000001B186", "SE-001403206")</f>
        <v>SE-001403206</v>
      </c>
      <c r="D13810" s="1" t="s">
        <v>0</v>
      </c>
      <c r="E13810" s="2">
        <v>0</v>
      </c>
      <c r="F13810" s="2">
        <v>0</v>
      </c>
      <c r="G13810" s="2">
        <v>0</v>
      </c>
      <c r="H13810" s="1" t="s">
        <v>0</v>
      </c>
      <c r="I13810" s="2">
        <v>0</v>
      </c>
      <c r="J13810" s="1">
        <v>46062.458020833335</v>
      </c>
    </row>
    <row r="13811" spans="1:10" x14ac:dyDescent="0.2">
      <c r="A13811" s="4" t="s">
        <v>1</v>
      </c>
      <c r="B13811" s="3" t="str">
        <f>HYPERLINK("https://otsuka-europe-crm.veevavault.com/ui/#object/approved_document__v/V5O00000000O004", "LUP - Congreso EAS- SER 2026 - nefro")</f>
        <v>LUP - Congreso EAS- SER 2026 - nefro</v>
      </c>
      <c r="C13811" s="3" t="str">
        <f>HYPERLINK("https://otsuka-europe-crm.veevavault.com/ui/#object/sent_email__v/VBL00000001B187", "SE-001403207")</f>
        <v>SE-001403207</v>
      </c>
      <c r="D13811" s="1" t="s">
        <v>0</v>
      </c>
      <c r="E13811" s="2">
        <v>0</v>
      </c>
      <c r="F13811" s="2">
        <v>0</v>
      </c>
      <c r="G13811" s="2">
        <v>0</v>
      </c>
      <c r="H13811" s="1" t="s">
        <v>0</v>
      </c>
      <c r="I13811" s="2">
        <v>0</v>
      </c>
      <c r="J13811" s="1">
        <v>46062.45826388889</v>
      </c>
    </row>
    <row r="13812" spans="1:10" x14ac:dyDescent="0.2">
      <c r="A13812" s="4" t="s">
        <v>1</v>
      </c>
      <c r="B13812" s="3" t="str">
        <f>HYPERLINK("https://otsuka-europe-crm.veevavault.com/ui/#object/approved_document__v/V5O00000000O004", "LUP - Congreso EAS- SER 2026 - nefro")</f>
        <v>LUP - Congreso EAS- SER 2026 - nefro</v>
      </c>
      <c r="C13812" s="3" t="str">
        <f>HYPERLINK("https://otsuka-europe-crm.veevavault.com/ui/#object/sent_email__v/VBL00000001B188", "SE-001403208")</f>
        <v>SE-001403208</v>
      </c>
      <c r="D13812" s="1" t="s">
        <v>0</v>
      </c>
      <c r="E13812" s="2">
        <v>0</v>
      </c>
      <c r="F13812" s="2">
        <v>0</v>
      </c>
      <c r="G13812" s="2">
        <v>0</v>
      </c>
      <c r="H13812" s="1" t="s">
        <v>0</v>
      </c>
      <c r="I13812" s="2">
        <v>0</v>
      </c>
      <c r="J13812" s="1">
        <v>46062.458472222221</v>
      </c>
    </row>
    <row r="13813" spans="1:10" x14ac:dyDescent="0.2">
      <c r="A13813" s="4" t="s">
        <v>1</v>
      </c>
      <c r="B13813" s="3" t="str">
        <f>HYPERLINK("https://otsuka-europe-crm.veevavault.com/ui/#object/approved_document__v/V5O00000000O004", "LUP - Congreso EAS- SER 2026 - nefro")</f>
        <v>LUP - Congreso EAS- SER 2026 - nefro</v>
      </c>
      <c r="C13813" s="3" t="str">
        <f>HYPERLINK("https://otsuka-europe-crm.veevavault.com/ui/#object/sent_email__v/VBL00000001B189", "SE-001403209")</f>
        <v>SE-001403209</v>
      </c>
      <c r="D13813" s="1" t="s">
        <v>0</v>
      </c>
      <c r="E13813" s="2">
        <v>0</v>
      </c>
      <c r="F13813" s="2">
        <v>0</v>
      </c>
      <c r="G13813" s="2">
        <v>0</v>
      </c>
      <c r="H13813" s="1" t="s">
        <v>0</v>
      </c>
      <c r="I13813" s="2">
        <v>0</v>
      </c>
      <c r="J13813" s="1">
        <v>46062.458668981482</v>
      </c>
    </row>
    <row r="13814" spans="1:10" x14ac:dyDescent="0.2">
      <c r="A13814" s="4" t="s">
        <v>1</v>
      </c>
      <c r="B13814" s="3" t="str">
        <f>HYPERLINK("https://otsuka-europe-crm.veevavault.com/ui/#object/approved_document__v/V5O00000000O004", "LUP - Congreso EAS- SER 2026 - nefro")</f>
        <v>LUP - Congreso EAS- SER 2026 - nefro</v>
      </c>
      <c r="C13814" s="3" t="str">
        <f>HYPERLINK("https://otsuka-europe-crm.veevavault.com/ui/#object/sent_email__v/VBL00000001B190", "SE-001403210")</f>
        <v>SE-001403210</v>
      </c>
      <c r="D13814" s="1" t="s">
        <v>0</v>
      </c>
      <c r="E13814" s="2">
        <v>0</v>
      </c>
      <c r="F13814" s="2">
        <v>0</v>
      </c>
      <c r="G13814" s="2">
        <v>0</v>
      </c>
      <c r="H13814" s="1" t="s">
        <v>0</v>
      </c>
      <c r="I13814" s="2">
        <v>0</v>
      </c>
      <c r="J13814" s="1">
        <v>46062.458854166667</v>
      </c>
    </row>
    <row r="13815" spans="1:10" x14ac:dyDescent="0.2">
      <c r="A13815" s="4" t="s">
        <v>1</v>
      </c>
      <c r="B13815" s="3" t="str">
        <f>HYPERLINK("https://otsuka-europe-crm.veevavault.com/ui/#object/approved_document__v/V5O00000000O004", "LUP - Congreso EAS- SER 2026 - nefro")</f>
        <v>LUP - Congreso EAS- SER 2026 - nefro</v>
      </c>
      <c r="C13815" s="3" t="str">
        <f>HYPERLINK("https://otsuka-europe-crm.veevavault.com/ui/#object/sent_email__v/VBL00000001B191", "SE-001403211")</f>
        <v>SE-001403211</v>
      </c>
      <c r="D13815" s="1" t="s">
        <v>0</v>
      </c>
      <c r="E13815" s="2">
        <v>0</v>
      </c>
      <c r="F13815" s="2">
        <v>0</v>
      </c>
      <c r="G13815" s="2">
        <v>0</v>
      </c>
      <c r="H13815" s="1" t="s">
        <v>0</v>
      </c>
      <c r="I13815" s="2">
        <v>0</v>
      </c>
      <c r="J13815" s="1">
        <v>46062.459016203706</v>
      </c>
    </row>
    <row r="13816" spans="1:10" x14ac:dyDescent="0.2">
      <c r="A13816" s="4" t="s">
        <v>1</v>
      </c>
      <c r="B13816" s="3" t="str">
        <f>HYPERLINK("https://otsuka-europe-crm.veevavault.com/ui/#object/approved_document__v/V5O00000000O004", "LUP - Congreso EAS- SER 2026 - nefro")</f>
        <v>LUP - Congreso EAS- SER 2026 - nefro</v>
      </c>
      <c r="C13816" s="3" t="str">
        <f>HYPERLINK("https://otsuka-europe-crm.veevavault.com/ui/#object/sent_email__v/VBL00000001B192", "SE-001403212")</f>
        <v>SE-001403212</v>
      </c>
      <c r="D13816" s="1">
        <v>46062.459687499999</v>
      </c>
      <c r="E13816" s="2">
        <v>1</v>
      </c>
      <c r="F13816" s="2">
        <v>2</v>
      </c>
      <c r="G13816" s="2">
        <v>1</v>
      </c>
      <c r="H13816" s="1">
        <v>46062.459652777776</v>
      </c>
      <c r="I13816" s="2">
        <v>6</v>
      </c>
      <c r="J13816" s="1">
        <v>46062.45921296296</v>
      </c>
    </row>
    <row r="13817" spans="1:10" x14ac:dyDescent="0.2">
      <c r="A13817" s="4" t="s">
        <v>1</v>
      </c>
      <c r="B13817" s="3" t="str">
        <f>HYPERLINK("https://otsuka-europe-crm.veevavault.com/ui/#object/approved_document__v/V5O00000000O004", "LUP - Congreso EAS- SER 2026 - nefro")</f>
        <v>LUP - Congreso EAS- SER 2026 - nefro</v>
      </c>
      <c r="C13817" s="3" t="str">
        <f>HYPERLINK("https://otsuka-europe-crm.veevavault.com/ui/#object/sent_email__v/VBL00000001B193", "SE-001403213")</f>
        <v>SE-001403213</v>
      </c>
      <c r="D13817" s="1">
        <v>46062.802581018521</v>
      </c>
      <c r="E13817" s="2">
        <v>1</v>
      </c>
      <c r="F13817" s="2">
        <v>1</v>
      </c>
      <c r="G13817" s="2">
        <v>0</v>
      </c>
      <c r="H13817" s="1" t="s">
        <v>0</v>
      </c>
      <c r="I13817" s="2">
        <v>0</v>
      </c>
      <c r="J13817" s="1">
        <v>46062.459421296298</v>
      </c>
    </row>
    <row r="13818" spans="1:10" x14ac:dyDescent="0.2">
      <c r="A13818" s="4" t="s">
        <v>1</v>
      </c>
      <c r="B13818" s="3" t="str">
        <f>HYPERLINK("https://otsuka-europe-crm.veevavault.com/ui/#object/approved_document__v/V5O00000000O004", "LUP - Congreso EAS- SER 2026 - nefro")</f>
        <v>LUP - Congreso EAS- SER 2026 - nefro</v>
      </c>
      <c r="C13818" s="3" t="str">
        <f>HYPERLINK("https://otsuka-europe-crm.veevavault.com/ui/#object/sent_email__v/VBL00000001B194", "SE-001403214")</f>
        <v>SE-001403214</v>
      </c>
      <c r="D13818" s="1" t="s">
        <v>0</v>
      </c>
      <c r="E13818" s="2">
        <v>0</v>
      </c>
      <c r="F13818" s="2">
        <v>0</v>
      </c>
      <c r="G13818" s="2">
        <v>0</v>
      </c>
      <c r="H13818" s="1" t="s">
        <v>0</v>
      </c>
      <c r="I13818" s="2">
        <v>0</v>
      </c>
      <c r="J13818" s="1">
        <v>46062.459583333337</v>
      </c>
    </row>
    <row r="13819" spans="1:10" x14ac:dyDescent="0.2">
      <c r="A13819" s="4" t="s">
        <v>1</v>
      </c>
      <c r="B13819" s="3" t="str">
        <f>HYPERLINK("https://otsuka-europe-crm.veevavault.com/ui/#object/approved_document__v/V5O00000000O004", "LUP - Congreso EAS- SER 2026 - nefro")</f>
        <v>LUP - Congreso EAS- SER 2026 - nefro</v>
      </c>
      <c r="C13819" s="3" t="str">
        <f>HYPERLINK("https://otsuka-europe-crm.veevavault.com/ui/#object/sent_email__v/VBL00000001B195", "SE-001403215")</f>
        <v>SE-001403215</v>
      </c>
      <c r="D13819" s="1" t="s">
        <v>0</v>
      </c>
      <c r="E13819" s="2">
        <v>0</v>
      </c>
      <c r="F13819" s="2">
        <v>0</v>
      </c>
      <c r="G13819" s="2">
        <v>0</v>
      </c>
      <c r="H13819" s="1" t="s">
        <v>0</v>
      </c>
      <c r="I13819" s="2">
        <v>0</v>
      </c>
      <c r="J13819" s="1">
        <v>46062.459745370368</v>
      </c>
    </row>
    <row r="13820" spans="1:10" x14ac:dyDescent="0.2">
      <c r="A13820" s="4" t="s">
        <v>1</v>
      </c>
      <c r="B13820" s="3" t="str">
        <f>HYPERLINK("https://otsuka-europe-crm.veevavault.com/ui/#object/approved_document__v/V5O00000000O004", "LUP - Congreso EAS- SER 2026 - nefro")</f>
        <v>LUP - Congreso EAS- SER 2026 - nefro</v>
      </c>
      <c r="C13820" s="3" t="str">
        <f>HYPERLINK("https://otsuka-europe-crm.veevavault.com/ui/#object/sent_email__v/VBL00000001B196", "SE-001403216")</f>
        <v>SE-001403216</v>
      </c>
      <c r="D13820" s="1">
        <v>46062.903287037036</v>
      </c>
      <c r="E13820" s="2">
        <v>1</v>
      </c>
      <c r="F13820" s="2">
        <v>1</v>
      </c>
      <c r="G13820" s="2">
        <v>0</v>
      </c>
      <c r="H13820" s="1" t="s">
        <v>0</v>
      </c>
      <c r="I13820" s="2">
        <v>0</v>
      </c>
      <c r="J13820" s="1">
        <v>46062.459907407407</v>
      </c>
    </row>
    <row r="13821" spans="1:10" x14ac:dyDescent="0.2">
      <c r="A13821" s="4" t="s">
        <v>1</v>
      </c>
      <c r="B13821" s="3" t="str">
        <f>HYPERLINK("https://otsuka-europe-crm.veevavault.com/ui/#object/approved_document__v/V5O00000000O004", "LUP - Congreso EAS- SER 2026 - nefro")</f>
        <v>LUP - Congreso EAS- SER 2026 - nefro</v>
      </c>
      <c r="C13821" s="3" t="str">
        <f>HYPERLINK("https://otsuka-europe-crm.veevavault.com/ui/#object/sent_email__v/VBL00000001B197", "SE-001403217")</f>
        <v>SE-001403217</v>
      </c>
      <c r="D13821" s="1" t="s">
        <v>0</v>
      </c>
      <c r="E13821" s="2">
        <v>0</v>
      </c>
      <c r="F13821" s="2">
        <v>0</v>
      </c>
      <c r="G13821" s="2">
        <v>0</v>
      </c>
      <c r="H13821" s="1" t="s">
        <v>0</v>
      </c>
      <c r="I13821" s="2">
        <v>0</v>
      </c>
      <c r="J13821" s="1">
        <v>46062.460127314815</v>
      </c>
    </row>
    <row r="13822" spans="1:10" x14ac:dyDescent="0.2">
      <c r="A13822" s="4" t="s">
        <v>1</v>
      </c>
      <c r="B13822" s="3" t="str">
        <f>HYPERLINK("https://otsuka-europe-crm.veevavault.com/ui/#object/approved_document__v/V5O00000000O004", "LUP - Congreso EAS- SER 2026 - nefro")</f>
        <v>LUP - Congreso EAS- SER 2026 - nefro</v>
      </c>
      <c r="C13822" s="3" t="str">
        <f>HYPERLINK("https://otsuka-europe-crm.veevavault.com/ui/#object/sent_email__v/VBL00000001B198", "SE-001403218")</f>
        <v>SE-001403218</v>
      </c>
      <c r="D13822" s="1" t="s">
        <v>0</v>
      </c>
      <c r="E13822" s="2">
        <v>0</v>
      </c>
      <c r="F13822" s="2">
        <v>0</v>
      </c>
      <c r="G13822" s="2">
        <v>0</v>
      </c>
      <c r="H13822" s="1" t="s">
        <v>0</v>
      </c>
      <c r="I13822" s="2">
        <v>0</v>
      </c>
      <c r="J13822" s="1">
        <v>46062.460370370369</v>
      </c>
    </row>
    <row r="13823" spans="1:10" x14ac:dyDescent="0.2">
      <c r="A13823" s="4" t="s">
        <v>1</v>
      </c>
      <c r="B13823" s="3" t="str">
        <f>HYPERLINK("https://otsuka-europe-crm.veevavault.com/ui/#object/approved_document__v/V5O00000000O004", "LUP - Congreso EAS- SER 2026 - nefro")</f>
        <v>LUP - Congreso EAS- SER 2026 - nefro</v>
      </c>
      <c r="C13823" s="3" t="str">
        <f>HYPERLINK("https://otsuka-europe-crm.veevavault.com/ui/#object/sent_email__v/VBL00000001B199", "SE-001403219")</f>
        <v>SE-001403219</v>
      </c>
      <c r="D13823" s="1" t="s">
        <v>0</v>
      </c>
      <c r="E13823" s="2">
        <v>0</v>
      </c>
      <c r="F13823" s="2">
        <v>0</v>
      </c>
      <c r="G13823" s="2">
        <v>0</v>
      </c>
      <c r="H13823" s="1" t="s">
        <v>0</v>
      </c>
      <c r="I13823" s="2">
        <v>0</v>
      </c>
      <c r="J13823" s="1">
        <v>46062.460659722223</v>
      </c>
    </row>
    <row r="13824" spans="1:10" x14ac:dyDescent="0.2">
      <c r="A13824" s="4" t="s">
        <v>1</v>
      </c>
      <c r="B13824" s="3" t="str">
        <f>HYPERLINK("https://otsuka-europe-crm.veevavault.com/ui/#object/approved_document__v/V5O00000000O004", "LUP - Congreso EAS- SER 2026 - nefro")</f>
        <v>LUP - Congreso EAS- SER 2026 - nefro</v>
      </c>
      <c r="C13824" s="3" t="str">
        <f>HYPERLINK("https://otsuka-europe-crm.veevavault.com/ui/#object/sent_email__v/VBL00000001B200", "SE-001403220")</f>
        <v>SE-001403220</v>
      </c>
      <c r="D13824" s="1" t="s">
        <v>0</v>
      </c>
      <c r="E13824" s="2">
        <v>0</v>
      </c>
      <c r="F13824" s="2">
        <v>0</v>
      </c>
      <c r="G13824" s="2">
        <v>0</v>
      </c>
      <c r="H13824" s="1" t="s">
        <v>0</v>
      </c>
      <c r="I13824" s="2">
        <v>0</v>
      </c>
      <c r="J13824" s="1">
        <v>46062.4609375</v>
      </c>
    </row>
    <row r="13825" spans="1:10" x14ac:dyDescent="0.2">
      <c r="A13825" s="4" t="s">
        <v>1</v>
      </c>
      <c r="B13825" s="3" t="str">
        <f>HYPERLINK("https://otsuka-europe-crm.veevavault.com/ui/#object/approved_document__v/V5O00000000O004", "LUP - Congreso EAS- SER 2026 - nefro")</f>
        <v>LUP - Congreso EAS- SER 2026 - nefro</v>
      </c>
      <c r="C13825" s="3" t="str">
        <f>HYPERLINK("https://otsuka-europe-crm.veevavault.com/ui/#object/sent_email__v/VBL00000001B201", "SE-001403221")</f>
        <v>SE-001403221</v>
      </c>
      <c r="D13825" s="1" t="s">
        <v>0</v>
      </c>
      <c r="E13825" s="2">
        <v>0</v>
      </c>
      <c r="F13825" s="2">
        <v>0</v>
      </c>
      <c r="G13825" s="2">
        <v>0</v>
      </c>
      <c r="H13825" s="1" t="s">
        <v>0</v>
      </c>
      <c r="I13825" s="2">
        <v>0</v>
      </c>
      <c r="J13825" s="1">
        <v>46062.461168981485</v>
      </c>
    </row>
    <row r="13826" spans="1:10" x14ac:dyDescent="0.2">
      <c r="A13826" s="4" t="s">
        <v>1</v>
      </c>
      <c r="B13826" s="3" t="str">
        <f>HYPERLINK("https://otsuka-europe-crm.veevavault.com/ui/#object/approved_document__v/V5O00000000O004", "LUP - Congreso EAS- SER 2026 - nefro")</f>
        <v>LUP - Congreso EAS- SER 2026 - nefro</v>
      </c>
      <c r="C13826" s="3" t="str">
        <f>HYPERLINK("https://otsuka-europe-crm.veevavault.com/ui/#object/sent_email__v/VBL00000001B202", "SE-001403222")</f>
        <v>SE-001403222</v>
      </c>
      <c r="D13826" s="1" t="s">
        <v>0</v>
      </c>
      <c r="E13826" s="2">
        <v>0</v>
      </c>
      <c r="F13826" s="2">
        <v>0</v>
      </c>
      <c r="G13826" s="2">
        <v>0</v>
      </c>
      <c r="H13826" s="1" t="s">
        <v>0</v>
      </c>
      <c r="I13826" s="2">
        <v>0</v>
      </c>
      <c r="J13826" s="1">
        <v>46062.461412037039</v>
      </c>
    </row>
    <row r="13827" spans="1:10" x14ac:dyDescent="0.2">
      <c r="A13827" s="4" t="s">
        <v>1</v>
      </c>
      <c r="B13827" s="3" t="str">
        <f>HYPERLINK("https://otsuka-europe-crm.veevavault.com/ui/#object/approved_document__v/V5O00000000O004", "LUP - Congreso EAS- SER 2026 - nefro")</f>
        <v>LUP - Congreso EAS- SER 2026 - nefro</v>
      </c>
      <c r="C13827" s="3" t="str">
        <f>HYPERLINK("https://otsuka-europe-crm.veevavault.com/ui/#object/sent_email__v/VBL00000001B203", "SE-001403223")</f>
        <v>SE-001403223</v>
      </c>
      <c r="D13827" s="1" t="s">
        <v>0</v>
      </c>
      <c r="E13827" s="2">
        <v>0</v>
      </c>
      <c r="F13827" s="2">
        <v>0</v>
      </c>
      <c r="G13827" s="2">
        <v>0</v>
      </c>
      <c r="H13827" s="1" t="s">
        <v>0</v>
      </c>
      <c r="I13827" s="2">
        <v>0</v>
      </c>
      <c r="J13827" s="1">
        <v>46062.46166666667</v>
      </c>
    </row>
    <row r="13828" spans="1:10" x14ac:dyDescent="0.2">
      <c r="A13828" s="4" t="s">
        <v>1</v>
      </c>
      <c r="B13828" s="3" t="str">
        <f>HYPERLINK("https://otsuka-europe-crm.veevavault.com/ui/#object/approved_document__v/V5O00000000O004", "LUP - Congreso EAS- SER 2026 - nefro")</f>
        <v>LUP - Congreso EAS- SER 2026 - nefro</v>
      </c>
      <c r="C13828" s="3" t="str">
        <f>HYPERLINK("https://otsuka-europe-crm.veevavault.com/ui/#object/sent_email__v/VBL00000001B204", "SE-001403224")</f>
        <v>SE-001403224</v>
      </c>
      <c r="D13828" s="1" t="s">
        <v>0</v>
      </c>
      <c r="E13828" s="2">
        <v>0</v>
      </c>
      <c r="F13828" s="2">
        <v>0</v>
      </c>
      <c r="G13828" s="2">
        <v>0</v>
      </c>
      <c r="H13828" s="1" t="s">
        <v>0</v>
      </c>
      <c r="I13828" s="2">
        <v>0</v>
      </c>
      <c r="J13828" s="1">
        <v>46062.461886574078</v>
      </c>
    </row>
    <row r="13829" spans="1:10" x14ac:dyDescent="0.2">
      <c r="A13829" s="4" t="s">
        <v>1</v>
      </c>
      <c r="B13829" s="3" t="str">
        <f>HYPERLINK("https://otsuka-europe-crm.veevavault.com/ui/#object/approved_document__v/V5O00000000O004", "LUP - Congreso EAS- SER 2026 - nefro")</f>
        <v>LUP - Congreso EAS- SER 2026 - nefro</v>
      </c>
      <c r="C13829" s="3" t="str">
        <f>HYPERLINK("https://otsuka-europe-crm.veevavault.com/ui/#object/sent_email__v/VBL00000001B205", "SE-001403225")</f>
        <v>SE-001403225</v>
      </c>
      <c r="D13829" s="1" t="s">
        <v>0</v>
      </c>
      <c r="E13829" s="2">
        <v>0</v>
      </c>
      <c r="F13829" s="2">
        <v>0</v>
      </c>
      <c r="G13829" s="2">
        <v>0</v>
      </c>
      <c r="H13829" s="1" t="s">
        <v>0</v>
      </c>
      <c r="I13829" s="2">
        <v>0</v>
      </c>
      <c r="J13829" s="1">
        <v>46062.462094907409</v>
      </c>
    </row>
    <row r="13830" spans="1:10" x14ac:dyDescent="0.2">
      <c r="A13830" s="4" t="s">
        <v>1</v>
      </c>
      <c r="B13830" s="3" t="str">
        <f>HYPERLINK("https://otsuka-europe-crm.veevavault.com/ui/#object/approved_document__v/V5O00000000O004", "LUP - Congreso EAS- SER 2026 - nefro")</f>
        <v>LUP - Congreso EAS- SER 2026 - nefro</v>
      </c>
      <c r="C13830" s="3" t="str">
        <f>HYPERLINK("https://otsuka-europe-crm.veevavault.com/ui/#object/sent_email__v/VBL00000001B206", "SE-001403226")</f>
        <v>SE-001403226</v>
      </c>
      <c r="D13830" s="1" t="s">
        <v>0</v>
      </c>
      <c r="E13830" s="2">
        <v>0</v>
      </c>
      <c r="F13830" s="2">
        <v>0</v>
      </c>
      <c r="G13830" s="2">
        <v>0</v>
      </c>
      <c r="H13830" s="1" t="s">
        <v>0</v>
      </c>
      <c r="I13830" s="2">
        <v>0</v>
      </c>
      <c r="J13830" s="1">
        <v>46062.462268518517</v>
      </c>
    </row>
    <row r="13831" spans="1:10" x14ac:dyDescent="0.2">
      <c r="A13831" s="4" t="s">
        <v>1</v>
      </c>
      <c r="B13831" s="3" t="str">
        <f>HYPERLINK("https://otsuka-europe-crm.veevavault.com/ui/#object/approved_document__v/V5O00000000O004", "LUP - Congreso EAS- SER 2026 - nefro")</f>
        <v>LUP - Congreso EAS- SER 2026 - nefro</v>
      </c>
      <c r="C13831" s="3" t="str">
        <f>HYPERLINK("https://otsuka-europe-crm.veevavault.com/ui/#object/sent_email__v/VBL00000001B207", "SE-001403227")</f>
        <v>SE-001403227</v>
      </c>
      <c r="D13831" s="1" t="s">
        <v>0</v>
      </c>
      <c r="E13831" s="2">
        <v>0</v>
      </c>
      <c r="F13831" s="2">
        <v>0</v>
      </c>
      <c r="G13831" s="2">
        <v>0</v>
      </c>
      <c r="H13831" s="1" t="s">
        <v>0</v>
      </c>
      <c r="I13831" s="2">
        <v>0</v>
      </c>
      <c r="J13831" s="1">
        <v>46062.462523148148</v>
      </c>
    </row>
    <row r="13832" spans="1:10" x14ac:dyDescent="0.2">
      <c r="A13832" s="4" t="s">
        <v>1</v>
      </c>
      <c r="B13832" s="3" t="str">
        <f>HYPERLINK("https://otsuka-europe-crm.veevavault.com/ui/#object/approved_document__v/V5O00000000O004", "LUP - Congreso EAS- SER 2026 - nefro")</f>
        <v>LUP - Congreso EAS- SER 2026 - nefro</v>
      </c>
      <c r="C13832" s="3" t="str">
        <f>HYPERLINK("https://otsuka-europe-crm.veevavault.com/ui/#object/sent_email__v/VBL00000001B208", "SE-001403228")</f>
        <v>SE-001403228</v>
      </c>
      <c r="D13832" s="1" t="s">
        <v>0</v>
      </c>
      <c r="E13832" s="2">
        <v>0</v>
      </c>
      <c r="F13832" s="2">
        <v>0</v>
      </c>
      <c r="G13832" s="2">
        <v>0</v>
      </c>
      <c r="H13832" s="1" t="s">
        <v>0</v>
      </c>
      <c r="I13832" s="2">
        <v>0</v>
      </c>
      <c r="J13832" s="1">
        <v>46062.462766203702</v>
      </c>
    </row>
    <row r="13833" spans="1:10" x14ac:dyDescent="0.2">
      <c r="A13833" s="4" t="s">
        <v>1</v>
      </c>
      <c r="B13833" s="3" t="str">
        <f>HYPERLINK("https://otsuka-europe-crm.veevavault.com/ui/#object/approved_document__v/V5O00000000O004", "LUP - Congreso EAS- SER 2026 - nefro")</f>
        <v>LUP - Congreso EAS- SER 2026 - nefro</v>
      </c>
      <c r="C13833" s="3" t="str">
        <f>HYPERLINK("https://otsuka-europe-crm.veevavault.com/ui/#object/sent_email__v/VBL00000001B209", "SE-001403229")</f>
        <v>SE-001403229</v>
      </c>
      <c r="D13833" s="1" t="s">
        <v>0</v>
      </c>
      <c r="E13833" s="2">
        <v>0</v>
      </c>
      <c r="F13833" s="2">
        <v>0</v>
      </c>
      <c r="G13833" s="2">
        <v>0</v>
      </c>
      <c r="H13833" s="1" t="s">
        <v>0</v>
      </c>
      <c r="I13833" s="2">
        <v>0</v>
      </c>
      <c r="J13833" s="1">
        <v>46062.46303240741</v>
      </c>
    </row>
    <row r="13834" spans="1:10" x14ac:dyDescent="0.2">
      <c r="A13834" s="4" t="s">
        <v>1</v>
      </c>
      <c r="B13834" s="3" t="str">
        <f>HYPERLINK("https://otsuka-europe-crm.veevavault.com/ui/#object/approved_document__v/V5O00000000O004", "LUP - Congreso EAS- SER 2026 - nefro")</f>
        <v>LUP - Congreso EAS- SER 2026 - nefro</v>
      </c>
      <c r="C13834" s="3" t="str">
        <f>HYPERLINK("https://otsuka-europe-crm.veevavault.com/ui/#object/sent_email__v/VBL00000001B210", "SE-001403230")</f>
        <v>SE-001403230</v>
      </c>
      <c r="D13834" s="1" t="s">
        <v>0</v>
      </c>
      <c r="E13834" s="2">
        <v>0</v>
      </c>
      <c r="F13834" s="2">
        <v>0</v>
      </c>
      <c r="G13834" s="2">
        <v>0</v>
      </c>
      <c r="H13834" s="1" t="s">
        <v>0</v>
      </c>
      <c r="I13834" s="2">
        <v>0</v>
      </c>
      <c r="J13834" s="1">
        <v>46062.463287037041</v>
      </c>
    </row>
    <row r="13835" spans="1:10" x14ac:dyDescent="0.2">
      <c r="A13835" s="4" t="s">
        <v>1</v>
      </c>
      <c r="B13835" s="3" t="str">
        <f>HYPERLINK("https://otsuka-europe-crm.veevavault.com/ui/#object/approved_document__v/V5O00000000O004", "LUP - Congreso EAS- SER 2026 - nefro")</f>
        <v>LUP - Congreso EAS- SER 2026 - nefro</v>
      </c>
      <c r="C13835" s="3" t="str">
        <f>HYPERLINK("https://otsuka-europe-crm.veevavault.com/ui/#object/sent_email__v/VBL00000001B211", "SE-001403231")</f>
        <v>SE-001403231</v>
      </c>
      <c r="D13835" s="1" t="s">
        <v>0</v>
      </c>
      <c r="E13835" s="2">
        <v>0</v>
      </c>
      <c r="F13835" s="2">
        <v>0</v>
      </c>
      <c r="G13835" s="2">
        <v>0</v>
      </c>
      <c r="H13835" s="1" t="s">
        <v>0</v>
      </c>
      <c r="I13835" s="2">
        <v>0</v>
      </c>
      <c r="J13835" s="1">
        <v>46062.463576388887</v>
      </c>
    </row>
    <row r="13836" spans="1:10" x14ac:dyDescent="0.2">
      <c r="A13836" s="4" t="s">
        <v>1</v>
      </c>
      <c r="B13836" s="3" t="str">
        <f>HYPERLINK("https://otsuka-europe-crm.veevavault.com/ui/#object/approved_document__v/V5O00000000O004", "LUP - Congreso EAS- SER 2026 - nefro")</f>
        <v>LUP - Congreso EAS- SER 2026 - nefro</v>
      </c>
      <c r="C13836" s="3" t="str">
        <f>HYPERLINK("https://otsuka-europe-crm.veevavault.com/ui/#object/sent_email__v/VBL00000001B212", "SE-001403232")</f>
        <v>SE-001403232</v>
      </c>
      <c r="D13836" s="1" t="s">
        <v>0</v>
      </c>
      <c r="E13836" s="2">
        <v>0</v>
      </c>
      <c r="F13836" s="2">
        <v>0</v>
      </c>
      <c r="G13836" s="2">
        <v>0</v>
      </c>
      <c r="H13836" s="1" t="s">
        <v>0</v>
      </c>
      <c r="I13836" s="2">
        <v>0</v>
      </c>
      <c r="J13836" s="1">
        <v>46062.463819444441</v>
      </c>
    </row>
    <row r="13837" spans="1:10" x14ac:dyDescent="0.2">
      <c r="A13837" s="4" t="s">
        <v>1</v>
      </c>
      <c r="B13837" s="3" t="str">
        <f>HYPERLINK("https://otsuka-europe-crm.veevavault.com/ui/#object/approved_document__v/V5O00000000O004", "LUP - Congreso EAS- SER 2026 - nefro")</f>
        <v>LUP - Congreso EAS- SER 2026 - nefro</v>
      </c>
      <c r="C13837" s="3" t="str">
        <f>HYPERLINK("https://otsuka-europe-crm.veevavault.com/ui/#object/sent_email__v/VBL00000001B213", "SE-001403233")</f>
        <v>SE-001403233</v>
      </c>
      <c r="D13837" s="1" t="s">
        <v>0</v>
      </c>
      <c r="E13837" s="2">
        <v>0</v>
      </c>
      <c r="F13837" s="2">
        <v>0</v>
      </c>
      <c r="G13837" s="2">
        <v>0</v>
      </c>
      <c r="H13837" s="1" t="s">
        <v>0</v>
      </c>
      <c r="I13837" s="2">
        <v>0</v>
      </c>
      <c r="J13837" s="1">
        <v>46062.464074074072</v>
      </c>
    </row>
    <row r="13838" spans="1:10" x14ac:dyDescent="0.2">
      <c r="A13838" s="4" t="s">
        <v>1</v>
      </c>
      <c r="B13838" s="3" t="str">
        <f>HYPERLINK("https://otsuka-europe-crm.veevavault.com/ui/#object/approved_document__v/V5O00000000O004", "LUP - Congreso EAS- SER 2026 - nefro")</f>
        <v>LUP - Congreso EAS- SER 2026 - nefro</v>
      </c>
      <c r="C13838" s="3" t="str">
        <f>HYPERLINK("https://otsuka-europe-crm.veevavault.com/ui/#object/sent_email__v/VBL00000001B214", "SE-001403234")</f>
        <v>SE-001403234</v>
      </c>
      <c r="D13838" s="1" t="s">
        <v>0</v>
      </c>
      <c r="E13838" s="2">
        <v>0</v>
      </c>
      <c r="F13838" s="2">
        <v>0</v>
      </c>
      <c r="G13838" s="2">
        <v>0</v>
      </c>
      <c r="H13838" s="1" t="s">
        <v>0</v>
      </c>
      <c r="I13838" s="2">
        <v>0</v>
      </c>
      <c r="J13838" s="1">
        <v>46062.464328703703</v>
      </c>
    </row>
    <row r="13839" spans="1:10" x14ac:dyDescent="0.2">
      <c r="A13839" s="4" t="s">
        <v>1</v>
      </c>
      <c r="B13839" s="3" t="str">
        <f>HYPERLINK("https://otsuka-europe-crm.veevavault.com/ui/#object/approved_document__v/V5O00000000O004", "LUP - Congreso EAS- SER 2026 - nefro")</f>
        <v>LUP - Congreso EAS- SER 2026 - nefro</v>
      </c>
      <c r="C13839" s="3" t="str">
        <f>HYPERLINK("https://otsuka-europe-crm.veevavault.com/ui/#object/sent_email__v/VBL00000001B215", "SE-001403235")</f>
        <v>SE-001403235</v>
      </c>
      <c r="D13839" s="1" t="s">
        <v>0</v>
      </c>
      <c r="E13839" s="2">
        <v>0</v>
      </c>
      <c r="F13839" s="2">
        <v>0</v>
      </c>
      <c r="G13839" s="2">
        <v>0</v>
      </c>
      <c r="H13839" s="1" t="s">
        <v>0</v>
      </c>
      <c r="I13839" s="2">
        <v>0</v>
      </c>
      <c r="J13839" s="1">
        <v>46062.464583333334</v>
      </c>
    </row>
    <row r="13840" spans="1:10" x14ac:dyDescent="0.2">
      <c r="A13840" s="4" t="s">
        <v>1</v>
      </c>
      <c r="B13840" s="3" t="str">
        <f>HYPERLINK("https://otsuka-europe-crm.veevavault.com/ui/#object/approved_document__v/V5O00000000O004", "LUP - Congreso EAS- SER 2026 - nefro")</f>
        <v>LUP - Congreso EAS- SER 2026 - nefro</v>
      </c>
      <c r="C13840" s="3" t="str">
        <f>HYPERLINK("https://otsuka-europe-crm.veevavault.com/ui/#object/sent_email__v/VBL00000001B216", "SE-001403236")</f>
        <v>SE-001403236</v>
      </c>
      <c r="D13840" s="1" t="s">
        <v>0</v>
      </c>
      <c r="E13840" s="2">
        <v>0</v>
      </c>
      <c r="F13840" s="2">
        <v>0</v>
      </c>
      <c r="G13840" s="2">
        <v>0</v>
      </c>
      <c r="H13840" s="1" t="s">
        <v>0</v>
      </c>
      <c r="I13840" s="2">
        <v>0</v>
      </c>
      <c r="J13840" s="1">
        <v>46062.464849537035</v>
      </c>
    </row>
    <row r="13841" spans="1:10" x14ac:dyDescent="0.2">
      <c r="A13841" s="4" t="s">
        <v>1</v>
      </c>
      <c r="B13841" s="3" t="str">
        <f>HYPERLINK("https://otsuka-europe-crm.veevavault.com/ui/#object/approved_document__v/V5O00000000O004", "LUP - Congreso EAS- SER 2026 - nefro")</f>
        <v>LUP - Congreso EAS- SER 2026 - nefro</v>
      </c>
      <c r="C13841" s="3" t="str">
        <f>HYPERLINK("https://otsuka-europe-crm.veevavault.com/ui/#object/sent_email__v/VBL00000001B217", "SE-001403237")</f>
        <v>SE-001403237</v>
      </c>
      <c r="D13841" s="1" t="s">
        <v>0</v>
      </c>
      <c r="E13841" s="2">
        <v>0</v>
      </c>
      <c r="F13841" s="2">
        <v>0</v>
      </c>
      <c r="G13841" s="2">
        <v>0</v>
      </c>
      <c r="H13841" s="1" t="s">
        <v>0</v>
      </c>
      <c r="I13841" s="2">
        <v>0</v>
      </c>
      <c r="J13841" s="1">
        <v>46062.465104166666</v>
      </c>
    </row>
    <row r="13842" spans="1:10" x14ac:dyDescent="0.2">
      <c r="A13842" s="4" t="s">
        <v>1</v>
      </c>
      <c r="B13842" s="3" t="str">
        <f>HYPERLINK("https://otsuka-europe-crm.veevavault.com/ui/#object/approved_document__v/V5O00000000O004", "LUP - Congreso EAS- SER 2026 - nefro")</f>
        <v>LUP - Congreso EAS- SER 2026 - nefro</v>
      </c>
      <c r="C13842" s="3" t="str">
        <f>HYPERLINK("https://otsuka-europe-crm.veevavault.com/ui/#object/sent_email__v/VBL00000001B218", "SE-001403238")</f>
        <v>SE-001403238</v>
      </c>
      <c r="D13842" s="1" t="s">
        <v>0</v>
      </c>
      <c r="E13842" s="2">
        <v>0</v>
      </c>
      <c r="F13842" s="2">
        <v>0</v>
      </c>
      <c r="G13842" s="2">
        <v>0</v>
      </c>
      <c r="H13842" s="1" t="s">
        <v>0</v>
      </c>
      <c r="I13842" s="2">
        <v>0</v>
      </c>
      <c r="J13842" s="1">
        <v>46062.465324074074</v>
      </c>
    </row>
    <row r="13843" spans="1:10" x14ac:dyDescent="0.2">
      <c r="A13843" s="4" t="s">
        <v>1</v>
      </c>
      <c r="B13843" s="3" t="str">
        <f>HYPERLINK("https://otsuka-europe-crm.veevavault.com/ui/#object/approved_document__v/V5O00000000O004", "LUP - Congreso EAS- SER 2026 - nefro")</f>
        <v>LUP - Congreso EAS- SER 2026 - nefro</v>
      </c>
      <c r="C13843" s="3" t="str">
        <f>HYPERLINK("https://otsuka-europe-crm.veevavault.com/ui/#object/sent_email__v/VBL00000001B219", "SE-001403239")</f>
        <v>SE-001403239</v>
      </c>
      <c r="D13843" s="1" t="s">
        <v>0</v>
      </c>
      <c r="E13843" s="2">
        <v>0</v>
      </c>
      <c r="F13843" s="2">
        <v>0</v>
      </c>
      <c r="G13843" s="2">
        <v>0</v>
      </c>
      <c r="H13843" s="1" t="s">
        <v>0</v>
      </c>
      <c r="I13843" s="2">
        <v>0</v>
      </c>
      <c r="J13843" s="1">
        <v>46062.465497685182</v>
      </c>
    </row>
    <row r="13844" spans="1:10" x14ac:dyDescent="0.2">
      <c r="A13844" s="4" t="s">
        <v>1</v>
      </c>
      <c r="B13844" s="3" t="str">
        <f>HYPERLINK("https://otsuka-europe-crm.veevavault.com/ui/#object/approved_document__v/V5O00000000O004", "LUP - Congreso EAS- SER 2026 - nefro")</f>
        <v>LUP - Congreso EAS- SER 2026 - nefro</v>
      </c>
      <c r="C13844" s="3" t="str">
        <f>HYPERLINK("https://otsuka-europe-crm.veevavault.com/ui/#object/sent_email__v/VBL00000001B220", "SE-001403240")</f>
        <v>SE-001403240</v>
      </c>
      <c r="D13844" s="1" t="s">
        <v>0</v>
      </c>
      <c r="E13844" s="2">
        <v>0</v>
      </c>
      <c r="F13844" s="2">
        <v>0</v>
      </c>
      <c r="G13844" s="2">
        <v>0</v>
      </c>
      <c r="H13844" s="1" t="s">
        <v>0</v>
      </c>
      <c r="I13844" s="2">
        <v>0</v>
      </c>
      <c r="J13844" s="1">
        <v>46062.46565972222</v>
      </c>
    </row>
    <row r="13845" spans="1:10" x14ac:dyDescent="0.2">
      <c r="A13845" s="4" t="s">
        <v>1</v>
      </c>
      <c r="B13845" s="3" t="str">
        <f>HYPERLINK("https://otsuka-europe-crm.veevavault.com/ui/#object/approved_document__v/V5O00000000O004", "LUP - Congreso EAS- SER 2026 - nefro")</f>
        <v>LUP - Congreso EAS- SER 2026 - nefro</v>
      </c>
      <c r="C13845" s="3" t="str">
        <f>HYPERLINK("https://otsuka-europe-crm.veevavault.com/ui/#object/sent_email__v/VBL00000001B221", "SE-001403241")</f>
        <v>SE-001403241</v>
      </c>
      <c r="D13845" s="1" t="s">
        <v>0</v>
      </c>
      <c r="E13845" s="2">
        <v>0</v>
      </c>
      <c r="F13845" s="2">
        <v>0</v>
      </c>
      <c r="G13845" s="2">
        <v>0</v>
      </c>
      <c r="H13845" s="1" t="s">
        <v>0</v>
      </c>
      <c r="I13845" s="2">
        <v>0</v>
      </c>
      <c r="J13845" s="1">
        <v>46062.465891203705</v>
      </c>
    </row>
    <row r="13846" spans="1:10" x14ac:dyDescent="0.2">
      <c r="A13846" s="4" t="s">
        <v>1</v>
      </c>
      <c r="B13846" s="3" t="str">
        <f>HYPERLINK("https://otsuka-europe-crm.veevavault.com/ui/#object/approved_document__v/V5O00000000O004", "LUP - Congreso EAS- SER 2026 - nefro")</f>
        <v>LUP - Congreso EAS- SER 2026 - nefro</v>
      </c>
      <c r="C13846" s="3" t="str">
        <f>HYPERLINK("https://otsuka-europe-crm.veevavault.com/ui/#object/sent_email__v/VBL00000001B222", "SE-001403242")</f>
        <v>SE-001403242</v>
      </c>
      <c r="D13846" s="1" t="s">
        <v>0</v>
      </c>
      <c r="E13846" s="2">
        <v>0</v>
      </c>
      <c r="F13846" s="2">
        <v>0</v>
      </c>
      <c r="G13846" s="2">
        <v>0</v>
      </c>
      <c r="H13846" s="1" t="s">
        <v>0</v>
      </c>
      <c r="I13846" s="2">
        <v>0</v>
      </c>
      <c r="J13846" s="1">
        <v>46062.466157407405</v>
      </c>
    </row>
    <row r="13847" spans="1:10" x14ac:dyDescent="0.2">
      <c r="A13847" s="4" t="s">
        <v>1</v>
      </c>
      <c r="B13847" s="3" t="str">
        <f>HYPERLINK("https://otsuka-europe-crm.veevavault.com/ui/#object/approved_document__v/V5O00000000O004", "LUP - Congreso EAS- SER 2026 - nefro")</f>
        <v>LUP - Congreso EAS- SER 2026 - nefro</v>
      </c>
      <c r="C13847" s="3" t="str">
        <f>HYPERLINK("https://otsuka-europe-crm.veevavault.com/ui/#object/sent_email__v/VBL00000001B223", "SE-001403243")</f>
        <v>SE-001403243</v>
      </c>
      <c r="D13847" s="1" t="s">
        <v>0</v>
      </c>
      <c r="E13847" s="2">
        <v>0</v>
      </c>
      <c r="F13847" s="2">
        <v>0</v>
      </c>
      <c r="G13847" s="2">
        <v>0</v>
      </c>
      <c r="H13847" s="1" t="s">
        <v>0</v>
      </c>
      <c r="I13847" s="2">
        <v>0</v>
      </c>
      <c r="J13847" s="1">
        <v>46062.466412037036</v>
      </c>
    </row>
    <row r="13848" spans="1:10" x14ac:dyDescent="0.2">
      <c r="A13848" s="4" t="s">
        <v>1</v>
      </c>
      <c r="B13848" s="3" t="str">
        <f>HYPERLINK("https://otsuka-europe-crm.veevavault.com/ui/#object/approved_document__v/V5O00000000O004", "LUP - Congreso EAS- SER 2026 - nefro")</f>
        <v>LUP - Congreso EAS- SER 2026 - nefro</v>
      </c>
      <c r="C13848" s="3" t="str">
        <f>HYPERLINK("https://otsuka-europe-crm.veevavault.com/ui/#object/sent_email__v/VBL00000001B224", "SE-001403244")</f>
        <v>SE-001403244</v>
      </c>
      <c r="D13848" s="1" t="s">
        <v>0</v>
      </c>
      <c r="E13848" s="2">
        <v>0</v>
      </c>
      <c r="F13848" s="2">
        <v>0</v>
      </c>
      <c r="G13848" s="2">
        <v>0</v>
      </c>
      <c r="H13848" s="1" t="s">
        <v>0</v>
      </c>
      <c r="I13848" s="2">
        <v>0</v>
      </c>
      <c r="J13848" s="1">
        <v>46062.46665509259</v>
      </c>
    </row>
    <row r="13849" spans="1:10" x14ac:dyDescent="0.2">
      <c r="A13849" s="4" t="s">
        <v>1</v>
      </c>
      <c r="B13849" s="3" t="str">
        <f>HYPERLINK("https://otsuka-europe-crm.veevavault.com/ui/#object/approved_document__v/V5O00000000O004", "LUP - Congreso EAS- SER 2026 - nefro")</f>
        <v>LUP - Congreso EAS- SER 2026 - nefro</v>
      </c>
      <c r="C13849" s="3" t="str">
        <f>HYPERLINK("https://otsuka-europe-crm.veevavault.com/ui/#object/sent_email__v/VBL00000001B225", "SE-001403245")</f>
        <v>SE-001403245</v>
      </c>
      <c r="D13849" s="1" t="s">
        <v>0</v>
      </c>
      <c r="E13849" s="2">
        <v>0</v>
      </c>
      <c r="F13849" s="2">
        <v>0</v>
      </c>
      <c r="G13849" s="2">
        <v>0</v>
      </c>
      <c r="H13849" s="1" t="s">
        <v>0</v>
      </c>
      <c r="I13849" s="2">
        <v>0</v>
      </c>
      <c r="J13849" s="1">
        <v>46062.466909722221</v>
      </c>
    </row>
    <row r="13850" spans="1:10" x14ac:dyDescent="0.2">
      <c r="A13850" s="4" t="s">
        <v>1</v>
      </c>
      <c r="B13850" s="3" t="str">
        <f>HYPERLINK("https://otsuka-europe-crm.veevavault.com/ui/#object/approved_document__v/V5O00000000O004", "LUP - Congreso EAS- SER 2026 - nefro")</f>
        <v>LUP - Congreso EAS- SER 2026 - nefro</v>
      </c>
      <c r="C13850" s="3" t="str">
        <f>HYPERLINK("https://otsuka-europe-crm.veevavault.com/ui/#object/sent_email__v/VBL00000001B226", "SE-001403246")</f>
        <v>SE-001403246</v>
      </c>
      <c r="D13850" s="1" t="s">
        <v>0</v>
      </c>
      <c r="E13850" s="2">
        <v>0</v>
      </c>
      <c r="F13850" s="2">
        <v>0</v>
      </c>
      <c r="G13850" s="2">
        <v>0</v>
      </c>
      <c r="H13850" s="1" t="s">
        <v>0</v>
      </c>
      <c r="I13850" s="2">
        <v>0</v>
      </c>
      <c r="J13850" s="1">
        <v>46062.467175925929</v>
      </c>
    </row>
    <row r="13851" spans="1:10" x14ac:dyDescent="0.2">
      <c r="A13851" s="4" t="s">
        <v>1</v>
      </c>
      <c r="B13851" s="3" t="str">
        <f>HYPERLINK("https://otsuka-europe-crm.veevavault.com/ui/#object/approved_document__v/V5O00000000O004", "LUP - Congreso EAS- SER 2026 - nefro")</f>
        <v>LUP - Congreso EAS- SER 2026 - nefro</v>
      </c>
      <c r="C13851" s="3" t="str">
        <f>HYPERLINK("https://otsuka-europe-crm.veevavault.com/ui/#object/sent_email__v/VBL00000001B227", "SE-001403247")</f>
        <v>SE-001403247</v>
      </c>
      <c r="D13851" s="1" t="s">
        <v>0</v>
      </c>
      <c r="E13851" s="2">
        <v>0</v>
      </c>
      <c r="F13851" s="2">
        <v>0</v>
      </c>
      <c r="G13851" s="2">
        <v>0</v>
      </c>
      <c r="H13851" s="1" t="s">
        <v>0</v>
      </c>
      <c r="I13851" s="2">
        <v>0</v>
      </c>
      <c r="J13851" s="1">
        <v>46062.467418981483</v>
      </c>
    </row>
    <row r="13852" spans="1:10" x14ac:dyDescent="0.2">
      <c r="A13852" s="4" t="s">
        <v>1</v>
      </c>
      <c r="B13852" s="3" t="str">
        <f>HYPERLINK("https://otsuka-europe-crm.veevavault.com/ui/#object/approved_document__v/V5O00000000O004", "LUP - Congreso EAS- SER 2026 - nefro")</f>
        <v>LUP - Congreso EAS- SER 2026 - nefro</v>
      </c>
      <c r="C13852" s="3" t="str">
        <f>HYPERLINK("https://otsuka-europe-crm.veevavault.com/ui/#object/sent_email__v/VBL00000001B228", "SE-001403248")</f>
        <v>SE-001403248</v>
      </c>
      <c r="D13852" s="1" t="s">
        <v>0</v>
      </c>
      <c r="E13852" s="2">
        <v>0</v>
      </c>
      <c r="F13852" s="2">
        <v>0</v>
      </c>
      <c r="G13852" s="2">
        <v>0</v>
      </c>
      <c r="H13852" s="1" t="s">
        <v>0</v>
      </c>
      <c r="I13852" s="2">
        <v>0</v>
      </c>
      <c r="J13852" s="1">
        <v>46062.467673611114</v>
      </c>
    </row>
    <row r="13853" spans="1:10" x14ac:dyDescent="0.2">
      <c r="A13853" s="4" t="s">
        <v>1</v>
      </c>
      <c r="B13853" s="3" t="str">
        <f>HYPERLINK("https://otsuka-europe-crm.veevavault.com/ui/#object/approved_document__v/V5O00000000O004", "LUP - Congreso EAS- SER 2026 - nefro")</f>
        <v>LUP - Congreso EAS- SER 2026 - nefro</v>
      </c>
      <c r="C13853" s="3" t="str">
        <f>HYPERLINK("https://otsuka-europe-crm.veevavault.com/ui/#object/sent_email__v/VBL00000001B229", "SE-001403249")</f>
        <v>SE-001403249</v>
      </c>
      <c r="D13853" s="1" t="s">
        <v>0</v>
      </c>
      <c r="E13853" s="2">
        <v>0</v>
      </c>
      <c r="F13853" s="2">
        <v>0</v>
      </c>
      <c r="G13853" s="2">
        <v>0</v>
      </c>
      <c r="H13853" s="1" t="s">
        <v>0</v>
      </c>
      <c r="I13853" s="2">
        <v>0</v>
      </c>
      <c r="J13853" s="1">
        <v>46062.467928240738</v>
      </c>
    </row>
    <row r="13854" spans="1:10" x14ac:dyDescent="0.2">
      <c r="A13854" s="4" t="s">
        <v>1</v>
      </c>
      <c r="B13854" s="3" t="str">
        <f>HYPERLINK("https://otsuka-europe-crm.veevavault.com/ui/#object/approved_document__v/V5O00000000O004", "LUP - Congreso EAS- SER 2026 - nefro")</f>
        <v>LUP - Congreso EAS- SER 2026 - nefro</v>
      </c>
      <c r="C13854" s="3" t="str">
        <f>HYPERLINK("https://otsuka-europe-crm.veevavault.com/ui/#object/sent_email__v/VBL00000001B230", "SE-001403250")</f>
        <v>SE-001403250</v>
      </c>
      <c r="D13854" s="1" t="s">
        <v>0</v>
      </c>
      <c r="E13854" s="2">
        <v>0</v>
      </c>
      <c r="F13854" s="2">
        <v>0</v>
      </c>
      <c r="G13854" s="2">
        <v>0</v>
      </c>
      <c r="H13854" s="1" t="s">
        <v>0</v>
      </c>
      <c r="I13854" s="2">
        <v>0</v>
      </c>
      <c r="J13854" s="1">
        <v>46062.468182870369</v>
      </c>
    </row>
    <row r="13855" spans="1:10" x14ac:dyDescent="0.2">
      <c r="A13855" s="4" t="s">
        <v>1</v>
      </c>
      <c r="B13855" s="3" t="str">
        <f>HYPERLINK("https://otsuka-europe-crm.veevavault.com/ui/#object/approved_document__v/V5O00000000O004", "LUP - Congreso EAS- SER 2026 - nefro")</f>
        <v>LUP - Congreso EAS- SER 2026 - nefro</v>
      </c>
      <c r="C13855" s="3" t="str">
        <f>HYPERLINK("https://otsuka-europe-crm.veevavault.com/ui/#object/sent_email__v/VBL00000001B231", "SE-001403251")</f>
        <v>SE-001403251</v>
      </c>
      <c r="D13855" s="1" t="s">
        <v>0</v>
      </c>
      <c r="E13855" s="2">
        <v>0</v>
      </c>
      <c r="F13855" s="2">
        <v>0</v>
      </c>
      <c r="G13855" s="2">
        <v>0</v>
      </c>
      <c r="H13855" s="1" t="s">
        <v>0</v>
      </c>
      <c r="I13855" s="2">
        <v>0</v>
      </c>
      <c r="J13855" s="1">
        <v>46062.4684375</v>
      </c>
    </row>
    <row r="13856" spans="1:10" x14ac:dyDescent="0.2">
      <c r="A13856" s="4" t="s">
        <v>1</v>
      </c>
      <c r="B13856" s="3" t="str">
        <f>HYPERLINK("https://otsuka-europe-crm.veevavault.com/ui/#object/approved_document__v/V5O00000000O004", "LUP - Congreso EAS- SER 2026 - nefro")</f>
        <v>LUP - Congreso EAS- SER 2026 - nefro</v>
      </c>
      <c r="C13856" s="3" t="str">
        <f>HYPERLINK("https://otsuka-europe-crm.veevavault.com/ui/#object/sent_email__v/VBL00000001B232", "SE-001403252")</f>
        <v>SE-001403252</v>
      </c>
      <c r="D13856" s="1">
        <v>46063.350752314815</v>
      </c>
      <c r="E13856" s="2">
        <v>1</v>
      </c>
      <c r="F13856" s="2">
        <v>2</v>
      </c>
      <c r="G13856" s="2">
        <v>0</v>
      </c>
      <c r="H13856" s="1" t="s">
        <v>0</v>
      </c>
      <c r="I13856" s="2">
        <v>0</v>
      </c>
      <c r="J13856" s="1">
        <v>46062.4687037037</v>
      </c>
    </row>
    <row r="13857" spans="1:10" x14ac:dyDescent="0.2">
      <c r="A13857" s="4" t="s">
        <v>1</v>
      </c>
      <c r="B13857" s="3" t="str">
        <f>HYPERLINK("https://otsuka-europe-crm.veevavault.com/ui/#object/approved_document__v/V5O00000000O004", "LUP - Congreso EAS- SER 2026 - nefro")</f>
        <v>LUP - Congreso EAS- SER 2026 - nefro</v>
      </c>
      <c r="C13857" s="3" t="str">
        <f>HYPERLINK("https://otsuka-europe-crm.veevavault.com/ui/#object/sent_email__v/VBL00000001B233", "SE-001403253")</f>
        <v>SE-001403253</v>
      </c>
      <c r="D13857" s="1" t="s">
        <v>0</v>
      </c>
      <c r="E13857" s="2">
        <v>0</v>
      </c>
      <c r="F13857" s="2">
        <v>0</v>
      </c>
      <c r="G13857" s="2">
        <v>0</v>
      </c>
      <c r="H13857" s="1" t="s">
        <v>0</v>
      </c>
      <c r="I13857" s="2">
        <v>0</v>
      </c>
      <c r="J13857" s="1">
        <v>46062.468888888892</v>
      </c>
    </row>
    <row r="13858" spans="1:10" x14ac:dyDescent="0.2">
      <c r="A13858" s="4" t="s">
        <v>1</v>
      </c>
      <c r="B13858" s="3" t="str">
        <f>HYPERLINK("https://otsuka-europe-crm.veevavault.com/ui/#object/approved_document__v/V5O00000000O004", "LUP - Congreso EAS- SER 2026 - nefro")</f>
        <v>LUP - Congreso EAS- SER 2026 - nefro</v>
      </c>
      <c r="C13858" s="3" t="str">
        <f>HYPERLINK("https://otsuka-europe-crm.veevavault.com/ui/#object/sent_email__v/VBL00000001B234", "SE-001403254")</f>
        <v>SE-001403254</v>
      </c>
      <c r="D13858" s="1" t="s">
        <v>0</v>
      </c>
      <c r="E13858" s="2">
        <v>0</v>
      </c>
      <c r="F13858" s="2">
        <v>0</v>
      </c>
      <c r="G13858" s="2">
        <v>0</v>
      </c>
      <c r="H13858" s="1" t="s">
        <v>0</v>
      </c>
      <c r="I13858" s="2">
        <v>0</v>
      </c>
      <c r="J13858" s="1">
        <v>46062.4690625</v>
      </c>
    </row>
    <row r="13859" spans="1:10" x14ac:dyDescent="0.2">
      <c r="A13859" s="4" t="s">
        <v>1</v>
      </c>
      <c r="B13859" s="3" t="str">
        <f>HYPERLINK("https://otsuka-europe-crm.veevavault.com/ui/#object/approved_document__v/V5O00000000O004", "LUP - Congreso EAS- SER 2026 - nefro")</f>
        <v>LUP - Congreso EAS- SER 2026 - nefro</v>
      </c>
      <c r="C13859" s="3" t="str">
        <f>HYPERLINK("https://otsuka-europe-crm.veevavault.com/ui/#object/sent_email__v/VBL00000001B235", "SE-001403255")</f>
        <v>SE-001403255</v>
      </c>
      <c r="D13859" s="1" t="s">
        <v>0</v>
      </c>
      <c r="E13859" s="2">
        <v>0</v>
      </c>
      <c r="F13859" s="2">
        <v>0</v>
      </c>
      <c r="G13859" s="2">
        <v>0</v>
      </c>
      <c r="H13859" s="1" t="s">
        <v>0</v>
      </c>
      <c r="I13859" s="2">
        <v>0</v>
      </c>
      <c r="J13859" s="1">
        <v>46062.469236111108</v>
      </c>
    </row>
    <row r="13860" spans="1:10" x14ac:dyDescent="0.2">
      <c r="A13860" s="4" t="s">
        <v>1</v>
      </c>
      <c r="B13860" s="3" t="str">
        <f>HYPERLINK("https://otsuka-europe-crm.veevavault.com/ui/#object/approved_document__v/V5O00000000O004", "LUP - Congreso EAS- SER 2026 - nefro")</f>
        <v>LUP - Congreso EAS- SER 2026 - nefro</v>
      </c>
      <c r="C13860" s="3" t="str">
        <f>HYPERLINK("https://otsuka-europe-crm.veevavault.com/ui/#object/sent_email__v/VBL00000001B236", "SE-001403256")</f>
        <v>SE-001403256</v>
      </c>
      <c r="D13860" s="1" t="s">
        <v>0</v>
      </c>
      <c r="E13860" s="2">
        <v>0</v>
      </c>
      <c r="F13860" s="2">
        <v>0</v>
      </c>
      <c r="G13860" s="2">
        <v>0</v>
      </c>
      <c r="H13860" s="1" t="s">
        <v>0</v>
      </c>
      <c r="I13860" s="2">
        <v>0</v>
      </c>
      <c r="J13860" s="1">
        <v>46062.469409722224</v>
      </c>
    </row>
    <row r="13861" spans="1:10" x14ac:dyDescent="0.2">
      <c r="A13861" s="4" t="s">
        <v>1</v>
      </c>
      <c r="B13861" s="3" t="str">
        <f>HYPERLINK("https://otsuka-europe-crm.veevavault.com/ui/#object/approved_document__v/V5O00000000O004", "LUP - Congreso EAS- SER 2026 - nefro")</f>
        <v>LUP - Congreso EAS- SER 2026 - nefro</v>
      </c>
      <c r="C13861" s="3" t="str">
        <f>HYPERLINK("https://otsuka-europe-crm.veevavault.com/ui/#object/sent_email__v/VBL00000001B237", "SE-001403257")</f>
        <v>SE-001403257</v>
      </c>
      <c r="D13861" s="1" t="s">
        <v>0</v>
      </c>
      <c r="E13861" s="2">
        <v>0</v>
      </c>
      <c r="F13861" s="2">
        <v>0</v>
      </c>
      <c r="G13861" s="2">
        <v>0</v>
      </c>
      <c r="H13861" s="1" t="s">
        <v>0</v>
      </c>
      <c r="I13861" s="2">
        <v>0</v>
      </c>
      <c r="J13861" s="1">
        <v>46062.469583333332</v>
      </c>
    </row>
    <row r="13862" spans="1:10" x14ac:dyDescent="0.2">
      <c r="A13862" s="4" t="s">
        <v>1</v>
      </c>
      <c r="B13862" s="3" t="str">
        <f>HYPERLINK("https://otsuka-europe-crm.veevavault.com/ui/#object/approved_document__v/V5O00000000O004", "LUP - Congreso EAS- SER 2026 - nefro")</f>
        <v>LUP - Congreso EAS- SER 2026 - nefro</v>
      </c>
      <c r="C13862" s="3" t="str">
        <f>HYPERLINK("https://otsuka-europe-crm.veevavault.com/ui/#object/sent_email__v/VBL00000001B238", "SE-001403258")</f>
        <v>SE-001403258</v>
      </c>
      <c r="D13862" s="1" t="s">
        <v>0</v>
      </c>
      <c r="E13862" s="2">
        <v>0</v>
      </c>
      <c r="F13862" s="2">
        <v>0</v>
      </c>
      <c r="G13862" s="2">
        <v>0</v>
      </c>
      <c r="H13862" s="1" t="s">
        <v>0</v>
      </c>
      <c r="I13862" s="2">
        <v>0</v>
      </c>
      <c r="J13862" s="1">
        <v>46062.46974537037</v>
      </c>
    </row>
    <row r="13863" spans="1:10" x14ac:dyDescent="0.2">
      <c r="A13863" s="4" t="s">
        <v>1</v>
      </c>
      <c r="B13863" s="3" t="str">
        <f>HYPERLINK("https://otsuka-europe-crm.veevavault.com/ui/#object/approved_document__v/V5O00000000O004", "LUP - Congreso EAS- SER 2026 - nefro")</f>
        <v>LUP - Congreso EAS- SER 2026 - nefro</v>
      </c>
      <c r="C13863" s="3" t="str">
        <f>HYPERLINK("https://otsuka-europe-crm.veevavault.com/ui/#object/sent_email__v/VBL00000001B239", "SE-001403259")</f>
        <v>SE-001403259</v>
      </c>
      <c r="D13863" s="1" t="s">
        <v>0</v>
      </c>
      <c r="E13863" s="2">
        <v>0</v>
      </c>
      <c r="F13863" s="2">
        <v>0</v>
      </c>
      <c r="G13863" s="2">
        <v>0</v>
      </c>
      <c r="H13863" s="1" t="s">
        <v>0</v>
      </c>
      <c r="I13863" s="2">
        <v>0</v>
      </c>
      <c r="J13863" s="1">
        <v>46062.469965277778</v>
      </c>
    </row>
    <row r="13864" spans="1:10" x14ac:dyDescent="0.2">
      <c r="A13864" s="4" t="s">
        <v>1</v>
      </c>
      <c r="B13864" s="3" t="str">
        <f>HYPERLINK("https://otsuka-europe-crm.veevavault.com/ui/#object/approved_document__v/V5O00000000O004", "LUP - Congreso EAS- SER 2026 - nefro")</f>
        <v>LUP - Congreso EAS- SER 2026 - nefro</v>
      </c>
      <c r="C13864" s="3" t="str">
        <f>HYPERLINK("https://otsuka-europe-crm.veevavault.com/ui/#object/sent_email__v/VBL00000001B240", "SE-001403260")</f>
        <v>SE-001403260</v>
      </c>
      <c r="D13864" s="1" t="s">
        <v>0</v>
      </c>
      <c r="E13864" s="2">
        <v>0</v>
      </c>
      <c r="F13864" s="2">
        <v>0</v>
      </c>
      <c r="G13864" s="2">
        <v>0</v>
      </c>
      <c r="H13864" s="1" t="s">
        <v>0</v>
      </c>
      <c r="I13864" s="2">
        <v>0</v>
      </c>
      <c r="J13864" s="1">
        <v>46062.470219907409</v>
      </c>
    </row>
    <row r="13865" spans="1:10" x14ac:dyDescent="0.2">
      <c r="A13865" s="4" t="s">
        <v>1</v>
      </c>
      <c r="B13865" s="3" t="str">
        <f>HYPERLINK("https://otsuka-europe-crm.veevavault.com/ui/#object/approved_document__v/V5O00000000O004", "LUP - Congreso EAS- SER 2026 - nefro")</f>
        <v>LUP - Congreso EAS- SER 2026 - nefro</v>
      </c>
      <c r="C13865" s="3" t="str">
        <f>HYPERLINK("https://otsuka-europe-crm.veevavault.com/ui/#object/sent_email__v/VBL00000001B241", "SE-001403261")</f>
        <v>SE-001403261</v>
      </c>
      <c r="D13865" s="1" t="s">
        <v>0</v>
      </c>
      <c r="E13865" s="2">
        <v>0</v>
      </c>
      <c r="F13865" s="2">
        <v>0</v>
      </c>
      <c r="G13865" s="2">
        <v>0</v>
      </c>
      <c r="H13865" s="1" t="s">
        <v>0</v>
      </c>
      <c r="I13865" s="2">
        <v>0</v>
      </c>
      <c r="J13865" s="1">
        <v>46062.470462962963</v>
      </c>
    </row>
    <row r="13866" spans="1:10" x14ac:dyDescent="0.2">
      <c r="A13866" s="4" t="s">
        <v>1</v>
      </c>
      <c r="B13866" s="3" t="str">
        <f>HYPERLINK("https://otsuka-europe-crm.veevavault.com/ui/#object/approved_document__v/V5O00000000O004", "LUP - Congreso EAS- SER 2026 - nefro")</f>
        <v>LUP - Congreso EAS- SER 2026 - nefro</v>
      </c>
      <c r="C13866" s="3" t="str">
        <f>HYPERLINK("https://otsuka-europe-crm.veevavault.com/ui/#object/sent_email__v/VBL00000001B242", "SE-001403262")</f>
        <v>SE-001403262</v>
      </c>
      <c r="D13866" s="1" t="s">
        <v>0</v>
      </c>
      <c r="E13866" s="2">
        <v>0</v>
      </c>
      <c r="F13866" s="2">
        <v>0</v>
      </c>
      <c r="G13866" s="2">
        <v>0</v>
      </c>
      <c r="H13866" s="1" t="s">
        <v>0</v>
      </c>
      <c r="I13866" s="2">
        <v>0</v>
      </c>
      <c r="J13866" s="1">
        <v>46062.470717592594</v>
      </c>
    </row>
    <row r="13867" spans="1:10" x14ac:dyDescent="0.2">
      <c r="A13867" s="4" t="s">
        <v>1</v>
      </c>
      <c r="B13867" s="3" t="str">
        <f>HYPERLINK("https://otsuka-europe-crm.veevavault.com/ui/#object/approved_document__v/V5O00000000O004", "LUP - Congreso EAS- SER 2026 - nefro")</f>
        <v>LUP - Congreso EAS- SER 2026 - nefro</v>
      </c>
      <c r="C13867" s="3" t="str">
        <f>HYPERLINK("https://otsuka-europe-crm.veevavault.com/ui/#object/sent_email__v/VBL00000001B243", "SE-001403263")</f>
        <v>SE-001403263</v>
      </c>
      <c r="D13867" s="1" t="s">
        <v>0</v>
      </c>
      <c r="E13867" s="2">
        <v>0</v>
      </c>
      <c r="F13867" s="2">
        <v>0</v>
      </c>
      <c r="G13867" s="2">
        <v>0</v>
      </c>
      <c r="H13867" s="1" t="s">
        <v>0</v>
      </c>
      <c r="I13867" s="2">
        <v>0</v>
      </c>
      <c r="J13867" s="1">
        <v>46062.470995370371</v>
      </c>
    </row>
    <row r="13868" spans="1:10" x14ac:dyDescent="0.2">
      <c r="A13868" s="4" t="s">
        <v>1</v>
      </c>
      <c r="B13868" s="3" t="str">
        <f>HYPERLINK("https://otsuka-europe-crm.veevavault.com/ui/#object/approved_document__v/V5O00000000O004", "LUP - Congreso EAS- SER 2026 - nefro")</f>
        <v>LUP - Congreso EAS- SER 2026 - nefro</v>
      </c>
      <c r="C13868" s="3" t="str">
        <f>HYPERLINK("https://otsuka-europe-crm.veevavault.com/ui/#object/sent_email__v/VBL00000001B244", "SE-001403264")</f>
        <v>SE-001403264</v>
      </c>
      <c r="D13868" s="1" t="s">
        <v>0</v>
      </c>
      <c r="E13868" s="2">
        <v>0</v>
      </c>
      <c r="F13868" s="2">
        <v>0</v>
      </c>
      <c r="G13868" s="2">
        <v>0</v>
      </c>
      <c r="H13868" s="1" t="s">
        <v>0</v>
      </c>
      <c r="I13868" s="2">
        <v>0</v>
      </c>
      <c r="J13868" s="1">
        <v>46062.471238425926</v>
      </c>
    </row>
    <row r="13869" spans="1:10" x14ac:dyDescent="0.2">
      <c r="A13869" s="4" t="s">
        <v>1</v>
      </c>
      <c r="B13869" s="3" t="str">
        <f>HYPERLINK("https://otsuka-europe-crm.veevavault.com/ui/#object/approved_document__v/V5O00000000O004", "LUP - Congreso EAS- SER 2026 - nefro")</f>
        <v>LUP - Congreso EAS- SER 2026 - nefro</v>
      </c>
      <c r="C13869" s="3" t="str">
        <f>HYPERLINK("https://otsuka-europe-crm.veevavault.com/ui/#object/sent_email__v/VBL00000001B245", "SE-001403265")</f>
        <v>SE-001403265</v>
      </c>
      <c r="D13869" s="1" t="s">
        <v>0</v>
      </c>
      <c r="E13869" s="2">
        <v>0</v>
      </c>
      <c r="F13869" s="2">
        <v>0</v>
      </c>
      <c r="G13869" s="2">
        <v>0</v>
      </c>
      <c r="H13869" s="1" t="s">
        <v>0</v>
      </c>
      <c r="I13869" s="2">
        <v>0</v>
      </c>
      <c r="J13869" s="1">
        <v>46062.47146990741</v>
      </c>
    </row>
    <row r="13870" spans="1:10" x14ac:dyDescent="0.2">
      <c r="A13870" s="4" t="s">
        <v>1</v>
      </c>
      <c r="B13870" s="3" t="str">
        <f>HYPERLINK("https://otsuka-europe-crm.veevavault.com/ui/#object/approved_document__v/V5O00000000O004", "LUP - Congreso EAS- SER 2026 - nefro")</f>
        <v>LUP - Congreso EAS- SER 2026 - nefro</v>
      </c>
      <c r="C13870" s="3" t="str">
        <f>HYPERLINK("https://otsuka-europe-crm.veevavault.com/ui/#object/sent_email__v/VBL00000001B246", "SE-001403266")</f>
        <v>SE-001403266</v>
      </c>
      <c r="D13870" s="1" t="s">
        <v>0</v>
      </c>
      <c r="E13870" s="2">
        <v>0</v>
      </c>
      <c r="F13870" s="2">
        <v>0</v>
      </c>
      <c r="G13870" s="2">
        <v>0</v>
      </c>
      <c r="H13870" s="1" t="s">
        <v>0</v>
      </c>
      <c r="I13870" s="2">
        <v>0</v>
      </c>
      <c r="J13870" s="1">
        <v>46062.471724537034</v>
      </c>
    </row>
    <row r="13871" spans="1:10" x14ac:dyDescent="0.2">
      <c r="A13871" s="4" t="s">
        <v>1</v>
      </c>
      <c r="B13871" s="3" t="str">
        <f>HYPERLINK("https://otsuka-europe-crm.veevavault.com/ui/#object/approved_document__v/V5O00000000O004", "LUP - Congreso EAS- SER 2026 - nefro")</f>
        <v>LUP - Congreso EAS- SER 2026 - nefro</v>
      </c>
      <c r="C13871" s="3" t="str">
        <f>HYPERLINK("https://otsuka-europe-crm.veevavault.com/ui/#object/sent_email__v/VBL00000001B247", "SE-001403267")</f>
        <v>SE-001403267</v>
      </c>
      <c r="D13871" s="1" t="s">
        <v>0</v>
      </c>
      <c r="E13871" s="2">
        <v>0</v>
      </c>
      <c r="F13871" s="2">
        <v>0</v>
      </c>
      <c r="G13871" s="2">
        <v>0</v>
      </c>
      <c r="H13871" s="1" t="s">
        <v>0</v>
      </c>
      <c r="I13871" s="2">
        <v>0</v>
      </c>
      <c r="J13871" s="1">
        <v>46062.471990740742</v>
      </c>
    </row>
    <row r="13872" spans="1:10" x14ac:dyDescent="0.2">
      <c r="A13872" s="4" t="s">
        <v>1</v>
      </c>
      <c r="B13872" s="3" t="str">
        <f>HYPERLINK("https://otsuka-europe-crm.veevavault.com/ui/#object/approved_document__v/V5O00000000O004", "LUP - Congreso EAS- SER 2026 - nefro")</f>
        <v>LUP - Congreso EAS- SER 2026 - nefro</v>
      </c>
      <c r="C13872" s="3" t="str">
        <f>HYPERLINK("https://otsuka-europe-crm.veevavault.com/ui/#object/sent_email__v/VBL00000001B248", "SE-001403268")</f>
        <v>SE-001403268</v>
      </c>
      <c r="D13872" s="1" t="s">
        <v>0</v>
      </c>
      <c r="E13872" s="2">
        <v>0</v>
      </c>
      <c r="F13872" s="2">
        <v>0</v>
      </c>
      <c r="G13872" s="2">
        <v>0</v>
      </c>
      <c r="H13872" s="1" t="s">
        <v>0</v>
      </c>
      <c r="I13872" s="2">
        <v>0</v>
      </c>
      <c r="J13872" s="1">
        <v>46062.472233796296</v>
      </c>
    </row>
    <row r="13873" spans="1:10" x14ac:dyDescent="0.2">
      <c r="A13873" s="4" t="s">
        <v>1</v>
      </c>
      <c r="B13873" s="3" t="str">
        <f>HYPERLINK("https://otsuka-europe-crm.veevavault.com/ui/#object/approved_document__v/V5O00000000O004", "LUP - Congreso EAS- SER 2026 - nefro")</f>
        <v>LUP - Congreso EAS- SER 2026 - nefro</v>
      </c>
      <c r="C13873" s="3" t="str">
        <f>HYPERLINK("https://otsuka-europe-crm.veevavault.com/ui/#object/sent_email__v/VBL00000001B249", "SE-001403269")</f>
        <v>SE-001403269</v>
      </c>
      <c r="D13873" s="1" t="s">
        <v>0</v>
      </c>
      <c r="E13873" s="2">
        <v>0</v>
      </c>
      <c r="F13873" s="2">
        <v>0</v>
      </c>
      <c r="G13873" s="2">
        <v>0</v>
      </c>
      <c r="H13873" s="1" t="s">
        <v>0</v>
      </c>
      <c r="I13873" s="2">
        <v>0</v>
      </c>
      <c r="J13873" s="1">
        <v>46062.472407407404</v>
      </c>
    </row>
    <row r="13874" spans="1:10" x14ac:dyDescent="0.2">
      <c r="A13874" s="4" t="s">
        <v>1</v>
      </c>
      <c r="B13874" s="3" t="str">
        <f>HYPERLINK("https://otsuka-europe-crm.veevavault.com/ui/#object/approved_document__v/V5O00000000O004", "LUP - Congreso EAS- SER 2026 - nefro")</f>
        <v>LUP - Congreso EAS- SER 2026 - nefro</v>
      </c>
      <c r="C13874" s="3" t="str">
        <f>HYPERLINK("https://otsuka-europe-crm.veevavault.com/ui/#object/sent_email__v/VBL00000001B250", "SE-001403270")</f>
        <v>SE-001403270</v>
      </c>
      <c r="D13874" s="1" t="s">
        <v>0</v>
      </c>
      <c r="E13874" s="2">
        <v>0</v>
      </c>
      <c r="F13874" s="2">
        <v>0</v>
      </c>
      <c r="G13874" s="2">
        <v>0</v>
      </c>
      <c r="H13874" s="1" t="s">
        <v>0</v>
      </c>
      <c r="I13874" s="2">
        <v>0</v>
      </c>
      <c r="J13874" s="1">
        <v>46062.472581018519</v>
      </c>
    </row>
    <row r="13875" spans="1:10" x14ac:dyDescent="0.2">
      <c r="A13875" s="4" t="s">
        <v>1</v>
      </c>
      <c r="B13875" s="3" t="str">
        <f>HYPERLINK("https://otsuka-europe-crm.veevavault.com/ui/#object/approved_document__v/V5O00000000O004", "LUP - Congreso EAS- SER 2026 - nefro")</f>
        <v>LUP - Congreso EAS- SER 2026 - nefro</v>
      </c>
      <c r="C13875" s="3" t="str">
        <f>HYPERLINK("https://otsuka-europe-crm.veevavault.com/ui/#object/sent_email__v/VBL00000001B251", "SE-001403271")</f>
        <v>SE-001403271</v>
      </c>
      <c r="D13875" s="1" t="s">
        <v>0</v>
      </c>
      <c r="E13875" s="2">
        <v>0</v>
      </c>
      <c r="F13875" s="2">
        <v>0</v>
      </c>
      <c r="G13875" s="2">
        <v>0</v>
      </c>
      <c r="H13875" s="1" t="s">
        <v>0</v>
      </c>
      <c r="I13875" s="2">
        <v>0</v>
      </c>
      <c r="J13875" s="1">
        <v>46062.472754629627</v>
      </c>
    </row>
    <row r="13876" spans="1:10" x14ac:dyDescent="0.2">
      <c r="A13876" s="4" t="s">
        <v>1</v>
      </c>
      <c r="B13876" s="3" t="str">
        <f>HYPERLINK("https://otsuka-europe-crm.veevavault.com/ui/#object/approved_document__v/V5O00000000O004", "LUP - Congreso EAS- SER 2026 - nefro")</f>
        <v>LUP - Congreso EAS- SER 2026 - nefro</v>
      </c>
      <c r="C13876" s="3" t="str">
        <f>HYPERLINK("https://otsuka-europe-crm.veevavault.com/ui/#object/sent_email__v/VBL00000001B252", "SE-001403272")</f>
        <v>SE-001403272</v>
      </c>
      <c r="D13876" s="1" t="s">
        <v>0</v>
      </c>
      <c r="E13876" s="2">
        <v>0</v>
      </c>
      <c r="F13876" s="2">
        <v>0</v>
      </c>
      <c r="G13876" s="2">
        <v>0</v>
      </c>
      <c r="H13876" s="1" t="s">
        <v>0</v>
      </c>
      <c r="I13876" s="2">
        <v>0</v>
      </c>
      <c r="J13876" s="1">
        <v>46062.472916666666</v>
      </c>
    </row>
    <row r="13877" spans="1:10" x14ac:dyDescent="0.2">
      <c r="A13877" s="4" t="s">
        <v>1</v>
      </c>
      <c r="B13877" s="3" t="str">
        <f>HYPERLINK("https://otsuka-europe-crm.veevavault.com/ui/#object/approved_document__v/V5O00000000O004", "LUP - Congreso EAS- SER 2026 - nefro")</f>
        <v>LUP - Congreso EAS- SER 2026 - nefro</v>
      </c>
      <c r="C13877" s="3" t="str">
        <f>HYPERLINK("https://otsuka-europe-crm.veevavault.com/ui/#object/sent_email__v/VBL00000001B253", "SE-001403273")</f>
        <v>SE-001403273</v>
      </c>
      <c r="D13877" s="1" t="s">
        <v>0</v>
      </c>
      <c r="E13877" s="2">
        <v>0</v>
      </c>
      <c r="F13877" s="2">
        <v>0</v>
      </c>
      <c r="G13877" s="2">
        <v>0</v>
      </c>
      <c r="H13877" s="1" t="s">
        <v>0</v>
      </c>
      <c r="I13877" s="2">
        <v>0</v>
      </c>
      <c r="J13877" s="1">
        <v>46062.473090277781</v>
      </c>
    </row>
    <row r="13878" spans="1:10" x14ac:dyDescent="0.2">
      <c r="A13878" s="4" t="s">
        <v>1</v>
      </c>
      <c r="B13878" s="3" t="str">
        <f>HYPERLINK("https://otsuka-europe-crm.veevavault.com/ui/#object/approved_document__v/V5O00000000O004", "LUP - Congreso EAS- SER 2026 - nefro")</f>
        <v>LUP - Congreso EAS- SER 2026 - nefro</v>
      </c>
      <c r="C13878" s="3" t="str">
        <f>HYPERLINK("https://otsuka-europe-crm.veevavault.com/ui/#object/sent_email__v/VBL00000001B254", "SE-001403274")</f>
        <v>SE-001403274</v>
      </c>
      <c r="D13878" s="1" t="s">
        <v>0</v>
      </c>
      <c r="E13878" s="2">
        <v>0</v>
      </c>
      <c r="F13878" s="2">
        <v>0</v>
      </c>
      <c r="G13878" s="2">
        <v>0</v>
      </c>
      <c r="H13878" s="1" t="s">
        <v>0</v>
      </c>
      <c r="I13878" s="2">
        <v>0</v>
      </c>
      <c r="J13878" s="1">
        <v>46062.473240740743</v>
      </c>
    </row>
    <row r="13879" spans="1:10" x14ac:dyDescent="0.2">
      <c r="A13879" s="4" t="s">
        <v>1</v>
      </c>
      <c r="B13879" s="3" t="str">
        <f>HYPERLINK("https://otsuka-europe-crm.veevavault.com/ui/#object/approved_document__v/V5O00000000O004", "LUP - Congreso EAS- SER 2026 - nefro")</f>
        <v>LUP - Congreso EAS- SER 2026 - nefro</v>
      </c>
      <c r="C13879" s="3" t="str">
        <f>HYPERLINK("https://otsuka-europe-crm.veevavault.com/ui/#object/sent_email__v/VBL00000001B255", "SE-001403275")</f>
        <v>SE-001403275</v>
      </c>
      <c r="D13879" s="1" t="s">
        <v>0</v>
      </c>
      <c r="E13879" s="2">
        <v>0</v>
      </c>
      <c r="F13879" s="2">
        <v>0</v>
      </c>
      <c r="G13879" s="2">
        <v>0</v>
      </c>
      <c r="H13879" s="1" t="s">
        <v>0</v>
      </c>
      <c r="I13879" s="2">
        <v>0</v>
      </c>
      <c r="J13879" s="1">
        <v>46062.473414351851</v>
      </c>
    </row>
    <row r="13880" spans="1:10" x14ac:dyDescent="0.2">
      <c r="A13880" s="4" t="s">
        <v>1</v>
      </c>
      <c r="B13880" s="3" t="str">
        <f>HYPERLINK("https://otsuka-europe-crm.veevavault.com/ui/#object/approved_document__v/V5O00000000O004", "LUP - Congreso EAS- SER 2026 - nefro")</f>
        <v>LUP - Congreso EAS- SER 2026 - nefro</v>
      </c>
      <c r="C13880" s="3" t="str">
        <f>HYPERLINK("https://otsuka-europe-crm.veevavault.com/ui/#object/sent_email__v/VBL00000001B256", "SE-001403276")</f>
        <v>SE-001403276</v>
      </c>
      <c r="D13880" s="1" t="s">
        <v>0</v>
      </c>
      <c r="E13880" s="2">
        <v>0</v>
      </c>
      <c r="F13880" s="2">
        <v>0</v>
      </c>
      <c r="G13880" s="2">
        <v>0</v>
      </c>
      <c r="H13880" s="1" t="s">
        <v>0</v>
      </c>
      <c r="I13880" s="2">
        <v>0</v>
      </c>
      <c r="J13880" s="1">
        <v>46062.473634259259</v>
      </c>
    </row>
    <row r="13881" spans="1:10" x14ac:dyDescent="0.2">
      <c r="A13881" s="4" t="s">
        <v>1</v>
      </c>
      <c r="B13881" s="3" t="str">
        <f>HYPERLINK("https://otsuka-europe-crm.veevavault.com/ui/#object/approved_document__v/V5O00000000O004", "LUP - Congreso EAS- SER 2026 - nefro")</f>
        <v>LUP - Congreso EAS- SER 2026 - nefro</v>
      </c>
      <c r="C13881" s="3" t="str">
        <f>HYPERLINK("https://otsuka-europe-crm.veevavault.com/ui/#object/sent_email__v/VBL00000001B257", "SE-001403277")</f>
        <v>SE-001403277</v>
      </c>
      <c r="D13881" s="1" t="s">
        <v>0</v>
      </c>
      <c r="E13881" s="2">
        <v>0</v>
      </c>
      <c r="F13881" s="2">
        <v>0</v>
      </c>
      <c r="G13881" s="2">
        <v>0</v>
      </c>
      <c r="H13881" s="1" t="s">
        <v>0</v>
      </c>
      <c r="I13881" s="2">
        <v>0</v>
      </c>
      <c r="J13881" s="1">
        <v>46062.473877314813</v>
      </c>
    </row>
    <row r="13882" spans="1:10" x14ac:dyDescent="0.2">
      <c r="A13882" s="4" t="s">
        <v>1</v>
      </c>
      <c r="B13882" s="3" t="str">
        <f>HYPERLINK("https://otsuka-europe-crm.veevavault.com/ui/#object/approved_document__v/V5O00000000O004", "LUP - Congreso EAS- SER 2026 - nefro")</f>
        <v>LUP - Congreso EAS- SER 2026 - nefro</v>
      </c>
      <c r="C13882" s="3" t="str">
        <f>HYPERLINK("https://otsuka-europe-crm.veevavault.com/ui/#object/sent_email__v/VBL00000001B258", "SE-001403278")</f>
        <v>SE-001403278</v>
      </c>
      <c r="D13882" s="1" t="s">
        <v>0</v>
      </c>
      <c r="E13882" s="2">
        <v>0</v>
      </c>
      <c r="F13882" s="2">
        <v>0</v>
      </c>
      <c r="G13882" s="2">
        <v>0</v>
      </c>
      <c r="H13882" s="1" t="s">
        <v>0</v>
      </c>
      <c r="I13882" s="2">
        <v>0</v>
      </c>
      <c r="J13882" s="1">
        <v>46062.474143518521</v>
      </c>
    </row>
    <row r="13883" spans="1:10" x14ac:dyDescent="0.2">
      <c r="A13883" s="4" t="s">
        <v>1</v>
      </c>
      <c r="B13883" s="3" t="str">
        <f>HYPERLINK("https://otsuka-europe-crm.veevavault.com/ui/#object/approved_document__v/V5O00000000O004", "LUP - Congreso EAS- SER 2026 - nefro")</f>
        <v>LUP - Congreso EAS- SER 2026 - nefro</v>
      </c>
      <c r="C13883" s="3" t="str">
        <f>HYPERLINK("https://otsuka-europe-crm.veevavault.com/ui/#object/sent_email__v/VBL00000001B259", "SE-001403279")</f>
        <v>SE-001403279</v>
      </c>
      <c r="D13883" s="1" t="s">
        <v>0</v>
      </c>
      <c r="E13883" s="2">
        <v>0</v>
      </c>
      <c r="F13883" s="2">
        <v>0</v>
      </c>
      <c r="G13883" s="2">
        <v>0</v>
      </c>
      <c r="H13883" s="1" t="s">
        <v>0</v>
      </c>
      <c r="I13883" s="2">
        <v>0</v>
      </c>
      <c r="J13883" s="1">
        <v>46062.474386574075</v>
      </c>
    </row>
    <row r="13884" spans="1:10" x14ac:dyDescent="0.2">
      <c r="A13884" s="4" t="s">
        <v>1</v>
      </c>
      <c r="B13884" s="3" t="str">
        <f>HYPERLINK("https://otsuka-europe-crm.veevavault.com/ui/#object/approved_document__v/V5O00000000O004", "LUP - Congreso EAS- SER 2026 - nefro")</f>
        <v>LUP - Congreso EAS- SER 2026 - nefro</v>
      </c>
      <c r="C13884" s="3" t="str">
        <f>HYPERLINK("https://otsuka-europe-crm.veevavault.com/ui/#object/sent_email__v/VBL00000001B260", "SE-001403280")</f>
        <v>SE-001403280</v>
      </c>
      <c r="D13884" s="1" t="s">
        <v>0</v>
      </c>
      <c r="E13884" s="2">
        <v>0</v>
      </c>
      <c r="F13884" s="2">
        <v>0</v>
      </c>
      <c r="G13884" s="2">
        <v>0</v>
      </c>
      <c r="H13884" s="1" t="s">
        <v>0</v>
      </c>
      <c r="I13884" s="2">
        <v>0</v>
      </c>
      <c r="J13884" s="1">
        <v>46062.474629629629</v>
      </c>
    </row>
    <row r="13885" spans="1:10" x14ac:dyDescent="0.2">
      <c r="A13885" s="4" t="s">
        <v>1</v>
      </c>
      <c r="B13885" s="3" t="str">
        <f>HYPERLINK("https://otsuka-europe-crm.veevavault.com/ui/#object/approved_document__v/V5O00000000O004", "LUP - Congreso EAS- SER 2026 - nefro")</f>
        <v>LUP - Congreso EAS- SER 2026 - nefro</v>
      </c>
      <c r="C13885" s="3" t="str">
        <f>HYPERLINK("https://otsuka-europe-crm.veevavault.com/ui/#object/sent_email__v/VBL00000001B261", "SE-001403281")</f>
        <v>SE-001403281</v>
      </c>
      <c r="D13885" s="1" t="s">
        <v>0</v>
      </c>
      <c r="E13885" s="2">
        <v>0</v>
      </c>
      <c r="F13885" s="2">
        <v>0</v>
      </c>
      <c r="G13885" s="2">
        <v>0</v>
      </c>
      <c r="H13885" s="1" t="s">
        <v>0</v>
      </c>
      <c r="I13885" s="2">
        <v>0</v>
      </c>
      <c r="J13885" s="1">
        <v>46062.474895833337</v>
      </c>
    </row>
    <row r="13886" spans="1:10" x14ac:dyDescent="0.2">
      <c r="A13886" s="4" t="s">
        <v>1</v>
      </c>
      <c r="B13886" s="3" t="str">
        <f>HYPERLINK("https://otsuka-europe-crm.veevavault.com/ui/#object/approved_document__v/V5O00000000O004", "LUP - Congreso EAS- SER 2026 - nefro")</f>
        <v>LUP - Congreso EAS- SER 2026 - nefro</v>
      </c>
      <c r="C13886" s="3" t="str">
        <f>HYPERLINK("https://otsuka-europe-crm.veevavault.com/ui/#object/sent_email__v/VBL00000001B262", "SE-001403282")</f>
        <v>SE-001403282</v>
      </c>
      <c r="D13886" s="1" t="s">
        <v>0</v>
      </c>
      <c r="E13886" s="2">
        <v>0</v>
      </c>
      <c r="F13886" s="2">
        <v>0</v>
      </c>
      <c r="G13886" s="2">
        <v>0</v>
      </c>
      <c r="H13886" s="1" t="s">
        <v>0</v>
      </c>
      <c r="I13886" s="2">
        <v>0</v>
      </c>
      <c r="J13886" s="1">
        <v>46062.47515046296</v>
      </c>
    </row>
    <row r="13887" spans="1:10" x14ac:dyDescent="0.2">
      <c r="A13887" s="4" t="s">
        <v>1</v>
      </c>
      <c r="B13887" s="3" t="str">
        <f>HYPERLINK("https://otsuka-europe-crm.veevavault.com/ui/#object/approved_document__v/V5O00000000O004", "LUP - Congreso EAS- SER 2026 - nefro")</f>
        <v>LUP - Congreso EAS- SER 2026 - nefro</v>
      </c>
      <c r="C13887" s="3" t="str">
        <f>HYPERLINK("https://otsuka-europe-crm.veevavault.com/ui/#object/sent_email__v/VBL00000001B263", "SE-001403283")</f>
        <v>SE-001403283</v>
      </c>
      <c r="D13887" s="1" t="s">
        <v>0</v>
      </c>
      <c r="E13887" s="2">
        <v>0</v>
      </c>
      <c r="F13887" s="2">
        <v>0</v>
      </c>
      <c r="G13887" s="2">
        <v>0</v>
      </c>
      <c r="H13887" s="1" t="s">
        <v>0</v>
      </c>
      <c r="I13887" s="2">
        <v>0</v>
      </c>
      <c r="J13887" s="1">
        <v>46062.475428240738</v>
      </c>
    </row>
    <row r="13888" spans="1:10" x14ac:dyDescent="0.2">
      <c r="A13888" s="4" t="s">
        <v>1</v>
      </c>
      <c r="B13888" s="3" t="str">
        <f>HYPERLINK("https://otsuka-europe-crm.veevavault.com/ui/#object/approved_document__v/V5O00000000O004", "LUP - Congreso EAS- SER 2026 - nefro")</f>
        <v>LUP - Congreso EAS- SER 2026 - nefro</v>
      </c>
      <c r="C13888" s="3" t="str">
        <f>HYPERLINK("https://otsuka-europe-crm.veevavault.com/ui/#object/sent_email__v/VBL00000001B264", "SE-001403284")</f>
        <v>SE-001403284</v>
      </c>
      <c r="D13888" s="1" t="s">
        <v>0</v>
      </c>
      <c r="E13888" s="2">
        <v>0</v>
      </c>
      <c r="F13888" s="2">
        <v>0</v>
      </c>
      <c r="G13888" s="2">
        <v>0</v>
      </c>
      <c r="H13888" s="1" t="s">
        <v>0</v>
      </c>
      <c r="I13888" s="2">
        <v>0</v>
      </c>
      <c r="J13888" s="1">
        <v>46062.475648148145</v>
      </c>
    </row>
    <row r="13889" spans="1:10" x14ac:dyDescent="0.2">
      <c r="A13889" s="4" t="s">
        <v>1</v>
      </c>
      <c r="B13889" s="3" t="str">
        <f>HYPERLINK("https://otsuka-europe-crm.veevavault.com/ui/#object/approved_document__v/V5O00000000O004", "LUP - Congreso EAS- SER 2026 - nefro")</f>
        <v>LUP - Congreso EAS- SER 2026 - nefro</v>
      </c>
      <c r="C13889" s="3" t="str">
        <f>HYPERLINK("https://otsuka-europe-crm.veevavault.com/ui/#object/sent_email__v/VBL00000001B265", "SE-001403285")</f>
        <v>SE-001403285</v>
      </c>
      <c r="D13889" s="1" t="s">
        <v>0</v>
      </c>
      <c r="E13889" s="2">
        <v>0</v>
      </c>
      <c r="F13889" s="2">
        <v>0</v>
      </c>
      <c r="G13889" s="2">
        <v>0</v>
      </c>
      <c r="H13889" s="1" t="s">
        <v>0</v>
      </c>
      <c r="I13889" s="2">
        <v>0</v>
      </c>
      <c r="J13889" s="1">
        <v>46062.475844907407</v>
      </c>
    </row>
    <row r="13890" spans="1:10" x14ac:dyDescent="0.2">
      <c r="A13890" s="4" t="s">
        <v>1</v>
      </c>
      <c r="B13890" s="3" t="str">
        <f>HYPERLINK("https://otsuka-europe-crm.veevavault.com/ui/#object/approved_document__v/V5O00000000O004", "LUP - Congreso EAS- SER 2026 - nefro")</f>
        <v>LUP - Congreso EAS- SER 2026 - nefro</v>
      </c>
      <c r="C13890" s="3" t="str">
        <f>HYPERLINK("https://otsuka-europe-crm.veevavault.com/ui/#object/sent_email__v/VBL00000001B266", "SE-001403286")</f>
        <v>SE-001403286</v>
      </c>
      <c r="D13890" s="1" t="s">
        <v>0</v>
      </c>
      <c r="E13890" s="2">
        <v>0</v>
      </c>
      <c r="F13890" s="2">
        <v>0</v>
      </c>
      <c r="G13890" s="2">
        <v>0</v>
      </c>
      <c r="H13890" s="1" t="s">
        <v>0</v>
      </c>
      <c r="I13890" s="2">
        <v>0</v>
      </c>
      <c r="J13890" s="1">
        <v>46062.476006944446</v>
      </c>
    </row>
    <row r="13891" spans="1:10" x14ac:dyDescent="0.2">
      <c r="A13891" s="4" t="s">
        <v>1</v>
      </c>
      <c r="B13891" s="3" t="str">
        <f>HYPERLINK("https://otsuka-europe-crm.veevavault.com/ui/#object/approved_document__v/V5O00000000O004", "LUP - Congreso EAS- SER 2026 - nefro")</f>
        <v>LUP - Congreso EAS- SER 2026 - nefro</v>
      </c>
      <c r="C13891" s="3" t="str">
        <f>HYPERLINK("https://otsuka-europe-crm.veevavault.com/ui/#object/sent_email__v/VBL00000001B267", "SE-001403287")</f>
        <v>SE-001403287</v>
      </c>
      <c r="D13891" s="1" t="s">
        <v>0</v>
      </c>
      <c r="E13891" s="2">
        <v>0</v>
      </c>
      <c r="F13891" s="2">
        <v>0</v>
      </c>
      <c r="G13891" s="2">
        <v>0</v>
      </c>
      <c r="H13891" s="1" t="s">
        <v>0</v>
      </c>
      <c r="I13891" s="2">
        <v>0</v>
      </c>
      <c r="J13891" s="1">
        <v>46062.476180555554</v>
      </c>
    </row>
    <row r="13892" spans="1:10" x14ac:dyDescent="0.2">
      <c r="A13892" s="4" t="s">
        <v>1</v>
      </c>
      <c r="B13892" s="3" t="str">
        <f>HYPERLINK("https://otsuka-europe-crm.veevavault.com/ui/#object/approved_document__v/V5O00000000O004", "LUP - Congreso EAS- SER 2026 - nefro")</f>
        <v>LUP - Congreso EAS- SER 2026 - nefro</v>
      </c>
      <c r="C13892" s="3" t="str">
        <f>HYPERLINK("https://otsuka-europe-crm.veevavault.com/ui/#object/sent_email__v/VBL00000001B268", "SE-001403288")</f>
        <v>SE-001403288</v>
      </c>
      <c r="D13892" s="1" t="s">
        <v>0</v>
      </c>
      <c r="E13892" s="2">
        <v>0</v>
      </c>
      <c r="F13892" s="2">
        <v>0</v>
      </c>
      <c r="G13892" s="2">
        <v>0</v>
      </c>
      <c r="H13892" s="1" t="s">
        <v>0</v>
      </c>
      <c r="I13892" s="2">
        <v>0</v>
      </c>
      <c r="J13892" s="1">
        <v>46062.476354166669</v>
      </c>
    </row>
    <row r="13893" spans="1:10" x14ac:dyDescent="0.2">
      <c r="A13893" s="4" t="s">
        <v>1</v>
      </c>
      <c r="B13893" s="3" t="str">
        <f>HYPERLINK("https://otsuka-europe-crm.veevavault.com/ui/#object/approved_document__v/V5O00000000O004", "LUP - Congreso EAS- SER 2026 - nefro")</f>
        <v>LUP - Congreso EAS- SER 2026 - nefro</v>
      </c>
      <c r="C13893" s="3" t="str">
        <f>HYPERLINK("https://otsuka-europe-crm.veevavault.com/ui/#object/sent_email__v/VBL00000001B269", "SE-001403289")</f>
        <v>SE-001403289</v>
      </c>
      <c r="D13893" s="1" t="s">
        <v>0</v>
      </c>
      <c r="E13893" s="2">
        <v>0</v>
      </c>
      <c r="F13893" s="2">
        <v>0</v>
      </c>
      <c r="G13893" s="2">
        <v>0</v>
      </c>
      <c r="H13893" s="1" t="s">
        <v>0</v>
      </c>
      <c r="I13893" s="2">
        <v>0</v>
      </c>
      <c r="J13893" s="1">
        <v>46062.4765162037</v>
      </c>
    </row>
    <row r="13894" spans="1:10" x14ac:dyDescent="0.2">
      <c r="A13894" s="4" t="s">
        <v>1</v>
      </c>
      <c r="B13894" s="3" t="str">
        <f>HYPERLINK("https://otsuka-europe-crm.veevavault.com/ui/#object/approved_document__v/V5O00000000O004", "LUP - Congreso EAS- SER 2026 - nefro")</f>
        <v>LUP - Congreso EAS- SER 2026 - nefro</v>
      </c>
      <c r="C13894" s="3" t="str">
        <f>HYPERLINK("https://otsuka-europe-crm.veevavault.com/ui/#object/sent_email__v/VBL00000001B270", "SE-001403290")</f>
        <v>SE-001403290</v>
      </c>
      <c r="D13894" s="1" t="s">
        <v>0</v>
      </c>
      <c r="E13894" s="2">
        <v>0</v>
      </c>
      <c r="F13894" s="2">
        <v>0</v>
      </c>
      <c r="G13894" s="2">
        <v>0</v>
      </c>
      <c r="H13894" s="1" t="s">
        <v>0</v>
      </c>
      <c r="I13894" s="2">
        <v>0</v>
      </c>
      <c r="J13894" s="1">
        <v>46062.476736111108</v>
      </c>
    </row>
    <row r="13895" spans="1:10" x14ac:dyDescent="0.2">
      <c r="A13895" s="4" t="s">
        <v>1</v>
      </c>
      <c r="B13895" s="3" t="str">
        <f>HYPERLINK("https://otsuka-europe-crm.veevavault.com/ui/#object/approved_document__v/V5O00000000O004", "LUP - Congreso EAS- SER 2026 - nefro")</f>
        <v>LUP - Congreso EAS- SER 2026 - nefro</v>
      </c>
      <c r="C13895" s="3" t="str">
        <f>HYPERLINK("https://otsuka-europe-crm.veevavault.com/ui/#object/sent_email__v/VBL00000001B271", "SE-001403291")</f>
        <v>SE-001403291</v>
      </c>
      <c r="D13895" s="1" t="s">
        <v>0</v>
      </c>
      <c r="E13895" s="2">
        <v>0</v>
      </c>
      <c r="F13895" s="2">
        <v>0</v>
      </c>
      <c r="G13895" s="2">
        <v>0</v>
      </c>
      <c r="H13895" s="1" t="s">
        <v>0</v>
      </c>
      <c r="I13895" s="2">
        <v>0</v>
      </c>
      <c r="J13895" s="1">
        <v>46062.476979166669</v>
      </c>
    </row>
    <row r="13896" spans="1:10" x14ac:dyDescent="0.2">
      <c r="A13896" s="4" t="s">
        <v>1</v>
      </c>
      <c r="B13896" s="3" t="str">
        <f>HYPERLINK("https://otsuka-europe-crm.veevavault.com/ui/#object/approved_document__v/V5O00000000O004", "LUP - Congreso EAS- SER 2026 - nefro")</f>
        <v>LUP - Congreso EAS- SER 2026 - nefro</v>
      </c>
      <c r="C13896" s="3" t="str">
        <f>HYPERLINK("https://otsuka-europe-crm.veevavault.com/ui/#object/sent_email__v/VBL00000001B272", "SE-001403292")</f>
        <v>SE-001403292</v>
      </c>
      <c r="D13896" s="1" t="s">
        <v>0</v>
      </c>
      <c r="E13896" s="2">
        <v>0</v>
      </c>
      <c r="F13896" s="2">
        <v>0</v>
      </c>
      <c r="G13896" s="2">
        <v>0</v>
      </c>
      <c r="H13896" s="1" t="s">
        <v>0</v>
      </c>
      <c r="I13896" s="2">
        <v>0</v>
      </c>
      <c r="J13896" s="1">
        <v>46062.477256944447</v>
      </c>
    </row>
    <row r="13897" spans="1:10" x14ac:dyDescent="0.2">
      <c r="A13897" s="4" t="s">
        <v>1</v>
      </c>
      <c r="B13897" s="3" t="str">
        <f>HYPERLINK("https://otsuka-europe-crm.veevavault.com/ui/#object/approved_document__v/V5O00000000O004", "LUP - Congreso EAS- SER 2026 - nefro")</f>
        <v>LUP - Congreso EAS- SER 2026 - nefro</v>
      </c>
      <c r="C13897" s="3" t="str">
        <f>HYPERLINK("https://otsuka-europe-crm.veevavault.com/ui/#object/sent_email__v/VBL00000001B273", "SE-001403293")</f>
        <v>SE-001403293</v>
      </c>
      <c r="D13897" s="1">
        <v>46062.971909722219</v>
      </c>
      <c r="E13897" s="2">
        <v>1</v>
      </c>
      <c r="F13897" s="2">
        <v>1</v>
      </c>
      <c r="G13897" s="2">
        <v>0</v>
      </c>
      <c r="H13897" s="1" t="s">
        <v>0</v>
      </c>
      <c r="I13897" s="2">
        <v>0</v>
      </c>
      <c r="J13897" s="1">
        <v>46062.477511574078</v>
      </c>
    </row>
    <row r="13898" spans="1:10" x14ac:dyDescent="0.2">
      <c r="A13898" s="4" t="s">
        <v>1</v>
      </c>
      <c r="B13898" s="3" t="str">
        <f>HYPERLINK("https://otsuka-europe-crm.veevavault.com/ui/#object/approved_document__v/V5O00000000O004", "LUP - Congreso EAS- SER 2026 - nefro")</f>
        <v>LUP - Congreso EAS- SER 2026 - nefro</v>
      </c>
      <c r="C13898" s="3" t="str">
        <f>HYPERLINK("https://otsuka-europe-crm.veevavault.com/ui/#object/sent_email__v/VBL00000001B274", "SE-001403294")</f>
        <v>SE-001403294</v>
      </c>
      <c r="D13898" s="1" t="s">
        <v>0</v>
      </c>
      <c r="E13898" s="2">
        <v>0</v>
      </c>
      <c r="F13898" s="2">
        <v>0</v>
      </c>
      <c r="G13898" s="2">
        <v>0</v>
      </c>
      <c r="H13898" s="1" t="s">
        <v>0</v>
      </c>
      <c r="I13898" s="2">
        <v>0</v>
      </c>
      <c r="J13898" s="1">
        <v>46062.477766203701</v>
      </c>
    </row>
    <row r="13899" spans="1:10" x14ac:dyDescent="0.2">
      <c r="A13899" s="4" t="s">
        <v>1</v>
      </c>
      <c r="B13899" s="3" t="str">
        <f>HYPERLINK("https://otsuka-europe-crm.veevavault.com/ui/#object/approved_document__v/V5O00000000O004", "LUP - Congreso EAS- SER 2026 - nefro")</f>
        <v>LUP - Congreso EAS- SER 2026 - nefro</v>
      </c>
      <c r="C13899" s="3" t="str">
        <f>HYPERLINK("https://otsuka-europe-crm.veevavault.com/ui/#object/sent_email__v/VBL00000001B275", "SE-001403295")</f>
        <v>SE-001403295</v>
      </c>
      <c r="D13899" s="1" t="s">
        <v>0</v>
      </c>
      <c r="E13899" s="2">
        <v>0</v>
      </c>
      <c r="F13899" s="2">
        <v>0</v>
      </c>
      <c r="G13899" s="2">
        <v>0</v>
      </c>
      <c r="H13899" s="1" t="s">
        <v>0</v>
      </c>
      <c r="I13899" s="2">
        <v>0</v>
      </c>
      <c r="J13899" s="1">
        <v>46062.478032407409</v>
      </c>
    </row>
    <row r="13900" spans="1:10" x14ac:dyDescent="0.2">
      <c r="A13900" s="4" t="s">
        <v>1</v>
      </c>
      <c r="B13900" s="3" t="str">
        <f>HYPERLINK("https://otsuka-europe-crm.veevavault.com/ui/#object/approved_document__v/V5O00000000O004", "LUP - Congreso EAS- SER 2026 - nefro")</f>
        <v>LUP - Congreso EAS- SER 2026 - nefro</v>
      </c>
      <c r="C13900" s="3" t="str">
        <f>HYPERLINK("https://otsuka-europe-crm.veevavault.com/ui/#object/sent_email__v/VBL00000001B276", "SE-001403296")</f>
        <v>SE-001403296</v>
      </c>
      <c r="D13900" s="1" t="s">
        <v>0</v>
      </c>
      <c r="E13900" s="2">
        <v>0</v>
      </c>
      <c r="F13900" s="2">
        <v>0</v>
      </c>
      <c r="G13900" s="2">
        <v>0</v>
      </c>
      <c r="H13900" s="1" t="s">
        <v>0</v>
      </c>
      <c r="I13900" s="2">
        <v>0</v>
      </c>
      <c r="J13900" s="1">
        <v>46062.47828703704</v>
      </c>
    </row>
    <row r="13901" spans="1:10" x14ac:dyDescent="0.2">
      <c r="A13901" s="4" t="s">
        <v>1</v>
      </c>
      <c r="B13901" s="3" t="str">
        <f>HYPERLINK("https://otsuka-europe-crm.veevavault.com/ui/#object/approved_document__v/V5O00000000O004", "LUP - Congreso EAS- SER 2026 - nefro")</f>
        <v>LUP - Congreso EAS- SER 2026 - nefro</v>
      </c>
      <c r="C13901" s="3" t="str">
        <f>HYPERLINK("https://otsuka-europe-crm.veevavault.com/ui/#object/sent_email__v/VBL00000001B277", "SE-001403297")</f>
        <v>SE-001403297</v>
      </c>
      <c r="D13901" s="1" t="s">
        <v>0</v>
      </c>
      <c r="E13901" s="2">
        <v>0</v>
      </c>
      <c r="F13901" s="2">
        <v>0</v>
      </c>
      <c r="G13901" s="2">
        <v>0</v>
      </c>
      <c r="H13901" s="1" t="s">
        <v>0</v>
      </c>
      <c r="I13901" s="2">
        <v>0</v>
      </c>
      <c r="J13901" s="1">
        <v>46062.478530092594</v>
      </c>
    </row>
    <row r="13902" spans="1:10" x14ac:dyDescent="0.2">
      <c r="A13902" s="4" t="s">
        <v>1</v>
      </c>
      <c r="B13902" s="3" t="str">
        <f>HYPERLINK("https://otsuka-europe-crm.veevavault.com/ui/#object/approved_document__v/V5O00000000O004", "LUP - Congreso EAS- SER 2026 - nefro")</f>
        <v>LUP - Congreso EAS- SER 2026 - nefro</v>
      </c>
      <c r="C13902" s="3" t="str">
        <f>HYPERLINK("https://otsuka-europe-crm.veevavault.com/ui/#object/sent_email__v/VBL00000001B278", "SE-001403298")</f>
        <v>SE-001403298</v>
      </c>
      <c r="D13902" s="1" t="s">
        <v>0</v>
      </c>
      <c r="E13902" s="2">
        <v>0</v>
      </c>
      <c r="F13902" s="2">
        <v>0</v>
      </c>
      <c r="G13902" s="2">
        <v>0</v>
      </c>
      <c r="H13902" s="1" t="s">
        <v>0</v>
      </c>
      <c r="I13902" s="2">
        <v>0</v>
      </c>
      <c r="J13902" s="1">
        <v>46062.478784722225</v>
      </c>
    </row>
    <row r="13903" spans="1:10" x14ac:dyDescent="0.2">
      <c r="A13903" s="4" t="s">
        <v>1</v>
      </c>
      <c r="B13903" s="3" t="str">
        <f>HYPERLINK("https://otsuka-europe-crm.veevavault.com/ui/#object/approved_document__v/V5O00000000O004", "LUP - Congreso EAS- SER 2026 - nefro")</f>
        <v>LUP - Congreso EAS- SER 2026 - nefro</v>
      </c>
      <c r="C13903" s="3" t="str">
        <f>HYPERLINK("https://otsuka-europe-crm.veevavault.com/ui/#object/sent_email__v/VBL00000001B279", "SE-001403299")</f>
        <v>SE-001403299</v>
      </c>
      <c r="D13903" s="1" t="s">
        <v>0</v>
      </c>
      <c r="E13903" s="2">
        <v>0</v>
      </c>
      <c r="F13903" s="2">
        <v>0</v>
      </c>
      <c r="G13903" s="2">
        <v>0</v>
      </c>
      <c r="H13903" s="1" t="s">
        <v>0</v>
      </c>
      <c r="I13903" s="2">
        <v>0</v>
      </c>
      <c r="J13903" s="1">
        <v>46062.479039351849</v>
      </c>
    </row>
    <row r="13904" spans="1:10" x14ac:dyDescent="0.2">
      <c r="A13904" s="4" t="s">
        <v>1</v>
      </c>
      <c r="B13904" s="3" t="str">
        <f>HYPERLINK("https://otsuka-europe-crm.veevavault.com/ui/#object/approved_document__v/V5O00000000O004", "LUP - Congreso EAS- SER 2026 - nefro")</f>
        <v>LUP - Congreso EAS- SER 2026 - nefro</v>
      </c>
      <c r="C13904" s="3" t="str">
        <f>HYPERLINK("https://otsuka-europe-crm.veevavault.com/ui/#object/sent_email__v/VBL00000001B280", "SE-001403300")</f>
        <v>SE-001403300</v>
      </c>
      <c r="D13904" s="1">
        <v>46062.734270833331</v>
      </c>
      <c r="E13904" s="2">
        <v>1</v>
      </c>
      <c r="F13904" s="2">
        <v>1</v>
      </c>
      <c r="G13904" s="2">
        <v>0</v>
      </c>
      <c r="H13904" s="1" t="s">
        <v>0</v>
      </c>
      <c r="I13904" s="2">
        <v>0</v>
      </c>
      <c r="J13904" s="1">
        <v>46062.442476851851</v>
      </c>
    </row>
    <row r="13905" spans="1:10" x14ac:dyDescent="0.2">
      <c r="A13905" s="4" t="s">
        <v>1</v>
      </c>
      <c r="B13905" s="3" t="str">
        <f>HYPERLINK("https://otsuka-europe-crm.veevavault.com/ui/#object/approved_document__v/V5O00000000O004", "LUP - Congreso EAS- SER 2026 - nefro")</f>
        <v>LUP - Congreso EAS- SER 2026 - nefro</v>
      </c>
      <c r="C13905" s="3" t="str">
        <f>HYPERLINK("https://otsuka-europe-crm.veevavault.com/ui/#object/sent_email__v/VBL00000001C126", "SE-001403323")</f>
        <v>SE-001403323</v>
      </c>
      <c r="D13905" s="1">
        <v>46062.963969907411</v>
      </c>
      <c r="E13905" s="2">
        <v>1</v>
      </c>
      <c r="F13905" s="2">
        <v>2</v>
      </c>
      <c r="G13905" s="2">
        <v>0</v>
      </c>
      <c r="H13905" s="1" t="s">
        <v>0</v>
      </c>
      <c r="I13905" s="2">
        <v>0</v>
      </c>
      <c r="J13905" s="1">
        <v>46062.475902777776</v>
      </c>
    </row>
    <row r="13906" spans="1:10" x14ac:dyDescent="0.2">
      <c r="A13906" s="4" t="s">
        <v>1</v>
      </c>
      <c r="B13906" s="3" t="str">
        <f>HYPERLINK("https://otsuka-europe-crm.veevavault.com/ui/#object/approved_document__v/V5O00000000O004", "LUP - Congreso EAS- SER 2026 - nefro")</f>
        <v>LUP - Congreso EAS- SER 2026 - nefro</v>
      </c>
      <c r="C13906" s="3" t="str">
        <f>HYPERLINK("https://otsuka-europe-crm.veevavault.com/ui/#object/sent_email__v/VBL00000001C127", "SE-001403324")</f>
        <v>SE-001403324</v>
      </c>
      <c r="D13906" s="1">
        <v>46062.979027777779</v>
      </c>
      <c r="E13906" s="2">
        <v>1</v>
      </c>
      <c r="F13906" s="2">
        <v>1</v>
      </c>
      <c r="G13906" s="2">
        <v>0</v>
      </c>
      <c r="H13906" s="1" t="s">
        <v>0</v>
      </c>
      <c r="I13906" s="2">
        <v>0</v>
      </c>
      <c r="J13906" s="1">
        <v>46062.476064814815</v>
      </c>
    </row>
    <row r="13907" spans="1:10" x14ac:dyDescent="0.2">
      <c r="A13907" s="4" t="s">
        <v>1</v>
      </c>
      <c r="B13907" s="3" t="str">
        <f>HYPERLINK("https://otsuka-europe-crm.veevavault.com/ui/#object/approved_document__v/V5O00000000O004", "LUP - Congreso EAS- SER 2026 - nefro")</f>
        <v>LUP - Congreso EAS- SER 2026 - nefro</v>
      </c>
      <c r="C13907" s="3" t="str">
        <f>HYPERLINK("https://otsuka-europe-crm.veevavault.com/ui/#object/sent_email__v/VBL00000001C128", "SE-001403325")</f>
        <v>SE-001403325</v>
      </c>
      <c r="D13907" s="1">
        <v>46062.549340277779</v>
      </c>
      <c r="E13907" s="2">
        <v>1</v>
      </c>
      <c r="F13907" s="2">
        <v>1</v>
      </c>
      <c r="G13907" s="2">
        <v>0</v>
      </c>
      <c r="H13907" s="1" t="s">
        <v>0</v>
      </c>
      <c r="I13907" s="2">
        <v>0</v>
      </c>
      <c r="J13907" s="1">
        <v>46062.476261574076</v>
      </c>
    </row>
    <row r="13908" spans="1:10" x14ac:dyDescent="0.2">
      <c r="A13908" s="4" t="s">
        <v>1</v>
      </c>
      <c r="B13908" s="3" t="str">
        <f>HYPERLINK("https://otsuka-europe-crm.veevavault.com/ui/#object/approved_document__v/V5O00000000O004", "LUP - Congreso EAS- SER 2026 - nefro")</f>
        <v>LUP - Congreso EAS- SER 2026 - nefro</v>
      </c>
      <c r="C13908" s="3" t="str">
        <f>HYPERLINK("https://otsuka-europe-crm.veevavault.com/ui/#object/sent_email__v/VBL00000001C129", "SE-001403326")</f>
        <v>SE-001403326</v>
      </c>
      <c r="D13908" s="1" t="s">
        <v>0</v>
      </c>
      <c r="E13908" s="2">
        <v>0</v>
      </c>
      <c r="F13908" s="2">
        <v>0</v>
      </c>
      <c r="G13908" s="2">
        <v>0</v>
      </c>
      <c r="H13908" s="1" t="s">
        <v>0</v>
      </c>
      <c r="I13908" s="2">
        <v>0</v>
      </c>
      <c r="J13908" s="1">
        <v>46062.476400462961</v>
      </c>
    </row>
    <row r="13909" spans="1:10" x14ac:dyDescent="0.2">
      <c r="A13909" s="4" t="s">
        <v>1</v>
      </c>
      <c r="B13909" s="3" t="str">
        <f>HYPERLINK("https://otsuka-europe-crm.veevavault.com/ui/#object/approved_document__v/V5O00000000O004", "LUP - Congreso EAS- SER 2026 - nefro")</f>
        <v>LUP - Congreso EAS- SER 2026 - nefro</v>
      </c>
      <c r="C13909" s="3" t="str">
        <f>HYPERLINK("https://otsuka-europe-crm.veevavault.com/ui/#object/sent_email__v/VBL00000001C130", "SE-001403327")</f>
        <v>SE-001403327</v>
      </c>
      <c r="D13909" s="1">
        <v>46062.530324074076</v>
      </c>
      <c r="E13909" s="2">
        <v>1</v>
      </c>
      <c r="F13909" s="2">
        <v>1</v>
      </c>
      <c r="G13909" s="2">
        <v>0</v>
      </c>
      <c r="H13909" s="1" t="s">
        <v>0</v>
      </c>
      <c r="I13909" s="2">
        <v>0</v>
      </c>
      <c r="J13909" s="1">
        <v>46062.4765625</v>
      </c>
    </row>
    <row r="13910" spans="1:10" x14ac:dyDescent="0.2">
      <c r="A13910" s="4" t="s">
        <v>1</v>
      </c>
      <c r="B13910" s="3" t="str">
        <f>HYPERLINK("https://otsuka-europe-crm.veevavault.com/ui/#object/approved_document__v/V5O00000000O004", "LUP - Congreso EAS- SER 2026 - nefro")</f>
        <v>LUP - Congreso EAS- SER 2026 - nefro</v>
      </c>
      <c r="C13910" s="3" t="str">
        <f>HYPERLINK("https://otsuka-europe-crm.veevavault.com/ui/#object/sent_email__v/VBL00000001C131", "SE-001403328")</f>
        <v>SE-001403328</v>
      </c>
      <c r="D13910" s="1" t="s">
        <v>0</v>
      </c>
      <c r="E13910" s="2">
        <v>0</v>
      </c>
      <c r="F13910" s="2">
        <v>0</v>
      </c>
      <c r="G13910" s="2">
        <v>0</v>
      </c>
      <c r="H13910" s="1" t="s">
        <v>0</v>
      </c>
      <c r="I13910" s="2">
        <v>0</v>
      </c>
      <c r="J13910" s="1">
        <v>46062.476782407408</v>
      </c>
    </row>
    <row r="13911" spans="1:10" x14ac:dyDescent="0.2">
      <c r="A13911" s="4" t="s">
        <v>1</v>
      </c>
      <c r="B13911" s="3" t="str">
        <f>HYPERLINK("https://otsuka-europe-crm.veevavault.com/ui/#object/approved_document__v/V5O00000000O004", "LUP - Congreso EAS- SER 2026 - nefro")</f>
        <v>LUP - Congreso EAS- SER 2026 - nefro</v>
      </c>
      <c r="C13911" s="3" t="str">
        <f>HYPERLINK("https://otsuka-europe-crm.veevavault.com/ui/#object/sent_email__v/VBL00000001C132", "SE-001403329")</f>
        <v>SE-001403329</v>
      </c>
      <c r="D13911" s="1">
        <v>46063.335416666669</v>
      </c>
      <c r="E13911" s="2">
        <v>1</v>
      </c>
      <c r="F13911" s="2">
        <v>2</v>
      </c>
      <c r="G13911" s="2">
        <v>0</v>
      </c>
      <c r="H13911" s="1" t="s">
        <v>0</v>
      </c>
      <c r="I13911" s="2">
        <v>0</v>
      </c>
      <c r="J13911" s="1">
        <v>46062.477025462962</v>
      </c>
    </row>
    <row r="13912" spans="1:10" x14ac:dyDescent="0.2">
      <c r="A13912" s="4" t="s">
        <v>1</v>
      </c>
      <c r="B13912" s="3" t="str">
        <f>HYPERLINK("https://otsuka-europe-crm.veevavault.com/ui/#object/approved_document__v/V5O00000000O004", "LUP - Congreso EAS- SER 2026 - nefro")</f>
        <v>LUP - Congreso EAS- SER 2026 - nefro</v>
      </c>
      <c r="C13912" s="3" t="str">
        <f>HYPERLINK("https://otsuka-europe-crm.veevavault.com/ui/#object/sent_email__v/VBL00000001C133", "SE-001403330")</f>
        <v>SE-001403330</v>
      </c>
      <c r="D13912" s="1">
        <v>46062.503344907411</v>
      </c>
      <c r="E13912" s="2">
        <v>1</v>
      </c>
      <c r="F13912" s="2">
        <v>1</v>
      </c>
      <c r="G13912" s="2">
        <v>0</v>
      </c>
      <c r="H13912" s="1" t="s">
        <v>0</v>
      </c>
      <c r="I13912" s="2">
        <v>0</v>
      </c>
      <c r="J13912" s="1">
        <v>46062.477280092593</v>
      </c>
    </row>
    <row r="13913" spans="1:10" x14ac:dyDescent="0.2">
      <c r="A13913" s="4" t="s">
        <v>1</v>
      </c>
      <c r="B13913" s="3" t="str">
        <f>HYPERLINK("https://otsuka-europe-crm.veevavault.com/ui/#object/approved_document__v/V5O00000000O004", "LUP - Congreso EAS- SER 2026 - nefro")</f>
        <v>LUP - Congreso EAS- SER 2026 - nefro</v>
      </c>
      <c r="C13913" s="3" t="str">
        <f>HYPERLINK("https://otsuka-europe-crm.veevavault.com/ui/#object/sent_email__v/VBL00000001C134", "SE-001403331")</f>
        <v>SE-001403331</v>
      </c>
      <c r="D13913" s="1" t="s">
        <v>0</v>
      </c>
      <c r="E13913" s="2">
        <v>0</v>
      </c>
      <c r="F13913" s="2">
        <v>0</v>
      </c>
      <c r="G13913" s="2">
        <v>0</v>
      </c>
      <c r="H13913" s="1" t="s">
        <v>0</v>
      </c>
      <c r="I13913" s="2">
        <v>0</v>
      </c>
      <c r="J13913" s="1">
        <v>46062.477546296293</v>
      </c>
    </row>
    <row r="13914" spans="1:10" x14ac:dyDescent="0.2">
      <c r="A13914" s="4" t="s">
        <v>1</v>
      </c>
      <c r="B13914" s="3" t="str">
        <f>HYPERLINK("https://otsuka-europe-crm.veevavault.com/ui/#object/approved_document__v/V5O00000000O004", "LUP - Congreso EAS- SER 2026 - nefro")</f>
        <v>LUP - Congreso EAS- SER 2026 - nefro</v>
      </c>
      <c r="C13914" s="3" t="str">
        <f>HYPERLINK("https://otsuka-europe-crm.veevavault.com/ui/#object/sent_email__v/VBL00000001C135", "SE-001403332")</f>
        <v>SE-001403332</v>
      </c>
      <c r="D13914" s="1" t="s">
        <v>0</v>
      </c>
      <c r="E13914" s="2">
        <v>0</v>
      </c>
      <c r="F13914" s="2">
        <v>0</v>
      </c>
      <c r="G13914" s="2">
        <v>0</v>
      </c>
      <c r="H13914" s="1" t="s">
        <v>0</v>
      </c>
      <c r="I13914" s="2">
        <v>0</v>
      </c>
      <c r="J13914" s="1">
        <v>46062.477789351855</v>
      </c>
    </row>
    <row r="13915" spans="1:10" x14ac:dyDescent="0.2">
      <c r="A13915" s="4" t="s">
        <v>1</v>
      </c>
      <c r="B13915" s="3" t="str">
        <f>HYPERLINK("https://otsuka-europe-crm.veevavault.com/ui/#object/approved_document__v/V5O00000000O004", "LUP - Congreso EAS- SER 2026 - nefro")</f>
        <v>LUP - Congreso EAS- SER 2026 - nefro</v>
      </c>
      <c r="C13915" s="3" t="str">
        <f>HYPERLINK("https://otsuka-europe-crm.veevavault.com/ui/#object/sent_email__v/VBL00000001C136", "SE-001403333")</f>
        <v>SE-001403333</v>
      </c>
      <c r="D13915" s="1" t="s">
        <v>0</v>
      </c>
      <c r="E13915" s="2">
        <v>0</v>
      </c>
      <c r="F13915" s="2">
        <v>0</v>
      </c>
      <c r="G13915" s="2">
        <v>0</v>
      </c>
      <c r="H13915" s="1" t="s">
        <v>0</v>
      </c>
      <c r="I13915" s="2">
        <v>0</v>
      </c>
      <c r="J13915" s="1">
        <v>46062.478055555555</v>
      </c>
    </row>
    <row r="13916" spans="1:10" x14ac:dyDescent="0.2">
      <c r="A13916" s="4" t="s">
        <v>1</v>
      </c>
      <c r="B13916" s="3" t="str">
        <f>HYPERLINK("https://otsuka-europe-crm.veevavault.com/ui/#object/approved_document__v/V5O00000000O004", "LUP - Congreso EAS- SER 2026 - nefro")</f>
        <v>LUP - Congreso EAS- SER 2026 - nefro</v>
      </c>
      <c r="C13916" s="3" t="str">
        <f>HYPERLINK("https://otsuka-europe-crm.veevavault.com/ui/#object/sent_email__v/VBL00000001C137", "SE-001403334")</f>
        <v>SE-001403334</v>
      </c>
      <c r="D13916" s="1">
        <v>46072.411666666667</v>
      </c>
      <c r="E13916" s="2">
        <v>1</v>
      </c>
      <c r="F13916" s="2">
        <v>2</v>
      </c>
      <c r="G13916" s="2">
        <v>0</v>
      </c>
      <c r="H13916" s="1" t="s">
        <v>0</v>
      </c>
      <c r="I13916" s="2">
        <v>0</v>
      </c>
      <c r="J13916" s="1">
        <v>46062.478298611109</v>
      </c>
    </row>
    <row r="13917" spans="1:10" x14ac:dyDescent="0.2">
      <c r="A13917" s="4" t="s">
        <v>1</v>
      </c>
      <c r="B13917" s="3" t="str">
        <f>HYPERLINK("https://otsuka-europe-crm.veevavault.com/ui/#object/approved_document__v/V5O00000000O004", "LUP - Congreso EAS- SER 2026 - nefro")</f>
        <v>LUP - Congreso EAS- SER 2026 - nefro</v>
      </c>
      <c r="C13917" s="3" t="str">
        <f>HYPERLINK("https://otsuka-europe-crm.veevavault.com/ui/#object/sent_email__v/VBL00000001C138", "SE-001403335")</f>
        <v>SE-001403335</v>
      </c>
      <c r="D13917" s="1">
        <v>46062.549351851849</v>
      </c>
      <c r="E13917" s="2">
        <v>1</v>
      </c>
      <c r="F13917" s="2">
        <v>1</v>
      </c>
      <c r="G13917" s="2">
        <v>0</v>
      </c>
      <c r="H13917" s="1" t="s">
        <v>0</v>
      </c>
      <c r="I13917" s="2">
        <v>0</v>
      </c>
      <c r="J13917" s="1">
        <v>46062.478541666664</v>
      </c>
    </row>
    <row r="13918" spans="1:10" x14ac:dyDescent="0.2">
      <c r="A13918" s="4" t="s">
        <v>1</v>
      </c>
      <c r="B13918" s="3" t="str">
        <f>HYPERLINK("https://otsuka-europe-crm.veevavault.com/ui/#object/approved_document__v/V5O00000000O004", "LUP - Congreso EAS- SER 2026 - nefro")</f>
        <v>LUP - Congreso EAS- SER 2026 - nefro</v>
      </c>
      <c r="C13918" s="3" t="str">
        <f>HYPERLINK("https://otsuka-europe-crm.veevavault.com/ui/#object/sent_email__v/VBL00000001C139", "SE-001403336")</f>
        <v>SE-001403336</v>
      </c>
      <c r="D13918" s="1">
        <v>46062.548819444448</v>
      </c>
      <c r="E13918" s="2">
        <v>1</v>
      </c>
      <c r="F13918" s="2">
        <v>1</v>
      </c>
      <c r="G13918" s="2">
        <v>0</v>
      </c>
      <c r="H13918" s="1" t="s">
        <v>0</v>
      </c>
      <c r="I13918" s="2">
        <v>0</v>
      </c>
      <c r="J13918" s="1">
        <v>46062.478796296295</v>
      </c>
    </row>
    <row r="13919" spans="1:10" x14ac:dyDescent="0.2">
      <c r="A13919" s="4" t="s">
        <v>1</v>
      </c>
      <c r="B13919" s="3" t="str">
        <f>HYPERLINK("https://otsuka-europe-crm.veevavault.com/ui/#object/approved_document__v/V5O00000000O004", "LUP - Congreso EAS- SER 2026 - nefro")</f>
        <v>LUP - Congreso EAS- SER 2026 - nefro</v>
      </c>
      <c r="C13919" s="3" t="str">
        <f>HYPERLINK("https://otsuka-europe-crm.veevavault.com/ui/#object/sent_email__v/VBL00000001C140", "SE-001403337")</f>
        <v>SE-001403337</v>
      </c>
      <c r="D13919" s="1" t="s">
        <v>0</v>
      </c>
      <c r="E13919" s="2">
        <v>0</v>
      </c>
      <c r="F13919" s="2">
        <v>0</v>
      </c>
      <c r="G13919" s="2">
        <v>0</v>
      </c>
      <c r="H13919" s="1" t="s">
        <v>0</v>
      </c>
      <c r="I13919" s="2">
        <v>0</v>
      </c>
      <c r="J13919" s="1">
        <v>46062.479039351849</v>
      </c>
    </row>
    <row r="13920" spans="1:10" x14ac:dyDescent="0.2">
      <c r="A13920" s="4" t="s">
        <v>1</v>
      </c>
      <c r="B13920" s="3" t="str">
        <f>HYPERLINK("https://otsuka-europe-crm.veevavault.com/ui/#object/approved_document__v/V5O00000000O004", "LUP - Congreso EAS- SER 2026 - nefro")</f>
        <v>LUP - Congreso EAS- SER 2026 - nefro</v>
      </c>
      <c r="C13920" s="3" t="str">
        <f>HYPERLINK("https://otsuka-europe-crm.veevavault.com/ui/#object/sent_email__v/VBL00000001C141", "SE-001403338")</f>
        <v>SE-001403338</v>
      </c>
      <c r="D13920" s="1">
        <v>46062.625162037039</v>
      </c>
      <c r="E13920" s="2">
        <v>1</v>
      </c>
      <c r="F13920" s="2">
        <v>2</v>
      </c>
      <c r="G13920" s="2">
        <v>0</v>
      </c>
      <c r="H13920" s="1" t="s">
        <v>0</v>
      </c>
      <c r="I13920" s="2">
        <v>0</v>
      </c>
      <c r="J13920" s="1">
        <v>46062.479247685187</v>
      </c>
    </row>
    <row r="13921" spans="1:10" x14ac:dyDescent="0.2">
      <c r="A13921" s="4" t="s">
        <v>1</v>
      </c>
      <c r="B13921" s="3" t="str">
        <f>HYPERLINK("https://otsuka-europe-crm.veevavault.com/ui/#object/approved_document__v/V5O00000000O004", "LUP - Congreso EAS- SER 2026 - nefro")</f>
        <v>LUP - Congreso EAS- SER 2026 - nefro</v>
      </c>
      <c r="C13921" s="3" t="str">
        <f>HYPERLINK("https://otsuka-europe-crm.veevavault.com/ui/#object/sent_email__v/VBL00000001C142", "SE-001403339")</f>
        <v>SE-001403339</v>
      </c>
      <c r="D13921" s="1">
        <v>46065.280497685184</v>
      </c>
      <c r="E13921" s="2">
        <v>1</v>
      </c>
      <c r="F13921" s="2">
        <v>5</v>
      </c>
      <c r="G13921" s="2">
        <v>0</v>
      </c>
      <c r="H13921" s="1" t="s">
        <v>0</v>
      </c>
      <c r="I13921" s="2">
        <v>0</v>
      </c>
      <c r="J13921" s="1">
        <v>46062.479421296295</v>
      </c>
    </row>
    <row r="13922" spans="1:10" x14ac:dyDescent="0.2">
      <c r="A13922" s="4" t="s">
        <v>1</v>
      </c>
      <c r="B13922" s="3" t="str">
        <f>HYPERLINK("https://otsuka-europe-crm.veevavault.com/ui/#object/approved_document__v/V5O00000000O004", "LUP - Congreso EAS- SER 2026 - nefro")</f>
        <v>LUP - Congreso EAS- SER 2026 - nefro</v>
      </c>
      <c r="C13922" s="3" t="str">
        <f>HYPERLINK("https://otsuka-europe-crm.veevavault.com/ui/#object/sent_email__v/VBL00000001C143", "SE-001403340")</f>
        <v>SE-001403340</v>
      </c>
      <c r="D13922" s="1" t="s">
        <v>0</v>
      </c>
      <c r="E13922" s="2">
        <v>0</v>
      </c>
      <c r="F13922" s="2">
        <v>0</v>
      </c>
      <c r="G13922" s="2">
        <v>0</v>
      </c>
      <c r="H13922" s="1" t="s">
        <v>0</v>
      </c>
      <c r="I13922" s="2">
        <v>0</v>
      </c>
      <c r="J13922" s="1">
        <v>46062.479583333334</v>
      </c>
    </row>
    <row r="13923" spans="1:10" x14ac:dyDescent="0.2">
      <c r="A13923" s="4" t="s">
        <v>1</v>
      </c>
      <c r="B13923" s="3" t="str">
        <f>HYPERLINK("https://otsuka-europe-crm.veevavault.com/ui/#object/approved_document__v/V5O00000000O004", "LUP - Congreso EAS- SER 2026 - nefro")</f>
        <v>LUP - Congreso EAS- SER 2026 - nefro</v>
      </c>
      <c r="C13923" s="3" t="str">
        <f>HYPERLINK("https://otsuka-europe-crm.veevavault.com/ui/#object/sent_email__v/VBL00000001C144", "SE-001403341")</f>
        <v>SE-001403341</v>
      </c>
      <c r="D13923" s="1">
        <v>46062.501932870371</v>
      </c>
      <c r="E13923" s="2">
        <v>1</v>
      </c>
      <c r="F13923" s="2">
        <v>1</v>
      </c>
      <c r="G13923" s="2">
        <v>0</v>
      </c>
      <c r="H13923" s="1" t="s">
        <v>0</v>
      </c>
      <c r="I13923" s="2">
        <v>0</v>
      </c>
      <c r="J13923" s="1">
        <v>46062.479756944442</v>
      </c>
    </row>
    <row r="13924" spans="1:10" x14ac:dyDescent="0.2">
      <c r="A13924" s="4" t="s">
        <v>1</v>
      </c>
      <c r="B13924" s="3" t="str">
        <f>HYPERLINK("https://otsuka-europe-crm.veevavault.com/ui/#object/approved_document__v/V5O00000000O004", "LUP - Congreso EAS- SER 2026 - nefro")</f>
        <v>LUP - Congreso EAS- SER 2026 - nefro</v>
      </c>
      <c r="C13924" s="3" t="str">
        <f>HYPERLINK("https://otsuka-europe-crm.veevavault.com/ui/#object/sent_email__v/VBL00000001C145", "SE-001403342")</f>
        <v>SE-001403342</v>
      </c>
      <c r="D13924" s="1" t="s">
        <v>0</v>
      </c>
      <c r="E13924" s="2">
        <v>0</v>
      </c>
      <c r="F13924" s="2">
        <v>0</v>
      </c>
      <c r="G13924" s="2">
        <v>0</v>
      </c>
      <c r="H13924" s="1" t="s">
        <v>0</v>
      </c>
      <c r="I13924" s="2">
        <v>0</v>
      </c>
      <c r="J13924" s="1">
        <v>46062.479907407411</v>
      </c>
    </row>
    <row r="13925" spans="1:10" x14ac:dyDescent="0.2">
      <c r="A13925" s="4" t="s">
        <v>1</v>
      </c>
      <c r="B13925" s="3" t="str">
        <f>HYPERLINK("https://otsuka-europe-crm.veevavault.com/ui/#object/approved_document__v/V5O00000000O004", "LUP - Congreso EAS- SER 2026 - nefro")</f>
        <v>LUP - Congreso EAS- SER 2026 - nefro</v>
      </c>
      <c r="C13925" s="3" t="str">
        <f>HYPERLINK("https://otsuka-europe-crm.veevavault.com/ui/#object/sent_email__v/VBL00000001C146", "SE-001403343")</f>
        <v>SE-001403343</v>
      </c>
      <c r="D13925" s="1" t="s">
        <v>0</v>
      </c>
      <c r="E13925" s="2">
        <v>0</v>
      </c>
      <c r="F13925" s="2">
        <v>0</v>
      </c>
      <c r="G13925" s="2">
        <v>0</v>
      </c>
      <c r="H13925" s="1" t="s">
        <v>0</v>
      </c>
      <c r="I13925" s="2">
        <v>0</v>
      </c>
      <c r="J13925" s="1">
        <v>46062.480069444442</v>
      </c>
    </row>
    <row r="13926" spans="1:10" x14ac:dyDescent="0.2">
      <c r="A13926" s="4" t="s">
        <v>1</v>
      </c>
      <c r="B13926" s="3" t="str">
        <f>HYPERLINK("https://otsuka-europe-crm.veevavault.com/ui/#object/approved_document__v/V5O00000000O004", "LUP - Congreso EAS- SER 2026 - nefro")</f>
        <v>LUP - Congreso EAS- SER 2026 - nefro</v>
      </c>
      <c r="C13926" s="3" t="str">
        <f>HYPERLINK("https://otsuka-europe-crm.veevavault.com/ui/#object/sent_email__v/VBL00000001C147", "SE-001403344")</f>
        <v>SE-001403344</v>
      </c>
      <c r="D13926" s="1" t="s">
        <v>0</v>
      </c>
      <c r="E13926" s="2">
        <v>0</v>
      </c>
      <c r="F13926" s="2">
        <v>0</v>
      </c>
      <c r="G13926" s="2">
        <v>0</v>
      </c>
      <c r="H13926" s="1" t="s">
        <v>0</v>
      </c>
      <c r="I13926" s="2">
        <v>0</v>
      </c>
      <c r="J13926" s="1">
        <v>46062.480231481481</v>
      </c>
    </row>
    <row r="13927" spans="1:10" x14ac:dyDescent="0.2">
      <c r="A13927" s="4" t="s">
        <v>1</v>
      </c>
      <c r="B13927" s="3" t="str">
        <f>HYPERLINK("https://otsuka-europe-crm.veevavault.com/ui/#object/approved_document__v/V5O00000000O004", "LUP - Congreso EAS- SER 2026 - nefro")</f>
        <v>LUP - Congreso EAS- SER 2026 - nefro</v>
      </c>
      <c r="C13927" s="3" t="str">
        <f>HYPERLINK("https://otsuka-europe-crm.veevavault.com/ui/#object/sent_email__v/VBL00000001C148", "SE-001403345")</f>
        <v>SE-001403345</v>
      </c>
      <c r="D13927" s="1">
        <v>46062.915046296293</v>
      </c>
      <c r="E13927" s="2">
        <v>1</v>
      </c>
      <c r="F13927" s="2">
        <v>1</v>
      </c>
      <c r="G13927" s="2">
        <v>0</v>
      </c>
      <c r="H13927" s="1" t="s">
        <v>0</v>
      </c>
      <c r="I13927" s="2">
        <v>0</v>
      </c>
      <c r="J13927" s="1">
        <v>46062.480393518519</v>
      </c>
    </row>
    <row r="13928" spans="1:10" x14ac:dyDescent="0.2">
      <c r="A13928" s="4" t="s">
        <v>1</v>
      </c>
      <c r="B13928" s="3" t="str">
        <f>HYPERLINK("https://otsuka-europe-crm.veevavault.com/ui/#object/approved_document__v/V5O00000000O004", "LUP - Congreso EAS- SER 2026 - nefro")</f>
        <v>LUP - Congreso EAS- SER 2026 - nefro</v>
      </c>
      <c r="C13928" s="3" t="str">
        <f>HYPERLINK("https://otsuka-europe-crm.veevavault.com/ui/#object/sent_email__v/VBL00000001C149", "SE-001403346")</f>
        <v>SE-001403346</v>
      </c>
      <c r="D13928" s="1">
        <v>46062.97760416667</v>
      </c>
      <c r="E13928" s="2">
        <v>1</v>
      </c>
      <c r="F13928" s="2">
        <v>1</v>
      </c>
      <c r="G13928" s="2">
        <v>0</v>
      </c>
      <c r="H13928" s="1" t="s">
        <v>0</v>
      </c>
      <c r="I13928" s="2">
        <v>0</v>
      </c>
      <c r="J13928" s="1">
        <v>46062.480567129627</v>
      </c>
    </row>
    <row r="13929" spans="1:10" x14ac:dyDescent="0.2">
      <c r="A13929" s="4" t="s">
        <v>1</v>
      </c>
      <c r="B13929" s="3" t="str">
        <f>HYPERLINK("https://otsuka-europe-crm.veevavault.com/ui/#object/approved_document__v/V5O00000000O004", "LUP - Congreso EAS- SER 2026 - nefro")</f>
        <v>LUP - Congreso EAS- SER 2026 - nefro</v>
      </c>
      <c r="C13929" s="3" t="str">
        <f>HYPERLINK("https://otsuka-europe-crm.veevavault.com/ui/#object/sent_email__v/VBL00000001C150", "SE-001403347")</f>
        <v>SE-001403347</v>
      </c>
      <c r="D13929" s="1" t="s">
        <v>0</v>
      </c>
      <c r="E13929" s="2">
        <v>0</v>
      </c>
      <c r="F13929" s="2">
        <v>0</v>
      </c>
      <c r="G13929" s="2">
        <v>0</v>
      </c>
      <c r="H13929" s="1" t="s">
        <v>0</v>
      </c>
      <c r="I13929" s="2">
        <v>0</v>
      </c>
      <c r="J13929" s="1">
        <v>46062.480740740742</v>
      </c>
    </row>
    <row r="13930" spans="1:10" x14ac:dyDescent="0.2">
      <c r="A13930" s="4" t="s">
        <v>1</v>
      </c>
      <c r="B13930" s="3" t="str">
        <f>HYPERLINK("https://otsuka-europe-crm.veevavault.com/ui/#object/approved_document__v/V5O00000000O004", "LUP - Congreso EAS- SER 2026 - nefro")</f>
        <v>LUP - Congreso EAS- SER 2026 - nefro</v>
      </c>
      <c r="C13930" s="3" t="str">
        <f>HYPERLINK("https://otsuka-europe-crm.veevavault.com/ui/#object/sent_email__v/VBL00000001C151", "SE-001403348")</f>
        <v>SE-001403348</v>
      </c>
      <c r="D13930" s="1">
        <v>46064.205127314817</v>
      </c>
      <c r="E13930" s="2">
        <v>1</v>
      </c>
      <c r="F13930" s="2">
        <v>1</v>
      </c>
      <c r="G13930" s="2">
        <v>0</v>
      </c>
      <c r="H13930" s="1" t="s">
        <v>0</v>
      </c>
      <c r="I13930" s="2">
        <v>0</v>
      </c>
      <c r="J13930" s="1">
        <v>46062.480914351851</v>
      </c>
    </row>
    <row r="13931" spans="1:10" x14ac:dyDescent="0.2">
      <c r="A13931" s="4" t="s">
        <v>1</v>
      </c>
      <c r="B13931" s="3" t="str">
        <f>HYPERLINK("https://otsuka-europe-crm.veevavault.com/ui/#object/approved_document__v/V5O00000000O004", "LUP - Congreso EAS- SER 2026 - nefro")</f>
        <v>LUP - Congreso EAS- SER 2026 - nefro</v>
      </c>
      <c r="C13931" s="3" t="str">
        <f>HYPERLINK("https://otsuka-europe-crm.veevavault.com/ui/#object/sent_email__v/VBL00000001C152", "SE-001403349")</f>
        <v>SE-001403349</v>
      </c>
      <c r="D13931" s="1">
        <v>46062.521284722221</v>
      </c>
      <c r="E13931" s="2">
        <v>1</v>
      </c>
      <c r="F13931" s="2">
        <v>1</v>
      </c>
      <c r="G13931" s="2">
        <v>0</v>
      </c>
      <c r="H13931" s="1" t="s">
        <v>0</v>
      </c>
      <c r="I13931" s="2">
        <v>0</v>
      </c>
      <c r="J13931" s="1">
        <v>46062.481076388889</v>
      </c>
    </row>
    <row r="13932" spans="1:10" x14ac:dyDescent="0.2">
      <c r="A13932" s="4" t="s">
        <v>1</v>
      </c>
      <c r="B13932" s="3" t="str">
        <f>HYPERLINK("https://otsuka-europe-crm.veevavault.com/ui/#object/approved_document__v/V5O00000000O004", "LUP - Congreso EAS- SER 2026 - nefro")</f>
        <v>LUP - Congreso EAS- SER 2026 - nefro</v>
      </c>
      <c r="C13932" s="3" t="str">
        <f>HYPERLINK("https://otsuka-europe-crm.veevavault.com/ui/#object/sent_email__v/VBL00000001C153", "SE-001403350")</f>
        <v>SE-001403350</v>
      </c>
      <c r="D13932" s="1">
        <v>46062.801608796297</v>
      </c>
      <c r="E13932" s="2">
        <v>1</v>
      </c>
      <c r="F13932" s="2">
        <v>2</v>
      </c>
      <c r="G13932" s="2">
        <v>0</v>
      </c>
      <c r="H13932" s="1" t="s">
        <v>0</v>
      </c>
      <c r="I13932" s="2">
        <v>0</v>
      </c>
      <c r="J13932" s="1">
        <v>46062.481238425928</v>
      </c>
    </row>
    <row r="13933" spans="1:10" x14ac:dyDescent="0.2">
      <c r="A13933" s="4" t="s">
        <v>1</v>
      </c>
      <c r="B13933" s="3" t="str">
        <f>HYPERLINK("https://otsuka-europe-crm.veevavault.com/ui/#object/approved_document__v/V5O00000000O004", "LUP - Congreso EAS- SER 2026 - nefro")</f>
        <v>LUP - Congreso EAS- SER 2026 - nefro</v>
      </c>
      <c r="C13933" s="3" t="str">
        <f>HYPERLINK("https://otsuka-europe-crm.veevavault.com/ui/#object/sent_email__v/VBL00000001C154", "SE-001403351")</f>
        <v>SE-001403351</v>
      </c>
      <c r="D13933" s="1">
        <v>46063.00577546296</v>
      </c>
      <c r="E13933" s="2">
        <v>1</v>
      </c>
      <c r="F13933" s="2">
        <v>1</v>
      </c>
      <c r="G13933" s="2">
        <v>0</v>
      </c>
      <c r="H13933" s="1" t="s">
        <v>0</v>
      </c>
      <c r="I13933" s="2">
        <v>0</v>
      </c>
      <c r="J13933" s="1">
        <v>46062.481412037036</v>
      </c>
    </row>
    <row r="13934" spans="1:10" x14ac:dyDescent="0.2">
      <c r="A13934" s="4" t="s">
        <v>1</v>
      </c>
      <c r="B13934" s="3" t="str">
        <f>HYPERLINK("https://otsuka-europe-crm.veevavault.com/ui/#object/approved_document__v/V5O00000000O004", "LUP - Congreso EAS- SER 2026 - nefro")</f>
        <v>LUP - Congreso EAS- SER 2026 - nefro</v>
      </c>
      <c r="C13934" s="3" t="str">
        <f>HYPERLINK("https://otsuka-europe-crm.veevavault.com/ui/#object/sent_email__v/VBL00000001C155", "SE-001403352")</f>
        <v>SE-001403352</v>
      </c>
      <c r="D13934" s="1">
        <v>46062.845972222225</v>
      </c>
      <c r="E13934" s="2">
        <v>1</v>
      </c>
      <c r="F13934" s="2">
        <v>1</v>
      </c>
      <c r="G13934" s="2">
        <v>0</v>
      </c>
      <c r="H13934" s="1" t="s">
        <v>0</v>
      </c>
      <c r="I13934" s="2">
        <v>0</v>
      </c>
      <c r="J13934" s="1">
        <v>46062.481631944444</v>
      </c>
    </row>
    <row r="13935" spans="1:10" x14ac:dyDescent="0.2">
      <c r="A13935" s="4" t="s">
        <v>1</v>
      </c>
      <c r="B13935" s="3" t="str">
        <f>HYPERLINK("https://otsuka-europe-crm.veevavault.com/ui/#object/approved_document__v/V5O00000000O004", "LUP - Congreso EAS- SER 2026 - nefro")</f>
        <v>LUP - Congreso EAS- SER 2026 - nefro</v>
      </c>
      <c r="C13935" s="3" t="str">
        <f>HYPERLINK("https://otsuka-europe-crm.veevavault.com/ui/#object/sent_email__v/VBL00000001C156", "SE-001403353")</f>
        <v>SE-001403353</v>
      </c>
      <c r="D13935" s="1">
        <v>46062.494085648148</v>
      </c>
      <c r="E13935" s="2">
        <v>1</v>
      </c>
      <c r="F13935" s="2">
        <v>2</v>
      </c>
      <c r="G13935" s="2">
        <v>0</v>
      </c>
      <c r="H13935" s="1" t="s">
        <v>0</v>
      </c>
      <c r="I13935" s="2">
        <v>0</v>
      </c>
      <c r="J13935" s="1">
        <v>46062.481874999998</v>
      </c>
    </row>
    <row r="13936" spans="1:10" x14ac:dyDescent="0.2">
      <c r="A13936" s="4" t="s">
        <v>1</v>
      </c>
      <c r="B13936" s="3" t="str">
        <f>HYPERLINK("https://otsuka-europe-crm.veevavault.com/ui/#object/approved_document__v/V5O00000000O004", "LUP - Congreso EAS- SER 2026 - nefro")</f>
        <v>LUP - Congreso EAS- SER 2026 - nefro</v>
      </c>
      <c r="C13936" s="3" t="str">
        <f>HYPERLINK("https://otsuka-europe-crm.veevavault.com/ui/#object/sent_email__v/VBL00000001C157", "SE-001403354")</f>
        <v>SE-001403354</v>
      </c>
      <c r="D13936" s="1" t="s">
        <v>0</v>
      </c>
      <c r="E13936" s="2">
        <v>0</v>
      </c>
      <c r="F13936" s="2">
        <v>0</v>
      </c>
      <c r="G13936" s="2">
        <v>0</v>
      </c>
      <c r="H13936" s="1" t="s">
        <v>0</v>
      </c>
      <c r="I13936" s="2">
        <v>0</v>
      </c>
      <c r="J13936" s="1">
        <v>46062.482118055559</v>
      </c>
    </row>
    <row r="13937" spans="1:10" x14ac:dyDescent="0.2">
      <c r="A13937" s="4" t="s">
        <v>1</v>
      </c>
      <c r="B13937" s="3" t="str">
        <f>HYPERLINK("https://otsuka-europe-crm.veevavault.com/ui/#object/approved_document__v/V5O00000000O004", "LUP - Congreso EAS- SER 2026 - nefro")</f>
        <v>LUP - Congreso EAS- SER 2026 - nefro</v>
      </c>
      <c r="C13937" s="3" t="str">
        <f>HYPERLINK("https://otsuka-europe-crm.veevavault.com/ui/#object/sent_email__v/VBL00000001C158", "SE-001403355")</f>
        <v>SE-001403355</v>
      </c>
      <c r="D13937" s="1">
        <v>46062.866018518522</v>
      </c>
      <c r="E13937" s="2">
        <v>1</v>
      </c>
      <c r="F13937" s="2">
        <v>1</v>
      </c>
      <c r="G13937" s="2">
        <v>0</v>
      </c>
      <c r="H13937" s="1" t="s">
        <v>0</v>
      </c>
      <c r="I13937" s="2">
        <v>0</v>
      </c>
      <c r="J13937" s="1">
        <v>46062.482372685183</v>
      </c>
    </row>
    <row r="13938" spans="1:10" x14ac:dyDescent="0.2">
      <c r="A13938" s="4" t="s">
        <v>1</v>
      </c>
      <c r="B13938" s="3" t="str">
        <f>HYPERLINK("https://otsuka-europe-crm.veevavault.com/ui/#object/approved_document__v/V5O00000000O004", "LUP - Congreso EAS- SER 2026 - nefro")</f>
        <v>LUP - Congreso EAS- SER 2026 - nefro</v>
      </c>
      <c r="C13938" s="3" t="str">
        <f>HYPERLINK("https://otsuka-europe-crm.veevavault.com/ui/#object/sent_email__v/VBL00000001C159", "SE-001403356")</f>
        <v>SE-001403356</v>
      </c>
      <c r="D13938" s="1">
        <v>46062.478738425925</v>
      </c>
      <c r="E13938" s="2">
        <v>1</v>
      </c>
      <c r="F13938" s="2">
        <v>1</v>
      </c>
      <c r="G13938" s="2">
        <v>0</v>
      </c>
      <c r="H13938" s="1" t="s">
        <v>0</v>
      </c>
      <c r="I13938" s="2">
        <v>0</v>
      </c>
      <c r="J13938" s="1">
        <v>46062.476215277777</v>
      </c>
    </row>
    <row r="13939" spans="1:10" x14ac:dyDescent="0.2">
      <c r="A13939" s="4" t="s">
        <v>1</v>
      </c>
      <c r="B13939" s="3" t="str">
        <f>HYPERLINK("https://otsuka-europe-crm.veevavault.com/ui/#object/approved_document__v/V5O00000000O004", "LUP - Congreso EAS- SER 2026 - nefro")</f>
        <v>LUP - Congreso EAS- SER 2026 - nefro</v>
      </c>
      <c r="C13939" s="3" t="str">
        <f>HYPERLINK("https://otsuka-europe-crm.veevavault.com/ui/#object/sent_email__v/VBL00000001C160", "SE-001403357")</f>
        <v>SE-001403357</v>
      </c>
      <c r="D13939" s="1">
        <v>46073.88076388889</v>
      </c>
      <c r="E13939" s="2">
        <v>1</v>
      </c>
      <c r="F13939" s="2">
        <v>1</v>
      </c>
      <c r="G13939" s="2">
        <v>0</v>
      </c>
      <c r="H13939" s="1" t="s">
        <v>0</v>
      </c>
      <c r="I13939" s="2">
        <v>0</v>
      </c>
      <c r="J13939" s="1">
        <v>46062.476377314815</v>
      </c>
    </row>
    <row r="13940" spans="1:10" x14ac:dyDescent="0.2">
      <c r="A13940" s="4" t="s">
        <v>1</v>
      </c>
      <c r="B13940" s="3" t="str">
        <f>HYPERLINK("https://otsuka-europe-crm.veevavault.com/ui/#object/approved_document__v/V5O00000000O004", "LUP - Congreso EAS- SER 2026 - nefro")</f>
        <v>LUP - Congreso EAS- SER 2026 - nefro</v>
      </c>
      <c r="C13940" s="3" t="str">
        <f>HYPERLINK("https://otsuka-europe-crm.veevavault.com/ui/#object/sent_email__v/VBL00000001C161", "SE-001403358")</f>
        <v>SE-001403358</v>
      </c>
      <c r="D13940" s="1" t="s">
        <v>0</v>
      </c>
      <c r="E13940" s="2">
        <v>0</v>
      </c>
      <c r="F13940" s="2">
        <v>0</v>
      </c>
      <c r="G13940" s="2">
        <v>0</v>
      </c>
      <c r="H13940" s="1" t="s">
        <v>0</v>
      </c>
      <c r="I13940" s="2">
        <v>0</v>
      </c>
      <c r="J13940" s="1">
        <v>46062.476550925923</v>
      </c>
    </row>
    <row r="13941" spans="1:10" x14ac:dyDescent="0.2">
      <c r="A13941" s="4" t="s">
        <v>1</v>
      </c>
      <c r="B13941" s="3" t="str">
        <f>HYPERLINK("https://otsuka-europe-crm.veevavault.com/ui/#object/approved_document__v/V5O00000000O004", "LUP - Congreso EAS- SER 2026 - nefro")</f>
        <v>LUP - Congreso EAS- SER 2026 - nefro</v>
      </c>
      <c r="C13941" s="3" t="str">
        <f>HYPERLINK("https://otsuka-europe-crm.veevavault.com/ui/#object/sent_email__v/VBL00000001C162", "SE-001403359")</f>
        <v>SE-001403359</v>
      </c>
      <c r="D13941" s="1">
        <v>46069.476284722223</v>
      </c>
      <c r="E13941" s="2">
        <v>1</v>
      </c>
      <c r="F13941" s="2">
        <v>2</v>
      </c>
      <c r="G13941" s="2">
        <v>0</v>
      </c>
      <c r="H13941" s="1" t="s">
        <v>0</v>
      </c>
      <c r="I13941" s="2">
        <v>0</v>
      </c>
      <c r="J13941" s="1">
        <v>46062.476759259262</v>
      </c>
    </row>
    <row r="13942" spans="1:10" x14ac:dyDescent="0.2">
      <c r="A13942" s="4" t="s">
        <v>1</v>
      </c>
      <c r="B13942" s="3" t="str">
        <f>HYPERLINK("https://otsuka-europe-crm.veevavault.com/ui/#object/approved_document__v/V5O00000000O004", "LUP - Congreso EAS- SER 2026 - nefro")</f>
        <v>LUP - Congreso EAS- SER 2026 - nefro</v>
      </c>
      <c r="C13942" s="3" t="str">
        <f>HYPERLINK("https://otsuka-europe-crm.veevavault.com/ui/#object/sent_email__v/VBL00000001C163", "SE-001403360")</f>
        <v>SE-001403360</v>
      </c>
      <c r="D13942" s="1">
        <v>46062.485127314816</v>
      </c>
      <c r="E13942" s="2">
        <v>1</v>
      </c>
      <c r="F13942" s="2">
        <v>1</v>
      </c>
      <c r="G13942" s="2">
        <v>0</v>
      </c>
      <c r="H13942" s="1" t="s">
        <v>0</v>
      </c>
      <c r="I13942" s="2">
        <v>0</v>
      </c>
      <c r="J13942" s="1">
        <v>46062.477013888885</v>
      </c>
    </row>
    <row r="13943" spans="1:10" x14ac:dyDescent="0.2">
      <c r="A13943" s="4" t="s">
        <v>1</v>
      </c>
      <c r="B13943" s="3" t="str">
        <f>HYPERLINK("https://otsuka-europe-crm.veevavault.com/ui/#object/approved_document__v/V5O00000000O004", "LUP - Congreso EAS- SER 2026 - nefro")</f>
        <v>LUP - Congreso EAS- SER 2026 - nefro</v>
      </c>
      <c r="C13943" s="3" t="str">
        <f>HYPERLINK("https://otsuka-europe-crm.veevavault.com/ui/#object/sent_email__v/VBL00000001C164", "SE-001403361")</f>
        <v>SE-001403361</v>
      </c>
      <c r="D13943" s="1" t="s">
        <v>0</v>
      </c>
      <c r="E13943" s="2">
        <v>0</v>
      </c>
      <c r="F13943" s="2">
        <v>0</v>
      </c>
      <c r="G13943" s="2">
        <v>0</v>
      </c>
      <c r="H13943" s="1" t="s">
        <v>0</v>
      </c>
      <c r="I13943" s="2">
        <v>0</v>
      </c>
      <c r="J13943" s="1">
        <v>46062.477268518516</v>
      </c>
    </row>
    <row r="13944" spans="1:10" x14ac:dyDescent="0.2">
      <c r="A13944" s="4" t="s">
        <v>1</v>
      </c>
      <c r="B13944" s="3" t="str">
        <f>HYPERLINK("https://otsuka-europe-crm.veevavault.com/ui/#object/approved_document__v/V5O00000000O004", "LUP - Congreso EAS- SER 2026 - nefro")</f>
        <v>LUP - Congreso EAS- SER 2026 - nefro</v>
      </c>
      <c r="C13944" s="3" t="str">
        <f>HYPERLINK("https://otsuka-europe-crm.veevavault.com/ui/#object/sent_email__v/VBL00000001C165", "SE-001403362")</f>
        <v>SE-001403362</v>
      </c>
      <c r="D13944" s="1">
        <v>46075.576226851852</v>
      </c>
      <c r="E13944" s="2">
        <v>1</v>
      </c>
      <c r="F13944" s="2">
        <v>2</v>
      </c>
      <c r="G13944" s="2">
        <v>0</v>
      </c>
      <c r="H13944" s="1" t="s">
        <v>0</v>
      </c>
      <c r="I13944" s="2">
        <v>0</v>
      </c>
      <c r="J13944" s="1">
        <v>46062.477523148147</v>
      </c>
    </row>
    <row r="13945" spans="1:10" x14ac:dyDescent="0.2">
      <c r="A13945" s="4" t="s">
        <v>1</v>
      </c>
      <c r="B13945" s="3" t="str">
        <f>HYPERLINK("https://otsuka-europe-crm.veevavault.com/ui/#object/approved_document__v/V5O00000000O004", "LUP - Congreso EAS- SER 2026 - nefro")</f>
        <v>LUP - Congreso EAS- SER 2026 - nefro</v>
      </c>
      <c r="C13945" s="3" t="str">
        <f>HYPERLINK("https://otsuka-europe-crm.veevavault.com/ui/#object/sent_email__v/VBL00000001C166", "SE-001403363")</f>
        <v>SE-001403363</v>
      </c>
      <c r="D13945" s="1">
        <v>46062.549398148149</v>
      </c>
      <c r="E13945" s="2">
        <v>1</v>
      </c>
      <c r="F13945" s="2">
        <v>1</v>
      </c>
      <c r="G13945" s="2">
        <v>0</v>
      </c>
      <c r="H13945" s="1" t="s">
        <v>0</v>
      </c>
      <c r="I13945" s="2">
        <v>0</v>
      </c>
      <c r="J13945" s="1">
        <v>46062.477777777778</v>
      </c>
    </row>
    <row r="13946" spans="1:10" x14ac:dyDescent="0.2">
      <c r="A13946" s="4" t="s">
        <v>1</v>
      </c>
      <c r="B13946" s="3" t="str">
        <f>HYPERLINK("https://otsuka-europe-crm.veevavault.com/ui/#object/approved_document__v/V5O00000000O004", "LUP - Congreso EAS- SER 2026 - nefro")</f>
        <v>LUP - Congreso EAS- SER 2026 - nefro</v>
      </c>
      <c r="C13946" s="3" t="str">
        <f>HYPERLINK("https://otsuka-europe-crm.veevavault.com/ui/#object/sent_email__v/VBL00000001C167", "SE-001403364")</f>
        <v>SE-001403364</v>
      </c>
      <c r="D13946" s="1">
        <v>46062.497175925928</v>
      </c>
      <c r="E13946" s="2">
        <v>1</v>
      </c>
      <c r="F13946" s="2">
        <v>1</v>
      </c>
      <c r="G13946" s="2">
        <v>0</v>
      </c>
      <c r="H13946" s="1" t="s">
        <v>0</v>
      </c>
      <c r="I13946" s="2">
        <v>0</v>
      </c>
      <c r="J13946" s="1">
        <v>46062.478020833332</v>
      </c>
    </row>
    <row r="13947" spans="1:10" x14ac:dyDescent="0.2">
      <c r="A13947" s="4" t="s">
        <v>1</v>
      </c>
      <c r="B13947" s="3" t="str">
        <f>HYPERLINK("https://otsuka-europe-crm.veevavault.com/ui/#object/approved_document__v/V5O00000000O004", "LUP - Congreso EAS- SER 2026 - nefro")</f>
        <v>LUP - Congreso EAS- SER 2026 - nefro</v>
      </c>
      <c r="C13947" s="3" t="str">
        <f>HYPERLINK("https://otsuka-europe-crm.veevavault.com/ui/#object/sent_email__v/VBL00000001C168", "SE-001403365")</f>
        <v>SE-001403365</v>
      </c>
      <c r="D13947" s="1">
        <v>46062.478958333333</v>
      </c>
      <c r="E13947" s="2">
        <v>1</v>
      </c>
      <c r="F13947" s="2">
        <v>1</v>
      </c>
      <c r="G13947" s="2">
        <v>0</v>
      </c>
      <c r="H13947" s="1" t="s">
        <v>0</v>
      </c>
      <c r="I13947" s="2">
        <v>0</v>
      </c>
      <c r="J13947" s="1">
        <v>46062.47828703704</v>
      </c>
    </row>
    <row r="13948" spans="1:10" x14ac:dyDescent="0.2">
      <c r="A13948" s="4" t="s">
        <v>1</v>
      </c>
      <c r="B13948" s="3" t="str">
        <f>HYPERLINK("https://otsuka-europe-crm.veevavault.com/ui/#object/approved_document__v/V5O00000000O004", "LUP - Congreso EAS- SER 2026 - nefro")</f>
        <v>LUP - Congreso EAS- SER 2026 - nefro</v>
      </c>
      <c r="C13948" s="3" t="str">
        <f>HYPERLINK("https://otsuka-europe-crm.veevavault.com/ui/#object/sent_email__v/VBL00000001C169", "SE-001403366")</f>
        <v>SE-001403366</v>
      </c>
      <c r="D13948" s="1" t="s">
        <v>0</v>
      </c>
      <c r="E13948" s="2">
        <v>0</v>
      </c>
      <c r="F13948" s="2">
        <v>0</v>
      </c>
      <c r="G13948" s="2">
        <v>0</v>
      </c>
      <c r="H13948" s="1" t="s">
        <v>0</v>
      </c>
      <c r="I13948" s="2">
        <v>0</v>
      </c>
      <c r="J13948" s="1">
        <v>46062.478530092594</v>
      </c>
    </row>
    <row r="13949" spans="1:10" x14ac:dyDescent="0.2">
      <c r="A13949" s="4" t="s">
        <v>1</v>
      </c>
      <c r="B13949" s="3" t="str">
        <f>HYPERLINK("https://otsuka-europe-crm.veevavault.com/ui/#object/approved_document__v/V5O00000000O004", "LUP - Congreso EAS- SER 2026 - nefro")</f>
        <v>LUP - Congreso EAS- SER 2026 - nefro</v>
      </c>
      <c r="C13949" s="3" t="str">
        <f>HYPERLINK("https://otsuka-europe-crm.veevavault.com/ui/#object/sent_email__v/VBL00000001C170", "SE-001403367")</f>
        <v>SE-001403367</v>
      </c>
      <c r="D13949" s="1" t="s">
        <v>0</v>
      </c>
      <c r="E13949" s="2">
        <v>0</v>
      </c>
      <c r="F13949" s="2">
        <v>0</v>
      </c>
      <c r="G13949" s="2">
        <v>0</v>
      </c>
      <c r="H13949" s="1" t="s">
        <v>0</v>
      </c>
      <c r="I13949" s="2">
        <v>0</v>
      </c>
      <c r="J13949" s="1">
        <v>46062.478773148148</v>
      </c>
    </row>
    <row r="13950" spans="1:10" x14ac:dyDescent="0.2">
      <c r="A13950" s="4" t="s">
        <v>1</v>
      </c>
      <c r="B13950" s="3" t="str">
        <f>HYPERLINK("https://otsuka-europe-crm.veevavault.com/ui/#object/approved_document__v/V5O00000000O004", "LUP - Congreso EAS- SER 2026 - nefro")</f>
        <v>LUP - Congreso EAS- SER 2026 - nefro</v>
      </c>
      <c r="C13950" s="3" t="str">
        <f>HYPERLINK("https://otsuka-europe-crm.veevavault.com/ui/#object/sent_email__v/VBL00000001C171", "SE-001403368")</f>
        <v>SE-001403368</v>
      </c>
      <c r="D13950" s="1">
        <v>46062.84480324074</v>
      </c>
      <c r="E13950" s="2">
        <v>1</v>
      </c>
      <c r="F13950" s="2">
        <v>1</v>
      </c>
      <c r="G13950" s="2">
        <v>0</v>
      </c>
      <c r="H13950" s="1" t="s">
        <v>0</v>
      </c>
      <c r="I13950" s="2">
        <v>0</v>
      </c>
      <c r="J13950" s="1">
        <v>46062.479027777779</v>
      </c>
    </row>
    <row r="13951" spans="1:10" x14ac:dyDescent="0.2">
      <c r="A13951" s="4" t="s">
        <v>1</v>
      </c>
      <c r="B13951" s="3" t="str">
        <f>HYPERLINK("https://otsuka-europe-crm.veevavault.com/ui/#object/approved_document__v/V5O00000000O004", "LUP - Congreso EAS- SER 2026 - nefro")</f>
        <v>LUP - Congreso EAS- SER 2026 - nefro</v>
      </c>
      <c r="C13951" s="3" t="str">
        <f>HYPERLINK("https://otsuka-europe-crm.veevavault.com/ui/#object/sent_email__v/VBL00000001C172", "SE-001403369")</f>
        <v>SE-001403369</v>
      </c>
      <c r="D13951" s="1">
        <v>46064.456446759257</v>
      </c>
      <c r="E13951" s="2">
        <v>1</v>
      </c>
      <c r="F13951" s="2">
        <v>1</v>
      </c>
      <c r="G13951" s="2">
        <v>0</v>
      </c>
      <c r="H13951" s="1" t="s">
        <v>0</v>
      </c>
      <c r="I13951" s="2">
        <v>0</v>
      </c>
      <c r="J13951" s="1">
        <v>46062.47923611111</v>
      </c>
    </row>
    <row r="13952" spans="1:10" x14ac:dyDescent="0.2">
      <c r="A13952" s="4" t="s">
        <v>1</v>
      </c>
      <c r="B13952" s="3" t="str">
        <f>HYPERLINK("https://otsuka-europe-crm.veevavault.com/ui/#object/approved_document__v/V5O00000000O004", "LUP - Congreso EAS- SER 2026 - nefro")</f>
        <v>LUP - Congreso EAS- SER 2026 - nefro</v>
      </c>
      <c r="C13952" s="3" t="str">
        <f>HYPERLINK("https://otsuka-europe-crm.veevavault.com/ui/#object/sent_email__v/VBL00000001C173", "SE-001403370")</f>
        <v>SE-001403370</v>
      </c>
      <c r="D13952" s="1" t="s">
        <v>0</v>
      </c>
      <c r="E13952" s="2">
        <v>0</v>
      </c>
      <c r="F13952" s="2">
        <v>0</v>
      </c>
      <c r="G13952" s="2">
        <v>0</v>
      </c>
      <c r="H13952" s="1" t="s">
        <v>0</v>
      </c>
      <c r="I13952" s="2">
        <v>0</v>
      </c>
      <c r="J13952" s="1">
        <v>46062.479386574072</v>
      </c>
    </row>
    <row r="13953" spans="1:10" x14ac:dyDescent="0.2">
      <c r="A13953" s="4" t="s">
        <v>1</v>
      </c>
      <c r="B13953" s="3" t="str">
        <f>HYPERLINK("https://otsuka-europe-crm.veevavault.com/ui/#object/approved_document__v/V5O00000000O004", "LUP - Congreso EAS- SER 2026 - nefro")</f>
        <v>LUP - Congreso EAS- SER 2026 - nefro</v>
      </c>
      <c r="C13953" s="3" t="str">
        <f>HYPERLINK("https://otsuka-europe-crm.veevavault.com/ui/#object/sent_email__v/VBL00000001C174", "SE-001403371")</f>
        <v>SE-001403371</v>
      </c>
      <c r="D13953" s="1">
        <v>46062.570115740738</v>
      </c>
      <c r="E13953" s="2">
        <v>1</v>
      </c>
      <c r="F13953" s="2">
        <v>2</v>
      </c>
      <c r="G13953" s="2">
        <v>0</v>
      </c>
      <c r="H13953" s="1" t="s">
        <v>0</v>
      </c>
      <c r="I13953" s="2">
        <v>0</v>
      </c>
      <c r="J13953" s="1">
        <v>46062.479560185187</v>
      </c>
    </row>
    <row r="13954" spans="1:10" x14ac:dyDescent="0.2">
      <c r="A13954" s="4" t="s">
        <v>1</v>
      </c>
      <c r="B13954" s="3" t="str">
        <f>HYPERLINK("https://otsuka-europe-crm.veevavault.com/ui/#object/approved_document__v/V5O00000000O004", "LUP - Congreso EAS- SER 2026 - nefro")</f>
        <v>LUP - Congreso EAS- SER 2026 - nefro</v>
      </c>
      <c r="C13954" s="3" t="str">
        <f>HYPERLINK("https://otsuka-europe-crm.veevavault.com/ui/#object/sent_email__v/VBL00000001C175", "SE-001403372")</f>
        <v>SE-001403372</v>
      </c>
      <c r="D13954" s="1">
        <v>46070.600775462961</v>
      </c>
      <c r="E13954" s="2">
        <v>1</v>
      </c>
      <c r="F13954" s="2">
        <v>3</v>
      </c>
      <c r="G13954" s="2">
        <v>0</v>
      </c>
      <c r="H13954" s="1" t="s">
        <v>0</v>
      </c>
      <c r="I13954" s="2">
        <v>0</v>
      </c>
      <c r="J13954" s="1">
        <v>46062.479745370372</v>
      </c>
    </row>
    <row r="13955" spans="1:10" x14ac:dyDescent="0.2">
      <c r="A13955" s="4" t="s">
        <v>1</v>
      </c>
      <c r="B13955" s="3" t="str">
        <f>HYPERLINK("https://otsuka-europe-crm.veevavault.com/ui/#object/approved_document__v/V5O00000000O004", "LUP - Congreso EAS- SER 2026 - nefro")</f>
        <v>LUP - Congreso EAS- SER 2026 - nefro</v>
      </c>
      <c r="C13955" s="3" t="str">
        <f>HYPERLINK("https://otsuka-europe-crm.veevavault.com/ui/#object/sent_email__v/VBL00000001C176", "SE-001403373")</f>
        <v>SE-001403373</v>
      </c>
      <c r="D13955" s="1" t="s">
        <v>0</v>
      </c>
      <c r="E13955" s="2">
        <v>0</v>
      </c>
      <c r="F13955" s="2">
        <v>0</v>
      </c>
      <c r="G13955" s="2">
        <v>0</v>
      </c>
      <c r="H13955" s="1" t="s">
        <v>0</v>
      </c>
      <c r="I13955" s="2">
        <v>0</v>
      </c>
      <c r="J13955" s="1">
        <v>46062.479895833334</v>
      </c>
    </row>
    <row r="13956" spans="1:10" x14ac:dyDescent="0.2">
      <c r="A13956" s="4" t="s">
        <v>1</v>
      </c>
      <c r="B13956" s="3" t="str">
        <f>HYPERLINK("https://otsuka-europe-crm.veevavault.com/ui/#object/approved_document__v/V5O00000000O004", "LUP - Congreso EAS- SER 2026 - nefro")</f>
        <v>LUP - Congreso EAS- SER 2026 - nefro</v>
      </c>
      <c r="C13956" s="3" t="str">
        <f>HYPERLINK("https://otsuka-europe-crm.veevavault.com/ui/#object/sent_email__v/VBL00000001C177", "SE-001403374")</f>
        <v>SE-001403374</v>
      </c>
      <c r="D13956" s="1" t="s">
        <v>0</v>
      </c>
      <c r="E13956" s="2">
        <v>0</v>
      </c>
      <c r="F13956" s="2">
        <v>0</v>
      </c>
      <c r="G13956" s="2">
        <v>0</v>
      </c>
      <c r="H13956" s="1" t="s">
        <v>0</v>
      </c>
      <c r="I13956" s="2">
        <v>0</v>
      </c>
      <c r="J13956" s="1">
        <v>46062.480069444442</v>
      </c>
    </row>
    <row r="13957" spans="1:10" x14ac:dyDescent="0.2">
      <c r="A13957" s="4" t="s">
        <v>1</v>
      </c>
      <c r="B13957" s="3" t="str">
        <f>HYPERLINK("https://otsuka-europe-crm.veevavault.com/ui/#object/approved_document__v/V5O00000000O004", "LUP - Congreso EAS- SER 2026 - nefro")</f>
        <v>LUP - Congreso EAS- SER 2026 - nefro</v>
      </c>
      <c r="C13957" s="3" t="str">
        <f>HYPERLINK("https://otsuka-europe-crm.veevavault.com/ui/#object/sent_email__v/VBL00000001C178", "SE-001403375")</f>
        <v>SE-001403375</v>
      </c>
      <c r="D13957" s="1" t="s">
        <v>0</v>
      </c>
      <c r="E13957" s="2">
        <v>0</v>
      </c>
      <c r="F13957" s="2">
        <v>0</v>
      </c>
      <c r="G13957" s="2">
        <v>0</v>
      </c>
      <c r="H13957" s="1" t="s">
        <v>0</v>
      </c>
      <c r="I13957" s="2">
        <v>0</v>
      </c>
      <c r="J13957" s="1">
        <v>46062.480219907404</v>
      </c>
    </row>
    <row r="13958" spans="1:10" x14ac:dyDescent="0.2">
      <c r="A13958" s="4" t="s">
        <v>1</v>
      </c>
      <c r="B13958" s="3" t="str">
        <f>HYPERLINK("https://otsuka-europe-crm.veevavault.com/ui/#object/approved_document__v/V5O00000000O004", "LUP - Congreso EAS- SER 2026 - nefro")</f>
        <v>LUP - Congreso EAS- SER 2026 - nefro</v>
      </c>
      <c r="C13958" s="3" t="str">
        <f>HYPERLINK("https://otsuka-europe-crm.veevavault.com/ui/#object/sent_email__v/VBL00000001C179", "SE-001403376")</f>
        <v>SE-001403376</v>
      </c>
      <c r="D13958" s="1">
        <v>46062.628391203703</v>
      </c>
      <c r="E13958" s="2">
        <v>1</v>
      </c>
      <c r="F13958" s="2">
        <v>1</v>
      </c>
      <c r="G13958" s="2">
        <v>0</v>
      </c>
      <c r="H13958" s="1" t="s">
        <v>0</v>
      </c>
      <c r="I13958" s="2">
        <v>0</v>
      </c>
      <c r="J13958" s="1">
        <v>46062.480381944442</v>
      </c>
    </row>
    <row r="13959" spans="1:10" x14ac:dyDescent="0.2">
      <c r="A13959" s="4" t="s">
        <v>1</v>
      </c>
      <c r="B13959" s="3" t="str">
        <f>HYPERLINK("https://otsuka-europe-crm.veevavault.com/ui/#object/approved_document__v/V5O00000000O004", "LUP - Congreso EAS- SER 2026 - nefro")</f>
        <v>LUP - Congreso EAS- SER 2026 - nefro</v>
      </c>
      <c r="C13959" s="3" t="str">
        <f>HYPERLINK("https://otsuka-europe-crm.veevavault.com/ui/#object/sent_email__v/VBL00000001C180", "SE-001403377")</f>
        <v>SE-001403377</v>
      </c>
      <c r="D13959" s="1" t="s">
        <v>0</v>
      </c>
      <c r="E13959" s="2">
        <v>0</v>
      </c>
      <c r="F13959" s="2">
        <v>0</v>
      </c>
      <c r="G13959" s="2">
        <v>0</v>
      </c>
      <c r="H13959" s="1" t="s">
        <v>0</v>
      </c>
      <c r="I13959" s="2">
        <v>0</v>
      </c>
      <c r="J13959" s="1">
        <v>46062.480555555558</v>
      </c>
    </row>
    <row r="13960" spans="1:10" x14ac:dyDescent="0.2">
      <c r="A13960" s="4" t="s">
        <v>1</v>
      </c>
      <c r="B13960" s="3" t="str">
        <f>HYPERLINK("https://otsuka-europe-crm.veevavault.com/ui/#object/approved_document__v/V5O00000000O004", "LUP - Congreso EAS- SER 2026 - nefro")</f>
        <v>LUP - Congreso EAS- SER 2026 - nefro</v>
      </c>
      <c r="C13960" s="3" t="str">
        <f>HYPERLINK("https://otsuka-europe-crm.veevavault.com/ui/#object/sent_email__v/VBL00000001C181", "SE-001403378")</f>
        <v>SE-001403378</v>
      </c>
      <c r="D13960" s="1">
        <v>46062.491712962961</v>
      </c>
      <c r="E13960" s="2">
        <v>1</v>
      </c>
      <c r="F13960" s="2">
        <v>1</v>
      </c>
      <c r="G13960" s="2">
        <v>0</v>
      </c>
      <c r="H13960" s="1" t="s">
        <v>0</v>
      </c>
      <c r="I13960" s="2">
        <v>0</v>
      </c>
      <c r="J13960" s="1">
        <v>46062.480729166666</v>
      </c>
    </row>
    <row r="13961" spans="1:10" x14ac:dyDescent="0.2">
      <c r="A13961" s="4" t="s">
        <v>1</v>
      </c>
      <c r="B13961" s="3" t="str">
        <f>HYPERLINK("https://otsuka-europe-crm.veevavault.com/ui/#object/approved_document__v/V5O00000000O004", "LUP - Congreso EAS- SER 2026 - nefro")</f>
        <v>LUP - Congreso EAS- SER 2026 - nefro</v>
      </c>
      <c r="C13961" s="3" t="str">
        <f>HYPERLINK("https://otsuka-europe-crm.veevavault.com/ui/#object/sent_email__v/VBL00000001C182", "SE-001403379")</f>
        <v>SE-001403379</v>
      </c>
      <c r="D13961" s="1">
        <v>46063.439340277779</v>
      </c>
      <c r="E13961" s="2">
        <v>1</v>
      </c>
      <c r="F13961" s="2">
        <v>15</v>
      </c>
      <c r="G13961" s="2">
        <v>0</v>
      </c>
      <c r="H13961" s="1" t="s">
        <v>0</v>
      </c>
      <c r="I13961" s="2">
        <v>0</v>
      </c>
      <c r="J13961" s="1">
        <v>46062.480891203704</v>
      </c>
    </row>
    <row r="13962" spans="1:10" x14ac:dyDescent="0.2">
      <c r="A13962" s="4" t="s">
        <v>1</v>
      </c>
      <c r="B13962" s="3" t="str">
        <f>HYPERLINK("https://otsuka-europe-crm.veevavault.com/ui/#object/approved_document__v/V5O00000000O004", "LUP - Congreso EAS- SER 2026 - nefro")</f>
        <v>LUP - Congreso EAS- SER 2026 - nefro</v>
      </c>
      <c r="C13962" s="3" t="str">
        <f>HYPERLINK("https://otsuka-europe-crm.veevavault.com/ui/#object/sent_email__v/VBL00000001C183", "SE-001403380")</f>
        <v>SE-001403380</v>
      </c>
      <c r="D13962" s="1" t="s">
        <v>0</v>
      </c>
      <c r="E13962" s="2">
        <v>0</v>
      </c>
      <c r="F13962" s="2">
        <v>0</v>
      </c>
      <c r="G13962" s="2">
        <v>0</v>
      </c>
      <c r="H13962" s="1" t="s">
        <v>0</v>
      </c>
      <c r="I13962" s="2">
        <v>0</v>
      </c>
      <c r="J13962" s="1">
        <v>46062.481064814812</v>
      </c>
    </row>
    <row r="13963" spans="1:10" x14ac:dyDescent="0.2">
      <c r="A13963" s="4" t="s">
        <v>1</v>
      </c>
      <c r="B13963" s="3" t="str">
        <f>HYPERLINK("https://otsuka-europe-crm.veevavault.com/ui/#object/approved_document__v/V5O00000000O004", "LUP - Congreso EAS- SER 2026 - nefro")</f>
        <v>LUP - Congreso EAS- SER 2026 - nefro</v>
      </c>
      <c r="C13963" s="3" t="str">
        <f>HYPERLINK("https://otsuka-europe-crm.veevavault.com/ui/#object/sent_email__v/VBL00000001C184", "SE-001403381")</f>
        <v>SE-001403381</v>
      </c>
      <c r="D13963" s="1" t="s">
        <v>0</v>
      </c>
      <c r="E13963" s="2">
        <v>0</v>
      </c>
      <c r="F13963" s="2">
        <v>0</v>
      </c>
      <c r="G13963" s="2">
        <v>0</v>
      </c>
      <c r="H13963" s="1" t="s">
        <v>0</v>
      </c>
      <c r="I13963" s="2">
        <v>0</v>
      </c>
      <c r="J13963" s="1">
        <v>46062.481226851851</v>
      </c>
    </row>
    <row r="13964" spans="1:10" x14ac:dyDescent="0.2">
      <c r="A13964" s="4" t="s">
        <v>1</v>
      </c>
      <c r="B13964" s="3" t="str">
        <f>HYPERLINK("https://otsuka-europe-crm.veevavault.com/ui/#object/approved_document__v/V5O00000000O004", "LUP - Congreso EAS- SER 2026 - nefro")</f>
        <v>LUP - Congreso EAS- SER 2026 - nefro</v>
      </c>
      <c r="C13964" s="3" t="str">
        <f>HYPERLINK("https://otsuka-europe-crm.veevavault.com/ui/#object/sent_email__v/VBL00000001C185", "SE-001403382")</f>
        <v>SE-001403382</v>
      </c>
      <c r="D13964" s="1">
        <v>46062.717222222222</v>
      </c>
      <c r="E13964" s="2">
        <v>1</v>
      </c>
      <c r="F13964" s="2">
        <v>1</v>
      </c>
      <c r="G13964" s="2">
        <v>0</v>
      </c>
      <c r="H13964" s="1" t="s">
        <v>0</v>
      </c>
      <c r="I13964" s="2">
        <v>0</v>
      </c>
      <c r="J13964" s="1">
        <v>46062.481400462966</v>
      </c>
    </row>
    <row r="13965" spans="1:10" x14ac:dyDescent="0.2">
      <c r="A13965" s="4" t="s">
        <v>1</v>
      </c>
      <c r="B13965" s="3" t="str">
        <f>HYPERLINK("https://otsuka-europe-crm.veevavault.com/ui/#object/approved_document__v/V5O00000000O004", "LUP - Congreso EAS- SER 2026 - nefro")</f>
        <v>LUP - Congreso EAS- SER 2026 - nefro</v>
      </c>
      <c r="C13965" s="3" t="str">
        <f>HYPERLINK("https://otsuka-europe-crm.veevavault.com/ui/#object/sent_email__v/VBL00000001C186", "SE-001403383")</f>
        <v>SE-001403383</v>
      </c>
      <c r="D13965" s="1" t="s">
        <v>0</v>
      </c>
      <c r="E13965" s="2">
        <v>0</v>
      </c>
      <c r="F13965" s="2">
        <v>0</v>
      </c>
      <c r="G13965" s="2">
        <v>0</v>
      </c>
      <c r="H13965" s="1" t="s">
        <v>0</v>
      </c>
      <c r="I13965" s="2">
        <v>0</v>
      </c>
      <c r="J13965" s="1">
        <v>46062.481608796297</v>
      </c>
    </row>
    <row r="13966" spans="1:10" x14ac:dyDescent="0.2">
      <c r="A13966" s="4" t="s">
        <v>1</v>
      </c>
      <c r="B13966" s="3" t="str">
        <f>HYPERLINK("https://otsuka-europe-crm.veevavault.com/ui/#object/approved_document__v/V5O00000000O004", "LUP - Congreso EAS- SER 2026 - nefro")</f>
        <v>LUP - Congreso EAS- SER 2026 - nefro</v>
      </c>
      <c r="C13966" s="3" t="str">
        <f>HYPERLINK("https://otsuka-europe-crm.veevavault.com/ui/#object/sent_email__v/VBL00000001C187", "SE-001403384")</f>
        <v>SE-001403384</v>
      </c>
      <c r="D13966" s="1">
        <v>46062.85527777778</v>
      </c>
      <c r="E13966" s="2">
        <v>1</v>
      </c>
      <c r="F13966" s="2">
        <v>1</v>
      </c>
      <c r="G13966" s="2">
        <v>0</v>
      </c>
      <c r="H13966" s="1" t="s">
        <v>0</v>
      </c>
      <c r="I13966" s="2">
        <v>0</v>
      </c>
      <c r="J13966" s="1">
        <v>46062.481863425928</v>
      </c>
    </row>
    <row r="13967" spans="1:10" x14ac:dyDescent="0.2">
      <c r="A13967" s="4" t="s">
        <v>1</v>
      </c>
      <c r="B13967" s="3" t="str">
        <f>HYPERLINK("https://otsuka-europe-crm.veevavault.com/ui/#object/approved_document__v/V5O00000000O004", "LUP - Congreso EAS- SER 2026 - nefro")</f>
        <v>LUP - Congreso EAS- SER 2026 - nefro</v>
      </c>
      <c r="C13967" s="3" t="str">
        <f>HYPERLINK("https://otsuka-europe-crm.veevavault.com/ui/#object/sent_email__v/VBL00000001C188", "SE-001403385")</f>
        <v>SE-001403385</v>
      </c>
      <c r="D13967" s="1">
        <v>46062.763159722221</v>
      </c>
      <c r="E13967" s="2">
        <v>1</v>
      </c>
      <c r="F13967" s="2">
        <v>1</v>
      </c>
      <c r="G13967" s="2">
        <v>0</v>
      </c>
      <c r="H13967" s="1" t="s">
        <v>0</v>
      </c>
      <c r="I13967" s="2">
        <v>0</v>
      </c>
      <c r="J13967" s="1">
        <v>46062.482106481482</v>
      </c>
    </row>
    <row r="13968" spans="1:10" x14ac:dyDescent="0.2">
      <c r="A13968" s="4" t="s">
        <v>1</v>
      </c>
      <c r="B13968" s="3" t="str">
        <f>HYPERLINK("https://otsuka-europe-crm.veevavault.com/ui/#object/approved_document__v/V5O00000000O004", "LUP - Congreso EAS- SER 2026 - nefro")</f>
        <v>LUP - Congreso EAS- SER 2026 - nefro</v>
      </c>
      <c r="C13968" s="3" t="str">
        <f>HYPERLINK("https://otsuka-europe-crm.veevavault.com/ui/#object/sent_email__v/VBL00000001C189", "SE-001403386")</f>
        <v>SE-001403386</v>
      </c>
      <c r="D13968" s="1">
        <v>46062.564837962964</v>
      </c>
      <c r="E13968" s="2">
        <v>1</v>
      </c>
      <c r="F13968" s="2">
        <v>1</v>
      </c>
      <c r="G13968" s="2">
        <v>0</v>
      </c>
      <c r="H13968" s="1" t="s">
        <v>0</v>
      </c>
      <c r="I13968" s="2">
        <v>0</v>
      </c>
      <c r="J13968" s="1">
        <v>46062.482361111113</v>
      </c>
    </row>
    <row r="13969" spans="1:10" x14ac:dyDescent="0.2">
      <c r="A13969" s="4" t="s">
        <v>1</v>
      </c>
      <c r="B13969" s="3" t="str">
        <f>HYPERLINK("https://otsuka-europe-crm.veevavault.com/ui/#object/approved_document__v/V5O00000000O004", "LUP - Congreso EAS- SER 2026 - nefro")</f>
        <v>LUP - Congreso EAS- SER 2026 - nefro</v>
      </c>
      <c r="C13969" s="3" t="str">
        <f>HYPERLINK("https://otsuka-europe-crm.veevavault.com/ui/#object/sent_email__v/VBL00000001C190", "SE-001403387")</f>
        <v>SE-001403387</v>
      </c>
      <c r="D13969" s="1">
        <v>46070.825960648152</v>
      </c>
      <c r="E13969" s="2">
        <v>1</v>
      </c>
      <c r="F13969" s="2">
        <v>2</v>
      </c>
      <c r="G13969" s="2">
        <v>0</v>
      </c>
      <c r="H13969" s="1" t="s">
        <v>0</v>
      </c>
      <c r="I13969" s="2">
        <v>0</v>
      </c>
      <c r="J13969" s="1">
        <v>46062.482604166667</v>
      </c>
    </row>
    <row r="13970" spans="1:10" x14ac:dyDescent="0.2">
      <c r="A13970" s="4" t="s">
        <v>1</v>
      </c>
      <c r="B13970" s="3" t="str">
        <f>HYPERLINK("https://otsuka-europe-crm.veevavault.com/ui/#object/approved_document__v/V5O00000000O004", "LUP - Congreso EAS- SER 2026 - nefro")</f>
        <v>LUP - Congreso EAS- SER 2026 - nefro</v>
      </c>
      <c r="C13970" s="3" t="str">
        <f>HYPERLINK("https://otsuka-europe-crm.veevavault.com/ui/#object/sent_email__v/VBL00000001C191", "SE-001403388")</f>
        <v>SE-001403388</v>
      </c>
      <c r="D13970" s="1">
        <v>46062.516342592593</v>
      </c>
      <c r="E13970" s="2">
        <v>1</v>
      </c>
      <c r="F13970" s="2">
        <v>1</v>
      </c>
      <c r="G13970" s="2">
        <v>0</v>
      </c>
      <c r="H13970" s="1" t="s">
        <v>0</v>
      </c>
      <c r="I13970" s="2">
        <v>0</v>
      </c>
      <c r="J13970" s="1">
        <v>46062.482777777775</v>
      </c>
    </row>
    <row r="13971" spans="1:10" x14ac:dyDescent="0.2">
      <c r="A13971" s="4" t="s">
        <v>1</v>
      </c>
      <c r="B13971" s="3" t="str">
        <f>HYPERLINK("https://otsuka-europe-crm.veevavault.com/ui/#object/approved_document__v/V5O00000000O004", "LUP - Congreso EAS- SER 2026 - nefro")</f>
        <v>LUP - Congreso EAS- SER 2026 - nefro</v>
      </c>
      <c r="C13971" s="3" t="str">
        <f>HYPERLINK("https://otsuka-europe-crm.veevavault.com/ui/#object/sent_email__v/VBL00000001C192", "SE-001403389")</f>
        <v>SE-001403389</v>
      </c>
      <c r="D13971" s="1">
        <v>46062.714583333334</v>
      </c>
      <c r="E13971" s="2">
        <v>1</v>
      </c>
      <c r="F13971" s="2">
        <v>2</v>
      </c>
      <c r="G13971" s="2">
        <v>0</v>
      </c>
      <c r="H13971" s="1" t="s">
        <v>0</v>
      </c>
      <c r="I13971" s="2">
        <v>0</v>
      </c>
      <c r="J13971" s="1">
        <v>46062.482939814814</v>
      </c>
    </row>
    <row r="13972" spans="1:10" x14ac:dyDescent="0.2">
      <c r="A13972" s="4" t="s">
        <v>1</v>
      </c>
      <c r="B13972" s="3" t="str">
        <f>HYPERLINK("https://otsuka-europe-crm.veevavault.com/ui/#object/approved_document__v/V5O00000000O004", "LUP - Congreso EAS- SER 2026 - nefro")</f>
        <v>LUP - Congreso EAS- SER 2026 - nefro</v>
      </c>
      <c r="C13972" s="3" t="str">
        <f>HYPERLINK("https://otsuka-europe-crm.veevavault.com/ui/#object/sent_email__v/VBL00000001C193", "SE-001403390")</f>
        <v>SE-001403390</v>
      </c>
      <c r="D13972" s="1" t="s">
        <v>0</v>
      </c>
      <c r="E13972" s="2">
        <v>0</v>
      </c>
      <c r="F13972" s="2">
        <v>0</v>
      </c>
      <c r="G13972" s="2">
        <v>0</v>
      </c>
      <c r="H13972" s="1" t="s">
        <v>0</v>
      </c>
      <c r="I13972" s="2">
        <v>0</v>
      </c>
      <c r="J13972" s="1">
        <v>46062.483113425929</v>
      </c>
    </row>
    <row r="13973" spans="1:10" x14ac:dyDescent="0.2">
      <c r="A13973" s="4" t="s">
        <v>1</v>
      </c>
      <c r="B13973" s="3" t="str">
        <f>HYPERLINK("https://otsuka-europe-crm.veevavault.com/ui/#object/approved_document__v/V5O00000000O004", "LUP - Congreso EAS- SER 2026 - nefro")</f>
        <v>LUP - Congreso EAS- SER 2026 - nefro</v>
      </c>
      <c r="C13973" s="3" t="str">
        <f>HYPERLINK("https://otsuka-europe-crm.veevavault.com/ui/#object/sent_email__v/VBL00000001C194", "SE-001403391")</f>
        <v>SE-001403391</v>
      </c>
      <c r="D13973" s="1">
        <v>46063.929942129631</v>
      </c>
      <c r="E13973" s="2">
        <v>1</v>
      </c>
      <c r="F13973" s="2">
        <v>1</v>
      </c>
      <c r="G13973" s="2">
        <v>0</v>
      </c>
      <c r="H13973" s="1" t="s">
        <v>0</v>
      </c>
      <c r="I13973" s="2">
        <v>0</v>
      </c>
      <c r="J13973" s="1">
        <v>46062.483287037037</v>
      </c>
    </row>
    <row r="13974" spans="1:10" x14ac:dyDescent="0.2">
      <c r="A13974" s="4" t="s">
        <v>1</v>
      </c>
      <c r="B13974" s="3" t="str">
        <f>HYPERLINK("https://otsuka-europe-crm.veevavault.com/ui/#object/approved_document__v/V5O00000000O004", "LUP - Congreso EAS- SER 2026 - nefro")</f>
        <v>LUP - Congreso EAS- SER 2026 - nefro</v>
      </c>
      <c r="C13974" s="3" t="str">
        <f>HYPERLINK("https://otsuka-europe-crm.veevavault.com/ui/#object/sent_email__v/VBL00000001C195", "SE-001403392")</f>
        <v>SE-001403392</v>
      </c>
      <c r="D13974" s="1">
        <v>46064.918356481481</v>
      </c>
      <c r="E13974" s="2">
        <v>1</v>
      </c>
      <c r="F13974" s="2">
        <v>1</v>
      </c>
      <c r="G13974" s="2">
        <v>0</v>
      </c>
      <c r="H13974" s="1" t="s">
        <v>0</v>
      </c>
      <c r="I13974" s="2">
        <v>0</v>
      </c>
      <c r="J13974" s="1">
        <v>46062.483449074076</v>
      </c>
    </row>
    <row r="13975" spans="1:10" x14ac:dyDescent="0.2">
      <c r="A13975" s="4" t="s">
        <v>1</v>
      </c>
      <c r="B13975" s="3" t="str">
        <f>HYPERLINK("https://otsuka-europe-crm.veevavault.com/ui/#object/approved_document__v/V5O00000000O004", "LUP - Congreso EAS- SER 2026 - nefro")</f>
        <v>LUP - Congreso EAS- SER 2026 - nefro</v>
      </c>
      <c r="C13975" s="3" t="str">
        <f>HYPERLINK("https://otsuka-europe-crm.veevavault.com/ui/#object/sent_email__v/VBL00000001C196", "SE-001403393")</f>
        <v>SE-001403393</v>
      </c>
      <c r="D13975" s="1">
        <v>46062.594942129632</v>
      </c>
      <c r="E13975" s="2">
        <v>1</v>
      </c>
      <c r="F13975" s="2">
        <v>1</v>
      </c>
      <c r="G13975" s="2">
        <v>0</v>
      </c>
      <c r="H13975" s="1" t="s">
        <v>0</v>
      </c>
      <c r="I13975" s="2">
        <v>0</v>
      </c>
      <c r="J13975" s="1">
        <v>46062.483622685184</v>
      </c>
    </row>
    <row r="13976" spans="1:10" x14ac:dyDescent="0.2">
      <c r="A13976" s="4" t="s">
        <v>1</v>
      </c>
      <c r="B13976" s="3" t="str">
        <f>HYPERLINK("https://otsuka-europe-crm.veevavault.com/ui/#object/approved_document__v/V5O00000000O004", "LUP - Congreso EAS- SER 2026 - nefro")</f>
        <v>LUP - Congreso EAS- SER 2026 - nefro</v>
      </c>
      <c r="C13976" s="3" t="str">
        <f>HYPERLINK("https://otsuka-europe-crm.veevavault.com/ui/#object/sent_email__v/VBL00000001C197", "SE-001403394")</f>
        <v>SE-001403394</v>
      </c>
      <c r="D13976" s="1" t="s">
        <v>0</v>
      </c>
      <c r="E13976" s="2">
        <v>0</v>
      </c>
      <c r="F13976" s="2">
        <v>0</v>
      </c>
      <c r="G13976" s="2">
        <v>0</v>
      </c>
      <c r="H13976" s="1" t="s">
        <v>0</v>
      </c>
      <c r="I13976" s="2">
        <v>0</v>
      </c>
      <c r="J13976" s="1">
        <v>46062.483784722222</v>
      </c>
    </row>
    <row r="13977" spans="1:10" x14ac:dyDescent="0.2">
      <c r="A13977" s="4" t="s">
        <v>1</v>
      </c>
      <c r="B13977" s="3" t="str">
        <f>HYPERLINK("https://otsuka-europe-crm.veevavault.com/ui/#object/approved_document__v/V5O00000000O004", "LUP - Congreso EAS- SER 2026 - nefro")</f>
        <v>LUP - Congreso EAS- SER 2026 - nefro</v>
      </c>
      <c r="C13977" s="3" t="str">
        <f>HYPERLINK("https://otsuka-europe-crm.veevavault.com/ui/#object/sent_email__v/VBL00000001C198", "SE-001403395")</f>
        <v>SE-001403395</v>
      </c>
      <c r="D13977" s="1">
        <v>46062.492905092593</v>
      </c>
      <c r="E13977" s="2">
        <v>1</v>
      </c>
      <c r="F13977" s="2">
        <v>2</v>
      </c>
      <c r="G13977" s="2">
        <v>0</v>
      </c>
      <c r="H13977" s="1" t="s">
        <v>0</v>
      </c>
      <c r="I13977" s="2">
        <v>0</v>
      </c>
      <c r="J13977" s="1">
        <v>46062.483969907407</v>
      </c>
    </row>
    <row r="13978" spans="1:10" x14ac:dyDescent="0.2">
      <c r="A13978" s="4" t="s">
        <v>1</v>
      </c>
      <c r="B13978" s="3" t="str">
        <f>HYPERLINK("https://otsuka-europe-crm.veevavault.com/ui/#object/approved_document__v/V5O00000000O004", "LUP - Congreso EAS- SER 2026 - nefro")</f>
        <v>LUP - Congreso EAS- SER 2026 - nefro</v>
      </c>
      <c r="C13978" s="3" t="str">
        <f>HYPERLINK("https://otsuka-europe-crm.veevavault.com/ui/#object/sent_email__v/VBL00000001C199", "SE-001403396")</f>
        <v>SE-001403396</v>
      </c>
      <c r="D13978" s="1">
        <v>46062.608483796299</v>
      </c>
      <c r="E13978" s="2">
        <v>1</v>
      </c>
      <c r="F13978" s="2">
        <v>1</v>
      </c>
      <c r="G13978" s="2">
        <v>0</v>
      </c>
      <c r="H13978" s="1" t="s">
        <v>0</v>
      </c>
      <c r="I13978" s="2">
        <v>0</v>
      </c>
      <c r="J13978" s="1">
        <v>46062.484143518515</v>
      </c>
    </row>
    <row r="13979" spans="1:10" x14ac:dyDescent="0.2">
      <c r="A13979" s="4" t="s">
        <v>1</v>
      </c>
      <c r="B13979" s="3" t="str">
        <f>HYPERLINK("https://otsuka-europe-crm.veevavault.com/ui/#object/approved_document__v/V5O00000000O004", "LUP - Congreso EAS- SER 2026 - nefro")</f>
        <v>LUP - Congreso EAS- SER 2026 - nefro</v>
      </c>
      <c r="C13979" s="3" t="str">
        <f>HYPERLINK("https://otsuka-europe-crm.veevavault.com/ui/#object/sent_email__v/VBL00000001C200", "SE-001403397")</f>
        <v>SE-001403397</v>
      </c>
      <c r="D13979" s="1">
        <v>46062.716469907406</v>
      </c>
      <c r="E13979" s="2">
        <v>1</v>
      </c>
      <c r="F13979" s="2">
        <v>1</v>
      </c>
      <c r="G13979" s="2">
        <v>0</v>
      </c>
      <c r="H13979" s="1" t="s">
        <v>0</v>
      </c>
      <c r="I13979" s="2">
        <v>0</v>
      </c>
      <c r="J13979" s="1">
        <v>46062.484317129631</v>
      </c>
    </row>
    <row r="13980" spans="1:10" x14ac:dyDescent="0.2">
      <c r="A13980" s="4" t="s">
        <v>1</v>
      </c>
      <c r="B13980" s="3" t="str">
        <f>HYPERLINK("https://otsuka-europe-crm.veevavault.com/ui/#object/approved_document__v/V5O00000000O004", "LUP - Congreso EAS- SER 2026 - nefro")</f>
        <v>LUP - Congreso EAS- SER 2026 - nefro</v>
      </c>
      <c r="C13980" s="3" t="str">
        <f>HYPERLINK("https://otsuka-europe-crm.veevavault.com/ui/#object/sent_email__v/VBL00000001C201", "SE-001403398")</f>
        <v>SE-001403398</v>
      </c>
      <c r="D13980" s="1" t="s">
        <v>0</v>
      </c>
      <c r="E13980" s="2">
        <v>0</v>
      </c>
      <c r="F13980" s="2">
        <v>0</v>
      </c>
      <c r="G13980" s="2">
        <v>0</v>
      </c>
      <c r="H13980" s="1" t="s">
        <v>0</v>
      </c>
      <c r="I13980" s="2">
        <v>0</v>
      </c>
      <c r="J13980" s="1">
        <v>46062.484479166669</v>
      </c>
    </row>
    <row r="13981" spans="1:10" x14ac:dyDescent="0.2">
      <c r="A13981" s="4" t="s">
        <v>1</v>
      </c>
      <c r="B13981" s="3" t="str">
        <f>HYPERLINK("https://otsuka-europe-crm.veevavault.com/ui/#object/approved_document__v/V5O00000000O004", "LUP - Congreso EAS- SER 2026 - nefro")</f>
        <v>LUP - Congreso EAS- SER 2026 - nefro</v>
      </c>
      <c r="C13981" s="3" t="str">
        <f>HYPERLINK("https://otsuka-europe-crm.veevavault.com/ui/#object/sent_email__v/VBL00000001C202", "SE-001403399")</f>
        <v>SE-001403399</v>
      </c>
      <c r="D13981" s="1" t="s">
        <v>0</v>
      </c>
      <c r="E13981" s="2">
        <v>0</v>
      </c>
      <c r="F13981" s="2">
        <v>0</v>
      </c>
      <c r="G13981" s="2">
        <v>0</v>
      </c>
      <c r="H13981" s="1" t="s">
        <v>0</v>
      </c>
      <c r="I13981" s="2">
        <v>0</v>
      </c>
      <c r="J13981" s="1">
        <v>46062.484664351854</v>
      </c>
    </row>
    <row r="13982" spans="1:10" x14ac:dyDescent="0.2">
      <c r="A13982" s="4" t="s">
        <v>1</v>
      </c>
      <c r="B13982" s="3" t="str">
        <f>HYPERLINK("https://otsuka-europe-crm.veevavault.com/ui/#object/approved_document__v/V5O00000000O004", "LUP - Congreso EAS- SER 2026 - nefro")</f>
        <v>LUP - Congreso EAS- SER 2026 - nefro</v>
      </c>
      <c r="C13982" s="3" t="str">
        <f>HYPERLINK("https://otsuka-europe-crm.veevavault.com/ui/#object/sent_email__v/VBL00000001C203", "SE-001403400")</f>
        <v>SE-001403400</v>
      </c>
      <c r="D13982" s="1" t="s">
        <v>0</v>
      </c>
      <c r="E13982" s="2">
        <v>0</v>
      </c>
      <c r="F13982" s="2">
        <v>0</v>
      </c>
      <c r="G13982" s="2">
        <v>0</v>
      </c>
      <c r="H13982" s="1" t="s">
        <v>0</v>
      </c>
      <c r="I13982" s="2">
        <v>0</v>
      </c>
      <c r="J13982" s="1">
        <v>46062.484826388885</v>
      </c>
    </row>
    <row r="13983" spans="1:10" x14ac:dyDescent="0.2">
      <c r="A13983" s="4" t="s">
        <v>1</v>
      </c>
      <c r="B13983" s="3" t="str">
        <f>HYPERLINK("https://otsuka-europe-crm.veevavault.com/ui/#object/approved_document__v/V5O00000000O004", "LUP - Congreso EAS- SER 2026 - nefro")</f>
        <v>LUP - Congreso EAS- SER 2026 - nefro</v>
      </c>
      <c r="C13983" s="3" t="str">
        <f>HYPERLINK("https://otsuka-europe-crm.veevavault.com/ui/#object/sent_email__v/VBL00000001C204", "SE-001403401")</f>
        <v>SE-001403401</v>
      </c>
      <c r="D13983" s="1">
        <v>46062.485138888886</v>
      </c>
      <c r="E13983" s="2">
        <v>1</v>
      </c>
      <c r="F13983" s="2">
        <v>2</v>
      </c>
      <c r="G13983" s="2">
        <v>1</v>
      </c>
      <c r="H13983" s="1">
        <v>46062.485115740739</v>
      </c>
      <c r="I13983" s="2">
        <v>6</v>
      </c>
      <c r="J13983" s="1">
        <v>46062.484976851854</v>
      </c>
    </row>
    <row r="13984" spans="1:10" x14ac:dyDescent="0.2">
      <c r="A13984" s="4" t="s">
        <v>1</v>
      </c>
      <c r="B13984" s="3" t="str">
        <f>HYPERLINK("https://otsuka-europe-crm.veevavault.com/ui/#object/approved_document__v/V5O00000000O004", "LUP - Congreso EAS- SER 2026 - nefro")</f>
        <v>LUP - Congreso EAS- SER 2026 - nefro</v>
      </c>
      <c r="C13984" s="3" t="str">
        <f>HYPERLINK("https://otsuka-europe-crm.veevavault.com/ui/#object/sent_email__v/VBL00000001C205", "SE-001403402")</f>
        <v>SE-001403402</v>
      </c>
      <c r="D13984" s="1">
        <v>46062.486724537041</v>
      </c>
      <c r="E13984" s="2">
        <v>1</v>
      </c>
      <c r="F13984" s="2">
        <v>1</v>
      </c>
      <c r="G13984" s="2">
        <v>0</v>
      </c>
      <c r="H13984" s="1" t="s">
        <v>0</v>
      </c>
      <c r="I13984" s="2">
        <v>0</v>
      </c>
      <c r="J13984" s="1">
        <v>46062.485185185185</v>
      </c>
    </row>
    <row r="13985" spans="1:10" x14ac:dyDescent="0.2">
      <c r="A13985" s="4" t="s">
        <v>1</v>
      </c>
      <c r="B13985" s="3" t="str">
        <f>HYPERLINK("https://otsuka-europe-crm.veevavault.com/ui/#object/approved_document__v/V5O00000000O004", "LUP - Congreso EAS- SER 2026 - nefro")</f>
        <v>LUP - Congreso EAS- SER 2026 - nefro</v>
      </c>
      <c r="C13985" s="3" t="str">
        <f>HYPERLINK("https://otsuka-europe-crm.veevavault.com/ui/#object/sent_email__v/VBL00000001C206", "SE-001403403")</f>
        <v>SE-001403403</v>
      </c>
      <c r="D13985" s="1">
        <v>46062.811331018522</v>
      </c>
      <c r="E13985" s="2">
        <v>1</v>
      </c>
      <c r="F13985" s="2">
        <v>2</v>
      </c>
      <c r="G13985" s="2">
        <v>0</v>
      </c>
      <c r="H13985" s="1" t="s">
        <v>0</v>
      </c>
      <c r="I13985" s="2">
        <v>0</v>
      </c>
      <c r="J13985" s="1">
        <v>46062.485451388886</v>
      </c>
    </row>
    <row r="13986" spans="1:10" x14ac:dyDescent="0.2">
      <c r="A13986" s="4" t="s">
        <v>1</v>
      </c>
      <c r="B13986" s="3" t="str">
        <f>HYPERLINK("https://otsuka-europe-crm.veevavault.com/ui/#object/approved_document__v/V5O00000000O004", "LUP - Congreso EAS- SER 2026 - nefro")</f>
        <v>LUP - Congreso EAS- SER 2026 - nefro</v>
      </c>
      <c r="C13986" s="3" t="str">
        <f>HYPERLINK("https://otsuka-europe-crm.veevavault.com/ui/#object/sent_email__v/VBL00000001C207", "SE-001403404")</f>
        <v>SE-001403404</v>
      </c>
      <c r="D13986" s="1">
        <v>46063.997708333336</v>
      </c>
      <c r="E13986" s="2">
        <v>1</v>
      </c>
      <c r="F13986" s="2">
        <v>2</v>
      </c>
      <c r="G13986" s="2">
        <v>0</v>
      </c>
      <c r="H13986" s="1" t="s">
        <v>0</v>
      </c>
      <c r="I13986" s="2">
        <v>0</v>
      </c>
      <c r="J13986" s="1">
        <v>46062.485717592594</v>
      </c>
    </row>
    <row r="13987" spans="1:10" x14ac:dyDescent="0.2">
      <c r="A13987" s="4" t="s">
        <v>1</v>
      </c>
      <c r="B13987" s="3" t="str">
        <f>HYPERLINK("https://otsuka-europe-crm.veevavault.com/ui/#object/approved_document__v/V5O00000000O004", "LUP - Congreso EAS- SER 2026 - nefro")</f>
        <v>LUP - Congreso EAS- SER 2026 - nefro</v>
      </c>
      <c r="C13987" s="3" t="str">
        <f>HYPERLINK("https://otsuka-europe-crm.veevavault.com/ui/#object/sent_email__v/VBL00000001C208", "SE-001403405")</f>
        <v>SE-001403405</v>
      </c>
      <c r="D13987" s="1">
        <v>46062.505277777775</v>
      </c>
      <c r="E13987" s="2">
        <v>1</v>
      </c>
      <c r="F13987" s="2">
        <v>1</v>
      </c>
      <c r="G13987" s="2">
        <v>0</v>
      </c>
      <c r="H13987" s="1" t="s">
        <v>0</v>
      </c>
      <c r="I13987" s="2">
        <v>0</v>
      </c>
      <c r="J13987" s="1">
        <v>46062.485949074071</v>
      </c>
    </row>
    <row r="13988" spans="1:10" x14ac:dyDescent="0.2">
      <c r="A13988" s="4" t="s">
        <v>1</v>
      </c>
      <c r="B13988" s="3" t="str">
        <f>HYPERLINK("https://otsuka-europe-crm.veevavault.com/ui/#object/approved_document__v/V5O00000000O004", "LUP - Congreso EAS- SER 2026 - nefro")</f>
        <v>LUP - Congreso EAS- SER 2026 - nefro</v>
      </c>
      <c r="C13988" s="3" t="str">
        <f>HYPERLINK("https://otsuka-europe-crm.veevavault.com/ui/#object/sent_email__v/VBL00000001C209", "SE-001403406")</f>
        <v>SE-001403406</v>
      </c>
      <c r="D13988" s="1">
        <v>46075.896666666667</v>
      </c>
      <c r="E13988" s="2">
        <v>1</v>
      </c>
      <c r="F13988" s="2">
        <v>2</v>
      </c>
      <c r="G13988" s="2">
        <v>0</v>
      </c>
      <c r="H13988" s="1" t="s">
        <v>0</v>
      </c>
      <c r="I13988" s="2">
        <v>0</v>
      </c>
      <c r="J13988" s="1">
        <v>46062.486192129632</v>
      </c>
    </row>
    <row r="13989" spans="1:10" x14ac:dyDescent="0.2">
      <c r="A13989" s="4" t="s">
        <v>1</v>
      </c>
      <c r="B13989" s="3" t="str">
        <f>HYPERLINK("https://otsuka-europe-crm.veevavault.com/ui/#object/approved_document__v/V5O00000000O004", "LUP - Congreso EAS- SER 2026 - nefro")</f>
        <v>LUP - Congreso EAS- SER 2026 - nefro</v>
      </c>
      <c r="C13989" s="3" t="str">
        <f>HYPERLINK("https://otsuka-europe-crm.veevavault.com/ui/#object/sent_email__v/VBL00000001C210", "SE-001403407")</f>
        <v>SE-001403407</v>
      </c>
      <c r="D13989" s="1" t="s">
        <v>0</v>
      </c>
      <c r="E13989" s="2">
        <v>0</v>
      </c>
      <c r="F13989" s="2">
        <v>0</v>
      </c>
      <c r="G13989" s="2">
        <v>0</v>
      </c>
      <c r="H13989" s="1" t="s">
        <v>0</v>
      </c>
      <c r="I13989" s="2">
        <v>0</v>
      </c>
      <c r="J13989" s="1">
        <v>46062.486377314817</v>
      </c>
    </row>
    <row r="13990" spans="1:10" x14ac:dyDescent="0.2">
      <c r="A13990" s="4" t="s">
        <v>1</v>
      </c>
      <c r="B13990" s="3" t="str">
        <f>HYPERLINK("https://otsuka-europe-crm.veevavault.com/ui/#object/approved_document__v/V5O00000000O004", "LUP - Congreso EAS- SER 2026 - nefro")</f>
        <v>LUP - Congreso EAS- SER 2026 - nefro</v>
      </c>
      <c r="C13990" s="3" t="str">
        <f>HYPERLINK("https://otsuka-europe-crm.veevavault.com/ui/#object/sent_email__v/VBL00000001C211", "SE-001403408")</f>
        <v>SE-001403408</v>
      </c>
      <c r="D13990" s="1" t="s">
        <v>0</v>
      </c>
      <c r="E13990" s="2">
        <v>0</v>
      </c>
      <c r="F13990" s="2">
        <v>0</v>
      </c>
      <c r="G13990" s="2">
        <v>0</v>
      </c>
      <c r="H13990" s="1" t="s">
        <v>0</v>
      </c>
      <c r="I13990" s="2">
        <v>0</v>
      </c>
      <c r="J13990" s="1">
        <v>46062.486585648148</v>
      </c>
    </row>
    <row r="13991" spans="1:10" x14ac:dyDescent="0.2">
      <c r="A13991" s="4" t="s">
        <v>1</v>
      </c>
      <c r="B13991" s="3" t="str">
        <f>HYPERLINK("https://otsuka-europe-crm.veevavault.com/ui/#object/approved_document__v/V5O00000000O004", "LUP - Congreso EAS- SER 2026 - nefro")</f>
        <v>LUP - Congreso EAS- SER 2026 - nefro</v>
      </c>
      <c r="C13991" s="3" t="str">
        <f>HYPERLINK("https://otsuka-europe-crm.veevavault.com/ui/#object/sent_email__v/VBL00000001C212", "SE-001403409")</f>
        <v>SE-001403409</v>
      </c>
      <c r="D13991" s="1">
        <v>46062.486944444441</v>
      </c>
      <c r="E13991" s="2">
        <v>1</v>
      </c>
      <c r="F13991" s="2">
        <v>2</v>
      </c>
      <c r="G13991" s="2">
        <v>0</v>
      </c>
      <c r="H13991" s="1" t="s">
        <v>0</v>
      </c>
      <c r="I13991" s="2">
        <v>0</v>
      </c>
      <c r="J13991" s="1">
        <v>46062.486828703702</v>
      </c>
    </row>
    <row r="13992" spans="1:10" x14ac:dyDescent="0.2">
      <c r="A13992" s="4" t="s">
        <v>1</v>
      </c>
      <c r="B13992" s="3" t="str">
        <f>HYPERLINK("https://otsuka-europe-crm.veevavault.com/ui/#object/approved_document__v/V5O00000000O004", "LUP - Congreso EAS- SER 2026 - nefro")</f>
        <v>LUP - Congreso EAS- SER 2026 - nefro</v>
      </c>
      <c r="C13992" s="3" t="str">
        <f>HYPERLINK("https://otsuka-europe-crm.veevavault.com/ui/#object/sent_email__v/VBL00000001C213", "SE-001403410")</f>
        <v>SE-001403410</v>
      </c>
      <c r="D13992" s="1" t="s">
        <v>0</v>
      </c>
      <c r="E13992" s="2">
        <v>0</v>
      </c>
      <c r="F13992" s="2">
        <v>0</v>
      </c>
      <c r="G13992" s="2">
        <v>0</v>
      </c>
      <c r="H13992" s="1" t="s">
        <v>0</v>
      </c>
      <c r="I13992" s="2">
        <v>0</v>
      </c>
      <c r="J13992" s="1">
        <v>46062.487060185187</v>
      </c>
    </row>
    <row r="13993" spans="1:10" x14ac:dyDescent="0.2">
      <c r="A13993" s="4" t="s">
        <v>1</v>
      </c>
      <c r="B13993" s="3" t="str">
        <f>HYPERLINK("https://otsuka-europe-crm.veevavault.com/ui/#object/approved_document__v/V5O00000000O004", "LUP - Congreso EAS- SER 2026 - nefro")</f>
        <v>LUP - Congreso EAS- SER 2026 - nefro</v>
      </c>
      <c r="C13993" s="3" t="str">
        <f>HYPERLINK("https://otsuka-europe-crm.veevavault.com/ui/#object/sent_email__v/VBL00000001C214", "SE-001403411")</f>
        <v>SE-001403411</v>
      </c>
      <c r="D13993" s="1" t="s">
        <v>0</v>
      </c>
      <c r="E13993" s="2">
        <v>0</v>
      </c>
      <c r="F13993" s="2">
        <v>0</v>
      </c>
      <c r="G13993" s="2">
        <v>0</v>
      </c>
      <c r="H13993" s="1" t="s">
        <v>0</v>
      </c>
      <c r="I13993" s="2">
        <v>0</v>
      </c>
      <c r="J13993" s="1">
        <v>46062.487245370372</v>
      </c>
    </row>
    <row r="13994" spans="1:10" x14ac:dyDescent="0.2">
      <c r="A13994" s="4" t="s">
        <v>1</v>
      </c>
      <c r="B13994" s="3" t="str">
        <f>HYPERLINK("https://otsuka-europe-crm.veevavault.com/ui/#object/approved_document__v/V5O00000000O004", "LUP - Congreso EAS- SER 2026 - nefro")</f>
        <v>LUP - Congreso EAS- SER 2026 - nefro</v>
      </c>
      <c r="C13994" s="3" t="str">
        <f>HYPERLINK("https://otsuka-europe-crm.veevavault.com/ui/#object/sent_email__v/VBL00000001C215", "SE-001403412")</f>
        <v>SE-001403412</v>
      </c>
      <c r="D13994" s="1">
        <v>46062.541192129633</v>
      </c>
      <c r="E13994" s="2">
        <v>1</v>
      </c>
      <c r="F13994" s="2">
        <v>1</v>
      </c>
      <c r="G13994" s="2">
        <v>0</v>
      </c>
      <c r="H13994" s="1" t="s">
        <v>0</v>
      </c>
      <c r="I13994" s="2">
        <v>0</v>
      </c>
      <c r="J13994" s="1">
        <v>46062.487442129626</v>
      </c>
    </row>
    <row r="13995" spans="1:10" x14ac:dyDescent="0.2">
      <c r="A13995" s="4" t="s">
        <v>1</v>
      </c>
      <c r="B13995" s="3" t="str">
        <f>HYPERLINK("https://otsuka-europe-crm.veevavault.com/ui/#object/approved_document__v/V5O00000000O004", "LUP - Congreso EAS- SER 2026 - nefro")</f>
        <v>LUP - Congreso EAS- SER 2026 - nefro</v>
      </c>
      <c r="C13995" s="3" t="str">
        <f>HYPERLINK("https://otsuka-europe-crm.veevavault.com/ui/#object/sent_email__v/VBL00000001C216", "SE-001403413")</f>
        <v>SE-001403413</v>
      </c>
      <c r="D13995" s="1">
        <v>46062.684166666666</v>
      </c>
      <c r="E13995" s="2">
        <v>1</v>
      </c>
      <c r="F13995" s="2">
        <v>1</v>
      </c>
      <c r="G13995" s="2">
        <v>0</v>
      </c>
      <c r="H13995" s="1" t="s">
        <v>0</v>
      </c>
      <c r="I13995" s="2">
        <v>0</v>
      </c>
      <c r="J13995" s="1">
        <v>46062.487604166665</v>
      </c>
    </row>
    <row r="13996" spans="1:10" x14ac:dyDescent="0.2">
      <c r="A13996" s="4" t="s">
        <v>1</v>
      </c>
      <c r="B13996" s="3" t="str">
        <f>HYPERLINK("https://otsuka-europe-crm.veevavault.com/ui/#object/approved_document__v/V5O00000000O004", "LUP - Congreso EAS- SER 2026 - nefro")</f>
        <v>LUP - Congreso EAS- SER 2026 - nefro</v>
      </c>
      <c r="C13996" s="3" t="str">
        <f>HYPERLINK("https://otsuka-europe-crm.veevavault.com/ui/#object/sent_email__v/VBL00000001C217", "SE-001403414")</f>
        <v>SE-001403414</v>
      </c>
      <c r="D13996" s="1">
        <v>46074.303437499999</v>
      </c>
      <c r="E13996" s="2">
        <v>1</v>
      </c>
      <c r="F13996" s="2">
        <v>4</v>
      </c>
      <c r="G13996" s="2">
        <v>0</v>
      </c>
      <c r="H13996" s="1" t="s">
        <v>0</v>
      </c>
      <c r="I13996" s="2">
        <v>0</v>
      </c>
      <c r="J13996" s="1">
        <v>46062.48778935185</v>
      </c>
    </row>
    <row r="13997" spans="1:10" x14ac:dyDescent="0.2">
      <c r="A13997" s="4" t="s">
        <v>1</v>
      </c>
      <c r="B13997" s="3" t="str">
        <f>HYPERLINK("https://otsuka-europe-crm.veevavault.com/ui/#object/approved_document__v/V5O00000000O004", "LUP - Congreso EAS- SER 2026 - nefro")</f>
        <v>LUP - Congreso EAS- SER 2026 - nefro</v>
      </c>
      <c r="C13997" s="3" t="str">
        <f>HYPERLINK("https://otsuka-europe-crm.veevavault.com/ui/#object/sent_email__v/VBL00000001C218", "SE-001403415")</f>
        <v>SE-001403415</v>
      </c>
      <c r="D13997" s="1" t="s">
        <v>0</v>
      </c>
      <c r="E13997" s="2">
        <v>0</v>
      </c>
      <c r="F13997" s="2">
        <v>0</v>
      </c>
      <c r="G13997" s="2">
        <v>0</v>
      </c>
      <c r="H13997" s="1" t="s">
        <v>0</v>
      </c>
      <c r="I13997" s="2">
        <v>0</v>
      </c>
      <c r="J13997" s="1">
        <v>46062.487939814811</v>
      </c>
    </row>
    <row r="13998" spans="1:10" x14ac:dyDescent="0.2">
      <c r="A13998" s="4" t="s">
        <v>1</v>
      </c>
      <c r="B13998" s="3" t="str">
        <f>HYPERLINK("https://otsuka-europe-crm.veevavault.com/ui/#object/approved_document__v/V5O00000000O004", "LUP - Congreso EAS- SER 2026 - nefro")</f>
        <v>LUP - Congreso EAS- SER 2026 - nefro</v>
      </c>
      <c r="C13998" s="3" t="str">
        <f>HYPERLINK("https://otsuka-europe-crm.veevavault.com/ui/#object/sent_email__v/VBL00000001C219", "SE-001403416")</f>
        <v>SE-001403416</v>
      </c>
      <c r="D13998" s="1">
        <v>46062.645937499998</v>
      </c>
      <c r="E13998" s="2">
        <v>1</v>
      </c>
      <c r="F13998" s="2">
        <v>2</v>
      </c>
      <c r="G13998" s="2">
        <v>0</v>
      </c>
      <c r="H13998" s="1" t="s">
        <v>0</v>
      </c>
      <c r="I13998" s="2">
        <v>0</v>
      </c>
      <c r="J13998" s="1">
        <v>46062.488113425927</v>
      </c>
    </row>
    <row r="13999" spans="1:10" x14ac:dyDescent="0.2">
      <c r="A13999" s="4" t="s">
        <v>1</v>
      </c>
      <c r="B13999" s="3" t="str">
        <f>HYPERLINK("https://otsuka-europe-crm.veevavault.com/ui/#object/approved_document__v/V5O00000000O004", "LUP - Congreso EAS- SER 2026 - nefro")</f>
        <v>LUP - Congreso EAS- SER 2026 - nefro</v>
      </c>
      <c r="C13999" s="3" t="str">
        <f>HYPERLINK("https://otsuka-europe-crm.veevavault.com/ui/#object/sent_email__v/VBL00000001C220", "SE-001403417")</f>
        <v>SE-001403417</v>
      </c>
      <c r="D13999" s="1" t="s">
        <v>0</v>
      </c>
      <c r="E13999" s="2">
        <v>0</v>
      </c>
      <c r="F13999" s="2">
        <v>0</v>
      </c>
      <c r="G13999" s="2">
        <v>0</v>
      </c>
      <c r="H13999" s="1" t="s">
        <v>0</v>
      </c>
      <c r="I13999" s="2">
        <v>0</v>
      </c>
      <c r="J13999" s="1">
        <v>46062.488287037035</v>
      </c>
    </row>
    <row r="14000" spans="1:10" x14ac:dyDescent="0.2">
      <c r="A14000" s="4" t="s">
        <v>1</v>
      </c>
      <c r="B14000" s="3" t="str">
        <f>HYPERLINK("https://otsuka-europe-crm.veevavault.com/ui/#object/approved_document__v/V5O00000000O004", "LUP - Congreso EAS- SER 2026 - nefro")</f>
        <v>LUP - Congreso EAS- SER 2026 - nefro</v>
      </c>
      <c r="C14000" s="3" t="str">
        <f>HYPERLINK("https://otsuka-europe-crm.veevavault.com/ui/#object/sent_email__v/VBL00000001C221", "SE-001403418")</f>
        <v>SE-001403418</v>
      </c>
      <c r="D14000" s="1">
        <v>46062.603703703702</v>
      </c>
      <c r="E14000" s="2">
        <v>1</v>
      </c>
      <c r="F14000" s="2">
        <v>1</v>
      </c>
      <c r="G14000" s="2">
        <v>0</v>
      </c>
      <c r="H14000" s="1" t="s">
        <v>0</v>
      </c>
      <c r="I14000" s="2">
        <v>0</v>
      </c>
      <c r="J14000" s="1">
        <v>46062.48846064815</v>
      </c>
    </row>
    <row r="14001" spans="1:10" x14ac:dyDescent="0.2">
      <c r="A14001" s="4" t="s">
        <v>1</v>
      </c>
      <c r="B14001" s="3" t="str">
        <f>HYPERLINK("https://otsuka-europe-crm.veevavault.com/ui/#object/approved_document__v/V5O00000000O004", "LUP - Congreso EAS- SER 2026 - nefro")</f>
        <v>LUP - Congreso EAS- SER 2026 - nefro</v>
      </c>
      <c r="C14001" s="3" t="str">
        <f>HYPERLINK("https://otsuka-europe-crm.veevavault.com/ui/#object/sent_email__v/VBL00000001C222", "SE-001403419")</f>
        <v>SE-001403419</v>
      </c>
      <c r="D14001" s="1" t="s">
        <v>0</v>
      </c>
      <c r="E14001" s="2">
        <v>0</v>
      </c>
      <c r="F14001" s="2">
        <v>0</v>
      </c>
      <c r="G14001" s="2">
        <v>0</v>
      </c>
      <c r="H14001" s="1" t="s">
        <v>0</v>
      </c>
      <c r="I14001" s="2">
        <v>0</v>
      </c>
      <c r="J14001" s="1">
        <v>46062.488622685189</v>
      </c>
    </row>
    <row r="14002" spans="1:10" x14ac:dyDescent="0.2">
      <c r="A14002" s="4" t="s">
        <v>1</v>
      </c>
      <c r="B14002" s="3" t="str">
        <f>HYPERLINK("https://otsuka-europe-crm.veevavault.com/ui/#object/approved_document__v/V5O00000000O004", "LUP - Congreso EAS- SER 2026 - nefro")</f>
        <v>LUP - Congreso EAS- SER 2026 - nefro</v>
      </c>
      <c r="C14002" s="3" t="str">
        <f>HYPERLINK("https://otsuka-europe-crm.veevavault.com/ui/#object/sent_email__v/VBL00000001C223", "SE-001403420")</f>
        <v>SE-001403420</v>
      </c>
      <c r="D14002" s="1" t="s">
        <v>0</v>
      </c>
      <c r="E14002" s="2">
        <v>0</v>
      </c>
      <c r="F14002" s="2">
        <v>0</v>
      </c>
      <c r="G14002" s="2">
        <v>0</v>
      </c>
      <c r="H14002" s="1" t="s">
        <v>0</v>
      </c>
      <c r="I14002" s="2">
        <v>0</v>
      </c>
      <c r="J14002" s="1">
        <v>46062.488796296297</v>
      </c>
    </row>
    <row r="14003" spans="1:10" x14ac:dyDescent="0.2">
      <c r="A14003" s="4" t="s">
        <v>1</v>
      </c>
      <c r="B14003" s="3" t="str">
        <f>HYPERLINK("https://otsuka-europe-crm.veevavault.com/ui/#object/approved_document__v/V5O00000000O004", "LUP - Congreso EAS- SER 2026 - nefro")</f>
        <v>LUP - Congreso EAS- SER 2026 - nefro</v>
      </c>
      <c r="C14003" s="3" t="str">
        <f>HYPERLINK("https://otsuka-europe-crm.veevavault.com/ui/#object/sent_email__v/VBL00000001C224", "SE-001403421")</f>
        <v>SE-001403421</v>
      </c>
      <c r="D14003" s="1">
        <v>46062.921759259261</v>
      </c>
      <c r="E14003" s="2">
        <v>1</v>
      </c>
      <c r="F14003" s="2">
        <v>1</v>
      </c>
      <c r="G14003" s="2">
        <v>0</v>
      </c>
      <c r="H14003" s="1" t="s">
        <v>0</v>
      </c>
      <c r="I14003" s="2">
        <v>0</v>
      </c>
      <c r="J14003" s="1">
        <v>46062.488958333335</v>
      </c>
    </row>
    <row r="14004" spans="1:10" x14ac:dyDescent="0.2">
      <c r="A14004" s="4" t="s">
        <v>1</v>
      </c>
      <c r="B14004" s="3" t="str">
        <f>HYPERLINK("https://otsuka-europe-crm.veevavault.com/ui/#object/approved_document__v/V5O00000000O004", "LUP - Congreso EAS- SER 2026 - nefro")</f>
        <v>LUP - Congreso EAS- SER 2026 - nefro</v>
      </c>
      <c r="C14004" s="3" t="str">
        <f>HYPERLINK("https://otsuka-europe-crm.veevavault.com/ui/#object/sent_email__v/VBL00000001C225", "SE-001403422")</f>
        <v>SE-001403422</v>
      </c>
      <c r="D14004" s="1" t="s">
        <v>0</v>
      </c>
      <c r="E14004" s="2">
        <v>0</v>
      </c>
      <c r="F14004" s="2">
        <v>0</v>
      </c>
      <c r="G14004" s="2">
        <v>0</v>
      </c>
      <c r="H14004" s="1" t="s">
        <v>0</v>
      </c>
      <c r="I14004" s="2">
        <v>0</v>
      </c>
      <c r="J14004" s="1">
        <v>46062.489131944443</v>
      </c>
    </row>
    <row r="14005" spans="1:10" x14ac:dyDescent="0.2">
      <c r="A14005" s="4" t="s">
        <v>1</v>
      </c>
      <c r="B14005" s="3" t="str">
        <f>HYPERLINK("https://otsuka-europe-crm.veevavault.com/ui/#object/approved_document__v/V5O00000000O004", "LUP - Congreso EAS- SER 2026 - nefro")</f>
        <v>LUP - Congreso EAS- SER 2026 - nefro</v>
      </c>
      <c r="C14005" s="3" t="str">
        <f>HYPERLINK("https://otsuka-europe-crm.veevavault.com/ui/#object/sent_email__v/VBL00000001C226", "SE-001403423")</f>
        <v>SE-001403423</v>
      </c>
      <c r="D14005" s="1" t="s">
        <v>0</v>
      </c>
      <c r="E14005" s="2">
        <v>0</v>
      </c>
      <c r="F14005" s="2">
        <v>0</v>
      </c>
      <c r="G14005" s="2">
        <v>0</v>
      </c>
      <c r="H14005" s="1" t="s">
        <v>0</v>
      </c>
      <c r="I14005" s="2">
        <v>0</v>
      </c>
      <c r="J14005" s="1">
        <v>46062.489293981482</v>
      </c>
    </row>
    <row r="14006" spans="1:10" x14ac:dyDescent="0.2">
      <c r="A14006" s="4" t="s">
        <v>1</v>
      </c>
      <c r="B14006" s="3" t="str">
        <f>HYPERLINK("https://otsuka-europe-crm.veevavault.com/ui/#object/approved_document__v/V5O00000000O004", "LUP - Congreso EAS- SER 2026 - nefro")</f>
        <v>LUP - Congreso EAS- SER 2026 - nefro</v>
      </c>
      <c r="C14006" s="3" t="str">
        <f>HYPERLINK("https://otsuka-europe-crm.veevavault.com/ui/#object/sent_email__v/VBL00000001C227", "SE-001403424")</f>
        <v>SE-001403424</v>
      </c>
      <c r="D14006" s="1" t="s">
        <v>0</v>
      </c>
      <c r="E14006" s="2">
        <v>0</v>
      </c>
      <c r="F14006" s="2">
        <v>0</v>
      </c>
      <c r="G14006" s="2">
        <v>0</v>
      </c>
      <c r="H14006" s="1" t="s">
        <v>0</v>
      </c>
      <c r="I14006" s="2">
        <v>0</v>
      </c>
      <c r="J14006" s="1">
        <v>46062.48945601852</v>
      </c>
    </row>
    <row r="14007" spans="1:10" x14ac:dyDescent="0.2">
      <c r="A14007" s="4" t="s">
        <v>1</v>
      </c>
      <c r="B14007" s="3" t="str">
        <f>HYPERLINK("https://otsuka-europe-crm.veevavault.com/ui/#object/approved_document__v/V5O00000000O004", "LUP - Congreso EAS- SER 2026 - nefro")</f>
        <v>LUP - Congreso EAS- SER 2026 - nefro</v>
      </c>
      <c r="C14007" s="3" t="str">
        <f>HYPERLINK("https://otsuka-europe-crm.veevavault.com/ui/#object/sent_email__v/VBL00000001C228", "SE-001403425")</f>
        <v>SE-001403425</v>
      </c>
      <c r="D14007" s="1" t="s">
        <v>0</v>
      </c>
      <c r="E14007" s="2">
        <v>0</v>
      </c>
      <c r="F14007" s="2">
        <v>0</v>
      </c>
      <c r="G14007" s="2">
        <v>0</v>
      </c>
      <c r="H14007" s="1" t="s">
        <v>0</v>
      </c>
      <c r="I14007" s="2">
        <v>0</v>
      </c>
      <c r="J14007" s="1">
        <v>46062.489652777775</v>
      </c>
    </row>
    <row r="14008" spans="1:10" x14ac:dyDescent="0.2">
      <c r="A14008" s="4" t="s">
        <v>1</v>
      </c>
      <c r="B14008" s="3" t="str">
        <f>HYPERLINK("https://otsuka-europe-crm.veevavault.com/ui/#object/approved_document__v/V5O00000000O004", "LUP - Congreso EAS- SER 2026 - nefro")</f>
        <v>LUP - Congreso EAS- SER 2026 - nefro</v>
      </c>
      <c r="C14008" s="3" t="str">
        <f>HYPERLINK("https://otsuka-europe-crm.veevavault.com/ui/#object/sent_email__v/VBL00000001C229", "SE-001403426")</f>
        <v>SE-001403426</v>
      </c>
      <c r="D14008" s="1">
        <v>46062.783101851855</v>
      </c>
      <c r="E14008" s="2">
        <v>1</v>
      </c>
      <c r="F14008" s="2">
        <v>1</v>
      </c>
      <c r="G14008" s="2">
        <v>0</v>
      </c>
      <c r="H14008" s="1" t="s">
        <v>0</v>
      </c>
      <c r="I14008" s="2">
        <v>0</v>
      </c>
      <c r="J14008" s="1">
        <v>46062.489837962959</v>
      </c>
    </row>
    <row r="14009" spans="1:10" x14ac:dyDescent="0.2">
      <c r="A14009" s="4" t="s">
        <v>1</v>
      </c>
      <c r="B14009" s="3" t="str">
        <f>HYPERLINK("https://otsuka-europe-crm.veevavault.com/ui/#object/approved_document__v/V5O00000000O004", "LUP - Congreso EAS- SER 2026 - nefro")</f>
        <v>LUP - Congreso EAS- SER 2026 - nefro</v>
      </c>
      <c r="C14009" s="3" t="str">
        <f>HYPERLINK("https://otsuka-europe-crm.veevavault.com/ui/#object/sent_email__v/VBL00000001C230", "SE-001403427")</f>
        <v>SE-001403427</v>
      </c>
      <c r="D14009" s="1">
        <v>46062.648402777777</v>
      </c>
      <c r="E14009" s="2">
        <v>1</v>
      </c>
      <c r="F14009" s="2">
        <v>1</v>
      </c>
      <c r="G14009" s="2">
        <v>0</v>
      </c>
      <c r="H14009" s="1" t="s">
        <v>0</v>
      </c>
      <c r="I14009" s="2">
        <v>0</v>
      </c>
      <c r="J14009" s="1">
        <v>46062.489988425928</v>
      </c>
    </row>
    <row r="14010" spans="1:10" x14ac:dyDescent="0.2">
      <c r="A14010" s="4" t="s">
        <v>1</v>
      </c>
      <c r="B14010" s="3" t="str">
        <f>HYPERLINK("https://otsuka-europe-crm.veevavault.com/ui/#object/approved_document__v/V5O00000000O004", "LUP - Congreso EAS- SER 2026 - nefro")</f>
        <v>LUP - Congreso EAS- SER 2026 - nefro</v>
      </c>
      <c r="C14010" s="3" t="str">
        <f>HYPERLINK("https://otsuka-europe-crm.veevavault.com/ui/#object/sent_email__v/VBL00000001C231", "SE-001403428")</f>
        <v>SE-001403428</v>
      </c>
      <c r="D14010" s="1">
        <v>46062.503587962965</v>
      </c>
      <c r="E14010" s="2">
        <v>1</v>
      </c>
      <c r="F14010" s="2">
        <v>1</v>
      </c>
      <c r="G14010" s="2">
        <v>0</v>
      </c>
      <c r="H14010" s="1" t="s">
        <v>0</v>
      </c>
      <c r="I14010" s="2">
        <v>0</v>
      </c>
      <c r="J14010" s="1">
        <v>46062.490162037036</v>
      </c>
    </row>
    <row r="14011" spans="1:10" x14ac:dyDescent="0.2">
      <c r="A14011" s="4" t="s">
        <v>1</v>
      </c>
      <c r="B14011" s="3" t="str">
        <f>HYPERLINK("https://otsuka-europe-crm.veevavault.com/ui/#object/approved_document__v/V5O00000000O004", "LUP - Congreso EAS- SER 2026 - nefro")</f>
        <v>LUP - Congreso EAS- SER 2026 - nefro</v>
      </c>
      <c r="C14011" s="3" t="str">
        <f>HYPERLINK("https://otsuka-europe-crm.veevavault.com/ui/#object/sent_email__v/VBL00000001C232", "SE-001403429")</f>
        <v>SE-001403429</v>
      </c>
      <c r="D14011" s="1" t="s">
        <v>0</v>
      </c>
      <c r="E14011" s="2">
        <v>0</v>
      </c>
      <c r="F14011" s="2">
        <v>0</v>
      </c>
      <c r="G14011" s="2">
        <v>0</v>
      </c>
      <c r="H14011" s="1" t="s">
        <v>0</v>
      </c>
      <c r="I14011" s="2">
        <v>0</v>
      </c>
      <c r="J14011" s="1">
        <v>46062.490324074075</v>
      </c>
    </row>
    <row r="14012" spans="1:10" x14ac:dyDescent="0.2">
      <c r="A14012" s="4" t="s">
        <v>1</v>
      </c>
      <c r="B14012" s="3" t="str">
        <f>HYPERLINK("https://otsuka-europe-crm.veevavault.com/ui/#object/approved_document__v/V5O00000000O004", "LUP - Congreso EAS- SER 2026 - nefro")</f>
        <v>LUP - Congreso EAS- SER 2026 - nefro</v>
      </c>
      <c r="C14012" s="3" t="str">
        <f>HYPERLINK("https://otsuka-europe-crm.veevavault.com/ui/#object/sent_email__v/VBL00000001C233", "SE-001403430")</f>
        <v>SE-001403430</v>
      </c>
      <c r="D14012" s="1">
        <v>46067.489560185182</v>
      </c>
      <c r="E14012" s="2">
        <v>1</v>
      </c>
      <c r="F14012" s="2">
        <v>3</v>
      </c>
      <c r="G14012" s="2">
        <v>0</v>
      </c>
      <c r="H14012" s="1" t="s">
        <v>0</v>
      </c>
      <c r="I14012" s="2">
        <v>0</v>
      </c>
      <c r="J14012" s="1">
        <v>46062.490486111114</v>
      </c>
    </row>
    <row r="14013" spans="1:10" x14ac:dyDescent="0.2">
      <c r="A14013" s="4" t="s">
        <v>1</v>
      </c>
      <c r="B14013" s="3" t="str">
        <f>HYPERLINK("https://otsuka-europe-crm.veevavault.com/ui/#object/approved_document__v/V5O00000000O004", "LUP - Congreso EAS- SER 2026 - nefro")</f>
        <v>LUP - Congreso EAS- SER 2026 - nefro</v>
      </c>
      <c r="C14013" s="3" t="str">
        <f>HYPERLINK("https://otsuka-europe-crm.veevavault.com/ui/#object/sent_email__v/VBL00000001C234", "SE-001403431")</f>
        <v>SE-001403431</v>
      </c>
      <c r="D14013" s="1">
        <v>46074.30746527778</v>
      </c>
      <c r="E14013" s="2">
        <v>1</v>
      </c>
      <c r="F14013" s="2">
        <v>16</v>
      </c>
      <c r="G14013" s="2">
        <v>0</v>
      </c>
      <c r="H14013" s="1" t="s">
        <v>0</v>
      </c>
      <c r="I14013" s="2">
        <v>0</v>
      </c>
      <c r="J14013" s="1">
        <v>46062.490659722222</v>
      </c>
    </row>
    <row r="14014" spans="1:10" x14ac:dyDescent="0.2">
      <c r="A14014" s="4" t="s">
        <v>1</v>
      </c>
      <c r="B14014" s="3" t="str">
        <f>HYPERLINK("https://otsuka-europe-crm.veevavault.com/ui/#object/approved_document__v/V5O00000000O004", "LUP - Congreso EAS- SER 2026 - nefro")</f>
        <v>LUP - Congreso EAS- SER 2026 - nefro</v>
      </c>
      <c r="C14014" s="3" t="str">
        <f>HYPERLINK("https://otsuka-europe-crm.veevavault.com/ui/#object/sent_email__v/VBL00000001C235", "SE-001403432")</f>
        <v>SE-001403432</v>
      </c>
      <c r="D14014" s="1">
        <v>46063.18476851852</v>
      </c>
      <c r="E14014" s="2">
        <v>1</v>
      </c>
      <c r="F14014" s="2">
        <v>1</v>
      </c>
      <c r="G14014" s="2">
        <v>0</v>
      </c>
      <c r="H14014" s="1" t="s">
        <v>0</v>
      </c>
      <c r="I14014" s="2">
        <v>0</v>
      </c>
      <c r="J14014" s="1">
        <v>46062.490833333337</v>
      </c>
    </row>
    <row r="14015" spans="1:10" x14ac:dyDescent="0.2">
      <c r="A14015" s="4" t="s">
        <v>1</v>
      </c>
      <c r="B14015" s="3" t="str">
        <f>HYPERLINK("https://otsuka-europe-crm.veevavault.com/ui/#object/approved_document__v/V5O00000000O004", "LUP - Congreso EAS- SER 2026 - nefro")</f>
        <v>LUP - Congreso EAS- SER 2026 - nefro</v>
      </c>
      <c r="C14015" s="3" t="str">
        <f>HYPERLINK("https://otsuka-europe-crm.veevavault.com/ui/#object/sent_email__v/VBL00000001C236", "SE-001403433")</f>
        <v>SE-001403433</v>
      </c>
      <c r="D14015" s="1" t="s">
        <v>0</v>
      </c>
      <c r="E14015" s="2">
        <v>0</v>
      </c>
      <c r="F14015" s="2">
        <v>0</v>
      </c>
      <c r="G14015" s="2">
        <v>0</v>
      </c>
      <c r="H14015" s="1" t="s">
        <v>0</v>
      </c>
      <c r="I14015" s="2">
        <v>0</v>
      </c>
      <c r="J14015" s="1">
        <v>46062.490995370368</v>
      </c>
    </row>
    <row r="14016" spans="1:10" x14ac:dyDescent="0.2">
      <c r="A14016" s="4" t="s">
        <v>1</v>
      </c>
      <c r="B14016" s="3" t="str">
        <f>HYPERLINK("https://otsuka-europe-crm.veevavault.com/ui/#object/approved_document__v/V5O00000000O004", "LUP - Congreso EAS- SER 2026 - nefro")</f>
        <v>LUP - Congreso EAS- SER 2026 - nefro</v>
      </c>
      <c r="C14016" s="3" t="str">
        <f>HYPERLINK("https://otsuka-europe-crm.veevavault.com/ui/#object/sent_email__v/VBL00000001C237", "SE-001403434")</f>
        <v>SE-001403434</v>
      </c>
      <c r="D14016" s="1">
        <v>46064.956863425927</v>
      </c>
      <c r="E14016" s="2">
        <v>1</v>
      </c>
      <c r="F14016" s="2">
        <v>4</v>
      </c>
      <c r="G14016" s="2">
        <v>0</v>
      </c>
      <c r="H14016" s="1" t="s">
        <v>0</v>
      </c>
      <c r="I14016" s="2">
        <v>0</v>
      </c>
      <c r="J14016" s="1">
        <v>46062.491168981483</v>
      </c>
    </row>
    <row r="14017" spans="1:10" x14ac:dyDescent="0.2">
      <c r="A14017" s="4" t="s">
        <v>1</v>
      </c>
      <c r="B14017" s="3" t="str">
        <f>HYPERLINK("https://otsuka-europe-crm.veevavault.com/ui/#object/approved_document__v/V5O00000000O004", "LUP - Congreso EAS- SER 2026 - nefro")</f>
        <v>LUP - Congreso EAS- SER 2026 - nefro</v>
      </c>
      <c r="C14017" s="3" t="str">
        <f>HYPERLINK("https://otsuka-europe-crm.veevavault.com/ui/#object/sent_email__v/VBL00000001C238", "SE-001403435")</f>
        <v>SE-001403435</v>
      </c>
      <c r="D14017" s="1">
        <v>46062.605879629627</v>
      </c>
      <c r="E14017" s="2">
        <v>1</v>
      </c>
      <c r="F14017" s="2">
        <v>1</v>
      </c>
      <c r="G14017" s="2">
        <v>0</v>
      </c>
      <c r="H14017" s="1" t="s">
        <v>0</v>
      </c>
      <c r="I14017" s="2">
        <v>0</v>
      </c>
      <c r="J14017" s="1">
        <v>46062.491331018522</v>
      </c>
    </row>
    <row r="14018" spans="1:10" x14ac:dyDescent="0.2">
      <c r="A14018" s="4" t="s">
        <v>1</v>
      </c>
      <c r="B14018" s="3" t="str">
        <f>HYPERLINK("https://otsuka-europe-crm.veevavault.com/ui/#object/approved_document__v/V5O00000000O004", "LUP - Congreso EAS- SER 2026 - nefro")</f>
        <v>LUP - Congreso EAS- SER 2026 - nefro</v>
      </c>
      <c r="C14018" s="3" t="str">
        <f>HYPERLINK("https://otsuka-europe-crm.veevavault.com/ui/#object/sent_email__v/VBL00000001C239", "SE-001403436")</f>
        <v>SE-001403436</v>
      </c>
      <c r="D14018" s="1" t="s">
        <v>0</v>
      </c>
      <c r="E14018" s="2">
        <v>0</v>
      </c>
      <c r="F14018" s="2">
        <v>0</v>
      </c>
      <c r="G14018" s="2">
        <v>0</v>
      </c>
      <c r="H14018" s="1" t="s">
        <v>0</v>
      </c>
      <c r="I14018" s="2">
        <v>0</v>
      </c>
      <c r="J14018" s="1">
        <v>46062.491493055553</v>
      </c>
    </row>
    <row r="14019" spans="1:10" x14ac:dyDescent="0.2">
      <c r="A14019" s="4" t="s">
        <v>1</v>
      </c>
      <c r="B14019" s="3" t="str">
        <f>HYPERLINK("https://otsuka-europe-crm.veevavault.com/ui/#object/approved_document__v/V5O00000000O004", "LUP - Congreso EAS- SER 2026 - nefro")</f>
        <v>LUP - Congreso EAS- SER 2026 - nefro</v>
      </c>
      <c r="C14019" s="3" t="str">
        <f>HYPERLINK("https://otsuka-europe-crm.veevavault.com/ui/#object/sent_email__v/VBL00000001C240", "SE-001403437")</f>
        <v>SE-001403437</v>
      </c>
      <c r="D14019" s="1">
        <v>46062.834780092591</v>
      </c>
      <c r="E14019" s="2">
        <v>1</v>
      </c>
      <c r="F14019" s="2">
        <v>1</v>
      </c>
      <c r="G14019" s="2">
        <v>0</v>
      </c>
      <c r="H14019" s="1" t="s">
        <v>0</v>
      </c>
      <c r="I14019" s="2">
        <v>0</v>
      </c>
      <c r="J14019" s="1">
        <v>46062.491666666669</v>
      </c>
    </row>
    <row r="14020" spans="1:10" x14ac:dyDescent="0.2">
      <c r="A14020" s="4" t="s">
        <v>1</v>
      </c>
      <c r="B14020" s="3" t="str">
        <f>HYPERLINK("https://otsuka-europe-crm.veevavault.com/ui/#object/approved_document__v/V5O00000000O004", "LUP - Congreso EAS- SER 2026 - nefro")</f>
        <v>LUP - Congreso EAS- SER 2026 - nefro</v>
      </c>
      <c r="C14020" s="3" t="str">
        <f>HYPERLINK("https://otsuka-europe-crm.veevavault.com/ui/#object/sent_email__v/VBL00000001C241", "SE-001403438")</f>
        <v>SE-001403438</v>
      </c>
      <c r="D14020" s="1" t="s">
        <v>0</v>
      </c>
      <c r="E14020" s="2">
        <v>0</v>
      </c>
      <c r="F14020" s="2">
        <v>0</v>
      </c>
      <c r="G14020" s="2">
        <v>0</v>
      </c>
      <c r="H14020" s="1" t="s">
        <v>0</v>
      </c>
      <c r="I14020" s="2">
        <v>0</v>
      </c>
      <c r="J14020" s="1">
        <v>46062.491828703707</v>
      </c>
    </row>
    <row r="14021" spans="1:10" x14ac:dyDescent="0.2">
      <c r="A14021" s="4" t="s">
        <v>1</v>
      </c>
      <c r="B14021" s="3" t="str">
        <f>HYPERLINK("https://otsuka-europe-crm.veevavault.com/ui/#object/approved_document__v/V5O00000000O004", "LUP - Congreso EAS- SER 2026 - nefro")</f>
        <v>LUP - Congreso EAS- SER 2026 - nefro</v>
      </c>
      <c r="C14021" s="3" t="str">
        <f>HYPERLINK("https://otsuka-europe-crm.veevavault.com/ui/#object/sent_email__v/VBL00000001C242", "SE-001403439")</f>
        <v>SE-001403439</v>
      </c>
      <c r="D14021" s="1">
        <v>46062.84516203704</v>
      </c>
      <c r="E14021" s="2">
        <v>1</v>
      </c>
      <c r="F14021" s="2">
        <v>2</v>
      </c>
      <c r="G14021" s="2">
        <v>0</v>
      </c>
      <c r="H14021" s="1" t="s">
        <v>0</v>
      </c>
      <c r="I14021" s="2">
        <v>0</v>
      </c>
      <c r="J14021" s="1">
        <v>46062.491990740738</v>
      </c>
    </row>
    <row r="14022" spans="1:10" x14ac:dyDescent="0.2">
      <c r="A14022" s="4" t="s">
        <v>1</v>
      </c>
      <c r="B14022" s="3" t="str">
        <f>HYPERLINK("https://otsuka-europe-crm.veevavault.com/ui/#object/approved_document__v/V5O00000000O004", "LUP - Congreso EAS- SER 2026 - nefro")</f>
        <v>LUP - Congreso EAS- SER 2026 - nefro</v>
      </c>
      <c r="C14022" s="3" t="str">
        <f>HYPERLINK("https://otsuka-europe-crm.veevavault.com/ui/#object/sent_email__v/VBL00000001C243", "SE-001403440")</f>
        <v>SE-001403440</v>
      </c>
      <c r="D14022" s="1">
        <v>46062.560208333336</v>
      </c>
      <c r="E14022" s="2">
        <v>1</v>
      </c>
      <c r="F14022" s="2">
        <v>1</v>
      </c>
      <c r="G14022" s="2">
        <v>0</v>
      </c>
      <c r="H14022" s="1" t="s">
        <v>0</v>
      </c>
      <c r="I14022" s="2">
        <v>0</v>
      </c>
      <c r="J14022" s="1">
        <v>46062.492152777777</v>
      </c>
    </row>
    <row r="14023" spans="1:10" x14ac:dyDescent="0.2">
      <c r="A14023" s="4" t="s">
        <v>1</v>
      </c>
      <c r="B14023" s="3" t="str">
        <f>HYPERLINK("https://otsuka-europe-crm.veevavault.com/ui/#object/approved_document__v/V5O00000000O004", "LUP - Congreso EAS- SER 2026 - nefro")</f>
        <v>LUP - Congreso EAS- SER 2026 - nefro</v>
      </c>
      <c r="C14023" s="3" t="str">
        <f>HYPERLINK("https://otsuka-europe-crm.veevavault.com/ui/#object/sent_email__v/VBL00000001C244", "SE-001403441")</f>
        <v>SE-001403441</v>
      </c>
      <c r="D14023" s="1">
        <v>46062.731388888889</v>
      </c>
      <c r="E14023" s="2">
        <v>1</v>
      </c>
      <c r="F14023" s="2">
        <v>1</v>
      </c>
      <c r="G14023" s="2">
        <v>0</v>
      </c>
      <c r="H14023" s="1" t="s">
        <v>0</v>
      </c>
      <c r="I14023" s="2">
        <v>0</v>
      </c>
      <c r="J14023" s="1">
        <v>46062.492326388892</v>
      </c>
    </row>
    <row r="14024" spans="1:10" x14ac:dyDescent="0.2">
      <c r="A14024" s="4" t="s">
        <v>1</v>
      </c>
      <c r="B14024" s="3" t="str">
        <f>HYPERLINK("https://otsuka-europe-crm.veevavault.com/ui/#object/approved_document__v/V5O00000000O004", "LUP - Congreso EAS- SER 2026 - nefro")</f>
        <v>LUP - Congreso EAS- SER 2026 - nefro</v>
      </c>
      <c r="C14024" s="3" t="str">
        <f>HYPERLINK("https://otsuka-europe-crm.veevavault.com/ui/#object/sent_email__v/VBL00000001C245", "SE-001403442")</f>
        <v>SE-001403442</v>
      </c>
      <c r="D14024" s="1" t="s">
        <v>0</v>
      </c>
      <c r="E14024" s="2">
        <v>0</v>
      </c>
      <c r="F14024" s="2">
        <v>0</v>
      </c>
      <c r="G14024" s="2">
        <v>0</v>
      </c>
      <c r="H14024" s="1" t="s">
        <v>0</v>
      </c>
      <c r="I14024" s="2">
        <v>0</v>
      </c>
      <c r="J14024" s="1">
        <v>46062.4925</v>
      </c>
    </row>
    <row r="14025" spans="1:10" x14ac:dyDescent="0.2">
      <c r="A14025" s="4" t="s">
        <v>1</v>
      </c>
      <c r="B14025" s="3" t="str">
        <f>HYPERLINK("https://otsuka-europe-crm.veevavault.com/ui/#object/approved_document__v/V5O00000000O004", "LUP - Congreso EAS- SER 2026 - nefro")</f>
        <v>LUP - Congreso EAS- SER 2026 - nefro</v>
      </c>
      <c r="C14025" s="3" t="str">
        <f>HYPERLINK("https://otsuka-europe-crm.veevavault.com/ui/#object/sent_email__v/VBL00000001C246", "SE-001403443")</f>
        <v>SE-001403443</v>
      </c>
      <c r="D14025" s="1" t="s">
        <v>0</v>
      </c>
      <c r="E14025" s="2">
        <v>0</v>
      </c>
      <c r="F14025" s="2">
        <v>0</v>
      </c>
      <c r="G14025" s="2">
        <v>0</v>
      </c>
      <c r="H14025" s="1" t="s">
        <v>0</v>
      </c>
      <c r="I14025" s="2">
        <v>0</v>
      </c>
      <c r="J14025" s="1">
        <v>46062.492662037039</v>
      </c>
    </row>
    <row r="14026" spans="1:10" x14ac:dyDescent="0.2">
      <c r="A14026" s="4" t="s">
        <v>1</v>
      </c>
      <c r="B14026" s="3" t="str">
        <f>HYPERLINK("https://otsuka-europe-crm.veevavault.com/ui/#object/approved_document__v/V5O00000000O004", "LUP - Congreso EAS- SER 2026 - nefro")</f>
        <v>LUP - Congreso EAS- SER 2026 - nefro</v>
      </c>
      <c r="C14026" s="3" t="str">
        <f>HYPERLINK("https://otsuka-europe-crm.veevavault.com/ui/#object/sent_email__v/VBL00000001C247", "SE-001403444")</f>
        <v>SE-001403444</v>
      </c>
      <c r="D14026" s="1" t="s">
        <v>0</v>
      </c>
      <c r="E14026" s="2">
        <v>0</v>
      </c>
      <c r="F14026" s="2">
        <v>0</v>
      </c>
      <c r="G14026" s="2">
        <v>0</v>
      </c>
      <c r="H14026" s="1" t="s">
        <v>0</v>
      </c>
      <c r="I14026" s="2">
        <v>0</v>
      </c>
      <c r="J14026" s="1">
        <v>46062.492824074077</v>
      </c>
    </row>
    <row r="14027" spans="1:10" x14ac:dyDescent="0.2">
      <c r="A14027" s="4" t="s">
        <v>1</v>
      </c>
      <c r="B14027" s="3" t="str">
        <f>HYPERLINK("https://otsuka-europe-crm.veevavault.com/ui/#object/approved_document__v/V5O00000000O004", "LUP - Congreso EAS- SER 2026 - nefro")</f>
        <v>LUP - Congreso EAS- SER 2026 - nefro</v>
      </c>
      <c r="C14027" s="3" t="str">
        <f>HYPERLINK("https://otsuka-europe-crm.veevavault.com/ui/#object/sent_email__v/VBL00000001C248", "SE-001403445")</f>
        <v>SE-001403445</v>
      </c>
      <c r="D14027" s="1" t="s">
        <v>0</v>
      </c>
      <c r="E14027" s="2">
        <v>0</v>
      </c>
      <c r="F14027" s="2">
        <v>0</v>
      </c>
      <c r="G14027" s="2">
        <v>0</v>
      </c>
      <c r="H14027" s="1" t="s">
        <v>0</v>
      </c>
      <c r="I14027" s="2">
        <v>0</v>
      </c>
      <c r="J14027" s="1">
        <v>46062.492986111109</v>
      </c>
    </row>
    <row r="14028" spans="1:10" x14ac:dyDescent="0.2">
      <c r="A14028" s="4" t="s">
        <v>1</v>
      </c>
      <c r="B14028" s="3" t="str">
        <f>HYPERLINK("https://otsuka-europe-crm.veevavault.com/ui/#object/approved_document__v/V5O00000000O004", "LUP - Congreso EAS- SER 2026 - nefro")</f>
        <v>LUP - Congreso EAS- SER 2026 - nefro</v>
      </c>
      <c r="C14028" s="3" t="str">
        <f>HYPERLINK("https://otsuka-europe-crm.veevavault.com/ui/#object/sent_email__v/VBL00000001C249", "SE-001403446")</f>
        <v>SE-001403446</v>
      </c>
      <c r="D14028" s="1" t="s">
        <v>0</v>
      </c>
      <c r="E14028" s="2">
        <v>0</v>
      </c>
      <c r="F14028" s="2">
        <v>0</v>
      </c>
      <c r="G14028" s="2">
        <v>0</v>
      </c>
      <c r="H14028" s="1" t="s">
        <v>0</v>
      </c>
      <c r="I14028" s="2">
        <v>0</v>
      </c>
      <c r="J14028" s="1">
        <v>46062.493159722224</v>
      </c>
    </row>
    <row r="14029" spans="1:10" x14ac:dyDescent="0.2">
      <c r="A14029" s="4" t="s">
        <v>1</v>
      </c>
      <c r="B14029" s="3" t="str">
        <f>HYPERLINK("https://otsuka-europe-crm.veevavault.com/ui/#object/approved_document__v/V5O00000000O004", "LUP - Congreso EAS- SER 2026 - nefro")</f>
        <v>LUP - Congreso EAS- SER 2026 - nefro</v>
      </c>
      <c r="C14029" s="3" t="str">
        <f>HYPERLINK("https://otsuka-europe-crm.veevavault.com/ui/#object/sent_email__v/VBL00000001C250", "SE-001403447")</f>
        <v>SE-001403447</v>
      </c>
      <c r="D14029" s="1">
        <v>46063.60597222222</v>
      </c>
      <c r="E14029" s="2">
        <v>1</v>
      </c>
      <c r="F14029" s="2">
        <v>1</v>
      </c>
      <c r="G14029" s="2">
        <v>0</v>
      </c>
      <c r="H14029" s="1" t="s">
        <v>0</v>
      </c>
      <c r="I14029" s="2">
        <v>0</v>
      </c>
      <c r="J14029" s="1">
        <v>46062.493321759262</v>
      </c>
    </row>
    <row r="14030" spans="1:10" x14ac:dyDescent="0.2">
      <c r="A14030" s="4" t="s">
        <v>1</v>
      </c>
      <c r="B14030" s="3" t="str">
        <f>HYPERLINK("https://otsuka-europe-crm.veevavault.com/ui/#object/approved_document__v/V5O00000000O004", "LUP - Congreso EAS- SER 2026 - nefro")</f>
        <v>LUP - Congreso EAS- SER 2026 - nefro</v>
      </c>
      <c r="C14030" s="3" t="str">
        <f>HYPERLINK("https://otsuka-europe-crm.veevavault.com/ui/#object/sent_email__v/VBL00000001C251", "SE-001403448")</f>
        <v>SE-001403448</v>
      </c>
      <c r="D14030" s="1">
        <v>46063.029814814814</v>
      </c>
      <c r="E14030" s="2">
        <v>1</v>
      </c>
      <c r="F14030" s="2">
        <v>1</v>
      </c>
      <c r="G14030" s="2">
        <v>0</v>
      </c>
      <c r="H14030" s="1" t="s">
        <v>0</v>
      </c>
      <c r="I14030" s="2">
        <v>0</v>
      </c>
      <c r="J14030" s="1">
        <v>46062.493483796294</v>
      </c>
    </row>
    <row r="14031" spans="1:10" x14ac:dyDescent="0.2">
      <c r="A14031" s="4" t="s">
        <v>1</v>
      </c>
      <c r="B14031" s="3" t="str">
        <f>HYPERLINK("https://otsuka-europe-crm.veevavault.com/ui/#object/approved_document__v/V5O00000000O004", "LUP - Congreso EAS- SER 2026 - nefro")</f>
        <v>LUP - Congreso EAS- SER 2026 - nefro</v>
      </c>
      <c r="C14031" s="3" t="str">
        <f>HYPERLINK("https://otsuka-europe-crm.veevavault.com/ui/#object/sent_email__v/VBL00000001C252", "SE-001403449")</f>
        <v>SE-001403449</v>
      </c>
      <c r="D14031" s="1" t="s">
        <v>0</v>
      </c>
      <c r="E14031" s="2">
        <v>0</v>
      </c>
      <c r="F14031" s="2">
        <v>0</v>
      </c>
      <c r="G14031" s="2">
        <v>0</v>
      </c>
      <c r="H14031" s="1" t="s">
        <v>0</v>
      </c>
      <c r="I14031" s="2">
        <v>0</v>
      </c>
      <c r="J14031" s="1">
        <v>46062.493657407409</v>
      </c>
    </row>
    <row r="14032" spans="1:10" x14ac:dyDescent="0.2">
      <c r="A14032" s="4" t="s">
        <v>1</v>
      </c>
      <c r="B14032" s="3" t="str">
        <f>HYPERLINK("https://otsuka-europe-crm.veevavault.com/ui/#object/approved_document__v/V5O00000000O004", "LUP - Congreso EAS- SER 2026 - nefro")</f>
        <v>LUP - Congreso EAS- SER 2026 - nefro</v>
      </c>
      <c r="C14032" s="3" t="str">
        <f>HYPERLINK("https://otsuka-europe-crm.veevavault.com/ui/#object/sent_email__v/VBL00000001C253", "SE-001403450")</f>
        <v>SE-001403450</v>
      </c>
      <c r="D14032" s="1">
        <v>46062.772048611114</v>
      </c>
      <c r="E14032" s="2">
        <v>1</v>
      </c>
      <c r="F14032" s="2">
        <v>2</v>
      </c>
      <c r="G14032" s="2">
        <v>0</v>
      </c>
      <c r="H14032" s="1" t="s">
        <v>0</v>
      </c>
      <c r="I14032" s="2">
        <v>0</v>
      </c>
      <c r="J14032" s="1">
        <v>46062.493819444448</v>
      </c>
    </row>
    <row r="14033" spans="1:10" x14ac:dyDescent="0.2">
      <c r="A14033" s="4" t="s">
        <v>1</v>
      </c>
      <c r="B14033" s="3" t="str">
        <f>HYPERLINK("https://otsuka-europe-crm.veevavault.com/ui/#object/approved_document__v/V5O00000000O004", "LUP - Congreso EAS- SER 2026 - nefro")</f>
        <v>LUP - Congreso EAS- SER 2026 - nefro</v>
      </c>
      <c r="C14033" s="3" t="str">
        <f>HYPERLINK("https://otsuka-europe-crm.veevavault.com/ui/#object/sent_email__v/VBL00000001C254", "SE-001403451")</f>
        <v>SE-001403451</v>
      </c>
      <c r="D14033" s="1">
        <v>46068.46292824074</v>
      </c>
      <c r="E14033" s="2">
        <v>1</v>
      </c>
      <c r="F14033" s="2">
        <v>2</v>
      </c>
      <c r="G14033" s="2">
        <v>0</v>
      </c>
      <c r="H14033" s="1" t="s">
        <v>0</v>
      </c>
      <c r="I14033" s="2">
        <v>0</v>
      </c>
      <c r="J14033" s="1">
        <v>46062.493993055556</v>
      </c>
    </row>
    <row r="14034" spans="1:10" x14ac:dyDescent="0.2">
      <c r="A14034" s="4" t="s">
        <v>1</v>
      </c>
      <c r="B14034" s="3" t="str">
        <f>HYPERLINK("https://otsuka-europe-crm.veevavault.com/ui/#object/approved_document__v/V5O00000000O004", "LUP - Congreso EAS- SER 2026 - nefro")</f>
        <v>LUP - Congreso EAS- SER 2026 - nefro</v>
      </c>
      <c r="C14034" s="3" t="str">
        <f>HYPERLINK("https://otsuka-europe-crm.veevavault.com/ui/#object/sent_email__v/VBL00000001B339", "SE-001403539")</f>
        <v>SE-001403539</v>
      </c>
      <c r="D14034" s="1">
        <v>46062.927303240744</v>
      </c>
      <c r="E14034" s="2">
        <v>1</v>
      </c>
      <c r="F14034" s="2">
        <v>1</v>
      </c>
      <c r="G14034" s="2">
        <v>0</v>
      </c>
      <c r="H14034" s="1" t="s">
        <v>0</v>
      </c>
      <c r="I14034" s="2">
        <v>0</v>
      </c>
      <c r="J14034" s="1">
        <v>46062.607812499999</v>
      </c>
    </row>
    <row r="14035" spans="1:10" x14ac:dyDescent="0.2">
      <c r="A14035" s="4" t="s">
        <v>1</v>
      </c>
      <c r="B14035" s="3" t="str">
        <f>HYPERLINK("https://otsuka-europe-crm.veevavault.com/ui/#object/approved_document__v/V5O00000000O004", "LUP - Congreso EAS- SER 2026 - nefro")</f>
        <v>LUP - Congreso EAS- SER 2026 - nefro</v>
      </c>
      <c r="C14035" s="3" t="str">
        <f>HYPERLINK("https://otsuka-europe-crm.veevavault.com/ui/#object/sent_email__v/VBL00000001B340", "SE-001403540")</f>
        <v>SE-001403540</v>
      </c>
      <c r="D14035" s="1">
        <v>46066.532592592594</v>
      </c>
      <c r="E14035" s="2">
        <v>1</v>
      </c>
      <c r="F14035" s="2">
        <v>2</v>
      </c>
      <c r="G14035" s="2">
        <v>0</v>
      </c>
      <c r="H14035" s="1" t="s">
        <v>0</v>
      </c>
      <c r="I14035" s="2">
        <v>0</v>
      </c>
      <c r="J14035" s="1">
        <v>46062.607997685183</v>
      </c>
    </row>
    <row r="14036" spans="1:10" x14ac:dyDescent="0.2">
      <c r="A14036" s="4" t="s">
        <v>1</v>
      </c>
      <c r="B14036" s="3" t="str">
        <f>HYPERLINK("https://otsuka-europe-crm.veevavault.com/ui/#object/approved_document__v/V5O00000000O004", "LUP - Congreso EAS- SER 2026 - nefro")</f>
        <v>LUP - Congreso EAS- SER 2026 - nefro</v>
      </c>
      <c r="C14036" s="3" t="str">
        <f>HYPERLINK("https://otsuka-europe-crm.veevavault.com/ui/#object/sent_email__v/VBL00000001B341", "SE-001403541")</f>
        <v>SE-001403541</v>
      </c>
      <c r="D14036" s="1">
        <v>46062.608611111114</v>
      </c>
      <c r="E14036" s="2">
        <v>1</v>
      </c>
      <c r="F14036" s="2">
        <v>1</v>
      </c>
      <c r="G14036" s="2">
        <v>0</v>
      </c>
      <c r="H14036" s="1" t="s">
        <v>0</v>
      </c>
      <c r="I14036" s="2">
        <v>0</v>
      </c>
      <c r="J14036" s="1">
        <v>46062.608171296299</v>
      </c>
    </row>
    <row r="14037" spans="1:10" x14ac:dyDescent="0.2">
      <c r="A14037" s="4" t="s">
        <v>1</v>
      </c>
      <c r="B14037" s="3" t="str">
        <f>HYPERLINK("https://otsuka-europe-crm.veevavault.com/ui/#object/approved_document__v/V5O00000000O004", "LUP - Congreso EAS- SER 2026 - nefro")</f>
        <v>LUP - Congreso EAS- SER 2026 - nefro</v>
      </c>
      <c r="C14037" s="3" t="str">
        <f>HYPERLINK("https://otsuka-europe-crm.veevavault.com/ui/#object/sent_email__v/VBL00000001B342", "SE-001403542")</f>
        <v>SE-001403542</v>
      </c>
      <c r="D14037" s="1" t="s">
        <v>0</v>
      </c>
      <c r="E14037" s="2">
        <v>0</v>
      </c>
      <c r="F14037" s="2">
        <v>0</v>
      </c>
      <c r="G14037" s="2">
        <v>0</v>
      </c>
      <c r="H14037" s="1" t="s">
        <v>0</v>
      </c>
      <c r="I14037" s="2">
        <v>0</v>
      </c>
      <c r="J14037" s="1">
        <v>46062.60833333333</v>
      </c>
    </row>
    <row r="14038" spans="1:10" x14ac:dyDescent="0.2">
      <c r="A14038" s="4" t="s">
        <v>1</v>
      </c>
      <c r="B14038" s="3" t="str">
        <f>HYPERLINK("https://otsuka-europe-crm.veevavault.com/ui/#object/approved_document__v/V5O00000000O004", "LUP - Congreso EAS- SER 2026 - nefro")</f>
        <v>LUP - Congreso EAS- SER 2026 - nefro</v>
      </c>
      <c r="C14038" s="3" t="str">
        <f>HYPERLINK("https://otsuka-europe-crm.veevavault.com/ui/#object/sent_email__v/VBL00000001B343", "SE-001403543")</f>
        <v>SE-001403543</v>
      </c>
      <c r="D14038" s="1" t="s">
        <v>0</v>
      </c>
      <c r="E14038" s="2">
        <v>0</v>
      </c>
      <c r="F14038" s="2">
        <v>0</v>
      </c>
      <c r="G14038" s="2">
        <v>0</v>
      </c>
      <c r="H14038" s="1" t="s">
        <v>0</v>
      </c>
      <c r="I14038" s="2">
        <v>0</v>
      </c>
      <c r="J14038" s="1">
        <v>46062.608495370368</v>
      </c>
    </row>
    <row r="14039" spans="1:10" x14ac:dyDescent="0.2">
      <c r="A14039" s="4" t="s">
        <v>1</v>
      </c>
      <c r="B14039" s="3" t="str">
        <f>HYPERLINK("https://otsuka-europe-crm.veevavault.com/ui/#object/approved_document__v/V5O00000000O004", "LUP - Congreso EAS- SER 2026 - nefro")</f>
        <v>LUP - Congreso EAS- SER 2026 - nefro</v>
      </c>
      <c r="C14039" s="3" t="str">
        <f>HYPERLINK("https://otsuka-europe-crm.veevavault.com/ui/#object/sent_email__v/VBL00000001B344", "SE-001403544")</f>
        <v>SE-001403544</v>
      </c>
      <c r="D14039" s="1">
        <v>46062.608796296299</v>
      </c>
      <c r="E14039" s="2">
        <v>1</v>
      </c>
      <c r="F14039" s="2">
        <v>2</v>
      </c>
      <c r="G14039" s="2">
        <v>1</v>
      </c>
      <c r="H14039" s="1">
        <v>46062.608784722222</v>
      </c>
      <c r="I14039" s="2">
        <v>6</v>
      </c>
      <c r="J14039" s="1">
        <v>46062.608668981484</v>
      </c>
    </row>
    <row r="14040" spans="1:10" x14ac:dyDescent="0.2">
      <c r="A14040" s="4" t="s">
        <v>1</v>
      </c>
      <c r="B14040" s="3" t="str">
        <f>HYPERLINK("https://otsuka-europe-crm.veevavault.com/ui/#object/approved_document__v/V5O00000000O004", "LUP - Congreso EAS- SER 2026 - nefro")</f>
        <v>LUP - Congreso EAS- SER 2026 - nefro</v>
      </c>
      <c r="C14040" s="3" t="str">
        <f>HYPERLINK("https://otsuka-europe-crm.veevavault.com/ui/#object/sent_email__v/VBL00000001B345", "SE-001403545")</f>
        <v>SE-001403545</v>
      </c>
      <c r="D14040" s="1">
        <v>46062.616076388891</v>
      </c>
      <c r="E14040" s="2">
        <v>1</v>
      </c>
      <c r="F14040" s="2">
        <v>1</v>
      </c>
      <c r="G14040" s="2">
        <v>0</v>
      </c>
      <c r="H14040" s="1" t="s">
        <v>0</v>
      </c>
      <c r="I14040" s="2">
        <v>0</v>
      </c>
      <c r="J14040" s="1">
        <v>46062.608831018515</v>
      </c>
    </row>
    <row r="14041" spans="1:10" x14ac:dyDescent="0.2">
      <c r="A14041" s="4" t="s">
        <v>1</v>
      </c>
      <c r="B14041" s="3" t="str">
        <f>HYPERLINK("https://otsuka-europe-crm.veevavault.com/ui/#object/approved_document__v/V5O00000000O004", "LUP - Congreso EAS- SER 2026 - nefro")</f>
        <v>LUP - Congreso EAS- SER 2026 - nefro</v>
      </c>
      <c r="C14041" s="3" t="str">
        <f>HYPERLINK("https://otsuka-europe-crm.veevavault.com/ui/#object/sent_email__v/VBL00000001B346", "SE-001403546")</f>
        <v>SE-001403546</v>
      </c>
      <c r="D14041" s="1">
        <v>46062.625300925924</v>
      </c>
      <c r="E14041" s="2">
        <v>1</v>
      </c>
      <c r="F14041" s="2">
        <v>1</v>
      </c>
      <c r="G14041" s="2">
        <v>0</v>
      </c>
      <c r="H14041" s="1" t="s">
        <v>0</v>
      </c>
      <c r="I14041" s="2">
        <v>0</v>
      </c>
      <c r="J14041" s="1">
        <v>46062.608993055554</v>
      </c>
    </row>
    <row r="14042" spans="1:10" x14ac:dyDescent="0.2">
      <c r="A14042" s="4" t="s">
        <v>1</v>
      </c>
      <c r="B14042" s="3" t="str">
        <f>HYPERLINK("https://otsuka-europe-crm.veevavault.com/ui/#object/approved_document__v/V5O00000000O004", "LUP - Congreso EAS- SER 2026 - nefro")</f>
        <v>LUP - Congreso EAS- SER 2026 - nefro</v>
      </c>
      <c r="C14042" s="3" t="str">
        <f>HYPERLINK("https://otsuka-europe-crm.veevavault.com/ui/#object/sent_email__v/VBL00000001B347", "SE-001403547")</f>
        <v>SE-001403547</v>
      </c>
      <c r="D14042" s="1">
        <v>46062.632013888891</v>
      </c>
      <c r="E14042" s="2">
        <v>1</v>
      </c>
      <c r="F14042" s="2">
        <v>3</v>
      </c>
      <c r="G14042" s="2">
        <v>1</v>
      </c>
      <c r="H14042" s="1">
        <v>46062.609305555554</v>
      </c>
      <c r="I14042" s="2">
        <v>6</v>
      </c>
      <c r="J14042" s="1">
        <v>46062.609166666669</v>
      </c>
    </row>
    <row r="14043" spans="1:10" x14ac:dyDescent="0.2">
      <c r="A14043" s="4" t="s">
        <v>1</v>
      </c>
      <c r="B14043" s="3" t="str">
        <f>HYPERLINK("https://otsuka-europe-crm.veevavault.com/ui/#object/approved_document__v/V5O00000000O004", "LUP - Congreso EAS- SER 2026 - nefro")</f>
        <v>LUP - Congreso EAS- SER 2026 - nefro</v>
      </c>
      <c r="C14043" s="3" t="str">
        <f>HYPERLINK("https://otsuka-europe-crm.veevavault.com/ui/#object/sent_email__v/VBL00000001B348", "SE-001403548")</f>
        <v>SE-001403548</v>
      </c>
      <c r="D14043" s="1">
        <v>46075.772546296299</v>
      </c>
      <c r="E14043" s="2">
        <v>1</v>
      </c>
      <c r="F14043" s="2">
        <v>2</v>
      </c>
      <c r="G14043" s="2">
        <v>0</v>
      </c>
      <c r="H14043" s="1" t="s">
        <v>0</v>
      </c>
      <c r="I14043" s="2">
        <v>0</v>
      </c>
      <c r="J14043" s="1">
        <v>46062.609340277777</v>
      </c>
    </row>
    <row r="14044" spans="1:10" x14ac:dyDescent="0.2">
      <c r="A14044" s="4" t="s">
        <v>1</v>
      </c>
      <c r="B14044" s="3" t="str">
        <f>HYPERLINK("https://otsuka-europe-crm.veevavault.com/ui/#object/approved_document__v/V5O00000000O004", "LUP - Congreso EAS- SER 2026 - nefro")</f>
        <v>LUP - Congreso EAS- SER 2026 - nefro</v>
      </c>
      <c r="C14044" s="3" t="str">
        <f>HYPERLINK("https://otsuka-europe-crm.veevavault.com/ui/#object/sent_email__v/VBL00000001B349", "SE-001403549")</f>
        <v>SE-001403549</v>
      </c>
      <c r="D14044" s="1">
        <v>46062.855844907404</v>
      </c>
      <c r="E14044" s="2">
        <v>1</v>
      </c>
      <c r="F14044" s="2">
        <v>1</v>
      </c>
      <c r="G14044" s="2">
        <v>0</v>
      </c>
      <c r="H14044" s="1" t="s">
        <v>0</v>
      </c>
      <c r="I14044" s="2">
        <v>0</v>
      </c>
      <c r="J14044" s="1">
        <v>46062.609502314815</v>
      </c>
    </row>
    <row r="14045" spans="1:10" x14ac:dyDescent="0.2">
      <c r="A14045" s="4" t="s">
        <v>1</v>
      </c>
      <c r="B14045" s="3" t="str">
        <f>HYPERLINK("https://otsuka-europe-crm.veevavault.com/ui/#object/approved_document__v/V5O00000000O004", "LUP - Congreso EAS- SER 2026 - nefro")</f>
        <v>LUP - Congreso EAS- SER 2026 - nefro</v>
      </c>
      <c r="C14045" s="3" t="str">
        <f>HYPERLINK("https://otsuka-europe-crm.veevavault.com/ui/#object/sent_email__v/VBL00000001B350", "SE-001403550")</f>
        <v>SE-001403550</v>
      </c>
      <c r="D14045" s="1">
        <v>46062.610231481478</v>
      </c>
      <c r="E14045" s="2">
        <v>1</v>
      </c>
      <c r="F14045" s="2">
        <v>1</v>
      </c>
      <c r="G14045" s="2">
        <v>1</v>
      </c>
      <c r="H14045" s="1">
        <v>46062.610405092593</v>
      </c>
      <c r="I14045" s="2">
        <v>2</v>
      </c>
      <c r="J14045" s="1">
        <v>46062.609664351854</v>
      </c>
    </row>
    <row r="14046" spans="1:10" x14ac:dyDescent="0.2">
      <c r="A14046" s="4" t="s">
        <v>1</v>
      </c>
      <c r="B14046" s="3" t="str">
        <f>HYPERLINK("https://otsuka-europe-crm.veevavault.com/ui/#object/approved_document__v/V5O00000000O004", "LUP - Congreso EAS- SER 2026 - nefro")</f>
        <v>LUP - Congreso EAS- SER 2026 - nefro</v>
      </c>
      <c r="C14046" s="3" t="str">
        <f>HYPERLINK("https://otsuka-europe-crm.veevavault.com/ui/#object/sent_email__v/VBL00000001B351", "SE-001403551")</f>
        <v>SE-001403551</v>
      </c>
      <c r="D14046" s="1">
        <v>46068.853090277778</v>
      </c>
      <c r="E14046" s="2">
        <v>1</v>
      </c>
      <c r="F14046" s="2">
        <v>1</v>
      </c>
      <c r="G14046" s="2">
        <v>0</v>
      </c>
      <c r="H14046" s="1" t="s">
        <v>0</v>
      </c>
      <c r="I14046" s="2">
        <v>0</v>
      </c>
      <c r="J14046" s="1">
        <v>46062.609826388885</v>
      </c>
    </row>
    <row r="14047" spans="1:10" x14ac:dyDescent="0.2">
      <c r="A14047" s="4" t="s">
        <v>1</v>
      </c>
      <c r="B14047" s="3" t="str">
        <f>HYPERLINK("https://otsuka-europe-crm.veevavault.com/ui/#object/approved_document__v/V5O00000000O004", "LUP - Congreso EAS- SER 2026 - nefro")</f>
        <v>LUP - Congreso EAS- SER 2026 - nefro</v>
      </c>
      <c r="C14047" s="3" t="str">
        <f>HYPERLINK("https://otsuka-europe-crm.veevavault.com/ui/#object/sent_email__v/VBL00000001B352", "SE-001403552")</f>
        <v>SE-001403552</v>
      </c>
      <c r="D14047" s="1" t="s">
        <v>0</v>
      </c>
      <c r="E14047" s="2">
        <v>0</v>
      </c>
      <c r="F14047" s="2">
        <v>0</v>
      </c>
      <c r="G14047" s="2">
        <v>0</v>
      </c>
      <c r="H14047" s="1" t="s">
        <v>0</v>
      </c>
      <c r="I14047" s="2">
        <v>0</v>
      </c>
      <c r="J14047" s="1">
        <v>46062.61</v>
      </c>
    </row>
    <row r="14048" spans="1:10" x14ac:dyDescent="0.2">
      <c r="A14048" s="4" t="s">
        <v>1</v>
      </c>
      <c r="B14048" s="3" t="str">
        <f>HYPERLINK("https://otsuka-europe-crm.veevavault.com/ui/#object/approved_document__v/V5O00000000O004", "LUP - Congreso EAS- SER 2026 - nefro")</f>
        <v>LUP - Congreso EAS- SER 2026 - nefro</v>
      </c>
      <c r="C14048" s="3" t="str">
        <f>HYPERLINK("https://otsuka-europe-crm.veevavault.com/ui/#object/sent_email__v/VBL00000001B353", "SE-001403553")</f>
        <v>SE-001403553</v>
      </c>
      <c r="D14048" s="1" t="s">
        <v>0</v>
      </c>
      <c r="E14048" s="2">
        <v>0</v>
      </c>
      <c r="F14048" s="2">
        <v>0</v>
      </c>
      <c r="G14048" s="2">
        <v>0</v>
      </c>
      <c r="H14048" s="1" t="s">
        <v>0</v>
      </c>
      <c r="I14048" s="2">
        <v>0</v>
      </c>
      <c r="J14048" s="1">
        <v>46062.610196759262</v>
      </c>
    </row>
    <row r="14049" spans="1:10" x14ac:dyDescent="0.2">
      <c r="A14049" s="4" t="s">
        <v>1</v>
      </c>
      <c r="B14049" s="3" t="str">
        <f>HYPERLINK("https://otsuka-europe-crm.veevavault.com/ui/#object/approved_document__v/V5O00000000O004", "LUP - Congreso EAS- SER 2026 - nefro")</f>
        <v>LUP - Congreso EAS- SER 2026 - nefro</v>
      </c>
      <c r="C14049" s="3" t="str">
        <f>HYPERLINK("https://otsuka-europe-crm.veevavault.com/ui/#object/sent_email__v/VBL00000001B354", "SE-001403554")</f>
        <v>SE-001403554</v>
      </c>
      <c r="D14049" s="1" t="s">
        <v>0</v>
      </c>
      <c r="E14049" s="2">
        <v>0</v>
      </c>
      <c r="F14049" s="2">
        <v>0</v>
      </c>
      <c r="G14049" s="2">
        <v>0</v>
      </c>
      <c r="H14049" s="1" t="s">
        <v>0</v>
      </c>
      <c r="I14049" s="2">
        <v>0</v>
      </c>
      <c r="J14049" s="1">
        <v>46062.610358796293</v>
      </c>
    </row>
    <row r="14050" spans="1:10" x14ac:dyDescent="0.2">
      <c r="A14050" s="4" t="s">
        <v>1</v>
      </c>
      <c r="B14050" s="3" t="str">
        <f>HYPERLINK("https://otsuka-europe-crm.veevavault.com/ui/#object/approved_document__v/V5O00000000O004", "LUP - Congreso EAS- SER 2026 - nefro")</f>
        <v>LUP - Congreso EAS- SER 2026 - nefro</v>
      </c>
      <c r="C14050" s="3" t="str">
        <f>HYPERLINK("https://otsuka-europe-crm.veevavault.com/ui/#object/sent_email__v/VBL00000001B355", "SE-001403556")</f>
        <v>SE-001403556</v>
      </c>
      <c r="D14050" s="1">
        <v>46062.876226851855</v>
      </c>
      <c r="E14050" s="2">
        <v>1</v>
      </c>
      <c r="F14050" s="2">
        <v>1</v>
      </c>
      <c r="G14050" s="2">
        <v>0</v>
      </c>
      <c r="H14050" s="1" t="s">
        <v>0</v>
      </c>
      <c r="I14050" s="2">
        <v>0</v>
      </c>
      <c r="J14050" s="1">
        <v>46062.608356481483</v>
      </c>
    </row>
    <row r="14051" spans="1:10" x14ac:dyDescent="0.2">
      <c r="A14051" s="4" t="s">
        <v>1</v>
      </c>
      <c r="B14051" s="3" t="str">
        <f>HYPERLINK("https://otsuka-europe-crm.veevavault.com/ui/#object/approved_document__v/V5O00000000O004", "LUP - Congreso EAS- SER 2026 - nefro")</f>
        <v>LUP - Congreso EAS- SER 2026 - nefro</v>
      </c>
      <c r="C14051" s="3" t="str">
        <f>HYPERLINK("https://otsuka-europe-crm.veevavault.com/ui/#object/sent_email__v/VBL00000001B356", "SE-001403557")</f>
        <v>SE-001403557</v>
      </c>
      <c r="D14051" s="1">
        <v>46065.618344907409</v>
      </c>
      <c r="E14051" s="2">
        <v>1</v>
      </c>
      <c r="F14051" s="2">
        <v>4</v>
      </c>
      <c r="G14051" s="2">
        <v>0</v>
      </c>
      <c r="H14051" s="1" t="s">
        <v>0</v>
      </c>
      <c r="I14051" s="2">
        <v>0</v>
      </c>
      <c r="J14051" s="1">
        <v>46062.608530092592</v>
      </c>
    </row>
    <row r="14052" spans="1:10" x14ac:dyDescent="0.2">
      <c r="A14052" s="4" t="s">
        <v>1</v>
      </c>
      <c r="B14052" s="3" t="str">
        <f>HYPERLINK("https://otsuka-europe-crm.veevavault.com/ui/#object/approved_document__v/V5O00000000P008", "LUP - Congreso EAS- SER 2026 - reuma")</f>
        <v>LUP - Congreso EAS- SER 2026 - reuma</v>
      </c>
      <c r="C14052" s="3" t="str">
        <f>HYPERLINK("https://otsuka-europe-crm.veevavault.com/ui/#object/sent_email__v/VBL00000001B290", "SE-001403452")</f>
        <v>SE-001403452</v>
      </c>
      <c r="D14052" s="1">
        <v>46075.432847222219</v>
      </c>
      <c r="E14052" s="2">
        <v>1</v>
      </c>
      <c r="F14052" s="2">
        <v>2</v>
      </c>
      <c r="G14052" s="2">
        <v>0</v>
      </c>
      <c r="H14052" s="1" t="s">
        <v>0</v>
      </c>
      <c r="I14052" s="2">
        <v>0</v>
      </c>
      <c r="J14052" s="1">
        <v>46062.476527777777</v>
      </c>
    </row>
    <row r="14053" spans="1:10" x14ac:dyDescent="0.2">
      <c r="A14053" s="4" t="s">
        <v>1</v>
      </c>
      <c r="B14053" s="3" t="str">
        <f>HYPERLINK("https://otsuka-europe-crm.veevavault.com/ui/#object/approved_document__v/V5O00000000P008", "LUP - Congreso EAS- SER 2026 - reuma")</f>
        <v>LUP - Congreso EAS- SER 2026 - reuma</v>
      </c>
      <c r="C14053" s="3" t="str">
        <f>HYPERLINK("https://otsuka-europe-crm.veevavault.com/ui/#object/sent_email__v/VBL00000001B291", "SE-001403453")</f>
        <v>SE-001403453</v>
      </c>
      <c r="D14053" s="1" t="s">
        <v>0</v>
      </c>
      <c r="E14053" s="2">
        <v>0</v>
      </c>
      <c r="F14053" s="2">
        <v>0</v>
      </c>
      <c r="G14053" s="2">
        <v>0</v>
      </c>
      <c r="H14053" s="1" t="s">
        <v>0</v>
      </c>
      <c r="I14053" s="2">
        <v>0</v>
      </c>
      <c r="J14053" s="1">
        <v>46062.476747685185</v>
      </c>
    </row>
    <row r="14054" spans="1:10" x14ac:dyDescent="0.2">
      <c r="A14054" s="4" t="s">
        <v>1</v>
      </c>
      <c r="B14054" s="3" t="str">
        <f>HYPERLINK("https://otsuka-europe-crm.veevavault.com/ui/#object/approved_document__v/V5O00000000P008", "LUP - Congreso EAS- SER 2026 - reuma")</f>
        <v>LUP - Congreso EAS- SER 2026 - reuma</v>
      </c>
      <c r="C14054" s="3" t="str">
        <f>HYPERLINK("https://otsuka-europe-crm.veevavault.com/ui/#object/sent_email__v/VBL00000001B292", "SE-001403454")</f>
        <v>SE-001403454</v>
      </c>
      <c r="D14054" s="1" t="s">
        <v>0</v>
      </c>
      <c r="E14054" s="2">
        <v>0</v>
      </c>
      <c r="F14054" s="2">
        <v>0</v>
      </c>
      <c r="G14054" s="2">
        <v>0</v>
      </c>
      <c r="H14054" s="1" t="s">
        <v>0</v>
      </c>
      <c r="I14054" s="2">
        <v>0</v>
      </c>
      <c r="J14054" s="1">
        <v>46062.477002314816</v>
      </c>
    </row>
    <row r="14055" spans="1:10" x14ac:dyDescent="0.2">
      <c r="A14055" s="4" t="s">
        <v>1</v>
      </c>
      <c r="B14055" s="3" t="str">
        <f>HYPERLINK("https://otsuka-europe-crm.veevavault.com/ui/#object/approved_document__v/V5O00000000P008", "LUP - Congreso EAS- SER 2026 - reuma")</f>
        <v>LUP - Congreso EAS- SER 2026 - reuma</v>
      </c>
      <c r="C14055" s="3" t="str">
        <f>HYPERLINK("https://otsuka-europe-crm.veevavault.com/ui/#object/sent_email__v/VBL00000001B293", "SE-001403455")</f>
        <v>SE-001403455</v>
      </c>
      <c r="D14055" s="1" t="s">
        <v>0</v>
      </c>
      <c r="E14055" s="2">
        <v>0</v>
      </c>
      <c r="F14055" s="2">
        <v>0</v>
      </c>
      <c r="G14055" s="2">
        <v>0</v>
      </c>
      <c r="H14055" s="1" t="s">
        <v>0</v>
      </c>
      <c r="I14055" s="2">
        <v>0</v>
      </c>
      <c r="J14055" s="1">
        <v>46062.477256944447</v>
      </c>
    </row>
    <row r="14056" spans="1:10" x14ac:dyDescent="0.2">
      <c r="A14056" s="4" t="s">
        <v>1</v>
      </c>
      <c r="B14056" s="3" t="str">
        <f>HYPERLINK("https://otsuka-europe-crm.veevavault.com/ui/#object/approved_document__v/V5O00000000P008", "LUP - Congreso EAS- SER 2026 - reuma")</f>
        <v>LUP - Congreso EAS- SER 2026 - reuma</v>
      </c>
      <c r="C14056" s="3" t="str">
        <f>HYPERLINK("https://otsuka-europe-crm.veevavault.com/ui/#object/sent_email__v/VBL00000001B294", "SE-001403456")</f>
        <v>SE-001403456</v>
      </c>
      <c r="D14056" s="1">
        <v>46068.593518518515</v>
      </c>
      <c r="E14056" s="2">
        <v>1</v>
      </c>
      <c r="F14056" s="2">
        <v>2</v>
      </c>
      <c r="G14056" s="2">
        <v>0</v>
      </c>
      <c r="H14056" s="1" t="s">
        <v>0</v>
      </c>
      <c r="I14056" s="2">
        <v>0</v>
      </c>
      <c r="J14056" s="1">
        <v>46062.477511574078</v>
      </c>
    </row>
    <row r="14057" spans="1:10" x14ac:dyDescent="0.2">
      <c r="A14057" s="4" t="s">
        <v>1</v>
      </c>
      <c r="B14057" s="3" t="str">
        <f>HYPERLINK("https://otsuka-europe-crm.veevavault.com/ui/#object/approved_document__v/V5O00000000P008", "LUP - Congreso EAS- SER 2026 - reuma")</f>
        <v>LUP - Congreso EAS- SER 2026 - reuma</v>
      </c>
      <c r="C14057" s="3" t="str">
        <f>HYPERLINK("https://otsuka-europe-crm.veevavault.com/ui/#object/sent_email__v/VBL00000001B295", "SE-001403457")</f>
        <v>SE-001403457</v>
      </c>
      <c r="D14057" s="1">
        <v>46063.73678240741</v>
      </c>
      <c r="E14057" s="2">
        <v>1</v>
      </c>
      <c r="F14057" s="2">
        <v>1</v>
      </c>
      <c r="G14057" s="2">
        <v>0</v>
      </c>
      <c r="H14057" s="1" t="s">
        <v>0</v>
      </c>
      <c r="I14057" s="2">
        <v>0</v>
      </c>
      <c r="J14057" s="1">
        <v>46062.477777777778</v>
      </c>
    </row>
    <row r="14058" spans="1:10" x14ac:dyDescent="0.2">
      <c r="A14058" s="4" t="s">
        <v>1</v>
      </c>
      <c r="B14058" s="3" t="str">
        <f>HYPERLINK("https://otsuka-europe-crm.veevavault.com/ui/#object/approved_document__v/V5O00000000P008", "LUP - Congreso EAS- SER 2026 - reuma")</f>
        <v>LUP - Congreso EAS- SER 2026 - reuma</v>
      </c>
      <c r="C14058" s="3" t="str">
        <f>HYPERLINK("https://otsuka-europe-crm.veevavault.com/ui/#object/sent_email__v/VBL00000001B296", "SE-001403458")</f>
        <v>SE-001403458</v>
      </c>
      <c r="D14058" s="1">
        <v>46062.61478009259</v>
      </c>
      <c r="E14058" s="2">
        <v>1</v>
      </c>
      <c r="F14058" s="2">
        <v>1</v>
      </c>
      <c r="G14058" s="2">
        <v>0</v>
      </c>
      <c r="H14058" s="1" t="s">
        <v>0</v>
      </c>
      <c r="I14058" s="2">
        <v>0</v>
      </c>
      <c r="J14058" s="1">
        <v>46062.478009259263</v>
      </c>
    </row>
    <row r="14059" spans="1:10" x14ac:dyDescent="0.2">
      <c r="A14059" s="4" t="s">
        <v>1</v>
      </c>
      <c r="B14059" s="3" t="str">
        <f>HYPERLINK("https://otsuka-europe-crm.veevavault.com/ui/#object/approved_document__v/V5O00000000P008", "LUP - Congreso EAS- SER 2026 - reuma")</f>
        <v>LUP - Congreso EAS- SER 2026 - reuma</v>
      </c>
      <c r="C14059" s="3" t="str">
        <f>HYPERLINK("https://otsuka-europe-crm.veevavault.com/ui/#object/sent_email__v/VBL00000001B297", "SE-001403459")</f>
        <v>SE-001403459</v>
      </c>
      <c r="D14059" s="1" t="s">
        <v>0</v>
      </c>
      <c r="E14059" s="2">
        <v>0</v>
      </c>
      <c r="F14059" s="2">
        <v>0</v>
      </c>
      <c r="G14059" s="2">
        <v>0</v>
      </c>
      <c r="H14059" s="1" t="s">
        <v>0</v>
      </c>
      <c r="I14059" s="2">
        <v>0</v>
      </c>
      <c r="J14059" s="1">
        <v>46062.478275462963</v>
      </c>
    </row>
    <row r="14060" spans="1:10" x14ac:dyDescent="0.2">
      <c r="A14060" s="4" t="s">
        <v>1</v>
      </c>
      <c r="B14060" s="3" t="str">
        <f>HYPERLINK("https://otsuka-europe-crm.veevavault.com/ui/#object/approved_document__v/V5O00000000P008", "LUP - Congreso EAS- SER 2026 - reuma")</f>
        <v>LUP - Congreso EAS- SER 2026 - reuma</v>
      </c>
      <c r="C14060" s="3" t="str">
        <f>HYPERLINK("https://otsuka-europe-crm.veevavault.com/ui/#object/sent_email__v/VBL00000001B298", "SE-001403460")</f>
        <v>SE-001403460</v>
      </c>
      <c r="D14060" s="1">
        <v>46062.559166666666</v>
      </c>
      <c r="E14060" s="2">
        <v>1</v>
      </c>
      <c r="F14060" s="2">
        <v>3</v>
      </c>
      <c r="G14060" s="2">
        <v>0</v>
      </c>
      <c r="H14060" s="1" t="s">
        <v>0</v>
      </c>
      <c r="I14060" s="2">
        <v>0</v>
      </c>
      <c r="J14060" s="1">
        <v>46062.478518518517</v>
      </c>
    </row>
    <row r="14061" spans="1:10" x14ac:dyDescent="0.2">
      <c r="A14061" s="4" t="s">
        <v>1</v>
      </c>
      <c r="B14061" s="3" t="str">
        <f>HYPERLINK("https://otsuka-europe-crm.veevavault.com/ui/#object/approved_document__v/V5O00000000P008", "LUP - Congreso EAS- SER 2026 - reuma")</f>
        <v>LUP - Congreso EAS- SER 2026 - reuma</v>
      </c>
      <c r="C14061" s="3" t="str">
        <f>HYPERLINK("https://otsuka-europe-crm.veevavault.com/ui/#object/sent_email__v/VBL00000001B299", "SE-001403461")</f>
        <v>SE-001403461</v>
      </c>
      <c r="D14061" s="1" t="s">
        <v>0</v>
      </c>
      <c r="E14061" s="2">
        <v>0</v>
      </c>
      <c r="F14061" s="2">
        <v>0</v>
      </c>
      <c r="G14061" s="2">
        <v>0</v>
      </c>
      <c r="H14061" s="1" t="s">
        <v>0</v>
      </c>
      <c r="I14061" s="2">
        <v>0</v>
      </c>
      <c r="J14061" s="1">
        <v>46062.478761574072</v>
      </c>
    </row>
    <row r="14062" spans="1:10" x14ac:dyDescent="0.2">
      <c r="A14062" s="4" t="s">
        <v>1</v>
      </c>
      <c r="B14062" s="3" t="str">
        <f>HYPERLINK("https://otsuka-europe-crm.veevavault.com/ui/#object/approved_document__v/V5O00000000P008", "LUP - Congreso EAS- SER 2026 - reuma")</f>
        <v>LUP - Congreso EAS- SER 2026 - reuma</v>
      </c>
      <c r="C14062" s="3" t="str">
        <f>HYPERLINK("https://otsuka-europe-crm.veevavault.com/ui/#object/sent_email__v/VBL00000001B300", "SE-001403462")</f>
        <v>SE-001403462</v>
      </c>
      <c r="D14062" s="1">
        <v>46062.70784722222</v>
      </c>
      <c r="E14062" s="2">
        <v>1</v>
      </c>
      <c r="F14062" s="2">
        <v>1</v>
      </c>
      <c r="G14062" s="2">
        <v>0</v>
      </c>
      <c r="H14062" s="1" t="s">
        <v>0</v>
      </c>
      <c r="I14062" s="2">
        <v>0</v>
      </c>
      <c r="J14062" s="1">
        <v>46062.479016203702</v>
      </c>
    </row>
    <row r="14063" spans="1:10" x14ac:dyDescent="0.2">
      <c r="A14063" s="4" t="s">
        <v>1</v>
      </c>
      <c r="B14063" s="3" t="str">
        <f>HYPERLINK("https://otsuka-europe-crm.veevavault.com/ui/#object/approved_document__v/V5O00000000P008", "LUP - Congreso EAS- SER 2026 - reuma")</f>
        <v>LUP - Congreso EAS- SER 2026 - reuma</v>
      </c>
      <c r="C14063" s="3" t="str">
        <f>HYPERLINK("https://otsuka-europe-crm.veevavault.com/ui/#object/sent_email__v/VBL00000001B301", "SE-001403463")</f>
        <v>SE-001403463</v>
      </c>
      <c r="D14063" s="1">
        <v>46063.324189814812</v>
      </c>
      <c r="E14063" s="2">
        <v>1</v>
      </c>
      <c r="F14063" s="2">
        <v>1</v>
      </c>
      <c r="G14063" s="2">
        <v>0</v>
      </c>
      <c r="H14063" s="1" t="s">
        <v>0</v>
      </c>
      <c r="I14063" s="2">
        <v>0</v>
      </c>
      <c r="J14063" s="1">
        <v>46062.479224537034</v>
      </c>
    </row>
    <row r="14064" spans="1:10" x14ac:dyDescent="0.2">
      <c r="A14064" s="4" t="s">
        <v>1</v>
      </c>
      <c r="B14064" s="3" t="str">
        <f>HYPERLINK("https://otsuka-europe-crm.veevavault.com/ui/#object/approved_document__v/V5O00000000P008", "LUP - Congreso EAS- SER 2026 - reuma")</f>
        <v>LUP - Congreso EAS- SER 2026 - reuma</v>
      </c>
      <c r="C14064" s="3" t="str">
        <f>HYPERLINK("https://otsuka-europe-crm.veevavault.com/ui/#object/sent_email__v/VBL00000001B302", "SE-001403464")</f>
        <v>SE-001403464</v>
      </c>
      <c r="D14064" s="1" t="s">
        <v>0</v>
      </c>
      <c r="E14064" s="2">
        <v>0</v>
      </c>
      <c r="F14064" s="2">
        <v>0</v>
      </c>
      <c r="G14064" s="2">
        <v>0</v>
      </c>
      <c r="H14064" s="1" t="s">
        <v>0</v>
      </c>
      <c r="I14064" s="2">
        <v>0</v>
      </c>
      <c r="J14064" s="1">
        <v>46062.479386574072</v>
      </c>
    </row>
    <row r="14065" spans="1:10" x14ac:dyDescent="0.2">
      <c r="A14065" s="4" t="s">
        <v>1</v>
      </c>
      <c r="B14065" s="3" t="str">
        <f>HYPERLINK("https://otsuka-europe-crm.veevavault.com/ui/#object/approved_document__v/V5O00000000P008", "LUP - Congreso EAS- SER 2026 - reuma")</f>
        <v>LUP - Congreso EAS- SER 2026 - reuma</v>
      </c>
      <c r="C14065" s="3" t="str">
        <f>HYPERLINK("https://otsuka-europe-crm.veevavault.com/ui/#object/sent_email__v/VBL00000001B303", "SE-001403465")</f>
        <v>SE-001403465</v>
      </c>
      <c r="D14065" s="1">
        <v>46062.543761574074</v>
      </c>
      <c r="E14065" s="2">
        <v>1</v>
      </c>
      <c r="F14065" s="2">
        <v>1</v>
      </c>
      <c r="G14065" s="2">
        <v>0</v>
      </c>
      <c r="H14065" s="1" t="s">
        <v>0</v>
      </c>
      <c r="I14065" s="2">
        <v>0</v>
      </c>
      <c r="J14065" s="1">
        <v>46062.479548611111</v>
      </c>
    </row>
    <row r="14066" spans="1:10" x14ac:dyDescent="0.2">
      <c r="A14066" s="4" t="s">
        <v>1</v>
      </c>
      <c r="B14066" s="3" t="str">
        <f>HYPERLINK("https://otsuka-europe-crm.veevavault.com/ui/#object/approved_document__v/V5O00000000P008", "LUP - Congreso EAS- SER 2026 - reuma")</f>
        <v>LUP - Congreso EAS- SER 2026 - reuma</v>
      </c>
      <c r="C14066" s="3" t="str">
        <f>HYPERLINK("https://otsuka-europe-crm.veevavault.com/ui/#object/sent_email__v/VBL00000001B304", "SE-001403466")</f>
        <v>SE-001403466</v>
      </c>
      <c r="D14066" s="1">
        <v>46062.492314814815</v>
      </c>
      <c r="E14066" s="2">
        <v>1</v>
      </c>
      <c r="F14066" s="2">
        <v>1</v>
      </c>
      <c r="G14066" s="2">
        <v>0</v>
      </c>
      <c r="H14066" s="1" t="s">
        <v>0</v>
      </c>
      <c r="I14066" s="2">
        <v>0</v>
      </c>
      <c r="J14066" s="1">
        <v>46062.479710648149</v>
      </c>
    </row>
    <row r="14067" spans="1:10" x14ac:dyDescent="0.2">
      <c r="A14067" s="4" t="s">
        <v>1</v>
      </c>
      <c r="B14067" s="3" t="str">
        <f>HYPERLINK("https://otsuka-europe-crm.veevavault.com/ui/#object/approved_document__v/V5O00000000P008", "LUP - Congreso EAS- SER 2026 - reuma")</f>
        <v>LUP - Congreso EAS- SER 2026 - reuma</v>
      </c>
      <c r="C14067" s="3" t="str">
        <f>HYPERLINK("https://otsuka-europe-crm.veevavault.com/ui/#object/sent_email__v/VBL00000001B305", "SE-001403467")</f>
        <v>SE-001403467</v>
      </c>
      <c r="D14067" s="1" t="s">
        <v>0</v>
      </c>
      <c r="E14067" s="2">
        <v>0</v>
      </c>
      <c r="F14067" s="2">
        <v>0</v>
      </c>
      <c r="G14067" s="2">
        <v>0</v>
      </c>
      <c r="H14067" s="1" t="s">
        <v>0</v>
      </c>
      <c r="I14067" s="2">
        <v>0</v>
      </c>
      <c r="J14067" s="1">
        <v>46062.479872685188</v>
      </c>
    </row>
    <row r="14068" spans="1:10" x14ac:dyDescent="0.2">
      <c r="A14068" s="4" t="s">
        <v>1</v>
      </c>
      <c r="B14068" s="3" t="str">
        <f>HYPERLINK("https://otsuka-europe-crm.veevavault.com/ui/#object/approved_document__v/V5O00000000P008", "LUP - Congreso EAS- SER 2026 - reuma")</f>
        <v>LUP - Congreso EAS- SER 2026 - reuma</v>
      </c>
      <c r="C14068" s="3" t="str">
        <f>HYPERLINK("https://otsuka-europe-crm.veevavault.com/ui/#object/sent_email__v/VBL00000001B306", "SE-001403468")</f>
        <v>SE-001403468</v>
      </c>
      <c r="D14068" s="1" t="s">
        <v>0</v>
      </c>
      <c r="E14068" s="2">
        <v>0</v>
      </c>
      <c r="F14068" s="2">
        <v>0</v>
      </c>
      <c r="G14068" s="2">
        <v>0</v>
      </c>
      <c r="H14068" s="1" t="s">
        <v>0</v>
      </c>
      <c r="I14068" s="2">
        <v>0</v>
      </c>
      <c r="J14068" s="1">
        <v>46062.480046296296</v>
      </c>
    </row>
    <row r="14069" spans="1:10" x14ac:dyDescent="0.2">
      <c r="A14069" s="4" t="s">
        <v>1</v>
      </c>
      <c r="B14069" s="3" t="str">
        <f>HYPERLINK("https://otsuka-europe-crm.veevavault.com/ui/#object/approved_document__v/V5O00000000P008", "LUP - Congreso EAS- SER 2026 - reuma")</f>
        <v>LUP - Congreso EAS- SER 2026 - reuma</v>
      </c>
      <c r="C14069" s="3" t="str">
        <f>HYPERLINK("https://otsuka-europe-crm.veevavault.com/ui/#object/sent_email__v/VBL00000001B307", "SE-001403469")</f>
        <v>SE-001403469</v>
      </c>
      <c r="D14069" s="1" t="s">
        <v>0</v>
      </c>
      <c r="E14069" s="2">
        <v>0</v>
      </c>
      <c r="F14069" s="2">
        <v>0</v>
      </c>
      <c r="G14069" s="2">
        <v>0</v>
      </c>
      <c r="H14069" s="1" t="s">
        <v>0</v>
      </c>
      <c r="I14069" s="2">
        <v>0</v>
      </c>
      <c r="J14069" s="1">
        <v>46062.480219907404</v>
      </c>
    </row>
    <row r="14070" spans="1:10" x14ac:dyDescent="0.2">
      <c r="A14070" s="4" t="s">
        <v>1</v>
      </c>
      <c r="B14070" s="3" t="str">
        <f>HYPERLINK("https://otsuka-europe-crm.veevavault.com/ui/#object/approved_document__v/V5O00000000P008", "LUP - Congreso EAS- SER 2026 - reuma")</f>
        <v>LUP - Congreso EAS- SER 2026 - reuma</v>
      </c>
      <c r="C14070" s="3" t="str">
        <f>HYPERLINK("https://otsuka-europe-crm.veevavault.com/ui/#object/sent_email__v/VBL00000001B308", "SE-001403470")</f>
        <v>SE-001403470</v>
      </c>
      <c r="D14070" s="1" t="s">
        <v>0</v>
      </c>
      <c r="E14070" s="2">
        <v>0</v>
      </c>
      <c r="F14070" s="2">
        <v>0</v>
      </c>
      <c r="G14070" s="2">
        <v>0</v>
      </c>
      <c r="H14070" s="1" t="s">
        <v>0</v>
      </c>
      <c r="I14070" s="2">
        <v>0</v>
      </c>
      <c r="J14070" s="1">
        <v>46062.480370370373</v>
      </c>
    </row>
    <row r="14071" spans="1:10" x14ac:dyDescent="0.2">
      <c r="A14071" s="4" t="s">
        <v>1</v>
      </c>
      <c r="B14071" s="3" t="str">
        <f>HYPERLINK("https://otsuka-europe-crm.veevavault.com/ui/#object/approved_document__v/V5O00000000P008", "LUP - Congreso EAS- SER 2026 - reuma")</f>
        <v>LUP - Congreso EAS- SER 2026 - reuma</v>
      </c>
      <c r="C14071" s="3" t="str">
        <f>HYPERLINK("https://otsuka-europe-crm.veevavault.com/ui/#object/sent_email__v/VBL00000001B309", "SE-001403471")</f>
        <v>SE-001403471</v>
      </c>
      <c r="D14071" s="1">
        <v>46062.675439814811</v>
      </c>
      <c r="E14071" s="2">
        <v>1</v>
      </c>
      <c r="F14071" s="2">
        <v>2</v>
      </c>
      <c r="G14071" s="2">
        <v>0</v>
      </c>
      <c r="H14071" s="1" t="s">
        <v>0</v>
      </c>
      <c r="I14071" s="2">
        <v>0</v>
      </c>
      <c r="J14071" s="1">
        <v>46062.480532407404</v>
      </c>
    </row>
    <row r="14072" spans="1:10" x14ac:dyDescent="0.2">
      <c r="A14072" s="4" t="s">
        <v>1</v>
      </c>
      <c r="B14072" s="3" t="str">
        <f>HYPERLINK("https://otsuka-europe-crm.veevavault.com/ui/#object/approved_document__v/V5O00000000P008", "LUP - Congreso EAS- SER 2026 - reuma")</f>
        <v>LUP - Congreso EAS- SER 2026 - reuma</v>
      </c>
      <c r="C14072" s="3" t="str">
        <f>HYPERLINK("https://otsuka-europe-crm.veevavault.com/ui/#object/sent_email__v/VBL00000001B310", "SE-001403472")</f>
        <v>SE-001403472</v>
      </c>
      <c r="D14072" s="1">
        <v>46070.805520833332</v>
      </c>
      <c r="E14072" s="2">
        <v>1</v>
      </c>
      <c r="F14072" s="2">
        <v>2</v>
      </c>
      <c r="G14072" s="2">
        <v>0</v>
      </c>
      <c r="H14072" s="1" t="s">
        <v>0</v>
      </c>
      <c r="I14072" s="2">
        <v>0</v>
      </c>
      <c r="J14072" s="1">
        <v>46062.480706018519</v>
      </c>
    </row>
    <row r="14073" spans="1:10" x14ac:dyDescent="0.2">
      <c r="A14073" s="4" t="s">
        <v>1</v>
      </c>
      <c r="B14073" s="3" t="str">
        <f>HYPERLINK("https://otsuka-europe-crm.veevavault.com/ui/#object/approved_document__v/V5O00000000P008", "LUP - Congreso EAS- SER 2026 - reuma")</f>
        <v>LUP - Congreso EAS- SER 2026 - reuma</v>
      </c>
      <c r="C14073" s="3" t="str">
        <f>HYPERLINK("https://otsuka-europe-crm.veevavault.com/ui/#object/sent_email__v/VBL00000001B311", "SE-001403473")</f>
        <v>SE-001403473</v>
      </c>
      <c r="D14073" s="1">
        <v>46062.652395833335</v>
      </c>
      <c r="E14073" s="2">
        <v>1</v>
      </c>
      <c r="F14073" s="2">
        <v>1</v>
      </c>
      <c r="G14073" s="2">
        <v>0</v>
      </c>
      <c r="H14073" s="1" t="s">
        <v>0</v>
      </c>
      <c r="I14073" s="2">
        <v>0</v>
      </c>
      <c r="J14073" s="1">
        <v>46062.480891203704</v>
      </c>
    </row>
    <row r="14074" spans="1:10" x14ac:dyDescent="0.2">
      <c r="A14074" s="4" t="s">
        <v>1</v>
      </c>
      <c r="B14074" s="3" t="str">
        <f>HYPERLINK("https://otsuka-europe-crm.veevavault.com/ui/#object/approved_document__v/V5O00000000P008", "LUP - Congreso EAS- SER 2026 - reuma")</f>
        <v>LUP - Congreso EAS- SER 2026 - reuma</v>
      </c>
      <c r="C14074" s="3" t="str">
        <f>HYPERLINK("https://otsuka-europe-crm.veevavault.com/ui/#object/sent_email__v/VBL00000001B312", "SE-001403474")</f>
        <v>SE-001403474</v>
      </c>
      <c r="D14074" s="1" t="s">
        <v>0</v>
      </c>
      <c r="E14074" s="2">
        <v>0</v>
      </c>
      <c r="F14074" s="2">
        <v>0</v>
      </c>
      <c r="G14074" s="2">
        <v>0</v>
      </c>
      <c r="H14074" s="1" t="s">
        <v>0</v>
      </c>
      <c r="I14074" s="2">
        <v>0</v>
      </c>
      <c r="J14074" s="1">
        <v>46062.481030092589</v>
      </c>
    </row>
    <row r="14075" spans="1:10" x14ac:dyDescent="0.2">
      <c r="A14075" s="4" t="s">
        <v>1</v>
      </c>
      <c r="B14075" s="3" t="str">
        <f>HYPERLINK("https://otsuka-europe-crm.veevavault.com/ui/#object/approved_document__v/V5O00000000P008", "LUP - Congreso EAS- SER 2026 - reuma")</f>
        <v>LUP - Congreso EAS- SER 2026 - reuma</v>
      </c>
      <c r="C14075" s="3" t="str">
        <f>HYPERLINK("https://otsuka-europe-crm.veevavault.com/ui/#object/sent_email__v/VBL00000001B313", "SE-001403475")</f>
        <v>SE-001403475</v>
      </c>
      <c r="D14075" s="1">
        <v>46063.752268518518</v>
      </c>
      <c r="E14075" s="2">
        <v>1</v>
      </c>
      <c r="F14075" s="2">
        <v>1</v>
      </c>
      <c r="G14075" s="2">
        <v>0</v>
      </c>
      <c r="H14075" s="1" t="s">
        <v>0</v>
      </c>
      <c r="I14075" s="2">
        <v>0</v>
      </c>
      <c r="J14075" s="1">
        <v>46062.481203703705</v>
      </c>
    </row>
    <row r="14076" spans="1:10" x14ac:dyDescent="0.2">
      <c r="A14076" s="4" t="s">
        <v>1</v>
      </c>
      <c r="B14076" s="3" t="str">
        <f>HYPERLINK("https://otsuka-europe-crm.veevavault.com/ui/#object/approved_document__v/V5O00000000P008", "LUP - Congreso EAS- SER 2026 - reuma")</f>
        <v>LUP - Congreso EAS- SER 2026 - reuma</v>
      </c>
      <c r="C14076" s="3" t="str">
        <f>HYPERLINK("https://otsuka-europe-crm.veevavault.com/ui/#object/sent_email__v/VBL00000001B314", "SE-001403476")</f>
        <v>SE-001403476</v>
      </c>
      <c r="D14076" s="1" t="s">
        <v>0</v>
      </c>
      <c r="E14076" s="2">
        <v>0</v>
      </c>
      <c r="F14076" s="2">
        <v>0</v>
      </c>
      <c r="G14076" s="2">
        <v>0</v>
      </c>
      <c r="H14076" s="1" t="s">
        <v>0</v>
      </c>
      <c r="I14076" s="2">
        <v>0</v>
      </c>
      <c r="J14076" s="1">
        <v>46062.481365740743</v>
      </c>
    </row>
    <row r="14077" spans="1:10" x14ac:dyDescent="0.2">
      <c r="A14077" s="4" t="s">
        <v>1</v>
      </c>
      <c r="B14077" s="3" t="str">
        <f>HYPERLINK("https://otsuka-europe-crm.veevavault.com/ui/#object/approved_document__v/V5O00000000P008", "LUP - Congreso EAS- SER 2026 - reuma")</f>
        <v>LUP - Congreso EAS- SER 2026 - reuma</v>
      </c>
      <c r="C14077" s="3" t="str">
        <f>HYPERLINK("https://otsuka-europe-crm.veevavault.com/ui/#object/sent_email__v/VBL00000001B315", "SE-001403477")</f>
        <v>SE-001403477</v>
      </c>
      <c r="D14077" s="1">
        <v>46066.755439814813</v>
      </c>
      <c r="E14077" s="2">
        <v>1</v>
      </c>
      <c r="F14077" s="2">
        <v>4</v>
      </c>
      <c r="G14077" s="2">
        <v>0</v>
      </c>
      <c r="H14077" s="1" t="s">
        <v>0</v>
      </c>
      <c r="I14077" s="2">
        <v>0</v>
      </c>
      <c r="J14077" s="1">
        <v>46062.481585648151</v>
      </c>
    </row>
    <row r="14078" spans="1:10" x14ac:dyDescent="0.2">
      <c r="A14078" s="4" t="s">
        <v>1</v>
      </c>
      <c r="B14078" s="3" t="str">
        <f>HYPERLINK("https://otsuka-europe-crm.veevavault.com/ui/#object/approved_document__v/V5O00000000P008", "LUP - Congreso EAS- SER 2026 - reuma")</f>
        <v>LUP - Congreso EAS- SER 2026 - reuma</v>
      </c>
      <c r="C14078" s="3" t="str">
        <f>HYPERLINK("https://otsuka-europe-crm.veevavault.com/ui/#object/sent_email__v/VBL00000001B316", "SE-001403478")</f>
        <v>SE-001403478</v>
      </c>
      <c r="D14078" s="1" t="s">
        <v>0</v>
      </c>
      <c r="E14078" s="2">
        <v>0</v>
      </c>
      <c r="F14078" s="2">
        <v>0</v>
      </c>
      <c r="G14078" s="2">
        <v>0</v>
      </c>
      <c r="H14078" s="1" t="s">
        <v>0</v>
      </c>
      <c r="I14078" s="2">
        <v>0</v>
      </c>
      <c r="J14078" s="1">
        <v>46062.481851851851</v>
      </c>
    </row>
    <row r="14079" spans="1:10" x14ac:dyDescent="0.2">
      <c r="A14079" s="4" t="s">
        <v>1</v>
      </c>
      <c r="B14079" s="3" t="str">
        <f>HYPERLINK("https://otsuka-europe-crm.veevavault.com/ui/#object/approved_document__v/V5O00000000P008", "LUP - Congreso EAS- SER 2026 - reuma")</f>
        <v>LUP - Congreso EAS- SER 2026 - reuma</v>
      </c>
      <c r="C14079" s="3" t="str">
        <f>HYPERLINK("https://otsuka-europe-crm.veevavault.com/ui/#object/sent_email__v/VBL00000001B317", "SE-001403479")</f>
        <v>SE-001403479</v>
      </c>
      <c r="D14079" s="1" t="s">
        <v>0</v>
      </c>
      <c r="E14079" s="2">
        <v>0</v>
      </c>
      <c r="F14079" s="2">
        <v>0</v>
      </c>
      <c r="G14079" s="2">
        <v>0</v>
      </c>
      <c r="H14079" s="1" t="s">
        <v>0</v>
      </c>
      <c r="I14079" s="2">
        <v>0</v>
      </c>
      <c r="J14079" s="1">
        <v>46062.482071759259</v>
      </c>
    </row>
    <row r="14080" spans="1:10" x14ac:dyDescent="0.2">
      <c r="A14080" s="4" t="s">
        <v>1</v>
      </c>
      <c r="B14080" s="3" t="str">
        <f>HYPERLINK("https://otsuka-europe-crm.veevavault.com/ui/#object/approved_document__v/V5O00000000P008", "LUP - Congreso EAS- SER 2026 - reuma")</f>
        <v>LUP - Congreso EAS- SER 2026 - reuma</v>
      </c>
      <c r="C14080" s="3" t="str">
        <f>HYPERLINK("https://otsuka-europe-crm.veevavault.com/ui/#object/sent_email__v/VBL00000001B318", "SE-001403480")</f>
        <v>SE-001403480</v>
      </c>
      <c r="D14080" s="1">
        <v>46062.5231712963</v>
      </c>
      <c r="E14080" s="2">
        <v>1</v>
      </c>
      <c r="F14080" s="2">
        <v>1</v>
      </c>
      <c r="G14080" s="2">
        <v>0</v>
      </c>
      <c r="H14080" s="1" t="s">
        <v>0</v>
      </c>
      <c r="I14080" s="2">
        <v>0</v>
      </c>
      <c r="J14080" s="1">
        <v>46062.48232638889</v>
      </c>
    </row>
    <row r="14081" spans="1:10" x14ac:dyDescent="0.2">
      <c r="A14081" s="4" t="s">
        <v>1</v>
      </c>
      <c r="B14081" s="3" t="str">
        <f>HYPERLINK("https://otsuka-europe-crm.veevavault.com/ui/#object/approved_document__v/V5O00000000P008", "LUP - Congreso EAS- SER 2026 - reuma")</f>
        <v>LUP - Congreso EAS- SER 2026 - reuma</v>
      </c>
      <c r="C14081" s="3" t="str">
        <f>HYPERLINK("https://otsuka-europe-crm.veevavault.com/ui/#object/sent_email__v/VBL00000001B319", "SE-001403481")</f>
        <v>SE-001403481</v>
      </c>
      <c r="D14081" s="1" t="s">
        <v>0</v>
      </c>
      <c r="E14081" s="2">
        <v>0</v>
      </c>
      <c r="F14081" s="2">
        <v>0</v>
      </c>
      <c r="G14081" s="2">
        <v>0</v>
      </c>
      <c r="H14081" s="1" t="s">
        <v>0</v>
      </c>
      <c r="I14081" s="2">
        <v>0</v>
      </c>
      <c r="J14081" s="1">
        <v>46062.482569444444</v>
      </c>
    </row>
    <row r="14082" spans="1:10" x14ac:dyDescent="0.2">
      <c r="A14082" s="4" t="s">
        <v>1</v>
      </c>
      <c r="B14082" s="3" t="str">
        <f>HYPERLINK("https://otsuka-europe-crm.veevavault.com/ui/#object/approved_document__v/V5O00000000P008", "LUP - Congreso EAS- SER 2026 - reuma")</f>
        <v>LUP - Congreso EAS- SER 2026 - reuma</v>
      </c>
      <c r="C14082" s="3" t="str">
        <f>HYPERLINK("https://otsuka-europe-crm.veevavault.com/ui/#object/sent_email__v/VBL00000001B320", "SE-001403482")</f>
        <v>SE-001403482</v>
      </c>
      <c r="D14082" s="1">
        <v>46065.484733796293</v>
      </c>
      <c r="E14082" s="2">
        <v>1</v>
      </c>
      <c r="F14082" s="2">
        <v>1</v>
      </c>
      <c r="G14082" s="2">
        <v>0</v>
      </c>
      <c r="H14082" s="1" t="s">
        <v>0</v>
      </c>
      <c r="I14082" s="2">
        <v>0</v>
      </c>
      <c r="J14082" s="1">
        <v>46062.482754629629</v>
      </c>
    </row>
    <row r="14083" spans="1:10" x14ac:dyDescent="0.2">
      <c r="A14083" s="4" t="s">
        <v>1</v>
      </c>
      <c r="B14083" s="3" t="str">
        <f>HYPERLINK("https://otsuka-europe-crm.veevavault.com/ui/#object/approved_document__v/V5O00000000P008", "LUP - Congreso EAS- SER 2026 - reuma")</f>
        <v>LUP - Congreso EAS- SER 2026 - reuma</v>
      </c>
      <c r="C14083" s="3" t="str">
        <f>HYPERLINK("https://otsuka-europe-crm.veevavault.com/ui/#object/sent_email__v/VBL00000001B321", "SE-001403483")</f>
        <v>SE-001403483</v>
      </c>
      <c r="D14083" s="1">
        <v>46062.492407407408</v>
      </c>
      <c r="E14083" s="2">
        <v>1</v>
      </c>
      <c r="F14083" s="2">
        <v>1</v>
      </c>
      <c r="G14083" s="2">
        <v>0</v>
      </c>
      <c r="H14083" s="1" t="s">
        <v>0</v>
      </c>
      <c r="I14083" s="2">
        <v>0</v>
      </c>
      <c r="J14083" s="1">
        <v>46062.482928240737</v>
      </c>
    </row>
    <row r="14084" spans="1:10" x14ac:dyDescent="0.2">
      <c r="A14084" s="4" t="s">
        <v>1</v>
      </c>
      <c r="B14084" s="3" t="str">
        <f>HYPERLINK("https://otsuka-europe-crm.veevavault.com/ui/#object/approved_document__v/V5O00000000P008", "LUP - Congreso EAS- SER 2026 - reuma")</f>
        <v>LUP - Congreso EAS- SER 2026 - reuma</v>
      </c>
      <c r="C14084" s="3" t="str">
        <f>HYPERLINK("https://otsuka-europe-crm.veevavault.com/ui/#object/sent_email__v/VBL00000001B322", "SE-001403484")</f>
        <v>SE-001403484</v>
      </c>
      <c r="D14084" s="1">
        <v>46062.840995370374</v>
      </c>
      <c r="E14084" s="2">
        <v>1</v>
      </c>
      <c r="F14084" s="2">
        <v>4</v>
      </c>
      <c r="G14084" s="2">
        <v>0</v>
      </c>
      <c r="H14084" s="1" t="s">
        <v>0</v>
      </c>
      <c r="I14084" s="2">
        <v>0</v>
      </c>
      <c r="J14084" s="1">
        <v>46062.483113425929</v>
      </c>
    </row>
    <row r="14085" spans="1:10" x14ac:dyDescent="0.2">
      <c r="A14085" s="4" t="s">
        <v>1</v>
      </c>
      <c r="B14085" s="3" t="str">
        <f>HYPERLINK("https://otsuka-europe-crm.veevavault.com/ui/#object/approved_document__v/V5O00000000P008", "LUP - Congreso EAS- SER 2026 - reuma")</f>
        <v>LUP - Congreso EAS- SER 2026 - reuma</v>
      </c>
      <c r="C14085" s="3" t="str">
        <f>HYPERLINK("https://otsuka-europe-crm.veevavault.com/ui/#object/sent_email__v/VBL00000001B323", "SE-001403485")</f>
        <v>SE-001403485</v>
      </c>
      <c r="D14085" s="1" t="s">
        <v>0</v>
      </c>
      <c r="E14085" s="2">
        <v>0</v>
      </c>
      <c r="F14085" s="2">
        <v>0</v>
      </c>
      <c r="G14085" s="2">
        <v>0</v>
      </c>
      <c r="H14085" s="1" t="s">
        <v>0</v>
      </c>
      <c r="I14085" s="2">
        <v>0</v>
      </c>
      <c r="J14085" s="1">
        <v>46062.483287037037</v>
      </c>
    </row>
    <row r="14086" spans="1:10" x14ac:dyDescent="0.2">
      <c r="A14086" s="4" t="s">
        <v>1</v>
      </c>
      <c r="B14086" s="3" t="str">
        <f>HYPERLINK("https://otsuka-europe-crm.veevavault.com/ui/#object/approved_document__v/V5O00000000P008", "LUP - Congreso EAS- SER 2026 - reuma")</f>
        <v>LUP - Congreso EAS- SER 2026 - reuma</v>
      </c>
      <c r="C14086" s="3" t="str">
        <f>HYPERLINK("https://otsuka-europe-crm.veevavault.com/ui/#object/sent_email__v/VBL00000001B324", "SE-001403486")</f>
        <v>SE-001403486</v>
      </c>
      <c r="D14086" s="1">
        <v>46062.684328703705</v>
      </c>
      <c r="E14086" s="2">
        <v>1</v>
      </c>
      <c r="F14086" s="2">
        <v>2</v>
      </c>
      <c r="G14086" s="2">
        <v>0</v>
      </c>
      <c r="H14086" s="1" t="s">
        <v>0</v>
      </c>
      <c r="I14086" s="2">
        <v>0</v>
      </c>
      <c r="J14086" s="1">
        <v>46062.483449074076</v>
      </c>
    </row>
    <row r="14087" spans="1:10" x14ac:dyDescent="0.2">
      <c r="A14087" s="4" t="s">
        <v>1</v>
      </c>
      <c r="B14087" s="3" t="str">
        <f>HYPERLINK("https://otsuka-europe-crm.veevavault.com/ui/#object/approved_document__v/V5O00000000P008", "LUP - Congreso EAS- SER 2026 - reuma")</f>
        <v>LUP - Congreso EAS- SER 2026 - reuma</v>
      </c>
      <c r="C14087" s="3" t="str">
        <f>HYPERLINK("https://otsuka-europe-crm.veevavault.com/ui/#object/sent_email__v/VBL00000001C294", "SE-001403558")</f>
        <v>SE-001403558</v>
      </c>
      <c r="D14087" s="1">
        <v>46062.897187499999</v>
      </c>
      <c r="E14087" s="2">
        <v>1</v>
      </c>
      <c r="F14087" s="2">
        <v>1</v>
      </c>
      <c r="G14087" s="2">
        <v>0</v>
      </c>
      <c r="H14087" s="1" t="s">
        <v>0</v>
      </c>
      <c r="I14087" s="2">
        <v>0</v>
      </c>
      <c r="J14087" s="1">
        <v>46062.611608796295</v>
      </c>
    </row>
    <row r="14088" spans="1:10" x14ac:dyDescent="0.2">
      <c r="A14088" s="4" t="s">
        <v>1</v>
      </c>
      <c r="B14088" s="3" t="str">
        <f>HYPERLINK("https://otsuka-europe-crm.veevavault.com/ui/#object/approved_document__v/V5O00000000P008", "LUP - Congreso EAS- SER 2026 - reuma")</f>
        <v>LUP - Congreso EAS- SER 2026 - reuma</v>
      </c>
      <c r="C14088" s="3" t="str">
        <f>HYPERLINK("https://otsuka-europe-crm.veevavault.com/ui/#object/sent_email__v/VBL00000001C295", "SE-001403559")</f>
        <v>SE-001403559</v>
      </c>
      <c r="D14088" s="1">
        <v>46062.611921296295</v>
      </c>
      <c r="E14088" s="2">
        <v>1</v>
      </c>
      <c r="F14088" s="2">
        <v>5</v>
      </c>
      <c r="G14088" s="2">
        <v>1</v>
      </c>
      <c r="H14088" s="1">
        <v>46062.611909722225</v>
      </c>
      <c r="I14088" s="2">
        <v>7</v>
      </c>
      <c r="J14088" s="1">
        <v>46062.611793981479</v>
      </c>
    </row>
    <row r="14089" spans="1:10" x14ac:dyDescent="0.2">
      <c r="A14089" s="4" t="s">
        <v>1</v>
      </c>
      <c r="B14089" s="3" t="str">
        <f>HYPERLINK("https://otsuka-europe-crm.veevavault.com/ui/#object/approved_document__v/V5O00000000P008", "LUP - Congreso EAS- SER 2026 - reuma")</f>
        <v>LUP - Congreso EAS- SER 2026 - reuma</v>
      </c>
      <c r="C14089" s="3" t="str">
        <f>HYPERLINK("https://otsuka-europe-crm.veevavault.com/ui/#object/sent_email__v/VBL00000001C296", "SE-001403560")</f>
        <v>SE-001403560</v>
      </c>
      <c r="D14089" s="1" t="s">
        <v>0</v>
      </c>
      <c r="E14089" s="2">
        <v>0</v>
      </c>
      <c r="F14089" s="2">
        <v>0</v>
      </c>
      <c r="G14089" s="2">
        <v>0</v>
      </c>
      <c r="H14089" s="1" t="s">
        <v>0</v>
      </c>
      <c r="I14089" s="2">
        <v>0</v>
      </c>
      <c r="J14089" s="1">
        <v>46062.611956018518</v>
      </c>
    </row>
    <row r="14090" spans="1:10" x14ac:dyDescent="0.2">
      <c r="A14090" s="4" t="s">
        <v>1</v>
      </c>
      <c r="B14090" s="3" t="str">
        <f>HYPERLINK("https://otsuka-europe-crm.veevavault.com/ui/#object/approved_document__v/V5O00000000P008", "LUP - Congreso EAS- SER 2026 - reuma")</f>
        <v>LUP - Congreso EAS- SER 2026 - reuma</v>
      </c>
      <c r="C14090" s="3" t="str">
        <f>HYPERLINK("https://otsuka-europe-crm.veevavault.com/ui/#object/sent_email__v/VBL00000001C297", "SE-001403561")</f>
        <v>SE-001403561</v>
      </c>
      <c r="D14090" s="1">
        <v>46062.61246527778</v>
      </c>
      <c r="E14090" s="2">
        <v>1</v>
      </c>
      <c r="F14090" s="2">
        <v>2</v>
      </c>
      <c r="G14090" s="2">
        <v>1</v>
      </c>
      <c r="H14090" s="1">
        <v>46062.612569444442</v>
      </c>
      <c r="I14090" s="2">
        <v>1</v>
      </c>
      <c r="J14090" s="1">
        <v>46062.612118055556</v>
      </c>
    </row>
    <row r="14091" spans="1:10" x14ac:dyDescent="0.2">
      <c r="A14091" s="4" t="s">
        <v>1</v>
      </c>
      <c r="B14091" s="3" t="str">
        <f>HYPERLINK("https://otsuka-europe-crm.veevavault.com/ui/#object/approved_document__v/V5O00000000P008", "LUP - Congreso EAS- SER 2026 - reuma")</f>
        <v>LUP - Congreso EAS- SER 2026 - reuma</v>
      </c>
      <c r="C14091" s="3" t="str">
        <f>HYPERLINK("https://otsuka-europe-crm.veevavault.com/ui/#object/sent_email__v/VBL00000001C298", "SE-001403562")</f>
        <v>SE-001403562</v>
      </c>
      <c r="D14091" s="1" t="s">
        <v>0</v>
      </c>
      <c r="E14091" s="2">
        <v>0</v>
      </c>
      <c r="F14091" s="2">
        <v>0</v>
      </c>
      <c r="G14091" s="2">
        <v>0</v>
      </c>
      <c r="H14091" s="1" t="s">
        <v>0</v>
      </c>
      <c r="I14091" s="2">
        <v>0</v>
      </c>
      <c r="J14091" s="1">
        <v>46062.612291666665</v>
      </c>
    </row>
    <row r="14092" spans="1:10" x14ac:dyDescent="0.2">
      <c r="A14092" s="4" t="s">
        <v>1</v>
      </c>
      <c r="B14092" s="3" t="str">
        <f>HYPERLINK("https://otsuka-europe-crm.veevavault.com/ui/#object/approved_document__v/V5O00000000P008", "LUP - Congreso EAS- SER 2026 - reuma")</f>
        <v>LUP - Congreso EAS- SER 2026 - reuma</v>
      </c>
      <c r="C14092" s="3" t="str">
        <f>HYPERLINK("https://otsuka-europe-crm.veevavault.com/ui/#object/sent_email__v/VBL00000001C299", "SE-001403563")</f>
        <v>SE-001403563</v>
      </c>
      <c r="D14092" s="1">
        <v>46062.692557870374</v>
      </c>
      <c r="E14092" s="2">
        <v>1</v>
      </c>
      <c r="F14092" s="2">
        <v>1</v>
      </c>
      <c r="G14092" s="2">
        <v>0</v>
      </c>
      <c r="H14092" s="1" t="s">
        <v>0</v>
      </c>
      <c r="I14092" s="2">
        <v>0</v>
      </c>
      <c r="J14092" s="1">
        <v>46062.612453703703</v>
      </c>
    </row>
    <row r="14093" spans="1:10" x14ac:dyDescent="0.2">
      <c r="A14093" s="4" t="s">
        <v>1</v>
      </c>
      <c r="B14093" s="3" t="str">
        <f>HYPERLINK("https://otsuka-europe-crm.veevavault.com/ui/#object/approved_document__v/V5O00000000P008", "LUP - Congreso EAS- SER 2026 - reuma")</f>
        <v>LUP - Congreso EAS- SER 2026 - reuma</v>
      </c>
      <c r="C14093" s="3" t="str">
        <f>HYPERLINK("https://otsuka-europe-crm.veevavault.com/ui/#object/sent_email__v/VBL00000001C300", "SE-001403564")</f>
        <v>SE-001403564</v>
      </c>
      <c r="D14093" s="1">
        <v>46063.724224537036</v>
      </c>
      <c r="E14093" s="2">
        <v>1</v>
      </c>
      <c r="F14093" s="2">
        <v>1</v>
      </c>
      <c r="G14093" s="2">
        <v>0</v>
      </c>
      <c r="H14093" s="1" t="s">
        <v>0</v>
      </c>
      <c r="I14093" s="2">
        <v>0</v>
      </c>
      <c r="J14093" s="1">
        <v>46062.612627314818</v>
      </c>
    </row>
    <row r="14094" spans="1:10" x14ac:dyDescent="0.2">
      <c r="A14094" s="4" t="s">
        <v>1</v>
      </c>
      <c r="B14094" s="3" t="str">
        <f>HYPERLINK("https://otsuka-europe-crm.veevavault.com/ui/#object/approved_document__v/V5O00000000P008", "LUP - Congreso EAS- SER 2026 - reuma")</f>
        <v>LUP - Congreso EAS- SER 2026 - reuma</v>
      </c>
      <c r="C14094" s="3" t="str">
        <f>HYPERLINK("https://otsuka-europe-crm.veevavault.com/ui/#object/sent_email__v/VBL00000001C301", "SE-001403565")</f>
        <v>SE-001403565</v>
      </c>
      <c r="D14094" s="1" t="s">
        <v>0</v>
      </c>
      <c r="E14094" s="2">
        <v>0</v>
      </c>
      <c r="F14094" s="2">
        <v>0</v>
      </c>
      <c r="G14094" s="2">
        <v>0</v>
      </c>
      <c r="H14094" s="1" t="s">
        <v>0</v>
      </c>
      <c r="I14094" s="2">
        <v>0</v>
      </c>
      <c r="J14094" s="1">
        <v>46062.612800925926</v>
      </c>
    </row>
    <row r="14095" spans="1:10" x14ac:dyDescent="0.2">
      <c r="A14095" s="4" t="s">
        <v>1</v>
      </c>
      <c r="B14095" s="3" t="str">
        <f>HYPERLINK("https://otsuka-europe-crm.veevavault.com/ui/#object/approved_document__v/V5O00000000P008", "LUP - Congreso EAS- SER 2026 - reuma")</f>
        <v>LUP - Congreso EAS- SER 2026 - reuma</v>
      </c>
      <c r="C14095" s="3" t="str">
        <f>HYPERLINK("https://otsuka-europe-crm.veevavault.com/ui/#object/sent_email__v/VBL00000001C302", "SE-001403566")</f>
        <v>SE-001403566</v>
      </c>
      <c r="D14095" s="1">
        <v>46062.698657407411</v>
      </c>
      <c r="E14095" s="2">
        <v>1</v>
      </c>
      <c r="F14095" s="2">
        <v>2</v>
      </c>
      <c r="G14095" s="2">
        <v>0</v>
      </c>
      <c r="H14095" s="1" t="s">
        <v>0</v>
      </c>
      <c r="I14095" s="2">
        <v>0</v>
      </c>
      <c r="J14095" s="1">
        <v>46062.612951388888</v>
      </c>
    </row>
    <row r="14096" spans="1:10" x14ac:dyDescent="0.2">
      <c r="A14096" s="4" t="s">
        <v>1</v>
      </c>
      <c r="B14096" s="3" t="str">
        <f>HYPERLINK("https://otsuka-europe-crm.veevavault.com/ui/#object/approved_document__v/V5O00000000P008", "LUP - Congreso EAS- SER 2026 - reuma")</f>
        <v>LUP - Congreso EAS- SER 2026 - reuma</v>
      </c>
      <c r="C14096" s="3" t="str">
        <f>HYPERLINK("https://otsuka-europe-crm.veevavault.com/ui/#object/sent_email__v/VBL00000001C303", "SE-001403567")</f>
        <v>SE-001403567</v>
      </c>
      <c r="D14096" s="1">
        <v>46062.635243055556</v>
      </c>
      <c r="E14096" s="2">
        <v>1</v>
      </c>
      <c r="F14096" s="2">
        <v>1</v>
      </c>
      <c r="G14096" s="2">
        <v>0</v>
      </c>
      <c r="H14096" s="1" t="s">
        <v>0</v>
      </c>
      <c r="I14096" s="2">
        <v>0</v>
      </c>
      <c r="J14096" s="1">
        <v>46062.613125000003</v>
      </c>
    </row>
    <row r="14097" spans="1:10" x14ac:dyDescent="0.2">
      <c r="A14097" s="4" t="s">
        <v>1</v>
      </c>
      <c r="B14097" s="3" t="str">
        <f>HYPERLINK("https://otsuka-europe-crm.veevavault.com/ui/#object/approved_document__v/V5O00000000P008", "LUP - Congreso EAS- SER 2026 - reuma")</f>
        <v>LUP - Congreso EAS- SER 2026 - reuma</v>
      </c>
      <c r="C14097" s="3" t="str">
        <f>HYPERLINK("https://otsuka-europe-crm.veevavault.com/ui/#object/sent_email__v/VBL00000001E405", "SE-001404919")</f>
        <v>SE-001404919</v>
      </c>
      <c r="D14097" s="1" t="s">
        <v>0</v>
      </c>
      <c r="E14097" s="2">
        <v>0</v>
      </c>
      <c r="F14097" s="2">
        <v>0</v>
      </c>
      <c r="G14097" s="2">
        <v>0</v>
      </c>
      <c r="H14097" s="1" t="s">
        <v>0</v>
      </c>
      <c r="I14097" s="2">
        <v>0</v>
      </c>
      <c r="J14097" s="1">
        <v>46072.391886574071</v>
      </c>
    </row>
    <row r="14098" spans="1:10" x14ac:dyDescent="0.2">
      <c r="A14098" s="4" t="s">
        <v>1</v>
      </c>
      <c r="B14098" s="3" t="str">
        <f>HYPERLINK("https://otsuka-europe-crm.veevavault.com/ui/#object/approved_document__v/V5O00000000P008", "LUP - Congreso EAS- SER 2026 - reuma")</f>
        <v>LUP - Congreso EAS- SER 2026 - reuma</v>
      </c>
      <c r="C14098" s="3" t="str">
        <f>HYPERLINK("https://otsuka-europe-crm.veevavault.com/ui/#object/sent_email__v/VBL00000001E406", "SE-001404920")</f>
        <v>SE-001404920</v>
      </c>
      <c r="D14098" s="1" t="s">
        <v>0</v>
      </c>
      <c r="E14098" s="2">
        <v>0</v>
      </c>
      <c r="F14098" s="2">
        <v>0</v>
      </c>
      <c r="G14098" s="2">
        <v>0</v>
      </c>
      <c r="H14098" s="1" t="s">
        <v>0</v>
      </c>
      <c r="I14098" s="2">
        <v>0</v>
      </c>
      <c r="J14098" s="1">
        <v>46072.391932870371</v>
      </c>
    </row>
    <row r="14099" spans="1:10" x14ac:dyDescent="0.2">
      <c r="A14099" s="4" t="s">
        <v>1</v>
      </c>
      <c r="B14099" s="3" t="str">
        <f>HYPERLINK("https://otsuka-europe-crm.veevavault.com/ui/#object/approved_document__v/V5O00000000P008", "LUP - Congreso EAS- SER 2026 - reuma")</f>
        <v>LUP - Congreso EAS- SER 2026 - reuma</v>
      </c>
      <c r="C14099" s="3" t="str">
        <f>HYPERLINK("https://otsuka-europe-crm.veevavault.com/ui/#object/sent_email__v/VBL00000001E407", "SE-001404921")</f>
        <v>SE-001404921</v>
      </c>
      <c r="D14099" s="1" t="s">
        <v>0</v>
      </c>
      <c r="E14099" s="2">
        <v>0</v>
      </c>
      <c r="F14099" s="2">
        <v>0</v>
      </c>
      <c r="G14099" s="2">
        <v>0</v>
      </c>
      <c r="H14099" s="1" t="s">
        <v>0</v>
      </c>
      <c r="I14099" s="2">
        <v>0</v>
      </c>
      <c r="J14099" s="1">
        <v>46072.391921296294</v>
      </c>
    </row>
    <row r="14100" spans="1:10" x14ac:dyDescent="0.2">
      <c r="A14100" s="4" t="s">
        <v>1</v>
      </c>
      <c r="B14100" s="3" t="str">
        <f>HYPERLINK("https://otsuka-europe-crm.veevavault.com/ui/#object/approved_document__v/V5O00000000P008", "LUP - Congreso EAS- SER 2026 - reuma")</f>
        <v>LUP - Congreso EAS- SER 2026 - reuma</v>
      </c>
      <c r="C14100" s="3" t="str">
        <f>HYPERLINK("https://otsuka-europe-crm.veevavault.com/ui/#object/sent_email__v/VBL00000001E408", "SE-001404922")</f>
        <v>SE-001404922</v>
      </c>
      <c r="D14100" s="1" t="s">
        <v>0</v>
      </c>
      <c r="E14100" s="2">
        <v>0</v>
      </c>
      <c r="F14100" s="2">
        <v>0</v>
      </c>
      <c r="G14100" s="2">
        <v>0</v>
      </c>
      <c r="H14100" s="1" t="s">
        <v>0</v>
      </c>
      <c r="I14100" s="2">
        <v>0</v>
      </c>
      <c r="J14100" s="1">
        <v>46072.391932870371</v>
      </c>
    </row>
    <row r="14101" spans="1:10" x14ac:dyDescent="0.2">
      <c r="A14101" s="4" t="s">
        <v>1</v>
      </c>
      <c r="B14101" s="3" t="str">
        <f>HYPERLINK("https://otsuka-europe-crm.veevavault.com/ui/#object/approved_document__v/V5O00000000P008", "LUP - Congreso EAS- SER 2026 - reuma")</f>
        <v>LUP - Congreso EAS- SER 2026 - reuma</v>
      </c>
      <c r="C14101" s="3" t="str">
        <f>HYPERLINK("https://otsuka-europe-crm.veevavault.com/ui/#object/sent_email__v/VBL00000001E409", "SE-001404923")</f>
        <v>SE-001404923</v>
      </c>
      <c r="D14101" s="1" t="s">
        <v>0</v>
      </c>
      <c r="E14101" s="2">
        <v>0</v>
      </c>
      <c r="F14101" s="2">
        <v>0</v>
      </c>
      <c r="G14101" s="2">
        <v>0</v>
      </c>
      <c r="H14101" s="1" t="s">
        <v>0</v>
      </c>
      <c r="I14101" s="2">
        <v>0</v>
      </c>
      <c r="J14101" s="1">
        <v>46072.391921296294</v>
      </c>
    </row>
    <row r="14102" spans="1:10" x14ac:dyDescent="0.2">
      <c r="A14102" s="4" t="s">
        <v>1</v>
      </c>
      <c r="B14102" s="3" t="str">
        <f>HYPERLINK("https://otsuka-europe-crm.veevavault.com/ui/#object/approved_document__v/V5O00000000P008", "LUP - Congreso EAS- SER 2026 - reuma")</f>
        <v>LUP - Congreso EAS- SER 2026 - reuma</v>
      </c>
      <c r="C14102" s="3" t="str">
        <f>HYPERLINK("https://otsuka-europe-crm.veevavault.com/ui/#object/sent_email__v/VBL00000001E410", "SE-001404924")</f>
        <v>SE-001404924</v>
      </c>
      <c r="D14102" s="1" t="s">
        <v>0</v>
      </c>
      <c r="E14102" s="2">
        <v>0</v>
      </c>
      <c r="F14102" s="2">
        <v>0</v>
      </c>
      <c r="G14102" s="2">
        <v>0</v>
      </c>
      <c r="H14102" s="1" t="s">
        <v>0</v>
      </c>
      <c r="I14102" s="2">
        <v>0</v>
      </c>
      <c r="J14102" s="1">
        <v>46072.391932870371</v>
      </c>
    </row>
    <row r="14103" spans="1:10" x14ac:dyDescent="0.2">
      <c r="A14103" s="4" t="s">
        <v>1</v>
      </c>
      <c r="B14103" s="3" t="str">
        <f>HYPERLINK("https://otsuka-europe-crm.veevavault.com/ui/#object/approved_document__v/V5O00000000P008", "LUP - Congreso EAS- SER 2026 - reuma")</f>
        <v>LUP - Congreso EAS- SER 2026 - reuma</v>
      </c>
      <c r="C14103" s="3" t="str">
        <f>HYPERLINK("https://otsuka-europe-crm.veevavault.com/ui/#object/sent_email__v/VBL00000001E411", "SE-001404925")</f>
        <v>SE-001404925</v>
      </c>
      <c r="D14103" s="1" t="s">
        <v>0</v>
      </c>
      <c r="E14103" s="2">
        <v>0</v>
      </c>
      <c r="F14103" s="2">
        <v>0</v>
      </c>
      <c r="G14103" s="2">
        <v>0</v>
      </c>
      <c r="H14103" s="1" t="s">
        <v>0</v>
      </c>
      <c r="I14103" s="2">
        <v>0</v>
      </c>
      <c r="J14103" s="1">
        <v>46072.391932870371</v>
      </c>
    </row>
    <row r="14104" spans="1:10" x14ac:dyDescent="0.2">
      <c r="A14104" s="4" t="s">
        <v>1</v>
      </c>
      <c r="B14104" s="3" t="str">
        <f>HYPERLINK("https://otsuka-europe-crm.veevavault.com/ui/#object/approved_document__v/V5O00000000P008", "LUP - Congreso EAS- SER 2026 - reuma")</f>
        <v>LUP - Congreso EAS- SER 2026 - reuma</v>
      </c>
      <c r="C14104" s="3" t="str">
        <f>HYPERLINK("https://otsuka-europe-crm.veevavault.com/ui/#object/sent_email__v/VBL00000001E412", "SE-001404926")</f>
        <v>SE-001404926</v>
      </c>
      <c r="D14104" s="1" t="s">
        <v>0</v>
      </c>
      <c r="E14104" s="2">
        <v>0</v>
      </c>
      <c r="F14104" s="2">
        <v>0</v>
      </c>
      <c r="G14104" s="2">
        <v>0</v>
      </c>
      <c r="H14104" s="1" t="s">
        <v>0</v>
      </c>
      <c r="I14104" s="2">
        <v>0</v>
      </c>
      <c r="J14104" s="1">
        <v>46072.391932870371</v>
      </c>
    </row>
    <row r="14105" spans="1:10" x14ac:dyDescent="0.2">
      <c r="A14105" s="4" t="s">
        <v>1</v>
      </c>
      <c r="B14105" s="3" t="str">
        <f>HYPERLINK("https://otsuka-europe-crm.veevavault.com/ui/#object/approved_document__v/V5O00000000P008", "LUP - Congreso EAS- SER 2026 - reuma")</f>
        <v>LUP - Congreso EAS- SER 2026 - reuma</v>
      </c>
      <c r="C14105" s="3" t="str">
        <f>HYPERLINK("https://otsuka-europe-crm.veevavault.com/ui/#object/sent_email__v/VBL00000001E413", "SE-001404927")</f>
        <v>SE-001404927</v>
      </c>
      <c r="D14105" s="1" t="s">
        <v>0</v>
      </c>
      <c r="E14105" s="2">
        <v>0</v>
      </c>
      <c r="F14105" s="2">
        <v>0</v>
      </c>
      <c r="G14105" s="2">
        <v>0</v>
      </c>
      <c r="H14105" s="1" t="s">
        <v>0</v>
      </c>
      <c r="I14105" s="2">
        <v>0</v>
      </c>
      <c r="J14105" s="1">
        <v>46072.391932870371</v>
      </c>
    </row>
    <row r="14106" spans="1:10" x14ac:dyDescent="0.2">
      <c r="A14106" s="4" t="s">
        <v>1</v>
      </c>
      <c r="B14106" s="3" t="str">
        <f>HYPERLINK("https://otsuka-europe-crm.veevavault.com/ui/#object/approved_document__v/V5O00000000P008", "LUP - Congreso EAS- SER 2026 - reuma")</f>
        <v>LUP - Congreso EAS- SER 2026 - reuma</v>
      </c>
      <c r="C14106" s="3" t="str">
        <f>HYPERLINK("https://otsuka-europe-crm.veevavault.com/ui/#object/sent_email__v/VBL00000001E414", "SE-001404928")</f>
        <v>SE-001404928</v>
      </c>
      <c r="D14106" s="1" t="s">
        <v>0</v>
      </c>
      <c r="E14106" s="2">
        <v>0</v>
      </c>
      <c r="F14106" s="2">
        <v>0</v>
      </c>
      <c r="G14106" s="2">
        <v>0</v>
      </c>
      <c r="H14106" s="1" t="s">
        <v>0</v>
      </c>
      <c r="I14106" s="2">
        <v>0</v>
      </c>
      <c r="J14106" s="1">
        <v>46072.391932870371</v>
      </c>
    </row>
    <row r="14107" spans="1:10" x14ac:dyDescent="0.2">
      <c r="A14107" s="4" t="s">
        <v>1</v>
      </c>
      <c r="B14107" s="3" t="str">
        <f>HYPERLINK("https://otsuka-europe-crm.veevavault.com/ui/#object/approved_document__v/V5O00000000P008", "LUP - Congreso EAS- SER 2026 - reuma")</f>
        <v>LUP - Congreso EAS- SER 2026 - reuma</v>
      </c>
      <c r="C14107" s="3" t="str">
        <f>HYPERLINK("https://otsuka-europe-crm.veevavault.com/ui/#object/sent_email__v/VBL00000001E415", "SE-001404929")</f>
        <v>SE-001404929</v>
      </c>
      <c r="D14107" s="1" t="s">
        <v>0</v>
      </c>
      <c r="E14107" s="2">
        <v>0</v>
      </c>
      <c r="F14107" s="2">
        <v>0</v>
      </c>
      <c r="G14107" s="2">
        <v>0</v>
      </c>
      <c r="H14107" s="1" t="s">
        <v>0</v>
      </c>
      <c r="I14107" s="2">
        <v>0</v>
      </c>
      <c r="J14107" s="1">
        <v>46072.391932870371</v>
      </c>
    </row>
    <row r="14108" spans="1:10" x14ac:dyDescent="0.2">
      <c r="A14108" s="4" t="s">
        <v>1</v>
      </c>
      <c r="B14108" s="3" t="str">
        <f>HYPERLINK("https://otsuka-europe-crm.veevavault.com/ui/#object/approved_document__v/V5O00000000P008", "LUP - Congreso EAS- SER 2026 - reuma")</f>
        <v>LUP - Congreso EAS- SER 2026 - reuma</v>
      </c>
      <c r="C14108" s="3" t="str">
        <f>HYPERLINK("https://otsuka-europe-crm.veevavault.com/ui/#object/sent_email__v/VBL00000001E416", "SE-001404930")</f>
        <v>SE-001404930</v>
      </c>
      <c r="D14108" s="1" t="s">
        <v>0</v>
      </c>
      <c r="E14108" s="2">
        <v>0</v>
      </c>
      <c r="F14108" s="2">
        <v>0</v>
      </c>
      <c r="G14108" s="2">
        <v>0</v>
      </c>
      <c r="H14108" s="1" t="s">
        <v>0</v>
      </c>
      <c r="I14108" s="2">
        <v>0</v>
      </c>
      <c r="J14108" s="1">
        <v>46072.391932870371</v>
      </c>
    </row>
    <row r="14109" spans="1:10" x14ac:dyDescent="0.2">
      <c r="A14109" s="4" t="s">
        <v>1</v>
      </c>
      <c r="B14109" s="3" t="str">
        <f>HYPERLINK("https://otsuka-europe-crm.veevavault.com/ui/#object/approved_document__v/V5O00000000P008", "LUP - Congreso EAS- SER 2026 - reuma")</f>
        <v>LUP - Congreso EAS- SER 2026 - reuma</v>
      </c>
      <c r="C14109" s="3" t="str">
        <f>HYPERLINK("https://otsuka-europe-crm.veevavault.com/ui/#object/sent_email__v/VBL00000001E417", "SE-001404931")</f>
        <v>SE-001404931</v>
      </c>
      <c r="D14109" s="1" t="s">
        <v>0</v>
      </c>
      <c r="E14109" s="2">
        <v>0</v>
      </c>
      <c r="F14109" s="2">
        <v>0</v>
      </c>
      <c r="G14109" s="2">
        <v>0</v>
      </c>
      <c r="H14109" s="1" t="s">
        <v>0</v>
      </c>
      <c r="I14109" s="2">
        <v>0</v>
      </c>
      <c r="J14109" s="1">
        <v>46072.391932870371</v>
      </c>
    </row>
    <row r="14110" spans="1:10" x14ac:dyDescent="0.2">
      <c r="A14110" s="4" t="s">
        <v>1</v>
      </c>
      <c r="B14110" s="3" t="str">
        <f>HYPERLINK("https://otsuka-europe-crm.veevavault.com/ui/#object/approved_document__v/V5O00000000P008", "LUP - Congreso EAS- SER 2026 - reuma")</f>
        <v>LUP - Congreso EAS- SER 2026 - reuma</v>
      </c>
      <c r="C14110" s="3" t="str">
        <f>HYPERLINK("https://otsuka-europe-crm.veevavault.com/ui/#object/sent_email__v/VBL00000001E418", "SE-001404932")</f>
        <v>SE-001404932</v>
      </c>
      <c r="D14110" s="1" t="s">
        <v>0</v>
      </c>
      <c r="E14110" s="2">
        <v>0</v>
      </c>
      <c r="F14110" s="2">
        <v>0</v>
      </c>
      <c r="G14110" s="2">
        <v>0</v>
      </c>
      <c r="H14110" s="1" t="s">
        <v>0</v>
      </c>
      <c r="I14110" s="2">
        <v>0</v>
      </c>
      <c r="J14110" s="1">
        <v>46072.391932870371</v>
      </c>
    </row>
    <row r="14111" spans="1:10" x14ac:dyDescent="0.2">
      <c r="A14111" s="4" t="s">
        <v>1</v>
      </c>
      <c r="B14111" s="3" t="str">
        <f>HYPERLINK("https://otsuka-europe-crm.veevavault.com/ui/#object/approved_document__v/V5O00000000P008", "LUP - Congreso EAS- SER 2026 - reuma")</f>
        <v>LUP - Congreso EAS- SER 2026 - reuma</v>
      </c>
      <c r="C14111" s="3" t="str">
        <f>HYPERLINK("https://otsuka-europe-crm.veevavault.com/ui/#object/sent_email__v/VBL00000001E419", "SE-001404933")</f>
        <v>SE-001404933</v>
      </c>
      <c r="D14111" s="1" t="s">
        <v>0</v>
      </c>
      <c r="E14111" s="2">
        <v>0</v>
      </c>
      <c r="F14111" s="2">
        <v>0</v>
      </c>
      <c r="G14111" s="2">
        <v>0</v>
      </c>
      <c r="H14111" s="1" t="s">
        <v>0</v>
      </c>
      <c r="I14111" s="2">
        <v>0</v>
      </c>
      <c r="J14111" s="1">
        <v>46072.391956018517</v>
      </c>
    </row>
    <row r="14112" spans="1:10" x14ac:dyDescent="0.2">
      <c r="A14112" s="4" t="s">
        <v>1</v>
      </c>
      <c r="B14112" s="3" t="str">
        <f>HYPERLINK("https://otsuka-europe-crm.veevavault.com/ui/#object/approved_document__v/V5O00000000P008", "LUP - Congreso EAS- SER 2026 - reuma")</f>
        <v>LUP - Congreso EAS- SER 2026 - reuma</v>
      </c>
      <c r="C14112" s="3" t="str">
        <f>HYPERLINK("https://otsuka-europe-crm.veevavault.com/ui/#object/sent_email__v/VBL00000001E420", "SE-001404934")</f>
        <v>SE-001404934</v>
      </c>
      <c r="D14112" s="1" t="s">
        <v>0</v>
      </c>
      <c r="E14112" s="2">
        <v>0</v>
      </c>
      <c r="F14112" s="2">
        <v>0</v>
      </c>
      <c r="G14112" s="2">
        <v>0</v>
      </c>
      <c r="H14112" s="1" t="s">
        <v>0</v>
      </c>
      <c r="I14112" s="2">
        <v>0</v>
      </c>
      <c r="J14112" s="1">
        <v>46072.391956018517</v>
      </c>
    </row>
    <row r="14113" spans="1:10" x14ac:dyDescent="0.2">
      <c r="A14113" s="4" t="s">
        <v>1</v>
      </c>
      <c r="B14113" s="3" t="str">
        <f>HYPERLINK("https://otsuka-europe-crm.veevavault.com/ui/#object/approved_document__v/V5O00000000P008", "LUP - Congreso EAS- SER 2026 - reuma")</f>
        <v>LUP - Congreso EAS- SER 2026 - reuma</v>
      </c>
      <c r="C14113" s="3" t="str">
        <f>HYPERLINK("https://otsuka-europe-crm.veevavault.com/ui/#object/sent_email__v/VBL00000001E421", "SE-001404935")</f>
        <v>SE-001404935</v>
      </c>
      <c r="D14113" s="1" t="s">
        <v>0</v>
      </c>
      <c r="E14113" s="2">
        <v>0</v>
      </c>
      <c r="F14113" s="2">
        <v>0</v>
      </c>
      <c r="G14113" s="2">
        <v>0</v>
      </c>
      <c r="H14113" s="1" t="s">
        <v>0</v>
      </c>
      <c r="I14113" s="2">
        <v>0</v>
      </c>
      <c r="J14113" s="1">
        <v>46072.391956018517</v>
      </c>
    </row>
    <row r="14114" spans="1:10" x14ac:dyDescent="0.2">
      <c r="A14114" s="4" t="s">
        <v>1</v>
      </c>
      <c r="B14114" s="3" t="str">
        <f>HYPERLINK("https://otsuka-europe-crm.veevavault.com/ui/#object/approved_document__v/V5O00000000P008", "LUP - Congreso EAS- SER 2026 - reuma")</f>
        <v>LUP - Congreso EAS- SER 2026 - reuma</v>
      </c>
      <c r="C14114" s="3" t="str">
        <f>HYPERLINK("https://otsuka-europe-crm.veevavault.com/ui/#object/sent_email__v/VBL00000001E422", "SE-001404936")</f>
        <v>SE-001404936</v>
      </c>
      <c r="D14114" s="1" t="s">
        <v>0</v>
      </c>
      <c r="E14114" s="2">
        <v>0</v>
      </c>
      <c r="F14114" s="2">
        <v>0</v>
      </c>
      <c r="G14114" s="2">
        <v>0</v>
      </c>
      <c r="H14114" s="1" t="s">
        <v>0</v>
      </c>
      <c r="I14114" s="2">
        <v>0</v>
      </c>
      <c r="J14114" s="1">
        <v>46072.391956018517</v>
      </c>
    </row>
    <row r="14115" spans="1:10" x14ac:dyDescent="0.2">
      <c r="A14115" s="4" t="s">
        <v>1</v>
      </c>
      <c r="B14115" s="3" t="str">
        <f>HYPERLINK("https://otsuka-europe-crm.veevavault.com/ui/#object/approved_document__v/V5O00000000P008", "LUP - Congreso EAS- SER 2026 - reuma")</f>
        <v>LUP - Congreso EAS- SER 2026 - reuma</v>
      </c>
      <c r="C14115" s="3" t="str">
        <f>HYPERLINK("https://otsuka-europe-crm.veevavault.com/ui/#object/sent_email__v/VBL00000001E423", "SE-001404937")</f>
        <v>SE-001404937</v>
      </c>
      <c r="D14115" s="1" t="s">
        <v>0</v>
      </c>
      <c r="E14115" s="2">
        <v>0</v>
      </c>
      <c r="F14115" s="2">
        <v>0</v>
      </c>
      <c r="G14115" s="2">
        <v>0</v>
      </c>
      <c r="H14115" s="1" t="s">
        <v>0</v>
      </c>
      <c r="I14115" s="2">
        <v>0</v>
      </c>
      <c r="J14115" s="1">
        <v>46072.391956018517</v>
      </c>
    </row>
    <row r="14116" spans="1:10" x14ac:dyDescent="0.2">
      <c r="A14116" s="4" t="s">
        <v>1</v>
      </c>
      <c r="B14116" s="3" t="str">
        <f>HYPERLINK("https://otsuka-europe-crm.veevavault.com/ui/#object/approved_document__v/V5O00000000P008", "LUP - Congreso EAS- SER 2026 - reuma")</f>
        <v>LUP - Congreso EAS- SER 2026 - reuma</v>
      </c>
      <c r="C14116" s="3" t="str">
        <f>HYPERLINK("https://otsuka-europe-crm.veevavault.com/ui/#object/sent_email__v/VBL00000001E424", "SE-001404938")</f>
        <v>SE-001404938</v>
      </c>
      <c r="D14116" s="1" t="s">
        <v>0</v>
      </c>
      <c r="E14116" s="2">
        <v>0</v>
      </c>
      <c r="F14116" s="2">
        <v>0</v>
      </c>
      <c r="G14116" s="2">
        <v>0</v>
      </c>
      <c r="H14116" s="1" t="s">
        <v>0</v>
      </c>
      <c r="I14116" s="2">
        <v>0</v>
      </c>
      <c r="J14116" s="1">
        <v>46072.391944444447</v>
      </c>
    </row>
    <row r="14117" spans="1:10" x14ac:dyDescent="0.2">
      <c r="A14117" s="4" t="s">
        <v>1</v>
      </c>
      <c r="B14117" s="3" t="str">
        <f>HYPERLINK("https://otsuka-europe-crm.veevavault.com/ui/#object/approved_document__v/V5O00000000P008", "LUP - Congreso EAS- SER 2026 - reuma")</f>
        <v>LUP - Congreso EAS- SER 2026 - reuma</v>
      </c>
      <c r="C14117" s="3" t="str">
        <f>HYPERLINK("https://otsuka-europe-crm.veevavault.com/ui/#object/sent_email__v/VBL00000001E425", "SE-001404939")</f>
        <v>SE-001404939</v>
      </c>
      <c r="D14117" s="1" t="s">
        <v>0</v>
      </c>
      <c r="E14117" s="2">
        <v>0</v>
      </c>
      <c r="F14117" s="2">
        <v>0</v>
      </c>
      <c r="G14117" s="2">
        <v>0</v>
      </c>
      <c r="H14117" s="1" t="s">
        <v>0</v>
      </c>
      <c r="I14117" s="2">
        <v>0</v>
      </c>
      <c r="J14117" s="1">
        <v>46072.391956018517</v>
      </c>
    </row>
    <row r="14118" spans="1:10" x14ac:dyDescent="0.2">
      <c r="A14118" s="4" t="s">
        <v>1</v>
      </c>
      <c r="B14118" s="3" t="str">
        <f>HYPERLINK("https://otsuka-europe-crm.veevavault.com/ui/#object/approved_document__v/V5O00000000P008", "LUP - Congreso EAS- SER 2026 - reuma")</f>
        <v>LUP - Congreso EAS- SER 2026 - reuma</v>
      </c>
      <c r="C14118" s="3" t="str">
        <f>HYPERLINK("https://otsuka-europe-crm.veevavault.com/ui/#object/sent_email__v/VBL00000001E426", "SE-001404940")</f>
        <v>SE-001404940</v>
      </c>
      <c r="D14118" s="1" t="s">
        <v>0</v>
      </c>
      <c r="E14118" s="2">
        <v>0</v>
      </c>
      <c r="F14118" s="2">
        <v>0</v>
      </c>
      <c r="G14118" s="2">
        <v>0</v>
      </c>
      <c r="H14118" s="1" t="s">
        <v>0</v>
      </c>
      <c r="I14118" s="2">
        <v>0</v>
      </c>
      <c r="J14118" s="1">
        <v>46072.391944444447</v>
      </c>
    </row>
    <row r="14119" spans="1:10" x14ac:dyDescent="0.2">
      <c r="A14119" s="4" t="s">
        <v>1</v>
      </c>
      <c r="B14119" s="3" t="str">
        <f>HYPERLINK("https://otsuka-europe-crm.veevavault.com/ui/#object/approved_document__v/V5O00000000P008", "LUP - Congreso EAS- SER 2026 - reuma")</f>
        <v>LUP - Congreso EAS- SER 2026 - reuma</v>
      </c>
      <c r="C14119" s="3" t="str">
        <f>HYPERLINK("https://otsuka-europe-crm.veevavault.com/ui/#object/sent_email__v/VBL00000001E427", "SE-001404941")</f>
        <v>SE-001404941</v>
      </c>
      <c r="D14119" s="1" t="s">
        <v>0</v>
      </c>
      <c r="E14119" s="2">
        <v>0</v>
      </c>
      <c r="F14119" s="2">
        <v>0</v>
      </c>
      <c r="G14119" s="2">
        <v>0</v>
      </c>
      <c r="H14119" s="1" t="s">
        <v>0</v>
      </c>
      <c r="I14119" s="2">
        <v>0</v>
      </c>
      <c r="J14119" s="1">
        <v>46072.391944444447</v>
      </c>
    </row>
    <row r="14120" spans="1:10" x14ac:dyDescent="0.2">
      <c r="A14120" s="4" t="s">
        <v>1</v>
      </c>
      <c r="B14120" s="3" t="str">
        <f>HYPERLINK("https://otsuka-europe-crm.veevavault.com/ui/#object/approved_document__v/V5O00000000P008", "LUP - Congreso EAS- SER 2026 - reuma")</f>
        <v>LUP - Congreso EAS- SER 2026 - reuma</v>
      </c>
      <c r="C14120" s="3" t="str">
        <f>HYPERLINK("https://otsuka-europe-crm.veevavault.com/ui/#object/sent_email__v/VBL00000001E428", "SE-001404942")</f>
        <v>SE-001404942</v>
      </c>
      <c r="D14120" s="1" t="s">
        <v>0</v>
      </c>
      <c r="E14120" s="2">
        <v>0</v>
      </c>
      <c r="F14120" s="2">
        <v>0</v>
      </c>
      <c r="G14120" s="2">
        <v>0</v>
      </c>
      <c r="H14120" s="1" t="s">
        <v>0</v>
      </c>
      <c r="I14120" s="2">
        <v>0</v>
      </c>
      <c r="J14120" s="1">
        <v>46072.391956018517</v>
      </c>
    </row>
    <row r="14121" spans="1:10" x14ac:dyDescent="0.2">
      <c r="A14121" s="4" t="s">
        <v>1</v>
      </c>
      <c r="B14121" s="3" t="str">
        <f>HYPERLINK("https://otsuka-europe-crm.veevavault.com/ui/#object/approved_document__v/V5O00000000P008", "LUP - Congreso EAS- SER 2026 - reuma")</f>
        <v>LUP - Congreso EAS- SER 2026 - reuma</v>
      </c>
      <c r="C14121" s="3" t="str">
        <f>HYPERLINK("https://otsuka-europe-crm.veevavault.com/ui/#object/sent_email__v/VBL00000001E429", "SE-001404943")</f>
        <v>SE-001404943</v>
      </c>
      <c r="D14121" s="1" t="s">
        <v>0</v>
      </c>
      <c r="E14121" s="2">
        <v>0</v>
      </c>
      <c r="F14121" s="2">
        <v>0</v>
      </c>
      <c r="G14121" s="2">
        <v>0</v>
      </c>
      <c r="H14121" s="1" t="s">
        <v>0</v>
      </c>
      <c r="I14121" s="2">
        <v>0</v>
      </c>
      <c r="J14121" s="1">
        <v>46072.391956018517</v>
      </c>
    </row>
    <row r="14122" spans="1:10" x14ac:dyDescent="0.2">
      <c r="A14122" s="4" t="s">
        <v>1</v>
      </c>
      <c r="B14122" s="3" t="str">
        <f>HYPERLINK("https://otsuka-europe-crm.veevavault.com/ui/#object/approved_document__v/V5O00000000P008", "LUP - Congreso EAS- SER 2026 - reuma")</f>
        <v>LUP - Congreso EAS- SER 2026 - reuma</v>
      </c>
      <c r="C14122" s="3" t="str">
        <f>HYPERLINK("https://otsuka-europe-crm.veevavault.com/ui/#object/sent_email__v/VBL00000001E430", "SE-001404944")</f>
        <v>SE-001404944</v>
      </c>
      <c r="D14122" s="1" t="s">
        <v>0</v>
      </c>
      <c r="E14122" s="2">
        <v>0</v>
      </c>
      <c r="F14122" s="2">
        <v>0</v>
      </c>
      <c r="G14122" s="2">
        <v>0</v>
      </c>
      <c r="H14122" s="1" t="s">
        <v>0</v>
      </c>
      <c r="I14122" s="2">
        <v>0</v>
      </c>
      <c r="J14122" s="1">
        <v>46072.391944444447</v>
      </c>
    </row>
    <row r="14123" spans="1:10" x14ac:dyDescent="0.2">
      <c r="A14123" s="4" t="s">
        <v>1</v>
      </c>
      <c r="B14123" s="3" t="str">
        <f>HYPERLINK("https://otsuka-europe-crm.veevavault.com/ui/#object/approved_document__v/V5O00000000P008", "LUP - Congreso EAS- SER 2026 - reuma")</f>
        <v>LUP - Congreso EAS- SER 2026 - reuma</v>
      </c>
      <c r="C14123" s="3" t="str">
        <f>HYPERLINK("https://otsuka-europe-crm.veevavault.com/ui/#object/sent_email__v/VBL00000001E431", "SE-001404945")</f>
        <v>SE-001404945</v>
      </c>
      <c r="D14123" s="1" t="s">
        <v>0</v>
      </c>
      <c r="E14123" s="2">
        <v>0</v>
      </c>
      <c r="F14123" s="2">
        <v>0</v>
      </c>
      <c r="G14123" s="2">
        <v>0</v>
      </c>
      <c r="H14123" s="1" t="s">
        <v>0</v>
      </c>
      <c r="I14123" s="2">
        <v>0</v>
      </c>
      <c r="J14123" s="1">
        <v>46072.391956018517</v>
      </c>
    </row>
    <row r="14124" spans="1:10" x14ac:dyDescent="0.2">
      <c r="A14124" s="4" t="s">
        <v>1</v>
      </c>
      <c r="B14124" s="3" t="str">
        <f>HYPERLINK("https://otsuka-europe-crm.veevavault.com/ui/#object/approved_document__v/V5O00000000P008", "LUP - Congreso EAS- SER 2026 - reuma")</f>
        <v>LUP - Congreso EAS- SER 2026 - reuma</v>
      </c>
      <c r="C14124" s="3" t="str">
        <f>HYPERLINK("https://otsuka-europe-crm.veevavault.com/ui/#object/sent_email__v/VBL00000001E432", "SE-001404946")</f>
        <v>SE-001404946</v>
      </c>
      <c r="D14124" s="1" t="s">
        <v>0</v>
      </c>
      <c r="E14124" s="2">
        <v>0</v>
      </c>
      <c r="F14124" s="2">
        <v>0</v>
      </c>
      <c r="G14124" s="2">
        <v>0</v>
      </c>
      <c r="H14124" s="1" t="s">
        <v>0</v>
      </c>
      <c r="I14124" s="2">
        <v>0</v>
      </c>
      <c r="J14124" s="1">
        <v>46072.391956018517</v>
      </c>
    </row>
    <row r="14125" spans="1:10" x14ac:dyDescent="0.2">
      <c r="A14125" s="4" t="s">
        <v>1</v>
      </c>
      <c r="B14125" s="3" t="str">
        <f>HYPERLINK("https://otsuka-europe-crm.veevavault.com/ui/#object/approved_document__v/V5O00000000P008", "LUP - Congreso EAS- SER 2026 - reuma")</f>
        <v>LUP - Congreso EAS- SER 2026 - reuma</v>
      </c>
      <c r="C14125" s="3" t="str">
        <f>HYPERLINK("https://otsuka-europe-crm.veevavault.com/ui/#object/sent_email__v/VBL00000001E433", "SE-001404947")</f>
        <v>SE-001404947</v>
      </c>
      <c r="D14125" s="1" t="s">
        <v>0</v>
      </c>
      <c r="E14125" s="2">
        <v>0</v>
      </c>
      <c r="F14125" s="2">
        <v>0</v>
      </c>
      <c r="G14125" s="2">
        <v>0</v>
      </c>
      <c r="H14125" s="1" t="s">
        <v>0</v>
      </c>
      <c r="I14125" s="2">
        <v>0</v>
      </c>
      <c r="J14125" s="1">
        <v>46072.391956018517</v>
      </c>
    </row>
    <row r="14126" spans="1:10" x14ac:dyDescent="0.2">
      <c r="A14126" s="4" t="s">
        <v>1</v>
      </c>
      <c r="B14126" s="3" t="str">
        <f>HYPERLINK("https://otsuka-europe-crm.veevavault.com/ui/#object/approved_document__v/V5O00000000P008", "LUP - Congreso EAS- SER 2026 - reuma")</f>
        <v>LUP - Congreso EAS- SER 2026 - reuma</v>
      </c>
      <c r="C14126" s="3" t="str">
        <f>HYPERLINK("https://otsuka-europe-crm.veevavault.com/ui/#object/sent_email__v/VBL00000001E434", "SE-001404948")</f>
        <v>SE-001404948</v>
      </c>
      <c r="D14126" s="1" t="s">
        <v>0</v>
      </c>
      <c r="E14126" s="2">
        <v>0</v>
      </c>
      <c r="F14126" s="2">
        <v>0</v>
      </c>
      <c r="G14126" s="2">
        <v>0</v>
      </c>
      <c r="H14126" s="1" t="s">
        <v>0</v>
      </c>
      <c r="I14126" s="2">
        <v>0</v>
      </c>
      <c r="J14126" s="1">
        <v>46072.391956018517</v>
      </c>
    </row>
    <row r="14127" spans="1:10" x14ac:dyDescent="0.2">
      <c r="A14127" s="4" t="s">
        <v>1</v>
      </c>
      <c r="B14127" s="3" t="str">
        <f>HYPERLINK("https://otsuka-europe-crm.veevavault.com/ui/#object/approved_document__v/V5O00000000P008", "LUP - Congreso EAS- SER 2026 - reuma")</f>
        <v>LUP - Congreso EAS- SER 2026 - reuma</v>
      </c>
      <c r="C14127" s="3" t="str">
        <f>HYPERLINK("https://otsuka-europe-crm.veevavault.com/ui/#object/sent_email__v/VBL00000001E435", "SE-001404949")</f>
        <v>SE-001404949</v>
      </c>
      <c r="D14127" s="1" t="s">
        <v>0</v>
      </c>
      <c r="E14127" s="2">
        <v>0</v>
      </c>
      <c r="F14127" s="2">
        <v>0</v>
      </c>
      <c r="G14127" s="2">
        <v>0</v>
      </c>
      <c r="H14127" s="1" t="s">
        <v>0</v>
      </c>
      <c r="I14127" s="2">
        <v>0</v>
      </c>
      <c r="J14127" s="1">
        <v>46072.391956018517</v>
      </c>
    </row>
    <row r="14128" spans="1:10" x14ac:dyDescent="0.2">
      <c r="A14128" s="4" t="s">
        <v>1</v>
      </c>
      <c r="B14128" s="3" t="str">
        <f>HYPERLINK("https://otsuka-europe-crm.veevavault.com/ui/#object/approved_document__v/V5O00000000P008", "LUP - Congreso EAS- SER 2026 - reuma")</f>
        <v>LUP - Congreso EAS- SER 2026 - reuma</v>
      </c>
      <c r="C14128" s="3" t="str">
        <f>HYPERLINK("https://otsuka-europe-crm.veevavault.com/ui/#object/sent_email__v/VBL00000001E436", "SE-001404950")</f>
        <v>SE-001404950</v>
      </c>
      <c r="D14128" s="1" t="s">
        <v>0</v>
      </c>
      <c r="E14128" s="2">
        <v>0</v>
      </c>
      <c r="F14128" s="2">
        <v>0</v>
      </c>
      <c r="G14128" s="2">
        <v>0</v>
      </c>
      <c r="H14128" s="1" t="s">
        <v>0</v>
      </c>
      <c r="I14128" s="2">
        <v>0</v>
      </c>
      <c r="J14128" s="1">
        <v>46072.391956018517</v>
      </c>
    </row>
    <row r="14129" spans="1:10" x14ac:dyDescent="0.2">
      <c r="A14129" s="4" t="s">
        <v>1</v>
      </c>
      <c r="B14129" s="3" t="str">
        <f>HYPERLINK("https://otsuka-europe-crm.veevavault.com/ui/#object/approved_document__v/V5O00000000P008", "LUP - Congreso EAS- SER 2026 - reuma")</f>
        <v>LUP - Congreso EAS- SER 2026 - reuma</v>
      </c>
      <c r="C14129" s="3" t="str">
        <f>HYPERLINK("https://otsuka-europe-crm.veevavault.com/ui/#object/sent_email__v/VBL00000001E437", "SE-001404951")</f>
        <v>SE-001404951</v>
      </c>
      <c r="D14129" s="1" t="s">
        <v>0</v>
      </c>
      <c r="E14129" s="2">
        <v>0</v>
      </c>
      <c r="F14129" s="2">
        <v>0</v>
      </c>
      <c r="G14129" s="2">
        <v>0</v>
      </c>
      <c r="H14129" s="1" t="s">
        <v>0</v>
      </c>
      <c r="I14129" s="2">
        <v>0</v>
      </c>
      <c r="J14129" s="1">
        <v>46072.391956018517</v>
      </c>
    </row>
    <row r="14130" spans="1:10" x14ac:dyDescent="0.2">
      <c r="A14130" s="4" t="s">
        <v>1</v>
      </c>
      <c r="B14130" s="3" t="str">
        <f>HYPERLINK("https://otsuka-europe-crm.veevavault.com/ui/#object/approved_document__v/V5O00000000P008", "LUP - Congreso EAS- SER 2026 - reuma")</f>
        <v>LUP - Congreso EAS- SER 2026 - reuma</v>
      </c>
      <c r="C14130" s="3" t="str">
        <f>HYPERLINK("https://otsuka-europe-crm.veevavault.com/ui/#object/sent_email__v/VBL00000001E438", "SE-001404952")</f>
        <v>SE-001404952</v>
      </c>
      <c r="D14130" s="1" t="s">
        <v>0</v>
      </c>
      <c r="E14130" s="2">
        <v>0</v>
      </c>
      <c r="F14130" s="2">
        <v>0</v>
      </c>
      <c r="G14130" s="2">
        <v>0</v>
      </c>
      <c r="H14130" s="1" t="s">
        <v>0</v>
      </c>
      <c r="I14130" s="2">
        <v>0</v>
      </c>
      <c r="J14130" s="1">
        <v>46072.391956018517</v>
      </c>
    </row>
    <row r="14131" spans="1:10" x14ac:dyDescent="0.2">
      <c r="A14131" s="4" t="s">
        <v>1</v>
      </c>
      <c r="B14131" s="3" t="str">
        <f>HYPERLINK("https://otsuka-europe-crm.veevavault.com/ui/#object/approved_document__v/V5O00000000P008", "LUP - Congreso EAS- SER 2026 - reuma")</f>
        <v>LUP - Congreso EAS- SER 2026 - reuma</v>
      </c>
      <c r="C14131" s="3" t="str">
        <f>HYPERLINK("https://otsuka-europe-crm.veevavault.com/ui/#object/sent_email__v/VBL00000001E439", "SE-001404953")</f>
        <v>SE-001404953</v>
      </c>
      <c r="D14131" s="1" t="s">
        <v>0</v>
      </c>
      <c r="E14131" s="2">
        <v>0</v>
      </c>
      <c r="F14131" s="2">
        <v>0</v>
      </c>
      <c r="G14131" s="2">
        <v>0</v>
      </c>
      <c r="H14131" s="1" t="s">
        <v>0</v>
      </c>
      <c r="I14131" s="2">
        <v>0</v>
      </c>
      <c r="J14131" s="1">
        <v>46072.391956018517</v>
      </c>
    </row>
    <row r="14132" spans="1:10" x14ac:dyDescent="0.2">
      <c r="A14132" s="4" t="s">
        <v>1</v>
      </c>
      <c r="B14132" s="3" t="str">
        <f>HYPERLINK("https://otsuka-europe-crm.veevavault.com/ui/#object/approved_document__v/V5O00000000P008", "LUP - Congreso EAS- SER 2026 - reuma")</f>
        <v>LUP - Congreso EAS- SER 2026 - reuma</v>
      </c>
      <c r="C14132" s="3" t="str">
        <f>HYPERLINK("https://otsuka-europe-crm.veevavault.com/ui/#object/sent_email__v/VBL00000001E440", "SE-001404954")</f>
        <v>SE-001404954</v>
      </c>
      <c r="D14132" s="1" t="s">
        <v>0</v>
      </c>
      <c r="E14132" s="2">
        <v>0</v>
      </c>
      <c r="F14132" s="2">
        <v>0</v>
      </c>
      <c r="G14132" s="2">
        <v>0</v>
      </c>
      <c r="H14132" s="1" t="s">
        <v>0</v>
      </c>
      <c r="I14132" s="2">
        <v>0</v>
      </c>
      <c r="J14132" s="1">
        <v>46072.391967592594</v>
      </c>
    </row>
    <row r="14133" spans="1:10" x14ac:dyDescent="0.2">
      <c r="A14133" s="4" t="s">
        <v>1</v>
      </c>
      <c r="B14133" s="3" t="str">
        <f>HYPERLINK("https://otsuka-europe-crm.veevavault.com/ui/#object/approved_document__v/V5O00000000P008", "LUP - Congreso EAS- SER 2026 - reuma")</f>
        <v>LUP - Congreso EAS- SER 2026 - reuma</v>
      </c>
      <c r="C14133" s="3" t="str">
        <f>HYPERLINK("https://otsuka-europe-crm.veevavault.com/ui/#object/sent_email__v/VBL00000001E441", "SE-001404955")</f>
        <v>SE-001404955</v>
      </c>
      <c r="D14133" s="1" t="s">
        <v>0</v>
      </c>
      <c r="E14133" s="2">
        <v>0</v>
      </c>
      <c r="F14133" s="2">
        <v>0</v>
      </c>
      <c r="G14133" s="2">
        <v>0</v>
      </c>
      <c r="H14133" s="1" t="s">
        <v>0</v>
      </c>
      <c r="I14133" s="2">
        <v>0</v>
      </c>
      <c r="J14133" s="1">
        <v>46072.391967592594</v>
      </c>
    </row>
    <row r="14134" spans="1:10" x14ac:dyDescent="0.2">
      <c r="A14134" s="4" t="s">
        <v>1</v>
      </c>
      <c r="B14134" s="3" t="str">
        <f>HYPERLINK("https://otsuka-europe-crm.veevavault.com/ui/#object/approved_document__v/V5O00000000P008", "LUP - Congreso EAS- SER 2026 - reuma")</f>
        <v>LUP - Congreso EAS- SER 2026 - reuma</v>
      </c>
      <c r="C14134" s="3" t="str">
        <f>HYPERLINK("https://otsuka-europe-crm.veevavault.com/ui/#object/sent_email__v/VBL00000001E442", "SE-001404956")</f>
        <v>SE-001404956</v>
      </c>
      <c r="D14134" s="1" t="s">
        <v>0</v>
      </c>
      <c r="E14134" s="2">
        <v>0</v>
      </c>
      <c r="F14134" s="2">
        <v>0</v>
      </c>
      <c r="G14134" s="2">
        <v>0</v>
      </c>
      <c r="H14134" s="1" t="s">
        <v>0</v>
      </c>
      <c r="I14134" s="2">
        <v>0</v>
      </c>
      <c r="J14134" s="1">
        <v>46072.391967592594</v>
      </c>
    </row>
    <row r="14135" spans="1:10" x14ac:dyDescent="0.2">
      <c r="A14135" s="4" t="s">
        <v>1</v>
      </c>
      <c r="B14135" s="3" t="str">
        <f>HYPERLINK("https://otsuka-europe-crm.veevavault.com/ui/#object/approved_document__v/V5O00000000P008", "LUP - Congreso EAS- SER 2026 - reuma")</f>
        <v>LUP - Congreso EAS- SER 2026 - reuma</v>
      </c>
      <c r="C14135" s="3" t="str">
        <f>HYPERLINK("https://otsuka-europe-crm.veevavault.com/ui/#object/sent_email__v/VBL00000001E443", "SE-001404957")</f>
        <v>SE-001404957</v>
      </c>
      <c r="D14135" s="1" t="s">
        <v>0</v>
      </c>
      <c r="E14135" s="2">
        <v>0</v>
      </c>
      <c r="F14135" s="2">
        <v>0</v>
      </c>
      <c r="G14135" s="2">
        <v>0</v>
      </c>
      <c r="H14135" s="1" t="s">
        <v>0</v>
      </c>
      <c r="I14135" s="2">
        <v>0</v>
      </c>
      <c r="J14135" s="1">
        <v>46072.391967592594</v>
      </c>
    </row>
    <row r="14136" spans="1:10" x14ac:dyDescent="0.2">
      <c r="A14136" s="4" t="s">
        <v>1</v>
      </c>
      <c r="B14136" s="3" t="str">
        <f>HYPERLINK("https://otsuka-europe-crm.veevavault.com/ui/#object/approved_document__v/V5O00000000P008", "LUP - Congreso EAS- SER 2026 - reuma")</f>
        <v>LUP - Congreso EAS- SER 2026 - reuma</v>
      </c>
      <c r="C14136" s="3" t="str">
        <f>HYPERLINK("https://otsuka-europe-crm.veevavault.com/ui/#object/sent_email__v/VBL00000001E444", "SE-001404958")</f>
        <v>SE-001404958</v>
      </c>
      <c r="D14136" s="1" t="s">
        <v>0</v>
      </c>
      <c r="E14136" s="2">
        <v>0</v>
      </c>
      <c r="F14136" s="2">
        <v>0</v>
      </c>
      <c r="G14136" s="2">
        <v>0</v>
      </c>
      <c r="H14136" s="1" t="s">
        <v>0</v>
      </c>
      <c r="I14136" s="2">
        <v>0</v>
      </c>
      <c r="J14136" s="1">
        <v>46072.391967592594</v>
      </c>
    </row>
    <row r="14137" spans="1:10" x14ac:dyDescent="0.2">
      <c r="A14137" s="4" t="s">
        <v>1</v>
      </c>
      <c r="B14137" s="3" t="str">
        <f>HYPERLINK("https://otsuka-europe-crm.veevavault.com/ui/#object/approved_document__v/V5O00000000P008", "LUP - Congreso EAS- SER 2026 - reuma")</f>
        <v>LUP - Congreso EAS- SER 2026 - reuma</v>
      </c>
      <c r="C14137" s="3" t="str">
        <f>HYPERLINK("https://otsuka-europe-crm.veevavault.com/ui/#object/sent_email__v/VBL00000001E445", "SE-001404959")</f>
        <v>SE-001404959</v>
      </c>
      <c r="D14137" s="1" t="s">
        <v>0</v>
      </c>
      <c r="E14137" s="2">
        <v>0</v>
      </c>
      <c r="F14137" s="2">
        <v>0</v>
      </c>
      <c r="G14137" s="2">
        <v>0</v>
      </c>
      <c r="H14137" s="1" t="s">
        <v>0</v>
      </c>
      <c r="I14137" s="2">
        <v>0</v>
      </c>
      <c r="J14137" s="1">
        <v>46072.391967592594</v>
      </c>
    </row>
    <row r="14138" spans="1:10" x14ac:dyDescent="0.2">
      <c r="A14138" s="4" t="s">
        <v>1</v>
      </c>
      <c r="B14138" s="3" t="str">
        <f>HYPERLINK("https://otsuka-europe-crm.veevavault.com/ui/#object/approved_document__v/V5O00000000P008", "LUP - Congreso EAS- SER 2026 - reuma")</f>
        <v>LUP - Congreso EAS- SER 2026 - reuma</v>
      </c>
      <c r="C14138" s="3" t="str">
        <f>HYPERLINK("https://otsuka-europe-crm.veevavault.com/ui/#object/sent_email__v/VBL00000001E446", "SE-001404960")</f>
        <v>SE-001404960</v>
      </c>
      <c r="D14138" s="1" t="s">
        <v>0</v>
      </c>
      <c r="E14138" s="2">
        <v>0</v>
      </c>
      <c r="F14138" s="2">
        <v>0</v>
      </c>
      <c r="G14138" s="2">
        <v>0</v>
      </c>
      <c r="H14138" s="1" t="s">
        <v>0</v>
      </c>
      <c r="I14138" s="2">
        <v>0</v>
      </c>
      <c r="J14138" s="1">
        <v>46072.391967592594</v>
      </c>
    </row>
    <row r="14139" spans="1:10" x14ac:dyDescent="0.2">
      <c r="A14139" s="4" t="s">
        <v>1</v>
      </c>
      <c r="B14139" s="3" t="str">
        <f>HYPERLINK("https://otsuka-europe-crm.veevavault.com/ui/#object/approved_document__v/V5O00000000P008", "LUP - Congreso EAS- SER 2026 - reuma")</f>
        <v>LUP - Congreso EAS- SER 2026 - reuma</v>
      </c>
      <c r="C14139" s="3" t="str">
        <f>HYPERLINK("https://otsuka-europe-crm.veevavault.com/ui/#object/sent_email__v/VBL00000001E447", "SE-001404961")</f>
        <v>SE-001404961</v>
      </c>
      <c r="D14139" s="1" t="s">
        <v>0</v>
      </c>
      <c r="E14139" s="2">
        <v>0</v>
      </c>
      <c r="F14139" s="2">
        <v>0</v>
      </c>
      <c r="G14139" s="2">
        <v>0</v>
      </c>
      <c r="H14139" s="1" t="s">
        <v>0</v>
      </c>
      <c r="I14139" s="2">
        <v>0</v>
      </c>
      <c r="J14139" s="1">
        <v>46072.391979166663</v>
      </c>
    </row>
    <row r="14140" spans="1:10" x14ac:dyDescent="0.2">
      <c r="A14140" s="4" t="s">
        <v>1</v>
      </c>
      <c r="B14140" s="3" t="str">
        <f>HYPERLINK("https://otsuka-europe-crm.veevavault.com/ui/#object/approved_document__v/V5O00000000P008", "LUP - Congreso EAS- SER 2026 - reuma")</f>
        <v>LUP - Congreso EAS- SER 2026 - reuma</v>
      </c>
      <c r="C14140" s="3" t="str">
        <f>HYPERLINK("https://otsuka-europe-crm.veevavault.com/ui/#object/sent_email__v/VBL00000001E448", "SE-001404962")</f>
        <v>SE-001404962</v>
      </c>
      <c r="D14140" s="1" t="s">
        <v>0</v>
      </c>
      <c r="E14140" s="2">
        <v>0</v>
      </c>
      <c r="F14140" s="2">
        <v>0</v>
      </c>
      <c r="G14140" s="2">
        <v>0</v>
      </c>
      <c r="H14140" s="1" t="s">
        <v>0</v>
      </c>
      <c r="I14140" s="2">
        <v>0</v>
      </c>
      <c r="J14140" s="1">
        <v>46072.391967592594</v>
      </c>
    </row>
    <row r="14141" spans="1:10" x14ac:dyDescent="0.2">
      <c r="A14141" s="4" t="s">
        <v>1</v>
      </c>
      <c r="B14141" s="3" t="str">
        <f>HYPERLINK("https://otsuka-europe-crm.veevavault.com/ui/#object/approved_document__v/V5O00000000P008", "LUP - Congreso EAS- SER 2026 - reuma")</f>
        <v>LUP - Congreso EAS- SER 2026 - reuma</v>
      </c>
      <c r="C14141" s="3" t="str">
        <f>HYPERLINK("https://otsuka-europe-crm.veevavault.com/ui/#object/sent_email__v/VBL00000001E449", "SE-001404963")</f>
        <v>SE-001404963</v>
      </c>
      <c r="D14141" s="1" t="s">
        <v>0</v>
      </c>
      <c r="E14141" s="2">
        <v>0</v>
      </c>
      <c r="F14141" s="2">
        <v>0</v>
      </c>
      <c r="G14141" s="2">
        <v>0</v>
      </c>
      <c r="H14141" s="1" t="s">
        <v>0</v>
      </c>
      <c r="I14141" s="2">
        <v>0</v>
      </c>
      <c r="J14141" s="1">
        <v>46072.391979166663</v>
      </c>
    </row>
    <row r="14142" spans="1:10" x14ac:dyDescent="0.2">
      <c r="A14142" s="4" t="s">
        <v>1</v>
      </c>
      <c r="B14142" s="3" t="str">
        <f>HYPERLINK("https://otsuka-europe-crm.veevavault.com/ui/#object/approved_document__v/V5O00000000P008", "LUP - Congreso EAS- SER 2026 - reuma")</f>
        <v>LUP - Congreso EAS- SER 2026 - reuma</v>
      </c>
      <c r="C14142" s="3" t="str">
        <f>HYPERLINK("https://otsuka-europe-crm.veevavault.com/ui/#object/sent_email__v/VBL00000001E450", "SE-001404964")</f>
        <v>SE-001404964</v>
      </c>
      <c r="D14142" s="1" t="s">
        <v>0</v>
      </c>
      <c r="E14142" s="2">
        <v>0</v>
      </c>
      <c r="F14142" s="2">
        <v>0</v>
      </c>
      <c r="G14142" s="2">
        <v>0</v>
      </c>
      <c r="H14142" s="1" t="s">
        <v>0</v>
      </c>
      <c r="I14142" s="2">
        <v>0</v>
      </c>
      <c r="J14142" s="1">
        <v>46072.39199074074</v>
      </c>
    </row>
    <row r="14143" spans="1:10" x14ac:dyDescent="0.2">
      <c r="A14143" s="4" t="s">
        <v>1</v>
      </c>
      <c r="B14143" s="3" t="str">
        <f>HYPERLINK("https://otsuka-europe-crm.veevavault.com/ui/#object/approved_document__v/V5O00000000P008", "LUP - Congreso EAS- SER 2026 - reuma")</f>
        <v>LUP - Congreso EAS- SER 2026 - reuma</v>
      </c>
      <c r="C14143" s="3" t="str">
        <f>HYPERLINK("https://otsuka-europe-crm.veevavault.com/ui/#object/sent_email__v/VBL00000001E451", "SE-001404965")</f>
        <v>SE-001404965</v>
      </c>
      <c r="D14143" s="1" t="s">
        <v>0</v>
      </c>
      <c r="E14143" s="2">
        <v>0</v>
      </c>
      <c r="F14143" s="2">
        <v>0</v>
      </c>
      <c r="G14143" s="2">
        <v>0</v>
      </c>
      <c r="H14143" s="1" t="s">
        <v>0</v>
      </c>
      <c r="I14143" s="2">
        <v>0</v>
      </c>
      <c r="J14143" s="1">
        <v>46072.391979166663</v>
      </c>
    </row>
    <row r="14144" spans="1:10" x14ac:dyDescent="0.2">
      <c r="A14144" s="4" t="s">
        <v>1</v>
      </c>
      <c r="B14144" s="3" t="str">
        <f>HYPERLINK("https://otsuka-europe-crm.veevavault.com/ui/#object/approved_document__v/V5O00000000P008", "LUP - Congreso EAS- SER 2026 - reuma")</f>
        <v>LUP - Congreso EAS- SER 2026 - reuma</v>
      </c>
      <c r="C14144" s="3" t="str">
        <f>HYPERLINK("https://otsuka-europe-crm.veevavault.com/ui/#object/sent_email__v/VBL00000001E452", "SE-001404966")</f>
        <v>SE-001404966</v>
      </c>
      <c r="D14144" s="1" t="s">
        <v>0</v>
      </c>
      <c r="E14144" s="2">
        <v>0</v>
      </c>
      <c r="F14144" s="2">
        <v>0</v>
      </c>
      <c r="G14144" s="2">
        <v>0</v>
      </c>
      <c r="H14144" s="1" t="s">
        <v>0</v>
      </c>
      <c r="I14144" s="2">
        <v>0</v>
      </c>
      <c r="J14144" s="1">
        <v>46072.391979166663</v>
      </c>
    </row>
    <row r="14145" spans="1:10" x14ac:dyDescent="0.2">
      <c r="A14145" s="4" t="s">
        <v>1</v>
      </c>
      <c r="B14145" s="3" t="str">
        <f>HYPERLINK("https://otsuka-europe-crm.veevavault.com/ui/#object/approved_document__v/V5O00000000P008", "LUP - Congreso EAS- SER 2026 - reuma")</f>
        <v>LUP - Congreso EAS- SER 2026 - reuma</v>
      </c>
      <c r="C14145" s="3" t="str">
        <f>HYPERLINK("https://otsuka-europe-crm.veevavault.com/ui/#object/sent_email__v/VBL00000001E453", "SE-001404967")</f>
        <v>SE-001404967</v>
      </c>
      <c r="D14145" s="1" t="s">
        <v>0</v>
      </c>
      <c r="E14145" s="2">
        <v>0</v>
      </c>
      <c r="F14145" s="2">
        <v>0</v>
      </c>
      <c r="G14145" s="2">
        <v>0</v>
      </c>
      <c r="H14145" s="1" t="s">
        <v>0</v>
      </c>
      <c r="I14145" s="2">
        <v>0</v>
      </c>
      <c r="J14145" s="1">
        <v>46072.391979166663</v>
      </c>
    </row>
    <row r="14146" spans="1:10" x14ac:dyDescent="0.2">
      <c r="A14146" s="4" t="s">
        <v>1</v>
      </c>
      <c r="B14146" s="3" t="str">
        <f>HYPERLINK("https://otsuka-europe-crm.veevavault.com/ui/#object/approved_document__v/V5O00000000P008", "LUP - Congreso EAS- SER 2026 - reuma")</f>
        <v>LUP - Congreso EAS- SER 2026 - reuma</v>
      </c>
      <c r="C14146" s="3" t="str">
        <f>HYPERLINK("https://otsuka-europe-crm.veevavault.com/ui/#object/sent_email__v/VBL00000001E454", "SE-001404968")</f>
        <v>SE-001404968</v>
      </c>
      <c r="D14146" s="1" t="s">
        <v>0</v>
      </c>
      <c r="E14146" s="2">
        <v>0</v>
      </c>
      <c r="F14146" s="2">
        <v>0</v>
      </c>
      <c r="G14146" s="2">
        <v>0</v>
      </c>
      <c r="H14146" s="1" t="s">
        <v>0</v>
      </c>
      <c r="I14146" s="2">
        <v>0</v>
      </c>
      <c r="J14146" s="1">
        <v>46072.391979166663</v>
      </c>
    </row>
    <row r="14147" spans="1:10" x14ac:dyDescent="0.2">
      <c r="A14147" s="4" t="s">
        <v>1</v>
      </c>
      <c r="B14147" s="3" t="str">
        <f>HYPERLINK("https://otsuka-europe-crm.veevavault.com/ui/#object/approved_document__v/V5O00000000P008", "LUP - Congreso EAS- SER 2026 - reuma")</f>
        <v>LUP - Congreso EAS- SER 2026 - reuma</v>
      </c>
      <c r="C14147" s="3" t="str">
        <f>HYPERLINK("https://otsuka-europe-crm.veevavault.com/ui/#object/sent_email__v/VBL00000001E455", "SE-001404969")</f>
        <v>SE-001404969</v>
      </c>
      <c r="D14147" s="1" t="s">
        <v>0</v>
      </c>
      <c r="E14147" s="2">
        <v>0</v>
      </c>
      <c r="F14147" s="2">
        <v>0</v>
      </c>
      <c r="G14147" s="2">
        <v>0</v>
      </c>
      <c r="H14147" s="1" t="s">
        <v>0</v>
      </c>
      <c r="I14147" s="2">
        <v>0</v>
      </c>
      <c r="J14147" s="1">
        <v>46072.392048611109</v>
      </c>
    </row>
    <row r="14148" spans="1:10" x14ac:dyDescent="0.2">
      <c r="A14148" s="4" t="s">
        <v>1</v>
      </c>
      <c r="B14148" s="3" t="str">
        <f>HYPERLINK("https://otsuka-europe-crm.veevavault.com/ui/#object/approved_document__v/V5O00000000P008", "LUP - Congreso EAS- SER 2026 - reuma")</f>
        <v>LUP - Congreso EAS- SER 2026 - reuma</v>
      </c>
      <c r="C14148" s="3" t="str">
        <f>HYPERLINK("https://otsuka-europe-crm.veevavault.com/ui/#object/sent_email__v/VBL00000001E456", "SE-001404970")</f>
        <v>SE-001404970</v>
      </c>
      <c r="D14148" s="1" t="s">
        <v>0</v>
      </c>
      <c r="E14148" s="2">
        <v>0</v>
      </c>
      <c r="F14148" s="2">
        <v>0</v>
      </c>
      <c r="G14148" s="2">
        <v>0</v>
      </c>
      <c r="H14148" s="1" t="s">
        <v>0</v>
      </c>
      <c r="I14148" s="2">
        <v>0</v>
      </c>
      <c r="J14148" s="1">
        <v>46072.39199074074</v>
      </c>
    </row>
    <row r="14149" spans="1:10" x14ac:dyDescent="0.2">
      <c r="A14149" s="4" t="s">
        <v>1</v>
      </c>
      <c r="B14149" s="3" t="str">
        <f>HYPERLINK("https://otsuka-europe-crm.veevavault.com/ui/#object/approved_document__v/V5O00000000P008", "LUP - Congreso EAS- SER 2026 - reuma")</f>
        <v>LUP - Congreso EAS- SER 2026 - reuma</v>
      </c>
      <c r="C14149" s="3" t="str">
        <f>HYPERLINK("https://otsuka-europe-crm.veevavault.com/ui/#object/sent_email__v/VBL00000001E457", "SE-001404971")</f>
        <v>SE-001404971</v>
      </c>
      <c r="D14149" s="1" t="s">
        <v>0</v>
      </c>
      <c r="E14149" s="2">
        <v>0</v>
      </c>
      <c r="F14149" s="2">
        <v>0</v>
      </c>
      <c r="G14149" s="2">
        <v>0</v>
      </c>
      <c r="H14149" s="1" t="s">
        <v>0</v>
      </c>
      <c r="I14149" s="2">
        <v>0</v>
      </c>
      <c r="J14149" s="1">
        <v>46072.39199074074</v>
      </c>
    </row>
    <row r="14150" spans="1:10" x14ac:dyDescent="0.2">
      <c r="A14150" s="4" t="s">
        <v>1</v>
      </c>
      <c r="B14150" s="3" t="str">
        <f>HYPERLINK("https://otsuka-europe-crm.veevavault.com/ui/#object/approved_document__v/V5O00000000P008", "LUP - Congreso EAS- SER 2026 - reuma")</f>
        <v>LUP - Congreso EAS- SER 2026 - reuma</v>
      </c>
      <c r="C14150" s="3" t="str">
        <f>HYPERLINK("https://otsuka-europe-crm.veevavault.com/ui/#object/sent_email__v/VBL00000001E458", "SE-001404972")</f>
        <v>SE-001404972</v>
      </c>
      <c r="D14150" s="1" t="s">
        <v>0</v>
      </c>
      <c r="E14150" s="2">
        <v>0</v>
      </c>
      <c r="F14150" s="2">
        <v>0</v>
      </c>
      <c r="G14150" s="2">
        <v>0</v>
      </c>
      <c r="H14150" s="1" t="s">
        <v>0</v>
      </c>
      <c r="I14150" s="2">
        <v>0</v>
      </c>
      <c r="J14150" s="1">
        <v>46072.39199074074</v>
      </c>
    </row>
    <row r="14151" spans="1:10" x14ac:dyDescent="0.2">
      <c r="A14151" s="4" t="s">
        <v>1</v>
      </c>
      <c r="B14151" s="3" t="str">
        <f>HYPERLINK("https://otsuka-europe-crm.veevavault.com/ui/#object/approved_document__v/V5O00000000P008", "LUP - Congreso EAS- SER 2026 - reuma")</f>
        <v>LUP - Congreso EAS- SER 2026 - reuma</v>
      </c>
      <c r="C14151" s="3" t="str">
        <f>HYPERLINK("https://otsuka-europe-crm.veevavault.com/ui/#object/sent_email__v/VBL00000001E459", "SE-001404973")</f>
        <v>SE-001404973</v>
      </c>
      <c r="D14151" s="1" t="s">
        <v>0</v>
      </c>
      <c r="E14151" s="2">
        <v>0</v>
      </c>
      <c r="F14151" s="2">
        <v>0</v>
      </c>
      <c r="G14151" s="2">
        <v>0</v>
      </c>
      <c r="H14151" s="1" t="s">
        <v>0</v>
      </c>
      <c r="I14151" s="2">
        <v>0</v>
      </c>
      <c r="J14151" s="1">
        <v>46072.39199074074</v>
      </c>
    </row>
    <row r="14152" spans="1:10" x14ac:dyDescent="0.2">
      <c r="A14152" s="4" t="s">
        <v>1</v>
      </c>
      <c r="B14152" s="3" t="str">
        <f>HYPERLINK("https://otsuka-europe-crm.veevavault.com/ui/#object/approved_document__v/V5O00000000P008", "LUP - Congreso EAS- SER 2026 - reuma")</f>
        <v>LUP - Congreso EAS- SER 2026 - reuma</v>
      </c>
      <c r="C14152" s="3" t="str">
        <f>HYPERLINK("https://otsuka-europe-crm.veevavault.com/ui/#object/sent_email__v/VBL00000001E460", "SE-001404974")</f>
        <v>SE-001404974</v>
      </c>
      <c r="D14152" s="1" t="s">
        <v>0</v>
      </c>
      <c r="E14152" s="2">
        <v>0</v>
      </c>
      <c r="F14152" s="2">
        <v>0</v>
      </c>
      <c r="G14152" s="2">
        <v>0</v>
      </c>
      <c r="H14152" s="1" t="s">
        <v>0</v>
      </c>
      <c r="I14152" s="2">
        <v>0</v>
      </c>
      <c r="J14152" s="1">
        <v>46072.39199074074</v>
      </c>
    </row>
    <row r="14153" spans="1:10" x14ac:dyDescent="0.2">
      <c r="A14153" s="4" t="s">
        <v>1</v>
      </c>
      <c r="B14153" s="3" t="str">
        <f>HYPERLINK("https://otsuka-europe-crm.veevavault.com/ui/#object/approved_document__v/V5O00000000P008", "LUP - Congreso EAS- SER 2026 - reuma")</f>
        <v>LUP - Congreso EAS- SER 2026 - reuma</v>
      </c>
      <c r="C14153" s="3" t="str">
        <f>HYPERLINK("https://otsuka-europe-crm.veevavault.com/ui/#object/sent_email__v/VBL00000001E461", "SE-001404975")</f>
        <v>SE-001404975</v>
      </c>
      <c r="D14153" s="1" t="s">
        <v>0</v>
      </c>
      <c r="E14153" s="2">
        <v>0</v>
      </c>
      <c r="F14153" s="2">
        <v>0</v>
      </c>
      <c r="G14153" s="2">
        <v>0</v>
      </c>
      <c r="H14153" s="1" t="s">
        <v>0</v>
      </c>
      <c r="I14153" s="2">
        <v>0</v>
      </c>
      <c r="J14153" s="1">
        <v>46072.39199074074</v>
      </c>
    </row>
    <row r="14154" spans="1:10" x14ac:dyDescent="0.2">
      <c r="A14154" s="4" t="s">
        <v>1</v>
      </c>
      <c r="B14154" s="3" t="str">
        <f>HYPERLINK("https://otsuka-europe-crm.veevavault.com/ui/#object/approved_document__v/V5OZ025E82TN2QL", "LUP - Invitación simposio SEN 2025 - nefro")</f>
        <v>LUP - Invitación simposio SEN 2025 - nefro</v>
      </c>
      <c r="C14154" s="3" t="str">
        <f>HYPERLINK("https://otsuka-europe-crm.veevavault.com/ui/#object/sent_email__v/VBLZ025E82GOBQA", "SE-000275587")</f>
        <v>SE-000275587</v>
      </c>
      <c r="D14154" s="1">
        <v>45930.996018518519</v>
      </c>
      <c r="E14154" s="2">
        <v>1</v>
      </c>
      <c r="F14154" s="2">
        <v>5</v>
      </c>
      <c r="G14154" s="2">
        <v>1</v>
      </c>
      <c r="H14154" s="1">
        <v>45915.575509259259</v>
      </c>
      <c r="I14154" s="2">
        <v>4</v>
      </c>
      <c r="J14154" s="1">
        <v>45915.574571759258</v>
      </c>
    </row>
    <row r="14155" spans="1:10" x14ac:dyDescent="0.2">
      <c r="A14155" s="4" t="s">
        <v>1</v>
      </c>
      <c r="B14155" s="3" t="str">
        <f>HYPERLINK("https://otsuka-europe-crm.veevavault.com/ui/#object/approved_document__v/V5OZ025E82TN2QL", "LUP - Invitación simposio SEN 2025 - nefro")</f>
        <v>LUP - Invitación simposio SEN 2025 - nefro</v>
      </c>
      <c r="C14155" s="3" t="str">
        <f>HYPERLINK("https://otsuka-europe-crm.veevavault.com/ui/#object/sent_email__v/VBLZ025E82GR2VP", "SE-000275839")</f>
        <v>SE-000275839</v>
      </c>
      <c r="D14155" s="1">
        <v>45917.519814814812</v>
      </c>
      <c r="E14155" s="2">
        <v>1</v>
      </c>
      <c r="F14155" s="2">
        <v>2</v>
      </c>
      <c r="G14155" s="2">
        <v>0</v>
      </c>
      <c r="H14155" s="1" t="s">
        <v>0</v>
      </c>
      <c r="I14155" s="2">
        <v>0</v>
      </c>
      <c r="J14155" s="1">
        <v>45917.438692129632</v>
      </c>
    </row>
    <row r="14156" spans="1:10" x14ac:dyDescent="0.2">
      <c r="A14156" s="4" t="s">
        <v>1</v>
      </c>
      <c r="B14156" s="3" t="str">
        <f>HYPERLINK("https://otsuka-europe-crm.veevavault.com/ui/#object/approved_document__v/V5OZ025E82TN2QL", "LUP - Invitación simposio SEN 2025 - nefro")</f>
        <v>LUP - Invitación simposio SEN 2025 - nefro</v>
      </c>
      <c r="C14156" s="3" t="str">
        <f>HYPERLINK("https://otsuka-europe-crm.veevavault.com/ui/#object/sent_email__v/VBLZ025E82GR319", "SE-000275841")</f>
        <v>SE-000275841</v>
      </c>
      <c r="D14156" s="1" t="s">
        <v>0</v>
      </c>
      <c r="E14156" s="2">
        <v>0</v>
      </c>
      <c r="F14156" s="2">
        <v>0</v>
      </c>
      <c r="G14156" s="2">
        <v>0</v>
      </c>
      <c r="H14156" s="1" t="s">
        <v>0</v>
      </c>
      <c r="I14156" s="2">
        <v>0</v>
      </c>
      <c r="J14156" s="1">
        <v>45917.440208333333</v>
      </c>
    </row>
    <row r="14157" spans="1:10" x14ac:dyDescent="0.2">
      <c r="A14157" s="4" t="s">
        <v>1</v>
      </c>
      <c r="B14157" s="3" t="str">
        <f>HYPERLINK("https://otsuka-europe-crm.veevavault.com/ui/#object/approved_document__v/V5OZ025E82TN2QL", "LUP - Invitación simposio SEN 2025 - nefro")</f>
        <v>LUP - Invitación simposio SEN 2025 - nefro</v>
      </c>
      <c r="C14157" s="3" t="str">
        <f>HYPERLINK("https://otsuka-europe-crm.veevavault.com/ui/#object/sent_email__v/VBLZ025E82GU62H", "SE-000276863")</f>
        <v>SE-000276863</v>
      </c>
      <c r="D14157" s="1" t="s">
        <v>0</v>
      </c>
      <c r="E14157" s="2">
        <v>0</v>
      </c>
      <c r="F14157" s="2">
        <v>0</v>
      </c>
      <c r="G14157" s="2">
        <v>0</v>
      </c>
      <c r="H14157" s="1" t="s">
        <v>0</v>
      </c>
      <c r="I14157" s="2">
        <v>0</v>
      </c>
      <c r="J14157" s="1">
        <v>45919.426631944443</v>
      </c>
    </row>
    <row r="14158" spans="1:10" x14ac:dyDescent="0.2">
      <c r="A14158" s="4" t="s">
        <v>1</v>
      </c>
      <c r="B14158" s="3" t="str">
        <f>HYPERLINK("https://otsuka-europe-crm.veevavault.com/ui/#object/approved_document__v/V5OZ025E82TN2QL", "LUP - Invitación simposio SEN 2025 - nefro")</f>
        <v>LUP - Invitación simposio SEN 2025 - nefro</v>
      </c>
      <c r="C14158" s="3" t="str">
        <f>HYPERLINK("https://otsuka-europe-crm.veevavault.com/ui/#object/sent_email__v/VBLZ025E82GU62I", "SE-000276864")</f>
        <v>SE-000276864</v>
      </c>
      <c r="D14158" s="1" t="s">
        <v>0</v>
      </c>
      <c r="E14158" s="2">
        <v>0</v>
      </c>
      <c r="F14158" s="2">
        <v>0</v>
      </c>
      <c r="G14158" s="2">
        <v>0</v>
      </c>
      <c r="H14158" s="1" t="s">
        <v>0</v>
      </c>
      <c r="I14158" s="2">
        <v>0</v>
      </c>
      <c r="J14158" s="1">
        <v>45919.426828703705</v>
      </c>
    </row>
    <row r="14159" spans="1:10" x14ac:dyDescent="0.2">
      <c r="A14159" s="4" t="s">
        <v>1</v>
      </c>
      <c r="B14159" s="3" t="str">
        <f>HYPERLINK("https://otsuka-europe-crm.veevavault.com/ui/#object/approved_document__v/V5OZ025E82TN2QL", "LUP - Invitación simposio SEN 2025 - nefro")</f>
        <v>LUP - Invitación simposio SEN 2025 - nefro</v>
      </c>
      <c r="C14159" s="3" t="str">
        <f>HYPERLINK("https://otsuka-europe-crm.veevavault.com/ui/#object/sent_email__v/VBLZ025E82GU62J", "SE-000276865")</f>
        <v>SE-000276865</v>
      </c>
      <c r="D14159" s="1" t="s">
        <v>0</v>
      </c>
      <c r="E14159" s="2">
        <v>0</v>
      </c>
      <c r="F14159" s="2">
        <v>0</v>
      </c>
      <c r="G14159" s="2">
        <v>0</v>
      </c>
      <c r="H14159" s="1" t="s">
        <v>0</v>
      </c>
      <c r="I14159" s="2">
        <v>0</v>
      </c>
      <c r="J14159" s="1">
        <v>45919.426701388889</v>
      </c>
    </row>
    <row r="14160" spans="1:10" x14ac:dyDescent="0.2">
      <c r="A14160" s="4" t="s">
        <v>1</v>
      </c>
      <c r="B14160" s="3" t="str">
        <f>HYPERLINK("https://otsuka-europe-crm.veevavault.com/ui/#object/approved_document__v/V5OZ025E82TN2QL", "LUP - Invitación simposio SEN 2025 - nefro")</f>
        <v>LUP - Invitación simposio SEN 2025 - nefro</v>
      </c>
      <c r="C14160" s="3" t="str">
        <f>HYPERLINK("https://otsuka-europe-crm.veevavault.com/ui/#object/sent_email__v/VBLZ025E82GU62K", "SE-000276866")</f>
        <v>SE-000276866</v>
      </c>
      <c r="D14160" s="1">
        <v>45920.471909722219</v>
      </c>
      <c r="E14160" s="2">
        <v>1</v>
      </c>
      <c r="F14160" s="2">
        <v>1</v>
      </c>
      <c r="G14160" s="2">
        <v>0</v>
      </c>
      <c r="H14160" s="1" t="s">
        <v>0</v>
      </c>
      <c r="I14160" s="2">
        <v>0</v>
      </c>
      <c r="J14160" s="1">
        <v>45919.426805555559</v>
      </c>
    </row>
    <row r="14161" spans="1:10" x14ac:dyDescent="0.2">
      <c r="A14161" s="4" t="s">
        <v>1</v>
      </c>
      <c r="B14161" s="3" t="str">
        <f>HYPERLINK("https://otsuka-europe-crm.veevavault.com/ui/#object/approved_document__v/V5OZ025E82TN2QL", "LUP - Invitación simposio SEN 2025 - nefro")</f>
        <v>LUP - Invitación simposio SEN 2025 - nefro</v>
      </c>
      <c r="C14161" s="3" t="str">
        <f>HYPERLINK("https://otsuka-europe-crm.veevavault.com/ui/#object/sent_email__v/VBLZ025E82GU62L", "SE-000276867")</f>
        <v>SE-000276867</v>
      </c>
      <c r="D14161" s="1" t="s">
        <v>0</v>
      </c>
      <c r="E14161" s="2">
        <v>0</v>
      </c>
      <c r="F14161" s="2">
        <v>0</v>
      </c>
      <c r="G14161" s="2">
        <v>0</v>
      </c>
      <c r="H14161" s="1" t="s">
        <v>0</v>
      </c>
      <c r="I14161" s="2">
        <v>0</v>
      </c>
      <c r="J14161" s="1">
        <v>45919.426678240743</v>
      </c>
    </row>
    <row r="14162" spans="1:10" x14ac:dyDescent="0.2">
      <c r="A14162" s="4" t="s">
        <v>1</v>
      </c>
      <c r="B14162" s="3" t="str">
        <f>HYPERLINK("https://otsuka-europe-crm.veevavault.com/ui/#object/approved_document__v/V5OZ025E82TN2QL", "LUP - Invitación simposio SEN 2025 - nefro")</f>
        <v>LUP - Invitación simposio SEN 2025 - nefro</v>
      </c>
      <c r="C14162" s="3" t="str">
        <f>HYPERLINK("https://otsuka-europe-crm.veevavault.com/ui/#object/sent_email__v/VBLZ025E82GU62M", "SE-000276868")</f>
        <v>SE-000276868</v>
      </c>
      <c r="D14162" s="1" t="s">
        <v>0</v>
      </c>
      <c r="E14162" s="2">
        <v>0</v>
      </c>
      <c r="F14162" s="2">
        <v>0</v>
      </c>
      <c r="G14162" s="2">
        <v>0</v>
      </c>
      <c r="H14162" s="1" t="s">
        <v>0</v>
      </c>
      <c r="I14162" s="2">
        <v>0</v>
      </c>
      <c r="J14162" s="1">
        <v>45919.426851851851</v>
      </c>
    </row>
    <row r="14163" spans="1:10" x14ac:dyDescent="0.2">
      <c r="A14163" s="4" t="s">
        <v>1</v>
      </c>
      <c r="B14163" s="3" t="str">
        <f>HYPERLINK("https://otsuka-europe-crm.veevavault.com/ui/#object/approved_document__v/V5OZ025E82TN2QL", "LUP - Invitación simposio SEN 2025 - nefro")</f>
        <v>LUP - Invitación simposio SEN 2025 - nefro</v>
      </c>
      <c r="C14163" s="3" t="str">
        <f>HYPERLINK("https://otsuka-europe-crm.veevavault.com/ui/#object/sent_email__v/VBLZ025E82GU62N", "SE-000276869")</f>
        <v>SE-000276869</v>
      </c>
      <c r="D14163" s="1" t="s">
        <v>0</v>
      </c>
      <c r="E14163" s="2">
        <v>0</v>
      </c>
      <c r="F14163" s="2">
        <v>0</v>
      </c>
      <c r="G14163" s="2">
        <v>0</v>
      </c>
      <c r="H14163" s="1" t="s">
        <v>0</v>
      </c>
      <c r="I14163" s="2">
        <v>0</v>
      </c>
      <c r="J14163" s="1">
        <v>45919.426724537036</v>
      </c>
    </row>
    <row r="14164" spans="1:10" x14ac:dyDescent="0.2">
      <c r="A14164" s="4" t="s">
        <v>1</v>
      </c>
      <c r="B14164" s="3" t="str">
        <f>HYPERLINK("https://otsuka-europe-crm.veevavault.com/ui/#object/approved_document__v/V5OZ025E82TN2QL", "LUP - Invitación simposio SEN 2025 - nefro")</f>
        <v>LUP - Invitación simposio SEN 2025 - nefro</v>
      </c>
      <c r="C14164" s="3" t="str">
        <f>HYPERLINK("https://otsuka-europe-crm.veevavault.com/ui/#object/sent_email__v/VBLZ025E82GU62O", "SE-000276870")</f>
        <v>SE-000276870</v>
      </c>
      <c r="D14164" s="1" t="s">
        <v>0</v>
      </c>
      <c r="E14164" s="2">
        <v>0</v>
      </c>
      <c r="F14164" s="2">
        <v>0</v>
      </c>
      <c r="G14164" s="2">
        <v>0</v>
      </c>
      <c r="H14164" s="1" t="s">
        <v>0</v>
      </c>
      <c r="I14164" s="2">
        <v>0</v>
      </c>
      <c r="J14164" s="1">
        <v>45919.426863425928</v>
      </c>
    </row>
    <row r="14165" spans="1:10" x14ac:dyDescent="0.2">
      <c r="A14165" s="4" t="s">
        <v>1</v>
      </c>
      <c r="B14165" s="3" t="str">
        <f>HYPERLINK("https://otsuka-europe-crm.veevavault.com/ui/#object/approved_document__v/V5OZ025E82TN2QL", "LUP - Invitación simposio SEN 2025 - nefro")</f>
        <v>LUP - Invitación simposio SEN 2025 - nefro</v>
      </c>
      <c r="C14165" s="3" t="str">
        <f>HYPERLINK("https://otsuka-europe-crm.veevavault.com/ui/#object/sent_email__v/VBLZ025E82GU62P", "SE-000276871")</f>
        <v>SE-000276871</v>
      </c>
      <c r="D14165" s="1" t="s">
        <v>0</v>
      </c>
      <c r="E14165" s="2">
        <v>0</v>
      </c>
      <c r="F14165" s="2">
        <v>0</v>
      </c>
      <c r="G14165" s="2">
        <v>0</v>
      </c>
      <c r="H14165" s="1" t="s">
        <v>0</v>
      </c>
      <c r="I14165" s="2">
        <v>0</v>
      </c>
      <c r="J14165" s="1">
        <v>45919.426736111112</v>
      </c>
    </row>
    <row r="14166" spans="1:10" x14ac:dyDescent="0.2">
      <c r="A14166" s="4" t="s">
        <v>1</v>
      </c>
      <c r="B14166" s="3" t="str">
        <f>HYPERLINK("https://otsuka-europe-crm.veevavault.com/ui/#object/approved_document__v/V5OZ025E82TN2QL", "LUP - Invitación simposio SEN 2025 - nefro")</f>
        <v>LUP - Invitación simposio SEN 2025 - nefro</v>
      </c>
      <c r="C14166" s="3" t="str">
        <f>HYPERLINK("https://otsuka-europe-crm.veevavault.com/ui/#object/sent_email__v/VBLZ025E82GU62Q", "SE-000276872")</f>
        <v>SE-000276872</v>
      </c>
      <c r="D14166" s="1" t="s">
        <v>0</v>
      </c>
      <c r="E14166" s="2">
        <v>0</v>
      </c>
      <c r="F14166" s="2">
        <v>0</v>
      </c>
      <c r="G14166" s="2">
        <v>0</v>
      </c>
      <c r="H14166" s="1" t="s">
        <v>0</v>
      </c>
      <c r="I14166" s="2">
        <v>0</v>
      </c>
      <c r="J14166" s="1">
        <v>45919.426655092589</v>
      </c>
    </row>
    <row r="14167" spans="1:10" x14ac:dyDescent="0.2">
      <c r="A14167" s="4" t="s">
        <v>1</v>
      </c>
      <c r="B14167" s="3" t="str">
        <f>HYPERLINK("https://otsuka-europe-crm.veevavault.com/ui/#object/approved_document__v/V5OZ025E82TN2QL", "LUP - Invitación simposio SEN 2025 - nefro")</f>
        <v>LUP - Invitación simposio SEN 2025 - nefro</v>
      </c>
      <c r="C14167" s="3" t="str">
        <f>HYPERLINK("https://otsuka-europe-crm.veevavault.com/ui/#object/sent_email__v/VBLZ025E82GU62R", "SE-000276873")</f>
        <v>SE-000276873</v>
      </c>
      <c r="D14167" s="1" t="s">
        <v>0</v>
      </c>
      <c r="E14167" s="2">
        <v>0</v>
      </c>
      <c r="F14167" s="2">
        <v>0</v>
      </c>
      <c r="G14167" s="2">
        <v>0</v>
      </c>
      <c r="H14167" s="1" t="s">
        <v>0</v>
      </c>
      <c r="I14167" s="2">
        <v>0</v>
      </c>
      <c r="J14167" s="1">
        <v>45919.426793981482</v>
      </c>
    </row>
    <row r="14168" spans="1:10" x14ac:dyDescent="0.2">
      <c r="A14168" s="4" t="s">
        <v>1</v>
      </c>
      <c r="B14168" s="3" t="str">
        <f>HYPERLINK("https://otsuka-europe-crm.veevavault.com/ui/#object/approved_document__v/V5OZ025E82TN2QL", "LUP - Invitación simposio SEN 2025 - nefro")</f>
        <v>LUP - Invitación simposio SEN 2025 - nefro</v>
      </c>
      <c r="C14168" s="3" t="str">
        <f>HYPERLINK("https://otsuka-europe-crm.veevavault.com/ui/#object/sent_email__v/VBLZ025E82GU62S", "SE-000276874")</f>
        <v>SE-000276874</v>
      </c>
      <c r="D14168" s="1" t="s">
        <v>0</v>
      </c>
      <c r="E14168" s="2">
        <v>0</v>
      </c>
      <c r="F14168" s="2">
        <v>0</v>
      </c>
      <c r="G14168" s="2">
        <v>0</v>
      </c>
      <c r="H14168" s="1" t="s">
        <v>0</v>
      </c>
      <c r="I14168" s="2">
        <v>0</v>
      </c>
      <c r="J14168" s="1">
        <v>45919.42664351852</v>
      </c>
    </row>
    <row r="14169" spans="1:10" x14ac:dyDescent="0.2">
      <c r="A14169" s="4" t="s">
        <v>1</v>
      </c>
      <c r="B14169" s="3" t="str">
        <f>HYPERLINK("https://otsuka-europe-crm.veevavault.com/ui/#object/approved_document__v/V5OZ025E82TN2QL", "LUP - Invitación simposio SEN 2025 - nefro")</f>
        <v>LUP - Invitación simposio SEN 2025 - nefro</v>
      </c>
      <c r="C14169" s="3" t="str">
        <f>HYPERLINK("https://otsuka-europe-crm.veevavault.com/ui/#object/sent_email__v/VBLZ025E82GU62T", "SE-000276875")</f>
        <v>SE-000276875</v>
      </c>
      <c r="D14169" s="1" t="s">
        <v>0</v>
      </c>
      <c r="E14169" s="2">
        <v>0</v>
      </c>
      <c r="F14169" s="2">
        <v>0</v>
      </c>
      <c r="G14169" s="2">
        <v>0</v>
      </c>
      <c r="H14169" s="1" t="s">
        <v>0</v>
      </c>
      <c r="I14169" s="2">
        <v>0</v>
      </c>
      <c r="J14169" s="1">
        <v>45919.426793981482</v>
      </c>
    </row>
    <row r="14170" spans="1:10" x14ac:dyDescent="0.2">
      <c r="A14170" s="4" t="s">
        <v>1</v>
      </c>
      <c r="B14170" s="3" t="str">
        <f>HYPERLINK("https://otsuka-europe-crm.veevavault.com/ui/#object/approved_document__v/V5OZ025E82TN2QL", "LUP - Invitación simposio SEN 2025 - nefro")</f>
        <v>LUP - Invitación simposio SEN 2025 - nefro</v>
      </c>
      <c r="C14170" s="3" t="str">
        <f>HYPERLINK("https://otsuka-europe-crm.veevavault.com/ui/#object/sent_email__v/VBLZ025E82GU62U", "SE-000276876")</f>
        <v>SE-000276876</v>
      </c>
      <c r="D14170" s="1" t="s">
        <v>0</v>
      </c>
      <c r="E14170" s="2">
        <v>0</v>
      </c>
      <c r="F14170" s="2">
        <v>0</v>
      </c>
      <c r="G14170" s="2">
        <v>0</v>
      </c>
      <c r="H14170" s="1" t="s">
        <v>0</v>
      </c>
      <c r="I14170" s="2">
        <v>0</v>
      </c>
      <c r="J14170" s="1">
        <v>45919.426620370374</v>
      </c>
    </row>
    <row r="14171" spans="1:10" x14ac:dyDescent="0.2">
      <c r="A14171" s="4" t="s">
        <v>1</v>
      </c>
      <c r="B14171" s="3" t="str">
        <f>HYPERLINK("https://otsuka-europe-crm.veevavault.com/ui/#object/approved_document__v/V5OZ025E82TN2QL", "LUP - Invitación simposio SEN 2025 - nefro")</f>
        <v>LUP - Invitación simposio SEN 2025 - nefro</v>
      </c>
      <c r="C14171" s="3" t="str">
        <f>HYPERLINK("https://otsuka-europe-crm.veevavault.com/ui/#object/sent_email__v/VBLZ025E82GU62V", "SE-000276877")</f>
        <v>SE-000276877</v>
      </c>
      <c r="D14171" s="1" t="s">
        <v>0</v>
      </c>
      <c r="E14171" s="2">
        <v>0</v>
      </c>
      <c r="F14171" s="2">
        <v>0</v>
      </c>
      <c r="G14171" s="2">
        <v>0</v>
      </c>
      <c r="H14171" s="1" t="s">
        <v>0</v>
      </c>
      <c r="I14171" s="2">
        <v>0</v>
      </c>
      <c r="J14171" s="1">
        <v>45919.426782407405</v>
      </c>
    </row>
    <row r="14172" spans="1:10" x14ac:dyDescent="0.2">
      <c r="A14172" s="4" t="s">
        <v>1</v>
      </c>
      <c r="B14172" s="3" t="str">
        <f>HYPERLINK("https://otsuka-europe-crm.veevavault.com/ui/#object/approved_document__v/V5OZ025E82TN2QL", "LUP - Invitación simposio SEN 2025 - nefro")</f>
        <v>LUP - Invitación simposio SEN 2025 - nefro</v>
      </c>
      <c r="C14172" s="3" t="str">
        <f>HYPERLINK("https://otsuka-europe-crm.veevavault.com/ui/#object/sent_email__v/VBLZ025E82GU62W", "SE-000276878")</f>
        <v>SE-000276878</v>
      </c>
      <c r="D14172" s="1" t="s">
        <v>0</v>
      </c>
      <c r="E14172" s="2">
        <v>0</v>
      </c>
      <c r="F14172" s="2">
        <v>0</v>
      </c>
      <c r="G14172" s="2">
        <v>0</v>
      </c>
      <c r="H14172" s="1" t="s">
        <v>0</v>
      </c>
      <c r="I14172" s="2">
        <v>0</v>
      </c>
      <c r="J14172" s="1">
        <v>45919.426631944443</v>
      </c>
    </row>
    <row r="14173" spans="1:10" x14ac:dyDescent="0.2">
      <c r="A14173" s="4" t="s">
        <v>1</v>
      </c>
      <c r="B14173" s="3" t="str">
        <f>HYPERLINK("https://otsuka-europe-crm.veevavault.com/ui/#object/approved_document__v/V5OZ025E82TN2QL", "LUP - Invitación simposio SEN 2025 - nefro")</f>
        <v>LUP - Invitación simposio SEN 2025 - nefro</v>
      </c>
      <c r="C14173" s="3" t="str">
        <f>HYPERLINK("https://otsuka-europe-crm.veevavault.com/ui/#object/sent_email__v/VBLZ025E82GU62X", "SE-000276879")</f>
        <v>SE-000276879</v>
      </c>
      <c r="D14173" s="1">
        <v>45924.89947916667</v>
      </c>
      <c r="E14173" s="2">
        <v>1</v>
      </c>
      <c r="F14173" s="2">
        <v>1</v>
      </c>
      <c r="G14173" s="2">
        <v>0</v>
      </c>
      <c r="H14173" s="1" t="s">
        <v>0</v>
      </c>
      <c r="I14173" s="2">
        <v>0</v>
      </c>
      <c r="J14173" s="1">
        <v>45919.426770833335</v>
      </c>
    </row>
    <row r="14174" spans="1:10" x14ac:dyDescent="0.2">
      <c r="A14174" s="4" t="s">
        <v>1</v>
      </c>
      <c r="B14174" s="3" t="str">
        <f>HYPERLINK("https://otsuka-europe-crm.veevavault.com/ui/#object/approved_document__v/V5OZ025E82TN2QL", "LUP - Invitación simposio SEN 2025 - nefro")</f>
        <v>LUP - Invitación simposio SEN 2025 - nefro</v>
      </c>
      <c r="C14174" s="3" t="str">
        <f>HYPERLINK("https://otsuka-europe-crm.veevavault.com/ui/#object/sent_email__v/VBLZ025E82GU62Y", "SE-000276880")</f>
        <v>SE-000276880</v>
      </c>
      <c r="D14174" s="1" t="s">
        <v>0</v>
      </c>
      <c r="E14174" s="2">
        <v>0</v>
      </c>
      <c r="F14174" s="2">
        <v>0</v>
      </c>
      <c r="G14174" s="2">
        <v>0</v>
      </c>
      <c r="H14174" s="1" t="s">
        <v>0</v>
      </c>
      <c r="I14174" s="2">
        <v>0</v>
      </c>
      <c r="J14174" s="1">
        <v>45919.42659722222</v>
      </c>
    </row>
    <row r="14175" spans="1:10" x14ac:dyDescent="0.2">
      <c r="A14175" s="4" t="s">
        <v>1</v>
      </c>
      <c r="B14175" s="3" t="str">
        <f>HYPERLINK("https://otsuka-europe-crm.veevavault.com/ui/#object/approved_document__v/V5OZ025E82TN2QL", "LUP - Invitación simposio SEN 2025 - nefro")</f>
        <v>LUP - Invitación simposio SEN 2025 - nefro</v>
      </c>
      <c r="C14175" s="3" t="str">
        <f>HYPERLINK("https://otsuka-europe-crm.veevavault.com/ui/#object/sent_email__v/VBLZ025E82GU62Z", "SE-000276881")</f>
        <v>SE-000276881</v>
      </c>
      <c r="D14175" s="1" t="s">
        <v>0</v>
      </c>
      <c r="E14175" s="2">
        <v>0</v>
      </c>
      <c r="F14175" s="2">
        <v>0</v>
      </c>
      <c r="G14175" s="2">
        <v>0</v>
      </c>
      <c r="H14175" s="1" t="s">
        <v>0</v>
      </c>
      <c r="I14175" s="2">
        <v>0</v>
      </c>
      <c r="J14175" s="1">
        <v>45919.426770833335</v>
      </c>
    </row>
    <row r="14176" spans="1:10" x14ac:dyDescent="0.2">
      <c r="A14176" s="4" t="s">
        <v>1</v>
      </c>
      <c r="B14176" s="3" t="str">
        <f>HYPERLINK("https://otsuka-europe-crm.veevavault.com/ui/#object/approved_document__v/V5OZ025E82TN2QL", "LUP - Invitación simposio SEN 2025 - nefro")</f>
        <v>LUP - Invitación simposio SEN 2025 - nefro</v>
      </c>
      <c r="C14176" s="3" t="str">
        <f>HYPERLINK("https://otsuka-europe-crm.veevavault.com/ui/#object/sent_email__v/VBLZ025E82GU630", "SE-000276882")</f>
        <v>SE-000276882</v>
      </c>
      <c r="D14176" s="1" t="s">
        <v>0</v>
      </c>
      <c r="E14176" s="2">
        <v>0</v>
      </c>
      <c r="F14176" s="2">
        <v>0</v>
      </c>
      <c r="G14176" s="2">
        <v>0</v>
      </c>
      <c r="H14176" s="1" t="s">
        <v>0</v>
      </c>
      <c r="I14176" s="2">
        <v>0</v>
      </c>
      <c r="J14176" s="1">
        <v>45919.426620370374</v>
      </c>
    </row>
    <row r="14177" spans="1:10" x14ac:dyDescent="0.2">
      <c r="A14177" s="4" t="s">
        <v>1</v>
      </c>
      <c r="B14177" s="3" t="str">
        <f>HYPERLINK("https://otsuka-europe-crm.veevavault.com/ui/#object/approved_document__v/V5OZ025E82TN2QL", "LUP - Invitación simposio SEN 2025 - nefro")</f>
        <v>LUP - Invitación simposio SEN 2025 - nefro</v>
      </c>
      <c r="C14177" s="3" t="str">
        <f>HYPERLINK("https://otsuka-europe-crm.veevavault.com/ui/#object/sent_email__v/VBLZ025E82GU631", "SE-000276883")</f>
        <v>SE-000276883</v>
      </c>
      <c r="D14177" s="1" t="s">
        <v>0</v>
      </c>
      <c r="E14177" s="2">
        <v>0</v>
      </c>
      <c r="F14177" s="2">
        <v>0</v>
      </c>
      <c r="G14177" s="2">
        <v>0</v>
      </c>
      <c r="H14177" s="1" t="s">
        <v>0</v>
      </c>
      <c r="I14177" s="2">
        <v>0</v>
      </c>
      <c r="J14177" s="1">
        <v>45919.426759259259</v>
      </c>
    </row>
    <row r="14178" spans="1:10" x14ac:dyDescent="0.2">
      <c r="A14178" s="4" t="s">
        <v>1</v>
      </c>
      <c r="B14178" s="3" t="str">
        <f>HYPERLINK("https://otsuka-europe-crm.veevavault.com/ui/#object/approved_document__v/V5OZ025E82TN2QL", "LUP - Invitación simposio SEN 2025 - nefro")</f>
        <v>LUP - Invitación simposio SEN 2025 - nefro</v>
      </c>
      <c r="C14178" s="3" t="str">
        <f>HYPERLINK("https://otsuka-europe-crm.veevavault.com/ui/#object/sent_email__v/VBLZ025E82GU632", "SE-000276884")</f>
        <v>SE-000276884</v>
      </c>
      <c r="D14178" s="1">
        <v>45924.93378472222</v>
      </c>
      <c r="E14178" s="2">
        <v>1</v>
      </c>
      <c r="F14178" s="2">
        <v>2</v>
      </c>
      <c r="G14178" s="2">
        <v>0</v>
      </c>
      <c r="H14178" s="1" t="s">
        <v>0</v>
      </c>
      <c r="I14178" s="2">
        <v>0</v>
      </c>
      <c r="J14178" s="1">
        <v>45919.426736111112</v>
      </c>
    </row>
    <row r="14179" spans="1:10" x14ac:dyDescent="0.2">
      <c r="A14179" s="4" t="s">
        <v>1</v>
      </c>
      <c r="B14179" s="3" t="str">
        <f>HYPERLINK("https://otsuka-europe-crm.veevavault.com/ui/#object/approved_document__v/V5OZ025E82TN2QL", "LUP - Invitación simposio SEN 2025 - nefro")</f>
        <v>LUP - Invitación simposio SEN 2025 - nefro</v>
      </c>
      <c r="C14179" s="3" t="str">
        <f>HYPERLINK("https://otsuka-europe-crm.veevavault.com/ui/#object/sent_email__v/VBLZ025E82GU633", "SE-000276885")</f>
        <v>SE-000276885</v>
      </c>
      <c r="D14179" s="1" t="s">
        <v>0</v>
      </c>
      <c r="E14179" s="2">
        <v>0</v>
      </c>
      <c r="F14179" s="2">
        <v>0</v>
      </c>
      <c r="G14179" s="2">
        <v>0</v>
      </c>
      <c r="H14179" s="1" t="s">
        <v>0</v>
      </c>
      <c r="I14179" s="2">
        <v>0</v>
      </c>
      <c r="J14179" s="1">
        <v>45919.426608796297</v>
      </c>
    </row>
    <row r="14180" spans="1:10" x14ac:dyDescent="0.2">
      <c r="A14180" s="4" t="s">
        <v>1</v>
      </c>
      <c r="B14180" s="3" t="str">
        <f>HYPERLINK("https://otsuka-europe-crm.veevavault.com/ui/#object/approved_document__v/V5OZ025E82TN2QL", "LUP - Invitación simposio SEN 2025 - nefro")</f>
        <v>LUP - Invitación simposio SEN 2025 - nefro</v>
      </c>
      <c r="C14180" s="3" t="str">
        <f>HYPERLINK("https://otsuka-europe-crm.veevavault.com/ui/#object/sent_email__v/VBLZ025E82GU634", "SE-000276886")</f>
        <v>SE-000276886</v>
      </c>
      <c r="D14180" s="1" t="s">
        <v>0</v>
      </c>
      <c r="E14180" s="2">
        <v>0</v>
      </c>
      <c r="F14180" s="2">
        <v>0</v>
      </c>
      <c r="G14180" s="2">
        <v>0</v>
      </c>
      <c r="H14180" s="1" t="s">
        <v>0</v>
      </c>
      <c r="I14180" s="2">
        <v>0</v>
      </c>
      <c r="J14180" s="1">
        <v>45919.426828703705</v>
      </c>
    </row>
    <row r="14181" spans="1:10" x14ac:dyDescent="0.2">
      <c r="A14181" s="4" t="s">
        <v>1</v>
      </c>
      <c r="B14181" s="3" t="str">
        <f>HYPERLINK("https://otsuka-europe-crm.veevavault.com/ui/#object/approved_document__v/V5OZ025E82TN2QL", "LUP - Invitación simposio SEN 2025 - nefro")</f>
        <v>LUP - Invitación simposio SEN 2025 - nefro</v>
      </c>
      <c r="C14181" s="3" t="str">
        <f>HYPERLINK("https://otsuka-europe-crm.veevavault.com/ui/#object/sent_email__v/VBLZ025E82GU635", "SE-000276887")</f>
        <v>SE-000276887</v>
      </c>
      <c r="D14181" s="1" t="s">
        <v>0</v>
      </c>
      <c r="E14181" s="2">
        <v>0</v>
      </c>
      <c r="F14181" s="2">
        <v>0</v>
      </c>
      <c r="G14181" s="2">
        <v>0</v>
      </c>
      <c r="H14181" s="1" t="s">
        <v>0</v>
      </c>
      <c r="I14181" s="2">
        <v>0</v>
      </c>
      <c r="J14181" s="1">
        <v>45919.426712962966</v>
      </c>
    </row>
    <row r="14182" spans="1:10" x14ac:dyDescent="0.2">
      <c r="A14182" s="4" t="s">
        <v>1</v>
      </c>
      <c r="B14182" s="3" t="str">
        <f>HYPERLINK("https://otsuka-europe-crm.veevavault.com/ui/#object/approved_document__v/V5OZ025E82TN2QL", "LUP - Invitación simposio SEN 2025 - nefro")</f>
        <v>LUP - Invitación simposio SEN 2025 - nefro</v>
      </c>
      <c r="C14182" s="3" t="str">
        <f>HYPERLINK("https://otsuka-europe-crm.veevavault.com/ui/#object/sent_email__v/VBLZ025E82GU636", "SE-000276888")</f>
        <v>SE-000276888</v>
      </c>
      <c r="D14182" s="1" t="s">
        <v>0</v>
      </c>
      <c r="E14182" s="2">
        <v>0</v>
      </c>
      <c r="F14182" s="2">
        <v>0</v>
      </c>
      <c r="G14182" s="2">
        <v>0</v>
      </c>
      <c r="H14182" s="1" t="s">
        <v>0</v>
      </c>
      <c r="I14182" s="2">
        <v>0</v>
      </c>
      <c r="J14182" s="1">
        <v>45919.426840277774</v>
      </c>
    </row>
    <row r="14183" spans="1:10" x14ac:dyDescent="0.2">
      <c r="A14183" s="4" t="s">
        <v>1</v>
      </c>
      <c r="B14183" s="3" t="str">
        <f>HYPERLINK("https://otsuka-europe-crm.veevavault.com/ui/#object/approved_document__v/V5OZ025E82TN2QL", "LUP - Invitación simposio SEN 2025 - nefro")</f>
        <v>LUP - Invitación simposio SEN 2025 - nefro</v>
      </c>
      <c r="C14183" s="3" t="str">
        <f>HYPERLINK("https://otsuka-europe-crm.veevavault.com/ui/#object/sent_email__v/VBLZ025E82GU637", "SE-000276889")</f>
        <v>SE-000276889</v>
      </c>
      <c r="D14183" s="1">
        <v>45921.381018518521</v>
      </c>
      <c r="E14183" s="2">
        <v>1</v>
      </c>
      <c r="F14183" s="2">
        <v>1</v>
      </c>
      <c r="G14183" s="2">
        <v>0</v>
      </c>
      <c r="H14183" s="1" t="s">
        <v>0</v>
      </c>
      <c r="I14183" s="2">
        <v>0</v>
      </c>
      <c r="J14183" s="1">
        <v>45919.426689814813</v>
      </c>
    </row>
    <row r="14184" spans="1:10" x14ac:dyDescent="0.2">
      <c r="A14184" s="4" t="s">
        <v>1</v>
      </c>
      <c r="B14184" s="3" t="str">
        <f>HYPERLINK("https://otsuka-europe-crm.veevavault.com/ui/#object/approved_document__v/V5OZ025E82TN2QL", "LUP - Invitación simposio SEN 2025 - nefro")</f>
        <v>LUP - Invitación simposio SEN 2025 - nefro</v>
      </c>
      <c r="C14184" s="3" t="str">
        <f>HYPERLINK("https://otsuka-europe-crm.veevavault.com/ui/#object/sent_email__v/VBLZ025E82GU638", "SE-000276890")</f>
        <v>SE-000276890</v>
      </c>
      <c r="D14184" s="1" t="s">
        <v>0</v>
      </c>
      <c r="E14184" s="2">
        <v>0</v>
      </c>
      <c r="F14184" s="2">
        <v>0</v>
      </c>
      <c r="G14184" s="2">
        <v>0</v>
      </c>
      <c r="H14184" s="1" t="s">
        <v>0</v>
      </c>
      <c r="I14184" s="2">
        <v>0</v>
      </c>
      <c r="J14184" s="1">
        <v>45919.426782407405</v>
      </c>
    </row>
    <row r="14185" spans="1:10" x14ac:dyDescent="0.2">
      <c r="A14185" s="4" t="s">
        <v>1</v>
      </c>
      <c r="B14185" s="3" t="str">
        <f>HYPERLINK("https://otsuka-europe-crm.veevavault.com/ui/#object/approved_document__v/V5OZ025E82TN2QL", "LUP - Invitación simposio SEN 2025 - nefro")</f>
        <v>LUP - Invitación simposio SEN 2025 - nefro</v>
      </c>
      <c r="C14185" s="3" t="str">
        <f>HYPERLINK("https://otsuka-europe-crm.veevavault.com/ui/#object/sent_email__v/VBLZ025E82GU639", "SE-000276891")</f>
        <v>SE-000276891</v>
      </c>
      <c r="D14185" s="1" t="s">
        <v>0</v>
      </c>
      <c r="E14185" s="2">
        <v>0</v>
      </c>
      <c r="F14185" s="2">
        <v>0</v>
      </c>
      <c r="G14185" s="2">
        <v>0</v>
      </c>
      <c r="H14185" s="1" t="s">
        <v>0</v>
      </c>
      <c r="I14185" s="2">
        <v>0</v>
      </c>
      <c r="J14185" s="1">
        <v>45919.426655092589</v>
      </c>
    </row>
    <row r="14186" spans="1:10" x14ac:dyDescent="0.2">
      <c r="A14186" s="4" t="s">
        <v>1</v>
      </c>
      <c r="B14186" s="3" t="str">
        <f>HYPERLINK("https://otsuka-europe-crm.veevavault.com/ui/#object/approved_document__v/V5OZ025E82TN2QL", "LUP - Invitación simposio SEN 2025 - nefro")</f>
        <v>LUP - Invitación simposio SEN 2025 - nefro</v>
      </c>
      <c r="C14186" s="3" t="str">
        <f>HYPERLINK("https://otsuka-europe-crm.veevavault.com/ui/#object/sent_email__v/VBLZ025E82GU63A", "SE-000276892")</f>
        <v>SE-000276892</v>
      </c>
      <c r="D14186" s="1" t="s">
        <v>0</v>
      </c>
      <c r="E14186" s="2">
        <v>0</v>
      </c>
      <c r="F14186" s="2">
        <v>0</v>
      </c>
      <c r="G14186" s="2">
        <v>0</v>
      </c>
      <c r="H14186" s="1" t="s">
        <v>0</v>
      </c>
      <c r="I14186" s="2">
        <v>0</v>
      </c>
      <c r="J14186" s="1">
        <v>45919.426817129628</v>
      </c>
    </row>
    <row r="14187" spans="1:10" x14ac:dyDescent="0.2">
      <c r="A14187" s="4" t="s">
        <v>1</v>
      </c>
      <c r="B14187" s="3" t="str">
        <f>HYPERLINK("https://otsuka-europe-crm.veevavault.com/ui/#object/approved_document__v/V5OZ025E82TN2QL", "LUP - Invitación simposio SEN 2025 - nefro")</f>
        <v>LUP - Invitación simposio SEN 2025 - nefro</v>
      </c>
      <c r="C14187" s="3" t="str">
        <f>HYPERLINK("https://otsuka-europe-crm.veevavault.com/ui/#object/sent_email__v/VBLZ025E82GU63B", "SE-000276893")</f>
        <v>SE-000276893</v>
      </c>
      <c r="D14187" s="1" t="s">
        <v>0</v>
      </c>
      <c r="E14187" s="2">
        <v>0</v>
      </c>
      <c r="F14187" s="2">
        <v>0</v>
      </c>
      <c r="G14187" s="2">
        <v>0</v>
      </c>
      <c r="H14187" s="1" t="s">
        <v>0</v>
      </c>
      <c r="I14187" s="2">
        <v>0</v>
      </c>
      <c r="J14187" s="1">
        <v>45919.426666666666</v>
      </c>
    </row>
    <row r="14188" spans="1:10" x14ac:dyDescent="0.2">
      <c r="A14188" s="4" t="s">
        <v>1</v>
      </c>
      <c r="B14188" s="3" t="str">
        <f>HYPERLINK("https://otsuka-europe-crm.veevavault.com/ui/#object/approved_document__v/V5OZ025E82TN2QL", "LUP - Invitación simposio SEN 2025 - nefro")</f>
        <v>LUP - Invitación simposio SEN 2025 - nefro</v>
      </c>
      <c r="C14188" s="3" t="str">
        <f>HYPERLINK("https://otsuka-europe-crm.veevavault.com/ui/#object/sent_email__v/VBLZ025E82GU63C", "SE-000276894")</f>
        <v>SE-000276894</v>
      </c>
      <c r="D14188" s="1">
        <v>45919.725127314814</v>
      </c>
      <c r="E14188" s="2">
        <v>1</v>
      </c>
      <c r="F14188" s="2">
        <v>1</v>
      </c>
      <c r="G14188" s="2">
        <v>0</v>
      </c>
      <c r="H14188" s="1" t="s">
        <v>0</v>
      </c>
      <c r="I14188" s="2">
        <v>0</v>
      </c>
      <c r="J14188" s="1">
        <v>45919.426736111112</v>
      </c>
    </row>
    <row r="14189" spans="1:10" x14ac:dyDescent="0.2">
      <c r="A14189" s="4" t="s">
        <v>1</v>
      </c>
      <c r="B14189" s="3" t="str">
        <f>HYPERLINK("https://otsuka-europe-crm.veevavault.com/ui/#object/approved_document__v/V5OZ025E82TN2QL", "LUP - Invitación simposio SEN 2025 - nefro")</f>
        <v>LUP - Invitación simposio SEN 2025 - nefro</v>
      </c>
      <c r="C14189" s="3" t="str">
        <f>HYPERLINK("https://otsuka-europe-crm.veevavault.com/ui/#object/sent_email__v/VBLZ025E82GU6X1", "SE-000276984")</f>
        <v>SE-000276984</v>
      </c>
      <c r="D14189" s="1" t="s">
        <v>0</v>
      </c>
      <c r="E14189" s="2">
        <v>0</v>
      </c>
      <c r="F14189" s="2">
        <v>0</v>
      </c>
      <c r="G14189" s="2">
        <v>0</v>
      </c>
      <c r="H14189" s="1" t="s">
        <v>0</v>
      </c>
      <c r="I14189" s="2">
        <v>0</v>
      </c>
      <c r="J14189" s="1">
        <v>45919.428287037037</v>
      </c>
    </row>
    <row r="14190" spans="1:10" x14ac:dyDescent="0.2">
      <c r="A14190" s="4" t="s">
        <v>1</v>
      </c>
      <c r="B14190" s="3" t="str">
        <f>HYPERLINK("https://otsuka-europe-crm.veevavault.com/ui/#object/approved_document__v/V5OZ025E82TN2QL", "LUP - Invitación simposio SEN 2025 - nefro")</f>
        <v>LUP - Invitación simposio SEN 2025 - nefro</v>
      </c>
      <c r="C14190" s="3" t="str">
        <f>HYPERLINK("https://otsuka-europe-crm.veevavault.com/ui/#object/sent_email__v/VBLZ025E82GU6X2", "SE-000276985")</f>
        <v>SE-000276985</v>
      </c>
      <c r="D14190" s="1" t="s">
        <v>0</v>
      </c>
      <c r="E14190" s="2">
        <v>0</v>
      </c>
      <c r="F14190" s="2">
        <v>0</v>
      </c>
      <c r="G14190" s="2">
        <v>0</v>
      </c>
      <c r="H14190" s="1" t="s">
        <v>0</v>
      </c>
      <c r="I14190" s="2">
        <v>0</v>
      </c>
      <c r="J14190" s="1">
        <v>45919.428124999999</v>
      </c>
    </row>
    <row r="14191" spans="1:10" x14ac:dyDescent="0.2">
      <c r="A14191" s="4" t="s">
        <v>1</v>
      </c>
      <c r="B14191" s="3" t="str">
        <f>HYPERLINK("https://otsuka-europe-crm.veevavault.com/ui/#object/approved_document__v/V5OZ025E82TN2QL", "LUP - Invitación simposio SEN 2025 - nefro")</f>
        <v>LUP - Invitación simposio SEN 2025 - nefro</v>
      </c>
      <c r="C14191" s="3" t="str">
        <f>HYPERLINK("https://otsuka-europe-crm.veevavault.com/ui/#object/sent_email__v/VBLZ025E82GU6X3", "SE-000276986")</f>
        <v>SE-000276986</v>
      </c>
      <c r="D14191" s="1" t="s">
        <v>0</v>
      </c>
      <c r="E14191" s="2">
        <v>0</v>
      </c>
      <c r="F14191" s="2">
        <v>0</v>
      </c>
      <c r="G14191" s="2">
        <v>0</v>
      </c>
      <c r="H14191" s="1" t="s">
        <v>0</v>
      </c>
      <c r="I14191" s="2">
        <v>0</v>
      </c>
      <c r="J14191" s="1">
        <v>45919.428252314814</v>
      </c>
    </row>
    <row r="14192" spans="1:10" x14ac:dyDescent="0.2">
      <c r="A14192" s="4" t="s">
        <v>1</v>
      </c>
      <c r="B14192" s="3" t="str">
        <f>HYPERLINK("https://otsuka-europe-crm.veevavault.com/ui/#object/approved_document__v/V5OZ025E82TN2QL", "LUP - Invitación simposio SEN 2025 - nefro")</f>
        <v>LUP - Invitación simposio SEN 2025 - nefro</v>
      </c>
      <c r="C14192" s="3" t="str">
        <f>HYPERLINK("https://otsuka-europe-crm.veevavault.com/ui/#object/sent_email__v/VBLZ025E82GU6X4", "SE-000276987")</f>
        <v>SE-000276987</v>
      </c>
      <c r="D14192" s="1" t="s">
        <v>0</v>
      </c>
      <c r="E14192" s="2">
        <v>0</v>
      </c>
      <c r="F14192" s="2">
        <v>0</v>
      </c>
      <c r="G14192" s="2">
        <v>0</v>
      </c>
      <c r="H14192" s="1" t="s">
        <v>0</v>
      </c>
      <c r="I14192" s="2">
        <v>0</v>
      </c>
      <c r="J14192" s="1">
        <v>45919.428124999999</v>
      </c>
    </row>
    <row r="14193" spans="1:10" x14ac:dyDescent="0.2">
      <c r="A14193" s="4" t="s">
        <v>1</v>
      </c>
      <c r="B14193" s="3" t="str">
        <f>HYPERLINK("https://otsuka-europe-crm.veevavault.com/ui/#object/approved_document__v/V5OZ025E82TN2QL", "LUP - Invitación simposio SEN 2025 - nefro")</f>
        <v>LUP - Invitación simposio SEN 2025 - nefro</v>
      </c>
      <c r="C14193" s="3" t="str">
        <f>HYPERLINK("https://otsuka-europe-crm.veevavault.com/ui/#object/sent_email__v/VBLZ025E82GU6X5", "SE-000276988")</f>
        <v>SE-000276988</v>
      </c>
      <c r="D14193" s="1" t="s">
        <v>0</v>
      </c>
      <c r="E14193" s="2">
        <v>0</v>
      </c>
      <c r="F14193" s="2">
        <v>0</v>
      </c>
      <c r="G14193" s="2">
        <v>0</v>
      </c>
      <c r="H14193" s="1" t="s">
        <v>0</v>
      </c>
      <c r="I14193" s="2">
        <v>0</v>
      </c>
      <c r="J14193" s="1">
        <v>45919.428263888891</v>
      </c>
    </row>
    <row r="14194" spans="1:10" x14ac:dyDescent="0.2">
      <c r="A14194" s="4" t="s">
        <v>1</v>
      </c>
      <c r="B14194" s="3" t="str">
        <f>HYPERLINK("https://otsuka-europe-crm.veevavault.com/ui/#object/approved_document__v/V5OZ025E82TN2QL", "LUP - Invitación simposio SEN 2025 - nefro")</f>
        <v>LUP - Invitación simposio SEN 2025 - nefro</v>
      </c>
      <c r="C14194" s="3" t="str">
        <f>HYPERLINK("https://otsuka-europe-crm.veevavault.com/ui/#object/sent_email__v/VBLZ025E82GU6X6", "SE-000276989")</f>
        <v>SE-000276989</v>
      </c>
      <c r="D14194" s="1" t="s">
        <v>0</v>
      </c>
      <c r="E14194" s="2">
        <v>0</v>
      </c>
      <c r="F14194" s="2">
        <v>0</v>
      </c>
      <c r="G14194" s="2">
        <v>0</v>
      </c>
      <c r="H14194" s="1" t="s">
        <v>0</v>
      </c>
      <c r="I14194" s="2">
        <v>0</v>
      </c>
      <c r="J14194" s="1">
        <v>45919.428101851852</v>
      </c>
    </row>
    <row r="14195" spans="1:10" x14ac:dyDescent="0.2">
      <c r="A14195" s="4" t="s">
        <v>1</v>
      </c>
      <c r="B14195" s="3" t="str">
        <f>HYPERLINK("https://otsuka-europe-crm.veevavault.com/ui/#object/approved_document__v/V5OZ025E82TN2QL", "LUP - Invitación simposio SEN 2025 - nefro")</f>
        <v>LUP - Invitación simposio SEN 2025 - nefro</v>
      </c>
      <c r="C14195" s="3" t="str">
        <f>HYPERLINK("https://otsuka-europe-crm.veevavault.com/ui/#object/sent_email__v/VBLZ025E82GU6X7", "SE-000276990")</f>
        <v>SE-000276990</v>
      </c>
      <c r="D14195" s="1" t="s">
        <v>0</v>
      </c>
      <c r="E14195" s="2">
        <v>0</v>
      </c>
      <c r="F14195" s="2">
        <v>0</v>
      </c>
      <c r="G14195" s="2">
        <v>0</v>
      </c>
      <c r="H14195" s="1" t="s">
        <v>0</v>
      </c>
      <c r="I14195" s="2">
        <v>0</v>
      </c>
      <c r="J14195" s="1">
        <v>45919.428240740737</v>
      </c>
    </row>
    <row r="14196" spans="1:10" x14ac:dyDescent="0.2">
      <c r="A14196" s="4" t="s">
        <v>1</v>
      </c>
      <c r="B14196" s="3" t="str">
        <f>HYPERLINK("https://otsuka-europe-crm.veevavault.com/ui/#object/approved_document__v/V5OZ025E82TN2QL", "LUP - Invitación simposio SEN 2025 - nefro")</f>
        <v>LUP - Invitación simposio SEN 2025 - nefro</v>
      </c>
      <c r="C14196" s="3" t="str">
        <f>HYPERLINK("https://otsuka-europe-crm.veevavault.com/ui/#object/sent_email__v/VBLZ025E82GU6X8", "SE-000276991")</f>
        <v>SE-000276991</v>
      </c>
      <c r="D14196" s="1" t="s">
        <v>0</v>
      </c>
      <c r="E14196" s="2">
        <v>0</v>
      </c>
      <c r="F14196" s="2">
        <v>0</v>
      </c>
      <c r="G14196" s="2">
        <v>0</v>
      </c>
      <c r="H14196" s="1" t="s">
        <v>0</v>
      </c>
      <c r="I14196" s="2">
        <v>0</v>
      </c>
      <c r="J14196" s="1">
        <v>45919.428078703706</v>
      </c>
    </row>
    <row r="14197" spans="1:10" x14ac:dyDescent="0.2">
      <c r="A14197" s="4" t="s">
        <v>1</v>
      </c>
      <c r="B14197" s="3" t="str">
        <f>HYPERLINK("https://otsuka-europe-crm.veevavault.com/ui/#object/approved_document__v/V5OZ025E82TN2QL", "LUP - Invitación simposio SEN 2025 - nefro")</f>
        <v>LUP - Invitación simposio SEN 2025 - nefro</v>
      </c>
      <c r="C14197" s="3" t="str">
        <f>HYPERLINK("https://otsuka-europe-crm.veevavault.com/ui/#object/sent_email__v/VBLZ025E82GU6X9", "SE-000276992")</f>
        <v>SE-000276992</v>
      </c>
      <c r="D14197" s="1" t="s">
        <v>0</v>
      </c>
      <c r="E14197" s="2">
        <v>0</v>
      </c>
      <c r="F14197" s="2">
        <v>0</v>
      </c>
      <c r="G14197" s="2">
        <v>0</v>
      </c>
      <c r="H14197" s="1" t="s">
        <v>0</v>
      </c>
      <c r="I14197" s="2">
        <v>0</v>
      </c>
      <c r="J14197" s="1">
        <v>45919.428217592591</v>
      </c>
    </row>
    <row r="14198" spans="1:10" x14ac:dyDescent="0.2">
      <c r="A14198" s="4" t="s">
        <v>1</v>
      </c>
      <c r="B14198" s="3" t="str">
        <f>HYPERLINK("https://otsuka-europe-crm.veevavault.com/ui/#object/approved_document__v/V5OZ025E82TN2QL", "LUP - Invitación simposio SEN 2025 - nefro")</f>
        <v>LUP - Invitación simposio SEN 2025 - nefro</v>
      </c>
      <c r="C14198" s="3" t="str">
        <f>HYPERLINK("https://otsuka-europe-crm.veevavault.com/ui/#object/sent_email__v/VBLZ025E82GU6XA", "SE-000276993")</f>
        <v>SE-000276993</v>
      </c>
      <c r="D14198" s="1" t="s">
        <v>0</v>
      </c>
      <c r="E14198" s="2">
        <v>0</v>
      </c>
      <c r="F14198" s="2">
        <v>0</v>
      </c>
      <c r="G14198" s="2">
        <v>0</v>
      </c>
      <c r="H14198" s="1" t="s">
        <v>0</v>
      </c>
      <c r="I14198" s="2">
        <v>0</v>
      </c>
      <c r="J14198" s="1">
        <v>45919.428113425929</v>
      </c>
    </row>
    <row r="14199" spans="1:10" x14ac:dyDescent="0.2">
      <c r="A14199" s="4" t="s">
        <v>1</v>
      </c>
      <c r="B14199" s="3" t="str">
        <f>HYPERLINK("https://otsuka-europe-crm.veevavault.com/ui/#object/approved_document__v/V5OZ025E82TN2QL", "LUP - Invitación simposio SEN 2025 - nefro")</f>
        <v>LUP - Invitación simposio SEN 2025 - nefro</v>
      </c>
      <c r="C14199" s="3" t="str">
        <f>HYPERLINK("https://otsuka-europe-crm.veevavault.com/ui/#object/sent_email__v/VBLZ025E82GU6XB", "SE-000276994")</f>
        <v>SE-000276994</v>
      </c>
      <c r="D14199" s="1" t="s">
        <v>0</v>
      </c>
      <c r="E14199" s="2">
        <v>0</v>
      </c>
      <c r="F14199" s="2">
        <v>0</v>
      </c>
      <c r="G14199" s="2">
        <v>0</v>
      </c>
      <c r="H14199" s="1" t="s">
        <v>0</v>
      </c>
      <c r="I14199" s="2">
        <v>0</v>
      </c>
      <c r="J14199" s="1">
        <v>45919.428240740737</v>
      </c>
    </row>
    <row r="14200" spans="1:10" x14ac:dyDescent="0.2">
      <c r="A14200" s="4" t="s">
        <v>1</v>
      </c>
      <c r="B14200" s="3" t="str">
        <f>HYPERLINK("https://otsuka-europe-crm.veevavault.com/ui/#object/approved_document__v/V5OZ025E82TN2QL", "LUP - Invitación simposio SEN 2025 - nefro")</f>
        <v>LUP - Invitación simposio SEN 2025 - nefro</v>
      </c>
      <c r="C14200" s="3" t="str">
        <f>HYPERLINK("https://otsuka-europe-crm.veevavault.com/ui/#object/sent_email__v/VBLZ025E82GU6XC", "SE-000276995")</f>
        <v>SE-000276995</v>
      </c>
      <c r="D14200" s="1" t="s">
        <v>0</v>
      </c>
      <c r="E14200" s="2">
        <v>0</v>
      </c>
      <c r="F14200" s="2">
        <v>0</v>
      </c>
      <c r="G14200" s="2">
        <v>0</v>
      </c>
      <c r="H14200" s="1" t="s">
        <v>0</v>
      </c>
      <c r="I14200" s="2">
        <v>0</v>
      </c>
      <c r="J14200" s="1">
        <v>45919.428136574075</v>
      </c>
    </row>
    <row r="14201" spans="1:10" x14ac:dyDescent="0.2">
      <c r="A14201" s="4" t="s">
        <v>1</v>
      </c>
      <c r="B14201" s="3" t="str">
        <f>HYPERLINK("https://otsuka-europe-crm.veevavault.com/ui/#object/approved_document__v/V5OZ025E82TN2QL", "LUP - Invitación simposio SEN 2025 - nefro")</f>
        <v>LUP - Invitación simposio SEN 2025 - nefro</v>
      </c>
      <c r="C14201" s="3" t="str">
        <f>HYPERLINK("https://otsuka-europe-crm.veevavault.com/ui/#object/sent_email__v/VBLZ025E82GU6XD", "SE-000276996")</f>
        <v>SE-000276996</v>
      </c>
      <c r="D14201" s="1" t="s">
        <v>0</v>
      </c>
      <c r="E14201" s="2">
        <v>0</v>
      </c>
      <c r="F14201" s="2">
        <v>0</v>
      </c>
      <c r="G14201" s="2">
        <v>0</v>
      </c>
      <c r="H14201" s="1" t="s">
        <v>0</v>
      </c>
      <c r="I14201" s="2">
        <v>0</v>
      </c>
      <c r="J14201" s="1">
        <v>45919.428263888891</v>
      </c>
    </row>
    <row r="14202" spans="1:10" x14ac:dyDescent="0.2">
      <c r="A14202" s="4" t="s">
        <v>1</v>
      </c>
      <c r="B14202" s="3" t="str">
        <f>HYPERLINK("https://otsuka-europe-crm.veevavault.com/ui/#object/approved_document__v/V5OZ025E82TN2QL", "LUP - Invitación simposio SEN 2025 - nefro")</f>
        <v>LUP - Invitación simposio SEN 2025 - nefro</v>
      </c>
      <c r="C14202" s="3" t="str">
        <f>HYPERLINK("https://otsuka-europe-crm.veevavault.com/ui/#object/sent_email__v/VBLZ025E82GU6XE", "SE-000276997")</f>
        <v>SE-000276997</v>
      </c>
      <c r="D14202" s="1" t="s">
        <v>0</v>
      </c>
      <c r="E14202" s="2">
        <v>0</v>
      </c>
      <c r="F14202" s="2">
        <v>0</v>
      </c>
      <c r="G14202" s="2">
        <v>0</v>
      </c>
      <c r="H14202" s="1" t="s">
        <v>0</v>
      </c>
      <c r="I14202" s="2">
        <v>0</v>
      </c>
      <c r="J14202" s="1">
        <v>45919.428159722222</v>
      </c>
    </row>
    <row r="14203" spans="1:10" x14ac:dyDescent="0.2">
      <c r="A14203" s="4" t="s">
        <v>1</v>
      </c>
      <c r="B14203" s="3" t="str">
        <f>HYPERLINK("https://otsuka-europe-crm.veevavault.com/ui/#object/approved_document__v/V5OZ025E82TN2QL", "LUP - Invitación simposio SEN 2025 - nefro")</f>
        <v>LUP - Invitación simposio SEN 2025 - nefro</v>
      </c>
      <c r="C14203" s="3" t="str">
        <f>HYPERLINK("https://otsuka-europe-crm.veevavault.com/ui/#object/sent_email__v/VBLZ025E82GU6XF", "SE-000276998")</f>
        <v>SE-000276998</v>
      </c>
      <c r="D14203" s="1" t="s">
        <v>0</v>
      </c>
      <c r="E14203" s="2">
        <v>0</v>
      </c>
      <c r="F14203" s="2">
        <v>0</v>
      </c>
      <c r="G14203" s="2">
        <v>0</v>
      </c>
      <c r="H14203" s="1" t="s">
        <v>0</v>
      </c>
      <c r="I14203" s="2">
        <v>0</v>
      </c>
      <c r="J14203" s="1">
        <v>45919.428298611114</v>
      </c>
    </row>
    <row r="14204" spans="1:10" x14ac:dyDescent="0.2">
      <c r="A14204" s="4" t="s">
        <v>1</v>
      </c>
      <c r="B14204" s="3" t="str">
        <f>HYPERLINK("https://otsuka-europe-crm.veevavault.com/ui/#object/approved_document__v/V5OZ025E82TN2QL", "LUP - Invitación simposio SEN 2025 - nefro")</f>
        <v>LUP - Invitación simposio SEN 2025 - nefro</v>
      </c>
      <c r="C14204" s="3" t="str">
        <f>HYPERLINK("https://otsuka-europe-crm.veevavault.com/ui/#object/sent_email__v/VBLZ025E82GU6XG", "SE-000276999")</f>
        <v>SE-000276999</v>
      </c>
      <c r="D14204" s="1" t="s">
        <v>0</v>
      </c>
      <c r="E14204" s="2">
        <v>0</v>
      </c>
      <c r="F14204" s="2">
        <v>0</v>
      </c>
      <c r="G14204" s="2">
        <v>0</v>
      </c>
      <c r="H14204" s="1" t="s">
        <v>0</v>
      </c>
      <c r="I14204" s="2">
        <v>0</v>
      </c>
      <c r="J14204" s="1">
        <v>45919.428171296298</v>
      </c>
    </row>
    <row r="14205" spans="1:10" x14ac:dyDescent="0.2">
      <c r="A14205" s="4" t="s">
        <v>1</v>
      </c>
      <c r="B14205" s="3" t="str">
        <f>HYPERLINK("https://otsuka-europe-crm.veevavault.com/ui/#object/approved_document__v/V5OZ025E82TN2QL", "LUP - Invitación simposio SEN 2025 - nefro")</f>
        <v>LUP - Invitación simposio SEN 2025 - nefro</v>
      </c>
      <c r="C14205" s="3" t="str">
        <f>HYPERLINK("https://otsuka-europe-crm.veevavault.com/ui/#object/sent_email__v/VBLZ025E82GU6XH", "SE-000277000")</f>
        <v>SE-000277000</v>
      </c>
      <c r="D14205" s="1" t="s">
        <v>0</v>
      </c>
      <c r="E14205" s="2">
        <v>0</v>
      </c>
      <c r="F14205" s="2">
        <v>0</v>
      </c>
      <c r="G14205" s="2">
        <v>0</v>
      </c>
      <c r="H14205" s="1" t="s">
        <v>0</v>
      </c>
      <c r="I14205" s="2">
        <v>0</v>
      </c>
      <c r="J14205" s="1">
        <v>45919.428298611114</v>
      </c>
    </row>
    <row r="14206" spans="1:10" x14ac:dyDescent="0.2">
      <c r="A14206" s="4" t="s">
        <v>1</v>
      </c>
      <c r="B14206" s="3" t="str">
        <f>HYPERLINK("https://otsuka-europe-crm.veevavault.com/ui/#object/approved_document__v/V5OZ025E82TN2QL", "LUP - Invitación simposio SEN 2025 - nefro")</f>
        <v>LUP - Invitación simposio SEN 2025 - nefro</v>
      </c>
      <c r="C14206" s="3" t="str">
        <f>HYPERLINK("https://otsuka-europe-crm.veevavault.com/ui/#object/sent_email__v/VBLZ025E82GU6XI", "SE-000277001")</f>
        <v>SE-000277001</v>
      </c>
      <c r="D14206" s="1">
        <v>45945.773460648146</v>
      </c>
      <c r="E14206" s="2">
        <v>1</v>
      </c>
      <c r="F14206" s="2">
        <v>2</v>
      </c>
      <c r="G14206" s="2">
        <v>0</v>
      </c>
      <c r="H14206" s="1" t="s">
        <v>0</v>
      </c>
      <c r="I14206" s="2">
        <v>0</v>
      </c>
      <c r="J14206" s="1">
        <v>45919.428148148145</v>
      </c>
    </row>
    <row r="14207" spans="1:10" x14ac:dyDescent="0.2">
      <c r="A14207" s="4" t="s">
        <v>1</v>
      </c>
      <c r="B14207" s="3" t="str">
        <f>HYPERLINK("https://otsuka-europe-crm.veevavault.com/ui/#object/approved_document__v/V5OZ025E82TN2QL", "LUP - Invitación simposio SEN 2025 - nefro")</f>
        <v>LUP - Invitación simposio SEN 2025 - nefro</v>
      </c>
      <c r="C14207" s="3" t="str">
        <f>HYPERLINK("https://otsuka-europe-crm.veevavault.com/ui/#object/sent_email__v/VBLZ025E82GU6XJ", "SE-000277002")</f>
        <v>SE-000277002</v>
      </c>
      <c r="D14207" s="1" t="s">
        <v>0</v>
      </c>
      <c r="E14207" s="2">
        <v>0</v>
      </c>
      <c r="F14207" s="2">
        <v>0</v>
      </c>
      <c r="G14207" s="2">
        <v>0</v>
      </c>
      <c r="H14207" s="1" t="s">
        <v>0</v>
      </c>
      <c r="I14207" s="2">
        <v>0</v>
      </c>
      <c r="J14207" s="1">
        <v>45919.42827546296</v>
      </c>
    </row>
    <row r="14208" spans="1:10" x14ac:dyDescent="0.2">
      <c r="A14208" s="4" t="s">
        <v>1</v>
      </c>
      <c r="B14208" s="3" t="str">
        <f>HYPERLINK("https://otsuka-europe-crm.veevavault.com/ui/#object/approved_document__v/V5OZ025E82TN2QL", "LUP - Invitación simposio SEN 2025 - nefro")</f>
        <v>LUP - Invitación simposio SEN 2025 - nefro</v>
      </c>
      <c r="C14208" s="3" t="str">
        <f>HYPERLINK("https://otsuka-europe-crm.veevavault.com/ui/#object/sent_email__v/VBLZ025E82GU6XK", "SE-000277003")</f>
        <v>SE-000277003</v>
      </c>
      <c r="D14208" s="1" t="s">
        <v>0</v>
      </c>
      <c r="E14208" s="2">
        <v>0</v>
      </c>
      <c r="F14208" s="2">
        <v>0</v>
      </c>
      <c r="G14208" s="2">
        <v>0</v>
      </c>
      <c r="H14208" s="1" t="s">
        <v>0</v>
      </c>
      <c r="I14208" s="2">
        <v>0</v>
      </c>
      <c r="J14208" s="1">
        <v>45919.428171296298</v>
      </c>
    </row>
    <row r="14209" spans="1:10" x14ac:dyDescent="0.2">
      <c r="A14209" s="4" t="s">
        <v>1</v>
      </c>
      <c r="B14209" s="3" t="str">
        <f>HYPERLINK("https://otsuka-europe-crm.veevavault.com/ui/#object/approved_document__v/V5OZ025E82TN2QL", "LUP - Invitación simposio SEN 2025 - nefro")</f>
        <v>LUP - Invitación simposio SEN 2025 - nefro</v>
      </c>
      <c r="C14209" s="3" t="str">
        <f>HYPERLINK("https://otsuka-europe-crm.veevavault.com/ui/#object/sent_email__v/VBLZ025E82GU6XL", "SE-000277004")</f>
        <v>SE-000277004</v>
      </c>
      <c r="D14209" s="1" t="s">
        <v>0</v>
      </c>
      <c r="E14209" s="2">
        <v>0</v>
      </c>
      <c r="F14209" s="2">
        <v>0</v>
      </c>
      <c r="G14209" s="2">
        <v>0</v>
      </c>
      <c r="H14209" s="1" t="s">
        <v>0</v>
      </c>
      <c r="I14209" s="2">
        <v>0</v>
      </c>
      <c r="J14209" s="1">
        <v>45919.428310185183</v>
      </c>
    </row>
    <row r="14210" spans="1:10" x14ac:dyDescent="0.2">
      <c r="A14210" s="4" t="s">
        <v>1</v>
      </c>
      <c r="B14210" s="3" t="str">
        <f>HYPERLINK("https://otsuka-europe-crm.veevavault.com/ui/#object/approved_document__v/V5OZ025E82TN2QL", "LUP - Invitación simposio SEN 2025 - nefro")</f>
        <v>LUP - Invitación simposio SEN 2025 - nefro</v>
      </c>
      <c r="C14210" s="3" t="str">
        <f>HYPERLINK("https://otsuka-europe-crm.veevavault.com/ui/#object/sent_email__v/VBLZ025E82GU6XM", "SE-000277005")</f>
        <v>SE-000277005</v>
      </c>
      <c r="D14210" s="1" t="s">
        <v>0</v>
      </c>
      <c r="E14210" s="2">
        <v>0</v>
      </c>
      <c r="F14210" s="2">
        <v>0</v>
      </c>
      <c r="G14210" s="2">
        <v>0</v>
      </c>
      <c r="H14210" s="1" t="s">
        <v>0</v>
      </c>
      <c r="I14210" s="2">
        <v>0</v>
      </c>
      <c r="J14210" s="1">
        <v>45919.428182870368</v>
      </c>
    </row>
    <row r="14211" spans="1:10" x14ac:dyDescent="0.2">
      <c r="A14211" s="4" t="s">
        <v>1</v>
      </c>
      <c r="B14211" s="3" t="str">
        <f>HYPERLINK("https://otsuka-europe-crm.veevavault.com/ui/#object/approved_document__v/V5OZ025E82TN2QL", "LUP - Invitación simposio SEN 2025 - nefro")</f>
        <v>LUP - Invitación simposio SEN 2025 - nefro</v>
      </c>
      <c r="C14211" s="3" t="str">
        <f>HYPERLINK("https://otsuka-europe-crm.veevavault.com/ui/#object/sent_email__v/VBLZ025E82GU6XN", "SE-000277006")</f>
        <v>SE-000277006</v>
      </c>
      <c r="D14211" s="1" t="s">
        <v>0</v>
      </c>
      <c r="E14211" s="2">
        <v>0</v>
      </c>
      <c r="F14211" s="2">
        <v>0</v>
      </c>
      <c r="G14211" s="2">
        <v>0</v>
      </c>
      <c r="H14211" s="1" t="s">
        <v>0</v>
      </c>
      <c r="I14211" s="2">
        <v>0</v>
      </c>
      <c r="J14211" s="1">
        <v>45919.428310185183</v>
      </c>
    </row>
    <row r="14212" spans="1:10" x14ac:dyDescent="0.2">
      <c r="A14212" s="4" t="s">
        <v>1</v>
      </c>
      <c r="B14212" s="3" t="str">
        <f>HYPERLINK("https://otsuka-europe-crm.veevavault.com/ui/#object/approved_document__v/V5OZ025E82TN2QL", "LUP - Invitación simposio SEN 2025 - nefro")</f>
        <v>LUP - Invitación simposio SEN 2025 - nefro</v>
      </c>
      <c r="C14212" s="3" t="str">
        <f>HYPERLINK("https://otsuka-europe-crm.veevavault.com/ui/#object/sent_email__v/VBLZ025E82GU6XO", "SE-000277007")</f>
        <v>SE-000277007</v>
      </c>
      <c r="D14212" s="1" t="s">
        <v>0</v>
      </c>
      <c r="E14212" s="2">
        <v>0</v>
      </c>
      <c r="F14212" s="2">
        <v>0</v>
      </c>
      <c r="G14212" s="2">
        <v>0</v>
      </c>
      <c r="H14212" s="1" t="s">
        <v>0</v>
      </c>
      <c r="I14212" s="2">
        <v>0</v>
      </c>
      <c r="J14212" s="1">
        <v>45919.428194444445</v>
      </c>
    </row>
    <row r="14213" spans="1:10" x14ac:dyDescent="0.2">
      <c r="A14213" s="4" t="s">
        <v>1</v>
      </c>
      <c r="B14213" s="3" t="str">
        <f>HYPERLINK("https://otsuka-europe-crm.veevavault.com/ui/#object/approved_document__v/V5OZ025E82TN2QL", "LUP - Invitación simposio SEN 2025 - nefro")</f>
        <v>LUP - Invitación simposio SEN 2025 - nefro</v>
      </c>
      <c r="C14213" s="3" t="str">
        <f>HYPERLINK("https://otsuka-europe-crm.veevavault.com/ui/#object/sent_email__v/VBLZ025E82GU6XP", "SE-000277008")</f>
        <v>SE-000277008</v>
      </c>
      <c r="D14213" s="1" t="s">
        <v>0</v>
      </c>
      <c r="E14213" s="2">
        <v>0</v>
      </c>
      <c r="F14213" s="2">
        <v>0</v>
      </c>
      <c r="G14213" s="2">
        <v>0</v>
      </c>
      <c r="H14213" s="1" t="s">
        <v>0</v>
      </c>
      <c r="I14213" s="2">
        <v>0</v>
      </c>
      <c r="J14213" s="1">
        <v>45919.428101851852</v>
      </c>
    </row>
    <row r="14214" spans="1:10" x14ac:dyDescent="0.2">
      <c r="A14214" s="4" t="s">
        <v>1</v>
      </c>
      <c r="B14214" s="3" t="str">
        <f>HYPERLINK("https://otsuka-europe-crm.veevavault.com/ui/#object/approved_document__v/V5OZ025E82TN2QL", "LUP - Invitación simposio SEN 2025 - nefro")</f>
        <v>LUP - Invitación simposio SEN 2025 - nefro</v>
      </c>
      <c r="C14214" s="3" t="str">
        <f>HYPERLINK("https://otsuka-europe-crm.veevavault.com/ui/#object/sent_email__v/VBLZ025E82GU6XQ", "SE-000277009")</f>
        <v>SE-000277009</v>
      </c>
      <c r="D14214" s="1" t="s">
        <v>0</v>
      </c>
      <c r="E14214" s="2">
        <v>0</v>
      </c>
      <c r="F14214" s="2">
        <v>0</v>
      </c>
      <c r="G14214" s="2">
        <v>0</v>
      </c>
      <c r="H14214" s="1" t="s">
        <v>0</v>
      </c>
      <c r="I14214" s="2">
        <v>0</v>
      </c>
      <c r="J14214" s="1">
        <v>45919.428229166668</v>
      </c>
    </row>
    <row r="14215" spans="1:10" x14ac:dyDescent="0.2">
      <c r="A14215" s="4" t="s">
        <v>1</v>
      </c>
      <c r="B14215" s="3" t="str">
        <f>HYPERLINK("https://otsuka-europe-crm.veevavault.com/ui/#object/approved_document__v/V5OZ025E82TN2QL", "LUP - Invitación simposio SEN 2025 - nefro")</f>
        <v>LUP - Invitación simposio SEN 2025 - nefro</v>
      </c>
      <c r="C14215" s="3" t="str">
        <f>HYPERLINK("https://otsuka-europe-crm.veevavault.com/ui/#object/sent_email__v/VBLZ025E82GU6XR", "SE-000277010")</f>
        <v>SE-000277010</v>
      </c>
      <c r="D14215" s="1" t="s">
        <v>0</v>
      </c>
      <c r="E14215" s="2">
        <v>0</v>
      </c>
      <c r="F14215" s="2">
        <v>0</v>
      </c>
      <c r="G14215" s="2">
        <v>0</v>
      </c>
      <c r="H14215" s="1" t="s">
        <v>0</v>
      </c>
      <c r="I14215" s="2">
        <v>0</v>
      </c>
      <c r="J14215" s="1">
        <v>45919.428090277775</v>
      </c>
    </row>
    <row r="14216" spans="1:10" x14ac:dyDescent="0.2">
      <c r="A14216" s="4" t="s">
        <v>1</v>
      </c>
      <c r="B14216" s="3" t="str">
        <f>HYPERLINK("https://otsuka-europe-crm.veevavault.com/ui/#object/approved_document__v/V5OZ025E82TN2QL", "LUP - Invitación simposio SEN 2025 - nefro")</f>
        <v>LUP - Invitación simposio SEN 2025 - nefro</v>
      </c>
      <c r="C14216" s="3" t="str">
        <f>HYPERLINK("https://otsuka-europe-crm.veevavault.com/ui/#object/sent_email__v/VBLZ025E82GU6XS", "SE-000277011")</f>
        <v>SE-000277011</v>
      </c>
      <c r="D14216" s="1" t="s">
        <v>0</v>
      </c>
      <c r="E14216" s="2">
        <v>0</v>
      </c>
      <c r="F14216" s="2">
        <v>0</v>
      </c>
      <c r="G14216" s="2">
        <v>0</v>
      </c>
      <c r="H14216" s="1" t="s">
        <v>0</v>
      </c>
      <c r="I14216" s="2">
        <v>0</v>
      </c>
      <c r="J14216" s="1">
        <v>45919.428194444445</v>
      </c>
    </row>
    <row r="14217" spans="1:10" x14ac:dyDescent="0.2">
      <c r="A14217" s="4" t="s">
        <v>1</v>
      </c>
      <c r="B14217" s="3" t="str">
        <f>HYPERLINK("https://otsuka-europe-crm.veevavault.com/ui/#object/approved_document__v/V5OZ025E82TN2QL", "LUP - Invitación simposio SEN 2025 - nefro")</f>
        <v>LUP - Invitación simposio SEN 2025 - nefro</v>
      </c>
      <c r="C14217" s="3" t="str">
        <f>HYPERLINK("https://otsuka-europe-crm.veevavault.com/ui/#object/sent_email__v/VBLZ025E82GU6XT", "SE-000277012")</f>
        <v>SE-000277012</v>
      </c>
      <c r="D14217" s="1" t="s">
        <v>0</v>
      </c>
      <c r="E14217" s="2">
        <v>0</v>
      </c>
      <c r="F14217" s="2">
        <v>0</v>
      </c>
      <c r="G14217" s="2">
        <v>0</v>
      </c>
      <c r="H14217" s="1" t="s">
        <v>0</v>
      </c>
      <c r="I14217" s="2">
        <v>0</v>
      </c>
      <c r="J14217" s="1">
        <v>45919.42832175926</v>
      </c>
    </row>
    <row r="14218" spans="1:10" x14ac:dyDescent="0.2">
      <c r="A14218" s="4" t="s">
        <v>1</v>
      </c>
      <c r="B14218" s="3" t="str">
        <f>HYPERLINK("https://otsuka-europe-crm.veevavault.com/ui/#object/approved_document__v/V5OZ025E82TN2QL", "LUP - Invitación simposio SEN 2025 - nefro")</f>
        <v>LUP - Invitación simposio SEN 2025 - nefro</v>
      </c>
      <c r="C14218" s="3" t="str">
        <f>HYPERLINK("https://otsuka-europe-crm.veevavault.com/ui/#object/sent_email__v/VBLZ025E82GU6XU", "SE-000277013")</f>
        <v>SE-000277013</v>
      </c>
      <c r="D14218" s="1" t="s">
        <v>0</v>
      </c>
      <c r="E14218" s="2">
        <v>0</v>
      </c>
      <c r="F14218" s="2">
        <v>0</v>
      </c>
      <c r="G14218" s="2">
        <v>0</v>
      </c>
      <c r="H14218" s="1" t="s">
        <v>0</v>
      </c>
      <c r="I14218" s="2">
        <v>0</v>
      </c>
      <c r="J14218" s="1">
        <v>45919.428217592591</v>
      </c>
    </row>
    <row r="14219" spans="1:10" x14ac:dyDescent="0.2">
      <c r="A14219" s="4" t="s">
        <v>1</v>
      </c>
      <c r="B14219" s="3" t="str">
        <f>HYPERLINK("https://otsuka-europe-crm.veevavault.com/ui/#object/approved_document__v/V5OZ025E82TN2QL", "LUP - Invitación simposio SEN 2025 - nefro")</f>
        <v>LUP - Invitación simposio SEN 2025 - nefro</v>
      </c>
      <c r="C14219" s="3" t="str">
        <f>HYPERLINK("https://otsuka-europe-crm.veevavault.com/ui/#object/sent_email__v/VBLZ025E82GU0Z6", "SE-000277107")</f>
        <v>SE-000277107</v>
      </c>
      <c r="D14219" s="1" t="s">
        <v>0</v>
      </c>
      <c r="E14219" s="2">
        <v>0</v>
      </c>
      <c r="F14219" s="2">
        <v>0</v>
      </c>
      <c r="G14219" s="2">
        <v>0</v>
      </c>
      <c r="H14219" s="1" t="s">
        <v>0</v>
      </c>
      <c r="I14219" s="2">
        <v>0</v>
      </c>
      <c r="J14219" s="1">
        <v>45919.429247685184</v>
      </c>
    </row>
    <row r="14220" spans="1:10" x14ac:dyDescent="0.2">
      <c r="A14220" s="4" t="s">
        <v>1</v>
      </c>
      <c r="B14220" s="3" t="str">
        <f>HYPERLINK("https://otsuka-europe-crm.veevavault.com/ui/#object/approved_document__v/V5OZ025E82TN2QL", "LUP - Invitación simposio SEN 2025 - nefro")</f>
        <v>LUP - Invitación simposio SEN 2025 - nefro</v>
      </c>
      <c r="C14220" s="3" t="str">
        <f>HYPERLINK("https://otsuka-europe-crm.veevavault.com/ui/#object/sent_email__v/VBLZ025E82GU0Z7", "SE-000277108")</f>
        <v>SE-000277108</v>
      </c>
      <c r="D14220" s="1" t="s">
        <v>0</v>
      </c>
      <c r="E14220" s="2">
        <v>0</v>
      </c>
      <c r="F14220" s="2">
        <v>0</v>
      </c>
      <c r="G14220" s="2">
        <v>0</v>
      </c>
      <c r="H14220" s="1" t="s">
        <v>0</v>
      </c>
      <c r="I14220" s="2">
        <v>0</v>
      </c>
      <c r="J14220" s="1">
        <v>45919.429375</v>
      </c>
    </row>
    <row r="14221" spans="1:10" x14ac:dyDescent="0.2">
      <c r="A14221" s="4" t="s">
        <v>1</v>
      </c>
      <c r="B14221" s="3" t="str">
        <f>HYPERLINK("https://otsuka-europe-crm.veevavault.com/ui/#object/approved_document__v/V5OZ025E82TN2QL", "LUP - Invitación simposio SEN 2025 - nefro")</f>
        <v>LUP - Invitación simposio SEN 2025 - nefro</v>
      </c>
      <c r="C14221" s="3" t="str">
        <f>HYPERLINK("https://otsuka-europe-crm.veevavault.com/ui/#object/sent_email__v/VBLZ025E82GU0Z8", "SE-000277109")</f>
        <v>SE-000277109</v>
      </c>
      <c r="D14221" s="1" t="s">
        <v>0</v>
      </c>
      <c r="E14221" s="2">
        <v>0</v>
      </c>
      <c r="F14221" s="2">
        <v>0</v>
      </c>
      <c r="G14221" s="2">
        <v>0</v>
      </c>
      <c r="H14221" s="1" t="s">
        <v>0</v>
      </c>
      <c r="I14221" s="2">
        <v>0</v>
      </c>
      <c r="J14221" s="1">
        <v>45919.429236111115</v>
      </c>
    </row>
    <row r="14222" spans="1:10" x14ac:dyDescent="0.2">
      <c r="A14222" s="4" t="s">
        <v>1</v>
      </c>
      <c r="B14222" s="3" t="str">
        <f>HYPERLINK("https://otsuka-europe-crm.veevavault.com/ui/#object/approved_document__v/V5OZ025E82TN2QL", "LUP - Invitación simposio SEN 2025 - nefro")</f>
        <v>LUP - Invitación simposio SEN 2025 - nefro</v>
      </c>
      <c r="C14222" s="3" t="str">
        <f>HYPERLINK("https://otsuka-europe-crm.veevavault.com/ui/#object/sent_email__v/VBLZ025E82GU0Z9", "SE-000277110")</f>
        <v>SE-000277110</v>
      </c>
      <c r="D14222" s="1" t="s">
        <v>0</v>
      </c>
      <c r="E14222" s="2">
        <v>0</v>
      </c>
      <c r="F14222" s="2">
        <v>0</v>
      </c>
      <c r="G14222" s="2">
        <v>0</v>
      </c>
      <c r="H14222" s="1" t="s">
        <v>0</v>
      </c>
      <c r="I14222" s="2">
        <v>0</v>
      </c>
      <c r="J14222" s="1">
        <v>45919.429363425923</v>
      </c>
    </row>
    <row r="14223" spans="1:10" x14ac:dyDescent="0.2">
      <c r="A14223" s="4" t="s">
        <v>1</v>
      </c>
      <c r="B14223" s="3" t="str">
        <f>HYPERLINK("https://otsuka-europe-crm.veevavault.com/ui/#object/approved_document__v/V5OZ025E82TN2QL", "LUP - Invitación simposio SEN 2025 - nefro")</f>
        <v>LUP - Invitación simposio SEN 2025 - nefro</v>
      </c>
      <c r="C14223" s="3" t="str">
        <f>HYPERLINK("https://otsuka-europe-crm.veevavault.com/ui/#object/sent_email__v/VBLZ025E82GU0ZA", "SE-000277111")</f>
        <v>SE-000277111</v>
      </c>
      <c r="D14223" s="1" t="s">
        <v>0</v>
      </c>
      <c r="E14223" s="2">
        <v>0</v>
      </c>
      <c r="F14223" s="2">
        <v>0</v>
      </c>
      <c r="G14223" s="2">
        <v>0</v>
      </c>
      <c r="H14223" s="1" t="s">
        <v>0</v>
      </c>
      <c r="I14223" s="2">
        <v>0</v>
      </c>
      <c r="J14223" s="1">
        <v>45919.429212962961</v>
      </c>
    </row>
    <row r="14224" spans="1:10" x14ac:dyDescent="0.2">
      <c r="A14224" s="4" t="s">
        <v>1</v>
      </c>
      <c r="B14224" s="3" t="str">
        <f>HYPERLINK("https://otsuka-europe-crm.veevavault.com/ui/#object/approved_document__v/V5OZ025E82TN2QL", "LUP - Invitación simposio SEN 2025 - nefro")</f>
        <v>LUP - Invitación simposio SEN 2025 - nefro</v>
      </c>
      <c r="C14224" s="3" t="str">
        <f>HYPERLINK("https://otsuka-europe-crm.veevavault.com/ui/#object/sent_email__v/VBLZ025E82GU0ZB", "SE-000277112")</f>
        <v>SE-000277112</v>
      </c>
      <c r="D14224" s="1" t="s">
        <v>0</v>
      </c>
      <c r="E14224" s="2">
        <v>0</v>
      </c>
      <c r="F14224" s="2">
        <v>0</v>
      </c>
      <c r="G14224" s="2">
        <v>0</v>
      </c>
      <c r="H14224" s="1" t="s">
        <v>0</v>
      </c>
      <c r="I14224" s="2">
        <v>0</v>
      </c>
      <c r="J14224" s="1">
        <v>45919.429351851853</v>
      </c>
    </row>
    <row r="14225" spans="1:10" x14ac:dyDescent="0.2">
      <c r="A14225" s="4" t="s">
        <v>1</v>
      </c>
      <c r="B14225" s="3" t="str">
        <f>HYPERLINK("https://otsuka-europe-crm.veevavault.com/ui/#object/approved_document__v/V5OZ025E82TN2QL", "LUP - Invitación simposio SEN 2025 - nefro")</f>
        <v>LUP - Invitación simposio SEN 2025 - nefro</v>
      </c>
      <c r="C14225" s="3" t="str">
        <f>HYPERLINK("https://otsuka-europe-crm.veevavault.com/ui/#object/sent_email__v/VBLZ025E82GU0ZC", "SE-000277113")</f>
        <v>SE-000277113</v>
      </c>
      <c r="D14225" s="1" t="s">
        <v>0</v>
      </c>
      <c r="E14225" s="2">
        <v>0</v>
      </c>
      <c r="F14225" s="2">
        <v>0</v>
      </c>
      <c r="G14225" s="2">
        <v>0</v>
      </c>
      <c r="H14225" s="1" t="s">
        <v>0</v>
      </c>
      <c r="I14225" s="2">
        <v>0</v>
      </c>
      <c r="J14225" s="1">
        <v>45919.429259259261</v>
      </c>
    </row>
    <row r="14226" spans="1:10" x14ac:dyDescent="0.2">
      <c r="A14226" s="4" t="s">
        <v>1</v>
      </c>
      <c r="B14226" s="3" t="str">
        <f>HYPERLINK("https://otsuka-europe-crm.veevavault.com/ui/#object/approved_document__v/V5OZ025E82TN2QL", "LUP - Invitación simposio SEN 2025 - nefro")</f>
        <v>LUP - Invitación simposio SEN 2025 - nefro</v>
      </c>
      <c r="C14226" s="3" t="str">
        <f>HYPERLINK("https://otsuka-europe-crm.veevavault.com/ui/#object/sent_email__v/VBLZ025E82GU0ZD", "SE-000277114")</f>
        <v>SE-000277114</v>
      </c>
      <c r="D14226" s="1" t="s">
        <v>0</v>
      </c>
      <c r="E14226" s="2">
        <v>0</v>
      </c>
      <c r="F14226" s="2">
        <v>0</v>
      </c>
      <c r="G14226" s="2">
        <v>0</v>
      </c>
      <c r="H14226" s="1" t="s">
        <v>0</v>
      </c>
      <c r="I14226" s="2">
        <v>0</v>
      </c>
      <c r="J14226" s="1">
        <v>45919.429375</v>
      </c>
    </row>
    <row r="14227" spans="1:10" x14ac:dyDescent="0.2">
      <c r="A14227" s="4" t="s">
        <v>1</v>
      </c>
      <c r="B14227" s="3" t="str">
        <f>HYPERLINK("https://otsuka-europe-crm.veevavault.com/ui/#object/approved_document__v/V5OZ025E82TN2QL", "LUP - Invitación simposio SEN 2025 - nefro")</f>
        <v>LUP - Invitación simposio SEN 2025 - nefro</v>
      </c>
      <c r="C14227" s="3" t="str">
        <f>HYPERLINK("https://otsuka-europe-crm.veevavault.com/ui/#object/sent_email__v/VBLZ025E82GU0ZE", "SE-000277115")</f>
        <v>SE-000277115</v>
      </c>
      <c r="D14227" s="1" t="s">
        <v>0</v>
      </c>
      <c r="E14227" s="2">
        <v>0</v>
      </c>
      <c r="F14227" s="2">
        <v>0</v>
      </c>
      <c r="G14227" s="2">
        <v>0</v>
      </c>
      <c r="H14227" s="1" t="s">
        <v>0</v>
      </c>
      <c r="I14227" s="2">
        <v>0</v>
      </c>
      <c r="J14227" s="1">
        <v>45919.429270833331</v>
      </c>
    </row>
    <row r="14228" spans="1:10" x14ac:dyDescent="0.2">
      <c r="A14228" s="4" t="s">
        <v>1</v>
      </c>
      <c r="B14228" s="3" t="str">
        <f>HYPERLINK("https://otsuka-europe-crm.veevavault.com/ui/#object/approved_document__v/V5OZ025E82TN2QL", "LUP - Invitación simposio SEN 2025 - nefro")</f>
        <v>LUP - Invitación simposio SEN 2025 - nefro</v>
      </c>
      <c r="C14228" s="3" t="str">
        <f>HYPERLINK("https://otsuka-europe-crm.veevavault.com/ui/#object/sent_email__v/VBLZ025E82GU0ZF", "SE-000277116")</f>
        <v>SE-000277116</v>
      </c>
      <c r="D14228" s="1" t="s">
        <v>0</v>
      </c>
      <c r="E14228" s="2">
        <v>0</v>
      </c>
      <c r="F14228" s="2">
        <v>0</v>
      </c>
      <c r="G14228" s="2">
        <v>0</v>
      </c>
      <c r="H14228" s="1" t="s">
        <v>0</v>
      </c>
      <c r="I14228" s="2">
        <v>0</v>
      </c>
      <c r="J14228" s="1">
        <v>45919.429398148146</v>
      </c>
    </row>
    <row r="14229" spans="1:10" x14ac:dyDescent="0.2">
      <c r="A14229" s="4" t="s">
        <v>1</v>
      </c>
      <c r="B14229" s="3" t="str">
        <f>HYPERLINK("https://otsuka-europe-crm.veevavault.com/ui/#object/approved_document__v/V5OZ025E82TN2QL", "LUP - Invitación simposio SEN 2025 - nefro")</f>
        <v>LUP - Invitación simposio SEN 2025 - nefro</v>
      </c>
      <c r="C14229" s="3" t="str">
        <f>HYPERLINK("https://otsuka-europe-crm.veevavault.com/ui/#object/sent_email__v/VBLZ025E82GU0ZG", "SE-000277117")</f>
        <v>SE-000277117</v>
      </c>
      <c r="D14229" s="1" t="s">
        <v>0</v>
      </c>
      <c r="E14229" s="2">
        <v>0</v>
      </c>
      <c r="F14229" s="2">
        <v>0</v>
      </c>
      <c r="G14229" s="2">
        <v>0</v>
      </c>
      <c r="H14229" s="1" t="s">
        <v>0</v>
      </c>
      <c r="I14229" s="2">
        <v>0</v>
      </c>
      <c r="J14229" s="1">
        <v>45919.429247685184</v>
      </c>
    </row>
    <row r="14230" spans="1:10" x14ac:dyDescent="0.2">
      <c r="A14230" s="4" t="s">
        <v>1</v>
      </c>
      <c r="B14230" s="3" t="str">
        <f>HYPERLINK("https://otsuka-europe-crm.veevavault.com/ui/#object/approved_document__v/V5OZ025E82TN2QL", "LUP - Invitación simposio SEN 2025 - nefro")</f>
        <v>LUP - Invitación simposio SEN 2025 - nefro</v>
      </c>
      <c r="C14230" s="3" t="str">
        <f>HYPERLINK("https://otsuka-europe-crm.veevavault.com/ui/#object/sent_email__v/VBLZ025E82GU0ZH", "SE-000277118")</f>
        <v>SE-000277118</v>
      </c>
      <c r="D14230" s="1">
        <v>45919.608414351853</v>
      </c>
      <c r="E14230" s="2">
        <v>1</v>
      </c>
      <c r="F14230" s="2">
        <v>1</v>
      </c>
      <c r="G14230" s="2">
        <v>1</v>
      </c>
      <c r="H14230" s="1">
        <v>45919.60864583333</v>
      </c>
      <c r="I14230" s="2">
        <v>1</v>
      </c>
      <c r="J14230" s="1">
        <v>45919.429386574076</v>
      </c>
    </row>
    <row r="14231" spans="1:10" x14ac:dyDescent="0.2">
      <c r="A14231" s="4" t="s">
        <v>1</v>
      </c>
      <c r="B14231" s="3" t="str">
        <f>HYPERLINK("https://otsuka-europe-crm.veevavault.com/ui/#object/approved_document__v/V5OZ025E82TN2QL", "LUP - Invitación simposio SEN 2025 - nefro")</f>
        <v>LUP - Invitación simposio SEN 2025 - nefro</v>
      </c>
      <c r="C14231" s="3" t="str">
        <f>HYPERLINK("https://otsuka-europe-crm.veevavault.com/ui/#object/sent_email__v/VBLZ025E82GU0ZI", "SE-000277119")</f>
        <v>SE-000277119</v>
      </c>
      <c r="D14231" s="1" t="s">
        <v>0</v>
      </c>
      <c r="E14231" s="2">
        <v>0</v>
      </c>
      <c r="F14231" s="2">
        <v>0</v>
      </c>
      <c r="G14231" s="2">
        <v>0</v>
      </c>
      <c r="H14231" s="1" t="s">
        <v>0</v>
      </c>
      <c r="I14231" s="2">
        <v>0</v>
      </c>
      <c r="J14231" s="1">
        <v>45919.429432870369</v>
      </c>
    </row>
    <row r="14232" spans="1:10" x14ac:dyDescent="0.2">
      <c r="A14232" s="4" t="s">
        <v>1</v>
      </c>
      <c r="B14232" s="3" t="str">
        <f>HYPERLINK("https://otsuka-europe-crm.veevavault.com/ui/#object/approved_document__v/V5OZ025E82TN2QL", "LUP - Invitación simposio SEN 2025 - nefro")</f>
        <v>LUP - Invitación simposio SEN 2025 - nefro</v>
      </c>
      <c r="C14232" s="3" t="str">
        <f>HYPERLINK("https://otsuka-europe-crm.veevavault.com/ui/#object/sent_email__v/VBLZ025E82GU0ZJ", "SE-000277120")</f>
        <v>SE-000277120</v>
      </c>
      <c r="D14232" s="1" t="s">
        <v>0</v>
      </c>
      <c r="E14232" s="2">
        <v>0</v>
      </c>
      <c r="F14232" s="2">
        <v>0</v>
      </c>
      <c r="G14232" s="2">
        <v>0</v>
      </c>
      <c r="H14232" s="1" t="s">
        <v>0</v>
      </c>
      <c r="I14232" s="2">
        <v>0</v>
      </c>
      <c r="J14232" s="1">
        <v>45919.429293981484</v>
      </c>
    </row>
    <row r="14233" spans="1:10" x14ac:dyDescent="0.2">
      <c r="A14233" s="4" t="s">
        <v>1</v>
      </c>
      <c r="B14233" s="3" t="str">
        <f>HYPERLINK("https://otsuka-europe-crm.veevavault.com/ui/#object/approved_document__v/V5OZ025E82TN2QL", "LUP - Invitación simposio SEN 2025 - nefro")</f>
        <v>LUP - Invitación simposio SEN 2025 - nefro</v>
      </c>
      <c r="C14233" s="3" t="str">
        <f>HYPERLINK("https://otsuka-europe-crm.veevavault.com/ui/#object/sent_email__v/VBLZ025E82GU0ZK", "SE-000277121")</f>
        <v>SE-000277121</v>
      </c>
      <c r="D14233" s="1" t="s">
        <v>0</v>
      </c>
      <c r="E14233" s="2">
        <v>0</v>
      </c>
      <c r="F14233" s="2">
        <v>0</v>
      </c>
      <c r="G14233" s="2">
        <v>0</v>
      </c>
      <c r="H14233" s="1" t="s">
        <v>0</v>
      </c>
      <c r="I14233" s="2">
        <v>0</v>
      </c>
      <c r="J14233" s="1">
        <v>45919.429398148146</v>
      </c>
    </row>
    <row r="14234" spans="1:10" x14ac:dyDescent="0.2">
      <c r="A14234" s="4" t="s">
        <v>1</v>
      </c>
      <c r="B14234" s="3" t="str">
        <f>HYPERLINK("https://otsuka-europe-crm.veevavault.com/ui/#object/approved_document__v/V5OZ025E82TN2QL", "LUP - Invitación simposio SEN 2025 - nefro")</f>
        <v>LUP - Invitación simposio SEN 2025 - nefro</v>
      </c>
      <c r="C14234" s="3" t="str">
        <f>HYPERLINK("https://otsuka-europe-crm.veevavault.com/ui/#object/sent_email__v/VBLZ025E82GU0ZL", "SE-000277122")</f>
        <v>SE-000277122</v>
      </c>
      <c r="D14234" s="1" t="s">
        <v>0</v>
      </c>
      <c r="E14234" s="2">
        <v>0</v>
      </c>
      <c r="F14234" s="2">
        <v>0</v>
      </c>
      <c r="G14234" s="2">
        <v>0</v>
      </c>
      <c r="H14234" s="1" t="s">
        <v>0</v>
      </c>
      <c r="I14234" s="2">
        <v>0</v>
      </c>
      <c r="J14234" s="1">
        <v>45919.429270833331</v>
      </c>
    </row>
    <row r="14235" spans="1:10" x14ac:dyDescent="0.2">
      <c r="A14235" s="4" t="s">
        <v>1</v>
      </c>
      <c r="B14235" s="3" t="str">
        <f>HYPERLINK("https://otsuka-europe-crm.veevavault.com/ui/#object/approved_document__v/V5OZ025E82TN2QL", "LUP - Invitación simposio SEN 2025 - nefro")</f>
        <v>LUP - Invitación simposio SEN 2025 - nefro</v>
      </c>
      <c r="C14235" s="3" t="str">
        <f>HYPERLINK("https://otsuka-europe-crm.veevavault.com/ui/#object/sent_email__v/VBLZ025E82GU0ZM", "SE-000277123")</f>
        <v>SE-000277123</v>
      </c>
      <c r="D14235" s="1" t="s">
        <v>0</v>
      </c>
      <c r="E14235" s="2">
        <v>0</v>
      </c>
      <c r="F14235" s="2">
        <v>0</v>
      </c>
      <c r="G14235" s="2">
        <v>0</v>
      </c>
      <c r="H14235" s="1" t="s">
        <v>0</v>
      </c>
      <c r="I14235" s="2">
        <v>0</v>
      </c>
      <c r="J14235" s="1">
        <v>45919.4294212963</v>
      </c>
    </row>
    <row r="14236" spans="1:10" x14ac:dyDescent="0.2">
      <c r="A14236" s="4" t="s">
        <v>1</v>
      </c>
      <c r="B14236" s="3" t="str">
        <f>HYPERLINK("https://otsuka-europe-crm.veevavault.com/ui/#object/approved_document__v/V5OZ025E82TN2QL", "LUP - Invitación simposio SEN 2025 - nefro")</f>
        <v>LUP - Invitación simposio SEN 2025 - nefro</v>
      </c>
      <c r="C14236" s="3" t="str">
        <f>HYPERLINK("https://otsuka-europe-crm.veevavault.com/ui/#object/sent_email__v/VBLZ025E82GU0ZN", "SE-000277124")</f>
        <v>SE-000277124</v>
      </c>
      <c r="D14236" s="1" t="s">
        <v>0</v>
      </c>
      <c r="E14236" s="2">
        <v>0</v>
      </c>
      <c r="F14236" s="2">
        <v>0</v>
      </c>
      <c r="G14236" s="2">
        <v>0</v>
      </c>
      <c r="H14236" s="1" t="s">
        <v>0</v>
      </c>
      <c r="I14236" s="2">
        <v>0</v>
      </c>
      <c r="J14236" s="1">
        <v>45919.429282407407</v>
      </c>
    </row>
    <row r="14237" spans="1:10" x14ac:dyDescent="0.2">
      <c r="A14237" s="4" t="s">
        <v>1</v>
      </c>
      <c r="B14237" s="3" t="str">
        <f>HYPERLINK("https://otsuka-europe-crm.veevavault.com/ui/#object/approved_document__v/V5OZ025E82TN2QL", "LUP - Invitación simposio SEN 2025 - nefro")</f>
        <v>LUP - Invitación simposio SEN 2025 - nefro</v>
      </c>
      <c r="C14237" s="3" t="str">
        <f>HYPERLINK("https://otsuka-europe-crm.veevavault.com/ui/#object/sent_email__v/VBLZ025E82GU0ZO", "SE-000277125")</f>
        <v>SE-000277125</v>
      </c>
      <c r="D14237" s="1" t="s">
        <v>0</v>
      </c>
      <c r="E14237" s="2">
        <v>0</v>
      </c>
      <c r="F14237" s="2">
        <v>0</v>
      </c>
      <c r="G14237" s="2">
        <v>0</v>
      </c>
      <c r="H14237" s="1" t="s">
        <v>0</v>
      </c>
      <c r="I14237" s="2">
        <v>0</v>
      </c>
      <c r="J14237" s="1">
        <v>45919.429456018515</v>
      </c>
    </row>
    <row r="14238" spans="1:10" x14ac:dyDescent="0.2">
      <c r="A14238" s="4" t="s">
        <v>1</v>
      </c>
      <c r="B14238" s="3" t="str">
        <f>HYPERLINK("https://otsuka-europe-crm.veevavault.com/ui/#object/approved_document__v/V5OZ025E82TN2QL", "LUP - Invitación simposio SEN 2025 - nefro")</f>
        <v>LUP - Invitación simposio SEN 2025 - nefro</v>
      </c>
      <c r="C14238" s="3" t="str">
        <f>HYPERLINK("https://otsuka-europe-crm.veevavault.com/ui/#object/sent_email__v/VBLZ025E82GU0ZP", "SE-000277126")</f>
        <v>SE-000277126</v>
      </c>
      <c r="D14238" s="1" t="s">
        <v>0</v>
      </c>
      <c r="E14238" s="2">
        <v>0</v>
      </c>
      <c r="F14238" s="2">
        <v>0</v>
      </c>
      <c r="G14238" s="2">
        <v>0</v>
      </c>
      <c r="H14238" s="1" t="s">
        <v>0</v>
      </c>
      <c r="I14238" s="2">
        <v>0</v>
      </c>
      <c r="J14238" s="1">
        <v>45919.42931712963</v>
      </c>
    </row>
    <row r="14239" spans="1:10" x14ac:dyDescent="0.2">
      <c r="A14239" s="4" t="s">
        <v>1</v>
      </c>
      <c r="B14239" s="3" t="str">
        <f>HYPERLINK("https://otsuka-europe-crm.veevavault.com/ui/#object/approved_document__v/V5OZ025E82TN2QL", "LUP - Invitación simposio SEN 2025 - nefro")</f>
        <v>LUP - Invitación simposio SEN 2025 - nefro</v>
      </c>
      <c r="C14239" s="3" t="str">
        <f>HYPERLINK("https://otsuka-europe-crm.veevavault.com/ui/#object/sent_email__v/VBLZ025E82GU0ZQ", "SE-000277127")</f>
        <v>SE-000277127</v>
      </c>
      <c r="D14239" s="1" t="s">
        <v>0</v>
      </c>
      <c r="E14239" s="2">
        <v>0</v>
      </c>
      <c r="F14239" s="2">
        <v>0</v>
      </c>
      <c r="G14239" s="2">
        <v>0</v>
      </c>
      <c r="H14239" s="1" t="s">
        <v>0</v>
      </c>
      <c r="I14239" s="2">
        <v>0</v>
      </c>
      <c r="J14239" s="1">
        <v>45919.429444444446</v>
      </c>
    </row>
    <row r="14240" spans="1:10" x14ac:dyDescent="0.2">
      <c r="A14240" s="4" t="s">
        <v>1</v>
      </c>
      <c r="B14240" s="3" t="str">
        <f>HYPERLINK("https://otsuka-europe-crm.veevavault.com/ui/#object/approved_document__v/V5OZ025E82TN2QL", "LUP - Invitación simposio SEN 2025 - nefro")</f>
        <v>LUP - Invitación simposio SEN 2025 - nefro</v>
      </c>
      <c r="C14240" s="3" t="str">
        <f>HYPERLINK("https://otsuka-europe-crm.veevavault.com/ui/#object/sent_email__v/VBLZ025E82GU0ZR", "SE-000277128")</f>
        <v>SE-000277128</v>
      </c>
      <c r="D14240" s="1" t="s">
        <v>0</v>
      </c>
      <c r="E14240" s="2">
        <v>0</v>
      </c>
      <c r="F14240" s="2">
        <v>0</v>
      </c>
      <c r="G14240" s="2">
        <v>0</v>
      </c>
      <c r="H14240" s="1" t="s">
        <v>0</v>
      </c>
      <c r="I14240" s="2">
        <v>0</v>
      </c>
      <c r="J14240" s="1">
        <v>45919.429293981484</v>
      </c>
    </row>
    <row r="14241" spans="1:10" x14ac:dyDescent="0.2">
      <c r="A14241" s="4" t="s">
        <v>1</v>
      </c>
      <c r="B14241" s="3" t="str">
        <f>HYPERLINK("https://otsuka-europe-crm.veevavault.com/ui/#object/approved_document__v/V5OZ025E82TN2QL", "LUP - Invitación simposio SEN 2025 - nefro")</f>
        <v>LUP - Invitación simposio SEN 2025 - nefro</v>
      </c>
      <c r="C14241" s="3" t="str">
        <f>HYPERLINK("https://otsuka-europe-crm.veevavault.com/ui/#object/sent_email__v/VBLZ025E82GU0ZS", "SE-000277129")</f>
        <v>SE-000277129</v>
      </c>
      <c r="D14241" s="1" t="s">
        <v>0</v>
      </c>
      <c r="E14241" s="2">
        <v>0</v>
      </c>
      <c r="F14241" s="2">
        <v>0</v>
      </c>
      <c r="G14241" s="2">
        <v>0</v>
      </c>
      <c r="H14241" s="1" t="s">
        <v>0</v>
      </c>
      <c r="I14241" s="2">
        <v>0</v>
      </c>
      <c r="J14241" s="1">
        <v>45919.429351851853</v>
      </c>
    </row>
    <row r="14242" spans="1:10" x14ac:dyDescent="0.2">
      <c r="A14242" s="4" t="s">
        <v>1</v>
      </c>
      <c r="B14242" s="3" t="str">
        <f>HYPERLINK("https://otsuka-europe-crm.veevavault.com/ui/#object/approved_document__v/V5OZ025E82TN2QL", "LUP - Invitación simposio SEN 2025 - nefro")</f>
        <v>LUP - Invitación simposio SEN 2025 - nefro</v>
      </c>
      <c r="C14242" s="3" t="str">
        <f>HYPERLINK("https://otsuka-europe-crm.veevavault.com/ui/#object/sent_email__v/VBLZ025E82GU0ZT", "SE-000277130")</f>
        <v>SE-000277130</v>
      </c>
      <c r="D14242" s="1" t="s">
        <v>0</v>
      </c>
      <c r="E14242" s="2">
        <v>0</v>
      </c>
      <c r="F14242" s="2">
        <v>0</v>
      </c>
      <c r="G14242" s="2">
        <v>0</v>
      </c>
      <c r="H14242" s="1" t="s">
        <v>0</v>
      </c>
      <c r="I14242" s="2">
        <v>0</v>
      </c>
      <c r="J14242" s="1">
        <v>45919.429224537038</v>
      </c>
    </row>
    <row r="14243" spans="1:10" x14ac:dyDescent="0.2">
      <c r="A14243" s="4" t="s">
        <v>1</v>
      </c>
      <c r="B14243" s="3" t="str">
        <f>HYPERLINK("https://otsuka-europe-crm.veevavault.com/ui/#object/approved_document__v/V5OZ025E82TN2QL", "LUP - Invitación simposio SEN 2025 - nefro")</f>
        <v>LUP - Invitación simposio SEN 2025 - nefro</v>
      </c>
      <c r="C14243" s="3" t="str">
        <f>HYPERLINK("https://otsuka-europe-crm.veevavault.com/ui/#object/sent_email__v/VBLZ025E82GU0ZU", "SE-000277131")</f>
        <v>SE-000277131</v>
      </c>
      <c r="D14243" s="1" t="s">
        <v>0</v>
      </c>
      <c r="E14243" s="2">
        <v>0</v>
      </c>
      <c r="F14243" s="2">
        <v>0</v>
      </c>
      <c r="G14243" s="2">
        <v>0</v>
      </c>
      <c r="H14243" s="1" t="s">
        <v>0</v>
      </c>
      <c r="I14243" s="2">
        <v>0</v>
      </c>
      <c r="J14243" s="1">
        <v>45919.429467592592</v>
      </c>
    </row>
    <row r="14244" spans="1:10" x14ac:dyDescent="0.2">
      <c r="A14244" s="4" t="s">
        <v>1</v>
      </c>
      <c r="B14244" s="3" t="str">
        <f>HYPERLINK("https://otsuka-europe-crm.veevavault.com/ui/#object/approved_document__v/V5OZ025E82TN2QL", "LUP - Invitación simposio SEN 2025 - nefro")</f>
        <v>LUP - Invitación simposio SEN 2025 - nefro</v>
      </c>
      <c r="C14244" s="3" t="str">
        <f>HYPERLINK("https://otsuka-europe-crm.veevavault.com/ui/#object/sent_email__v/VBLZ025E82GU0ZV", "SE-000277132")</f>
        <v>SE-000277132</v>
      </c>
      <c r="D14244" s="1" t="s">
        <v>0</v>
      </c>
      <c r="E14244" s="2">
        <v>0</v>
      </c>
      <c r="F14244" s="2">
        <v>0</v>
      </c>
      <c r="G14244" s="2">
        <v>0</v>
      </c>
      <c r="H14244" s="1" t="s">
        <v>0</v>
      </c>
      <c r="I14244" s="2">
        <v>0</v>
      </c>
      <c r="J14244" s="1">
        <v>45919.429340277777</v>
      </c>
    </row>
    <row r="14245" spans="1:10" x14ac:dyDescent="0.2">
      <c r="A14245" s="4" t="s">
        <v>1</v>
      </c>
      <c r="B14245" s="3" t="str">
        <f>HYPERLINK("https://otsuka-europe-crm.veevavault.com/ui/#object/approved_document__v/V5OZ025E82TN2QL", "LUP - Invitación simposio SEN 2025 - nefro")</f>
        <v>LUP - Invitación simposio SEN 2025 - nefro</v>
      </c>
      <c r="C14245" s="3" t="str">
        <f>HYPERLINK("https://otsuka-europe-crm.veevavault.com/ui/#object/sent_email__v/VBLZ025E82GU0ZW", "SE-000277133")</f>
        <v>SE-000277133</v>
      </c>
      <c r="D14245" s="1" t="s">
        <v>0</v>
      </c>
      <c r="E14245" s="2">
        <v>0</v>
      </c>
      <c r="F14245" s="2">
        <v>0</v>
      </c>
      <c r="G14245" s="2">
        <v>0</v>
      </c>
      <c r="H14245" s="1" t="s">
        <v>0</v>
      </c>
      <c r="I14245" s="2">
        <v>0</v>
      </c>
      <c r="J14245" s="1">
        <v>45919.429479166669</v>
      </c>
    </row>
    <row r="14246" spans="1:10" x14ac:dyDescent="0.2">
      <c r="A14246" s="4" t="s">
        <v>1</v>
      </c>
      <c r="B14246" s="3" t="str">
        <f>HYPERLINK("https://otsuka-europe-crm.veevavault.com/ui/#object/approved_document__v/V5OZ025E82TN2QL", "LUP - Invitación simposio SEN 2025 - nefro")</f>
        <v>LUP - Invitación simposio SEN 2025 - nefro</v>
      </c>
      <c r="C14246" s="3" t="str">
        <f>HYPERLINK("https://otsuka-europe-crm.veevavault.com/ui/#object/sent_email__v/VBLZ025E82GU0ZX", "SE-000277134")</f>
        <v>SE-000277134</v>
      </c>
      <c r="D14246" s="1" t="s">
        <v>0</v>
      </c>
      <c r="E14246" s="2">
        <v>0</v>
      </c>
      <c r="F14246" s="2">
        <v>0</v>
      </c>
      <c r="G14246" s="2">
        <v>0</v>
      </c>
      <c r="H14246" s="1" t="s">
        <v>0</v>
      </c>
      <c r="I14246" s="2">
        <v>0</v>
      </c>
      <c r="J14246" s="1">
        <v>45919.429340277777</v>
      </c>
    </row>
    <row r="14247" spans="1:10" x14ac:dyDescent="0.2">
      <c r="A14247" s="4" t="s">
        <v>1</v>
      </c>
      <c r="B14247" s="3" t="str">
        <f>HYPERLINK("https://otsuka-europe-crm.veevavault.com/ui/#object/approved_document__v/V5OZ025E82TN2QL", "LUP - Invitación simposio SEN 2025 - nefro")</f>
        <v>LUP - Invitación simposio SEN 2025 - nefro</v>
      </c>
      <c r="C14247" s="3" t="str">
        <f>HYPERLINK("https://otsuka-europe-crm.veevavault.com/ui/#object/sent_email__v/VBLZ025E82GU0ZY", "SE-000277135")</f>
        <v>SE-000277135</v>
      </c>
      <c r="D14247" s="1" t="s">
        <v>0</v>
      </c>
      <c r="E14247" s="2">
        <v>0</v>
      </c>
      <c r="F14247" s="2">
        <v>0</v>
      </c>
      <c r="G14247" s="2">
        <v>0</v>
      </c>
      <c r="H14247" s="1" t="s">
        <v>0</v>
      </c>
      <c r="I14247" s="2">
        <v>0</v>
      </c>
      <c r="J14247" s="1">
        <v>45919.429432870369</v>
      </c>
    </row>
    <row r="14248" spans="1:10" x14ac:dyDescent="0.2">
      <c r="A14248" s="4" t="s">
        <v>1</v>
      </c>
      <c r="B14248" s="3" t="str">
        <f>HYPERLINK("https://otsuka-europe-crm.veevavault.com/ui/#object/approved_document__v/V5OZ025E82TN2QL", "LUP - Invitación simposio SEN 2025 - nefro")</f>
        <v>LUP - Invitación simposio SEN 2025 - nefro</v>
      </c>
      <c r="C14248" s="3" t="str">
        <f>HYPERLINK("https://otsuka-europe-crm.veevavault.com/ui/#object/sent_email__v/VBLZ025E82GU0ZZ", "SE-000277136")</f>
        <v>SE-000277136</v>
      </c>
      <c r="D14248" s="1" t="s">
        <v>0</v>
      </c>
      <c r="E14248" s="2">
        <v>0</v>
      </c>
      <c r="F14248" s="2">
        <v>0</v>
      </c>
      <c r="G14248" s="2">
        <v>0</v>
      </c>
      <c r="H14248" s="1" t="s">
        <v>0</v>
      </c>
      <c r="I14248" s="2">
        <v>0</v>
      </c>
      <c r="J14248" s="1">
        <v>45919.429305555554</v>
      </c>
    </row>
    <row r="14249" spans="1:10" x14ac:dyDescent="0.2">
      <c r="A14249" s="4" t="s">
        <v>1</v>
      </c>
      <c r="B14249" s="3" t="str">
        <f>HYPERLINK("https://otsuka-europe-crm.veevavault.com/ui/#object/approved_document__v/V5OZ025E82TN2QL", "LUP - Invitación simposio SEN 2025 - nefro")</f>
        <v>LUP - Invitación simposio SEN 2025 - nefro</v>
      </c>
      <c r="C14249" s="3" t="str">
        <f>HYPERLINK("https://otsuka-europe-crm.veevavault.com/ui/#object/sent_email__v/VBLZ025E82GU100", "SE-000277137")</f>
        <v>SE-000277137</v>
      </c>
      <c r="D14249" s="1" t="s">
        <v>0</v>
      </c>
      <c r="E14249" s="2">
        <v>0</v>
      </c>
      <c r="F14249" s="2">
        <v>0</v>
      </c>
      <c r="G14249" s="2">
        <v>0</v>
      </c>
      <c r="H14249" s="1" t="s">
        <v>0</v>
      </c>
      <c r="I14249" s="2">
        <v>0</v>
      </c>
      <c r="J14249" s="1">
        <v>45919.429456018515</v>
      </c>
    </row>
    <row r="14250" spans="1:10" x14ac:dyDescent="0.2">
      <c r="A14250" s="4" t="s">
        <v>1</v>
      </c>
      <c r="B14250" s="3" t="str">
        <f>HYPERLINK("https://otsuka-europe-crm.veevavault.com/ui/#object/approved_document__v/V5OZ025E82TN2QL", "LUP - Invitación simposio SEN 2025 - nefro")</f>
        <v>LUP - Invitación simposio SEN 2025 - nefro</v>
      </c>
      <c r="C14250" s="3" t="str">
        <f>HYPERLINK("https://otsuka-europe-crm.veevavault.com/ui/#object/sent_email__v/VBLZ025E82GU101", "SE-000277138")</f>
        <v>SE-000277138</v>
      </c>
      <c r="D14250" s="1" t="s">
        <v>0</v>
      </c>
      <c r="E14250" s="2">
        <v>0</v>
      </c>
      <c r="F14250" s="2">
        <v>0</v>
      </c>
      <c r="G14250" s="2">
        <v>0</v>
      </c>
      <c r="H14250" s="1" t="s">
        <v>0</v>
      </c>
      <c r="I14250" s="2">
        <v>0</v>
      </c>
      <c r="J14250" s="1">
        <v>45919.42931712963</v>
      </c>
    </row>
    <row r="14251" spans="1:10" x14ac:dyDescent="0.2">
      <c r="A14251" s="4" t="s">
        <v>1</v>
      </c>
      <c r="B14251" s="3" t="str">
        <f>HYPERLINK("https://otsuka-europe-crm.veevavault.com/ui/#object/approved_document__v/V5OZ025E82TN2QL", "LUP - Invitación simposio SEN 2025 - nefro")</f>
        <v>LUP - Invitación simposio SEN 2025 - nefro</v>
      </c>
      <c r="C14251" s="3" t="str">
        <f>HYPERLINK("https://otsuka-europe-crm.veevavault.com/ui/#object/sent_email__v/VBLZ025E82GU102", "SE-000277139")</f>
        <v>SE-000277139</v>
      </c>
      <c r="D14251" s="1" t="s">
        <v>0</v>
      </c>
      <c r="E14251" s="2">
        <v>0</v>
      </c>
      <c r="F14251" s="2">
        <v>0</v>
      </c>
      <c r="G14251" s="2">
        <v>0</v>
      </c>
      <c r="H14251" s="1" t="s">
        <v>0</v>
      </c>
      <c r="I14251" s="2">
        <v>0</v>
      </c>
      <c r="J14251" s="1">
        <v>45919.429409722223</v>
      </c>
    </row>
    <row r="14252" spans="1:10" x14ac:dyDescent="0.2">
      <c r="A14252" s="4" t="s">
        <v>1</v>
      </c>
      <c r="B14252" s="3" t="str">
        <f>HYPERLINK("https://otsuka-europe-crm.veevavault.com/ui/#object/approved_document__v/V5OZ025E82TN2QL", "LUP - Invitación simposio SEN 2025 - nefro")</f>
        <v>LUP - Invitación simposio SEN 2025 - nefro</v>
      </c>
      <c r="C14252" s="3" t="str">
        <f>HYPERLINK("https://otsuka-europe-crm.veevavault.com/ui/#object/sent_email__v/VBLZ025E82GTZZ2", "SE-000277157")</f>
        <v>SE-000277157</v>
      </c>
      <c r="D14252" s="1" t="s">
        <v>0</v>
      </c>
      <c r="E14252" s="2">
        <v>0</v>
      </c>
      <c r="F14252" s="2">
        <v>0</v>
      </c>
      <c r="G14252" s="2">
        <v>0</v>
      </c>
      <c r="H14252" s="1" t="s">
        <v>0</v>
      </c>
      <c r="I14252" s="2">
        <v>0</v>
      </c>
      <c r="J14252" s="1">
        <v>45919.430138888885</v>
      </c>
    </row>
    <row r="14253" spans="1:10" x14ac:dyDescent="0.2">
      <c r="A14253" s="4" t="s">
        <v>1</v>
      </c>
      <c r="B14253" s="3" t="str">
        <f>HYPERLINK("https://otsuka-europe-crm.veevavault.com/ui/#object/approved_document__v/V5OZ025E82TN2QL", "LUP - Invitación simposio SEN 2025 - nefro")</f>
        <v>LUP - Invitación simposio SEN 2025 - nefro</v>
      </c>
      <c r="C14253" s="3" t="str">
        <f>HYPERLINK("https://otsuka-europe-crm.veevavault.com/ui/#object/sent_email__v/VBLZ025E82GTZZ3", "SE-000277158")</f>
        <v>SE-000277158</v>
      </c>
      <c r="D14253" s="1" t="s">
        <v>0</v>
      </c>
      <c r="E14253" s="2">
        <v>0</v>
      </c>
      <c r="F14253" s="2">
        <v>0</v>
      </c>
      <c r="G14253" s="2">
        <v>0</v>
      </c>
      <c r="H14253" s="1" t="s">
        <v>0</v>
      </c>
      <c r="I14253" s="2">
        <v>0</v>
      </c>
      <c r="J14253" s="1">
        <v>45919.430127314816</v>
      </c>
    </row>
    <row r="14254" spans="1:10" x14ac:dyDescent="0.2">
      <c r="A14254" s="4" t="s">
        <v>1</v>
      </c>
      <c r="B14254" s="3" t="str">
        <f>HYPERLINK("https://otsuka-europe-crm.veevavault.com/ui/#object/approved_document__v/V5OZ025E82TN2QL", "LUP - Invitación simposio SEN 2025 - nefro")</f>
        <v>LUP - Invitación simposio SEN 2025 - nefro</v>
      </c>
      <c r="C14254" s="3" t="str">
        <f>HYPERLINK("https://otsuka-europe-crm.veevavault.com/ui/#object/sent_email__v/VBLZ025E82GTZZ4", "SE-000277159")</f>
        <v>SE-000277159</v>
      </c>
      <c r="D14254" s="1">
        <v>45932.898449074077</v>
      </c>
      <c r="E14254" s="2">
        <v>1</v>
      </c>
      <c r="F14254" s="2">
        <v>2</v>
      </c>
      <c r="G14254" s="2">
        <v>0</v>
      </c>
      <c r="H14254" s="1" t="s">
        <v>0</v>
      </c>
      <c r="I14254" s="2">
        <v>0</v>
      </c>
      <c r="J14254" s="1">
        <v>45919.430150462962</v>
      </c>
    </row>
    <row r="14255" spans="1:10" x14ac:dyDescent="0.2">
      <c r="A14255" s="4" t="s">
        <v>1</v>
      </c>
      <c r="B14255" s="3" t="str">
        <f>HYPERLINK("https://otsuka-europe-crm.veevavault.com/ui/#object/approved_document__v/V5OZ025E82TN2QL", "LUP - Invitación simposio SEN 2025 - nefro")</f>
        <v>LUP - Invitación simposio SEN 2025 - nefro</v>
      </c>
      <c r="C14255" s="3" t="str">
        <f>HYPERLINK("https://otsuka-europe-crm.veevavault.com/ui/#object/sent_email__v/VBLZ025E82GTZZ5", "SE-000277160")</f>
        <v>SE-000277160</v>
      </c>
      <c r="D14255" s="1" t="s">
        <v>0</v>
      </c>
      <c r="E14255" s="2">
        <v>0</v>
      </c>
      <c r="F14255" s="2">
        <v>0</v>
      </c>
      <c r="G14255" s="2">
        <v>0</v>
      </c>
      <c r="H14255" s="1" t="s">
        <v>0</v>
      </c>
      <c r="I14255" s="2">
        <v>0</v>
      </c>
      <c r="J14255" s="1">
        <v>45919.430173611108</v>
      </c>
    </row>
    <row r="14256" spans="1:10" x14ac:dyDescent="0.2">
      <c r="A14256" s="4" t="s">
        <v>1</v>
      </c>
      <c r="B14256" s="3" t="str">
        <f>HYPERLINK("https://otsuka-europe-crm.veevavault.com/ui/#object/approved_document__v/V5OZ025E82TN2QL", "LUP - Invitación simposio SEN 2025 - nefro")</f>
        <v>LUP - Invitación simposio SEN 2025 - nefro</v>
      </c>
      <c r="C14256" s="3" t="str">
        <f>HYPERLINK("https://otsuka-europe-crm.veevavault.com/ui/#object/sent_email__v/VBLZ025E82GTZZ6", "SE-000277161")</f>
        <v>SE-000277161</v>
      </c>
      <c r="D14256" s="1">
        <v>45919.642500000002</v>
      </c>
      <c r="E14256" s="2">
        <v>1</v>
      </c>
      <c r="F14256" s="2">
        <v>1</v>
      </c>
      <c r="G14256" s="2">
        <v>0</v>
      </c>
      <c r="H14256" s="1" t="s">
        <v>0</v>
      </c>
      <c r="I14256" s="2">
        <v>0</v>
      </c>
      <c r="J14256" s="1">
        <v>45919.430162037039</v>
      </c>
    </row>
    <row r="14257" spans="1:10" x14ac:dyDescent="0.2">
      <c r="A14257" s="4" t="s">
        <v>1</v>
      </c>
      <c r="B14257" s="3" t="str">
        <f>HYPERLINK("https://otsuka-europe-crm.veevavault.com/ui/#object/approved_document__v/V5OZ025E82TN2QL", "LUP - Invitación simposio SEN 2025 - nefro")</f>
        <v>LUP - Invitación simposio SEN 2025 - nefro</v>
      </c>
      <c r="C14257" s="3" t="str">
        <f>HYPERLINK("https://otsuka-europe-crm.veevavault.com/ui/#object/sent_email__v/VBLZ025E82GTZZ7", "SE-000277162")</f>
        <v>SE-000277162</v>
      </c>
      <c r="D14257" s="1" t="s">
        <v>0</v>
      </c>
      <c r="E14257" s="2">
        <v>0</v>
      </c>
      <c r="F14257" s="2">
        <v>0</v>
      </c>
      <c r="G14257" s="2">
        <v>0</v>
      </c>
      <c r="H14257" s="1" t="s">
        <v>0</v>
      </c>
      <c r="I14257" s="2">
        <v>0</v>
      </c>
      <c r="J14257" s="1">
        <v>45919.430173611108</v>
      </c>
    </row>
    <row r="14258" spans="1:10" x14ac:dyDescent="0.2">
      <c r="A14258" s="4" t="s">
        <v>1</v>
      </c>
      <c r="B14258" s="3" t="str">
        <f>HYPERLINK("https://otsuka-europe-crm.veevavault.com/ui/#object/approved_document__v/V5OZ025E82TN2QL", "LUP - Invitación simposio SEN 2025 - nefro")</f>
        <v>LUP - Invitación simposio SEN 2025 - nefro</v>
      </c>
      <c r="C14258" s="3" t="str">
        <f>HYPERLINK("https://otsuka-europe-crm.veevavault.com/ui/#object/sent_email__v/VBLZ025E82GTZZ8", "SE-000277163")</f>
        <v>SE-000277163</v>
      </c>
      <c r="D14258" s="1" t="s">
        <v>0</v>
      </c>
      <c r="E14258" s="2">
        <v>0</v>
      </c>
      <c r="F14258" s="2">
        <v>0</v>
      </c>
      <c r="G14258" s="2">
        <v>0</v>
      </c>
      <c r="H14258" s="1" t="s">
        <v>0</v>
      </c>
      <c r="I14258" s="2">
        <v>0</v>
      </c>
      <c r="J14258" s="1">
        <v>45919.43005787037</v>
      </c>
    </row>
    <row r="14259" spans="1:10" x14ac:dyDescent="0.2">
      <c r="A14259" s="4" t="s">
        <v>1</v>
      </c>
      <c r="B14259" s="3" t="str">
        <f>HYPERLINK("https://otsuka-europe-crm.veevavault.com/ui/#object/approved_document__v/V5OZ025E82TN2QL", "LUP - Invitación simposio SEN 2025 - nefro")</f>
        <v>LUP - Invitación simposio SEN 2025 - nefro</v>
      </c>
      <c r="C14259" s="3" t="str">
        <f>HYPERLINK("https://otsuka-europe-crm.veevavault.com/ui/#object/sent_email__v/VBLZ025E82GTZZ9", "SE-000277164")</f>
        <v>SE-000277164</v>
      </c>
      <c r="D14259" s="1" t="s">
        <v>0</v>
      </c>
      <c r="E14259" s="2">
        <v>0</v>
      </c>
      <c r="F14259" s="2">
        <v>0</v>
      </c>
      <c r="G14259" s="2">
        <v>0</v>
      </c>
      <c r="H14259" s="1" t="s">
        <v>0</v>
      </c>
      <c r="I14259" s="2">
        <v>0</v>
      </c>
      <c r="J14259" s="1">
        <v>45919.43005787037</v>
      </c>
    </row>
    <row r="14260" spans="1:10" x14ac:dyDescent="0.2">
      <c r="A14260" s="4" t="s">
        <v>1</v>
      </c>
      <c r="B14260" s="3" t="str">
        <f>HYPERLINK("https://otsuka-europe-crm.veevavault.com/ui/#object/approved_document__v/V5OZ025E82TN2QL", "LUP - Invitación simposio SEN 2025 - nefro")</f>
        <v>LUP - Invitación simposio SEN 2025 - nefro</v>
      </c>
      <c r="C14260" s="3" t="str">
        <f>HYPERLINK("https://otsuka-europe-crm.veevavault.com/ui/#object/sent_email__v/VBLZ025E82GTZZA", "SE-000277165")</f>
        <v>SE-000277165</v>
      </c>
      <c r="D14260" s="1" t="s">
        <v>0</v>
      </c>
      <c r="E14260" s="2">
        <v>0</v>
      </c>
      <c r="F14260" s="2">
        <v>0</v>
      </c>
      <c r="G14260" s="2">
        <v>0</v>
      </c>
      <c r="H14260" s="1" t="s">
        <v>0</v>
      </c>
      <c r="I14260" s="2">
        <v>0</v>
      </c>
      <c r="J14260" s="1">
        <v>45919.430173611108</v>
      </c>
    </row>
    <row r="14261" spans="1:10" x14ac:dyDescent="0.2">
      <c r="A14261" s="4" t="s">
        <v>1</v>
      </c>
      <c r="B14261" s="3" t="str">
        <f>HYPERLINK("https://otsuka-europe-crm.veevavault.com/ui/#object/approved_document__v/V5OZ025E82TN2QL", "LUP - Invitación simposio SEN 2025 - nefro")</f>
        <v>LUP - Invitación simposio SEN 2025 - nefro</v>
      </c>
      <c r="C14261" s="3" t="str">
        <f>HYPERLINK("https://otsuka-europe-crm.veevavault.com/ui/#object/sent_email__v/VBLZ025E82GTZZB", "SE-000277166")</f>
        <v>SE-000277166</v>
      </c>
      <c r="D14261" s="1" t="s">
        <v>0</v>
      </c>
      <c r="E14261" s="2">
        <v>0</v>
      </c>
      <c r="F14261" s="2">
        <v>0</v>
      </c>
      <c r="G14261" s="2">
        <v>0</v>
      </c>
      <c r="H14261" s="1" t="s">
        <v>0</v>
      </c>
      <c r="I14261" s="2">
        <v>0</v>
      </c>
      <c r="J14261" s="1">
        <v>45919.430196759262</v>
      </c>
    </row>
    <row r="14262" spans="1:10" x14ac:dyDescent="0.2">
      <c r="A14262" s="4" t="s">
        <v>1</v>
      </c>
      <c r="B14262" s="3" t="str">
        <f>HYPERLINK("https://otsuka-europe-crm.veevavault.com/ui/#object/approved_document__v/V5OZ025E82TN2QL", "LUP - Invitación simposio SEN 2025 - nefro")</f>
        <v>LUP - Invitación simposio SEN 2025 - nefro</v>
      </c>
      <c r="C14262" s="3" t="str">
        <f>HYPERLINK("https://otsuka-europe-crm.veevavault.com/ui/#object/sent_email__v/VBLZ025E82GTZZC", "SE-000277167")</f>
        <v>SE-000277167</v>
      </c>
      <c r="D14262" s="1" t="s">
        <v>0</v>
      </c>
      <c r="E14262" s="2">
        <v>0</v>
      </c>
      <c r="F14262" s="2">
        <v>0</v>
      </c>
      <c r="G14262" s="2">
        <v>0</v>
      </c>
      <c r="H14262" s="1" t="s">
        <v>0</v>
      </c>
      <c r="I14262" s="2">
        <v>0</v>
      </c>
      <c r="J14262" s="1">
        <v>45919.430081018516</v>
      </c>
    </row>
    <row r="14263" spans="1:10" x14ac:dyDescent="0.2">
      <c r="A14263" s="4" t="s">
        <v>1</v>
      </c>
      <c r="B14263" s="3" t="str">
        <f>HYPERLINK("https://otsuka-europe-crm.veevavault.com/ui/#object/approved_document__v/V5OZ025E82TN2QL", "LUP - Invitación simposio SEN 2025 - nefro")</f>
        <v>LUP - Invitación simposio SEN 2025 - nefro</v>
      </c>
      <c r="C14263" s="3" t="str">
        <f>HYPERLINK("https://otsuka-europe-crm.veevavault.com/ui/#object/sent_email__v/VBLZ025E82GTZZD", "SE-000277168")</f>
        <v>SE-000277168</v>
      </c>
      <c r="D14263" s="1" t="s">
        <v>0</v>
      </c>
      <c r="E14263" s="2">
        <v>0</v>
      </c>
      <c r="F14263" s="2">
        <v>0</v>
      </c>
      <c r="G14263" s="2">
        <v>0</v>
      </c>
      <c r="H14263" s="1" t="s">
        <v>0</v>
      </c>
      <c r="I14263" s="2">
        <v>0</v>
      </c>
      <c r="J14263" s="1">
        <v>45919.430069444446</v>
      </c>
    </row>
    <row r="14264" spans="1:10" x14ac:dyDescent="0.2">
      <c r="A14264" s="4" t="s">
        <v>1</v>
      </c>
      <c r="B14264" s="3" t="str">
        <f>HYPERLINK("https://otsuka-europe-crm.veevavault.com/ui/#object/approved_document__v/V5OZ025E82TN2QL", "LUP - Invitación simposio SEN 2025 - nefro")</f>
        <v>LUP - Invitación simposio SEN 2025 - nefro</v>
      </c>
      <c r="C14264" s="3" t="str">
        <f>HYPERLINK("https://otsuka-europe-crm.veevavault.com/ui/#object/sent_email__v/VBLZ025E82GTZZE", "SE-000277169")</f>
        <v>SE-000277169</v>
      </c>
      <c r="D14264" s="1" t="s">
        <v>0</v>
      </c>
      <c r="E14264" s="2">
        <v>0</v>
      </c>
      <c r="F14264" s="2">
        <v>0</v>
      </c>
      <c r="G14264" s="2">
        <v>0</v>
      </c>
      <c r="H14264" s="1" t="s">
        <v>0</v>
      </c>
      <c r="I14264" s="2">
        <v>0</v>
      </c>
      <c r="J14264" s="1">
        <v>45919.430104166669</v>
      </c>
    </row>
    <row r="14265" spans="1:10" x14ac:dyDescent="0.2">
      <c r="A14265" s="4" t="s">
        <v>1</v>
      </c>
      <c r="B14265" s="3" t="str">
        <f>HYPERLINK("https://otsuka-europe-crm.veevavault.com/ui/#object/approved_document__v/V5OZ025E82TN2QL", "LUP - Invitación simposio SEN 2025 - nefro")</f>
        <v>LUP - Invitación simposio SEN 2025 - nefro</v>
      </c>
      <c r="C14265" s="3" t="str">
        <f>HYPERLINK("https://otsuka-europe-crm.veevavault.com/ui/#object/sent_email__v/VBLZ025E82GTZZF", "SE-000277170")</f>
        <v>SE-000277170</v>
      </c>
      <c r="D14265" s="1" t="s">
        <v>0</v>
      </c>
      <c r="E14265" s="2">
        <v>0</v>
      </c>
      <c r="F14265" s="2">
        <v>0</v>
      </c>
      <c r="G14265" s="2">
        <v>0</v>
      </c>
      <c r="H14265" s="1" t="s">
        <v>0</v>
      </c>
      <c r="I14265" s="2">
        <v>0</v>
      </c>
      <c r="J14265" s="1">
        <v>45919.430092592593</v>
      </c>
    </row>
    <row r="14266" spans="1:10" x14ac:dyDescent="0.2">
      <c r="A14266" s="4" t="s">
        <v>1</v>
      </c>
      <c r="B14266" s="3" t="str">
        <f>HYPERLINK("https://otsuka-europe-crm.veevavault.com/ui/#object/approved_document__v/V5OZ025E82TN2QL", "LUP - Invitación simposio SEN 2025 - nefro")</f>
        <v>LUP - Invitación simposio SEN 2025 - nefro</v>
      </c>
      <c r="C14266" s="3" t="str">
        <f>HYPERLINK("https://otsuka-europe-crm.veevavault.com/ui/#object/sent_email__v/VBLZ025E82GTZZG", "SE-000277171")</f>
        <v>SE-000277171</v>
      </c>
      <c r="D14266" s="1" t="s">
        <v>0</v>
      </c>
      <c r="E14266" s="2">
        <v>0</v>
      </c>
      <c r="F14266" s="2">
        <v>0</v>
      </c>
      <c r="G14266" s="2">
        <v>0</v>
      </c>
      <c r="H14266" s="1" t="s">
        <v>0</v>
      </c>
      <c r="I14266" s="2">
        <v>0</v>
      </c>
      <c r="J14266" s="1">
        <v>45919.430127314816</v>
      </c>
    </row>
    <row r="14267" spans="1:10" x14ac:dyDescent="0.2">
      <c r="A14267" s="4" t="s">
        <v>1</v>
      </c>
      <c r="B14267" s="3" t="str">
        <f>HYPERLINK("https://otsuka-europe-crm.veevavault.com/ui/#object/approved_document__v/V5OZ025E82TN2QL", "LUP - Invitación simposio SEN 2025 - nefro")</f>
        <v>LUP - Invitación simposio SEN 2025 - nefro</v>
      </c>
      <c r="C14267" s="3" t="str">
        <f>HYPERLINK("https://otsuka-europe-crm.veevavault.com/ui/#object/sent_email__v/VBLZ025E82GTZZH", "SE-000277172")</f>
        <v>SE-000277172</v>
      </c>
      <c r="D14267" s="1" t="s">
        <v>0</v>
      </c>
      <c r="E14267" s="2">
        <v>0</v>
      </c>
      <c r="F14267" s="2">
        <v>0</v>
      </c>
      <c r="G14267" s="2">
        <v>0</v>
      </c>
      <c r="H14267" s="1" t="s">
        <v>0</v>
      </c>
      <c r="I14267" s="2">
        <v>0</v>
      </c>
      <c r="J14267" s="1">
        <v>45919.430127314816</v>
      </c>
    </row>
    <row r="14268" spans="1:10" x14ac:dyDescent="0.2">
      <c r="A14268" s="4" t="s">
        <v>1</v>
      </c>
      <c r="B14268" s="3" t="str">
        <f>HYPERLINK("https://otsuka-europe-crm.veevavault.com/ui/#object/approved_document__v/V5OZ025E82TN2QL", "LUP - Invitación simposio SEN 2025 - nefro")</f>
        <v>LUP - Invitación simposio SEN 2025 - nefro</v>
      </c>
      <c r="C14268" s="3" t="str">
        <f>HYPERLINK("https://otsuka-europe-crm.veevavault.com/ui/#object/sent_email__v/VBLZ025E82GTZZI", "SE-000277173")</f>
        <v>SE-000277173</v>
      </c>
      <c r="D14268" s="1">
        <v>45919.730868055558</v>
      </c>
      <c r="E14268" s="2">
        <v>1</v>
      </c>
      <c r="F14268" s="2">
        <v>1</v>
      </c>
      <c r="G14268" s="2">
        <v>0</v>
      </c>
      <c r="H14268" s="1" t="s">
        <v>0</v>
      </c>
      <c r="I14268" s="2">
        <v>0</v>
      </c>
      <c r="J14268" s="1">
        <v>45919.430104166669</v>
      </c>
    </row>
    <row r="14269" spans="1:10" x14ac:dyDescent="0.2">
      <c r="A14269" s="4" t="s">
        <v>1</v>
      </c>
      <c r="B14269" s="3" t="str">
        <f>HYPERLINK("https://otsuka-europe-crm.veevavault.com/ui/#object/approved_document__v/V5OZ025E82TN2QL", "LUP - Invitación simposio SEN 2025 - nefro")</f>
        <v>LUP - Invitación simposio SEN 2025 - nefro</v>
      </c>
      <c r="C14269" s="3" t="str">
        <f>HYPERLINK("https://otsuka-europe-crm.veevavault.com/ui/#object/sent_email__v/VBLZ025E82GXVEH", "SE-000280234")</f>
        <v>SE-000280234</v>
      </c>
      <c r="D14269" s="1">
        <v>45923.924791666665</v>
      </c>
      <c r="E14269" s="2">
        <v>1</v>
      </c>
      <c r="F14269" s="2">
        <v>1</v>
      </c>
      <c r="G14269" s="2">
        <v>0</v>
      </c>
      <c r="H14269" s="1" t="s">
        <v>0</v>
      </c>
      <c r="I14269" s="2">
        <v>0</v>
      </c>
      <c r="J14269" s="1">
        <v>45923.642384259256</v>
      </c>
    </row>
    <row r="14270" spans="1:10" x14ac:dyDescent="0.2">
      <c r="A14270" s="4" t="s">
        <v>1</v>
      </c>
      <c r="B14270" s="3" t="str">
        <f>HYPERLINK("https://otsuka-europe-crm.veevavault.com/ui/#object/approved_document__v/V5OZ025E82TN2QL", "LUP - Invitación simposio SEN 2025 - nefro")</f>
        <v>LUP - Invitación simposio SEN 2025 - nefro</v>
      </c>
      <c r="C14270" s="3" t="str">
        <f>HYPERLINK("https://otsuka-europe-crm.veevavault.com/ui/#object/sent_email__v/VBLZ025E82GXVEI", "SE-000280235")</f>
        <v>SE-000280235</v>
      </c>
      <c r="D14270" s="1">
        <v>45943.479097222225</v>
      </c>
      <c r="E14270" s="2">
        <v>1</v>
      </c>
      <c r="F14270" s="2">
        <v>4</v>
      </c>
      <c r="G14270" s="2">
        <v>0</v>
      </c>
      <c r="H14270" s="1" t="s">
        <v>0</v>
      </c>
      <c r="I14270" s="2">
        <v>0</v>
      </c>
      <c r="J14270" s="1">
        <v>45923.642361111109</v>
      </c>
    </row>
    <row r="14271" spans="1:10" x14ac:dyDescent="0.2">
      <c r="A14271" s="4" t="s">
        <v>1</v>
      </c>
      <c r="B14271" s="3" t="str">
        <f>HYPERLINK("https://otsuka-europe-crm.veevavault.com/ui/#object/approved_document__v/V5OZ025E82TN2QL", "LUP - Invitación simposio SEN 2025 - nefro")</f>
        <v>LUP - Invitación simposio SEN 2025 - nefro</v>
      </c>
      <c r="C14271" s="3" t="str">
        <f>HYPERLINK("https://otsuka-europe-crm.veevavault.com/ui/#object/sent_email__v/VBLZ025E82GXVEJ", "SE-000280236")</f>
        <v>SE-000280236</v>
      </c>
      <c r="D14271" s="1">
        <v>45924.370844907404</v>
      </c>
      <c r="E14271" s="2">
        <v>1</v>
      </c>
      <c r="F14271" s="2">
        <v>1</v>
      </c>
      <c r="G14271" s="2">
        <v>1</v>
      </c>
      <c r="H14271" s="1">
        <v>45924.370844907404</v>
      </c>
      <c r="I14271" s="2">
        <v>1</v>
      </c>
      <c r="J14271" s="1">
        <v>45923.642361111109</v>
      </c>
    </row>
    <row r="14272" spans="1:10" x14ac:dyDescent="0.2">
      <c r="A14272" s="4" t="s">
        <v>1</v>
      </c>
      <c r="B14272" s="3" t="str">
        <f>HYPERLINK("https://otsuka-europe-crm.veevavault.com/ui/#object/approved_document__v/V5OZ025E82TN2QL", "LUP - Invitación simposio SEN 2025 - nefro")</f>
        <v>LUP - Invitación simposio SEN 2025 - nefro</v>
      </c>
      <c r="C14272" s="3" t="str">
        <f>HYPERLINK("https://otsuka-europe-crm.veevavault.com/ui/#object/sent_email__v/VBLZ025E82GXVEK", "SE-000280237")</f>
        <v>SE-000280237</v>
      </c>
      <c r="D14272" s="1">
        <v>45930.94027777778</v>
      </c>
      <c r="E14272" s="2">
        <v>1</v>
      </c>
      <c r="F14272" s="2">
        <v>2</v>
      </c>
      <c r="G14272" s="2">
        <v>0</v>
      </c>
      <c r="H14272" s="1" t="s">
        <v>0</v>
      </c>
      <c r="I14272" s="2">
        <v>0</v>
      </c>
      <c r="J14272" s="1">
        <v>45923.642384259256</v>
      </c>
    </row>
    <row r="14273" spans="1:10" x14ac:dyDescent="0.2">
      <c r="A14273" s="4" t="s">
        <v>1</v>
      </c>
      <c r="B14273" s="3" t="str">
        <f>HYPERLINK("https://otsuka-europe-crm.veevavault.com/ui/#object/approved_document__v/V5OZ025E82TN2QL", "LUP - Invitación simposio SEN 2025 - nefro")</f>
        <v>LUP - Invitación simposio SEN 2025 - nefro</v>
      </c>
      <c r="C14273" s="3" t="str">
        <f>HYPERLINK("https://otsuka-europe-crm.veevavault.com/ui/#object/sent_email__v/VBLZ025E82GXVEL", "SE-000280238")</f>
        <v>SE-000280238</v>
      </c>
      <c r="D14273" s="1" t="s">
        <v>0</v>
      </c>
      <c r="E14273" s="2">
        <v>0</v>
      </c>
      <c r="F14273" s="2">
        <v>0</v>
      </c>
      <c r="G14273" s="2">
        <v>0</v>
      </c>
      <c r="H14273" s="1" t="s">
        <v>0</v>
      </c>
      <c r="I14273" s="2">
        <v>0</v>
      </c>
      <c r="J14273" s="1">
        <v>45923.642384259256</v>
      </c>
    </row>
    <row r="14274" spans="1:10" x14ac:dyDescent="0.2">
      <c r="A14274" s="4" t="s">
        <v>1</v>
      </c>
      <c r="B14274" s="3" t="str">
        <f>HYPERLINK("https://otsuka-europe-crm.veevavault.com/ui/#object/approved_document__v/V5OZ025E82TN2QL", "LUP - Invitación simposio SEN 2025 - nefro")</f>
        <v>LUP - Invitación simposio SEN 2025 - nefro</v>
      </c>
      <c r="C14274" s="3" t="str">
        <f>HYPERLINK("https://otsuka-europe-crm.veevavault.com/ui/#object/sent_email__v/VBLZ025E82GXVEM", "SE-000280239")</f>
        <v>SE-000280239</v>
      </c>
      <c r="D14274" s="1">
        <v>45938.735868055555</v>
      </c>
      <c r="E14274" s="2">
        <v>1</v>
      </c>
      <c r="F14274" s="2">
        <v>2</v>
      </c>
      <c r="G14274" s="2">
        <v>1</v>
      </c>
      <c r="H14274" s="1">
        <v>45928.278749999998</v>
      </c>
      <c r="I14274" s="2">
        <v>1</v>
      </c>
      <c r="J14274" s="1">
        <v>45923.642395833333</v>
      </c>
    </row>
    <row r="14275" spans="1:10" x14ac:dyDescent="0.2">
      <c r="A14275" s="4" t="s">
        <v>1</v>
      </c>
      <c r="B14275" s="3" t="str">
        <f>HYPERLINK("https://otsuka-europe-crm.veevavault.com/ui/#object/approved_document__v/V5OZ025E82TN2QL", "LUP - Invitación simposio SEN 2025 - nefro")</f>
        <v>LUP - Invitación simposio SEN 2025 - nefro</v>
      </c>
      <c r="C14275" s="3" t="str">
        <f>HYPERLINK("https://otsuka-europe-crm.veevavault.com/ui/#object/sent_email__v/VBLZ025E82GXVEN", "SE-000280240")</f>
        <v>SE-000280240</v>
      </c>
      <c r="D14275" s="1">
        <v>45924.639872685184</v>
      </c>
      <c r="E14275" s="2">
        <v>1</v>
      </c>
      <c r="F14275" s="2">
        <v>2</v>
      </c>
      <c r="G14275" s="2">
        <v>0</v>
      </c>
      <c r="H14275" s="1" t="s">
        <v>0</v>
      </c>
      <c r="I14275" s="2">
        <v>0</v>
      </c>
      <c r="J14275" s="1">
        <v>45923.642418981479</v>
      </c>
    </row>
    <row r="14276" spans="1:10" x14ac:dyDescent="0.2">
      <c r="A14276" s="4" t="s">
        <v>1</v>
      </c>
      <c r="B14276" s="3" t="str">
        <f>HYPERLINK("https://otsuka-europe-crm.veevavault.com/ui/#object/approved_document__v/V5OZ025E82TN2QL", "LUP - Invitación simposio SEN 2025 - nefro")</f>
        <v>LUP - Invitación simposio SEN 2025 - nefro</v>
      </c>
      <c r="C14276" s="3" t="str">
        <f>HYPERLINK("https://otsuka-europe-crm.veevavault.com/ui/#object/sent_email__v/VBLZ025E82GXVEO", "SE-000280241")</f>
        <v>SE-000280241</v>
      </c>
      <c r="D14276" s="1" t="s">
        <v>0</v>
      </c>
      <c r="E14276" s="2">
        <v>0</v>
      </c>
      <c r="F14276" s="2">
        <v>0</v>
      </c>
      <c r="G14276" s="2">
        <v>0</v>
      </c>
      <c r="H14276" s="1" t="s">
        <v>0</v>
      </c>
      <c r="I14276" s="2">
        <v>0</v>
      </c>
      <c r="J14276" s="1">
        <v>45923.642430555556</v>
      </c>
    </row>
    <row r="14277" spans="1:10" x14ac:dyDescent="0.2">
      <c r="A14277" s="4" t="s">
        <v>1</v>
      </c>
      <c r="B14277" s="3" t="str">
        <f>HYPERLINK("https://otsuka-europe-crm.veevavault.com/ui/#object/approved_document__v/V5OZ025E82TN2QL", "LUP - Invitación simposio SEN 2025 - nefro")</f>
        <v>LUP - Invitación simposio SEN 2025 - nefro</v>
      </c>
      <c r="C14277" s="3" t="str">
        <f>HYPERLINK("https://otsuka-europe-crm.veevavault.com/ui/#object/sent_email__v/VBLZ025E82GXVEP", "SE-000280242")</f>
        <v>SE-000280242</v>
      </c>
      <c r="D14277" s="1">
        <v>45924.444548611114</v>
      </c>
      <c r="E14277" s="2">
        <v>1</v>
      </c>
      <c r="F14277" s="2">
        <v>3</v>
      </c>
      <c r="G14277" s="2">
        <v>0</v>
      </c>
      <c r="H14277" s="1" t="s">
        <v>0</v>
      </c>
      <c r="I14277" s="2">
        <v>0</v>
      </c>
      <c r="J14277" s="1">
        <v>45923.642430555556</v>
      </c>
    </row>
    <row r="14278" spans="1:10" x14ac:dyDescent="0.2">
      <c r="A14278" s="4" t="s">
        <v>1</v>
      </c>
      <c r="B14278" s="3" t="str">
        <f>HYPERLINK("https://otsuka-europe-crm.veevavault.com/ui/#object/approved_document__v/V5OZ025E82TN2QL", "LUP - Invitación simposio SEN 2025 - nefro")</f>
        <v>LUP - Invitación simposio SEN 2025 - nefro</v>
      </c>
      <c r="C14278" s="3" t="str">
        <f>HYPERLINK("https://otsuka-europe-crm.veevavault.com/ui/#object/sent_email__v/VBLZ025E82GXVEQ", "SE-000280243")</f>
        <v>SE-000280243</v>
      </c>
      <c r="D14278" s="1">
        <v>45923.653923611113</v>
      </c>
      <c r="E14278" s="2">
        <v>1</v>
      </c>
      <c r="F14278" s="2">
        <v>1</v>
      </c>
      <c r="G14278" s="2">
        <v>0</v>
      </c>
      <c r="H14278" s="1" t="s">
        <v>0</v>
      </c>
      <c r="I14278" s="2">
        <v>0</v>
      </c>
      <c r="J14278" s="1">
        <v>45923.642430555556</v>
      </c>
    </row>
    <row r="14279" spans="1:10" x14ac:dyDescent="0.2">
      <c r="A14279" s="4" t="s">
        <v>1</v>
      </c>
      <c r="B14279" s="3" t="str">
        <f>HYPERLINK("https://otsuka-europe-crm.veevavault.com/ui/#object/approved_document__v/V5OZ025E82TN2QL", "LUP - Invitación simposio SEN 2025 - nefro")</f>
        <v>LUP - Invitación simposio SEN 2025 - nefro</v>
      </c>
      <c r="C14279" s="3" t="str">
        <f>HYPERLINK("https://otsuka-europe-crm.veevavault.com/ui/#object/sent_email__v/VBLZ025E82GXVER", "SE-000280244")</f>
        <v>SE-000280244</v>
      </c>
      <c r="D14279" s="1" t="s">
        <v>0</v>
      </c>
      <c r="E14279" s="2">
        <v>0</v>
      </c>
      <c r="F14279" s="2">
        <v>0</v>
      </c>
      <c r="G14279" s="2">
        <v>0</v>
      </c>
      <c r="H14279" s="1" t="s">
        <v>0</v>
      </c>
      <c r="I14279" s="2">
        <v>0</v>
      </c>
      <c r="J14279" s="1">
        <v>45923.642442129632</v>
      </c>
    </row>
    <row r="14280" spans="1:10" x14ac:dyDescent="0.2">
      <c r="A14280" s="4" t="s">
        <v>1</v>
      </c>
      <c r="B14280" s="3" t="str">
        <f>HYPERLINK("https://otsuka-europe-crm.veevavault.com/ui/#object/approved_document__v/V5OZ025E82TN2QL", "LUP - Invitación simposio SEN 2025 - nefro")</f>
        <v>LUP - Invitación simposio SEN 2025 - nefro</v>
      </c>
      <c r="C14280" s="3" t="str">
        <f>HYPERLINK("https://otsuka-europe-crm.veevavault.com/ui/#object/sent_email__v/VBLZ025E82GXVES", "SE-000280245")</f>
        <v>SE-000280245</v>
      </c>
      <c r="D14280" s="1">
        <v>45923.67454861111</v>
      </c>
      <c r="E14280" s="2">
        <v>1</v>
      </c>
      <c r="F14280" s="2">
        <v>1</v>
      </c>
      <c r="G14280" s="2">
        <v>0</v>
      </c>
      <c r="H14280" s="1" t="s">
        <v>0</v>
      </c>
      <c r="I14280" s="2">
        <v>0</v>
      </c>
      <c r="J14280" s="1">
        <v>45923.642465277779</v>
      </c>
    </row>
    <row r="14281" spans="1:10" x14ac:dyDescent="0.2">
      <c r="A14281" s="4" t="s">
        <v>1</v>
      </c>
      <c r="B14281" s="3" t="str">
        <f>HYPERLINK("https://otsuka-europe-crm.veevavault.com/ui/#object/approved_document__v/V5OZ025E82TN2QL", "LUP - Invitación simposio SEN 2025 - nefro")</f>
        <v>LUP - Invitación simposio SEN 2025 - nefro</v>
      </c>
      <c r="C14281" s="3" t="str">
        <f>HYPERLINK("https://otsuka-europe-crm.veevavault.com/ui/#object/sent_email__v/VBLZ025E82GXVET", "SE-000280246")</f>
        <v>SE-000280246</v>
      </c>
      <c r="D14281" s="1">
        <v>45923.664375</v>
      </c>
      <c r="E14281" s="2">
        <v>1</v>
      </c>
      <c r="F14281" s="2">
        <v>1</v>
      </c>
      <c r="G14281" s="2">
        <v>0</v>
      </c>
      <c r="H14281" s="1" t="s">
        <v>0</v>
      </c>
      <c r="I14281" s="2">
        <v>0</v>
      </c>
      <c r="J14281" s="1">
        <v>45923.642465277779</v>
      </c>
    </row>
    <row r="14282" spans="1:10" x14ac:dyDescent="0.2">
      <c r="A14282" s="4" t="s">
        <v>1</v>
      </c>
      <c r="B14282" s="3" t="str">
        <f>HYPERLINK("https://otsuka-europe-crm.veevavault.com/ui/#object/approved_document__v/V5OZ025E82TN2QL", "LUP - Invitación simposio SEN 2025 - nefro")</f>
        <v>LUP - Invitación simposio SEN 2025 - nefro</v>
      </c>
      <c r="C14282" s="3" t="str">
        <f>HYPERLINK("https://otsuka-europe-crm.veevavault.com/ui/#object/sent_email__v/VBLZ025E82GZ52X", "SE-000280525")</f>
        <v>SE-000280525</v>
      </c>
      <c r="D14282" s="1" t="s">
        <v>0</v>
      </c>
      <c r="E14282" s="2">
        <v>0</v>
      </c>
      <c r="F14282" s="2">
        <v>0</v>
      </c>
      <c r="G14282" s="2">
        <v>0</v>
      </c>
      <c r="H14282" s="1" t="s">
        <v>0</v>
      </c>
      <c r="I14282" s="2">
        <v>0</v>
      </c>
      <c r="J14282" s="1">
        <v>45924.68545138889</v>
      </c>
    </row>
    <row r="14283" spans="1:10" x14ac:dyDescent="0.2">
      <c r="A14283" s="4" t="s">
        <v>1</v>
      </c>
      <c r="B14283" s="3" t="str">
        <f>HYPERLINK("https://otsuka-europe-crm.veevavault.com/ui/#object/approved_document__v/V5OZ025E82TN2QL", "LUP - Invitación simposio SEN 2025 - nefro")</f>
        <v>LUP - Invitación simposio SEN 2025 - nefro</v>
      </c>
      <c r="C14283" s="3" t="str">
        <f>HYPERLINK("https://otsuka-europe-crm.veevavault.com/ui/#object/sent_email__v/VBLZ025E82GZ52Y", "SE-000280526")</f>
        <v>SE-000280526</v>
      </c>
      <c r="D14283" s="1" t="s">
        <v>0</v>
      </c>
      <c r="E14283" s="2">
        <v>0</v>
      </c>
      <c r="F14283" s="2">
        <v>0</v>
      </c>
      <c r="G14283" s="2">
        <v>0</v>
      </c>
      <c r="H14283" s="1" t="s">
        <v>0</v>
      </c>
      <c r="I14283" s="2">
        <v>0</v>
      </c>
      <c r="J14283" s="1">
        <v>45924.68546296296</v>
      </c>
    </row>
    <row r="14284" spans="1:10" x14ac:dyDescent="0.2">
      <c r="A14284" s="4" t="s">
        <v>1</v>
      </c>
      <c r="B14284" s="3" t="str">
        <f>HYPERLINK("https://otsuka-europe-crm.veevavault.com/ui/#object/approved_document__v/V5OZ025E82TN2QL", "LUP - Invitación simposio SEN 2025 - nefro")</f>
        <v>LUP - Invitación simposio SEN 2025 - nefro</v>
      </c>
      <c r="C14284" s="3" t="str">
        <f>HYPERLINK("https://otsuka-europe-crm.veevavault.com/ui/#object/sent_email__v/VBLZ025E82GZ52Z", "SE-000280527")</f>
        <v>SE-000280527</v>
      </c>
      <c r="D14284" s="1" t="s">
        <v>0</v>
      </c>
      <c r="E14284" s="2">
        <v>0</v>
      </c>
      <c r="F14284" s="2">
        <v>0</v>
      </c>
      <c r="G14284" s="2">
        <v>0</v>
      </c>
      <c r="H14284" s="1" t="s">
        <v>0</v>
      </c>
      <c r="I14284" s="2">
        <v>0</v>
      </c>
      <c r="J14284" s="1">
        <v>45924.685474537036</v>
      </c>
    </row>
    <row r="14285" spans="1:10" x14ac:dyDescent="0.2">
      <c r="A14285" s="4" t="s">
        <v>1</v>
      </c>
      <c r="B14285" s="3" t="str">
        <f>HYPERLINK("https://otsuka-europe-crm.veevavault.com/ui/#object/approved_document__v/V5OZ025E82TN2QL", "LUP - Invitación simposio SEN 2025 - nefro")</f>
        <v>LUP - Invitación simposio SEN 2025 - nefro</v>
      </c>
      <c r="C14285" s="3" t="str">
        <f>HYPERLINK("https://otsuka-europe-crm.veevavault.com/ui/#object/sent_email__v/VBLZ025E82GZ530", "SE-000280528")</f>
        <v>SE-000280528</v>
      </c>
      <c r="D14285" s="1" t="s">
        <v>0</v>
      </c>
      <c r="E14285" s="2">
        <v>0</v>
      </c>
      <c r="F14285" s="2">
        <v>0</v>
      </c>
      <c r="G14285" s="2">
        <v>0</v>
      </c>
      <c r="H14285" s="1" t="s">
        <v>0</v>
      </c>
      <c r="I14285" s="2">
        <v>0</v>
      </c>
      <c r="J14285" s="1">
        <v>45924.685474537036</v>
      </c>
    </row>
    <row r="14286" spans="1:10" x14ac:dyDescent="0.2">
      <c r="A14286" s="4" t="s">
        <v>1</v>
      </c>
      <c r="B14286" s="3" t="str">
        <f>HYPERLINK("https://otsuka-europe-crm.veevavault.com/ui/#object/approved_document__v/V5OZ025E82TN2QL", "LUP - Invitación simposio SEN 2025 - nefro")</f>
        <v>LUP - Invitación simposio SEN 2025 - nefro</v>
      </c>
      <c r="C14286" s="3" t="str">
        <f>HYPERLINK("https://otsuka-europe-crm.veevavault.com/ui/#object/sent_email__v/VBLZ025E82GZ531", "SE-000280529")</f>
        <v>SE-000280529</v>
      </c>
      <c r="D14286" s="1" t="s">
        <v>0</v>
      </c>
      <c r="E14286" s="2">
        <v>0</v>
      </c>
      <c r="F14286" s="2">
        <v>0</v>
      </c>
      <c r="G14286" s="2">
        <v>0</v>
      </c>
      <c r="H14286" s="1" t="s">
        <v>0</v>
      </c>
      <c r="I14286" s="2">
        <v>0</v>
      </c>
      <c r="J14286" s="1">
        <v>45924.685497685183</v>
      </c>
    </row>
    <row r="14287" spans="1:10" x14ac:dyDescent="0.2">
      <c r="A14287" s="4" t="s">
        <v>1</v>
      </c>
      <c r="B14287" s="3" t="str">
        <f>HYPERLINK("https://otsuka-europe-crm.veevavault.com/ui/#object/approved_document__v/V5OZ025E82TN2QL", "LUP - Invitación simposio SEN 2025 - nefro")</f>
        <v>LUP - Invitación simposio SEN 2025 - nefro</v>
      </c>
      <c r="C14287" s="3" t="str">
        <f>HYPERLINK("https://otsuka-europe-crm.veevavault.com/ui/#object/sent_email__v/VBLZ025E82GZ532", "SE-000280530")</f>
        <v>SE-000280530</v>
      </c>
      <c r="D14287" s="1" t="s">
        <v>0</v>
      </c>
      <c r="E14287" s="2">
        <v>0</v>
      </c>
      <c r="F14287" s="2">
        <v>0</v>
      </c>
      <c r="G14287" s="2">
        <v>0</v>
      </c>
      <c r="H14287" s="1" t="s">
        <v>0</v>
      </c>
      <c r="I14287" s="2">
        <v>0</v>
      </c>
      <c r="J14287" s="1">
        <v>45924.68550925926</v>
      </c>
    </row>
    <row r="14288" spans="1:10" x14ac:dyDescent="0.2">
      <c r="A14288" s="4" t="s">
        <v>1</v>
      </c>
      <c r="B14288" s="3" t="str">
        <f>HYPERLINK("https://otsuka-europe-crm.veevavault.com/ui/#object/approved_document__v/V5OZ025E82TN2QL", "LUP - Invitación simposio SEN 2025 - nefro")</f>
        <v>LUP - Invitación simposio SEN 2025 - nefro</v>
      </c>
      <c r="C14288" s="3" t="str">
        <f>HYPERLINK("https://otsuka-europe-crm.veevavault.com/ui/#object/sent_email__v/VBLZ025E82GZ533", "SE-000280531")</f>
        <v>SE-000280531</v>
      </c>
      <c r="D14288" s="1">
        <v>45924.697685185187</v>
      </c>
      <c r="E14288" s="2">
        <v>1</v>
      </c>
      <c r="F14288" s="2">
        <v>2</v>
      </c>
      <c r="G14288" s="2">
        <v>0</v>
      </c>
      <c r="H14288" s="1" t="s">
        <v>0</v>
      </c>
      <c r="I14288" s="2">
        <v>0</v>
      </c>
      <c r="J14288" s="1">
        <v>45924.68550925926</v>
      </c>
    </row>
    <row r="14289" spans="1:10" x14ac:dyDescent="0.2">
      <c r="A14289" s="4" t="s">
        <v>1</v>
      </c>
      <c r="B14289" s="3" t="str">
        <f>HYPERLINK("https://otsuka-europe-crm.veevavault.com/ui/#object/approved_document__v/V5OZ025E82TN2QL", "LUP - Invitación simposio SEN 2025 - nefro")</f>
        <v>LUP - Invitación simposio SEN 2025 - nefro</v>
      </c>
      <c r="C14289" s="3" t="str">
        <f>HYPERLINK("https://otsuka-europe-crm.veevavault.com/ui/#object/sent_email__v/VBLZ025E82GZ534", "SE-000280532")</f>
        <v>SE-000280532</v>
      </c>
      <c r="D14289" s="1" t="s">
        <v>0</v>
      </c>
      <c r="E14289" s="2">
        <v>0</v>
      </c>
      <c r="F14289" s="2">
        <v>0</v>
      </c>
      <c r="G14289" s="2">
        <v>0</v>
      </c>
      <c r="H14289" s="1" t="s">
        <v>0</v>
      </c>
      <c r="I14289" s="2">
        <v>0</v>
      </c>
      <c r="J14289" s="1">
        <v>45924.68550925926</v>
      </c>
    </row>
    <row r="14290" spans="1:10" x14ac:dyDescent="0.2">
      <c r="A14290" s="4" t="s">
        <v>1</v>
      </c>
      <c r="B14290" s="3" t="str">
        <f>HYPERLINK("https://otsuka-europe-crm.veevavault.com/ui/#object/approved_document__v/V5OZ025E82TN2QL", "LUP - Invitación simposio SEN 2025 - nefro")</f>
        <v>LUP - Invitación simposio SEN 2025 - nefro</v>
      </c>
      <c r="C14290" s="3" t="str">
        <f>HYPERLINK("https://otsuka-europe-crm.veevavault.com/ui/#object/sent_email__v/VBLZ025E82GZ535", "SE-000280533")</f>
        <v>SE-000280533</v>
      </c>
      <c r="D14290" s="1">
        <v>45929.486354166664</v>
      </c>
      <c r="E14290" s="2">
        <v>1</v>
      </c>
      <c r="F14290" s="2">
        <v>1</v>
      </c>
      <c r="G14290" s="2">
        <v>0</v>
      </c>
      <c r="H14290" s="1" t="s">
        <v>0</v>
      </c>
      <c r="I14290" s="2">
        <v>0</v>
      </c>
      <c r="J14290" s="1">
        <v>45924.685520833336</v>
      </c>
    </row>
    <row r="14291" spans="1:10" x14ac:dyDescent="0.2">
      <c r="A14291" s="4" t="s">
        <v>1</v>
      </c>
      <c r="B14291" s="3" t="str">
        <f>HYPERLINK("https://otsuka-europe-crm.veevavault.com/ui/#object/approved_document__v/V5OZ025E82TN2QL", "LUP - Invitación simposio SEN 2025 - nefro")</f>
        <v>LUP - Invitación simposio SEN 2025 - nefro</v>
      </c>
      <c r="C14291" s="3" t="str">
        <f>HYPERLINK("https://otsuka-europe-crm.veevavault.com/ui/#object/sent_email__v/VBLZ025E82GZ536", "SE-000280534")</f>
        <v>SE-000280534</v>
      </c>
      <c r="D14291" s="1" t="s">
        <v>0</v>
      </c>
      <c r="E14291" s="2">
        <v>0</v>
      </c>
      <c r="F14291" s="2">
        <v>0</v>
      </c>
      <c r="G14291" s="2">
        <v>0</v>
      </c>
      <c r="H14291" s="1" t="s">
        <v>0</v>
      </c>
      <c r="I14291" s="2">
        <v>0</v>
      </c>
      <c r="J14291" s="1">
        <v>45924.685532407406</v>
      </c>
    </row>
    <row r="14292" spans="1:10" x14ac:dyDescent="0.2">
      <c r="A14292" s="4" t="s">
        <v>1</v>
      </c>
      <c r="B14292" s="3" t="str">
        <f>HYPERLINK("https://otsuka-europe-crm.veevavault.com/ui/#object/approved_document__v/V5OZ025E82TN2QL", "LUP - Invitación simposio SEN 2025 - nefro")</f>
        <v>LUP - Invitación simposio SEN 2025 - nefro</v>
      </c>
      <c r="C14292" s="3" t="str">
        <f>HYPERLINK("https://otsuka-europe-crm.veevavault.com/ui/#object/sent_email__v/VBLZ025E82GZ537", "SE-000280535")</f>
        <v>SE-000280535</v>
      </c>
      <c r="D14292" s="1">
        <v>45925.093946759262</v>
      </c>
      <c r="E14292" s="2">
        <v>1</v>
      </c>
      <c r="F14292" s="2">
        <v>1</v>
      </c>
      <c r="G14292" s="2">
        <v>0</v>
      </c>
      <c r="H14292" s="1" t="s">
        <v>0</v>
      </c>
      <c r="I14292" s="2">
        <v>0</v>
      </c>
      <c r="J14292" s="1">
        <v>45924.685543981483</v>
      </c>
    </row>
    <row r="14293" spans="1:10" x14ac:dyDescent="0.2">
      <c r="A14293" s="4" t="s">
        <v>1</v>
      </c>
      <c r="B14293" s="3" t="str">
        <f>HYPERLINK("https://otsuka-europe-crm.veevavault.com/ui/#object/approved_document__v/V5OZ025E82TN2QL", "LUP - Invitación simposio SEN 2025 - nefro")</f>
        <v>LUP - Invitación simposio SEN 2025 - nefro</v>
      </c>
      <c r="C14293" s="3" t="str">
        <f>HYPERLINK("https://otsuka-europe-crm.veevavault.com/ui/#object/sent_email__v/VBLZ025E82GZ538", "SE-000280536")</f>
        <v>SE-000280536</v>
      </c>
      <c r="D14293" s="1">
        <v>45933.011111111111</v>
      </c>
      <c r="E14293" s="2">
        <v>1</v>
      </c>
      <c r="F14293" s="2">
        <v>3</v>
      </c>
      <c r="G14293" s="2">
        <v>0</v>
      </c>
      <c r="H14293" s="1" t="s">
        <v>0</v>
      </c>
      <c r="I14293" s="2">
        <v>0</v>
      </c>
      <c r="J14293" s="1">
        <v>45924.685555555552</v>
      </c>
    </row>
    <row r="14294" spans="1:10" x14ac:dyDescent="0.2">
      <c r="A14294" s="4" t="s">
        <v>1</v>
      </c>
      <c r="B14294" s="3" t="str">
        <f>HYPERLINK("https://otsuka-europe-crm.veevavault.com/ui/#object/approved_document__v/V5OZ025E82TN2QL", "LUP - Invitación simposio SEN 2025 - nefro")</f>
        <v>LUP - Invitación simposio SEN 2025 - nefro</v>
      </c>
      <c r="C14294" s="3" t="str">
        <f>HYPERLINK("https://otsuka-europe-crm.veevavault.com/ui/#object/sent_email__v/VBLZ025E82GZ539", "SE-000280537")</f>
        <v>SE-000280537</v>
      </c>
      <c r="D14294" s="1" t="s">
        <v>0</v>
      </c>
      <c r="E14294" s="2">
        <v>0</v>
      </c>
      <c r="F14294" s="2">
        <v>0</v>
      </c>
      <c r="G14294" s="2">
        <v>0</v>
      </c>
      <c r="H14294" s="1" t="s">
        <v>0</v>
      </c>
      <c r="I14294" s="2">
        <v>0</v>
      </c>
      <c r="J14294" s="1">
        <v>45924.685590277775</v>
      </c>
    </row>
    <row r="14295" spans="1:10" x14ac:dyDescent="0.2">
      <c r="A14295" s="4" t="s">
        <v>1</v>
      </c>
      <c r="B14295" s="3" t="str">
        <f>HYPERLINK("https://otsuka-europe-crm.veevavault.com/ui/#object/approved_document__v/V5OZ025E82TN2QL", "LUP - Invitación simposio SEN 2025 - nefro")</f>
        <v>LUP - Invitación simposio SEN 2025 - nefro</v>
      </c>
      <c r="C14295" s="3" t="str">
        <f>HYPERLINK("https://otsuka-europe-crm.veevavault.com/ui/#object/sent_email__v/VBLZ025E82GZ53A", "SE-000280538")</f>
        <v>SE-000280538</v>
      </c>
      <c r="D14295" s="1" t="s">
        <v>0</v>
      </c>
      <c r="E14295" s="2">
        <v>0</v>
      </c>
      <c r="F14295" s="2">
        <v>0</v>
      </c>
      <c r="G14295" s="2">
        <v>0</v>
      </c>
      <c r="H14295" s="1" t="s">
        <v>0</v>
      </c>
      <c r="I14295" s="2">
        <v>0</v>
      </c>
      <c r="J14295" s="1">
        <v>45924.685601851852</v>
      </c>
    </row>
    <row r="14296" spans="1:10" x14ac:dyDescent="0.2">
      <c r="A14296" s="4" t="s">
        <v>1</v>
      </c>
      <c r="B14296" s="3" t="str">
        <f>HYPERLINK("https://otsuka-europe-crm.veevavault.com/ui/#object/approved_document__v/V5OZ025E82TN2QL", "LUP - Invitación simposio SEN 2025 - nefro")</f>
        <v>LUP - Invitación simposio SEN 2025 - nefro</v>
      </c>
      <c r="C14296" s="3" t="str">
        <f>HYPERLINK("https://otsuka-europe-crm.veevavault.com/ui/#object/sent_email__v/VBLZ025E82GZ53B", "SE-000280539")</f>
        <v>SE-000280539</v>
      </c>
      <c r="D14296" s="1" t="s">
        <v>0</v>
      </c>
      <c r="E14296" s="2">
        <v>0</v>
      </c>
      <c r="F14296" s="2">
        <v>0</v>
      </c>
      <c r="G14296" s="2">
        <v>0</v>
      </c>
      <c r="H14296" s="1" t="s">
        <v>0</v>
      </c>
      <c r="I14296" s="2">
        <v>0</v>
      </c>
      <c r="J14296" s="1">
        <v>45924.685590277775</v>
      </c>
    </row>
    <row r="14297" spans="1:10" x14ac:dyDescent="0.2">
      <c r="A14297" s="4" t="s">
        <v>1</v>
      </c>
      <c r="B14297" s="3" t="str">
        <f>HYPERLINK("https://otsuka-europe-crm.veevavault.com/ui/#object/approved_document__v/V5OZ025E82TN2QL", "LUP - Invitación simposio SEN 2025 - nefro")</f>
        <v>LUP - Invitación simposio SEN 2025 - nefro</v>
      </c>
      <c r="C14297" s="3" t="str">
        <f>HYPERLINK("https://otsuka-europe-crm.veevavault.com/ui/#object/sent_email__v/VBLZ025E82GZ53C", "SE-000280540")</f>
        <v>SE-000280540</v>
      </c>
      <c r="D14297" s="1">
        <v>45924.719814814816</v>
      </c>
      <c r="E14297" s="2">
        <v>1</v>
      </c>
      <c r="F14297" s="2">
        <v>1</v>
      </c>
      <c r="G14297" s="2">
        <v>0</v>
      </c>
      <c r="H14297" s="1" t="s">
        <v>0</v>
      </c>
      <c r="I14297" s="2">
        <v>0</v>
      </c>
      <c r="J14297" s="1">
        <v>45924.685601851852</v>
      </c>
    </row>
    <row r="14298" spans="1:10" x14ac:dyDescent="0.2">
      <c r="A14298" s="4" t="s">
        <v>1</v>
      </c>
      <c r="B14298" s="3" t="str">
        <f>HYPERLINK("https://otsuka-europe-crm.veevavault.com/ui/#object/approved_document__v/V5OZ025E82TN2QL", "LUP - Invitación simposio SEN 2025 - nefro")</f>
        <v>LUP - Invitación simposio SEN 2025 - nefro</v>
      </c>
      <c r="C14298" s="3" t="str">
        <f>HYPERLINK("https://otsuka-europe-crm.veevavault.com/ui/#object/sent_email__v/VBLZ025E82GZ53D", "SE-000280541")</f>
        <v>SE-000280541</v>
      </c>
      <c r="D14298" s="1" t="s">
        <v>0</v>
      </c>
      <c r="E14298" s="2">
        <v>0</v>
      </c>
      <c r="F14298" s="2">
        <v>0</v>
      </c>
      <c r="G14298" s="2">
        <v>0</v>
      </c>
      <c r="H14298" s="1" t="s">
        <v>0</v>
      </c>
      <c r="I14298" s="2">
        <v>0</v>
      </c>
      <c r="J14298" s="1">
        <v>45924.685613425929</v>
      </c>
    </row>
    <row r="14299" spans="1:10" x14ac:dyDescent="0.2">
      <c r="A14299" s="4" t="s">
        <v>1</v>
      </c>
      <c r="B14299" s="3" t="str">
        <f>HYPERLINK("https://otsuka-europe-crm.veevavault.com/ui/#object/approved_document__v/V5OZ025E82TN2QL", "LUP - Invitación simposio SEN 2025 - nefro")</f>
        <v>LUP - Invitación simposio SEN 2025 - nefro</v>
      </c>
      <c r="C14299" s="3" t="str">
        <f>HYPERLINK("https://otsuka-europe-crm.veevavault.com/ui/#object/sent_email__v/VBLZ025E82GZ53E", "SE-000280542")</f>
        <v>SE-000280542</v>
      </c>
      <c r="D14299" s="1">
        <v>45925.989756944444</v>
      </c>
      <c r="E14299" s="2">
        <v>1</v>
      </c>
      <c r="F14299" s="2">
        <v>1</v>
      </c>
      <c r="G14299" s="2">
        <v>0</v>
      </c>
      <c r="H14299" s="1" t="s">
        <v>0</v>
      </c>
      <c r="I14299" s="2">
        <v>0</v>
      </c>
      <c r="J14299" s="1">
        <v>45924.685613425929</v>
      </c>
    </row>
    <row r="14300" spans="1:10" x14ac:dyDescent="0.2">
      <c r="A14300" s="4" t="s">
        <v>1</v>
      </c>
      <c r="B14300" s="3" t="str">
        <f>HYPERLINK("https://otsuka-europe-crm.veevavault.com/ui/#object/approved_document__v/V5OZ025E82TN2QL", "LUP - Invitación simposio SEN 2025 - nefro")</f>
        <v>LUP - Invitación simposio SEN 2025 - nefro</v>
      </c>
      <c r="C14300" s="3" t="str">
        <f>HYPERLINK("https://otsuka-europe-crm.veevavault.com/ui/#object/sent_email__v/VBLZ025E82GZ53F", "SE-000280543")</f>
        <v>SE-000280543</v>
      </c>
      <c r="D14300" s="1" t="s">
        <v>0</v>
      </c>
      <c r="E14300" s="2">
        <v>0</v>
      </c>
      <c r="F14300" s="2">
        <v>0</v>
      </c>
      <c r="G14300" s="2">
        <v>0</v>
      </c>
      <c r="H14300" s="1" t="s">
        <v>0</v>
      </c>
      <c r="I14300" s="2">
        <v>0</v>
      </c>
      <c r="J14300" s="1">
        <v>45924.685624999998</v>
      </c>
    </row>
    <row r="14301" spans="1:10" x14ac:dyDescent="0.2">
      <c r="A14301" s="4" t="s">
        <v>1</v>
      </c>
      <c r="B14301" s="3" t="str">
        <f>HYPERLINK("https://otsuka-europe-crm.veevavault.com/ui/#object/approved_document__v/V5OZ025E82TN2QL", "LUP - Invitación simposio SEN 2025 - nefro")</f>
        <v>LUP - Invitación simposio SEN 2025 - nefro</v>
      </c>
      <c r="C14301" s="3" t="str">
        <f>HYPERLINK("https://otsuka-europe-crm.veevavault.com/ui/#object/sent_email__v/VBLZ025E82GZ53G", "SE-000280544")</f>
        <v>SE-000280544</v>
      </c>
      <c r="D14301" s="1" t="s">
        <v>0</v>
      </c>
      <c r="E14301" s="2">
        <v>0</v>
      </c>
      <c r="F14301" s="2">
        <v>0</v>
      </c>
      <c r="G14301" s="2">
        <v>0</v>
      </c>
      <c r="H14301" s="1" t="s">
        <v>0</v>
      </c>
      <c r="I14301" s="2">
        <v>0</v>
      </c>
      <c r="J14301" s="1">
        <v>45924.685636574075</v>
      </c>
    </row>
    <row r="14302" spans="1:10" x14ac:dyDescent="0.2">
      <c r="A14302" s="4" t="s">
        <v>1</v>
      </c>
      <c r="B14302" s="3" t="str">
        <f>HYPERLINK("https://otsuka-europe-crm.veevavault.com/ui/#object/approved_document__v/V5OZ025E82TN2QL", "LUP - Invitación simposio SEN 2025 - nefro")</f>
        <v>LUP - Invitación simposio SEN 2025 - nefro</v>
      </c>
      <c r="C14302" s="3" t="str">
        <f>HYPERLINK("https://otsuka-europe-crm.veevavault.com/ui/#object/sent_email__v/VBLZ025E82GZ53H", "SE-000280545")</f>
        <v>SE-000280545</v>
      </c>
      <c r="D14302" s="1" t="s">
        <v>0</v>
      </c>
      <c r="E14302" s="2">
        <v>0</v>
      </c>
      <c r="F14302" s="2">
        <v>0</v>
      </c>
      <c r="G14302" s="2">
        <v>0</v>
      </c>
      <c r="H14302" s="1" t="s">
        <v>0</v>
      </c>
      <c r="I14302" s="2">
        <v>0</v>
      </c>
      <c r="J14302" s="1">
        <v>45924.685648148145</v>
      </c>
    </row>
    <row r="14303" spans="1:10" x14ac:dyDescent="0.2">
      <c r="A14303" s="4" t="s">
        <v>1</v>
      </c>
      <c r="B14303" s="3" t="str">
        <f>HYPERLINK("https://otsuka-europe-crm.veevavault.com/ui/#object/approved_document__v/V5OZ025E82TN2QL", "LUP - Invitación simposio SEN 2025 - nefro")</f>
        <v>LUP - Invitación simposio SEN 2025 - nefro</v>
      </c>
      <c r="C14303" s="3" t="str">
        <f>HYPERLINK("https://otsuka-europe-crm.veevavault.com/ui/#object/sent_email__v/VBLZ025E82GZ53I", "SE-000280546")</f>
        <v>SE-000280546</v>
      </c>
      <c r="D14303" s="1">
        <v>45924.742800925924</v>
      </c>
      <c r="E14303" s="2">
        <v>1</v>
      </c>
      <c r="F14303" s="2">
        <v>1</v>
      </c>
      <c r="G14303" s="2">
        <v>1</v>
      </c>
      <c r="H14303" s="1">
        <v>45924.742951388886</v>
      </c>
      <c r="I14303" s="2">
        <v>1</v>
      </c>
      <c r="J14303" s="1">
        <v>45924.685659722221</v>
      </c>
    </row>
    <row r="14304" spans="1:10" x14ac:dyDescent="0.2">
      <c r="A14304" s="4" t="s">
        <v>1</v>
      </c>
      <c r="B14304" s="3" t="str">
        <f>HYPERLINK("https://otsuka-europe-crm.veevavault.com/ui/#object/approved_document__v/V5OZ025E82TN2QL", "LUP - Invitación simposio SEN 2025 - nefro")</f>
        <v>LUP - Invitación simposio SEN 2025 - nefro</v>
      </c>
      <c r="C14304" s="3" t="str">
        <f>HYPERLINK("https://otsuka-europe-crm.veevavault.com/ui/#object/sent_email__v/VBLZ025E82GZ53J", "SE-000280547")</f>
        <v>SE-000280547</v>
      </c>
      <c r="D14304" s="1" t="s">
        <v>0</v>
      </c>
      <c r="E14304" s="2">
        <v>0</v>
      </c>
      <c r="F14304" s="2">
        <v>0</v>
      </c>
      <c r="G14304" s="2">
        <v>0</v>
      </c>
      <c r="H14304" s="1" t="s">
        <v>0</v>
      </c>
      <c r="I14304" s="2">
        <v>0</v>
      </c>
      <c r="J14304" s="1">
        <v>45924.685659722221</v>
      </c>
    </row>
    <row r="14305" spans="1:10" x14ac:dyDescent="0.2">
      <c r="A14305" s="4" t="s">
        <v>1</v>
      </c>
      <c r="B14305" s="3" t="str">
        <f>HYPERLINK("https://otsuka-europe-crm.veevavault.com/ui/#object/approved_document__v/V5OZ025E82TN2QL", "LUP - Invitación simposio SEN 2025 - nefro")</f>
        <v>LUP - Invitación simposio SEN 2025 - nefro</v>
      </c>
      <c r="C14305" s="3" t="str">
        <f>HYPERLINK("https://otsuka-europe-crm.veevavault.com/ui/#object/sent_email__v/VBLZ025E82GZ53K", "SE-000280548")</f>
        <v>SE-000280548</v>
      </c>
      <c r="D14305" s="1">
        <v>45936.802002314813</v>
      </c>
      <c r="E14305" s="2">
        <v>1</v>
      </c>
      <c r="F14305" s="2">
        <v>4</v>
      </c>
      <c r="G14305" s="2">
        <v>0</v>
      </c>
      <c r="H14305" s="1" t="s">
        <v>0</v>
      </c>
      <c r="I14305" s="2">
        <v>0</v>
      </c>
      <c r="J14305" s="1">
        <v>45924.685671296298</v>
      </c>
    </row>
    <row r="14306" spans="1:10" x14ac:dyDescent="0.2">
      <c r="A14306" s="4" t="s">
        <v>1</v>
      </c>
      <c r="B14306" s="3" t="str">
        <f>HYPERLINK("https://otsuka-europe-crm.veevavault.com/ui/#object/approved_document__v/V5OZ025E82TN2QL", "LUP - Invitación simposio SEN 2025 - nefro")</f>
        <v>LUP - Invitación simposio SEN 2025 - nefro</v>
      </c>
      <c r="C14306" s="3" t="str">
        <f>HYPERLINK("https://otsuka-europe-crm.veevavault.com/ui/#object/sent_email__v/VBLZ025E82GZ53L", "SE-000280549")</f>
        <v>SE-000280549</v>
      </c>
      <c r="D14306" s="1" t="s">
        <v>0</v>
      </c>
      <c r="E14306" s="2">
        <v>0</v>
      </c>
      <c r="F14306" s="2">
        <v>0</v>
      </c>
      <c r="G14306" s="2">
        <v>0</v>
      </c>
      <c r="H14306" s="1" t="s">
        <v>0</v>
      </c>
      <c r="I14306" s="2">
        <v>0</v>
      </c>
      <c r="J14306" s="1">
        <v>45924.685682870368</v>
      </c>
    </row>
    <row r="14307" spans="1:10" x14ac:dyDescent="0.2">
      <c r="A14307" s="4" t="s">
        <v>1</v>
      </c>
      <c r="B14307" s="3" t="str">
        <f>HYPERLINK("https://otsuka-europe-crm.veevavault.com/ui/#object/approved_document__v/V5OZ025E82TN2QL", "LUP - Invitación simposio SEN 2025 - nefro")</f>
        <v>LUP - Invitación simposio SEN 2025 - nefro</v>
      </c>
      <c r="C14307" s="3" t="str">
        <f>HYPERLINK("https://otsuka-europe-crm.veevavault.com/ui/#object/sent_email__v/VBLZ025E82GZ53M", "SE-000280550")</f>
        <v>SE-000280550</v>
      </c>
      <c r="D14307" s="1" t="s">
        <v>0</v>
      </c>
      <c r="E14307" s="2">
        <v>0</v>
      </c>
      <c r="F14307" s="2">
        <v>0</v>
      </c>
      <c r="G14307" s="2">
        <v>0</v>
      </c>
      <c r="H14307" s="1" t="s">
        <v>0</v>
      </c>
      <c r="I14307" s="2">
        <v>0</v>
      </c>
      <c r="J14307" s="1">
        <v>45924.685694444444</v>
      </c>
    </row>
    <row r="14308" spans="1:10" x14ac:dyDescent="0.2">
      <c r="A14308" s="4" t="s">
        <v>1</v>
      </c>
      <c r="B14308" s="3" t="str">
        <f>HYPERLINK("https://otsuka-europe-crm.veevavault.com/ui/#object/approved_document__v/V5OZ025E82TN2QL", "LUP - Invitación simposio SEN 2025 - nefro")</f>
        <v>LUP - Invitación simposio SEN 2025 - nefro</v>
      </c>
      <c r="C14308" s="3" t="str">
        <f>HYPERLINK("https://otsuka-europe-crm.veevavault.com/ui/#object/sent_email__v/VBLZ025E82GZ53N", "SE-000280551")</f>
        <v>SE-000280551</v>
      </c>
      <c r="D14308" s="1" t="s">
        <v>0</v>
      </c>
      <c r="E14308" s="2">
        <v>0</v>
      </c>
      <c r="F14308" s="2">
        <v>0</v>
      </c>
      <c r="G14308" s="2">
        <v>0</v>
      </c>
      <c r="H14308" s="1" t="s">
        <v>0</v>
      </c>
      <c r="I14308" s="2">
        <v>0</v>
      </c>
      <c r="J14308" s="1">
        <v>45924.685706018521</v>
      </c>
    </row>
    <row r="14309" spans="1:10" x14ac:dyDescent="0.2">
      <c r="A14309" s="4" t="s">
        <v>1</v>
      </c>
      <c r="B14309" s="3" t="str">
        <f>HYPERLINK("https://otsuka-europe-crm.veevavault.com/ui/#object/approved_document__v/V5OZ025E82TN2QL", "LUP - Invitación simposio SEN 2025 - nefro")</f>
        <v>LUP - Invitación simposio SEN 2025 - nefro</v>
      </c>
      <c r="C14309" s="3" t="str">
        <f>HYPERLINK("https://otsuka-europe-crm.veevavault.com/ui/#object/sent_email__v/VBLZ025E82GZ53O", "SE-000280552")</f>
        <v>SE-000280552</v>
      </c>
      <c r="D14309" s="1">
        <v>45925.240219907406</v>
      </c>
      <c r="E14309" s="2">
        <v>1</v>
      </c>
      <c r="F14309" s="2">
        <v>2</v>
      </c>
      <c r="G14309" s="2">
        <v>1</v>
      </c>
      <c r="H14309" s="1">
        <v>45924.873124999998</v>
      </c>
      <c r="I14309" s="2">
        <v>2</v>
      </c>
      <c r="J14309" s="1">
        <v>45924.685706018521</v>
      </c>
    </row>
    <row r="14310" spans="1:10" x14ac:dyDescent="0.2">
      <c r="A14310" s="4" t="s">
        <v>1</v>
      </c>
      <c r="B14310" s="3" t="str">
        <f>HYPERLINK("https://otsuka-europe-crm.veevavault.com/ui/#object/approved_document__v/V5OZ025E82TN2QL", "LUP - Invitación simposio SEN 2025 - nefro")</f>
        <v>LUP - Invitación simposio SEN 2025 - nefro</v>
      </c>
      <c r="C14310" s="3" t="str">
        <f>HYPERLINK("https://otsuka-europe-crm.veevavault.com/ui/#object/sent_email__v/VBLZ025E82GZ53P", "SE-000280553")</f>
        <v>SE-000280553</v>
      </c>
      <c r="D14310" s="1">
        <v>45924.694618055553</v>
      </c>
      <c r="E14310" s="2">
        <v>1</v>
      </c>
      <c r="F14310" s="2">
        <v>1</v>
      </c>
      <c r="G14310" s="2">
        <v>0</v>
      </c>
      <c r="H14310" s="1" t="s">
        <v>0</v>
      </c>
      <c r="I14310" s="2">
        <v>0</v>
      </c>
      <c r="J14310" s="1">
        <v>45924.685717592591</v>
      </c>
    </row>
    <row r="14311" spans="1:10" x14ac:dyDescent="0.2">
      <c r="A14311" s="4" t="s">
        <v>1</v>
      </c>
      <c r="B14311" s="3" t="str">
        <f>HYPERLINK("https://otsuka-europe-crm.veevavault.com/ui/#object/approved_document__v/V5OZ025E82TN2QL", "LUP - Invitación simposio SEN 2025 - nefro")</f>
        <v>LUP - Invitación simposio SEN 2025 - nefro</v>
      </c>
      <c r="C14311" s="3" t="str">
        <f>HYPERLINK("https://otsuka-europe-crm.veevavault.com/ui/#object/sent_email__v/VBLZ025E82GZ53Q", "SE-000280554")</f>
        <v>SE-000280554</v>
      </c>
      <c r="D14311" s="1" t="s">
        <v>0</v>
      </c>
      <c r="E14311" s="2">
        <v>0</v>
      </c>
      <c r="F14311" s="2">
        <v>0</v>
      </c>
      <c r="G14311" s="2">
        <v>0</v>
      </c>
      <c r="H14311" s="1" t="s">
        <v>0</v>
      </c>
      <c r="I14311" s="2">
        <v>0</v>
      </c>
      <c r="J14311" s="1">
        <v>45924.685729166667</v>
      </c>
    </row>
    <row r="14312" spans="1:10" x14ac:dyDescent="0.2">
      <c r="A14312" s="4" t="s">
        <v>1</v>
      </c>
      <c r="B14312" s="3" t="str">
        <f>HYPERLINK("https://otsuka-europe-crm.veevavault.com/ui/#object/approved_document__v/V5OZ025E82TN2QL", "LUP - Invitación simposio SEN 2025 - nefro")</f>
        <v>LUP - Invitación simposio SEN 2025 - nefro</v>
      </c>
      <c r="C14312" s="3" t="str">
        <f>HYPERLINK("https://otsuka-europe-crm.veevavault.com/ui/#object/sent_email__v/VBLZ025E82GZ53R", "SE-000280555")</f>
        <v>SE-000280555</v>
      </c>
      <c r="D14312" s="1">
        <v>45925.690335648149</v>
      </c>
      <c r="E14312" s="2">
        <v>1</v>
      </c>
      <c r="F14312" s="2">
        <v>1</v>
      </c>
      <c r="G14312" s="2">
        <v>1</v>
      </c>
      <c r="H14312" s="1">
        <v>45930.738009259258</v>
      </c>
      <c r="I14312" s="2">
        <v>2</v>
      </c>
      <c r="J14312" s="1">
        <v>45924.685740740744</v>
      </c>
    </row>
    <row r="14313" spans="1:10" x14ac:dyDescent="0.2">
      <c r="A14313" s="4" t="s">
        <v>1</v>
      </c>
      <c r="B14313" s="3" t="str">
        <f>HYPERLINK("https://otsuka-europe-crm.veevavault.com/ui/#object/approved_document__v/V5OZ025E82TN2QL", "LUP - Invitación simposio SEN 2025 - nefro")</f>
        <v>LUP - Invitación simposio SEN 2025 - nefro</v>
      </c>
      <c r="C14313" s="3" t="str">
        <f>HYPERLINK("https://otsuka-europe-crm.veevavault.com/ui/#object/sent_email__v/VBLZ025E82GZ53S", "SE-000280556")</f>
        <v>SE-000280556</v>
      </c>
      <c r="D14313" s="1" t="s">
        <v>0</v>
      </c>
      <c r="E14313" s="2">
        <v>0</v>
      </c>
      <c r="F14313" s="2">
        <v>0</v>
      </c>
      <c r="G14313" s="2">
        <v>0</v>
      </c>
      <c r="H14313" s="1" t="s">
        <v>0</v>
      </c>
      <c r="I14313" s="2">
        <v>0</v>
      </c>
      <c r="J14313" s="1">
        <v>45924.685752314814</v>
      </c>
    </row>
    <row r="14314" spans="1:10" x14ac:dyDescent="0.2">
      <c r="A14314" s="4" t="s">
        <v>1</v>
      </c>
      <c r="B14314" s="3" t="str">
        <f>HYPERLINK("https://otsuka-europe-crm.veevavault.com/ui/#object/approved_document__v/V5OZ025E82TN2QL", "LUP - Invitación simposio SEN 2025 - nefro")</f>
        <v>LUP - Invitación simposio SEN 2025 - nefro</v>
      </c>
      <c r="C14314" s="3" t="str">
        <f>HYPERLINK("https://otsuka-europe-crm.veevavault.com/ui/#object/sent_email__v/VBLZ025E82GZ53T", "SE-000280557")</f>
        <v>SE-000280557</v>
      </c>
      <c r="D14314" s="1" t="s">
        <v>0</v>
      </c>
      <c r="E14314" s="2">
        <v>0</v>
      </c>
      <c r="F14314" s="2">
        <v>0</v>
      </c>
      <c r="G14314" s="2">
        <v>0</v>
      </c>
      <c r="H14314" s="1" t="s">
        <v>0</v>
      </c>
      <c r="I14314" s="2">
        <v>0</v>
      </c>
      <c r="J14314" s="1">
        <v>45924.685763888891</v>
      </c>
    </row>
    <row r="14315" spans="1:10" x14ac:dyDescent="0.2">
      <c r="A14315" s="4" t="s">
        <v>1</v>
      </c>
      <c r="B14315" s="3" t="str">
        <f>HYPERLINK("https://otsuka-europe-crm.veevavault.com/ui/#object/approved_document__v/V5OZ025E82TN2QL", "LUP - Invitación simposio SEN 2025 - nefro")</f>
        <v>LUP - Invitación simposio SEN 2025 - nefro</v>
      </c>
      <c r="C14315" s="3" t="str">
        <f>HYPERLINK("https://otsuka-europe-crm.veevavault.com/ui/#object/sent_email__v/VBLZ025E82GZ53U", "SE-000280558")</f>
        <v>SE-000280558</v>
      </c>
      <c r="D14315" s="1" t="s">
        <v>0</v>
      </c>
      <c r="E14315" s="2">
        <v>0</v>
      </c>
      <c r="F14315" s="2">
        <v>0</v>
      </c>
      <c r="G14315" s="2">
        <v>0</v>
      </c>
      <c r="H14315" s="1" t="s">
        <v>0</v>
      </c>
      <c r="I14315" s="2">
        <v>0</v>
      </c>
      <c r="J14315" s="1">
        <v>45924.685763888891</v>
      </c>
    </row>
    <row r="14316" spans="1:10" x14ac:dyDescent="0.2">
      <c r="A14316" s="4" t="s">
        <v>1</v>
      </c>
      <c r="B14316" s="3" t="str">
        <f>HYPERLINK("https://otsuka-europe-crm.veevavault.com/ui/#object/approved_document__v/V5OZ025E82TN2QL", "LUP - Invitación simposio SEN 2025 - nefro")</f>
        <v>LUP - Invitación simposio SEN 2025 - nefro</v>
      </c>
      <c r="C14316" s="3" t="str">
        <f>HYPERLINK("https://otsuka-europe-crm.veevavault.com/ui/#object/sent_email__v/VBLZ025E82GZ53V", "SE-000280559")</f>
        <v>SE-000280559</v>
      </c>
      <c r="D14316" s="1" t="s">
        <v>0</v>
      </c>
      <c r="E14316" s="2">
        <v>0</v>
      </c>
      <c r="F14316" s="2">
        <v>0</v>
      </c>
      <c r="G14316" s="2">
        <v>0</v>
      </c>
      <c r="H14316" s="1" t="s">
        <v>0</v>
      </c>
      <c r="I14316" s="2">
        <v>0</v>
      </c>
      <c r="J14316" s="1">
        <v>45924.68577546296</v>
      </c>
    </row>
    <row r="14317" spans="1:10" x14ac:dyDescent="0.2">
      <c r="A14317" s="4" t="s">
        <v>1</v>
      </c>
      <c r="B14317" s="3" t="str">
        <f>HYPERLINK("https://otsuka-europe-crm.veevavault.com/ui/#object/approved_document__v/V5OZ025E82TN2QL", "LUP - Invitación simposio SEN 2025 - nefro")</f>
        <v>LUP - Invitación simposio SEN 2025 - nefro</v>
      </c>
      <c r="C14317" s="3" t="str">
        <f>HYPERLINK("https://otsuka-europe-crm.veevavault.com/ui/#object/sent_email__v/VBLZ025E82GZ53W", "SE-000280560")</f>
        <v>SE-000280560</v>
      </c>
      <c r="D14317" s="1">
        <v>45938.729143518518</v>
      </c>
      <c r="E14317" s="2">
        <v>1</v>
      </c>
      <c r="F14317" s="2">
        <v>2</v>
      </c>
      <c r="G14317" s="2">
        <v>0</v>
      </c>
      <c r="H14317" s="1" t="s">
        <v>0</v>
      </c>
      <c r="I14317" s="2">
        <v>0</v>
      </c>
      <c r="J14317" s="1">
        <v>45924.685787037037</v>
      </c>
    </row>
    <row r="14318" spans="1:10" x14ac:dyDescent="0.2">
      <c r="A14318" s="4" t="s">
        <v>1</v>
      </c>
      <c r="B14318" s="3" t="str">
        <f>HYPERLINK("https://otsuka-europe-crm.veevavault.com/ui/#object/approved_document__v/V5OZ025E82TN2QL", "LUP - Invitación simposio SEN 2025 - nefro")</f>
        <v>LUP - Invitación simposio SEN 2025 - nefro</v>
      </c>
      <c r="C14318" s="3" t="str">
        <f>HYPERLINK("https://otsuka-europe-crm.veevavault.com/ui/#object/sent_email__v/VBLZ025E82GZ53X", "SE-000280561")</f>
        <v>SE-000280561</v>
      </c>
      <c r="D14318" s="1">
        <v>45942.938472222224</v>
      </c>
      <c r="E14318" s="2">
        <v>1</v>
      </c>
      <c r="F14318" s="2">
        <v>6</v>
      </c>
      <c r="G14318" s="2">
        <v>0</v>
      </c>
      <c r="H14318" s="1" t="s">
        <v>0</v>
      </c>
      <c r="I14318" s="2">
        <v>0</v>
      </c>
      <c r="J14318" s="1">
        <v>45924.685787037037</v>
      </c>
    </row>
    <row r="14319" spans="1:10" x14ac:dyDescent="0.2">
      <c r="A14319" s="4" t="s">
        <v>1</v>
      </c>
      <c r="B14319" s="3" t="str">
        <f>HYPERLINK("https://otsuka-europe-crm.veevavault.com/ui/#object/approved_document__v/V5OZ025E82TN2QL", "LUP - Invitación simposio SEN 2025 - nefro")</f>
        <v>LUP - Invitación simposio SEN 2025 - nefro</v>
      </c>
      <c r="C14319" s="3" t="str">
        <f>HYPERLINK("https://otsuka-europe-crm.veevavault.com/ui/#object/sent_email__v/VBLZ025E82GZ53Y", "SE-000280562")</f>
        <v>SE-000280562</v>
      </c>
      <c r="D14319" s="1">
        <v>45925.135983796295</v>
      </c>
      <c r="E14319" s="2">
        <v>1</v>
      </c>
      <c r="F14319" s="2">
        <v>1</v>
      </c>
      <c r="G14319" s="2">
        <v>0</v>
      </c>
      <c r="H14319" s="1" t="s">
        <v>0</v>
      </c>
      <c r="I14319" s="2">
        <v>0</v>
      </c>
      <c r="J14319" s="1">
        <v>45924.685798611114</v>
      </c>
    </row>
    <row r="14320" spans="1:10" x14ac:dyDescent="0.2">
      <c r="A14320" s="4" t="s">
        <v>1</v>
      </c>
      <c r="B14320" s="3" t="str">
        <f>HYPERLINK("https://otsuka-europe-crm.veevavault.com/ui/#object/approved_document__v/V5OZ025E82TN2QL", "LUP - Invitación simposio SEN 2025 - nefro")</f>
        <v>LUP - Invitación simposio SEN 2025 - nefro</v>
      </c>
      <c r="C14320" s="3" t="str">
        <f>HYPERLINK("https://otsuka-europe-crm.veevavault.com/ui/#object/sent_email__v/VBLZ025E82GZ53Z", "SE-000280563")</f>
        <v>SE-000280563</v>
      </c>
      <c r="D14320" s="1" t="s">
        <v>0</v>
      </c>
      <c r="E14320" s="2">
        <v>0</v>
      </c>
      <c r="F14320" s="2">
        <v>0</v>
      </c>
      <c r="G14320" s="2">
        <v>0</v>
      </c>
      <c r="H14320" s="1" t="s">
        <v>0</v>
      </c>
      <c r="I14320" s="2">
        <v>0</v>
      </c>
      <c r="J14320" s="1">
        <v>45924.685810185183</v>
      </c>
    </row>
    <row r="14321" spans="1:10" x14ac:dyDescent="0.2">
      <c r="A14321" s="4" t="s">
        <v>1</v>
      </c>
      <c r="B14321" s="3" t="str">
        <f>HYPERLINK("https://otsuka-europe-crm.veevavault.com/ui/#object/approved_document__v/V5OZ025E82TN2QL", "LUP - Invitación simposio SEN 2025 - nefro")</f>
        <v>LUP - Invitación simposio SEN 2025 - nefro</v>
      </c>
      <c r="C14321" s="3" t="str">
        <f>HYPERLINK("https://otsuka-europe-crm.veevavault.com/ui/#object/sent_email__v/VBLZ025E82GZ540", "SE-000280564")</f>
        <v>SE-000280564</v>
      </c>
      <c r="D14321" s="1">
        <v>45989.401956018519</v>
      </c>
      <c r="E14321" s="2">
        <v>1</v>
      </c>
      <c r="F14321" s="2">
        <v>1</v>
      </c>
      <c r="G14321" s="2">
        <v>1</v>
      </c>
      <c r="H14321" s="1">
        <v>45989.402094907404</v>
      </c>
      <c r="I14321" s="2">
        <v>2</v>
      </c>
      <c r="J14321" s="1">
        <v>45924.68582175926</v>
      </c>
    </row>
    <row r="14322" spans="1:10" x14ac:dyDescent="0.2">
      <c r="A14322" s="4" t="s">
        <v>1</v>
      </c>
      <c r="B14322" s="3" t="str">
        <f>HYPERLINK("https://otsuka-europe-crm.veevavault.com/ui/#object/approved_document__v/V5OZ025E82TN2QL", "LUP - Invitación simposio SEN 2025 - nefro")</f>
        <v>LUP - Invitación simposio SEN 2025 - nefro</v>
      </c>
      <c r="C14322" s="3" t="str">
        <f>HYPERLINK("https://otsuka-europe-crm.veevavault.com/ui/#object/sent_email__v/VBLZ025E82GZ541", "SE-000280565")</f>
        <v>SE-000280565</v>
      </c>
      <c r="D14322" s="1">
        <v>45926.530868055554</v>
      </c>
      <c r="E14322" s="2">
        <v>1</v>
      </c>
      <c r="F14322" s="2">
        <v>1</v>
      </c>
      <c r="G14322" s="2">
        <v>1</v>
      </c>
      <c r="H14322" s="1">
        <v>45926.533634259256</v>
      </c>
      <c r="I14322" s="2">
        <v>4</v>
      </c>
      <c r="J14322" s="1">
        <v>45924.685833333337</v>
      </c>
    </row>
    <row r="14323" spans="1:10" x14ac:dyDescent="0.2">
      <c r="A14323" s="4" t="s">
        <v>1</v>
      </c>
      <c r="B14323" s="3" t="str">
        <f>HYPERLINK("https://otsuka-europe-crm.veevavault.com/ui/#object/approved_document__v/V5OZ025E82TN2QL", "LUP - Invitación simposio SEN 2025 - nefro")</f>
        <v>LUP - Invitación simposio SEN 2025 - nefro</v>
      </c>
      <c r="C14323" s="3" t="str">
        <f>HYPERLINK("https://otsuka-europe-crm.veevavault.com/ui/#object/sent_email__v/VBLZ025E82GZ542", "SE-000280566")</f>
        <v>SE-000280566</v>
      </c>
      <c r="D14323" s="1">
        <v>45924.763310185182</v>
      </c>
      <c r="E14323" s="2">
        <v>1</v>
      </c>
      <c r="F14323" s="2">
        <v>2</v>
      </c>
      <c r="G14323" s="2">
        <v>0</v>
      </c>
      <c r="H14323" s="1" t="s">
        <v>0</v>
      </c>
      <c r="I14323" s="2">
        <v>0</v>
      </c>
      <c r="J14323" s="1">
        <v>45924.685844907406</v>
      </c>
    </row>
    <row r="14324" spans="1:10" x14ac:dyDescent="0.2">
      <c r="A14324" s="4" t="s">
        <v>1</v>
      </c>
      <c r="B14324" s="3" t="str">
        <f>HYPERLINK("https://otsuka-europe-crm.veevavault.com/ui/#object/approved_document__v/V5OZ025E82TN2QL", "LUP - Invitación simposio SEN 2025 - nefro")</f>
        <v>LUP - Invitación simposio SEN 2025 - nefro</v>
      </c>
      <c r="C14324" s="3" t="str">
        <f>HYPERLINK("https://otsuka-europe-crm.veevavault.com/ui/#object/sent_email__v/VBLZ025E82GZ543", "SE-000280567")</f>
        <v>SE-000280567</v>
      </c>
      <c r="D14324" s="1">
        <v>45925.390613425923</v>
      </c>
      <c r="E14324" s="2">
        <v>1</v>
      </c>
      <c r="F14324" s="2">
        <v>1</v>
      </c>
      <c r="G14324" s="2">
        <v>1</v>
      </c>
      <c r="H14324" s="1">
        <v>45925.390613425923</v>
      </c>
      <c r="I14324" s="2">
        <v>1</v>
      </c>
      <c r="J14324" s="1">
        <v>45924.685856481483</v>
      </c>
    </row>
    <row r="14325" spans="1:10" x14ac:dyDescent="0.2">
      <c r="A14325" s="4" t="s">
        <v>1</v>
      </c>
      <c r="B14325" s="3" t="str">
        <f>HYPERLINK("https://otsuka-europe-crm.veevavault.com/ui/#object/approved_document__v/V5OZ025E82TN2QL", "LUP - Invitación simposio SEN 2025 - nefro")</f>
        <v>LUP - Invitación simposio SEN 2025 - nefro</v>
      </c>
      <c r="C14325" s="3" t="str">
        <f>HYPERLINK("https://otsuka-europe-crm.veevavault.com/ui/#object/sent_email__v/VBLZ025E82GZ544", "SE-000280568")</f>
        <v>SE-000280568</v>
      </c>
      <c r="D14325" s="1">
        <v>45925.743993055556</v>
      </c>
      <c r="E14325" s="2">
        <v>1</v>
      </c>
      <c r="F14325" s="2">
        <v>2</v>
      </c>
      <c r="G14325" s="2">
        <v>0</v>
      </c>
      <c r="H14325" s="1" t="s">
        <v>0</v>
      </c>
      <c r="I14325" s="2">
        <v>0</v>
      </c>
      <c r="J14325" s="1">
        <v>45924.685856481483</v>
      </c>
    </row>
    <row r="14326" spans="1:10" x14ac:dyDescent="0.2">
      <c r="A14326" s="4" t="s">
        <v>1</v>
      </c>
      <c r="B14326" s="3" t="str">
        <f>HYPERLINK("https://otsuka-europe-crm.veevavault.com/ui/#object/approved_document__v/V5OZ025E82TN2QL", "LUP - Invitación simposio SEN 2025 - nefro")</f>
        <v>LUP - Invitación simposio SEN 2025 - nefro</v>
      </c>
      <c r="C14326" s="3" t="str">
        <f>HYPERLINK("https://otsuka-europe-crm.veevavault.com/ui/#object/sent_email__v/VBLZ025E82GZ545", "SE-000280569")</f>
        <v>SE-000280569</v>
      </c>
      <c r="D14326" s="1">
        <v>45924.686122685183</v>
      </c>
      <c r="E14326" s="2">
        <v>1</v>
      </c>
      <c r="F14326" s="2">
        <v>2</v>
      </c>
      <c r="G14326" s="2">
        <v>0</v>
      </c>
      <c r="H14326" s="1" t="s">
        <v>0</v>
      </c>
      <c r="I14326" s="2">
        <v>0</v>
      </c>
      <c r="J14326" s="1">
        <v>45924.685868055552</v>
      </c>
    </row>
    <row r="14327" spans="1:10" x14ac:dyDescent="0.2">
      <c r="A14327" s="4" t="s">
        <v>1</v>
      </c>
      <c r="B14327" s="3" t="str">
        <f>HYPERLINK("https://otsuka-europe-crm.veevavault.com/ui/#object/approved_document__v/V5OZ025E82TN2QL", "LUP - Invitación simposio SEN 2025 - nefro")</f>
        <v>LUP - Invitación simposio SEN 2025 - nefro</v>
      </c>
      <c r="C14327" s="3" t="str">
        <f>HYPERLINK("https://otsuka-europe-crm.veevavault.com/ui/#object/sent_email__v/VBLZ025E82GZ546", "SE-000280570")</f>
        <v>SE-000280570</v>
      </c>
      <c r="D14327" s="1">
        <v>45935.893460648149</v>
      </c>
      <c r="E14327" s="2">
        <v>1</v>
      </c>
      <c r="F14327" s="2">
        <v>6</v>
      </c>
      <c r="G14327" s="2">
        <v>0</v>
      </c>
      <c r="H14327" s="1" t="s">
        <v>0</v>
      </c>
      <c r="I14327" s="2">
        <v>0</v>
      </c>
      <c r="J14327" s="1">
        <v>45924.685879629629</v>
      </c>
    </row>
    <row r="14328" spans="1:10" x14ac:dyDescent="0.2">
      <c r="A14328" s="4" t="s">
        <v>1</v>
      </c>
      <c r="B14328" s="3" t="str">
        <f>HYPERLINK("https://otsuka-europe-crm.veevavault.com/ui/#object/approved_document__v/V5OZ025E82TN2QL", "LUP - Invitación simposio SEN 2025 - nefro")</f>
        <v>LUP - Invitación simposio SEN 2025 - nefro</v>
      </c>
      <c r="C14328" s="3" t="str">
        <f>HYPERLINK("https://otsuka-europe-crm.veevavault.com/ui/#object/sent_email__v/VBLZ025E82GZ547", "SE-000280571")</f>
        <v>SE-000280571</v>
      </c>
      <c r="D14328" s="1" t="s">
        <v>0</v>
      </c>
      <c r="E14328" s="2">
        <v>0</v>
      </c>
      <c r="F14328" s="2">
        <v>0</v>
      </c>
      <c r="G14328" s="2">
        <v>0</v>
      </c>
      <c r="H14328" s="1" t="s">
        <v>0</v>
      </c>
      <c r="I14328" s="2">
        <v>0</v>
      </c>
      <c r="J14328" s="1">
        <v>45924.685891203706</v>
      </c>
    </row>
    <row r="14329" spans="1:10" x14ac:dyDescent="0.2">
      <c r="A14329" s="4" t="s">
        <v>1</v>
      </c>
      <c r="B14329" s="3" t="str">
        <f>HYPERLINK("https://otsuka-europe-crm.veevavault.com/ui/#object/approved_document__v/V5OZ025E82TN2QL", "LUP - Invitación simposio SEN 2025 - nefro")</f>
        <v>LUP - Invitación simposio SEN 2025 - nefro</v>
      </c>
      <c r="C14329" s="3" t="str">
        <f>HYPERLINK("https://otsuka-europe-crm.veevavault.com/ui/#object/sent_email__v/VBLZ025E82GZ548", "SE-000280572")</f>
        <v>SE-000280572</v>
      </c>
      <c r="D14329" s="1" t="s">
        <v>0</v>
      </c>
      <c r="E14329" s="2">
        <v>0</v>
      </c>
      <c r="F14329" s="2">
        <v>0</v>
      </c>
      <c r="G14329" s="2">
        <v>0</v>
      </c>
      <c r="H14329" s="1" t="s">
        <v>0</v>
      </c>
      <c r="I14329" s="2">
        <v>0</v>
      </c>
      <c r="J14329" s="1">
        <v>45924.685891203706</v>
      </c>
    </row>
    <row r="14330" spans="1:10" x14ac:dyDescent="0.2">
      <c r="A14330" s="4" t="s">
        <v>1</v>
      </c>
      <c r="B14330" s="3" t="str">
        <f>HYPERLINK("https://otsuka-europe-crm.veevavault.com/ui/#object/approved_document__v/V5OZ025E82TN2QL", "LUP - Invitación simposio SEN 2025 - nefro")</f>
        <v>LUP - Invitación simposio SEN 2025 - nefro</v>
      </c>
      <c r="C14330" s="3" t="str">
        <f>HYPERLINK("https://otsuka-europe-crm.veevavault.com/ui/#object/sent_email__v/VBLZ025E82GZ549", "SE-000280573")</f>
        <v>SE-000280573</v>
      </c>
      <c r="D14330" s="1" t="s">
        <v>0</v>
      </c>
      <c r="E14330" s="2">
        <v>0</v>
      </c>
      <c r="F14330" s="2">
        <v>0</v>
      </c>
      <c r="G14330" s="2">
        <v>0</v>
      </c>
      <c r="H14330" s="1" t="s">
        <v>0</v>
      </c>
      <c r="I14330" s="2">
        <v>0</v>
      </c>
      <c r="J14330" s="1">
        <v>45924.685902777775</v>
      </c>
    </row>
    <row r="14331" spans="1:10" x14ac:dyDescent="0.2">
      <c r="A14331" s="4" t="s">
        <v>1</v>
      </c>
      <c r="B14331" s="3" t="str">
        <f>HYPERLINK("https://otsuka-europe-crm.veevavault.com/ui/#object/approved_document__v/V5OZ025E82TN2QL", "LUP - Invitación simposio SEN 2025 - nefro")</f>
        <v>LUP - Invitación simposio SEN 2025 - nefro</v>
      </c>
      <c r="C14331" s="3" t="str">
        <f>HYPERLINK("https://otsuka-europe-crm.veevavault.com/ui/#object/sent_email__v/VBLZ025E82GZ54A", "SE-000280574")</f>
        <v>SE-000280574</v>
      </c>
      <c r="D14331" s="1" t="s">
        <v>0</v>
      </c>
      <c r="E14331" s="2">
        <v>0</v>
      </c>
      <c r="F14331" s="2">
        <v>0</v>
      </c>
      <c r="G14331" s="2">
        <v>0</v>
      </c>
      <c r="H14331" s="1" t="s">
        <v>0</v>
      </c>
      <c r="I14331" s="2">
        <v>0</v>
      </c>
      <c r="J14331" s="1">
        <v>45924.685914351852</v>
      </c>
    </row>
    <row r="14332" spans="1:10" x14ac:dyDescent="0.2">
      <c r="A14332" s="4" t="s">
        <v>1</v>
      </c>
      <c r="B14332" s="3" t="str">
        <f>HYPERLINK("https://otsuka-europe-crm.veevavault.com/ui/#object/approved_document__v/V5OZ025E82TN2QL", "LUP - Invitación simposio SEN 2025 - nefro")</f>
        <v>LUP - Invitación simposio SEN 2025 - nefro</v>
      </c>
      <c r="C14332" s="3" t="str">
        <f>HYPERLINK("https://otsuka-europe-crm.veevavault.com/ui/#object/sent_email__v/VBLZ025E82GZ54B", "SE-000280575")</f>
        <v>SE-000280575</v>
      </c>
      <c r="D14332" s="1">
        <v>45936.372824074075</v>
      </c>
      <c r="E14332" s="2">
        <v>1</v>
      </c>
      <c r="F14332" s="2">
        <v>3</v>
      </c>
      <c r="G14332" s="2">
        <v>0</v>
      </c>
      <c r="H14332" s="1" t="s">
        <v>0</v>
      </c>
      <c r="I14332" s="2">
        <v>0</v>
      </c>
      <c r="J14332" s="1">
        <v>45924.685925925929</v>
      </c>
    </row>
    <row r="14333" spans="1:10" x14ac:dyDescent="0.2">
      <c r="A14333" s="4" t="s">
        <v>1</v>
      </c>
      <c r="B14333" s="3" t="str">
        <f>HYPERLINK("https://otsuka-europe-crm.veevavault.com/ui/#object/approved_document__v/V5OZ025E82TN2QL", "LUP - Invitación simposio SEN 2025 - nefro")</f>
        <v>LUP - Invitación simposio SEN 2025 - nefro</v>
      </c>
      <c r="C14333" s="3" t="str">
        <f>HYPERLINK("https://otsuka-europe-crm.veevavault.com/ui/#object/sent_email__v/VBLZ025E82GZ54C", "SE-000280576")</f>
        <v>SE-000280576</v>
      </c>
      <c r="D14333" s="1">
        <v>45924.801423611112</v>
      </c>
      <c r="E14333" s="2">
        <v>1</v>
      </c>
      <c r="F14333" s="2">
        <v>1</v>
      </c>
      <c r="G14333" s="2">
        <v>0</v>
      </c>
      <c r="H14333" s="1" t="s">
        <v>0</v>
      </c>
      <c r="I14333" s="2">
        <v>0</v>
      </c>
      <c r="J14333" s="1">
        <v>45924.685937499999</v>
      </c>
    </row>
    <row r="14334" spans="1:10" x14ac:dyDescent="0.2">
      <c r="A14334" s="4" t="s">
        <v>1</v>
      </c>
      <c r="B14334" s="3" t="str">
        <f>HYPERLINK("https://otsuka-europe-crm.veevavault.com/ui/#object/approved_document__v/V5OZ025E82TN2QL", "LUP - Invitación simposio SEN 2025 - nefro")</f>
        <v>LUP - Invitación simposio SEN 2025 - nefro</v>
      </c>
      <c r="C14334" s="3" t="str">
        <f>HYPERLINK("https://otsuka-europe-crm.veevavault.com/ui/#object/sent_email__v/VBLZ025E82GZ54D", "SE-000280577")</f>
        <v>SE-000280577</v>
      </c>
      <c r="D14334" s="1" t="s">
        <v>0</v>
      </c>
      <c r="E14334" s="2">
        <v>0</v>
      </c>
      <c r="F14334" s="2">
        <v>0</v>
      </c>
      <c r="G14334" s="2">
        <v>0</v>
      </c>
      <c r="H14334" s="1" t="s">
        <v>0</v>
      </c>
      <c r="I14334" s="2">
        <v>0</v>
      </c>
      <c r="J14334" s="1">
        <v>45924.685937499999</v>
      </c>
    </row>
    <row r="14335" spans="1:10" x14ac:dyDescent="0.2">
      <c r="A14335" s="4" t="s">
        <v>1</v>
      </c>
      <c r="B14335" s="3" t="str">
        <f>HYPERLINK("https://otsuka-europe-crm.veevavault.com/ui/#object/approved_document__v/V5OZ025E82TN2QL", "LUP - Invitación simposio SEN 2025 - nefro")</f>
        <v>LUP - Invitación simposio SEN 2025 - nefro</v>
      </c>
      <c r="C14335" s="3" t="str">
        <f>HYPERLINK("https://otsuka-europe-crm.veevavault.com/ui/#object/sent_email__v/VBLZ025E82GZ54E", "SE-000280578")</f>
        <v>SE-000280578</v>
      </c>
      <c r="D14335" s="1" t="s">
        <v>0</v>
      </c>
      <c r="E14335" s="2">
        <v>0</v>
      </c>
      <c r="F14335" s="2">
        <v>0</v>
      </c>
      <c r="G14335" s="2">
        <v>0</v>
      </c>
      <c r="H14335" s="1" t="s">
        <v>0</v>
      </c>
      <c r="I14335" s="2">
        <v>0</v>
      </c>
      <c r="J14335" s="1">
        <v>45924.685949074075</v>
      </c>
    </row>
    <row r="14336" spans="1:10" x14ac:dyDescent="0.2">
      <c r="A14336" s="4" t="s">
        <v>1</v>
      </c>
      <c r="B14336" s="3" t="str">
        <f>HYPERLINK("https://otsuka-europe-crm.veevavault.com/ui/#object/approved_document__v/V5OZ025E82TN2QL", "LUP - Invitación simposio SEN 2025 - nefro")</f>
        <v>LUP - Invitación simposio SEN 2025 - nefro</v>
      </c>
      <c r="C14336" s="3" t="str">
        <f>HYPERLINK("https://otsuka-europe-crm.veevavault.com/ui/#object/sent_email__v/VBLZ025E82GZ54F", "SE-000280579")</f>
        <v>SE-000280579</v>
      </c>
      <c r="D14336" s="1">
        <v>45925.74491898148</v>
      </c>
      <c r="E14336" s="2">
        <v>1</v>
      </c>
      <c r="F14336" s="2">
        <v>1</v>
      </c>
      <c r="G14336" s="2">
        <v>1</v>
      </c>
      <c r="H14336" s="1">
        <v>45925.74900462963</v>
      </c>
      <c r="I14336" s="2">
        <v>2</v>
      </c>
      <c r="J14336" s="1">
        <v>45924.685960648145</v>
      </c>
    </row>
    <row r="14337" spans="1:10" x14ac:dyDescent="0.2">
      <c r="A14337" s="4" t="s">
        <v>1</v>
      </c>
      <c r="B14337" s="3" t="str">
        <f>HYPERLINK("https://otsuka-europe-crm.veevavault.com/ui/#object/approved_document__v/V5OZ025E82TN2QL", "LUP - Invitación simposio SEN 2025 - nefro")</f>
        <v>LUP - Invitación simposio SEN 2025 - nefro</v>
      </c>
      <c r="C14337" s="3" t="str">
        <f>HYPERLINK("https://otsuka-europe-crm.veevavault.com/ui/#object/sent_email__v/VBLZ025E82GZ54G", "SE-000280580")</f>
        <v>SE-000280580</v>
      </c>
      <c r="D14337" s="1">
        <v>45925.35533564815</v>
      </c>
      <c r="E14337" s="2">
        <v>1</v>
      </c>
      <c r="F14337" s="2">
        <v>2</v>
      </c>
      <c r="G14337" s="2">
        <v>1</v>
      </c>
      <c r="H14337" s="1">
        <v>45924.874652777777</v>
      </c>
      <c r="I14337" s="2">
        <v>1</v>
      </c>
      <c r="J14337" s="1">
        <v>45924.685972222222</v>
      </c>
    </row>
    <row r="14338" spans="1:10" x14ac:dyDescent="0.2">
      <c r="A14338" s="4" t="s">
        <v>1</v>
      </c>
      <c r="B14338" s="3" t="str">
        <f>HYPERLINK("https://otsuka-europe-crm.veevavault.com/ui/#object/approved_document__v/V5OZ025E82TN2QL", "LUP - Invitación simposio SEN 2025 - nefro")</f>
        <v>LUP - Invitación simposio SEN 2025 - nefro</v>
      </c>
      <c r="C14338" s="3" t="str">
        <f>HYPERLINK("https://otsuka-europe-crm.veevavault.com/ui/#object/sent_email__v/VBLZ025E82GZ54H", "SE-000280581")</f>
        <v>SE-000280581</v>
      </c>
      <c r="D14338" s="1">
        <v>45929.502268518518</v>
      </c>
      <c r="E14338" s="2">
        <v>1</v>
      </c>
      <c r="F14338" s="2">
        <v>1</v>
      </c>
      <c r="G14338" s="2">
        <v>1</v>
      </c>
      <c r="H14338" s="1">
        <v>45929.502268518518</v>
      </c>
      <c r="I14338" s="2">
        <v>1</v>
      </c>
      <c r="J14338" s="1">
        <v>45924.685983796298</v>
      </c>
    </row>
    <row r="14339" spans="1:10" x14ac:dyDescent="0.2">
      <c r="A14339" s="4" t="s">
        <v>1</v>
      </c>
      <c r="B14339" s="3" t="str">
        <f>HYPERLINK("https://otsuka-europe-crm.veevavault.com/ui/#object/approved_document__v/V5OZ025E82TN2QL", "LUP - Invitación simposio SEN 2025 - nefro")</f>
        <v>LUP - Invitación simposio SEN 2025 - nefro</v>
      </c>
      <c r="C14339" s="3" t="str">
        <f>HYPERLINK("https://otsuka-europe-crm.veevavault.com/ui/#object/sent_email__v/VBLZ025E82GZ54I", "SE-000280582")</f>
        <v>SE-000280582</v>
      </c>
      <c r="D14339" s="1">
        <v>45925.896192129629</v>
      </c>
      <c r="E14339" s="2">
        <v>1</v>
      </c>
      <c r="F14339" s="2">
        <v>3</v>
      </c>
      <c r="G14339" s="2">
        <v>0</v>
      </c>
      <c r="H14339" s="1" t="s">
        <v>0</v>
      </c>
      <c r="I14339" s="2">
        <v>0</v>
      </c>
      <c r="J14339" s="1">
        <v>45924.685995370368</v>
      </c>
    </row>
    <row r="14340" spans="1:10" x14ac:dyDescent="0.2">
      <c r="A14340" s="4" t="s">
        <v>1</v>
      </c>
      <c r="B14340" s="3" t="str">
        <f>HYPERLINK("https://otsuka-europe-crm.veevavault.com/ui/#object/approved_document__v/V5OZ025E82TN2QL", "LUP - Invitación simposio SEN 2025 - nefro")</f>
        <v>LUP - Invitación simposio SEN 2025 - nefro</v>
      </c>
      <c r="C14340" s="3" t="str">
        <f>HYPERLINK("https://otsuka-europe-crm.veevavault.com/ui/#object/sent_email__v/VBLZ025E82GZ54J", "SE-000280583")</f>
        <v>SE-000280583</v>
      </c>
      <c r="D14340" s="1">
        <v>45925.486562500002</v>
      </c>
      <c r="E14340" s="2">
        <v>1</v>
      </c>
      <c r="F14340" s="2">
        <v>1</v>
      </c>
      <c r="G14340" s="2">
        <v>1</v>
      </c>
      <c r="H14340" s="1">
        <v>45925.486562500002</v>
      </c>
      <c r="I14340" s="2">
        <v>1</v>
      </c>
      <c r="J14340" s="1">
        <v>45924.685995370368</v>
      </c>
    </row>
    <row r="14341" spans="1:10" x14ac:dyDescent="0.2">
      <c r="A14341" s="4" t="s">
        <v>1</v>
      </c>
      <c r="B14341" s="3" t="str">
        <f>HYPERLINK("https://otsuka-europe-crm.veevavault.com/ui/#object/approved_document__v/V5OZ025E82TN2QL", "LUP - Invitación simposio SEN 2025 - nefro")</f>
        <v>LUP - Invitación simposio SEN 2025 - nefro</v>
      </c>
      <c r="C14341" s="3" t="str">
        <f>HYPERLINK("https://otsuka-europe-crm.veevavault.com/ui/#object/sent_email__v/VBLZ025E82GZ54K", "SE-000280584")</f>
        <v>SE-000280584</v>
      </c>
      <c r="D14341" s="1">
        <v>45924.688969907409</v>
      </c>
      <c r="E14341" s="2">
        <v>1</v>
      </c>
      <c r="F14341" s="2">
        <v>2</v>
      </c>
      <c r="G14341" s="2">
        <v>0</v>
      </c>
      <c r="H14341" s="1" t="s">
        <v>0</v>
      </c>
      <c r="I14341" s="2">
        <v>0</v>
      </c>
      <c r="J14341" s="1">
        <v>45924.686006944445</v>
      </c>
    </row>
    <row r="14342" spans="1:10" x14ac:dyDescent="0.2">
      <c r="A14342" s="4" t="s">
        <v>1</v>
      </c>
      <c r="B14342" s="3" t="str">
        <f>HYPERLINK("https://otsuka-europe-crm.veevavault.com/ui/#object/approved_document__v/V5OZ025E82TN2QL", "LUP - Invitación simposio SEN 2025 - nefro")</f>
        <v>LUP - Invitación simposio SEN 2025 - nefro</v>
      </c>
      <c r="C14342" s="3" t="str">
        <f>HYPERLINK("https://otsuka-europe-crm.veevavault.com/ui/#object/sent_email__v/VBLZ025E82GZ54L", "SE-000280585")</f>
        <v>SE-000280585</v>
      </c>
      <c r="D14342" s="1">
        <v>45927.510995370372</v>
      </c>
      <c r="E14342" s="2">
        <v>1</v>
      </c>
      <c r="F14342" s="2">
        <v>2</v>
      </c>
      <c r="G14342" s="2">
        <v>0</v>
      </c>
      <c r="H14342" s="1" t="s">
        <v>0</v>
      </c>
      <c r="I14342" s="2">
        <v>0</v>
      </c>
      <c r="J14342" s="1">
        <v>45924.686018518521</v>
      </c>
    </row>
    <row r="14343" spans="1:10" x14ac:dyDescent="0.2">
      <c r="A14343" s="4" t="s">
        <v>1</v>
      </c>
      <c r="B14343" s="3" t="str">
        <f>HYPERLINK("https://otsuka-europe-crm.veevavault.com/ui/#object/approved_document__v/V5OZ025E82TN2QL", "LUP - Invitación simposio SEN 2025 - nefro")</f>
        <v>LUP - Invitación simposio SEN 2025 - nefro</v>
      </c>
      <c r="C14343" s="3" t="str">
        <f>HYPERLINK("https://otsuka-europe-crm.veevavault.com/ui/#object/sent_email__v/VBLZ025E82GZ54M", "SE-000280586")</f>
        <v>SE-000280586</v>
      </c>
      <c r="D14343" s="1">
        <v>45924.7109837963</v>
      </c>
      <c r="E14343" s="2">
        <v>1</v>
      </c>
      <c r="F14343" s="2">
        <v>2</v>
      </c>
      <c r="G14343" s="2">
        <v>0</v>
      </c>
      <c r="H14343" s="1" t="s">
        <v>0</v>
      </c>
      <c r="I14343" s="2">
        <v>0</v>
      </c>
      <c r="J14343" s="1">
        <v>45924.686030092591</v>
      </c>
    </row>
    <row r="14344" spans="1:10" x14ac:dyDescent="0.2">
      <c r="A14344" s="4" t="s">
        <v>1</v>
      </c>
      <c r="B14344" s="3" t="str">
        <f>HYPERLINK("https://otsuka-europe-crm.veevavault.com/ui/#object/approved_document__v/V5OZ025E82TN2QL", "LUP - Invitación simposio SEN 2025 - nefro")</f>
        <v>LUP - Invitación simposio SEN 2025 - nefro</v>
      </c>
      <c r="C14344" s="3" t="str">
        <f>HYPERLINK("https://otsuka-europe-crm.veevavault.com/ui/#object/sent_email__v/VBLZ025E82GZ54N", "SE-000280587")</f>
        <v>SE-000280587</v>
      </c>
      <c r="D14344" s="1" t="s">
        <v>0</v>
      </c>
      <c r="E14344" s="2">
        <v>0</v>
      </c>
      <c r="F14344" s="2">
        <v>0</v>
      </c>
      <c r="G14344" s="2">
        <v>0</v>
      </c>
      <c r="H14344" s="1" t="s">
        <v>0</v>
      </c>
      <c r="I14344" s="2">
        <v>0</v>
      </c>
      <c r="J14344" s="1">
        <v>45924.686041666668</v>
      </c>
    </row>
    <row r="14345" spans="1:10" x14ac:dyDescent="0.2">
      <c r="A14345" s="4" t="s">
        <v>1</v>
      </c>
      <c r="B14345" s="3" t="str">
        <f>HYPERLINK("https://otsuka-europe-crm.veevavault.com/ui/#object/approved_document__v/V5OZ025E82TN2QL", "LUP - Invitación simposio SEN 2025 - nefro")</f>
        <v>LUP - Invitación simposio SEN 2025 - nefro</v>
      </c>
      <c r="C14345" s="3" t="str">
        <f>HYPERLINK("https://otsuka-europe-crm.veevavault.com/ui/#object/sent_email__v/VBLZ025E82GZ54O", "SE-000280588")</f>
        <v>SE-000280588</v>
      </c>
      <c r="D14345" s="1" t="s">
        <v>0</v>
      </c>
      <c r="E14345" s="2">
        <v>0</v>
      </c>
      <c r="F14345" s="2">
        <v>0</v>
      </c>
      <c r="G14345" s="2">
        <v>0</v>
      </c>
      <c r="H14345" s="1" t="s">
        <v>0</v>
      </c>
      <c r="I14345" s="2">
        <v>0</v>
      </c>
      <c r="J14345" s="1">
        <v>45924.686053240737</v>
      </c>
    </row>
    <row r="14346" spans="1:10" x14ac:dyDescent="0.2">
      <c r="A14346" s="4" t="s">
        <v>1</v>
      </c>
      <c r="B14346" s="3" t="str">
        <f>HYPERLINK("https://otsuka-europe-crm.veevavault.com/ui/#object/approved_document__v/V5OZ025E82TN2QL", "LUP - Invitación simposio SEN 2025 - nefro")</f>
        <v>LUP - Invitación simposio SEN 2025 - nefro</v>
      </c>
      <c r="C14346" s="3" t="str">
        <f>HYPERLINK("https://otsuka-europe-crm.veevavault.com/ui/#object/sent_email__v/VBLZ025E82GZ54P", "SE-000280589")</f>
        <v>SE-000280589</v>
      </c>
      <c r="D14346" s="1" t="s">
        <v>0</v>
      </c>
      <c r="E14346" s="2">
        <v>0</v>
      </c>
      <c r="F14346" s="2">
        <v>0</v>
      </c>
      <c r="G14346" s="2">
        <v>0</v>
      </c>
      <c r="H14346" s="1" t="s">
        <v>0</v>
      </c>
      <c r="I14346" s="2">
        <v>0</v>
      </c>
      <c r="J14346" s="1">
        <v>45924.686064814814</v>
      </c>
    </row>
    <row r="14347" spans="1:10" x14ac:dyDescent="0.2">
      <c r="A14347" s="4" t="s">
        <v>1</v>
      </c>
      <c r="B14347" s="3" t="str">
        <f>HYPERLINK("https://otsuka-europe-crm.veevavault.com/ui/#object/approved_document__v/V5OZ025E82TN2QL", "LUP - Invitación simposio SEN 2025 - nefro")</f>
        <v>LUP - Invitación simposio SEN 2025 - nefro</v>
      </c>
      <c r="C14347" s="3" t="str">
        <f>HYPERLINK("https://otsuka-europe-crm.veevavault.com/ui/#object/sent_email__v/VBLZ025E82GZ54Q", "SE-000280590")</f>
        <v>SE-000280590</v>
      </c>
      <c r="D14347" s="1">
        <v>45924.712407407409</v>
      </c>
      <c r="E14347" s="2">
        <v>1</v>
      </c>
      <c r="F14347" s="2">
        <v>1</v>
      </c>
      <c r="G14347" s="2">
        <v>0</v>
      </c>
      <c r="H14347" s="1" t="s">
        <v>0</v>
      </c>
      <c r="I14347" s="2">
        <v>0</v>
      </c>
      <c r="J14347" s="1">
        <v>45924.686076388891</v>
      </c>
    </row>
    <row r="14348" spans="1:10" x14ac:dyDescent="0.2">
      <c r="A14348" s="4" t="s">
        <v>1</v>
      </c>
      <c r="B14348" s="3" t="str">
        <f>HYPERLINK("https://otsuka-europe-crm.veevavault.com/ui/#object/approved_document__v/V5OZ025E82TN2QL", "LUP - Invitación simposio SEN 2025 - nefro")</f>
        <v>LUP - Invitación simposio SEN 2025 - nefro</v>
      </c>
      <c r="C14348" s="3" t="str">
        <f>HYPERLINK("https://otsuka-europe-crm.veevavault.com/ui/#object/sent_email__v/VBLZ025E82GZ54R", "SE-000280591")</f>
        <v>SE-000280591</v>
      </c>
      <c r="D14348" s="1">
        <v>45924.959849537037</v>
      </c>
      <c r="E14348" s="2">
        <v>1</v>
      </c>
      <c r="F14348" s="2">
        <v>1</v>
      </c>
      <c r="G14348" s="2">
        <v>0</v>
      </c>
      <c r="H14348" s="1" t="s">
        <v>0</v>
      </c>
      <c r="I14348" s="2">
        <v>0</v>
      </c>
      <c r="J14348" s="1">
        <v>45924.68608796296</v>
      </c>
    </row>
    <row r="14349" spans="1:10" x14ac:dyDescent="0.2">
      <c r="A14349" s="4" t="s">
        <v>1</v>
      </c>
      <c r="B14349" s="3" t="str">
        <f>HYPERLINK("https://otsuka-europe-crm.veevavault.com/ui/#object/approved_document__v/V5OZ025E82TN2QL", "LUP - Invitación simposio SEN 2025 - nefro")</f>
        <v>LUP - Invitación simposio SEN 2025 - nefro</v>
      </c>
      <c r="C14349" s="3" t="str">
        <f>HYPERLINK("https://otsuka-europe-crm.veevavault.com/ui/#object/sent_email__v/VBLZ025E82GZ54S", "SE-000280592")</f>
        <v>SE-000280592</v>
      </c>
      <c r="D14349" s="1" t="s">
        <v>0</v>
      </c>
      <c r="E14349" s="2">
        <v>0</v>
      </c>
      <c r="F14349" s="2">
        <v>0</v>
      </c>
      <c r="G14349" s="2">
        <v>0</v>
      </c>
      <c r="H14349" s="1" t="s">
        <v>0</v>
      </c>
      <c r="I14349" s="2">
        <v>0</v>
      </c>
      <c r="J14349" s="1">
        <v>45924.686099537037</v>
      </c>
    </row>
    <row r="14350" spans="1:10" x14ac:dyDescent="0.2">
      <c r="A14350" s="4" t="s">
        <v>1</v>
      </c>
      <c r="B14350" s="3" t="str">
        <f>HYPERLINK("https://otsuka-europe-crm.veevavault.com/ui/#object/approved_document__v/V5OZ025E82TN2QL", "LUP - Invitación simposio SEN 2025 - nefro")</f>
        <v>LUP - Invitación simposio SEN 2025 - nefro</v>
      </c>
      <c r="C14350" s="3" t="str">
        <f>HYPERLINK("https://otsuka-europe-crm.veevavault.com/ui/#object/sent_email__v/VBLZ025E82GZ54T", "SE-000280593")</f>
        <v>SE-000280593</v>
      </c>
      <c r="D14350" s="1">
        <v>45991.581493055557</v>
      </c>
      <c r="E14350" s="2">
        <v>1</v>
      </c>
      <c r="F14350" s="2">
        <v>1</v>
      </c>
      <c r="G14350" s="2">
        <v>0</v>
      </c>
      <c r="H14350" s="1" t="s">
        <v>0</v>
      </c>
      <c r="I14350" s="2">
        <v>0</v>
      </c>
      <c r="J14350" s="1">
        <v>45924.686111111114</v>
      </c>
    </row>
    <row r="14351" spans="1:10" x14ac:dyDescent="0.2">
      <c r="A14351" s="4" t="s">
        <v>1</v>
      </c>
      <c r="B14351" s="3" t="str">
        <f>HYPERLINK("https://otsuka-europe-crm.veevavault.com/ui/#object/approved_document__v/V5OZ025E82TN2QL", "LUP - Invitación simposio SEN 2025 - nefro")</f>
        <v>LUP - Invitación simposio SEN 2025 - nefro</v>
      </c>
      <c r="C14351" s="3" t="str">
        <f>HYPERLINK("https://otsuka-europe-crm.veevavault.com/ui/#object/sent_email__v/VBLZ025E82GZ54U", "SE-000280594")</f>
        <v>SE-000280594</v>
      </c>
      <c r="D14351" s="1" t="s">
        <v>0</v>
      </c>
      <c r="E14351" s="2">
        <v>0</v>
      </c>
      <c r="F14351" s="2">
        <v>0</v>
      </c>
      <c r="G14351" s="2">
        <v>0</v>
      </c>
      <c r="H14351" s="1" t="s">
        <v>0</v>
      </c>
      <c r="I14351" s="2">
        <v>0</v>
      </c>
      <c r="J14351" s="1">
        <v>45924.686122685183</v>
      </c>
    </row>
    <row r="14352" spans="1:10" x14ac:dyDescent="0.2">
      <c r="A14352" s="4" t="s">
        <v>1</v>
      </c>
      <c r="B14352" s="3" t="str">
        <f>HYPERLINK("https://otsuka-europe-crm.veevavault.com/ui/#object/approved_document__v/V5OZ025E82TN2QL", "LUP - Invitación simposio SEN 2025 - nefro")</f>
        <v>LUP - Invitación simposio SEN 2025 - nefro</v>
      </c>
      <c r="C14352" s="3" t="str">
        <f>HYPERLINK("https://otsuka-europe-crm.veevavault.com/ui/#object/sent_email__v/VBLZ025E82GZ54V", "SE-000280595")</f>
        <v>SE-000280595</v>
      </c>
      <c r="D14352" s="1" t="s">
        <v>0</v>
      </c>
      <c r="E14352" s="2">
        <v>0</v>
      </c>
      <c r="F14352" s="2">
        <v>0</v>
      </c>
      <c r="G14352" s="2">
        <v>0</v>
      </c>
      <c r="H14352" s="1" t="s">
        <v>0</v>
      </c>
      <c r="I14352" s="2">
        <v>0</v>
      </c>
      <c r="J14352" s="1">
        <v>45924.68613425926</v>
      </c>
    </row>
    <row r="14353" spans="1:10" x14ac:dyDescent="0.2">
      <c r="A14353" s="4" t="s">
        <v>1</v>
      </c>
      <c r="B14353" s="3" t="str">
        <f>HYPERLINK("https://otsuka-europe-crm.veevavault.com/ui/#object/approved_document__v/V5OZ025E82TN2QL", "LUP - Invitación simposio SEN 2025 - nefro")</f>
        <v>LUP - Invitación simposio SEN 2025 - nefro</v>
      </c>
      <c r="C14353" s="3" t="str">
        <f>HYPERLINK("https://otsuka-europe-crm.veevavault.com/ui/#object/sent_email__v/VBLZ025E82GZ54W", "SE-000280596")</f>
        <v>SE-000280596</v>
      </c>
      <c r="D14353" s="1">
        <v>45924.686273148145</v>
      </c>
      <c r="E14353" s="2">
        <v>1</v>
      </c>
      <c r="F14353" s="2">
        <v>2</v>
      </c>
      <c r="G14353" s="2">
        <v>0</v>
      </c>
      <c r="H14353" s="1" t="s">
        <v>0</v>
      </c>
      <c r="I14353" s="2">
        <v>0</v>
      </c>
      <c r="J14353" s="1">
        <v>45924.68613425926</v>
      </c>
    </row>
    <row r="14354" spans="1:10" x14ac:dyDescent="0.2">
      <c r="A14354" s="4" t="s">
        <v>1</v>
      </c>
      <c r="B14354" s="3" t="str">
        <f>HYPERLINK("https://otsuka-europe-crm.veevavault.com/ui/#object/approved_document__v/V5OZ025E82TN2QL", "LUP - Invitación simposio SEN 2025 - nefro")</f>
        <v>LUP - Invitación simposio SEN 2025 - nefro</v>
      </c>
      <c r="C14354" s="3" t="str">
        <f>HYPERLINK("https://otsuka-europe-crm.veevavault.com/ui/#object/sent_email__v/VBLZ025E82GZ54X", "SE-000280597")</f>
        <v>SE-000280597</v>
      </c>
      <c r="D14354" s="1" t="s">
        <v>0</v>
      </c>
      <c r="E14354" s="2">
        <v>0</v>
      </c>
      <c r="F14354" s="2">
        <v>0</v>
      </c>
      <c r="G14354" s="2">
        <v>0</v>
      </c>
      <c r="H14354" s="1" t="s">
        <v>0</v>
      </c>
      <c r="I14354" s="2">
        <v>0</v>
      </c>
      <c r="J14354" s="1">
        <v>45924.686157407406</v>
      </c>
    </row>
    <row r="14355" spans="1:10" x14ac:dyDescent="0.2">
      <c r="A14355" s="4" t="s">
        <v>1</v>
      </c>
      <c r="B14355" s="3" t="str">
        <f>HYPERLINK("https://otsuka-europe-crm.veevavault.com/ui/#object/approved_document__v/V5OZ025E82TN2QL", "LUP - Invitación simposio SEN 2025 - nefro")</f>
        <v>LUP - Invitación simposio SEN 2025 - nefro</v>
      </c>
      <c r="C14355" s="3" t="str">
        <f>HYPERLINK("https://otsuka-europe-crm.veevavault.com/ui/#object/sent_email__v/VBLZ025E82GZ54Y", "SE-000280598")</f>
        <v>SE-000280598</v>
      </c>
      <c r="D14355" s="1" t="s">
        <v>0</v>
      </c>
      <c r="E14355" s="2">
        <v>0</v>
      </c>
      <c r="F14355" s="2">
        <v>0</v>
      </c>
      <c r="G14355" s="2">
        <v>0</v>
      </c>
      <c r="H14355" s="1" t="s">
        <v>0</v>
      </c>
      <c r="I14355" s="2">
        <v>0</v>
      </c>
      <c r="J14355" s="1">
        <v>45924.686157407406</v>
      </c>
    </row>
    <row r="14356" spans="1:10" x14ac:dyDescent="0.2">
      <c r="A14356" s="4" t="s">
        <v>1</v>
      </c>
      <c r="B14356" s="3" t="str">
        <f>HYPERLINK("https://otsuka-europe-crm.veevavault.com/ui/#object/approved_document__v/V5OZ025E82TN2QL", "LUP - Invitación simposio SEN 2025 - nefro")</f>
        <v>LUP - Invitación simposio SEN 2025 - nefro</v>
      </c>
      <c r="C14356" s="3" t="str">
        <f>HYPERLINK("https://otsuka-europe-crm.veevavault.com/ui/#object/sent_email__v/VBLZ025E82GZ54Z", "SE-000280599")</f>
        <v>SE-000280599</v>
      </c>
      <c r="D14356" s="1" t="s">
        <v>0</v>
      </c>
      <c r="E14356" s="2">
        <v>0</v>
      </c>
      <c r="F14356" s="2">
        <v>0</v>
      </c>
      <c r="G14356" s="2">
        <v>0</v>
      </c>
      <c r="H14356" s="1" t="s">
        <v>0</v>
      </c>
      <c r="I14356" s="2">
        <v>0</v>
      </c>
      <c r="J14356" s="1">
        <v>45924.686168981483</v>
      </c>
    </row>
    <row r="14357" spans="1:10" x14ac:dyDescent="0.2">
      <c r="A14357" s="4" t="s">
        <v>1</v>
      </c>
      <c r="B14357" s="3" t="str">
        <f>HYPERLINK("https://otsuka-europe-crm.veevavault.com/ui/#object/approved_document__v/V5OZ025E82TN2QL", "LUP - Invitación simposio SEN 2025 - nefro")</f>
        <v>LUP - Invitación simposio SEN 2025 - nefro</v>
      </c>
      <c r="C14357" s="3" t="str">
        <f>HYPERLINK("https://otsuka-europe-crm.veevavault.com/ui/#object/sent_email__v/VBLZ025E82GZ550", "SE-000280600")</f>
        <v>SE-000280600</v>
      </c>
      <c r="D14357" s="1">
        <v>45950.50099537037</v>
      </c>
      <c r="E14357" s="2">
        <v>1</v>
      </c>
      <c r="F14357" s="2">
        <v>5</v>
      </c>
      <c r="G14357" s="2">
        <v>1</v>
      </c>
      <c r="H14357" s="1">
        <v>45950.425902777781</v>
      </c>
      <c r="I14357" s="2">
        <v>1</v>
      </c>
      <c r="J14357" s="1">
        <v>45924.686180555553</v>
      </c>
    </row>
    <row r="14358" spans="1:10" x14ac:dyDescent="0.2">
      <c r="A14358" s="4" t="s">
        <v>1</v>
      </c>
      <c r="B14358" s="3" t="str">
        <f>HYPERLINK("https://otsuka-europe-crm.veevavault.com/ui/#object/approved_document__v/V5OZ025E82TN2QL", "LUP - Invitación simposio SEN 2025 - nefro")</f>
        <v>LUP - Invitación simposio SEN 2025 - nefro</v>
      </c>
      <c r="C14358" s="3" t="str">
        <f>HYPERLINK("https://otsuka-europe-crm.veevavault.com/ui/#object/sent_email__v/VBLZ025E82GZ551", "SE-000280601")</f>
        <v>SE-000280601</v>
      </c>
      <c r="D14358" s="1" t="s">
        <v>0</v>
      </c>
      <c r="E14358" s="2">
        <v>0</v>
      </c>
      <c r="F14358" s="2">
        <v>0</v>
      </c>
      <c r="G14358" s="2">
        <v>0</v>
      </c>
      <c r="H14358" s="1" t="s">
        <v>0</v>
      </c>
      <c r="I14358" s="2">
        <v>0</v>
      </c>
      <c r="J14358" s="1">
        <v>45924.686192129629</v>
      </c>
    </row>
    <row r="14359" spans="1:10" x14ac:dyDescent="0.2">
      <c r="A14359" s="4" t="s">
        <v>1</v>
      </c>
      <c r="B14359" s="3" t="str">
        <f>HYPERLINK("https://otsuka-europe-crm.veevavault.com/ui/#object/approved_document__v/V5OZ025E82TN2QL", "LUP - Invitación simposio SEN 2025 - nefro")</f>
        <v>LUP - Invitación simposio SEN 2025 - nefro</v>
      </c>
      <c r="C14359" s="3" t="str">
        <f>HYPERLINK("https://otsuka-europe-crm.veevavault.com/ui/#object/sent_email__v/VBLZ025E82GZ552", "SE-000280602")</f>
        <v>SE-000280602</v>
      </c>
      <c r="D14359" s="1" t="s">
        <v>0</v>
      </c>
      <c r="E14359" s="2">
        <v>0</v>
      </c>
      <c r="F14359" s="2">
        <v>0</v>
      </c>
      <c r="G14359" s="2">
        <v>0</v>
      </c>
      <c r="H14359" s="1" t="s">
        <v>0</v>
      </c>
      <c r="I14359" s="2">
        <v>0</v>
      </c>
      <c r="J14359" s="1">
        <v>45924.686203703706</v>
      </c>
    </row>
    <row r="14360" spans="1:10" x14ac:dyDescent="0.2">
      <c r="A14360" s="4" t="s">
        <v>1</v>
      </c>
      <c r="B14360" s="3" t="str">
        <f>HYPERLINK("https://otsuka-europe-crm.veevavault.com/ui/#object/approved_document__v/V5OZ025E82TN2QL", "LUP - Invitación simposio SEN 2025 - nefro")</f>
        <v>LUP - Invitación simposio SEN 2025 - nefro</v>
      </c>
      <c r="C14360" s="3" t="str">
        <f>HYPERLINK("https://otsuka-europe-crm.veevavault.com/ui/#object/sent_email__v/VBLZ025E82GZ553", "SE-000280603")</f>
        <v>SE-000280603</v>
      </c>
      <c r="D14360" s="1">
        <v>45924.942199074074</v>
      </c>
      <c r="E14360" s="2">
        <v>1</v>
      </c>
      <c r="F14360" s="2">
        <v>1</v>
      </c>
      <c r="G14360" s="2">
        <v>0</v>
      </c>
      <c r="H14360" s="1" t="s">
        <v>0</v>
      </c>
      <c r="I14360" s="2">
        <v>0</v>
      </c>
      <c r="J14360" s="1">
        <v>45924.686215277776</v>
      </c>
    </row>
    <row r="14361" spans="1:10" x14ac:dyDescent="0.2">
      <c r="A14361" s="4" t="s">
        <v>1</v>
      </c>
      <c r="B14361" s="3" t="str">
        <f>HYPERLINK("https://otsuka-europe-crm.veevavault.com/ui/#object/approved_document__v/V5OZ025E82TN2QL", "LUP - Invitación simposio SEN 2025 - nefro")</f>
        <v>LUP - Invitación simposio SEN 2025 - nefro</v>
      </c>
      <c r="C14361" s="3" t="str">
        <f>HYPERLINK("https://otsuka-europe-crm.veevavault.com/ui/#object/sent_email__v/VBLZ025E82GZ554", "SE-000280604")</f>
        <v>SE-000280604</v>
      </c>
      <c r="D14361" s="1" t="s">
        <v>0</v>
      </c>
      <c r="E14361" s="2">
        <v>0</v>
      </c>
      <c r="F14361" s="2">
        <v>0</v>
      </c>
      <c r="G14361" s="2">
        <v>0</v>
      </c>
      <c r="H14361" s="1" t="s">
        <v>0</v>
      </c>
      <c r="I14361" s="2">
        <v>0</v>
      </c>
      <c r="J14361" s="1">
        <v>45924.686226851853</v>
      </c>
    </row>
    <row r="14362" spans="1:10" x14ac:dyDescent="0.2">
      <c r="A14362" s="4" t="s">
        <v>1</v>
      </c>
      <c r="B14362" s="3" t="str">
        <f>HYPERLINK("https://otsuka-europe-crm.veevavault.com/ui/#object/approved_document__v/V5OZ025E82TN2QL", "LUP - Invitación simposio SEN 2025 - nefro")</f>
        <v>LUP - Invitación simposio SEN 2025 - nefro</v>
      </c>
      <c r="C14362" s="3" t="str">
        <f>HYPERLINK("https://otsuka-europe-crm.veevavault.com/ui/#object/sent_email__v/VBLZ025E82GZ555", "SE-000280605")</f>
        <v>SE-000280605</v>
      </c>
      <c r="D14362" s="1">
        <v>45925.530289351853</v>
      </c>
      <c r="E14362" s="2">
        <v>1</v>
      </c>
      <c r="F14362" s="2">
        <v>4</v>
      </c>
      <c r="G14362" s="2">
        <v>0</v>
      </c>
      <c r="H14362" s="1" t="s">
        <v>0</v>
      </c>
      <c r="I14362" s="2">
        <v>0</v>
      </c>
      <c r="J14362" s="1">
        <v>45924.686226851853</v>
      </c>
    </row>
    <row r="14363" spans="1:10" x14ac:dyDescent="0.2">
      <c r="A14363" s="4" t="s">
        <v>1</v>
      </c>
      <c r="B14363" s="3" t="str">
        <f>HYPERLINK("https://otsuka-europe-crm.veevavault.com/ui/#object/approved_document__v/V5OZ025E82TN2QL", "LUP - Invitación simposio SEN 2025 - nefro")</f>
        <v>LUP - Invitación simposio SEN 2025 - nefro</v>
      </c>
      <c r="C14363" s="3" t="str">
        <f>HYPERLINK("https://otsuka-europe-crm.veevavault.com/ui/#object/sent_email__v/VBLZ025E82H3CE5", "SE-000281568")</f>
        <v>SE-000281568</v>
      </c>
      <c r="D14363" s="1">
        <v>45929.812534722223</v>
      </c>
      <c r="E14363" s="2">
        <v>1</v>
      </c>
      <c r="F14363" s="2">
        <v>2</v>
      </c>
      <c r="G14363" s="2">
        <v>0</v>
      </c>
      <c r="H14363" s="1" t="s">
        <v>0</v>
      </c>
      <c r="I14363" s="2">
        <v>0</v>
      </c>
      <c r="J14363" s="1">
        <v>45929.548530092594</v>
      </c>
    </row>
    <row r="14364" spans="1:10" x14ac:dyDescent="0.2">
      <c r="A14364" s="4" t="s">
        <v>1</v>
      </c>
      <c r="B14364" s="3" t="str">
        <f>HYPERLINK("https://otsuka-europe-crm.veevavault.com/ui/#object/approved_document__v/V5OZ025E82TN2QL", "LUP - Invitación simposio SEN 2025 - nefro")</f>
        <v>LUP - Invitación simposio SEN 2025 - nefro</v>
      </c>
      <c r="C14364" s="3" t="str">
        <f>HYPERLINK("https://otsuka-europe-crm.veevavault.com/ui/#object/sent_email__v/VBLZ025E82H4XEX", "SE-000281975")</f>
        <v>SE-000281975</v>
      </c>
      <c r="D14364" s="1" t="s">
        <v>0</v>
      </c>
      <c r="E14364" s="2">
        <v>0</v>
      </c>
      <c r="F14364" s="2">
        <v>0</v>
      </c>
      <c r="G14364" s="2">
        <v>0</v>
      </c>
      <c r="H14364" s="1" t="s">
        <v>0</v>
      </c>
      <c r="I14364" s="2">
        <v>0</v>
      </c>
      <c r="J14364" s="1">
        <v>45930.495046296295</v>
      </c>
    </row>
    <row r="14365" spans="1:10" x14ac:dyDescent="0.2">
      <c r="A14365" s="4" t="s">
        <v>1</v>
      </c>
      <c r="B14365" s="3" t="str">
        <f>HYPERLINK("https://otsuka-europe-crm.veevavault.com/ui/#object/approved_document__v/V5OZ025E82TN2QL", "LUP - Invitación simposio SEN 2025 - nefro")</f>
        <v>LUP - Invitación simposio SEN 2025 - nefro</v>
      </c>
      <c r="C14365" s="3" t="str">
        <f>HYPERLINK("https://otsuka-europe-crm.veevavault.com/ui/#object/sent_email__v/VBLZ025E82H4XEY", "SE-000281976")</f>
        <v>SE-000281976</v>
      </c>
      <c r="D14365" s="1" t="s">
        <v>0</v>
      </c>
      <c r="E14365" s="2">
        <v>0</v>
      </c>
      <c r="F14365" s="2">
        <v>0</v>
      </c>
      <c r="G14365" s="2">
        <v>0</v>
      </c>
      <c r="H14365" s="1" t="s">
        <v>0</v>
      </c>
      <c r="I14365" s="2">
        <v>0</v>
      </c>
      <c r="J14365" s="1">
        <v>45930.492962962962</v>
      </c>
    </row>
    <row r="14366" spans="1:10" x14ac:dyDescent="0.2">
      <c r="A14366" s="4" t="s">
        <v>1</v>
      </c>
      <c r="B14366" s="3" t="str">
        <f>HYPERLINK("https://otsuka-europe-crm.veevavault.com/ui/#object/approved_document__v/V5OZ025E82TN2QL", "LUP - Invitación simposio SEN 2025 - nefro")</f>
        <v>LUP - Invitación simposio SEN 2025 - nefro</v>
      </c>
      <c r="C14366" s="3" t="str">
        <f>HYPERLINK("https://otsuka-europe-crm.veevavault.com/ui/#object/sent_email__v/VBLZ025E82H4XEZ", "SE-000281977")</f>
        <v>SE-000281977</v>
      </c>
      <c r="D14366" s="1" t="s">
        <v>0</v>
      </c>
      <c r="E14366" s="2">
        <v>0</v>
      </c>
      <c r="F14366" s="2">
        <v>0</v>
      </c>
      <c r="G14366" s="2">
        <v>0</v>
      </c>
      <c r="H14366" s="1" t="s">
        <v>0</v>
      </c>
      <c r="I14366" s="2">
        <v>0</v>
      </c>
      <c r="J14366" s="1">
        <v>45930.492847222224</v>
      </c>
    </row>
    <row r="14367" spans="1:10" x14ac:dyDescent="0.2">
      <c r="A14367" s="4" t="s">
        <v>1</v>
      </c>
      <c r="B14367" s="3" t="str">
        <f>HYPERLINK("https://otsuka-europe-crm.veevavault.com/ui/#object/approved_document__v/V5OZ025E82TN2QL", "LUP - Invitación simposio SEN 2025 - nefro")</f>
        <v>LUP - Invitación simposio SEN 2025 - nefro</v>
      </c>
      <c r="C14367" s="3" t="str">
        <f>HYPERLINK("https://otsuka-europe-crm.veevavault.com/ui/#object/sent_email__v/VBLZ025E82H4XF0", "SE-000281978")</f>
        <v>SE-000281978</v>
      </c>
      <c r="D14367" s="1" t="s">
        <v>0</v>
      </c>
      <c r="E14367" s="2">
        <v>0</v>
      </c>
      <c r="F14367" s="2">
        <v>0</v>
      </c>
      <c r="G14367" s="2">
        <v>0</v>
      </c>
      <c r="H14367" s="1" t="s">
        <v>0</v>
      </c>
      <c r="I14367" s="2">
        <v>0</v>
      </c>
      <c r="J14367" s="1">
        <v>45930.492986111109</v>
      </c>
    </row>
    <row r="14368" spans="1:10" x14ac:dyDescent="0.2">
      <c r="A14368" s="4" t="s">
        <v>1</v>
      </c>
      <c r="B14368" s="3" t="str">
        <f>HYPERLINK("https://otsuka-europe-crm.veevavault.com/ui/#object/approved_document__v/V5OZ025E82TN2QL", "LUP - Invitación simposio SEN 2025 - nefro")</f>
        <v>LUP - Invitación simposio SEN 2025 - nefro</v>
      </c>
      <c r="C14368" s="3" t="str">
        <f>HYPERLINK("https://otsuka-europe-crm.veevavault.com/ui/#object/sent_email__v/VBLZ025E82H4XF1", "SE-000281979")</f>
        <v>SE-000281979</v>
      </c>
      <c r="D14368" s="1" t="s">
        <v>0</v>
      </c>
      <c r="E14368" s="2">
        <v>0</v>
      </c>
      <c r="F14368" s="2">
        <v>0</v>
      </c>
      <c r="G14368" s="2">
        <v>0</v>
      </c>
      <c r="H14368" s="1" t="s">
        <v>0</v>
      </c>
      <c r="I14368" s="2">
        <v>0</v>
      </c>
      <c r="J14368" s="1">
        <v>45930.492754629631</v>
      </c>
    </row>
    <row r="14369" spans="1:10" x14ac:dyDescent="0.2">
      <c r="A14369" s="4" t="s">
        <v>1</v>
      </c>
      <c r="B14369" s="3" t="str">
        <f>HYPERLINK("https://otsuka-europe-crm.veevavault.com/ui/#object/approved_document__v/V5OZ025E82TN2QL", "LUP - Invitación simposio SEN 2025 - nefro")</f>
        <v>LUP - Invitación simposio SEN 2025 - nefro</v>
      </c>
      <c r="C14369" s="3" t="str">
        <f>HYPERLINK("https://otsuka-europe-crm.veevavault.com/ui/#object/sent_email__v/VBLZ025E82H4XF2", "SE-000281980")</f>
        <v>SE-000281980</v>
      </c>
      <c r="D14369" s="1" t="s">
        <v>0</v>
      </c>
      <c r="E14369" s="2">
        <v>0</v>
      </c>
      <c r="F14369" s="2">
        <v>0</v>
      </c>
      <c r="G14369" s="2">
        <v>0</v>
      </c>
      <c r="H14369" s="1" t="s">
        <v>0</v>
      </c>
      <c r="I14369" s="2">
        <v>0</v>
      </c>
      <c r="J14369" s="1">
        <v>45930.492928240739</v>
      </c>
    </row>
    <row r="14370" spans="1:10" x14ac:dyDescent="0.2">
      <c r="A14370" s="4" t="s">
        <v>1</v>
      </c>
      <c r="B14370" s="3" t="str">
        <f>HYPERLINK("https://otsuka-europe-crm.veevavault.com/ui/#object/approved_document__v/V5OZ025E82TN2QL", "LUP - Invitación simposio SEN 2025 - nefro")</f>
        <v>LUP - Invitación simposio SEN 2025 - nefro</v>
      </c>
      <c r="C14370" s="3" t="str">
        <f>HYPERLINK("https://otsuka-europe-crm.veevavault.com/ui/#object/sent_email__v/VBLZ025E82H4XF3", "SE-000281981")</f>
        <v>SE-000281981</v>
      </c>
      <c r="D14370" s="1" t="s">
        <v>0</v>
      </c>
      <c r="E14370" s="2">
        <v>0</v>
      </c>
      <c r="F14370" s="2">
        <v>0</v>
      </c>
      <c r="G14370" s="2">
        <v>0</v>
      </c>
      <c r="H14370" s="1" t="s">
        <v>0</v>
      </c>
      <c r="I14370" s="2">
        <v>0</v>
      </c>
      <c r="J14370" s="1">
        <v>45930.492766203701</v>
      </c>
    </row>
    <row r="14371" spans="1:10" x14ac:dyDescent="0.2">
      <c r="A14371" s="4" t="s">
        <v>1</v>
      </c>
      <c r="B14371" s="3" t="str">
        <f>HYPERLINK("https://otsuka-europe-crm.veevavault.com/ui/#object/approved_document__v/V5OZ025E82TN2QL", "LUP - Invitación simposio SEN 2025 - nefro")</f>
        <v>LUP - Invitación simposio SEN 2025 - nefro</v>
      </c>
      <c r="C14371" s="3" t="str">
        <f>HYPERLINK("https://otsuka-europe-crm.veevavault.com/ui/#object/sent_email__v/VBLZ025E82H4XF4", "SE-000281982")</f>
        <v>SE-000281982</v>
      </c>
      <c r="D14371" s="1" t="s">
        <v>0</v>
      </c>
      <c r="E14371" s="2">
        <v>0</v>
      </c>
      <c r="F14371" s="2">
        <v>0</v>
      </c>
      <c r="G14371" s="2">
        <v>0</v>
      </c>
      <c r="H14371" s="1" t="s">
        <v>0</v>
      </c>
      <c r="I14371" s="2">
        <v>0</v>
      </c>
      <c r="J14371" s="1">
        <v>45930.49291666667</v>
      </c>
    </row>
    <row r="14372" spans="1:10" x14ac:dyDescent="0.2">
      <c r="A14372" s="4" t="s">
        <v>1</v>
      </c>
      <c r="B14372" s="3" t="str">
        <f>HYPERLINK("https://otsuka-europe-crm.veevavault.com/ui/#object/approved_document__v/V5OZ025E82TN2QL", "LUP - Invitación simposio SEN 2025 - nefro")</f>
        <v>LUP - Invitación simposio SEN 2025 - nefro</v>
      </c>
      <c r="C14372" s="3" t="str">
        <f>HYPERLINK("https://otsuka-europe-crm.veevavault.com/ui/#object/sent_email__v/VBLZ025E82H4XF5", "SE-000281983")</f>
        <v>SE-000281983</v>
      </c>
      <c r="D14372" s="1" t="s">
        <v>0</v>
      </c>
      <c r="E14372" s="2">
        <v>0</v>
      </c>
      <c r="F14372" s="2">
        <v>0</v>
      </c>
      <c r="G14372" s="2">
        <v>0</v>
      </c>
      <c r="H14372" s="1" t="s">
        <v>0</v>
      </c>
      <c r="I14372" s="2">
        <v>0</v>
      </c>
      <c r="J14372" s="1">
        <v>45930.492754629631</v>
      </c>
    </row>
    <row r="14373" spans="1:10" x14ac:dyDescent="0.2">
      <c r="A14373" s="4" t="s">
        <v>1</v>
      </c>
      <c r="B14373" s="3" t="str">
        <f>HYPERLINK("https://otsuka-europe-crm.veevavault.com/ui/#object/approved_document__v/V5OZ025E82TN2QL", "LUP - Invitación simposio SEN 2025 - nefro")</f>
        <v>LUP - Invitación simposio SEN 2025 - nefro</v>
      </c>
      <c r="C14373" s="3" t="str">
        <f>HYPERLINK("https://otsuka-europe-crm.veevavault.com/ui/#object/sent_email__v/VBLZ025E82H4XF6", "SE-000281984")</f>
        <v>SE-000281984</v>
      </c>
      <c r="D14373" s="1">
        <v>45931.967592592591</v>
      </c>
      <c r="E14373" s="2">
        <v>1</v>
      </c>
      <c r="F14373" s="2">
        <v>1</v>
      </c>
      <c r="G14373" s="2">
        <v>0</v>
      </c>
      <c r="H14373" s="1" t="s">
        <v>0</v>
      </c>
      <c r="I14373" s="2">
        <v>0</v>
      </c>
      <c r="J14373" s="1">
        <v>45930.492858796293</v>
      </c>
    </row>
    <row r="14374" spans="1:10" x14ac:dyDescent="0.2">
      <c r="A14374" s="4" t="s">
        <v>1</v>
      </c>
      <c r="B14374" s="3" t="str">
        <f>HYPERLINK("https://otsuka-europe-crm.veevavault.com/ui/#object/approved_document__v/V5OZ025E82TN2QL", "LUP - Invitación simposio SEN 2025 - nefro")</f>
        <v>LUP - Invitación simposio SEN 2025 - nefro</v>
      </c>
      <c r="C14374" s="3" t="str">
        <f>HYPERLINK("https://otsuka-europe-crm.veevavault.com/ui/#object/sent_email__v/VBLZ025E82H4XF7", "SE-000281985")</f>
        <v>SE-000281985</v>
      </c>
      <c r="D14374" s="1" t="s">
        <v>0</v>
      </c>
      <c r="E14374" s="2">
        <v>0</v>
      </c>
      <c r="F14374" s="2">
        <v>0</v>
      </c>
      <c r="G14374" s="2">
        <v>0</v>
      </c>
      <c r="H14374" s="1" t="s">
        <v>0</v>
      </c>
      <c r="I14374" s="2">
        <v>0</v>
      </c>
      <c r="J14374" s="1">
        <v>45930.493009259262</v>
      </c>
    </row>
    <row r="14375" spans="1:10" x14ac:dyDescent="0.2">
      <c r="A14375" s="4" t="s">
        <v>1</v>
      </c>
      <c r="B14375" s="3" t="str">
        <f>HYPERLINK("https://otsuka-europe-crm.veevavault.com/ui/#object/approved_document__v/V5OZ025E82TN2QL", "LUP - Invitación simposio SEN 2025 - nefro")</f>
        <v>LUP - Invitación simposio SEN 2025 - nefro</v>
      </c>
      <c r="C14375" s="3" t="str">
        <f>HYPERLINK("https://otsuka-europe-crm.veevavault.com/ui/#object/sent_email__v/VBLZ025E82H4XF8", "SE-000281986")</f>
        <v>SE-000281986</v>
      </c>
      <c r="D14375" s="1" t="s">
        <v>0</v>
      </c>
      <c r="E14375" s="2">
        <v>0</v>
      </c>
      <c r="F14375" s="2">
        <v>0</v>
      </c>
      <c r="G14375" s="2">
        <v>0</v>
      </c>
      <c r="H14375" s="1" t="s">
        <v>0</v>
      </c>
      <c r="I14375" s="2">
        <v>0</v>
      </c>
      <c r="J14375" s="1">
        <v>45930.49287037037</v>
      </c>
    </row>
    <row r="14376" spans="1:10" x14ac:dyDescent="0.2">
      <c r="A14376" s="4" t="s">
        <v>1</v>
      </c>
      <c r="B14376" s="3" t="str">
        <f>HYPERLINK("https://otsuka-europe-crm.veevavault.com/ui/#object/approved_document__v/V5OZ025E82TN2QL", "LUP - Invitación simposio SEN 2025 - nefro")</f>
        <v>LUP - Invitación simposio SEN 2025 - nefro</v>
      </c>
      <c r="C14376" s="3" t="str">
        <f>HYPERLINK("https://otsuka-europe-crm.veevavault.com/ui/#object/sent_email__v/VBLZ025E82H4XF9", "SE-000281987")</f>
        <v>SE-000281987</v>
      </c>
      <c r="D14376" s="1" t="s">
        <v>0</v>
      </c>
      <c r="E14376" s="2">
        <v>0</v>
      </c>
      <c r="F14376" s="2">
        <v>0</v>
      </c>
      <c r="G14376" s="2">
        <v>0</v>
      </c>
      <c r="H14376" s="1" t="s">
        <v>0</v>
      </c>
      <c r="I14376" s="2">
        <v>0</v>
      </c>
      <c r="J14376" s="1">
        <v>45930.492881944447</v>
      </c>
    </row>
    <row r="14377" spans="1:10" x14ac:dyDescent="0.2">
      <c r="A14377" s="4" t="s">
        <v>1</v>
      </c>
      <c r="B14377" s="3" t="str">
        <f>HYPERLINK("https://otsuka-europe-crm.veevavault.com/ui/#object/approved_document__v/V5OZ025E82TN2QL", "LUP - Invitación simposio SEN 2025 - nefro")</f>
        <v>LUP - Invitación simposio SEN 2025 - nefro</v>
      </c>
      <c r="C14377" s="3" t="str">
        <f>HYPERLINK("https://otsuka-europe-crm.veevavault.com/ui/#object/sent_email__v/VBLZ025E82H4XFA", "SE-000281988")</f>
        <v>SE-000281988</v>
      </c>
      <c r="D14377" s="1" t="s">
        <v>0</v>
      </c>
      <c r="E14377" s="2">
        <v>0</v>
      </c>
      <c r="F14377" s="2">
        <v>0</v>
      </c>
      <c r="G14377" s="2">
        <v>0</v>
      </c>
      <c r="H14377" s="1" t="s">
        <v>0</v>
      </c>
      <c r="I14377" s="2">
        <v>0</v>
      </c>
      <c r="J14377" s="1">
        <v>45930.49287037037</v>
      </c>
    </row>
    <row r="14378" spans="1:10" x14ac:dyDescent="0.2">
      <c r="A14378" s="4" t="s">
        <v>1</v>
      </c>
      <c r="B14378" s="3" t="str">
        <f>HYPERLINK("https://otsuka-europe-crm.veevavault.com/ui/#object/approved_document__v/V5OZ025E82TN2QL", "LUP - Invitación simposio SEN 2025 - nefro")</f>
        <v>LUP - Invitación simposio SEN 2025 - nefro</v>
      </c>
      <c r="C14378" s="3" t="str">
        <f>HYPERLINK("https://otsuka-europe-crm.veevavault.com/ui/#object/sent_email__v/VBLZ025E82H4XFB", "SE-000281989")</f>
        <v>SE-000281989</v>
      </c>
      <c r="D14378" s="1">
        <v>45930.866238425922</v>
      </c>
      <c r="E14378" s="2">
        <v>1</v>
      </c>
      <c r="F14378" s="2">
        <v>1</v>
      </c>
      <c r="G14378" s="2">
        <v>0</v>
      </c>
      <c r="H14378" s="1" t="s">
        <v>0</v>
      </c>
      <c r="I14378" s="2">
        <v>0</v>
      </c>
      <c r="J14378" s="1">
        <v>45930.493020833332</v>
      </c>
    </row>
    <row r="14379" spans="1:10" x14ac:dyDescent="0.2">
      <c r="A14379" s="4" t="s">
        <v>1</v>
      </c>
      <c r="B14379" s="3" t="str">
        <f>HYPERLINK("https://otsuka-europe-crm.veevavault.com/ui/#object/approved_document__v/V5OZ025E82TN2QL", "LUP - Invitación simposio SEN 2025 - nefro")</f>
        <v>LUP - Invitación simposio SEN 2025 - nefro</v>
      </c>
      <c r="C14379" s="3" t="str">
        <f>HYPERLINK("https://otsuka-europe-crm.veevavault.com/ui/#object/sent_email__v/VBLZ025E82H4XFC", "SE-000281990")</f>
        <v>SE-000281990</v>
      </c>
      <c r="D14379" s="1" t="s">
        <v>0</v>
      </c>
      <c r="E14379" s="2">
        <v>0</v>
      </c>
      <c r="F14379" s="2">
        <v>0</v>
      </c>
      <c r="G14379" s="2">
        <v>0</v>
      </c>
      <c r="H14379" s="1" t="s">
        <v>0</v>
      </c>
      <c r="I14379" s="2">
        <v>0</v>
      </c>
      <c r="J14379" s="1">
        <v>45930.492847222224</v>
      </c>
    </row>
    <row r="14380" spans="1:10" x14ac:dyDescent="0.2">
      <c r="A14380" s="4" t="s">
        <v>1</v>
      </c>
      <c r="B14380" s="3" t="str">
        <f>HYPERLINK("https://otsuka-europe-crm.veevavault.com/ui/#object/approved_document__v/V5OZ025E82TN2QL", "LUP - Invitación simposio SEN 2025 - nefro")</f>
        <v>LUP - Invitación simposio SEN 2025 - nefro</v>
      </c>
      <c r="C14380" s="3" t="str">
        <f>HYPERLINK("https://otsuka-europe-crm.veevavault.com/ui/#object/sent_email__v/VBLZ025E82H4XFD", "SE-000281991")</f>
        <v>SE-000281991</v>
      </c>
      <c r="D14380" s="1" t="s">
        <v>0</v>
      </c>
      <c r="E14380" s="2">
        <v>0</v>
      </c>
      <c r="F14380" s="2">
        <v>0</v>
      </c>
      <c r="G14380" s="2">
        <v>0</v>
      </c>
      <c r="H14380" s="1" t="s">
        <v>0</v>
      </c>
      <c r="I14380" s="2">
        <v>0</v>
      </c>
      <c r="J14380" s="1">
        <v>45930.493009259262</v>
      </c>
    </row>
    <row r="14381" spans="1:10" x14ac:dyDescent="0.2">
      <c r="A14381" s="4" t="s">
        <v>1</v>
      </c>
      <c r="B14381" s="3" t="str">
        <f>HYPERLINK("https://otsuka-europe-crm.veevavault.com/ui/#object/approved_document__v/V5OZ025E82TN2QL", "LUP - Invitación simposio SEN 2025 - nefro")</f>
        <v>LUP - Invitación simposio SEN 2025 - nefro</v>
      </c>
      <c r="C14381" s="3" t="str">
        <f>HYPERLINK("https://otsuka-europe-crm.veevavault.com/ui/#object/sent_email__v/VBLZ025E82H4XFE", "SE-000281992")</f>
        <v>SE-000281992</v>
      </c>
      <c r="D14381" s="1" t="s">
        <v>0</v>
      </c>
      <c r="E14381" s="2">
        <v>0</v>
      </c>
      <c r="F14381" s="2">
        <v>0</v>
      </c>
      <c r="G14381" s="2">
        <v>0</v>
      </c>
      <c r="H14381" s="1" t="s">
        <v>0</v>
      </c>
      <c r="I14381" s="2">
        <v>0</v>
      </c>
      <c r="J14381" s="1">
        <v>45930.492835648147</v>
      </c>
    </row>
    <row r="14382" spans="1:10" x14ac:dyDescent="0.2">
      <c r="A14382" s="4" t="s">
        <v>1</v>
      </c>
      <c r="B14382" s="3" t="str">
        <f>HYPERLINK("https://otsuka-europe-crm.veevavault.com/ui/#object/approved_document__v/V5OZ025E82TN2QL", "LUP - Invitación simposio SEN 2025 - nefro")</f>
        <v>LUP - Invitación simposio SEN 2025 - nefro</v>
      </c>
      <c r="C14382" s="3" t="str">
        <f>HYPERLINK("https://otsuka-europe-crm.veevavault.com/ui/#object/sent_email__v/VBLZ025E82H4XFF", "SE-000281993")</f>
        <v>SE-000281993</v>
      </c>
      <c r="D14382" s="1" t="s">
        <v>0</v>
      </c>
      <c r="E14382" s="2">
        <v>0</v>
      </c>
      <c r="F14382" s="2">
        <v>0</v>
      </c>
      <c r="G14382" s="2">
        <v>0</v>
      </c>
      <c r="H14382" s="1" t="s">
        <v>0</v>
      </c>
      <c r="I14382" s="2">
        <v>0</v>
      </c>
      <c r="J14382" s="1">
        <v>45930.492986111109</v>
      </c>
    </row>
    <row r="14383" spans="1:10" x14ac:dyDescent="0.2">
      <c r="A14383" s="4" t="s">
        <v>1</v>
      </c>
      <c r="B14383" s="3" t="str">
        <f>HYPERLINK("https://otsuka-europe-crm.veevavault.com/ui/#object/approved_document__v/V5OZ025E82TN2QL", "LUP - Invitación simposio SEN 2025 - nefro")</f>
        <v>LUP - Invitación simposio SEN 2025 - nefro</v>
      </c>
      <c r="C14383" s="3" t="str">
        <f>HYPERLINK("https://otsuka-europe-crm.veevavault.com/ui/#object/sent_email__v/VBLZ025E82H4XFG", "SE-000281994")</f>
        <v>SE-000281994</v>
      </c>
      <c r="D14383" s="1" t="s">
        <v>0</v>
      </c>
      <c r="E14383" s="2">
        <v>0</v>
      </c>
      <c r="F14383" s="2">
        <v>0</v>
      </c>
      <c r="G14383" s="2">
        <v>0</v>
      </c>
      <c r="H14383" s="1" t="s">
        <v>0</v>
      </c>
      <c r="I14383" s="2">
        <v>0</v>
      </c>
      <c r="J14383" s="1">
        <v>45930.492835648147</v>
      </c>
    </row>
    <row r="14384" spans="1:10" x14ac:dyDescent="0.2">
      <c r="A14384" s="4" t="s">
        <v>1</v>
      </c>
      <c r="B14384" s="3" t="str">
        <f>HYPERLINK("https://otsuka-europe-crm.veevavault.com/ui/#object/approved_document__v/V5OZ025E82TN2QL", "LUP - Invitación simposio SEN 2025 - nefro")</f>
        <v>LUP - Invitación simposio SEN 2025 - nefro</v>
      </c>
      <c r="C14384" s="3" t="str">
        <f>HYPERLINK("https://otsuka-europe-crm.veevavault.com/ui/#object/sent_email__v/VBLZ025E82H4XFH", "SE-000281995")</f>
        <v>SE-000281995</v>
      </c>
      <c r="D14384" s="1" t="s">
        <v>0</v>
      </c>
      <c r="E14384" s="2">
        <v>0</v>
      </c>
      <c r="F14384" s="2">
        <v>0</v>
      </c>
      <c r="G14384" s="2">
        <v>0</v>
      </c>
      <c r="H14384" s="1" t="s">
        <v>0</v>
      </c>
      <c r="I14384" s="2">
        <v>0</v>
      </c>
      <c r="J14384" s="1">
        <v>45930.492997685185</v>
      </c>
    </row>
    <row r="14385" spans="1:10" x14ac:dyDescent="0.2">
      <c r="A14385" s="4" t="s">
        <v>1</v>
      </c>
      <c r="B14385" s="3" t="str">
        <f>HYPERLINK("https://otsuka-europe-crm.veevavault.com/ui/#object/approved_document__v/V5OZ025E82TN2QL", "LUP - Invitación simposio SEN 2025 - nefro")</f>
        <v>LUP - Invitación simposio SEN 2025 - nefro</v>
      </c>
      <c r="C14385" s="3" t="str">
        <f>HYPERLINK("https://otsuka-europe-crm.veevavault.com/ui/#object/sent_email__v/VBLZ025E82H4XFI", "SE-000281996")</f>
        <v>SE-000281996</v>
      </c>
      <c r="D14385" s="1" t="s">
        <v>0</v>
      </c>
      <c r="E14385" s="2">
        <v>0</v>
      </c>
      <c r="F14385" s="2">
        <v>0</v>
      </c>
      <c r="G14385" s="2">
        <v>0</v>
      </c>
      <c r="H14385" s="1" t="s">
        <v>0</v>
      </c>
      <c r="I14385" s="2">
        <v>0</v>
      </c>
      <c r="J14385" s="1">
        <v>45930.492789351854</v>
      </c>
    </row>
    <row r="14386" spans="1:10" x14ac:dyDescent="0.2">
      <c r="A14386" s="4" t="s">
        <v>1</v>
      </c>
      <c r="B14386" s="3" t="str">
        <f>HYPERLINK("https://otsuka-europe-crm.veevavault.com/ui/#object/approved_document__v/V5OZ025E82TN2QL", "LUP - Invitación simposio SEN 2025 - nefro")</f>
        <v>LUP - Invitación simposio SEN 2025 - nefro</v>
      </c>
      <c r="C14386" s="3" t="str">
        <f>HYPERLINK("https://otsuka-europe-crm.veevavault.com/ui/#object/sent_email__v/VBLZ025E82H4XFJ", "SE-000281997")</f>
        <v>SE-000281997</v>
      </c>
      <c r="D14386" s="1" t="s">
        <v>0</v>
      </c>
      <c r="E14386" s="2">
        <v>0</v>
      </c>
      <c r="F14386" s="2">
        <v>0</v>
      </c>
      <c r="G14386" s="2">
        <v>0</v>
      </c>
      <c r="H14386" s="1" t="s">
        <v>0</v>
      </c>
      <c r="I14386" s="2">
        <v>0</v>
      </c>
      <c r="J14386" s="1">
        <v>45930.492951388886</v>
      </c>
    </row>
    <row r="14387" spans="1:10" x14ac:dyDescent="0.2">
      <c r="A14387" s="4" t="s">
        <v>1</v>
      </c>
      <c r="B14387" s="3" t="str">
        <f>HYPERLINK("https://otsuka-europe-crm.veevavault.com/ui/#object/approved_document__v/V5OZ025E82TN2QL", "LUP - Invitación simposio SEN 2025 - nefro")</f>
        <v>LUP - Invitación simposio SEN 2025 - nefro</v>
      </c>
      <c r="C14387" s="3" t="str">
        <f>HYPERLINK("https://otsuka-europe-crm.veevavault.com/ui/#object/sent_email__v/VBLZ025E82H4XFK", "SE-000281998")</f>
        <v>SE-000281998</v>
      </c>
      <c r="D14387" s="1" t="s">
        <v>0</v>
      </c>
      <c r="E14387" s="2">
        <v>0</v>
      </c>
      <c r="F14387" s="2">
        <v>0</v>
      </c>
      <c r="G14387" s="2">
        <v>0</v>
      </c>
      <c r="H14387" s="1" t="s">
        <v>0</v>
      </c>
      <c r="I14387" s="2">
        <v>0</v>
      </c>
      <c r="J14387" s="1">
        <v>45930.492789351854</v>
      </c>
    </row>
    <row r="14388" spans="1:10" x14ac:dyDescent="0.2">
      <c r="A14388" s="4" t="s">
        <v>1</v>
      </c>
      <c r="B14388" s="3" t="str">
        <f>HYPERLINK("https://otsuka-europe-crm.veevavault.com/ui/#object/approved_document__v/V5OZ025E82TN2QL", "LUP - Invitación simposio SEN 2025 - nefro")</f>
        <v>LUP - Invitación simposio SEN 2025 - nefro</v>
      </c>
      <c r="C14388" s="3" t="str">
        <f>HYPERLINK("https://otsuka-europe-crm.veevavault.com/ui/#object/sent_email__v/VBLZ025E82H4XFL", "SE-000281999")</f>
        <v>SE-000281999</v>
      </c>
      <c r="D14388" s="1" t="s">
        <v>0</v>
      </c>
      <c r="E14388" s="2">
        <v>0</v>
      </c>
      <c r="F14388" s="2">
        <v>0</v>
      </c>
      <c r="G14388" s="2">
        <v>0</v>
      </c>
      <c r="H14388" s="1" t="s">
        <v>0</v>
      </c>
      <c r="I14388" s="2">
        <v>0</v>
      </c>
      <c r="J14388" s="1">
        <v>45930.492939814816</v>
      </c>
    </row>
    <row r="14389" spans="1:10" x14ac:dyDescent="0.2">
      <c r="A14389" s="4" t="s">
        <v>1</v>
      </c>
      <c r="B14389" s="3" t="str">
        <f>HYPERLINK("https://otsuka-europe-crm.veevavault.com/ui/#object/approved_document__v/V5OZ025E82TN2QL", "LUP - Invitación simposio SEN 2025 - nefro")</f>
        <v>LUP - Invitación simposio SEN 2025 - nefro</v>
      </c>
      <c r="C14389" s="3" t="str">
        <f>HYPERLINK("https://otsuka-europe-crm.veevavault.com/ui/#object/sent_email__v/VBLZ025E82H4XFM", "SE-000282000")</f>
        <v>SE-000282000</v>
      </c>
      <c r="D14389" s="1" t="s">
        <v>0</v>
      </c>
      <c r="E14389" s="2">
        <v>0</v>
      </c>
      <c r="F14389" s="2">
        <v>0</v>
      </c>
      <c r="G14389" s="2">
        <v>0</v>
      </c>
      <c r="H14389" s="1" t="s">
        <v>0</v>
      </c>
      <c r="I14389" s="2">
        <v>0</v>
      </c>
      <c r="J14389" s="1">
        <v>45930.492812500001</v>
      </c>
    </row>
    <row r="14390" spans="1:10" x14ac:dyDescent="0.2">
      <c r="A14390" s="4" t="s">
        <v>1</v>
      </c>
      <c r="B14390" s="3" t="str">
        <f>HYPERLINK("https://otsuka-europe-crm.veevavault.com/ui/#object/approved_document__v/V5OZ025E82TN2QL", "LUP - Invitación simposio SEN 2025 - nefro")</f>
        <v>LUP - Invitación simposio SEN 2025 - nefro</v>
      </c>
      <c r="C14390" s="3" t="str">
        <f>HYPERLINK("https://otsuka-europe-crm.veevavault.com/ui/#object/sent_email__v/VBLZ025E82H4XFN", "SE-000282001")</f>
        <v>SE-000282001</v>
      </c>
      <c r="D14390" s="1" t="s">
        <v>0</v>
      </c>
      <c r="E14390" s="2">
        <v>0</v>
      </c>
      <c r="F14390" s="2">
        <v>0</v>
      </c>
      <c r="G14390" s="2">
        <v>0</v>
      </c>
      <c r="H14390" s="1" t="s">
        <v>0</v>
      </c>
      <c r="I14390" s="2">
        <v>0</v>
      </c>
      <c r="J14390" s="1">
        <v>45930.492951388886</v>
      </c>
    </row>
    <row r="14391" spans="1:10" x14ac:dyDescent="0.2">
      <c r="A14391" s="4" t="s">
        <v>1</v>
      </c>
      <c r="B14391" s="3" t="str">
        <f>HYPERLINK("https://otsuka-europe-crm.veevavault.com/ui/#object/approved_document__v/V5OZ025E82TN2QL", "LUP - Invitación simposio SEN 2025 - nefro")</f>
        <v>LUP - Invitación simposio SEN 2025 - nefro</v>
      </c>
      <c r="C14391" s="3" t="str">
        <f>HYPERLINK("https://otsuka-europe-crm.veevavault.com/ui/#object/sent_email__v/VBLZ025E82H4XFO", "SE-000282002")</f>
        <v>SE-000282002</v>
      </c>
      <c r="D14391" s="1" t="s">
        <v>0</v>
      </c>
      <c r="E14391" s="2">
        <v>0</v>
      </c>
      <c r="F14391" s="2">
        <v>0</v>
      </c>
      <c r="G14391" s="2">
        <v>0</v>
      </c>
      <c r="H14391" s="1" t="s">
        <v>0</v>
      </c>
      <c r="I14391" s="2">
        <v>0</v>
      </c>
      <c r="J14391" s="1">
        <v>45930.492812500001</v>
      </c>
    </row>
    <row r="14392" spans="1:10" x14ac:dyDescent="0.2">
      <c r="A14392" s="4" t="s">
        <v>1</v>
      </c>
      <c r="B14392" s="3" t="str">
        <f>HYPERLINK("https://otsuka-europe-crm.veevavault.com/ui/#object/approved_document__v/V5OZ025E82TN2QL", "LUP - Invitación simposio SEN 2025 - nefro")</f>
        <v>LUP - Invitación simposio SEN 2025 - nefro</v>
      </c>
      <c r="C14392" s="3" t="str">
        <f>HYPERLINK("https://otsuka-europe-crm.veevavault.com/ui/#object/sent_email__v/VBLZ025E82H4XFP", "SE-000282003")</f>
        <v>SE-000282003</v>
      </c>
      <c r="D14392" s="1" t="s">
        <v>0</v>
      </c>
      <c r="E14392" s="2">
        <v>0</v>
      </c>
      <c r="F14392" s="2">
        <v>0</v>
      </c>
      <c r="G14392" s="2">
        <v>0</v>
      </c>
      <c r="H14392" s="1" t="s">
        <v>0</v>
      </c>
      <c r="I14392" s="2">
        <v>0</v>
      </c>
      <c r="J14392" s="1">
        <v>45930.492974537039</v>
      </c>
    </row>
    <row r="14393" spans="1:10" x14ac:dyDescent="0.2">
      <c r="A14393" s="4" t="s">
        <v>1</v>
      </c>
      <c r="B14393" s="3" t="str">
        <f>HYPERLINK("https://otsuka-europe-crm.veevavault.com/ui/#object/approved_document__v/V5OZ025E82TN2QL", "LUP - Invitación simposio SEN 2025 - nefro")</f>
        <v>LUP - Invitación simposio SEN 2025 - nefro</v>
      </c>
      <c r="C14393" s="3" t="str">
        <f>HYPERLINK("https://otsuka-europe-crm.veevavault.com/ui/#object/sent_email__v/VBLZ025E82H4XFQ", "SE-000282004")</f>
        <v>SE-000282004</v>
      </c>
      <c r="D14393" s="1" t="s">
        <v>0</v>
      </c>
      <c r="E14393" s="2">
        <v>0</v>
      </c>
      <c r="F14393" s="2">
        <v>0</v>
      </c>
      <c r="G14393" s="2">
        <v>0</v>
      </c>
      <c r="H14393" s="1" t="s">
        <v>0</v>
      </c>
      <c r="I14393" s="2">
        <v>0</v>
      </c>
      <c r="J14393" s="1">
        <v>45930.492928240739</v>
      </c>
    </row>
    <row r="14394" spans="1:10" x14ac:dyDescent="0.2">
      <c r="A14394" s="4" t="s">
        <v>1</v>
      </c>
      <c r="B14394" s="3" t="str">
        <f>HYPERLINK("https://otsuka-europe-crm.veevavault.com/ui/#object/approved_document__v/V5OZ025E82TN2QL", "LUP - Invitación simposio SEN 2025 - nefro")</f>
        <v>LUP - Invitación simposio SEN 2025 - nefro</v>
      </c>
      <c r="C14394" s="3" t="str">
        <f>HYPERLINK("https://otsuka-europe-crm.veevavault.com/ui/#object/sent_email__v/VBLZ025E82H4XFR", "SE-000282005")</f>
        <v>SE-000282005</v>
      </c>
      <c r="D14394" s="1" t="s">
        <v>0</v>
      </c>
      <c r="E14394" s="2">
        <v>0</v>
      </c>
      <c r="F14394" s="2">
        <v>0</v>
      </c>
      <c r="G14394" s="2">
        <v>0</v>
      </c>
      <c r="H14394" s="1" t="s">
        <v>0</v>
      </c>
      <c r="I14394" s="2">
        <v>0</v>
      </c>
      <c r="J14394" s="1">
        <v>45930.492777777778</v>
      </c>
    </row>
    <row r="14395" spans="1:10" x14ac:dyDescent="0.2">
      <c r="A14395" s="4" t="s">
        <v>1</v>
      </c>
      <c r="B14395" s="3" t="str">
        <f>HYPERLINK("https://otsuka-europe-crm.veevavault.com/ui/#object/approved_document__v/V5OZ025E82TN2QL", "LUP - Invitación simposio SEN 2025 - nefro")</f>
        <v>LUP - Invitación simposio SEN 2025 - nefro</v>
      </c>
      <c r="C14395" s="3" t="str">
        <f>HYPERLINK("https://otsuka-europe-crm.veevavault.com/ui/#object/sent_email__v/VBLZ025E82H4XFS", "SE-000282006")</f>
        <v>SE-000282006</v>
      </c>
      <c r="D14395" s="1" t="s">
        <v>0</v>
      </c>
      <c r="E14395" s="2">
        <v>0</v>
      </c>
      <c r="F14395" s="2">
        <v>0</v>
      </c>
      <c r="G14395" s="2">
        <v>0</v>
      </c>
      <c r="H14395" s="1" t="s">
        <v>0</v>
      </c>
      <c r="I14395" s="2">
        <v>0</v>
      </c>
      <c r="J14395" s="1">
        <v>45930.492905092593</v>
      </c>
    </row>
    <row r="14396" spans="1:10" x14ac:dyDescent="0.2">
      <c r="A14396" s="4" t="s">
        <v>1</v>
      </c>
      <c r="B14396" s="3" t="str">
        <f>HYPERLINK("https://otsuka-europe-crm.veevavault.com/ui/#object/approved_document__v/V5OZ025E82TN2QL", "LUP - Invitación simposio SEN 2025 - nefro")</f>
        <v>LUP - Invitación simposio SEN 2025 - nefro</v>
      </c>
      <c r="C14396" s="3" t="str">
        <f>HYPERLINK("https://otsuka-europe-crm.veevavault.com/ui/#object/sent_email__v/VBLZ025E82H4XFT", "SE-000282007")</f>
        <v>SE-000282007</v>
      </c>
      <c r="D14396" s="1" t="s">
        <v>0</v>
      </c>
      <c r="E14396" s="2">
        <v>0</v>
      </c>
      <c r="F14396" s="2">
        <v>0</v>
      </c>
      <c r="G14396" s="2">
        <v>0</v>
      </c>
      <c r="H14396" s="1" t="s">
        <v>0</v>
      </c>
      <c r="I14396" s="2">
        <v>0</v>
      </c>
      <c r="J14396" s="1">
        <v>45930.492754629631</v>
      </c>
    </row>
    <row r="14397" spans="1:10" x14ac:dyDescent="0.2">
      <c r="A14397" s="4" t="s">
        <v>1</v>
      </c>
      <c r="B14397" s="3" t="str">
        <f>HYPERLINK("https://otsuka-europe-crm.veevavault.com/ui/#object/approved_document__v/V5OZ025E82TN2QL", "LUP - Invitación simposio SEN 2025 - nefro")</f>
        <v>LUP - Invitación simposio SEN 2025 - nefro</v>
      </c>
      <c r="C14397" s="3" t="str">
        <f>HYPERLINK("https://otsuka-europe-crm.veevavault.com/ui/#object/sent_email__v/VBLZ025E82H4XFU", "SE-000282008")</f>
        <v>SE-000282008</v>
      </c>
      <c r="D14397" s="1">
        <v>45931.966319444444</v>
      </c>
      <c r="E14397" s="2">
        <v>1</v>
      </c>
      <c r="F14397" s="2">
        <v>2</v>
      </c>
      <c r="G14397" s="2">
        <v>0</v>
      </c>
      <c r="H14397" s="1" t="s">
        <v>0</v>
      </c>
      <c r="I14397" s="2">
        <v>0</v>
      </c>
      <c r="J14397" s="1">
        <v>45930.492893518516</v>
      </c>
    </row>
    <row r="14398" spans="1:10" x14ac:dyDescent="0.2">
      <c r="A14398" s="4" t="s">
        <v>1</v>
      </c>
      <c r="B14398" s="3" t="str">
        <f>HYPERLINK("https://otsuka-europe-crm.veevavault.com/ui/#object/approved_document__v/V5OZ025E82TN2QL", "LUP - Invitación simposio SEN 2025 - nefro")</f>
        <v>LUP - Invitación simposio SEN 2025 - nefro</v>
      </c>
      <c r="C14398" s="3" t="str">
        <f>HYPERLINK("https://otsuka-europe-crm.veevavault.com/ui/#object/sent_email__v/VBLZ025E82H4XQ1", "SE-000282011")</f>
        <v>SE-000282011</v>
      </c>
      <c r="D14398" s="1" t="s">
        <v>0</v>
      </c>
      <c r="E14398" s="2">
        <v>0</v>
      </c>
      <c r="F14398" s="2">
        <v>0</v>
      </c>
      <c r="G14398" s="2">
        <v>0</v>
      </c>
      <c r="H14398" s="1" t="s">
        <v>0</v>
      </c>
      <c r="I14398" s="2">
        <v>0</v>
      </c>
      <c r="J14398" s="1">
        <v>45930.493657407409</v>
      </c>
    </row>
    <row r="14399" spans="1:10" x14ac:dyDescent="0.2">
      <c r="A14399" s="4" t="s">
        <v>1</v>
      </c>
      <c r="B14399" s="3" t="str">
        <f>HYPERLINK("https://otsuka-europe-crm.veevavault.com/ui/#object/approved_document__v/V5OZ025E82TN2QL", "LUP - Invitación simposio SEN 2025 - nefro")</f>
        <v>LUP - Invitación simposio SEN 2025 - nefro</v>
      </c>
      <c r="C14399" s="3" t="str">
        <f>HYPERLINK("https://otsuka-europe-crm.veevavault.com/ui/#object/sent_email__v/VBLZ025E82H4XQ2", "SE-000282012")</f>
        <v>SE-000282012</v>
      </c>
      <c r="D14399" s="1" t="s">
        <v>0</v>
      </c>
      <c r="E14399" s="2">
        <v>0</v>
      </c>
      <c r="F14399" s="2">
        <v>0</v>
      </c>
      <c r="G14399" s="2">
        <v>0</v>
      </c>
      <c r="H14399" s="1" t="s">
        <v>0</v>
      </c>
      <c r="I14399" s="2">
        <v>0</v>
      </c>
      <c r="J14399" s="1">
        <v>45930.493796296294</v>
      </c>
    </row>
    <row r="14400" spans="1:10" x14ac:dyDescent="0.2">
      <c r="A14400" s="4" t="s">
        <v>1</v>
      </c>
      <c r="B14400" s="3" t="str">
        <f>HYPERLINK("https://otsuka-europe-crm.veevavault.com/ui/#object/approved_document__v/V5OZ025E82TN2QL", "LUP - Invitación simposio SEN 2025 - nefro")</f>
        <v>LUP - Invitación simposio SEN 2025 - nefro</v>
      </c>
      <c r="C14400" s="3" t="str">
        <f>HYPERLINK("https://otsuka-europe-crm.veevavault.com/ui/#object/sent_email__v/VBLZ025E82H4XQ3", "SE-000282013")</f>
        <v>SE-000282013</v>
      </c>
      <c r="D14400" s="1" t="s">
        <v>0</v>
      </c>
      <c r="E14400" s="2">
        <v>0</v>
      </c>
      <c r="F14400" s="2">
        <v>0</v>
      </c>
      <c r="G14400" s="2">
        <v>0</v>
      </c>
      <c r="H14400" s="1" t="s">
        <v>0</v>
      </c>
      <c r="I14400" s="2">
        <v>0</v>
      </c>
      <c r="J14400" s="1">
        <v>45930.493645833332</v>
      </c>
    </row>
    <row r="14401" spans="1:10" x14ac:dyDescent="0.2">
      <c r="A14401" s="4" t="s">
        <v>1</v>
      </c>
      <c r="B14401" s="3" t="str">
        <f>HYPERLINK("https://otsuka-europe-crm.veevavault.com/ui/#object/approved_document__v/V5OZ025E82TN2QL", "LUP - Invitación simposio SEN 2025 - nefro")</f>
        <v>LUP - Invitación simposio SEN 2025 - nefro</v>
      </c>
      <c r="C14401" s="3" t="str">
        <f>HYPERLINK("https://otsuka-europe-crm.veevavault.com/ui/#object/sent_email__v/VBLZ025E82H4XQ4", "SE-000282014")</f>
        <v>SE-000282014</v>
      </c>
      <c r="D14401" s="1">
        <v>45930.932581018518</v>
      </c>
      <c r="E14401" s="2">
        <v>1</v>
      </c>
      <c r="F14401" s="2">
        <v>1</v>
      </c>
      <c r="G14401" s="2">
        <v>0</v>
      </c>
      <c r="H14401" s="1" t="s">
        <v>0</v>
      </c>
      <c r="I14401" s="2">
        <v>0</v>
      </c>
      <c r="J14401" s="1">
        <v>45930.493842592594</v>
      </c>
    </row>
    <row r="14402" spans="1:10" x14ac:dyDescent="0.2">
      <c r="A14402" s="4" t="s">
        <v>1</v>
      </c>
      <c r="B14402" s="3" t="str">
        <f>HYPERLINK("https://otsuka-europe-crm.veevavault.com/ui/#object/approved_document__v/V5OZ025E82TN2QL", "LUP - Invitación simposio SEN 2025 - nefro")</f>
        <v>LUP - Invitación simposio SEN 2025 - nefro</v>
      </c>
      <c r="C14402" s="3" t="str">
        <f>HYPERLINK("https://otsuka-europe-crm.veevavault.com/ui/#object/sent_email__v/VBLZ025E82H4XQ5", "SE-000282015")</f>
        <v>SE-000282015</v>
      </c>
      <c r="D14402" s="1" t="s">
        <v>0</v>
      </c>
      <c r="E14402" s="2">
        <v>0</v>
      </c>
      <c r="F14402" s="2">
        <v>0</v>
      </c>
      <c r="G14402" s="2">
        <v>0</v>
      </c>
      <c r="H14402" s="1" t="s">
        <v>0</v>
      </c>
      <c r="I14402" s="2">
        <v>0</v>
      </c>
      <c r="J14402" s="1">
        <v>45930.493726851855</v>
      </c>
    </row>
    <row r="14403" spans="1:10" x14ac:dyDescent="0.2">
      <c r="A14403" s="4" t="s">
        <v>1</v>
      </c>
      <c r="B14403" s="3" t="str">
        <f>HYPERLINK("https://otsuka-europe-crm.veevavault.com/ui/#object/approved_document__v/V5OZ025E82TN2QL", "LUP - Invitación simposio SEN 2025 - nefro")</f>
        <v>LUP - Invitación simposio SEN 2025 - nefro</v>
      </c>
      <c r="C14403" s="3" t="str">
        <f>HYPERLINK("https://otsuka-europe-crm.veevavault.com/ui/#object/sent_email__v/VBLZ025E82H4XQ6", "SE-000282016")</f>
        <v>SE-000282016</v>
      </c>
      <c r="D14403" s="1" t="s">
        <v>0</v>
      </c>
      <c r="E14403" s="2">
        <v>0</v>
      </c>
      <c r="F14403" s="2">
        <v>0</v>
      </c>
      <c r="G14403" s="2">
        <v>0</v>
      </c>
      <c r="H14403" s="1" t="s">
        <v>0</v>
      </c>
      <c r="I14403" s="2">
        <v>0</v>
      </c>
      <c r="J14403" s="1">
        <v>45930.49386574074</v>
      </c>
    </row>
    <row r="14404" spans="1:10" x14ac:dyDescent="0.2">
      <c r="A14404" s="4" t="s">
        <v>1</v>
      </c>
      <c r="B14404" s="3" t="str">
        <f>HYPERLINK("https://otsuka-europe-crm.veevavault.com/ui/#object/approved_document__v/V5OZ025E82TN2QL", "LUP - Invitación simposio SEN 2025 - nefro")</f>
        <v>LUP - Invitación simposio SEN 2025 - nefro</v>
      </c>
      <c r="C14404" s="3" t="str">
        <f>HYPERLINK("https://otsuka-europe-crm.veevavault.com/ui/#object/sent_email__v/VBLZ025E82H4XQ7", "SE-000282017")</f>
        <v>SE-000282017</v>
      </c>
      <c r="D14404" s="1" t="s">
        <v>0</v>
      </c>
      <c r="E14404" s="2">
        <v>0</v>
      </c>
      <c r="F14404" s="2">
        <v>0</v>
      </c>
      <c r="G14404" s="2">
        <v>0</v>
      </c>
      <c r="H14404" s="1" t="s">
        <v>0</v>
      </c>
      <c r="I14404" s="2">
        <v>0</v>
      </c>
      <c r="J14404" s="1">
        <v>45930.493680555555</v>
      </c>
    </row>
    <row r="14405" spans="1:10" x14ac:dyDescent="0.2">
      <c r="A14405" s="4" t="s">
        <v>1</v>
      </c>
      <c r="B14405" s="3" t="str">
        <f>HYPERLINK("https://otsuka-europe-crm.veevavault.com/ui/#object/approved_document__v/V5OZ025E82TN2QL", "LUP - Invitación simposio SEN 2025 - nefro")</f>
        <v>LUP - Invitación simposio SEN 2025 - nefro</v>
      </c>
      <c r="C14405" s="3" t="str">
        <f>HYPERLINK("https://otsuka-europe-crm.veevavault.com/ui/#object/sent_email__v/VBLZ025E82H4XQ8", "SE-000282018")</f>
        <v>SE-000282018</v>
      </c>
      <c r="D14405" s="1" t="s">
        <v>0</v>
      </c>
      <c r="E14405" s="2">
        <v>0</v>
      </c>
      <c r="F14405" s="2">
        <v>0</v>
      </c>
      <c r="G14405" s="2">
        <v>0</v>
      </c>
      <c r="H14405" s="1" t="s">
        <v>0</v>
      </c>
      <c r="I14405" s="2">
        <v>0</v>
      </c>
      <c r="J14405" s="1">
        <v>45930.493761574071</v>
      </c>
    </row>
    <row r="14406" spans="1:10" x14ac:dyDescent="0.2">
      <c r="A14406" s="4" t="s">
        <v>1</v>
      </c>
      <c r="B14406" s="3" t="str">
        <f>HYPERLINK("https://otsuka-europe-crm.veevavault.com/ui/#object/approved_document__v/V5OZ025E82TN2QL", "LUP - Invitación simposio SEN 2025 - nefro")</f>
        <v>LUP - Invitación simposio SEN 2025 - nefro</v>
      </c>
      <c r="C14406" s="3" t="str">
        <f>HYPERLINK("https://otsuka-europe-crm.veevavault.com/ui/#object/sent_email__v/VBLZ025E82H4XQ9", "SE-000282019")</f>
        <v>SE-000282019</v>
      </c>
      <c r="D14406" s="1" t="s">
        <v>0</v>
      </c>
      <c r="E14406" s="2">
        <v>0</v>
      </c>
      <c r="F14406" s="2">
        <v>0</v>
      </c>
      <c r="G14406" s="2">
        <v>0</v>
      </c>
      <c r="H14406" s="1" t="s">
        <v>0</v>
      </c>
      <c r="I14406" s="2">
        <v>0</v>
      </c>
      <c r="J14406" s="1">
        <v>45930.493900462963</v>
      </c>
    </row>
    <row r="14407" spans="1:10" x14ac:dyDescent="0.2">
      <c r="A14407" s="4" t="s">
        <v>1</v>
      </c>
      <c r="B14407" s="3" t="str">
        <f>HYPERLINK("https://otsuka-europe-crm.veevavault.com/ui/#object/approved_document__v/V5OZ025E82TN2QL", "LUP - Invitación simposio SEN 2025 - nefro")</f>
        <v>LUP - Invitación simposio SEN 2025 - nefro</v>
      </c>
      <c r="C14407" s="3" t="str">
        <f>HYPERLINK("https://otsuka-europe-crm.veevavault.com/ui/#object/sent_email__v/VBLZ025E82H4XQA", "SE-000282020")</f>
        <v>SE-000282020</v>
      </c>
      <c r="D14407" s="1" t="s">
        <v>0</v>
      </c>
      <c r="E14407" s="2">
        <v>0</v>
      </c>
      <c r="F14407" s="2">
        <v>0</v>
      </c>
      <c r="G14407" s="2">
        <v>0</v>
      </c>
      <c r="H14407" s="1" t="s">
        <v>0</v>
      </c>
      <c r="I14407" s="2">
        <v>0</v>
      </c>
      <c r="J14407" s="1">
        <v>45930.493738425925</v>
      </c>
    </row>
    <row r="14408" spans="1:10" x14ac:dyDescent="0.2">
      <c r="A14408" s="4" t="s">
        <v>1</v>
      </c>
      <c r="B14408" s="3" t="str">
        <f>HYPERLINK("https://otsuka-europe-crm.veevavault.com/ui/#object/approved_document__v/V5OZ025E82TN2QL", "LUP - Invitación simposio SEN 2025 - nefro")</f>
        <v>LUP - Invitación simposio SEN 2025 - nefro</v>
      </c>
      <c r="C14408" s="3" t="str">
        <f>HYPERLINK("https://otsuka-europe-crm.veevavault.com/ui/#object/sent_email__v/VBLZ025E82H4XQB", "SE-000282021")</f>
        <v>SE-000282021</v>
      </c>
      <c r="D14408" s="1" t="s">
        <v>0</v>
      </c>
      <c r="E14408" s="2">
        <v>0</v>
      </c>
      <c r="F14408" s="2">
        <v>0</v>
      </c>
      <c r="G14408" s="2">
        <v>0</v>
      </c>
      <c r="H14408" s="1" t="s">
        <v>0</v>
      </c>
      <c r="I14408" s="2">
        <v>0</v>
      </c>
      <c r="J14408" s="1">
        <v>45930.493877314817</v>
      </c>
    </row>
    <row r="14409" spans="1:10" x14ac:dyDescent="0.2">
      <c r="A14409" s="4" t="s">
        <v>1</v>
      </c>
      <c r="B14409" s="3" t="str">
        <f>HYPERLINK("https://otsuka-europe-crm.veevavault.com/ui/#object/approved_document__v/V5OZ025E82TN2QL", "LUP - Invitación simposio SEN 2025 - nefro")</f>
        <v>LUP - Invitación simposio SEN 2025 - nefro</v>
      </c>
      <c r="C14409" s="3" t="str">
        <f>HYPERLINK("https://otsuka-europe-crm.veevavault.com/ui/#object/sent_email__v/VBLZ025E82H4XQC", "SE-000282022")</f>
        <v>SE-000282022</v>
      </c>
      <c r="D14409" s="1" t="s">
        <v>0</v>
      </c>
      <c r="E14409" s="2">
        <v>0</v>
      </c>
      <c r="F14409" s="2">
        <v>0</v>
      </c>
      <c r="G14409" s="2">
        <v>0</v>
      </c>
      <c r="H14409" s="1" t="s">
        <v>0</v>
      </c>
      <c r="I14409" s="2">
        <v>0</v>
      </c>
      <c r="J14409" s="1">
        <v>45930.493750000001</v>
      </c>
    </row>
    <row r="14410" spans="1:10" x14ac:dyDescent="0.2">
      <c r="A14410" s="4" t="s">
        <v>1</v>
      </c>
      <c r="B14410" s="3" t="str">
        <f>HYPERLINK("https://otsuka-europe-crm.veevavault.com/ui/#object/approved_document__v/V5OZ025E82TN2QL", "LUP - Invitación simposio SEN 2025 - nefro")</f>
        <v>LUP - Invitación simposio SEN 2025 - nefro</v>
      </c>
      <c r="C14410" s="3" t="str">
        <f>HYPERLINK("https://otsuka-europe-crm.veevavault.com/ui/#object/sent_email__v/VBLZ025E82H4XQD", "SE-000282023")</f>
        <v>SE-000282023</v>
      </c>
      <c r="D14410" s="1" t="s">
        <v>0</v>
      </c>
      <c r="E14410" s="2">
        <v>0</v>
      </c>
      <c r="F14410" s="2">
        <v>0</v>
      </c>
      <c r="G14410" s="2">
        <v>0</v>
      </c>
      <c r="H14410" s="1" t="s">
        <v>0</v>
      </c>
      <c r="I14410" s="2">
        <v>0</v>
      </c>
      <c r="J14410" s="1">
        <v>45930.49386574074</v>
      </c>
    </row>
    <row r="14411" spans="1:10" x14ac:dyDescent="0.2">
      <c r="A14411" s="4" t="s">
        <v>1</v>
      </c>
      <c r="B14411" s="3" t="str">
        <f>HYPERLINK("https://otsuka-europe-crm.veevavault.com/ui/#object/approved_document__v/V5OZ025E82TN2QL", "LUP - Invitación simposio SEN 2025 - nefro")</f>
        <v>LUP - Invitación simposio SEN 2025 - nefro</v>
      </c>
      <c r="C14411" s="3" t="str">
        <f>HYPERLINK("https://otsuka-europe-crm.veevavault.com/ui/#object/sent_email__v/VBLZ025E82H4XQE", "SE-000282024")</f>
        <v>SE-000282024</v>
      </c>
      <c r="D14411" s="1" t="s">
        <v>0</v>
      </c>
      <c r="E14411" s="2">
        <v>0</v>
      </c>
      <c r="F14411" s="2">
        <v>0</v>
      </c>
      <c r="G14411" s="2">
        <v>0</v>
      </c>
      <c r="H14411" s="1" t="s">
        <v>0</v>
      </c>
      <c r="I14411" s="2">
        <v>0</v>
      </c>
      <c r="J14411" s="1">
        <v>45930.493750000001</v>
      </c>
    </row>
    <row r="14412" spans="1:10" x14ac:dyDescent="0.2">
      <c r="A14412" s="4" t="s">
        <v>1</v>
      </c>
      <c r="B14412" s="3" t="str">
        <f>HYPERLINK("https://otsuka-europe-crm.veevavault.com/ui/#object/approved_document__v/V5OZ025E82TN2QL", "LUP - Invitación simposio SEN 2025 - nefro")</f>
        <v>LUP - Invitación simposio SEN 2025 - nefro</v>
      </c>
      <c r="C14412" s="3" t="str">
        <f>HYPERLINK("https://otsuka-europe-crm.veevavault.com/ui/#object/sent_email__v/VBLZ025E82H4XQF", "SE-000282025")</f>
        <v>SE-000282025</v>
      </c>
      <c r="D14412" s="1" t="s">
        <v>0</v>
      </c>
      <c r="E14412" s="2">
        <v>0</v>
      </c>
      <c r="F14412" s="2">
        <v>0</v>
      </c>
      <c r="G14412" s="2">
        <v>0</v>
      </c>
      <c r="H14412" s="1" t="s">
        <v>0</v>
      </c>
      <c r="I14412" s="2">
        <v>0</v>
      </c>
      <c r="J14412" s="1">
        <v>45930.493888888886</v>
      </c>
    </row>
    <row r="14413" spans="1:10" x14ac:dyDescent="0.2">
      <c r="A14413" s="4" t="s">
        <v>1</v>
      </c>
      <c r="B14413" s="3" t="str">
        <f>HYPERLINK("https://otsuka-europe-crm.veevavault.com/ui/#object/approved_document__v/V5OZ025E82TN2QL", "LUP - Invitación simposio SEN 2025 - nefro")</f>
        <v>LUP - Invitación simposio SEN 2025 - nefro</v>
      </c>
      <c r="C14413" s="3" t="str">
        <f>HYPERLINK("https://otsuka-europe-crm.veevavault.com/ui/#object/sent_email__v/VBLZ025E82H4XQG", "SE-000282026")</f>
        <v>SE-000282026</v>
      </c>
      <c r="D14413" s="1" t="s">
        <v>0</v>
      </c>
      <c r="E14413" s="2">
        <v>0</v>
      </c>
      <c r="F14413" s="2">
        <v>0</v>
      </c>
      <c r="G14413" s="2">
        <v>0</v>
      </c>
      <c r="H14413" s="1" t="s">
        <v>0</v>
      </c>
      <c r="I14413" s="2">
        <v>0</v>
      </c>
      <c r="J14413" s="1">
        <v>45930.493738425925</v>
      </c>
    </row>
    <row r="14414" spans="1:10" x14ac:dyDescent="0.2">
      <c r="A14414" s="4" t="s">
        <v>1</v>
      </c>
      <c r="B14414" s="3" t="str">
        <f>HYPERLINK("https://otsuka-europe-crm.veevavault.com/ui/#object/approved_document__v/V5OZ025E82TN2QL", "LUP - Invitación simposio SEN 2025 - nefro")</f>
        <v>LUP - Invitación simposio SEN 2025 - nefro</v>
      </c>
      <c r="C14414" s="3" t="str">
        <f>HYPERLINK("https://otsuka-europe-crm.veevavault.com/ui/#object/sent_email__v/VBLZ025E82H4XQH", "SE-000282027")</f>
        <v>SE-000282027</v>
      </c>
      <c r="D14414" s="1" t="s">
        <v>0</v>
      </c>
      <c r="E14414" s="2">
        <v>0</v>
      </c>
      <c r="F14414" s="2">
        <v>0</v>
      </c>
      <c r="G14414" s="2">
        <v>0</v>
      </c>
      <c r="H14414" s="1" t="s">
        <v>0</v>
      </c>
      <c r="I14414" s="2">
        <v>0</v>
      </c>
      <c r="J14414" s="1">
        <v>45930.493877314817</v>
      </c>
    </row>
    <row r="14415" spans="1:10" x14ac:dyDescent="0.2">
      <c r="A14415" s="4" t="s">
        <v>1</v>
      </c>
      <c r="B14415" s="3" t="str">
        <f>HYPERLINK("https://otsuka-europe-crm.veevavault.com/ui/#object/approved_document__v/V5OZ025E82TN2QL", "LUP - Invitación simposio SEN 2025 - nefro")</f>
        <v>LUP - Invitación simposio SEN 2025 - nefro</v>
      </c>
      <c r="C14415" s="3" t="str">
        <f>HYPERLINK("https://otsuka-europe-crm.veevavault.com/ui/#object/sent_email__v/VBLZ025E82H4XQI", "SE-000282028")</f>
        <v>SE-000282028</v>
      </c>
      <c r="D14415" s="1" t="s">
        <v>0</v>
      </c>
      <c r="E14415" s="2">
        <v>0</v>
      </c>
      <c r="F14415" s="2">
        <v>0</v>
      </c>
      <c r="G14415" s="2">
        <v>0</v>
      </c>
      <c r="H14415" s="1" t="s">
        <v>0</v>
      </c>
      <c r="I14415" s="2">
        <v>0</v>
      </c>
      <c r="J14415" s="1">
        <v>45930.493807870371</v>
      </c>
    </row>
    <row r="14416" spans="1:10" x14ac:dyDescent="0.2">
      <c r="A14416" s="4" t="s">
        <v>1</v>
      </c>
      <c r="B14416" s="3" t="str">
        <f>HYPERLINK("https://otsuka-europe-crm.veevavault.com/ui/#object/approved_document__v/V5OZ025E82TN2QL", "LUP - Invitación simposio SEN 2025 - nefro")</f>
        <v>LUP - Invitación simposio SEN 2025 - nefro</v>
      </c>
      <c r="C14416" s="3" t="str">
        <f>HYPERLINK("https://otsuka-europe-crm.veevavault.com/ui/#object/sent_email__v/VBLZ025E82H4XQJ", "SE-000282029")</f>
        <v>SE-000282029</v>
      </c>
      <c r="D14416" s="1" t="s">
        <v>0</v>
      </c>
      <c r="E14416" s="2">
        <v>0</v>
      </c>
      <c r="F14416" s="2">
        <v>0</v>
      </c>
      <c r="G14416" s="2">
        <v>0</v>
      </c>
      <c r="H14416" s="1" t="s">
        <v>0</v>
      </c>
      <c r="I14416" s="2">
        <v>0</v>
      </c>
      <c r="J14416" s="1">
        <v>45930.493657407409</v>
      </c>
    </row>
    <row r="14417" spans="1:10" x14ac:dyDescent="0.2">
      <c r="A14417" s="4" t="s">
        <v>1</v>
      </c>
      <c r="B14417" s="3" t="str">
        <f>HYPERLINK("https://otsuka-europe-crm.veevavault.com/ui/#object/approved_document__v/V5OZ025E82TN2QL", "LUP - Invitación simposio SEN 2025 - nefro")</f>
        <v>LUP - Invitación simposio SEN 2025 - nefro</v>
      </c>
      <c r="C14417" s="3" t="str">
        <f>HYPERLINK("https://otsuka-europe-crm.veevavault.com/ui/#object/sent_email__v/VBLZ025E82H4XQK", "SE-000282030")</f>
        <v>SE-000282030</v>
      </c>
      <c r="D14417" s="1" t="s">
        <v>0</v>
      </c>
      <c r="E14417" s="2">
        <v>0</v>
      </c>
      <c r="F14417" s="2">
        <v>0</v>
      </c>
      <c r="G14417" s="2">
        <v>0</v>
      </c>
      <c r="H14417" s="1" t="s">
        <v>0</v>
      </c>
      <c r="I14417" s="2">
        <v>0</v>
      </c>
      <c r="J14417" s="1">
        <v>45930.493819444448</v>
      </c>
    </row>
    <row r="14418" spans="1:10" x14ac:dyDescent="0.2">
      <c r="A14418" s="4" t="s">
        <v>1</v>
      </c>
      <c r="B14418" s="3" t="str">
        <f>HYPERLINK("https://otsuka-europe-crm.veevavault.com/ui/#object/approved_document__v/V5OZ025E82TN2QL", "LUP - Invitación simposio SEN 2025 - nefro")</f>
        <v>LUP - Invitación simposio SEN 2025 - nefro</v>
      </c>
      <c r="C14418" s="3" t="str">
        <f>HYPERLINK("https://otsuka-europe-crm.veevavault.com/ui/#object/sent_email__v/VBLZ025E82H4XQL", "SE-000282031")</f>
        <v>SE-000282031</v>
      </c>
      <c r="D14418" s="1">
        <v>45930.571840277778</v>
      </c>
      <c r="E14418" s="2">
        <v>1</v>
      </c>
      <c r="F14418" s="2">
        <v>1</v>
      </c>
      <c r="G14418" s="2">
        <v>0</v>
      </c>
      <c r="H14418" s="1" t="s">
        <v>0</v>
      </c>
      <c r="I14418" s="2">
        <v>0</v>
      </c>
      <c r="J14418" s="1">
        <v>45930.493657407409</v>
      </c>
    </row>
    <row r="14419" spans="1:10" x14ac:dyDescent="0.2">
      <c r="A14419" s="4" t="s">
        <v>1</v>
      </c>
      <c r="B14419" s="3" t="str">
        <f>HYPERLINK("https://otsuka-europe-crm.veevavault.com/ui/#object/approved_document__v/V5OZ025E82TN2QL", "LUP - Invitación simposio SEN 2025 - nefro")</f>
        <v>LUP - Invitación simposio SEN 2025 - nefro</v>
      </c>
      <c r="C14419" s="3" t="str">
        <f>HYPERLINK("https://otsuka-europe-crm.veevavault.com/ui/#object/sent_email__v/VBLZ025E82H4XQM", "SE-000282032")</f>
        <v>SE-000282032</v>
      </c>
      <c r="D14419" s="1" t="s">
        <v>0</v>
      </c>
      <c r="E14419" s="2">
        <v>0</v>
      </c>
      <c r="F14419" s="2">
        <v>0</v>
      </c>
      <c r="G14419" s="2">
        <v>0</v>
      </c>
      <c r="H14419" s="1" t="s">
        <v>0</v>
      </c>
      <c r="I14419" s="2">
        <v>0</v>
      </c>
      <c r="J14419" s="1">
        <v>45930.493784722225</v>
      </c>
    </row>
    <row r="14420" spans="1:10" x14ac:dyDescent="0.2">
      <c r="A14420" s="4" t="s">
        <v>1</v>
      </c>
      <c r="B14420" s="3" t="str">
        <f>HYPERLINK("https://otsuka-europe-crm.veevavault.com/ui/#object/approved_document__v/V5OZ025E82TN2QL", "LUP - Invitación simposio SEN 2025 - nefro")</f>
        <v>LUP - Invitación simposio SEN 2025 - nefro</v>
      </c>
      <c r="C14420" s="3" t="str">
        <f>HYPERLINK("https://otsuka-europe-crm.veevavault.com/ui/#object/sent_email__v/VBLZ025E82H4XQN", "SE-000282033")</f>
        <v>SE-000282033</v>
      </c>
      <c r="D14420" s="1" t="s">
        <v>0</v>
      </c>
      <c r="E14420" s="2">
        <v>0</v>
      </c>
      <c r="F14420" s="2">
        <v>0</v>
      </c>
      <c r="G14420" s="2">
        <v>0</v>
      </c>
      <c r="H14420" s="1" t="s">
        <v>0</v>
      </c>
      <c r="I14420" s="2">
        <v>0</v>
      </c>
      <c r="J14420" s="1">
        <v>45930.493634259263</v>
      </c>
    </row>
    <row r="14421" spans="1:10" x14ac:dyDescent="0.2">
      <c r="A14421" s="4" t="s">
        <v>1</v>
      </c>
      <c r="B14421" s="3" t="str">
        <f>HYPERLINK("https://otsuka-europe-crm.veevavault.com/ui/#object/approved_document__v/V5OZ025E82TN2QL", "LUP - Invitación simposio SEN 2025 - nefro")</f>
        <v>LUP - Invitación simposio SEN 2025 - nefro</v>
      </c>
      <c r="C14421" s="3" t="str">
        <f>HYPERLINK("https://otsuka-europe-crm.veevavault.com/ui/#object/sent_email__v/VBLZ025E82H4XQO", "SE-000282034")</f>
        <v>SE-000282034</v>
      </c>
      <c r="D14421" s="1" t="s">
        <v>0</v>
      </c>
      <c r="E14421" s="2">
        <v>0</v>
      </c>
      <c r="F14421" s="2">
        <v>0</v>
      </c>
      <c r="G14421" s="2">
        <v>0</v>
      </c>
      <c r="H14421" s="1" t="s">
        <v>0</v>
      </c>
      <c r="I14421" s="2">
        <v>0</v>
      </c>
      <c r="J14421" s="1">
        <v>45930.493773148148</v>
      </c>
    </row>
    <row r="14422" spans="1:10" x14ac:dyDescent="0.2">
      <c r="A14422" s="4" t="s">
        <v>1</v>
      </c>
      <c r="B14422" s="3" t="str">
        <f>HYPERLINK("https://otsuka-europe-crm.veevavault.com/ui/#object/approved_document__v/V5OZ025E82TN2QL", "LUP - Invitación simposio SEN 2025 - nefro")</f>
        <v>LUP - Invitación simposio SEN 2025 - nefro</v>
      </c>
      <c r="C14422" s="3" t="str">
        <f>HYPERLINK("https://otsuka-europe-crm.veevavault.com/ui/#object/sent_email__v/VBLZ025E82H4XQP", "SE-000282035")</f>
        <v>SE-000282035</v>
      </c>
      <c r="D14422" s="1" t="s">
        <v>0</v>
      </c>
      <c r="E14422" s="2">
        <v>0</v>
      </c>
      <c r="F14422" s="2">
        <v>0</v>
      </c>
      <c r="G14422" s="2">
        <v>0</v>
      </c>
      <c r="H14422" s="1" t="s">
        <v>0</v>
      </c>
      <c r="I14422" s="2">
        <v>0</v>
      </c>
      <c r="J14422" s="1">
        <v>45930.493622685186</v>
      </c>
    </row>
    <row r="14423" spans="1:10" x14ac:dyDescent="0.2">
      <c r="A14423" s="4" t="s">
        <v>1</v>
      </c>
      <c r="B14423" s="3" t="str">
        <f>HYPERLINK("https://otsuka-europe-crm.veevavault.com/ui/#object/approved_document__v/V5OZ025E82TN2QL", "LUP - Invitación simposio SEN 2025 - nefro")</f>
        <v>LUP - Invitación simposio SEN 2025 - nefro</v>
      </c>
      <c r="C14423" s="3" t="str">
        <f>HYPERLINK("https://otsuka-europe-crm.veevavault.com/ui/#object/sent_email__v/VBLZ025E82H4XQQ", "SE-000282036")</f>
        <v>SE-000282036</v>
      </c>
      <c r="D14423" s="1" t="s">
        <v>0</v>
      </c>
      <c r="E14423" s="2">
        <v>0</v>
      </c>
      <c r="F14423" s="2">
        <v>0</v>
      </c>
      <c r="G14423" s="2">
        <v>0</v>
      </c>
      <c r="H14423" s="1" t="s">
        <v>0</v>
      </c>
      <c r="I14423" s="2">
        <v>0</v>
      </c>
      <c r="J14423" s="1">
        <v>45930.493831018517</v>
      </c>
    </row>
    <row r="14424" spans="1:10" x14ac:dyDescent="0.2">
      <c r="A14424" s="4" t="s">
        <v>1</v>
      </c>
      <c r="B14424" s="3" t="str">
        <f>HYPERLINK("https://otsuka-europe-crm.veevavault.com/ui/#object/approved_document__v/V5OZ025E82TN2QL", "LUP - Invitación simposio SEN 2025 - nefro")</f>
        <v>LUP - Invitación simposio SEN 2025 - nefro</v>
      </c>
      <c r="C14424" s="3" t="str">
        <f>HYPERLINK("https://otsuka-europe-crm.veevavault.com/ui/#object/sent_email__v/VBLZ025E82H4XQR", "SE-000282037")</f>
        <v>SE-000282037</v>
      </c>
      <c r="D14424" s="1">
        <v>45930.919664351852</v>
      </c>
      <c r="E14424" s="2">
        <v>1</v>
      </c>
      <c r="F14424" s="2">
        <v>3</v>
      </c>
      <c r="G14424" s="2">
        <v>1</v>
      </c>
      <c r="H14424" s="1">
        <v>45930.739953703705</v>
      </c>
      <c r="I14424" s="2">
        <v>1</v>
      </c>
      <c r="J14424" s="1">
        <v>45930.493668981479</v>
      </c>
    </row>
    <row r="14425" spans="1:10" x14ac:dyDescent="0.2">
      <c r="A14425" s="4" t="s">
        <v>1</v>
      </c>
      <c r="B14425" s="3" t="str">
        <f>HYPERLINK("https://otsuka-europe-crm.veevavault.com/ui/#object/approved_document__v/V5OZ025E82TN2QL", "LUP - Invitación simposio SEN 2025 - nefro")</f>
        <v>LUP - Invitación simposio SEN 2025 - nefro</v>
      </c>
      <c r="C14425" s="3" t="str">
        <f>HYPERLINK("https://otsuka-europe-crm.veevavault.com/ui/#object/sent_email__v/VBLZ025E82H4XQS", "SE-000282038")</f>
        <v>SE-000282038</v>
      </c>
      <c r="D14425" s="1" t="s">
        <v>0</v>
      </c>
      <c r="E14425" s="2">
        <v>0</v>
      </c>
      <c r="F14425" s="2">
        <v>0</v>
      </c>
      <c r="G14425" s="2">
        <v>0</v>
      </c>
      <c r="H14425" s="1" t="s">
        <v>0</v>
      </c>
      <c r="I14425" s="2">
        <v>0</v>
      </c>
      <c r="J14425" s="1">
        <v>45930.493842592594</v>
      </c>
    </row>
    <row r="14426" spans="1:10" x14ac:dyDescent="0.2">
      <c r="A14426" s="4" t="s">
        <v>1</v>
      </c>
      <c r="B14426" s="3" t="str">
        <f>HYPERLINK("https://otsuka-europe-crm.veevavault.com/ui/#object/approved_document__v/V5OZ025E82TN2QL", "LUP - Invitación simposio SEN 2025 - nefro")</f>
        <v>LUP - Invitación simposio SEN 2025 - nefro</v>
      </c>
      <c r="C14426" s="3" t="str">
        <f>HYPERLINK("https://otsuka-europe-crm.veevavault.com/ui/#object/sent_email__v/VBLZ025E82H4XQT", "SE-000282039")</f>
        <v>SE-000282039</v>
      </c>
      <c r="D14426" s="1" t="s">
        <v>0</v>
      </c>
      <c r="E14426" s="2">
        <v>0</v>
      </c>
      <c r="F14426" s="2">
        <v>0</v>
      </c>
      <c r="G14426" s="2">
        <v>0</v>
      </c>
      <c r="H14426" s="1" t="s">
        <v>0</v>
      </c>
      <c r="I14426" s="2">
        <v>0</v>
      </c>
      <c r="J14426" s="1">
        <v>45930.493715277778</v>
      </c>
    </row>
    <row r="14427" spans="1:10" x14ac:dyDescent="0.2">
      <c r="A14427" s="4" t="s">
        <v>1</v>
      </c>
      <c r="B14427" s="3" t="str">
        <f>HYPERLINK("https://otsuka-europe-crm.veevavault.com/ui/#object/approved_document__v/V5OZ025E82TN2QL", "LUP - Invitación simposio SEN 2025 - nefro")</f>
        <v>LUP - Invitación simposio SEN 2025 - nefro</v>
      </c>
      <c r="C14427" s="3" t="str">
        <f>HYPERLINK("https://otsuka-europe-crm.veevavault.com/ui/#object/sent_email__v/VBLZ025E82H4XQU", "SE-000282040")</f>
        <v>SE-000282040</v>
      </c>
      <c r="D14427" s="1" t="s">
        <v>0</v>
      </c>
      <c r="E14427" s="2">
        <v>0</v>
      </c>
      <c r="F14427" s="2">
        <v>0</v>
      </c>
      <c r="G14427" s="2">
        <v>0</v>
      </c>
      <c r="H14427" s="1" t="s">
        <v>0</v>
      </c>
      <c r="I14427" s="2">
        <v>0</v>
      </c>
      <c r="J14427" s="1">
        <v>45930.493784722225</v>
      </c>
    </row>
    <row r="14428" spans="1:10" x14ac:dyDescent="0.2">
      <c r="A14428" s="4" t="s">
        <v>1</v>
      </c>
      <c r="B14428" s="3" t="str">
        <f>HYPERLINK("https://otsuka-europe-crm.veevavault.com/ui/#object/approved_document__v/V5OZ025E82TN2QL", "LUP - Invitación simposio SEN 2025 - nefro")</f>
        <v>LUP - Invitación simposio SEN 2025 - nefro</v>
      </c>
      <c r="C14428" s="3" t="str">
        <f>HYPERLINK("https://otsuka-europe-crm.veevavault.com/ui/#object/sent_email__v/VBLZ025E82H4XQV", "SE-000282041")</f>
        <v>SE-000282041</v>
      </c>
      <c r="D14428" s="1" t="s">
        <v>0</v>
      </c>
      <c r="E14428" s="2">
        <v>0</v>
      </c>
      <c r="F14428" s="2">
        <v>0</v>
      </c>
      <c r="G14428" s="2">
        <v>0</v>
      </c>
      <c r="H14428" s="1" t="s">
        <v>0</v>
      </c>
      <c r="I14428" s="2">
        <v>0</v>
      </c>
      <c r="J14428" s="1">
        <v>45930.493692129632</v>
      </c>
    </row>
    <row r="14429" spans="1:10" x14ac:dyDescent="0.2">
      <c r="A14429" s="4" t="s">
        <v>1</v>
      </c>
      <c r="B14429" s="3" t="str">
        <f>HYPERLINK("https://otsuka-europe-crm.veevavault.com/ui/#object/approved_document__v/V5OZ025E82TN2QL", "LUP - Invitación simposio SEN 2025 - nefro")</f>
        <v>LUP - Invitación simposio SEN 2025 - nefro</v>
      </c>
      <c r="C14429" s="3" t="str">
        <f>HYPERLINK("https://otsuka-europe-crm.veevavault.com/ui/#object/sent_email__v/VBLZ025E82H4XQW", "SE-000282042")</f>
        <v>SE-000282042</v>
      </c>
      <c r="D14429" s="1" t="s">
        <v>0</v>
      </c>
      <c r="E14429" s="2">
        <v>0</v>
      </c>
      <c r="F14429" s="2">
        <v>0</v>
      </c>
      <c r="G14429" s="2">
        <v>0</v>
      </c>
      <c r="H14429" s="1" t="s">
        <v>0</v>
      </c>
      <c r="I14429" s="2">
        <v>0</v>
      </c>
      <c r="J14429" s="1">
        <v>45930.493831018517</v>
      </c>
    </row>
    <row r="14430" spans="1:10" x14ac:dyDescent="0.2">
      <c r="A14430" s="4" t="s">
        <v>1</v>
      </c>
      <c r="B14430" s="3" t="str">
        <f>HYPERLINK("https://otsuka-europe-crm.veevavault.com/ui/#object/approved_document__v/V5OZ025E82TN2QL", "LUP - Invitación simposio SEN 2025 - nefro")</f>
        <v>LUP - Invitación simposio SEN 2025 - nefro</v>
      </c>
      <c r="C14430" s="3" t="str">
        <f>HYPERLINK("https://otsuka-europe-crm.veevavault.com/ui/#object/sent_email__v/VBLZ025E82H4XQX", "SE-000282043")</f>
        <v>SE-000282043</v>
      </c>
      <c r="D14430" s="1" t="s">
        <v>0</v>
      </c>
      <c r="E14430" s="2">
        <v>0</v>
      </c>
      <c r="F14430" s="2">
        <v>0</v>
      </c>
      <c r="G14430" s="2">
        <v>0</v>
      </c>
      <c r="H14430" s="1" t="s">
        <v>0</v>
      </c>
      <c r="I14430" s="2">
        <v>0</v>
      </c>
      <c r="J14430" s="1">
        <v>45930.493692129632</v>
      </c>
    </row>
    <row r="14431" spans="1:10" x14ac:dyDescent="0.2">
      <c r="A14431" s="4" t="s">
        <v>1</v>
      </c>
      <c r="B14431" s="3" t="str">
        <f>HYPERLINK("https://otsuka-europe-crm.veevavault.com/ui/#object/approved_document__v/V5OZ025E82TN2QL", "LUP - Invitación simposio SEN 2025 - nefro")</f>
        <v>LUP - Invitación simposio SEN 2025 - nefro</v>
      </c>
      <c r="C14431" s="3" t="str">
        <f>HYPERLINK("https://otsuka-europe-crm.veevavault.com/ui/#object/sent_email__v/VBLZ025E82H4XQY", "SE-000282044")</f>
        <v>SE-000282044</v>
      </c>
      <c r="D14431" s="1">
        <v>45930.675324074073</v>
      </c>
      <c r="E14431" s="2">
        <v>1</v>
      </c>
      <c r="F14431" s="2">
        <v>1</v>
      </c>
      <c r="G14431" s="2">
        <v>0</v>
      </c>
      <c r="H14431" s="1" t="s">
        <v>0</v>
      </c>
      <c r="I14431" s="2">
        <v>0</v>
      </c>
      <c r="J14431" s="1">
        <v>45930.493726851855</v>
      </c>
    </row>
    <row r="14432" spans="1:10" x14ac:dyDescent="0.2">
      <c r="A14432" s="4" t="s">
        <v>1</v>
      </c>
      <c r="B14432" s="3" t="str">
        <f>HYPERLINK("https://otsuka-europe-crm.veevavault.com/ui/#object/approved_document__v/V5OZ025E82TN2QL", "LUP - Invitación simposio SEN 2025 - nefro")</f>
        <v>LUP - Invitación simposio SEN 2025 - nefro</v>
      </c>
      <c r="C14432" s="3" t="str">
        <f>HYPERLINK("https://otsuka-europe-crm.veevavault.com/ui/#object/sent_email__v/VBLZ025E82H4XVL", "SE-000282045")</f>
        <v>SE-000282045</v>
      </c>
      <c r="D14432" s="1" t="s">
        <v>0</v>
      </c>
      <c r="E14432" s="2">
        <v>0</v>
      </c>
      <c r="F14432" s="2">
        <v>0</v>
      </c>
      <c r="G14432" s="2">
        <v>0</v>
      </c>
      <c r="H14432" s="1" t="s">
        <v>0</v>
      </c>
      <c r="I14432" s="2">
        <v>0</v>
      </c>
      <c r="J14432" s="1">
        <v>45930.495046296295</v>
      </c>
    </row>
    <row r="14433" spans="1:10" x14ac:dyDescent="0.2">
      <c r="A14433" s="4" t="s">
        <v>1</v>
      </c>
      <c r="B14433" s="3" t="str">
        <f>HYPERLINK("https://otsuka-europe-crm.veevavault.com/ui/#object/approved_document__v/V5OZ025E82TN2QL", "LUP - Invitación simposio SEN 2025 - nefro")</f>
        <v>LUP - Invitación simposio SEN 2025 - nefro</v>
      </c>
      <c r="C14433" s="3" t="str">
        <f>HYPERLINK("https://otsuka-europe-crm.veevavault.com/ui/#object/sent_email__v/VBLZ025E82H4XVM", "SE-000282046")</f>
        <v>SE-000282046</v>
      </c>
      <c r="D14433" s="1">
        <v>45930.9059837963</v>
      </c>
      <c r="E14433" s="2">
        <v>1</v>
      </c>
      <c r="F14433" s="2">
        <v>2</v>
      </c>
      <c r="G14433" s="2">
        <v>0</v>
      </c>
      <c r="H14433" s="1" t="s">
        <v>0</v>
      </c>
      <c r="I14433" s="2">
        <v>0</v>
      </c>
      <c r="J14433" s="1">
        <v>45930.495162037034</v>
      </c>
    </row>
    <row r="14434" spans="1:10" x14ac:dyDescent="0.2">
      <c r="A14434" s="4" t="s">
        <v>1</v>
      </c>
      <c r="B14434" s="3" t="str">
        <f>HYPERLINK("https://otsuka-europe-crm.veevavault.com/ui/#object/approved_document__v/V5OZ025E82TN2QL", "LUP - Invitación simposio SEN 2025 - nefro")</f>
        <v>LUP - Invitación simposio SEN 2025 - nefro</v>
      </c>
      <c r="C14434" s="3" t="str">
        <f>HYPERLINK("https://otsuka-europe-crm.veevavault.com/ui/#object/sent_email__v/VBLZ025E82H4XVN", "SE-000282047")</f>
        <v>SE-000282047</v>
      </c>
      <c r="D14434" s="1" t="s">
        <v>0</v>
      </c>
      <c r="E14434" s="2">
        <v>0</v>
      </c>
      <c r="F14434" s="2">
        <v>0</v>
      </c>
      <c r="G14434" s="2">
        <v>0</v>
      </c>
      <c r="H14434" s="1" t="s">
        <v>0</v>
      </c>
      <c r="I14434" s="2">
        <v>0</v>
      </c>
      <c r="J14434" s="1">
        <v>45930.495104166665</v>
      </c>
    </row>
    <row r="14435" spans="1:10" x14ac:dyDescent="0.2">
      <c r="A14435" s="4" t="s">
        <v>1</v>
      </c>
      <c r="B14435" s="3" t="str">
        <f>HYPERLINK("https://otsuka-europe-crm.veevavault.com/ui/#object/approved_document__v/V5OZ025E82TN2QL", "LUP - Invitación simposio SEN 2025 - nefro")</f>
        <v>LUP - Invitación simposio SEN 2025 - nefro</v>
      </c>
      <c r="C14435" s="3" t="str">
        <f>HYPERLINK("https://otsuka-europe-crm.veevavault.com/ui/#object/sent_email__v/VBLZ025E82H4XVO", "SE-000282048")</f>
        <v>SE-000282048</v>
      </c>
      <c r="D14435" s="1" t="s">
        <v>0</v>
      </c>
      <c r="E14435" s="2">
        <v>0</v>
      </c>
      <c r="F14435" s="2">
        <v>0</v>
      </c>
      <c r="G14435" s="2">
        <v>0</v>
      </c>
      <c r="H14435" s="1" t="s">
        <v>0</v>
      </c>
      <c r="I14435" s="2">
        <v>0</v>
      </c>
      <c r="J14435" s="1">
        <v>45930.494942129626</v>
      </c>
    </row>
    <row r="14436" spans="1:10" x14ac:dyDescent="0.2">
      <c r="A14436" s="4" t="s">
        <v>1</v>
      </c>
      <c r="B14436" s="3" t="str">
        <f>HYPERLINK("https://otsuka-europe-crm.veevavault.com/ui/#object/approved_document__v/V5OZ025E82TN2QL", "LUP - Invitación simposio SEN 2025 - nefro")</f>
        <v>LUP - Invitación simposio SEN 2025 - nefro</v>
      </c>
      <c r="C14436" s="3" t="str">
        <f>HYPERLINK("https://otsuka-europe-crm.veevavault.com/ui/#object/sent_email__v/VBLZ025E82H4XVP", "SE-000282049")</f>
        <v>SE-000282049</v>
      </c>
      <c r="D14436" s="1" t="s">
        <v>0</v>
      </c>
      <c r="E14436" s="2">
        <v>0</v>
      </c>
      <c r="F14436" s="2">
        <v>0</v>
      </c>
      <c r="G14436" s="2">
        <v>0</v>
      </c>
      <c r="H14436" s="1" t="s">
        <v>0</v>
      </c>
      <c r="I14436" s="2">
        <v>0</v>
      </c>
      <c r="J14436" s="1">
        <v>45930.495069444441</v>
      </c>
    </row>
    <row r="14437" spans="1:10" x14ac:dyDescent="0.2">
      <c r="A14437" s="4" t="s">
        <v>1</v>
      </c>
      <c r="B14437" s="3" t="str">
        <f>HYPERLINK("https://otsuka-europe-crm.veevavault.com/ui/#object/approved_document__v/V5OZ025E82TN2QL", "LUP - Invitación simposio SEN 2025 - nefro")</f>
        <v>LUP - Invitación simposio SEN 2025 - nefro</v>
      </c>
      <c r="C14437" s="3" t="str">
        <f>HYPERLINK("https://otsuka-europe-crm.veevavault.com/ui/#object/sent_email__v/VBLZ025E82H4XVQ", "SE-000282050")</f>
        <v>SE-000282050</v>
      </c>
      <c r="D14437" s="1" t="s">
        <v>0</v>
      </c>
      <c r="E14437" s="2">
        <v>0</v>
      </c>
      <c r="F14437" s="2">
        <v>0</v>
      </c>
      <c r="G14437" s="2">
        <v>0</v>
      </c>
      <c r="H14437" s="1" t="s">
        <v>0</v>
      </c>
      <c r="I14437" s="2">
        <v>0</v>
      </c>
      <c r="J14437" s="1">
        <v>45930.49491898148</v>
      </c>
    </row>
    <row r="14438" spans="1:10" x14ac:dyDescent="0.2">
      <c r="A14438" s="4" t="s">
        <v>1</v>
      </c>
      <c r="B14438" s="3" t="str">
        <f>HYPERLINK("https://otsuka-europe-crm.veevavault.com/ui/#object/approved_document__v/V5OZ025E82TN2QL", "LUP - Invitación simposio SEN 2025 - nefro")</f>
        <v>LUP - Invitación simposio SEN 2025 - nefro</v>
      </c>
      <c r="C14438" s="3" t="str">
        <f>HYPERLINK("https://otsuka-europe-crm.veevavault.com/ui/#object/sent_email__v/VBLZ025E82H4XVR", "SE-000282051")</f>
        <v>SE-000282051</v>
      </c>
      <c r="D14438" s="1" t="s">
        <v>0</v>
      </c>
      <c r="E14438" s="2">
        <v>0</v>
      </c>
      <c r="F14438" s="2">
        <v>0</v>
      </c>
      <c r="G14438" s="2">
        <v>0</v>
      </c>
      <c r="H14438" s="1" t="s">
        <v>0</v>
      </c>
      <c r="I14438" s="2">
        <v>0</v>
      </c>
      <c r="J14438" s="1">
        <v>45930.495046296295</v>
      </c>
    </row>
    <row r="14439" spans="1:10" x14ac:dyDescent="0.2">
      <c r="A14439" s="4" t="s">
        <v>1</v>
      </c>
      <c r="B14439" s="3" t="str">
        <f>HYPERLINK("https://otsuka-europe-crm.veevavault.com/ui/#object/approved_document__v/V5OZ025E82TN2QL", "LUP - Invitación simposio SEN 2025 - nefro")</f>
        <v>LUP - Invitación simposio SEN 2025 - nefro</v>
      </c>
      <c r="C14439" s="3" t="str">
        <f>HYPERLINK("https://otsuka-europe-crm.veevavault.com/ui/#object/sent_email__v/VBLZ025E82H4XVS", "SE-000282052")</f>
        <v>SE-000282052</v>
      </c>
      <c r="D14439" s="1">
        <v>45932.842048611114</v>
      </c>
      <c r="E14439" s="2">
        <v>1</v>
      </c>
      <c r="F14439" s="2">
        <v>2</v>
      </c>
      <c r="G14439" s="2">
        <v>0</v>
      </c>
      <c r="H14439" s="1" t="s">
        <v>0</v>
      </c>
      <c r="I14439" s="2">
        <v>0</v>
      </c>
      <c r="J14439" s="1">
        <v>45930.495162037034</v>
      </c>
    </row>
    <row r="14440" spans="1:10" x14ac:dyDescent="0.2">
      <c r="A14440" s="4" t="s">
        <v>1</v>
      </c>
      <c r="B14440" s="3" t="str">
        <f>HYPERLINK("https://otsuka-europe-crm.veevavault.com/ui/#object/approved_document__v/V5OZ025E82TN2QL", "LUP - Invitación simposio SEN 2025 - nefro")</f>
        <v>LUP - Invitación simposio SEN 2025 - nefro</v>
      </c>
      <c r="C14440" s="3" t="str">
        <f>HYPERLINK("https://otsuka-europe-crm.veevavault.com/ui/#object/sent_email__v/VBLZ025E82H4XVT", "SE-000282053")</f>
        <v>SE-000282053</v>
      </c>
      <c r="D14440" s="1" t="s">
        <v>0</v>
      </c>
      <c r="E14440" s="2">
        <v>0</v>
      </c>
      <c r="F14440" s="2">
        <v>0</v>
      </c>
      <c r="G14440" s="2">
        <v>0</v>
      </c>
      <c r="H14440" s="1" t="s">
        <v>0</v>
      </c>
      <c r="I14440" s="2">
        <v>0</v>
      </c>
      <c r="J14440" s="1">
        <v>45930.495057870372</v>
      </c>
    </row>
    <row r="14441" spans="1:10" x14ac:dyDescent="0.2">
      <c r="A14441" s="4" t="s">
        <v>1</v>
      </c>
      <c r="B14441" s="3" t="str">
        <f>HYPERLINK("https://otsuka-europe-crm.veevavault.com/ui/#object/approved_document__v/V5OZ025E82TN2QL", "LUP - Invitación simposio SEN 2025 - nefro")</f>
        <v>LUP - Invitación simposio SEN 2025 - nefro</v>
      </c>
      <c r="C14441" s="3" t="str">
        <f>HYPERLINK("https://otsuka-europe-crm.veevavault.com/ui/#object/sent_email__v/VBLZ025E82H4XVU", "SE-000282054")</f>
        <v>SE-000282054</v>
      </c>
      <c r="D14441" s="1" t="s">
        <v>0</v>
      </c>
      <c r="E14441" s="2">
        <v>0</v>
      </c>
      <c r="F14441" s="2">
        <v>0</v>
      </c>
      <c r="G14441" s="2">
        <v>0</v>
      </c>
      <c r="H14441" s="1" t="s">
        <v>0</v>
      </c>
      <c r="I14441" s="2">
        <v>0</v>
      </c>
      <c r="J14441" s="1">
        <v>45930.495196759257</v>
      </c>
    </row>
    <row r="14442" spans="1:10" x14ac:dyDescent="0.2">
      <c r="A14442" s="4" t="s">
        <v>1</v>
      </c>
      <c r="B14442" s="3" t="str">
        <f>HYPERLINK("https://otsuka-europe-crm.veevavault.com/ui/#object/approved_document__v/V5OZ025E82TN2QL", "LUP - Invitación simposio SEN 2025 - nefro")</f>
        <v>LUP - Invitación simposio SEN 2025 - nefro</v>
      </c>
      <c r="C14442" s="3" t="str">
        <f>HYPERLINK("https://otsuka-europe-crm.veevavault.com/ui/#object/sent_email__v/VBLZ025E82H4XVV", "SE-000282055")</f>
        <v>SE-000282055</v>
      </c>
      <c r="D14442" s="1">
        <v>45932.933622685188</v>
      </c>
      <c r="E14442" s="2">
        <v>1</v>
      </c>
      <c r="F14442" s="2">
        <v>1</v>
      </c>
      <c r="G14442" s="2">
        <v>1</v>
      </c>
      <c r="H14442" s="1">
        <v>45932.933622685188</v>
      </c>
      <c r="I14442" s="2">
        <v>1</v>
      </c>
      <c r="J14442" s="1">
        <v>45930.495034722226</v>
      </c>
    </row>
    <row r="14443" spans="1:10" x14ac:dyDescent="0.2">
      <c r="A14443" s="4" t="s">
        <v>1</v>
      </c>
      <c r="B14443" s="3" t="str">
        <f>HYPERLINK("https://otsuka-europe-crm.veevavault.com/ui/#object/approved_document__v/V5OZ025E82TN2QL", "LUP - Invitación simposio SEN 2025 - nefro")</f>
        <v>LUP - Invitación simposio SEN 2025 - nefro</v>
      </c>
      <c r="C14443" s="3" t="str">
        <f>HYPERLINK("https://otsuka-europe-crm.veevavault.com/ui/#object/sent_email__v/VBLZ025E82H4XVW", "SE-000282056")</f>
        <v>SE-000282056</v>
      </c>
      <c r="D14443" s="1" t="s">
        <v>0</v>
      </c>
      <c r="E14443" s="2">
        <v>0</v>
      </c>
      <c r="F14443" s="2">
        <v>0</v>
      </c>
      <c r="G14443" s="2">
        <v>0</v>
      </c>
      <c r="H14443" s="1" t="s">
        <v>0</v>
      </c>
      <c r="I14443" s="2">
        <v>0</v>
      </c>
      <c r="J14443" s="1">
        <v>45930.495185185187</v>
      </c>
    </row>
    <row r="14444" spans="1:10" x14ac:dyDescent="0.2">
      <c r="A14444" s="4" t="s">
        <v>1</v>
      </c>
      <c r="B14444" s="3" t="str">
        <f>HYPERLINK("https://otsuka-europe-crm.veevavault.com/ui/#object/approved_document__v/V5OZ025E82TN2QL", "LUP - Invitación simposio SEN 2025 - nefro")</f>
        <v>LUP - Invitación simposio SEN 2025 - nefro</v>
      </c>
      <c r="C14444" s="3" t="str">
        <f>HYPERLINK("https://otsuka-europe-crm.veevavault.com/ui/#object/sent_email__v/VBLZ025E82H4XVX", "SE-000282057")</f>
        <v>SE-000282057</v>
      </c>
      <c r="D14444" s="1" t="s">
        <v>0</v>
      </c>
      <c r="E14444" s="2">
        <v>0</v>
      </c>
      <c r="F14444" s="2">
        <v>0</v>
      </c>
      <c r="G14444" s="2">
        <v>0</v>
      </c>
      <c r="H14444" s="1" t="s">
        <v>0</v>
      </c>
      <c r="I14444" s="2">
        <v>0</v>
      </c>
      <c r="J14444" s="1">
        <v>45930.495057870372</v>
      </c>
    </row>
    <row r="14445" spans="1:10" x14ac:dyDescent="0.2">
      <c r="A14445" s="4" t="s">
        <v>1</v>
      </c>
      <c r="B14445" s="3" t="str">
        <f>HYPERLINK("https://otsuka-europe-crm.veevavault.com/ui/#object/approved_document__v/V5OZ025E82TN2QL", "LUP - Invitación simposio SEN 2025 - nefro")</f>
        <v>LUP - Invitación simposio SEN 2025 - nefro</v>
      </c>
      <c r="C14445" s="3" t="str">
        <f>HYPERLINK("https://otsuka-europe-crm.veevavault.com/ui/#object/sent_email__v/VBLZ025E82H4XVY", "SE-000282058")</f>
        <v>SE-000282058</v>
      </c>
      <c r="D14445" s="1" t="s">
        <v>0</v>
      </c>
      <c r="E14445" s="2">
        <v>0</v>
      </c>
      <c r="F14445" s="2">
        <v>0</v>
      </c>
      <c r="G14445" s="2">
        <v>0</v>
      </c>
      <c r="H14445" s="1" t="s">
        <v>0</v>
      </c>
      <c r="I14445" s="2">
        <v>0</v>
      </c>
      <c r="J14445" s="1">
        <v>45930.495671296296</v>
      </c>
    </row>
    <row r="14446" spans="1:10" x14ac:dyDescent="0.2">
      <c r="A14446" s="4" t="s">
        <v>1</v>
      </c>
      <c r="B14446" s="3" t="str">
        <f>HYPERLINK("https://otsuka-europe-crm.veevavault.com/ui/#object/approved_document__v/V5OZ025E82TN2QL", "LUP - Invitación simposio SEN 2025 - nefro")</f>
        <v>LUP - Invitación simposio SEN 2025 - nefro</v>
      </c>
      <c r="C14446" s="3" t="str">
        <f>HYPERLINK("https://otsuka-europe-crm.veevavault.com/ui/#object/sent_email__v/VBLZ025E82H4XVZ", "SE-000282059")</f>
        <v>SE-000282059</v>
      </c>
      <c r="D14446" s="1" t="s">
        <v>0</v>
      </c>
      <c r="E14446" s="2">
        <v>0</v>
      </c>
      <c r="F14446" s="2">
        <v>0</v>
      </c>
      <c r="G14446" s="2">
        <v>0</v>
      </c>
      <c r="H14446" s="1" t="s">
        <v>0</v>
      </c>
      <c r="I14446" s="2">
        <v>0</v>
      </c>
      <c r="J14446" s="1">
        <v>45930.495000000003</v>
      </c>
    </row>
    <row r="14447" spans="1:10" x14ac:dyDescent="0.2">
      <c r="A14447" s="4" t="s">
        <v>1</v>
      </c>
      <c r="B14447" s="3" t="str">
        <f>HYPERLINK("https://otsuka-europe-crm.veevavault.com/ui/#object/approved_document__v/V5OZ025E82TN2QL", "LUP - Invitación simposio SEN 2025 - nefro")</f>
        <v>LUP - Invitación simposio SEN 2025 - nefro</v>
      </c>
      <c r="C14447" s="3" t="str">
        <f>HYPERLINK("https://otsuka-europe-crm.veevavault.com/ui/#object/sent_email__v/VBLZ025E82H4XW0", "SE-000282060")</f>
        <v>SE-000282060</v>
      </c>
      <c r="D14447" s="1">
        <v>45930.761365740742</v>
      </c>
      <c r="E14447" s="2">
        <v>1</v>
      </c>
      <c r="F14447" s="2">
        <v>2</v>
      </c>
      <c r="G14447" s="2">
        <v>1</v>
      </c>
      <c r="H14447" s="1">
        <v>45930.761504629627</v>
      </c>
      <c r="I14447" s="2">
        <v>2</v>
      </c>
      <c r="J14447" s="1">
        <v>45930.495138888888</v>
      </c>
    </row>
    <row r="14448" spans="1:10" x14ac:dyDescent="0.2">
      <c r="A14448" s="4" t="s">
        <v>1</v>
      </c>
      <c r="B14448" s="3" t="str">
        <f>HYPERLINK("https://otsuka-europe-crm.veevavault.com/ui/#object/approved_document__v/V5OZ025E82TN2QL", "LUP - Invitación simposio SEN 2025 - nefro")</f>
        <v>LUP - Invitación simposio SEN 2025 - nefro</v>
      </c>
      <c r="C14448" s="3" t="str">
        <f>HYPERLINK("https://otsuka-europe-crm.veevavault.com/ui/#object/sent_email__v/VBLZ025E82H4XW1", "SE-000282061")</f>
        <v>SE-000282061</v>
      </c>
      <c r="D14448" s="1" t="s">
        <v>0</v>
      </c>
      <c r="E14448" s="2">
        <v>0</v>
      </c>
      <c r="F14448" s="2">
        <v>0</v>
      </c>
      <c r="G14448" s="2">
        <v>0</v>
      </c>
      <c r="H14448" s="1" t="s">
        <v>0</v>
      </c>
      <c r="I14448" s="2">
        <v>0</v>
      </c>
      <c r="J14448" s="1">
        <v>45930.495011574072</v>
      </c>
    </row>
    <row r="14449" spans="1:10" x14ac:dyDescent="0.2">
      <c r="A14449" s="4" t="s">
        <v>1</v>
      </c>
      <c r="B14449" s="3" t="str">
        <f>HYPERLINK("https://otsuka-europe-crm.veevavault.com/ui/#object/approved_document__v/V5OZ025E82TN2QL", "LUP - Invitación simposio SEN 2025 - nefro")</f>
        <v>LUP - Invitación simposio SEN 2025 - nefro</v>
      </c>
      <c r="C14449" s="3" t="str">
        <f>HYPERLINK("https://otsuka-europe-crm.veevavault.com/ui/#object/sent_email__v/VBLZ025E82H4XW2", "SE-000282062")</f>
        <v>SE-000282062</v>
      </c>
      <c r="D14449" s="1" t="s">
        <v>0</v>
      </c>
      <c r="E14449" s="2">
        <v>0</v>
      </c>
      <c r="F14449" s="2">
        <v>0</v>
      </c>
      <c r="G14449" s="2">
        <v>0</v>
      </c>
      <c r="H14449" s="1" t="s">
        <v>0</v>
      </c>
      <c r="I14449" s="2">
        <v>0</v>
      </c>
      <c r="J14449" s="1">
        <v>45930.495150462964</v>
      </c>
    </row>
    <row r="14450" spans="1:10" x14ac:dyDescent="0.2">
      <c r="A14450" s="4" t="s">
        <v>1</v>
      </c>
      <c r="B14450" s="3" t="str">
        <f>HYPERLINK("https://otsuka-europe-crm.veevavault.com/ui/#object/approved_document__v/V5OZ025E82TN2QL", "LUP - Invitación simposio SEN 2025 - nefro")</f>
        <v>LUP - Invitación simposio SEN 2025 - nefro</v>
      </c>
      <c r="C14450" s="3" t="str">
        <f>HYPERLINK("https://otsuka-europe-crm.veevavault.com/ui/#object/sent_email__v/VBLZ025E82H4XW3", "SE-000282063")</f>
        <v>SE-000282063</v>
      </c>
      <c r="D14450" s="1" t="s">
        <v>0</v>
      </c>
      <c r="E14450" s="2">
        <v>0</v>
      </c>
      <c r="F14450" s="2">
        <v>0</v>
      </c>
      <c r="G14450" s="2">
        <v>0</v>
      </c>
      <c r="H14450" s="1" t="s">
        <v>0</v>
      </c>
      <c r="I14450" s="2">
        <v>0</v>
      </c>
      <c r="J14450" s="1">
        <v>45930.495023148149</v>
      </c>
    </row>
    <row r="14451" spans="1:10" x14ac:dyDescent="0.2">
      <c r="A14451" s="4" t="s">
        <v>1</v>
      </c>
      <c r="B14451" s="3" t="str">
        <f>HYPERLINK("https://otsuka-europe-crm.veevavault.com/ui/#object/approved_document__v/V5OZ025E82TN2QL", "LUP - Invitación simposio SEN 2025 - nefro")</f>
        <v>LUP - Invitación simposio SEN 2025 - nefro</v>
      </c>
      <c r="C14451" s="3" t="str">
        <f>HYPERLINK("https://otsuka-europe-crm.veevavault.com/ui/#object/sent_email__v/VBLZ025E82H4XW4", "SE-000282064")</f>
        <v>SE-000282064</v>
      </c>
      <c r="D14451" s="1" t="s">
        <v>0</v>
      </c>
      <c r="E14451" s="2">
        <v>0</v>
      </c>
      <c r="F14451" s="2">
        <v>0</v>
      </c>
      <c r="G14451" s="2">
        <v>0</v>
      </c>
      <c r="H14451" s="1" t="s">
        <v>0</v>
      </c>
      <c r="I14451" s="2">
        <v>0</v>
      </c>
      <c r="J14451" s="1">
        <v>45930.495115740741</v>
      </c>
    </row>
    <row r="14452" spans="1:10" x14ac:dyDescent="0.2">
      <c r="A14452" s="4" t="s">
        <v>1</v>
      </c>
      <c r="B14452" s="3" t="str">
        <f>HYPERLINK("https://otsuka-europe-crm.veevavault.com/ui/#object/approved_document__v/V5OZ025E82TN2QL", "LUP - Invitación simposio SEN 2025 - nefro")</f>
        <v>LUP - Invitación simposio SEN 2025 - nefro</v>
      </c>
      <c r="C14452" s="3" t="str">
        <f>HYPERLINK("https://otsuka-europe-crm.veevavault.com/ui/#object/sent_email__v/VBLZ025E82H4XW5", "SE-000282065")</f>
        <v>SE-000282065</v>
      </c>
      <c r="D14452" s="1">
        <v>46052.40179398148</v>
      </c>
      <c r="E14452" s="2">
        <v>1</v>
      </c>
      <c r="F14452" s="2">
        <v>14</v>
      </c>
      <c r="G14452" s="2">
        <v>1</v>
      </c>
      <c r="H14452" s="1">
        <v>45930.541759259257</v>
      </c>
      <c r="I14452" s="2">
        <v>1</v>
      </c>
      <c r="J14452" s="1">
        <v>45930.49496527778</v>
      </c>
    </row>
    <row r="14453" spans="1:10" x14ac:dyDescent="0.2">
      <c r="A14453" s="4" t="s">
        <v>1</v>
      </c>
      <c r="B14453" s="3" t="str">
        <f>HYPERLINK("https://otsuka-europe-crm.veevavault.com/ui/#object/approved_document__v/V5OZ025E82TN2QL", "LUP - Invitación simposio SEN 2025 - nefro")</f>
        <v>LUP - Invitación simposio SEN 2025 - nefro</v>
      </c>
      <c r="C14453" s="3" t="str">
        <f>HYPERLINK("https://otsuka-europe-crm.veevavault.com/ui/#object/sent_email__v/VBLZ025E82H4XW6", "SE-000282066")</f>
        <v>SE-000282066</v>
      </c>
      <c r="D14453" s="1" t="s">
        <v>0</v>
      </c>
      <c r="E14453" s="2">
        <v>0</v>
      </c>
      <c r="F14453" s="2">
        <v>0</v>
      </c>
      <c r="G14453" s="2">
        <v>0</v>
      </c>
      <c r="H14453" s="1" t="s">
        <v>0</v>
      </c>
      <c r="I14453" s="2">
        <v>0</v>
      </c>
      <c r="J14453" s="1">
        <v>45930.495104166665</v>
      </c>
    </row>
    <row r="14454" spans="1:10" x14ac:dyDescent="0.2">
      <c r="A14454" s="4" t="s">
        <v>1</v>
      </c>
      <c r="B14454" s="3" t="str">
        <f>HYPERLINK("https://otsuka-europe-crm.veevavault.com/ui/#object/approved_document__v/V5OZ025E82TN2QL", "LUP - Invitación simposio SEN 2025 - nefro")</f>
        <v>LUP - Invitación simposio SEN 2025 - nefro</v>
      </c>
      <c r="C14454" s="3" t="str">
        <f>HYPERLINK("https://otsuka-europe-crm.veevavault.com/ui/#object/sent_email__v/VBLZ025E82H4XW7", "SE-000282067")</f>
        <v>SE-000282067</v>
      </c>
      <c r="D14454" s="1" t="s">
        <v>0</v>
      </c>
      <c r="E14454" s="2">
        <v>0</v>
      </c>
      <c r="F14454" s="2">
        <v>0</v>
      </c>
      <c r="G14454" s="2">
        <v>0</v>
      </c>
      <c r="H14454" s="1" t="s">
        <v>0</v>
      </c>
      <c r="I14454" s="2">
        <v>0</v>
      </c>
      <c r="J14454" s="1">
        <v>45930.494976851849</v>
      </c>
    </row>
    <row r="14455" spans="1:10" x14ac:dyDescent="0.2">
      <c r="A14455" s="4" t="s">
        <v>1</v>
      </c>
      <c r="B14455" s="3" t="str">
        <f>HYPERLINK("https://otsuka-europe-crm.veevavault.com/ui/#object/approved_document__v/V5OZ025E82TN2QL", "LUP - Invitación simposio SEN 2025 - nefro")</f>
        <v>LUP - Invitación simposio SEN 2025 - nefro</v>
      </c>
      <c r="C14455" s="3" t="str">
        <f>HYPERLINK("https://otsuka-europe-crm.veevavault.com/ui/#object/sent_email__v/VBLZ025E82H4XW8", "SE-000282068")</f>
        <v>SE-000282068</v>
      </c>
      <c r="D14455" s="1" t="s">
        <v>0</v>
      </c>
      <c r="E14455" s="2">
        <v>0</v>
      </c>
      <c r="F14455" s="2">
        <v>0</v>
      </c>
      <c r="G14455" s="2">
        <v>0</v>
      </c>
      <c r="H14455" s="1" t="s">
        <v>0</v>
      </c>
      <c r="I14455" s="2">
        <v>0</v>
      </c>
      <c r="J14455" s="1">
        <v>45930.495127314818</v>
      </c>
    </row>
    <row r="14456" spans="1:10" x14ac:dyDescent="0.2">
      <c r="A14456" s="4" t="s">
        <v>1</v>
      </c>
      <c r="B14456" s="3" t="str">
        <f>HYPERLINK("https://otsuka-europe-crm.veevavault.com/ui/#object/approved_document__v/V5OZ025E82TN2QL", "LUP - Invitación simposio SEN 2025 - nefro")</f>
        <v>LUP - Invitación simposio SEN 2025 - nefro</v>
      </c>
      <c r="C14456" s="3" t="str">
        <f>HYPERLINK("https://otsuka-europe-crm.veevavault.com/ui/#object/sent_email__v/VBLZ025E82H4XW9", "SE-000282069")</f>
        <v>SE-000282069</v>
      </c>
      <c r="D14456" s="1">
        <v>45930.608101851853</v>
      </c>
      <c r="E14456" s="2">
        <v>1</v>
      </c>
      <c r="F14456" s="2">
        <v>1</v>
      </c>
      <c r="G14456" s="2">
        <v>0</v>
      </c>
      <c r="H14456" s="1" t="s">
        <v>0</v>
      </c>
      <c r="I14456" s="2">
        <v>0</v>
      </c>
      <c r="J14456" s="1">
        <v>45930.495000000003</v>
      </c>
    </row>
    <row r="14457" spans="1:10" x14ac:dyDescent="0.2">
      <c r="A14457" s="4" t="s">
        <v>1</v>
      </c>
      <c r="B14457" s="3" t="str">
        <f>HYPERLINK("https://otsuka-europe-crm.veevavault.com/ui/#object/approved_document__v/V5OZ025E82TN2QL", "LUP - Invitación simposio SEN 2025 - nefro")</f>
        <v>LUP - Invitación simposio SEN 2025 - nefro</v>
      </c>
      <c r="C14457" s="3" t="str">
        <f>HYPERLINK("https://otsuka-europe-crm.veevavault.com/ui/#object/sent_email__v/VBLZ025E82H4XWA", "SE-000282070")</f>
        <v>SE-000282070</v>
      </c>
      <c r="D14457" s="1" t="s">
        <v>0</v>
      </c>
      <c r="E14457" s="2">
        <v>0</v>
      </c>
      <c r="F14457" s="2">
        <v>0</v>
      </c>
      <c r="G14457" s="2">
        <v>0</v>
      </c>
      <c r="H14457" s="1" t="s">
        <v>0</v>
      </c>
      <c r="I14457" s="2">
        <v>0</v>
      </c>
      <c r="J14457" s="1">
        <v>45930.495127314818</v>
      </c>
    </row>
    <row r="14458" spans="1:10" x14ac:dyDescent="0.2">
      <c r="A14458" s="4" t="s">
        <v>1</v>
      </c>
      <c r="B14458" s="3" t="str">
        <f>HYPERLINK("https://otsuka-europe-crm.veevavault.com/ui/#object/approved_document__v/V5OZ025E82TN2QL", "LUP - Invitación simposio SEN 2025 - nefro")</f>
        <v>LUP - Invitación simposio SEN 2025 - nefro</v>
      </c>
      <c r="C14458" s="3" t="str">
        <f>HYPERLINK("https://otsuka-europe-crm.veevavault.com/ui/#object/sent_email__v/VBLZ025E82H4XWB", "SE-000282071")</f>
        <v>SE-000282071</v>
      </c>
      <c r="D14458" s="1" t="s">
        <v>0</v>
      </c>
      <c r="E14458" s="2">
        <v>0</v>
      </c>
      <c r="F14458" s="2">
        <v>0</v>
      </c>
      <c r="G14458" s="2">
        <v>0</v>
      </c>
      <c r="H14458" s="1" t="s">
        <v>0</v>
      </c>
      <c r="I14458" s="2">
        <v>0</v>
      </c>
      <c r="J14458" s="1">
        <v>45930.49491898148</v>
      </c>
    </row>
    <row r="14459" spans="1:10" x14ac:dyDescent="0.2">
      <c r="A14459" s="4" t="s">
        <v>1</v>
      </c>
      <c r="B14459" s="3" t="str">
        <f>HYPERLINK("https://otsuka-europe-crm.veevavault.com/ui/#object/approved_document__v/V5OZ025E82TN2QL", "LUP - Invitación simposio SEN 2025 - nefro")</f>
        <v>LUP - Invitación simposio SEN 2025 - nefro</v>
      </c>
      <c r="C14459" s="3" t="str">
        <f>HYPERLINK("https://otsuka-europe-crm.veevavault.com/ui/#object/sent_email__v/VBLZ025E82H4XWC", "SE-000282072")</f>
        <v>SE-000282072</v>
      </c>
      <c r="D14459" s="1">
        <v>45942.704282407409</v>
      </c>
      <c r="E14459" s="2">
        <v>1</v>
      </c>
      <c r="F14459" s="2">
        <v>3</v>
      </c>
      <c r="G14459" s="2">
        <v>0</v>
      </c>
      <c r="H14459" s="1" t="s">
        <v>0</v>
      </c>
      <c r="I14459" s="2">
        <v>0</v>
      </c>
      <c r="J14459" s="1">
        <v>45930.495092592595</v>
      </c>
    </row>
    <row r="14460" spans="1:10" x14ac:dyDescent="0.2">
      <c r="A14460" s="4" t="s">
        <v>1</v>
      </c>
      <c r="B14460" s="3" t="str">
        <f>HYPERLINK("https://otsuka-europe-crm.veevavault.com/ui/#object/approved_document__v/V5OZ025E82TN2QL", "LUP - Invitación simposio SEN 2025 - nefro")</f>
        <v>LUP - Invitación simposio SEN 2025 - nefro</v>
      </c>
      <c r="C14460" s="3" t="str">
        <f>HYPERLINK("https://otsuka-europe-crm.veevavault.com/ui/#object/sent_email__v/VBLZ025E82H4XWD", "SE-000282073")</f>
        <v>SE-000282073</v>
      </c>
      <c r="D14460" s="1" t="s">
        <v>0</v>
      </c>
      <c r="E14460" s="2">
        <v>0</v>
      </c>
      <c r="F14460" s="2">
        <v>0</v>
      </c>
      <c r="G14460" s="2">
        <v>0</v>
      </c>
      <c r="H14460" s="1" t="s">
        <v>0</v>
      </c>
      <c r="I14460" s="2">
        <v>0</v>
      </c>
      <c r="J14460" s="1">
        <v>45930.494976851849</v>
      </c>
    </row>
    <row r="14461" spans="1:10" x14ac:dyDescent="0.2">
      <c r="A14461" s="4" t="s">
        <v>1</v>
      </c>
      <c r="B14461" s="3" t="str">
        <f>HYPERLINK("https://otsuka-europe-crm.veevavault.com/ui/#object/approved_document__v/V5OZ025E82TN2QL", "LUP - Invitación simposio SEN 2025 - nefro")</f>
        <v>LUP - Invitación simposio SEN 2025 - nefro</v>
      </c>
      <c r="C14461" s="3" t="str">
        <f>HYPERLINK("https://otsuka-europe-crm.veevavault.com/ui/#object/sent_email__v/VBLZ025E82H4XWE", "SE-000282074")</f>
        <v>SE-000282074</v>
      </c>
      <c r="D14461" s="1" t="s">
        <v>0</v>
      </c>
      <c r="E14461" s="2">
        <v>0</v>
      </c>
      <c r="F14461" s="2">
        <v>0</v>
      </c>
      <c r="G14461" s="2">
        <v>0</v>
      </c>
      <c r="H14461" s="1" t="s">
        <v>0</v>
      </c>
      <c r="I14461" s="2">
        <v>0</v>
      </c>
      <c r="J14461" s="1">
        <v>45930.494942129626</v>
      </c>
    </row>
    <row r="14462" spans="1:10" x14ac:dyDescent="0.2">
      <c r="A14462" s="4" t="s">
        <v>1</v>
      </c>
      <c r="B14462" s="3" t="str">
        <f>HYPERLINK("https://otsuka-europe-crm.veevavault.com/ui/#object/approved_document__v/V5OZ025E82TN2QL", "LUP - Invitación simposio SEN 2025 - nefro")</f>
        <v>LUP - Invitación simposio SEN 2025 - nefro</v>
      </c>
      <c r="C14462" s="3" t="str">
        <f>HYPERLINK("https://otsuka-europe-crm.veevavault.com/ui/#object/sent_email__v/VBLZ025E82H4XWF", "SE-000282075")</f>
        <v>SE-000282075</v>
      </c>
      <c r="D14462" s="1" t="s">
        <v>0</v>
      </c>
      <c r="E14462" s="2">
        <v>0</v>
      </c>
      <c r="F14462" s="2">
        <v>0</v>
      </c>
      <c r="G14462" s="2">
        <v>0</v>
      </c>
      <c r="H14462" s="1" t="s">
        <v>0</v>
      </c>
      <c r="I14462" s="2">
        <v>0</v>
      </c>
      <c r="J14462" s="1">
        <v>45930.495081018518</v>
      </c>
    </row>
    <row r="14463" spans="1:10" x14ac:dyDescent="0.2">
      <c r="A14463" s="4" t="s">
        <v>1</v>
      </c>
      <c r="B14463" s="3" t="str">
        <f>HYPERLINK("https://otsuka-europe-crm.veevavault.com/ui/#object/approved_document__v/V5OZ025E82TN2QL", "LUP - Invitación simposio SEN 2025 - nefro")</f>
        <v>LUP - Invitación simposio SEN 2025 - nefro</v>
      </c>
      <c r="C14463" s="3" t="str">
        <f>HYPERLINK("https://otsuka-europe-crm.veevavault.com/ui/#object/sent_email__v/VBLZ025E82H4XWG", "SE-000282076")</f>
        <v>SE-000282076</v>
      </c>
      <c r="D14463" s="1" t="s">
        <v>0</v>
      </c>
      <c r="E14463" s="2">
        <v>0</v>
      </c>
      <c r="F14463" s="2">
        <v>0</v>
      </c>
      <c r="G14463" s="2">
        <v>0</v>
      </c>
      <c r="H14463" s="1" t="s">
        <v>0</v>
      </c>
      <c r="I14463" s="2">
        <v>0</v>
      </c>
      <c r="J14463" s="1">
        <v>45930.494953703703</v>
      </c>
    </row>
    <row r="14464" spans="1:10" x14ac:dyDescent="0.2">
      <c r="A14464" s="4" t="s">
        <v>1</v>
      </c>
      <c r="B14464" s="3" t="str">
        <f>HYPERLINK("https://otsuka-europe-crm.veevavault.com/ui/#object/approved_document__v/V5OZ025E82TN2QL", "LUP - Invitación simposio SEN 2025 - nefro")</f>
        <v>LUP - Invitación simposio SEN 2025 - nefro</v>
      </c>
      <c r="C14464" s="3" t="str">
        <f>HYPERLINK("https://otsuka-europe-crm.veevavault.com/ui/#object/sent_email__v/VBLZ025E82H4XYD", "SE-000282077")</f>
        <v>SE-000282077</v>
      </c>
      <c r="D14464" s="1" t="s">
        <v>0</v>
      </c>
      <c r="E14464" s="2">
        <v>0</v>
      </c>
      <c r="F14464" s="2">
        <v>0</v>
      </c>
      <c r="G14464" s="2">
        <v>0</v>
      </c>
      <c r="H14464" s="1" t="s">
        <v>0</v>
      </c>
      <c r="I14464" s="2">
        <v>0</v>
      </c>
      <c r="J14464" s="1">
        <v>45930.495509259257</v>
      </c>
    </row>
    <row r="14465" spans="1:10" x14ac:dyDescent="0.2">
      <c r="A14465" s="4" t="s">
        <v>1</v>
      </c>
      <c r="B14465" s="3" t="str">
        <f>HYPERLINK("https://otsuka-europe-crm.veevavault.com/ui/#object/approved_document__v/V5OZ025E82TN2QL", "LUP - Invitación simposio SEN 2025 - nefro")</f>
        <v>LUP - Invitación simposio SEN 2025 - nefro</v>
      </c>
      <c r="C14465" s="3" t="str">
        <f>HYPERLINK("https://otsuka-europe-crm.veevavault.com/ui/#object/sent_email__v/VBLZ025E82H4XYE", "SE-000282078")</f>
        <v>SE-000282078</v>
      </c>
      <c r="D14465" s="1" t="s">
        <v>0</v>
      </c>
      <c r="E14465" s="2">
        <v>0</v>
      </c>
      <c r="F14465" s="2">
        <v>0</v>
      </c>
      <c r="G14465" s="2">
        <v>0</v>
      </c>
      <c r="H14465" s="1" t="s">
        <v>0</v>
      </c>
      <c r="I14465" s="2">
        <v>0</v>
      </c>
      <c r="J14465" s="1">
        <v>45930.495509259257</v>
      </c>
    </row>
    <row r="14466" spans="1:10" x14ac:dyDescent="0.2">
      <c r="A14466" s="4" t="s">
        <v>1</v>
      </c>
      <c r="B14466" s="3" t="str">
        <f>HYPERLINK("https://otsuka-europe-crm.veevavault.com/ui/#object/approved_document__v/V5OZ025E82TN2QL", "LUP - Invitación simposio SEN 2025 - nefro")</f>
        <v>LUP - Invitación simposio SEN 2025 - nefro</v>
      </c>
      <c r="C14466" s="3" t="str">
        <f>HYPERLINK("https://otsuka-europe-crm.veevavault.com/ui/#object/sent_email__v/VBLZ025E82H4XYF", "SE-000282079")</f>
        <v>SE-000282079</v>
      </c>
      <c r="D14466" s="1" t="s">
        <v>0</v>
      </c>
      <c r="E14466" s="2">
        <v>0</v>
      </c>
      <c r="F14466" s="2">
        <v>0</v>
      </c>
      <c r="G14466" s="2">
        <v>0</v>
      </c>
      <c r="H14466" s="1" t="s">
        <v>0</v>
      </c>
      <c r="I14466" s="2">
        <v>0</v>
      </c>
      <c r="J14466" s="1">
        <v>45930.495520833334</v>
      </c>
    </row>
    <row r="14467" spans="1:10" x14ac:dyDescent="0.2">
      <c r="A14467" s="4" t="s">
        <v>1</v>
      </c>
      <c r="B14467" s="3" t="str">
        <f>HYPERLINK("https://otsuka-europe-crm.veevavault.com/ui/#object/approved_document__v/V5OZ025E82TN2QL", "LUP - Invitación simposio SEN 2025 - nefro")</f>
        <v>LUP - Invitación simposio SEN 2025 - nefro</v>
      </c>
      <c r="C14467" s="3" t="str">
        <f>HYPERLINK("https://otsuka-europe-crm.veevavault.com/ui/#object/sent_email__v/VBLZ025E82H4XYG", "SE-000282080")</f>
        <v>SE-000282080</v>
      </c>
      <c r="D14467" s="1" t="s">
        <v>0</v>
      </c>
      <c r="E14467" s="2">
        <v>0</v>
      </c>
      <c r="F14467" s="2">
        <v>0</v>
      </c>
      <c r="G14467" s="2">
        <v>0</v>
      </c>
      <c r="H14467" s="1" t="s">
        <v>0</v>
      </c>
      <c r="I14467" s="2">
        <v>0</v>
      </c>
      <c r="J14467" s="1">
        <v>45930.495532407411</v>
      </c>
    </row>
    <row r="14468" spans="1:10" x14ac:dyDescent="0.2">
      <c r="A14468" s="4" t="s">
        <v>1</v>
      </c>
      <c r="B14468" s="3" t="str">
        <f>HYPERLINK("https://otsuka-europe-crm.veevavault.com/ui/#object/approved_document__v/V5OZ025E82TN2QL", "LUP - Invitación simposio SEN 2025 - nefro")</f>
        <v>LUP - Invitación simposio SEN 2025 - nefro</v>
      </c>
      <c r="C14468" s="3" t="str">
        <f>HYPERLINK("https://otsuka-europe-crm.veevavault.com/ui/#object/sent_email__v/VBLZ025E82H4XYH", "SE-000282081")</f>
        <v>SE-000282081</v>
      </c>
      <c r="D14468" s="1" t="s">
        <v>0</v>
      </c>
      <c r="E14468" s="2">
        <v>0</v>
      </c>
      <c r="F14468" s="2">
        <v>0</v>
      </c>
      <c r="G14468" s="2">
        <v>0</v>
      </c>
      <c r="H14468" s="1" t="s">
        <v>0</v>
      </c>
      <c r="I14468" s="2">
        <v>0</v>
      </c>
      <c r="J14468" s="1">
        <v>45930.49554398148</v>
      </c>
    </row>
    <row r="14469" spans="1:10" x14ac:dyDescent="0.2">
      <c r="A14469" s="4" t="s">
        <v>1</v>
      </c>
      <c r="B14469" s="3" t="str">
        <f>HYPERLINK("https://otsuka-europe-crm.veevavault.com/ui/#object/approved_document__v/V5OZ025E82TN2QL", "LUP - Invitación simposio SEN 2025 - nefro")</f>
        <v>LUP - Invitación simposio SEN 2025 - nefro</v>
      </c>
      <c r="C14469" s="3" t="str">
        <f>HYPERLINK("https://otsuka-europe-crm.veevavault.com/ui/#object/sent_email__v/VBLZ025E82H4XYI", "SE-000282082")</f>
        <v>SE-000282082</v>
      </c>
      <c r="D14469" s="1" t="s">
        <v>0</v>
      </c>
      <c r="E14469" s="2">
        <v>0</v>
      </c>
      <c r="F14469" s="2">
        <v>0</v>
      </c>
      <c r="G14469" s="2">
        <v>0</v>
      </c>
      <c r="H14469" s="1" t="s">
        <v>0</v>
      </c>
      <c r="I14469" s="2">
        <v>0</v>
      </c>
      <c r="J14469" s="1">
        <v>45930.495486111111</v>
      </c>
    </row>
    <row r="14470" spans="1:10" x14ac:dyDescent="0.2">
      <c r="A14470" s="4" t="s">
        <v>1</v>
      </c>
      <c r="B14470" s="3" t="str">
        <f>HYPERLINK("https://otsuka-europe-crm.veevavault.com/ui/#object/approved_document__v/V5OZ025E82TN2QL", "LUP - Invitación simposio SEN 2025 - nefro")</f>
        <v>LUP - Invitación simposio SEN 2025 - nefro</v>
      </c>
      <c r="C14470" s="3" t="str">
        <f>HYPERLINK("https://otsuka-europe-crm.veevavault.com/ui/#object/sent_email__v/VBLZ025E82H4XYJ", "SE-000282083")</f>
        <v>SE-000282083</v>
      </c>
      <c r="D14470" s="1" t="s">
        <v>0</v>
      </c>
      <c r="E14470" s="2">
        <v>0</v>
      </c>
      <c r="F14470" s="2">
        <v>0</v>
      </c>
      <c r="G14470" s="2">
        <v>0</v>
      </c>
      <c r="H14470" s="1" t="s">
        <v>0</v>
      </c>
      <c r="I14470" s="2">
        <v>0</v>
      </c>
      <c r="J14470" s="1">
        <v>45930.495555555557</v>
      </c>
    </row>
    <row r="14471" spans="1:10" x14ac:dyDescent="0.2">
      <c r="A14471" s="4" t="s">
        <v>1</v>
      </c>
      <c r="B14471" s="3" t="str">
        <f>HYPERLINK("https://otsuka-europe-crm.veevavault.com/ui/#object/approved_document__v/V5OZ025E82TN2QL", "LUP - Invitación simposio SEN 2025 - nefro")</f>
        <v>LUP - Invitación simposio SEN 2025 - nefro</v>
      </c>
      <c r="C14471" s="3" t="str">
        <f>HYPERLINK("https://otsuka-europe-crm.veevavault.com/ui/#object/sent_email__v/VBLZ025E82H4XYK", "SE-000282084")</f>
        <v>SE-000282084</v>
      </c>
      <c r="D14471" s="1" t="s">
        <v>0</v>
      </c>
      <c r="E14471" s="2">
        <v>0</v>
      </c>
      <c r="F14471" s="2">
        <v>0</v>
      </c>
      <c r="G14471" s="2">
        <v>0</v>
      </c>
      <c r="H14471" s="1" t="s">
        <v>0</v>
      </c>
      <c r="I14471" s="2">
        <v>0</v>
      </c>
      <c r="J14471" s="1">
        <v>45930.495567129627</v>
      </c>
    </row>
    <row r="14472" spans="1:10" x14ac:dyDescent="0.2">
      <c r="A14472" s="4" t="s">
        <v>1</v>
      </c>
      <c r="B14472" s="3" t="str">
        <f>HYPERLINK("https://otsuka-europe-crm.veevavault.com/ui/#object/approved_document__v/V5OZ025E82TN2QL", "LUP - Invitación simposio SEN 2025 - nefro")</f>
        <v>LUP - Invitación simposio SEN 2025 - nefro</v>
      </c>
      <c r="C14472" s="3" t="str">
        <f>HYPERLINK("https://otsuka-europe-crm.veevavault.com/ui/#object/sent_email__v/VBLZ025E82H4XYL", "SE-000282085")</f>
        <v>SE-000282085</v>
      </c>
      <c r="D14472" s="1">
        <v>45930.655162037037</v>
      </c>
      <c r="E14472" s="2">
        <v>1</v>
      </c>
      <c r="F14472" s="2">
        <v>1</v>
      </c>
      <c r="G14472" s="2">
        <v>0</v>
      </c>
      <c r="H14472" s="1" t="s">
        <v>0</v>
      </c>
      <c r="I14472" s="2">
        <v>0</v>
      </c>
      <c r="J14472" s="1">
        <v>45930.495520833334</v>
      </c>
    </row>
    <row r="14473" spans="1:10" x14ac:dyDescent="0.2">
      <c r="A14473" s="4" t="s">
        <v>1</v>
      </c>
      <c r="B14473" s="3" t="str">
        <f>HYPERLINK("https://otsuka-europe-crm.veevavault.com/ui/#object/approved_document__v/V5OZ025E82TN2QL", "LUP - Invitación simposio SEN 2025 - nefro")</f>
        <v>LUP - Invitación simposio SEN 2025 - nefro</v>
      </c>
      <c r="C14473" s="3" t="str">
        <f>HYPERLINK("https://otsuka-europe-crm.veevavault.com/ui/#object/sent_email__v/VBLZ025E82H4XYM", "SE-000282086")</f>
        <v>SE-000282086</v>
      </c>
      <c r="D14473" s="1" t="s">
        <v>0</v>
      </c>
      <c r="E14473" s="2">
        <v>0</v>
      </c>
      <c r="F14473" s="2">
        <v>0</v>
      </c>
      <c r="G14473" s="2">
        <v>0</v>
      </c>
      <c r="H14473" s="1" t="s">
        <v>0</v>
      </c>
      <c r="I14473" s="2">
        <v>0</v>
      </c>
      <c r="J14473" s="1">
        <v>45930.49554398148</v>
      </c>
    </row>
    <row r="14474" spans="1:10" x14ac:dyDescent="0.2">
      <c r="A14474" s="4" t="s">
        <v>1</v>
      </c>
      <c r="B14474" s="3" t="str">
        <f>HYPERLINK("https://otsuka-europe-crm.veevavault.com/ui/#object/approved_document__v/V5OZ025E82TN2QL", "LUP - Invitación simposio SEN 2025 - nefro")</f>
        <v>LUP - Invitación simposio SEN 2025 - nefro</v>
      </c>
      <c r="C14474" s="3" t="str">
        <f>HYPERLINK("https://otsuka-europe-crm.veevavault.com/ui/#object/sent_email__v/VBLZ025E82H6535", "SE-000282590")</f>
        <v>SE-000282590</v>
      </c>
      <c r="D14474" s="1">
        <v>45931.506296296298</v>
      </c>
      <c r="E14474" s="2">
        <v>1</v>
      </c>
      <c r="F14474" s="2">
        <v>2</v>
      </c>
      <c r="G14474" s="2">
        <v>1</v>
      </c>
      <c r="H14474" s="1">
        <v>45931.506388888891</v>
      </c>
      <c r="I14474" s="2">
        <v>1</v>
      </c>
      <c r="J14474" s="1">
        <v>45931.417581018519</v>
      </c>
    </row>
    <row r="14475" spans="1:10" x14ac:dyDescent="0.2">
      <c r="A14475" s="4" t="s">
        <v>1</v>
      </c>
      <c r="B14475" s="3" t="str">
        <f>HYPERLINK("https://otsuka-europe-crm.veevavault.com/ui/#object/approved_document__v/V5OZ025E82TN2QL", "LUP - Invitación simposio SEN 2025 - nefro")</f>
        <v>LUP - Invitación simposio SEN 2025 - nefro</v>
      </c>
      <c r="C14475" s="3" t="str">
        <f>HYPERLINK("https://otsuka-europe-crm.veevavault.com/ui/#object/sent_email__v/VBLZ025E82H6JTP", "SE-000282653")</f>
        <v>SE-000282653</v>
      </c>
      <c r="D14475" s="1">
        <v>45931.747858796298</v>
      </c>
      <c r="E14475" s="2">
        <v>1</v>
      </c>
      <c r="F14475" s="2">
        <v>1</v>
      </c>
      <c r="G14475" s="2">
        <v>1</v>
      </c>
      <c r="H14475" s="1">
        <v>45931.747858796298</v>
      </c>
      <c r="I14475" s="2">
        <v>1</v>
      </c>
      <c r="J14475" s="1">
        <v>45931.507916666669</v>
      </c>
    </row>
    <row r="14476" spans="1:10" x14ac:dyDescent="0.2">
      <c r="A14476" s="4" t="s">
        <v>1</v>
      </c>
      <c r="B14476" s="3" t="str">
        <f>HYPERLINK("https://otsuka-europe-crm.veevavault.com/ui/#object/approved_document__v/V5OZ025E82TN2QL", "LUP - Invitación simposio SEN 2025 - nefro")</f>
        <v>LUP - Invitación simposio SEN 2025 - nefro</v>
      </c>
      <c r="C14476" s="3" t="str">
        <f>HYPERLINK("https://otsuka-europe-crm.veevavault.com/ui/#object/sent_email__v/VBLZ025E82H6JWH", "SE-000282654")</f>
        <v>SE-000282654</v>
      </c>
      <c r="D14476" s="1">
        <v>45931.533449074072</v>
      </c>
      <c r="E14476" s="2">
        <v>1</v>
      </c>
      <c r="F14476" s="2">
        <v>1</v>
      </c>
      <c r="G14476" s="2">
        <v>1</v>
      </c>
      <c r="H14476" s="1">
        <v>45931.533541666664</v>
      </c>
      <c r="I14476" s="2">
        <v>1</v>
      </c>
      <c r="J14476" s="1">
        <v>45931.508368055554</v>
      </c>
    </row>
    <row r="14477" spans="1:10" x14ac:dyDescent="0.2">
      <c r="A14477" s="4" t="s">
        <v>1</v>
      </c>
      <c r="B14477" s="3" t="str">
        <f>HYPERLINK("https://otsuka-europe-crm.veevavault.com/ui/#object/approved_document__v/V5OZ025E82TN2QL", "LUP - Invitación simposio SEN 2025 - nefro")</f>
        <v>LUP - Invitación simposio SEN 2025 - nefro</v>
      </c>
      <c r="C14477" s="3" t="str">
        <f>HYPERLINK("https://otsuka-europe-crm.veevavault.com/ui/#object/sent_email__v/VBLZ025E82HHAPH", "SE-000286446")</f>
        <v>SE-000286446</v>
      </c>
      <c r="D14477" s="1">
        <v>45940.692303240743</v>
      </c>
      <c r="E14477" s="2">
        <v>1</v>
      </c>
      <c r="F14477" s="2">
        <v>2</v>
      </c>
      <c r="G14477" s="2">
        <v>0</v>
      </c>
      <c r="H14477" s="1" t="s">
        <v>0</v>
      </c>
      <c r="I14477" s="2">
        <v>0</v>
      </c>
      <c r="J14477" s="1">
        <v>45940.436018518521</v>
      </c>
    </row>
    <row r="14478" spans="1:10" x14ac:dyDescent="0.2">
      <c r="A14478" s="4" t="s">
        <v>1</v>
      </c>
      <c r="B14478" s="3" t="str">
        <f>HYPERLINK("https://otsuka-europe-crm.veevavault.com/ui/#object/approved_document__v/V5OZ025E82TN2QL", "LUP - Invitación simposio SEN 2025 - nefro")</f>
        <v>LUP - Invitación simposio SEN 2025 - nefro</v>
      </c>
      <c r="C14478" s="3" t="str">
        <f>HYPERLINK("https://otsuka-europe-crm.veevavault.com/ui/#object/sent_email__v/VBLZ025E82HJRZD", "SE-000286921")</f>
        <v>SE-000286921</v>
      </c>
      <c r="D14478" s="1" t="s">
        <v>0</v>
      </c>
      <c r="E14478" s="2">
        <v>0</v>
      </c>
      <c r="F14478" s="2">
        <v>0</v>
      </c>
      <c r="G14478" s="2">
        <v>0</v>
      </c>
      <c r="H14478" s="1" t="s">
        <v>0</v>
      </c>
      <c r="I14478" s="2">
        <v>0</v>
      </c>
      <c r="J14478" s="1">
        <v>45944.418263888889</v>
      </c>
    </row>
    <row r="14479" spans="1:10" x14ac:dyDescent="0.2">
      <c r="A14479" s="4" t="s">
        <v>1</v>
      </c>
      <c r="B14479" s="3" t="str">
        <f>HYPERLINK("https://otsuka-europe-crm.veevavault.com/ui/#object/approved_document__v/V5OZ025E82TN2QL", "LUP - Invitación simposio SEN 2025 - nefro")</f>
        <v>LUP - Invitación simposio SEN 2025 - nefro</v>
      </c>
      <c r="C14479" s="3" t="str">
        <f>HYPERLINK("https://otsuka-europe-crm.veevavault.com/ui/#object/sent_email__v/VBLZ025E82HJRZE", "SE-000286922")</f>
        <v>SE-000286922</v>
      </c>
      <c r="D14479" s="1">
        <v>45967.7421875</v>
      </c>
      <c r="E14479" s="2">
        <v>1</v>
      </c>
      <c r="F14479" s="2">
        <v>29</v>
      </c>
      <c r="G14479" s="2">
        <v>1</v>
      </c>
      <c r="H14479" s="1">
        <v>45960.429178240738</v>
      </c>
      <c r="I14479" s="2">
        <v>1</v>
      </c>
      <c r="J14479" s="1">
        <v>45944.418275462966</v>
      </c>
    </row>
    <row r="14480" spans="1:10" x14ac:dyDescent="0.2">
      <c r="A14480" s="4" t="s">
        <v>1</v>
      </c>
      <c r="B14480" s="3" t="str">
        <f>HYPERLINK("https://otsuka-europe-crm.veevavault.com/ui/#object/approved_document__v/V5OZ025E82TN2QL", "LUP - Invitación simposio SEN 2025 - nefro")</f>
        <v>LUP - Invitación simposio SEN 2025 - nefro</v>
      </c>
      <c r="C14480" s="3" t="str">
        <f>HYPERLINK("https://otsuka-europe-crm.veevavault.com/ui/#object/sent_email__v/VBLZ025E82HJRZF", "SE-000286923")</f>
        <v>SE-000286923</v>
      </c>
      <c r="D14480" s="1" t="s">
        <v>0</v>
      </c>
      <c r="E14480" s="2">
        <v>0</v>
      </c>
      <c r="F14480" s="2">
        <v>0</v>
      </c>
      <c r="G14480" s="2">
        <v>0</v>
      </c>
      <c r="H14480" s="1" t="s">
        <v>0</v>
      </c>
      <c r="I14480" s="2">
        <v>0</v>
      </c>
      <c r="J14480" s="1">
        <v>45944.418263888889</v>
      </c>
    </row>
    <row r="14481" spans="1:10" x14ac:dyDescent="0.2">
      <c r="A14481" s="4" t="s">
        <v>1</v>
      </c>
      <c r="B14481" s="3" t="str">
        <f>HYPERLINK("https://otsuka-europe-crm.veevavault.com/ui/#object/approved_document__v/V5OZ025E82TN2QL", "LUP - Invitación simposio SEN 2025 - nefro")</f>
        <v>LUP - Invitación simposio SEN 2025 - nefro</v>
      </c>
      <c r="C14481" s="3" t="str">
        <f>HYPERLINK("https://otsuka-europe-crm.veevavault.com/ui/#object/sent_email__v/VBLZ025E82HJRZG", "SE-000286924")</f>
        <v>SE-000286924</v>
      </c>
      <c r="D14481" s="1">
        <v>45944.514976851853</v>
      </c>
      <c r="E14481" s="2">
        <v>1</v>
      </c>
      <c r="F14481" s="2">
        <v>2</v>
      </c>
      <c r="G14481" s="2">
        <v>0</v>
      </c>
      <c r="H14481" s="1" t="s">
        <v>0</v>
      </c>
      <c r="I14481" s="2">
        <v>0</v>
      </c>
      <c r="J14481" s="1">
        <v>45944.418275462966</v>
      </c>
    </row>
    <row r="14482" spans="1:10" x14ac:dyDescent="0.2">
      <c r="A14482" s="4" t="s">
        <v>1</v>
      </c>
      <c r="B14482" s="3" t="str">
        <f>HYPERLINK("https://otsuka-europe-crm.veevavault.com/ui/#object/approved_document__v/V5OZ025E82TN2QL", "LUP - Invitación simposio SEN 2025 - nefro")</f>
        <v>LUP - Invitación simposio SEN 2025 - nefro</v>
      </c>
      <c r="C14482" s="3" t="str">
        <f>HYPERLINK("https://otsuka-europe-crm.veevavault.com/ui/#object/sent_email__v/VBLZ025E82HJRZH", "SE-000286925")</f>
        <v>SE-000286925</v>
      </c>
      <c r="D14482" s="1" t="s">
        <v>0</v>
      </c>
      <c r="E14482" s="2">
        <v>0</v>
      </c>
      <c r="F14482" s="2">
        <v>0</v>
      </c>
      <c r="G14482" s="2">
        <v>0</v>
      </c>
      <c r="H14482" s="1" t="s">
        <v>0</v>
      </c>
      <c r="I14482" s="2">
        <v>0</v>
      </c>
      <c r="J14482" s="1">
        <v>45944.418275462966</v>
      </c>
    </row>
    <row r="14483" spans="1:10" x14ac:dyDescent="0.2">
      <c r="A14483" s="4" t="s">
        <v>1</v>
      </c>
      <c r="B14483" s="3" t="str">
        <f>HYPERLINK("https://otsuka-europe-crm.veevavault.com/ui/#object/approved_document__v/V5OZ025E82TN2QL", "LUP - Invitación simposio SEN 2025 - nefro")</f>
        <v>LUP - Invitación simposio SEN 2025 - nefro</v>
      </c>
      <c r="C14483" s="3" t="str">
        <f>HYPERLINK("https://otsuka-europe-crm.veevavault.com/ui/#object/sent_email__v/VBLZ025E82HJRZI", "SE-000286926")</f>
        <v>SE-000286926</v>
      </c>
      <c r="D14483" s="1">
        <v>45944.469236111108</v>
      </c>
      <c r="E14483" s="2">
        <v>1</v>
      </c>
      <c r="F14483" s="2">
        <v>1</v>
      </c>
      <c r="G14483" s="2">
        <v>0</v>
      </c>
      <c r="H14483" s="1" t="s">
        <v>0</v>
      </c>
      <c r="I14483" s="2">
        <v>0</v>
      </c>
      <c r="J14483" s="1">
        <v>45944.418287037035</v>
      </c>
    </row>
    <row r="14484" spans="1:10" x14ac:dyDescent="0.2">
      <c r="A14484" s="4" t="s">
        <v>1</v>
      </c>
      <c r="B14484" s="3" t="str">
        <f>HYPERLINK("https://otsuka-europe-crm.veevavault.com/ui/#object/approved_document__v/V5OZ025E82TN2QL", "LUP - Invitación simposio SEN 2025 - nefro")</f>
        <v>LUP - Invitación simposio SEN 2025 - nefro</v>
      </c>
      <c r="C14484" s="3" t="str">
        <f>HYPERLINK("https://otsuka-europe-crm.veevavault.com/ui/#object/sent_email__v/VBLZ025E82HJRZJ", "SE-000286927")</f>
        <v>SE-000286927</v>
      </c>
      <c r="D14484" s="1">
        <v>45945.578275462962</v>
      </c>
      <c r="E14484" s="2">
        <v>1</v>
      </c>
      <c r="F14484" s="2">
        <v>2</v>
      </c>
      <c r="G14484" s="2">
        <v>0</v>
      </c>
      <c r="H14484" s="1" t="s">
        <v>0</v>
      </c>
      <c r="I14484" s="2">
        <v>0</v>
      </c>
      <c r="J14484" s="1">
        <v>45944.418287037035</v>
      </c>
    </row>
    <row r="14485" spans="1:10" x14ac:dyDescent="0.2">
      <c r="A14485" s="4" t="s">
        <v>1</v>
      </c>
      <c r="B14485" s="3" t="str">
        <f>HYPERLINK("https://otsuka-europe-crm.veevavault.com/ui/#object/approved_document__v/V5OZ025E82TN2QL", "LUP - Invitación simposio SEN 2025 - nefro")</f>
        <v>LUP - Invitación simposio SEN 2025 - nefro</v>
      </c>
      <c r="C14485" s="3" t="str">
        <f>HYPERLINK("https://otsuka-europe-crm.veevavault.com/ui/#object/sent_email__v/VBLZ025E82HJRZK", "SE-000286928")</f>
        <v>SE-000286928</v>
      </c>
      <c r="D14485" s="1">
        <v>45946.410555555558</v>
      </c>
      <c r="E14485" s="2">
        <v>1</v>
      </c>
      <c r="F14485" s="2">
        <v>3</v>
      </c>
      <c r="G14485" s="2">
        <v>0</v>
      </c>
      <c r="H14485" s="1" t="s">
        <v>0</v>
      </c>
      <c r="I14485" s="2">
        <v>0</v>
      </c>
      <c r="J14485" s="1">
        <v>45944.418298611112</v>
      </c>
    </row>
    <row r="14486" spans="1:10" x14ac:dyDescent="0.2">
      <c r="A14486" s="4" t="s">
        <v>1</v>
      </c>
      <c r="B14486" s="3" t="str">
        <f>HYPERLINK("https://otsuka-europe-crm.veevavault.com/ui/#object/approved_document__v/V5OZ025E82TN2QL", "LUP - Invitación simposio SEN 2025 - nefro")</f>
        <v>LUP - Invitación simposio SEN 2025 - nefro</v>
      </c>
      <c r="C14486" s="3" t="str">
        <f>HYPERLINK("https://otsuka-europe-crm.veevavault.com/ui/#object/sent_email__v/VBLZ025E82HJRZL", "SE-000286929")</f>
        <v>SE-000286929</v>
      </c>
      <c r="D14486" s="1" t="s">
        <v>0</v>
      </c>
      <c r="E14486" s="2">
        <v>0</v>
      </c>
      <c r="F14486" s="2">
        <v>0</v>
      </c>
      <c r="G14486" s="2">
        <v>0</v>
      </c>
      <c r="H14486" s="1" t="s">
        <v>0</v>
      </c>
      <c r="I14486" s="2">
        <v>0</v>
      </c>
      <c r="J14486" s="1">
        <v>45944.418298611112</v>
      </c>
    </row>
    <row r="14487" spans="1:10" x14ac:dyDescent="0.2">
      <c r="A14487" s="4" t="s">
        <v>1</v>
      </c>
      <c r="B14487" s="3" t="str">
        <f>HYPERLINK("https://otsuka-europe-crm.veevavault.com/ui/#object/approved_document__v/V5OZ025E82TN2QL", "LUP - Invitación simposio SEN 2025 - nefro")</f>
        <v>LUP - Invitación simposio SEN 2025 - nefro</v>
      </c>
      <c r="C14487" s="3" t="str">
        <f>HYPERLINK("https://otsuka-europe-crm.veevavault.com/ui/#object/sent_email__v/VBLZ025E82HJRZM", "SE-000286930")</f>
        <v>SE-000286930</v>
      </c>
      <c r="D14487" s="1">
        <v>45946.975960648146</v>
      </c>
      <c r="E14487" s="2">
        <v>1</v>
      </c>
      <c r="F14487" s="2">
        <v>2</v>
      </c>
      <c r="G14487" s="2">
        <v>0</v>
      </c>
      <c r="H14487" s="1" t="s">
        <v>0</v>
      </c>
      <c r="I14487" s="2">
        <v>0</v>
      </c>
      <c r="J14487" s="1">
        <v>45944.418356481481</v>
      </c>
    </row>
    <row r="14488" spans="1:10" x14ac:dyDescent="0.2">
      <c r="A14488" s="4" t="s">
        <v>1</v>
      </c>
      <c r="B14488" s="3" t="str">
        <f>HYPERLINK("https://otsuka-europe-crm.veevavault.com/ui/#object/approved_document__v/V5OZ025E82TN2QL", "LUP - Invitación simposio SEN 2025 - nefro")</f>
        <v>LUP - Invitación simposio SEN 2025 - nefro</v>
      </c>
      <c r="C14488" s="3" t="str">
        <f>HYPERLINK("https://otsuka-europe-crm.veevavault.com/ui/#object/sent_email__v/VBLZ025E82HJRZN", "SE-000286931")</f>
        <v>SE-000286931</v>
      </c>
      <c r="D14488" s="1" t="s">
        <v>0</v>
      </c>
      <c r="E14488" s="2">
        <v>0</v>
      </c>
      <c r="F14488" s="2">
        <v>0</v>
      </c>
      <c r="G14488" s="2">
        <v>0</v>
      </c>
      <c r="H14488" s="1" t="s">
        <v>0</v>
      </c>
      <c r="I14488" s="2">
        <v>0</v>
      </c>
      <c r="J14488" s="1">
        <v>45944.418368055558</v>
      </c>
    </row>
    <row r="14489" spans="1:10" x14ac:dyDescent="0.2">
      <c r="A14489" s="4" t="s">
        <v>1</v>
      </c>
      <c r="B14489" s="3" t="str">
        <f>HYPERLINK("https://otsuka-europe-crm.veevavault.com/ui/#object/approved_document__v/V5OZ025E82TN2QL", "LUP - Invitación simposio SEN 2025 - nefro")</f>
        <v>LUP - Invitación simposio SEN 2025 - nefro</v>
      </c>
      <c r="C14489" s="3" t="str">
        <f>HYPERLINK("https://otsuka-europe-crm.veevavault.com/ui/#object/sent_email__v/VBLZ025E82HJRZO", "SE-000286932")</f>
        <v>SE-000286932</v>
      </c>
      <c r="D14489" s="1">
        <v>45944.636180555557</v>
      </c>
      <c r="E14489" s="2">
        <v>1</v>
      </c>
      <c r="F14489" s="2">
        <v>1</v>
      </c>
      <c r="G14489" s="2">
        <v>0</v>
      </c>
      <c r="H14489" s="1" t="s">
        <v>0</v>
      </c>
      <c r="I14489" s="2">
        <v>0</v>
      </c>
      <c r="J14489" s="1">
        <v>45944.418356481481</v>
      </c>
    </row>
    <row r="14490" spans="1:10" x14ac:dyDescent="0.2">
      <c r="A14490" s="4" t="s">
        <v>1</v>
      </c>
      <c r="B14490" s="3" t="str">
        <f>HYPERLINK("https://otsuka-europe-crm.veevavault.com/ui/#object/approved_document__v/V5OZ025E82TN2QL", "LUP - Invitación simposio SEN 2025 - nefro")</f>
        <v>LUP - Invitación simposio SEN 2025 - nefro</v>
      </c>
      <c r="C14490" s="3" t="str">
        <f>HYPERLINK("https://otsuka-europe-crm.veevavault.com/ui/#object/sent_email__v/VBLZ025E82HJRZP", "SE-000286933")</f>
        <v>SE-000286933</v>
      </c>
      <c r="D14490" s="1">
        <v>45945.613819444443</v>
      </c>
      <c r="E14490" s="2">
        <v>1</v>
      </c>
      <c r="F14490" s="2">
        <v>2</v>
      </c>
      <c r="G14490" s="2">
        <v>0</v>
      </c>
      <c r="H14490" s="1" t="s">
        <v>0</v>
      </c>
      <c r="I14490" s="2">
        <v>0</v>
      </c>
      <c r="J14490" s="1">
        <v>45944.418356481481</v>
      </c>
    </row>
    <row r="14491" spans="1:10" x14ac:dyDescent="0.2">
      <c r="A14491" s="4" t="s">
        <v>1</v>
      </c>
      <c r="B14491" s="3" t="str">
        <f>HYPERLINK("https://otsuka-europe-crm.veevavault.com/ui/#object/approved_document__v/V5OZ025E82TN2QL", "LUP - Invitación simposio SEN 2025 - nefro")</f>
        <v>LUP - Invitación simposio SEN 2025 - nefro</v>
      </c>
      <c r="C14491" s="3" t="str">
        <f>HYPERLINK("https://otsuka-europe-crm.veevavault.com/ui/#object/sent_email__v/VBLZ025E82HJRZQ", "SE-000286934")</f>
        <v>SE-000286934</v>
      </c>
      <c r="D14491" s="1">
        <v>45944.441620370373</v>
      </c>
      <c r="E14491" s="2">
        <v>1</v>
      </c>
      <c r="F14491" s="2">
        <v>1</v>
      </c>
      <c r="G14491" s="2">
        <v>0</v>
      </c>
      <c r="H14491" s="1" t="s">
        <v>0</v>
      </c>
      <c r="I14491" s="2">
        <v>0</v>
      </c>
      <c r="J14491" s="1">
        <v>45944.418402777781</v>
      </c>
    </row>
    <row r="14492" spans="1:10" x14ac:dyDescent="0.2">
      <c r="A14492" s="4" t="s">
        <v>1</v>
      </c>
      <c r="B14492" s="3" t="str">
        <f>HYPERLINK("https://otsuka-europe-crm.veevavault.com/ui/#object/approved_document__v/V5OZ025E82TN2QL", "LUP - Invitación simposio SEN 2025 - nefro")</f>
        <v>LUP - Invitación simposio SEN 2025 - nefro</v>
      </c>
      <c r="C14492" s="3" t="str">
        <f>HYPERLINK("https://otsuka-europe-crm.veevavault.com/ui/#object/sent_email__v/VBLZ025E82HJRZR", "SE-000286935")</f>
        <v>SE-000286935</v>
      </c>
      <c r="D14492" s="1">
        <v>45944.467523148145</v>
      </c>
      <c r="E14492" s="2">
        <v>1</v>
      </c>
      <c r="F14492" s="2">
        <v>1</v>
      </c>
      <c r="G14492" s="2">
        <v>0</v>
      </c>
      <c r="H14492" s="1" t="s">
        <v>0</v>
      </c>
      <c r="I14492" s="2">
        <v>0</v>
      </c>
      <c r="J14492" s="1">
        <v>45944.418356481481</v>
      </c>
    </row>
    <row r="14493" spans="1:10" x14ac:dyDescent="0.2">
      <c r="A14493" s="4" t="s">
        <v>1</v>
      </c>
      <c r="B14493" s="3" t="str">
        <f>HYPERLINK("https://otsuka-europe-crm.veevavault.com/ui/#object/approved_document__v/V5OZ025E82TN2QL", "LUP - Invitación simposio SEN 2025 - nefro")</f>
        <v>LUP - Invitación simposio SEN 2025 - nefro</v>
      </c>
      <c r="C14493" s="3" t="str">
        <f>HYPERLINK("https://otsuka-europe-crm.veevavault.com/ui/#object/sent_email__v/VBLZ025E82HJRZS", "SE-000286936")</f>
        <v>SE-000286936</v>
      </c>
      <c r="D14493" s="1" t="s">
        <v>0</v>
      </c>
      <c r="E14493" s="2">
        <v>0</v>
      </c>
      <c r="F14493" s="2">
        <v>0</v>
      </c>
      <c r="G14493" s="2">
        <v>0</v>
      </c>
      <c r="H14493" s="1" t="s">
        <v>0</v>
      </c>
      <c r="I14493" s="2">
        <v>0</v>
      </c>
      <c r="J14493" s="1">
        <v>45944.418402777781</v>
      </c>
    </row>
    <row r="14494" spans="1:10" x14ac:dyDescent="0.2">
      <c r="A14494" s="4" t="s">
        <v>1</v>
      </c>
      <c r="B14494" s="3" t="str">
        <f>HYPERLINK("https://otsuka-europe-crm.veevavault.com/ui/#object/approved_document__v/V5OZ025E82TN2QL", "LUP - Invitación simposio SEN 2025 - nefro")</f>
        <v>LUP - Invitación simposio SEN 2025 - nefro</v>
      </c>
      <c r="C14494" s="3" t="str">
        <f>HYPERLINK("https://otsuka-europe-crm.veevavault.com/ui/#object/sent_email__v/VBLZ025E82HJRZT", "SE-000286937")</f>
        <v>SE-000286937</v>
      </c>
      <c r="D14494" s="1" t="s">
        <v>0</v>
      </c>
      <c r="E14494" s="2">
        <v>0</v>
      </c>
      <c r="F14494" s="2">
        <v>0</v>
      </c>
      <c r="G14494" s="2">
        <v>0</v>
      </c>
      <c r="H14494" s="1" t="s">
        <v>0</v>
      </c>
      <c r="I14494" s="2">
        <v>0</v>
      </c>
      <c r="J14494" s="1">
        <v>45944.418402777781</v>
      </c>
    </row>
    <row r="14495" spans="1:10" x14ac:dyDescent="0.2">
      <c r="A14495" s="4" t="s">
        <v>1</v>
      </c>
      <c r="B14495" s="3" t="str">
        <f>HYPERLINK("https://otsuka-europe-crm.veevavault.com/ui/#object/approved_document__v/V5OZ025E82TN2QL", "LUP - Invitación simposio SEN 2025 - nefro")</f>
        <v>LUP - Invitación simposio SEN 2025 - nefro</v>
      </c>
      <c r="C14495" s="3" t="str">
        <f>HYPERLINK("https://otsuka-europe-crm.veevavault.com/ui/#object/sent_email__v/VBLZ025E82HJRZU", "SE-000286938")</f>
        <v>SE-000286938</v>
      </c>
      <c r="D14495" s="1">
        <v>45944.736261574071</v>
      </c>
      <c r="E14495" s="2">
        <v>1</v>
      </c>
      <c r="F14495" s="2">
        <v>1</v>
      </c>
      <c r="G14495" s="2">
        <v>1</v>
      </c>
      <c r="H14495" s="1">
        <v>45944.736261574071</v>
      </c>
      <c r="I14495" s="2">
        <v>1</v>
      </c>
      <c r="J14495" s="1">
        <v>45944.418402777781</v>
      </c>
    </row>
    <row r="14496" spans="1:10" x14ac:dyDescent="0.2">
      <c r="A14496" s="4" t="s">
        <v>1</v>
      </c>
      <c r="B14496" s="3" t="str">
        <f>HYPERLINK("https://otsuka-europe-crm.veevavault.com/ui/#object/approved_document__v/V5OZ025E82TN2QL", "LUP - Invitación simposio SEN 2025 - nefro")</f>
        <v>LUP - Invitación simposio SEN 2025 - nefro</v>
      </c>
      <c r="C14496" s="3" t="str">
        <f>HYPERLINK("https://otsuka-europe-crm.veevavault.com/ui/#object/sent_email__v/VBLZ025E82HJRZV", "SE-000286939")</f>
        <v>SE-000286939</v>
      </c>
      <c r="D14496" s="1">
        <v>45944.425787037035</v>
      </c>
      <c r="E14496" s="2">
        <v>1</v>
      </c>
      <c r="F14496" s="2">
        <v>1</v>
      </c>
      <c r="G14496" s="2">
        <v>0</v>
      </c>
      <c r="H14496" s="1" t="s">
        <v>0</v>
      </c>
      <c r="I14496" s="2">
        <v>0</v>
      </c>
      <c r="J14496" s="1">
        <v>45944.418402777781</v>
      </c>
    </row>
    <row r="14497" spans="1:10" x14ac:dyDescent="0.2">
      <c r="A14497" s="4" t="s">
        <v>1</v>
      </c>
      <c r="B14497" s="3" t="str">
        <f>HYPERLINK("https://otsuka-europe-crm.veevavault.com/ui/#object/approved_document__v/V5OZ025E82TN2QL", "LUP - Invitación simposio SEN 2025 - nefro")</f>
        <v>LUP - Invitación simposio SEN 2025 - nefro</v>
      </c>
      <c r="C14497" s="3" t="str">
        <f>HYPERLINK("https://otsuka-europe-crm.veevavault.com/ui/#object/sent_email__v/VBLZ025E82HJRZW", "SE-000286940")</f>
        <v>SE-000286940</v>
      </c>
      <c r="D14497" s="1" t="s">
        <v>0</v>
      </c>
      <c r="E14497" s="2">
        <v>0</v>
      </c>
      <c r="F14497" s="2">
        <v>0</v>
      </c>
      <c r="G14497" s="2">
        <v>0</v>
      </c>
      <c r="H14497" s="1" t="s">
        <v>0</v>
      </c>
      <c r="I14497" s="2">
        <v>0</v>
      </c>
      <c r="J14497" s="1">
        <v>45944.418414351851</v>
      </c>
    </row>
    <row r="14498" spans="1:10" x14ac:dyDescent="0.2">
      <c r="A14498" s="4" t="s">
        <v>1</v>
      </c>
      <c r="B14498" s="3" t="str">
        <f>HYPERLINK("https://otsuka-europe-crm.veevavault.com/ui/#object/approved_document__v/V5OZ025E82TN2QL", "LUP - Invitación simposio SEN 2025 - nefro")</f>
        <v>LUP - Invitación simposio SEN 2025 - nefro</v>
      </c>
      <c r="C14498" s="3" t="str">
        <f>HYPERLINK("https://otsuka-europe-crm.veevavault.com/ui/#object/sent_email__v/VBLZ025E82HJRZX", "SE-000286941")</f>
        <v>SE-000286941</v>
      </c>
      <c r="D14498" s="1" t="s">
        <v>0</v>
      </c>
      <c r="E14498" s="2">
        <v>0</v>
      </c>
      <c r="F14498" s="2">
        <v>0</v>
      </c>
      <c r="G14498" s="2">
        <v>0</v>
      </c>
      <c r="H14498" s="1" t="s">
        <v>0</v>
      </c>
      <c r="I14498" s="2">
        <v>0</v>
      </c>
      <c r="J14498" s="1">
        <v>45944.418425925927</v>
      </c>
    </row>
    <row r="14499" spans="1:10" x14ac:dyDescent="0.2">
      <c r="A14499" s="4" t="s">
        <v>1</v>
      </c>
      <c r="B14499" s="3" t="str">
        <f>HYPERLINK("https://otsuka-europe-crm.veevavault.com/ui/#object/approved_document__v/V5OZ025E82TN2QL", "LUP - Invitación simposio SEN 2025 - nefro")</f>
        <v>LUP - Invitación simposio SEN 2025 - nefro</v>
      </c>
      <c r="C14499" s="3" t="str">
        <f>HYPERLINK("https://otsuka-europe-crm.veevavault.com/ui/#object/sent_email__v/VBLZ025E82HJRZY", "SE-000286942")</f>
        <v>SE-000286942</v>
      </c>
      <c r="D14499" s="1">
        <v>45971.87394675926</v>
      </c>
      <c r="E14499" s="2">
        <v>1</v>
      </c>
      <c r="F14499" s="2">
        <v>2</v>
      </c>
      <c r="G14499" s="2">
        <v>0</v>
      </c>
      <c r="H14499" s="1" t="s">
        <v>0</v>
      </c>
      <c r="I14499" s="2">
        <v>0</v>
      </c>
      <c r="J14499" s="1">
        <v>45944.418425925927</v>
      </c>
    </row>
    <row r="14500" spans="1:10" x14ac:dyDescent="0.2">
      <c r="A14500" s="4" t="s">
        <v>1</v>
      </c>
      <c r="B14500" s="3" t="str">
        <f>HYPERLINK("https://otsuka-europe-crm.veevavault.com/ui/#object/approved_document__v/V5OZ025E82TN2QL", "LUP - Invitación simposio SEN 2025 - nefro")</f>
        <v>LUP - Invitación simposio SEN 2025 - nefro</v>
      </c>
      <c r="C14500" s="3" t="str">
        <f>HYPERLINK("https://otsuka-europe-crm.veevavault.com/ui/#object/sent_email__v/VBLZ025E82HJRZZ", "SE-000286943")</f>
        <v>SE-000286943</v>
      </c>
      <c r="D14500" s="1">
        <v>45944.484710648147</v>
      </c>
      <c r="E14500" s="2">
        <v>1</v>
      </c>
      <c r="F14500" s="2">
        <v>1</v>
      </c>
      <c r="G14500" s="2">
        <v>0</v>
      </c>
      <c r="H14500" s="1" t="s">
        <v>0</v>
      </c>
      <c r="I14500" s="2">
        <v>0</v>
      </c>
      <c r="J14500" s="1">
        <v>45944.418437499997</v>
      </c>
    </row>
    <row r="14501" spans="1:10" x14ac:dyDescent="0.2">
      <c r="A14501" s="4" t="s">
        <v>1</v>
      </c>
      <c r="B14501" s="3" t="str">
        <f>HYPERLINK("https://otsuka-europe-crm.veevavault.com/ui/#object/approved_document__v/V5OZ025E82TN2QL", "LUP - Invitación simposio SEN 2025 - nefro")</f>
        <v>LUP - Invitación simposio SEN 2025 - nefro</v>
      </c>
      <c r="C14501" s="3" t="str">
        <f>HYPERLINK("https://otsuka-europe-crm.veevavault.com/ui/#object/sent_email__v/VBLZ025E82HJS00", "SE-000286944")</f>
        <v>SE-000286944</v>
      </c>
      <c r="D14501" s="1">
        <v>45944.665983796294</v>
      </c>
      <c r="E14501" s="2">
        <v>1</v>
      </c>
      <c r="F14501" s="2">
        <v>1</v>
      </c>
      <c r="G14501" s="2">
        <v>0</v>
      </c>
      <c r="H14501" s="1" t="s">
        <v>0</v>
      </c>
      <c r="I14501" s="2">
        <v>0</v>
      </c>
      <c r="J14501" s="1">
        <v>45944.418449074074</v>
      </c>
    </row>
    <row r="14502" spans="1:10" x14ac:dyDescent="0.2">
      <c r="A14502" s="4" t="s">
        <v>1</v>
      </c>
      <c r="B14502" s="3" t="str">
        <f>HYPERLINK("https://otsuka-europe-crm.veevavault.com/ui/#object/approved_document__v/V5OZ025E82TN2QL", "LUP - Invitación simposio SEN 2025 - nefro")</f>
        <v>LUP - Invitación simposio SEN 2025 - nefro</v>
      </c>
      <c r="C14502" s="3" t="str">
        <f>HYPERLINK("https://otsuka-europe-crm.veevavault.com/ui/#object/sent_email__v/VBLZ025E82HJS01", "SE-000286945")</f>
        <v>SE-000286945</v>
      </c>
      <c r="D14502" s="1">
        <v>45950.848981481482</v>
      </c>
      <c r="E14502" s="2">
        <v>1</v>
      </c>
      <c r="F14502" s="2">
        <v>3</v>
      </c>
      <c r="G14502" s="2">
        <v>0</v>
      </c>
      <c r="H14502" s="1" t="s">
        <v>0</v>
      </c>
      <c r="I14502" s="2">
        <v>0</v>
      </c>
      <c r="J14502" s="1">
        <v>45944.41847222222</v>
      </c>
    </row>
    <row r="14503" spans="1:10" x14ac:dyDescent="0.2">
      <c r="A14503" s="4" t="s">
        <v>1</v>
      </c>
      <c r="B14503" s="3" t="str">
        <f>HYPERLINK("https://otsuka-europe-crm.veevavault.com/ui/#object/approved_document__v/V5OZ025E82TN2QL", "LUP - Invitación simposio SEN 2025 - nefro")</f>
        <v>LUP - Invitación simposio SEN 2025 - nefro</v>
      </c>
      <c r="C14503" s="3" t="str">
        <f>HYPERLINK("https://otsuka-europe-crm.veevavault.com/ui/#object/sent_email__v/VBLZ025E82HJS02", "SE-000286946")</f>
        <v>SE-000286946</v>
      </c>
      <c r="D14503" s="1" t="s">
        <v>0</v>
      </c>
      <c r="E14503" s="2">
        <v>0</v>
      </c>
      <c r="F14503" s="2">
        <v>0</v>
      </c>
      <c r="G14503" s="2">
        <v>0</v>
      </c>
      <c r="H14503" s="1" t="s">
        <v>0</v>
      </c>
      <c r="I14503" s="2">
        <v>0</v>
      </c>
      <c r="J14503" s="1">
        <v>45944.41847222222</v>
      </c>
    </row>
    <row r="14504" spans="1:10" x14ac:dyDescent="0.2">
      <c r="A14504" s="4" t="s">
        <v>1</v>
      </c>
      <c r="B14504" s="3" t="str">
        <f>HYPERLINK("https://otsuka-europe-crm.veevavault.com/ui/#object/approved_document__v/V5OZ025E82TN2QL", "LUP - Invitación simposio SEN 2025 - nefro")</f>
        <v>LUP - Invitación simposio SEN 2025 - nefro</v>
      </c>
      <c r="C14504" s="3" t="str">
        <f>HYPERLINK("https://otsuka-europe-crm.veevavault.com/ui/#object/sent_email__v/VBLZ025E82HJS03", "SE-000286947")</f>
        <v>SE-000286947</v>
      </c>
      <c r="D14504" s="1">
        <v>45944.581458333334</v>
      </c>
      <c r="E14504" s="2">
        <v>1</v>
      </c>
      <c r="F14504" s="2">
        <v>1</v>
      </c>
      <c r="G14504" s="2">
        <v>0</v>
      </c>
      <c r="H14504" s="1" t="s">
        <v>0</v>
      </c>
      <c r="I14504" s="2">
        <v>0</v>
      </c>
      <c r="J14504" s="1">
        <v>45944.41847222222</v>
      </c>
    </row>
    <row r="14505" spans="1:10" x14ac:dyDescent="0.2">
      <c r="A14505" s="4" t="s">
        <v>1</v>
      </c>
      <c r="B14505" s="3" t="str">
        <f>HYPERLINK("https://otsuka-europe-crm.veevavault.com/ui/#object/approved_document__v/V5OZ025E82TN2QL", "LUP - Invitación simposio SEN 2025 - nefro")</f>
        <v>LUP - Invitación simposio SEN 2025 - nefro</v>
      </c>
      <c r="C14505" s="3" t="str">
        <f>HYPERLINK("https://otsuka-europe-crm.veevavault.com/ui/#object/sent_email__v/VBLZ025E82HJS04", "SE-000286948")</f>
        <v>SE-000286948</v>
      </c>
      <c r="D14505" s="1">
        <v>45944.517546296294</v>
      </c>
      <c r="E14505" s="2">
        <v>1</v>
      </c>
      <c r="F14505" s="2">
        <v>3</v>
      </c>
      <c r="G14505" s="2">
        <v>0</v>
      </c>
      <c r="H14505" s="1" t="s">
        <v>0</v>
      </c>
      <c r="I14505" s="2">
        <v>0</v>
      </c>
      <c r="J14505" s="1">
        <v>45944.418483796297</v>
      </c>
    </row>
    <row r="14506" spans="1:10" x14ac:dyDescent="0.2">
      <c r="A14506" s="4" t="s">
        <v>1</v>
      </c>
      <c r="B14506" s="3" t="str">
        <f>HYPERLINK("https://otsuka-europe-crm.veevavault.com/ui/#object/approved_document__v/V5OZ025E82TN2QL", "LUP - Invitación simposio SEN 2025 - nefro")</f>
        <v>LUP - Invitación simposio SEN 2025 - nefro</v>
      </c>
      <c r="C14506" s="3" t="str">
        <f>HYPERLINK("https://otsuka-europe-crm.veevavault.com/ui/#object/sent_email__v/VBLZ025E82HJS05", "SE-000286949")</f>
        <v>SE-000286949</v>
      </c>
      <c r="D14506" s="1" t="s">
        <v>0</v>
      </c>
      <c r="E14506" s="2">
        <v>0</v>
      </c>
      <c r="F14506" s="2">
        <v>0</v>
      </c>
      <c r="G14506" s="2">
        <v>0</v>
      </c>
      <c r="H14506" s="1" t="s">
        <v>0</v>
      </c>
      <c r="I14506" s="2">
        <v>0</v>
      </c>
      <c r="J14506" s="1">
        <v>45944.418495370373</v>
      </c>
    </row>
    <row r="14507" spans="1:10" x14ac:dyDescent="0.2">
      <c r="A14507" s="4" t="s">
        <v>1</v>
      </c>
      <c r="B14507" s="3" t="str">
        <f>HYPERLINK("https://otsuka-europe-crm.veevavault.com/ui/#object/approved_document__v/V5OZ025E82TN2QL", "LUP - Invitación simposio SEN 2025 - nefro")</f>
        <v>LUP - Invitación simposio SEN 2025 - nefro</v>
      </c>
      <c r="C14507" s="3" t="str">
        <f>HYPERLINK("https://otsuka-europe-crm.veevavault.com/ui/#object/sent_email__v/VBLZ025E82HJS06", "SE-000286950")</f>
        <v>SE-000286950</v>
      </c>
      <c r="D14507" s="1" t="s">
        <v>0</v>
      </c>
      <c r="E14507" s="2">
        <v>0</v>
      </c>
      <c r="F14507" s="2">
        <v>0</v>
      </c>
      <c r="G14507" s="2">
        <v>0</v>
      </c>
      <c r="H14507" s="1" t="s">
        <v>0</v>
      </c>
      <c r="I14507" s="2">
        <v>0</v>
      </c>
      <c r="J14507" s="1">
        <v>45944.418506944443</v>
      </c>
    </row>
    <row r="14508" spans="1:10" x14ac:dyDescent="0.2">
      <c r="A14508" s="4" t="s">
        <v>1</v>
      </c>
      <c r="B14508" s="3" t="str">
        <f>HYPERLINK("https://otsuka-europe-crm.veevavault.com/ui/#object/approved_document__v/V5OZ025E82TN2QL", "LUP - Invitación simposio SEN 2025 - nefro")</f>
        <v>LUP - Invitación simposio SEN 2025 - nefro</v>
      </c>
      <c r="C14508" s="3" t="str">
        <f>HYPERLINK("https://otsuka-europe-crm.veevavault.com/ui/#object/sent_email__v/VBLZ025E82HJS07", "SE-000286951")</f>
        <v>SE-000286951</v>
      </c>
      <c r="D14508" s="1" t="s">
        <v>0</v>
      </c>
      <c r="E14508" s="2">
        <v>0</v>
      </c>
      <c r="F14508" s="2">
        <v>0</v>
      </c>
      <c r="G14508" s="2">
        <v>0</v>
      </c>
      <c r="H14508" s="1" t="s">
        <v>0</v>
      </c>
      <c r="I14508" s="2">
        <v>0</v>
      </c>
      <c r="J14508" s="1">
        <v>45944.418506944443</v>
      </c>
    </row>
    <row r="14509" spans="1:10" x14ac:dyDescent="0.2">
      <c r="A14509" s="4" t="s">
        <v>1</v>
      </c>
      <c r="B14509" s="3" t="str">
        <f>HYPERLINK("https://otsuka-europe-crm.veevavault.com/ui/#object/approved_document__v/V5OZ025E82TN2QL", "LUP - Invitación simposio SEN 2025 - nefro")</f>
        <v>LUP - Invitación simposio SEN 2025 - nefro</v>
      </c>
      <c r="C14509" s="3" t="str">
        <f>HYPERLINK("https://otsuka-europe-crm.veevavault.com/ui/#object/sent_email__v/VBLZ025E82HJS08", "SE-000286952")</f>
        <v>SE-000286952</v>
      </c>
      <c r="D14509" s="1" t="s">
        <v>0</v>
      </c>
      <c r="E14509" s="2">
        <v>0</v>
      </c>
      <c r="F14509" s="2">
        <v>0</v>
      </c>
      <c r="G14509" s="2">
        <v>0</v>
      </c>
      <c r="H14509" s="1" t="s">
        <v>0</v>
      </c>
      <c r="I14509" s="2">
        <v>0</v>
      </c>
      <c r="J14509" s="1">
        <v>45944.41851851852</v>
      </c>
    </row>
    <row r="14510" spans="1:10" x14ac:dyDescent="0.2">
      <c r="A14510" s="4" t="s">
        <v>1</v>
      </c>
      <c r="B14510" s="3" t="str">
        <f>HYPERLINK("https://otsuka-europe-crm.veevavault.com/ui/#object/approved_document__v/V5OZ025E82TN2QL", "LUP - Invitación simposio SEN 2025 - nefro")</f>
        <v>LUP - Invitación simposio SEN 2025 - nefro</v>
      </c>
      <c r="C14510" s="3" t="str">
        <f>HYPERLINK("https://otsuka-europe-crm.veevavault.com/ui/#object/sent_email__v/VBLZ025E82HJS09", "SE-000286953")</f>
        <v>SE-000286953</v>
      </c>
      <c r="D14510" s="1" t="s">
        <v>0</v>
      </c>
      <c r="E14510" s="2">
        <v>0</v>
      </c>
      <c r="F14510" s="2">
        <v>0</v>
      </c>
      <c r="G14510" s="2">
        <v>0</v>
      </c>
      <c r="H14510" s="1" t="s">
        <v>0</v>
      </c>
      <c r="I14510" s="2">
        <v>0</v>
      </c>
      <c r="J14510" s="1">
        <v>45944.418530092589</v>
      </c>
    </row>
    <row r="14511" spans="1:10" x14ac:dyDescent="0.2">
      <c r="A14511" s="4" t="s">
        <v>1</v>
      </c>
      <c r="B14511" s="3" t="str">
        <f>HYPERLINK("https://otsuka-europe-crm.veevavault.com/ui/#object/approved_document__v/V5OZ025E82TN2QL", "LUP - Invitación simposio SEN 2025 - nefro")</f>
        <v>LUP - Invitación simposio SEN 2025 - nefro</v>
      </c>
      <c r="C14511" s="3" t="str">
        <f>HYPERLINK("https://otsuka-europe-crm.veevavault.com/ui/#object/sent_email__v/VBLZ025E82HJS0A", "SE-000286954")</f>
        <v>SE-000286954</v>
      </c>
      <c r="D14511" s="1" t="s">
        <v>0</v>
      </c>
      <c r="E14511" s="2">
        <v>0</v>
      </c>
      <c r="F14511" s="2">
        <v>0</v>
      </c>
      <c r="G14511" s="2">
        <v>0</v>
      </c>
      <c r="H14511" s="1" t="s">
        <v>0</v>
      </c>
      <c r="I14511" s="2">
        <v>0</v>
      </c>
      <c r="J14511" s="1">
        <v>45944.418541666666</v>
      </c>
    </row>
    <row r="14512" spans="1:10" x14ac:dyDescent="0.2">
      <c r="A14512" s="4" t="s">
        <v>1</v>
      </c>
      <c r="B14512" s="3" t="str">
        <f>HYPERLINK("https://otsuka-europe-crm.veevavault.com/ui/#object/approved_document__v/V5OZ025E82TN2QL", "LUP - Invitación simposio SEN 2025 - nefro")</f>
        <v>LUP - Invitación simposio SEN 2025 - nefro</v>
      </c>
      <c r="C14512" s="3" t="str">
        <f>HYPERLINK("https://otsuka-europe-crm.veevavault.com/ui/#object/sent_email__v/VBLZ025E82HJS0B", "SE-000286955")</f>
        <v>SE-000286955</v>
      </c>
      <c r="D14512" s="1">
        <v>45944.925509259258</v>
      </c>
      <c r="E14512" s="2">
        <v>1</v>
      </c>
      <c r="F14512" s="2">
        <v>1</v>
      </c>
      <c r="G14512" s="2">
        <v>0</v>
      </c>
      <c r="H14512" s="1" t="s">
        <v>0</v>
      </c>
      <c r="I14512" s="2">
        <v>0</v>
      </c>
      <c r="J14512" s="1">
        <v>45944.418553240743</v>
      </c>
    </row>
    <row r="14513" spans="1:10" x14ac:dyDescent="0.2">
      <c r="A14513" s="4" t="s">
        <v>1</v>
      </c>
      <c r="B14513" s="3" t="str">
        <f>HYPERLINK("https://otsuka-europe-crm.veevavault.com/ui/#object/approved_document__v/V5OZ025E82TN2QL", "LUP - Invitación simposio SEN 2025 - nefro")</f>
        <v>LUP - Invitación simposio SEN 2025 - nefro</v>
      </c>
      <c r="C14513" s="3" t="str">
        <f>HYPERLINK("https://otsuka-europe-crm.veevavault.com/ui/#object/sent_email__v/VBLZ025E82HJS0C", "SE-000286956")</f>
        <v>SE-000286956</v>
      </c>
      <c r="D14513" s="1">
        <v>45945.238368055558</v>
      </c>
      <c r="E14513" s="2">
        <v>1</v>
      </c>
      <c r="F14513" s="2">
        <v>2</v>
      </c>
      <c r="G14513" s="2">
        <v>0</v>
      </c>
      <c r="H14513" s="1" t="s">
        <v>0</v>
      </c>
      <c r="I14513" s="2">
        <v>0</v>
      </c>
      <c r="J14513" s="1">
        <v>45944.418564814812</v>
      </c>
    </row>
    <row r="14514" spans="1:10" x14ac:dyDescent="0.2">
      <c r="A14514" s="4" t="s">
        <v>1</v>
      </c>
      <c r="B14514" s="3" t="str">
        <f>HYPERLINK("https://otsuka-europe-crm.veevavault.com/ui/#object/approved_document__v/V5OZ025E82TN2QL", "LUP - Invitación simposio SEN 2025 - nefro")</f>
        <v>LUP - Invitación simposio SEN 2025 - nefro</v>
      </c>
      <c r="C14514" s="3" t="str">
        <f>HYPERLINK("https://otsuka-europe-crm.veevavault.com/ui/#object/sent_email__v/VBLZ025E82HJS0D", "SE-000286957")</f>
        <v>SE-000286957</v>
      </c>
      <c r="D14514" s="1">
        <v>45944.900439814817</v>
      </c>
      <c r="E14514" s="2">
        <v>1</v>
      </c>
      <c r="F14514" s="2">
        <v>1</v>
      </c>
      <c r="G14514" s="2">
        <v>0</v>
      </c>
      <c r="H14514" s="1" t="s">
        <v>0</v>
      </c>
      <c r="I14514" s="2">
        <v>0</v>
      </c>
      <c r="J14514" s="1">
        <v>45944.418564814812</v>
      </c>
    </row>
    <row r="14515" spans="1:10" x14ac:dyDescent="0.2">
      <c r="A14515" s="4" t="s">
        <v>1</v>
      </c>
      <c r="B14515" s="3" t="str">
        <f>HYPERLINK("https://otsuka-europe-crm.veevavault.com/ui/#object/approved_document__v/V5OZ025E82TN2QL", "LUP - Invitación simposio SEN 2025 - nefro")</f>
        <v>LUP - Invitación simposio SEN 2025 - nefro</v>
      </c>
      <c r="C14515" s="3" t="str">
        <f>HYPERLINK("https://otsuka-europe-crm.veevavault.com/ui/#object/sent_email__v/VBLZ025E82HJS0E", "SE-000286958")</f>
        <v>SE-000286958</v>
      </c>
      <c r="D14515" s="1" t="s">
        <v>0</v>
      </c>
      <c r="E14515" s="2">
        <v>0</v>
      </c>
      <c r="F14515" s="2">
        <v>0</v>
      </c>
      <c r="G14515" s="2">
        <v>0</v>
      </c>
      <c r="H14515" s="1" t="s">
        <v>0</v>
      </c>
      <c r="I14515" s="2">
        <v>0</v>
      </c>
      <c r="J14515" s="1">
        <v>45944.418576388889</v>
      </c>
    </row>
    <row r="14516" spans="1:10" x14ac:dyDescent="0.2">
      <c r="A14516" s="4" t="s">
        <v>1</v>
      </c>
      <c r="B14516" s="3" t="str">
        <f>HYPERLINK("https://otsuka-europe-crm.veevavault.com/ui/#object/approved_document__v/V5OZ025E82TN2QL", "LUP - Invitación simposio SEN 2025 - nefro")</f>
        <v>LUP - Invitación simposio SEN 2025 - nefro</v>
      </c>
      <c r="C14516" s="3" t="str">
        <f>HYPERLINK("https://otsuka-europe-crm.veevavault.com/ui/#object/sent_email__v/VBLZ025E82HJS0F", "SE-000286959")</f>
        <v>SE-000286959</v>
      </c>
      <c r="D14516" s="1" t="s">
        <v>0</v>
      </c>
      <c r="E14516" s="2">
        <v>0</v>
      </c>
      <c r="F14516" s="2">
        <v>0</v>
      </c>
      <c r="G14516" s="2">
        <v>0</v>
      </c>
      <c r="H14516" s="1" t="s">
        <v>0</v>
      </c>
      <c r="I14516" s="2">
        <v>0</v>
      </c>
      <c r="J14516" s="1">
        <v>45944.418587962966</v>
      </c>
    </row>
    <row r="14517" spans="1:10" x14ac:dyDescent="0.2">
      <c r="A14517" s="4" t="s">
        <v>1</v>
      </c>
      <c r="B14517" s="3" t="str">
        <f>HYPERLINK("https://otsuka-europe-crm.veevavault.com/ui/#object/approved_document__v/V5OZ025E82TN2QL", "LUP - Invitación simposio SEN 2025 - nefro")</f>
        <v>LUP - Invitación simposio SEN 2025 - nefro</v>
      </c>
      <c r="C14517" s="3" t="str">
        <f>HYPERLINK("https://otsuka-europe-crm.veevavault.com/ui/#object/sent_email__v/VBLZ025E82HJS0G", "SE-000286960")</f>
        <v>SE-000286960</v>
      </c>
      <c r="D14517" s="1">
        <v>45950.918321759258</v>
      </c>
      <c r="E14517" s="2">
        <v>1</v>
      </c>
      <c r="F14517" s="2">
        <v>3</v>
      </c>
      <c r="G14517" s="2">
        <v>0</v>
      </c>
      <c r="H14517" s="1" t="s">
        <v>0</v>
      </c>
      <c r="I14517" s="2">
        <v>0</v>
      </c>
      <c r="J14517" s="1">
        <v>45944.418599537035</v>
      </c>
    </row>
    <row r="14518" spans="1:10" x14ac:dyDescent="0.2">
      <c r="A14518" s="4" t="s">
        <v>1</v>
      </c>
      <c r="B14518" s="3" t="str">
        <f>HYPERLINK("https://otsuka-europe-crm.veevavault.com/ui/#object/approved_document__v/V5OZ025E82TN2QL", "LUP - Invitación simposio SEN 2025 - nefro")</f>
        <v>LUP - Invitación simposio SEN 2025 - nefro</v>
      </c>
      <c r="C14518" s="3" t="str">
        <f>HYPERLINK("https://otsuka-europe-crm.veevavault.com/ui/#object/sent_email__v/VBLZ025E82HJS0H", "SE-000286961")</f>
        <v>SE-000286961</v>
      </c>
      <c r="D14518" s="1" t="s">
        <v>0</v>
      </c>
      <c r="E14518" s="2">
        <v>0</v>
      </c>
      <c r="F14518" s="2">
        <v>0</v>
      </c>
      <c r="G14518" s="2">
        <v>0</v>
      </c>
      <c r="H14518" s="1" t="s">
        <v>0</v>
      </c>
      <c r="I14518" s="2">
        <v>0</v>
      </c>
      <c r="J14518" s="1">
        <v>45944.418611111112</v>
      </c>
    </row>
    <row r="14519" spans="1:10" x14ac:dyDescent="0.2">
      <c r="A14519" s="4" t="s">
        <v>1</v>
      </c>
      <c r="B14519" s="3" t="str">
        <f>HYPERLINK("https://otsuka-europe-crm.veevavault.com/ui/#object/approved_document__v/V5OZ025E82TN2QL", "LUP - Invitación simposio SEN 2025 - nefro")</f>
        <v>LUP - Invitación simposio SEN 2025 - nefro</v>
      </c>
      <c r="C14519" s="3" t="str">
        <f>HYPERLINK("https://otsuka-europe-crm.veevavault.com/ui/#object/sent_email__v/VBLZ025E82HJS0I", "SE-000286962")</f>
        <v>SE-000286962</v>
      </c>
      <c r="D14519" s="1">
        <v>45944.434386574074</v>
      </c>
      <c r="E14519" s="2">
        <v>1</v>
      </c>
      <c r="F14519" s="2">
        <v>1</v>
      </c>
      <c r="G14519" s="2">
        <v>0</v>
      </c>
      <c r="H14519" s="1" t="s">
        <v>0</v>
      </c>
      <c r="I14519" s="2">
        <v>0</v>
      </c>
      <c r="J14519" s="1">
        <v>45944.418622685182</v>
      </c>
    </row>
    <row r="14520" spans="1:10" x14ac:dyDescent="0.2">
      <c r="A14520" s="4" t="s">
        <v>1</v>
      </c>
      <c r="B14520" s="3" t="str">
        <f>HYPERLINK("https://otsuka-europe-crm.veevavault.com/ui/#object/approved_document__v/V5OZ025E82TN2QL", "LUP - Invitación simposio SEN 2025 - nefro")</f>
        <v>LUP - Invitación simposio SEN 2025 - nefro</v>
      </c>
      <c r="C14520" s="3" t="str">
        <f>HYPERLINK("https://otsuka-europe-crm.veevavault.com/ui/#object/sent_email__v/VBLZ025E82HJS0J", "SE-000286963")</f>
        <v>SE-000286963</v>
      </c>
      <c r="D14520" s="1">
        <v>45945.256319444445</v>
      </c>
      <c r="E14520" s="2">
        <v>1</v>
      </c>
      <c r="F14520" s="2">
        <v>2</v>
      </c>
      <c r="G14520" s="2">
        <v>1</v>
      </c>
      <c r="H14520" s="1">
        <v>45945.256597222222</v>
      </c>
      <c r="I14520" s="2">
        <v>3</v>
      </c>
      <c r="J14520" s="1">
        <v>45944.418634259258</v>
      </c>
    </row>
    <row r="14521" spans="1:10" x14ac:dyDescent="0.2">
      <c r="A14521" s="4" t="s">
        <v>1</v>
      </c>
      <c r="B14521" s="3" t="str">
        <f>HYPERLINK("https://otsuka-europe-crm.veevavault.com/ui/#object/approved_document__v/V5OZ025E82TN2QL", "LUP - Invitación simposio SEN 2025 - nefro")</f>
        <v>LUP - Invitación simposio SEN 2025 - nefro</v>
      </c>
      <c r="C14521" s="3" t="str">
        <f>HYPERLINK("https://otsuka-europe-crm.veevavault.com/ui/#object/sent_email__v/VBLZ025E82HJS0K", "SE-000286964")</f>
        <v>SE-000286964</v>
      </c>
      <c r="D14521" s="1" t="s">
        <v>0</v>
      </c>
      <c r="E14521" s="2">
        <v>0</v>
      </c>
      <c r="F14521" s="2">
        <v>0</v>
      </c>
      <c r="G14521" s="2">
        <v>0</v>
      </c>
      <c r="H14521" s="1" t="s">
        <v>0</v>
      </c>
      <c r="I14521" s="2">
        <v>0</v>
      </c>
      <c r="J14521" s="1">
        <v>45944.418634259258</v>
      </c>
    </row>
    <row r="14522" spans="1:10" x14ac:dyDescent="0.2">
      <c r="A14522" s="4" t="s">
        <v>1</v>
      </c>
      <c r="B14522" s="3" t="str">
        <f>HYPERLINK("https://otsuka-europe-crm.veevavault.com/ui/#object/approved_document__v/V5OZ025E82TN2QL", "LUP - Invitación simposio SEN 2025 - nefro")</f>
        <v>LUP - Invitación simposio SEN 2025 - nefro</v>
      </c>
      <c r="C14522" s="3" t="str">
        <f>HYPERLINK("https://otsuka-europe-crm.veevavault.com/ui/#object/sent_email__v/VBLZ025E82HJS0L", "SE-000286965")</f>
        <v>SE-000286965</v>
      </c>
      <c r="D14522" s="1">
        <v>45971.668252314812</v>
      </c>
      <c r="E14522" s="2">
        <v>1</v>
      </c>
      <c r="F14522" s="2">
        <v>2</v>
      </c>
      <c r="G14522" s="2">
        <v>0</v>
      </c>
      <c r="H14522" s="1" t="s">
        <v>0</v>
      </c>
      <c r="I14522" s="2">
        <v>0</v>
      </c>
      <c r="J14522" s="1">
        <v>45944.418645833335</v>
      </c>
    </row>
    <row r="14523" spans="1:10" x14ac:dyDescent="0.2">
      <c r="A14523" s="4" t="s">
        <v>1</v>
      </c>
      <c r="B14523" s="3" t="str">
        <f>HYPERLINK("https://otsuka-europe-crm.veevavault.com/ui/#object/approved_document__v/V5OZ025E82TN2QL", "LUP - Invitación simposio SEN 2025 - nefro")</f>
        <v>LUP - Invitación simposio SEN 2025 - nefro</v>
      </c>
      <c r="C14523" s="3" t="str">
        <f>HYPERLINK("https://otsuka-europe-crm.veevavault.com/ui/#object/sent_email__v/VBLZ025E82HJS0M", "SE-000286966")</f>
        <v>SE-000286966</v>
      </c>
      <c r="D14523" s="1" t="s">
        <v>0</v>
      </c>
      <c r="E14523" s="2">
        <v>0</v>
      </c>
      <c r="F14523" s="2">
        <v>0</v>
      </c>
      <c r="G14523" s="2">
        <v>0</v>
      </c>
      <c r="H14523" s="1" t="s">
        <v>0</v>
      </c>
      <c r="I14523" s="2">
        <v>0</v>
      </c>
      <c r="J14523" s="1">
        <v>45944.418657407405</v>
      </c>
    </row>
    <row r="14524" spans="1:10" x14ac:dyDescent="0.2">
      <c r="A14524" s="4" t="s">
        <v>1</v>
      </c>
      <c r="B14524" s="3" t="str">
        <f>HYPERLINK("https://otsuka-europe-crm.veevavault.com/ui/#object/approved_document__v/V5OZ025E82TN2QL", "LUP - Invitación simposio SEN 2025 - nefro")</f>
        <v>LUP - Invitación simposio SEN 2025 - nefro</v>
      </c>
      <c r="C14524" s="3" t="str">
        <f>HYPERLINK("https://otsuka-europe-crm.veevavault.com/ui/#object/sent_email__v/VBLZ025E82HJS0N", "SE-000286967")</f>
        <v>SE-000286967</v>
      </c>
      <c r="D14524" s="1" t="s">
        <v>0</v>
      </c>
      <c r="E14524" s="2">
        <v>0</v>
      </c>
      <c r="F14524" s="2">
        <v>0</v>
      </c>
      <c r="G14524" s="2">
        <v>0</v>
      </c>
      <c r="H14524" s="1" t="s">
        <v>0</v>
      </c>
      <c r="I14524" s="2">
        <v>0</v>
      </c>
      <c r="J14524" s="1">
        <v>45944.418668981481</v>
      </c>
    </row>
    <row r="14525" spans="1:10" x14ac:dyDescent="0.2">
      <c r="A14525" s="4" t="s">
        <v>1</v>
      </c>
      <c r="B14525" s="3" t="str">
        <f>HYPERLINK("https://otsuka-europe-crm.veevavault.com/ui/#object/approved_document__v/V5OZ025E82TN2QL", "LUP - Invitación simposio SEN 2025 - nefro")</f>
        <v>LUP - Invitación simposio SEN 2025 - nefro</v>
      </c>
      <c r="C14525" s="3" t="str">
        <f>HYPERLINK("https://otsuka-europe-crm.veevavault.com/ui/#object/sent_email__v/VBLZ025E82HJS0O", "SE-000286968")</f>
        <v>SE-000286968</v>
      </c>
      <c r="D14525" s="1">
        <v>45944.474398148152</v>
      </c>
      <c r="E14525" s="2">
        <v>1</v>
      </c>
      <c r="F14525" s="2">
        <v>1</v>
      </c>
      <c r="G14525" s="2">
        <v>0</v>
      </c>
      <c r="H14525" s="1" t="s">
        <v>0</v>
      </c>
      <c r="I14525" s="2">
        <v>0</v>
      </c>
      <c r="J14525" s="1">
        <v>45944.418680555558</v>
      </c>
    </row>
    <row r="14526" spans="1:10" x14ac:dyDescent="0.2">
      <c r="A14526" s="4" t="s">
        <v>1</v>
      </c>
      <c r="B14526" s="3" t="str">
        <f>HYPERLINK("https://otsuka-europe-crm.veevavault.com/ui/#object/approved_document__v/V5OZ025E82TN2QL", "LUP - Invitación simposio SEN 2025 - nefro")</f>
        <v>LUP - Invitación simposio SEN 2025 - nefro</v>
      </c>
      <c r="C14526" s="3" t="str">
        <f>HYPERLINK("https://otsuka-europe-crm.veevavault.com/ui/#object/sent_email__v/VBLZ025E82HJS0P", "SE-000286969")</f>
        <v>SE-000286969</v>
      </c>
      <c r="D14526" s="1">
        <v>45944.965092592596</v>
      </c>
      <c r="E14526" s="2">
        <v>1</v>
      </c>
      <c r="F14526" s="2">
        <v>1</v>
      </c>
      <c r="G14526" s="2">
        <v>0</v>
      </c>
      <c r="H14526" s="1" t="s">
        <v>0</v>
      </c>
      <c r="I14526" s="2">
        <v>0</v>
      </c>
      <c r="J14526" s="1">
        <v>45944.418692129628</v>
      </c>
    </row>
    <row r="14527" spans="1:10" x14ac:dyDescent="0.2">
      <c r="A14527" s="4" t="s">
        <v>1</v>
      </c>
      <c r="B14527" s="3" t="str">
        <f>HYPERLINK("https://otsuka-europe-crm.veevavault.com/ui/#object/approved_document__v/V5OZ025E82TN2QL", "LUP - Invitación simposio SEN 2025 - nefro")</f>
        <v>LUP - Invitación simposio SEN 2025 - nefro</v>
      </c>
      <c r="C14527" s="3" t="str">
        <f>HYPERLINK("https://otsuka-europe-crm.veevavault.com/ui/#object/sent_email__v/VBLZ025E82HJS0Q", "SE-000286970")</f>
        <v>SE-000286970</v>
      </c>
      <c r="D14527" s="1" t="s">
        <v>0</v>
      </c>
      <c r="E14527" s="2">
        <v>0</v>
      </c>
      <c r="F14527" s="2">
        <v>0</v>
      </c>
      <c r="G14527" s="2">
        <v>0</v>
      </c>
      <c r="H14527" s="1" t="s">
        <v>0</v>
      </c>
      <c r="I14527" s="2">
        <v>0</v>
      </c>
      <c r="J14527" s="1">
        <v>45944.418703703705</v>
      </c>
    </row>
    <row r="14528" spans="1:10" x14ac:dyDescent="0.2">
      <c r="A14528" s="4" t="s">
        <v>1</v>
      </c>
      <c r="B14528" s="3" t="str">
        <f>HYPERLINK("https://otsuka-europe-crm.veevavault.com/ui/#object/approved_document__v/V5OZ025E82TN2QL", "LUP - Invitación simposio SEN 2025 - nefro")</f>
        <v>LUP - Invitación simposio SEN 2025 - nefro</v>
      </c>
      <c r="C14528" s="3" t="str">
        <f>HYPERLINK("https://otsuka-europe-crm.veevavault.com/ui/#object/sent_email__v/VBLZ025E82HJS0R", "SE-000286971")</f>
        <v>SE-000286971</v>
      </c>
      <c r="D14528" s="1">
        <v>45945.465787037036</v>
      </c>
      <c r="E14528" s="2">
        <v>1</v>
      </c>
      <c r="F14528" s="2">
        <v>1</v>
      </c>
      <c r="G14528" s="2">
        <v>1</v>
      </c>
      <c r="H14528" s="1">
        <v>45945.465787037036</v>
      </c>
      <c r="I14528" s="2">
        <v>1</v>
      </c>
      <c r="J14528" s="1">
        <v>45944.418703703705</v>
      </c>
    </row>
    <row r="14529" spans="1:10" x14ac:dyDescent="0.2">
      <c r="A14529" s="4" t="s">
        <v>1</v>
      </c>
      <c r="B14529" s="3" t="str">
        <f>HYPERLINK("https://otsuka-europe-crm.veevavault.com/ui/#object/approved_document__v/V5OZ025E82TN2QL", "LUP - Invitación simposio SEN 2025 - nefro")</f>
        <v>LUP - Invitación simposio SEN 2025 - nefro</v>
      </c>
      <c r="C14529" s="3" t="str">
        <f>HYPERLINK("https://otsuka-europe-crm.veevavault.com/ui/#object/sent_email__v/VBLZ025E82HJS0S", "SE-000286972")</f>
        <v>SE-000286972</v>
      </c>
      <c r="D14529" s="1" t="s">
        <v>0</v>
      </c>
      <c r="E14529" s="2">
        <v>0</v>
      </c>
      <c r="F14529" s="2">
        <v>0</v>
      </c>
      <c r="G14529" s="2">
        <v>0</v>
      </c>
      <c r="H14529" s="1" t="s">
        <v>0</v>
      </c>
      <c r="I14529" s="2">
        <v>0</v>
      </c>
      <c r="J14529" s="1">
        <v>45944.418715277781</v>
      </c>
    </row>
    <row r="14530" spans="1:10" x14ac:dyDescent="0.2">
      <c r="A14530" s="4" t="s">
        <v>1</v>
      </c>
      <c r="B14530" s="3" t="str">
        <f>HYPERLINK("https://otsuka-europe-crm.veevavault.com/ui/#object/approved_document__v/V5OZ025E82TN2QL", "LUP - Invitación simposio SEN 2025 - nefro")</f>
        <v>LUP - Invitación simposio SEN 2025 - nefro</v>
      </c>
      <c r="C14530" s="3" t="str">
        <f>HYPERLINK("https://otsuka-europe-crm.veevavault.com/ui/#object/sent_email__v/VBLZ025E82HJS0T", "SE-000286973")</f>
        <v>SE-000286973</v>
      </c>
      <c r="D14530" s="1">
        <v>45944.418842592589</v>
      </c>
      <c r="E14530" s="2">
        <v>1</v>
      </c>
      <c r="F14530" s="2">
        <v>1</v>
      </c>
      <c r="G14530" s="2">
        <v>0</v>
      </c>
      <c r="H14530" s="1" t="s">
        <v>0</v>
      </c>
      <c r="I14530" s="2">
        <v>0</v>
      </c>
      <c r="J14530" s="1">
        <v>45944.418726851851</v>
      </c>
    </row>
    <row r="14531" spans="1:10" x14ac:dyDescent="0.2">
      <c r="A14531" s="4" t="s">
        <v>1</v>
      </c>
      <c r="B14531" s="3" t="str">
        <f>HYPERLINK("https://otsuka-europe-crm.veevavault.com/ui/#object/approved_document__v/V5OZ025E82TN2QL", "LUP - Invitación simposio SEN 2025 - nefro")</f>
        <v>LUP - Invitación simposio SEN 2025 - nefro</v>
      </c>
      <c r="C14531" s="3" t="str">
        <f>HYPERLINK("https://otsuka-europe-crm.veevavault.com/ui/#object/sent_email__v/VBLZ025E82HJS4X", "SE-000286974")</f>
        <v>SE-000286974</v>
      </c>
      <c r="D14531" s="1">
        <v>45944.419629629629</v>
      </c>
      <c r="E14531" s="2">
        <v>1</v>
      </c>
      <c r="F14531" s="2">
        <v>1</v>
      </c>
      <c r="G14531" s="2">
        <v>0</v>
      </c>
      <c r="H14531" s="1" t="s">
        <v>0</v>
      </c>
      <c r="I14531" s="2">
        <v>0</v>
      </c>
      <c r="J14531" s="1">
        <v>45944.418796296297</v>
      </c>
    </row>
    <row r="14532" spans="1:10" x14ac:dyDescent="0.2">
      <c r="A14532" s="4" t="s">
        <v>1</v>
      </c>
      <c r="B14532" s="3" t="str">
        <f>HYPERLINK("https://otsuka-europe-crm.veevavault.com/ui/#object/approved_document__v/V5OZ025E82TN2QL", "LUP - Invitación simposio SEN 2025 - nefro")</f>
        <v>LUP - Invitación simposio SEN 2025 - nefro</v>
      </c>
      <c r="C14532" s="3" t="str">
        <f>HYPERLINK("https://otsuka-europe-crm.veevavault.com/ui/#object/sent_email__v/VBLZ025E82HJS4Y", "SE-000286975")</f>
        <v>SE-000286975</v>
      </c>
      <c r="D14532" s="1" t="s">
        <v>0</v>
      </c>
      <c r="E14532" s="2">
        <v>0</v>
      </c>
      <c r="F14532" s="2">
        <v>0</v>
      </c>
      <c r="G14532" s="2">
        <v>0</v>
      </c>
      <c r="H14532" s="1" t="s">
        <v>0</v>
      </c>
      <c r="I14532" s="2">
        <v>0</v>
      </c>
      <c r="J14532" s="1">
        <v>45944.418807870374</v>
      </c>
    </row>
    <row r="14533" spans="1:10" x14ac:dyDescent="0.2">
      <c r="A14533" s="4" t="s">
        <v>1</v>
      </c>
      <c r="B14533" s="3" t="str">
        <f>HYPERLINK("https://otsuka-europe-crm.veevavault.com/ui/#object/approved_document__v/V5OZ025E82TN2QL", "LUP - Invitación simposio SEN 2025 - nefro")</f>
        <v>LUP - Invitación simposio SEN 2025 - nefro</v>
      </c>
      <c r="C14533" s="3" t="str">
        <f>HYPERLINK("https://otsuka-europe-crm.veevavault.com/ui/#object/sent_email__v/VBLZ025E82HJS4Z", "SE-000286976")</f>
        <v>SE-000286976</v>
      </c>
      <c r="D14533" s="1">
        <v>45945.911469907405</v>
      </c>
      <c r="E14533" s="2">
        <v>1</v>
      </c>
      <c r="F14533" s="2">
        <v>2</v>
      </c>
      <c r="G14533" s="2">
        <v>0</v>
      </c>
      <c r="H14533" s="1" t="s">
        <v>0</v>
      </c>
      <c r="I14533" s="2">
        <v>0</v>
      </c>
      <c r="J14533" s="1">
        <v>45944.418807870374</v>
      </c>
    </row>
    <row r="14534" spans="1:10" x14ac:dyDescent="0.2">
      <c r="A14534" s="4" t="s">
        <v>1</v>
      </c>
      <c r="B14534" s="3" t="str">
        <f>HYPERLINK("https://otsuka-europe-crm.veevavault.com/ui/#object/approved_document__v/V5OZ025E82TN2QL", "LUP - Invitación simposio SEN 2025 - nefro")</f>
        <v>LUP - Invitación simposio SEN 2025 - nefro</v>
      </c>
      <c r="C14534" s="3" t="str">
        <f>HYPERLINK("https://otsuka-europe-crm.veevavault.com/ui/#object/sent_email__v/VBLZ025E82HJS50", "SE-000286977")</f>
        <v>SE-000286977</v>
      </c>
      <c r="D14534" s="1" t="s">
        <v>0</v>
      </c>
      <c r="E14534" s="2">
        <v>0</v>
      </c>
      <c r="F14534" s="2">
        <v>0</v>
      </c>
      <c r="G14534" s="2">
        <v>0</v>
      </c>
      <c r="H14534" s="1" t="s">
        <v>0</v>
      </c>
      <c r="I14534" s="2">
        <v>0</v>
      </c>
      <c r="J14534" s="1">
        <v>45944.418819444443</v>
      </c>
    </row>
    <row r="14535" spans="1:10" x14ac:dyDescent="0.2">
      <c r="A14535" s="4" t="s">
        <v>1</v>
      </c>
      <c r="B14535" s="3" t="str">
        <f>HYPERLINK("https://otsuka-europe-crm.veevavault.com/ui/#object/approved_document__v/V5OZ025E82TN2QL", "LUP - Invitación simposio SEN 2025 - nefro")</f>
        <v>LUP - Invitación simposio SEN 2025 - nefro</v>
      </c>
      <c r="C14535" s="3" t="str">
        <f>HYPERLINK("https://otsuka-europe-crm.veevavault.com/ui/#object/sent_email__v/VBLZ025E82HJS51", "SE-000286978")</f>
        <v>SE-000286978</v>
      </c>
      <c r="D14535" s="1" t="s">
        <v>0</v>
      </c>
      <c r="E14535" s="2">
        <v>0</v>
      </c>
      <c r="F14535" s="2">
        <v>0</v>
      </c>
      <c r="G14535" s="2">
        <v>0</v>
      </c>
      <c r="H14535" s="1" t="s">
        <v>0</v>
      </c>
      <c r="I14535" s="2">
        <v>0</v>
      </c>
      <c r="J14535" s="1">
        <v>45944.41883101852</v>
      </c>
    </row>
    <row r="14536" spans="1:10" x14ac:dyDescent="0.2">
      <c r="A14536" s="4" t="s">
        <v>1</v>
      </c>
      <c r="B14536" s="3" t="str">
        <f>HYPERLINK("https://otsuka-europe-crm.veevavault.com/ui/#object/approved_document__v/V5OZ025E82TN2QL", "LUP - Invitación simposio SEN 2025 - nefro")</f>
        <v>LUP - Invitación simposio SEN 2025 - nefro</v>
      </c>
      <c r="C14536" s="3" t="str">
        <f>HYPERLINK("https://otsuka-europe-crm.veevavault.com/ui/#object/sent_email__v/VBLZ025E82HJS52", "SE-000286979")</f>
        <v>SE-000286979</v>
      </c>
      <c r="D14536" s="1">
        <v>45957.803159722222</v>
      </c>
      <c r="E14536" s="2">
        <v>1</v>
      </c>
      <c r="F14536" s="2">
        <v>1</v>
      </c>
      <c r="G14536" s="2">
        <v>0</v>
      </c>
      <c r="H14536" s="1" t="s">
        <v>0</v>
      </c>
      <c r="I14536" s="2">
        <v>0</v>
      </c>
      <c r="J14536" s="1">
        <v>45944.418842592589</v>
      </c>
    </row>
    <row r="14537" spans="1:10" x14ac:dyDescent="0.2">
      <c r="A14537" s="4" t="s">
        <v>1</v>
      </c>
      <c r="B14537" s="3" t="str">
        <f>HYPERLINK("https://otsuka-europe-crm.veevavault.com/ui/#object/approved_document__v/V5OZ025E82TN2QL", "LUP - Invitación simposio SEN 2025 - nefro")</f>
        <v>LUP - Invitación simposio SEN 2025 - nefro</v>
      </c>
      <c r="C14537" s="3" t="str">
        <f>HYPERLINK("https://otsuka-europe-crm.veevavault.com/ui/#object/sent_email__v/VBLZ025E82HJS53", "SE-000286980")</f>
        <v>SE-000286980</v>
      </c>
      <c r="D14537" s="1">
        <v>45944.41914351852</v>
      </c>
      <c r="E14537" s="2">
        <v>1</v>
      </c>
      <c r="F14537" s="2">
        <v>1</v>
      </c>
      <c r="G14537" s="2">
        <v>0</v>
      </c>
      <c r="H14537" s="1" t="s">
        <v>0</v>
      </c>
      <c r="I14537" s="2">
        <v>0</v>
      </c>
      <c r="J14537" s="1">
        <v>45944.418854166666</v>
      </c>
    </row>
    <row r="14538" spans="1:10" x14ac:dyDescent="0.2">
      <c r="A14538" s="4" t="s">
        <v>1</v>
      </c>
      <c r="B14538" s="3" t="str">
        <f>HYPERLINK("https://otsuka-europe-crm.veevavault.com/ui/#object/approved_document__v/V5OZ025E82TN2QL", "LUP - Invitación simposio SEN 2025 - nefro")</f>
        <v>LUP - Invitación simposio SEN 2025 - nefro</v>
      </c>
      <c r="C14538" s="3" t="str">
        <f>HYPERLINK("https://otsuka-europe-crm.veevavault.com/ui/#object/sent_email__v/VBLZ025E82HJS54", "SE-000286981")</f>
        <v>SE-000286981</v>
      </c>
      <c r="D14538" s="1">
        <v>45944.591921296298</v>
      </c>
      <c r="E14538" s="2">
        <v>1</v>
      </c>
      <c r="F14538" s="2">
        <v>1</v>
      </c>
      <c r="G14538" s="2">
        <v>0</v>
      </c>
      <c r="H14538" s="1" t="s">
        <v>0</v>
      </c>
      <c r="I14538" s="2">
        <v>0</v>
      </c>
      <c r="J14538" s="1">
        <v>45944.418854166666</v>
      </c>
    </row>
    <row r="14539" spans="1:10" x14ac:dyDescent="0.2">
      <c r="A14539" s="4" t="s">
        <v>1</v>
      </c>
      <c r="B14539" s="3" t="str">
        <f>HYPERLINK("https://otsuka-europe-crm.veevavault.com/ui/#object/approved_document__v/V5OZ025E82TN2QL", "LUP - Invitación simposio SEN 2025 - nefro")</f>
        <v>LUP - Invitación simposio SEN 2025 - nefro</v>
      </c>
      <c r="C14539" s="3" t="str">
        <f>HYPERLINK("https://otsuka-europe-crm.veevavault.com/ui/#object/sent_email__v/VBLZ025E82HJS55", "SE-000286982")</f>
        <v>SE-000286982</v>
      </c>
      <c r="D14539" s="1">
        <v>45944.424872685187</v>
      </c>
      <c r="E14539" s="2">
        <v>1</v>
      </c>
      <c r="F14539" s="2">
        <v>2</v>
      </c>
      <c r="G14539" s="2">
        <v>1</v>
      </c>
      <c r="H14539" s="1">
        <v>45944.427453703705</v>
      </c>
      <c r="I14539" s="2">
        <v>2</v>
      </c>
      <c r="J14539" s="1">
        <v>45944.418865740743</v>
      </c>
    </row>
    <row r="14540" spans="1:10" x14ac:dyDescent="0.2">
      <c r="A14540" s="4" t="s">
        <v>1</v>
      </c>
      <c r="B14540" s="3" t="str">
        <f>HYPERLINK("https://otsuka-europe-crm.veevavault.com/ui/#object/approved_document__v/V5OZ025E82TN2QL", "LUP - Invitación simposio SEN 2025 - nefro")</f>
        <v>LUP - Invitación simposio SEN 2025 - nefro</v>
      </c>
      <c r="C14540" s="3" t="str">
        <f>HYPERLINK("https://otsuka-europe-crm.veevavault.com/ui/#object/sent_email__v/VBLZ025E82HJS56", "SE-000286983")</f>
        <v>SE-000286983</v>
      </c>
      <c r="D14540" s="1">
        <v>45944.922361111108</v>
      </c>
      <c r="E14540" s="2">
        <v>1</v>
      </c>
      <c r="F14540" s="2">
        <v>1</v>
      </c>
      <c r="G14540" s="2">
        <v>0</v>
      </c>
      <c r="H14540" s="1" t="s">
        <v>0</v>
      </c>
      <c r="I14540" s="2">
        <v>0</v>
      </c>
      <c r="J14540" s="1">
        <v>45944.418877314813</v>
      </c>
    </row>
    <row r="14541" spans="1:10" x14ac:dyDescent="0.2">
      <c r="A14541" s="4" t="s">
        <v>1</v>
      </c>
      <c r="B14541" s="3" t="str">
        <f>HYPERLINK("https://otsuka-europe-crm.veevavault.com/ui/#object/approved_document__v/V5OZ025E82TN2QL", "LUP - Invitación simposio SEN 2025 - nefro")</f>
        <v>LUP - Invitación simposio SEN 2025 - nefro</v>
      </c>
      <c r="C14541" s="3" t="str">
        <f>HYPERLINK("https://otsuka-europe-crm.veevavault.com/ui/#object/sent_email__v/VBLZ025E82HJS57", "SE-000286984")</f>
        <v>SE-000286984</v>
      </c>
      <c r="D14541" s="1">
        <v>45944.422974537039</v>
      </c>
      <c r="E14541" s="2">
        <v>1</v>
      </c>
      <c r="F14541" s="2">
        <v>2</v>
      </c>
      <c r="G14541" s="2">
        <v>0</v>
      </c>
      <c r="H14541" s="1" t="s">
        <v>0</v>
      </c>
      <c r="I14541" s="2">
        <v>0</v>
      </c>
      <c r="J14541" s="1">
        <v>45944.418888888889</v>
      </c>
    </row>
    <row r="14542" spans="1:10" x14ac:dyDescent="0.2">
      <c r="A14542" s="4" t="s">
        <v>1</v>
      </c>
      <c r="B14542" s="3" t="str">
        <f>HYPERLINK("https://otsuka-europe-crm.veevavault.com/ui/#object/approved_document__v/V5OZ025E82TN2QL", "LUP - Invitación simposio SEN 2025 - nefro")</f>
        <v>LUP - Invitación simposio SEN 2025 - nefro</v>
      </c>
      <c r="C14542" s="3" t="str">
        <f>HYPERLINK("https://otsuka-europe-crm.veevavault.com/ui/#object/sent_email__v/VBLZ025E82HJS58", "SE-000286985")</f>
        <v>SE-000286985</v>
      </c>
      <c r="D14542" s="1">
        <v>45944.704062500001</v>
      </c>
      <c r="E14542" s="2">
        <v>1</v>
      </c>
      <c r="F14542" s="2">
        <v>1</v>
      </c>
      <c r="G14542" s="2">
        <v>1</v>
      </c>
      <c r="H14542" s="1">
        <v>45944.704062500001</v>
      </c>
      <c r="I14542" s="2">
        <v>1</v>
      </c>
      <c r="J14542" s="1">
        <v>45944.418900462966</v>
      </c>
    </row>
    <row r="14543" spans="1:10" x14ac:dyDescent="0.2">
      <c r="A14543" s="4" t="s">
        <v>1</v>
      </c>
      <c r="B14543" s="3" t="str">
        <f>HYPERLINK("https://otsuka-europe-crm.veevavault.com/ui/#object/approved_document__v/V5OZ025E82TN2QL", "LUP - Invitación simposio SEN 2025 - nefro")</f>
        <v>LUP - Invitación simposio SEN 2025 - nefro</v>
      </c>
      <c r="C14543" s="3" t="str">
        <f>HYPERLINK("https://otsuka-europe-crm.veevavault.com/ui/#object/sent_email__v/VBLZ025E82HJS59", "SE-000286986")</f>
        <v>SE-000286986</v>
      </c>
      <c r="D14543" s="1">
        <v>45944.423275462963</v>
      </c>
      <c r="E14543" s="2">
        <v>1</v>
      </c>
      <c r="F14543" s="2">
        <v>1</v>
      </c>
      <c r="G14543" s="2">
        <v>0</v>
      </c>
      <c r="H14543" s="1" t="s">
        <v>0</v>
      </c>
      <c r="I14543" s="2">
        <v>0</v>
      </c>
      <c r="J14543" s="1">
        <v>45944.418900462966</v>
      </c>
    </row>
    <row r="14544" spans="1:10" x14ac:dyDescent="0.2">
      <c r="A14544" s="4" t="s">
        <v>1</v>
      </c>
      <c r="B14544" s="3" t="str">
        <f>HYPERLINK("https://otsuka-europe-crm.veevavault.com/ui/#object/approved_document__v/V5OZ025E82TN2QL", "LUP - Invitación simposio SEN 2025 - nefro")</f>
        <v>LUP - Invitación simposio SEN 2025 - nefro</v>
      </c>
      <c r="C14544" s="3" t="str">
        <f>HYPERLINK("https://otsuka-europe-crm.veevavault.com/ui/#object/sent_email__v/VBLZ025E82HJS5A", "SE-000286987")</f>
        <v>SE-000286987</v>
      </c>
      <c r="D14544" s="1">
        <v>45944.635671296295</v>
      </c>
      <c r="E14544" s="2">
        <v>1</v>
      </c>
      <c r="F14544" s="2">
        <v>1</v>
      </c>
      <c r="G14544" s="2">
        <v>0</v>
      </c>
      <c r="H14544" s="1" t="s">
        <v>0</v>
      </c>
      <c r="I14544" s="2">
        <v>0</v>
      </c>
      <c r="J14544" s="1">
        <v>45944.418912037036</v>
      </c>
    </row>
    <row r="14545" spans="1:10" x14ac:dyDescent="0.2">
      <c r="A14545" s="4" t="s">
        <v>1</v>
      </c>
      <c r="B14545" s="3" t="str">
        <f>HYPERLINK("https://otsuka-europe-crm.veevavault.com/ui/#object/approved_document__v/V5OZ025E82TN2QL", "LUP - Invitación simposio SEN 2025 - nefro")</f>
        <v>LUP - Invitación simposio SEN 2025 - nefro</v>
      </c>
      <c r="C14545" s="3" t="str">
        <f>HYPERLINK("https://otsuka-europe-crm.veevavault.com/ui/#object/sent_email__v/VBLZ025E82HJS5B", "SE-000286988")</f>
        <v>SE-000286988</v>
      </c>
      <c r="D14545" s="1">
        <v>45944.422754629632</v>
      </c>
      <c r="E14545" s="2">
        <v>1</v>
      </c>
      <c r="F14545" s="2">
        <v>2</v>
      </c>
      <c r="G14545" s="2">
        <v>0</v>
      </c>
      <c r="H14545" s="1" t="s">
        <v>0</v>
      </c>
      <c r="I14545" s="2">
        <v>0</v>
      </c>
      <c r="J14545" s="1">
        <v>45944.418935185182</v>
      </c>
    </row>
    <row r="14546" spans="1:10" x14ac:dyDescent="0.2">
      <c r="A14546" s="4" t="s">
        <v>1</v>
      </c>
      <c r="B14546" s="3" t="str">
        <f>HYPERLINK("https://otsuka-europe-crm.veevavault.com/ui/#object/approved_document__v/V5OZ025E82TN2QL", "LUP - Invitación simposio SEN 2025 - nefro")</f>
        <v>LUP - Invitación simposio SEN 2025 - nefro</v>
      </c>
      <c r="C14546" s="3" t="str">
        <f>HYPERLINK("https://otsuka-europe-crm.veevavault.com/ui/#object/sent_email__v/VBLZ025E82HJS5C", "SE-000286989")</f>
        <v>SE-000286989</v>
      </c>
      <c r="D14546" s="1">
        <v>45944.442974537036</v>
      </c>
      <c r="E14546" s="2">
        <v>1</v>
      </c>
      <c r="F14546" s="2">
        <v>1</v>
      </c>
      <c r="G14546" s="2">
        <v>0</v>
      </c>
      <c r="H14546" s="1" t="s">
        <v>0</v>
      </c>
      <c r="I14546" s="2">
        <v>0</v>
      </c>
      <c r="J14546" s="1">
        <v>45944.418935185182</v>
      </c>
    </row>
    <row r="14547" spans="1:10" x14ac:dyDescent="0.2">
      <c r="A14547" s="4" t="s">
        <v>1</v>
      </c>
      <c r="B14547" s="3" t="str">
        <f>HYPERLINK("https://otsuka-europe-crm.veevavault.com/ui/#object/approved_document__v/V5OZ025E82TN2QL", "LUP - Invitación simposio SEN 2025 - nefro")</f>
        <v>LUP - Invitación simposio SEN 2025 - nefro</v>
      </c>
      <c r="C14547" s="3" t="str">
        <f>HYPERLINK("https://otsuka-europe-crm.veevavault.com/ui/#object/sent_email__v/VBLZ025E82HJS5D", "SE-000286990")</f>
        <v>SE-000286990</v>
      </c>
      <c r="D14547" s="1">
        <v>45944.418993055559</v>
      </c>
      <c r="E14547" s="2">
        <v>1</v>
      </c>
      <c r="F14547" s="2">
        <v>2</v>
      </c>
      <c r="G14547" s="2">
        <v>0</v>
      </c>
      <c r="H14547" s="1" t="s">
        <v>0</v>
      </c>
      <c r="I14547" s="2">
        <v>0</v>
      </c>
      <c r="J14547" s="1">
        <v>45944.418946759259</v>
      </c>
    </row>
    <row r="14548" spans="1:10" x14ac:dyDescent="0.2">
      <c r="A14548" s="4" t="s">
        <v>1</v>
      </c>
      <c r="B14548" s="3" t="str">
        <f>HYPERLINK("https://otsuka-europe-crm.veevavault.com/ui/#object/approved_document__v/V5OZ025E82TN2QL", "LUP - Invitación simposio SEN 2025 - nefro")</f>
        <v>LUP - Invitación simposio SEN 2025 - nefro</v>
      </c>
      <c r="C14548" s="3" t="str">
        <f>HYPERLINK("https://otsuka-europe-crm.veevavault.com/ui/#object/sent_email__v/VBLZ025E82HJS5E", "SE-000286991")</f>
        <v>SE-000286991</v>
      </c>
      <c r="D14548" s="1" t="s">
        <v>0</v>
      </c>
      <c r="E14548" s="2">
        <v>0</v>
      </c>
      <c r="F14548" s="2">
        <v>0</v>
      </c>
      <c r="G14548" s="2">
        <v>0</v>
      </c>
      <c r="H14548" s="1" t="s">
        <v>0</v>
      </c>
      <c r="I14548" s="2">
        <v>0</v>
      </c>
      <c r="J14548" s="1">
        <v>45944.418958333335</v>
      </c>
    </row>
    <row r="14549" spans="1:10" x14ac:dyDescent="0.2">
      <c r="A14549" s="4" t="s">
        <v>1</v>
      </c>
      <c r="B14549" s="3" t="str">
        <f>HYPERLINK("https://otsuka-europe-crm.veevavault.com/ui/#object/approved_document__v/V5OZ025E82TN2QL", "LUP - Invitación simposio SEN 2025 - nefro")</f>
        <v>LUP - Invitación simposio SEN 2025 - nefro</v>
      </c>
      <c r="C14549" s="3" t="str">
        <f>HYPERLINK("https://otsuka-europe-crm.veevavault.com/ui/#object/sent_email__v/VBLZ025E82HJS5F", "SE-000286992")</f>
        <v>SE-000286992</v>
      </c>
      <c r="D14549" s="1" t="s">
        <v>0</v>
      </c>
      <c r="E14549" s="2">
        <v>0</v>
      </c>
      <c r="F14549" s="2">
        <v>0</v>
      </c>
      <c r="G14549" s="2">
        <v>0</v>
      </c>
      <c r="H14549" s="1" t="s">
        <v>0</v>
      </c>
      <c r="I14549" s="2">
        <v>0</v>
      </c>
      <c r="J14549" s="1">
        <v>45944.418969907405</v>
      </c>
    </row>
    <row r="14550" spans="1:10" x14ac:dyDescent="0.2">
      <c r="A14550" s="4" t="s">
        <v>1</v>
      </c>
      <c r="B14550" s="3" t="str">
        <f>HYPERLINK("https://otsuka-europe-crm.veevavault.com/ui/#object/approved_document__v/V5OZ025E82TN2QL", "LUP - Invitación simposio SEN 2025 - nefro")</f>
        <v>LUP - Invitación simposio SEN 2025 - nefro</v>
      </c>
      <c r="C14550" s="3" t="str">
        <f>HYPERLINK("https://otsuka-europe-crm.veevavault.com/ui/#object/sent_email__v/VBLZ025E82HJS5G", "SE-000286993")</f>
        <v>SE-000286993</v>
      </c>
      <c r="D14550" s="1" t="s">
        <v>0</v>
      </c>
      <c r="E14550" s="2">
        <v>0</v>
      </c>
      <c r="F14550" s="2">
        <v>0</v>
      </c>
      <c r="G14550" s="2">
        <v>0</v>
      </c>
      <c r="H14550" s="1" t="s">
        <v>0</v>
      </c>
      <c r="I14550" s="2">
        <v>0</v>
      </c>
      <c r="J14550" s="1">
        <v>45944.418981481482</v>
      </c>
    </row>
    <row r="14551" spans="1:10" x14ac:dyDescent="0.2">
      <c r="A14551" s="4" t="s">
        <v>1</v>
      </c>
      <c r="B14551" s="3" t="str">
        <f>HYPERLINK("https://otsuka-europe-crm.veevavault.com/ui/#object/approved_document__v/V5OZ025E82TN2QL", "LUP - Invitación simposio SEN 2025 - nefro")</f>
        <v>LUP - Invitación simposio SEN 2025 - nefro</v>
      </c>
      <c r="C14551" s="3" t="str">
        <f>HYPERLINK("https://otsuka-europe-crm.veevavault.com/ui/#object/sent_email__v/VBLZ025E82HJS5H", "SE-000286994")</f>
        <v>SE-000286994</v>
      </c>
      <c r="D14551" s="1" t="s">
        <v>0</v>
      </c>
      <c r="E14551" s="2">
        <v>0</v>
      </c>
      <c r="F14551" s="2">
        <v>0</v>
      </c>
      <c r="G14551" s="2">
        <v>0</v>
      </c>
      <c r="H14551" s="1" t="s">
        <v>0</v>
      </c>
      <c r="I14551" s="2">
        <v>0</v>
      </c>
      <c r="J14551" s="1">
        <v>45944.418981481482</v>
      </c>
    </row>
    <row r="14552" spans="1:10" x14ac:dyDescent="0.2">
      <c r="A14552" s="4" t="s">
        <v>1</v>
      </c>
      <c r="B14552" s="3" t="str">
        <f>HYPERLINK("https://otsuka-europe-crm.veevavault.com/ui/#object/approved_document__v/V5OZ025E82TN2QL", "LUP - Invitación simposio SEN 2025 - nefro")</f>
        <v>LUP - Invitación simposio SEN 2025 - nefro</v>
      </c>
      <c r="C14552" s="3" t="str">
        <f>HYPERLINK("https://otsuka-europe-crm.veevavault.com/ui/#object/sent_email__v/VBLZ025E82HJS5I", "SE-000286995")</f>
        <v>SE-000286995</v>
      </c>
      <c r="D14552" s="1">
        <v>45944.550451388888</v>
      </c>
      <c r="E14552" s="2">
        <v>1</v>
      </c>
      <c r="F14552" s="2">
        <v>1</v>
      </c>
      <c r="G14552" s="2">
        <v>1</v>
      </c>
      <c r="H14552" s="1">
        <v>45946.66</v>
      </c>
      <c r="I14552" s="2">
        <v>5</v>
      </c>
      <c r="J14552" s="1">
        <v>45944.418993055559</v>
      </c>
    </row>
    <row r="14553" spans="1:10" x14ac:dyDescent="0.2">
      <c r="A14553" s="4" t="s">
        <v>1</v>
      </c>
      <c r="B14553" s="3" t="str">
        <f>HYPERLINK("https://otsuka-europe-crm.veevavault.com/ui/#object/approved_document__v/V5OZ025E82TN2QL", "LUP - Invitación simposio SEN 2025 - nefro")</f>
        <v>LUP - Invitación simposio SEN 2025 - nefro</v>
      </c>
      <c r="C14553" s="3" t="str">
        <f>HYPERLINK("https://otsuka-europe-crm.veevavault.com/ui/#object/sent_email__v/VBLZ025E82HKHD9", "SE-000287435")</f>
        <v>SE-000287435</v>
      </c>
      <c r="D14553" s="1">
        <v>45945.452407407407</v>
      </c>
      <c r="E14553" s="2">
        <v>1</v>
      </c>
      <c r="F14553" s="2">
        <v>1</v>
      </c>
      <c r="G14553" s="2">
        <v>1</v>
      </c>
      <c r="H14553" s="1">
        <v>45945.452627314815</v>
      </c>
      <c r="I14553" s="2">
        <v>1</v>
      </c>
      <c r="J14553" s="1">
        <v>45945.294062499997</v>
      </c>
    </row>
    <row r="14554" spans="1:10" x14ac:dyDescent="0.2">
      <c r="A14554" s="4" t="s">
        <v>1</v>
      </c>
      <c r="B14554" s="3" t="str">
        <f>HYPERLINK("https://otsuka-europe-crm.veevavault.com/ui/#object/approved_document__v/V5OZ025E82TN2QL", "LUP - Invitación simposio SEN 2025 - nefro")</f>
        <v>LUP - Invitación simposio SEN 2025 - nefro</v>
      </c>
      <c r="C14554" s="3" t="str">
        <f>HYPERLINK("https://otsuka-europe-crm.veevavault.com/ui/#object/sent_email__v/VBLZ025E82HKHDA", "SE-000287436")</f>
        <v>SE-000287436</v>
      </c>
      <c r="D14554" s="1">
        <v>45950.717256944445</v>
      </c>
      <c r="E14554" s="2">
        <v>1</v>
      </c>
      <c r="F14554" s="2">
        <v>3</v>
      </c>
      <c r="G14554" s="2">
        <v>0</v>
      </c>
      <c r="H14554" s="1" t="s">
        <v>0</v>
      </c>
      <c r="I14554" s="2">
        <v>0</v>
      </c>
      <c r="J14554" s="1">
        <v>45945.294062499997</v>
      </c>
    </row>
    <row r="14555" spans="1:10" x14ac:dyDescent="0.2">
      <c r="A14555" s="4" t="s">
        <v>1</v>
      </c>
      <c r="B14555" s="3" t="str">
        <f>HYPERLINK("https://otsuka-europe-crm.veevavault.com/ui/#object/approved_document__v/V5OZ025E82TN2QL", "LUP - Invitación simposio SEN 2025 - nefro")</f>
        <v>LUP - Invitación simposio SEN 2025 - nefro</v>
      </c>
      <c r="C14555" s="3" t="str">
        <f>HYPERLINK("https://otsuka-europe-crm.veevavault.com/ui/#object/sent_email__v/VBLZ025E82HKHDB", "SE-000287437")</f>
        <v>SE-000287437</v>
      </c>
      <c r="D14555" s="1" t="s">
        <v>0</v>
      </c>
      <c r="E14555" s="2">
        <v>0</v>
      </c>
      <c r="F14555" s="2">
        <v>0</v>
      </c>
      <c r="G14555" s="2">
        <v>0</v>
      </c>
      <c r="H14555" s="1" t="s">
        <v>0</v>
      </c>
      <c r="I14555" s="2">
        <v>0</v>
      </c>
      <c r="J14555" s="1">
        <v>45945.294074074074</v>
      </c>
    </row>
    <row r="14556" spans="1:10" x14ac:dyDescent="0.2">
      <c r="A14556" s="4" t="s">
        <v>1</v>
      </c>
      <c r="B14556" s="3" t="str">
        <f>HYPERLINK("https://otsuka-europe-crm.veevavault.com/ui/#object/approved_document__v/V5OZ025E82TN2QL", "LUP - Invitación simposio SEN 2025 - nefro")</f>
        <v>LUP - Invitación simposio SEN 2025 - nefro</v>
      </c>
      <c r="C14556" s="3" t="str">
        <f>HYPERLINK("https://otsuka-europe-crm.veevavault.com/ui/#object/sent_email__v/VBLZ025E82HKHDC", "SE-000287438")</f>
        <v>SE-000287438</v>
      </c>
      <c r="D14556" s="1">
        <v>45945.417407407411</v>
      </c>
      <c r="E14556" s="2">
        <v>1</v>
      </c>
      <c r="F14556" s="2">
        <v>2</v>
      </c>
      <c r="G14556" s="2">
        <v>0</v>
      </c>
      <c r="H14556" s="1" t="s">
        <v>0</v>
      </c>
      <c r="I14556" s="2">
        <v>0</v>
      </c>
      <c r="J14556" s="1">
        <v>45945.294085648151</v>
      </c>
    </row>
    <row r="14557" spans="1:10" x14ac:dyDescent="0.2">
      <c r="A14557" s="4" t="s">
        <v>1</v>
      </c>
      <c r="B14557" s="3" t="str">
        <f>HYPERLINK("https://otsuka-europe-crm.veevavault.com/ui/#object/approved_document__v/V5OZ025E82TN2QL", "LUP - Invitación simposio SEN 2025 - nefro")</f>
        <v>LUP - Invitación simposio SEN 2025 - nefro</v>
      </c>
      <c r="C14557" s="3" t="str">
        <f>HYPERLINK("https://otsuka-europe-crm.veevavault.com/ui/#object/sent_email__v/VBLZ025E82HKHDD", "SE-000287439")</f>
        <v>SE-000287439</v>
      </c>
      <c r="D14557" s="1" t="s">
        <v>0</v>
      </c>
      <c r="E14557" s="2">
        <v>0</v>
      </c>
      <c r="F14557" s="2">
        <v>0</v>
      </c>
      <c r="G14557" s="2">
        <v>0</v>
      </c>
      <c r="H14557" s="1" t="s">
        <v>0</v>
      </c>
      <c r="I14557" s="2">
        <v>0</v>
      </c>
      <c r="J14557" s="1">
        <v>45945.294074074074</v>
      </c>
    </row>
    <row r="14558" spans="1:10" x14ac:dyDescent="0.2">
      <c r="A14558" s="4" t="s">
        <v>1</v>
      </c>
      <c r="B14558" s="3" t="str">
        <f>HYPERLINK("https://otsuka-europe-crm.veevavault.com/ui/#object/approved_document__v/V5OZ025E82TN2QL", "LUP - Invitación simposio SEN 2025 - nefro")</f>
        <v>LUP - Invitación simposio SEN 2025 - nefro</v>
      </c>
      <c r="C14558" s="3" t="str">
        <f>HYPERLINK("https://otsuka-europe-crm.veevavault.com/ui/#object/sent_email__v/VBLZ025E82HKHDE", "SE-000287440")</f>
        <v>SE-000287440</v>
      </c>
      <c r="D14558" s="1" t="s">
        <v>0</v>
      </c>
      <c r="E14558" s="2">
        <v>0</v>
      </c>
      <c r="F14558" s="2">
        <v>0</v>
      </c>
      <c r="G14558" s="2">
        <v>0</v>
      </c>
      <c r="H14558" s="1" t="s">
        <v>0</v>
      </c>
      <c r="I14558" s="2">
        <v>0</v>
      </c>
      <c r="J14558" s="1">
        <v>45945.294062499997</v>
      </c>
    </row>
    <row r="14559" spans="1:10" x14ac:dyDescent="0.2">
      <c r="A14559" s="4" t="s">
        <v>1</v>
      </c>
      <c r="B14559" s="3" t="str">
        <f>HYPERLINK("https://otsuka-europe-crm.veevavault.com/ui/#object/approved_document__v/V5OZ025E82TN2QL", "LUP - Invitación simposio SEN 2025 - nefro")</f>
        <v>LUP - Invitación simposio SEN 2025 - nefro</v>
      </c>
      <c r="C14559" s="3" t="str">
        <f>HYPERLINK("https://otsuka-europe-crm.veevavault.com/ui/#object/sent_email__v/VBLZ025E82HKHDF", "SE-000287441")</f>
        <v>SE-000287441</v>
      </c>
      <c r="D14559" s="1" t="s">
        <v>0</v>
      </c>
      <c r="E14559" s="2">
        <v>0</v>
      </c>
      <c r="F14559" s="2">
        <v>0</v>
      </c>
      <c r="G14559" s="2">
        <v>0</v>
      </c>
      <c r="H14559" s="1" t="s">
        <v>0</v>
      </c>
      <c r="I14559" s="2">
        <v>0</v>
      </c>
      <c r="J14559" s="1">
        <v>45945.294062499997</v>
      </c>
    </row>
    <row r="14560" spans="1:10" x14ac:dyDescent="0.2">
      <c r="A14560" s="4" t="s">
        <v>1</v>
      </c>
      <c r="B14560" s="3" t="str">
        <f>HYPERLINK("https://otsuka-europe-crm.veevavault.com/ui/#object/approved_document__v/V5OZ025E82TN2QL", "LUP - Invitación simposio SEN 2025 - nefro")</f>
        <v>LUP - Invitación simposio SEN 2025 - nefro</v>
      </c>
      <c r="C14560" s="3" t="str">
        <f>HYPERLINK("https://otsuka-europe-crm.veevavault.com/ui/#object/sent_email__v/VBLZ025E82HKHDG", "SE-000287442")</f>
        <v>SE-000287442</v>
      </c>
      <c r="D14560" s="1">
        <v>45945.309965277775</v>
      </c>
      <c r="E14560" s="2">
        <v>1</v>
      </c>
      <c r="F14560" s="2">
        <v>1</v>
      </c>
      <c r="G14560" s="2">
        <v>0</v>
      </c>
      <c r="H14560" s="1" t="s">
        <v>0</v>
      </c>
      <c r="I14560" s="2">
        <v>0</v>
      </c>
      <c r="J14560" s="1">
        <v>45945.294062499997</v>
      </c>
    </row>
    <row r="14561" spans="1:10" x14ac:dyDescent="0.2">
      <c r="A14561" s="4" t="s">
        <v>1</v>
      </c>
      <c r="B14561" s="3" t="str">
        <f>HYPERLINK("https://otsuka-europe-crm.veevavault.com/ui/#object/approved_document__v/V5OZ025E82TN2QL", "LUP - Invitación simposio SEN 2025 - nefro")</f>
        <v>LUP - Invitación simposio SEN 2025 - nefro</v>
      </c>
      <c r="C14561" s="3" t="str">
        <f>HYPERLINK("https://otsuka-europe-crm.veevavault.com/ui/#object/sent_email__v/VBLZ025E82HKHDH", "SE-000287443")</f>
        <v>SE-000287443</v>
      </c>
      <c r="D14561" s="1" t="s">
        <v>0</v>
      </c>
      <c r="E14561" s="2">
        <v>0</v>
      </c>
      <c r="F14561" s="2">
        <v>0</v>
      </c>
      <c r="G14561" s="2">
        <v>0</v>
      </c>
      <c r="H14561" s="1" t="s">
        <v>0</v>
      </c>
      <c r="I14561" s="2">
        <v>0</v>
      </c>
      <c r="J14561" s="1">
        <v>45945.294108796297</v>
      </c>
    </row>
    <row r="14562" spans="1:10" x14ac:dyDescent="0.2">
      <c r="A14562" s="4" t="s">
        <v>1</v>
      </c>
      <c r="B14562" s="3" t="str">
        <f>HYPERLINK("https://otsuka-europe-crm.veevavault.com/ui/#object/approved_document__v/V5OZ025E82TN2QL", "LUP - Invitación simposio SEN 2025 - nefro")</f>
        <v>LUP - Invitación simposio SEN 2025 - nefro</v>
      </c>
      <c r="C14562" s="3" t="str">
        <f>HYPERLINK("https://otsuka-europe-crm.veevavault.com/ui/#object/sent_email__v/VBLZ025E82HKHDI", "SE-000287444")</f>
        <v>SE-000287444</v>
      </c>
      <c r="D14562" s="1">
        <v>45945.40184027778</v>
      </c>
      <c r="E14562" s="2">
        <v>1</v>
      </c>
      <c r="F14562" s="2">
        <v>1</v>
      </c>
      <c r="G14562" s="2">
        <v>1</v>
      </c>
      <c r="H14562" s="1">
        <v>45945.40184027778</v>
      </c>
      <c r="I14562" s="2">
        <v>1</v>
      </c>
      <c r="J14562" s="1">
        <v>45945.294062499997</v>
      </c>
    </row>
    <row r="14563" spans="1:10" x14ac:dyDescent="0.2">
      <c r="A14563" s="4" t="s">
        <v>1</v>
      </c>
      <c r="B14563" s="3" t="str">
        <f>HYPERLINK("https://otsuka-europe-crm.veevavault.com/ui/#object/approved_document__v/V5OZ025E82TN2QL", "LUP - Invitación simposio SEN 2025 - nefro")</f>
        <v>LUP - Invitación simposio SEN 2025 - nefro</v>
      </c>
      <c r="C14563" s="3" t="str">
        <f>HYPERLINK("https://otsuka-europe-crm.veevavault.com/ui/#object/sent_email__v/VBLZ025E82HKHDJ", "SE-000287445")</f>
        <v>SE-000287445</v>
      </c>
      <c r="D14563" s="1" t="s">
        <v>0</v>
      </c>
      <c r="E14563" s="2">
        <v>0</v>
      </c>
      <c r="F14563" s="2">
        <v>0</v>
      </c>
      <c r="G14563" s="2">
        <v>0</v>
      </c>
      <c r="H14563" s="1" t="s">
        <v>0</v>
      </c>
      <c r="I14563" s="2">
        <v>0</v>
      </c>
      <c r="J14563" s="1">
        <v>45945.294050925928</v>
      </c>
    </row>
    <row r="14564" spans="1:10" x14ac:dyDescent="0.2">
      <c r="A14564" s="4" t="s">
        <v>1</v>
      </c>
      <c r="B14564" s="3" t="str">
        <f>HYPERLINK("https://otsuka-europe-crm.veevavault.com/ui/#object/approved_document__v/V5OZ025E82TN2QL", "LUP - Invitación simposio SEN 2025 - nefro")</f>
        <v>LUP - Invitación simposio SEN 2025 - nefro</v>
      </c>
      <c r="C14564" s="3" t="str">
        <f>HYPERLINK("https://otsuka-europe-crm.veevavault.com/ui/#object/sent_email__v/VBLZ025E82HKHDK", "SE-000287446")</f>
        <v>SE-000287446</v>
      </c>
      <c r="D14564" s="1" t="s">
        <v>0</v>
      </c>
      <c r="E14564" s="2">
        <v>0</v>
      </c>
      <c r="F14564" s="2">
        <v>0</v>
      </c>
      <c r="G14564" s="2">
        <v>0</v>
      </c>
      <c r="H14564" s="1" t="s">
        <v>0</v>
      </c>
      <c r="I14564" s="2">
        <v>0</v>
      </c>
      <c r="J14564" s="1">
        <v>45945.294074074074</v>
      </c>
    </row>
    <row r="14565" spans="1:10" x14ac:dyDescent="0.2">
      <c r="A14565" s="4" t="s">
        <v>1</v>
      </c>
      <c r="B14565" s="3" t="str">
        <f>HYPERLINK("https://otsuka-europe-crm.veevavault.com/ui/#object/approved_document__v/V5OZ025E82TN2QL", "LUP - Invitación simposio SEN 2025 - nefro")</f>
        <v>LUP - Invitación simposio SEN 2025 - nefro</v>
      </c>
      <c r="C14565" s="3" t="str">
        <f>HYPERLINK("https://otsuka-europe-crm.veevavault.com/ui/#object/sent_email__v/VBLZ025E82HKHDL", "SE-000287447")</f>
        <v>SE-000287447</v>
      </c>
      <c r="D14565" s="1">
        <v>45953.949467592596</v>
      </c>
      <c r="E14565" s="2">
        <v>1</v>
      </c>
      <c r="F14565" s="2">
        <v>3</v>
      </c>
      <c r="G14565" s="2">
        <v>0</v>
      </c>
      <c r="H14565" s="1" t="s">
        <v>0</v>
      </c>
      <c r="I14565" s="2">
        <v>0</v>
      </c>
      <c r="J14565" s="1">
        <v>45945.294085648151</v>
      </c>
    </row>
    <row r="14566" spans="1:10" x14ac:dyDescent="0.2">
      <c r="A14566" s="4" t="s">
        <v>1</v>
      </c>
      <c r="B14566" s="3" t="str">
        <f>HYPERLINK("https://otsuka-europe-crm.veevavault.com/ui/#object/approved_document__v/V5OZ025E82TN2QL", "LUP - Invitación simposio SEN 2025 - nefro")</f>
        <v>LUP - Invitación simposio SEN 2025 - nefro</v>
      </c>
      <c r="C14566" s="3" t="str">
        <f>HYPERLINK("https://otsuka-europe-crm.veevavault.com/ui/#object/sent_email__v/VBLZ025E82HKHDM", "SE-000287448")</f>
        <v>SE-000287448</v>
      </c>
      <c r="D14566" s="1">
        <v>45945.303391203706</v>
      </c>
      <c r="E14566" s="2">
        <v>1</v>
      </c>
      <c r="F14566" s="2">
        <v>2</v>
      </c>
      <c r="G14566" s="2">
        <v>0</v>
      </c>
      <c r="H14566" s="1" t="s">
        <v>0</v>
      </c>
      <c r="I14566" s="2">
        <v>0</v>
      </c>
      <c r="J14566" s="1">
        <v>45945.294062499997</v>
      </c>
    </row>
    <row r="14567" spans="1:10" x14ac:dyDescent="0.2">
      <c r="A14567" s="4" t="s">
        <v>1</v>
      </c>
      <c r="B14567" s="3" t="str">
        <f>HYPERLINK("https://otsuka-europe-crm.veevavault.com/ui/#object/approved_document__v/V5OZ025E82TN2QL", "LUP - Invitación simposio SEN 2025 - nefro")</f>
        <v>LUP - Invitación simposio SEN 2025 - nefro</v>
      </c>
      <c r="C14567" s="3" t="str">
        <f>HYPERLINK("https://otsuka-europe-crm.veevavault.com/ui/#object/sent_email__v/VBLZ025E82HKHDN", "SE-000287449")</f>
        <v>SE-000287449</v>
      </c>
      <c r="D14567" s="1" t="s">
        <v>0</v>
      </c>
      <c r="E14567" s="2">
        <v>0</v>
      </c>
      <c r="F14567" s="2">
        <v>0</v>
      </c>
      <c r="G14567" s="2">
        <v>0</v>
      </c>
      <c r="H14567" s="1" t="s">
        <v>0</v>
      </c>
      <c r="I14567" s="2">
        <v>0</v>
      </c>
      <c r="J14567" s="1">
        <v>45945.294085648151</v>
      </c>
    </row>
    <row r="14568" spans="1:10" x14ac:dyDescent="0.2">
      <c r="A14568" s="4" t="s">
        <v>1</v>
      </c>
      <c r="B14568" s="3" t="str">
        <f>HYPERLINK("https://otsuka-europe-crm.veevavault.com/ui/#object/approved_document__v/V5OZ025E82TN2QL", "LUP - Invitación simposio SEN 2025 - nefro")</f>
        <v>LUP - Invitación simposio SEN 2025 - nefro</v>
      </c>
      <c r="C14568" s="3" t="str">
        <f>HYPERLINK("https://otsuka-europe-crm.veevavault.com/ui/#object/sent_email__v/VBLZ025E82HKHDO", "SE-000287450")</f>
        <v>SE-000287450</v>
      </c>
      <c r="D14568" s="1">
        <v>45945.312731481485</v>
      </c>
      <c r="E14568" s="2">
        <v>1</v>
      </c>
      <c r="F14568" s="2">
        <v>1</v>
      </c>
      <c r="G14568" s="2">
        <v>0</v>
      </c>
      <c r="H14568" s="1" t="s">
        <v>0</v>
      </c>
      <c r="I14568" s="2">
        <v>0</v>
      </c>
      <c r="J14568" s="1">
        <v>45945.294062499997</v>
      </c>
    </row>
    <row r="14569" spans="1:10" x14ac:dyDescent="0.2">
      <c r="A14569" s="4" t="s">
        <v>1</v>
      </c>
      <c r="B14569" s="3" t="str">
        <f>HYPERLINK("https://otsuka-europe-crm.veevavault.com/ui/#object/approved_document__v/V5OZ025E82TN2QL", "LUP - Invitación simposio SEN 2025 - nefro")</f>
        <v>LUP - Invitación simposio SEN 2025 - nefro</v>
      </c>
      <c r="C14569" s="3" t="str">
        <f>HYPERLINK("https://otsuka-europe-crm.veevavault.com/ui/#object/sent_email__v/VBLZ025E82HKHDP", "SE-000287451")</f>
        <v>SE-000287451</v>
      </c>
      <c r="D14569" s="1">
        <v>45945.372337962966</v>
      </c>
      <c r="E14569" s="2">
        <v>1</v>
      </c>
      <c r="F14569" s="2">
        <v>2</v>
      </c>
      <c r="G14569" s="2">
        <v>0</v>
      </c>
      <c r="H14569" s="1" t="s">
        <v>0</v>
      </c>
      <c r="I14569" s="2">
        <v>0</v>
      </c>
      <c r="J14569" s="1">
        <v>45945.294062499997</v>
      </c>
    </row>
    <row r="14570" spans="1:10" x14ac:dyDescent="0.2">
      <c r="A14570" s="4" t="s">
        <v>1</v>
      </c>
      <c r="B14570" s="3" t="str">
        <f>HYPERLINK("https://otsuka-europe-crm.veevavault.com/ui/#object/approved_document__v/V5OZ025E82TN2QL", "LUP - Invitación simposio SEN 2025 - nefro")</f>
        <v>LUP - Invitación simposio SEN 2025 - nefro</v>
      </c>
      <c r="C14570" s="3" t="str">
        <f>HYPERLINK("https://otsuka-europe-crm.veevavault.com/ui/#object/sent_email__v/VBLZ025E82HKHDQ", "SE-000287452")</f>
        <v>SE-000287452</v>
      </c>
      <c r="D14570" s="1">
        <v>45950.968692129631</v>
      </c>
      <c r="E14570" s="2">
        <v>1</v>
      </c>
      <c r="F14570" s="2">
        <v>2</v>
      </c>
      <c r="G14570" s="2">
        <v>0</v>
      </c>
      <c r="H14570" s="1" t="s">
        <v>0</v>
      </c>
      <c r="I14570" s="2">
        <v>0</v>
      </c>
      <c r="J14570" s="1">
        <v>45945.294108796297</v>
      </c>
    </row>
    <row r="14571" spans="1:10" x14ac:dyDescent="0.2">
      <c r="A14571" s="4" t="s">
        <v>1</v>
      </c>
      <c r="B14571" s="3" t="str">
        <f>HYPERLINK("https://otsuka-europe-crm.veevavault.com/ui/#object/approved_document__v/V5OZ025E82TN2QL", "LUP - Invitación simposio SEN 2025 - nefro")</f>
        <v>LUP - Invitación simposio SEN 2025 - nefro</v>
      </c>
      <c r="C14571" s="3" t="str">
        <f>HYPERLINK("https://otsuka-europe-crm.veevavault.com/ui/#object/sent_email__v/VBLZ025E82HKHDR", "SE-000287453")</f>
        <v>SE-000287453</v>
      </c>
      <c r="D14571" s="1">
        <v>45945.344444444447</v>
      </c>
      <c r="E14571" s="2">
        <v>1</v>
      </c>
      <c r="F14571" s="2">
        <v>2</v>
      </c>
      <c r="G14571" s="2">
        <v>1</v>
      </c>
      <c r="H14571" s="1">
        <v>45945.295069444444</v>
      </c>
      <c r="I14571" s="2">
        <v>1</v>
      </c>
      <c r="J14571" s="1">
        <v>45945.294074074074</v>
      </c>
    </row>
    <row r="14572" spans="1:10" x14ac:dyDescent="0.2">
      <c r="A14572" s="4" t="s">
        <v>1</v>
      </c>
      <c r="B14572" s="3" t="str">
        <f>HYPERLINK("https://otsuka-europe-crm.veevavault.com/ui/#object/approved_document__v/V5OZ025E82TN2QL", "LUP - Invitación simposio SEN 2025 - nefro")</f>
        <v>LUP - Invitación simposio SEN 2025 - nefro</v>
      </c>
      <c r="C14572" s="3" t="str">
        <f>HYPERLINK("https://otsuka-europe-crm.veevavault.com/ui/#object/sent_email__v/VBLZ025E82HKHDS", "SE-000287454")</f>
        <v>SE-000287454</v>
      </c>
      <c r="D14572" s="1">
        <v>45945.588483796295</v>
      </c>
      <c r="E14572" s="2">
        <v>1</v>
      </c>
      <c r="F14572" s="2">
        <v>6</v>
      </c>
      <c r="G14572" s="2">
        <v>1</v>
      </c>
      <c r="H14572" s="1">
        <v>45945.300486111111</v>
      </c>
      <c r="I14572" s="2">
        <v>1</v>
      </c>
      <c r="J14572" s="1">
        <v>45945.294085648151</v>
      </c>
    </row>
    <row r="14573" spans="1:10" x14ac:dyDescent="0.2">
      <c r="A14573" s="4" t="s">
        <v>1</v>
      </c>
      <c r="B14573" s="3" t="str">
        <f>HYPERLINK("https://otsuka-europe-crm.veevavault.com/ui/#object/approved_document__v/V5OZ025E82TN2QL", "LUP - Invitación simposio SEN 2025 - nefro")</f>
        <v>LUP - Invitación simposio SEN 2025 - nefro</v>
      </c>
      <c r="C14573" s="3" t="str">
        <f>HYPERLINK("https://otsuka-europe-crm.veevavault.com/ui/#object/sent_email__v/VBLZ025E82HKHDT", "SE-000287455")</f>
        <v>SE-000287455</v>
      </c>
      <c r="D14573" s="1">
        <v>45945.337523148148</v>
      </c>
      <c r="E14573" s="2">
        <v>1</v>
      </c>
      <c r="F14573" s="2">
        <v>2</v>
      </c>
      <c r="G14573" s="2">
        <v>0</v>
      </c>
      <c r="H14573" s="1" t="s">
        <v>0</v>
      </c>
      <c r="I14573" s="2">
        <v>0</v>
      </c>
      <c r="J14573" s="1">
        <v>45945.294062499997</v>
      </c>
    </row>
    <row r="14574" spans="1:10" x14ac:dyDescent="0.2">
      <c r="A14574" s="4" t="s">
        <v>1</v>
      </c>
      <c r="B14574" s="3" t="str">
        <f>HYPERLINK("https://otsuka-europe-crm.veevavault.com/ui/#object/approved_document__v/V5OZ025E82TN2QL", "LUP - Invitación simposio SEN 2025 - nefro")</f>
        <v>LUP - Invitación simposio SEN 2025 - nefro</v>
      </c>
      <c r="C14574" s="3" t="str">
        <f>HYPERLINK("https://otsuka-europe-crm.veevavault.com/ui/#object/sent_email__v/VBLZ025E82HKHDU", "SE-000287456")</f>
        <v>SE-000287456</v>
      </c>
      <c r="D14574" s="1" t="s">
        <v>0</v>
      </c>
      <c r="E14574" s="2">
        <v>0</v>
      </c>
      <c r="F14574" s="2">
        <v>0</v>
      </c>
      <c r="G14574" s="2">
        <v>0</v>
      </c>
      <c r="H14574" s="1" t="s">
        <v>0</v>
      </c>
      <c r="I14574" s="2">
        <v>0</v>
      </c>
      <c r="J14574" s="1">
        <v>45945.294074074074</v>
      </c>
    </row>
    <row r="14575" spans="1:10" x14ac:dyDescent="0.2">
      <c r="A14575" s="4" t="s">
        <v>1</v>
      </c>
      <c r="B14575" s="3" t="str">
        <f>HYPERLINK("https://otsuka-europe-crm.veevavault.com/ui/#object/approved_document__v/V5OZ025E82TN2QL", "LUP - Invitación simposio SEN 2025 - nefro")</f>
        <v>LUP - Invitación simposio SEN 2025 - nefro</v>
      </c>
      <c r="C14575" s="3" t="str">
        <f>HYPERLINK("https://otsuka-europe-crm.veevavault.com/ui/#object/sent_email__v/VBLZ025E82HKHDV", "SE-000287457")</f>
        <v>SE-000287457</v>
      </c>
      <c r="D14575" s="1">
        <v>45960.529652777775</v>
      </c>
      <c r="E14575" s="2">
        <v>1</v>
      </c>
      <c r="F14575" s="2">
        <v>3</v>
      </c>
      <c r="G14575" s="2">
        <v>0</v>
      </c>
      <c r="H14575" s="1" t="s">
        <v>0</v>
      </c>
      <c r="I14575" s="2">
        <v>0</v>
      </c>
      <c r="J14575" s="1">
        <v>45945.294062499997</v>
      </c>
    </row>
    <row r="14576" spans="1:10" x14ac:dyDescent="0.2">
      <c r="A14576" s="4" t="s">
        <v>1</v>
      </c>
      <c r="B14576" s="3" t="str">
        <f>HYPERLINK("https://otsuka-europe-crm.veevavault.com/ui/#object/approved_document__v/V5OZ025E82TN2QL", "LUP - Invitación simposio SEN 2025 - nefro")</f>
        <v>LUP - Invitación simposio SEN 2025 - nefro</v>
      </c>
      <c r="C14576" s="3" t="str">
        <f>HYPERLINK("https://otsuka-europe-crm.veevavault.com/ui/#object/sent_email__v/VBLZ025E82HKHDW", "SE-000287458")</f>
        <v>SE-000287458</v>
      </c>
      <c r="D14576" s="1">
        <v>45945.315347222226</v>
      </c>
      <c r="E14576" s="2">
        <v>1</v>
      </c>
      <c r="F14576" s="2">
        <v>1</v>
      </c>
      <c r="G14576" s="2">
        <v>0</v>
      </c>
      <c r="H14576" s="1" t="s">
        <v>0</v>
      </c>
      <c r="I14576" s="2">
        <v>0</v>
      </c>
      <c r="J14576" s="1">
        <v>45945.294050925928</v>
      </c>
    </row>
    <row r="14577" spans="1:10" x14ac:dyDescent="0.2">
      <c r="A14577" s="4" t="s">
        <v>1</v>
      </c>
      <c r="B14577" s="3" t="str">
        <f>HYPERLINK("https://otsuka-europe-crm.veevavault.com/ui/#object/approved_document__v/V5OZ025E82TN2QL", "LUP - Invitación simposio SEN 2025 - nefro")</f>
        <v>LUP - Invitación simposio SEN 2025 - nefro</v>
      </c>
      <c r="C14577" s="3" t="str">
        <f>HYPERLINK("https://otsuka-europe-crm.veevavault.com/ui/#object/sent_email__v/VBLZ025E82HKHDX", "SE-000287459")</f>
        <v>SE-000287459</v>
      </c>
      <c r="D14577" s="1">
        <v>45948.191099537034</v>
      </c>
      <c r="E14577" s="2">
        <v>1</v>
      </c>
      <c r="F14577" s="2">
        <v>1</v>
      </c>
      <c r="G14577" s="2">
        <v>0</v>
      </c>
      <c r="H14577" s="1" t="s">
        <v>0</v>
      </c>
      <c r="I14577" s="2">
        <v>0</v>
      </c>
      <c r="J14577" s="1">
        <v>45945.294074074074</v>
      </c>
    </row>
    <row r="14578" spans="1:10" x14ac:dyDescent="0.2">
      <c r="A14578" s="4" t="s">
        <v>1</v>
      </c>
      <c r="B14578" s="3" t="str">
        <f>HYPERLINK("https://otsuka-europe-crm.veevavault.com/ui/#object/approved_document__v/V5OZ025E82TN2QL", "LUP - Invitación simposio SEN 2025 - nefro")</f>
        <v>LUP - Invitación simposio SEN 2025 - nefro</v>
      </c>
      <c r="C14578" s="3" t="str">
        <f>HYPERLINK("https://otsuka-europe-crm.veevavault.com/ui/#object/sent_email__v/VBLZ025E82HKHDY", "SE-000287460")</f>
        <v>SE-000287460</v>
      </c>
      <c r="D14578" s="1" t="s">
        <v>0</v>
      </c>
      <c r="E14578" s="2">
        <v>0</v>
      </c>
      <c r="F14578" s="2">
        <v>0</v>
      </c>
      <c r="G14578" s="2">
        <v>0</v>
      </c>
      <c r="H14578" s="1" t="s">
        <v>0</v>
      </c>
      <c r="I14578" s="2">
        <v>0</v>
      </c>
      <c r="J14578" s="1">
        <v>45945.294085648151</v>
      </c>
    </row>
    <row r="14579" spans="1:10" x14ac:dyDescent="0.2">
      <c r="A14579" s="4" t="s">
        <v>1</v>
      </c>
      <c r="B14579" s="3" t="str">
        <f>HYPERLINK("https://otsuka-europe-crm.veevavault.com/ui/#object/approved_document__v/V5OZ025E82TN2QL", "LUP - Invitación simposio SEN 2025 - nefro")</f>
        <v>LUP - Invitación simposio SEN 2025 - nefro</v>
      </c>
      <c r="C14579" s="3" t="str">
        <f>HYPERLINK("https://otsuka-europe-crm.veevavault.com/ui/#object/sent_email__v/VBLZ025E82HKHDZ", "SE-000287461")</f>
        <v>SE-000287461</v>
      </c>
      <c r="D14579" s="1">
        <v>45945.48369212963</v>
      </c>
      <c r="E14579" s="2">
        <v>1</v>
      </c>
      <c r="F14579" s="2">
        <v>1</v>
      </c>
      <c r="G14579" s="2">
        <v>0</v>
      </c>
      <c r="H14579" s="1" t="s">
        <v>0</v>
      </c>
      <c r="I14579" s="2">
        <v>0</v>
      </c>
      <c r="J14579" s="1">
        <v>45945.294062499997</v>
      </c>
    </row>
    <row r="14580" spans="1:10" x14ac:dyDescent="0.2">
      <c r="A14580" s="4" t="s">
        <v>1</v>
      </c>
      <c r="B14580" s="3" t="str">
        <f>HYPERLINK("https://otsuka-europe-crm.veevavault.com/ui/#object/approved_document__v/V5OZ025E82TN2QL", "LUP - Invitación simposio SEN 2025 - nefro")</f>
        <v>LUP - Invitación simposio SEN 2025 - nefro</v>
      </c>
      <c r="C14580" s="3" t="str">
        <f>HYPERLINK("https://otsuka-europe-crm.veevavault.com/ui/#object/sent_email__v/VBLZ025E82HKHE0", "SE-000287462")</f>
        <v>SE-000287462</v>
      </c>
      <c r="D14580" s="1" t="s">
        <v>0</v>
      </c>
      <c r="E14580" s="2">
        <v>0</v>
      </c>
      <c r="F14580" s="2">
        <v>0</v>
      </c>
      <c r="G14580" s="2">
        <v>0</v>
      </c>
      <c r="H14580" s="1" t="s">
        <v>0</v>
      </c>
      <c r="I14580" s="2">
        <v>0</v>
      </c>
      <c r="J14580" s="1">
        <v>45945.294085648151</v>
      </c>
    </row>
    <row r="14581" spans="1:10" x14ac:dyDescent="0.2">
      <c r="A14581" s="4" t="s">
        <v>1</v>
      </c>
      <c r="B14581" s="3" t="str">
        <f>HYPERLINK("https://otsuka-europe-crm.veevavault.com/ui/#object/approved_document__v/V5OZ025E82TN2QL", "LUP - Invitación simposio SEN 2025 - nefro")</f>
        <v>LUP - Invitación simposio SEN 2025 - nefro</v>
      </c>
      <c r="C14581" s="3" t="str">
        <f>HYPERLINK("https://otsuka-europe-crm.veevavault.com/ui/#object/sent_email__v/VBLZ025E82HKHE1", "SE-000287463")</f>
        <v>SE-000287463</v>
      </c>
      <c r="D14581" s="1" t="s">
        <v>0</v>
      </c>
      <c r="E14581" s="2">
        <v>0</v>
      </c>
      <c r="F14581" s="2">
        <v>0</v>
      </c>
      <c r="G14581" s="2">
        <v>0</v>
      </c>
      <c r="H14581" s="1" t="s">
        <v>0</v>
      </c>
      <c r="I14581" s="2">
        <v>0</v>
      </c>
      <c r="J14581" s="1">
        <v>45945.294062499997</v>
      </c>
    </row>
    <row r="14582" spans="1:10" x14ac:dyDescent="0.2">
      <c r="A14582" s="4" t="s">
        <v>1</v>
      </c>
      <c r="B14582" s="3" t="str">
        <f>HYPERLINK("https://otsuka-europe-crm.veevavault.com/ui/#object/approved_document__v/V5OZ025E82TN2QL", "LUP - Invitación simposio SEN 2025 - nefro")</f>
        <v>LUP - Invitación simposio SEN 2025 - nefro</v>
      </c>
      <c r="C14582" s="3" t="str">
        <f>HYPERLINK("https://otsuka-europe-crm.veevavault.com/ui/#object/sent_email__v/VBLZ025E82HKHE2", "SE-000287464")</f>
        <v>SE-000287464</v>
      </c>
      <c r="D14582" s="1" t="s">
        <v>0</v>
      </c>
      <c r="E14582" s="2">
        <v>0</v>
      </c>
      <c r="F14582" s="2">
        <v>0</v>
      </c>
      <c r="G14582" s="2">
        <v>0</v>
      </c>
      <c r="H14582" s="1" t="s">
        <v>0</v>
      </c>
      <c r="I14582" s="2">
        <v>0</v>
      </c>
      <c r="J14582" s="1">
        <v>45945.294062499997</v>
      </c>
    </row>
    <row r="14583" spans="1:10" x14ac:dyDescent="0.2">
      <c r="A14583" s="4" t="s">
        <v>1</v>
      </c>
      <c r="B14583" s="3" t="str">
        <f>HYPERLINK("https://otsuka-europe-crm.veevavault.com/ui/#object/approved_document__v/V5OZ025E82TN2QL", "LUP - Invitación simposio SEN 2025 - nefro")</f>
        <v>LUP - Invitación simposio SEN 2025 - nefro</v>
      </c>
      <c r="C14583" s="3" t="str">
        <f>HYPERLINK("https://otsuka-europe-crm.veevavault.com/ui/#object/sent_email__v/VBLZ025E82HKHE3", "SE-000287465")</f>
        <v>SE-000287465</v>
      </c>
      <c r="D14583" s="1" t="s">
        <v>0</v>
      </c>
      <c r="E14583" s="2">
        <v>0</v>
      </c>
      <c r="F14583" s="2">
        <v>0</v>
      </c>
      <c r="G14583" s="2">
        <v>0</v>
      </c>
      <c r="H14583" s="1" t="s">
        <v>0</v>
      </c>
      <c r="I14583" s="2">
        <v>0</v>
      </c>
      <c r="J14583" s="1">
        <v>45945.294074074074</v>
      </c>
    </row>
    <row r="14584" spans="1:10" x14ac:dyDescent="0.2">
      <c r="A14584" s="4" t="s">
        <v>1</v>
      </c>
      <c r="B14584" s="3" t="str">
        <f>HYPERLINK("https://otsuka-europe-crm.veevavault.com/ui/#object/approved_document__v/V5OZ025E82TN2QL", "LUP - Invitación simposio SEN 2025 - nefro")</f>
        <v>LUP - Invitación simposio SEN 2025 - nefro</v>
      </c>
      <c r="C14584" s="3" t="str">
        <f>HYPERLINK("https://otsuka-europe-crm.veevavault.com/ui/#object/sent_email__v/VBLZ025E82HKHE4", "SE-000287466")</f>
        <v>SE-000287466</v>
      </c>
      <c r="D14584" s="1">
        <v>45982.23096064815</v>
      </c>
      <c r="E14584" s="2">
        <v>1</v>
      </c>
      <c r="F14584" s="2">
        <v>2</v>
      </c>
      <c r="G14584" s="2">
        <v>0</v>
      </c>
      <c r="H14584" s="1" t="s">
        <v>0</v>
      </c>
      <c r="I14584" s="2">
        <v>0</v>
      </c>
      <c r="J14584" s="1">
        <v>45945.294074074074</v>
      </c>
    </row>
    <row r="14585" spans="1:10" x14ac:dyDescent="0.2">
      <c r="A14585" s="4" t="s">
        <v>1</v>
      </c>
      <c r="B14585" s="3" t="str">
        <f>HYPERLINK("https://otsuka-europe-crm.veevavault.com/ui/#object/approved_document__v/V5OZ025E82TN2QL", "LUP - Invitación simposio SEN 2025 - nefro")</f>
        <v>LUP - Invitación simposio SEN 2025 - nefro</v>
      </c>
      <c r="C14585" s="3" t="str">
        <f>HYPERLINK("https://otsuka-europe-crm.veevavault.com/ui/#object/sent_email__v/VBLZ025E82HKHE5", "SE-000287467")</f>
        <v>SE-000287467</v>
      </c>
      <c r="D14585" s="1">
        <v>45945.331678240742</v>
      </c>
      <c r="E14585" s="2">
        <v>1</v>
      </c>
      <c r="F14585" s="2">
        <v>1</v>
      </c>
      <c r="G14585" s="2">
        <v>0</v>
      </c>
      <c r="H14585" s="1" t="s">
        <v>0</v>
      </c>
      <c r="I14585" s="2">
        <v>0</v>
      </c>
      <c r="J14585" s="1">
        <v>45945.294062499997</v>
      </c>
    </row>
    <row r="14586" spans="1:10" x14ac:dyDescent="0.2">
      <c r="A14586" s="4" t="s">
        <v>1</v>
      </c>
      <c r="B14586" s="3" t="str">
        <f>HYPERLINK("https://otsuka-europe-crm.veevavault.com/ui/#object/approved_document__v/V5OZ025E82TN2QL", "LUP - Invitación simposio SEN 2025 - nefro")</f>
        <v>LUP - Invitación simposio SEN 2025 - nefro</v>
      </c>
      <c r="C14586" s="3" t="str">
        <f>HYPERLINK("https://otsuka-europe-crm.veevavault.com/ui/#object/sent_email__v/VBLZ025E82HKHE6", "SE-000287468")</f>
        <v>SE-000287468</v>
      </c>
      <c r="D14586" s="1" t="s">
        <v>0</v>
      </c>
      <c r="E14586" s="2">
        <v>0</v>
      </c>
      <c r="F14586" s="2">
        <v>0</v>
      </c>
      <c r="G14586" s="2">
        <v>0</v>
      </c>
      <c r="H14586" s="1" t="s">
        <v>0</v>
      </c>
      <c r="I14586" s="2">
        <v>0</v>
      </c>
      <c r="J14586" s="1">
        <v>45945.294074074074</v>
      </c>
    </row>
    <row r="14587" spans="1:10" x14ac:dyDescent="0.2">
      <c r="A14587" s="4" t="s">
        <v>1</v>
      </c>
      <c r="B14587" s="3" t="str">
        <f>HYPERLINK("https://otsuka-europe-crm.veevavault.com/ui/#object/approved_document__v/V5OZ025E82TN2QL", "LUP - Invitación simposio SEN 2025 - nefro")</f>
        <v>LUP - Invitación simposio SEN 2025 - nefro</v>
      </c>
      <c r="C14587" s="3" t="str">
        <f>HYPERLINK("https://otsuka-europe-crm.veevavault.com/ui/#object/sent_email__v/VBLZ025E82HKHE7", "SE-000287469")</f>
        <v>SE-000287469</v>
      </c>
      <c r="D14587" s="1">
        <v>45945.3202662037</v>
      </c>
      <c r="E14587" s="2">
        <v>1</v>
      </c>
      <c r="F14587" s="2">
        <v>1</v>
      </c>
      <c r="G14587" s="2">
        <v>0</v>
      </c>
      <c r="H14587" s="1" t="s">
        <v>0</v>
      </c>
      <c r="I14587" s="2">
        <v>0</v>
      </c>
      <c r="J14587" s="1">
        <v>45945.294074074074</v>
      </c>
    </row>
    <row r="14588" spans="1:10" x14ac:dyDescent="0.2">
      <c r="A14588" s="4" t="s">
        <v>1</v>
      </c>
      <c r="B14588" s="3" t="str">
        <f>HYPERLINK("https://otsuka-europe-crm.veevavault.com/ui/#object/approved_document__v/V5OZ025E82TN2QL", "LUP - Invitación simposio SEN 2025 - nefro")</f>
        <v>LUP - Invitación simposio SEN 2025 - nefro</v>
      </c>
      <c r="C14588" s="3" t="str">
        <f>HYPERLINK("https://otsuka-europe-crm.veevavault.com/ui/#object/sent_email__v/VBLZ025E82HKHOD", "SE-000287470")</f>
        <v>SE-000287470</v>
      </c>
      <c r="D14588" s="1">
        <v>45949.487754629627</v>
      </c>
      <c r="E14588" s="2">
        <v>1</v>
      </c>
      <c r="F14588" s="2">
        <v>4</v>
      </c>
      <c r="G14588" s="2">
        <v>0</v>
      </c>
      <c r="H14588" s="1" t="s">
        <v>0</v>
      </c>
      <c r="I14588" s="2">
        <v>0</v>
      </c>
      <c r="J14588" s="1">
        <v>45945.294108796297</v>
      </c>
    </row>
    <row r="14589" spans="1:10" x14ac:dyDescent="0.2">
      <c r="A14589" s="4" t="s">
        <v>1</v>
      </c>
      <c r="B14589" s="3" t="str">
        <f>HYPERLINK("https://otsuka-europe-crm.veevavault.com/ui/#object/approved_document__v/V5OZ025E82TN2QL", "LUP - Invitación simposio SEN 2025 - nefro")</f>
        <v>LUP - Invitación simposio SEN 2025 - nefro</v>
      </c>
      <c r="C14589" s="3" t="str">
        <f>HYPERLINK("https://otsuka-europe-crm.veevavault.com/ui/#object/sent_email__v/VBLZ025E82HKHOE", "SE-000287471")</f>
        <v>SE-000287471</v>
      </c>
      <c r="D14589" s="1" t="s">
        <v>0</v>
      </c>
      <c r="E14589" s="2">
        <v>0</v>
      </c>
      <c r="F14589" s="2">
        <v>0</v>
      </c>
      <c r="G14589" s="2">
        <v>0</v>
      </c>
      <c r="H14589" s="1" t="s">
        <v>0</v>
      </c>
      <c r="I14589" s="2">
        <v>0</v>
      </c>
      <c r="J14589" s="1">
        <v>45945.294074074074</v>
      </c>
    </row>
    <row r="14590" spans="1:10" x14ac:dyDescent="0.2">
      <c r="A14590" s="4" t="s">
        <v>1</v>
      </c>
      <c r="B14590" s="3" t="str">
        <f>HYPERLINK("https://otsuka-europe-crm.veevavault.com/ui/#object/approved_document__v/V5OZ025E82TN2QL", "LUP - Invitación simposio SEN 2025 - nefro")</f>
        <v>LUP - Invitación simposio SEN 2025 - nefro</v>
      </c>
      <c r="C14590" s="3" t="str">
        <f>HYPERLINK("https://otsuka-europe-crm.veevavault.com/ui/#object/sent_email__v/VBLZ025E82HKHOF", "SE-000287472")</f>
        <v>SE-000287472</v>
      </c>
      <c r="D14590" s="1" t="s">
        <v>0</v>
      </c>
      <c r="E14590" s="2">
        <v>0</v>
      </c>
      <c r="F14590" s="2">
        <v>0</v>
      </c>
      <c r="G14590" s="2">
        <v>0</v>
      </c>
      <c r="H14590" s="1" t="s">
        <v>0</v>
      </c>
      <c r="I14590" s="2">
        <v>0</v>
      </c>
      <c r="J14590" s="1">
        <v>45945.294085648151</v>
      </c>
    </row>
    <row r="14591" spans="1:10" x14ac:dyDescent="0.2">
      <c r="A14591" s="4" t="s">
        <v>1</v>
      </c>
      <c r="B14591" s="3" t="str">
        <f>HYPERLINK("https://otsuka-europe-crm.veevavault.com/ui/#object/approved_document__v/V5OZ025E82TN2QL", "LUP - Invitación simposio SEN 2025 - nefro")</f>
        <v>LUP - Invitación simposio SEN 2025 - nefro</v>
      </c>
      <c r="C14591" s="3" t="str">
        <f>HYPERLINK("https://otsuka-europe-crm.veevavault.com/ui/#object/sent_email__v/VBLZ025E82HKHOG", "SE-000287473")</f>
        <v>SE-000287473</v>
      </c>
      <c r="D14591" s="1" t="s">
        <v>0</v>
      </c>
      <c r="E14591" s="2">
        <v>0</v>
      </c>
      <c r="F14591" s="2">
        <v>0</v>
      </c>
      <c r="G14591" s="2">
        <v>0</v>
      </c>
      <c r="H14591" s="1" t="s">
        <v>0</v>
      </c>
      <c r="I14591" s="2">
        <v>0</v>
      </c>
      <c r="J14591" s="1">
        <v>45945.294085648151</v>
      </c>
    </row>
    <row r="14592" spans="1:10" x14ac:dyDescent="0.2">
      <c r="A14592" s="4" t="s">
        <v>1</v>
      </c>
      <c r="B14592" s="3" t="str">
        <f>HYPERLINK("https://otsuka-europe-crm.veevavault.com/ui/#object/approved_document__v/V5OZ025E82TN2QL", "LUP - Invitación simposio SEN 2025 - nefro")</f>
        <v>LUP - Invitación simposio SEN 2025 - nefro</v>
      </c>
      <c r="C14592" s="3" t="str">
        <f>HYPERLINK("https://otsuka-europe-crm.veevavault.com/ui/#object/sent_email__v/VBLZ025E82HKHOH", "SE-000287474")</f>
        <v>SE-000287474</v>
      </c>
      <c r="D14592" s="1">
        <v>45949.806111111109</v>
      </c>
      <c r="E14592" s="2">
        <v>1</v>
      </c>
      <c r="F14592" s="2">
        <v>1</v>
      </c>
      <c r="G14592" s="2">
        <v>0</v>
      </c>
      <c r="H14592" s="1" t="s">
        <v>0</v>
      </c>
      <c r="I14592" s="2">
        <v>0</v>
      </c>
      <c r="J14592" s="1">
        <v>45945.294050925928</v>
      </c>
    </row>
    <row r="14593" spans="1:10" x14ac:dyDescent="0.2">
      <c r="A14593" s="4" t="s">
        <v>1</v>
      </c>
      <c r="B14593" s="3" t="str">
        <f>HYPERLINK("https://otsuka-europe-crm.veevavault.com/ui/#object/approved_document__v/V5OZ025E82TN2QL", "LUP - Invitación simposio SEN 2025 - nefro")</f>
        <v>LUP - Invitación simposio SEN 2025 - nefro</v>
      </c>
      <c r="C14593" s="3" t="str">
        <f>HYPERLINK("https://otsuka-europe-crm.veevavault.com/ui/#object/sent_email__v/VBLZ025E82HKHOI", "SE-000287475")</f>
        <v>SE-000287475</v>
      </c>
      <c r="D14593" s="1">
        <v>45945.31045138889</v>
      </c>
      <c r="E14593" s="2">
        <v>1</v>
      </c>
      <c r="F14593" s="2">
        <v>1</v>
      </c>
      <c r="G14593" s="2">
        <v>1</v>
      </c>
      <c r="H14593" s="1">
        <v>45945.31045138889</v>
      </c>
      <c r="I14593" s="2">
        <v>1</v>
      </c>
      <c r="J14593" s="1">
        <v>45945.294108796297</v>
      </c>
    </row>
    <row r="14594" spans="1:10" x14ac:dyDescent="0.2">
      <c r="A14594" s="4" t="s">
        <v>1</v>
      </c>
      <c r="B14594" s="3" t="str">
        <f>HYPERLINK("https://otsuka-europe-crm.veevavault.com/ui/#object/approved_document__v/V5OZ025E82TN2QL", "LUP - Invitación simposio SEN 2025 - nefro")</f>
        <v>LUP - Invitación simposio SEN 2025 - nefro</v>
      </c>
      <c r="C14594" s="3" t="str">
        <f>HYPERLINK("https://otsuka-europe-crm.veevavault.com/ui/#object/sent_email__v/VBLZ025E82HKHOJ", "SE-000287476")</f>
        <v>SE-000287476</v>
      </c>
      <c r="D14594" s="1" t="s">
        <v>0</v>
      </c>
      <c r="E14594" s="2">
        <v>0</v>
      </c>
      <c r="F14594" s="2">
        <v>0</v>
      </c>
      <c r="G14594" s="2">
        <v>0</v>
      </c>
      <c r="H14594" s="1" t="s">
        <v>0</v>
      </c>
      <c r="I14594" s="2">
        <v>0</v>
      </c>
      <c r="J14594" s="1">
        <v>45945.294085648151</v>
      </c>
    </row>
    <row r="14595" spans="1:10" x14ac:dyDescent="0.2">
      <c r="A14595" s="4" t="s">
        <v>1</v>
      </c>
      <c r="B14595" s="3" t="str">
        <f>HYPERLINK("https://otsuka-europe-crm.veevavault.com/ui/#object/approved_document__v/V5OZ025E82TN2QL", "LUP - Invitación simposio SEN 2025 - nefro")</f>
        <v>LUP - Invitación simposio SEN 2025 - nefro</v>
      </c>
      <c r="C14595" s="3" t="str">
        <f>HYPERLINK("https://otsuka-europe-crm.veevavault.com/ui/#object/sent_email__v/VBLZ025E82HKHOK", "SE-000287477")</f>
        <v>SE-000287477</v>
      </c>
      <c r="D14595" s="1" t="s">
        <v>0</v>
      </c>
      <c r="E14595" s="2">
        <v>0</v>
      </c>
      <c r="F14595" s="2">
        <v>0</v>
      </c>
      <c r="G14595" s="2">
        <v>0</v>
      </c>
      <c r="H14595" s="1" t="s">
        <v>0</v>
      </c>
      <c r="I14595" s="2">
        <v>0</v>
      </c>
      <c r="J14595" s="1">
        <v>45945.294108796297</v>
      </c>
    </row>
    <row r="14596" spans="1:10" x14ac:dyDescent="0.2">
      <c r="A14596" s="4" t="s">
        <v>1</v>
      </c>
      <c r="B14596" s="3" t="str">
        <f>HYPERLINK("https://otsuka-europe-crm.veevavault.com/ui/#object/approved_document__v/V5OZ025E82TN2QL", "LUP - Invitación simposio SEN 2025 - nefro")</f>
        <v>LUP - Invitación simposio SEN 2025 - nefro</v>
      </c>
      <c r="C14596" s="3" t="str">
        <f>HYPERLINK("https://otsuka-europe-crm.veevavault.com/ui/#object/sent_email__v/VBLZ025E82HKHOL", "SE-000287478")</f>
        <v>SE-000287478</v>
      </c>
      <c r="D14596" s="1" t="s">
        <v>0</v>
      </c>
      <c r="E14596" s="2">
        <v>0</v>
      </c>
      <c r="F14596" s="2">
        <v>0</v>
      </c>
      <c r="G14596" s="2">
        <v>0</v>
      </c>
      <c r="H14596" s="1" t="s">
        <v>0</v>
      </c>
      <c r="I14596" s="2">
        <v>0</v>
      </c>
      <c r="J14596" s="1">
        <v>45945.294074074074</v>
      </c>
    </row>
    <row r="14597" spans="1:10" x14ac:dyDescent="0.2">
      <c r="A14597" s="4" t="s">
        <v>1</v>
      </c>
      <c r="B14597" s="3" t="str">
        <f>HYPERLINK("https://otsuka-europe-crm.veevavault.com/ui/#object/approved_document__v/V5OZ025E82TN2QL", "LUP - Invitación simposio SEN 2025 - nefro")</f>
        <v>LUP - Invitación simposio SEN 2025 - nefro</v>
      </c>
      <c r="C14597" s="3" t="str">
        <f>HYPERLINK("https://otsuka-europe-crm.veevavault.com/ui/#object/sent_email__v/VBLZ025E82HKHOM", "SE-000287479")</f>
        <v>SE-000287479</v>
      </c>
      <c r="D14597" s="1">
        <v>45947.716157407405</v>
      </c>
      <c r="E14597" s="2">
        <v>1</v>
      </c>
      <c r="F14597" s="2">
        <v>2</v>
      </c>
      <c r="G14597" s="2">
        <v>0</v>
      </c>
      <c r="H14597" s="1" t="s">
        <v>0</v>
      </c>
      <c r="I14597" s="2">
        <v>0</v>
      </c>
      <c r="J14597" s="1">
        <v>45945.294062499997</v>
      </c>
    </row>
    <row r="14598" spans="1:10" x14ac:dyDescent="0.2">
      <c r="A14598" s="4" t="s">
        <v>1</v>
      </c>
      <c r="B14598" s="3" t="str">
        <f>HYPERLINK("https://otsuka-europe-crm.veevavault.com/ui/#object/approved_document__v/V5OZ025E82TN2QL", "LUP - Invitación simposio SEN 2025 - nefro")</f>
        <v>LUP - Invitación simposio SEN 2025 - nefro</v>
      </c>
      <c r="C14598" s="3" t="str">
        <f>HYPERLINK("https://otsuka-europe-crm.veevavault.com/ui/#object/sent_email__v/VBLZ025E82HKHON", "SE-000287480")</f>
        <v>SE-000287480</v>
      </c>
      <c r="D14598" s="1" t="s">
        <v>0</v>
      </c>
      <c r="E14598" s="2">
        <v>0</v>
      </c>
      <c r="F14598" s="2">
        <v>0</v>
      </c>
      <c r="G14598" s="2">
        <v>0</v>
      </c>
      <c r="H14598" s="1" t="s">
        <v>0</v>
      </c>
      <c r="I14598" s="2">
        <v>0</v>
      </c>
      <c r="J14598" s="1">
        <v>45945.294074074074</v>
      </c>
    </row>
    <row r="14599" spans="1:10" x14ac:dyDescent="0.2">
      <c r="A14599" s="4" t="s">
        <v>1</v>
      </c>
      <c r="B14599" s="3" t="str">
        <f>HYPERLINK("https://otsuka-europe-crm.veevavault.com/ui/#object/approved_document__v/V5OZ025E82TN2QL", "LUP - Invitación simposio SEN 2025 - nefro")</f>
        <v>LUP - Invitación simposio SEN 2025 - nefro</v>
      </c>
      <c r="C14599" s="3" t="str">
        <f>HYPERLINK("https://otsuka-europe-crm.veevavault.com/ui/#object/sent_email__v/VBLZ025E82HKHOO", "SE-000287481")</f>
        <v>SE-000287481</v>
      </c>
      <c r="D14599" s="1">
        <v>45945.29446759259</v>
      </c>
      <c r="E14599" s="2">
        <v>1</v>
      </c>
      <c r="F14599" s="2">
        <v>1</v>
      </c>
      <c r="G14599" s="2">
        <v>1</v>
      </c>
      <c r="H14599" s="1">
        <v>45945.294479166667</v>
      </c>
      <c r="I14599" s="2">
        <v>3</v>
      </c>
      <c r="J14599" s="1">
        <v>45945.294074074074</v>
      </c>
    </row>
    <row r="14600" spans="1:10" x14ac:dyDescent="0.2">
      <c r="A14600" s="4" t="s">
        <v>1</v>
      </c>
      <c r="B14600" s="3" t="str">
        <f>HYPERLINK("https://otsuka-europe-crm.veevavault.com/ui/#object/approved_document__v/V5OZ025E82TN2QL", "LUP - Invitación simposio SEN 2025 - nefro")</f>
        <v>LUP - Invitación simposio SEN 2025 - nefro</v>
      </c>
      <c r="C14600" s="3" t="str">
        <f>HYPERLINK("https://otsuka-europe-crm.veevavault.com/ui/#object/sent_email__v/VBLZ025E82HKHOP", "SE-000287482")</f>
        <v>SE-000287482</v>
      </c>
      <c r="D14600" s="1" t="s">
        <v>0</v>
      </c>
      <c r="E14600" s="2">
        <v>0</v>
      </c>
      <c r="F14600" s="2">
        <v>0</v>
      </c>
      <c r="G14600" s="2">
        <v>0</v>
      </c>
      <c r="H14600" s="1" t="s">
        <v>0</v>
      </c>
      <c r="I14600" s="2">
        <v>0</v>
      </c>
      <c r="J14600" s="1">
        <v>45945.294050925928</v>
      </c>
    </row>
    <row r="14601" spans="1:10" x14ac:dyDescent="0.2">
      <c r="A14601" s="4" t="s">
        <v>1</v>
      </c>
      <c r="B14601" s="3" t="str">
        <f>HYPERLINK("https://otsuka-europe-crm.veevavault.com/ui/#object/approved_document__v/V5OZ025E82TN2QL", "LUP - Invitación simposio SEN 2025 - nefro")</f>
        <v>LUP - Invitación simposio SEN 2025 - nefro</v>
      </c>
      <c r="C14601" s="3" t="str">
        <f>HYPERLINK("https://otsuka-europe-crm.veevavault.com/ui/#object/sent_email__v/VBLZ025E82HKHOQ", "SE-000287483")</f>
        <v>SE-000287483</v>
      </c>
      <c r="D14601" s="1" t="s">
        <v>0</v>
      </c>
      <c r="E14601" s="2">
        <v>0</v>
      </c>
      <c r="F14601" s="2">
        <v>0</v>
      </c>
      <c r="G14601" s="2">
        <v>0</v>
      </c>
      <c r="H14601" s="1" t="s">
        <v>0</v>
      </c>
      <c r="I14601" s="2">
        <v>0</v>
      </c>
      <c r="J14601" s="1">
        <v>45945.294085648151</v>
      </c>
    </row>
    <row r="14602" spans="1:10" x14ac:dyDescent="0.2">
      <c r="A14602" s="4" t="s">
        <v>1</v>
      </c>
      <c r="B14602" s="3" t="str">
        <f>HYPERLINK("https://otsuka-europe-crm.veevavault.com/ui/#object/approved_document__v/V5OZ025E82TN2QL", "LUP - Invitación simposio SEN 2025 - nefro")</f>
        <v>LUP - Invitación simposio SEN 2025 - nefro</v>
      </c>
      <c r="C14602" s="3" t="str">
        <f>HYPERLINK("https://otsuka-europe-crm.veevavault.com/ui/#object/sent_email__v/VBLZ025E82HKHOR", "SE-000287484")</f>
        <v>SE-000287484</v>
      </c>
      <c r="D14602" s="1">
        <v>45945.547337962962</v>
      </c>
      <c r="E14602" s="2">
        <v>1</v>
      </c>
      <c r="F14602" s="2">
        <v>1</v>
      </c>
      <c r="G14602" s="2">
        <v>0</v>
      </c>
      <c r="H14602" s="1" t="s">
        <v>0</v>
      </c>
      <c r="I14602" s="2">
        <v>0</v>
      </c>
      <c r="J14602" s="1">
        <v>45945.294085648151</v>
      </c>
    </row>
    <row r="14603" spans="1:10" x14ac:dyDescent="0.2">
      <c r="A14603" s="4" t="s">
        <v>1</v>
      </c>
      <c r="B14603" s="3" t="str">
        <f>HYPERLINK("https://otsuka-europe-crm.veevavault.com/ui/#object/approved_document__v/V5OZ025E82TN2QL", "LUP - Invitación simposio SEN 2025 - nefro")</f>
        <v>LUP - Invitación simposio SEN 2025 - nefro</v>
      </c>
      <c r="C14603" s="3" t="str">
        <f>HYPERLINK("https://otsuka-europe-crm.veevavault.com/ui/#object/sent_email__v/VBLZ025E82HKHOS", "SE-000287485")</f>
        <v>SE-000287485</v>
      </c>
      <c r="D14603" s="1">
        <v>45945.785821759258</v>
      </c>
      <c r="E14603" s="2">
        <v>1</v>
      </c>
      <c r="F14603" s="2">
        <v>1</v>
      </c>
      <c r="G14603" s="2">
        <v>0</v>
      </c>
      <c r="H14603" s="1" t="s">
        <v>0</v>
      </c>
      <c r="I14603" s="2">
        <v>0</v>
      </c>
      <c r="J14603" s="1">
        <v>45945.294062499997</v>
      </c>
    </row>
    <row r="14604" spans="1:10" x14ac:dyDescent="0.2">
      <c r="A14604" s="4" t="s">
        <v>1</v>
      </c>
      <c r="B14604" s="3" t="str">
        <f>HYPERLINK("https://otsuka-europe-crm.veevavault.com/ui/#object/approved_document__v/V5OZ025E82TN2QL", "LUP - Invitación simposio SEN 2025 - nefro")</f>
        <v>LUP - Invitación simposio SEN 2025 - nefro</v>
      </c>
      <c r="C14604" s="3" t="str">
        <f>HYPERLINK("https://otsuka-europe-crm.veevavault.com/ui/#object/sent_email__v/VBLZ025E82HKHOT", "SE-000287486")</f>
        <v>SE-000287486</v>
      </c>
      <c r="D14604" s="1" t="s">
        <v>0</v>
      </c>
      <c r="E14604" s="2">
        <v>0</v>
      </c>
      <c r="F14604" s="2">
        <v>0</v>
      </c>
      <c r="G14604" s="2">
        <v>0</v>
      </c>
      <c r="H14604" s="1" t="s">
        <v>0</v>
      </c>
      <c r="I14604" s="2">
        <v>0</v>
      </c>
      <c r="J14604" s="1">
        <v>45945.294074074074</v>
      </c>
    </row>
    <row r="14605" spans="1:10" x14ac:dyDescent="0.2">
      <c r="A14605" s="4" t="s">
        <v>1</v>
      </c>
      <c r="B14605" s="3" t="str">
        <f>HYPERLINK("https://otsuka-europe-crm.veevavault.com/ui/#object/approved_document__v/V5OZ025E82TN2QL", "LUP - Invitación simposio SEN 2025 - nefro")</f>
        <v>LUP - Invitación simposio SEN 2025 - nefro</v>
      </c>
      <c r="C14605" s="3" t="str">
        <f>HYPERLINK("https://otsuka-europe-crm.veevavault.com/ui/#object/sent_email__v/VBLZ025E82HKHOU", "SE-000287487")</f>
        <v>SE-000287487</v>
      </c>
      <c r="D14605" s="1" t="s">
        <v>0</v>
      </c>
      <c r="E14605" s="2">
        <v>0</v>
      </c>
      <c r="F14605" s="2">
        <v>0</v>
      </c>
      <c r="G14605" s="2">
        <v>0</v>
      </c>
      <c r="H14605" s="1" t="s">
        <v>0</v>
      </c>
      <c r="I14605" s="2">
        <v>0</v>
      </c>
      <c r="J14605" s="1">
        <v>45945.294074074074</v>
      </c>
    </row>
    <row r="14606" spans="1:10" x14ac:dyDescent="0.2">
      <c r="A14606" s="4" t="s">
        <v>1</v>
      </c>
      <c r="B14606" s="3" t="str">
        <f>HYPERLINK("https://otsuka-europe-crm.veevavault.com/ui/#object/approved_document__v/V5OZ025E82TN2QL", "LUP - Invitación simposio SEN 2025 - nefro")</f>
        <v>LUP - Invitación simposio SEN 2025 - nefro</v>
      </c>
      <c r="C14606" s="3" t="str">
        <f>HYPERLINK("https://otsuka-europe-crm.veevavault.com/ui/#object/sent_email__v/VBLZ025E82HKHOV", "SE-000287488")</f>
        <v>SE-000287488</v>
      </c>
      <c r="D14606" s="1">
        <v>45945.323391203703</v>
      </c>
      <c r="E14606" s="2">
        <v>1</v>
      </c>
      <c r="F14606" s="2">
        <v>1</v>
      </c>
      <c r="G14606" s="2">
        <v>0</v>
      </c>
      <c r="H14606" s="1" t="s">
        <v>0</v>
      </c>
      <c r="I14606" s="2">
        <v>0</v>
      </c>
      <c r="J14606" s="1">
        <v>45945.294085648151</v>
      </c>
    </row>
    <row r="14607" spans="1:10" x14ac:dyDescent="0.2">
      <c r="A14607" s="4" t="s">
        <v>1</v>
      </c>
      <c r="B14607" s="3" t="str">
        <f>HYPERLINK("https://otsuka-europe-crm.veevavault.com/ui/#object/approved_document__v/V5OZ025E82TN2QL", "LUP - Invitación simposio SEN 2025 - nefro")</f>
        <v>LUP - Invitación simposio SEN 2025 - nefro</v>
      </c>
      <c r="C14607" s="3" t="str">
        <f>HYPERLINK("https://otsuka-europe-crm.veevavault.com/ui/#object/sent_email__v/VBLZ025E82HKHOW", "SE-000287489")</f>
        <v>SE-000287489</v>
      </c>
      <c r="D14607" s="1">
        <v>45945.297465277778</v>
      </c>
      <c r="E14607" s="2">
        <v>1</v>
      </c>
      <c r="F14607" s="2">
        <v>1</v>
      </c>
      <c r="G14607" s="2">
        <v>0</v>
      </c>
      <c r="H14607" s="1" t="s">
        <v>0</v>
      </c>
      <c r="I14607" s="2">
        <v>0</v>
      </c>
      <c r="J14607" s="1">
        <v>45945.294108796297</v>
      </c>
    </row>
    <row r="14608" spans="1:10" x14ac:dyDescent="0.2">
      <c r="A14608" s="4" t="s">
        <v>1</v>
      </c>
      <c r="B14608" s="3" t="str">
        <f>HYPERLINK("https://otsuka-europe-crm.veevavault.com/ui/#object/approved_document__v/V5OZ025E82TN2QL", "LUP - Invitación simposio SEN 2025 - nefro")</f>
        <v>LUP - Invitación simposio SEN 2025 - nefro</v>
      </c>
      <c r="C14608" s="3" t="str">
        <f>HYPERLINK("https://otsuka-europe-crm.veevavault.com/ui/#object/sent_email__v/VBLZ025E82HKHOX", "SE-000287490")</f>
        <v>SE-000287490</v>
      </c>
      <c r="D14608" s="1">
        <v>45945.552685185183</v>
      </c>
      <c r="E14608" s="2">
        <v>1</v>
      </c>
      <c r="F14608" s="2">
        <v>2</v>
      </c>
      <c r="G14608" s="2">
        <v>0</v>
      </c>
      <c r="H14608" s="1" t="s">
        <v>0</v>
      </c>
      <c r="I14608" s="2">
        <v>0</v>
      </c>
      <c r="J14608" s="1">
        <v>45945.294062499997</v>
      </c>
    </row>
    <row r="14609" spans="1:10" x14ac:dyDescent="0.2">
      <c r="A14609" s="4" t="s">
        <v>1</v>
      </c>
      <c r="B14609" s="3" t="str">
        <f>HYPERLINK("https://otsuka-europe-crm.veevavault.com/ui/#object/approved_document__v/V5OZ025E82TN2QL", "LUP - Invitación simposio SEN 2025 - nefro")</f>
        <v>LUP - Invitación simposio SEN 2025 - nefro</v>
      </c>
      <c r="C14609" s="3" t="str">
        <f>HYPERLINK("https://otsuka-europe-crm.veevavault.com/ui/#object/sent_email__v/VBLZ025E82HKHOY", "SE-000287491")</f>
        <v>SE-000287491</v>
      </c>
      <c r="D14609" s="1" t="s">
        <v>0</v>
      </c>
      <c r="E14609" s="2">
        <v>0</v>
      </c>
      <c r="F14609" s="2">
        <v>0</v>
      </c>
      <c r="G14609" s="2">
        <v>0</v>
      </c>
      <c r="H14609" s="1" t="s">
        <v>0</v>
      </c>
      <c r="I14609" s="2">
        <v>0</v>
      </c>
      <c r="J14609" s="1">
        <v>45945.294108796297</v>
      </c>
    </row>
    <row r="14610" spans="1:10" x14ac:dyDescent="0.2">
      <c r="A14610" s="4" t="s">
        <v>1</v>
      </c>
      <c r="B14610" s="3" t="str">
        <f>HYPERLINK("https://otsuka-europe-crm.veevavault.com/ui/#object/approved_document__v/V5OZ025E82TN2QL", "LUP - Invitación simposio SEN 2025 - nefro")</f>
        <v>LUP - Invitación simposio SEN 2025 - nefro</v>
      </c>
      <c r="C14610" s="3" t="str">
        <f>HYPERLINK("https://otsuka-europe-crm.veevavault.com/ui/#object/sent_email__v/VBLZ025E82HKHOZ", "SE-000287492")</f>
        <v>SE-000287492</v>
      </c>
      <c r="D14610" s="1">
        <v>45945.296111111114</v>
      </c>
      <c r="E14610" s="2">
        <v>1</v>
      </c>
      <c r="F14610" s="2">
        <v>2</v>
      </c>
      <c r="G14610" s="2">
        <v>0</v>
      </c>
      <c r="H14610" s="1" t="s">
        <v>0</v>
      </c>
      <c r="I14610" s="2">
        <v>0</v>
      </c>
      <c r="J14610" s="1">
        <v>45945.294062499997</v>
      </c>
    </row>
    <row r="14611" spans="1:10" x14ac:dyDescent="0.2">
      <c r="A14611" s="4" t="s">
        <v>1</v>
      </c>
      <c r="B14611" s="3" t="str">
        <f>HYPERLINK("https://otsuka-europe-crm.veevavault.com/ui/#object/approved_document__v/V5OZ025E82TN2QL", "LUP - Invitación simposio SEN 2025 - nefro")</f>
        <v>LUP - Invitación simposio SEN 2025 - nefro</v>
      </c>
      <c r="C14611" s="3" t="str">
        <f>HYPERLINK("https://otsuka-europe-crm.veevavault.com/ui/#object/sent_email__v/VBLZ025E82HKHP0", "SE-000287493")</f>
        <v>SE-000287493</v>
      </c>
      <c r="D14611" s="1">
        <v>45946.875162037039</v>
      </c>
      <c r="E14611" s="2">
        <v>1</v>
      </c>
      <c r="F14611" s="2">
        <v>4</v>
      </c>
      <c r="G14611" s="2">
        <v>0</v>
      </c>
      <c r="H14611" s="1" t="s">
        <v>0</v>
      </c>
      <c r="I14611" s="2">
        <v>0</v>
      </c>
      <c r="J14611" s="1">
        <v>45945.294085648151</v>
      </c>
    </row>
    <row r="14612" spans="1:10" x14ac:dyDescent="0.2">
      <c r="A14612" s="4" t="s">
        <v>1</v>
      </c>
      <c r="B14612" s="3" t="str">
        <f>HYPERLINK("https://otsuka-europe-crm.veevavault.com/ui/#object/approved_document__v/V5OZ025E82TN2QL", "LUP - Invitación simposio SEN 2025 - nefro")</f>
        <v>LUP - Invitación simposio SEN 2025 - nefro</v>
      </c>
      <c r="C14612" s="3" t="str">
        <f>HYPERLINK("https://otsuka-europe-crm.veevavault.com/ui/#object/sent_email__v/VBLZ025E82HKHP1", "SE-000287494")</f>
        <v>SE-000287494</v>
      </c>
      <c r="D14612" s="1">
        <v>45945.302256944444</v>
      </c>
      <c r="E14612" s="2">
        <v>1</v>
      </c>
      <c r="F14612" s="2">
        <v>2</v>
      </c>
      <c r="G14612" s="2">
        <v>0</v>
      </c>
      <c r="H14612" s="1" t="s">
        <v>0</v>
      </c>
      <c r="I14612" s="2">
        <v>0</v>
      </c>
      <c r="J14612" s="1">
        <v>45945.294108796297</v>
      </c>
    </row>
    <row r="14613" spans="1:10" x14ac:dyDescent="0.2">
      <c r="A14613" s="4" t="s">
        <v>1</v>
      </c>
      <c r="B14613" s="3" t="str">
        <f>HYPERLINK("https://otsuka-europe-crm.veevavault.com/ui/#object/approved_document__v/V5OZ025E82TN2QL", "LUP - Invitación simposio SEN 2025 - nefro")</f>
        <v>LUP - Invitación simposio SEN 2025 - nefro</v>
      </c>
      <c r="C14613" s="3" t="str">
        <f>HYPERLINK("https://otsuka-europe-crm.veevavault.com/ui/#object/sent_email__v/VBLZ025E82HKHP2", "SE-000287495")</f>
        <v>SE-000287495</v>
      </c>
      <c r="D14613" s="1">
        <v>45945.505312499998</v>
      </c>
      <c r="E14613" s="2">
        <v>1</v>
      </c>
      <c r="F14613" s="2">
        <v>1</v>
      </c>
      <c r="G14613" s="2">
        <v>1</v>
      </c>
      <c r="H14613" s="1">
        <v>45945.505312499998</v>
      </c>
      <c r="I14613" s="2">
        <v>1</v>
      </c>
      <c r="J14613" s="1">
        <v>45945.294074074074</v>
      </c>
    </row>
    <row r="14614" spans="1:10" x14ac:dyDescent="0.2">
      <c r="A14614" s="4" t="s">
        <v>1</v>
      </c>
      <c r="B14614" s="3" t="str">
        <f>HYPERLINK("https://otsuka-europe-crm.veevavault.com/ui/#object/approved_document__v/V5OZ025E82TN2QL", "LUP - Invitación simposio SEN 2025 - nefro")</f>
        <v>LUP - Invitación simposio SEN 2025 - nefro</v>
      </c>
      <c r="C14614" s="3" t="str">
        <f>HYPERLINK("https://otsuka-europe-crm.veevavault.com/ui/#object/sent_email__v/VBLZ025E82HKHP3", "SE-000287496")</f>
        <v>SE-000287496</v>
      </c>
      <c r="D14614" s="1">
        <v>45945.67015046296</v>
      </c>
      <c r="E14614" s="2">
        <v>1</v>
      </c>
      <c r="F14614" s="2">
        <v>2</v>
      </c>
      <c r="G14614" s="2">
        <v>0</v>
      </c>
      <c r="H14614" s="1" t="s">
        <v>0</v>
      </c>
      <c r="I14614" s="2">
        <v>0</v>
      </c>
      <c r="J14614" s="1">
        <v>45945.294120370374</v>
      </c>
    </row>
    <row r="14615" spans="1:10" x14ac:dyDescent="0.2">
      <c r="A14615" s="4" t="s">
        <v>1</v>
      </c>
      <c r="B14615" s="3" t="str">
        <f>HYPERLINK("https://otsuka-europe-crm.veevavault.com/ui/#object/approved_document__v/V5OZ025E82TN2QL", "LUP - Invitación simposio SEN 2025 - nefro")</f>
        <v>LUP - Invitación simposio SEN 2025 - nefro</v>
      </c>
      <c r="C14615" s="3" t="str">
        <f>HYPERLINK("https://otsuka-europe-crm.veevavault.com/ui/#object/sent_email__v/VBLZ025E82HKHP4", "SE-000287497")</f>
        <v>SE-000287497</v>
      </c>
      <c r="D14615" s="1">
        <v>45949.26353009259</v>
      </c>
      <c r="E14615" s="2">
        <v>1</v>
      </c>
      <c r="F14615" s="2">
        <v>2</v>
      </c>
      <c r="G14615" s="2">
        <v>0</v>
      </c>
      <c r="H14615" s="1" t="s">
        <v>0</v>
      </c>
      <c r="I14615" s="2">
        <v>0</v>
      </c>
      <c r="J14615" s="1">
        <v>45945.29409722222</v>
      </c>
    </row>
    <row r="14616" spans="1:10" x14ac:dyDescent="0.2">
      <c r="A14616" s="4" t="s">
        <v>1</v>
      </c>
      <c r="B14616" s="3" t="str">
        <f>HYPERLINK("https://otsuka-europe-crm.veevavault.com/ui/#object/approved_document__v/V5OZ025E82TN2QL", "LUP - Invitación simposio SEN 2025 - nefro")</f>
        <v>LUP - Invitación simposio SEN 2025 - nefro</v>
      </c>
      <c r="C14616" s="3" t="str">
        <f>HYPERLINK("https://otsuka-europe-crm.veevavault.com/ui/#object/sent_email__v/VBLZ025E82HKHP5", "SE-000287498")</f>
        <v>SE-000287498</v>
      </c>
      <c r="D14616" s="1" t="s">
        <v>0</v>
      </c>
      <c r="E14616" s="2">
        <v>0</v>
      </c>
      <c r="F14616" s="2">
        <v>0</v>
      </c>
      <c r="G14616" s="2">
        <v>0</v>
      </c>
      <c r="H14616" s="1" t="s">
        <v>0</v>
      </c>
      <c r="I14616" s="2">
        <v>0</v>
      </c>
      <c r="J14616" s="1">
        <v>45945.294062499997</v>
      </c>
    </row>
    <row r="14617" spans="1:10" x14ac:dyDescent="0.2">
      <c r="A14617" s="4" t="s">
        <v>1</v>
      </c>
      <c r="B14617" s="3" t="str">
        <f>HYPERLINK("https://otsuka-europe-crm.veevavault.com/ui/#object/approved_document__v/V5OZ025E82TN2QL", "LUP - Invitación simposio SEN 2025 - nefro")</f>
        <v>LUP - Invitación simposio SEN 2025 - nefro</v>
      </c>
      <c r="C14617" s="3" t="str">
        <f>HYPERLINK("https://otsuka-europe-crm.veevavault.com/ui/#object/sent_email__v/VBLZ025E82HKHP6", "SE-000287499")</f>
        <v>SE-000287499</v>
      </c>
      <c r="D14617" s="1">
        <v>45945.421388888892</v>
      </c>
      <c r="E14617" s="2">
        <v>1</v>
      </c>
      <c r="F14617" s="2">
        <v>2</v>
      </c>
      <c r="G14617" s="2">
        <v>0</v>
      </c>
      <c r="H14617" s="1" t="s">
        <v>0</v>
      </c>
      <c r="I14617" s="2">
        <v>0</v>
      </c>
      <c r="J14617" s="1">
        <v>45945.294074074074</v>
      </c>
    </row>
    <row r="14618" spans="1:10" x14ac:dyDescent="0.2">
      <c r="A14618" s="4" t="s">
        <v>1</v>
      </c>
      <c r="B14618" s="3" t="str">
        <f>HYPERLINK("https://otsuka-europe-crm.veevavault.com/ui/#object/approved_document__v/V5OZ025E82TN2QL", "LUP - Invitación simposio SEN 2025 - nefro")</f>
        <v>LUP - Invitación simposio SEN 2025 - nefro</v>
      </c>
      <c r="C14618" s="3" t="str">
        <f>HYPERLINK("https://otsuka-europe-crm.veevavault.com/ui/#object/sent_email__v/VBLZ025E82HKHP7", "SE-000287500")</f>
        <v>SE-000287500</v>
      </c>
      <c r="D14618" s="1">
        <v>45949.710381944446</v>
      </c>
      <c r="E14618" s="2">
        <v>1</v>
      </c>
      <c r="F14618" s="2">
        <v>1</v>
      </c>
      <c r="G14618" s="2">
        <v>0</v>
      </c>
      <c r="H14618" s="1" t="s">
        <v>0</v>
      </c>
      <c r="I14618" s="2">
        <v>0</v>
      </c>
      <c r="J14618" s="1">
        <v>45945.294108796297</v>
      </c>
    </row>
    <row r="14619" spans="1:10" x14ac:dyDescent="0.2">
      <c r="A14619" s="4" t="s">
        <v>1</v>
      </c>
      <c r="B14619" s="3" t="str">
        <f>HYPERLINK("https://otsuka-europe-crm.veevavault.com/ui/#object/approved_document__v/V5OZ025E82TN2QL", "LUP - Invitación simposio SEN 2025 - nefro")</f>
        <v>LUP - Invitación simposio SEN 2025 - nefro</v>
      </c>
      <c r="C14619" s="3" t="str">
        <f>HYPERLINK("https://otsuka-europe-crm.veevavault.com/ui/#object/sent_email__v/VBLZ025E82HKHP8", "SE-000287501")</f>
        <v>SE-000287501</v>
      </c>
      <c r="D14619" s="1" t="s">
        <v>0</v>
      </c>
      <c r="E14619" s="2">
        <v>0</v>
      </c>
      <c r="F14619" s="2">
        <v>0</v>
      </c>
      <c r="G14619" s="2">
        <v>0</v>
      </c>
      <c r="H14619" s="1" t="s">
        <v>0</v>
      </c>
      <c r="I14619" s="2">
        <v>0</v>
      </c>
      <c r="J14619" s="1">
        <v>45945.294062499997</v>
      </c>
    </row>
    <row r="14620" spans="1:10" x14ac:dyDescent="0.2">
      <c r="A14620" s="4" t="s">
        <v>1</v>
      </c>
      <c r="B14620" s="3" t="str">
        <f>HYPERLINK("https://otsuka-europe-crm.veevavault.com/ui/#object/approved_document__v/V5OZ025E82TN2QL", "LUP - Invitación simposio SEN 2025 - nefro")</f>
        <v>LUP - Invitación simposio SEN 2025 - nefro</v>
      </c>
      <c r="C14620" s="3" t="str">
        <f>HYPERLINK("https://otsuka-europe-crm.veevavault.com/ui/#object/sent_email__v/VBLZ025E82HKHP9", "SE-000287502")</f>
        <v>SE-000287502</v>
      </c>
      <c r="D14620" s="1">
        <v>45945.334444444445</v>
      </c>
      <c r="E14620" s="2">
        <v>1</v>
      </c>
      <c r="F14620" s="2">
        <v>1</v>
      </c>
      <c r="G14620" s="2">
        <v>0</v>
      </c>
      <c r="H14620" s="1" t="s">
        <v>0</v>
      </c>
      <c r="I14620" s="2">
        <v>0</v>
      </c>
      <c r="J14620" s="1">
        <v>45945.294050925928</v>
      </c>
    </row>
    <row r="14621" spans="1:10" x14ac:dyDescent="0.2">
      <c r="A14621" s="4" t="s">
        <v>1</v>
      </c>
      <c r="B14621" s="3" t="str">
        <f>HYPERLINK("https://otsuka-europe-crm.veevavault.com/ui/#object/approved_document__v/V5OZ025E82TN2QL", "LUP - Invitación simposio SEN 2025 - nefro")</f>
        <v>LUP - Invitación simposio SEN 2025 - nefro</v>
      </c>
      <c r="C14621" s="3" t="str">
        <f>HYPERLINK("https://otsuka-europe-crm.veevavault.com/ui/#object/sent_email__v/VBLZ025E82HKI29", "SE-000287503")</f>
        <v>SE-000287503</v>
      </c>
      <c r="D14621" s="1">
        <v>45945.525868055556</v>
      </c>
      <c r="E14621" s="2">
        <v>1</v>
      </c>
      <c r="F14621" s="2">
        <v>2</v>
      </c>
      <c r="G14621" s="2">
        <v>0</v>
      </c>
      <c r="H14621" s="1" t="s">
        <v>0</v>
      </c>
      <c r="I14621" s="2">
        <v>0</v>
      </c>
      <c r="J14621" s="1">
        <v>45945.294050925928</v>
      </c>
    </row>
    <row r="14622" spans="1:10" x14ac:dyDescent="0.2">
      <c r="A14622" s="4" t="s">
        <v>1</v>
      </c>
      <c r="B14622" s="3" t="str">
        <f>HYPERLINK("https://otsuka-europe-crm.veevavault.com/ui/#object/approved_document__v/V5OZ025E82TN2QL", "LUP - Invitación simposio SEN 2025 - nefro")</f>
        <v>LUP - Invitación simposio SEN 2025 - nefro</v>
      </c>
      <c r="C14622" s="3" t="str">
        <f>HYPERLINK("https://otsuka-europe-crm.veevavault.com/ui/#object/sent_email__v/VBLZ025E82HKI2A", "SE-000287504")</f>
        <v>SE-000287504</v>
      </c>
      <c r="D14622" s="1" t="s">
        <v>0</v>
      </c>
      <c r="E14622" s="2">
        <v>0</v>
      </c>
      <c r="F14622" s="2">
        <v>0</v>
      </c>
      <c r="G14622" s="2">
        <v>0</v>
      </c>
      <c r="H14622" s="1" t="s">
        <v>0</v>
      </c>
      <c r="I14622" s="2">
        <v>0</v>
      </c>
      <c r="J14622" s="1">
        <v>45945.294074074074</v>
      </c>
    </row>
    <row r="14623" spans="1:10" x14ac:dyDescent="0.2">
      <c r="A14623" s="4" t="s">
        <v>1</v>
      </c>
      <c r="B14623" s="3" t="str">
        <f>HYPERLINK("https://otsuka-europe-crm.veevavault.com/ui/#object/approved_document__v/V5OZ025E82TN2QL", "LUP - Invitación simposio SEN 2025 - nefro")</f>
        <v>LUP - Invitación simposio SEN 2025 - nefro</v>
      </c>
      <c r="C14623" s="3" t="str">
        <f>HYPERLINK("https://otsuka-europe-crm.veevavault.com/ui/#object/sent_email__v/VBLZ025E82HKI2B", "SE-000287505")</f>
        <v>SE-000287505</v>
      </c>
      <c r="D14623" s="1">
        <v>45948.883819444447</v>
      </c>
      <c r="E14623" s="2">
        <v>1</v>
      </c>
      <c r="F14623" s="2">
        <v>2</v>
      </c>
      <c r="G14623" s="2">
        <v>0</v>
      </c>
      <c r="H14623" s="1" t="s">
        <v>0</v>
      </c>
      <c r="I14623" s="2">
        <v>0</v>
      </c>
      <c r="J14623" s="1">
        <v>45945.294108796297</v>
      </c>
    </row>
    <row r="14624" spans="1:10" x14ac:dyDescent="0.2">
      <c r="A14624" s="4" t="s">
        <v>1</v>
      </c>
      <c r="B14624" s="3" t="str">
        <f>HYPERLINK("https://otsuka-europe-crm.veevavault.com/ui/#object/approved_document__v/V5OZ025E82TN2QL", "LUP - Invitación simposio SEN 2025 - nefro")</f>
        <v>LUP - Invitación simposio SEN 2025 - nefro</v>
      </c>
      <c r="C14624" s="3" t="str">
        <f>HYPERLINK("https://otsuka-europe-crm.veevavault.com/ui/#object/sent_email__v/VBLZ025E82HKI2C", "SE-000287506")</f>
        <v>SE-000287506</v>
      </c>
      <c r="D14624" s="1" t="s">
        <v>0</v>
      </c>
      <c r="E14624" s="2">
        <v>0</v>
      </c>
      <c r="F14624" s="2">
        <v>0</v>
      </c>
      <c r="G14624" s="2">
        <v>0</v>
      </c>
      <c r="H14624" s="1" t="s">
        <v>0</v>
      </c>
      <c r="I14624" s="2">
        <v>0</v>
      </c>
      <c r="J14624" s="1">
        <v>45945.294062499997</v>
      </c>
    </row>
    <row r="14625" spans="1:10" x14ac:dyDescent="0.2">
      <c r="A14625" s="4" t="s">
        <v>1</v>
      </c>
      <c r="B14625" s="3" t="str">
        <f>HYPERLINK("https://otsuka-europe-crm.veevavault.com/ui/#object/approved_document__v/V5OZ025E82TN2QL", "LUP - Invitación simposio SEN 2025 - nefro")</f>
        <v>LUP - Invitación simposio SEN 2025 - nefro</v>
      </c>
      <c r="C14625" s="3" t="str">
        <f>HYPERLINK("https://otsuka-europe-crm.veevavault.com/ui/#object/sent_email__v/VBLZ025E82HKI2D", "SE-000287507")</f>
        <v>SE-000287507</v>
      </c>
      <c r="D14625" s="1" t="s">
        <v>0</v>
      </c>
      <c r="E14625" s="2">
        <v>0</v>
      </c>
      <c r="F14625" s="2">
        <v>0</v>
      </c>
      <c r="G14625" s="2">
        <v>0</v>
      </c>
      <c r="H14625" s="1" t="s">
        <v>0</v>
      </c>
      <c r="I14625" s="2">
        <v>0</v>
      </c>
      <c r="J14625" s="1">
        <v>45945.294085648151</v>
      </c>
    </row>
    <row r="14626" spans="1:10" x14ac:dyDescent="0.2">
      <c r="A14626" s="4" t="s">
        <v>1</v>
      </c>
      <c r="B14626" s="3" t="str">
        <f>HYPERLINK("https://otsuka-europe-crm.veevavault.com/ui/#object/approved_document__v/V5OZ025E82TN2QL", "LUP - Invitación simposio SEN 2025 - nefro")</f>
        <v>LUP - Invitación simposio SEN 2025 - nefro</v>
      </c>
      <c r="C14626" s="3" t="str">
        <f>HYPERLINK("https://otsuka-europe-crm.veevavault.com/ui/#object/sent_email__v/VBLZ025E82HKI2E", "SE-000287508")</f>
        <v>SE-000287508</v>
      </c>
      <c r="D14626" s="1" t="s">
        <v>0</v>
      </c>
      <c r="E14626" s="2">
        <v>0</v>
      </c>
      <c r="F14626" s="2">
        <v>0</v>
      </c>
      <c r="G14626" s="2">
        <v>0</v>
      </c>
      <c r="H14626" s="1" t="s">
        <v>0</v>
      </c>
      <c r="I14626" s="2">
        <v>0</v>
      </c>
      <c r="J14626" s="1">
        <v>45945.294085648151</v>
      </c>
    </row>
    <row r="14627" spans="1:10" x14ac:dyDescent="0.2">
      <c r="A14627" s="4" t="s">
        <v>1</v>
      </c>
      <c r="B14627" s="3" t="str">
        <f>HYPERLINK("https://otsuka-europe-crm.veevavault.com/ui/#object/approved_document__v/V5OZ025E82TN2QL", "LUP - Invitación simposio SEN 2025 - nefro")</f>
        <v>LUP - Invitación simposio SEN 2025 - nefro</v>
      </c>
      <c r="C14627" s="3" t="str">
        <f>HYPERLINK("https://otsuka-europe-crm.veevavault.com/ui/#object/sent_email__v/VBLZ025E82HKI2F", "SE-000287509")</f>
        <v>SE-000287509</v>
      </c>
      <c r="D14627" s="1" t="s">
        <v>0</v>
      </c>
      <c r="E14627" s="2">
        <v>0</v>
      </c>
      <c r="F14627" s="2">
        <v>0</v>
      </c>
      <c r="G14627" s="2">
        <v>0</v>
      </c>
      <c r="H14627" s="1" t="s">
        <v>0</v>
      </c>
      <c r="I14627" s="2">
        <v>0</v>
      </c>
      <c r="J14627" s="1">
        <v>45945.294050925928</v>
      </c>
    </row>
    <row r="14628" spans="1:10" x14ac:dyDescent="0.2">
      <c r="A14628" s="4" t="s">
        <v>1</v>
      </c>
      <c r="B14628" s="3" t="str">
        <f>HYPERLINK("https://otsuka-europe-crm.veevavault.com/ui/#object/approved_document__v/V5OZ025E82TN2QL", "LUP - Invitación simposio SEN 2025 - nefro")</f>
        <v>LUP - Invitación simposio SEN 2025 - nefro</v>
      </c>
      <c r="C14628" s="3" t="str">
        <f>HYPERLINK("https://otsuka-europe-crm.veevavault.com/ui/#object/sent_email__v/VBLZ025E82HKI2G", "SE-000287510")</f>
        <v>SE-000287510</v>
      </c>
      <c r="D14628" s="1" t="s">
        <v>0</v>
      </c>
      <c r="E14628" s="2">
        <v>0</v>
      </c>
      <c r="F14628" s="2">
        <v>0</v>
      </c>
      <c r="G14628" s="2">
        <v>0</v>
      </c>
      <c r="H14628" s="1" t="s">
        <v>0</v>
      </c>
      <c r="I14628" s="2">
        <v>0</v>
      </c>
      <c r="J14628" s="1">
        <v>45945.294074074074</v>
      </c>
    </row>
    <row r="14629" spans="1:10" x14ac:dyDescent="0.2">
      <c r="A14629" s="4" t="s">
        <v>1</v>
      </c>
      <c r="B14629" s="3" t="str">
        <f>HYPERLINK("https://otsuka-europe-crm.veevavault.com/ui/#object/approved_document__v/V5OZ025E82TN2QL", "LUP - Invitación simposio SEN 2025 - nefro")</f>
        <v>LUP - Invitación simposio SEN 2025 - nefro</v>
      </c>
      <c r="C14629" s="3" t="str">
        <f>HYPERLINK("https://otsuka-europe-crm.veevavault.com/ui/#object/sent_email__v/VBLZ025E82HKI2H", "SE-000287511")</f>
        <v>SE-000287511</v>
      </c>
      <c r="D14629" s="1">
        <v>45945.730069444442</v>
      </c>
      <c r="E14629" s="2">
        <v>1</v>
      </c>
      <c r="F14629" s="2">
        <v>1</v>
      </c>
      <c r="G14629" s="2">
        <v>0</v>
      </c>
      <c r="H14629" s="1" t="s">
        <v>0</v>
      </c>
      <c r="I14629" s="2">
        <v>0</v>
      </c>
      <c r="J14629" s="1">
        <v>45945.294120370374</v>
      </c>
    </row>
    <row r="14630" spans="1:10" x14ac:dyDescent="0.2">
      <c r="A14630" s="4" t="s">
        <v>1</v>
      </c>
      <c r="B14630" s="3" t="str">
        <f>HYPERLINK("https://otsuka-europe-crm.veevavault.com/ui/#object/approved_document__v/V5OZ025E82TN2QL", "LUP - Invitación simposio SEN 2025 - nefro")</f>
        <v>LUP - Invitación simposio SEN 2025 - nefro</v>
      </c>
      <c r="C14630" s="3" t="str">
        <f>HYPERLINK("https://otsuka-europe-crm.veevavault.com/ui/#object/sent_email__v/VBLZ025E82HKI2I", "SE-000287512")</f>
        <v>SE-000287512</v>
      </c>
      <c r="D14630" s="1">
        <v>45945.802407407406</v>
      </c>
      <c r="E14630" s="2">
        <v>1</v>
      </c>
      <c r="F14630" s="2">
        <v>4</v>
      </c>
      <c r="G14630" s="2">
        <v>0</v>
      </c>
      <c r="H14630" s="1" t="s">
        <v>0</v>
      </c>
      <c r="I14630" s="2">
        <v>0</v>
      </c>
      <c r="J14630" s="1">
        <v>45945.294074074074</v>
      </c>
    </row>
    <row r="14631" spans="1:10" x14ac:dyDescent="0.2">
      <c r="A14631" s="4" t="s">
        <v>1</v>
      </c>
      <c r="B14631" s="3" t="str">
        <f>HYPERLINK("https://otsuka-europe-crm.veevavault.com/ui/#object/approved_document__v/V5OZ025E82TN2QL", "LUP - Invitación simposio SEN 2025 - nefro")</f>
        <v>LUP - Invitación simposio SEN 2025 - nefro</v>
      </c>
      <c r="C14631" s="3" t="str">
        <f>HYPERLINK("https://otsuka-europe-crm.veevavault.com/ui/#object/sent_email__v/VBLZ025E82HKI2J", "SE-000287513")</f>
        <v>SE-000287513</v>
      </c>
      <c r="D14631" s="1">
        <v>45947.562905092593</v>
      </c>
      <c r="E14631" s="2">
        <v>1</v>
      </c>
      <c r="F14631" s="2">
        <v>1</v>
      </c>
      <c r="G14631" s="2">
        <v>1</v>
      </c>
      <c r="H14631" s="1">
        <v>45947.562905092593</v>
      </c>
      <c r="I14631" s="2">
        <v>1</v>
      </c>
      <c r="J14631" s="1">
        <v>45945.294062499997</v>
      </c>
    </row>
    <row r="14632" spans="1:10" x14ac:dyDescent="0.2">
      <c r="A14632" s="4" t="s">
        <v>1</v>
      </c>
      <c r="B14632" s="3" t="str">
        <f>HYPERLINK("https://otsuka-europe-crm.veevavault.com/ui/#object/approved_document__v/V5OZ025E82TN2QL", "LUP - Invitación simposio SEN 2025 - nefro")</f>
        <v>LUP - Invitación simposio SEN 2025 - nefro</v>
      </c>
      <c r="C14632" s="3" t="str">
        <f>HYPERLINK("https://otsuka-europe-crm.veevavault.com/ui/#object/sent_email__v/VBLZ025E82HKI2K", "SE-000287514")</f>
        <v>SE-000287514</v>
      </c>
      <c r="D14632" s="1">
        <v>45971.668252314812</v>
      </c>
      <c r="E14632" s="2">
        <v>1</v>
      </c>
      <c r="F14632" s="2">
        <v>2</v>
      </c>
      <c r="G14632" s="2">
        <v>0</v>
      </c>
      <c r="H14632" s="1" t="s">
        <v>0</v>
      </c>
      <c r="I14632" s="2">
        <v>0</v>
      </c>
      <c r="J14632" s="1">
        <v>45945.294074074074</v>
      </c>
    </row>
    <row r="14633" spans="1:10" x14ac:dyDescent="0.2">
      <c r="A14633" s="4" t="s">
        <v>1</v>
      </c>
      <c r="B14633" s="3" t="str">
        <f>HYPERLINK("https://otsuka-europe-crm.veevavault.com/ui/#object/approved_document__v/V5OZ025E82TN2QL", "LUP - Invitación simposio SEN 2025 - nefro")</f>
        <v>LUP - Invitación simposio SEN 2025 - nefro</v>
      </c>
      <c r="C14633" s="3" t="str">
        <f>HYPERLINK("https://otsuka-europe-crm.veevavault.com/ui/#object/sent_email__v/VBLZ025E82HKI2L", "SE-000287515")</f>
        <v>SE-000287515</v>
      </c>
      <c r="D14633" s="1">
        <v>45948.802743055552</v>
      </c>
      <c r="E14633" s="2">
        <v>1</v>
      </c>
      <c r="F14633" s="2">
        <v>5</v>
      </c>
      <c r="G14633" s="2">
        <v>0</v>
      </c>
      <c r="H14633" s="1" t="s">
        <v>0</v>
      </c>
      <c r="I14633" s="2">
        <v>0</v>
      </c>
      <c r="J14633" s="1">
        <v>45945.294074074074</v>
      </c>
    </row>
    <row r="14634" spans="1:10" x14ac:dyDescent="0.2">
      <c r="A14634" s="4" t="s">
        <v>1</v>
      </c>
      <c r="B14634" s="3" t="str">
        <f>HYPERLINK("https://otsuka-europe-crm.veevavault.com/ui/#object/approved_document__v/V5OZ025E82TN2QL", "LUP - Invitación simposio SEN 2025 - nefro")</f>
        <v>LUP - Invitación simposio SEN 2025 - nefro</v>
      </c>
      <c r="C14634" s="3" t="str">
        <f>HYPERLINK("https://otsuka-europe-crm.veevavault.com/ui/#object/sent_email__v/VBLZ025E82HKI2M", "SE-000287516")</f>
        <v>SE-000287516</v>
      </c>
      <c r="D14634" s="1">
        <v>46036.333935185183</v>
      </c>
      <c r="E14634" s="2">
        <v>1</v>
      </c>
      <c r="F14634" s="2">
        <v>6</v>
      </c>
      <c r="G14634" s="2">
        <v>0</v>
      </c>
      <c r="H14634" s="1" t="s">
        <v>0</v>
      </c>
      <c r="I14634" s="2">
        <v>0</v>
      </c>
      <c r="J14634" s="1">
        <v>45945.294062499997</v>
      </c>
    </row>
    <row r="14635" spans="1:10" x14ac:dyDescent="0.2">
      <c r="A14635" s="4" t="s">
        <v>1</v>
      </c>
      <c r="B14635" s="3" t="str">
        <f>HYPERLINK("https://otsuka-europe-crm.veevavault.com/ui/#object/approved_document__v/V5OZ025E82TN2QL", "LUP - Invitación simposio SEN 2025 - nefro")</f>
        <v>LUP - Invitación simposio SEN 2025 - nefro</v>
      </c>
      <c r="C14635" s="3" t="str">
        <f>HYPERLINK("https://otsuka-europe-crm.veevavault.com/ui/#object/sent_email__v/VBLZ025E82HKI2N", "SE-000287517")</f>
        <v>SE-000287517</v>
      </c>
      <c r="D14635" s="1">
        <v>45945.300659722219</v>
      </c>
      <c r="E14635" s="2">
        <v>1</v>
      </c>
      <c r="F14635" s="2">
        <v>1</v>
      </c>
      <c r="G14635" s="2">
        <v>0</v>
      </c>
      <c r="H14635" s="1" t="s">
        <v>0</v>
      </c>
      <c r="I14635" s="2">
        <v>0</v>
      </c>
      <c r="J14635" s="1">
        <v>45945.294062499997</v>
      </c>
    </row>
    <row r="14636" spans="1:10" x14ac:dyDescent="0.2">
      <c r="A14636" s="4" t="s">
        <v>1</v>
      </c>
      <c r="B14636" s="3" t="str">
        <f>HYPERLINK("https://otsuka-europe-crm.veevavault.com/ui/#object/approved_document__v/V5OZ025E82TN2QL", "LUP - Invitación simposio SEN 2025 - nefro")</f>
        <v>LUP - Invitación simposio SEN 2025 - nefro</v>
      </c>
      <c r="C14636" s="3" t="str">
        <f>HYPERLINK("https://otsuka-europe-crm.veevavault.com/ui/#object/sent_email__v/VBLZ025E82HKI2O", "SE-000287518")</f>
        <v>SE-000287518</v>
      </c>
      <c r="D14636" s="1" t="s">
        <v>0</v>
      </c>
      <c r="E14636" s="2">
        <v>0</v>
      </c>
      <c r="F14636" s="2">
        <v>0</v>
      </c>
      <c r="G14636" s="2">
        <v>0</v>
      </c>
      <c r="H14636" s="1" t="s">
        <v>0</v>
      </c>
      <c r="I14636" s="2">
        <v>0</v>
      </c>
      <c r="J14636" s="1">
        <v>45945.294085648151</v>
      </c>
    </row>
    <row r="14637" spans="1:10" x14ac:dyDescent="0.2">
      <c r="A14637" s="4" t="s">
        <v>1</v>
      </c>
      <c r="B14637" s="3" t="str">
        <f>HYPERLINK("https://otsuka-europe-crm.veevavault.com/ui/#object/approved_document__v/V5OZ025E82TN2QL", "LUP - Invitación simposio SEN 2025 - nefro")</f>
        <v>LUP - Invitación simposio SEN 2025 - nefro</v>
      </c>
      <c r="C14637" s="3" t="str">
        <f>HYPERLINK("https://otsuka-europe-crm.veevavault.com/ui/#object/sent_email__v/VBLZ025E82HKI2P", "SE-000287519")</f>
        <v>SE-000287519</v>
      </c>
      <c r="D14637" s="1">
        <v>45945.309537037036</v>
      </c>
      <c r="E14637" s="2">
        <v>1</v>
      </c>
      <c r="F14637" s="2">
        <v>1</v>
      </c>
      <c r="G14637" s="2">
        <v>0</v>
      </c>
      <c r="H14637" s="1" t="s">
        <v>0</v>
      </c>
      <c r="I14637" s="2">
        <v>0</v>
      </c>
      <c r="J14637" s="1">
        <v>45945.294085648151</v>
      </c>
    </row>
    <row r="14638" spans="1:10" x14ac:dyDescent="0.2">
      <c r="A14638" s="4" t="s">
        <v>1</v>
      </c>
      <c r="B14638" s="3" t="str">
        <f>HYPERLINK("https://otsuka-europe-crm.veevavault.com/ui/#object/approved_document__v/V5OZ025E82TN2QL", "LUP - Invitación simposio SEN 2025 - nefro")</f>
        <v>LUP - Invitación simposio SEN 2025 - nefro</v>
      </c>
      <c r="C14638" s="3" t="str">
        <f>HYPERLINK("https://otsuka-europe-crm.veevavault.com/ui/#object/sent_email__v/VBLZ025E82HKI2Q", "SE-000287520")</f>
        <v>SE-000287520</v>
      </c>
      <c r="D14638" s="1" t="s">
        <v>0</v>
      </c>
      <c r="E14638" s="2">
        <v>0</v>
      </c>
      <c r="F14638" s="2">
        <v>0</v>
      </c>
      <c r="G14638" s="2">
        <v>0</v>
      </c>
      <c r="H14638" s="1" t="s">
        <v>0</v>
      </c>
      <c r="I14638" s="2">
        <v>0</v>
      </c>
      <c r="J14638" s="1">
        <v>45945.294074074074</v>
      </c>
    </row>
    <row r="14639" spans="1:10" x14ac:dyDescent="0.2">
      <c r="A14639" s="4" t="s">
        <v>1</v>
      </c>
      <c r="B14639" s="3" t="str">
        <f>HYPERLINK("https://otsuka-europe-crm.veevavault.com/ui/#object/approved_document__v/V5OZ025E82TN2QL", "LUP - Invitación simposio SEN 2025 - nefro")</f>
        <v>LUP - Invitación simposio SEN 2025 - nefro</v>
      </c>
      <c r="C14639" s="3" t="str">
        <f>HYPERLINK("https://otsuka-europe-crm.veevavault.com/ui/#object/sent_email__v/VBLZ025E82HKI2R", "SE-000287521")</f>
        <v>SE-000287521</v>
      </c>
      <c r="D14639" s="1">
        <v>45945.313206018516</v>
      </c>
      <c r="E14639" s="2">
        <v>1</v>
      </c>
      <c r="F14639" s="2">
        <v>1</v>
      </c>
      <c r="G14639" s="2">
        <v>0</v>
      </c>
      <c r="H14639" s="1" t="s">
        <v>0</v>
      </c>
      <c r="I14639" s="2">
        <v>0</v>
      </c>
      <c r="J14639" s="1">
        <v>45945.294062499997</v>
      </c>
    </row>
    <row r="14640" spans="1:10" x14ac:dyDescent="0.2">
      <c r="A14640" s="4" t="s">
        <v>1</v>
      </c>
      <c r="B14640" s="3" t="str">
        <f>HYPERLINK("https://otsuka-europe-crm.veevavault.com/ui/#object/approved_document__v/V5OZ025E82TN2QL", "LUP - Invitación simposio SEN 2025 - nefro")</f>
        <v>LUP - Invitación simposio SEN 2025 - nefro</v>
      </c>
      <c r="C14640" s="3" t="str">
        <f>HYPERLINK("https://otsuka-europe-crm.veevavault.com/ui/#object/sent_email__v/VBLZ025E82HKI2S", "SE-000287522")</f>
        <v>SE-000287522</v>
      </c>
      <c r="D14640" s="1">
        <v>45945.312986111108</v>
      </c>
      <c r="E14640" s="2">
        <v>1</v>
      </c>
      <c r="F14640" s="2">
        <v>1</v>
      </c>
      <c r="G14640" s="2">
        <v>0</v>
      </c>
      <c r="H14640" s="1" t="s">
        <v>0</v>
      </c>
      <c r="I14640" s="2">
        <v>0</v>
      </c>
      <c r="J14640" s="1">
        <v>45945.294074074074</v>
      </c>
    </row>
    <row r="14641" spans="1:10" x14ac:dyDescent="0.2">
      <c r="A14641" s="4" t="s">
        <v>1</v>
      </c>
      <c r="B14641" s="3" t="str">
        <f>HYPERLINK("https://otsuka-europe-crm.veevavault.com/ui/#object/approved_document__v/V5OZ025E82TN2QL", "LUP - Invitación simposio SEN 2025 - nefro")</f>
        <v>LUP - Invitación simposio SEN 2025 - nefro</v>
      </c>
      <c r="C14641" s="3" t="str">
        <f>HYPERLINK("https://otsuka-europe-crm.veevavault.com/ui/#object/sent_email__v/VBLZ025E82HKI2T", "SE-000287523")</f>
        <v>SE-000287523</v>
      </c>
      <c r="D14641" s="1">
        <v>45945.909826388888</v>
      </c>
      <c r="E14641" s="2">
        <v>1</v>
      </c>
      <c r="F14641" s="2">
        <v>2</v>
      </c>
      <c r="G14641" s="2">
        <v>0</v>
      </c>
      <c r="H14641" s="1" t="s">
        <v>0</v>
      </c>
      <c r="I14641" s="2">
        <v>0</v>
      </c>
      <c r="J14641" s="1">
        <v>45945.294074074074</v>
      </c>
    </row>
    <row r="14642" spans="1:10" x14ac:dyDescent="0.2">
      <c r="A14642" s="4" t="s">
        <v>1</v>
      </c>
      <c r="B14642" s="3" t="str">
        <f>HYPERLINK("https://otsuka-europe-crm.veevavault.com/ui/#object/approved_document__v/V5OZ025E82TN2QL", "LUP - Invitación simposio SEN 2025 - nefro")</f>
        <v>LUP - Invitación simposio SEN 2025 - nefro</v>
      </c>
      <c r="C14642" s="3" t="str">
        <f>HYPERLINK("https://otsuka-europe-crm.veevavault.com/ui/#object/sent_email__v/VBLZ025E82HKI2U", "SE-000287524")</f>
        <v>SE-000287524</v>
      </c>
      <c r="D14642" s="1">
        <v>45945.325023148151</v>
      </c>
      <c r="E14642" s="2">
        <v>1</v>
      </c>
      <c r="F14642" s="2">
        <v>2</v>
      </c>
      <c r="G14642" s="2">
        <v>1</v>
      </c>
      <c r="H14642" s="1">
        <v>45945.325092592589</v>
      </c>
      <c r="I14642" s="2">
        <v>1</v>
      </c>
      <c r="J14642" s="1">
        <v>45945.294108796297</v>
      </c>
    </row>
    <row r="14643" spans="1:10" x14ac:dyDescent="0.2">
      <c r="A14643" s="4" t="s">
        <v>1</v>
      </c>
      <c r="B14643" s="3" t="str">
        <f>HYPERLINK("https://otsuka-europe-crm.veevavault.com/ui/#object/approved_document__v/V5OZ025E82TN2QL", "LUP - Invitación simposio SEN 2025 - nefro")</f>
        <v>LUP - Invitación simposio SEN 2025 - nefro</v>
      </c>
      <c r="C14643" s="3" t="str">
        <f>HYPERLINK("https://otsuka-europe-crm.veevavault.com/ui/#object/sent_email__v/VBLZ025E82HKI2V", "SE-000287525")</f>
        <v>SE-000287525</v>
      </c>
      <c r="D14643" s="1">
        <v>46029.672326388885</v>
      </c>
      <c r="E14643" s="2">
        <v>1</v>
      </c>
      <c r="F14643" s="2">
        <v>1</v>
      </c>
      <c r="G14643" s="2">
        <v>0</v>
      </c>
      <c r="H14643" s="1" t="s">
        <v>0</v>
      </c>
      <c r="I14643" s="2">
        <v>0</v>
      </c>
      <c r="J14643" s="1">
        <v>45945.294074074074</v>
      </c>
    </row>
    <row r="14644" spans="1:10" x14ac:dyDescent="0.2">
      <c r="A14644" s="4" t="s">
        <v>1</v>
      </c>
      <c r="B14644" s="3" t="str">
        <f>HYPERLINK("https://otsuka-europe-crm.veevavault.com/ui/#object/approved_document__v/V5OZ025E82TN2QL", "LUP - Invitación simposio SEN 2025 - nefro")</f>
        <v>LUP - Invitación simposio SEN 2025 - nefro</v>
      </c>
      <c r="C14644" s="3" t="str">
        <f>HYPERLINK("https://otsuka-europe-crm.veevavault.com/ui/#object/sent_email__v/VBLZ025E82HKI2W", "SE-000287526")</f>
        <v>SE-000287526</v>
      </c>
      <c r="D14644" s="1">
        <v>45947.66542824074</v>
      </c>
      <c r="E14644" s="2">
        <v>1</v>
      </c>
      <c r="F14644" s="2">
        <v>2</v>
      </c>
      <c r="G14644" s="2">
        <v>0</v>
      </c>
      <c r="H14644" s="1" t="s">
        <v>0</v>
      </c>
      <c r="I14644" s="2">
        <v>0</v>
      </c>
      <c r="J14644" s="1">
        <v>45945.294085648151</v>
      </c>
    </row>
    <row r="14645" spans="1:10" x14ac:dyDescent="0.2">
      <c r="A14645" s="4" t="s">
        <v>1</v>
      </c>
      <c r="B14645" s="3" t="str">
        <f>HYPERLINK("https://otsuka-europe-crm.veevavault.com/ui/#object/approved_document__v/V5OZ025E82TN2QL", "LUP - Invitación simposio SEN 2025 - nefro")</f>
        <v>LUP - Invitación simposio SEN 2025 - nefro</v>
      </c>
      <c r="C14645" s="3" t="str">
        <f>HYPERLINK("https://otsuka-europe-crm.veevavault.com/ui/#object/sent_email__v/VBLZ025E82HKI2X", "SE-000287527")</f>
        <v>SE-000287527</v>
      </c>
      <c r="D14645" s="1">
        <v>45961.589768518519</v>
      </c>
      <c r="E14645" s="2">
        <v>1</v>
      </c>
      <c r="F14645" s="2">
        <v>4</v>
      </c>
      <c r="G14645" s="2">
        <v>0</v>
      </c>
      <c r="H14645" s="1" t="s">
        <v>0</v>
      </c>
      <c r="I14645" s="2">
        <v>0</v>
      </c>
      <c r="J14645" s="1">
        <v>45945.294062499997</v>
      </c>
    </row>
    <row r="14646" spans="1:10" x14ac:dyDescent="0.2">
      <c r="A14646" s="4" t="s">
        <v>1</v>
      </c>
      <c r="B14646" s="3" t="str">
        <f>HYPERLINK("https://otsuka-europe-crm.veevavault.com/ui/#object/approved_document__v/V5OZ025E82TN2QL", "LUP - Invitación simposio SEN 2025 - nefro")</f>
        <v>LUP - Invitación simposio SEN 2025 - nefro</v>
      </c>
      <c r="C14646" s="3" t="str">
        <f>HYPERLINK("https://otsuka-europe-crm.veevavault.com/ui/#object/sent_email__v/VBLZ025E82HKI2Y", "SE-000287528")</f>
        <v>SE-000287528</v>
      </c>
      <c r="D14646" s="1" t="s">
        <v>0</v>
      </c>
      <c r="E14646" s="2">
        <v>0</v>
      </c>
      <c r="F14646" s="2">
        <v>0</v>
      </c>
      <c r="G14646" s="2">
        <v>0</v>
      </c>
      <c r="H14646" s="1" t="s">
        <v>0</v>
      </c>
      <c r="I14646" s="2">
        <v>0</v>
      </c>
      <c r="J14646" s="1">
        <v>45945.294085648151</v>
      </c>
    </row>
    <row r="14647" spans="1:10" x14ac:dyDescent="0.2">
      <c r="A14647" s="4" t="s">
        <v>1</v>
      </c>
      <c r="B14647" s="3" t="str">
        <f>HYPERLINK("https://otsuka-europe-crm.veevavault.com/ui/#object/approved_document__v/V5OZ025E82TN2QL", "LUP - Invitación simposio SEN 2025 - nefro")</f>
        <v>LUP - Invitación simposio SEN 2025 - nefro</v>
      </c>
      <c r="C14647" s="3" t="str">
        <f>HYPERLINK("https://otsuka-europe-crm.veevavault.com/ui/#object/sent_email__v/VBLZ025E82HKI2Z", "SE-000287529")</f>
        <v>SE-000287529</v>
      </c>
      <c r="D14647" s="1">
        <v>45963.773333333331</v>
      </c>
      <c r="E14647" s="2">
        <v>1</v>
      </c>
      <c r="F14647" s="2">
        <v>4</v>
      </c>
      <c r="G14647" s="2">
        <v>0</v>
      </c>
      <c r="H14647" s="1" t="s">
        <v>0</v>
      </c>
      <c r="I14647" s="2">
        <v>0</v>
      </c>
      <c r="J14647" s="1">
        <v>45945.294120370374</v>
      </c>
    </row>
    <row r="14648" spans="1:10" x14ac:dyDescent="0.2">
      <c r="A14648" s="4" t="s">
        <v>1</v>
      </c>
      <c r="B14648" s="3" t="str">
        <f>HYPERLINK("https://otsuka-europe-crm.veevavault.com/ui/#object/approved_document__v/V5OZ025E82TN2QL", "LUP - Invitación simposio SEN 2025 - nefro")</f>
        <v>LUP - Invitación simposio SEN 2025 - nefro</v>
      </c>
      <c r="C14648" s="3" t="str">
        <f>HYPERLINK("https://otsuka-europe-crm.veevavault.com/ui/#object/sent_email__v/VBLZ025E82HKI30", "SE-000287530")</f>
        <v>SE-000287530</v>
      </c>
      <c r="D14648" s="1" t="s">
        <v>0</v>
      </c>
      <c r="E14648" s="2">
        <v>0</v>
      </c>
      <c r="F14648" s="2">
        <v>0</v>
      </c>
      <c r="G14648" s="2">
        <v>0</v>
      </c>
      <c r="H14648" s="1" t="s">
        <v>0</v>
      </c>
      <c r="I14648" s="2">
        <v>0</v>
      </c>
      <c r="J14648" s="1">
        <v>45945.294074074074</v>
      </c>
    </row>
    <row r="14649" spans="1:10" x14ac:dyDescent="0.2">
      <c r="A14649" s="4" t="s">
        <v>1</v>
      </c>
      <c r="B14649" s="3" t="str">
        <f>HYPERLINK("https://otsuka-europe-crm.veevavault.com/ui/#object/approved_document__v/V5OZ025E82TN2QL", "LUP - Invitación simposio SEN 2025 - nefro")</f>
        <v>LUP - Invitación simposio SEN 2025 - nefro</v>
      </c>
      <c r="C14649" s="3" t="str">
        <f>HYPERLINK("https://otsuka-europe-crm.veevavault.com/ui/#object/sent_email__v/VBLZ025E82HKI31", "SE-000287531")</f>
        <v>SE-000287531</v>
      </c>
      <c r="D14649" s="1">
        <v>45952.767280092594</v>
      </c>
      <c r="E14649" s="2">
        <v>1</v>
      </c>
      <c r="F14649" s="2">
        <v>3</v>
      </c>
      <c r="G14649" s="2">
        <v>0</v>
      </c>
      <c r="H14649" s="1" t="s">
        <v>0</v>
      </c>
      <c r="I14649" s="2">
        <v>0</v>
      </c>
      <c r="J14649" s="1">
        <v>45945.294108796297</v>
      </c>
    </row>
    <row r="14650" spans="1:10" x14ac:dyDescent="0.2">
      <c r="A14650" s="4" t="s">
        <v>1</v>
      </c>
      <c r="B14650" s="3" t="str">
        <f>HYPERLINK("https://otsuka-europe-crm.veevavault.com/ui/#object/approved_document__v/V5OZ025E82TN2QL", "LUP - Invitación simposio SEN 2025 - nefro")</f>
        <v>LUP - Invitación simposio SEN 2025 - nefro</v>
      </c>
      <c r="C14650" s="3" t="str">
        <f>HYPERLINK("https://otsuka-europe-crm.veevavault.com/ui/#object/sent_email__v/VBLZ025E82HKI32", "SE-000287532")</f>
        <v>SE-000287532</v>
      </c>
      <c r="D14650" s="1">
        <v>45946.886655092596</v>
      </c>
      <c r="E14650" s="2">
        <v>1</v>
      </c>
      <c r="F14650" s="2">
        <v>2</v>
      </c>
      <c r="G14650" s="2">
        <v>0</v>
      </c>
      <c r="H14650" s="1" t="s">
        <v>0</v>
      </c>
      <c r="I14650" s="2">
        <v>0</v>
      </c>
      <c r="J14650" s="1">
        <v>45945.294120370374</v>
      </c>
    </row>
    <row r="14651" spans="1:10" x14ac:dyDescent="0.2">
      <c r="A14651" s="4" t="s">
        <v>1</v>
      </c>
      <c r="B14651" s="3" t="str">
        <f>HYPERLINK("https://otsuka-europe-crm.veevavault.com/ui/#object/approved_document__v/V5OZ025E82TN2QL", "LUP - Invitación simposio SEN 2025 - nefro")</f>
        <v>LUP - Invitación simposio SEN 2025 - nefro</v>
      </c>
      <c r="C14651" s="3" t="str">
        <f>HYPERLINK("https://otsuka-europe-crm.veevavault.com/ui/#object/sent_email__v/VBLZ025E82HKI33", "SE-000287533")</f>
        <v>SE-000287533</v>
      </c>
      <c r="D14651" s="1">
        <v>45949.528495370374</v>
      </c>
      <c r="E14651" s="2">
        <v>1</v>
      </c>
      <c r="F14651" s="2">
        <v>2</v>
      </c>
      <c r="G14651" s="2">
        <v>1</v>
      </c>
      <c r="H14651" s="1">
        <v>45945.564351851855</v>
      </c>
      <c r="I14651" s="2">
        <v>1</v>
      </c>
      <c r="J14651" s="1">
        <v>45945.294120370374</v>
      </c>
    </row>
    <row r="14652" spans="1:10" x14ac:dyDescent="0.2">
      <c r="A14652" s="4" t="s">
        <v>1</v>
      </c>
      <c r="B14652" s="3" t="str">
        <f>HYPERLINK("https://otsuka-europe-crm.veevavault.com/ui/#object/approved_document__v/V5OZ025E82TN2QL", "LUP - Invitación simposio SEN 2025 - nefro")</f>
        <v>LUP - Invitación simposio SEN 2025 - nefro</v>
      </c>
      <c r="C14652" s="3" t="str">
        <f>HYPERLINK("https://otsuka-europe-crm.veevavault.com/ui/#object/sent_email__v/VBLZ025E82HKI34", "SE-000287534")</f>
        <v>SE-000287534</v>
      </c>
      <c r="D14652" s="1" t="s">
        <v>0</v>
      </c>
      <c r="E14652" s="2">
        <v>0</v>
      </c>
      <c r="F14652" s="2">
        <v>0</v>
      </c>
      <c r="G14652" s="2">
        <v>0</v>
      </c>
      <c r="H14652" s="1" t="s">
        <v>0</v>
      </c>
      <c r="I14652" s="2">
        <v>0</v>
      </c>
      <c r="J14652" s="1">
        <v>45945.294062499997</v>
      </c>
    </row>
    <row r="14653" spans="1:10" x14ac:dyDescent="0.2">
      <c r="A14653" s="4" t="s">
        <v>1</v>
      </c>
      <c r="B14653" s="3" t="str">
        <f>HYPERLINK("https://otsuka-europe-crm.veevavault.com/ui/#object/approved_document__v/V5OZ025E82TN2QL", "LUP - Invitación simposio SEN 2025 - nefro")</f>
        <v>LUP - Invitación simposio SEN 2025 - nefro</v>
      </c>
      <c r="C14653" s="3" t="str">
        <f>HYPERLINK("https://otsuka-europe-crm.veevavault.com/ui/#object/sent_email__v/VBLZ025E82HKI35", "SE-000287535")</f>
        <v>SE-000287535</v>
      </c>
      <c r="D14653" s="1" t="s">
        <v>0</v>
      </c>
      <c r="E14653" s="2">
        <v>0</v>
      </c>
      <c r="F14653" s="2">
        <v>0</v>
      </c>
      <c r="G14653" s="2">
        <v>0</v>
      </c>
      <c r="H14653" s="1" t="s">
        <v>0</v>
      </c>
      <c r="I14653" s="2">
        <v>0</v>
      </c>
      <c r="J14653" s="1">
        <v>45945.294062499997</v>
      </c>
    </row>
    <row r="14654" spans="1:10" x14ac:dyDescent="0.2">
      <c r="A14654" s="4" t="s">
        <v>1</v>
      </c>
      <c r="B14654" s="3" t="str">
        <f>HYPERLINK("https://otsuka-europe-crm.veevavault.com/ui/#object/approved_document__v/V5OZ025E82TN2QL", "LUP - Invitación simposio SEN 2025 - nefro")</f>
        <v>LUP - Invitación simposio SEN 2025 - nefro</v>
      </c>
      <c r="C14654" s="3" t="str">
        <f>HYPERLINK("https://otsuka-europe-crm.veevavault.com/ui/#object/sent_email__v/VBLZ025E82HKI36", "SE-000287536")</f>
        <v>SE-000287536</v>
      </c>
      <c r="D14654" s="1">
        <v>45945.600810185184</v>
      </c>
      <c r="E14654" s="2">
        <v>1</v>
      </c>
      <c r="F14654" s="2">
        <v>2</v>
      </c>
      <c r="G14654" s="2">
        <v>0</v>
      </c>
      <c r="H14654" s="1" t="s">
        <v>0</v>
      </c>
      <c r="I14654" s="2">
        <v>0</v>
      </c>
      <c r="J14654" s="1">
        <v>45945.294050925928</v>
      </c>
    </row>
    <row r="14655" spans="1:10" x14ac:dyDescent="0.2">
      <c r="A14655" s="4" t="s">
        <v>1</v>
      </c>
      <c r="B14655" s="3" t="str">
        <f>HYPERLINK("https://otsuka-europe-crm.veevavault.com/ui/#object/approved_document__v/V5OZ025E82TN2QL", "LUP - Invitación simposio SEN 2025 - nefro")</f>
        <v>LUP - Invitación simposio SEN 2025 - nefro</v>
      </c>
      <c r="C14655" s="3" t="str">
        <f>HYPERLINK("https://otsuka-europe-crm.veevavault.com/ui/#object/sent_email__v/VBLZ025E82HKI37", "SE-000287537")</f>
        <v>SE-000287537</v>
      </c>
      <c r="D14655" s="1">
        <v>45946.31449074074</v>
      </c>
      <c r="E14655" s="2">
        <v>1</v>
      </c>
      <c r="F14655" s="2">
        <v>4</v>
      </c>
      <c r="G14655" s="2">
        <v>0</v>
      </c>
      <c r="H14655" s="1" t="s">
        <v>0</v>
      </c>
      <c r="I14655" s="2">
        <v>0</v>
      </c>
      <c r="J14655" s="1">
        <v>45945.294108796297</v>
      </c>
    </row>
    <row r="14656" spans="1:10" x14ac:dyDescent="0.2">
      <c r="A14656" s="4" t="s">
        <v>1</v>
      </c>
      <c r="B14656" s="3" t="str">
        <f>HYPERLINK("https://otsuka-europe-crm.veevavault.com/ui/#object/approved_document__v/V5OZ025E82TN2QL", "LUP - Invitación simposio SEN 2025 - nefro")</f>
        <v>LUP - Invitación simposio SEN 2025 - nefro</v>
      </c>
      <c r="C14656" s="3" t="str">
        <f>HYPERLINK("https://otsuka-europe-crm.veevavault.com/ui/#object/sent_email__v/VBLZ025E82HKI38", "SE-000287538")</f>
        <v>SE-000287538</v>
      </c>
      <c r="D14656" s="1" t="s">
        <v>0</v>
      </c>
      <c r="E14656" s="2">
        <v>0</v>
      </c>
      <c r="F14656" s="2">
        <v>0</v>
      </c>
      <c r="G14656" s="2">
        <v>0</v>
      </c>
      <c r="H14656" s="1" t="s">
        <v>0</v>
      </c>
      <c r="I14656" s="2">
        <v>0</v>
      </c>
      <c r="J14656" s="1">
        <v>45945.294108796297</v>
      </c>
    </row>
    <row r="14657" spans="1:10" x14ac:dyDescent="0.2">
      <c r="A14657" s="4" t="s">
        <v>1</v>
      </c>
      <c r="B1465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57" s="3" t="str">
        <f>HYPERLINK("https://otsuka-europe-crm.veevavault.com/ui/#object/sent_email__v/VBL000000004421", "SE-001380681")</f>
        <v>SE-001380681</v>
      </c>
      <c r="D14657" s="1" t="s">
        <v>0</v>
      </c>
      <c r="E14657" s="2">
        <v>0</v>
      </c>
      <c r="F14657" s="2">
        <v>0</v>
      </c>
      <c r="G14657" s="2">
        <v>0</v>
      </c>
      <c r="H14657" s="1" t="s">
        <v>0</v>
      </c>
      <c r="I14657" s="2">
        <v>0</v>
      </c>
      <c r="J14657" s="1">
        <v>45965.502835648149</v>
      </c>
    </row>
    <row r="14658" spans="1:10" x14ac:dyDescent="0.2">
      <c r="A14658" s="4" t="s">
        <v>1</v>
      </c>
      <c r="B1465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58" s="3" t="str">
        <f>HYPERLINK("https://otsuka-europe-crm.veevavault.com/ui/#object/sent_email__v/VBL000000004422", "SE-001380682")</f>
        <v>SE-001380682</v>
      </c>
      <c r="D14658" s="1" t="s">
        <v>0</v>
      </c>
      <c r="E14658" s="2">
        <v>0</v>
      </c>
      <c r="F14658" s="2">
        <v>0</v>
      </c>
      <c r="G14658" s="2">
        <v>0</v>
      </c>
      <c r="H14658" s="1" t="s">
        <v>0</v>
      </c>
      <c r="I14658" s="2">
        <v>0</v>
      </c>
      <c r="J14658" s="1">
        <v>45965.502916666665</v>
      </c>
    </row>
    <row r="14659" spans="1:10" x14ac:dyDescent="0.2">
      <c r="A14659" s="4" t="s">
        <v>1</v>
      </c>
      <c r="B1465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59" s="3" t="str">
        <f>HYPERLINK("https://otsuka-europe-crm.veevavault.com/ui/#object/sent_email__v/VBL000000004423", "SE-001380683")</f>
        <v>SE-001380683</v>
      </c>
      <c r="D14659" s="1">
        <v>45965.945208333331</v>
      </c>
      <c r="E14659" s="2">
        <v>1</v>
      </c>
      <c r="F14659" s="2">
        <v>1</v>
      </c>
      <c r="G14659" s="2">
        <v>0</v>
      </c>
      <c r="H14659" s="1" t="s">
        <v>0</v>
      </c>
      <c r="I14659" s="2">
        <v>0</v>
      </c>
      <c r="J14659" s="1">
        <v>45965.502986111111</v>
      </c>
    </row>
    <row r="14660" spans="1:10" x14ac:dyDescent="0.2">
      <c r="A14660" s="4" t="s">
        <v>1</v>
      </c>
      <c r="B1466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60" s="3" t="str">
        <f>HYPERLINK("https://otsuka-europe-crm.veevavault.com/ui/#object/sent_email__v/VBL000000004424", "SE-001380684")</f>
        <v>SE-001380684</v>
      </c>
      <c r="D14660" s="1" t="s">
        <v>0</v>
      </c>
      <c r="E14660" s="2">
        <v>0</v>
      </c>
      <c r="F14660" s="2">
        <v>0</v>
      </c>
      <c r="G14660" s="2">
        <v>0</v>
      </c>
      <c r="H14660" s="1" t="s">
        <v>0</v>
      </c>
      <c r="I14660" s="2">
        <v>0</v>
      </c>
      <c r="J14660" s="1">
        <v>45965.503055555557</v>
      </c>
    </row>
    <row r="14661" spans="1:10" x14ac:dyDescent="0.2">
      <c r="A14661" s="4" t="s">
        <v>1</v>
      </c>
      <c r="B1466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61" s="3" t="str">
        <f>HYPERLINK("https://otsuka-europe-crm.veevavault.com/ui/#object/sent_email__v/VBL000000004425", "SE-001380685")</f>
        <v>SE-001380685</v>
      </c>
      <c r="D14661" s="1">
        <v>45967.580185185187</v>
      </c>
      <c r="E14661" s="2">
        <v>1</v>
      </c>
      <c r="F14661" s="2">
        <v>3</v>
      </c>
      <c r="G14661" s="2">
        <v>0</v>
      </c>
      <c r="H14661" s="1" t="s">
        <v>0</v>
      </c>
      <c r="I14661" s="2">
        <v>0</v>
      </c>
      <c r="J14661" s="1">
        <v>45965.503125000003</v>
      </c>
    </row>
    <row r="14662" spans="1:10" x14ac:dyDescent="0.2">
      <c r="A14662" s="4" t="s">
        <v>1</v>
      </c>
      <c r="B1466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62" s="3" t="str">
        <f>HYPERLINK("https://otsuka-europe-crm.veevavault.com/ui/#object/sent_email__v/VBL000000004426", "SE-001380686")</f>
        <v>SE-001380686</v>
      </c>
      <c r="D14662" s="1" t="s">
        <v>0</v>
      </c>
      <c r="E14662" s="2">
        <v>0</v>
      </c>
      <c r="F14662" s="2">
        <v>0</v>
      </c>
      <c r="G14662" s="2">
        <v>0</v>
      </c>
      <c r="H14662" s="1" t="s">
        <v>0</v>
      </c>
      <c r="I14662" s="2">
        <v>0</v>
      </c>
      <c r="J14662" s="1">
        <v>45965.503206018519</v>
      </c>
    </row>
    <row r="14663" spans="1:10" x14ac:dyDescent="0.2">
      <c r="A14663" s="4" t="s">
        <v>1</v>
      </c>
      <c r="B1466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63" s="3" t="str">
        <f>HYPERLINK("https://otsuka-europe-crm.veevavault.com/ui/#object/sent_email__v/VBL000000004427", "SE-001380687")</f>
        <v>SE-001380687</v>
      </c>
      <c r="D14663" s="1" t="s">
        <v>0</v>
      </c>
      <c r="E14663" s="2">
        <v>0</v>
      </c>
      <c r="F14663" s="2">
        <v>0</v>
      </c>
      <c r="G14663" s="2">
        <v>0</v>
      </c>
      <c r="H14663" s="1" t="s">
        <v>0</v>
      </c>
      <c r="I14663" s="2">
        <v>0</v>
      </c>
      <c r="J14663" s="1">
        <v>45965.503252314818</v>
      </c>
    </row>
    <row r="14664" spans="1:10" x14ac:dyDescent="0.2">
      <c r="A14664" s="4" t="s">
        <v>1</v>
      </c>
      <c r="B1466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64" s="3" t="str">
        <f>HYPERLINK("https://otsuka-europe-crm.veevavault.com/ui/#object/sent_email__v/VBL000000004428", "SE-001380688")</f>
        <v>SE-001380688</v>
      </c>
      <c r="D14664" s="1" t="s">
        <v>0</v>
      </c>
      <c r="E14664" s="2">
        <v>0</v>
      </c>
      <c r="F14664" s="2">
        <v>0</v>
      </c>
      <c r="G14664" s="2">
        <v>0</v>
      </c>
      <c r="H14664" s="1" t="s">
        <v>0</v>
      </c>
      <c r="I14664" s="2">
        <v>0</v>
      </c>
      <c r="J14664" s="1">
        <v>45965.503333333334</v>
      </c>
    </row>
    <row r="14665" spans="1:10" x14ac:dyDescent="0.2">
      <c r="A14665" s="4" t="s">
        <v>1</v>
      </c>
      <c r="B1466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65" s="3" t="str">
        <f>HYPERLINK("https://otsuka-europe-crm.veevavault.com/ui/#object/sent_email__v/VBL000000004429", "SE-001380689")</f>
        <v>SE-001380689</v>
      </c>
      <c r="D14665" s="1" t="s">
        <v>0</v>
      </c>
      <c r="E14665" s="2">
        <v>0</v>
      </c>
      <c r="F14665" s="2">
        <v>0</v>
      </c>
      <c r="G14665" s="2">
        <v>0</v>
      </c>
      <c r="H14665" s="1" t="s">
        <v>0</v>
      </c>
      <c r="I14665" s="2">
        <v>0</v>
      </c>
      <c r="J14665" s="1">
        <v>45965.50340277778</v>
      </c>
    </row>
    <row r="14666" spans="1:10" x14ac:dyDescent="0.2">
      <c r="A14666" s="4" t="s">
        <v>1</v>
      </c>
      <c r="B1466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66" s="3" t="str">
        <f>HYPERLINK("https://otsuka-europe-crm.veevavault.com/ui/#object/sent_email__v/VBL000000004430", "SE-001380690")</f>
        <v>SE-001380690</v>
      </c>
      <c r="D14666" s="1" t="s">
        <v>0</v>
      </c>
      <c r="E14666" s="2">
        <v>0</v>
      </c>
      <c r="F14666" s="2">
        <v>0</v>
      </c>
      <c r="G14666" s="2">
        <v>0</v>
      </c>
      <c r="H14666" s="1" t="s">
        <v>0</v>
      </c>
      <c r="I14666" s="2">
        <v>0</v>
      </c>
      <c r="J14666" s="1">
        <v>45965.503472222219</v>
      </c>
    </row>
    <row r="14667" spans="1:10" x14ac:dyDescent="0.2">
      <c r="A14667" s="4" t="s">
        <v>1</v>
      </c>
      <c r="B1466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67" s="3" t="str">
        <f>HYPERLINK("https://otsuka-europe-crm.veevavault.com/ui/#object/sent_email__v/VBL000000004431", "SE-001380691")</f>
        <v>SE-001380691</v>
      </c>
      <c r="D14667" s="1" t="s">
        <v>0</v>
      </c>
      <c r="E14667" s="2">
        <v>0</v>
      </c>
      <c r="F14667" s="2">
        <v>0</v>
      </c>
      <c r="G14667" s="2">
        <v>0</v>
      </c>
      <c r="H14667" s="1" t="s">
        <v>0</v>
      </c>
      <c r="I14667" s="2">
        <v>0</v>
      </c>
      <c r="J14667" s="1">
        <v>45965.503530092596</v>
      </c>
    </row>
    <row r="14668" spans="1:10" x14ac:dyDescent="0.2">
      <c r="A14668" s="4" t="s">
        <v>1</v>
      </c>
      <c r="B1466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68" s="3" t="str">
        <f>HYPERLINK("https://otsuka-europe-crm.veevavault.com/ui/#object/sent_email__v/VBL000000004432", "SE-001380692")</f>
        <v>SE-001380692</v>
      </c>
      <c r="D14668" s="1" t="s">
        <v>0</v>
      </c>
      <c r="E14668" s="2">
        <v>0</v>
      </c>
      <c r="F14668" s="2">
        <v>0</v>
      </c>
      <c r="G14668" s="2">
        <v>0</v>
      </c>
      <c r="H14668" s="1" t="s">
        <v>0</v>
      </c>
      <c r="I14668" s="2">
        <v>0</v>
      </c>
      <c r="J14668" s="1">
        <v>45965.503587962965</v>
      </c>
    </row>
    <row r="14669" spans="1:10" x14ac:dyDescent="0.2">
      <c r="A14669" s="4" t="s">
        <v>1</v>
      </c>
      <c r="B1466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69" s="3" t="str">
        <f>HYPERLINK("https://otsuka-europe-crm.veevavault.com/ui/#object/sent_email__v/VBL000000004433", "SE-001380693")</f>
        <v>SE-001380693</v>
      </c>
      <c r="D14669" s="1">
        <v>45966.001585648148</v>
      </c>
      <c r="E14669" s="2">
        <v>1</v>
      </c>
      <c r="F14669" s="2">
        <v>1</v>
      </c>
      <c r="G14669" s="2">
        <v>0</v>
      </c>
      <c r="H14669" s="1" t="s">
        <v>0</v>
      </c>
      <c r="I14669" s="2">
        <v>0</v>
      </c>
      <c r="J14669" s="1">
        <v>45965.503611111111</v>
      </c>
    </row>
    <row r="14670" spans="1:10" x14ac:dyDescent="0.2">
      <c r="A14670" s="4" t="s">
        <v>1</v>
      </c>
      <c r="B1467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70" s="3" t="str">
        <f>HYPERLINK("https://otsuka-europe-crm.veevavault.com/ui/#object/sent_email__v/VBL000000004434", "SE-001380694")</f>
        <v>SE-001380694</v>
      </c>
      <c r="D14670" s="1" t="s">
        <v>0</v>
      </c>
      <c r="E14670" s="2">
        <v>0</v>
      </c>
      <c r="F14670" s="2">
        <v>0</v>
      </c>
      <c r="G14670" s="2">
        <v>0</v>
      </c>
      <c r="H14670" s="1" t="s">
        <v>0</v>
      </c>
      <c r="I14670" s="2">
        <v>0</v>
      </c>
      <c r="J14670" s="1">
        <v>45965.503657407404</v>
      </c>
    </row>
    <row r="14671" spans="1:10" x14ac:dyDescent="0.2">
      <c r="A14671" s="4" t="s">
        <v>1</v>
      </c>
      <c r="B1467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71" s="3" t="str">
        <f>HYPERLINK("https://otsuka-europe-crm.veevavault.com/ui/#object/sent_email__v/VBL000000004435", "SE-001380695")</f>
        <v>SE-001380695</v>
      </c>
      <c r="D14671" s="1" t="s">
        <v>0</v>
      </c>
      <c r="E14671" s="2">
        <v>0</v>
      </c>
      <c r="F14671" s="2">
        <v>0</v>
      </c>
      <c r="G14671" s="2">
        <v>0</v>
      </c>
      <c r="H14671" s="1" t="s">
        <v>0</v>
      </c>
      <c r="I14671" s="2">
        <v>0</v>
      </c>
      <c r="J14671" s="1">
        <v>45965.503703703704</v>
      </c>
    </row>
    <row r="14672" spans="1:10" x14ac:dyDescent="0.2">
      <c r="A14672" s="4" t="s">
        <v>1</v>
      </c>
      <c r="B1467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72" s="3" t="str">
        <f>HYPERLINK("https://otsuka-europe-crm.veevavault.com/ui/#object/sent_email__v/VBL000000004436", "SE-001380696")</f>
        <v>SE-001380696</v>
      </c>
      <c r="D14672" s="1" t="s">
        <v>0</v>
      </c>
      <c r="E14672" s="2">
        <v>0</v>
      </c>
      <c r="F14672" s="2">
        <v>0</v>
      </c>
      <c r="G14672" s="2">
        <v>0</v>
      </c>
      <c r="H14672" s="1" t="s">
        <v>0</v>
      </c>
      <c r="I14672" s="2">
        <v>0</v>
      </c>
      <c r="J14672" s="1">
        <v>45965.503750000003</v>
      </c>
    </row>
    <row r="14673" spans="1:10" x14ac:dyDescent="0.2">
      <c r="A14673" s="4" t="s">
        <v>1</v>
      </c>
      <c r="B1467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73" s="3" t="str">
        <f>HYPERLINK("https://otsuka-europe-crm.veevavault.com/ui/#object/sent_email__v/VBL000000004437", "SE-001380697")</f>
        <v>SE-001380697</v>
      </c>
      <c r="D14673" s="1" t="s">
        <v>0</v>
      </c>
      <c r="E14673" s="2">
        <v>0</v>
      </c>
      <c r="F14673" s="2">
        <v>0</v>
      </c>
      <c r="G14673" s="2">
        <v>0</v>
      </c>
      <c r="H14673" s="1" t="s">
        <v>0</v>
      </c>
      <c r="I14673" s="2">
        <v>0</v>
      </c>
      <c r="J14673" s="1">
        <v>45965.503807870373</v>
      </c>
    </row>
    <row r="14674" spans="1:10" x14ac:dyDescent="0.2">
      <c r="A14674" s="4" t="s">
        <v>1</v>
      </c>
      <c r="B1467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74" s="3" t="str">
        <f>HYPERLINK("https://otsuka-europe-crm.veevavault.com/ui/#object/sent_email__v/VBL000000004438", "SE-001380698")</f>
        <v>SE-001380698</v>
      </c>
      <c r="D14674" s="1">
        <v>45966.748344907406</v>
      </c>
      <c r="E14674" s="2">
        <v>1</v>
      </c>
      <c r="F14674" s="2">
        <v>3</v>
      </c>
      <c r="G14674" s="2">
        <v>0</v>
      </c>
      <c r="H14674" s="1" t="s">
        <v>0</v>
      </c>
      <c r="I14674" s="2">
        <v>0</v>
      </c>
      <c r="J14674" s="1">
        <v>45965.503842592596</v>
      </c>
    </row>
    <row r="14675" spans="1:10" x14ac:dyDescent="0.2">
      <c r="A14675" s="4" t="s">
        <v>1</v>
      </c>
      <c r="B1467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75" s="3" t="str">
        <f>HYPERLINK("https://otsuka-europe-crm.veevavault.com/ui/#object/sent_email__v/VBL000000004439", "SE-001380699")</f>
        <v>SE-001380699</v>
      </c>
      <c r="D14675" s="1" t="s">
        <v>0</v>
      </c>
      <c r="E14675" s="2">
        <v>0</v>
      </c>
      <c r="F14675" s="2">
        <v>0</v>
      </c>
      <c r="G14675" s="2">
        <v>0</v>
      </c>
      <c r="H14675" s="1" t="s">
        <v>0</v>
      </c>
      <c r="I14675" s="2">
        <v>0</v>
      </c>
      <c r="J14675" s="1">
        <v>45965.503888888888</v>
      </c>
    </row>
    <row r="14676" spans="1:10" x14ac:dyDescent="0.2">
      <c r="A14676" s="4" t="s">
        <v>1</v>
      </c>
      <c r="B1467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76" s="3" t="str">
        <f>HYPERLINK("https://otsuka-europe-crm.veevavault.com/ui/#object/sent_email__v/VBL000000004440", "SE-001380700")</f>
        <v>SE-001380700</v>
      </c>
      <c r="D14676" s="1" t="s">
        <v>0</v>
      </c>
      <c r="E14676" s="2">
        <v>0</v>
      </c>
      <c r="F14676" s="2">
        <v>0</v>
      </c>
      <c r="G14676" s="2">
        <v>0</v>
      </c>
      <c r="H14676" s="1" t="s">
        <v>0</v>
      </c>
      <c r="I14676" s="2">
        <v>0</v>
      </c>
      <c r="J14676" s="1">
        <v>45965.503935185188</v>
      </c>
    </row>
    <row r="14677" spans="1:10" x14ac:dyDescent="0.2">
      <c r="A14677" s="4" t="s">
        <v>1</v>
      </c>
      <c r="B1467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77" s="3" t="str">
        <f>HYPERLINK("https://otsuka-europe-crm.veevavault.com/ui/#object/sent_email__v/VBL000000005779", "SE-001380701")</f>
        <v>SE-001380701</v>
      </c>
      <c r="D14677" s="1" t="s">
        <v>0</v>
      </c>
      <c r="E14677" s="2">
        <v>0</v>
      </c>
      <c r="F14677" s="2">
        <v>0</v>
      </c>
      <c r="G14677" s="2">
        <v>0</v>
      </c>
      <c r="H14677" s="1" t="s">
        <v>0</v>
      </c>
      <c r="I14677" s="2">
        <v>0</v>
      </c>
      <c r="J14677" s="1">
        <v>45965.503217592595</v>
      </c>
    </row>
    <row r="14678" spans="1:10" x14ac:dyDescent="0.2">
      <c r="A14678" s="4" t="s">
        <v>1</v>
      </c>
      <c r="B1467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78" s="3" t="str">
        <f>HYPERLINK("https://otsuka-europe-crm.veevavault.com/ui/#object/sent_email__v/VBL000000005780", "SE-001380702")</f>
        <v>SE-001380702</v>
      </c>
      <c r="D14678" s="1" t="s">
        <v>0</v>
      </c>
      <c r="E14678" s="2">
        <v>0</v>
      </c>
      <c r="F14678" s="2">
        <v>0</v>
      </c>
      <c r="G14678" s="2">
        <v>0</v>
      </c>
      <c r="H14678" s="1" t="s">
        <v>0</v>
      </c>
      <c r="I14678" s="2">
        <v>0</v>
      </c>
      <c r="J14678" s="1">
        <v>45965.503298611111</v>
      </c>
    </row>
    <row r="14679" spans="1:10" x14ac:dyDescent="0.2">
      <c r="A14679" s="4" t="s">
        <v>1</v>
      </c>
      <c r="B1467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79" s="3" t="str">
        <f>HYPERLINK("https://otsuka-europe-crm.veevavault.com/ui/#object/sent_email__v/VBL000000005781", "SE-001380703")</f>
        <v>SE-001380703</v>
      </c>
      <c r="D14679" s="1" t="s">
        <v>0</v>
      </c>
      <c r="E14679" s="2">
        <v>0</v>
      </c>
      <c r="F14679" s="2">
        <v>0</v>
      </c>
      <c r="G14679" s="2">
        <v>0</v>
      </c>
      <c r="H14679" s="1" t="s">
        <v>0</v>
      </c>
      <c r="I14679" s="2">
        <v>0</v>
      </c>
      <c r="J14679" s="1">
        <v>45965.50335648148</v>
      </c>
    </row>
    <row r="14680" spans="1:10" x14ac:dyDescent="0.2">
      <c r="A14680" s="4" t="s">
        <v>1</v>
      </c>
      <c r="B1468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80" s="3" t="str">
        <f>HYPERLINK("https://otsuka-europe-crm.veevavault.com/ui/#object/sent_email__v/VBL000000005782", "SE-001380704")</f>
        <v>SE-001380704</v>
      </c>
      <c r="D14680" s="1" t="s">
        <v>0</v>
      </c>
      <c r="E14680" s="2">
        <v>0</v>
      </c>
      <c r="F14680" s="2">
        <v>0</v>
      </c>
      <c r="G14680" s="2">
        <v>0</v>
      </c>
      <c r="H14680" s="1" t="s">
        <v>0</v>
      </c>
      <c r="I14680" s="2">
        <v>0</v>
      </c>
      <c r="J14680" s="1">
        <v>45965.503437500003</v>
      </c>
    </row>
    <row r="14681" spans="1:10" x14ac:dyDescent="0.2">
      <c r="A14681" s="4" t="s">
        <v>1</v>
      </c>
      <c r="B1468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81" s="3" t="str">
        <f>HYPERLINK("https://otsuka-europe-crm.veevavault.com/ui/#object/sent_email__v/VBL000000005783", "SE-001380705")</f>
        <v>SE-001380705</v>
      </c>
      <c r="D14681" s="1" t="s">
        <v>0</v>
      </c>
      <c r="E14681" s="2">
        <v>0</v>
      </c>
      <c r="F14681" s="2">
        <v>0</v>
      </c>
      <c r="G14681" s="2">
        <v>0</v>
      </c>
      <c r="H14681" s="1" t="s">
        <v>0</v>
      </c>
      <c r="I14681" s="2">
        <v>0</v>
      </c>
      <c r="J14681" s="1">
        <v>45965.503483796296</v>
      </c>
    </row>
    <row r="14682" spans="1:10" x14ac:dyDescent="0.2">
      <c r="A14682" s="4" t="s">
        <v>1</v>
      </c>
      <c r="B1468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82" s="3" t="str">
        <f>HYPERLINK("https://otsuka-europe-crm.veevavault.com/ui/#object/sent_email__v/VBL000000005784", "SE-001380706")</f>
        <v>SE-001380706</v>
      </c>
      <c r="D14682" s="1" t="s">
        <v>0</v>
      </c>
      <c r="E14682" s="2">
        <v>0</v>
      </c>
      <c r="F14682" s="2">
        <v>0</v>
      </c>
      <c r="G14682" s="2">
        <v>0</v>
      </c>
      <c r="H14682" s="1" t="s">
        <v>0</v>
      </c>
      <c r="I14682" s="2">
        <v>0</v>
      </c>
      <c r="J14682" s="1">
        <v>45965.503530092596</v>
      </c>
    </row>
    <row r="14683" spans="1:10" x14ac:dyDescent="0.2">
      <c r="A14683" s="4" t="s">
        <v>1</v>
      </c>
      <c r="B1468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83" s="3" t="str">
        <f>HYPERLINK("https://otsuka-europe-crm.veevavault.com/ui/#object/sent_email__v/VBL000000005785", "SE-001380707")</f>
        <v>SE-001380707</v>
      </c>
      <c r="D14683" s="1" t="s">
        <v>0</v>
      </c>
      <c r="E14683" s="2">
        <v>0</v>
      </c>
      <c r="F14683" s="2">
        <v>0</v>
      </c>
      <c r="G14683" s="2">
        <v>0</v>
      </c>
      <c r="H14683" s="1" t="s">
        <v>0</v>
      </c>
      <c r="I14683" s="2">
        <v>0</v>
      </c>
      <c r="J14683" s="1">
        <v>45965.503587962965</v>
      </c>
    </row>
    <row r="14684" spans="1:10" x14ac:dyDescent="0.2">
      <c r="A14684" s="4" t="s">
        <v>1</v>
      </c>
      <c r="B1468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84" s="3" t="str">
        <f>HYPERLINK("https://otsuka-europe-crm.veevavault.com/ui/#object/sent_email__v/VBL000000005786", "SE-001380708")</f>
        <v>SE-001380708</v>
      </c>
      <c r="D14684" s="1" t="s">
        <v>0</v>
      </c>
      <c r="E14684" s="2">
        <v>0</v>
      </c>
      <c r="F14684" s="2">
        <v>0</v>
      </c>
      <c r="G14684" s="2">
        <v>0</v>
      </c>
      <c r="H14684" s="1" t="s">
        <v>0</v>
      </c>
      <c r="I14684" s="2">
        <v>0</v>
      </c>
      <c r="J14684" s="1">
        <v>45965.503622685188</v>
      </c>
    </row>
    <row r="14685" spans="1:10" x14ac:dyDescent="0.2">
      <c r="A14685" s="4" t="s">
        <v>1</v>
      </c>
      <c r="B1468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85" s="3" t="str">
        <f>HYPERLINK("https://otsuka-europe-crm.veevavault.com/ui/#object/sent_email__v/VBL000000005787", "SE-001380709")</f>
        <v>SE-001380709</v>
      </c>
      <c r="D14685" s="1" t="s">
        <v>0</v>
      </c>
      <c r="E14685" s="2">
        <v>0</v>
      </c>
      <c r="F14685" s="2">
        <v>0</v>
      </c>
      <c r="G14685" s="2">
        <v>0</v>
      </c>
      <c r="H14685" s="1" t="s">
        <v>0</v>
      </c>
      <c r="I14685" s="2">
        <v>0</v>
      </c>
      <c r="J14685" s="1">
        <v>45965.503657407404</v>
      </c>
    </row>
    <row r="14686" spans="1:10" x14ac:dyDescent="0.2">
      <c r="A14686" s="4" t="s">
        <v>1</v>
      </c>
      <c r="B1468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86" s="3" t="str">
        <f>HYPERLINK("https://otsuka-europe-crm.veevavault.com/ui/#object/sent_email__v/VBL000000005788", "SE-001380710")</f>
        <v>SE-001380710</v>
      </c>
      <c r="D14686" s="1" t="s">
        <v>0</v>
      </c>
      <c r="E14686" s="2">
        <v>0</v>
      </c>
      <c r="F14686" s="2">
        <v>0</v>
      </c>
      <c r="G14686" s="2">
        <v>0</v>
      </c>
      <c r="H14686" s="1" t="s">
        <v>0</v>
      </c>
      <c r="I14686" s="2">
        <v>0</v>
      </c>
      <c r="J14686" s="1">
        <v>45965.503703703704</v>
      </c>
    </row>
    <row r="14687" spans="1:10" x14ac:dyDescent="0.2">
      <c r="A14687" s="4" t="s">
        <v>1</v>
      </c>
      <c r="B1468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87" s="3" t="str">
        <f>HYPERLINK("https://otsuka-europe-crm.veevavault.com/ui/#object/sent_email__v/VBL000000005789", "SE-001380711")</f>
        <v>SE-001380711</v>
      </c>
      <c r="D14687" s="1" t="s">
        <v>0</v>
      </c>
      <c r="E14687" s="2">
        <v>0</v>
      </c>
      <c r="F14687" s="2">
        <v>0</v>
      </c>
      <c r="G14687" s="2">
        <v>0</v>
      </c>
      <c r="H14687" s="1" t="s">
        <v>0</v>
      </c>
      <c r="I14687" s="2">
        <v>0</v>
      </c>
      <c r="J14687" s="1">
        <v>45965.503738425927</v>
      </c>
    </row>
    <row r="14688" spans="1:10" x14ac:dyDescent="0.2">
      <c r="A14688" s="4" t="s">
        <v>1</v>
      </c>
      <c r="B1468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88" s="3" t="str">
        <f>HYPERLINK("https://otsuka-europe-crm.veevavault.com/ui/#object/sent_email__v/VBL000000005790", "SE-001380712")</f>
        <v>SE-001380712</v>
      </c>
      <c r="D14688" s="1" t="s">
        <v>0</v>
      </c>
      <c r="E14688" s="2">
        <v>0</v>
      </c>
      <c r="F14688" s="2">
        <v>0</v>
      </c>
      <c r="G14688" s="2">
        <v>0</v>
      </c>
      <c r="H14688" s="1" t="s">
        <v>0</v>
      </c>
      <c r="I14688" s="2">
        <v>0</v>
      </c>
      <c r="J14688" s="1">
        <v>45965.503784722219</v>
      </c>
    </row>
    <row r="14689" spans="1:10" x14ac:dyDescent="0.2">
      <c r="A14689" s="4" t="s">
        <v>1</v>
      </c>
      <c r="B1468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89" s="3" t="str">
        <f>HYPERLINK("https://otsuka-europe-crm.veevavault.com/ui/#object/sent_email__v/VBL000000005791", "SE-001380713")</f>
        <v>SE-001380713</v>
      </c>
      <c r="D14689" s="1" t="s">
        <v>0</v>
      </c>
      <c r="E14689" s="2">
        <v>0</v>
      </c>
      <c r="F14689" s="2">
        <v>0</v>
      </c>
      <c r="G14689" s="2">
        <v>0</v>
      </c>
      <c r="H14689" s="1" t="s">
        <v>0</v>
      </c>
      <c r="I14689" s="2">
        <v>0</v>
      </c>
      <c r="J14689" s="1">
        <v>45965.503831018519</v>
      </c>
    </row>
    <row r="14690" spans="1:10" x14ac:dyDescent="0.2">
      <c r="A14690" s="4" t="s">
        <v>1</v>
      </c>
      <c r="B1469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90" s="3" t="str">
        <f>HYPERLINK("https://otsuka-europe-crm.veevavault.com/ui/#object/sent_email__v/VBL000000005792", "SE-001380714")</f>
        <v>SE-001380714</v>
      </c>
      <c r="D14690" s="1" t="s">
        <v>0</v>
      </c>
      <c r="E14690" s="2">
        <v>0</v>
      </c>
      <c r="F14690" s="2">
        <v>0</v>
      </c>
      <c r="G14690" s="2">
        <v>0</v>
      </c>
      <c r="H14690" s="1" t="s">
        <v>0</v>
      </c>
      <c r="I14690" s="2">
        <v>0</v>
      </c>
      <c r="J14690" s="1">
        <v>45965.503865740742</v>
      </c>
    </row>
    <row r="14691" spans="1:10" x14ac:dyDescent="0.2">
      <c r="A14691" s="4" t="s">
        <v>1</v>
      </c>
      <c r="B1469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91" s="3" t="str">
        <f>HYPERLINK("https://otsuka-europe-crm.veevavault.com/ui/#object/sent_email__v/VBL000000005793", "SE-001380715")</f>
        <v>SE-001380715</v>
      </c>
      <c r="D14691" s="1" t="s">
        <v>0</v>
      </c>
      <c r="E14691" s="2">
        <v>0</v>
      </c>
      <c r="F14691" s="2">
        <v>0</v>
      </c>
      <c r="G14691" s="2">
        <v>0</v>
      </c>
      <c r="H14691" s="1" t="s">
        <v>0</v>
      </c>
      <c r="I14691" s="2">
        <v>0</v>
      </c>
      <c r="J14691" s="1">
        <v>45965.503923611112</v>
      </c>
    </row>
    <row r="14692" spans="1:10" x14ac:dyDescent="0.2">
      <c r="A14692" s="4" t="s">
        <v>1</v>
      </c>
      <c r="B1469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92" s="3" t="str">
        <f>HYPERLINK("https://otsuka-europe-crm.veevavault.com/ui/#object/sent_email__v/VBL000000005794", "SE-001380716")</f>
        <v>SE-001380716</v>
      </c>
      <c r="D14692" s="1" t="s">
        <v>0</v>
      </c>
      <c r="E14692" s="2">
        <v>0</v>
      </c>
      <c r="F14692" s="2">
        <v>0</v>
      </c>
      <c r="G14692" s="2">
        <v>0</v>
      </c>
      <c r="H14692" s="1" t="s">
        <v>0</v>
      </c>
      <c r="I14692" s="2">
        <v>0</v>
      </c>
      <c r="J14692" s="1">
        <v>45965.503958333335</v>
      </c>
    </row>
    <row r="14693" spans="1:10" x14ac:dyDescent="0.2">
      <c r="A14693" s="4" t="s">
        <v>1</v>
      </c>
      <c r="B1469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93" s="3" t="str">
        <f>HYPERLINK("https://otsuka-europe-crm.veevavault.com/ui/#object/sent_email__v/VBL000000005795", "SE-001380717")</f>
        <v>SE-001380717</v>
      </c>
      <c r="D14693" s="1" t="s">
        <v>0</v>
      </c>
      <c r="E14693" s="2">
        <v>0</v>
      </c>
      <c r="F14693" s="2">
        <v>0</v>
      </c>
      <c r="G14693" s="2">
        <v>0</v>
      </c>
      <c r="H14693" s="1" t="s">
        <v>0</v>
      </c>
      <c r="I14693" s="2">
        <v>0</v>
      </c>
      <c r="J14693" s="1">
        <v>45965.503993055558</v>
      </c>
    </row>
    <row r="14694" spans="1:10" x14ac:dyDescent="0.2">
      <c r="A14694" s="4" t="s">
        <v>1</v>
      </c>
      <c r="B1469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94" s="3" t="str">
        <f>HYPERLINK("https://otsuka-europe-crm.veevavault.com/ui/#object/sent_email__v/VBL000000005796", "SE-001380718")</f>
        <v>SE-001380718</v>
      </c>
      <c r="D14694" s="1" t="s">
        <v>0</v>
      </c>
      <c r="E14694" s="2">
        <v>0</v>
      </c>
      <c r="F14694" s="2">
        <v>0</v>
      </c>
      <c r="G14694" s="2">
        <v>0</v>
      </c>
      <c r="H14694" s="1" t="s">
        <v>0</v>
      </c>
      <c r="I14694" s="2">
        <v>0</v>
      </c>
      <c r="J14694" s="1">
        <v>45965.50403935185</v>
      </c>
    </row>
    <row r="14695" spans="1:10" x14ac:dyDescent="0.2">
      <c r="A14695" s="4" t="s">
        <v>1</v>
      </c>
      <c r="B1469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95" s="3" t="str">
        <f>HYPERLINK("https://otsuka-europe-crm.veevavault.com/ui/#object/sent_email__v/VBL000000005797", "SE-001380719")</f>
        <v>SE-001380719</v>
      </c>
      <c r="D14695" s="1" t="s">
        <v>0</v>
      </c>
      <c r="E14695" s="2">
        <v>0</v>
      </c>
      <c r="F14695" s="2">
        <v>0</v>
      </c>
      <c r="G14695" s="2">
        <v>0</v>
      </c>
      <c r="H14695" s="1" t="s">
        <v>0</v>
      </c>
      <c r="I14695" s="2">
        <v>0</v>
      </c>
      <c r="J14695" s="1">
        <v>45965.504074074073</v>
      </c>
    </row>
    <row r="14696" spans="1:10" x14ac:dyDescent="0.2">
      <c r="A14696" s="4" t="s">
        <v>1</v>
      </c>
      <c r="B1469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96" s="3" t="str">
        <f>HYPERLINK("https://otsuka-europe-crm.veevavault.com/ui/#object/sent_email__v/VBL000000005798", "SE-001380720")</f>
        <v>SE-001380720</v>
      </c>
      <c r="D14696" s="1" t="s">
        <v>0</v>
      </c>
      <c r="E14696" s="2">
        <v>0</v>
      </c>
      <c r="F14696" s="2">
        <v>0</v>
      </c>
      <c r="G14696" s="2">
        <v>0</v>
      </c>
      <c r="H14696" s="1" t="s">
        <v>0</v>
      </c>
      <c r="I14696" s="2">
        <v>0</v>
      </c>
      <c r="J14696" s="1">
        <v>45965.504108796296</v>
      </c>
    </row>
    <row r="14697" spans="1:10" x14ac:dyDescent="0.2">
      <c r="A14697" s="4" t="s">
        <v>1</v>
      </c>
      <c r="B1469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97" s="3" t="str">
        <f>HYPERLINK("https://otsuka-europe-crm.veevavault.com/ui/#object/sent_email__v/VBL000000005799", "SE-001380721")</f>
        <v>SE-001380721</v>
      </c>
      <c r="D14697" s="1" t="s">
        <v>0</v>
      </c>
      <c r="E14697" s="2">
        <v>0</v>
      </c>
      <c r="F14697" s="2">
        <v>0</v>
      </c>
      <c r="G14697" s="2">
        <v>0</v>
      </c>
      <c r="H14697" s="1" t="s">
        <v>0</v>
      </c>
      <c r="I14697" s="2">
        <v>0</v>
      </c>
      <c r="J14697" s="1">
        <v>45965.504155092596</v>
      </c>
    </row>
    <row r="14698" spans="1:10" x14ac:dyDescent="0.2">
      <c r="A14698" s="4" t="s">
        <v>1</v>
      </c>
      <c r="B1469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98" s="3" t="str">
        <f>HYPERLINK("https://otsuka-europe-crm.veevavault.com/ui/#object/sent_email__v/VBL000000005800", "SE-001380722")</f>
        <v>SE-001380722</v>
      </c>
      <c r="D14698" s="1" t="s">
        <v>0</v>
      </c>
      <c r="E14698" s="2">
        <v>0</v>
      </c>
      <c r="F14698" s="2">
        <v>0</v>
      </c>
      <c r="G14698" s="2">
        <v>0</v>
      </c>
      <c r="H14698" s="1" t="s">
        <v>0</v>
      </c>
      <c r="I14698" s="2">
        <v>0</v>
      </c>
      <c r="J14698" s="1">
        <v>45965.504201388889</v>
      </c>
    </row>
    <row r="14699" spans="1:10" x14ac:dyDescent="0.2">
      <c r="A14699" s="4" t="s">
        <v>1</v>
      </c>
      <c r="B1469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699" s="3" t="str">
        <f>HYPERLINK("https://otsuka-europe-crm.veevavault.com/ui/#object/sent_email__v/VBL000000005801", "SE-001380723")</f>
        <v>SE-001380723</v>
      </c>
      <c r="D14699" s="1">
        <v>45965.563402777778</v>
      </c>
      <c r="E14699" s="2">
        <v>1</v>
      </c>
      <c r="F14699" s="2">
        <v>1</v>
      </c>
      <c r="G14699" s="2">
        <v>0</v>
      </c>
      <c r="H14699" s="1" t="s">
        <v>0</v>
      </c>
      <c r="I14699" s="2">
        <v>0</v>
      </c>
      <c r="J14699" s="1">
        <v>45965.504236111112</v>
      </c>
    </row>
    <row r="14700" spans="1:10" x14ac:dyDescent="0.2">
      <c r="A14700" s="4" t="s">
        <v>1</v>
      </c>
      <c r="B1470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00" s="3" t="str">
        <f>HYPERLINK("https://otsuka-europe-crm.veevavault.com/ui/#object/sent_email__v/VBL000000005802", "SE-001380724")</f>
        <v>SE-001380724</v>
      </c>
      <c r="D14700" s="1">
        <v>45965.590543981481</v>
      </c>
      <c r="E14700" s="2">
        <v>1</v>
      </c>
      <c r="F14700" s="2">
        <v>1</v>
      </c>
      <c r="G14700" s="2">
        <v>0</v>
      </c>
      <c r="H14700" s="1" t="s">
        <v>0</v>
      </c>
      <c r="I14700" s="2">
        <v>0</v>
      </c>
      <c r="J14700" s="1">
        <v>45965.504293981481</v>
      </c>
    </row>
    <row r="14701" spans="1:10" x14ac:dyDescent="0.2">
      <c r="A14701" s="4" t="s">
        <v>1</v>
      </c>
      <c r="B1470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01" s="3" t="str">
        <f>HYPERLINK("https://otsuka-europe-crm.veevavault.com/ui/#object/sent_email__v/VBL000000005803", "SE-001380725")</f>
        <v>SE-001380725</v>
      </c>
      <c r="D14701" s="1" t="s">
        <v>0</v>
      </c>
      <c r="E14701" s="2">
        <v>0</v>
      </c>
      <c r="F14701" s="2">
        <v>0</v>
      </c>
      <c r="G14701" s="2">
        <v>0</v>
      </c>
      <c r="H14701" s="1" t="s">
        <v>0</v>
      </c>
      <c r="I14701" s="2">
        <v>0</v>
      </c>
      <c r="J14701" s="1">
        <v>45965.504328703704</v>
      </c>
    </row>
    <row r="14702" spans="1:10" x14ac:dyDescent="0.2">
      <c r="A14702" s="4" t="s">
        <v>1</v>
      </c>
      <c r="B1470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02" s="3" t="str">
        <f>HYPERLINK("https://otsuka-europe-crm.veevavault.com/ui/#object/sent_email__v/VBL000000005804", "SE-001380726")</f>
        <v>SE-001380726</v>
      </c>
      <c r="D14702" s="1" t="s">
        <v>0</v>
      </c>
      <c r="E14702" s="2">
        <v>0</v>
      </c>
      <c r="F14702" s="2">
        <v>0</v>
      </c>
      <c r="G14702" s="2">
        <v>0</v>
      </c>
      <c r="H14702" s="1" t="s">
        <v>0</v>
      </c>
      <c r="I14702" s="2">
        <v>0</v>
      </c>
      <c r="J14702" s="1">
        <v>45965.504363425927</v>
      </c>
    </row>
    <row r="14703" spans="1:10" x14ac:dyDescent="0.2">
      <c r="A14703" s="4" t="s">
        <v>1</v>
      </c>
      <c r="B1470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03" s="3" t="str">
        <f>HYPERLINK("https://otsuka-europe-crm.veevavault.com/ui/#object/sent_email__v/VBL000000005805", "SE-001380727")</f>
        <v>SE-001380727</v>
      </c>
      <c r="D14703" s="1" t="s">
        <v>0</v>
      </c>
      <c r="E14703" s="2">
        <v>0</v>
      </c>
      <c r="F14703" s="2">
        <v>0</v>
      </c>
      <c r="G14703" s="2">
        <v>0</v>
      </c>
      <c r="H14703" s="1" t="s">
        <v>0</v>
      </c>
      <c r="I14703" s="2">
        <v>0</v>
      </c>
      <c r="J14703" s="1">
        <v>45965.50440972222</v>
      </c>
    </row>
    <row r="14704" spans="1:10" x14ac:dyDescent="0.2">
      <c r="A14704" s="4" t="s">
        <v>1</v>
      </c>
      <c r="B1470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04" s="3" t="str">
        <f>HYPERLINK("https://otsuka-europe-crm.veevavault.com/ui/#object/sent_email__v/VBL000000005806", "SE-001380728")</f>
        <v>SE-001380728</v>
      </c>
      <c r="D14704" s="1" t="s">
        <v>0</v>
      </c>
      <c r="E14704" s="2">
        <v>0</v>
      </c>
      <c r="F14704" s="2">
        <v>0</v>
      </c>
      <c r="G14704" s="2">
        <v>0</v>
      </c>
      <c r="H14704" s="1" t="s">
        <v>0</v>
      </c>
      <c r="I14704" s="2">
        <v>0</v>
      </c>
      <c r="J14704" s="1">
        <v>45965.504444444443</v>
      </c>
    </row>
    <row r="14705" spans="1:10" x14ac:dyDescent="0.2">
      <c r="A14705" s="4" t="s">
        <v>1</v>
      </c>
      <c r="B1470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05" s="3" t="str">
        <f>HYPERLINK("https://otsuka-europe-crm.veevavault.com/ui/#object/sent_email__v/VBL000000005807", "SE-001380729")</f>
        <v>SE-001380729</v>
      </c>
      <c r="D14705" s="1" t="s">
        <v>0</v>
      </c>
      <c r="E14705" s="2">
        <v>0</v>
      </c>
      <c r="F14705" s="2">
        <v>0</v>
      </c>
      <c r="G14705" s="2">
        <v>0</v>
      </c>
      <c r="H14705" s="1" t="s">
        <v>0</v>
      </c>
      <c r="I14705" s="2">
        <v>0</v>
      </c>
      <c r="J14705" s="1">
        <v>45965.504490740743</v>
      </c>
    </row>
    <row r="14706" spans="1:10" x14ac:dyDescent="0.2">
      <c r="A14706" s="4" t="s">
        <v>1</v>
      </c>
      <c r="B1470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06" s="3" t="str">
        <f>HYPERLINK("https://otsuka-europe-crm.veevavault.com/ui/#object/sent_email__v/VBL000000005808", "SE-001380730")</f>
        <v>SE-001380730</v>
      </c>
      <c r="D14706" s="1" t="s">
        <v>0</v>
      </c>
      <c r="E14706" s="2">
        <v>0</v>
      </c>
      <c r="F14706" s="2">
        <v>0</v>
      </c>
      <c r="G14706" s="2">
        <v>0</v>
      </c>
      <c r="H14706" s="1" t="s">
        <v>0</v>
      </c>
      <c r="I14706" s="2">
        <v>0</v>
      </c>
      <c r="J14706" s="1">
        <v>45965.504537037035</v>
      </c>
    </row>
    <row r="14707" spans="1:10" x14ac:dyDescent="0.2">
      <c r="A14707" s="4" t="s">
        <v>1</v>
      </c>
      <c r="B1470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07" s="3" t="str">
        <f>HYPERLINK("https://otsuka-europe-crm.veevavault.com/ui/#object/sent_email__v/VBL000000005809", "SE-001380731")</f>
        <v>SE-001380731</v>
      </c>
      <c r="D14707" s="1" t="s">
        <v>0</v>
      </c>
      <c r="E14707" s="2">
        <v>0</v>
      </c>
      <c r="F14707" s="2">
        <v>0</v>
      </c>
      <c r="G14707" s="2">
        <v>0</v>
      </c>
      <c r="H14707" s="1" t="s">
        <v>0</v>
      </c>
      <c r="I14707" s="2">
        <v>0</v>
      </c>
      <c r="J14707" s="1">
        <v>45965.504583333335</v>
      </c>
    </row>
    <row r="14708" spans="1:10" x14ac:dyDescent="0.2">
      <c r="A14708" s="4" t="s">
        <v>1</v>
      </c>
      <c r="B1470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08" s="3" t="str">
        <f>HYPERLINK("https://otsuka-europe-crm.veevavault.com/ui/#object/sent_email__v/VBL000000005810", "SE-001380732")</f>
        <v>SE-001380732</v>
      </c>
      <c r="D14708" s="1" t="s">
        <v>0</v>
      </c>
      <c r="E14708" s="2">
        <v>0</v>
      </c>
      <c r="F14708" s="2">
        <v>0</v>
      </c>
      <c r="G14708" s="2">
        <v>0</v>
      </c>
      <c r="H14708" s="1" t="s">
        <v>0</v>
      </c>
      <c r="I14708" s="2">
        <v>0</v>
      </c>
      <c r="J14708" s="1">
        <v>45965.504618055558</v>
      </c>
    </row>
    <row r="14709" spans="1:10" x14ac:dyDescent="0.2">
      <c r="A14709" s="4" t="s">
        <v>1</v>
      </c>
      <c r="B1470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09" s="3" t="str">
        <f>HYPERLINK("https://otsuka-europe-crm.veevavault.com/ui/#object/sent_email__v/VBL000000005811", "SE-001380733")</f>
        <v>SE-001380733</v>
      </c>
      <c r="D14709" s="1" t="s">
        <v>0</v>
      </c>
      <c r="E14709" s="2">
        <v>0</v>
      </c>
      <c r="F14709" s="2">
        <v>0</v>
      </c>
      <c r="G14709" s="2">
        <v>0</v>
      </c>
      <c r="H14709" s="1" t="s">
        <v>0</v>
      </c>
      <c r="I14709" s="2">
        <v>0</v>
      </c>
      <c r="J14709" s="1">
        <v>45965.504675925928</v>
      </c>
    </row>
    <row r="14710" spans="1:10" x14ac:dyDescent="0.2">
      <c r="A14710" s="4" t="s">
        <v>1</v>
      </c>
      <c r="B1471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10" s="3" t="str">
        <f>HYPERLINK("https://otsuka-europe-crm.veevavault.com/ui/#object/sent_email__v/VBL000000005812", "SE-001380734")</f>
        <v>SE-001380734</v>
      </c>
      <c r="D14710" s="1" t="s">
        <v>0</v>
      </c>
      <c r="E14710" s="2">
        <v>0</v>
      </c>
      <c r="F14710" s="2">
        <v>0</v>
      </c>
      <c r="G14710" s="2">
        <v>0</v>
      </c>
      <c r="H14710" s="1" t="s">
        <v>0</v>
      </c>
      <c r="I14710" s="2">
        <v>0</v>
      </c>
      <c r="J14710" s="1">
        <v>45965.504710648151</v>
      </c>
    </row>
    <row r="14711" spans="1:10" x14ac:dyDescent="0.2">
      <c r="A14711" s="4" t="s">
        <v>1</v>
      </c>
      <c r="B1471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11" s="3" t="str">
        <f>HYPERLINK("https://otsuka-europe-crm.veevavault.com/ui/#object/sent_email__v/VBL000000005813", "SE-001380735")</f>
        <v>SE-001380735</v>
      </c>
      <c r="D14711" s="1" t="s">
        <v>0</v>
      </c>
      <c r="E14711" s="2">
        <v>0</v>
      </c>
      <c r="F14711" s="2">
        <v>0</v>
      </c>
      <c r="G14711" s="2">
        <v>0</v>
      </c>
      <c r="H14711" s="1" t="s">
        <v>0</v>
      </c>
      <c r="I14711" s="2">
        <v>0</v>
      </c>
      <c r="J14711" s="1">
        <v>45965.504745370374</v>
      </c>
    </row>
    <row r="14712" spans="1:10" x14ac:dyDescent="0.2">
      <c r="A14712" s="4" t="s">
        <v>1</v>
      </c>
      <c r="B1471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12" s="3" t="str">
        <f>HYPERLINK("https://otsuka-europe-crm.veevavault.com/ui/#object/sent_email__v/VBL000000005814", "SE-001380736")</f>
        <v>SE-001380736</v>
      </c>
      <c r="D14712" s="1" t="s">
        <v>0</v>
      </c>
      <c r="E14712" s="2">
        <v>0</v>
      </c>
      <c r="F14712" s="2">
        <v>0</v>
      </c>
      <c r="G14712" s="2">
        <v>0</v>
      </c>
      <c r="H14712" s="1" t="s">
        <v>0</v>
      </c>
      <c r="I14712" s="2">
        <v>0</v>
      </c>
      <c r="J14712" s="1">
        <v>45965.504803240743</v>
      </c>
    </row>
    <row r="14713" spans="1:10" x14ac:dyDescent="0.2">
      <c r="A14713" s="4" t="s">
        <v>1</v>
      </c>
      <c r="B1471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13" s="3" t="str">
        <f>HYPERLINK("https://otsuka-europe-crm.veevavault.com/ui/#object/sent_email__v/VBL000000005815", "SE-001380737")</f>
        <v>SE-001380737</v>
      </c>
      <c r="D14713" s="1">
        <v>45965.870613425926</v>
      </c>
      <c r="E14713" s="2">
        <v>1</v>
      </c>
      <c r="F14713" s="2">
        <v>1</v>
      </c>
      <c r="G14713" s="2">
        <v>0</v>
      </c>
      <c r="H14713" s="1" t="s">
        <v>0</v>
      </c>
      <c r="I14713" s="2">
        <v>0</v>
      </c>
      <c r="J14713" s="1">
        <v>45965.504837962966</v>
      </c>
    </row>
    <row r="14714" spans="1:10" x14ac:dyDescent="0.2">
      <c r="A14714" s="4" t="s">
        <v>1</v>
      </c>
      <c r="B1471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14" s="3" t="str">
        <f>HYPERLINK("https://otsuka-europe-crm.veevavault.com/ui/#object/sent_email__v/VBL000000005816", "SE-001380738")</f>
        <v>SE-001380738</v>
      </c>
      <c r="D14714" s="1" t="s">
        <v>0</v>
      </c>
      <c r="E14714" s="2">
        <v>0</v>
      </c>
      <c r="F14714" s="2">
        <v>0</v>
      </c>
      <c r="G14714" s="2">
        <v>0</v>
      </c>
      <c r="H14714" s="1" t="s">
        <v>0</v>
      </c>
      <c r="I14714" s="2">
        <v>0</v>
      </c>
      <c r="J14714" s="1">
        <v>45965.504872685182</v>
      </c>
    </row>
    <row r="14715" spans="1:10" x14ac:dyDescent="0.2">
      <c r="A14715" s="4" t="s">
        <v>1</v>
      </c>
      <c r="B1471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15" s="3" t="str">
        <f>HYPERLINK("https://otsuka-europe-crm.veevavault.com/ui/#object/sent_email__v/VBL000000005817", "SE-001380739")</f>
        <v>SE-001380739</v>
      </c>
      <c r="D14715" s="1" t="s">
        <v>0</v>
      </c>
      <c r="E14715" s="2">
        <v>0</v>
      </c>
      <c r="F14715" s="2">
        <v>0</v>
      </c>
      <c r="G14715" s="2">
        <v>0</v>
      </c>
      <c r="H14715" s="1" t="s">
        <v>0</v>
      </c>
      <c r="I14715" s="2">
        <v>0</v>
      </c>
      <c r="J14715" s="1">
        <v>45965.504930555559</v>
      </c>
    </row>
    <row r="14716" spans="1:10" x14ac:dyDescent="0.2">
      <c r="A14716" s="4" t="s">
        <v>1</v>
      </c>
      <c r="B1471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16" s="3" t="str">
        <f>HYPERLINK("https://otsuka-europe-crm.veevavault.com/ui/#object/sent_email__v/VBL000000005818", "SE-001380740")</f>
        <v>SE-001380740</v>
      </c>
      <c r="D14716" s="1">
        <v>45965.959837962961</v>
      </c>
      <c r="E14716" s="2">
        <v>1</v>
      </c>
      <c r="F14716" s="2">
        <v>1</v>
      </c>
      <c r="G14716" s="2">
        <v>0</v>
      </c>
      <c r="H14716" s="1" t="s">
        <v>0</v>
      </c>
      <c r="I14716" s="2">
        <v>0</v>
      </c>
      <c r="J14716" s="1">
        <v>45965.504965277774</v>
      </c>
    </row>
    <row r="14717" spans="1:10" x14ac:dyDescent="0.2">
      <c r="A14717" s="4" t="s">
        <v>1</v>
      </c>
      <c r="B1471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17" s="3" t="str">
        <f>HYPERLINK("https://otsuka-europe-crm.veevavault.com/ui/#object/sent_email__v/VBL000000005819", "SE-001380741")</f>
        <v>SE-001380741</v>
      </c>
      <c r="D14717" s="1" t="s">
        <v>0</v>
      </c>
      <c r="E14717" s="2">
        <v>0</v>
      </c>
      <c r="F14717" s="2">
        <v>0</v>
      </c>
      <c r="G14717" s="2">
        <v>0</v>
      </c>
      <c r="H14717" s="1" t="s">
        <v>0</v>
      </c>
      <c r="I14717" s="2">
        <v>0</v>
      </c>
      <c r="J14717" s="1">
        <v>45965.505011574074</v>
      </c>
    </row>
    <row r="14718" spans="1:10" x14ac:dyDescent="0.2">
      <c r="A14718" s="4" t="s">
        <v>1</v>
      </c>
      <c r="B1471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18" s="3" t="str">
        <f>HYPERLINK("https://otsuka-europe-crm.veevavault.com/ui/#object/sent_email__v/VBL000000005820", "SE-001380742")</f>
        <v>SE-001380742</v>
      </c>
      <c r="D14718" s="1" t="s">
        <v>0</v>
      </c>
      <c r="E14718" s="2">
        <v>0</v>
      </c>
      <c r="F14718" s="2">
        <v>0</v>
      </c>
      <c r="G14718" s="2">
        <v>0</v>
      </c>
      <c r="H14718" s="1" t="s">
        <v>0</v>
      </c>
      <c r="I14718" s="2">
        <v>0</v>
      </c>
      <c r="J14718" s="1">
        <v>45965.50503472222</v>
      </c>
    </row>
    <row r="14719" spans="1:10" x14ac:dyDescent="0.2">
      <c r="A14719" s="4" t="s">
        <v>1</v>
      </c>
      <c r="B1471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19" s="3" t="str">
        <f>HYPERLINK("https://otsuka-europe-crm.veevavault.com/ui/#object/sent_email__v/VBL000000005821", "SE-001380743")</f>
        <v>SE-001380743</v>
      </c>
      <c r="D14719" s="1" t="s">
        <v>0</v>
      </c>
      <c r="E14719" s="2">
        <v>0</v>
      </c>
      <c r="F14719" s="2">
        <v>0</v>
      </c>
      <c r="G14719" s="2">
        <v>0</v>
      </c>
      <c r="H14719" s="1" t="s">
        <v>0</v>
      </c>
      <c r="I14719" s="2">
        <v>0</v>
      </c>
      <c r="J14719" s="1">
        <v>45965.50508101852</v>
      </c>
    </row>
    <row r="14720" spans="1:10" x14ac:dyDescent="0.2">
      <c r="A14720" s="4" t="s">
        <v>1</v>
      </c>
      <c r="B1472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20" s="3" t="str">
        <f>HYPERLINK("https://otsuka-europe-crm.veevavault.com/ui/#object/sent_email__v/VBL000000005822", "SE-001380744")</f>
        <v>SE-001380744</v>
      </c>
      <c r="D14720" s="1">
        <v>45966.616006944445</v>
      </c>
      <c r="E14720" s="2">
        <v>1</v>
      </c>
      <c r="F14720" s="2">
        <v>1</v>
      </c>
      <c r="G14720" s="2">
        <v>0</v>
      </c>
      <c r="H14720" s="1" t="s">
        <v>0</v>
      </c>
      <c r="I14720" s="2">
        <v>0</v>
      </c>
      <c r="J14720" s="1">
        <v>45965.505127314813</v>
      </c>
    </row>
    <row r="14721" spans="1:10" x14ac:dyDescent="0.2">
      <c r="A14721" s="4" t="s">
        <v>1</v>
      </c>
      <c r="B1472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21" s="3" t="str">
        <f>HYPERLINK("https://otsuka-europe-crm.veevavault.com/ui/#object/sent_email__v/VBL000000005823", "SE-001380745")</f>
        <v>SE-001380745</v>
      </c>
      <c r="D14721" s="1" t="s">
        <v>0</v>
      </c>
      <c r="E14721" s="2">
        <v>0</v>
      </c>
      <c r="F14721" s="2">
        <v>0</v>
      </c>
      <c r="G14721" s="2">
        <v>0</v>
      </c>
      <c r="H14721" s="1" t="s">
        <v>0</v>
      </c>
      <c r="I14721" s="2">
        <v>0</v>
      </c>
      <c r="J14721" s="1">
        <v>45965.505162037036</v>
      </c>
    </row>
    <row r="14722" spans="1:10" x14ac:dyDescent="0.2">
      <c r="A14722" s="4" t="s">
        <v>1</v>
      </c>
      <c r="B1472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22" s="3" t="str">
        <f>HYPERLINK("https://otsuka-europe-crm.veevavault.com/ui/#object/sent_email__v/VBL000000005824", "SE-001380746")</f>
        <v>SE-001380746</v>
      </c>
      <c r="D14722" s="1" t="s">
        <v>0</v>
      </c>
      <c r="E14722" s="2">
        <v>0</v>
      </c>
      <c r="F14722" s="2">
        <v>0</v>
      </c>
      <c r="G14722" s="2">
        <v>0</v>
      </c>
      <c r="H14722" s="1" t="s">
        <v>0</v>
      </c>
      <c r="I14722" s="2">
        <v>0</v>
      </c>
      <c r="J14722" s="1">
        <v>45965.505196759259</v>
      </c>
    </row>
    <row r="14723" spans="1:10" x14ac:dyDescent="0.2">
      <c r="A14723" s="4" t="s">
        <v>1</v>
      </c>
      <c r="B1472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23" s="3" t="str">
        <f>HYPERLINK("https://otsuka-europe-crm.veevavault.com/ui/#object/sent_email__v/VBL000000005825", "SE-001380747")</f>
        <v>SE-001380747</v>
      </c>
      <c r="D14723" s="1" t="s">
        <v>0</v>
      </c>
      <c r="E14723" s="2">
        <v>0</v>
      </c>
      <c r="F14723" s="2">
        <v>0</v>
      </c>
      <c r="G14723" s="2">
        <v>0</v>
      </c>
      <c r="H14723" s="1" t="s">
        <v>0</v>
      </c>
      <c r="I14723" s="2">
        <v>0</v>
      </c>
      <c r="J14723" s="1">
        <v>45965.505243055559</v>
      </c>
    </row>
    <row r="14724" spans="1:10" x14ac:dyDescent="0.2">
      <c r="A14724" s="4" t="s">
        <v>1</v>
      </c>
      <c r="B1472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24" s="3" t="str">
        <f>HYPERLINK("https://otsuka-europe-crm.veevavault.com/ui/#object/sent_email__v/VBL000000005826", "SE-001380748")</f>
        <v>SE-001380748</v>
      </c>
      <c r="D14724" s="1">
        <v>45966.090162037035</v>
      </c>
      <c r="E14724" s="2">
        <v>1</v>
      </c>
      <c r="F14724" s="2">
        <v>1</v>
      </c>
      <c r="G14724" s="2">
        <v>0</v>
      </c>
      <c r="H14724" s="1" t="s">
        <v>0</v>
      </c>
      <c r="I14724" s="2">
        <v>0</v>
      </c>
      <c r="J14724" s="1">
        <v>45965.505277777775</v>
      </c>
    </row>
    <row r="14725" spans="1:10" x14ac:dyDescent="0.2">
      <c r="A14725" s="4" t="s">
        <v>1</v>
      </c>
      <c r="B1472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25" s="3" t="str">
        <f>HYPERLINK("https://otsuka-europe-crm.veevavault.com/ui/#object/sent_email__v/VBL000000005827", "SE-001380749")</f>
        <v>SE-001380749</v>
      </c>
      <c r="D14725" s="1" t="s">
        <v>0</v>
      </c>
      <c r="E14725" s="2">
        <v>0</v>
      </c>
      <c r="F14725" s="2">
        <v>0</v>
      </c>
      <c r="G14725" s="2">
        <v>0</v>
      </c>
      <c r="H14725" s="1" t="s">
        <v>0</v>
      </c>
      <c r="I14725" s="2">
        <v>0</v>
      </c>
      <c r="J14725" s="1">
        <v>45965.505312499998</v>
      </c>
    </row>
    <row r="14726" spans="1:10" x14ac:dyDescent="0.2">
      <c r="A14726" s="4" t="s">
        <v>1</v>
      </c>
      <c r="B1472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26" s="3" t="str">
        <f>HYPERLINK("https://otsuka-europe-crm.veevavault.com/ui/#object/sent_email__v/VBL000000005828", "SE-001380750")</f>
        <v>SE-001380750</v>
      </c>
      <c r="D14726" s="1">
        <v>45965.505694444444</v>
      </c>
      <c r="E14726" s="2">
        <v>1</v>
      </c>
      <c r="F14726" s="2">
        <v>2</v>
      </c>
      <c r="G14726" s="2">
        <v>0</v>
      </c>
      <c r="H14726" s="1" t="s">
        <v>0</v>
      </c>
      <c r="I14726" s="2">
        <v>0</v>
      </c>
      <c r="J14726" s="1">
        <v>45965.505358796298</v>
      </c>
    </row>
    <row r="14727" spans="1:10" x14ac:dyDescent="0.2">
      <c r="A14727" s="4" t="s">
        <v>1</v>
      </c>
      <c r="B1472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27" s="3" t="str">
        <f>HYPERLINK("https://otsuka-europe-crm.veevavault.com/ui/#object/sent_email__v/VBL000000005829", "SE-001380751")</f>
        <v>SE-001380751</v>
      </c>
      <c r="D14727" s="1" t="s">
        <v>0</v>
      </c>
      <c r="E14727" s="2">
        <v>0</v>
      </c>
      <c r="F14727" s="2">
        <v>0</v>
      </c>
      <c r="G14727" s="2">
        <v>0</v>
      </c>
      <c r="H14727" s="1" t="s">
        <v>0</v>
      </c>
      <c r="I14727" s="2">
        <v>0</v>
      </c>
      <c r="J14727" s="1">
        <v>45965.505393518521</v>
      </c>
    </row>
    <row r="14728" spans="1:10" x14ac:dyDescent="0.2">
      <c r="A14728" s="4" t="s">
        <v>1</v>
      </c>
      <c r="B1472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28" s="3" t="str">
        <f>HYPERLINK("https://otsuka-europe-crm.veevavault.com/ui/#object/sent_email__v/VBL000000005830", "SE-001380752")</f>
        <v>SE-001380752</v>
      </c>
      <c r="D14728" s="1" t="s">
        <v>0</v>
      </c>
      <c r="E14728" s="2">
        <v>0</v>
      </c>
      <c r="F14728" s="2">
        <v>0</v>
      </c>
      <c r="G14728" s="2">
        <v>0</v>
      </c>
      <c r="H14728" s="1" t="s">
        <v>0</v>
      </c>
      <c r="I14728" s="2">
        <v>0</v>
      </c>
      <c r="J14728" s="1">
        <v>45965.50545138889</v>
      </c>
    </row>
    <row r="14729" spans="1:10" x14ac:dyDescent="0.2">
      <c r="A14729" s="4" t="s">
        <v>1</v>
      </c>
      <c r="B1472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29" s="3" t="str">
        <f>HYPERLINK("https://otsuka-europe-crm.veevavault.com/ui/#object/sent_email__v/VBL000000005831", "SE-001380753")</f>
        <v>SE-001380753</v>
      </c>
      <c r="D14729" s="1" t="s">
        <v>0</v>
      </c>
      <c r="E14729" s="2">
        <v>0</v>
      </c>
      <c r="F14729" s="2">
        <v>0</v>
      </c>
      <c r="G14729" s="2">
        <v>0</v>
      </c>
      <c r="H14729" s="1" t="s">
        <v>0</v>
      </c>
      <c r="I14729" s="2">
        <v>0</v>
      </c>
      <c r="J14729" s="1">
        <v>45965.505486111113</v>
      </c>
    </row>
    <row r="14730" spans="1:10" x14ac:dyDescent="0.2">
      <c r="A14730" s="4" t="s">
        <v>1</v>
      </c>
      <c r="B1473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30" s="3" t="str">
        <f>HYPERLINK("https://otsuka-europe-crm.veevavault.com/ui/#object/sent_email__v/VBL000000005832", "SE-001380754")</f>
        <v>SE-001380754</v>
      </c>
      <c r="D14730" s="1" t="s">
        <v>0</v>
      </c>
      <c r="E14730" s="2">
        <v>0</v>
      </c>
      <c r="F14730" s="2">
        <v>0</v>
      </c>
      <c r="G14730" s="2">
        <v>0</v>
      </c>
      <c r="H14730" s="1" t="s">
        <v>0</v>
      </c>
      <c r="I14730" s="2">
        <v>0</v>
      </c>
      <c r="J14730" s="1">
        <v>45965.505509259259</v>
      </c>
    </row>
    <row r="14731" spans="1:10" x14ac:dyDescent="0.2">
      <c r="A14731" s="4" t="s">
        <v>1</v>
      </c>
      <c r="B1473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31" s="3" t="str">
        <f>HYPERLINK("https://otsuka-europe-crm.veevavault.com/ui/#object/sent_email__v/VBL000000004449", "SE-001380763")</f>
        <v>SE-001380763</v>
      </c>
      <c r="D14731" s="1" t="s">
        <v>0</v>
      </c>
      <c r="E14731" s="2">
        <v>0</v>
      </c>
      <c r="F14731" s="2">
        <v>0</v>
      </c>
      <c r="G14731" s="2">
        <v>0</v>
      </c>
      <c r="H14731" s="1" t="s">
        <v>0</v>
      </c>
      <c r="I14731" s="2">
        <v>0</v>
      </c>
      <c r="J14731" s="1">
        <v>45965.590312499997</v>
      </c>
    </row>
    <row r="14732" spans="1:10" x14ac:dyDescent="0.2">
      <c r="A14732" s="4" t="s">
        <v>1</v>
      </c>
      <c r="B1473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32" s="3" t="str">
        <f>HYPERLINK("https://otsuka-europe-crm.veevavault.com/ui/#object/sent_email__v/VBL000000004569", "SE-001380953")</f>
        <v>SE-001380953</v>
      </c>
      <c r="D14732" s="1" t="s">
        <v>0</v>
      </c>
      <c r="E14732" s="2">
        <v>0</v>
      </c>
      <c r="F14732" s="2">
        <v>0</v>
      </c>
      <c r="G14732" s="2">
        <v>0</v>
      </c>
      <c r="H14732" s="1" t="s">
        <v>0</v>
      </c>
      <c r="I14732" s="2">
        <v>0</v>
      </c>
      <c r="J14732" s="1">
        <v>45967.385370370372</v>
      </c>
    </row>
    <row r="14733" spans="1:10" x14ac:dyDescent="0.2">
      <c r="A14733" s="4" t="s">
        <v>1</v>
      </c>
      <c r="B1473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33" s="3" t="str">
        <f>HYPERLINK("https://otsuka-europe-crm.veevavault.com/ui/#object/sent_email__v/VBL000000004570", "SE-001380954")</f>
        <v>SE-001380954</v>
      </c>
      <c r="D14733" s="1" t="s">
        <v>0</v>
      </c>
      <c r="E14733" s="2">
        <v>0</v>
      </c>
      <c r="F14733" s="2">
        <v>0</v>
      </c>
      <c r="G14733" s="2">
        <v>0</v>
      </c>
      <c r="H14733" s="1" t="s">
        <v>0</v>
      </c>
      <c r="I14733" s="2">
        <v>0</v>
      </c>
      <c r="J14733" s="1">
        <v>45967.385370370372</v>
      </c>
    </row>
    <row r="14734" spans="1:10" x14ac:dyDescent="0.2">
      <c r="A14734" s="4" t="s">
        <v>1</v>
      </c>
      <c r="B1473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34" s="3" t="str">
        <f>HYPERLINK("https://otsuka-europe-crm.veevavault.com/ui/#object/sent_email__v/VBL000000004571", "SE-001380955")</f>
        <v>SE-001380955</v>
      </c>
      <c r="D14734" s="1" t="s">
        <v>0</v>
      </c>
      <c r="E14734" s="2">
        <v>0</v>
      </c>
      <c r="F14734" s="2">
        <v>0</v>
      </c>
      <c r="G14734" s="2">
        <v>0</v>
      </c>
      <c r="H14734" s="1" t="s">
        <v>0</v>
      </c>
      <c r="I14734" s="2">
        <v>0</v>
      </c>
      <c r="J14734" s="1">
        <v>45967.385381944441</v>
      </c>
    </row>
    <row r="14735" spans="1:10" x14ac:dyDescent="0.2">
      <c r="A14735" s="4" t="s">
        <v>1</v>
      </c>
      <c r="B1473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35" s="3" t="str">
        <f>HYPERLINK("https://otsuka-europe-crm.veevavault.com/ui/#object/sent_email__v/VBL000000004572", "SE-001380956")</f>
        <v>SE-001380956</v>
      </c>
      <c r="D14735" s="1" t="s">
        <v>0</v>
      </c>
      <c r="E14735" s="2">
        <v>0</v>
      </c>
      <c r="F14735" s="2">
        <v>0</v>
      </c>
      <c r="G14735" s="2">
        <v>0</v>
      </c>
      <c r="H14735" s="1" t="s">
        <v>0</v>
      </c>
      <c r="I14735" s="2">
        <v>0</v>
      </c>
      <c r="J14735" s="1">
        <v>45967.385393518518</v>
      </c>
    </row>
    <row r="14736" spans="1:10" x14ac:dyDescent="0.2">
      <c r="A14736" s="4" t="s">
        <v>1</v>
      </c>
      <c r="B1473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36" s="3" t="str">
        <f>HYPERLINK("https://otsuka-europe-crm.veevavault.com/ui/#object/sent_email__v/VBL000000004573", "SE-001380957")</f>
        <v>SE-001380957</v>
      </c>
      <c r="D14736" s="1" t="s">
        <v>0</v>
      </c>
      <c r="E14736" s="2">
        <v>0</v>
      </c>
      <c r="F14736" s="2">
        <v>0</v>
      </c>
      <c r="G14736" s="2">
        <v>0</v>
      </c>
      <c r="H14736" s="1" t="s">
        <v>0</v>
      </c>
      <c r="I14736" s="2">
        <v>0</v>
      </c>
      <c r="J14736" s="1">
        <v>45967.385381944441</v>
      </c>
    </row>
    <row r="14737" spans="1:10" x14ac:dyDescent="0.2">
      <c r="A14737" s="4" t="s">
        <v>1</v>
      </c>
      <c r="B1473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37" s="3" t="str">
        <f>HYPERLINK("https://otsuka-europe-crm.veevavault.com/ui/#object/sent_email__v/VBL000000004574", "SE-001380958")</f>
        <v>SE-001380958</v>
      </c>
      <c r="D14737" s="1" t="s">
        <v>0</v>
      </c>
      <c r="E14737" s="2">
        <v>0</v>
      </c>
      <c r="F14737" s="2">
        <v>0</v>
      </c>
      <c r="G14737" s="2">
        <v>0</v>
      </c>
      <c r="H14737" s="1" t="s">
        <v>0</v>
      </c>
      <c r="I14737" s="2">
        <v>0</v>
      </c>
      <c r="J14737" s="1">
        <v>45967.385381944441</v>
      </c>
    </row>
    <row r="14738" spans="1:10" x14ac:dyDescent="0.2">
      <c r="A14738" s="4" t="s">
        <v>1</v>
      </c>
      <c r="B1473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38" s="3" t="str">
        <f>HYPERLINK("https://otsuka-europe-crm.veevavault.com/ui/#object/sent_email__v/VBL000000004575", "SE-001380959")</f>
        <v>SE-001380959</v>
      </c>
      <c r="D14738" s="1" t="s">
        <v>0</v>
      </c>
      <c r="E14738" s="2">
        <v>0</v>
      </c>
      <c r="F14738" s="2">
        <v>0</v>
      </c>
      <c r="G14738" s="2">
        <v>0</v>
      </c>
      <c r="H14738" s="1" t="s">
        <v>0</v>
      </c>
      <c r="I14738" s="2">
        <v>0</v>
      </c>
      <c r="J14738" s="1">
        <v>45967.385381944441</v>
      </c>
    </row>
    <row r="14739" spans="1:10" x14ac:dyDescent="0.2">
      <c r="A14739" s="4" t="s">
        <v>1</v>
      </c>
      <c r="B1473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39" s="3" t="str">
        <f>HYPERLINK("https://otsuka-europe-crm.veevavault.com/ui/#object/sent_email__v/VBL000000004576", "SE-001380960")</f>
        <v>SE-001380960</v>
      </c>
      <c r="D14739" s="1" t="s">
        <v>0</v>
      </c>
      <c r="E14739" s="2">
        <v>0</v>
      </c>
      <c r="F14739" s="2">
        <v>0</v>
      </c>
      <c r="G14739" s="2">
        <v>0</v>
      </c>
      <c r="H14739" s="1" t="s">
        <v>0</v>
      </c>
      <c r="I14739" s="2">
        <v>0</v>
      </c>
      <c r="J14739" s="1">
        <v>45967.385381944441</v>
      </c>
    </row>
    <row r="14740" spans="1:10" x14ac:dyDescent="0.2">
      <c r="A14740" s="4" t="s">
        <v>1</v>
      </c>
      <c r="B1474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40" s="3" t="str">
        <f>HYPERLINK("https://otsuka-europe-crm.veevavault.com/ui/#object/sent_email__v/VBL000000004577", "SE-001380961")</f>
        <v>SE-001380961</v>
      </c>
      <c r="D14740" s="1" t="s">
        <v>0</v>
      </c>
      <c r="E14740" s="2">
        <v>0</v>
      </c>
      <c r="F14740" s="2">
        <v>0</v>
      </c>
      <c r="G14740" s="2">
        <v>0</v>
      </c>
      <c r="H14740" s="1" t="s">
        <v>0</v>
      </c>
      <c r="I14740" s="2">
        <v>0</v>
      </c>
      <c r="J14740" s="1">
        <v>45967.385381944441</v>
      </c>
    </row>
    <row r="14741" spans="1:10" x14ac:dyDescent="0.2">
      <c r="A14741" s="4" t="s">
        <v>1</v>
      </c>
      <c r="B1474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41" s="3" t="str">
        <f>HYPERLINK("https://otsuka-europe-crm.veevavault.com/ui/#object/sent_email__v/VBL000000004578", "SE-001380962")</f>
        <v>SE-001380962</v>
      </c>
      <c r="D14741" s="1" t="s">
        <v>0</v>
      </c>
      <c r="E14741" s="2">
        <v>0</v>
      </c>
      <c r="F14741" s="2">
        <v>0</v>
      </c>
      <c r="G14741" s="2">
        <v>0</v>
      </c>
      <c r="H14741" s="1" t="s">
        <v>0</v>
      </c>
      <c r="I14741" s="2">
        <v>0</v>
      </c>
      <c r="J14741" s="1">
        <v>45967.385381944441</v>
      </c>
    </row>
    <row r="14742" spans="1:10" x14ac:dyDescent="0.2">
      <c r="A14742" s="4" t="s">
        <v>1</v>
      </c>
      <c r="B1474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42" s="3" t="str">
        <f>HYPERLINK("https://otsuka-europe-crm.veevavault.com/ui/#object/sent_email__v/VBL000000004579", "SE-001380963")</f>
        <v>SE-001380963</v>
      </c>
      <c r="D14742" s="1" t="s">
        <v>0</v>
      </c>
      <c r="E14742" s="2">
        <v>0</v>
      </c>
      <c r="F14742" s="2">
        <v>0</v>
      </c>
      <c r="G14742" s="2">
        <v>0</v>
      </c>
      <c r="H14742" s="1" t="s">
        <v>0</v>
      </c>
      <c r="I14742" s="2">
        <v>0</v>
      </c>
      <c r="J14742" s="1">
        <v>45967.385381944441</v>
      </c>
    </row>
    <row r="14743" spans="1:10" x14ac:dyDescent="0.2">
      <c r="A14743" s="4" t="s">
        <v>1</v>
      </c>
      <c r="B1474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43" s="3" t="str">
        <f>HYPERLINK("https://otsuka-europe-crm.veevavault.com/ui/#object/sent_email__v/VBL000000004580", "SE-001380964")</f>
        <v>SE-001380964</v>
      </c>
      <c r="D14743" s="1" t="s">
        <v>0</v>
      </c>
      <c r="E14743" s="2">
        <v>0</v>
      </c>
      <c r="F14743" s="2">
        <v>0</v>
      </c>
      <c r="G14743" s="2">
        <v>0</v>
      </c>
      <c r="H14743" s="1" t="s">
        <v>0</v>
      </c>
      <c r="I14743" s="2">
        <v>0</v>
      </c>
      <c r="J14743" s="1">
        <v>45967.385381944441</v>
      </c>
    </row>
    <row r="14744" spans="1:10" x14ac:dyDescent="0.2">
      <c r="A14744" s="4" t="s">
        <v>1</v>
      </c>
      <c r="B1474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44" s="3" t="str">
        <f>HYPERLINK("https://otsuka-europe-crm.veevavault.com/ui/#object/sent_email__v/VBL000000004581", "SE-001380965")</f>
        <v>SE-001380965</v>
      </c>
      <c r="D14744" s="1" t="s">
        <v>0</v>
      </c>
      <c r="E14744" s="2">
        <v>0</v>
      </c>
      <c r="F14744" s="2">
        <v>0</v>
      </c>
      <c r="G14744" s="2">
        <v>0</v>
      </c>
      <c r="H14744" s="1" t="s">
        <v>0</v>
      </c>
      <c r="I14744" s="2">
        <v>0</v>
      </c>
      <c r="J14744" s="1">
        <v>45967.385393518518</v>
      </c>
    </row>
    <row r="14745" spans="1:10" x14ac:dyDescent="0.2">
      <c r="A14745" s="4" t="s">
        <v>1</v>
      </c>
      <c r="B1474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45" s="3" t="str">
        <f>HYPERLINK("https://otsuka-europe-crm.veevavault.com/ui/#object/sent_email__v/VBL000000004582", "SE-001380966")</f>
        <v>SE-001380966</v>
      </c>
      <c r="D14745" s="1" t="s">
        <v>0</v>
      </c>
      <c r="E14745" s="2">
        <v>0</v>
      </c>
      <c r="F14745" s="2">
        <v>0</v>
      </c>
      <c r="G14745" s="2">
        <v>0</v>
      </c>
      <c r="H14745" s="1" t="s">
        <v>0</v>
      </c>
      <c r="I14745" s="2">
        <v>0</v>
      </c>
      <c r="J14745" s="1">
        <v>45967.385381944441</v>
      </c>
    </row>
    <row r="14746" spans="1:10" x14ac:dyDescent="0.2">
      <c r="A14746" s="4" t="s">
        <v>1</v>
      </c>
      <c r="B1474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46" s="3" t="str">
        <f>HYPERLINK("https://otsuka-europe-crm.veevavault.com/ui/#object/sent_email__v/VBL000000004583", "SE-001380967")</f>
        <v>SE-001380967</v>
      </c>
      <c r="D14746" s="1" t="s">
        <v>0</v>
      </c>
      <c r="E14746" s="2">
        <v>0</v>
      </c>
      <c r="F14746" s="2">
        <v>0</v>
      </c>
      <c r="G14746" s="2">
        <v>0</v>
      </c>
      <c r="H14746" s="1" t="s">
        <v>0</v>
      </c>
      <c r="I14746" s="2">
        <v>0</v>
      </c>
      <c r="J14746" s="1">
        <v>45967.385393518518</v>
      </c>
    </row>
    <row r="14747" spans="1:10" x14ac:dyDescent="0.2">
      <c r="A14747" s="4" t="s">
        <v>1</v>
      </c>
      <c r="B1474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47" s="3" t="str">
        <f>HYPERLINK("https://otsuka-europe-crm.veevavault.com/ui/#object/sent_email__v/VBL000000004584", "SE-001380968")</f>
        <v>SE-001380968</v>
      </c>
      <c r="D14747" s="1" t="s">
        <v>0</v>
      </c>
      <c r="E14747" s="2">
        <v>0</v>
      </c>
      <c r="F14747" s="2">
        <v>0</v>
      </c>
      <c r="G14747" s="2">
        <v>0</v>
      </c>
      <c r="H14747" s="1" t="s">
        <v>0</v>
      </c>
      <c r="I14747" s="2">
        <v>0</v>
      </c>
      <c r="J14747" s="1">
        <v>45967.385393518518</v>
      </c>
    </row>
    <row r="14748" spans="1:10" x14ac:dyDescent="0.2">
      <c r="A14748" s="4" t="s">
        <v>1</v>
      </c>
      <c r="B1474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48" s="3" t="str">
        <f>HYPERLINK("https://otsuka-europe-crm.veevavault.com/ui/#object/sent_email__v/VBL000000004585", "SE-001380969")</f>
        <v>SE-001380969</v>
      </c>
      <c r="D14748" s="1" t="s">
        <v>0</v>
      </c>
      <c r="E14748" s="2">
        <v>0</v>
      </c>
      <c r="F14748" s="2">
        <v>0</v>
      </c>
      <c r="G14748" s="2">
        <v>0</v>
      </c>
      <c r="H14748" s="1" t="s">
        <v>0</v>
      </c>
      <c r="I14748" s="2">
        <v>0</v>
      </c>
      <c r="J14748" s="1">
        <v>45967.385393518518</v>
      </c>
    </row>
    <row r="14749" spans="1:10" x14ac:dyDescent="0.2">
      <c r="A14749" s="4" t="s">
        <v>1</v>
      </c>
      <c r="B1474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49" s="3" t="str">
        <f>HYPERLINK("https://otsuka-europe-crm.veevavault.com/ui/#object/sent_email__v/VBL000000004586", "SE-001380970")</f>
        <v>SE-001380970</v>
      </c>
      <c r="D14749" s="1" t="s">
        <v>0</v>
      </c>
      <c r="E14749" s="2">
        <v>0</v>
      </c>
      <c r="F14749" s="2">
        <v>0</v>
      </c>
      <c r="G14749" s="2">
        <v>0</v>
      </c>
      <c r="H14749" s="1" t="s">
        <v>0</v>
      </c>
      <c r="I14749" s="2">
        <v>0</v>
      </c>
      <c r="J14749" s="1">
        <v>45967.385393518518</v>
      </c>
    </row>
    <row r="14750" spans="1:10" x14ac:dyDescent="0.2">
      <c r="A14750" s="4" t="s">
        <v>1</v>
      </c>
      <c r="B1475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50" s="3" t="str">
        <f>HYPERLINK("https://otsuka-europe-crm.veevavault.com/ui/#object/sent_email__v/VBL000000004587", "SE-001380971")</f>
        <v>SE-001380971</v>
      </c>
      <c r="D14750" s="1" t="s">
        <v>0</v>
      </c>
      <c r="E14750" s="2">
        <v>0</v>
      </c>
      <c r="F14750" s="2">
        <v>0</v>
      </c>
      <c r="G14750" s="2">
        <v>0</v>
      </c>
      <c r="H14750" s="1" t="s">
        <v>0</v>
      </c>
      <c r="I14750" s="2">
        <v>0</v>
      </c>
      <c r="J14750" s="1">
        <v>45967.385393518518</v>
      </c>
    </row>
    <row r="14751" spans="1:10" x14ac:dyDescent="0.2">
      <c r="A14751" s="4" t="s">
        <v>1</v>
      </c>
      <c r="B1475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51" s="3" t="str">
        <f>HYPERLINK("https://otsuka-europe-crm.veevavault.com/ui/#object/sent_email__v/VBL000000004588", "SE-001380972")</f>
        <v>SE-001380972</v>
      </c>
      <c r="D14751" s="1" t="s">
        <v>0</v>
      </c>
      <c r="E14751" s="2">
        <v>0</v>
      </c>
      <c r="F14751" s="2">
        <v>0</v>
      </c>
      <c r="G14751" s="2">
        <v>0</v>
      </c>
      <c r="H14751" s="1" t="s">
        <v>0</v>
      </c>
      <c r="I14751" s="2">
        <v>0</v>
      </c>
      <c r="J14751" s="1">
        <v>45967.385393518518</v>
      </c>
    </row>
    <row r="14752" spans="1:10" x14ac:dyDescent="0.2">
      <c r="A14752" s="4" t="s">
        <v>1</v>
      </c>
      <c r="B1475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52" s="3" t="str">
        <f>HYPERLINK("https://otsuka-europe-crm.veevavault.com/ui/#object/sent_email__v/VBL000000004589", "SE-001380973")</f>
        <v>SE-001380973</v>
      </c>
      <c r="D14752" s="1" t="s">
        <v>0</v>
      </c>
      <c r="E14752" s="2">
        <v>0</v>
      </c>
      <c r="F14752" s="2">
        <v>0</v>
      </c>
      <c r="G14752" s="2">
        <v>0</v>
      </c>
      <c r="H14752" s="1" t="s">
        <v>0</v>
      </c>
      <c r="I14752" s="2">
        <v>0</v>
      </c>
      <c r="J14752" s="1">
        <v>45967.385393518518</v>
      </c>
    </row>
    <row r="14753" spans="1:10" x14ac:dyDescent="0.2">
      <c r="A14753" s="4" t="s">
        <v>1</v>
      </c>
      <c r="B1475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53" s="3" t="str">
        <f>HYPERLINK("https://otsuka-europe-crm.veevavault.com/ui/#object/sent_email__v/VBL000000004590", "SE-001380974")</f>
        <v>SE-001380974</v>
      </c>
      <c r="D14753" s="1" t="s">
        <v>0</v>
      </c>
      <c r="E14753" s="2">
        <v>0</v>
      </c>
      <c r="F14753" s="2">
        <v>0</v>
      </c>
      <c r="G14753" s="2">
        <v>0</v>
      </c>
      <c r="H14753" s="1" t="s">
        <v>0</v>
      </c>
      <c r="I14753" s="2">
        <v>0</v>
      </c>
      <c r="J14753" s="1">
        <v>45967.385393518518</v>
      </c>
    </row>
    <row r="14754" spans="1:10" x14ac:dyDescent="0.2">
      <c r="A14754" s="4" t="s">
        <v>1</v>
      </c>
      <c r="B1475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54" s="3" t="str">
        <f>HYPERLINK("https://otsuka-europe-crm.veevavault.com/ui/#object/sent_email__v/VBL000000004591", "SE-001380975")</f>
        <v>SE-001380975</v>
      </c>
      <c r="D14754" s="1" t="s">
        <v>0</v>
      </c>
      <c r="E14754" s="2">
        <v>0</v>
      </c>
      <c r="F14754" s="2">
        <v>0</v>
      </c>
      <c r="G14754" s="2">
        <v>0</v>
      </c>
      <c r="H14754" s="1" t="s">
        <v>0</v>
      </c>
      <c r="I14754" s="2">
        <v>0</v>
      </c>
      <c r="J14754" s="1">
        <v>45967.385393518518</v>
      </c>
    </row>
    <row r="14755" spans="1:10" x14ac:dyDescent="0.2">
      <c r="A14755" s="4" t="s">
        <v>1</v>
      </c>
      <c r="B1475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55" s="3" t="str">
        <f>HYPERLINK("https://otsuka-europe-crm.veevavault.com/ui/#object/sent_email__v/VBL000000004592", "SE-001380976")</f>
        <v>SE-001380976</v>
      </c>
      <c r="D14755" s="1" t="s">
        <v>0</v>
      </c>
      <c r="E14755" s="2">
        <v>0</v>
      </c>
      <c r="F14755" s="2">
        <v>0</v>
      </c>
      <c r="G14755" s="2">
        <v>0</v>
      </c>
      <c r="H14755" s="1" t="s">
        <v>0</v>
      </c>
      <c r="I14755" s="2">
        <v>0</v>
      </c>
      <c r="J14755" s="1">
        <v>45967.385393518518</v>
      </c>
    </row>
    <row r="14756" spans="1:10" x14ac:dyDescent="0.2">
      <c r="A14756" s="4" t="s">
        <v>1</v>
      </c>
      <c r="B1475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56" s="3" t="str">
        <f>HYPERLINK("https://otsuka-europe-crm.veevavault.com/ui/#object/sent_email__v/VBL000000004593", "SE-001380977")</f>
        <v>SE-001380977</v>
      </c>
      <c r="D14756" s="1" t="s">
        <v>0</v>
      </c>
      <c r="E14756" s="2">
        <v>0</v>
      </c>
      <c r="F14756" s="2">
        <v>0</v>
      </c>
      <c r="G14756" s="2">
        <v>0</v>
      </c>
      <c r="H14756" s="1" t="s">
        <v>0</v>
      </c>
      <c r="I14756" s="2">
        <v>0</v>
      </c>
      <c r="J14756" s="1">
        <v>45967.385393518518</v>
      </c>
    </row>
    <row r="14757" spans="1:10" x14ac:dyDescent="0.2">
      <c r="A14757" s="4" t="s">
        <v>1</v>
      </c>
      <c r="B1475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57" s="3" t="str">
        <f>HYPERLINK("https://otsuka-europe-crm.veevavault.com/ui/#object/sent_email__v/VBL000000004594", "SE-001380978")</f>
        <v>SE-001380978</v>
      </c>
      <c r="D14757" s="1" t="s">
        <v>0</v>
      </c>
      <c r="E14757" s="2">
        <v>0</v>
      </c>
      <c r="F14757" s="2">
        <v>0</v>
      </c>
      <c r="G14757" s="2">
        <v>0</v>
      </c>
      <c r="H14757" s="1" t="s">
        <v>0</v>
      </c>
      <c r="I14757" s="2">
        <v>0</v>
      </c>
      <c r="J14757" s="1">
        <v>45967.385405092595</v>
      </c>
    </row>
    <row r="14758" spans="1:10" x14ac:dyDescent="0.2">
      <c r="A14758" s="4" t="s">
        <v>1</v>
      </c>
      <c r="B1475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58" s="3" t="str">
        <f>HYPERLINK("https://otsuka-europe-crm.veevavault.com/ui/#object/sent_email__v/VBL000000004595", "SE-001380979")</f>
        <v>SE-001380979</v>
      </c>
      <c r="D14758" s="1" t="s">
        <v>0</v>
      </c>
      <c r="E14758" s="2">
        <v>0</v>
      </c>
      <c r="F14758" s="2">
        <v>0</v>
      </c>
      <c r="G14758" s="2">
        <v>0</v>
      </c>
      <c r="H14758" s="1" t="s">
        <v>0</v>
      </c>
      <c r="I14758" s="2">
        <v>0</v>
      </c>
      <c r="J14758" s="1">
        <v>45967.385405092595</v>
      </c>
    </row>
    <row r="14759" spans="1:10" x14ac:dyDescent="0.2">
      <c r="A14759" s="4" t="s">
        <v>1</v>
      </c>
      <c r="B1475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59" s="3" t="str">
        <f>HYPERLINK("https://otsuka-europe-crm.veevavault.com/ui/#object/sent_email__v/VBL000000004596", "SE-001380980")</f>
        <v>SE-001380980</v>
      </c>
      <c r="D14759" s="1" t="s">
        <v>0</v>
      </c>
      <c r="E14759" s="2">
        <v>0</v>
      </c>
      <c r="F14759" s="2">
        <v>0</v>
      </c>
      <c r="G14759" s="2">
        <v>0</v>
      </c>
      <c r="H14759" s="1" t="s">
        <v>0</v>
      </c>
      <c r="I14759" s="2">
        <v>0</v>
      </c>
      <c r="J14759" s="1">
        <v>45967.385405092595</v>
      </c>
    </row>
    <row r="14760" spans="1:10" x14ac:dyDescent="0.2">
      <c r="A14760" s="4" t="s">
        <v>1</v>
      </c>
      <c r="B1476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60" s="3" t="str">
        <f>HYPERLINK("https://otsuka-europe-crm.veevavault.com/ui/#object/sent_email__v/VBL000000004597", "SE-001380981")</f>
        <v>SE-001380981</v>
      </c>
      <c r="D14760" s="1" t="s">
        <v>0</v>
      </c>
      <c r="E14760" s="2">
        <v>0</v>
      </c>
      <c r="F14760" s="2">
        <v>0</v>
      </c>
      <c r="G14760" s="2">
        <v>0</v>
      </c>
      <c r="H14760" s="1" t="s">
        <v>0</v>
      </c>
      <c r="I14760" s="2">
        <v>0</v>
      </c>
      <c r="J14760" s="1">
        <v>45967.385405092595</v>
      </c>
    </row>
    <row r="14761" spans="1:10" x14ac:dyDescent="0.2">
      <c r="A14761" s="4" t="s">
        <v>1</v>
      </c>
      <c r="B1476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61" s="3" t="str">
        <f>HYPERLINK("https://otsuka-europe-crm.veevavault.com/ui/#object/sent_email__v/VBL000000004598", "SE-001380982")</f>
        <v>SE-001380982</v>
      </c>
      <c r="D14761" s="1" t="s">
        <v>0</v>
      </c>
      <c r="E14761" s="2">
        <v>0</v>
      </c>
      <c r="F14761" s="2">
        <v>0</v>
      </c>
      <c r="G14761" s="2">
        <v>0</v>
      </c>
      <c r="H14761" s="1" t="s">
        <v>0</v>
      </c>
      <c r="I14761" s="2">
        <v>0</v>
      </c>
      <c r="J14761" s="1">
        <v>45967.385405092595</v>
      </c>
    </row>
    <row r="14762" spans="1:10" x14ac:dyDescent="0.2">
      <c r="A14762" s="4" t="s">
        <v>1</v>
      </c>
      <c r="B1476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62" s="3" t="str">
        <f>HYPERLINK("https://otsuka-europe-crm.veevavault.com/ui/#object/sent_email__v/VBL000000004599", "SE-001380983")</f>
        <v>SE-001380983</v>
      </c>
      <c r="D14762" s="1" t="s">
        <v>0</v>
      </c>
      <c r="E14762" s="2">
        <v>0</v>
      </c>
      <c r="F14762" s="2">
        <v>0</v>
      </c>
      <c r="G14762" s="2">
        <v>0</v>
      </c>
      <c r="H14762" s="1" t="s">
        <v>0</v>
      </c>
      <c r="I14762" s="2">
        <v>0</v>
      </c>
      <c r="J14762" s="1">
        <v>45967.385405092595</v>
      </c>
    </row>
    <row r="14763" spans="1:10" x14ac:dyDescent="0.2">
      <c r="A14763" s="4" t="s">
        <v>1</v>
      </c>
      <c r="B1476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63" s="3" t="str">
        <f>HYPERLINK("https://otsuka-europe-crm.veevavault.com/ui/#object/sent_email__v/VBL000000004600", "SE-001380984")</f>
        <v>SE-001380984</v>
      </c>
      <c r="D14763" s="1" t="s">
        <v>0</v>
      </c>
      <c r="E14763" s="2">
        <v>0</v>
      </c>
      <c r="F14763" s="2">
        <v>0</v>
      </c>
      <c r="G14763" s="2">
        <v>0</v>
      </c>
      <c r="H14763" s="1" t="s">
        <v>0</v>
      </c>
      <c r="I14763" s="2">
        <v>0</v>
      </c>
      <c r="J14763" s="1">
        <v>45967.385405092595</v>
      </c>
    </row>
    <row r="14764" spans="1:10" x14ac:dyDescent="0.2">
      <c r="A14764" s="4" t="s">
        <v>1</v>
      </c>
      <c r="B1476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64" s="3" t="str">
        <f>HYPERLINK("https://otsuka-europe-crm.veevavault.com/ui/#object/sent_email__v/VBL000000004601", "SE-001380985")</f>
        <v>SE-001380985</v>
      </c>
      <c r="D14764" s="1" t="s">
        <v>0</v>
      </c>
      <c r="E14764" s="2">
        <v>0</v>
      </c>
      <c r="F14764" s="2">
        <v>0</v>
      </c>
      <c r="G14764" s="2">
        <v>0</v>
      </c>
      <c r="H14764" s="1" t="s">
        <v>0</v>
      </c>
      <c r="I14764" s="2">
        <v>0</v>
      </c>
      <c r="J14764" s="1">
        <v>45967.385405092595</v>
      </c>
    </row>
    <row r="14765" spans="1:10" x14ac:dyDescent="0.2">
      <c r="A14765" s="4" t="s">
        <v>1</v>
      </c>
      <c r="B1476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65" s="3" t="str">
        <f>HYPERLINK("https://otsuka-europe-crm.veevavault.com/ui/#object/sent_email__v/VBL000000004602", "SE-001380986")</f>
        <v>SE-001380986</v>
      </c>
      <c r="D14765" s="1" t="s">
        <v>0</v>
      </c>
      <c r="E14765" s="2">
        <v>0</v>
      </c>
      <c r="F14765" s="2">
        <v>0</v>
      </c>
      <c r="G14765" s="2">
        <v>0</v>
      </c>
      <c r="H14765" s="1" t="s">
        <v>0</v>
      </c>
      <c r="I14765" s="2">
        <v>0</v>
      </c>
      <c r="J14765" s="1">
        <v>45967.385405092595</v>
      </c>
    </row>
    <row r="14766" spans="1:10" x14ac:dyDescent="0.2">
      <c r="A14766" s="4" t="s">
        <v>1</v>
      </c>
      <c r="B1476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66" s="3" t="str">
        <f>HYPERLINK("https://otsuka-europe-crm.veevavault.com/ui/#object/sent_email__v/VBL000000004603", "SE-001380987")</f>
        <v>SE-001380987</v>
      </c>
      <c r="D14766" s="1" t="s">
        <v>0</v>
      </c>
      <c r="E14766" s="2">
        <v>0</v>
      </c>
      <c r="F14766" s="2">
        <v>0</v>
      </c>
      <c r="G14766" s="2">
        <v>0</v>
      </c>
      <c r="H14766" s="1" t="s">
        <v>0</v>
      </c>
      <c r="I14766" s="2">
        <v>0</v>
      </c>
      <c r="J14766" s="1">
        <v>45967.385405092595</v>
      </c>
    </row>
    <row r="14767" spans="1:10" x14ac:dyDescent="0.2">
      <c r="A14767" s="4" t="s">
        <v>1</v>
      </c>
      <c r="B1476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67" s="3" t="str">
        <f>HYPERLINK("https://otsuka-europe-crm.veevavault.com/ui/#object/sent_email__v/VBL000000004604", "SE-001380988")</f>
        <v>SE-001380988</v>
      </c>
      <c r="D14767" s="1" t="s">
        <v>0</v>
      </c>
      <c r="E14767" s="2">
        <v>0</v>
      </c>
      <c r="F14767" s="2">
        <v>0</v>
      </c>
      <c r="G14767" s="2">
        <v>0</v>
      </c>
      <c r="H14767" s="1" t="s">
        <v>0</v>
      </c>
      <c r="I14767" s="2">
        <v>0</v>
      </c>
      <c r="J14767" s="1">
        <v>45967.387291666666</v>
      </c>
    </row>
    <row r="14768" spans="1:10" x14ac:dyDescent="0.2">
      <c r="A14768" s="4" t="s">
        <v>1</v>
      </c>
      <c r="B1476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68" s="3" t="str">
        <f>HYPERLINK("https://otsuka-europe-crm.veevavault.com/ui/#object/sent_email__v/VBL000000004605", "SE-001380989")</f>
        <v>SE-001380989</v>
      </c>
      <c r="D14768" s="1" t="s">
        <v>0</v>
      </c>
      <c r="E14768" s="2">
        <v>0</v>
      </c>
      <c r="F14768" s="2">
        <v>0</v>
      </c>
      <c r="G14768" s="2">
        <v>0</v>
      </c>
      <c r="H14768" s="1" t="s">
        <v>0</v>
      </c>
      <c r="I14768" s="2">
        <v>0</v>
      </c>
      <c r="J14768" s="1">
        <v>45967.387291666666</v>
      </c>
    </row>
    <row r="14769" spans="1:10" x14ac:dyDescent="0.2">
      <c r="A14769" s="4" t="s">
        <v>1</v>
      </c>
      <c r="B1476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69" s="3" t="str">
        <f>HYPERLINK("https://otsuka-europe-crm.veevavault.com/ui/#object/sent_email__v/VBL000000004606", "SE-001380990")</f>
        <v>SE-001380990</v>
      </c>
      <c r="D14769" s="1" t="s">
        <v>0</v>
      </c>
      <c r="E14769" s="2">
        <v>0</v>
      </c>
      <c r="F14769" s="2">
        <v>0</v>
      </c>
      <c r="G14769" s="2">
        <v>0</v>
      </c>
      <c r="H14769" s="1" t="s">
        <v>0</v>
      </c>
      <c r="I14769" s="2">
        <v>0</v>
      </c>
      <c r="J14769" s="1">
        <v>45967.387291666666</v>
      </c>
    </row>
    <row r="14770" spans="1:10" x14ac:dyDescent="0.2">
      <c r="A14770" s="4" t="s">
        <v>1</v>
      </c>
      <c r="B1477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70" s="3" t="str">
        <f>HYPERLINK("https://otsuka-europe-crm.veevavault.com/ui/#object/sent_email__v/VBL000000004607", "SE-001380991")</f>
        <v>SE-001380991</v>
      </c>
      <c r="D14770" s="1" t="s">
        <v>0</v>
      </c>
      <c r="E14770" s="2">
        <v>0</v>
      </c>
      <c r="F14770" s="2">
        <v>0</v>
      </c>
      <c r="G14770" s="2">
        <v>0</v>
      </c>
      <c r="H14770" s="1" t="s">
        <v>0</v>
      </c>
      <c r="I14770" s="2">
        <v>0</v>
      </c>
      <c r="J14770" s="1">
        <v>45967.387291666666</v>
      </c>
    </row>
    <row r="14771" spans="1:10" x14ac:dyDescent="0.2">
      <c r="A14771" s="4" t="s">
        <v>1</v>
      </c>
      <c r="B1477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71" s="3" t="str">
        <f>HYPERLINK("https://otsuka-europe-crm.veevavault.com/ui/#object/sent_email__v/VBL000000004608", "SE-001380992")</f>
        <v>SE-001380992</v>
      </c>
      <c r="D14771" s="1" t="s">
        <v>0</v>
      </c>
      <c r="E14771" s="2">
        <v>0</v>
      </c>
      <c r="F14771" s="2">
        <v>0</v>
      </c>
      <c r="G14771" s="2">
        <v>0</v>
      </c>
      <c r="H14771" s="1" t="s">
        <v>0</v>
      </c>
      <c r="I14771" s="2">
        <v>0</v>
      </c>
      <c r="J14771" s="1">
        <v>45967.387291666666</v>
      </c>
    </row>
    <row r="14772" spans="1:10" x14ac:dyDescent="0.2">
      <c r="A14772" s="4" t="s">
        <v>1</v>
      </c>
      <c r="B1477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72" s="3" t="str">
        <f>HYPERLINK("https://otsuka-europe-crm.veevavault.com/ui/#object/sent_email__v/VBL000000004609", "SE-001380993")</f>
        <v>SE-001380993</v>
      </c>
      <c r="D14772" s="1" t="s">
        <v>0</v>
      </c>
      <c r="E14772" s="2">
        <v>0</v>
      </c>
      <c r="F14772" s="2">
        <v>0</v>
      </c>
      <c r="G14772" s="2">
        <v>0</v>
      </c>
      <c r="H14772" s="1" t="s">
        <v>0</v>
      </c>
      <c r="I14772" s="2">
        <v>0</v>
      </c>
      <c r="J14772" s="1">
        <v>45967.387291666666</v>
      </c>
    </row>
    <row r="14773" spans="1:10" x14ac:dyDescent="0.2">
      <c r="A14773" s="4" t="s">
        <v>1</v>
      </c>
      <c r="B1477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73" s="3" t="str">
        <f>HYPERLINK("https://otsuka-europe-crm.veevavault.com/ui/#object/sent_email__v/VBL000000004610", "SE-001380994")</f>
        <v>SE-001380994</v>
      </c>
      <c r="D14773" s="1" t="s">
        <v>0</v>
      </c>
      <c r="E14773" s="2">
        <v>0</v>
      </c>
      <c r="F14773" s="2">
        <v>0</v>
      </c>
      <c r="G14773" s="2">
        <v>0</v>
      </c>
      <c r="H14773" s="1" t="s">
        <v>0</v>
      </c>
      <c r="I14773" s="2">
        <v>0</v>
      </c>
      <c r="J14773" s="1">
        <v>45967.387291666666</v>
      </c>
    </row>
    <row r="14774" spans="1:10" x14ac:dyDescent="0.2">
      <c r="A14774" s="4" t="s">
        <v>1</v>
      </c>
      <c r="B1477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74" s="3" t="str">
        <f>HYPERLINK("https://otsuka-europe-crm.veevavault.com/ui/#object/sent_email__v/VBL000000004611", "SE-001380995")</f>
        <v>SE-001380995</v>
      </c>
      <c r="D14774" s="1" t="s">
        <v>0</v>
      </c>
      <c r="E14774" s="2">
        <v>0</v>
      </c>
      <c r="F14774" s="2">
        <v>0</v>
      </c>
      <c r="G14774" s="2">
        <v>0</v>
      </c>
      <c r="H14774" s="1" t="s">
        <v>0</v>
      </c>
      <c r="I14774" s="2">
        <v>0</v>
      </c>
      <c r="J14774" s="1">
        <v>45967.387291666666</v>
      </c>
    </row>
    <row r="14775" spans="1:10" x14ac:dyDescent="0.2">
      <c r="A14775" s="4" t="s">
        <v>1</v>
      </c>
      <c r="B1477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75" s="3" t="str">
        <f>HYPERLINK("https://otsuka-europe-crm.veevavault.com/ui/#object/sent_email__v/VBL000000004612", "SE-001380996")</f>
        <v>SE-001380996</v>
      </c>
      <c r="D14775" s="1" t="s">
        <v>0</v>
      </c>
      <c r="E14775" s="2">
        <v>0</v>
      </c>
      <c r="F14775" s="2">
        <v>0</v>
      </c>
      <c r="G14775" s="2">
        <v>0</v>
      </c>
      <c r="H14775" s="1" t="s">
        <v>0</v>
      </c>
      <c r="I14775" s="2">
        <v>0</v>
      </c>
      <c r="J14775" s="1">
        <v>45967.387303240743</v>
      </c>
    </row>
    <row r="14776" spans="1:10" x14ac:dyDescent="0.2">
      <c r="A14776" s="4" t="s">
        <v>1</v>
      </c>
      <c r="B1477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76" s="3" t="str">
        <f>HYPERLINK("https://otsuka-europe-crm.veevavault.com/ui/#object/sent_email__v/VBL000000004613", "SE-001380997")</f>
        <v>SE-001380997</v>
      </c>
      <c r="D14776" s="1" t="s">
        <v>0</v>
      </c>
      <c r="E14776" s="2">
        <v>0</v>
      </c>
      <c r="F14776" s="2">
        <v>0</v>
      </c>
      <c r="G14776" s="2">
        <v>0</v>
      </c>
      <c r="H14776" s="1" t="s">
        <v>0</v>
      </c>
      <c r="I14776" s="2">
        <v>0</v>
      </c>
      <c r="J14776" s="1">
        <v>45967.387314814812</v>
      </c>
    </row>
    <row r="14777" spans="1:10" x14ac:dyDescent="0.2">
      <c r="A14777" s="4" t="s">
        <v>1</v>
      </c>
      <c r="B1477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77" s="3" t="str">
        <f>HYPERLINK("https://otsuka-europe-crm.veevavault.com/ui/#object/sent_email__v/VBL000000004614", "SE-001380998")</f>
        <v>SE-001380998</v>
      </c>
      <c r="D14777" s="1" t="s">
        <v>0</v>
      </c>
      <c r="E14777" s="2">
        <v>0</v>
      </c>
      <c r="F14777" s="2">
        <v>0</v>
      </c>
      <c r="G14777" s="2">
        <v>0</v>
      </c>
      <c r="H14777" s="1" t="s">
        <v>0</v>
      </c>
      <c r="I14777" s="2">
        <v>0</v>
      </c>
      <c r="J14777" s="1">
        <v>45967.387303240743</v>
      </c>
    </row>
    <row r="14778" spans="1:10" x14ac:dyDescent="0.2">
      <c r="A14778" s="4" t="s">
        <v>1</v>
      </c>
      <c r="B1477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78" s="3" t="str">
        <f>HYPERLINK("https://otsuka-europe-crm.veevavault.com/ui/#object/sent_email__v/VBL000000004615", "SE-001380999")</f>
        <v>SE-001380999</v>
      </c>
      <c r="D14778" s="1" t="s">
        <v>0</v>
      </c>
      <c r="E14778" s="2">
        <v>0</v>
      </c>
      <c r="F14778" s="2">
        <v>0</v>
      </c>
      <c r="G14778" s="2">
        <v>0</v>
      </c>
      <c r="H14778" s="1" t="s">
        <v>0</v>
      </c>
      <c r="I14778" s="2">
        <v>0</v>
      </c>
      <c r="J14778" s="1">
        <v>45967.387314814812</v>
      </c>
    </row>
    <row r="14779" spans="1:10" x14ac:dyDescent="0.2">
      <c r="A14779" s="4" t="s">
        <v>1</v>
      </c>
      <c r="B1477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79" s="3" t="str">
        <f>HYPERLINK("https://otsuka-europe-crm.veevavault.com/ui/#object/sent_email__v/VBL000000004616", "SE-001381000")</f>
        <v>SE-001381000</v>
      </c>
      <c r="D14779" s="1" t="s">
        <v>0</v>
      </c>
      <c r="E14779" s="2">
        <v>0</v>
      </c>
      <c r="F14779" s="2">
        <v>0</v>
      </c>
      <c r="G14779" s="2">
        <v>0</v>
      </c>
      <c r="H14779" s="1" t="s">
        <v>0</v>
      </c>
      <c r="I14779" s="2">
        <v>0</v>
      </c>
      <c r="J14779" s="1">
        <v>45967.387303240743</v>
      </c>
    </row>
    <row r="14780" spans="1:10" x14ac:dyDescent="0.2">
      <c r="A14780" s="4" t="s">
        <v>1</v>
      </c>
      <c r="B1478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80" s="3" t="str">
        <f>HYPERLINK("https://otsuka-europe-crm.veevavault.com/ui/#object/sent_email__v/VBL000000004617", "SE-001381001")</f>
        <v>SE-001381001</v>
      </c>
      <c r="D14780" s="1" t="s">
        <v>0</v>
      </c>
      <c r="E14780" s="2">
        <v>0</v>
      </c>
      <c r="F14780" s="2">
        <v>0</v>
      </c>
      <c r="G14780" s="2">
        <v>0</v>
      </c>
      <c r="H14780" s="1" t="s">
        <v>0</v>
      </c>
      <c r="I14780" s="2">
        <v>0</v>
      </c>
      <c r="J14780" s="1">
        <v>45967.387314814812</v>
      </c>
    </row>
    <row r="14781" spans="1:10" x14ac:dyDescent="0.2">
      <c r="A14781" s="4" t="s">
        <v>1</v>
      </c>
      <c r="B1478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81" s="3" t="str">
        <f>HYPERLINK("https://otsuka-europe-crm.veevavault.com/ui/#object/sent_email__v/VBL000000004618", "SE-001381002")</f>
        <v>SE-001381002</v>
      </c>
      <c r="D14781" s="1" t="s">
        <v>0</v>
      </c>
      <c r="E14781" s="2">
        <v>0</v>
      </c>
      <c r="F14781" s="2">
        <v>0</v>
      </c>
      <c r="G14781" s="2">
        <v>0</v>
      </c>
      <c r="H14781" s="1" t="s">
        <v>0</v>
      </c>
      <c r="I14781" s="2">
        <v>0</v>
      </c>
      <c r="J14781" s="1">
        <v>45967.387303240743</v>
      </c>
    </row>
    <row r="14782" spans="1:10" x14ac:dyDescent="0.2">
      <c r="A14782" s="4" t="s">
        <v>1</v>
      </c>
      <c r="B1478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82" s="3" t="str">
        <f>HYPERLINK("https://otsuka-europe-crm.veevavault.com/ui/#object/sent_email__v/VBL000000004619", "SE-001381003")</f>
        <v>SE-001381003</v>
      </c>
      <c r="D14782" s="1" t="s">
        <v>0</v>
      </c>
      <c r="E14782" s="2">
        <v>0</v>
      </c>
      <c r="F14782" s="2">
        <v>0</v>
      </c>
      <c r="G14782" s="2">
        <v>0</v>
      </c>
      <c r="H14782" s="1" t="s">
        <v>0</v>
      </c>
      <c r="I14782" s="2">
        <v>0</v>
      </c>
      <c r="J14782" s="1">
        <v>45967.387314814812</v>
      </c>
    </row>
    <row r="14783" spans="1:10" x14ac:dyDescent="0.2">
      <c r="A14783" s="4" t="s">
        <v>1</v>
      </c>
      <c r="B1478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83" s="3" t="str">
        <f>HYPERLINK("https://otsuka-europe-crm.veevavault.com/ui/#object/sent_email__v/VBL000000004620", "SE-001381004")</f>
        <v>SE-001381004</v>
      </c>
      <c r="D14783" s="1" t="s">
        <v>0</v>
      </c>
      <c r="E14783" s="2">
        <v>0</v>
      </c>
      <c r="F14783" s="2">
        <v>0</v>
      </c>
      <c r="G14783" s="2">
        <v>0</v>
      </c>
      <c r="H14783" s="1" t="s">
        <v>0</v>
      </c>
      <c r="I14783" s="2">
        <v>0</v>
      </c>
      <c r="J14783" s="1">
        <v>45967.387314814812</v>
      </c>
    </row>
    <row r="14784" spans="1:10" x14ac:dyDescent="0.2">
      <c r="A14784" s="4" t="s">
        <v>1</v>
      </c>
      <c r="B1478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84" s="3" t="str">
        <f>HYPERLINK("https://otsuka-europe-crm.veevavault.com/ui/#object/sent_email__v/VBL000000004621", "SE-001381005")</f>
        <v>SE-001381005</v>
      </c>
      <c r="D14784" s="1" t="s">
        <v>0</v>
      </c>
      <c r="E14784" s="2">
        <v>0</v>
      </c>
      <c r="F14784" s="2">
        <v>0</v>
      </c>
      <c r="G14784" s="2">
        <v>0</v>
      </c>
      <c r="H14784" s="1" t="s">
        <v>0</v>
      </c>
      <c r="I14784" s="2">
        <v>0</v>
      </c>
      <c r="J14784" s="1">
        <v>45967.387314814812</v>
      </c>
    </row>
    <row r="14785" spans="1:10" x14ac:dyDescent="0.2">
      <c r="A14785" s="4" t="s">
        <v>1</v>
      </c>
      <c r="B1478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85" s="3" t="str">
        <f>HYPERLINK("https://otsuka-europe-crm.veevavault.com/ui/#object/sent_email__v/VBL000000004622", "SE-001381006")</f>
        <v>SE-001381006</v>
      </c>
      <c r="D14785" s="1" t="s">
        <v>0</v>
      </c>
      <c r="E14785" s="2">
        <v>0</v>
      </c>
      <c r="F14785" s="2">
        <v>0</v>
      </c>
      <c r="G14785" s="2">
        <v>0</v>
      </c>
      <c r="H14785" s="1" t="s">
        <v>0</v>
      </c>
      <c r="I14785" s="2">
        <v>0</v>
      </c>
      <c r="J14785" s="1">
        <v>45967.387314814812</v>
      </c>
    </row>
    <row r="14786" spans="1:10" x14ac:dyDescent="0.2">
      <c r="A14786" s="4" t="s">
        <v>1</v>
      </c>
      <c r="B1478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86" s="3" t="str">
        <f>HYPERLINK("https://otsuka-europe-crm.veevavault.com/ui/#object/sent_email__v/VBL000000004623", "SE-001381007")</f>
        <v>SE-001381007</v>
      </c>
      <c r="D14786" s="1" t="s">
        <v>0</v>
      </c>
      <c r="E14786" s="2">
        <v>0</v>
      </c>
      <c r="F14786" s="2">
        <v>0</v>
      </c>
      <c r="G14786" s="2">
        <v>0</v>
      </c>
      <c r="H14786" s="1" t="s">
        <v>0</v>
      </c>
      <c r="I14786" s="2">
        <v>0</v>
      </c>
      <c r="J14786" s="1">
        <v>45967.387314814812</v>
      </c>
    </row>
    <row r="14787" spans="1:10" x14ac:dyDescent="0.2">
      <c r="A14787" s="4" t="s">
        <v>1</v>
      </c>
      <c r="B1478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87" s="3" t="str">
        <f>HYPERLINK("https://otsuka-europe-crm.veevavault.com/ui/#object/sent_email__v/VBL000000004624", "SE-001381008")</f>
        <v>SE-001381008</v>
      </c>
      <c r="D14787" s="1" t="s">
        <v>0</v>
      </c>
      <c r="E14787" s="2">
        <v>0</v>
      </c>
      <c r="F14787" s="2">
        <v>0</v>
      </c>
      <c r="G14787" s="2">
        <v>0</v>
      </c>
      <c r="H14787" s="1" t="s">
        <v>0</v>
      </c>
      <c r="I14787" s="2">
        <v>0</v>
      </c>
      <c r="J14787" s="1">
        <v>45967.387314814812</v>
      </c>
    </row>
    <row r="14788" spans="1:10" x14ac:dyDescent="0.2">
      <c r="A14788" s="4" t="s">
        <v>1</v>
      </c>
      <c r="B1478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88" s="3" t="str">
        <f>HYPERLINK("https://otsuka-europe-crm.veevavault.com/ui/#object/sent_email__v/VBL000000004625", "SE-001381009")</f>
        <v>SE-001381009</v>
      </c>
      <c r="D14788" s="1" t="s">
        <v>0</v>
      </c>
      <c r="E14788" s="2">
        <v>0</v>
      </c>
      <c r="F14788" s="2">
        <v>0</v>
      </c>
      <c r="G14788" s="2">
        <v>0</v>
      </c>
      <c r="H14788" s="1" t="s">
        <v>0</v>
      </c>
      <c r="I14788" s="2">
        <v>0</v>
      </c>
      <c r="J14788" s="1">
        <v>45967.387314814812</v>
      </c>
    </row>
    <row r="14789" spans="1:10" x14ac:dyDescent="0.2">
      <c r="A14789" s="4" t="s">
        <v>1</v>
      </c>
      <c r="B1478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89" s="3" t="str">
        <f>HYPERLINK("https://otsuka-europe-crm.veevavault.com/ui/#object/sent_email__v/VBL000000004626", "SE-001381010")</f>
        <v>SE-001381010</v>
      </c>
      <c r="D14789" s="1" t="s">
        <v>0</v>
      </c>
      <c r="E14789" s="2">
        <v>0</v>
      </c>
      <c r="F14789" s="2">
        <v>0</v>
      </c>
      <c r="G14789" s="2">
        <v>0</v>
      </c>
      <c r="H14789" s="1" t="s">
        <v>0</v>
      </c>
      <c r="I14789" s="2">
        <v>0</v>
      </c>
      <c r="J14789" s="1">
        <v>45967.387314814812</v>
      </c>
    </row>
    <row r="14790" spans="1:10" x14ac:dyDescent="0.2">
      <c r="A14790" s="4" t="s">
        <v>1</v>
      </c>
      <c r="B1479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90" s="3" t="str">
        <f>HYPERLINK("https://otsuka-europe-crm.veevavault.com/ui/#object/sent_email__v/VBL000000004627", "SE-001381011")</f>
        <v>SE-001381011</v>
      </c>
      <c r="D14790" s="1" t="s">
        <v>0</v>
      </c>
      <c r="E14790" s="2">
        <v>0</v>
      </c>
      <c r="F14790" s="2">
        <v>0</v>
      </c>
      <c r="G14790" s="2">
        <v>0</v>
      </c>
      <c r="H14790" s="1" t="s">
        <v>0</v>
      </c>
      <c r="I14790" s="2">
        <v>0</v>
      </c>
      <c r="J14790" s="1">
        <v>45967.387314814812</v>
      </c>
    </row>
    <row r="14791" spans="1:10" x14ac:dyDescent="0.2">
      <c r="A14791" s="4" t="s">
        <v>1</v>
      </c>
      <c r="B1479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91" s="3" t="str">
        <f>HYPERLINK("https://otsuka-europe-crm.veevavault.com/ui/#object/sent_email__v/VBL000000004628", "SE-001381012")</f>
        <v>SE-001381012</v>
      </c>
      <c r="D14791" s="1" t="s">
        <v>0</v>
      </c>
      <c r="E14791" s="2">
        <v>0</v>
      </c>
      <c r="F14791" s="2">
        <v>0</v>
      </c>
      <c r="G14791" s="2">
        <v>0</v>
      </c>
      <c r="H14791" s="1" t="s">
        <v>0</v>
      </c>
      <c r="I14791" s="2">
        <v>0</v>
      </c>
      <c r="J14791" s="1">
        <v>45967.387314814812</v>
      </c>
    </row>
    <row r="14792" spans="1:10" x14ac:dyDescent="0.2">
      <c r="A14792" s="4" t="s">
        <v>1</v>
      </c>
      <c r="B1479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92" s="3" t="str">
        <f>HYPERLINK("https://otsuka-europe-crm.veevavault.com/ui/#object/sent_email__v/VBL000000004629", "SE-001381013")</f>
        <v>SE-001381013</v>
      </c>
      <c r="D14792" s="1" t="s">
        <v>0</v>
      </c>
      <c r="E14792" s="2">
        <v>0</v>
      </c>
      <c r="F14792" s="2">
        <v>0</v>
      </c>
      <c r="G14792" s="2">
        <v>0</v>
      </c>
      <c r="H14792" s="1" t="s">
        <v>0</v>
      </c>
      <c r="I14792" s="2">
        <v>0</v>
      </c>
      <c r="J14792" s="1">
        <v>45967.387314814812</v>
      </c>
    </row>
    <row r="14793" spans="1:10" x14ac:dyDescent="0.2">
      <c r="A14793" s="4" t="s">
        <v>1</v>
      </c>
      <c r="B1479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93" s="3" t="str">
        <f>HYPERLINK("https://otsuka-europe-crm.veevavault.com/ui/#object/sent_email__v/VBL000000004630", "SE-001381014")</f>
        <v>SE-001381014</v>
      </c>
      <c r="D14793" s="1" t="s">
        <v>0</v>
      </c>
      <c r="E14793" s="2">
        <v>0</v>
      </c>
      <c r="F14793" s="2">
        <v>0</v>
      </c>
      <c r="G14793" s="2">
        <v>0</v>
      </c>
      <c r="H14793" s="1" t="s">
        <v>0</v>
      </c>
      <c r="I14793" s="2">
        <v>0</v>
      </c>
      <c r="J14793" s="1">
        <v>45967.387314814812</v>
      </c>
    </row>
    <row r="14794" spans="1:10" x14ac:dyDescent="0.2">
      <c r="A14794" s="4" t="s">
        <v>1</v>
      </c>
      <c r="B1479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94" s="3" t="str">
        <f>HYPERLINK("https://otsuka-europe-crm.veevavault.com/ui/#object/sent_email__v/VBL000000004631", "SE-001381015")</f>
        <v>SE-001381015</v>
      </c>
      <c r="D14794" s="1" t="s">
        <v>0</v>
      </c>
      <c r="E14794" s="2">
        <v>0</v>
      </c>
      <c r="F14794" s="2">
        <v>0</v>
      </c>
      <c r="G14794" s="2">
        <v>0</v>
      </c>
      <c r="H14794" s="1" t="s">
        <v>0</v>
      </c>
      <c r="I14794" s="2">
        <v>0</v>
      </c>
      <c r="J14794" s="1">
        <v>45967.387314814812</v>
      </c>
    </row>
    <row r="14795" spans="1:10" x14ac:dyDescent="0.2">
      <c r="A14795" s="4" t="s">
        <v>1</v>
      </c>
      <c r="B1479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95" s="3" t="str">
        <f>HYPERLINK("https://otsuka-europe-crm.veevavault.com/ui/#object/sent_email__v/VBL000000004632", "SE-001381016")</f>
        <v>SE-001381016</v>
      </c>
      <c r="D14795" s="1" t="s">
        <v>0</v>
      </c>
      <c r="E14795" s="2">
        <v>0</v>
      </c>
      <c r="F14795" s="2">
        <v>0</v>
      </c>
      <c r="G14795" s="2">
        <v>0</v>
      </c>
      <c r="H14795" s="1" t="s">
        <v>0</v>
      </c>
      <c r="I14795" s="2">
        <v>0</v>
      </c>
      <c r="J14795" s="1">
        <v>45967.387326388889</v>
      </c>
    </row>
    <row r="14796" spans="1:10" x14ac:dyDescent="0.2">
      <c r="A14796" s="4" t="s">
        <v>1</v>
      </c>
      <c r="B1479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96" s="3" t="str">
        <f>HYPERLINK("https://otsuka-europe-crm.veevavault.com/ui/#object/sent_email__v/VBL000000004633", "SE-001381017")</f>
        <v>SE-001381017</v>
      </c>
      <c r="D14796" s="1" t="s">
        <v>0</v>
      </c>
      <c r="E14796" s="2">
        <v>0</v>
      </c>
      <c r="F14796" s="2">
        <v>0</v>
      </c>
      <c r="G14796" s="2">
        <v>0</v>
      </c>
      <c r="H14796" s="1" t="s">
        <v>0</v>
      </c>
      <c r="I14796" s="2">
        <v>0</v>
      </c>
      <c r="J14796" s="1">
        <v>45967.387326388889</v>
      </c>
    </row>
    <row r="14797" spans="1:10" x14ac:dyDescent="0.2">
      <c r="A14797" s="4" t="s">
        <v>1</v>
      </c>
      <c r="B1479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97" s="3" t="str">
        <f>HYPERLINK("https://otsuka-europe-crm.veevavault.com/ui/#object/sent_email__v/VBL000000004634", "SE-001381018")</f>
        <v>SE-001381018</v>
      </c>
      <c r="D14797" s="1" t="s">
        <v>0</v>
      </c>
      <c r="E14797" s="2">
        <v>0</v>
      </c>
      <c r="F14797" s="2">
        <v>0</v>
      </c>
      <c r="G14797" s="2">
        <v>0</v>
      </c>
      <c r="H14797" s="1" t="s">
        <v>0</v>
      </c>
      <c r="I14797" s="2">
        <v>0</v>
      </c>
      <c r="J14797" s="1">
        <v>45967.387326388889</v>
      </c>
    </row>
    <row r="14798" spans="1:10" x14ac:dyDescent="0.2">
      <c r="A14798" s="4" t="s">
        <v>1</v>
      </c>
      <c r="B1479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98" s="3" t="str">
        <f>HYPERLINK("https://otsuka-europe-crm.veevavault.com/ui/#object/sent_email__v/VBL000000004635", "SE-001381019")</f>
        <v>SE-001381019</v>
      </c>
      <c r="D14798" s="1" t="s">
        <v>0</v>
      </c>
      <c r="E14798" s="2">
        <v>0</v>
      </c>
      <c r="F14798" s="2">
        <v>0</v>
      </c>
      <c r="G14798" s="2">
        <v>0</v>
      </c>
      <c r="H14798" s="1" t="s">
        <v>0</v>
      </c>
      <c r="I14798" s="2">
        <v>0</v>
      </c>
      <c r="J14798" s="1">
        <v>45967.387326388889</v>
      </c>
    </row>
    <row r="14799" spans="1:10" x14ac:dyDescent="0.2">
      <c r="A14799" s="4" t="s">
        <v>1</v>
      </c>
      <c r="B1479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799" s="3" t="str">
        <f>HYPERLINK("https://otsuka-europe-crm.veevavault.com/ui/#object/sent_email__v/VBL000000004636", "SE-001381020")</f>
        <v>SE-001381020</v>
      </c>
      <c r="D14799" s="1" t="s">
        <v>0</v>
      </c>
      <c r="E14799" s="2">
        <v>0</v>
      </c>
      <c r="F14799" s="2">
        <v>0</v>
      </c>
      <c r="G14799" s="2">
        <v>0</v>
      </c>
      <c r="H14799" s="1" t="s">
        <v>0</v>
      </c>
      <c r="I14799" s="2">
        <v>0</v>
      </c>
      <c r="J14799" s="1">
        <v>45967.387326388889</v>
      </c>
    </row>
    <row r="14800" spans="1:10" x14ac:dyDescent="0.2">
      <c r="A14800" s="4" t="s">
        <v>1</v>
      </c>
      <c r="B1480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00" s="3" t="str">
        <f>HYPERLINK("https://otsuka-europe-crm.veevavault.com/ui/#object/sent_email__v/VBL000000004637", "SE-001381021")</f>
        <v>SE-001381021</v>
      </c>
      <c r="D14800" s="1" t="s">
        <v>0</v>
      </c>
      <c r="E14800" s="2">
        <v>0</v>
      </c>
      <c r="F14800" s="2">
        <v>0</v>
      </c>
      <c r="G14800" s="2">
        <v>0</v>
      </c>
      <c r="H14800" s="1" t="s">
        <v>0</v>
      </c>
      <c r="I14800" s="2">
        <v>0</v>
      </c>
      <c r="J14800" s="1">
        <v>45967.387326388889</v>
      </c>
    </row>
    <row r="14801" spans="1:10" x14ac:dyDescent="0.2">
      <c r="A14801" s="4" t="s">
        <v>1</v>
      </c>
      <c r="B1480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01" s="3" t="str">
        <f>HYPERLINK("https://otsuka-europe-crm.veevavault.com/ui/#object/sent_email__v/VBL000000004638", "SE-001381022")</f>
        <v>SE-001381022</v>
      </c>
      <c r="D14801" s="1" t="s">
        <v>0</v>
      </c>
      <c r="E14801" s="2">
        <v>0</v>
      </c>
      <c r="F14801" s="2">
        <v>0</v>
      </c>
      <c r="G14801" s="2">
        <v>0</v>
      </c>
      <c r="H14801" s="1" t="s">
        <v>0</v>
      </c>
      <c r="I14801" s="2">
        <v>0</v>
      </c>
      <c r="J14801" s="1">
        <v>45967.387326388889</v>
      </c>
    </row>
    <row r="14802" spans="1:10" x14ac:dyDescent="0.2">
      <c r="A14802" s="4" t="s">
        <v>1</v>
      </c>
      <c r="B1480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02" s="3" t="str">
        <f>HYPERLINK("https://otsuka-europe-crm.veevavault.com/ui/#object/sent_email__v/VBL000000004639", "SE-001381023")</f>
        <v>SE-001381023</v>
      </c>
      <c r="D14802" s="1" t="s">
        <v>0</v>
      </c>
      <c r="E14802" s="2">
        <v>0</v>
      </c>
      <c r="F14802" s="2">
        <v>0</v>
      </c>
      <c r="G14802" s="2">
        <v>0</v>
      </c>
      <c r="H14802" s="1" t="s">
        <v>0</v>
      </c>
      <c r="I14802" s="2">
        <v>0</v>
      </c>
      <c r="J14802" s="1">
        <v>45967.387326388889</v>
      </c>
    </row>
    <row r="14803" spans="1:10" x14ac:dyDescent="0.2">
      <c r="A14803" s="4" t="s">
        <v>1</v>
      </c>
      <c r="B1480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03" s="3" t="str">
        <f>HYPERLINK("https://otsuka-europe-crm.veevavault.com/ui/#object/sent_email__v/VBL000000004640", "SE-001381024")</f>
        <v>SE-001381024</v>
      </c>
      <c r="D14803" s="1" t="s">
        <v>0</v>
      </c>
      <c r="E14803" s="2">
        <v>0</v>
      </c>
      <c r="F14803" s="2">
        <v>0</v>
      </c>
      <c r="G14803" s="2">
        <v>0</v>
      </c>
      <c r="H14803" s="1" t="s">
        <v>0</v>
      </c>
      <c r="I14803" s="2">
        <v>0</v>
      </c>
      <c r="J14803" s="1">
        <v>45967.389143518521</v>
      </c>
    </row>
    <row r="14804" spans="1:10" x14ac:dyDescent="0.2">
      <c r="A14804" s="4" t="s">
        <v>1</v>
      </c>
      <c r="B1480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04" s="3" t="str">
        <f>HYPERLINK("https://otsuka-europe-crm.veevavault.com/ui/#object/sent_email__v/VBL000000004641", "SE-001381025")</f>
        <v>SE-001381025</v>
      </c>
      <c r="D14804" s="1" t="s">
        <v>0</v>
      </c>
      <c r="E14804" s="2">
        <v>0</v>
      </c>
      <c r="F14804" s="2">
        <v>0</v>
      </c>
      <c r="G14804" s="2">
        <v>0</v>
      </c>
      <c r="H14804" s="1" t="s">
        <v>0</v>
      </c>
      <c r="I14804" s="2">
        <v>0</v>
      </c>
      <c r="J14804" s="1">
        <v>45967.389131944445</v>
      </c>
    </row>
    <row r="14805" spans="1:10" x14ac:dyDescent="0.2">
      <c r="A14805" s="4" t="s">
        <v>1</v>
      </c>
      <c r="B1480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05" s="3" t="str">
        <f>HYPERLINK("https://otsuka-europe-crm.veevavault.com/ui/#object/sent_email__v/VBL000000004642", "SE-001381026")</f>
        <v>SE-001381026</v>
      </c>
      <c r="D14805" s="1" t="s">
        <v>0</v>
      </c>
      <c r="E14805" s="2">
        <v>0</v>
      </c>
      <c r="F14805" s="2">
        <v>0</v>
      </c>
      <c r="G14805" s="2">
        <v>0</v>
      </c>
      <c r="H14805" s="1" t="s">
        <v>0</v>
      </c>
      <c r="I14805" s="2">
        <v>0</v>
      </c>
      <c r="J14805" s="1">
        <v>45967.389143518521</v>
      </c>
    </row>
    <row r="14806" spans="1:10" x14ac:dyDescent="0.2">
      <c r="A14806" s="4" t="s">
        <v>1</v>
      </c>
      <c r="B1480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06" s="3" t="str">
        <f>HYPERLINK("https://otsuka-europe-crm.veevavault.com/ui/#object/sent_email__v/VBL000000004643", "SE-001381027")</f>
        <v>SE-001381027</v>
      </c>
      <c r="D14806" s="1" t="s">
        <v>0</v>
      </c>
      <c r="E14806" s="2">
        <v>0</v>
      </c>
      <c r="F14806" s="2">
        <v>0</v>
      </c>
      <c r="G14806" s="2">
        <v>0</v>
      </c>
      <c r="H14806" s="1" t="s">
        <v>0</v>
      </c>
      <c r="I14806" s="2">
        <v>0</v>
      </c>
      <c r="J14806" s="1">
        <v>45967.389131944445</v>
      </c>
    </row>
    <row r="14807" spans="1:10" x14ac:dyDescent="0.2">
      <c r="A14807" s="4" t="s">
        <v>1</v>
      </c>
      <c r="B1480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07" s="3" t="str">
        <f>HYPERLINK("https://otsuka-europe-crm.veevavault.com/ui/#object/sent_email__v/VBL000000004644", "SE-001381028")</f>
        <v>SE-001381028</v>
      </c>
      <c r="D14807" s="1" t="s">
        <v>0</v>
      </c>
      <c r="E14807" s="2">
        <v>0</v>
      </c>
      <c r="F14807" s="2">
        <v>0</v>
      </c>
      <c r="G14807" s="2">
        <v>0</v>
      </c>
      <c r="H14807" s="1" t="s">
        <v>0</v>
      </c>
      <c r="I14807" s="2">
        <v>0</v>
      </c>
      <c r="J14807" s="1">
        <v>45967.389131944445</v>
      </c>
    </row>
    <row r="14808" spans="1:10" x14ac:dyDescent="0.2">
      <c r="A14808" s="4" t="s">
        <v>1</v>
      </c>
      <c r="B1480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08" s="3" t="str">
        <f>HYPERLINK("https://otsuka-europe-crm.veevavault.com/ui/#object/sent_email__v/VBL000000004645", "SE-001381029")</f>
        <v>SE-001381029</v>
      </c>
      <c r="D14808" s="1" t="s">
        <v>0</v>
      </c>
      <c r="E14808" s="2">
        <v>0</v>
      </c>
      <c r="F14808" s="2">
        <v>0</v>
      </c>
      <c r="G14808" s="2">
        <v>0</v>
      </c>
      <c r="H14808" s="1" t="s">
        <v>0</v>
      </c>
      <c r="I14808" s="2">
        <v>0</v>
      </c>
      <c r="J14808" s="1">
        <v>45967.389143518521</v>
      </c>
    </row>
    <row r="14809" spans="1:10" x14ac:dyDescent="0.2">
      <c r="A14809" s="4" t="s">
        <v>1</v>
      </c>
      <c r="B1480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09" s="3" t="str">
        <f>HYPERLINK("https://otsuka-europe-crm.veevavault.com/ui/#object/sent_email__v/VBL000000004646", "SE-001381030")</f>
        <v>SE-001381030</v>
      </c>
      <c r="D14809" s="1" t="s">
        <v>0</v>
      </c>
      <c r="E14809" s="2">
        <v>0</v>
      </c>
      <c r="F14809" s="2">
        <v>0</v>
      </c>
      <c r="G14809" s="2">
        <v>0</v>
      </c>
      <c r="H14809" s="1" t="s">
        <v>0</v>
      </c>
      <c r="I14809" s="2">
        <v>0</v>
      </c>
      <c r="J14809" s="1">
        <v>45967.389143518521</v>
      </c>
    </row>
    <row r="14810" spans="1:10" x14ac:dyDescent="0.2">
      <c r="A14810" s="4" t="s">
        <v>1</v>
      </c>
      <c r="B1481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10" s="3" t="str">
        <f>HYPERLINK("https://otsuka-europe-crm.veevavault.com/ui/#object/sent_email__v/VBL000000004647", "SE-001381031")</f>
        <v>SE-001381031</v>
      </c>
      <c r="D14810" s="1" t="s">
        <v>0</v>
      </c>
      <c r="E14810" s="2">
        <v>0</v>
      </c>
      <c r="F14810" s="2">
        <v>0</v>
      </c>
      <c r="G14810" s="2">
        <v>0</v>
      </c>
      <c r="H14810" s="1" t="s">
        <v>0</v>
      </c>
      <c r="I14810" s="2">
        <v>0</v>
      </c>
      <c r="J14810" s="1">
        <v>45967.389131944445</v>
      </c>
    </row>
    <row r="14811" spans="1:10" x14ac:dyDescent="0.2">
      <c r="A14811" s="4" t="s">
        <v>1</v>
      </c>
      <c r="B1481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11" s="3" t="str">
        <f>HYPERLINK("https://otsuka-europe-crm.veevavault.com/ui/#object/sent_email__v/VBL000000004648", "SE-001381032")</f>
        <v>SE-001381032</v>
      </c>
      <c r="D14811" s="1" t="s">
        <v>0</v>
      </c>
      <c r="E14811" s="2">
        <v>0</v>
      </c>
      <c r="F14811" s="2">
        <v>0</v>
      </c>
      <c r="G14811" s="2">
        <v>0</v>
      </c>
      <c r="H14811" s="1" t="s">
        <v>0</v>
      </c>
      <c r="I14811" s="2">
        <v>0</v>
      </c>
      <c r="J14811" s="1">
        <v>45967.389143518521</v>
      </c>
    </row>
    <row r="14812" spans="1:10" x14ac:dyDescent="0.2">
      <c r="A14812" s="4" t="s">
        <v>1</v>
      </c>
      <c r="B1481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12" s="3" t="str">
        <f>HYPERLINK("https://otsuka-europe-crm.veevavault.com/ui/#object/sent_email__v/VBL000000004649", "SE-001381033")</f>
        <v>SE-001381033</v>
      </c>
      <c r="D14812" s="1" t="s">
        <v>0</v>
      </c>
      <c r="E14812" s="2">
        <v>0</v>
      </c>
      <c r="F14812" s="2">
        <v>0</v>
      </c>
      <c r="G14812" s="2">
        <v>0</v>
      </c>
      <c r="H14812" s="1" t="s">
        <v>0</v>
      </c>
      <c r="I14812" s="2">
        <v>0</v>
      </c>
      <c r="J14812" s="1">
        <v>45967.389143518521</v>
      </c>
    </row>
    <row r="14813" spans="1:10" x14ac:dyDescent="0.2">
      <c r="A14813" s="4" t="s">
        <v>1</v>
      </c>
      <c r="B1481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13" s="3" t="str">
        <f>HYPERLINK("https://otsuka-europe-crm.veevavault.com/ui/#object/sent_email__v/VBL000000004650", "SE-001381034")</f>
        <v>SE-001381034</v>
      </c>
      <c r="D14813" s="1" t="s">
        <v>0</v>
      </c>
      <c r="E14813" s="2">
        <v>0</v>
      </c>
      <c r="F14813" s="2">
        <v>0</v>
      </c>
      <c r="G14813" s="2">
        <v>0</v>
      </c>
      <c r="H14813" s="1" t="s">
        <v>0</v>
      </c>
      <c r="I14813" s="2">
        <v>0</v>
      </c>
      <c r="J14813" s="1">
        <v>45967.389143518521</v>
      </c>
    </row>
    <row r="14814" spans="1:10" x14ac:dyDescent="0.2">
      <c r="A14814" s="4" t="s">
        <v>1</v>
      </c>
      <c r="B1481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14" s="3" t="str">
        <f>HYPERLINK("https://otsuka-europe-crm.veevavault.com/ui/#object/sent_email__v/VBL000000004651", "SE-001381035")</f>
        <v>SE-001381035</v>
      </c>
      <c r="D14814" s="1" t="s">
        <v>0</v>
      </c>
      <c r="E14814" s="2">
        <v>0</v>
      </c>
      <c r="F14814" s="2">
        <v>0</v>
      </c>
      <c r="G14814" s="2">
        <v>0</v>
      </c>
      <c r="H14814" s="1" t="s">
        <v>0</v>
      </c>
      <c r="I14814" s="2">
        <v>0</v>
      </c>
      <c r="J14814" s="1">
        <v>45967.389131944445</v>
      </c>
    </row>
    <row r="14815" spans="1:10" x14ac:dyDescent="0.2">
      <c r="A14815" s="4" t="s">
        <v>1</v>
      </c>
      <c r="B1481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15" s="3" t="str">
        <f>HYPERLINK("https://otsuka-europe-crm.veevavault.com/ui/#object/sent_email__v/VBL000000004652", "SE-001381036")</f>
        <v>SE-001381036</v>
      </c>
      <c r="D14815" s="1" t="s">
        <v>0</v>
      </c>
      <c r="E14815" s="2">
        <v>0</v>
      </c>
      <c r="F14815" s="2">
        <v>0</v>
      </c>
      <c r="G14815" s="2">
        <v>0</v>
      </c>
      <c r="H14815" s="1" t="s">
        <v>0</v>
      </c>
      <c r="I14815" s="2">
        <v>0</v>
      </c>
      <c r="J14815" s="1">
        <v>45967.389143518521</v>
      </c>
    </row>
    <row r="14816" spans="1:10" x14ac:dyDescent="0.2">
      <c r="A14816" s="4" t="s">
        <v>1</v>
      </c>
      <c r="B1481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16" s="3" t="str">
        <f>HYPERLINK("https://otsuka-europe-crm.veevavault.com/ui/#object/sent_email__v/VBL000000004653", "SE-001381037")</f>
        <v>SE-001381037</v>
      </c>
      <c r="D14816" s="1" t="s">
        <v>0</v>
      </c>
      <c r="E14816" s="2">
        <v>0</v>
      </c>
      <c r="F14816" s="2">
        <v>0</v>
      </c>
      <c r="G14816" s="2">
        <v>0</v>
      </c>
      <c r="H14816" s="1" t="s">
        <v>0</v>
      </c>
      <c r="I14816" s="2">
        <v>0</v>
      </c>
      <c r="J14816" s="1">
        <v>45967.389131944445</v>
      </c>
    </row>
    <row r="14817" spans="1:10" x14ac:dyDescent="0.2">
      <c r="A14817" s="4" t="s">
        <v>1</v>
      </c>
      <c r="B1481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17" s="3" t="str">
        <f>HYPERLINK("https://otsuka-europe-crm.veevavault.com/ui/#object/sent_email__v/VBL000000004654", "SE-001381038")</f>
        <v>SE-001381038</v>
      </c>
      <c r="D14817" s="1" t="s">
        <v>0</v>
      </c>
      <c r="E14817" s="2">
        <v>0</v>
      </c>
      <c r="F14817" s="2">
        <v>0</v>
      </c>
      <c r="G14817" s="2">
        <v>0</v>
      </c>
      <c r="H14817" s="1" t="s">
        <v>0</v>
      </c>
      <c r="I14817" s="2">
        <v>0</v>
      </c>
      <c r="J14817" s="1">
        <v>45967.389143518521</v>
      </c>
    </row>
    <row r="14818" spans="1:10" x14ac:dyDescent="0.2">
      <c r="A14818" s="4" t="s">
        <v>1</v>
      </c>
      <c r="B1481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18" s="3" t="str">
        <f>HYPERLINK("https://otsuka-europe-crm.veevavault.com/ui/#object/sent_email__v/VBL000000004655", "SE-001381039")</f>
        <v>SE-001381039</v>
      </c>
      <c r="D14818" s="1" t="s">
        <v>0</v>
      </c>
      <c r="E14818" s="2">
        <v>0</v>
      </c>
      <c r="F14818" s="2">
        <v>0</v>
      </c>
      <c r="G14818" s="2">
        <v>0</v>
      </c>
      <c r="H14818" s="1" t="s">
        <v>0</v>
      </c>
      <c r="I14818" s="2">
        <v>0</v>
      </c>
      <c r="J14818" s="1">
        <v>45967.389143518521</v>
      </c>
    </row>
    <row r="14819" spans="1:10" x14ac:dyDescent="0.2">
      <c r="A14819" s="4" t="s">
        <v>1</v>
      </c>
      <c r="B1481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19" s="3" t="str">
        <f>HYPERLINK("https://otsuka-europe-crm.veevavault.com/ui/#object/sent_email__v/VBL000000004656", "SE-001381040")</f>
        <v>SE-001381040</v>
      </c>
      <c r="D14819" s="1" t="s">
        <v>0</v>
      </c>
      <c r="E14819" s="2">
        <v>0</v>
      </c>
      <c r="F14819" s="2">
        <v>0</v>
      </c>
      <c r="G14819" s="2">
        <v>0</v>
      </c>
      <c r="H14819" s="1" t="s">
        <v>0</v>
      </c>
      <c r="I14819" s="2">
        <v>0</v>
      </c>
      <c r="J14819" s="1">
        <v>45967.389143518521</v>
      </c>
    </row>
    <row r="14820" spans="1:10" x14ac:dyDescent="0.2">
      <c r="A14820" s="4" t="s">
        <v>1</v>
      </c>
      <c r="B1482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20" s="3" t="str">
        <f>HYPERLINK("https://otsuka-europe-crm.veevavault.com/ui/#object/sent_email__v/VBL000000004657", "SE-001381041")</f>
        <v>SE-001381041</v>
      </c>
      <c r="D14820" s="1" t="s">
        <v>0</v>
      </c>
      <c r="E14820" s="2">
        <v>0</v>
      </c>
      <c r="F14820" s="2">
        <v>0</v>
      </c>
      <c r="G14820" s="2">
        <v>0</v>
      </c>
      <c r="H14820" s="1" t="s">
        <v>0</v>
      </c>
      <c r="I14820" s="2">
        <v>0</v>
      </c>
      <c r="J14820" s="1">
        <v>45967.389143518521</v>
      </c>
    </row>
    <row r="14821" spans="1:10" x14ac:dyDescent="0.2">
      <c r="A14821" s="4" t="s">
        <v>1</v>
      </c>
      <c r="B1482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21" s="3" t="str">
        <f>HYPERLINK("https://otsuka-europe-crm.veevavault.com/ui/#object/sent_email__v/VBL000000004658", "SE-001381042")</f>
        <v>SE-001381042</v>
      </c>
      <c r="D14821" s="1" t="s">
        <v>0</v>
      </c>
      <c r="E14821" s="2">
        <v>0</v>
      </c>
      <c r="F14821" s="2">
        <v>0</v>
      </c>
      <c r="G14821" s="2">
        <v>0</v>
      </c>
      <c r="H14821" s="1" t="s">
        <v>0</v>
      </c>
      <c r="I14821" s="2">
        <v>0</v>
      </c>
      <c r="J14821" s="1">
        <v>45967.389143518521</v>
      </c>
    </row>
    <row r="14822" spans="1:10" x14ac:dyDescent="0.2">
      <c r="A14822" s="4" t="s">
        <v>1</v>
      </c>
      <c r="B1482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22" s="3" t="str">
        <f>HYPERLINK("https://otsuka-europe-crm.veevavault.com/ui/#object/sent_email__v/VBL000000004659", "SE-001381043")</f>
        <v>SE-001381043</v>
      </c>
      <c r="D14822" s="1" t="s">
        <v>0</v>
      </c>
      <c r="E14822" s="2">
        <v>0</v>
      </c>
      <c r="F14822" s="2">
        <v>0</v>
      </c>
      <c r="G14822" s="2">
        <v>0</v>
      </c>
      <c r="H14822" s="1" t="s">
        <v>0</v>
      </c>
      <c r="I14822" s="2">
        <v>0</v>
      </c>
      <c r="J14822" s="1">
        <v>45967.389143518521</v>
      </c>
    </row>
    <row r="14823" spans="1:10" x14ac:dyDescent="0.2">
      <c r="A14823" s="4" t="s">
        <v>1</v>
      </c>
      <c r="B1482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23" s="3" t="str">
        <f>HYPERLINK("https://otsuka-europe-crm.veevavault.com/ui/#object/sent_email__v/VBL000000004660", "SE-001381044")</f>
        <v>SE-001381044</v>
      </c>
      <c r="D14823" s="1" t="s">
        <v>0</v>
      </c>
      <c r="E14823" s="2">
        <v>0</v>
      </c>
      <c r="F14823" s="2">
        <v>0</v>
      </c>
      <c r="G14823" s="2">
        <v>0</v>
      </c>
      <c r="H14823" s="1" t="s">
        <v>0</v>
      </c>
      <c r="I14823" s="2">
        <v>0</v>
      </c>
      <c r="J14823" s="1">
        <v>45967.389143518521</v>
      </c>
    </row>
    <row r="14824" spans="1:10" x14ac:dyDescent="0.2">
      <c r="A14824" s="4" t="s">
        <v>1</v>
      </c>
      <c r="B1482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24" s="3" t="str">
        <f>HYPERLINK("https://otsuka-europe-crm.veevavault.com/ui/#object/sent_email__v/VBL000000004661", "SE-001381045")</f>
        <v>SE-001381045</v>
      </c>
      <c r="D14824" s="1" t="s">
        <v>0</v>
      </c>
      <c r="E14824" s="2">
        <v>0</v>
      </c>
      <c r="F14824" s="2">
        <v>0</v>
      </c>
      <c r="G14824" s="2">
        <v>0</v>
      </c>
      <c r="H14824" s="1" t="s">
        <v>0</v>
      </c>
      <c r="I14824" s="2">
        <v>0</v>
      </c>
      <c r="J14824" s="1">
        <v>45967.389143518521</v>
      </c>
    </row>
    <row r="14825" spans="1:10" x14ac:dyDescent="0.2">
      <c r="A14825" s="4" t="s">
        <v>1</v>
      </c>
      <c r="B1482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25" s="3" t="str">
        <f>HYPERLINK("https://otsuka-europe-crm.veevavault.com/ui/#object/sent_email__v/VBL000000004662", "SE-001381046")</f>
        <v>SE-001381046</v>
      </c>
      <c r="D14825" s="1" t="s">
        <v>0</v>
      </c>
      <c r="E14825" s="2">
        <v>0</v>
      </c>
      <c r="F14825" s="2">
        <v>0</v>
      </c>
      <c r="G14825" s="2">
        <v>0</v>
      </c>
      <c r="H14825" s="1" t="s">
        <v>0</v>
      </c>
      <c r="I14825" s="2">
        <v>0</v>
      </c>
      <c r="J14825" s="1">
        <v>45967.389143518521</v>
      </c>
    </row>
    <row r="14826" spans="1:10" x14ac:dyDescent="0.2">
      <c r="A14826" s="4" t="s">
        <v>1</v>
      </c>
      <c r="B1482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26" s="3" t="str">
        <f>HYPERLINK("https://otsuka-europe-crm.veevavault.com/ui/#object/sent_email__v/VBL000000004663", "SE-001381047")</f>
        <v>SE-001381047</v>
      </c>
      <c r="D14826" s="1" t="s">
        <v>0</v>
      </c>
      <c r="E14826" s="2">
        <v>0</v>
      </c>
      <c r="F14826" s="2">
        <v>0</v>
      </c>
      <c r="G14826" s="2">
        <v>0</v>
      </c>
      <c r="H14826" s="1" t="s">
        <v>0</v>
      </c>
      <c r="I14826" s="2">
        <v>0</v>
      </c>
      <c r="J14826" s="1">
        <v>45967.389166666668</v>
      </c>
    </row>
    <row r="14827" spans="1:10" x14ac:dyDescent="0.2">
      <c r="A14827" s="4" t="s">
        <v>1</v>
      </c>
      <c r="B1482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27" s="3" t="str">
        <f>HYPERLINK("https://otsuka-europe-crm.veevavault.com/ui/#object/sent_email__v/VBL000000004664", "SE-001381048")</f>
        <v>SE-001381048</v>
      </c>
      <c r="D14827" s="1" t="s">
        <v>0</v>
      </c>
      <c r="E14827" s="2">
        <v>0</v>
      </c>
      <c r="F14827" s="2">
        <v>0</v>
      </c>
      <c r="G14827" s="2">
        <v>0</v>
      </c>
      <c r="H14827" s="1" t="s">
        <v>0</v>
      </c>
      <c r="I14827" s="2">
        <v>0</v>
      </c>
      <c r="J14827" s="1">
        <v>45967.389166666668</v>
      </c>
    </row>
    <row r="14828" spans="1:10" x14ac:dyDescent="0.2">
      <c r="A14828" s="4" t="s">
        <v>1</v>
      </c>
      <c r="B1482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28" s="3" t="str">
        <f>HYPERLINK("https://otsuka-europe-crm.veevavault.com/ui/#object/sent_email__v/VBL000000004665", "SE-001381049")</f>
        <v>SE-001381049</v>
      </c>
      <c r="D14828" s="1" t="s">
        <v>0</v>
      </c>
      <c r="E14828" s="2">
        <v>0</v>
      </c>
      <c r="F14828" s="2">
        <v>0</v>
      </c>
      <c r="G14828" s="2">
        <v>0</v>
      </c>
      <c r="H14828" s="1" t="s">
        <v>0</v>
      </c>
      <c r="I14828" s="2">
        <v>0</v>
      </c>
      <c r="J14828" s="1">
        <v>45967.389166666668</v>
      </c>
    </row>
    <row r="14829" spans="1:10" x14ac:dyDescent="0.2">
      <c r="A14829" s="4" t="s">
        <v>1</v>
      </c>
      <c r="B1482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29" s="3" t="str">
        <f>HYPERLINK("https://otsuka-europe-crm.veevavault.com/ui/#object/sent_email__v/VBL000000004666", "SE-001381050")</f>
        <v>SE-001381050</v>
      </c>
      <c r="D14829" s="1" t="s">
        <v>0</v>
      </c>
      <c r="E14829" s="2">
        <v>0</v>
      </c>
      <c r="F14829" s="2">
        <v>0</v>
      </c>
      <c r="G14829" s="2">
        <v>0</v>
      </c>
      <c r="H14829" s="1" t="s">
        <v>0</v>
      </c>
      <c r="I14829" s="2">
        <v>0</v>
      </c>
      <c r="J14829" s="1">
        <v>45967.389166666668</v>
      </c>
    </row>
    <row r="14830" spans="1:10" x14ac:dyDescent="0.2">
      <c r="A14830" s="4" t="s">
        <v>1</v>
      </c>
      <c r="B1483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30" s="3" t="str">
        <f>HYPERLINK("https://otsuka-europe-crm.veevavault.com/ui/#object/sent_email__v/VBL000000004667", "SE-001381051")</f>
        <v>SE-001381051</v>
      </c>
      <c r="D14830" s="1" t="s">
        <v>0</v>
      </c>
      <c r="E14830" s="2">
        <v>0</v>
      </c>
      <c r="F14830" s="2">
        <v>0</v>
      </c>
      <c r="G14830" s="2">
        <v>0</v>
      </c>
      <c r="H14830" s="1" t="s">
        <v>0</v>
      </c>
      <c r="I14830" s="2">
        <v>0</v>
      </c>
      <c r="J14830" s="1">
        <v>45967.389166666668</v>
      </c>
    </row>
    <row r="14831" spans="1:10" x14ac:dyDescent="0.2">
      <c r="A14831" s="4" t="s">
        <v>1</v>
      </c>
      <c r="B1483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31" s="3" t="str">
        <f>HYPERLINK("https://otsuka-europe-crm.veevavault.com/ui/#object/sent_email__v/VBL000000004668", "SE-001381052")</f>
        <v>SE-001381052</v>
      </c>
      <c r="D14831" s="1" t="s">
        <v>0</v>
      </c>
      <c r="E14831" s="2">
        <v>0</v>
      </c>
      <c r="F14831" s="2">
        <v>0</v>
      </c>
      <c r="G14831" s="2">
        <v>0</v>
      </c>
      <c r="H14831" s="1" t="s">
        <v>0</v>
      </c>
      <c r="I14831" s="2">
        <v>0</v>
      </c>
      <c r="J14831" s="1">
        <v>45967.389166666668</v>
      </c>
    </row>
    <row r="14832" spans="1:10" x14ac:dyDescent="0.2">
      <c r="A14832" s="4" t="s">
        <v>1</v>
      </c>
      <c r="B14832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32" s="3" t="str">
        <f>HYPERLINK("https://otsuka-europe-crm.veevavault.com/ui/#object/sent_email__v/VBL000000004669", "SE-001381053")</f>
        <v>SE-001381053</v>
      </c>
      <c r="D14832" s="1" t="s">
        <v>0</v>
      </c>
      <c r="E14832" s="2">
        <v>0</v>
      </c>
      <c r="F14832" s="2">
        <v>0</v>
      </c>
      <c r="G14832" s="2">
        <v>0</v>
      </c>
      <c r="H14832" s="1" t="s">
        <v>0</v>
      </c>
      <c r="I14832" s="2">
        <v>0</v>
      </c>
      <c r="J14832" s="1">
        <v>45967.389166666668</v>
      </c>
    </row>
    <row r="14833" spans="1:10" x14ac:dyDescent="0.2">
      <c r="A14833" s="4" t="s">
        <v>1</v>
      </c>
      <c r="B14833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33" s="3" t="str">
        <f>HYPERLINK("https://otsuka-europe-crm.veevavault.com/ui/#object/sent_email__v/VBL000000004670", "SE-001381054")</f>
        <v>SE-001381054</v>
      </c>
      <c r="D14833" s="1" t="s">
        <v>0</v>
      </c>
      <c r="E14833" s="2">
        <v>0</v>
      </c>
      <c r="F14833" s="2">
        <v>0</v>
      </c>
      <c r="G14833" s="2">
        <v>0</v>
      </c>
      <c r="H14833" s="1" t="s">
        <v>0</v>
      </c>
      <c r="I14833" s="2">
        <v>0</v>
      </c>
      <c r="J14833" s="1">
        <v>45967.390092592592</v>
      </c>
    </row>
    <row r="14834" spans="1:10" x14ac:dyDescent="0.2">
      <c r="A14834" s="4" t="s">
        <v>1</v>
      </c>
      <c r="B14834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34" s="3" t="str">
        <f>HYPERLINK("https://otsuka-europe-crm.veevavault.com/ui/#object/sent_email__v/VBL000000004671", "SE-001381055")</f>
        <v>SE-001381055</v>
      </c>
      <c r="D14834" s="1" t="s">
        <v>0</v>
      </c>
      <c r="E14834" s="2">
        <v>0</v>
      </c>
      <c r="F14834" s="2">
        <v>0</v>
      </c>
      <c r="G14834" s="2">
        <v>0</v>
      </c>
      <c r="H14834" s="1" t="s">
        <v>0</v>
      </c>
      <c r="I14834" s="2">
        <v>0</v>
      </c>
      <c r="J14834" s="1">
        <v>45967.390104166669</v>
      </c>
    </row>
    <row r="14835" spans="1:10" x14ac:dyDescent="0.2">
      <c r="A14835" s="4" t="s">
        <v>1</v>
      </c>
      <c r="B14835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35" s="3" t="str">
        <f>HYPERLINK("https://otsuka-europe-crm.veevavault.com/ui/#object/sent_email__v/VBL000000004672", "SE-001381056")</f>
        <v>SE-001381056</v>
      </c>
      <c r="D14835" s="1" t="s">
        <v>0</v>
      </c>
      <c r="E14835" s="2">
        <v>0</v>
      </c>
      <c r="F14835" s="2">
        <v>0</v>
      </c>
      <c r="G14835" s="2">
        <v>0</v>
      </c>
      <c r="H14835" s="1" t="s">
        <v>0</v>
      </c>
      <c r="I14835" s="2">
        <v>0</v>
      </c>
      <c r="J14835" s="1">
        <v>45967.390092592592</v>
      </c>
    </row>
    <row r="14836" spans="1:10" x14ac:dyDescent="0.2">
      <c r="A14836" s="4" t="s">
        <v>1</v>
      </c>
      <c r="B14836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36" s="3" t="str">
        <f>HYPERLINK("https://otsuka-europe-crm.veevavault.com/ui/#object/sent_email__v/VBL000000004673", "SE-001381057")</f>
        <v>SE-001381057</v>
      </c>
      <c r="D14836" s="1" t="s">
        <v>0</v>
      </c>
      <c r="E14836" s="2">
        <v>0</v>
      </c>
      <c r="F14836" s="2">
        <v>0</v>
      </c>
      <c r="G14836" s="2">
        <v>0</v>
      </c>
      <c r="H14836" s="1" t="s">
        <v>0</v>
      </c>
      <c r="I14836" s="2">
        <v>0</v>
      </c>
      <c r="J14836" s="1">
        <v>45967.390104166669</v>
      </c>
    </row>
    <row r="14837" spans="1:10" x14ac:dyDescent="0.2">
      <c r="A14837" s="4" t="s">
        <v>1</v>
      </c>
      <c r="B14837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37" s="3" t="str">
        <f>HYPERLINK("https://otsuka-europe-crm.veevavault.com/ui/#object/sent_email__v/VBL000000004674", "SE-001381058")</f>
        <v>SE-001381058</v>
      </c>
      <c r="D14837" s="1" t="s">
        <v>0</v>
      </c>
      <c r="E14837" s="2">
        <v>0</v>
      </c>
      <c r="F14837" s="2">
        <v>0</v>
      </c>
      <c r="G14837" s="2">
        <v>0</v>
      </c>
      <c r="H14837" s="1" t="s">
        <v>0</v>
      </c>
      <c r="I14837" s="2">
        <v>0</v>
      </c>
      <c r="J14837" s="1">
        <v>45967.390104166669</v>
      </c>
    </row>
    <row r="14838" spans="1:10" x14ac:dyDescent="0.2">
      <c r="A14838" s="4" t="s">
        <v>1</v>
      </c>
      <c r="B14838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38" s="3" t="str">
        <f>HYPERLINK("https://otsuka-europe-crm.veevavault.com/ui/#object/sent_email__v/VBL000000004675", "SE-001381059")</f>
        <v>SE-001381059</v>
      </c>
      <c r="D14838" s="1" t="s">
        <v>0</v>
      </c>
      <c r="E14838" s="2">
        <v>0</v>
      </c>
      <c r="F14838" s="2">
        <v>0</v>
      </c>
      <c r="G14838" s="2">
        <v>0</v>
      </c>
      <c r="H14838" s="1" t="s">
        <v>0</v>
      </c>
      <c r="I14838" s="2">
        <v>0</v>
      </c>
      <c r="J14838" s="1">
        <v>45967.390092592592</v>
      </c>
    </row>
    <row r="14839" spans="1:10" x14ac:dyDescent="0.2">
      <c r="A14839" s="4" t="s">
        <v>1</v>
      </c>
      <c r="B14839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39" s="3" t="str">
        <f>HYPERLINK("https://otsuka-europe-crm.veevavault.com/ui/#object/sent_email__v/VBL000000004676", "SE-001381060")</f>
        <v>SE-001381060</v>
      </c>
      <c r="D14839" s="1" t="s">
        <v>0</v>
      </c>
      <c r="E14839" s="2">
        <v>0</v>
      </c>
      <c r="F14839" s="2">
        <v>0</v>
      </c>
      <c r="G14839" s="2">
        <v>0</v>
      </c>
      <c r="H14839" s="1" t="s">
        <v>0</v>
      </c>
      <c r="I14839" s="2">
        <v>0</v>
      </c>
      <c r="J14839" s="1">
        <v>45967.390104166669</v>
      </c>
    </row>
    <row r="14840" spans="1:10" x14ac:dyDescent="0.2">
      <c r="A14840" s="4" t="s">
        <v>1</v>
      </c>
      <c r="B14840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40" s="3" t="str">
        <f>HYPERLINK("https://otsuka-europe-crm.veevavault.com/ui/#object/sent_email__v/VBL000000004677", "SE-001381061")</f>
        <v>SE-001381061</v>
      </c>
      <c r="D14840" s="1" t="s">
        <v>0</v>
      </c>
      <c r="E14840" s="2">
        <v>0</v>
      </c>
      <c r="F14840" s="2">
        <v>0</v>
      </c>
      <c r="G14840" s="2">
        <v>0</v>
      </c>
      <c r="H14840" s="1" t="s">
        <v>0</v>
      </c>
      <c r="I14840" s="2">
        <v>0</v>
      </c>
      <c r="J14840" s="1">
        <v>45967.390092592592</v>
      </c>
    </row>
    <row r="14841" spans="1:10" x14ac:dyDescent="0.2">
      <c r="A14841" s="4" t="s">
        <v>1</v>
      </c>
      <c r="B14841" s="3" t="str">
        <f>HYPERLINK("https://otsuka-europe-crm.veevavault.com/ui/#object/approved_document__v/V5O000000004016", "LUP - Invitación webinar ""The importance of proteinuria management"" - nefro")</f>
        <v>LUP - Invitación webinar "The importance of proteinuria management" - nefro</v>
      </c>
      <c r="C14841" s="3" t="str">
        <f>HYPERLINK("https://otsuka-europe-crm.veevavault.com/ui/#object/sent_email__v/VBL000000004678", "SE-001381062")</f>
        <v>SE-001381062</v>
      </c>
      <c r="D14841" s="1" t="s">
        <v>0</v>
      </c>
      <c r="E14841" s="2">
        <v>0</v>
      </c>
      <c r="F14841" s="2">
        <v>0</v>
      </c>
      <c r="G14841" s="2">
        <v>0</v>
      </c>
      <c r="H14841" s="1" t="s">
        <v>0</v>
      </c>
      <c r="I14841" s="2">
        <v>0</v>
      </c>
      <c r="J14841" s="1">
        <v>45967.390104166669</v>
      </c>
    </row>
    <row r="14842" spans="1:10" x14ac:dyDescent="0.2">
      <c r="A14842" s="4" t="s">
        <v>1</v>
      </c>
      <c r="B14842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42" s="3" t="str">
        <f>HYPERLINK("https://otsuka-europe-crm.veevavault.com/ui/#object/sent_email__v/VBL000000004419", "SE-001380667")</f>
        <v>SE-001380667</v>
      </c>
      <c r="D14842" s="1" t="s">
        <v>0</v>
      </c>
      <c r="E14842" s="2">
        <v>0</v>
      </c>
      <c r="F14842" s="2">
        <v>0</v>
      </c>
      <c r="G14842" s="2">
        <v>0</v>
      </c>
      <c r="H14842" s="1" t="s">
        <v>0</v>
      </c>
      <c r="I14842" s="2">
        <v>0</v>
      </c>
      <c r="J14842" s="1">
        <v>45965.468831018516</v>
      </c>
    </row>
    <row r="14843" spans="1:10" x14ac:dyDescent="0.2">
      <c r="A14843" s="4" t="s">
        <v>1</v>
      </c>
      <c r="B14843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43" s="3" t="str">
        <f>HYPERLINK("https://otsuka-europe-crm.veevavault.com/ui/#object/sent_email__v/VBL000000005769", "SE-001380671")</f>
        <v>SE-001380671</v>
      </c>
      <c r="D14843" s="1" t="s">
        <v>0</v>
      </c>
      <c r="E14843" s="2">
        <v>0</v>
      </c>
      <c r="F14843" s="2">
        <v>0</v>
      </c>
      <c r="G14843" s="2">
        <v>0</v>
      </c>
      <c r="H14843" s="1" t="s">
        <v>0</v>
      </c>
      <c r="I14843" s="2">
        <v>0</v>
      </c>
      <c r="J14843" s="1">
        <v>45965.502476851849</v>
      </c>
    </row>
    <row r="14844" spans="1:10" x14ac:dyDescent="0.2">
      <c r="A14844" s="4" t="s">
        <v>1</v>
      </c>
      <c r="B14844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44" s="3" t="str">
        <f>HYPERLINK("https://otsuka-europe-crm.veevavault.com/ui/#object/sent_email__v/VBL000000005770", "SE-001380672")</f>
        <v>SE-001380672</v>
      </c>
      <c r="D14844" s="1">
        <v>45965.698912037034</v>
      </c>
      <c r="E14844" s="2">
        <v>1</v>
      </c>
      <c r="F14844" s="2">
        <v>1</v>
      </c>
      <c r="G14844" s="2">
        <v>0</v>
      </c>
      <c r="H14844" s="1" t="s">
        <v>0</v>
      </c>
      <c r="I14844" s="2">
        <v>0</v>
      </c>
      <c r="J14844" s="1">
        <v>45965.502534722225</v>
      </c>
    </row>
    <row r="14845" spans="1:10" x14ac:dyDescent="0.2">
      <c r="A14845" s="4" t="s">
        <v>1</v>
      </c>
      <c r="B14845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45" s="3" t="str">
        <f>HYPERLINK("https://otsuka-europe-crm.veevavault.com/ui/#object/sent_email__v/VBL000000005771", "SE-001380673")</f>
        <v>SE-001380673</v>
      </c>
      <c r="D14845" s="1">
        <v>45968.894884259258</v>
      </c>
      <c r="E14845" s="2">
        <v>1</v>
      </c>
      <c r="F14845" s="2">
        <v>2</v>
      </c>
      <c r="G14845" s="2">
        <v>1</v>
      </c>
      <c r="H14845" s="1">
        <v>45965.717442129629</v>
      </c>
      <c r="I14845" s="2">
        <v>1</v>
      </c>
      <c r="J14845" s="1">
        <v>45965.502627314818</v>
      </c>
    </row>
    <row r="14846" spans="1:10" x14ac:dyDescent="0.2">
      <c r="A14846" s="4" t="s">
        <v>1</v>
      </c>
      <c r="B14846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46" s="3" t="str">
        <f>HYPERLINK("https://otsuka-europe-crm.veevavault.com/ui/#object/sent_email__v/VBL000000005772", "SE-001380674")</f>
        <v>SE-001380674</v>
      </c>
      <c r="D14846" s="1" t="s">
        <v>0</v>
      </c>
      <c r="E14846" s="2">
        <v>0</v>
      </c>
      <c r="F14846" s="2">
        <v>0</v>
      </c>
      <c r="G14846" s="2">
        <v>0</v>
      </c>
      <c r="H14846" s="1" t="s">
        <v>0</v>
      </c>
      <c r="I14846" s="2">
        <v>0</v>
      </c>
      <c r="J14846" s="1">
        <v>45965.502708333333</v>
      </c>
    </row>
    <row r="14847" spans="1:10" x14ac:dyDescent="0.2">
      <c r="A14847" s="4" t="s">
        <v>1</v>
      </c>
      <c r="B14847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47" s="3" t="str">
        <f>HYPERLINK("https://otsuka-europe-crm.veevavault.com/ui/#object/sent_email__v/VBL000000005773", "SE-001380675")</f>
        <v>SE-001380675</v>
      </c>
      <c r="D14847" s="1" t="s">
        <v>0</v>
      </c>
      <c r="E14847" s="2">
        <v>0</v>
      </c>
      <c r="F14847" s="2">
        <v>0</v>
      </c>
      <c r="G14847" s="2">
        <v>0</v>
      </c>
      <c r="H14847" s="1" t="s">
        <v>0</v>
      </c>
      <c r="I14847" s="2">
        <v>0</v>
      </c>
      <c r="J14847" s="1">
        <v>45965.502800925926</v>
      </c>
    </row>
    <row r="14848" spans="1:10" x14ac:dyDescent="0.2">
      <c r="A14848" s="4" t="s">
        <v>1</v>
      </c>
      <c r="B14848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48" s="3" t="str">
        <f>HYPERLINK("https://otsuka-europe-crm.veevavault.com/ui/#object/sent_email__v/VBL000000005774", "SE-001380676")</f>
        <v>SE-001380676</v>
      </c>
      <c r="D14848" s="1" t="s">
        <v>0</v>
      </c>
      <c r="E14848" s="2">
        <v>0</v>
      </c>
      <c r="F14848" s="2">
        <v>0</v>
      </c>
      <c r="G14848" s="2">
        <v>0</v>
      </c>
      <c r="H14848" s="1" t="s">
        <v>0</v>
      </c>
      <c r="I14848" s="2">
        <v>0</v>
      </c>
      <c r="J14848" s="1">
        <v>45965.502858796295</v>
      </c>
    </row>
    <row r="14849" spans="1:10" x14ac:dyDescent="0.2">
      <c r="A14849" s="4" t="s">
        <v>1</v>
      </c>
      <c r="B14849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49" s="3" t="str">
        <f>HYPERLINK("https://otsuka-europe-crm.veevavault.com/ui/#object/sent_email__v/VBL000000005775", "SE-001380677")</f>
        <v>SE-001380677</v>
      </c>
      <c r="D14849" s="1">
        <v>45990.426504629628</v>
      </c>
      <c r="E14849" s="2">
        <v>1</v>
      </c>
      <c r="F14849" s="2">
        <v>4</v>
      </c>
      <c r="G14849" s="2">
        <v>0</v>
      </c>
      <c r="H14849" s="1" t="s">
        <v>0</v>
      </c>
      <c r="I14849" s="2">
        <v>0</v>
      </c>
      <c r="J14849" s="1">
        <v>45965.502928240741</v>
      </c>
    </row>
    <row r="14850" spans="1:10" x14ac:dyDescent="0.2">
      <c r="A14850" s="4" t="s">
        <v>1</v>
      </c>
      <c r="B14850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50" s="3" t="str">
        <f>HYPERLINK("https://otsuka-europe-crm.veevavault.com/ui/#object/sent_email__v/VBL000000005776", "SE-001380678")</f>
        <v>SE-001380678</v>
      </c>
      <c r="D14850" s="1" t="s">
        <v>0</v>
      </c>
      <c r="E14850" s="2">
        <v>0</v>
      </c>
      <c r="F14850" s="2">
        <v>0</v>
      </c>
      <c r="G14850" s="2">
        <v>0</v>
      </c>
      <c r="H14850" s="1" t="s">
        <v>0</v>
      </c>
      <c r="I14850" s="2">
        <v>0</v>
      </c>
      <c r="J14850" s="1">
        <v>45965.502997685187</v>
      </c>
    </row>
    <row r="14851" spans="1:10" x14ac:dyDescent="0.2">
      <c r="A14851" s="4" t="s">
        <v>1</v>
      </c>
      <c r="B14851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51" s="3" t="str">
        <f>HYPERLINK("https://otsuka-europe-crm.veevavault.com/ui/#object/sent_email__v/VBL000000005777", "SE-001380679")</f>
        <v>SE-001380679</v>
      </c>
      <c r="D14851" s="1" t="s">
        <v>0</v>
      </c>
      <c r="E14851" s="2">
        <v>0</v>
      </c>
      <c r="F14851" s="2">
        <v>0</v>
      </c>
      <c r="G14851" s="2">
        <v>0</v>
      </c>
      <c r="H14851" s="1" t="s">
        <v>0</v>
      </c>
      <c r="I14851" s="2">
        <v>0</v>
      </c>
      <c r="J14851" s="1">
        <v>45965.503067129626</v>
      </c>
    </row>
    <row r="14852" spans="1:10" x14ac:dyDescent="0.2">
      <c r="A14852" s="4" t="s">
        <v>1</v>
      </c>
      <c r="B14852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52" s="3" t="str">
        <f>HYPERLINK("https://otsuka-europe-crm.veevavault.com/ui/#object/sent_email__v/VBL000000005778", "SE-001380680")</f>
        <v>SE-001380680</v>
      </c>
      <c r="D14852" s="1">
        <v>45965.926388888889</v>
      </c>
      <c r="E14852" s="2">
        <v>1</v>
      </c>
      <c r="F14852" s="2">
        <v>1</v>
      </c>
      <c r="G14852" s="2">
        <v>0</v>
      </c>
      <c r="H14852" s="1" t="s">
        <v>0</v>
      </c>
      <c r="I14852" s="2">
        <v>0</v>
      </c>
      <c r="J14852" s="1">
        <v>45965.503136574072</v>
      </c>
    </row>
    <row r="14853" spans="1:10" x14ac:dyDescent="0.2">
      <c r="A14853" s="4" t="s">
        <v>1</v>
      </c>
      <c r="B14853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53" s="3" t="str">
        <f>HYPERLINK("https://otsuka-europe-crm.veevavault.com/ui/#object/sent_email__v/VBL000000004564", "SE-001380948")</f>
        <v>SE-001380948</v>
      </c>
      <c r="D14853" s="1">
        <v>45968.922974537039</v>
      </c>
      <c r="E14853" s="2">
        <v>1</v>
      </c>
      <c r="F14853" s="2">
        <v>2</v>
      </c>
      <c r="G14853" s="2">
        <v>0</v>
      </c>
      <c r="H14853" s="1" t="s">
        <v>0</v>
      </c>
      <c r="I14853" s="2">
        <v>0</v>
      </c>
      <c r="J14853" s="1">
        <v>45967.361134259256</v>
      </c>
    </row>
    <row r="14854" spans="1:10" x14ac:dyDescent="0.2">
      <c r="A14854" s="4" t="s">
        <v>1</v>
      </c>
      <c r="B14854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54" s="3" t="str">
        <f>HYPERLINK("https://otsuka-europe-crm.veevavault.com/ui/#object/sent_email__v/VBL000000004679", "SE-001381063")</f>
        <v>SE-001381063</v>
      </c>
      <c r="D14854" s="1" t="s">
        <v>0</v>
      </c>
      <c r="E14854" s="2">
        <v>0</v>
      </c>
      <c r="F14854" s="2">
        <v>0</v>
      </c>
      <c r="G14854" s="2">
        <v>0</v>
      </c>
      <c r="H14854" s="1" t="s">
        <v>0</v>
      </c>
      <c r="I14854" s="2">
        <v>0</v>
      </c>
      <c r="J14854" s="1">
        <v>45967.390590277777</v>
      </c>
    </row>
    <row r="14855" spans="1:10" x14ac:dyDescent="0.2">
      <c r="A14855" s="4" t="s">
        <v>1</v>
      </c>
      <c r="B14855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55" s="3" t="str">
        <f>HYPERLINK("https://otsuka-europe-crm.veevavault.com/ui/#object/sent_email__v/VBL000000004680", "SE-001381064")</f>
        <v>SE-001381064</v>
      </c>
      <c r="D14855" s="1" t="s">
        <v>0</v>
      </c>
      <c r="E14855" s="2">
        <v>0</v>
      </c>
      <c r="F14855" s="2">
        <v>0</v>
      </c>
      <c r="G14855" s="2">
        <v>0</v>
      </c>
      <c r="H14855" s="1" t="s">
        <v>0</v>
      </c>
      <c r="I14855" s="2">
        <v>0</v>
      </c>
      <c r="J14855" s="1">
        <v>45967.3905787037</v>
      </c>
    </row>
    <row r="14856" spans="1:10" x14ac:dyDescent="0.2">
      <c r="A14856" s="4" t="s">
        <v>1</v>
      </c>
      <c r="B14856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56" s="3" t="str">
        <f>HYPERLINK("https://otsuka-europe-crm.veevavault.com/ui/#object/sent_email__v/VBL000000004681", "SE-001381065")</f>
        <v>SE-001381065</v>
      </c>
      <c r="D14856" s="1" t="s">
        <v>0</v>
      </c>
      <c r="E14856" s="2">
        <v>0</v>
      </c>
      <c r="F14856" s="2">
        <v>0</v>
      </c>
      <c r="G14856" s="2">
        <v>0</v>
      </c>
      <c r="H14856" s="1" t="s">
        <v>0</v>
      </c>
      <c r="I14856" s="2">
        <v>0</v>
      </c>
      <c r="J14856" s="1">
        <v>45967.390590277777</v>
      </c>
    </row>
    <row r="14857" spans="1:10" x14ac:dyDescent="0.2">
      <c r="A14857" s="4" t="s">
        <v>1</v>
      </c>
      <c r="B14857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57" s="3" t="str">
        <f>HYPERLINK("https://otsuka-europe-crm.veevavault.com/ui/#object/sent_email__v/VBL000000004682", "SE-001381066")</f>
        <v>SE-001381066</v>
      </c>
      <c r="D14857" s="1" t="s">
        <v>0</v>
      </c>
      <c r="E14857" s="2">
        <v>0</v>
      </c>
      <c r="F14857" s="2">
        <v>0</v>
      </c>
      <c r="G14857" s="2">
        <v>0</v>
      </c>
      <c r="H14857" s="1" t="s">
        <v>0</v>
      </c>
      <c r="I14857" s="2">
        <v>0</v>
      </c>
      <c r="J14857" s="1">
        <v>45967.3905787037</v>
      </c>
    </row>
    <row r="14858" spans="1:10" x14ac:dyDescent="0.2">
      <c r="A14858" s="4" t="s">
        <v>1</v>
      </c>
      <c r="B14858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58" s="3" t="str">
        <f>HYPERLINK("https://otsuka-europe-crm.veevavault.com/ui/#object/sent_email__v/VBL000000004683", "SE-001381067")</f>
        <v>SE-001381067</v>
      </c>
      <c r="D14858" s="1" t="s">
        <v>0</v>
      </c>
      <c r="E14858" s="2">
        <v>0</v>
      </c>
      <c r="F14858" s="2">
        <v>0</v>
      </c>
      <c r="G14858" s="2">
        <v>0</v>
      </c>
      <c r="H14858" s="1" t="s">
        <v>0</v>
      </c>
      <c r="I14858" s="2">
        <v>0</v>
      </c>
      <c r="J14858" s="1">
        <v>45967.390590277777</v>
      </c>
    </row>
    <row r="14859" spans="1:10" x14ac:dyDescent="0.2">
      <c r="A14859" s="4" t="s">
        <v>1</v>
      </c>
      <c r="B14859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59" s="3" t="str">
        <f>HYPERLINK("https://otsuka-europe-crm.veevavault.com/ui/#object/sent_email__v/VBL000000004684", "SE-001381068")</f>
        <v>SE-001381068</v>
      </c>
      <c r="D14859" s="1" t="s">
        <v>0</v>
      </c>
      <c r="E14859" s="2">
        <v>0</v>
      </c>
      <c r="F14859" s="2">
        <v>0</v>
      </c>
      <c r="G14859" s="2">
        <v>0</v>
      </c>
      <c r="H14859" s="1" t="s">
        <v>0</v>
      </c>
      <c r="I14859" s="2">
        <v>0</v>
      </c>
      <c r="J14859" s="1">
        <v>45967.3905787037</v>
      </c>
    </row>
    <row r="14860" spans="1:10" x14ac:dyDescent="0.2">
      <c r="A14860" s="4" t="s">
        <v>1</v>
      </c>
      <c r="B14860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60" s="3" t="str">
        <f>HYPERLINK("https://otsuka-europe-crm.veevavault.com/ui/#object/sent_email__v/VBL000000004685", "SE-001381069")</f>
        <v>SE-001381069</v>
      </c>
      <c r="D14860" s="1" t="s">
        <v>0</v>
      </c>
      <c r="E14860" s="2">
        <v>0</v>
      </c>
      <c r="F14860" s="2">
        <v>0</v>
      </c>
      <c r="G14860" s="2">
        <v>0</v>
      </c>
      <c r="H14860" s="1" t="s">
        <v>0</v>
      </c>
      <c r="I14860" s="2">
        <v>0</v>
      </c>
      <c r="J14860" s="1">
        <v>45967.390590277777</v>
      </c>
    </row>
    <row r="14861" spans="1:10" x14ac:dyDescent="0.2">
      <c r="A14861" s="4" t="s">
        <v>1</v>
      </c>
      <c r="B14861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61" s="3" t="str">
        <f>HYPERLINK("https://otsuka-europe-crm.veevavault.com/ui/#object/sent_email__v/VBL000000004686", "SE-001381070")</f>
        <v>SE-001381070</v>
      </c>
      <c r="D14861" s="1" t="s">
        <v>0</v>
      </c>
      <c r="E14861" s="2">
        <v>0</v>
      </c>
      <c r="F14861" s="2">
        <v>0</v>
      </c>
      <c r="G14861" s="2">
        <v>0</v>
      </c>
      <c r="H14861" s="1" t="s">
        <v>0</v>
      </c>
      <c r="I14861" s="2">
        <v>0</v>
      </c>
      <c r="J14861" s="1">
        <v>45967.390590277777</v>
      </c>
    </row>
    <row r="14862" spans="1:10" x14ac:dyDescent="0.2">
      <c r="A14862" s="4" t="s">
        <v>1</v>
      </c>
      <c r="B14862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62" s="3" t="str">
        <f>HYPERLINK("https://otsuka-europe-crm.veevavault.com/ui/#object/sent_email__v/VBL000000004687", "SE-001381071")</f>
        <v>SE-001381071</v>
      </c>
      <c r="D14862" s="1" t="s">
        <v>0</v>
      </c>
      <c r="E14862" s="2">
        <v>0</v>
      </c>
      <c r="F14862" s="2">
        <v>0</v>
      </c>
      <c r="G14862" s="2">
        <v>0</v>
      </c>
      <c r="H14862" s="1" t="s">
        <v>0</v>
      </c>
      <c r="I14862" s="2">
        <v>0</v>
      </c>
      <c r="J14862" s="1">
        <v>45967.390590277777</v>
      </c>
    </row>
    <row r="14863" spans="1:10" x14ac:dyDescent="0.2">
      <c r="A14863" s="4" t="s">
        <v>1</v>
      </c>
      <c r="B14863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63" s="3" t="str">
        <f>HYPERLINK("https://otsuka-europe-crm.veevavault.com/ui/#object/sent_email__v/VBL000000004688", "SE-001381072")</f>
        <v>SE-001381072</v>
      </c>
      <c r="D14863" s="1" t="s">
        <v>0</v>
      </c>
      <c r="E14863" s="2">
        <v>0</v>
      </c>
      <c r="F14863" s="2">
        <v>0</v>
      </c>
      <c r="G14863" s="2">
        <v>0</v>
      </c>
      <c r="H14863" s="1" t="s">
        <v>0</v>
      </c>
      <c r="I14863" s="2">
        <v>0</v>
      </c>
      <c r="J14863" s="1">
        <v>45967.390590277777</v>
      </c>
    </row>
    <row r="14864" spans="1:10" x14ac:dyDescent="0.2">
      <c r="A14864" s="4" t="s">
        <v>1</v>
      </c>
      <c r="B14864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64" s="3" t="str">
        <f>HYPERLINK("https://otsuka-europe-crm.veevavault.com/ui/#object/sent_email__v/VBL000000004689", "SE-001381073")</f>
        <v>SE-001381073</v>
      </c>
      <c r="D14864" s="1" t="s">
        <v>0</v>
      </c>
      <c r="E14864" s="2">
        <v>0</v>
      </c>
      <c r="F14864" s="2">
        <v>0</v>
      </c>
      <c r="G14864" s="2">
        <v>0</v>
      </c>
      <c r="H14864" s="1" t="s">
        <v>0</v>
      </c>
      <c r="I14864" s="2">
        <v>0</v>
      </c>
      <c r="J14864" s="1">
        <v>45967.390590277777</v>
      </c>
    </row>
    <row r="14865" spans="1:10" x14ac:dyDescent="0.2">
      <c r="A14865" s="4" t="s">
        <v>1</v>
      </c>
      <c r="B14865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65" s="3" t="str">
        <f>HYPERLINK("https://otsuka-europe-crm.veevavault.com/ui/#object/sent_email__v/VBL000000004690", "SE-001381074")</f>
        <v>SE-001381074</v>
      </c>
      <c r="D14865" s="1" t="s">
        <v>0</v>
      </c>
      <c r="E14865" s="2">
        <v>0</v>
      </c>
      <c r="F14865" s="2">
        <v>0</v>
      </c>
      <c r="G14865" s="2">
        <v>0</v>
      </c>
      <c r="H14865" s="1" t="s">
        <v>0</v>
      </c>
      <c r="I14865" s="2">
        <v>0</v>
      </c>
      <c r="J14865" s="1">
        <v>45967.390590277777</v>
      </c>
    </row>
    <row r="14866" spans="1:10" x14ac:dyDescent="0.2">
      <c r="A14866" s="4" t="s">
        <v>1</v>
      </c>
      <c r="B14866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66" s="3" t="str">
        <f>HYPERLINK("https://otsuka-europe-crm.veevavault.com/ui/#object/sent_email__v/VBL000000004691", "SE-001381075")</f>
        <v>SE-001381075</v>
      </c>
      <c r="D14866" s="1" t="s">
        <v>0</v>
      </c>
      <c r="E14866" s="2">
        <v>0</v>
      </c>
      <c r="F14866" s="2">
        <v>0</v>
      </c>
      <c r="G14866" s="2">
        <v>0</v>
      </c>
      <c r="H14866" s="1" t="s">
        <v>0</v>
      </c>
      <c r="I14866" s="2">
        <v>0</v>
      </c>
      <c r="J14866" s="1">
        <v>45967.390590277777</v>
      </c>
    </row>
    <row r="14867" spans="1:10" x14ac:dyDescent="0.2">
      <c r="A14867" s="4" t="s">
        <v>1</v>
      </c>
      <c r="B14867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67" s="3" t="str">
        <f>HYPERLINK("https://otsuka-europe-crm.veevavault.com/ui/#object/sent_email__v/VBL000000004692", "SE-001381076")</f>
        <v>SE-001381076</v>
      </c>
      <c r="D14867" s="1" t="s">
        <v>0</v>
      </c>
      <c r="E14867" s="2">
        <v>0</v>
      </c>
      <c r="F14867" s="2">
        <v>0</v>
      </c>
      <c r="G14867" s="2">
        <v>0</v>
      </c>
      <c r="H14867" s="1" t="s">
        <v>0</v>
      </c>
      <c r="I14867" s="2">
        <v>0</v>
      </c>
      <c r="J14867" s="1">
        <v>45967.390590277777</v>
      </c>
    </row>
    <row r="14868" spans="1:10" x14ac:dyDescent="0.2">
      <c r="A14868" s="4" t="s">
        <v>1</v>
      </c>
      <c r="B14868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68" s="3" t="str">
        <f>HYPERLINK("https://otsuka-europe-crm.veevavault.com/ui/#object/sent_email__v/VBL000000004693", "SE-001381077")</f>
        <v>SE-001381077</v>
      </c>
      <c r="D14868" s="1" t="s">
        <v>0</v>
      </c>
      <c r="E14868" s="2">
        <v>0</v>
      </c>
      <c r="F14868" s="2">
        <v>0</v>
      </c>
      <c r="G14868" s="2">
        <v>0</v>
      </c>
      <c r="H14868" s="1" t="s">
        <v>0</v>
      </c>
      <c r="I14868" s="2">
        <v>0</v>
      </c>
      <c r="J14868" s="1">
        <v>45967.390590277777</v>
      </c>
    </row>
    <row r="14869" spans="1:10" x14ac:dyDescent="0.2">
      <c r="A14869" s="4" t="s">
        <v>1</v>
      </c>
      <c r="B14869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69" s="3" t="str">
        <f>HYPERLINK("https://otsuka-europe-crm.veevavault.com/ui/#object/sent_email__v/VBL000000004694", "SE-001381078")</f>
        <v>SE-001381078</v>
      </c>
      <c r="D14869" s="1" t="s">
        <v>0</v>
      </c>
      <c r="E14869" s="2">
        <v>0</v>
      </c>
      <c r="F14869" s="2">
        <v>0</v>
      </c>
      <c r="G14869" s="2">
        <v>0</v>
      </c>
      <c r="H14869" s="1" t="s">
        <v>0</v>
      </c>
      <c r="I14869" s="2">
        <v>0</v>
      </c>
      <c r="J14869" s="1">
        <v>45967.390590277777</v>
      </c>
    </row>
    <row r="14870" spans="1:10" x14ac:dyDescent="0.2">
      <c r="A14870" s="4" t="s">
        <v>1</v>
      </c>
      <c r="B14870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70" s="3" t="str">
        <f>HYPERLINK("https://otsuka-europe-crm.veevavault.com/ui/#object/sent_email__v/VBL000000004695", "SE-001381079")</f>
        <v>SE-001381079</v>
      </c>
      <c r="D14870" s="1" t="s">
        <v>0</v>
      </c>
      <c r="E14870" s="2">
        <v>0</v>
      </c>
      <c r="F14870" s="2">
        <v>0</v>
      </c>
      <c r="G14870" s="2">
        <v>0</v>
      </c>
      <c r="H14870" s="1" t="s">
        <v>0</v>
      </c>
      <c r="I14870" s="2">
        <v>0</v>
      </c>
      <c r="J14870" s="1">
        <v>45967.390590277777</v>
      </c>
    </row>
    <row r="14871" spans="1:10" x14ac:dyDescent="0.2">
      <c r="A14871" s="4" t="s">
        <v>1</v>
      </c>
      <c r="B14871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71" s="3" t="str">
        <f>HYPERLINK("https://otsuka-europe-crm.veevavault.com/ui/#object/sent_email__v/VBL000000004696", "SE-001381080")</f>
        <v>SE-001381080</v>
      </c>
      <c r="D14871" s="1" t="s">
        <v>0</v>
      </c>
      <c r="E14871" s="2">
        <v>0</v>
      </c>
      <c r="F14871" s="2">
        <v>0</v>
      </c>
      <c r="G14871" s="2">
        <v>0</v>
      </c>
      <c r="H14871" s="1" t="s">
        <v>0</v>
      </c>
      <c r="I14871" s="2">
        <v>0</v>
      </c>
      <c r="J14871" s="1">
        <v>45967.390590277777</v>
      </c>
    </row>
    <row r="14872" spans="1:10" x14ac:dyDescent="0.2">
      <c r="A14872" s="4" t="s">
        <v>1</v>
      </c>
      <c r="B14872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72" s="3" t="str">
        <f>HYPERLINK("https://otsuka-europe-crm.veevavault.com/ui/#object/sent_email__v/VBL000000004697", "SE-001381081")</f>
        <v>SE-001381081</v>
      </c>
      <c r="D14872" s="1" t="s">
        <v>0</v>
      </c>
      <c r="E14872" s="2">
        <v>0</v>
      </c>
      <c r="F14872" s="2">
        <v>0</v>
      </c>
      <c r="G14872" s="2">
        <v>0</v>
      </c>
      <c r="H14872" s="1" t="s">
        <v>0</v>
      </c>
      <c r="I14872" s="2">
        <v>0</v>
      </c>
      <c r="J14872" s="1">
        <v>45967.390590277777</v>
      </c>
    </row>
    <row r="14873" spans="1:10" x14ac:dyDescent="0.2">
      <c r="A14873" s="4" t="s">
        <v>1</v>
      </c>
      <c r="B14873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73" s="3" t="str">
        <f>HYPERLINK("https://otsuka-europe-crm.veevavault.com/ui/#object/sent_email__v/VBL000000004698", "SE-001381082")</f>
        <v>SE-001381082</v>
      </c>
      <c r="D14873" s="1" t="s">
        <v>0</v>
      </c>
      <c r="E14873" s="2">
        <v>0</v>
      </c>
      <c r="F14873" s="2">
        <v>0</v>
      </c>
      <c r="G14873" s="2">
        <v>0</v>
      </c>
      <c r="H14873" s="1" t="s">
        <v>0</v>
      </c>
      <c r="I14873" s="2">
        <v>0</v>
      </c>
      <c r="J14873" s="1">
        <v>45967.390601851854</v>
      </c>
    </row>
    <row r="14874" spans="1:10" x14ac:dyDescent="0.2">
      <c r="A14874" s="4" t="s">
        <v>1</v>
      </c>
      <c r="B14874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74" s="3" t="str">
        <f>HYPERLINK("https://otsuka-europe-crm.veevavault.com/ui/#object/sent_email__v/VBL000000004699", "SE-001381083")</f>
        <v>SE-001381083</v>
      </c>
      <c r="D14874" s="1" t="s">
        <v>0</v>
      </c>
      <c r="E14874" s="2">
        <v>0</v>
      </c>
      <c r="F14874" s="2">
        <v>0</v>
      </c>
      <c r="G14874" s="2">
        <v>0</v>
      </c>
      <c r="H14874" s="1" t="s">
        <v>0</v>
      </c>
      <c r="I14874" s="2">
        <v>0</v>
      </c>
      <c r="J14874" s="1">
        <v>45967.390601851854</v>
      </c>
    </row>
    <row r="14875" spans="1:10" x14ac:dyDescent="0.2">
      <c r="A14875" s="4" t="s">
        <v>1</v>
      </c>
      <c r="B14875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75" s="3" t="str">
        <f>HYPERLINK("https://otsuka-europe-crm.veevavault.com/ui/#object/sent_email__v/VBL000000004700", "SE-001381084")</f>
        <v>SE-001381084</v>
      </c>
      <c r="D14875" s="1" t="s">
        <v>0</v>
      </c>
      <c r="E14875" s="2">
        <v>0</v>
      </c>
      <c r="F14875" s="2">
        <v>0</v>
      </c>
      <c r="G14875" s="2">
        <v>0</v>
      </c>
      <c r="H14875" s="1" t="s">
        <v>0</v>
      </c>
      <c r="I14875" s="2">
        <v>0</v>
      </c>
      <c r="J14875" s="1">
        <v>45967.390601851854</v>
      </c>
    </row>
    <row r="14876" spans="1:10" x14ac:dyDescent="0.2">
      <c r="A14876" s="4" t="s">
        <v>1</v>
      </c>
      <c r="B14876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76" s="3" t="str">
        <f>HYPERLINK("https://otsuka-europe-crm.veevavault.com/ui/#object/sent_email__v/VBL000000004701", "SE-001381085")</f>
        <v>SE-001381085</v>
      </c>
      <c r="D14876" s="1" t="s">
        <v>0</v>
      </c>
      <c r="E14876" s="2">
        <v>0</v>
      </c>
      <c r="F14876" s="2">
        <v>0</v>
      </c>
      <c r="G14876" s="2">
        <v>0</v>
      </c>
      <c r="H14876" s="1" t="s">
        <v>0</v>
      </c>
      <c r="I14876" s="2">
        <v>0</v>
      </c>
      <c r="J14876" s="1">
        <v>45967.390601851854</v>
      </c>
    </row>
    <row r="14877" spans="1:10" x14ac:dyDescent="0.2">
      <c r="A14877" s="4" t="s">
        <v>1</v>
      </c>
      <c r="B14877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77" s="3" t="str">
        <f>HYPERLINK("https://otsuka-europe-crm.veevavault.com/ui/#object/sent_email__v/VBL000000004702", "SE-001381086")</f>
        <v>SE-001381086</v>
      </c>
      <c r="D14877" s="1" t="s">
        <v>0</v>
      </c>
      <c r="E14877" s="2">
        <v>0</v>
      </c>
      <c r="F14877" s="2">
        <v>0</v>
      </c>
      <c r="G14877" s="2">
        <v>0</v>
      </c>
      <c r="H14877" s="1" t="s">
        <v>0</v>
      </c>
      <c r="I14877" s="2">
        <v>0</v>
      </c>
      <c r="J14877" s="1">
        <v>45967.390601851854</v>
      </c>
    </row>
    <row r="14878" spans="1:10" x14ac:dyDescent="0.2">
      <c r="A14878" s="4" t="s">
        <v>1</v>
      </c>
      <c r="B14878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78" s="3" t="str">
        <f>HYPERLINK("https://otsuka-europe-crm.veevavault.com/ui/#object/sent_email__v/VBL000000004703", "SE-001381087")</f>
        <v>SE-001381087</v>
      </c>
      <c r="D14878" s="1" t="s">
        <v>0</v>
      </c>
      <c r="E14878" s="2">
        <v>0</v>
      </c>
      <c r="F14878" s="2">
        <v>0</v>
      </c>
      <c r="G14878" s="2">
        <v>0</v>
      </c>
      <c r="H14878" s="1" t="s">
        <v>0</v>
      </c>
      <c r="I14878" s="2">
        <v>0</v>
      </c>
      <c r="J14878" s="1">
        <v>45967.391493055555</v>
      </c>
    </row>
    <row r="14879" spans="1:10" x14ac:dyDescent="0.2">
      <c r="A14879" s="4" t="s">
        <v>1</v>
      </c>
      <c r="B14879" s="3" t="str">
        <f>HYPERLINK("https://otsuka-europe-crm.veevavault.com/ui/#object/approved_document__v/V5O000000004018", "LUP - Invitación webinar ""The importance of proteinuria management"" - reuma")</f>
        <v>LUP - Invitación webinar "The importance of proteinuria management" - reuma</v>
      </c>
      <c r="C14879" s="3" t="str">
        <f>HYPERLINK("https://otsuka-europe-crm.veevavault.com/ui/#object/sent_email__v/VBL000000004704", "SE-001381088")</f>
        <v>SE-001381088</v>
      </c>
      <c r="D14879" s="1" t="s">
        <v>0</v>
      </c>
      <c r="E14879" s="2">
        <v>0</v>
      </c>
      <c r="F14879" s="2">
        <v>0</v>
      </c>
      <c r="G14879" s="2">
        <v>0</v>
      </c>
      <c r="H14879" s="1" t="s">
        <v>0</v>
      </c>
      <c r="I14879" s="2">
        <v>0</v>
      </c>
      <c r="J14879" s="1">
        <v>45967.391608796293</v>
      </c>
    </row>
    <row r="14880" spans="1:10" x14ac:dyDescent="0.2">
      <c r="A14880" s="4" t="s">
        <v>1</v>
      </c>
      <c r="B14880" s="3" t="str">
        <f>HYPERLINK("https://otsuka-europe-crm.veevavault.com/ui/#object/approved_document__v/V5O000000004028", "LUP - Invitación webinar 13N - nefro")</f>
        <v>LUP - Invitación webinar 13N - nefro</v>
      </c>
      <c r="C14880" s="3" t="str">
        <f>HYPERLINK("https://otsuka-europe-crm.veevavault.com/ui/#object/sent_email__v/VBL000000006273", "SE-001381231")</f>
        <v>SE-001381231</v>
      </c>
      <c r="D14880" s="1" t="s">
        <v>0</v>
      </c>
      <c r="E14880" s="2">
        <v>0</v>
      </c>
      <c r="F14880" s="2">
        <v>0</v>
      </c>
      <c r="G14880" s="2">
        <v>0</v>
      </c>
      <c r="H14880" s="1" t="s">
        <v>0</v>
      </c>
      <c r="I14880" s="2">
        <v>0</v>
      </c>
      <c r="J14880" s="1">
        <v>45967.541539351849</v>
      </c>
    </row>
    <row r="14881" spans="1:10" x14ac:dyDescent="0.2">
      <c r="A14881" s="4" t="s">
        <v>1</v>
      </c>
      <c r="B14881" s="3" t="str">
        <f>HYPERLINK("https://otsuka-europe-crm.veevavault.com/ui/#object/approved_document__v/V5O000000004028", "LUP - Invitación webinar 13N - nefro")</f>
        <v>LUP - Invitación webinar 13N - nefro</v>
      </c>
      <c r="C14881" s="3" t="str">
        <f>HYPERLINK("https://otsuka-europe-crm.veevavault.com/ui/#object/sent_email__v/VBL000000006274", "SE-001381232")</f>
        <v>SE-001381232</v>
      </c>
      <c r="D14881" s="1" t="s">
        <v>0</v>
      </c>
      <c r="E14881" s="2">
        <v>0</v>
      </c>
      <c r="F14881" s="2">
        <v>0</v>
      </c>
      <c r="G14881" s="2">
        <v>0</v>
      </c>
      <c r="H14881" s="1" t="s">
        <v>0</v>
      </c>
      <c r="I14881" s="2">
        <v>0</v>
      </c>
      <c r="J14881" s="1">
        <v>45967.541539351849</v>
      </c>
    </row>
    <row r="14882" spans="1:10" x14ac:dyDescent="0.2">
      <c r="A14882" s="4" t="s">
        <v>1</v>
      </c>
      <c r="B14882" s="3" t="str">
        <f>HYPERLINK("https://otsuka-europe-crm.veevavault.com/ui/#object/approved_document__v/V5O000000004028", "LUP - Invitación webinar 13N - nefro")</f>
        <v>LUP - Invitación webinar 13N - nefro</v>
      </c>
      <c r="C14882" s="3" t="str">
        <f>HYPERLINK("https://otsuka-europe-crm.veevavault.com/ui/#object/sent_email__v/VBL000000006275", "SE-001381233")</f>
        <v>SE-001381233</v>
      </c>
      <c r="D14882" s="1" t="s">
        <v>0</v>
      </c>
      <c r="E14882" s="2">
        <v>0</v>
      </c>
      <c r="F14882" s="2">
        <v>0</v>
      </c>
      <c r="G14882" s="2">
        <v>0</v>
      </c>
      <c r="H14882" s="1" t="s">
        <v>0</v>
      </c>
      <c r="I14882" s="2">
        <v>0</v>
      </c>
      <c r="J14882" s="1">
        <v>45967.541539351849</v>
      </c>
    </row>
    <row r="14883" spans="1:10" x14ac:dyDescent="0.2">
      <c r="A14883" s="4" t="s">
        <v>1</v>
      </c>
      <c r="B14883" s="3" t="str">
        <f>HYPERLINK("https://otsuka-europe-crm.veevavault.com/ui/#object/approved_document__v/V5O000000004028", "LUP - Invitación webinar 13N - nefro")</f>
        <v>LUP - Invitación webinar 13N - nefro</v>
      </c>
      <c r="C14883" s="3" t="str">
        <f>HYPERLINK("https://otsuka-europe-crm.veevavault.com/ui/#object/sent_email__v/VBL000000006276", "SE-001381234")</f>
        <v>SE-001381234</v>
      </c>
      <c r="D14883" s="1" t="s">
        <v>0</v>
      </c>
      <c r="E14883" s="2">
        <v>0</v>
      </c>
      <c r="F14883" s="2">
        <v>0</v>
      </c>
      <c r="G14883" s="2">
        <v>0</v>
      </c>
      <c r="H14883" s="1" t="s">
        <v>0</v>
      </c>
      <c r="I14883" s="2">
        <v>0</v>
      </c>
      <c r="J14883" s="1">
        <v>45967.541539351849</v>
      </c>
    </row>
    <row r="14884" spans="1:10" x14ac:dyDescent="0.2">
      <c r="A14884" s="4" t="s">
        <v>1</v>
      </c>
      <c r="B14884" s="3" t="str">
        <f>HYPERLINK("https://otsuka-europe-crm.veevavault.com/ui/#object/approved_document__v/V5O000000004028", "LUP - Invitación webinar 13N - nefro")</f>
        <v>LUP - Invitación webinar 13N - nefro</v>
      </c>
      <c r="C14884" s="3" t="str">
        <f>HYPERLINK("https://otsuka-europe-crm.veevavault.com/ui/#object/sent_email__v/VBL000000006277", "SE-001381235")</f>
        <v>SE-001381235</v>
      </c>
      <c r="D14884" s="1" t="s">
        <v>0</v>
      </c>
      <c r="E14884" s="2">
        <v>0</v>
      </c>
      <c r="F14884" s="2">
        <v>0</v>
      </c>
      <c r="G14884" s="2">
        <v>0</v>
      </c>
      <c r="H14884" s="1" t="s">
        <v>0</v>
      </c>
      <c r="I14884" s="2">
        <v>0</v>
      </c>
      <c r="J14884" s="1">
        <v>45967.541550925926</v>
      </c>
    </row>
    <row r="14885" spans="1:10" x14ac:dyDescent="0.2">
      <c r="A14885" s="4" t="s">
        <v>1</v>
      </c>
      <c r="B14885" s="3" t="str">
        <f>HYPERLINK("https://otsuka-europe-crm.veevavault.com/ui/#object/approved_document__v/V5O000000004028", "LUP - Invitación webinar 13N - nefro")</f>
        <v>LUP - Invitación webinar 13N - nefro</v>
      </c>
      <c r="C14885" s="3" t="str">
        <f>HYPERLINK("https://otsuka-europe-crm.veevavault.com/ui/#object/sent_email__v/VBL000000006278", "SE-001381236")</f>
        <v>SE-001381236</v>
      </c>
      <c r="D14885" s="1" t="s">
        <v>0</v>
      </c>
      <c r="E14885" s="2">
        <v>0</v>
      </c>
      <c r="F14885" s="2">
        <v>0</v>
      </c>
      <c r="G14885" s="2">
        <v>0</v>
      </c>
      <c r="H14885" s="1" t="s">
        <v>0</v>
      </c>
      <c r="I14885" s="2">
        <v>0</v>
      </c>
      <c r="J14885" s="1">
        <v>45967.541539351849</v>
      </c>
    </row>
    <row r="14886" spans="1:10" x14ac:dyDescent="0.2">
      <c r="A14886" s="4" t="s">
        <v>1</v>
      </c>
      <c r="B14886" s="3" t="str">
        <f>HYPERLINK("https://otsuka-europe-crm.veevavault.com/ui/#object/approved_document__v/V5O000000004028", "LUP - Invitación webinar 13N - nefro")</f>
        <v>LUP - Invitación webinar 13N - nefro</v>
      </c>
      <c r="C14886" s="3" t="str">
        <f>HYPERLINK("https://otsuka-europe-crm.veevavault.com/ui/#object/sent_email__v/VBL000000006279", "SE-001381237")</f>
        <v>SE-001381237</v>
      </c>
      <c r="D14886" s="1" t="s">
        <v>0</v>
      </c>
      <c r="E14886" s="2">
        <v>0</v>
      </c>
      <c r="F14886" s="2">
        <v>0</v>
      </c>
      <c r="G14886" s="2">
        <v>0</v>
      </c>
      <c r="H14886" s="1" t="s">
        <v>0</v>
      </c>
      <c r="I14886" s="2">
        <v>0</v>
      </c>
      <c r="J14886" s="1">
        <v>45967.541539351849</v>
      </c>
    </row>
    <row r="14887" spans="1:10" x14ac:dyDescent="0.2">
      <c r="A14887" s="4" t="s">
        <v>1</v>
      </c>
      <c r="B14887" s="3" t="str">
        <f>HYPERLINK("https://otsuka-europe-crm.veevavault.com/ui/#object/approved_document__v/V5O000000004028", "LUP - Invitación webinar 13N - nefro")</f>
        <v>LUP - Invitación webinar 13N - nefro</v>
      </c>
      <c r="C14887" s="3" t="str">
        <f>HYPERLINK("https://otsuka-europe-crm.veevavault.com/ui/#object/sent_email__v/VBL000000006280", "SE-001381238")</f>
        <v>SE-001381238</v>
      </c>
      <c r="D14887" s="1" t="s">
        <v>0</v>
      </c>
      <c r="E14887" s="2">
        <v>0</v>
      </c>
      <c r="F14887" s="2">
        <v>0</v>
      </c>
      <c r="G14887" s="2">
        <v>0</v>
      </c>
      <c r="H14887" s="1" t="s">
        <v>0</v>
      </c>
      <c r="I14887" s="2">
        <v>0</v>
      </c>
      <c r="J14887" s="1">
        <v>45967.541550925926</v>
      </c>
    </row>
    <row r="14888" spans="1:10" x14ac:dyDescent="0.2">
      <c r="A14888" s="4" t="s">
        <v>1</v>
      </c>
      <c r="B14888" s="3" t="str">
        <f>HYPERLINK("https://otsuka-europe-crm.veevavault.com/ui/#object/approved_document__v/V5O000000004028", "LUP - Invitación webinar 13N - nefro")</f>
        <v>LUP - Invitación webinar 13N - nefro</v>
      </c>
      <c r="C14888" s="3" t="str">
        <f>HYPERLINK("https://otsuka-europe-crm.veevavault.com/ui/#object/sent_email__v/VBL000000006281", "SE-001381239")</f>
        <v>SE-001381239</v>
      </c>
      <c r="D14888" s="1" t="s">
        <v>0</v>
      </c>
      <c r="E14888" s="2">
        <v>0</v>
      </c>
      <c r="F14888" s="2">
        <v>0</v>
      </c>
      <c r="G14888" s="2">
        <v>0</v>
      </c>
      <c r="H14888" s="1" t="s">
        <v>0</v>
      </c>
      <c r="I14888" s="2">
        <v>0</v>
      </c>
      <c r="J14888" s="1">
        <v>45967.541539351849</v>
      </c>
    </row>
    <row r="14889" spans="1:10" x14ac:dyDescent="0.2">
      <c r="A14889" s="4" t="s">
        <v>1</v>
      </c>
      <c r="B14889" s="3" t="str">
        <f>HYPERLINK("https://otsuka-europe-crm.veevavault.com/ui/#object/approved_document__v/V5O000000004028", "LUP - Invitación webinar 13N - nefro")</f>
        <v>LUP - Invitación webinar 13N - nefro</v>
      </c>
      <c r="C14889" s="3" t="str">
        <f>HYPERLINK("https://otsuka-europe-crm.veevavault.com/ui/#object/sent_email__v/VBL000000006282", "SE-001381240")</f>
        <v>SE-001381240</v>
      </c>
      <c r="D14889" s="1" t="s">
        <v>0</v>
      </c>
      <c r="E14889" s="2">
        <v>0</v>
      </c>
      <c r="F14889" s="2">
        <v>0</v>
      </c>
      <c r="G14889" s="2">
        <v>0</v>
      </c>
      <c r="H14889" s="1" t="s">
        <v>0</v>
      </c>
      <c r="I14889" s="2">
        <v>0</v>
      </c>
      <c r="J14889" s="1">
        <v>45967.541550925926</v>
      </c>
    </row>
    <row r="14890" spans="1:10" x14ac:dyDescent="0.2">
      <c r="A14890" s="4" t="s">
        <v>1</v>
      </c>
      <c r="B14890" s="3" t="str">
        <f>HYPERLINK("https://otsuka-europe-crm.veevavault.com/ui/#object/approved_document__v/V5O000000004028", "LUP - Invitación webinar 13N - nefro")</f>
        <v>LUP - Invitación webinar 13N - nefro</v>
      </c>
      <c r="C14890" s="3" t="str">
        <f>HYPERLINK("https://otsuka-europe-crm.veevavault.com/ui/#object/sent_email__v/VBL000000006283", "SE-001381241")</f>
        <v>SE-001381241</v>
      </c>
      <c r="D14890" s="1" t="s">
        <v>0</v>
      </c>
      <c r="E14890" s="2">
        <v>0</v>
      </c>
      <c r="F14890" s="2">
        <v>0</v>
      </c>
      <c r="G14890" s="2">
        <v>0</v>
      </c>
      <c r="H14890" s="1" t="s">
        <v>0</v>
      </c>
      <c r="I14890" s="2">
        <v>0</v>
      </c>
      <c r="J14890" s="1">
        <v>45967.541539351849</v>
      </c>
    </row>
    <row r="14891" spans="1:10" x14ac:dyDescent="0.2">
      <c r="A14891" s="4" t="s">
        <v>1</v>
      </c>
      <c r="B14891" s="3" t="str">
        <f>HYPERLINK("https://otsuka-europe-crm.veevavault.com/ui/#object/approved_document__v/V5O000000004028", "LUP - Invitación webinar 13N - nefro")</f>
        <v>LUP - Invitación webinar 13N - nefro</v>
      </c>
      <c r="C14891" s="3" t="str">
        <f>HYPERLINK("https://otsuka-europe-crm.veevavault.com/ui/#object/sent_email__v/VBL000000006284", "SE-001381242")</f>
        <v>SE-001381242</v>
      </c>
      <c r="D14891" s="1" t="s">
        <v>0</v>
      </c>
      <c r="E14891" s="2">
        <v>0</v>
      </c>
      <c r="F14891" s="2">
        <v>0</v>
      </c>
      <c r="G14891" s="2">
        <v>0</v>
      </c>
      <c r="H14891" s="1" t="s">
        <v>0</v>
      </c>
      <c r="I14891" s="2">
        <v>0</v>
      </c>
      <c r="J14891" s="1">
        <v>45967.541539351849</v>
      </c>
    </row>
    <row r="14892" spans="1:10" x14ac:dyDescent="0.2">
      <c r="A14892" s="4" t="s">
        <v>1</v>
      </c>
      <c r="B14892" s="3" t="str">
        <f>HYPERLINK("https://otsuka-europe-crm.veevavault.com/ui/#object/approved_document__v/V5O000000004028", "LUP - Invitación webinar 13N - nefro")</f>
        <v>LUP - Invitación webinar 13N - nefro</v>
      </c>
      <c r="C14892" s="3" t="str">
        <f>HYPERLINK("https://otsuka-europe-crm.veevavault.com/ui/#object/sent_email__v/VBL000000006285", "SE-001381243")</f>
        <v>SE-001381243</v>
      </c>
      <c r="D14892" s="1" t="s">
        <v>0</v>
      </c>
      <c r="E14892" s="2">
        <v>0</v>
      </c>
      <c r="F14892" s="2">
        <v>0</v>
      </c>
      <c r="G14892" s="2">
        <v>0</v>
      </c>
      <c r="H14892" s="1" t="s">
        <v>0</v>
      </c>
      <c r="I14892" s="2">
        <v>0</v>
      </c>
      <c r="J14892" s="1">
        <v>45967.541550925926</v>
      </c>
    </row>
    <row r="14893" spans="1:10" x14ac:dyDescent="0.2">
      <c r="A14893" s="4" t="s">
        <v>1</v>
      </c>
      <c r="B14893" s="3" t="str">
        <f>HYPERLINK("https://otsuka-europe-crm.veevavault.com/ui/#object/approved_document__v/V5O000000004028", "LUP - Invitación webinar 13N - nefro")</f>
        <v>LUP - Invitación webinar 13N - nefro</v>
      </c>
      <c r="C14893" s="3" t="str">
        <f>HYPERLINK("https://otsuka-europe-crm.veevavault.com/ui/#object/sent_email__v/VBL000000006286", "SE-001381244")</f>
        <v>SE-001381244</v>
      </c>
      <c r="D14893" s="1" t="s">
        <v>0</v>
      </c>
      <c r="E14893" s="2">
        <v>0</v>
      </c>
      <c r="F14893" s="2">
        <v>0</v>
      </c>
      <c r="G14893" s="2">
        <v>0</v>
      </c>
      <c r="H14893" s="1" t="s">
        <v>0</v>
      </c>
      <c r="I14893" s="2">
        <v>0</v>
      </c>
      <c r="J14893" s="1">
        <v>45967.541550925926</v>
      </c>
    </row>
    <row r="14894" spans="1:10" x14ac:dyDescent="0.2">
      <c r="A14894" s="4" t="s">
        <v>1</v>
      </c>
      <c r="B14894" s="3" t="str">
        <f>HYPERLINK("https://otsuka-europe-crm.veevavault.com/ui/#object/approved_document__v/V5O000000004028", "LUP - Invitación webinar 13N - nefro")</f>
        <v>LUP - Invitación webinar 13N - nefro</v>
      </c>
      <c r="C14894" s="3" t="str">
        <f>HYPERLINK("https://otsuka-europe-crm.veevavault.com/ui/#object/sent_email__v/VBL000000006287", "SE-001381245")</f>
        <v>SE-001381245</v>
      </c>
      <c r="D14894" s="1" t="s">
        <v>0</v>
      </c>
      <c r="E14894" s="2">
        <v>0</v>
      </c>
      <c r="F14894" s="2">
        <v>0</v>
      </c>
      <c r="G14894" s="2">
        <v>0</v>
      </c>
      <c r="H14894" s="1" t="s">
        <v>0</v>
      </c>
      <c r="I14894" s="2">
        <v>0</v>
      </c>
      <c r="J14894" s="1">
        <v>45967.541539351849</v>
      </c>
    </row>
    <row r="14895" spans="1:10" x14ac:dyDescent="0.2">
      <c r="A14895" s="4" t="s">
        <v>1</v>
      </c>
      <c r="B14895" s="3" t="str">
        <f>HYPERLINK("https://otsuka-europe-crm.veevavault.com/ui/#object/approved_document__v/V5O000000004028", "LUP - Invitación webinar 13N - nefro")</f>
        <v>LUP - Invitación webinar 13N - nefro</v>
      </c>
      <c r="C14895" s="3" t="str">
        <f>HYPERLINK("https://otsuka-europe-crm.veevavault.com/ui/#object/sent_email__v/VBL000000006288", "SE-001381246")</f>
        <v>SE-001381246</v>
      </c>
      <c r="D14895" s="1" t="s">
        <v>0</v>
      </c>
      <c r="E14895" s="2">
        <v>0</v>
      </c>
      <c r="F14895" s="2">
        <v>0</v>
      </c>
      <c r="G14895" s="2">
        <v>0</v>
      </c>
      <c r="H14895" s="1" t="s">
        <v>0</v>
      </c>
      <c r="I14895" s="2">
        <v>0</v>
      </c>
      <c r="J14895" s="1">
        <v>45967.541550925926</v>
      </c>
    </row>
    <row r="14896" spans="1:10" x14ac:dyDescent="0.2">
      <c r="A14896" s="4" t="s">
        <v>1</v>
      </c>
      <c r="B14896" s="3" t="str">
        <f>HYPERLINK("https://otsuka-europe-crm.veevavault.com/ui/#object/approved_document__v/V5O000000004028", "LUP - Invitación webinar 13N - nefro")</f>
        <v>LUP - Invitación webinar 13N - nefro</v>
      </c>
      <c r="C14896" s="3" t="str">
        <f>HYPERLINK("https://otsuka-europe-crm.veevavault.com/ui/#object/sent_email__v/VBL000000006289", "SE-001381247")</f>
        <v>SE-001381247</v>
      </c>
      <c r="D14896" s="1" t="s">
        <v>0</v>
      </c>
      <c r="E14896" s="2">
        <v>0</v>
      </c>
      <c r="F14896" s="2">
        <v>0</v>
      </c>
      <c r="G14896" s="2">
        <v>0</v>
      </c>
      <c r="H14896" s="1" t="s">
        <v>0</v>
      </c>
      <c r="I14896" s="2">
        <v>0</v>
      </c>
      <c r="J14896" s="1">
        <v>45967.541550925926</v>
      </c>
    </row>
    <row r="14897" spans="1:10" x14ac:dyDescent="0.2">
      <c r="A14897" s="4" t="s">
        <v>1</v>
      </c>
      <c r="B14897" s="3" t="str">
        <f>HYPERLINK("https://otsuka-europe-crm.veevavault.com/ui/#object/approved_document__v/V5O000000004028", "LUP - Invitación webinar 13N - nefro")</f>
        <v>LUP - Invitación webinar 13N - nefro</v>
      </c>
      <c r="C14897" s="3" t="str">
        <f>HYPERLINK("https://otsuka-europe-crm.veevavault.com/ui/#object/sent_email__v/VBL000000006290", "SE-001381248")</f>
        <v>SE-001381248</v>
      </c>
      <c r="D14897" s="1" t="s">
        <v>0</v>
      </c>
      <c r="E14897" s="2">
        <v>0</v>
      </c>
      <c r="F14897" s="2">
        <v>0</v>
      </c>
      <c r="G14897" s="2">
        <v>0</v>
      </c>
      <c r="H14897" s="1" t="s">
        <v>0</v>
      </c>
      <c r="I14897" s="2">
        <v>0</v>
      </c>
      <c r="J14897" s="1">
        <v>45967.541550925926</v>
      </c>
    </row>
    <row r="14898" spans="1:10" x14ac:dyDescent="0.2">
      <c r="A14898" s="4" t="s">
        <v>1</v>
      </c>
      <c r="B14898" s="3" t="str">
        <f>HYPERLINK("https://otsuka-europe-crm.veevavault.com/ui/#object/approved_document__v/V5O000000004028", "LUP - Invitación webinar 13N - nefro")</f>
        <v>LUP - Invitación webinar 13N - nefro</v>
      </c>
      <c r="C14898" s="3" t="str">
        <f>HYPERLINK("https://otsuka-europe-crm.veevavault.com/ui/#object/sent_email__v/VBL000000006291", "SE-001381249")</f>
        <v>SE-001381249</v>
      </c>
      <c r="D14898" s="1" t="s">
        <v>0</v>
      </c>
      <c r="E14898" s="2">
        <v>0</v>
      </c>
      <c r="F14898" s="2">
        <v>0</v>
      </c>
      <c r="G14898" s="2">
        <v>0</v>
      </c>
      <c r="H14898" s="1" t="s">
        <v>0</v>
      </c>
      <c r="I14898" s="2">
        <v>0</v>
      </c>
      <c r="J14898" s="1">
        <v>45967.541550925926</v>
      </c>
    </row>
    <row r="14899" spans="1:10" x14ac:dyDescent="0.2">
      <c r="A14899" s="4" t="s">
        <v>1</v>
      </c>
      <c r="B14899" s="3" t="str">
        <f>HYPERLINK("https://otsuka-europe-crm.veevavault.com/ui/#object/approved_document__v/V5O000000004028", "LUP - Invitación webinar 13N - nefro")</f>
        <v>LUP - Invitación webinar 13N - nefro</v>
      </c>
      <c r="C14899" s="3" t="str">
        <f>HYPERLINK("https://otsuka-europe-crm.veevavault.com/ui/#object/sent_email__v/VBL000000006292", "SE-001381250")</f>
        <v>SE-001381250</v>
      </c>
      <c r="D14899" s="1" t="s">
        <v>0</v>
      </c>
      <c r="E14899" s="2">
        <v>0</v>
      </c>
      <c r="F14899" s="2">
        <v>0</v>
      </c>
      <c r="G14899" s="2">
        <v>0</v>
      </c>
      <c r="H14899" s="1" t="s">
        <v>0</v>
      </c>
      <c r="I14899" s="2">
        <v>0</v>
      </c>
      <c r="J14899" s="1">
        <v>45967.541550925926</v>
      </c>
    </row>
    <row r="14900" spans="1:10" x14ac:dyDescent="0.2">
      <c r="A14900" s="4" t="s">
        <v>1</v>
      </c>
      <c r="B14900" s="3" t="str">
        <f>HYPERLINK("https://otsuka-europe-crm.veevavault.com/ui/#object/approved_document__v/V5O000000004028", "LUP - Invitación webinar 13N - nefro")</f>
        <v>LUP - Invitación webinar 13N - nefro</v>
      </c>
      <c r="C14900" s="3" t="str">
        <f>HYPERLINK("https://otsuka-europe-crm.veevavault.com/ui/#object/sent_email__v/VBL000000006293", "SE-001381251")</f>
        <v>SE-001381251</v>
      </c>
      <c r="D14900" s="1" t="s">
        <v>0</v>
      </c>
      <c r="E14900" s="2">
        <v>0</v>
      </c>
      <c r="F14900" s="2">
        <v>0</v>
      </c>
      <c r="G14900" s="2">
        <v>0</v>
      </c>
      <c r="H14900" s="1" t="s">
        <v>0</v>
      </c>
      <c r="I14900" s="2">
        <v>0</v>
      </c>
      <c r="J14900" s="1">
        <v>45967.541550925926</v>
      </c>
    </row>
    <row r="14901" spans="1:10" x14ac:dyDescent="0.2">
      <c r="A14901" s="4" t="s">
        <v>1</v>
      </c>
      <c r="B14901" s="3" t="str">
        <f>HYPERLINK("https://otsuka-europe-crm.veevavault.com/ui/#object/approved_document__v/V5O000000004028", "LUP - Invitación webinar 13N - nefro")</f>
        <v>LUP - Invitación webinar 13N - nefro</v>
      </c>
      <c r="C14901" s="3" t="str">
        <f>HYPERLINK("https://otsuka-europe-crm.veevavault.com/ui/#object/sent_email__v/VBL000000006294", "SE-001381252")</f>
        <v>SE-001381252</v>
      </c>
      <c r="D14901" s="1" t="s">
        <v>0</v>
      </c>
      <c r="E14901" s="2">
        <v>0</v>
      </c>
      <c r="F14901" s="2">
        <v>0</v>
      </c>
      <c r="G14901" s="2">
        <v>0</v>
      </c>
      <c r="H14901" s="1" t="s">
        <v>0</v>
      </c>
      <c r="I14901" s="2">
        <v>0</v>
      </c>
      <c r="J14901" s="1">
        <v>45967.541550925926</v>
      </c>
    </row>
    <row r="14902" spans="1:10" x14ac:dyDescent="0.2">
      <c r="A14902" s="4" t="s">
        <v>1</v>
      </c>
      <c r="B14902" s="3" t="str">
        <f>HYPERLINK("https://otsuka-europe-crm.veevavault.com/ui/#object/approved_document__v/V5O000000004028", "LUP - Invitación webinar 13N - nefro")</f>
        <v>LUP - Invitación webinar 13N - nefro</v>
      </c>
      <c r="C14902" s="3" t="str">
        <f>HYPERLINK("https://otsuka-europe-crm.veevavault.com/ui/#object/sent_email__v/VBL000000006295", "SE-001381253")</f>
        <v>SE-001381253</v>
      </c>
      <c r="D14902" s="1" t="s">
        <v>0</v>
      </c>
      <c r="E14902" s="2">
        <v>0</v>
      </c>
      <c r="F14902" s="2">
        <v>0</v>
      </c>
      <c r="G14902" s="2">
        <v>0</v>
      </c>
      <c r="H14902" s="1" t="s">
        <v>0</v>
      </c>
      <c r="I14902" s="2">
        <v>0</v>
      </c>
      <c r="J14902" s="1">
        <v>45967.541550925926</v>
      </c>
    </row>
    <row r="14903" spans="1:10" x14ac:dyDescent="0.2">
      <c r="A14903" s="4" t="s">
        <v>1</v>
      </c>
      <c r="B14903" s="3" t="str">
        <f>HYPERLINK("https://otsuka-europe-crm.veevavault.com/ui/#object/approved_document__v/V5O000000004028", "LUP - Invitación webinar 13N - nefro")</f>
        <v>LUP - Invitación webinar 13N - nefro</v>
      </c>
      <c r="C14903" s="3" t="str">
        <f>HYPERLINK("https://otsuka-europe-crm.veevavault.com/ui/#object/sent_email__v/VBL000000006296", "SE-001381254")</f>
        <v>SE-001381254</v>
      </c>
      <c r="D14903" s="1" t="s">
        <v>0</v>
      </c>
      <c r="E14903" s="2">
        <v>0</v>
      </c>
      <c r="F14903" s="2">
        <v>0</v>
      </c>
      <c r="G14903" s="2">
        <v>0</v>
      </c>
      <c r="H14903" s="1" t="s">
        <v>0</v>
      </c>
      <c r="I14903" s="2">
        <v>0</v>
      </c>
      <c r="J14903" s="1">
        <v>45967.541550925926</v>
      </c>
    </row>
    <row r="14904" spans="1:10" x14ac:dyDescent="0.2">
      <c r="A14904" s="4" t="s">
        <v>1</v>
      </c>
      <c r="B14904" s="3" t="str">
        <f>HYPERLINK("https://otsuka-europe-crm.veevavault.com/ui/#object/approved_document__v/V5O000000004028", "LUP - Invitación webinar 13N - nefro")</f>
        <v>LUP - Invitación webinar 13N - nefro</v>
      </c>
      <c r="C14904" s="3" t="str">
        <f>HYPERLINK("https://otsuka-europe-crm.veevavault.com/ui/#object/sent_email__v/VBL000000006297", "SE-001381255")</f>
        <v>SE-001381255</v>
      </c>
      <c r="D14904" s="1" t="s">
        <v>0</v>
      </c>
      <c r="E14904" s="2">
        <v>0</v>
      </c>
      <c r="F14904" s="2">
        <v>0</v>
      </c>
      <c r="G14904" s="2">
        <v>0</v>
      </c>
      <c r="H14904" s="1" t="s">
        <v>0</v>
      </c>
      <c r="I14904" s="2">
        <v>0</v>
      </c>
      <c r="J14904" s="1">
        <v>45967.541550925926</v>
      </c>
    </row>
    <row r="14905" spans="1:10" x14ac:dyDescent="0.2">
      <c r="A14905" s="4" t="s">
        <v>1</v>
      </c>
      <c r="B14905" s="3" t="str">
        <f>HYPERLINK("https://otsuka-europe-crm.veevavault.com/ui/#object/approved_document__v/V5O000000004028", "LUP - Invitación webinar 13N - nefro")</f>
        <v>LUP - Invitación webinar 13N - nefro</v>
      </c>
      <c r="C14905" s="3" t="str">
        <f>HYPERLINK("https://otsuka-europe-crm.veevavault.com/ui/#object/sent_email__v/VBL000000006298", "SE-001381256")</f>
        <v>SE-001381256</v>
      </c>
      <c r="D14905" s="1" t="s">
        <v>0</v>
      </c>
      <c r="E14905" s="2">
        <v>0</v>
      </c>
      <c r="F14905" s="2">
        <v>0</v>
      </c>
      <c r="G14905" s="2">
        <v>0</v>
      </c>
      <c r="H14905" s="1" t="s">
        <v>0</v>
      </c>
      <c r="I14905" s="2">
        <v>0</v>
      </c>
      <c r="J14905" s="1">
        <v>45967.541550925926</v>
      </c>
    </row>
    <row r="14906" spans="1:10" x14ac:dyDescent="0.2">
      <c r="A14906" s="4" t="s">
        <v>1</v>
      </c>
      <c r="B14906" s="3" t="str">
        <f>HYPERLINK("https://otsuka-europe-crm.veevavault.com/ui/#object/approved_document__v/V5O000000004028", "LUP - Invitación webinar 13N - nefro")</f>
        <v>LUP - Invitación webinar 13N - nefro</v>
      </c>
      <c r="C14906" s="3" t="str">
        <f>HYPERLINK("https://otsuka-europe-crm.veevavault.com/ui/#object/sent_email__v/VBL000000006299", "SE-001381257")</f>
        <v>SE-001381257</v>
      </c>
      <c r="D14906" s="1" t="s">
        <v>0</v>
      </c>
      <c r="E14906" s="2">
        <v>0</v>
      </c>
      <c r="F14906" s="2">
        <v>0</v>
      </c>
      <c r="G14906" s="2">
        <v>0</v>
      </c>
      <c r="H14906" s="1" t="s">
        <v>0</v>
      </c>
      <c r="I14906" s="2">
        <v>0</v>
      </c>
      <c r="J14906" s="1">
        <v>45967.541550925926</v>
      </c>
    </row>
    <row r="14907" spans="1:10" x14ac:dyDescent="0.2">
      <c r="A14907" s="4" t="s">
        <v>1</v>
      </c>
      <c r="B14907" s="3" t="str">
        <f>HYPERLINK("https://otsuka-europe-crm.veevavault.com/ui/#object/approved_document__v/V5O000000004028", "LUP - Invitación webinar 13N - nefro")</f>
        <v>LUP - Invitación webinar 13N - nefro</v>
      </c>
      <c r="C14907" s="3" t="str">
        <f>HYPERLINK("https://otsuka-europe-crm.veevavault.com/ui/#object/sent_email__v/VBL000000006300", "SE-001381258")</f>
        <v>SE-001381258</v>
      </c>
      <c r="D14907" s="1" t="s">
        <v>0</v>
      </c>
      <c r="E14907" s="2">
        <v>0</v>
      </c>
      <c r="F14907" s="2">
        <v>0</v>
      </c>
      <c r="G14907" s="2">
        <v>0</v>
      </c>
      <c r="H14907" s="1" t="s">
        <v>0</v>
      </c>
      <c r="I14907" s="2">
        <v>0</v>
      </c>
      <c r="J14907" s="1">
        <v>45967.541562500002</v>
      </c>
    </row>
    <row r="14908" spans="1:10" x14ac:dyDescent="0.2">
      <c r="A14908" s="4" t="s">
        <v>1</v>
      </c>
      <c r="B14908" s="3" t="str">
        <f>HYPERLINK("https://otsuka-europe-crm.veevavault.com/ui/#object/approved_document__v/V5O000000004028", "LUP - Invitación webinar 13N - nefro")</f>
        <v>LUP - Invitación webinar 13N - nefro</v>
      </c>
      <c r="C14908" s="3" t="str">
        <f>HYPERLINK("https://otsuka-europe-crm.veevavault.com/ui/#object/sent_email__v/VBL000000006301", "SE-001381259")</f>
        <v>SE-001381259</v>
      </c>
      <c r="D14908" s="1" t="s">
        <v>0</v>
      </c>
      <c r="E14908" s="2">
        <v>0</v>
      </c>
      <c r="F14908" s="2">
        <v>0</v>
      </c>
      <c r="G14908" s="2">
        <v>0</v>
      </c>
      <c r="H14908" s="1" t="s">
        <v>0</v>
      </c>
      <c r="I14908" s="2">
        <v>0</v>
      </c>
      <c r="J14908" s="1">
        <v>45967.541562500002</v>
      </c>
    </row>
    <row r="14909" spans="1:10" x14ac:dyDescent="0.2">
      <c r="A14909" s="4" t="s">
        <v>1</v>
      </c>
      <c r="B14909" s="3" t="str">
        <f>HYPERLINK("https://otsuka-europe-crm.veevavault.com/ui/#object/approved_document__v/V5O000000004028", "LUP - Invitación webinar 13N - nefro")</f>
        <v>LUP - Invitación webinar 13N - nefro</v>
      </c>
      <c r="C14909" s="3" t="str">
        <f>HYPERLINK("https://otsuka-europe-crm.veevavault.com/ui/#object/sent_email__v/VBL000000006302", "SE-001381260")</f>
        <v>SE-001381260</v>
      </c>
      <c r="D14909" s="1" t="s">
        <v>0</v>
      </c>
      <c r="E14909" s="2">
        <v>0</v>
      </c>
      <c r="F14909" s="2">
        <v>0</v>
      </c>
      <c r="G14909" s="2">
        <v>0</v>
      </c>
      <c r="H14909" s="1" t="s">
        <v>0</v>
      </c>
      <c r="I14909" s="2">
        <v>0</v>
      </c>
      <c r="J14909" s="1">
        <v>45967.541562500002</v>
      </c>
    </row>
    <row r="14910" spans="1:10" x14ac:dyDescent="0.2">
      <c r="A14910" s="4" t="s">
        <v>1</v>
      </c>
      <c r="B14910" s="3" t="str">
        <f>HYPERLINK("https://otsuka-europe-crm.veevavault.com/ui/#object/approved_document__v/V5O000000004028", "LUP - Invitación webinar 13N - nefro")</f>
        <v>LUP - Invitación webinar 13N - nefro</v>
      </c>
      <c r="C14910" s="3" t="str">
        <f>HYPERLINK("https://otsuka-europe-crm.veevavault.com/ui/#object/sent_email__v/VBL000000006303", "SE-001381261")</f>
        <v>SE-001381261</v>
      </c>
      <c r="D14910" s="1" t="s">
        <v>0</v>
      </c>
      <c r="E14910" s="2">
        <v>0</v>
      </c>
      <c r="F14910" s="2">
        <v>0</v>
      </c>
      <c r="G14910" s="2">
        <v>0</v>
      </c>
      <c r="H14910" s="1" t="s">
        <v>0</v>
      </c>
      <c r="I14910" s="2">
        <v>0</v>
      </c>
      <c r="J14910" s="1">
        <v>45967.541562500002</v>
      </c>
    </row>
    <row r="14911" spans="1:10" x14ac:dyDescent="0.2">
      <c r="A14911" s="4" t="s">
        <v>1</v>
      </c>
      <c r="B14911" s="3" t="str">
        <f>HYPERLINK("https://otsuka-europe-crm.veevavault.com/ui/#object/approved_document__v/V5O000000004028", "LUP - Invitación webinar 13N - nefro")</f>
        <v>LUP - Invitación webinar 13N - nefro</v>
      </c>
      <c r="C14911" s="3" t="str">
        <f>HYPERLINK("https://otsuka-europe-crm.veevavault.com/ui/#object/sent_email__v/VBL000000006304", "SE-001381262")</f>
        <v>SE-001381262</v>
      </c>
      <c r="D14911" s="1" t="s">
        <v>0</v>
      </c>
      <c r="E14911" s="2">
        <v>0</v>
      </c>
      <c r="F14911" s="2">
        <v>0</v>
      </c>
      <c r="G14911" s="2">
        <v>0</v>
      </c>
      <c r="H14911" s="1" t="s">
        <v>0</v>
      </c>
      <c r="I14911" s="2">
        <v>0</v>
      </c>
      <c r="J14911" s="1">
        <v>45967.541562500002</v>
      </c>
    </row>
    <row r="14912" spans="1:10" x14ac:dyDescent="0.2">
      <c r="A14912" s="4" t="s">
        <v>1</v>
      </c>
      <c r="B14912" s="3" t="str">
        <f>HYPERLINK("https://otsuka-europe-crm.veevavault.com/ui/#object/approved_document__v/V5O000000004028", "LUP - Invitación webinar 13N - nefro")</f>
        <v>LUP - Invitación webinar 13N - nefro</v>
      </c>
      <c r="C14912" s="3" t="str">
        <f>HYPERLINK("https://otsuka-europe-crm.veevavault.com/ui/#object/sent_email__v/VBL000000006305", "SE-001381263")</f>
        <v>SE-001381263</v>
      </c>
      <c r="D14912" s="1" t="s">
        <v>0</v>
      </c>
      <c r="E14912" s="2">
        <v>0</v>
      </c>
      <c r="F14912" s="2">
        <v>0</v>
      </c>
      <c r="G14912" s="2">
        <v>0</v>
      </c>
      <c r="H14912" s="1" t="s">
        <v>0</v>
      </c>
      <c r="I14912" s="2">
        <v>0</v>
      </c>
      <c r="J14912" s="1">
        <v>45967.541562500002</v>
      </c>
    </row>
    <row r="14913" spans="1:10" x14ac:dyDescent="0.2">
      <c r="A14913" s="4" t="s">
        <v>1</v>
      </c>
      <c r="B14913" s="3" t="str">
        <f>HYPERLINK("https://otsuka-europe-crm.veevavault.com/ui/#object/approved_document__v/V5O000000004028", "LUP - Invitación webinar 13N - nefro")</f>
        <v>LUP - Invitación webinar 13N - nefro</v>
      </c>
      <c r="C14913" s="3" t="str">
        <f>HYPERLINK("https://otsuka-europe-crm.veevavault.com/ui/#object/sent_email__v/VBL000000006306", "SE-001381264")</f>
        <v>SE-001381264</v>
      </c>
      <c r="D14913" s="1" t="s">
        <v>0</v>
      </c>
      <c r="E14913" s="2">
        <v>0</v>
      </c>
      <c r="F14913" s="2">
        <v>0</v>
      </c>
      <c r="G14913" s="2">
        <v>0</v>
      </c>
      <c r="H14913" s="1" t="s">
        <v>0</v>
      </c>
      <c r="I14913" s="2">
        <v>0</v>
      </c>
      <c r="J14913" s="1">
        <v>45967.541562500002</v>
      </c>
    </row>
    <row r="14914" spans="1:10" x14ac:dyDescent="0.2">
      <c r="A14914" s="4" t="s">
        <v>1</v>
      </c>
      <c r="B14914" s="3" t="str">
        <f>HYPERLINK("https://otsuka-europe-crm.veevavault.com/ui/#object/approved_document__v/V5O000000004028", "LUP - Invitación webinar 13N - nefro")</f>
        <v>LUP - Invitación webinar 13N - nefro</v>
      </c>
      <c r="C14914" s="3" t="str">
        <f>HYPERLINK("https://otsuka-europe-crm.veevavault.com/ui/#object/sent_email__v/VBL000000006307", "SE-001381265")</f>
        <v>SE-001381265</v>
      </c>
      <c r="D14914" s="1" t="s">
        <v>0</v>
      </c>
      <c r="E14914" s="2">
        <v>0</v>
      </c>
      <c r="F14914" s="2">
        <v>0</v>
      </c>
      <c r="G14914" s="2">
        <v>0</v>
      </c>
      <c r="H14914" s="1" t="s">
        <v>0</v>
      </c>
      <c r="I14914" s="2">
        <v>0</v>
      </c>
      <c r="J14914" s="1">
        <v>45967.541562500002</v>
      </c>
    </row>
    <row r="14915" spans="1:10" x14ac:dyDescent="0.2">
      <c r="A14915" s="4" t="s">
        <v>1</v>
      </c>
      <c r="B14915" s="3" t="str">
        <f>HYPERLINK("https://otsuka-europe-crm.veevavault.com/ui/#object/approved_document__v/V5O000000004028", "LUP - Invitación webinar 13N - nefro")</f>
        <v>LUP - Invitación webinar 13N - nefro</v>
      </c>
      <c r="C14915" s="3" t="str">
        <f>HYPERLINK("https://otsuka-europe-crm.veevavault.com/ui/#object/sent_email__v/VBL000000006308", "SE-001381266")</f>
        <v>SE-001381266</v>
      </c>
      <c r="D14915" s="1" t="s">
        <v>0</v>
      </c>
      <c r="E14915" s="2">
        <v>0</v>
      </c>
      <c r="F14915" s="2">
        <v>0</v>
      </c>
      <c r="G14915" s="2">
        <v>0</v>
      </c>
      <c r="H14915" s="1" t="s">
        <v>0</v>
      </c>
      <c r="I14915" s="2">
        <v>0</v>
      </c>
      <c r="J14915" s="1">
        <v>45967.541562500002</v>
      </c>
    </row>
    <row r="14916" spans="1:10" x14ac:dyDescent="0.2">
      <c r="A14916" s="4" t="s">
        <v>1</v>
      </c>
      <c r="B14916" s="3" t="str">
        <f>HYPERLINK("https://otsuka-europe-crm.veevavault.com/ui/#object/approved_document__v/V5O000000004028", "LUP - Invitación webinar 13N - nefro")</f>
        <v>LUP - Invitación webinar 13N - nefro</v>
      </c>
      <c r="C14916" s="3" t="str">
        <f>HYPERLINK("https://otsuka-europe-crm.veevavault.com/ui/#object/sent_email__v/VBL000000006309", "SE-001381267")</f>
        <v>SE-001381267</v>
      </c>
      <c r="D14916" s="1" t="s">
        <v>0</v>
      </c>
      <c r="E14916" s="2">
        <v>0</v>
      </c>
      <c r="F14916" s="2">
        <v>0</v>
      </c>
      <c r="G14916" s="2">
        <v>0</v>
      </c>
      <c r="H14916" s="1" t="s">
        <v>0</v>
      </c>
      <c r="I14916" s="2">
        <v>0</v>
      </c>
      <c r="J14916" s="1">
        <v>45967.541574074072</v>
      </c>
    </row>
    <row r="14917" spans="1:10" x14ac:dyDescent="0.2">
      <c r="A14917" s="4" t="s">
        <v>1</v>
      </c>
      <c r="B14917" s="3" t="str">
        <f>HYPERLINK("https://otsuka-europe-crm.veevavault.com/ui/#object/approved_document__v/V5O000000004028", "LUP - Invitación webinar 13N - nefro")</f>
        <v>LUP - Invitación webinar 13N - nefro</v>
      </c>
      <c r="C14917" s="3" t="str">
        <f>HYPERLINK("https://otsuka-europe-crm.veevavault.com/ui/#object/sent_email__v/VBL000000006310", "SE-001381268")</f>
        <v>SE-001381268</v>
      </c>
      <c r="D14917" s="1" t="s">
        <v>0</v>
      </c>
      <c r="E14917" s="2">
        <v>0</v>
      </c>
      <c r="F14917" s="2">
        <v>0</v>
      </c>
      <c r="G14917" s="2">
        <v>0</v>
      </c>
      <c r="H14917" s="1" t="s">
        <v>0</v>
      </c>
      <c r="I14917" s="2">
        <v>0</v>
      </c>
      <c r="J14917" s="1">
        <v>45967.541574074072</v>
      </c>
    </row>
    <row r="14918" spans="1:10" x14ac:dyDescent="0.2">
      <c r="A14918" s="4" t="s">
        <v>1</v>
      </c>
      <c r="B14918" s="3" t="str">
        <f>HYPERLINK("https://otsuka-europe-crm.veevavault.com/ui/#object/approved_document__v/V5O000000004028", "LUP - Invitación webinar 13N - nefro")</f>
        <v>LUP - Invitación webinar 13N - nefro</v>
      </c>
      <c r="C14918" s="3" t="str">
        <f>HYPERLINK("https://otsuka-europe-crm.veevavault.com/ui/#object/sent_email__v/VBL000000006311", "SE-001381269")</f>
        <v>SE-001381269</v>
      </c>
      <c r="D14918" s="1" t="s">
        <v>0</v>
      </c>
      <c r="E14918" s="2">
        <v>0</v>
      </c>
      <c r="F14918" s="2">
        <v>0</v>
      </c>
      <c r="G14918" s="2">
        <v>0</v>
      </c>
      <c r="H14918" s="1" t="s">
        <v>0</v>
      </c>
      <c r="I14918" s="2">
        <v>0</v>
      </c>
      <c r="J14918" s="1">
        <v>45967.541574074072</v>
      </c>
    </row>
    <row r="14919" spans="1:10" x14ac:dyDescent="0.2">
      <c r="A14919" s="4" t="s">
        <v>1</v>
      </c>
      <c r="B14919" s="3" t="str">
        <f>HYPERLINK("https://otsuka-europe-crm.veevavault.com/ui/#object/approved_document__v/V5O000000004028", "LUP - Invitación webinar 13N - nefro")</f>
        <v>LUP - Invitación webinar 13N - nefro</v>
      </c>
      <c r="C14919" s="3" t="str">
        <f>HYPERLINK("https://otsuka-europe-crm.veevavault.com/ui/#object/sent_email__v/VBL000000006312", "SE-001381270")</f>
        <v>SE-001381270</v>
      </c>
      <c r="D14919" s="1" t="s">
        <v>0</v>
      </c>
      <c r="E14919" s="2">
        <v>0</v>
      </c>
      <c r="F14919" s="2">
        <v>0</v>
      </c>
      <c r="G14919" s="2">
        <v>0</v>
      </c>
      <c r="H14919" s="1" t="s">
        <v>0</v>
      </c>
      <c r="I14919" s="2">
        <v>0</v>
      </c>
      <c r="J14919" s="1">
        <v>45967.541574074072</v>
      </c>
    </row>
    <row r="14920" spans="1:10" x14ac:dyDescent="0.2">
      <c r="A14920" s="4" t="s">
        <v>1</v>
      </c>
      <c r="B14920" s="3" t="str">
        <f>HYPERLINK("https://otsuka-europe-crm.veevavault.com/ui/#object/approved_document__v/V5O000000004028", "LUP - Invitación webinar 13N - nefro")</f>
        <v>LUP - Invitación webinar 13N - nefro</v>
      </c>
      <c r="C14920" s="3" t="str">
        <f>HYPERLINK("https://otsuka-europe-crm.veevavault.com/ui/#object/sent_email__v/VBL000000006313", "SE-001381271")</f>
        <v>SE-001381271</v>
      </c>
      <c r="D14920" s="1" t="s">
        <v>0</v>
      </c>
      <c r="E14920" s="2">
        <v>0</v>
      </c>
      <c r="F14920" s="2">
        <v>0</v>
      </c>
      <c r="G14920" s="2">
        <v>0</v>
      </c>
      <c r="H14920" s="1" t="s">
        <v>0</v>
      </c>
      <c r="I14920" s="2">
        <v>0</v>
      </c>
      <c r="J14920" s="1">
        <v>45967.541574074072</v>
      </c>
    </row>
    <row r="14921" spans="1:10" x14ac:dyDescent="0.2">
      <c r="A14921" s="4" t="s">
        <v>1</v>
      </c>
      <c r="B14921" s="3" t="str">
        <f>HYPERLINK("https://otsuka-europe-crm.veevavault.com/ui/#object/approved_document__v/V5O000000004028", "LUP - Invitación webinar 13N - nefro")</f>
        <v>LUP - Invitación webinar 13N - nefro</v>
      </c>
      <c r="C14921" s="3" t="str">
        <f>HYPERLINK("https://otsuka-europe-crm.veevavault.com/ui/#object/sent_email__v/VBL000000006314", "SE-001381272")</f>
        <v>SE-001381272</v>
      </c>
      <c r="D14921" s="1" t="s">
        <v>0</v>
      </c>
      <c r="E14921" s="2">
        <v>0</v>
      </c>
      <c r="F14921" s="2">
        <v>0</v>
      </c>
      <c r="G14921" s="2">
        <v>0</v>
      </c>
      <c r="H14921" s="1" t="s">
        <v>0</v>
      </c>
      <c r="I14921" s="2">
        <v>0</v>
      </c>
      <c r="J14921" s="1">
        <v>45967.541574074072</v>
      </c>
    </row>
    <row r="14922" spans="1:10" x14ac:dyDescent="0.2">
      <c r="A14922" s="4" t="s">
        <v>1</v>
      </c>
      <c r="B14922" s="3" t="str">
        <f>HYPERLINK("https://otsuka-europe-crm.veevavault.com/ui/#object/approved_document__v/V5O000000004028", "LUP - Invitación webinar 13N - nefro")</f>
        <v>LUP - Invitación webinar 13N - nefro</v>
      </c>
      <c r="C14922" s="3" t="str">
        <f>HYPERLINK("https://otsuka-europe-crm.veevavault.com/ui/#object/sent_email__v/VBL000000006315", "SE-001381273")</f>
        <v>SE-001381273</v>
      </c>
      <c r="D14922" s="1" t="s">
        <v>0</v>
      </c>
      <c r="E14922" s="2">
        <v>0</v>
      </c>
      <c r="F14922" s="2">
        <v>0</v>
      </c>
      <c r="G14922" s="2">
        <v>0</v>
      </c>
      <c r="H14922" s="1" t="s">
        <v>0</v>
      </c>
      <c r="I14922" s="2">
        <v>0</v>
      </c>
      <c r="J14922" s="1">
        <v>45967.541574074072</v>
      </c>
    </row>
    <row r="14923" spans="1:10" x14ac:dyDescent="0.2">
      <c r="A14923" s="4" t="s">
        <v>1</v>
      </c>
      <c r="B14923" s="3" t="str">
        <f>HYPERLINK("https://otsuka-europe-crm.veevavault.com/ui/#object/approved_document__v/V5O000000004028", "LUP - Invitación webinar 13N - nefro")</f>
        <v>LUP - Invitación webinar 13N - nefro</v>
      </c>
      <c r="C14923" s="3" t="str">
        <f>HYPERLINK("https://otsuka-europe-crm.veevavault.com/ui/#object/sent_email__v/VBL000000006316", "SE-001381274")</f>
        <v>SE-001381274</v>
      </c>
      <c r="D14923" s="1" t="s">
        <v>0</v>
      </c>
      <c r="E14923" s="2">
        <v>0</v>
      </c>
      <c r="F14923" s="2">
        <v>0</v>
      </c>
      <c r="G14923" s="2">
        <v>0</v>
      </c>
      <c r="H14923" s="1" t="s">
        <v>0</v>
      </c>
      <c r="I14923" s="2">
        <v>0</v>
      </c>
      <c r="J14923" s="1">
        <v>45967.541574074072</v>
      </c>
    </row>
    <row r="14924" spans="1:10" x14ac:dyDescent="0.2">
      <c r="A14924" s="4" t="s">
        <v>1</v>
      </c>
      <c r="B14924" s="3" t="str">
        <f>HYPERLINK("https://otsuka-europe-crm.veevavault.com/ui/#object/approved_document__v/V5O000000004028", "LUP - Invitación webinar 13N - nefro")</f>
        <v>LUP - Invitación webinar 13N - nefro</v>
      </c>
      <c r="C14924" s="3" t="str">
        <f>HYPERLINK("https://otsuka-europe-crm.veevavault.com/ui/#object/sent_email__v/VBL000000006317", "SE-001381275")</f>
        <v>SE-001381275</v>
      </c>
      <c r="D14924" s="1" t="s">
        <v>0</v>
      </c>
      <c r="E14924" s="2">
        <v>0</v>
      </c>
      <c r="F14924" s="2">
        <v>0</v>
      </c>
      <c r="G14924" s="2">
        <v>0</v>
      </c>
      <c r="H14924" s="1" t="s">
        <v>0</v>
      </c>
      <c r="I14924" s="2">
        <v>0</v>
      </c>
      <c r="J14924" s="1">
        <v>45967.541574074072</v>
      </c>
    </row>
    <row r="14925" spans="1:10" x14ac:dyDescent="0.2">
      <c r="A14925" s="4" t="s">
        <v>1</v>
      </c>
      <c r="B14925" s="3" t="str">
        <f>HYPERLINK("https://otsuka-europe-crm.veevavault.com/ui/#object/approved_document__v/V5O000000004028", "LUP - Invitación webinar 13N - nefro")</f>
        <v>LUP - Invitación webinar 13N - nefro</v>
      </c>
      <c r="C14925" s="3" t="str">
        <f>HYPERLINK("https://otsuka-europe-crm.veevavault.com/ui/#object/sent_email__v/VBL000000006318", "SE-001381276")</f>
        <v>SE-001381276</v>
      </c>
      <c r="D14925" s="1" t="s">
        <v>0</v>
      </c>
      <c r="E14925" s="2">
        <v>0</v>
      </c>
      <c r="F14925" s="2">
        <v>0</v>
      </c>
      <c r="G14925" s="2">
        <v>0</v>
      </c>
      <c r="H14925" s="1" t="s">
        <v>0</v>
      </c>
      <c r="I14925" s="2">
        <v>0</v>
      </c>
      <c r="J14925" s="1">
        <v>45967.541574074072</v>
      </c>
    </row>
    <row r="14926" spans="1:10" x14ac:dyDescent="0.2">
      <c r="A14926" s="4" t="s">
        <v>1</v>
      </c>
      <c r="B14926" s="3" t="str">
        <f>HYPERLINK("https://otsuka-europe-crm.veevavault.com/ui/#object/approved_document__v/V5O000000004028", "LUP - Invitación webinar 13N - nefro")</f>
        <v>LUP - Invitación webinar 13N - nefro</v>
      </c>
      <c r="C14926" s="3" t="str">
        <f>HYPERLINK("https://otsuka-europe-crm.veevavault.com/ui/#object/sent_email__v/VBL000000006319", "SE-001381277")</f>
        <v>SE-001381277</v>
      </c>
      <c r="D14926" s="1" t="s">
        <v>0</v>
      </c>
      <c r="E14926" s="2">
        <v>0</v>
      </c>
      <c r="F14926" s="2">
        <v>0</v>
      </c>
      <c r="G14926" s="2">
        <v>0</v>
      </c>
      <c r="H14926" s="1" t="s">
        <v>0</v>
      </c>
      <c r="I14926" s="2">
        <v>0</v>
      </c>
      <c r="J14926" s="1">
        <v>45967.541585648149</v>
      </c>
    </row>
    <row r="14927" spans="1:10" x14ac:dyDescent="0.2">
      <c r="A14927" s="4" t="s">
        <v>1</v>
      </c>
      <c r="B14927" s="3" t="str">
        <f>HYPERLINK("https://otsuka-europe-crm.veevavault.com/ui/#object/approved_document__v/V5O000000004028", "LUP - Invitación webinar 13N - nefro")</f>
        <v>LUP - Invitación webinar 13N - nefro</v>
      </c>
      <c r="C14927" s="3" t="str">
        <f>HYPERLINK("https://otsuka-europe-crm.veevavault.com/ui/#object/sent_email__v/VBL000000006320", "SE-001381278")</f>
        <v>SE-001381278</v>
      </c>
      <c r="D14927" s="1" t="s">
        <v>0</v>
      </c>
      <c r="E14927" s="2">
        <v>0</v>
      </c>
      <c r="F14927" s="2">
        <v>0</v>
      </c>
      <c r="G14927" s="2">
        <v>0</v>
      </c>
      <c r="H14927" s="1" t="s">
        <v>0</v>
      </c>
      <c r="I14927" s="2">
        <v>0</v>
      </c>
      <c r="J14927" s="1">
        <v>45967.541585648149</v>
      </c>
    </row>
    <row r="14928" spans="1:10" x14ac:dyDescent="0.2">
      <c r="A14928" s="4" t="s">
        <v>1</v>
      </c>
      <c r="B14928" s="3" t="str">
        <f>HYPERLINK("https://otsuka-europe-crm.veevavault.com/ui/#object/approved_document__v/V5O000000004028", "LUP - Invitación webinar 13N - nefro")</f>
        <v>LUP - Invitación webinar 13N - nefro</v>
      </c>
      <c r="C14928" s="3" t="str">
        <f>HYPERLINK("https://otsuka-europe-crm.veevavault.com/ui/#object/sent_email__v/VBL00000000H121", "SE-001386518")</f>
        <v>SE-001386518</v>
      </c>
      <c r="D14928" s="1">
        <v>45971.719942129632</v>
      </c>
      <c r="E14928" s="2">
        <v>1</v>
      </c>
      <c r="F14928" s="2">
        <v>3</v>
      </c>
      <c r="G14928" s="2">
        <v>0</v>
      </c>
      <c r="H14928" s="1" t="s">
        <v>0</v>
      </c>
      <c r="I14928" s="2">
        <v>0</v>
      </c>
      <c r="J14928" s="1">
        <v>45971.690694444442</v>
      </c>
    </row>
    <row r="14929" spans="1:10" x14ac:dyDescent="0.2">
      <c r="A14929" s="4" t="s">
        <v>1</v>
      </c>
      <c r="B14929" s="3" t="str">
        <f>HYPERLINK("https://otsuka-europe-crm.veevavault.com/ui/#object/approved_document__v/V5O000000004028", "LUP - Invitación webinar 13N - nefro")</f>
        <v>LUP - Invitación webinar 13N - nefro</v>
      </c>
      <c r="C14929" s="3" t="str">
        <f>HYPERLINK("https://otsuka-europe-crm.veevavault.com/ui/#object/sent_email__v/VBL00000000H122", "SE-001386519")</f>
        <v>SE-001386519</v>
      </c>
      <c r="D14929" s="1">
        <v>45971.723379629628</v>
      </c>
      <c r="E14929" s="2">
        <v>1</v>
      </c>
      <c r="F14929" s="2">
        <v>1</v>
      </c>
      <c r="G14929" s="2">
        <v>0</v>
      </c>
      <c r="H14929" s="1" t="s">
        <v>0</v>
      </c>
      <c r="I14929" s="2">
        <v>0</v>
      </c>
      <c r="J14929" s="1">
        <v>45971.690740740742</v>
      </c>
    </row>
    <row r="14930" spans="1:10" x14ac:dyDescent="0.2">
      <c r="A14930" s="4" t="s">
        <v>1</v>
      </c>
      <c r="B14930" s="3" t="str">
        <f>HYPERLINK("https://otsuka-europe-crm.veevavault.com/ui/#object/approved_document__v/V5O000000004028", "LUP - Invitación webinar 13N - nefro")</f>
        <v>LUP - Invitación webinar 13N - nefro</v>
      </c>
      <c r="C14930" s="3" t="str">
        <f>HYPERLINK("https://otsuka-europe-crm.veevavault.com/ui/#object/sent_email__v/VBL00000000H123", "SE-001386520")</f>
        <v>SE-001386520</v>
      </c>
      <c r="D14930" s="1">
        <v>45981.834178240744</v>
      </c>
      <c r="E14930" s="2">
        <v>1</v>
      </c>
      <c r="F14930" s="2">
        <v>1</v>
      </c>
      <c r="G14930" s="2">
        <v>0</v>
      </c>
      <c r="H14930" s="1" t="s">
        <v>0</v>
      </c>
      <c r="I14930" s="2">
        <v>0</v>
      </c>
      <c r="J14930" s="1">
        <v>45971.690810185188</v>
      </c>
    </row>
    <row r="14931" spans="1:10" x14ac:dyDescent="0.2">
      <c r="A14931" s="4" t="s">
        <v>1</v>
      </c>
      <c r="B14931" s="3" t="str">
        <f>HYPERLINK("https://otsuka-europe-crm.veevavault.com/ui/#object/approved_document__v/V5O000000004028", "LUP - Invitación webinar 13N - nefro")</f>
        <v>LUP - Invitación webinar 13N - nefro</v>
      </c>
      <c r="C14931" s="3" t="str">
        <f>HYPERLINK("https://otsuka-europe-crm.veevavault.com/ui/#object/sent_email__v/VBL00000000H124", "SE-001386521")</f>
        <v>SE-001386521</v>
      </c>
      <c r="D14931" s="1">
        <v>45971.720393518517</v>
      </c>
      <c r="E14931" s="2">
        <v>1</v>
      </c>
      <c r="F14931" s="2">
        <v>1</v>
      </c>
      <c r="G14931" s="2">
        <v>0</v>
      </c>
      <c r="H14931" s="1" t="s">
        <v>0</v>
      </c>
      <c r="I14931" s="2">
        <v>0</v>
      </c>
      <c r="J14931" s="1">
        <v>45971.690891203703</v>
      </c>
    </row>
    <row r="14932" spans="1:10" x14ac:dyDescent="0.2">
      <c r="A14932" s="4" t="s">
        <v>1</v>
      </c>
      <c r="B14932" s="3" t="str">
        <f>HYPERLINK("https://otsuka-europe-crm.veevavault.com/ui/#object/approved_document__v/V5O000000004028", "LUP - Invitación webinar 13N - nefro")</f>
        <v>LUP - Invitación webinar 13N - nefro</v>
      </c>
      <c r="C14932" s="3" t="str">
        <f>HYPERLINK("https://otsuka-europe-crm.veevavault.com/ui/#object/sent_email__v/VBL00000000H125", "SE-001386522")</f>
        <v>SE-001386522</v>
      </c>
      <c r="D14932" s="1" t="s">
        <v>0</v>
      </c>
      <c r="E14932" s="2">
        <v>0</v>
      </c>
      <c r="F14932" s="2">
        <v>0</v>
      </c>
      <c r="G14932" s="2">
        <v>0</v>
      </c>
      <c r="H14932" s="1" t="s">
        <v>0</v>
      </c>
      <c r="I14932" s="2">
        <v>0</v>
      </c>
      <c r="J14932" s="1">
        <v>45971.690949074073</v>
      </c>
    </row>
    <row r="14933" spans="1:10" x14ac:dyDescent="0.2">
      <c r="A14933" s="4" t="s">
        <v>1</v>
      </c>
      <c r="B14933" s="3" t="str">
        <f>HYPERLINK("https://otsuka-europe-crm.veevavault.com/ui/#object/approved_document__v/V5O000000004028", "LUP - Invitación webinar 13N - nefro")</f>
        <v>LUP - Invitación webinar 13N - nefro</v>
      </c>
      <c r="C14933" s="3" t="str">
        <f>HYPERLINK("https://otsuka-europe-crm.veevavault.com/ui/#object/sent_email__v/VBL00000000H126", "SE-001386523")</f>
        <v>SE-001386523</v>
      </c>
      <c r="D14933" s="1">
        <v>45971.787488425929</v>
      </c>
      <c r="E14933" s="2">
        <v>1</v>
      </c>
      <c r="F14933" s="2">
        <v>1</v>
      </c>
      <c r="G14933" s="2">
        <v>0</v>
      </c>
      <c r="H14933" s="1" t="s">
        <v>0</v>
      </c>
      <c r="I14933" s="2">
        <v>0</v>
      </c>
      <c r="J14933" s="1">
        <v>45971.690983796296</v>
      </c>
    </row>
    <row r="14934" spans="1:10" x14ac:dyDescent="0.2">
      <c r="A14934" s="4" t="s">
        <v>1</v>
      </c>
      <c r="B14934" s="3" t="str">
        <f>HYPERLINK("https://otsuka-europe-crm.veevavault.com/ui/#object/approved_document__v/V5O000000004028", "LUP - Invitación webinar 13N - nefro")</f>
        <v>LUP - Invitación webinar 13N - nefro</v>
      </c>
      <c r="C14934" s="3" t="str">
        <f>HYPERLINK("https://otsuka-europe-crm.veevavault.com/ui/#object/sent_email__v/VBL00000000H127", "SE-001386524")</f>
        <v>SE-001386524</v>
      </c>
      <c r="D14934" s="1" t="s">
        <v>0</v>
      </c>
      <c r="E14934" s="2">
        <v>0</v>
      </c>
      <c r="F14934" s="2">
        <v>0</v>
      </c>
      <c r="G14934" s="2">
        <v>0</v>
      </c>
      <c r="H14934" s="1" t="s">
        <v>0</v>
      </c>
      <c r="I14934" s="2">
        <v>0</v>
      </c>
      <c r="J14934" s="1">
        <v>45971.691030092596</v>
      </c>
    </row>
    <row r="14935" spans="1:10" x14ac:dyDescent="0.2">
      <c r="A14935" s="4" t="s">
        <v>1</v>
      </c>
      <c r="B14935" s="3" t="str">
        <f>HYPERLINK("https://otsuka-europe-crm.veevavault.com/ui/#object/approved_document__v/V5O000000004028", "LUP - Invitación webinar 13N - nefro")</f>
        <v>LUP - Invitación webinar 13N - nefro</v>
      </c>
      <c r="C14935" s="3" t="str">
        <f>HYPERLINK("https://otsuka-europe-crm.veevavault.com/ui/#object/sent_email__v/VBL00000000H128", "SE-001386525")</f>
        <v>SE-001386525</v>
      </c>
      <c r="D14935" s="1">
        <v>45971.704363425924</v>
      </c>
      <c r="E14935" s="2">
        <v>1</v>
      </c>
      <c r="F14935" s="2">
        <v>1</v>
      </c>
      <c r="G14935" s="2">
        <v>0</v>
      </c>
      <c r="H14935" s="1" t="s">
        <v>0</v>
      </c>
      <c r="I14935" s="2">
        <v>0</v>
      </c>
      <c r="J14935" s="1">
        <v>45971.691064814811</v>
      </c>
    </row>
    <row r="14936" spans="1:10" x14ac:dyDescent="0.2">
      <c r="A14936" s="4" t="s">
        <v>1</v>
      </c>
      <c r="B14936" s="3" t="str">
        <f>HYPERLINK("https://otsuka-europe-crm.veevavault.com/ui/#object/approved_document__v/V5O000000004028", "LUP - Invitación webinar 13N - nefro")</f>
        <v>LUP - Invitación webinar 13N - nefro</v>
      </c>
      <c r="C14936" s="3" t="str">
        <f>HYPERLINK("https://otsuka-europe-crm.veevavault.com/ui/#object/sent_email__v/VBL00000000H129", "SE-001386526")</f>
        <v>SE-001386526</v>
      </c>
      <c r="D14936" s="1">
        <v>45971.947881944441</v>
      </c>
      <c r="E14936" s="2">
        <v>1</v>
      </c>
      <c r="F14936" s="2">
        <v>1</v>
      </c>
      <c r="G14936" s="2">
        <v>0</v>
      </c>
      <c r="H14936" s="1" t="s">
        <v>0</v>
      </c>
      <c r="I14936" s="2">
        <v>0</v>
      </c>
      <c r="J14936" s="1">
        <v>45971.691111111111</v>
      </c>
    </row>
    <row r="14937" spans="1:10" x14ac:dyDescent="0.2">
      <c r="A14937" s="4" t="s">
        <v>1</v>
      </c>
      <c r="B14937" s="3" t="str">
        <f>HYPERLINK("https://otsuka-europe-crm.veevavault.com/ui/#object/approved_document__v/V5O000000004028", "LUP - Invitación webinar 13N - nefro")</f>
        <v>LUP - Invitación webinar 13N - nefro</v>
      </c>
      <c r="C14937" s="3" t="str">
        <f>HYPERLINK("https://otsuka-europe-crm.veevavault.com/ui/#object/sent_email__v/VBL00000000H130", "SE-001386527")</f>
        <v>SE-001386527</v>
      </c>
      <c r="D14937" s="1">
        <v>45971.932627314818</v>
      </c>
      <c r="E14937" s="2">
        <v>1</v>
      </c>
      <c r="F14937" s="2">
        <v>1</v>
      </c>
      <c r="G14937" s="2">
        <v>0</v>
      </c>
      <c r="H14937" s="1" t="s">
        <v>0</v>
      </c>
      <c r="I14937" s="2">
        <v>0</v>
      </c>
      <c r="J14937" s="1">
        <v>45971.691157407404</v>
      </c>
    </row>
    <row r="14938" spans="1:10" x14ac:dyDescent="0.2">
      <c r="A14938" s="4" t="s">
        <v>1</v>
      </c>
      <c r="B14938" s="3" t="str">
        <f>HYPERLINK("https://otsuka-europe-crm.veevavault.com/ui/#object/approved_document__v/V5O000000004028", "LUP - Invitación webinar 13N - nefro")</f>
        <v>LUP - Invitación webinar 13N - nefro</v>
      </c>
      <c r="C14938" s="3" t="str">
        <f>HYPERLINK("https://otsuka-europe-crm.veevavault.com/ui/#object/sent_email__v/VBL00000000H131", "SE-001386528")</f>
        <v>SE-001386528</v>
      </c>
      <c r="D14938" s="1" t="s">
        <v>0</v>
      </c>
      <c r="E14938" s="2">
        <v>0</v>
      </c>
      <c r="F14938" s="2">
        <v>0</v>
      </c>
      <c r="G14938" s="2">
        <v>0</v>
      </c>
      <c r="H14938" s="1" t="s">
        <v>0</v>
      </c>
      <c r="I14938" s="2">
        <v>0</v>
      </c>
      <c r="J14938" s="1">
        <v>45971.691192129627</v>
      </c>
    </row>
    <row r="14939" spans="1:10" x14ac:dyDescent="0.2">
      <c r="A14939" s="4" t="s">
        <v>1</v>
      </c>
      <c r="B14939" s="3" t="str">
        <f>HYPERLINK("https://otsuka-europe-crm.veevavault.com/ui/#object/approved_document__v/V5O000000004028", "LUP - Invitación webinar 13N - nefro")</f>
        <v>LUP - Invitación webinar 13N - nefro</v>
      </c>
      <c r="C14939" s="3" t="str">
        <f>HYPERLINK("https://otsuka-europe-crm.veevavault.com/ui/#object/sent_email__v/VBL00000000H132", "SE-001386529")</f>
        <v>SE-001386529</v>
      </c>
      <c r="D14939" s="1" t="s">
        <v>0</v>
      </c>
      <c r="E14939" s="2">
        <v>0</v>
      </c>
      <c r="F14939" s="2">
        <v>0</v>
      </c>
      <c r="G14939" s="2">
        <v>0</v>
      </c>
      <c r="H14939" s="1" t="s">
        <v>0</v>
      </c>
      <c r="I14939" s="2">
        <v>0</v>
      </c>
      <c r="J14939" s="1">
        <v>45971.691238425927</v>
      </c>
    </row>
    <row r="14940" spans="1:10" x14ac:dyDescent="0.2">
      <c r="A14940" s="4" t="s">
        <v>1</v>
      </c>
      <c r="B14940" s="3" t="str">
        <f>HYPERLINK("https://otsuka-europe-crm.veevavault.com/ui/#object/approved_document__v/V5O000000004028", "LUP - Invitación webinar 13N - nefro")</f>
        <v>LUP - Invitación webinar 13N - nefro</v>
      </c>
      <c r="C14940" s="3" t="str">
        <f>HYPERLINK("https://otsuka-europe-crm.veevavault.com/ui/#object/sent_email__v/VBL00000000H133", "SE-001386530")</f>
        <v>SE-001386530</v>
      </c>
      <c r="D14940" s="1">
        <v>45974.730081018519</v>
      </c>
      <c r="E14940" s="2">
        <v>1</v>
      </c>
      <c r="F14940" s="2">
        <v>3</v>
      </c>
      <c r="G14940" s="2">
        <v>0</v>
      </c>
      <c r="H14940" s="1" t="s">
        <v>0</v>
      </c>
      <c r="I14940" s="2">
        <v>0</v>
      </c>
      <c r="J14940" s="1">
        <v>45971.691284722219</v>
      </c>
    </row>
    <row r="14941" spans="1:10" x14ac:dyDescent="0.2">
      <c r="A14941" s="4" t="s">
        <v>1</v>
      </c>
      <c r="B14941" s="3" t="str">
        <f>HYPERLINK("https://otsuka-europe-crm.veevavault.com/ui/#object/approved_document__v/V5O000000004028", "LUP - Invitación webinar 13N - nefro")</f>
        <v>LUP - Invitación webinar 13N - nefro</v>
      </c>
      <c r="C14941" s="3" t="str">
        <f>HYPERLINK("https://otsuka-europe-crm.veevavault.com/ui/#object/sent_email__v/VBL00000000H134", "SE-001386531")</f>
        <v>SE-001386531</v>
      </c>
      <c r="D14941" s="1">
        <v>45972.355069444442</v>
      </c>
      <c r="E14941" s="2">
        <v>1</v>
      </c>
      <c r="F14941" s="2">
        <v>2</v>
      </c>
      <c r="G14941" s="2">
        <v>0</v>
      </c>
      <c r="H14941" s="1" t="s">
        <v>0</v>
      </c>
      <c r="I14941" s="2">
        <v>0</v>
      </c>
      <c r="J14941" s="1">
        <v>45971.691331018519</v>
      </c>
    </row>
    <row r="14942" spans="1:10" x14ac:dyDescent="0.2">
      <c r="A14942" s="4" t="s">
        <v>1</v>
      </c>
      <c r="B14942" s="3" t="str">
        <f>HYPERLINK("https://otsuka-europe-crm.veevavault.com/ui/#object/approved_document__v/V5O000000004028", "LUP - Invitación webinar 13N - nefro")</f>
        <v>LUP - Invitación webinar 13N - nefro</v>
      </c>
      <c r="C14942" s="3" t="str">
        <f>HYPERLINK("https://otsuka-europe-crm.veevavault.com/ui/#object/sent_email__v/VBL00000000H135", "SE-001386532")</f>
        <v>SE-001386532</v>
      </c>
      <c r="D14942" s="1" t="s">
        <v>0</v>
      </c>
      <c r="E14942" s="2">
        <v>0</v>
      </c>
      <c r="F14942" s="2">
        <v>0</v>
      </c>
      <c r="G14942" s="2">
        <v>0</v>
      </c>
      <c r="H14942" s="1" t="s">
        <v>0</v>
      </c>
      <c r="I14942" s="2">
        <v>0</v>
      </c>
      <c r="J14942" s="1">
        <v>45971.691377314812</v>
      </c>
    </row>
    <row r="14943" spans="1:10" x14ac:dyDescent="0.2">
      <c r="A14943" s="4" t="s">
        <v>1</v>
      </c>
      <c r="B14943" s="3" t="str">
        <f>HYPERLINK("https://otsuka-europe-crm.veevavault.com/ui/#object/approved_document__v/V5O000000004028", "LUP - Invitación webinar 13N - nefro")</f>
        <v>LUP - Invitación webinar 13N - nefro</v>
      </c>
      <c r="C14943" s="3" t="str">
        <f>HYPERLINK("https://otsuka-europe-crm.veevavault.com/ui/#object/sent_email__v/VBL00000000H136", "SE-001386533")</f>
        <v>SE-001386533</v>
      </c>
      <c r="D14943" s="1" t="s">
        <v>0</v>
      </c>
      <c r="E14943" s="2">
        <v>0</v>
      </c>
      <c r="F14943" s="2">
        <v>0</v>
      </c>
      <c r="G14943" s="2">
        <v>0</v>
      </c>
      <c r="H14943" s="1" t="s">
        <v>0</v>
      </c>
      <c r="I14943" s="2">
        <v>0</v>
      </c>
      <c r="J14943" s="1">
        <v>45971.691412037035</v>
      </c>
    </row>
    <row r="14944" spans="1:10" x14ac:dyDescent="0.2">
      <c r="A14944" s="4" t="s">
        <v>1</v>
      </c>
      <c r="B14944" s="3" t="str">
        <f>HYPERLINK("https://otsuka-europe-crm.veevavault.com/ui/#object/approved_document__v/V5O000000004028", "LUP - Invitación webinar 13N - nefro")</f>
        <v>LUP - Invitación webinar 13N - nefro</v>
      </c>
      <c r="C14944" s="3" t="str">
        <f>HYPERLINK("https://otsuka-europe-crm.veevavault.com/ui/#object/sent_email__v/VBL00000000H137", "SE-001386534")</f>
        <v>SE-001386534</v>
      </c>
      <c r="D14944" s="1">
        <v>45972.24459490741</v>
      </c>
      <c r="E14944" s="2">
        <v>1</v>
      </c>
      <c r="F14944" s="2">
        <v>1</v>
      </c>
      <c r="G14944" s="2">
        <v>0</v>
      </c>
      <c r="H14944" s="1" t="s">
        <v>0</v>
      </c>
      <c r="I14944" s="2">
        <v>0</v>
      </c>
      <c r="J14944" s="1">
        <v>45971.691446759258</v>
      </c>
    </row>
    <row r="14945" spans="1:10" x14ac:dyDescent="0.2">
      <c r="A14945" s="4" t="s">
        <v>1</v>
      </c>
      <c r="B14945" s="3" t="str">
        <f>HYPERLINK("https://otsuka-europe-crm.veevavault.com/ui/#object/approved_document__v/V5O000000004028", "LUP - Invitación webinar 13N - nefro")</f>
        <v>LUP - Invitación webinar 13N - nefro</v>
      </c>
      <c r="C14945" s="3" t="str">
        <f>HYPERLINK("https://otsuka-europe-crm.veevavault.com/ui/#object/sent_email__v/VBL00000000H138", "SE-001386535")</f>
        <v>SE-001386535</v>
      </c>
      <c r="D14945" s="1">
        <v>45971.804942129631</v>
      </c>
      <c r="E14945" s="2">
        <v>1</v>
      </c>
      <c r="F14945" s="2">
        <v>1</v>
      </c>
      <c r="G14945" s="2">
        <v>0</v>
      </c>
      <c r="H14945" s="1" t="s">
        <v>0</v>
      </c>
      <c r="I14945" s="2">
        <v>0</v>
      </c>
      <c r="J14945" s="1">
        <v>45971.691493055558</v>
      </c>
    </row>
    <row r="14946" spans="1:10" x14ac:dyDescent="0.2">
      <c r="A14946" s="4" t="s">
        <v>1</v>
      </c>
      <c r="B14946" s="3" t="str">
        <f>HYPERLINK("https://otsuka-europe-crm.veevavault.com/ui/#object/approved_document__v/V5O000000004028", "LUP - Invitación webinar 13N - nefro")</f>
        <v>LUP - Invitación webinar 13N - nefro</v>
      </c>
      <c r="C14946" s="3" t="str">
        <f>HYPERLINK("https://otsuka-europe-crm.veevavault.com/ui/#object/sent_email__v/VBL00000000H139", "SE-001386536")</f>
        <v>SE-001386536</v>
      </c>
      <c r="D14946" s="1" t="s">
        <v>0</v>
      </c>
      <c r="E14946" s="2">
        <v>0</v>
      </c>
      <c r="F14946" s="2">
        <v>0</v>
      </c>
      <c r="G14946" s="2">
        <v>0</v>
      </c>
      <c r="H14946" s="1" t="s">
        <v>0</v>
      </c>
      <c r="I14946" s="2">
        <v>0</v>
      </c>
      <c r="J14946" s="1">
        <v>45971.69153935185</v>
      </c>
    </row>
    <row r="14947" spans="1:10" x14ac:dyDescent="0.2">
      <c r="A14947" s="4" t="s">
        <v>1</v>
      </c>
      <c r="B14947" s="3" t="str">
        <f>HYPERLINK("https://otsuka-europe-crm.veevavault.com/ui/#object/approved_document__v/V5O000000004028", "LUP - Invitación webinar 13N - nefro")</f>
        <v>LUP - Invitación webinar 13N - nefro</v>
      </c>
      <c r="C14947" s="3" t="str">
        <f>HYPERLINK("https://otsuka-europe-crm.veevavault.com/ui/#object/sent_email__v/VBL00000000H140", "SE-001386537")</f>
        <v>SE-001386537</v>
      </c>
      <c r="D14947" s="1">
        <v>45975.2419212963</v>
      </c>
      <c r="E14947" s="2">
        <v>1</v>
      </c>
      <c r="F14947" s="2">
        <v>2</v>
      </c>
      <c r="G14947" s="2">
        <v>0</v>
      </c>
      <c r="H14947" s="1" t="s">
        <v>0</v>
      </c>
      <c r="I14947" s="2">
        <v>0</v>
      </c>
      <c r="J14947" s="1">
        <v>45971.691574074073</v>
      </c>
    </row>
    <row r="14948" spans="1:10" x14ac:dyDescent="0.2">
      <c r="A14948" s="4" t="s">
        <v>1</v>
      </c>
      <c r="B14948" s="3" t="str">
        <f>HYPERLINK("https://otsuka-europe-crm.veevavault.com/ui/#object/approved_document__v/V5O000000004028", "LUP - Invitación webinar 13N - nefro")</f>
        <v>LUP - Invitación webinar 13N - nefro</v>
      </c>
      <c r="C14948" s="3" t="str">
        <f>HYPERLINK("https://otsuka-europe-crm.veevavault.com/ui/#object/sent_email__v/VBL00000000H141", "SE-001386538")</f>
        <v>SE-001386538</v>
      </c>
      <c r="D14948" s="1">
        <v>45972.027592592596</v>
      </c>
      <c r="E14948" s="2">
        <v>1</v>
      </c>
      <c r="F14948" s="2">
        <v>1</v>
      </c>
      <c r="G14948" s="2">
        <v>1</v>
      </c>
      <c r="H14948" s="1">
        <v>45973.687731481485</v>
      </c>
      <c r="I14948" s="2">
        <v>1</v>
      </c>
      <c r="J14948" s="1">
        <v>45971.691620370373</v>
      </c>
    </row>
    <row r="14949" spans="1:10" x14ac:dyDescent="0.2">
      <c r="A14949" s="4" t="s">
        <v>1</v>
      </c>
      <c r="B14949" s="3" t="str">
        <f>HYPERLINK("https://otsuka-europe-crm.veevavault.com/ui/#object/approved_document__v/V5O000000004028", "LUP - Invitación webinar 13N - nefro")</f>
        <v>LUP - Invitación webinar 13N - nefro</v>
      </c>
      <c r="C14949" s="3" t="str">
        <f>HYPERLINK("https://otsuka-europe-crm.veevavault.com/ui/#object/sent_email__v/VBL00000000H142", "SE-001386539")</f>
        <v>SE-001386539</v>
      </c>
      <c r="D14949" s="1" t="s">
        <v>0</v>
      </c>
      <c r="E14949" s="2">
        <v>0</v>
      </c>
      <c r="F14949" s="2">
        <v>0</v>
      </c>
      <c r="G14949" s="2">
        <v>0</v>
      </c>
      <c r="H14949" s="1" t="s">
        <v>0</v>
      </c>
      <c r="I14949" s="2">
        <v>0</v>
      </c>
      <c r="J14949" s="1">
        <v>45971.691666666666</v>
      </c>
    </row>
    <row r="14950" spans="1:10" x14ac:dyDescent="0.2">
      <c r="A14950" s="4" t="s">
        <v>1</v>
      </c>
      <c r="B14950" s="3" t="str">
        <f>HYPERLINK("https://otsuka-europe-crm.veevavault.com/ui/#object/approved_document__v/V5O000000004028", "LUP - Invitación webinar 13N - nefro")</f>
        <v>LUP - Invitación webinar 13N - nefro</v>
      </c>
      <c r="C14950" s="3" t="str">
        <f>HYPERLINK("https://otsuka-europe-crm.veevavault.com/ui/#object/sent_email__v/VBL00000000H143", "SE-001386540")</f>
        <v>SE-001386540</v>
      </c>
      <c r="D14950" s="1">
        <v>45972.009247685186</v>
      </c>
      <c r="E14950" s="2">
        <v>1</v>
      </c>
      <c r="F14950" s="2">
        <v>1</v>
      </c>
      <c r="G14950" s="2">
        <v>0</v>
      </c>
      <c r="H14950" s="1" t="s">
        <v>0</v>
      </c>
      <c r="I14950" s="2">
        <v>0</v>
      </c>
      <c r="J14950" s="1">
        <v>45971.691701388889</v>
      </c>
    </row>
    <row r="14951" spans="1:10" x14ac:dyDescent="0.2">
      <c r="A14951" s="4" t="s">
        <v>1</v>
      </c>
      <c r="B14951" s="3" t="str">
        <f>HYPERLINK("https://otsuka-europe-crm.veevavault.com/ui/#object/approved_document__v/V5O000000004028", "LUP - Invitación webinar 13N - nefro")</f>
        <v>LUP - Invitación webinar 13N - nefro</v>
      </c>
      <c r="C14951" s="3" t="str">
        <f>HYPERLINK("https://otsuka-europe-crm.veevavault.com/ui/#object/sent_email__v/VBL00000000H144", "SE-001386541")</f>
        <v>SE-001386541</v>
      </c>
      <c r="D14951" s="1" t="s">
        <v>0</v>
      </c>
      <c r="E14951" s="2">
        <v>0</v>
      </c>
      <c r="F14951" s="2">
        <v>0</v>
      </c>
      <c r="G14951" s="2">
        <v>0</v>
      </c>
      <c r="H14951" s="1" t="s">
        <v>0</v>
      </c>
      <c r="I14951" s="2">
        <v>0</v>
      </c>
      <c r="J14951" s="1">
        <v>45971.691747685189</v>
      </c>
    </row>
    <row r="14952" spans="1:10" x14ac:dyDescent="0.2">
      <c r="A14952" s="4" t="s">
        <v>1</v>
      </c>
      <c r="B14952" s="3" t="str">
        <f>HYPERLINK("https://otsuka-europe-crm.veevavault.com/ui/#object/approved_document__v/V5O000000004028", "LUP - Invitación webinar 13N - nefro")</f>
        <v>LUP - Invitación webinar 13N - nefro</v>
      </c>
      <c r="C14952" s="3" t="str">
        <f>HYPERLINK("https://otsuka-europe-crm.veevavault.com/ui/#object/sent_email__v/VBL00000000H145", "SE-001386542")</f>
        <v>SE-001386542</v>
      </c>
      <c r="D14952" s="1">
        <v>45972.028171296297</v>
      </c>
      <c r="E14952" s="2">
        <v>1</v>
      </c>
      <c r="F14952" s="2">
        <v>2</v>
      </c>
      <c r="G14952" s="2">
        <v>0</v>
      </c>
      <c r="H14952" s="1" t="s">
        <v>0</v>
      </c>
      <c r="I14952" s="2">
        <v>0</v>
      </c>
      <c r="J14952" s="1">
        <v>45971.691782407404</v>
      </c>
    </row>
    <row r="14953" spans="1:10" x14ac:dyDescent="0.2">
      <c r="A14953" s="4" t="s">
        <v>1</v>
      </c>
      <c r="B14953" s="3" t="str">
        <f>HYPERLINK("https://otsuka-europe-crm.veevavault.com/ui/#object/approved_document__v/V5O000000004028", "LUP - Invitación webinar 13N - nefro")</f>
        <v>LUP - Invitación webinar 13N - nefro</v>
      </c>
      <c r="C14953" s="3" t="str">
        <f>HYPERLINK("https://otsuka-europe-crm.veevavault.com/ui/#object/sent_email__v/VBL00000000H146", "SE-001386543")</f>
        <v>SE-001386543</v>
      </c>
      <c r="D14953" s="1">
        <v>45972.724594907406</v>
      </c>
      <c r="E14953" s="2">
        <v>1</v>
      </c>
      <c r="F14953" s="2">
        <v>2</v>
      </c>
      <c r="G14953" s="2">
        <v>0</v>
      </c>
      <c r="H14953" s="1" t="s">
        <v>0</v>
      </c>
      <c r="I14953" s="2">
        <v>0</v>
      </c>
      <c r="J14953" s="1">
        <v>45971.691828703704</v>
      </c>
    </row>
    <row r="14954" spans="1:10" x14ac:dyDescent="0.2">
      <c r="A14954" s="4" t="s">
        <v>1</v>
      </c>
      <c r="B14954" s="3" t="str">
        <f>HYPERLINK("https://otsuka-europe-crm.veevavault.com/ui/#object/approved_document__v/V5O000000004028", "LUP - Invitación webinar 13N - nefro")</f>
        <v>LUP - Invitación webinar 13N - nefro</v>
      </c>
      <c r="C14954" s="3" t="str">
        <f>HYPERLINK("https://otsuka-europe-crm.veevavault.com/ui/#object/sent_email__v/VBL00000000H147", "SE-001386544")</f>
        <v>SE-001386544</v>
      </c>
      <c r="D14954" s="1">
        <v>45971.713703703703</v>
      </c>
      <c r="E14954" s="2">
        <v>1</v>
      </c>
      <c r="F14954" s="2">
        <v>1</v>
      </c>
      <c r="G14954" s="2">
        <v>0</v>
      </c>
      <c r="H14954" s="1" t="s">
        <v>0</v>
      </c>
      <c r="I14954" s="2">
        <v>0</v>
      </c>
      <c r="J14954" s="1">
        <v>45971.691874999997</v>
      </c>
    </row>
    <row r="14955" spans="1:10" x14ac:dyDescent="0.2">
      <c r="A14955" s="4" t="s">
        <v>1</v>
      </c>
      <c r="B14955" s="3" t="str">
        <f>HYPERLINK("https://otsuka-europe-crm.veevavault.com/ui/#object/approved_document__v/V5O000000004028", "LUP - Invitación webinar 13N - nefro")</f>
        <v>LUP - Invitación webinar 13N - nefro</v>
      </c>
      <c r="C14955" s="3" t="str">
        <f>HYPERLINK("https://otsuka-europe-crm.veevavault.com/ui/#object/sent_email__v/VBL00000000H148", "SE-001386545")</f>
        <v>SE-001386545</v>
      </c>
      <c r="D14955" s="1">
        <v>45971.791828703703</v>
      </c>
      <c r="E14955" s="2">
        <v>1</v>
      </c>
      <c r="F14955" s="2">
        <v>1</v>
      </c>
      <c r="G14955" s="2">
        <v>0</v>
      </c>
      <c r="H14955" s="1" t="s">
        <v>0</v>
      </c>
      <c r="I14955" s="2">
        <v>0</v>
      </c>
      <c r="J14955" s="1">
        <v>45971.69190972222</v>
      </c>
    </row>
    <row r="14956" spans="1:10" x14ac:dyDescent="0.2">
      <c r="A14956" s="4" t="s">
        <v>1</v>
      </c>
      <c r="B14956" s="3" t="str">
        <f>HYPERLINK("https://otsuka-europe-crm.veevavault.com/ui/#object/approved_document__v/V5O000000004028", "LUP - Invitación webinar 13N - nefro")</f>
        <v>LUP - Invitación webinar 13N - nefro</v>
      </c>
      <c r="C14956" s="3" t="str">
        <f>HYPERLINK("https://otsuka-europe-crm.veevavault.com/ui/#object/sent_email__v/VBL00000000F147", "SE-001386546")</f>
        <v>SE-001386546</v>
      </c>
      <c r="D14956" s="1" t="s">
        <v>0</v>
      </c>
      <c r="E14956" s="2">
        <v>0</v>
      </c>
      <c r="F14956" s="2">
        <v>0</v>
      </c>
      <c r="G14956" s="2">
        <v>0</v>
      </c>
      <c r="H14956" s="1" t="s">
        <v>0</v>
      </c>
      <c r="I14956" s="2">
        <v>0</v>
      </c>
      <c r="J14956" s="1">
        <v>45971.690868055557</v>
      </c>
    </row>
    <row r="14957" spans="1:10" x14ac:dyDescent="0.2">
      <c r="A14957" s="4" t="s">
        <v>1</v>
      </c>
      <c r="B14957" s="3" t="str">
        <f>HYPERLINK("https://otsuka-europe-crm.veevavault.com/ui/#object/approved_document__v/V5O000000004028", "LUP - Invitación webinar 13N - nefro")</f>
        <v>LUP - Invitación webinar 13N - nefro</v>
      </c>
      <c r="C14957" s="3" t="str">
        <f>HYPERLINK("https://otsuka-europe-crm.veevavault.com/ui/#object/sent_email__v/VBL00000000F148", "SE-001386547")</f>
        <v>SE-001386547</v>
      </c>
      <c r="D14957" s="1" t="s">
        <v>0</v>
      </c>
      <c r="E14957" s="2">
        <v>0</v>
      </c>
      <c r="F14957" s="2">
        <v>0</v>
      </c>
      <c r="G14957" s="2">
        <v>0</v>
      </c>
      <c r="H14957" s="1" t="s">
        <v>0</v>
      </c>
      <c r="I14957" s="2">
        <v>0</v>
      </c>
      <c r="J14957" s="1">
        <v>45971.690925925926</v>
      </c>
    </row>
    <row r="14958" spans="1:10" x14ac:dyDescent="0.2">
      <c r="A14958" s="4" t="s">
        <v>1</v>
      </c>
      <c r="B14958" s="3" t="str">
        <f>HYPERLINK("https://otsuka-europe-crm.veevavault.com/ui/#object/approved_document__v/V5O000000004028", "LUP - Invitación webinar 13N - nefro")</f>
        <v>LUP - Invitación webinar 13N - nefro</v>
      </c>
      <c r="C14958" s="3" t="str">
        <f>HYPERLINK("https://otsuka-europe-crm.veevavault.com/ui/#object/sent_email__v/VBL00000000F149", "SE-001386548")</f>
        <v>SE-001386548</v>
      </c>
      <c r="D14958" s="1" t="s">
        <v>0</v>
      </c>
      <c r="E14958" s="2">
        <v>0</v>
      </c>
      <c r="F14958" s="2">
        <v>0</v>
      </c>
      <c r="G14958" s="2">
        <v>0</v>
      </c>
      <c r="H14958" s="1" t="s">
        <v>0</v>
      </c>
      <c r="I14958" s="2">
        <v>0</v>
      </c>
      <c r="J14958" s="1">
        <v>45971.690983796296</v>
      </c>
    </row>
    <row r="14959" spans="1:10" x14ac:dyDescent="0.2">
      <c r="A14959" s="4" t="s">
        <v>1</v>
      </c>
      <c r="B14959" s="3" t="str">
        <f>HYPERLINK("https://otsuka-europe-crm.veevavault.com/ui/#object/approved_document__v/V5O000000004028", "LUP - Invitación webinar 13N - nefro")</f>
        <v>LUP - Invitación webinar 13N - nefro</v>
      </c>
      <c r="C14959" s="3" t="str">
        <f>HYPERLINK("https://otsuka-europe-crm.veevavault.com/ui/#object/sent_email__v/VBL00000000F150", "SE-001386549")</f>
        <v>SE-001386549</v>
      </c>
      <c r="D14959" s="1" t="s">
        <v>0</v>
      </c>
      <c r="E14959" s="2">
        <v>0</v>
      </c>
      <c r="F14959" s="2">
        <v>0</v>
      </c>
      <c r="G14959" s="2">
        <v>0</v>
      </c>
      <c r="H14959" s="1" t="s">
        <v>0</v>
      </c>
      <c r="I14959" s="2">
        <v>0</v>
      </c>
      <c r="J14959" s="1">
        <v>45971.691030092596</v>
      </c>
    </row>
    <row r="14960" spans="1:10" x14ac:dyDescent="0.2">
      <c r="A14960" s="4" t="s">
        <v>1</v>
      </c>
      <c r="B14960" s="3" t="str">
        <f>HYPERLINK("https://otsuka-europe-crm.veevavault.com/ui/#object/approved_document__v/V5O000000004028", "LUP - Invitación webinar 13N - nefro")</f>
        <v>LUP - Invitación webinar 13N - nefro</v>
      </c>
      <c r="C14960" s="3" t="str">
        <f>HYPERLINK("https://otsuka-europe-crm.veevavault.com/ui/#object/sent_email__v/VBL00000000F151", "SE-001386550")</f>
        <v>SE-001386550</v>
      </c>
      <c r="D14960" s="1">
        <v>45993.021666666667</v>
      </c>
      <c r="E14960" s="2">
        <v>1</v>
      </c>
      <c r="F14960" s="2">
        <v>4</v>
      </c>
      <c r="G14960" s="2">
        <v>0</v>
      </c>
      <c r="H14960" s="1" t="s">
        <v>0</v>
      </c>
      <c r="I14960" s="2">
        <v>0</v>
      </c>
      <c r="J14960" s="1">
        <v>45971.691076388888</v>
      </c>
    </row>
    <row r="14961" spans="1:10" x14ac:dyDescent="0.2">
      <c r="A14961" s="4" t="s">
        <v>1</v>
      </c>
      <c r="B14961" s="3" t="str">
        <f>HYPERLINK("https://otsuka-europe-crm.veevavault.com/ui/#object/approved_document__v/V5O000000004028", "LUP - Invitación webinar 13N - nefro")</f>
        <v>LUP - Invitación webinar 13N - nefro</v>
      </c>
      <c r="C14961" s="3" t="str">
        <f>HYPERLINK("https://otsuka-europe-crm.veevavault.com/ui/#object/sent_email__v/VBL00000000F152", "SE-001386551")</f>
        <v>SE-001386551</v>
      </c>
      <c r="D14961" s="1">
        <v>45974.766192129631</v>
      </c>
      <c r="E14961" s="2">
        <v>1</v>
      </c>
      <c r="F14961" s="2">
        <v>2</v>
      </c>
      <c r="G14961" s="2">
        <v>0</v>
      </c>
      <c r="H14961" s="1" t="s">
        <v>0</v>
      </c>
      <c r="I14961" s="2">
        <v>0</v>
      </c>
      <c r="J14961" s="1">
        <v>45971.691111111111</v>
      </c>
    </row>
    <row r="14962" spans="1:10" x14ac:dyDescent="0.2">
      <c r="A14962" s="4" t="s">
        <v>1</v>
      </c>
      <c r="B14962" s="3" t="str">
        <f>HYPERLINK("https://otsuka-europe-crm.veevavault.com/ui/#object/approved_document__v/V5O000000004028", "LUP - Invitación webinar 13N - nefro")</f>
        <v>LUP - Invitación webinar 13N - nefro</v>
      </c>
      <c r="C14962" s="3" t="str">
        <f>HYPERLINK("https://otsuka-europe-crm.veevavault.com/ui/#object/sent_email__v/VBL00000000F153", "SE-001386552")</f>
        <v>SE-001386552</v>
      </c>
      <c r="D14962" s="1" t="s">
        <v>0</v>
      </c>
      <c r="E14962" s="2">
        <v>0</v>
      </c>
      <c r="F14962" s="2">
        <v>0</v>
      </c>
      <c r="G14962" s="2">
        <v>0</v>
      </c>
      <c r="H14962" s="1" t="s">
        <v>0</v>
      </c>
      <c r="I14962" s="2">
        <v>0</v>
      </c>
      <c r="J14962" s="1">
        <v>45971.691145833334</v>
      </c>
    </row>
    <row r="14963" spans="1:10" x14ac:dyDescent="0.2">
      <c r="A14963" s="4" t="s">
        <v>1</v>
      </c>
      <c r="B14963" s="3" t="str">
        <f>HYPERLINK("https://otsuka-europe-crm.veevavault.com/ui/#object/approved_document__v/V5O000000004028", "LUP - Invitación webinar 13N - nefro")</f>
        <v>LUP - Invitación webinar 13N - nefro</v>
      </c>
      <c r="C14963" s="3" t="str">
        <f>HYPERLINK("https://otsuka-europe-crm.veevavault.com/ui/#object/sent_email__v/VBL00000000F154", "SE-001386553")</f>
        <v>SE-001386553</v>
      </c>
      <c r="D14963" s="1">
        <v>45971.70988425926</v>
      </c>
      <c r="E14963" s="2">
        <v>1</v>
      </c>
      <c r="F14963" s="2">
        <v>1</v>
      </c>
      <c r="G14963" s="2">
        <v>0</v>
      </c>
      <c r="H14963" s="1" t="s">
        <v>0</v>
      </c>
      <c r="I14963" s="2">
        <v>0</v>
      </c>
      <c r="J14963" s="1">
        <v>45971.691192129627</v>
      </c>
    </row>
    <row r="14964" spans="1:10" x14ac:dyDescent="0.2">
      <c r="A14964" s="4" t="s">
        <v>1</v>
      </c>
      <c r="B14964" s="3" t="str">
        <f>HYPERLINK("https://otsuka-europe-crm.veevavault.com/ui/#object/approved_document__v/V5O000000004028", "LUP - Invitación webinar 13N - nefro")</f>
        <v>LUP - Invitación webinar 13N - nefro</v>
      </c>
      <c r="C14964" s="3" t="str">
        <f>HYPERLINK("https://otsuka-europe-crm.veevavault.com/ui/#object/sent_email__v/VBL00000000F155", "SE-001386554")</f>
        <v>SE-001386554</v>
      </c>
      <c r="D14964" s="1" t="s">
        <v>0</v>
      </c>
      <c r="E14964" s="2">
        <v>0</v>
      </c>
      <c r="F14964" s="2">
        <v>0</v>
      </c>
      <c r="G14964" s="2">
        <v>0</v>
      </c>
      <c r="H14964" s="1" t="s">
        <v>0</v>
      </c>
      <c r="I14964" s="2">
        <v>0</v>
      </c>
      <c r="J14964" s="1">
        <v>45971.691238425927</v>
      </c>
    </row>
    <row r="14965" spans="1:10" x14ac:dyDescent="0.2">
      <c r="A14965" s="4" t="s">
        <v>1</v>
      </c>
      <c r="B14965" s="3" t="str">
        <f>HYPERLINK("https://otsuka-europe-crm.veevavault.com/ui/#object/approved_document__v/V5O000000004028", "LUP - Invitación webinar 13N - nefro")</f>
        <v>LUP - Invitación webinar 13N - nefro</v>
      </c>
      <c r="C14965" s="3" t="str">
        <f>HYPERLINK("https://otsuka-europe-crm.veevavault.com/ui/#object/sent_email__v/VBL00000000F156", "SE-001386555")</f>
        <v>SE-001386555</v>
      </c>
      <c r="D14965" s="1" t="s">
        <v>0</v>
      </c>
      <c r="E14965" s="2">
        <v>0</v>
      </c>
      <c r="F14965" s="2">
        <v>0</v>
      </c>
      <c r="G14965" s="2">
        <v>0</v>
      </c>
      <c r="H14965" s="1" t="s">
        <v>0</v>
      </c>
      <c r="I14965" s="2">
        <v>0</v>
      </c>
      <c r="J14965" s="1">
        <v>45971.691284722219</v>
      </c>
    </row>
    <row r="14966" spans="1:10" x14ac:dyDescent="0.2">
      <c r="A14966" s="4" t="s">
        <v>1</v>
      </c>
      <c r="B14966" s="3" t="str">
        <f>HYPERLINK("https://otsuka-europe-crm.veevavault.com/ui/#object/approved_document__v/V5O000000004028", "LUP - Invitación webinar 13N - nefro")</f>
        <v>LUP - Invitación webinar 13N - nefro</v>
      </c>
      <c r="C14966" s="3" t="str">
        <f>HYPERLINK("https://otsuka-europe-crm.veevavault.com/ui/#object/sent_email__v/VBL00000000F157", "SE-001386556")</f>
        <v>SE-001386556</v>
      </c>
      <c r="D14966" s="1" t="s">
        <v>0</v>
      </c>
      <c r="E14966" s="2">
        <v>0</v>
      </c>
      <c r="F14966" s="2">
        <v>0</v>
      </c>
      <c r="G14966" s="2">
        <v>0</v>
      </c>
      <c r="H14966" s="1" t="s">
        <v>0</v>
      </c>
      <c r="I14966" s="2">
        <v>0</v>
      </c>
      <c r="J14966" s="1">
        <v>45971.691319444442</v>
      </c>
    </row>
    <row r="14967" spans="1:10" x14ac:dyDescent="0.2">
      <c r="A14967" s="4" t="s">
        <v>1</v>
      </c>
      <c r="B14967" s="3" t="str">
        <f>HYPERLINK("https://otsuka-europe-crm.veevavault.com/ui/#object/approved_document__v/V5O000000004028", "LUP - Invitación webinar 13N - nefro")</f>
        <v>LUP - Invitación webinar 13N - nefro</v>
      </c>
      <c r="C14967" s="3" t="str">
        <f>HYPERLINK("https://otsuka-europe-crm.veevavault.com/ui/#object/sent_email__v/VBL00000000F158", "SE-001386557")</f>
        <v>SE-001386557</v>
      </c>
      <c r="D14967" s="1">
        <v>45971.864837962959</v>
      </c>
      <c r="E14967" s="2">
        <v>1</v>
      </c>
      <c r="F14967" s="2">
        <v>1</v>
      </c>
      <c r="G14967" s="2">
        <v>0</v>
      </c>
      <c r="H14967" s="1" t="s">
        <v>0</v>
      </c>
      <c r="I14967" s="2">
        <v>0</v>
      </c>
      <c r="J14967" s="1">
        <v>45971.691365740742</v>
      </c>
    </row>
    <row r="14968" spans="1:10" x14ac:dyDescent="0.2">
      <c r="A14968" s="4" t="s">
        <v>1</v>
      </c>
      <c r="B14968" s="3" t="str">
        <f>HYPERLINK("https://otsuka-europe-crm.veevavault.com/ui/#object/approved_document__v/V5O000000004028", "LUP - Invitación webinar 13N - nefro")</f>
        <v>LUP - Invitación webinar 13N - nefro</v>
      </c>
      <c r="C14968" s="3" t="str">
        <f>HYPERLINK("https://otsuka-europe-crm.veevavault.com/ui/#object/sent_email__v/VBL00000000F159", "SE-001386558")</f>
        <v>SE-001386558</v>
      </c>
      <c r="D14968" s="1">
        <v>46050.798888888887</v>
      </c>
      <c r="E14968" s="2">
        <v>1</v>
      </c>
      <c r="F14968" s="2">
        <v>2</v>
      </c>
      <c r="G14968" s="2">
        <v>0</v>
      </c>
      <c r="H14968" s="1" t="s">
        <v>0</v>
      </c>
      <c r="I14968" s="2">
        <v>0</v>
      </c>
      <c r="J14968" s="1">
        <v>45971.691412037035</v>
      </c>
    </row>
    <row r="14969" spans="1:10" x14ac:dyDescent="0.2">
      <c r="A14969" s="4" t="s">
        <v>1</v>
      </c>
      <c r="B14969" s="3" t="str">
        <f>HYPERLINK("https://otsuka-europe-crm.veevavault.com/ui/#object/approved_document__v/V5O000000004028", "LUP - Invitación webinar 13N - nefro")</f>
        <v>LUP - Invitación webinar 13N - nefro</v>
      </c>
      <c r="C14969" s="3" t="str">
        <f>HYPERLINK("https://otsuka-europe-crm.veevavault.com/ui/#object/sent_email__v/VBL00000000F160", "SE-001386559")</f>
        <v>SE-001386559</v>
      </c>
      <c r="D14969" s="1">
        <v>45975.776296296295</v>
      </c>
      <c r="E14969" s="2">
        <v>1</v>
      </c>
      <c r="F14969" s="2">
        <v>3</v>
      </c>
      <c r="G14969" s="2">
        <v>0</v>
      </c>
      <c r="H14969" s="1" t="s">
        <v>0</v>
      </c>
      <c r="I14969" s="2">
        <v>0</v>
      </c>
      <c r="J14969" s="1">
        <v>45971.691446759258</v>
      </c>
    </row>
    <row r="14970" spans="1:10" x14ac:dyDescent="0.2">
      <c r="A14970" s="4" t="s">
        <v>1</v>
      </c>
      <c r="B14970" s="3" t="str">
        <f>HYPERLINK("https://otsuka-europe-crm.veevavault.com/ui/#object/approved_document__v/V5O000000004028", "LUP - Invitación webinar 13N - nefro")</f>
        <v>LUP - Invitación webinar 13N - nefro</v>
      </c>
      <c r="C14970" s="3" t="str">
        <f>HYPERLINK("https://otsuka-europe-crm.veevavault.com/ui/#object/sent_email__v/VBL00000000F161", "SE-001386560")</f>
        <v>SE-001386560</v>
      </c>
      <c r="D14970" s="1">
        <v>45971.754374999997</v>
      </c>
      <c r="E14970" s="2">
        <v>1</v>
      </c>
      <c r="F14970" s="2">
        <v>1</v>
      </c>
      <c r="G14970" s="2">
        <v>0</v>
      </c>
      <c r="H14970" s="1" t="s">
        <v>0</v>
      </c>
      <c r="I14970" s="2">
        <v>0</v>
      </c>
      <c r="J14970" s="1">
        <v>45971.691504629627</v>
      </c>
    </row>
    <row r="14971" spans="1:10" x14ac:dyDescent="0.2">
      <c r="A14971" s="4" t="s">
        <v>1</v>
      </c>
      <c r="B14971" s="3" t="str">
        <f>HYPERLINK("https://otsuka-europe-crm.veevavault.com/ui/#object/approved_document__v/V5O000000004028", "LUP - Invitación webinar 13N - nefro")</f>
        <v>LUP - Invitación webinar 13N - nefro</v>
      </c>
      <c r="C14971" s="3" t="str">
        <f>HYPERLINK("https://otsuka-europe-crm.veevavault.com/ui/#object/sent_email__v/VBL00000000F162", "SE-001386561")</f>
        <v>SE-001386561</v>
      </c>
      <c r="D14971" s="1">
        <v>45971.843368055554</v>
      </c>
      <c r="E14971" s="2">
        <v>1</v>
      </c>
      <c r="F14971" s="2">
        <v>1</v>
      </c>
      <c r="G14971" s="2">
        <v>0</v>
      </c>
      <c r="H14971" s="1" t="s">
        <v>0</v>
      </c>
      <c r="I14971" s="2">
        <v>0</v>
      </c>
      <c r="J14971" s="1">
        <v>45971.691527777781</v>
      </c>
    </row>
    <row r="14972" spans="1:10" x14ac:dyDescent="0.2">
      <c r="A14972" s="4" t="s">
        <v>1</v>
      </c>
      <c r="B14972" s="3" t="str">
        <f>HYPERLINK("https://otsuka-europe-crm.veevavault.com/ui/#object/approved_document__v/V5O000000004028", "LUP - Invitación webinar 13N - nefro")</f>
        <v>LUP - Invitación webinar 13N - nefro</v>
      </c>
      <c r="C14972" s="3" t="str">
        <f>HYPERLINK("https://otsuka-europe-crm.veevavault.com/ui/#object/sent_email__v/VBL00000000F163", "SE-001386562")</f>
        <v>SE-001386562</v>
      </c>
      <c r="D14972" s="1">
        <v>45971.768159722225</v>
      </c>
      <c r="E14972" s="2">
        <v>1</v>
      </c>
      <c r="F14972" s="2">
        <v>1</v>
      </c>
      <c r="G14972" s="2">
        <v>0</v>
      </c>
      <c r="H14972" s="1" t="s">
        <v>0</v>
      </c>
      <c r="I14972" s="2">
        <v>0</v>
      </c>
      <c r="J14972" s="1">
        <v>45971.691574074073</v>
      </c>
    </row>
    <row r="14973" spans="1:10" x14ac:dyDescent="0.2">
      <c r="A14973" s="4" t="s">
        <v>1</v>
      </c>
      <c r="B14973" s="3" t="str">
        <f>HYPERLINK("https://otsuka-europe-crm.veevavault.com/ui/#object/approved_document__v/V5O000000004028", "LUP - Invitación webinar 13N - nefro")</f>
        <v>LUP - Invitación webinar 13N - nefro</v>
      </c>
      <c r="C14973" s="3" t="str">
        <f>HYPERLINK("https://otsuka-europe-crm.veevavault.com/ui/#object/sent_email__v/VBL00000000F164", "SE-001386563")</f>
        <v>SE-001386563</v>
      </c>
      <c r="D14973" s="1">
        <v>45971.882881944446</v>
      </c>
      <c r="E14973" s="2">
        <v>1</v>
      </c>
      <c r="F14973" s="2">
        <v>2</v>
      </c>
      <c r="G14973" s="2">
        <v>0</v>
      </c>
      <c r="H14973" s="1" t="s">
        <v>0</v>
      </c>
      <c r="I14973" s="2">
        <v>0</v>
      </c>
      <c r="J14973" s="1">
        <v>45971.691620370373</v>
      </c>
    </row>
    <row r="14974" spans="1:10" x14ac:dyDescent="0.2">
      <c r="A14974" s="4" t="s">
        <v>1</v>
      </c>
      <c r="B14974" s="3" t="str">
        <f>HYPERLINK("https://otsuka-europe-crm.veevavault.com/ui/#object/approved_document__v/V5O000000004028", "LUP - Invitación webinar 13N - nefro")</f>
        <v>LUP - Invitación webinar 13N - nefro</v>
      </c>
      <c r="C14974" s="3" t="str">
        <f>HYPERLINK("https://otsuka-europe-crm.veevavault.com/ui/#object/sent_email__v/VBL00000000F165", "SE-001386564")</f>
        <v>SE-001386564</v>
      </c>
      <c r="D14974" s="1" t="s">
        <v>0</v>
      </c>
      <c r="E14974" s="2">
        <v>0</v>
      </c>
      <c r="F14974" s="2">
        <v>0</v>
      </c>
      <c r="G14974" s="2">
        <v>0</v>
      </c>
      <c r="H14974" s="1" t="s">
        <v>0</v>
      </c>
      <c r="I14974" s="2">
        <v>0</v>
      </c>
      <c r="J14974" s="1">
        <v>45971.691655092596</v>
      </c>
    </row>
    <row r="14975" spans="1:10" x14ac:dyDescent="0.2">
      <c r="A14975" s="4" t="s">
        <v>1</v>
      </c>
      <c r="B14975" s="3" t="str">
        <f>HYPERLINK("https://otsuka-europe-crm.veevavault.com/ui/#object/approved_document__v/V5O000000004028", "LUP - Invitación webinar 13N - nefro")</f>
        <v>LUP - Invitación webinar 13N - nefro</v>
      </c>
      <c r="C14975" s="3" t="str">
        <f>HYPERLINK("https://otsuka-europe-crm.veevavault.com/ui/#object/sent_email__v/VBL00000000F166", "SE-001386565")</f>
        <v>SE-001386565</v>
      </c>
      <c r="D14975" s="1" t="s">
        <v>0</v>
      </c>
      <c r="E14975" s="2">
        <v>0</v>
      </c>
      <c r="F14975" s="2">
        <v>0</v>
      </c>
      <c r="G14975" s="2">
        <v>0</v>
      </c>
      <c r="H14975" s="1" t="s">
        <v>0</v>
      </c>
      <c r="I14975" s="2">
        <v>0</v>
      </c>
      <c r="J14975" s="1">
        <v>45971.691701388889</v>
      </c>
    </row>
    <row r="14976" spans="1:10" x14ac:dyDescent="0.2">
      <c r="A14976" s="4" t="s">
        <v>1</v>
      </c>
      <c r="B14976" s="3" t="str">
        <f>HYPERLINK("https://otsuka-europe-crm.veevavault.com/ui/#object/approved_document__v/V5O000000004028", "LUP - Invitación webinar 13N - nefro")</f>
        <v>LUP - Invitación webinar 13N - nefro</v>
      </c>
      <c r="C14976" s="3" t="str">
        <f>HYPERLINK("https://otsuka-europe-crm.veevavault.com/ui/#object/sent_email__v/VBL00000000F167", "SE-001386566")</f>
        <v>SE-001386566</v>
      </c>
      <c r="D14976" s="1" t="s">
        <v>0</v>
      </c>
      <c r="E14976" s="2">
        <v>0</v>
      </c>
      <c r="F14976" s="2">
        <v>0</v>
      </c>
      <c r="G14976" s="2">
        <v>0</v>
      </c>
      <c r="H14976" s="1" t="s">
        <v>0</v>
      </c>
      <c r="I14976" s="2">
        <v>0</v>
      </c>
      <c r="J14976" s="1">
        <v>45971.691747685189</v>
      </c>
    </row>
    <row r="14977" spans="1:10" x14ac:dyDescent="0.2">
      <c r="A14977" s="4" t="s">
        <v>1</v>
      </c>
      <c r="B14977" s="3" t="str">
        <f>HYPERLINK("https://otsuka-europe-crm.veevavault.com/ui/#object/approved_document__v/V5O000000004028", "LUP - Invitación webinar 13N - nefro")</f>
        <v>LUP - Invitación webinar 13N - nefro</v>
      </c>
      <c r="C14977" s="3" t="str">
        <f>HYPERLINK("https://otsuka-europe-crm.veevavault.com/ui/#object/sent_email__v/VBL00000000F168", "SE-001386567")</f>
        <v>SE-001386567</v>
      </c>
      <c r="D14977" s="1">
        <v>45979.865162037036</v>
      </c>
      <c r="E14977" s="2">
        <v>1</v>
      </c>
      <c r="F14977" s="2">
        <v>5</v>
      </c>
      <c r="G14977" s="2">
        <v>0</v>
      </c>
      <c r="H14977" s="1" t="s">
        <v>0</v>
      </c>
      <c r="I14977" s="2">
        <v>0</v>
      </c>
      <c r="J14977" s="1">
        <v>45971.691782407404</v>
      </c>
    </row>
    <row r="14978" spans="1:10" x14ac:dyDescent="0.2">
      <c r="A14978" s="4" t="s">
        <v>1</v>
      </c>
      <c r="B14978" s="3" t="str">
        <f>HYPERLINK("https://otsuka-europe-crm.veevavault.com/ui/#object/approved_document__v/V5O000000004028", "LUP - Invitación webinar 13N - nefro")</f>
        <v>LUP - Invitación webinar 13N - nefro</v>
      </c>
      <c r="C14978" s="3" t="str">
        <f>HYPERLINK("https://otsuka-europe-crm.veevavault.com/ui/#object/sent_email__v/VBL00000000F169", "SE-001386568")</f>
        <v>SE-001386568</v>
      </c>
      <c r="D14978" s="1" t="s">
        <v>0</v>
      </c>
      <c r="E14978" s="2">
        <v>0</v>
      </c>
      <c r="F14978" s="2">
        <v>0</v>
      </c>
      <c r="G14978" s="2">
        <v>0</v>
      </c>
      <c r="H14978" s="1" t="s">
        <v>0</v>
      </c>
      <c r="I14978" s="2">
        <v>0</v>
      </c>
      <c r="J14978" s="1">
        <v>45971.691828703704</v>
      </c>
    </row>
    <row r="14979" spans="1:10" x14ac:dyDescent="0.2">
      <c r="A14979" s="4" t="s">
        <v>1</v>
      </c>
      <c r="B14979" s="3" t="str">
        <f>HYPERLINK("https://otsuka-europe-crm.veevavault.com/ui/#object/approved_document__v/V5O000000004028", "LUP - Invitación webinar 13N - nefro")</f>
        <v>LUP - Invitación webinar 13N - nefro</v>
      </c>
      <c r="C14979" s="3" t="str">
        <f>HYPERLINK("https://otsuka-europe-crm.veevavault.com/ui/#object/sent_email__v/VBL00000000F170", "SE-001386569")</f>
        <v>SE-001386569</v>
      </c>
      <c r="D14979" s="1">
        <v>45972.285474537035</v>
      </c>
      <c r="E14979" s="2">
        <v>1</v>
      </c>
      <c r="F14979" s="2">
        <v>3</v>
      </c>
      <c r="G14979" s="2">
        <v>0</v>
      </c>
      <c r="H14979" s="1" t="s">
        <v>0</v>
      </c>
      <c r="I14979" s="2">
        <v>0</v>
      </c>
      <c r="J14979" s="1">
        <v>45971.691874999997</v>
      </c>
    </row>
    <row r="14980" spans="1:10" x14ac:dyDescent="0.2">
      <c r="A14980" s="4" t="s">
        <v>1</v>
      </c>
      <c r="B14980" s="3" t="str">
        <f>HYPERLINK("https://otsuka-europe-crm.veevavault.com/ui/#object/approved_document__v/V5O000000004028", "LUP - Invitación webinar 13N - nefro")</f>
        <v>LUP - Invitación webinar 13N - nefro</v>
      </c>
      <c r="C14980" s="3" t="str">
        <f>HYPERLINK("https://otsuka-europe-crm.veevavault.com/ui/#object/sent_email__v/VBL00000000F171", "SE-001386570")</f>
        <v>SE-001386570</v>
      </c>
      <c r="D14980" s="1">
        <v>45971.927743055552</v>
      </c>
      <c r="E14980" s="2">
        <v>1</v>
      </c>
      <c r="F14980" s="2">
        <v>1</v>
      </c>
      <c r="G14980" s="2">
        <v>0</v>
      </c>
      <c r="H14980" s="1" t="s">
        <v>0</v>
      </c>
      <c r="I14980" s="2">
        <v>0</v>
      </c>
      <c r="J14980" s="1">
        <v>45971.69190972222</v>
      </c>
    </row>
    <row r="14981" spans="1:10" x14ac:dyDescent="0.2">
      <c r="A14981" s="4" t="s">
        <v>1</v>
      </c>
      <c r="B14981" s="3" t="str">
        <f>HYPERLINK("https://otsuka-europe-crm.veevavault.com/ui/#object/approved_document__v/V5O000000004028", "LUP - Invitación webinar 13N - nefro")</f>
        <v>LUP - Invitación webinar 13N - nefro</v>
      </c>
      <c r="C14981" s="3" t="str">
        <f>HYPERLINK("https://otsuka-europe-crm.veevavault.com/ui/#object/sent_email__v/VBL00000000F172", "SE-001386571")</f>
        <v>SE-001386571</v>
      </c>
      <c r="D14981" s="1">
        <v>45973.015416666669</v>
      </c>
      <c r="E14981" s="2">
        <v>1</v>
      </c>
      <c r="F14981" s="2">
        <v>1</v>
      </c>
      <c r="G14981" s="2">
        <v>0</v>
      </c>
      <c r="H14981" s="1" t="s">
        <v>0</v>
      </c>
      <c r="I14981" s="2">
        <v>0</v>
      </c>
      <c r="J14981" s="1">
        <v>45971.691944444443</v>
      </c>
    </row>
    <row r="14982" spans="1:10" x14ac:dyDescent="0.2">
      <c r="A14982" s="4" t="s">
        <v>1</v>
      </c>
      <c r="B14982" s="3" t="str">
        <f>HYPERLINK("https://otsuka-europe-crm.veevavault.com/ui/#object/approved_document__v/V5O000000004028", "LUP - Invitación webinar 13N - nefro")</f>
        <v>LUP - Invitación webinar 13N - nefro</v>
      </c>
      <c r="C14982" s="3" t="str">
        <f>HYPERLINK("https://otsuka-europe-crm.veevavault.com/ui/#object/sent_email__v/VBL00000000F173", "SE-001386572")</f>
        <v>SE-001386572</v>
      </c>
      <c r="D14982" s="1" t="s">
        <v>0</v>
      </c>
      <c r="E14982" s="2">
        <v>0</v>
      </c>
      <c r="F14982" s="2">
        <v>0</v>
      </c>
      <c r="G14982" s="2">
        <v>0</v>
      </c>
      <c r="H14982" s="1" t="s">
        <v>0</v>
      </c>
      <c r="I14982" s="2">
        <v>0</v>
      </c>
      <c r="J14982" s="1">
        <v>45971.691990740743</v>
      </c>
    </row>
    <row r="14983" spans="1:10" x14ac:dyDescent="0.2">
      <c r="A14983" s="4" t="s">
        <v>1</v>
      </c>
      <c r="B14983" s="3" t="str">
        <f>HYPERLINK("https://otsuka-europe-crm.veevavault.com/ui/#object/approved_document__v/V5O000000004028", "LUP - Invitación webinar 13N - nefro")</f>
        <v>LUP - Invitación webinar 13N - nefro</v>
      </c>
      <c r="C14983" s="3" t="str">
        <f>HYPERLINK("https://otsuka-europe-crm.veevavault.com/ui/#object/sent_email__v/VBL00000000F174", "SE-001386573")</f>
        <v>SE-001386573</v>
      </c>
      <c r="D14983" s="1">
        <v>45973.841562499998</v>
      </c>
      <c r="E14983" s="2">
        <v>1</v>
      </c>
      <c r="F14983" s="2">
        <v>5</v>
      </c>
      <c r="G14983" s="2">
        <v>0</v>
      </c>
      <c r="H14983" s="1" t="s">
        <v>0</v>
      </c>
      <c r="I14983" s="2">
        <v>0</v>
      </c>
      <c r="J14983" s="1">
        <v>45971.692025462966</v>
      </c>
    </row>
    <row r="14984" spans="1:10" x14ac:dyDescent="0.2">
      <c r="A14984" s="4" t="s">
        <v>1</v>
      </c>
      <c r="B14984" s="3" t="str">
        <f>HYPERLINK("https://otsuka-europe-crm.veevavault.com/ui/#object/approved_document__v/V5O000000004028", "LUP - Invitación webinar 13N - nefro")</f>
        <v>LUP - Invitación webinar 13N - nefro</v>
      </c>
      <c r="C14984" s="3" t="str">
        <f>HYPERLINK("https://otsuka-europe-crm.veevavault.com/ui/#object/sent_email__v/VBL00000000F175", "SE-001386574")</f>
        <v>SE-001386574</v>
      </c>
      <c r="D14984" s="1">
        <v>45971.70857638889</v>
      </c>
      <c r="E14984" s="2">
        <v>1</v>
      </c>
      <c r="F14984" s="2">
        <v>1</v>
      </c>
      <c r="G14984" s="2">
        <v>0</v>
      </c>
      <c r="H14984" s="1" t="s">
        <v>0</v>
      </c>
      <c r="I14984" s="2">
        <v>0</v>
      </c>
      <c r="J14984" s="1">
        <v>45971.692071759258</v>
      </c>
    </row>
    <row r="14985" spans="1:10" x14ac:dyDescent="0.2">
      <c r="A14985" s="4" t="s">
        <v>1</v>
      </c>
      <c r="B14985" s="3" t="str">
        <f>HYPERLINK("https://otsuka-europe-crm.veevavault.com/ui/#object/approved_document__v/V5O000000004028", "LUP - Invitación webinar 13N - nefro")</f>
        <v>LUP - Invitación webinar 13N - nefro</v>
      </c>
      <c r="C14985" s="3" t="str">
        <f>HYPERLINK("https://otsuka-europe-crm.veevavault.com/ui/#object/sent_email__v/VBL00000000F176", "SE-001386575")</f>
        <v>SE-001386575</v>
      </c>
      <c r="D14985" s="1">
        <v>45971.928310185183</v>
      </c>
      <c r="E14985" s="2">
        <v>1</v>
      </c>
      <c r="F14985" s="2">
        <v>1</v>
      </c>
      <c r="G14985" s="2">
        <v>0</v>
      </c>
      <c r="H14985" s="1" t="s">
        <v>0</v>
      </c>
      <c r="I14985" s="2">
        <v>0</v>
      </c>
      <c r="J14985" s="1">
        <v>45971.692118055558</v>
      </c>
    </row>
    <row r="14986" spans="1:10" x14ac:dyDescent="0.2">
      <c r="A14986" s="4" t="s">
        <v>1</v>
      </c>
      <c r="B14986" s="3" t="str">
        <f>HYPERLINK("https://otsuka-europe-crm.veevavault.com/ui/#object/approved_document__v/V5O000000004028", "LUP - Invitación webinar 13N - nefro")</f>
        <v>LUP - Invitación webinar 13N - nefro</v>
      </c>
      <c r="C14986" s="3" t="str">
        <f>HYPERLINK("https://otsuka-europe-crm.veevavault.com/ui/#object/sent_email__v/VBL00000000F177", "SE-001386576")</f>
        <v>SE-001386576</v>
      </c>
      <c r="D14986" s="1" t="s">
        <v>0</v>
      </c>
      <c r="E14986" s="2">
        <v>0</v>
      </c>
      <c r="F14986" s="2">
        <v>0</v>
      </c>
      <c r="G14986" s="2">
        <v>0</v>
      </c>
      <c r="H14986" s="1" t="s">
        <v>0</v>
      </c>
      <c r="I14986" s="2">
        <v>0</v>
      </c>
      <c r="J14986" s="1">
        <v>45971.692152777781</v>
      </c>
    </row>
    <row r="14987" spans="1:10" x14ac:dyDescent="0.2">
      <c r="A14987" s="4" t="s">
        <v>1</v>
      </c>
      <c r="B14987" s="3" t="str">
        <f>HYPERLINK("https://otsuka-europe-crm.veevavault.com/ui/#object/approved_document__v/V5O000000004028", "LUP - Invitación webinar 13N - nefro")</f>
        <v>LUP - Invitación webinar 13N - nefro</v>
      </c>
      <c r="C14987" s="3" t="str">
        <f>HYPERLINK("https://otsuka-europe-crm.veevavault.com/ui/#object/sent_email__v/VBL00000000F178", "SE-001386577")</f>
        <v>SE-001386577</v>
      </c>
      <c r="D14987" s="1">
        <v>45971.782442129632</v>
      </c>
      <c r="E14987" s="2">
        <v>1</v>
      </c>
      <c r="F14987" s="2">
        <v>1</v>
      </c>
      <c r="G14987" s="2">
        <v>0</v>
      </c>
      <c r="H14987" s="1" t="s">
        <v>0</v>
      </c>
      <c r="I14987" s="2">
        <v>0</v>
      </c>
      <c r="J14987" s="1">
        <v>45971.692187499997</v>
      </c>
    </row>
    <row r="14988" spans="1:10" x14ac:dyDescent="0.2">
      <c r="A14988" s="4" t="s">
        <v>1</v>
      </c>
      <c r="B14988" s="3" t="str">
        <f>HYPERLINK("https://otsuka-europe-crm.veevavault.com/ui/#object/approved_document__v/V5O000000004028", "LUP - Invitación webinar 13N - nefro")</f>
        <v>LUP - Invitación webinar 13N - nefro</v>
      </c>
      <c r="C14988" s="3" t="str">
        <f>HYPERLINK("https://otsuka-europe-crm.veevavault.com/ui/#object/sent_email__v/VBL00000000F179", "SE-001386578")</f>
        <v>SE-001386578</v>
      </c>
      <c r="D14988" s="1" t="s">
        <v>0</v>
      </c>
      <c r="E14988" s="2">
        <v>0</v>
      </c>
      <c r="F14988" s="2">
        <v>0</v>
      </c>
      <c r="G14988" s="2">
        <v>0</v>
      </c>
      <c r="H14988" s="1" t="s">
        <v>0</v>
      </c>
      <c r="I14988" s="2">
        <v>0</v>
      </c>
      <c r="J14988" s="1">
        <v>45971.692233796297</v>
      </c>
    </row>
    <row r="14989" spans="1:10" x14ac:dyDescent="0.2">
      <c r="A14989" s="4" t="s">
        <v>1</v>
      </c>
      <c r="B14989" s="3" t="str">
        <f>HYPERLINK("https://otsuka-europe-crm.veevavault.com/ui/#object/approved_document__v/V5O000000004028", "LUP - Invitación webinar 13N - nefro")</f>
        <v>LUP - Invitación webinar 13N - nefro</v>
      </c>
      <c r="C14989" s="3" t="str">
        <f>HYPERLINK("https://otsuka-europe-crm.veevavault.com/ui/#object/sent_email__v/VBL00000000F180", "SE-001386579")</f>
        <v>SE-001386579</v>
      </c>
      <c r="D14989" s="1">
        <v>45977.449652777781</v>
      </c>
      <c r="E14989" s="2">
        <v>1</v>
      </c>
      <c r="F14989" s="2">
        <v>1</v>
      </c>
      <c r="G14989" s="2">
        <v>0</v>
      </c>
      <c r="H14989" s="1" t="s">
        <v>0</v>
      </c>
      <c r="I14989" s="2">
        <v>0</v>
      </c>
      <c r="J14989" s="1">
        <v>45971.69226851852</v>
      </c>
    </row>
    <row r="14990" spans="1:10" x14ac:dyDescent="0.2">
      <c r="A14990" s="4" t="s">
        <v>1</v>
      </c>
      <c r="B14990" s="3" t="str">
        <f>HYPERLINK("https://otsuka-europe-crm.veevavault.com/ui/#object/approved_document__v/V5O000000004028", "LUP - Invitación webinar 13N - nefro")</f>
        <v>LUP - Invitación webinar 13N - nefro</v>
      </c>
      <c r="C14990" s="3" t="str">
        <f>HYPERLINK("https://otsuka-europe-crm.veevavault.com/ui/#object/sent_email__v/VBL00000000F181", "SE-001386580")</f>
        <v>SE-001386580</v>
      </c>
      <c r="D14990" s="1">
        <v>45984.742384259262</v>
      </c>
      <c r="E14990" s="2">
        <v>1</v>
      </c>
      <c r="F14990" s="2">
        <v>6</v>
      </c>
      <c r="G14990" s="2">
        <v>0</v>
      </c>
      <c r="H14990" s="1" t="s">
        <v>0</v>
      </c>
      <c r="I14990" s="2">
        <v>0</v>
      </c>
      <c r="J14990" s="1">
        <v>45971.692314814813</v>
      </c>
    </row>
    <row r="14991" spans="1:10" x14ac:dyDescent="0.2">
      <c r="A14991" s="4" t="s">
        <v>1</v>
      </c>
      <c r="B14991" s="3" t="str">
        <f>HYPERLINK("https://otsuka-europe-crm.veevavault.com/ui/#object/approved_document__v/V5O000000004028", "LUP - Invitación webinar 13N - nefro")</f>
        <v>LUP - Invitación webinar 13N - nefro</v>
      </c>
      <c r="C14991" s="3" t="str">
        <f>HYPERLINK("https://otsuka-europe-crm.veevavault.com/ui/#object/sent_email__v/VBL00000000F182", "SE-001386581")</f>
        <v>SE-001386581</v>
      </c>
      <c r="D14991" s="1" t="s">
        <v>0</v>
      </c>
      <c r="E14991" s="2">
        <v>0</v>
      </c>
      <c r="F14991" s="2">
        <v>0</v>
      </c>
      <c r="G14991" s="2">
        <v>0</v>
      </c>
      <c r="H14991" s="1" t="s">
        <v>0</v>
      </c>
      <c r="I14991" s="2">
        <v>0</v>
      </c>
      <c r="J14991" s="1">
        <v>45971.692361111112</v>
      </c>
    </row>
    <row r="14992" spans="1:10" x14ac:dyDescent="0.2">
      <c r="A14992" s="4" t="s">
        <v>1</v>
      </c>
      <c r="B14992" s="3" t="str">
        <f>HYPERLINK("https://otsuka-europe-crm.veevavault.com/ui/#object/approved_document__v/V5O000000004028", "LUP - Invitación webinar 13N - nefro")</f>
        <v>LUP - Invitación webinar 13N - nefro</v>
      </c>
      <c r="C14992" s="3" t="str">
        <f>HYPERLINK("https://otsuka-europe-crm.veevavault.com/ui/#object/sent_email__v/VBL00000000F183", "SE-001386582")</f>
        <v>SE-001386582</v>
      </c>
      <c r="D14992" s="1" t="s">
        <v>0</v>
      </c>
      <c r="E14992" s="2">
        <v>0</v>
      </c>
      <c r="F14992" s="2">
        <v>0</v>
      </c>
      <c r="G14992" s="2">
        <v>0</v>
      </c>
      <c r="H14992" s="1" t="s">
        <v>0</v>
      </c>
      <c r="I14992" s="2">
        <v>0</v>
      </c>
      <c r="J14992" s="1">
        <v>45971.692407407405</v>
      </c>
    </row>
    <row r="14993" spans="1:10" x14ac:dyDescent="0.2">
      <c r="A14993" s="4" t="s">
        <v>1</v>
      </c>
      <c r="B14993" s="3" t="str">
        <f>HYPERLINK("https://otsuka-europe-crm.veevavault.com/ui/#object/approved_document__v/V5O000000004028", "LUP - Invitación webinar 13N - nefro")</f>
        <v>LUP - Invitación webinar 13N - nefro</v>
      </c>
      <c r="C14993" s="3" t="str">
        <f>HYPERLINK("https://otsuka-europe-crm.veevavault.com/ui/#object/sent_email__v/VBL00000000F184", "SE-001386583")</f>
        <v>SE-001386583</v>
      </c>
      <c r="D14993" s="1">
        <v>45987.285000000003</v>
      </c>
      <c r="E14993" s="2">
        <v>1</v>
      </c>
      <c r="F14993" s="2">
        <v>3</v>
      </c>
      <c r="G14993" s="2">
        <v>0</v>
      </c>
      <c r="H14993" s="1" t="s">
        <v>0</v>
      </c>
      <c r="I14993" s="2">
        <v>0</v>
      </c>
      <c r="J14993" s="1">
        <v>45971.692442129628</v>
      </c>
    </row>
    <row r="14994" spans="1:10" x14ac:dyDescent="0.2">
      <c r="A14994" s="4" t="s">
        <v>1</v>
      </c>
      <c r="B14994" s="3" t="str">
        <f>HYPERLINK("https://otsuka-europe-crm.veevavault.com/ui/#object/approved_document__v/V5O000000004028", "LUP - Invitación webinar 13N - nefro")</f>
        <v>LUP - Invitación webinar 13N - nefro</v>
      </c>
      <c r="C14994" s="3" t="str">
        <f>HYPERLINK("https://otsuka-europe-crm.veevavault.com/ui/#object/sent_email__v/VBL00000000F185", "SE-001386584")</f>
        <v>SE-001386584</v>
      </c>
      <c r="D14994" s="1">
        <v>45971.843333333331</v>
      </c>
      <c r="E14994" s="2">
        <v>1</v>
      </c>
      <c r="F14994" s="2">
        <v>1</v>
      </c>
      <c r="G14994" s="2">
        <v>1</v>
      </c>
      <c r="H14994" s="1">
        <v>45971.843333333331</v>
      </c>
      <c r="I14994" s="2">
        <v>1</v>
      </c>
      <c r="J14994" s="1">
        <v>45971.692476851851</v>
      </c>
    </row>
    <row r="14995" spans="1:10" x14ac:dyDescent="0.2">
      <c r="A14995" s="4" t="s">
        <v>1</v>
      </c>
      <c r="B14995" s="3" t="str">
        <f>HYPERLINK("https://otsuka-europe-crm.veevavault.com/ui/#object/approved_document__v/V5O000000004028", "LUP - Invitación webinar 13N - nefro")</f>
        <v>LUP - Invitación webinar 13N - nefro</v>
      </c>
      <c r="C14995" s="3" t="str">
        <f>HYPERLINK("https://otsuka-europe-crm.veevavault.com/ui/#object/sent_email__v/VBL00000000F186", "SE-001386585")</f>
        <v>SE-001386585</v>
      </c>
      <c r="D14995" s="1" t="s">
        <v>0</v>
      </c>
      <c r="E14995" s="2">
        <v>0</v>
      </c>
      <c r="F14995" s="2">
        <v>0</v>
      </c>
      <c r="G14995" s="2">
        <v>0</v>
      </c>
      <c r="H14995" s="1" t="s">
        <v>0</v>
      </c>
      <c r="I14995" s="2">
        <v>0</v>
      </c>
      <c r="J14995" s="1">
        <v>45971.692523148151</v>
      </c>
    </row>
    <row r="14996" spans="1:10" x14ac:dyDescent="0.2">
      <c r="A14996" s="4" t="s">
        <v>1</v>
      </c>
      <c r="B14996" s="3" t="str">
        <f>HYPERLINK("https://otsuka-europe-crm.veevavault.com/ui/#object/approved_document__v/V5O000000004028", "LUP - Invitación webinar 13N - nefro")</f>
        <v>LUP - Invitación webinar 13N - nefro</v>
      </c>
      <c r="C14996" s="3" t="str">
        <f>HYPERLINK("https://otsuka-europe-crm.veevavault.com/ui/#object/sent_email__v/VBL00000000F187", "SE-001386586")</f>
        <v>SE-001386586</v>
      </c>
      <c r="D14996" s="1" t="s">
        <v>0</v>
      </c>
      <c r="E14996" s="2">
        <v>0</v>
      </c>
      <c r="F14996" s="2">
        <v>0</v>
      </c>
      <c r="G14996" s="2">
        <v>0</v>
      </c>
      <c r="H14996" s="1" t="s">
        <v>0</v>
      </c>
      <c r="I14996" s="2">
        <v>0</v>
      </c>
      <c r="J14996" s="1">
        <v>45971.692557870374</v>
      </c>
    </row>
    <row r="14997" spans="1:10" x14ac:dyDescent="0.2">
      <c r="A14997" s="4" t="s">
        <v>1</v>
      </c>
      <c r="B14997" s="3" t="str">
        <f>HYPERLINK("https://otsuka-europe-crm.veevavault.com/ui/#object/approved_document__v/V5O000000004028", "LUP - Invitación webinar 13N - nefro")</f>
        <v>LUP - Invitación webinar 13N - nefro</v>
      </c>
      <c r="C14997" s="3" t="str">
        <f>HYPERLINK("https://otsuka-europe-crm.veevavault.com/ui/#object/sent_email__v/VBL00000000F188", "SE-001386587")</f>
        <v>SE-001386587</v>
      </c>
      <c r="D14997" s="1">
        <v>45972.894293981481</v>
      </c>
      <c r="E14997" s="2">
        <v>1</v>
      </c>
      <c r="F14997" s="2">
        <v>1</v>
      </c>
      <c r="G14997" s="2">
        <v>0</v>
      </c>
      <c r="H14997" s="1" t="s">
        <v>0</v>
      </c>
      <c r="I14997" s="2">
        <v>0</v>
      </c>
      <c r="J14997" s="1">
        <v>45971.692615740743</v>
      </c>
    </row>
    <row r="14998" spans="1:10" x14ac:dyDescent="0.2">
      <c r="A14998" s="4" t="s">
        <v>1</v>
      </c>
      <c r="B14998" s="3" t="str">
        <f>HYPERLINK("https://otsuka-europe-crm.veevavault.com/ui/#object/approved_document__v/V5O000000004028", "LUP - Invitación webinar 13N - nefro")</f>
        <v>LUP - Invitación webinar 13N - nefro</v>
      </c>
      <c r="C14998" s="3" t="str">
        <f>HYPERLINK("https://otsuka-europe-crm.veevavault.com/ui/#object/sent_email__v/VBL00000000F189", "SE-001386588")</f>
        <v>SE-001386588</v>
      </c>
      <c r="D14998" s="1">
        <v>45971.892974537041</v>
      </c>
      <c r="E14998" s="2">
        <v>1</v>
      </c>
      <c r="F14998" s="2">
        <v>2</v>
      </c>
      <c r="G14998" s="2">
        <v>0</v>
      </c>
      <c r="H14998" s="1" t="s">
        <v>0</v>
      </c>
      <c r="I14998" s="2">
        <v>0</v>
      </c>
      <c r="J14998" s="1">
        <v>45971.69263888889</v>
      </c>
    </row>
    <row r="14999" spans="1:10" x14ac:dyDescent="0.2">
      <c r="A14999" s="4" t="s">
        <v>1</v>
      </c>
      <c r="B14999" s="3" t="str">
        <f>HYPERLINK("https://otsuka-europe-crm.veevavault.com/ui/#object/approved_document__v/V5O000000004028", "LUP - Invitación webinar 13N - nefro")</f>
        <v>LUP - Invitación webinar 13N - nefro</v>
      </c>
      <c r="C14999" s="3" t="str">
        <f>HYPERLINK("https://otsuka-europe-crm.veevavault.com/ui/#object/sent_email__v/VBL00000000F190", "SE-001386589")</f>
        <v>SE-001386589</v>
      </c>
      <c r="D14999" s="1">
        <v>45973.800995370373</v>
      </c>
      <c r="E14999" s="2">
        <v>1</v>
      </c>
      <c r="F14999" s="2">
        <v>1</v>
      </c>
      <c r="G14999" s="2">
        <v>0</v>
      </c>
      <c r="H14999" s="1" t="s">
        <v>0</v>
      </c>
      <c r="I14999" s="2">
        <v>0</v>
      </c>
      <c r="J14999" s="1">
        <v>45971.692685185182</v>
      </c>
    </row>
    <row r="15000" spans="1:10" x14ac:dyDescent="0.2">
      <c r="A15000" s="4" t="s">
        <v>1</v>
      </c>
      <c r="B15000" s="3" t="str">
        <f>HYPERLINK("https://otsuka-europe-crm.veevavault.com/ui/#object/approved_document__v/V5O000000004028", "LUP - Invitación webinar 13N - nefro")</f>
        <v>LUP - Invitación webinar 13N - nefro</v>
      </c>
      <c r="C15000" s="3" t="str">
        <f>HYPERLINK("https://otsuka-europe-crm.veevavault.com/ui/#object/sent_email__v/VBL00000000F191", "SE-001386590")</f>
        <v>SE-001386590</v>
      </c>
      <c r="D15000" s="1">
        <v>45971.693553240744</v>
      </c>
      <c r="E15000" s="2">
        <v>1</v>
      </c>
      <c r="F15000" s="2">
        <v>1</v>
      </c>
      <c r="G15000" s="2">
        <v>0</v>
      </c>
      <c r="H15000" s="1" t="s">
        <v>0</v>
      </c>
      <c r="I15000" s="2">
        <v>0</v>
      </c>
      <c r="J15000" s="1">
        <v>45971.692719907405</v>
      </c>
    </row>
    <row r="15001" spans="1:10" x14ac:dyDescent="0.2">
      <c r="A15001" s="4" t="s">
        <v>1</v>
      </c>
      <c r="B15001" s="3" t="str">
        <f>HYPERLINK("https://otsuka-europe-crm.veevavault.com/ui/#object/approved_document__v/V5O000000004028", "LUP - Invitación webinar 13N - nefro")</f>
        <v>LUP - Invitación webinar 13N - nefro</v>
      </c>
      <c r="C15001" s="3" t="str">
        <f>HYPERLINK("https://otsuka-europe-crm.veevavault.com/ui/#object/sent_email__v/VBL00000000F192", "SE-001386591")</f>
        <v>SE-001386591</v>
      </c>
      <c r="D15001" s="1">
        <v>45974.453564814816</v>
      </c>
      <c r="E15001" s="2">
        <v>1</v>
      </c>
      <c r="F15001" s="2">
        <v>3</v>
      </c>
      <c r="G15001" s="2">
        <v>0</v>
      </c>
      <c r="H15001" s="1" t="s">
        <v>0</v>
      </c>
      <c r="I15001" s="2">
        <v>0</v>
      </c>
      <c r="J15001" s="1">
        <v>45971.692754629628</v>
      </c>
    </row>
    <row r="15002" spans="1:10" x14ac:dyDescent="0.2">
      <c r="A15002" s="4" t="s">
        <v>1</v>
      </c>
      <c r="B15002" s="3" t="str">
        <f>HYPERLINK("https://otsuka-europe-crm.veevavault.com/ui/#object/approved_document__v/V5O000000004028", "LUP - Invitación webinar 13N - nefro")</f>
        <v>LUP - Invitación webinar 13N - nefro</v>
      </c>
      <c r="C15002" s="3" t="str">
        <f>HYPERLINK("https://otsuka-europe-crm.veevavault.com/ui/#object/sent_email__v/VBL00000000F193", "SE-001386592")</f>
        <v>SE-001386592</v>
      </c>
      <c r="D15002" s="1">
        <v>45971.706550925926</v>
      </c>
      <c r="E15002" s="2">
        <v>1</v>
      </c>
      <c r="F15002" s="2">
        <v>1</v>
      </c>
      <c r="G15002" s="2">
        <v>0</v>
      </c>
      <c r="H15002" s="1" t="s">
        <v>0</v>
      </c>
      <c r="I15002" s="2">
        <v>0</v>
      </c>
      <c r="J15002" s="1">
        <v>45971.692800925928</v>
      </c>
    </row>
    <row r="15003" spans="1:10" x14ac:dyDescent="0.2">
      <c r="A15003" s="4" t="s">
        <v>1</v>
      </c>
      <c r="B15003" s="3" t="str">
        <f>HYPERLINK("https://otsuka-europe-crm.veevavault.com/ui/#object/approved_document__v/V5O000000004028", "LUP - Invitación webinar 13N - nefro")</f>
        <v>LUP - Invitación webinar 13N - nefro</v>
      </c>
      <c r="C15003" s="3" t="str">
        <f>HYPERLINK("https://otsuka-europe-crm.veevavault.com/ui/#object/sent_email__v/VBL00000000F194", "SE-001386593")</f>
        <v>SE-001386593</v>
      </c>
      <c r="D15003" s="1">
        <v>45981.996539351851</v>
      </c>
      <c r="E15003" s="2">
        <v>1</v>
      </c>
      <c r="F15003" s="2">
        <v>6</v>
      </c>
      <c r="G15003" s="2">
        <v>0</v>
      </c>
      <c r="H15003" s="1" t="s">
        <v>0</v>
      </c>
      <c r="I15003" s="2">
        <v>0</v>
      </c>
      <c r="J15003" s="1">
        <v>45971.692835648151</v>
      </c>
    </row>
    <row r="15004" spans="1:10" x14ac:dyDescent="0.2">
      <c r="A15004" s="4" t="s">
        <v>1</v>
      </c>
      <c r="B15004" s="3" t="str">
        <f>HYPERLINK("https://otsuka-europe-crm.veevavault.com/ui/#object/approved_document__v/V5O000000004028", "LUP - Invitación webinar 13N - nefro")</f>
        <v>LUP - Invitación webinar 13N - nefro</v>
      </c>
      <c r="C15004" s="3" t="str">
        <f>HYPERLINK("https://otsuka-europe-crm.veevavault.com/ui/#object/sent_email__v/VBL00000000F195", "SE-001386594")</f>
        <v>SE-001386594</v>
      </c>
      <c r="D15004" s="1" t="s">
        <v>0</v>
      </c>
      <c r="E15004" s="2">
        <v>0</v>
      </c>
      <c r="F15004" s="2">
        <v>0</v>
      </c>
      <c r="G15004" s="2">
        <v>0</v>
      </c>
      <c r="H15004" s="1" t="s">
        <v>0</v>
      </c>
      <c r="I15004" s="2">
        <v>0</v>
      </c>
      <c r="J15004" s="1">
        <v>45971.692881944444</v>
      </c>
    </row>
    <row r="15005" spans="1:10" x14ac:dyDescent="0.2">
      <c r="A15005" s="4" t="s">
        <v>1</v>
      </c>
      <c r="B15005" s="3" t="str">
        <f>HYPERLINK("https://otsuka-europe-crm.veevavault.com/ui/#object/approved_document__v/V5O000000004028", "LUP - Invitación webinar 13N - nefro")</f>
        <v>LUP - Invitación webinar 13N - nefro</v>
      </c>
      <c r="C15005" s="3" t="str">
        <f>HYPERLINK("https://otsuka-europe-crm.veevavault.com/ui/#object/sent_email__v/VBL00000000F196", "SE-001386595")</f>
        <v>SE-001386595</v>
      </c>
      <c r="D15005" s="1" t="s">
        <v>0</v>
      </c>
      <c r="E15005" s="2">
        <v>0</v>
      </c>
      <c r="F15005" s="2">
        <v>0</v>
      </c>
      <c r="G15005" s="2">
        <v>0</v>
      </c>
      <c r="H15005" s="1" t="s">
        <v>0</v>
      </c>
      <c r="I15005" s="2">
        <v>0</v>
      </c>
      <c r="J15005" s="1">
        <v>45971.692928240744</v>
      </c>
    </row>
    <row r="15006" spans="1:10" x14ac:dyDescent="0.2">
      <c r="A15006" s="4" t="s">
        <v>1</v>
      </c>
      <c r="B15006" s="3" t="str">
        <f>HYPERLINK("https://otsuka-europe-crm.veevavault.com/ui/#object/approved_document__v/V5O000000004028", "LUP - Invitación webinar 13N - nefro")</f>
        <v>LUP - Invitación webinar 13N - nefro</v>
      </c>
      <c r="C15006" s="3" t="str">
        <f>HYPERLINK("https://otsuka-europe-crm.veevavault.com/ui/#object/sent_email__v/VBL00000000F197", "SE-001386596")</f>
        <v>SE-001386596</v>
      </c>
      <c r="D15006" s="1">
        <v>45972.435543981483</v>
      </c>
      <c r="E15006" s="2">
        <v>1</v>
      </c>
      <c r="F15006" s="2">
        <v>1</v>
      </c>
      <c r="G15006" s="2">
        <v>1</v>
      </c>
      <c r="H15006" s="1">
        <v>45972.435543981483</v>
      </c>
      <c r="I15006" s="2">
        <v>1</v>
      </c>
      <c r="J15006" s="1">
        <v>45971.692962962959</v>
      </c>
    </row>
    <row r="15007" spans="1:10" x14ac:dyDescent="0.2">
      <c r="A15007" s="4" t="s">
        <v>1</v>
      </c>
      <c r="B15007" s="3" t="str">
        <f>HYPERLINK("https://otsuka-europe-crm.veevavault.com/ui/#object/approved_document__v/V5O000000004028", "LUP - Invitación webinar 13N - nefro")</f>
        <v>LUP - Invitación webinar 13N - nefro</v>
      </c>
      <c r="C15007" s="3" t="str">
        <f>HYPERLINK("https://otsuka-europe-crm.veevavault.com/ui/#object/sent_email__v/VBL00000000F198", "SE-001386597")</f>
        <v>SE-001386597</v>
      </c>
      <c r="D15007" s="1">
        <v>45980.732430555552</v>
      </c>
      <c r="E15007" s="2">
        <v>1</v>
      </c>
      <c r="F15007" s="2">
        <v>2</v>
      </c>
      <c r="G15007" s="2">
        <v>0</v>
      </c>
      <c r="H15007" s="1" t="s">
        <v>0</v>
      </c>
      <c r="I15007" s="2">
        <v>0</v>
      </c>
      <c r="J15007" s="1">
        <v>45971.693009259259</v>
      </c>
    </row>
    <row r="15008" spans="1:10" x14ac:dyDescent="0.2">
      <c r="A15008" s="4" t="s">
        <v>1</v>
      </c>
      <c r="B15008" s="3" t="str">
        <f>HYPERLINK("https://otsuka-europe-crm.veevavault.com/ui/#object/approved_document__v/V5O000000004028", "LUP - Invitación webinar 13N - nefro")</f>
        <v>LUP - Invitación webinar 13N - nefro</v>
      </c>
      <c r="C15008" s="3" t="str">
        <f>HYPERLINK("https://otsuka-europe-crm.veevavault.com/ui/#object/sent_email__v/VBL00000000F199", "SE-001386598")</f>
        <v>SE-001386598</v>
      </c>
      <c r="D15008" s="1">
        <v>45976.694421296299</v>
      </c>
      <c r="E15008" s="2">
        <v>1</v>
      </c>
      <c r="F15008" s="2">
        <v>1</v>
      </c>
      <c r="G15008" s="2">
        <v>0</v>
      </c>
      <c r="H15008" s="1" t="s">
        <v>0</v>
      </c>
      <c r="I15008" s="2">
        <v>0</v>
      </c>
      <c r="J15008" s="1">
        <v>45971.693043981482</v>
      </c>
    </row>
    <row r="15009" spans="1:10" x14ac:dyDescent="0.2">
      <c r="A15009" s="4" t="s">
        <v>1</v>
      </c>
      <c r="B15009" s="3" t="str">
        <f>HYPERLINK("https://otsuka-europe-crm.veevavault.com/ui/#object/approved_document__v/V5O000000004028", "LUP - Invitación webinar 13N - nefro")</f>
        <v>LUP - Invitación webinar 13N - nefro</v>
      </c>
      <c r="C15009" s="3" t="str">
        <f>HYPERLINK("https://otsuka-europe-crm.veevavault.com/ui/#object/sent_email__v/VBL00000000F200", "SE-001386599")</f>
        <v>SE-001386599</v>
      </c>
      <c r="D15009" s="1" t="s">
        <v>0</v>
      </c>
      <c r="E15009" s="2">
        <v>0</v>
      </c>
      <c r="F15009" s="2">
        <v>0</v>
      </c>
      <c r="G15009" s="2">
        <v>0</v>
      </c>
      <c r="H15009" s="1" t="s">
        <v>0</v>
      </c>
      <c r="I15009" s="2">
        <v>0</v>
      </c>
      <c r="J15009" s="1">
        <v>45971.693090277775</v>
      </c>
    </row>
    <row r="15010" spans="1:10" x14ac:dyDescent="0.2">
      <c r="A15010" s="4" t="s">
        <v>1</v>
      </c>
      <c r="B15010" s="3" t="str">
        <f>HYPERLINK("https://otsuka-europe-crm.veevavault.com/ui/#object/approved_document__v/V5O000000004028", "LUP - Invitación webinar 13N - nefro")</f>
        <v>LUP - Invitación webinar 13N - nefro</v>
      </c>
      <c r="C15010" s="3" t="str">
        <f>HYPERLINK("https://otsuka-europe-crm.veevavault.com/ui/#object/sent_email__v/VBL00000000F201", "SE-001386600")</f>
        <v>SE-001386600</v>
      </c>
      <c r="D15010" s="1">
        <v>45971.827476851853</v>
      </c>
      <c r="E15010" s="2">
        <v>1</v>
      </c>
      <c r="F15010" s="2">
        <v>1</v>
      </c>
      <c r="G15010" s="2">
        <v>0</v>
      </c>
      <c r="H15010" s="1" t="s">
        <v>0</v>
      </c>
      <c r="I15010" s="2">
        <v>0</v>
      </c>
      <c r="J15010" s="1">
        <v>45971.693136574075</v>
      </c>
    </row>
    <row r="15011" spans="1:10" x14ac:dyDescent="0.2">
      <c r="A15011" s="4" t="s">
        <v>1</v>
      </c>
      <c r="B15011" s="3" t="str">
        <f>HYPERLINK("https://otsuka-europe-crm.veevavault.com/ui/#object/approved_document__v/V5O000000004028", "LUP - Invitación webinar 13N - nefro")</f>
        <v>LUP - Invitación webinar 13N - nefro</v>
      </c>
      <c r="C15011" s="3" t="str">
        <f>HYPERLINK("https://otsuka-europe-crm.veevavault.com/ui/#object/sent_email__v/VBL00000000F202", "SE-001386601")</f>
        <v>SE-001386601</v>
      </c>
      <c r="D15011" s="1">
        <v>45972.296689814815</v>
      </c>
      <c r="E15011" s="2">
        <v>1</v>
      </c>
      <c r="F15011" s="2">
        <v>2</v>
      </c>
      <c r="G15011" s="2">
        <v>0</v>
      </c>
      <c r="H15011" s="1" t="s">
        <v>0</v>
      </c>
      <c r="I15011" s="2">
        <v>0</v>
      </c>
      <c r="J15011" s="1">
        <v>45971.693182870367</v>
      </c>
    </row>
    <row r="15012" spans="1:10" x14ac:dyDescent="0.2">
      <c r="A15012" s="4" t="s">
        <v>1</v>
      </c>
      <c r="B15012" s="3" t="str">
        <f>HYPERLINK("https://otsuka-europe-crm.veevavault.com/ui/#object/approved_document__v/V5O000000004028", "LUP - Invitación webinar 13N - nefro")</f>
        <v>LUP - Invitación webinar 13N - nefro</v>
      </c>
      <c r="C15012" s="3" t="str">
        <f>HYPERLINK("https://otsuka-europe-crm.veevavault.com/ui/#object/sent_email__v/VBL00000000F203", "SE-001386602")</f>
        <v>SE-001386602</v>
      </c>
      <c r="D15012" s="1">
        <v>45971.941354166665</v>
      </c>
      <c r="E15012" s="2">
        <v>1</v>
      </c>
      <c r="F15012" s="2">
        <v>1</v>
      </c>
      <c r="G15012" s="2">
        <v>0</v>
      </c>
      <c r="H15012" s="1" t="s">
        <v>0</v>
      </c>
      <c r="I15012" s="2">
        <v>0</v>
      </c>
      <c r="J15012" s="1">
        <v>45971.693229166667</v>
      </c>
    </row>
    <row r="15013" spans="1:10" x14ac:dyDescent="0.2">
      <c r="A15013" s="4" t="s">
        <v>1</v>
      </c>
      <c r="B15013" s="3" t="str">
        <f>HYPERLINK("https://otsuka-europe-crm.veevavault.com/ui/#object/approved_document__v/V5O000000004028", "LUP - Invitación webinar 13N - nefro")</f>
        <v>LUP - Invitación webinar 13N - nefro</v>
      </c>
      <c r="C15013" s="3" t="str">
        <f>HYPERLINK("https://otsuka-europe-crm.veevavault.com/ui/#object/sent_email__v/VBL00000000F204", "SE-001386603")</f>
        <v>SE-001386603</v>
      </c>
      <c r="D15013" s="1">
        <v>45971.816180555557</v>
      </c>
      <c r="E15013" s="2">
        <v>1</v>
      </c>
      <c r="F15013" s="2">
        <v>1</v>
      </c>
      <c r="G15013" s="2">
        <v>0</v>
      </c>
      <c r="H15013" s="1" t="s">
        <v>0</v>
      </c>
      <c r="I15013" s="2">
        <v>0</v>
      </c>
      <c r="J15013" s="1">
        <v>45971.693252314813</v>
      </c>
    </row>
    <row r="15014" spans="1:10" x14ac:dyDescent="0.2">
      <c r="A15014" s="4" t="s">
        <v>1</v>
      </c>
      <c r="B15014" s="3" t="str">
        <f>HYPERLINK("https://otsuka-europe-crm.veevavault.com/ui/#object/approved_document__v/V5O000000004028", "LUP - Invitación webinar 13N - nefro")</f>
        <v>LUP - Invitación webinar 13N - nefro</v>
      </c>
      <c r="C15014" s="3" t="str">
        <f>HYPERLINK("https://otsuka-europe-crm.veevavault.com/ui/#object/sent_email__v/VBL00000000F205", "SE-001386604")</f>
        <v>SE-001386604</v>
      </c>
      <c r="D15014" s="1" t="s">
        <v>0</v>
      </c>
      <c r="E15014" s="2">
        <v>0</v>
      </c>
      <c r="F15014" s="2">
        <v>0</v>
      </c>
      <c r="G15014" s="2">
        <v>0</v>
      </c>
      <c r="H15014" s="1" t="s">
        <v>0</v>
      </c>
      <c r="I15014" s="2">
        <v>0</v>
      </c>
      <c r="J15014" s="1">
        <v>45971.693310185183</v>
      </c>
    </row>
    <row r="15015" spans="1:10" x14ac:dyDescent="0.2">
      <c r="A15015" s="4" t="s">
        <v>1</v>
      </c>
      <c r="B15015" s="3" t="str">
        <f>HYPERLINK("https://otsuka-europe-crm.veevavault.com/ui/#object/approved_document__v/V5O000000004028", "LUP - Invitación webinar 13N - nefro")</f>
        <v>LUP - Invitación webinar 13N - nefro</v>
      </c>
      <c r="C15015" s="3" t="str">
        <f>HYPERLINK("https://otsuka-europe-crm.veevavault.com/ui/#object/sent_email__v/VBL00000000F206", "SE-001386605")</f>
        <v>SE-001386605</v>
      </c>
      <c r="D15015" s="1">
        <v>45971.699641203704</v>
      </c>
      <c r="E15015" s="2">
        <v>1</v>
      </c>
      <c r="F15015" s="2">
        <v>1</v>
      </c>
      <c r="G15015" s="2">
        <v>0</v>
      </c>
      <c r="H15015" s="1" t="s">
        <v>0</v>
      </c>
      <c r="I15015" s="2">
        <v>0</v>
      </c>
      <c r="J15015" s="1">
        <v>45971.693344907406</v>
      </c>
    </row>
    <row r="15016" spans="1:10" x14ac:dyDescent="0.2">
      <c r="A15016" s="4" t="s">
        <v>1</v>
      </c>
      <c r="B15016" s="3" t="str">
        <f>HYPERLINK("https://otsuka-europe-crm.veevavault.com/ui/#object/approved_document__v/V5O000000004028", "LUP - Invitación webinar 13N - nefro")</f>
        <v>LUP - Invitación webinar 13N - nefro</v>
      </c>
      <c r="C15016" s="3" t="str">
        <f>HYPERLINK("https://otsuka-europe-crm.veevavault.com/ui/#object/sent_email__v/VBL00000000F207", "SE-001386606")</f>
        <v>SE-001386606</v>
      </c>
      <c r="D15016" s="1">
        <v>45979.593287037038</v>
      </c>
      <c r="E15016" s="2">
        <v>1</v>
      </c>
      <c r="F15016" s="2">
        <v>1</v>
      </c>
      <c r="G15016" s="2">
        <v>0</v>
      </c>
      <c r="H15016" s="1" t="s">
        <v>0</v>
      </c>
      <c r="I15016" s="2">
        <v>0</v>
      </c>
      <c r="J15016" s="1">
        <v>45971.693402777775</v>
      </c>
    </row>
    <row r="15017" spans="1:10" x14ac:dyDescent="0.2">
      <c r="A15017" s="4" t="s">
        <v>1</v>
      </c>
      <c r="B15017" s="3" t="str">
        <f>HYPERLINK("https://otsuka-europe-crm.veevavault.com/ui/#object/approved_document__v/V5O000000004028", "LUP - Invitación webinar 13N - nefro")</f>
        <v>LUP - Invitación webinar 13N - nefro</v>
      </c>
      <c r="C15017" s="3" t="str">
        <f>HYPERLINK("https://otsuka-europe-crm.veevavault.com/ui/#object/sent_email__v/VBL00000000F208", "SE-001386607")</f>
        <v>SE-001386607</v>
      </c>
      <c r="D15017" s="1">
        <v>45972.66207175926</v>
      </c>
      <c r="E15017" s="2">
        <v>1</v>
      </c>
      <c r="F15017" s="2">
        <v>1</v>
      </c>
      <c r="G15017" s="2">
        <v>0</v>
      </c>
      <c r="H15017" s="1" t="s">
        <v>0</v>
      </c>
      <c r="I15017" s="2">
        <v>0</v>
      </c>
      <c r="J15017" s="1">
        <v>45971.693425925929</v>
      </c>
    </row>
    <row r="15018" spans="1:10" x14ac:dyDescent="0.2">
      <c r="A15018" s="4" t="s">
        <v>1</v>
      </c>
      <c r="B15018" s="3" t="str">
        <f>HYPERLINK("https://otsuka-europe-crm.veevavault.com/ui/#object/approved_document__v/V5O000000004028", "LUP - Invitación webinar 13N - nefro")</f>
        <v>LUP - Invitación webinar 13N - nefro</v>
      </c>
      <c r="C15018" s="3" t="str">
        <f>HYPERLINK("https://otsuka-europe-crm.veevavault.com/ui/#object/sent_email__v/VBL00000000F209", "SE-001386608")</f>
        <v>SE-001386608</v>
      </c>
      <c r="D15018" s="1">
        <v>45971.908750000002</v>
      </c>
      <c r="E15018" s="2">
        <v>1</v>
      </c>
      <c r="F15018" s="2">
        <v>1</v>
      </c>
      <c r="G15018" s="2">
        <v>0</v>
      </c>
      <c r="H15018" s="1" t="s">
        <v>0</v>
      </c>
      <c r="I15018" s="2">
        <v>0</v>
      </c>
      <c r="J15018" s="1">
        <v>45971.693472222221</v>
      </c>
    </row>
    <row r="15019" spans="1:10" x14ac:dyDescent="0.2">
      <c r="A15019" s="4" t="s">
        <v>1</v>
      </c>
      <c r="B15019" s="3" t="str">
        <f>HYPERLINK("https://otsuka-europe-crm.veevavault.com/ui/#object/approved_document__v/V5O000000004028", "LUP - Invitación webinar 13N - nefro")</f>
        <v>LUP - Invitación webinar 13N - nefro</v>
      </c>
      <c r="C15019" s="3" t="str">
        <f>HYPERLINK("https://otsuka-europe-crm.veevavault.com/ui/#object/sent_email__v/VBL00000000F210", "SE-001386609")</f>
        <v>SE-001386609</v>
      </c>
      <c r="D15019" s="1">
        <v>45971.693645833337</v>
      </c>
      <c r="E15019" s="2">
        <v>1</v>
      </c>
      <c r="F15019" s="2">
        <v>2</v>
      </c>
      <c r="G15019" s="2">
        <v>1</v>
      </c>
      <c r="H15019" s="1">
        <v>45971.693622685183</v>
      </c>
      <c r="I15019" s="2">
        <v>4</v>
      </c>
      <c r="J15019" s="1">
        <v>45971.693506944444</v>
      </c>
    </row>
    <row r="15020" spans="1:10" x14ac:dyDescent="0.2">
      <c r="A15020" s="4" t="s">
        <v>1</v>
      </c>
      <c r="B15020" s="3" t="str">
        <f>HYPERLINK("https://otsuka-europe-crm.veevavault.com/ui/#object/approved_document__v/V5O000000004028", "LUP - Invitación webinar 13N - nefro")</f>
        <v>LUP - Invitación webinar 13N - nefro</v>
      </c>
      <c r="C15020" s="3" t="str">
        <f>HYPERLINK("https://otsuka-europe-crm.veevavault.com/ui/#object/sent_email__v/VBL00000000F211", "SE-001386610")</f>
        <v>SE-001386610</v>
      </c>
      <c r="D15020" s="1">
        <v>46022.544444444444</v>
      </c>
      <c r="E15020" s="2">
        <v>1</v>
      </c>
      <c r="F15020" s="2">
        <v>13</v>
      </c>
      <c r="G15020" s="2">
        <v>0</v>
      </c>
      <c r="H15020" s="1" t="s">
        <v>0</v>
      </c>
      <c r="I15020" s="2">
        <v>0</v>
      </c>
      <c r="J15020" s="1">
        <v>45971.693553240744</v>
      </c>
    </row>
    <row r="15021" spans="1:10" x14ac:dyDescent="0.2">
      <c r="A15021" s="4" t="s">
        <v>1</v>
      </c>
      <c r="B15021" s="3" t="str">
        <f>HYPERLINK("https://otsuka-europe-crm.veevavault.com/ui/#object/approved_document__v/V5O000000004028", "LUP - Invitación webinar 13N - nefro")</f>
        <v>LUP - Invitación webinar 13N - nefro</v>
      </c>
      <c r="C15021" s="3" t="str">
        <f>HYPERLINK("https://otsuka-europe-crm.veevavault.com/ui/#object/sent_email__v/VBL00000000F212", "SE-001386611")</f>
        <v>SE-001386611</v>
      </c>
      <c r="D15021" s="1" t="s">
        <v>0</v>
      </c>
      <c r="E15021" s="2">
        <v>0</v>
      </c>
      <c r="F15021" s="2">
        <v>0</v>
      </c>
      <c r="G15021" s="2">
        <v>0</v>
      </c>
      <c r="H15021" s="1" t="s">
        <v>0</v>
      </c>
      <c r="I15021" s="2">
        <v>0</v>
      </c>
      <c r="J15021" s="1">
        <v>45971.693599537037</v>
      </c>
    </row>
    <row r="15022" spans="1:10" x14ac:dyDescent="0.2">
      <c r="A15022" s="4" t="s">
        <v>1</v>
      </c>
      <c r="B15022" s="3" t="str">
        <f>HYPERLINK("https://otsuka-europe-crm.veevavault.com/ui/#object/approved_document__v/V5O000000004028", "LUP - Invitación webinar 13N - nefro")</f>
        <v>LUP - Invitación webinar 13N - nefro</v>
      </c>
      <c r="C15022" s="3" t="str">
        <f>HYPERLINK("https://otsuka-europe-crm.veevavault.com/ui/#object/sent_email__v/VBL00000000F213", "SE-001386612")</f>
        <v>SE-001386612</v>
      </c>
      <c r="D15022" s="1" t="s">
        <v>0</v>
      </c>
      <c r="E15022" s="2">
        <v>0</v>
      </c>
      <c r="F15022" s="2">
        <v>0</v>
      </c>
      <c r="G15022" s="2">
        <v>0</v>
      </c>
      <c r="H15022" s="1" t="s">
        <v>0</v>
      </c>
      <c r="I15022" s="2">
        <v>0</v>
      </c>
      <c r="J15022" s="1">
        <v>45971.69363425926</v>
      </c>
    </row>
    <row r="15023" spans="1:10" x14ac:dyDescent="0.2">
      <c r="A15023" s="4" t="s">
        <v>1</v>
      </c>
      <c r="B15023" s="3" t="str">
        <f>HYPERLINK("https://otsuka-europe-crm.veevavault.com/ui/#object/approved_document__v/V5O000000004028", "LUP - Invitación webinar 13N - nefro")</f>
        <v>LUP - Invitación webinar 13N - nefro</v>
      </c>
      <c r="C15023" s="3" t="str">
        <f>HYPERLINK("https://otsuka-europe-crm.veevavault.com/ui/#object/sent_email__v/VBL00000000F214", "SE-001386613")</f>
        <v>SE-001386613</v>
      </c>
      <c r="D15023" s="1" t="s">
        <v>0</v>
      </c>
      <c r="E15023" s="2">
        <v>0</v>
      </c>
      <c r="F15023" s="2">
        <v>0</v>
      </c>
      <c r="G15023" s="2">
        <v>0</v>
      </c>
      <c r="H15023" s="1" t="s">
        <v>0</v>
      </c>
      <c r="I15023" s="2">
        <v>0</v>
      </c>
      <c r="J15023" s="1">
        <v>45971.693692129629</v>
      </c>
    </row>
    <row r="15024" spans="1:10" x14ac:dyDescent="0.2">
      <c r="A15024" s="4" t="s">
        <v>1</v>
      </c>
      <c r="B15024" s="3" t="str">
        <f>HYPERLINK("https://otsuka-europe-crm.veevavault.com/ui/#object/approved_document__v/V5O000000004028", "LUP - Invitación webinar 13N - nefro")</f>
        <v>LUP - Invitación webinar 13N - nefro</v>
      </c>
      <c r="C15024" s="3" t="str">
        <f>HYPERLINK("https://otsuka-europe-crm.veevavault.com/ui/#object/sent_email__v/VBL00000000F215", "SE-001386614")</f>
        <v>SE-001386614</v>
      </c>
      <c r="D15024" s="1">
        <v>46009.270787037036</v>
      </c>
      <c r="E15024" s="2">
        <v>1</v>
      </c>
      <c r="F15024" s="2">
        <v>10</v>
      </c>
      <c r="G15024" s="2">
        <v>0</v>
      </c>
      <c r="H15024" s="1" t="s">
        <v>0</v>
      </c>
      <c r="I15024" s="2">
        <v>0</v>
      </c>
      <c r="J15024" s="1">
        <v>45971.693715277775</v>
      </c>
    </row>
    <row r="15025" spans="1:10" x14ac:dyDescent="0.2">
      <c r="A15025" s="4" t="s">
        <v>1</v>
      </c>
      <c r="B15025" s="3" t="str">
        <f>HYPERLINK("https://otsuka-europe-crm.veevavault.com/ui/#object/approved_document__v/V5O000000004028", "LUP - Invitación webinar 13N - nefro")</f>
        <v>LUP - Invitación webinar 13N - nefro</v>
      </c>
      <c r="C15025" s="3" t="str">
        <f>HYPERLINK("https://otsuka-europe-crm.veevavault.com/ui/#object/sent_email__v/VBL00000000F216", "SE-001386615")</f>
        <v>SE-001386615</v>
      </c>
      <c r="D15025" s="1" t="s">
        <v>0</v>
      </c>
      <c r="E15025" s="2">
        <v>0</v>
      </c>
      <c r="F15025" s="2">
        <v>0</v>
      </c>
      <c r="G15025" s="2">
        <v>0</v>
      </c>
      <c r="H15025" s="1" t="s">
        <v>0</v>
      </c>
      <c r="I15025" s="2">
        <v>0</v>
      </c>
      <c r="J15025" s="1">
        <v>45971.693761574075</v>
      </c>
    </row>
    <row r="15026" spans="1:10" x14ac:dyDescent="0.2">
      <c r="A15026" s="4" t="s">
        <v>1</v>
      </c>
      <c r="B15026" s="3" t="str">
        <f>HYPERLINK("https://otsuka-europe-crm.veevavault.com/ui/#object/approved_document__v/V5O000000004028", "LUP - Invitación webinar 13N - nefro")</f>
        <v>LUP - Invitación webinar 13N - nefro</v>
      </c>
      <c r="C15026" s="3" t="str">
        <f>HYPERLINK("https://otsuka-europe-crm.veevavault.com/ui/#object/sent_email__v/VBL00000000F217", "SE-001386616")</f>
        <v>SE-001386616</v>
      </c>
      <c r="D15026" s="1" t="s">
        <v>0</v>
      </c>
      <c r="E15026" s="2">
        <v>0</v>
      </c>
      <c r="F15026" s="2">
        <v>0</v>
      </c>
      <c r="G15026" s="2">
        <v>0</v>
      </c>
      <c r="H15026" s="1" t="s">
        <v>0</v>
      </c>
      <c r="I15026" s="2">
        <v>0</v>
      </c>
      <c r="J15026" s="1">
        <v>45971.693807870368</v>
      </c>
    </row>
    <row r="15027" spans="1:10" x14ac:dyDescent="0.2">
      <c r="A15027" s="4" t="s">
        <v>1</v>
      </c>
      <c r="B15027" s="3" t="str">
        <f>HYPERLINK("https://otsuka-europe-crm.veevavault.com/ui/#object/approved_document__v/V5O000000004028", "LUP - Invitación webinar 13N - nefro")</f>
        <v>LUP - Invitación webinar 13N - nefro</v>
      </c>
      <c r="C15027" s="3" t="str">
        <f>HYPERLINK("https://otsuka-europe-crm.veevavault.com/ui/#object/sent_email__v/VBL00000000F218", "SE-001386617")</f>
        <v>SE-001386617</v>
      </c>
      <c r="D15027" s="1">
        <v>45972.461643518516</v>
      </c>
      <c r="E15027" s="2">
        <v>1</v>
      </c>
      <c r="F15027" s="2">
        <v>1</v>
      </c>
      <c r="G15027" s="2">
        <v>0</v>
      </c>
      <c r="H15027" s="1" t="s">
        <v>0</v>
      </c>
      <c r="I15027" s="2">
        <v>0</v>
      </c>
      <c r="J15027" s="1">
        <v>45971.693842592591</v>
      </c>
    </row>
    <row r="15028" spans="1:10" x14ac:dyDescent="0.2">
      <c r="A15028" s="4" t="s">
        <v>1</v>
      </c>
      <c r="B15028" s="3" t="str">
        <f>HYPERLINK("https://otsuka-europe-crm.veevavault.com/ui/#object/approved_document__v/V5O000000004028", "LUP - Invitación webinar 13N - nefro")</f>
        <v>LUP - Invitación webinar 13N - nefro</v>
      </c>
      <c r="C15028" s="3" t="str">
        <f>HYPERLINK("https://otsuka-europe-crm.veevavault.com/ui/#object/sent_email__v/VBL00000000F219", "SE-001386618")</f>
        <v>SE-001386618</v>
      </c>
      <c r="D15028" s="1" t="s">
        <v>0</v>
      </c>
      <c r="E15028" s="2">
        <v>0</v>
      </c>
      <c r="F15028" s="2">
        <v>0</v>
      </c>
      <c r="G15028" s="2">
        <v>0</v>
      </c>
      <c r="H15028" s="1" t="s">
        <v>0</v>
      </c>
      <c r="I15028" s="2">
        <v>0</v>
      </c>
      <c r="J15028" s="1">
        <v>45971.693888888891</v>
      </c>
    </row>
    <row r="15029" spans="1:10" x14ac:dyDescent="0.2">
      <c r="A15029" s="4" t="s">
        <v>1</v>
      </c>
      <c r="B15029" s="3" t="str">
        <f>HYPERLINK("https://otsuka-europe-crm.veevavault.com/ui/#object/approved_document__v/V5O000000004028", "LUP - Invitación webinar 13N - nefro")</f>
        <v>LUP - Invitación webinar 13N - nefro</v>
      </c>
      <c r="C15029" s="3" t="str">
        <f>HYPERLINK("https://otsuka-europe-crm.veevavault.com/ui/#object/sent_email__v/VBL00000000F220", "SE-001386619")</f>
        <v>SE-001386619</v>
      </c>
      <c r="D15029" s="1">
        <v>45971.694050925929</v>
      </c>
      <c r="E15029" s="2">
        <v>1</v>
      </c>
      <c r="F15029" s="2">
        <v>2</v>
      </c>
      <c r="G15029" s="2">
        <v>0</v>
      </c>
      <c r="H15029" s="1" t="s">
        <v>0</v>
      </c>
      <c r="I15029" s="2">
        <v>0</v>
      </c>
      <c r="J15029" s="1">
        <v>45971.693935185183</v>
      </c>
    </row>
    <row r="15030" spans="1:10" x14ac:dyDescent="0.2">
      <c r="A15030" s="4" t="s">
        <v>1</v>
      </c>
      <c r="B15030" s="3" t="str">
        <f>HYPERLINK("https://otsuka-europe-crm.veevavault.com/ui/#object/approved_document__v/V5O000000004028", "LUP - Invitación webinar 13N - nefro")</f>
        <v>LUP - Invitación webinar 13N - nefro</v>
      </c>
      <c r="C15030" s="3" t="str">
        <f>HYPERLINK("https://otsuka-europe-crm.veevavault.com/ui/#object/sent_email__v/VBL00000000F221", "SE-001386620")</f>
        <v>SE-001386620</v>
      </c>
      <c r="D15030" s="1">
        <v>45971.744849537034</v>
      </c>
      <c r="E15030" s="2">
        <v>1</v>
      </c>
      <c r="F15030" s="2">
        <v>1</v>
      </c>
      <c r="G15030" s="2">
        <v>0</v>
      </c>
      <c r="H15030" s="1" t="s">
        <v>0</v>
      </c>
      <c r="I15030" s="2">
        <v>0</v>
      </c>
      <c r="J15030" s="1">
        <v>45971.693969907406</v>
      </c>
    </row>
    <row r="15031" spans="1:10" x14ac:dyDescent="0.2">
      <c r="A15031" s="4" t="s">
        <v>1</v>
      </c>
      <c r="B15031" s="3" t="str">
        <f>HYPERLINK("https://otsuka-europe-crm.veevavault.com/ui/#object/approved_document__v/V5O000000004028", "LUP - Invitación webinar 13N - nefro")</f>
        <v>LUP - Invitación webinar 13N - nefro</v>
      </c>
      <c r="C15031" s="3" t="str">
        <f>HYPERLINK("https://otsuka-europe-crm.veevavault.com/ui/#object/sent_email__v/VBL00000000F222", "SE-001386621")</f>
        <v>SE-001386621</v>
      </c>
      <c r="D15031" s="1">
        <v>45980.888055555559</v>
      </c>
      <c r="E15031" s="2">
        <v>1</v>
      </c>
      <c r="F15031" s="2">
        <v>2</v>
      </c>
      <c r="G15031" s="2">
        <v>0</v>
      </c>
      <c r="H15031" s="1" t="s">
        <v>0</v>
      </c>
      <c r="I15031" s="2">
        <v>0</v>
      </c>
      <c r="J15031" s="1">
        <v>45971.694016203706</v>
      </c>
    </row>
    <row r="15032" spans="1:10" x14ac:dyDescent="0.2">
      <c r="A15032" s="4" t="s">
        <v>1</v>
      </c>
      <c r="B15032" s="3" t="str">
        <f>HYPERLINK("https://otsuka-europe-crm.veevavault.com/ui/#object/approved_document__v/V5O000000004028", "LUP - Invitación webinar 13N - nefro")</f>
        <v>LUP - Invitación webinar 13N - nefro</v>
      </c>
      <c r="C15032" s="3" t="str">
        <f>HYPERLINK("https://otsuka-europe-crm.veevavault.com/ui/#object/sent_email__v/VBL00000000F223", "SE-001386622")</f>
        <v>SE-001386622</v>
      </c>
      <c r="D15032" s="1" t="s">
        <v>0</v>
      </c>
      <c r="E15032" s="2">
        <v>0</v>
      </c>
      <c r="F15032" s="2">
        <v>0</v>
      </c>
      <c r="G15032" s="2">
        <v>0</v>
      </c>
      <c r="H15032" s="1" t="s">
        <v>0</v>
      </c>
      <c r="I15032" s="2">
        <v>0</v>
      </c>
      <c r="J15032" s="1">
        <v>45971.694062499999</v>
      </c>
    </row>
    <row r="15033" spans="1:10" x14ac:dyDescent="0.2">
      <c r="A15033" s="4" t="s">
        <v>1</v>
      </c>
      <c r="B15033" s="3" t="str">
        <f>HYPERLINK("https://otsuka-europe-crm.veevavault.com/ui/#object/approved_document__v/V5O000000004028", "LUP - Invitación webinar 13N - nefro")</f>
        <v>LUP - Invitación webinar 13N - nefro</v>
      </c>
      <c r="C15033" s="3" t="str">
        <f>HYPERLINK("https://otsuka-europe-crm.veevavault.com/ui/#object/sent_email__v/VBL00000000F224", "SE-001386623")</f>
        <v>SE-001386623</v>
      </c>
      <c r="D15033" s="1">
        <v>45971.823298611111</v>
      </c>
      <c r="E15033" s="2">
        <v>1</v>
      </c>
      <c r="F15033" s="2">
        <v>1</v>
      </c>
      <c r="G15033" s="2">
        <v>0</v>
      </c>
      <c r="H15033" s="1" t="s">
        <v>0</v>
      </c>
      <c r="I15033" s="2">
        <v>0</v>
      </c>
      <c r="J15033" s="1">
        <v>45971.694097222222</v>
      </c>
    </row>
    <row r="15034" spans="1:10" x14ac:dyDescent="0.2">
      <c r="A15034" s="4" t="s">
        <v>1</v>
      </c>
      <c r="B15034" s="3" t="str">
        <f>HYPERLINK("https://otsuka-europe-crm.veevavault.com/ui/#object/approved_document__v/V5O000000004028", "LUP - Invitación webinar 13N - nefro")</f>
        <v>LUP - Invitación webinar 13N - nefro</v>
      </c>
      <c r="C15034" s="3" t="str">
        <f>HYPERLINK("https://otsuka-europe-crm.veevavault.com/ui/#object/sent_email__v/VBL00000000F225", "SE-001386624")</f>
        <v>SE-001386624</v>
      </c>
      <c r="D15034" s="1" t="s">
        <v>0</v>
      </c>
      <c r="E15034" s="2">
        <v>0</v>
      </c>
      <c r="F15034" s="2">
        <v>0</v>
      </c>
      <c r="G15034" s="2">
        <v>0</v>
      </c>
      <c r="H15034" s="1" t="s">
        <v>0</v>
      </c>
      <c r="I15034" s="2">
        <v>0</v>
      </c>
      <c r="J15034" s="1">
        <v>45971.694131944445</v>
      </c>
    </row>
    <row r="15035" spans="1:10" x14ac:dyDescent="0.2">
      <c r="A15035" s="4" t="s">
        <v>1</v>
      </c>
      <c r="B15035" s="3" t="str">
        <f>HYPERLINK("https://otsuka-europe-crm.veevavault.com/ui/#object/approved_document__v/V5O000000004028", "LUP - Invitación webinar 13N - nefro")</f>
        <v>LUP - Invitación webinar 13N - nefro</v>
      </c>
      <c r="C15035" s="3" t="str">
        <f>HYPERLINK("https://otsuka-europe-crm.veevavault.com/ui/#object/sent_email__v/VBL00000000M530", "SE-001389591")</f>
        <v>SE-001389591</v>
      </c>
      <c r="D15035" s="1" t="s">
        <v>0</v>
      </c>
      <c r="E15035" s="2">
        <v>0</v>
      </c>
      <c r="F15035" s="2">
        <v>0</v>
      </c>
      <c r="G15035" s="2">
        <v>0</v>
      </c>
      <c r="H15035" s="1" t="s">
        <v>0</v>
      </c>
      <c r="I15035" s="2">
        <v>0</v>
      </c>
      <c r="J15035" s="1">
        <v>45973.600358796299</v>
      </c>
    </row>
    <row r="15036" spans="1:10" x14ac:dyDescent="0.2">
      <c r="A15036" s="4" t="s">
        <v>1</v>
      </c>
      <c r="B15036" s="3" t="str">
        <f>HYPERLINK("https://otsuka-europe-crm.veevavault.com/ui/#object/approved_document__v/V5O000000004028", "LUP - Invitación webinar 13N - nefro")</f>
        <v>LUP - Invitación webinar 13N - nefro</v>
      </c>
      <c r="C15036" s="3" t="str">
        <f>HYPERLINK("https://otsuka-europe-crm.veevavault.com/ui/#object/sent_email__v/VBL00000000M531", "SE-001389592")</f>
        <v>SE-001389592</v>
      </c>
      <c r="D15036" s="1" t="s">
        <v>0</v>
      </c>
      <c r="E15036" s="2">
        <v>0</v>
      </c>
      <c r="F15036" s="2">
        <v>0</v>
      </c>
      <c r="G15036" s="2">
        <v>0</v>
      </c>
      <c r="H15036" s="1" t="s">
        <v>0</v>
      </c>
      <c r="I15036" s="2">
        <v>0</v>
      </c>
      <c r="J15036" s="1">
        <v>45973.600393518522</v>
      </c>
    </row>
    <row r="15037" spans="1:10" x14ac:dyDescent="0.2">
      <c r="A15037" s="4" t="s">
        <v>1</v>
      </c>
      <c r="B15037" s="3" t="str">
        <f>HYPERLINK("https://otsuka-europe-crm.veevavault.com/ui/#object/approved_document__v/V5O000000004028", "LUP - Invitación webinar 13N - nefro")</f>
        <v>LUP - Invitación webinar 13N - nefro</v>
      </c>
      <c r="C15037" s="3" t="str">
        <f>HYPERLINK("https://otsuka-europe-crm.veevavault.com/ui/#object/sent_email__v/VBL00000000M532", "SE-001389593")</f>
        <v>SE-001389593</v>
      </c>
      <c r="D15037" s="1" t="s">
        <v>0</v>
      </c>
      <c r="E15037" s="2">
        <v>0</v>
      </c>
      <c r="F15037" s="2">
        <v>0</v>
      </c>
      <c r="G15037" s="2">
        <v>0</v>
      </c>
      <c r="H15037" s="1" t="s">
        <v>0</v>
      </c>
      <c r="I15037" s="2">
        <v>0</v>
      </c>
      <c r="J15037" s="1">
        <v>45973.600428240738</v>
      </c>
    </row>
    <row r="15038" spans="1:10" x14ac:dyDescent="0.2">
      <c r="A15038" s="4" t="s">
        <v>1</v>
      </c>
      <c r="B15038" s="3" t="str">
        <f>HYPERLINK("https://otsuka-europe-crm.veevavault.com/ui/#object/approved_document__v/V5O000000004028", "LUP - Invitación webinar 13N - nefro")</f>
        <v>LUP - Invitación webinar 13N - nefro</v>
      </c>
      <c r="C15038" s="3" t="str">
        <f>HYPERLINK("https://otsuka-europe-crm.veevavault.com/ui/#object/sent_email__v/VBL00000000M533", "SE-001389594")</f>
        <v>SE-001389594</v>
      </c>
      <c r="D15038" s="1" t="s">
        <v>0</v>
      </c>
      <c r="E15038" s="2">
        <v>0</v>
      </c>
      <c r="F15038" s="2">
        <v>0</v>
      </c>
      <c r="G15038" s="2">
        <v>0</v>
      </c>
      <c r="H15038" s="1" t="s">
        <v>0</v>
      </c>
      <c r="I15038" s="2">
        <v>0</v>
      </c>
      <c r="J15038" s="1">
        <v>45973.600474537037</v>
      </c>
    </row>
    <row r="15039" spans="1:10" x14ac:dyDescent="0.2">
      <c r="A15039" s="4" t="s">
        <v>1</v>
      </c>
      <c r="B15039" s="3" t="str">
        <f>HYPERLINK("https://otsuka-europe-crm.veevavault.com/ui/#object/approved_document__v/V5O000000004028", "LUP - Invitación webinar 13N - nefro")</f>
        <v>LUP - Invitación webinar 13N - nefro</v>
      </c>
      <c r="C15039" s="3" t="str">
        <f>HYPERLINK("https://otsuka-europe-crm.veevavault.com/ui/#object/sent_email__v/VBL00000000M534", "SE-001389595")</f>
        <v>SE-001389595</v>
      </c>
      <c r="D15039" s="1" t="s">
        <v>0</v>
      </c>
      <c r="E15039" s="2">
        <v>0</v>
      </c>
      <c r="F15039" s="2">
        <v>0</v>
      </c>
      <c r="G15039" s="2">
        <v>0</v>
      </c>
      <c r="H15039" s="1" t="s">
        <v>0</v>
      </c>
      <c r="I15039" s="2">
        <v>0</v>
      </c>
      <c r="J15039" s="1">
        <v>45973.600497685184</v>
      </c>
    </row>
    <row r="15040" spans="1:10" x14ac:dyDescent="0.2">
      <c r="A15040" s="4" t="s">
        <v>1</v>
      </c>
      <c r="B15040" s="3" t="str">
        <f>HYPERLINK("https://otsuka-europe-crm.veevavault.com/ui/#object/approved_document__v/V5O000000004028", "LUP - Invitación webinar 13N - nefro")</f>
        <v>LUP - Invitación webinar 13N - nefro</v>
      </c>
      <c r="C15040" s="3" t="str">
        <f>HYPERLINK("https://otsuka-europe-crm.veevavault.com/ui/#object/sent_email__v/VBL00000000M535", "SE-001389596")</f>
        <v>SE-001389596</v>
      </c>
      <c r="D15040" s="1">
        <v>45973.637685185182</v>
      </c>
      <c r="E15040" s="2">
        <v>1</v>
      </c>
      <c r="F15040" s="2">
        <v>1</v>
      </c>
      <c r="G15040" s="2">
        <v>0</v>
      </c>
      <c r="H15040" s="1" t="s">
        <v>0</v>
      </c>
      <c r="I15040" s="2">
        <v>0</v>
      </c>
      <c r="J15040" s="1">
        <v>45973.600543981483</v>
      </c>
    </row>
    <row r="15041" spans="1:10" x14ac:dyDescent="0.2">
      <c r="A15041" s="4" t="s">
        <v>1</v>
      </c>
      <c r="B15041" s="3" t="str">
        <f>HYPERLINK("https://otsuka-europe-crm.veevavault.com/ui/#object/approved_document__v/V5O000000004028", "LUP - Invitación webinar 13N - nefro")</f>
        <v>LUP - Invitación webinar 13N - nefro</v>
      </c>
      <c r="C15041" s="3" t="str">
        <f>HYPERLINK("https://otsuka-europe-crm.veevavault.com/ui/#object/sent_email__v/VBL00000000M536", "SE-001389597")</f>
        <v>SE-001389597</v>
      </c>
      <c r="D15041" s="1" t="s">
        <v>0</v>
      </c>
      <c r="E15041" s="2">
        <v>0</v>
      </c>
      <c r="F15041" s="2">
        <v>0</v>
      </c>
      <c r="G15041" s="2">
        <v>0</v>
      </c>
      <c r="H15041" s="1" t="s">
        <v>0</v>
      </c>
      <c r="I15041" s="2">
        <v>0</v>
      </c>
      <c r="J15041" s="1">
        <v>45973.600578703707</v>
      </c>
    </row>
    <row r="15042" spans="1:10" x14ac:dyDescent="0.2">
      <c r="A15042" s="4" t="s">
        <v>1</v>
      </c>
      <c r="B15042" s="3" t="str">
        <f>HYPERLINK("https://otsuka-europe-crm.veevavault.com/ui/#object/approved_document__v/V5O000000004028", "LUP - Invitación webinar 13N - nefro")</f>
        <v>LUP - Invitación webinar 13N - nefro</v>
      </c>
      <c r="C15042" s="3" t="str">
        <f>HYPERLINK("https://otsuka-europe-crm.veevavault.com/ui/#object/sent_email__v/VBL00000000M537", "SE-001389598")</f>
        <v>SE-001389598</v>
      </c>
      <c r="D15042" s="1">
        <v>45979.502858796295</v>
      </c>
      <c r="E15042" s="2">
        <v>1</v>
      </c>
      <c r="F15042" s="2">
        <v>1</v>
      </c>
      <c r="G15042" s="2">
        <v>0</v>
      </c>
      <c r="H15042" s="1" t="s">
        <v>0</v>
      </c>
      <c r="I15042" s="2">
        <v>0</v>
      </c>
      <c r="J15042" s="1">
        <v>45973.600624999999</v>
      </c>
    </row>
    <row r="15043" spans="1:10" x14ac:dyDescent="0.2">
      <c r="A15043" s="4" t="s">
        <v>1</v>
      </c>
      <c r="B15043" s="3" t="str">
        <f>HYPERLINK("https://otsuka-europe-crm.veevavault.com/ui/#object/approved_document__v/V5O000000004028", "LUP - Invitación webinar 13N - nefro")</f>
        <v>LUP - Invitación webinar 13N - nefro</v>
      </c>
      <c r="C15043" s="3" t="str">
        <f>HYPERLINK("https://otsuka-europe-crm.veevavault.com/ui/#object/sent_email__v/VBL00000000M538", "SE-001389599")</f>
        <v>SE-001389599</v>
      </c>
      <c r="D15043" s="1" t="s">
        <v>0</v>
      </c>
      <c r="E15043" s="2">
        <v>0</v>
      </c>
      <c r="F15043" s="2">
        <v>0</v>
      </c>
      <c r="G15043" s="2">
        <v>0</v>
      </c>
      <c r="H15043" s="1" t="s">
        <v>0</v>
      </c>
      <c r="I15043" s="2">
        <v>0</v>
      </c>
      <c r="J15043" s="1">
        <v>45973.600671296299</v>
      </c>
    </row>
    <row r="15044" spans="1:10" x14ac:dyDescent="0.2">
      <c r="A15044" s="4" t="s">
        <v>1</v>
      </c>
      <c r="B15044" s="3" t="str">
        <f>HYPERLINK("https://otsuka-europe-crm.veevavault.com/ui/#object/approved_document__v/V5O000000004028", "LUP - Invitación webinar 13N - nefro")</f>
        <v>LUP - Invitación webinar 13N - nefro</v>
      </c>
      <c r="C15044" s="3" t="str">
        <f>HYPERLINK("https://otsuka-europe-crm.veevavault.com/ui/#object/sent_email__v/VBL00000000M539", "SE-001389600")</f>
        <v>SE-001389600</v>
      </c>
      <c r="D15044" s="1">
        <v>45974.769178240742</v>
      </c>
      <c r="E15044" s="2">
        <v>1</v>
      </c>
      <c r="F15044" s="2">
        <v>1</v>
      </c>
      <c r="G15044" s="2">
        <v>0</v>
      </c>
      <c r="H15044" s="1" t="s">
        <v>0</v>
      </c>
      <c r="I15044" s="2">
        <v>0</v>
      </c>
      <c r="J15044" s="1">
        <v>45973.600706018522</v>
      </c>
    </row>
    <row r="15045" spans="1:10" x14ac:dyDescent="0.2">
      <c r="A15045" s="4" t="s">
        <v>1</v>
      </c>
      <c r="B15045" s="3" t="str">
        <f>HYPERLINK("https://otsuka-europe-crm.veevavault.com/ui/#object/approved_document__v/V5O000000004028", "LUP - Invitación webinar 13N - nefro")</f>
        <v>LUP - Invitación webinar 13N - nefro</v>
      </c>
      <c r="C15045" s="3" t="str">
        <f>HYPERLINK("https://otsuka-europe-crm.veevavault.com/ui/#object/sent_email__v/VBL00000000M540", "SE-001389601")</f>
        <v>SE-001389601</v>
      </c>
      <c r="D15045" s="1" t="s">
        <v>0</v>
      </c>
      <c r="E15045" s="2">
        <v>0</v>
      </c>
      <c r="F15045" s="2">
        <v>0</v>
      </c>
      <c r="G15045" s="2">
        <v>0</v>
      </c>
      <c r="H15045" s="1" t="s">
        <v>0</v>
      </c>
      <c r="I15045" s="2">
        <v>0</v>
      </c>
      <c r="J15045" s="1">
        <v>45973.600752314815</v>
      </c>
    </row>
    <row r="15046" spans="1:10" x14ac:dyDescent="0.2">
      <c r="A15046" s="4" t="s">
        <v>1</v>
      </c>
      <c r="B15046" s="3" t="str">
        <f>HYPERLINK("https://otsuka-europe-crm.veevavault.com/ui/#object/approved_document__v/V5O000000004028", "LUP - Invitación webinar 13N - nefro")</f>
        <v>LUP - Invitación webinar 13N - nefro</v>
      </c>
      <c r="C15046" s="3" t="str">
        <f>HYPERLINK("https://otsuka-europe-crm.veevavault.com/ui/#object/sent_email__v/VBL00000000M541", "SE-001389602")</f>
        <v>SE-001389602</v>
      </c>
      <c r="D15046" s="1" t="s">
        <v>0</v>
      </c>
      <c r="E15046" s="2">
        <v>0</v>
      </c>
      <c r="F15046" s="2">
        <v>0</v>
      </c>
      <c r="G15046" s="2">
        <v>0</v>
      </c>
      <c r="H15046" s="1" t="s">
        <v>0</v>
      </c>
      <c r="I15046" s="2">
        <v>0</v>
      </c>
      <c r="J15046" s="1">
        <v>45973.600798611114</v>
      </c>
    </row>
    <row r="15047" spans="1:10" x14ac:dyDescent="0.2">
      <c r="A15047" s="4" t="s">
        <v>1</v>
      </c>
      <c r="B15047" s="3" t="str">
        <f>HYPERLINK("https://otsuka-europe-crm.veevavault.com/ui/#object/approved_document__v/V5O000000004028", "LUP - Invitación webinar 13N - nefro")</f>
        <v>LUP - Invitación webinar 13N - nefro</v>
      </c>
      <c r="C15047" s="3" t="str">
        <f>HYPERLINK("https://otsuka-europe-crm.veevavault.com/ui/#object/sent_email__v/VBL00000000M542", "SE-001389603")</f>
        <v>SE-001389603</v>
      </c>
      <c r="D15047" s="1" t="s">
        <v>0</v>
      </c>
      <c r="E15047" s="2">
        <v>0</v>
      </c>
      <c r="F15047" s="2">
        <v>0</v>
      </c>
      <c r="G15047" s="2">
        <v>0</v>
      </c>
      <c r="H15047" s="1" t="s">
        <v>0</v>
      </c>
      <c r="I15047" s="2">
        <v>0</v>
      </c>
      <c r="J15047" s="1">
        <v>45973.60083333333</v>
      </c>
    </row>
    <row r="15048" spans="1:10" x14ac:dyDescent="0.2">
      <c r="A15048" s="4" t="s">
        <v>1</v>
      </c>
      <c r="B15048" s="3" t="str">
        <f>HYPERLINK("https://otsuka-europe-crm.veevavault.com/ui/#object/approved_document__v/V5O000000004028", "LUP - Invitación webinar 13N - nefro")</f>
        <v>LUP - Invitación webinar 13N - nefro</v>
      </c>
      <c r="C15048" s="3" t="str">
        <f>HYPERLINK("https://otsuka-europe-crm.veevavault.com/ui/#object/sent_email__v/VBL00000000M543", "SE-001389604")</f>
        <v>SE-001389604</v>
      </c>
      <c r="D15048" s="1" t="s">
        <v>0</v>
      </c>
      <c r="E15048" s="2">
        <v>0</v>
      </c>
      <c r="F15048" s="2">
        <v>0</v>
      </c>
      <c r="G15048" s="2">
        <v>0</v>
      </c>
      <c r="H15048" s="1" t="s">
        <v>0</v>
      </c>
      <c r="I15048" s="2">
        <v>0</v>
      </c>
      <c r="J15048" s="1">
        <v>45973.60087962963</v>
      </c>
    </row>
    <row r="15049" spans="1:10" x14ac:dyDescent="0.2">
      <c r="A15049" s="4" t="s">
        <v>1</v>
      </c>
      <c r="B15049" s="3" t="str">
        <f>HYPERLINK("https://otsuka-europe-crm.veevavault.com/ui/#object/approved_document__v/V5O000000004028", "LUP - Invitación webinar 13N - nefro")</f>
        <v>LUP - Invitación webinar 13N - nefro</v>
      </c>
      <c r="C15049" s="3" t="str">
        <f>HYPERLINK("https://otsuka-europe-crm.veevavault.com/ui/#object/sent_email__v/VBL00000000M544", "SE-001389605")</f>
        <v>SE-001389605</v>
      </c>
      <c r="D15049" s="1" t="s">
        <v>0</v>
      </c>
      <c r="E15049" s="2">
        <v>0</v>
      </c>
      <c r="F15049" s="2">
        <v>0</v>
      </c>
      <c r="G15049" s="2">
        <v>0</v>
      </c>
      <c r="H15049" s="1" t="s">
        <v>0</v>
      </c>
      <c r="I15049" s="2">
        <v>0</v>
      </c>
      <c r="J15049" s="1">
        <v>45973.600914351853</v>
      </c>
    </row>
    <row r="15050" spans="1:10" x14ac:dyDescent="0.2">
      <c r="A15050" s="4" t="s">
        <v>1</v>
      </c>
      <c r="B15050" s="3" t="str">
        <f>HYPERLINK("https://otsuka-europe-crm.veevavault.com/ui/#object/approved_document__v/V5O000000004028", "LUP - Invitación webinar 13N - nefro")</f>
        <v>LUP - Invitación webinar 13N - nefro</v>
      </c>
      <c r="C15050" s="3" t="str">
        <f>HYPERLINK("https://otsuka-europe-crm.veevavault.com/ui/#object/sent_email__v/VBL00000000M545", "SE-001389606")</f>
        <v>SE-001389606</v>
      </c>
      <c r="D15050" s="1" t="s">
        <v>0</v>
      </c>
      <c r="E15050" s="2">
        <v>0</v>
      </c>
      <c r="F15050" s="2">
        <v>0</v>
      </c>
      <c r="G15050" s="2">
        <v>0</v>
      </c>
      <c r="H15050" s="1" t="s">
        <v>0</v>
      </c>
      <c r="I15050" s="2">
        <v>0</v>
      </c>
      <c r="J15050" s="1">
        <v>45973.600972222222</v>
      </c>
    </row>
    <row r="15051" spans="1:10" x14ac:dyDescent="0.2">
      <c r="A15051" s="4" t="s">
        <v>1</v>
      </c>
      <c r="B15051" s="3" t="str">
        <f>HYPERLINK("https://otsuka-europe-crm.veevavault.com/ui/#object/approved_document__v/V5O000000004028", "LUP - Invitación webinar 13N - nefro")</f>
        <v>LUP - Invitación webinar 13N - nefro</v>
      </c>
      <c r="C15051" s="3" t="str">
        <f>HYPERLINK("https://otsuka-europe-crm.veevavault.com/ui/#object/sent_email__v/VBL00000000M546", "SE-001389607")</f>
        <v>SE-001389607</v>
      </c>
      <c r="D15051" s="1" t="s">
        <v>0</v>
      </c>
      <c r="E15051" s="2">
        <v>0</v>
      </c>
      <c r="F15051" s="2">
        <v>0</v>
      </c>
      <c r="G15051" s="2">
        <v>0</v>
      </c>
      <c r="H15051" s="1" t="s">
        <v>0</v>
      </c>
      <c r="I15051" s="2">
        <v>0</v>
      </c>
      <c r="J15051" s="1">
        <v>45973.601018518515</v>
      </c>
    </row>
    <row r="15052" spans="1:10" x14ac:dyDescent="0.2">
      <c r="A15052" s="4" t="s">
        <v>1</v>
      </c>
      <c r="B15052" s="3" t="str">
        <f>HYPERLINK("https://otsuka-europe-crm.veevavault.com/ui/#object/approved_document__v/V5O000000004028", "LUP - Invitación webinar 13N - nefro")</f>
        <v>LUP - Invitación webinar 13N - nefro</v>
      </c>
      <c r="C15052" s="3" t="str">
        <f>HYPERLINK("https://otsuka-europe-crm.veevavault.com/ui/#object/sent_email__v/VBL00000000M547", "SE-001389608")</f>
        <v>SE-001389608</v>
      </c>
      <c r="D15052" s="1" t="s">
        <v>0</v>
      </c>
      <c r="E15052" s="2">
        <v>0</v>
      </c>
      <c r="F15052" s="2">
        <v>0</v>
      </c>
      <c r="G15052" s="2">
        <v>0</v>
      </c>
      <c r="H15052" s="1" t="s">
        <v>0</v>
      </c>
      <c r="I15052" s="2">
        <v>0</v>
      </c>
      <c r="J15052" s="1">
        <v>45973.601064814815</v>
      </c>
    </row>
    <row r="15053" spans="1:10" x14ac:dyDescent="0.2">
      <c r="A15053" s="4" t="s">
        <v>1</v>
      </c>
      <c r="B15053" s="3" t="str">
        <f>HYPERLINK("https://otsuka-europe-crm.veevavault.com/ui/#object/approved_document__v/V5O000000004028", "LUP - Invitación webinar 13N - nefro")</f>
        <v>LUP - Invitación webinar 13N - nefro</v>
      </c>
      <c r="C15053" s="3" t="str">
        <f>HYPERLINK("https://otsuka-europe-crm.veevavault.com/ui/#object/sent_email__v/VBL00000000M548", "SE-001389609")</f>
        <v>SE-001389609</v>
      </c>
      <c r="D15053" s="1" t="s">
        <v>0</v>
      </c>
      <c r="E15053" s="2">
        <v>0</v>
      </c>
      <c r="F15053" s="2">
        <v>0</v>
      </c>
      <c r="G15053" s="2">
        <v>0</v>
      </c>
      <c r="H15053" s="1" t="s">
        <v>0</v>
      </c>
      <c r="I15053" s="2">
        <v>0</v>
      </c>
      <c r="J15053" s="1">
        <v>45973.601111111115</v>
      </c>
    </row>
    <row r="15054" spans="1:10" x14ac:dyDescent="0.2">
      <c r="A15054" s="4" t="s">
        <v>1</v>
      </c>
      <c r="B15054" s="3" t="str">
        <f>HYPERLINK("https://otsuka-europe-crm.veevavault.com/ui/#object/approved_document__v/V5O000000004028", "LUP - Invitación webinar 13N - nefro")</f>
        <v>LUP - Invitación webinar 13N - nefro</v>
      </c>
      <c r="C15054" s="3" t="str">
        <f>HYPERLINK("https://otsuka-europe-crm.veevavault.com/ui/#object/sent_email__v/VBL00000000M549", "SE-001389610")</f>
        <v>SE-001389610</v>
      </c>
      <c r="D15054" s="1" t="s">
        <v>0</v>
      </c>
      <c r="E15054" s="2">
        <v>0</v>
      </c>
      <c r="F15054" s="2">
        <v>0</v>
      </c>
      <c r="G15054" s="2">
        <v>0</v>
      </c>
      <c r="H15054" s="1" t="s">
        <v>0</v>
      </c>
      <c r="I15054" s="2">
        <v>0</v>
      </c>
      <c r="J15054" s="1">
        <v>45973.601145833331</v>
      </c>
    </row>
    <row r="15055" spans="1:10" x14ac:dyDescent="0.2">
      <c r="A15055" s="4" t="s">
        <v>1</v>
      </c>
      <c r="B15055" s="3" t="str">
        <f>HYPERLINK("https://otsuka-europe-crm.veevavault.com/ui/#object/approved_document__v/V5O000000004028", "LUP - Invitación webinar 13N - nefro")</f>
        <v>LUP - Invitación webinar 13N - nefro</v>
      </c>
      <c r="C15055" s="3" t="str">
        <f>HYPERLINK("https://otsuka-europe-crm.veevavault.com/ui/#object/sent_email__v/VBL00000000M550", "SE-001389611")</f>
        <v>SE-001389611</v>
      </c>
      <c r="D15055" s="1" t="s">
        <v>0</v>
      </c>
      <c r="E15055" s="2">
        <v>0</v>
      </c>
      <c r="F15055" s="2">
        <v>0</v>
      </c>
      <c r="G15055" s="2">
        <v>0</v>
      </c>
      <c r="H15055" s="1" t="s">
        <v>0</v>
      </c>
      <c r="I15055" s="2">
        <v>0</v>
      </c>
      <c r="J15055" s="1">
        <v>45973.60119212963</v>
      </c>
    </row>
    <row r="15056" spans="1:10" x14ac:dyDescent="0.2">
      <c r="A15056" s="4" t="s">
        <v>1</v>
      </c>
      <c r="B15056" s="3" t="str">
        <f>HYPERLINK("https://otsuka-europe-crm.veevavault.com/ui/#object/approved_document__v/V5O000000004028", "LUP - Invitación webinar 13N - nefro")</f>
        <v>LUP - Invitación webinar 13N - nefro</v>
      </c>
      <c r="C15056" s="3" t="str">
        <f>HYPERLINK("https://otsuka-europe-crm.veevavault.com/ui/#object/sent_email__v/VBL00000000M551", "SE-001389612")</f>
        <v>SE-001389612</v>
      </c>
      <c r="D15056" s="1">
        <v>45979.738645833335</v>
      </c>
      <c r="E15056" s="2">
        <v>1</v>
      </c>
      <c r="F15056" s="2">
        <v>2</v>
      </c>
      <c r="G15056" s="2">
        <v>0</v>
      </c>
      <c r="H15056" s="1" t="s">
        <v>0</v>
      </c>
      <c r="I15056" s="2">
        <v>0</v>
      </c>
      <c r="J15056" s="1">
        <v>45973.601238425923</v>
      </c>
    </row>
    <row r="15057" spans="1:10" x14ac:dyDescent="0.2">
      <c r="A15057" s="4" t="s">
        <v>1</v>
      </c>
      <c r="B15057" s="3" t="str">
        <f>HYPERLINK("https://otsuka-europe-crm.veevavault.com/ui/#object/approved_document__v/V5O000000004028", "LUP - Invitación webinar 13N - nefro")</f>
        <v>LUP - Invitación webinar 13N - nefro</v>
      </c>
      <c r="C15057" s="3" t="str">
        <f>HYPERLINK("https://otsuka-europe-crm.veevavault.com/ui/#object/sent_email__v/VBL00000000M552", "SE-001389613")</f>
        <v>SE-001389613</v>
      </c>
      <c r="D15057" s="1">
        <v>45973.602743055555</v>
      </c>
      <c r="E15057" s="2">
        <v>1</v>
      </c>
      <c r="F15057" s="2">
        <v>1</v>
      </c>
      <c r="G15057" s="2">
        <v>0</v>
      </c>
      <c r="H15057" s="1" t="s">
        <v>0</v>
      </c>
      <c r="I15057" s="2">
        <v>0</v>
      </c>
      <c r="J15057" s="1">
        <v>45973.601273148146</v>
      </c>
    </row>
    <row r="15058" spans="1:10" x14ac:dyDescent="0.2">
      <c r="A15058" s="4" t="s">
        <v>1</v>
      </c>
      <c r="B15058" s="3" t="str">
        <f>HYPERLINK("https://otsuka-europe-crm.veevavault.com/ui/#object/approved_document__v/V5O000000004028", "LUP - Invitación webinar 13N - nefro")</f>
        <v>LUP - Invitación webinar 13N - nefro</v>
      </c>
      <c r="C15058" s="3" t="str">
        <f>HYPERLINK("https://otsuka-europe-crm.veevavault.com/ui/#object/sent_email__v/VBL00000000M553", "SE-001389614")</f>
        <v>SE-001389614</v>
      </c>
      <c r="D15058" s="1" t="s">
        <v>0</v>
      </c>
      <c r="E15058" s="2">
        <v>0</v>
      </c>
      <c r="F15058" s="2">
        <v>0</v>
      </c>
      <c r="G15058" s="2">
        <v>0</v>
      </c>
      <c r="H15058" s="1" t="s">
        <v>0</v>
      </c>
      <c r="I15058" s="2">
        <v>0</v>
      </c>
      <c r="J15058" s="1">
        <v>45973.601319444446</v>
      </c>
    </row>
    <row r="15059" spans="1:10" x14ac:dyDescent="0.2">
      <c r="A15059" s="4" t="s">
        <v>1</v>
      </c>
      <c r="B15059" s="3" t="str">
        <f>HYPERLINK("https://otsuka-europe-crm.veevavault.com/ui/#object/approved_document__v/V5O000000004028", "LUP - Invitación webinar 13N - nefro")</f>
        <v>LUP - Invitación webinar 13N - nefro</v>
      </c>
      <c r="C15059" s="3" t="str">
        <f>HYPERLINK("https://otsuka-europe-crm.veevavault.com/ui/#object/sent_email__v/VBL00000000M554", "SE-001389615")</f>
        <v>SE-001389615</v>
      </c>
      <c r="D15059" s="1" t="s">
        <v>0</v>
      </c>
      <c r="E15059" s="2">
        <v>0</v>
      </c>
      <c r="F15059" s="2">
        <v>0</v>
      </c>
      <c r="G15059" s="2">
        <v>0</v>
      </c>
      <c r="H15059" s="1" t="s">
        <v>0</v>
      </c>
      <c r="I15059" s="2">
        <v>0</v>
      </c>
      <c r="J15059" s="1">
        <v>45973.601354166669</v>
      </c>
    </row>
    <row r="15060" spans="1:10" x14ac:dyDescent="0.2">
      <c r="A15060" s="4" t="s">
        <v>1</v>
      </c>
      <c r="B15060" s="3" t="str">
        <f>HYPERLINK("https://otsuka-europe-crm.veevavault.com/ui/#object/approved_document__v/V5O000000004028", "LUP - Invitación webinar 13N - nefro")</f>
        <v>LUP - Invitación webinar 13N - nefro</v>
      </c>
      <c r="C15060" s="3" t="str">
        <f>HYPERLINK("https://otsuka-europe-crm.veevavault.com/ui/#object/sent_email__v/VBL00000000M555", "SE-001389616")</f>
        <v>SE-001389616</v>
      </c>
      <c r="D15060" s="1" t="s">
        <v>0</v>
      </c>
      <c r="E15060" s="2">
        <v>0</v>
      </c>
      <c r="F15060" s="2">
        <v>0</v>
      </c>
      <c r="G15060" s="2">
        <v>0</v>
      </c>
      <c r="H15060" s="1" t="s">
        <v>0</v>
      </c>
      <c r="I15060" s="2">
        <v>0</v>
      </c>
      <c r="J15060" s="1">
        <v>45973.601400462961</v>
      </c>
    </row>
    <row r="15061" spans="1:10" x14ac:dyDescent="0.2">
      <c r="A15061" s="4" t="s">
        <v>1</v>
      </c>
      <c r="B15061" s="3" t="str">
        <f>HYPERLINK("https://otsuka-europe-crm.veevavault.com/ui/#object/approved_document__v/V5O000000004028", "LUP - Invitación webinar 13N - nefro")</f>
        <v>LUP - Invitación webinar 13N - nefro</v>
      </c>
      <c r="C15061" s="3" t="str">
        <f>HYPERLINK("https://otsuka-europe-crm.veevavault.com/ui/#object/sent_email__v/VBL00000000M556", "SE-001389617")</f>
        <v>SE-001389617</v>
      </c>
      <c r="D15061" s="1" t="s">
        <v>0</v>
      </c>
      <c r="E15061" s="2">
        <v>0</v>
      </c>
      <c r="F15061" s="2">
        <v>0</v>
      </c>
      <c r="G15061" s="2">
        <v>0</v>
      </c>
      <c r="H15061" s="1" t="s">
        <v>0</v>
      </c>
      <c r="I15061" s="2">
        <v>0</v>
      </c>
      <c r="J15061" s="1">
        <v>45973.601446759261</v>
      </c>
    </row>
    <row r="15062" spans="1:10" x14ac:dyDescent="0.2">
      <c r="A15062" s="4" t="s">
        <v>1</v>
      </c>
      <c r="B15062" s="3" t="str">
        <f>HYPERLINK("https://otsuka-europe-crm.veevavault.com/ui/#object/approved_document__v/V5O000000004028", "LUP - Invitación webinar 13N - nefro")</f>
        <v>LUP - Invitación webinar 13N - nefro</v>
      </c>
      <c r="C15062" s="3" t="str">
        <f>HYPERLINK("https://otsuka-europe-crm.veevavault.com/ui/#object/sent_email__v/VBL00000000M557", "SE-001389618")</f>
        <v>SE-001389618</v>
      </c>
      <c r="D15062" s="1" t="s">
        <v>0</v>
      </c>
      <c r="E15062" s="2">
        <v>0</v>
      </c>
      <c r="F15062" s="2">
        <v>0</v>
      </c>
      <c r="G15062" s="2">
        <v>0</v>
      </c>
      <c r="H15062" s="1" t="s">
        <v>0</v>
      </c>
      <c r="I15062" s="2">
        <v>0</v>
      </c>
      <c r="J15062" s="1">
        <v>45973.601481481484</v>
      </c>
    </row>
    <row r="15063" spans="1:10" x14ac:dyDescent="0.2">
      <c r="A15063" s="4" t="s">
        <v>1</v>
      </c>
      <c r="B15063" s="3" t="str">
        <f>HYPERLINK("https://otsuka-europe-crm.veevavault.com/ui/#object/approved_document__v/V5O000000004028", "LUP - Invitación webinar 13N - nefro")</f>
        <v>LUP - Invitación webinar 13N - nefro</v>
      </c>
      <c r="C15063" s="3" t="str">
        <f>HYPERLINK("https://otsuka-europe-crm.veevavault.com/ui/#object/sent_email__v/VBL00000000M558", "SE-001389619")</f>
        <v>SE-001389619</v>
      </c>
      <c r="D15063" s="1" t="s">
        <v>0</v>
      </c>
      <c r="E15063" s="2">
        <v>0</v>
      </c>
      <c r="F15063" s="2">
        <v>0</v>
      </c>
      <c r="G15063" s="2">
        <v>0</v>
      </c>
      <c r="H15063" s="1" t="s">
        <v>0</v>
      </c>
      <c r="I15063" s="2">
        <v>0</v>
      </c>
      <c r="J15063" s="1">
        <v>45973.601527777777</v>
      </c>
    </row>
    <row r="15064" spans="1:10" x14ac:dyDescent="0.2">
      <c r="A15064" s="4" t="s">
        <v>1</v>
      </c>
      <c r="B15064" s="3" t="str">
        <f>HYPERLINK("https://otsuka-europe-crm.veevavault.com/ui/#object/approved_document__v/V5O000000004028", "LUP - Invitación webinar 13N - nefro")</f>
        <v>LUP - Invitación webinar 13N - nefro</v>
      </c>
      <c r="C15064" s="3" t="str">
        <f>HYPERLINK("https://otsuka-europe-crm.veevavault.com/ui/#object/sent_email__v/VBL00000000M559", "SE-001389620")</f>
        <v>SE-001389620</v>
      </c>
      <c r="D15064" s="1" t="s">
        <v>0</v>
      </c>
      <c r="E15064" s="2">
        <v>0</v>
      </c>
      <c r="F15064" s="2">
        <v>0</v>
      </c>
      <c r="G15064" s="2">
        <v>0</v>
      </c>
      <c r="H15064" s="1" t="s">
        <v>0</v>
      </c>
      <c r="I15064" s="2">
        <v>0</v>
      </c>
      <c r="J15064" s="1">
        <v>45973.6015625</v>
      </c>
    </row>
    <row r="15065" spans="1:10" x14ac:dyDescent="0.2">
      <c r="A15065" s="4" t="s">
        <v>1</v>
      </c>
      <c r="B15065" s="3" t="str">
        <f>HYPERLINK("https://otsuka-europe-crm.veevavault.com/ui/#object/approved_document__v/V5O000000004028", "LUP - Invitación webinar 13N - nefro")</f>
        <v>LUP - Invitación webinar 13N - nefro</v>
      </c>
      <c r="C15065" s="3" t="str">
        <f>HYPERLINK("https://otsuka-europe-crm.veevavault.com/ui/#object/sent_email__v/VBL00000000M560", "SE-001389621")</f>
        <v>SE-001389621</v>
      </c>
      <c r="D15065" s="1" t="s">
        <v>0</v>
      </c>
      <c r="E15065" s="2">
        <v>0</v>
      </c>
      <c r="F15065" s="2">
        <v>0</v>
      </c>
      <c r="G15065" s="2">
        <v>0</v>
      </c>
      <c r="H15065" s="1" t="s">
        <v>0</v>
      </c>
      <c r="I15065" s="2">
        <v>0</v>
      </c>
      <c r="J15065" s="1">
        <v>45973.6016087963</v>
      </c>
    </row>
    <row r="15066" spans="1:10" x14ac:dyDescent="0.2">
      <c r="A15066" s="4" t="s">
        <v>1</v>
      </c>
      <c r="B15066" s="3" t="str">
        <f>HYPERLINK("https://otsuka-europe-crm.veevavault.com/ui/#object/approved_document__v/V5O000000004028", "LUP - Invitación webinar 13N - nefro")</f>
        <v>LUP - Invitación webinar 13N - nefro</v>
      </c>
      <c r="C15066" s="3" t="str">
        <f>HYPERLINK("https://otsuka-europe-crm.veevavault.com/ui/#object/sent_email__v/VBL00000000M561", "SE-001389622")</f>
        <v>SE-001389622</v>
      </c>
      <c r="D15066" s="1" t="s">
        <v>0</v>
      </c>
      <c r="E15066" s="2">
        <v>0</v>
      </c>
      <c r="F15066" s="2">
        <v>0</v>
      </c>
      <c r="G15066" s="2">
        <v>0</v>
      </c>
      <c r="H15066" s="1" t="s">
        <v>0</v>
      </c>
      <c r="I15066" s="2">
        <v>0</v>
      </c>
      <c r="J15066" s="1">
        <v>45973.601643518516</v>
      </c>
    </row>
    <row r="15067" spans="1:10" x14ac:dyDescent="0.2">
      <c r="A15067" s="4" t="s">
        <v>1</v>
      </c>
      <c r="B15067" s="3" t="str">
        <f>HYPERLINK("https://otsuka-europe-crm.veevavault.com/ui/#object/approved_document__v/V5O000000004028", "LUP - Invitación webinar 13N - nefro")</f>
        <v>LUP - Invitación webinar 13N - nefro</v>
      </c>
      <c r="C15067" s="3" t="str">
        <f>HYPERLINK("https://otsuka-europe-crm.veevavault.com/ui/#object/sent_email__v/VBL00000000M562", "SE-001389623")</f>
        <v>SE-001389623</v>
      </c>
      <c r="D15067" s="1" t="s">
        <v>0</v>
      </c>
      <c r="E15067" s="2">
        <v>0</v>
      </c>
      <c r="F15067" s="2">
        <v>0</v>
      </c>
      <c r="G15067" s="2">
        <v>0</v>
      </c>
      <c r="H15067" s="1" t="s">
        <v>0</v>
      </c>
      <c r="I15067" s="2">
        <v>0</v>
      </c>
      <c r="J15067" s="1">
        <v>45973.601689814815</v>
      </c>
    </row>
    <row r="15068" spans="1:10" x14ac:dyDescent="0.2">
      <c r="A15068" s="4" t="s">
        <v>1</v>
      </c>
      <c r="B15068" s="3" t="str">
        <f>HYPERLINK("https://otsuka-europe-crm.veevavault.com/ui/#object/approved_document__v/V5O000000004028", "LUP - Invitación webinar 13N - nefro")</f>
        <v>LUP - Invitación webinar 13N - nefro</v>
      </c>
      <c r="C15068" s="3" t="str">
        <f>HYPERLINK("https://otsuka-europe-crm.veevavault.com/ui/#object/sent_email__v/VBL00000000M563", "SE-001389624")</f>
        <v>SE-001389624</v>
      </c>
      <c r="D15068" s="1" t="s">
        <v>0</v>
      </c>
      <c r="E15068" s="2">
        <v>0</v>
      </c>
      <c r="F15068" s="2">
        <v>0</v>
      </c>
      <c r="G15068" s="2">
        <v>0</v>
      </c>
      <c r="H15068" s="1" t="s">
        <v>0</v>
      </c>
      <c r="I15068" s="2">
        <v>0</v>
      </c>
      <c r="J15068" s="1">
        <v>45973.601736111108</v>
      </c>
    </row>
    <row r="15069" spans="1:10" x14ac:dyDescent="0.2">
      <c r="A15069" s="4" t="s">
        <v>1</v>
      </c>
      <c r="B15069" s="3" t="str">
        <f>HYPERLINK("https://otsuka-europe-crm.veevavault.com/ui/#object/approved_document__v/V5O000000004028", "LUP - Invitación webinar 13N - nefro")</f>
        <v>LUP - Invitación webinar 13N - nefro</v>
      </c>
      <c r="C15069" s="3" t="str">
        <f>HYPERLINK("https://otsuka-europe-crm.veevavault.com/ui/#object/sent_email__v/VBL00000000M564", "SE-001389625")</f>
        <v>SE-001389625</v>
      </c>
      <c r="D15069" s="1" t="s">
        <v>0</v>
      </c>
      <c r="E15069" s="2">
        <v>0</v>
      </c>
      <c r="F15069" s="2">
        <v>0</v>
      </c>
      <c r="G15069" s="2">
        <v>0</v>
      </c>
      <c r="H15069" s="1" t="s">
        <v>0</v>
      </c>
      <c r="I15069" s="2">
        <v>0</v>
      </c>
      <c r="J15069" s="1">
        <v>45973.601770833331</v>
      </c>
    </row>
    <row r="15070" spans="1:10" x14ac:dyDescent="0.2">
      <c r="A15070" s="4" t="s">
        <v>1</v>
      </c>
      <c r="B15070" s="3" t="str">
        <f>HYPERLINK("https://otsuka-europe-crm.veevavault.com/ui/#object/approved_document__v/V5O000000004028", "LUP - Invitación webinar 13N - nefro")</f>
        <v>LUP - Invitación webinar 13N - nefro</v>
      </c>
      <c r="C15070" s="3" t="str">
        <f>HYPERLINK("https://otsuka-europe-crm.veevavault.com/ui/#object/sent_email__v/VBL00000000M565", "SE-001389626")</f>
        <v>SE-001389626</v>
      </c>
      <c r="D15070" s="1" t="s">
        <v>0</v>
      </c>
      <c r="E15070" s="2">
        <v>0</v>
      </c>
      <c r="F15070" s="2">
        <v>0</v>
      </c>
      <c r="G15070" s="2">
        <v>0</v>
      </c>
      <c r="H15070" s="1" t="s">
        <v>0</v>
      </c>
      <c r="I15070" s="2">
        <v>0</v>
      </c>
      <c r="J15070" s="1">
        <v>45973.601817129631</v>
      </c>
    </row>
    <row r="15071" spans="1:10" x14ac:dyDescent="0.2">
      <c r="A15071" s="4" t="s">
        <v>1</v>
      </c>
      <c r="B15071" s="3" t="str">
        <f>HYPERLINK("https://otsuka-europe-crm.veevavault.com/ui/#object/approved_document__v/V5O000000004028", "LUP - Invitación webinar 13N - nefro")</f>
        <v>LUP - Invitación webinar 13N - nefro</v>
      </c>
      <c r="C15071" s="3" t="str">
        <f>HYPERLINK("https://otsuka-europe-crm.veevavault.com/ui/#object/sent_email__v/VBL00000000M566", "SE-001389627")</f>
        <v>SE-001389627</v>
      </c>
      <c r="D15071" s="1" t="s">
        <v>0</v>
      </c>
      <c r="E15071" s="2">
        <v>0</v>
      </c>
      <c r="F15071" s="2">
        <v>0</v>
      </c>
      <c r="G15071" s="2">
        <v>0</v>
      </c>
      <c r="H15071" s="1" t="s">
        <v>0</v>
      </c>
      <c r="I15071" s="2">
        <v>0</v>
      </c>
      <c r="J15071" s="1">
        <v>45973.601851851854</v>
      </c>
    </row>
    <row r="15072" spans="1:10" x14ac:dyDescent="0.2">
      <c r="A15072" s="4" t="s">
        <v>1</v>
      </c>
      <c r="B15072" s="3" t="str">
        <f>HYPERLINK("https://otsuka-europe-crm.veevavault.com/ui/#object/approved_document__v/V5O000000004028", "LUP - Invitación webinar 13N - nefro")</f>
        <v>LUP - Invitación webinar 13N - nefro</v>
      </c>
      <c r="C15072" s="3" t="str">
        <f>HYPERLINK("https://otsuka-europe-crm.veevavault.com/ui/#object/sent_email__v/VBL00000000M567", "SE-001389628")</f>
        <v>SE-001389628</v>
      </c>
      <c r="D15072" s="1" t="s">
        <v>0</v>
      </c>
      <c r="E15072" s="2">
        <v>0</v>
      </c>
      <c r="F15072" s="2">
        <v>0</v>
      </c>
      <c r="G15072" s="2">
        <v>0</v>
      </c>
      <c r="H15072" s="1" t="s">
        <v>0</v>
      </c>
      <c r="I15072" s="2">
        <v>0</v>
      </c>
      <c r="J15072" s="1">
        <v>45973.601898148147</v>
      </c>
    </row>
    <row r="15073" spans="1:10" x14ac:dyDescent="0.2">
      <c r="A15073" s="4" t="s">
        <v>1</v>
      </c>
      <c r="B15073" s="3" t="str">
        <f>HYPERLINK("https://otsuka-europe-crm.veevavault.com/ui/#object/approved_document__v/V5O000000004028", "LUP - Invitación webinar 13N - nefro")</f>
        <v>LUP - Invitación webinar 13N - nefro</v>
      </c>
      <c r="C15073" s="3" t="str">
        <f>HYPERLINK("https://otsuka-europe-crm.veevavault.com/ui/#object/sent_email__v/VBL00000000M568", "SE-001389629")</f>
        <v>SE-001389629</v>
      </c>
      <c r="D15073" s="1" t="s">
        <v>0</v>
      </c>
      <c r="E15073" s="2">
        <v>0</v>
      </c>
      <c r="F15073" s="2">
        <v>0</v>
      </c>
      <c r="G15073" s="2">
        <v>0</v>
      </c>
      <c r="H15073" s="1" t="s">
        <v>0</v>
      </c>
      <c r="I15073" s="2">
        <v>0</v>
      </c>
      <c r="J15073" s="1">
        <v>45973.601956018516</v>
      </c>
    </row>
    <row r="15074" spans="1:10" x14ac:dyDescent="0.2">
      <c r="A15074" s="4" t="s">
        <v>1</v>
      </c>
      <c r="B15074" s="3" t="str">
        <f>HYPERLINK("https://otsuka-europe-crm.veevavault.com/ui/#object/approved_document__v/V5O000000004028", "LUP - Invitación webinar 13N - nefro")</f>
        <v>LUP - Invitación webinar 13N - nefro</v>
      </c>
      <c r="C15074" s="3" t="str">
        <f>HYPERLINK("https://otsuka-europe-crm.veevavault.com/ui/#object/sent_email__v/VBL00000000M569", "SE-001389630")</f>
        <v>SE-001389630</v>
      </c>
      <c r="D15074" s="1" t="s">
        <v>0</v>
      </c>
      <c r="E15074" s="2">
        <v>0</v>
      </c>
      <c r="F15074" s="2">
        <v>0</v>
      </c>
      <c r="G15074" s="2">
        <v>0</v>
      </c>
      <c r="H15074" s="1" t="s">
        <v>0</v>
      </c>
      <c r="I15074" s="2">
        <v>0</v>
      </c>
      <c r="J15074" s="1">
        <v>45973.602002314816</v>
      </c>
    </row>
    <row r="15075" spans="1:10" x14ac:dyDescent="0.2">
      <c r="A15075" s="4" t="s">
        <v>1</v>
      </c>
      <c r="B15075" s="3" t="str">
        <f>HYPERLINK("https://otsuka-europe-crm.veevavault.com/ui/#object/approved_document__v/V5O000000004028", "LUP - Invitación webinar 13N - nefro")</f>
        <v>LUP - Invitación webinar 13N - nefro</v>
      </c>
      <c r="C15075" s="3" t="str">
        <f>HYPERLINK("https://otsuka-europe-crm.veevavault.com/ui/#object/sent_email__v/VBL00000000M570", "SE-001389631")</f>
        <v>SE-001389631</v>
      </c>
      <c r="D15075" s="1" t="s">
        <v>0</v>
      </c>
      <c r="E15075" s="2">
        <v>0</v>
      </c>
      <c r="F15075" s="2">
        <v>0</v>
      </c>
      <c r="G15075" s="2">
        <v>0</v>
      </c>
      <c r="H15075" s="1" t="s">
        <v>0</v>
      </c>
      <c r="I15075" s="2">
        <v>0</v>
      </c>
      <c r="J15075" s="1">
        <v>45973.602037037039</v>
      </c>
    </row>
    <row r="15076" spans="1:10" x14ac:dyDescent="0.2">
      <c r="A15076" s="4" t="s">
        <v>1</v>
      </c>
      <c r="B15076" s="3" t="str">
        <f>HYPERLINK("https://otsuka-europe-crm.veevavault.com/ui/#object/approved_document__v/V5O000000004028", "LUP - Invitación webinar 13N - nefro")</f>
        <v>LUP - Invitación webinar 13N - nefro</v>
      </c>
      <c r="C15076" s="3" t="str">
        <f>HYPERLINK("https://otsuka-europe-crm.veevavault.com/ui/#object/sent_email__v/VBL00000000M571", "SE-001389632")</f>
        <v>SE-001389632</v>
      </c>
      <c r="D15076" s="1" t="s">
        <v>0</v>
      </c>
      <c r="E15076" s="2">
        <v>0</v>
      </c>
      <c r="F15076" s="2">
        <v>0</v>
      </c>
      <c r="G15076" s="2">
        <v>0</v>
      </c>
      <c r="H15076" s="1" t="s">
        <v>0</v>
      </c>
      <c r="I15076" s="2">
        <v>0</v>
      </c>
      <c r="J15076" s="1">
        <v>45973.602071759262</v>
      </c>
    </row>
    <row r="15077" spans="1:10" x14ac:dyDescent="0.2">
      <c r="A15077" s="4" t="s">
        <v>1</v>
      </c>
      <c r="B15077" s="3" t="str">
        <f>HYPERLINK("https://otsuka-europe-crm.veevavault.com/ui/#object/approved_document__v/V5O000000004028", "LUP - Invitación webinar 13N - nefro")</f>
        <v>LUP - Invitación webinar 13N - nefro</v>
      </c>
      <c r="C15077" s="3" t="str">
        <f>HYPERLINK("https://otsuka-europe-crm.veevavault.com/ui/#object/sent_email__v/VBL00000000M572", "SE-001389633")</f>
        <v>SE-001389633</v>
      </c>
      <c r="D15077" s="1">
        <v>45973.779641203706</v>
      </c>
      <c r="E15077" s="2">
        <v>1</v>
      </c>
      <c r="F15077" s="2">
        <v>1</v>
      </c>
      <c r="G15077" s="2">
        <v>0</v>
      </c>
      <c r="H15077" s="1" t="s">
        <v>0</v>
      </c>
      <c r="I15077" s="2">
        <v>0</v>
      </c>
      <c r="J15077" s="1">
        <v>45973.602118055554</v>
      </c>
    </row>
    <row r="15078" spans="1:10" x14ac:dyDescent="0.2">
      <c r="A15078" s="4" t="s">
        <v>1</v>
      </c>
      <c r="B15078" s="3" t="str">
        <f>HYPERLINK("https://otsuka-europe-crm.veevavault.com/ui/#object/approved_document__v/V5O000000004028", "LUP - Invitación webinar 13N - nefro")</f>
        <v>LUP - Invitación webinar 13N - nefro</v>
      </c>
      <c r="C15078" s="3" t="str">
        <f>HYPERLINK("https://otsuka-europe-crm.veevavault.com/ui/#object/sent_email__v/VBL00000000M573", "SE-001389634")</f>
        <v>SE-001389634</v>
      </c>
      <c r="D15078" s="1" t="s">
        <v>0</v>
      </c>
      <c r="E15078" s="2">
        <v>0</v>
      </c>
      <c r="F15078" s="2">
        <v>0</v>
      </c>
      <c r="G15078" s="2">
        <v>0</v>
      </c>
      <c r="H15078" s="1" t="s">
        <v>0</v>
      </c>
      <c r="I15078" s="2">
        <v>0</v>
      </c>
      <c r="J15078" s="1">
        <v>45973.602164351854</v>
      </c>
    </row>
    <row r="15079" spans="1:10" x14ac:dyDescent="0.2">
      <c r="A15079" s="4" t="s">
        <v>1</v>
      </c>
      <c r="B15079" s="3" t="str">
        <f>HYPERLINK("https://otsuka-europe-crm.veevavault.com/ui/#object/approved_document__v/V5O000000004028", "LUP - Invitación webinar 13N - nefro")</f>
        <v>LUP - Invitación webinar 13N - nefro</v>
      </c>
      <c r="C15079" s="3" t="str">
        <f>HYPERLINK("https://otsuka-europe-crm.veevavault.com/ui/#object/sent_email__v/VBL00000000M574", "SE-001389635")</f>
        <v>SE-001389635</v>
      </c>
      <c r="D15079" s="1" t="s">
        <v>0</v>
      </c>
      <c r="E15079" s="2">
        <v>0</v>
      </c>
      <c r="F15079" s="2">
        <v>0</v>
      </c>
      <c r="G15079" s="2">
        <v>0</v>
      </c>
      <c r="H15079" s="1" t="s">
        <v>0</v>
      </c>
      <c r="I15079" s="2">
        <v>0</v>
      </c>
      <c r="J15079" s="1">
        <v>45973.602222222224</v>
      </c>
    </row>
    <row r="15080" spans="1:10" x14ac:dyDescent="0.2">
      <c r="A15080" s="4" t="s">
        <v>1</v>
      </c>
      <c r="B15080" s="3" t="str">
        <f>HYPERLINK("https://otsuka-europe-crm.veevavault.com/ui/#object/approved_document__v/V5O000000004028", "LUP - Invitación webinar 13N - nefro")</f>
        <v>LUP - Invitación webinar 13N - nefro</v>
      </c>
      <c r="C15080" s="3" t="str">
        <f>HYPERLINK("https://otsuka-europe-crm.veevavault.com/ui/#object/sent_email__v/VBL00000000M575", "SE-001389636")</f>
        <v>SE-001389636</v>
      </c>
      <c r="D15080" s="1" t="s">
        <v>0</v>
      </c>
      <c r="E15080" s="2">
        <v>0</v>
      </c>
      <c r="F15080" s="2">
        <v>0</v>
      </c>
      <c r="G15080" s="2">
        <v>0</v>
      </c>
      <c r="H15080" s="1" t="s">
        <v>0</v>
      </c>
      <c r="I15080" s="2">
        <v>0</v>
      </c>
      <c r="J15080" s="1">
        <v>45973.602233796293</v>
      </c>
    </row>
    <row r="15081" spans="1:10" x14ac:dyDescent="0.2">
      <c r="A15081" s="4" t="s">
        <v>1</v>
      </c>
      <c r="B15081" s="3" t="str">
        <f>HYPERLINK("https://otsuka-europe-crm.veevavault.com/ui/#object/approved_document__v/V5O000000004028", "LUP - Invitación webinar 13N - nefro")</f>
        <v>LUP - Invitación webinar 13N - nefro</v>
      </c>
      <c r="C15081" s="3" t="str">
        <f>HYPERLINK("https://otsuka-europe-crm.veevavault.com/ui/#object/sent_email__v/VBL00000000M576", "SE-001389637")</f>
        <v>SE-001389637</v>
      </c>
      <c r="D15081" s="1" t="s">
        <v>0</v>
      </c>
      <c r="E15081" s="2">
        <v>0</v>
      </c>
      <c r="F15081" s="2">
        <v>0</v>
      </c>
      <c r="G15081" s="2">
        <v>0</v>
      </c>
      <c r="H15081" s="1" t="s">
        <v>0</v>
      </c>
      <c r="I15081" s="2">
        <v>0</v>
      </c>
      <c r="J15081" s="1">
        <v>45973.602280092593</v>
      </c>
    </row>
    <row r="15082" spans="1:10" x14ac:dyDescent="0.2">
      <c r="A15082" s="4" t="s">
        <v>1</v>
      </c>
      <c r="B15082" s="3" t="str">
        <f>HYPERLINK("https://otsuka-europe-crm.veevavault.com/ui/#object/approved_document__v/V5O000000004028", "LUP - Invitación webinar 13N - nefro")</f>
        <v>LUP - Invitación webinar 13N - nefro</v>
      </c>
      <c r="C15082" s="3" t="str">
        <f>HYPERLINK("https://otsuka-europe-crm.veevavault.com/ui/#object/sent_email__v/VBL00000000M577", "SE-001389638")</f>
        <v>SE-001389638</v>
      </c>
      <c r="D15082" s="1">
        <v>45973.911527777775</v>
      </c>
      <c r="E15082" s="2">
        <v>1</v>
      </c>
      <c r="F15082" s="2">
        <v>1</v>
      </c>
      <c r="G15082" s="2">
        <v>0</v>
      </c>
      <c r="H15082" s="1" t="s">
        <v>0</v>
      </c>
      <c r="I15082" s="2">
        <v>0</v>
      </c>
      <c r="J15082" s="1">
        <v>45973.602326388886</v>
      </c>
    </row>
    <row r="15083" spans="1:10" x14ac:dyDescent="0.2">
      <c r="A15083" s="4" t="s">
        <v>1</v>
      </c>
      <c r="B15083" s="3" t="str">
        <f>HYPERLINK("https://otsuka-europe-crm.veevavault.com/ui/#object/approved_document__v/V5O000000004028", "LUP - Invitación webinar 13N - nefro")</f>
        <v>LUP - Invitación webinar 13N - nefro</v>
      </c>
      <c r="C15083" s="3" t="str">
        <f>HYPERLINK("https://otsuka-europe-crm.veevavault.com/ui/#object/sent_email__v/VBL00000000M578", "SE-001389639")</f>
        <v>SE-001389639</v>
      </c>
      <c r="D15083" s="1" t="s">
        <v>0</v>
      </c>
      <c r="E15083" s="2">
        <v>0</v>
      </c>
      <c r="F15083" s="2">
        <v>0</v>
      </c>
      <c r="G15083" s="2">
        <v>0</v>
      </c>
      <c r="H15083" s="1" t="s">
        <v>0</v>
      </c>
      <c r="I15083" s="2">
        <v>0</v>
      </c>
      <c r="J15083" s="1">
        <v>45973.602361111109</v>
      </c>
    </row>
    <row r="15084" spans="1:10" x14ac:dyDescent="0.2">
      <c r="A15084" s="4" t="s">
        <v>1</v>
      </c>
      <c r="B15084" s="3" t="str">
        <f>HYPERLINK("https://otsuka-europe-crm.veevavault.com/ui/#object/approved_document__v/V5O000000004028", "LUP - Invitación webinar 13N - nefro")</f>
        <v>LUP - Invitación webinar 13N - nefro</v>
      </c>
      <c r="C15084" s="3" t="str">
        <f>HYPERLINK("https://otsuka-europe-crm.veevavault.com/ui/#object/sent_email__v/VBL00000000M579", "SE-001389640")</f>
        <v>SE-001389640</v>
      </c>
      <c r="D15084" s="1" t="s">
        <v>0</v>
      </c>
      <c r="E15084" s="2">
        <v>0</v>
      </c>
      <c r="F15084" s="2">
        <v>0</v>
      </c>
      <c r="G15084" s="2">
        <v>0</v>
      </c>
      <c r="H15084" s="1" t="s">
        <v>0</v>
      </c>
      <c r="I15084" s="2">
        <v>0</v>
      </c>
      <c r="J15084" s="1">
        <v>45973.602407407408</v>
      </c>
    </row>
    <row r="15085" spans="1:10" x14ac:dyDescent="0.2">
      <c r="A15085" s="4" t="s">
        <v>1</v>
      </c>
      <c r="B15085" s="3" t="str">
        <f>HYPERLINK("https://otsuka-europe-crm.veevavault.com/ui/#object/approved_document__v/V5O000000004028", "LUP - Invitación webinar 13N - nefro")</f>
        <v>LUP - Invitación webinar 13N - nefro</v>
      </c>
      <c r="C15085" s="3" t="str">
        <f>HYPERLINK("https://otsuka-europe-crm.veevavault.com/ui/#object/sent_email__v/VBL00000000M580", "SE-001389641")</f>
        <v>SE-001389641</v>
      </c>
      <c r="D15085" s="1" t="s">
        <v>0</v>
      </c>
      <c r="E15085" s="2">
        <v>0</v>
      </c>
      <c r="F15085" s="2">
        <v>0</v>
      </c>
      <c r="G15085" s="2">
        <v>0</v>
      </c>
      <c r="H15085" s="1" t="s">
        <v>0</v>
      </c>
      <c r="I15085" s="2">
        <v>0</v>
      </c>
      <c r="J15085" s="1">
        <v>45973.602453703701</v>
      </c>
    </row>
    <row r="15086" spans="1:10" x14ac:dyDescent="0.2">
      <c r="A15086" s="4" t="s">
        <v>1</v>
      </c>
      <c r="B15086" s="3" t="str">
        <f>HYPERLINK("https://otsuka-europe-crm.veevavault.com/ui/#object/approved_document__v/V5O000000004028", "LUP - Invitación webinar 13N - nefro")</f>
        <v>LUP - Invitación webinar 13N - nefro</v>
      </c>
      <c r="C15086" s="3" t="str">
        <f>HYPERLINK("https://otsuka-europe-crm.veevavault.com/ui/#object/sent_email__v/VBL00000000M581", "SE-001389642")</f>
        <v>SE-001389642</v>
      </c>
      <c r="D15086" s="1" t="s">
        <v>0</v>
      </c>
      <c r="E15086" s="2">
        <v>0</v>
      </c>
      <c r="F15086" s="2">
        <v>0</v>
      </c>
      <c r="G15086" s="2">
        <v>0</v>
      </c>
      <c r="H15086" s="1" t="s">
        <v>0</v>
      </c>
      <c r="I15086" s="2">
        <v>0</v>
      </c>
      <c r="J15086" s="1">
        <v>45973.602488425924</v>
      </c>
    </row>
    <row r="15087" spans="1:10" x14ac:dyDescent="0.2">
      <c r="A15087" s="4" t="s">
        <v>1</v>
      </c>
      <c r="B15087" s="3" t="str">
        <f>HYPERLINK("https://otsuka-europe-crm.veevavault.com/ui/#object/approved_document__v/V5O000000004028", "LUP - Invitación webinar 13N - nefro")</f>
        <v>LUP - Invitación webinar 13N - nefro</v>
      </c>
      <c r="C15087" s="3" t="str">
        <f>HYPERLINK("https://otsuka-europe-crm.veevavault.com/ui/#object/sent_email__v/VBL00000000M582", "SE-001389643")</f>
        <v>SE-001389643</v>
      </c>
      <c r="D15087" s="1" t="s">
        <v>0</v>
      </c>
      <c r="E15087" s="2">
        <v>0</v>
      </c>
      <c r="F15087" s="2">
        <v>0</v>
      </c>
      <c r="G15087" s="2">
        <v>0</v>
      </c>
      <c r="H15087" s="1" t="s">
        <v>0</v>
      </c>
      <c r="I15087" s="2">
        <v>0</v>
      </c>
      <c r="J15087" s="1">
        <v>45973.602534722224</v>
      </c>
    </row>
    <row r="15088" spans="1:10" x14ac:dyDescent="0.2">
      <c r="A15088" s="4" t="s">
        <v>1</v>
      </c>
      <c r="B15088" s="3" t="str">
        <f>HYPERLINK("https://otsuka-europe-crm.veevavault.com/ui/#object/approved_document__v/V5O000000004028", "LUP - Invitación webinar 13N - nefro")</f>
        <v>LUP - Invitación webinar 13N - nefro</v>
      </c>
      <c r="C15088" s="3" t="str">
        <f>HYPERLINK("https://otsuka-europe-crm.veevavault.com/ui/#object/sent_email__v/VBL00000000M583", "SE-001389644")</f>
        <v>SE-001389644</v>
      </c>
      <c r="D15088" s="1" t="s">
        <v>0</v>
      </c>
      <c r="E15088" s="2">
        <v>0</v>
      </c>
      <c r="F15088" s="2">
        <v>0</v>
      </c>
      <c r="G15088" s="2">
        <v>0</v>
      </c>
      <c r="H15088" s="1" t="s">
        <v>0</v>
      </c>
      <c r="I15088" s="2">
        <v>0</v>
      </c>
      <c r="J15088" s="1">
        <v>45973.602581018517</v>
      </c>
    </row>
    <row r="15089" spans="1:10" x14ac:dyDescent="0.2">
      <c r="A15089" s="4" t="s">
        <v>1</v>
      </c>
      <c r="B15089" s="3" t="str">
        <f>HYPERLINK("https://otsuka-europe-crm.veevavault.com/ui/#object/approved_document__v/V5O000000004028", "LUP - Invitación webinar 13N - nefro")</f>
        <v>LUP - Invitación webinar 13N - nefro</v>
      </c>
      <c r="C15089" s="3" t="str">
        <f>HYPERLINK("https://otsuka-europe-crm.veevavault.com/ui/#object/sent_email__v/VBL00000000M584", "SE-001389645")</f>
        <v>SE-001389645</v>
      </c>
      <c r="D15089" s="1" t="s">
        <v>0</v>
      </c>
      <c r="E15089" s="2">
        <v>0</v>
      </c>
      <c r="F15089" s="2">
        <v>0</v>
      </c>
      <c r="G15089" s="2">
        <v>0</v>
      </c>
      <c r="H15089" s="1" t="s">
        <v>0</v>
      </c>
      <c r="I15089" s="2">
        <v>0</v>
      </c>
      <c r="J15089" s="1">
        <v>45973.602627314816</v>
      </c>
    </row>
    <row r="15090" spans="1:10" x14ac:dyDescent="0.2">
      <c r="A15090" s="4" t="s">
        <v>1</v>
      </c>
      <c r="B15090" s="3" t="str">
        <f>HYPERLINK("https://otsuka-europe-crm.veevavault.com/ui/#object/approved_document__v/V5O000000004028", "LUP - Invitación webinar 13N - nefro")</f>
        <v>LUP - Invitación webinar 13N - nefro</v>
      </c>
      <c r="C15090" s="3" t="str">
        <f>HYPERLINK("https://otsuka-europe-crm.veevavault.com/ui/#object/sent_email__v/VBL00000000M697", "SE-001389763")</f>
        <v>SE-001389763</v>
      </c>
      <c r="D15090" s="1" t="s">
        <v>0</v>
      </c>
      <c r="E15090" s="2">
        <v>0</v>
      </c>
      <c r="F15090" s="2">
        <v>0</v>
      </c>
      <c r="G15090" s="2">
        <v>0</v>
      </c>
      <c r="H15090" s="1" t="s">
        <v>0</v>
      </c>
      <c r="I15090" s="2">
        <v>0</v>
      </c>
      <c r="J15090" s="1">
        <v>45973.657881944448</v>
      </c>
    </row>
    <row r="15091" spans="1:10" x14ac:dyDescent="0.2">
      <c r="A15091" s="4" t="s">
        <v>1</v>
      </c>
      <c r="B15091" s="3" t="str">
        <f>HYPERLINK("https://otsuka-europe-crm.veevavault.com/ui/#object/approved_document__v/V5O000000004028", "LUP - Invitación webinar 13N - nefro")</f>
        <v>LUP - Invitación webinar 13N - nefro</v>
      </c>
      <c r="C15091" s="3" t="str">
        <f>HYPERLINK("https://otsuka-europe-crm.veevavault.com/ui/#object/sent_email__v/VBL00000000M698", "SE-001389764")</f>
        <v>SE-001389764</v>
      </c>
      <c r="D15091" s="1" t="s">
        <v>0</v>
      </c>
      <c r="E15091" s="2">
        <v>0</v>
      </c>
      <c r="F15091" s="2">
        <v>0</v>
      </c>
      <c r="G15091" s="2">
        <v>0</v>
      </c>
      <c r="H15091" s="1" t="s">
        <v>0</v>
      </c>
      <c r="I15091" s="2">
        <v>0</v>
      </c>
      <c r="J15091" s="1">
        <v>45973.657881944448</v>
      </c>
    </row>
    <row r="15092" spans="1:10" x14ac:dyDescent="0.2">
      <c r="A15092" s="4" t="s">
        <v>1</v>
      </c>
      <c r="B15092" s="3" t="str">
        <f>HYPERLINK("https://otsuka-europe-crm.veevavault.com/ui/#object/approved_document__v/V5O000000004028", "LUP - Invitación webinar 13N - nefro")</f>
        <v>LUP - Invitación webinar 13N - nefro</v>
      </c>
      <c r="C15092" s="3" t="str">
        <f>HYPERLINK("https://otsuka-europe-crm.veevavault.com/ui/#object/sent_email__v/VBL00000000M699", "SE-001389765")</f>
        <v>SE-001389765</v>
      </c>
      <c r="D15092" s="1" t="s">
        <v>0</v>
      </c>
      <c r="E15092" s="2">
        <v>0</v>
      </c>
      <c r="F15092" s="2">
        <v>0</v>
      </c>
      <c r="G15092" s="2">
        <v>0</v>
      </c>
      <c r="H15092" s="1" t="s">
        <v>0</v>
      </c>
      <c r="I15092" s="2">
        <v>0</v>
      </c>
      <c r="J15092" s="1">
        <v>45973.657881944448</v>
      </c>
    </row>
    <row r="15093" spans="1:10" x14ac:dyDescent="0.2">
      <c r="A15093" s="4" t="s">
        <v>1</v>
      </c>
      <c r="B15093" s="3" t="str">
        <f>HYPERLINK("https://otsuka-europe-crm.veevavault.com/ui/#object/approved_document__v/V5O000000004028", "LUP - Invitación webinar 13N - nefro")</f>
        <v>LUP - Invitación webinar 13N - nefro</v>
      </c>
      <c r="C15093" s="3" t="str">
        <f>HYPERLINK("https://otsuka-europe-crm.veevavault.com/ui/#object/sent_email__v/VBL00000000M700", "SE-001389766")</f>
        <v>SE-001389766</v>
      </c>
      <c r="D15093" s="1" t="s">
        <v>0</v>
      </c>
      <c r="E15093" s="2">
        <v>0</v>
      </c>
      <c r="F15093" s="2">
        <v>0</v>
      </c>
      <c r="G15093" s="2">
        <v>0</v>
      </c>
      <c r="H15093" s="1" t="s">
        <v>0</v>
      </c>
      <c r="I15093" s="2">
        <v>0</v>
      </c>
      <c r="J15093" s="1">
        <v>45973.657881944448</v>
      </c>
    </row>
    <row r="15094" spans="1:10" x14ac:dyDescent="0.2">
      <c r="A15094" s="4" t="s">
        <v>1</v>
      </c>
      <c r="B15094" s="3" t="str">
        <f>HYPERLINK("https://otsuka-europe-crm.veevavault.com/ui/#object/approved_document__v/V5O000000004028", "LUP - Invitación webinar 13N - nefro")</f>
        <v>LUP - Invitación webinar 13N - nefro</v>
      </c>
      <c r="C15094" s="3" t="str">
        <f>HYPERLINK("https://otsuka-europe-crm.veevavault.com/ui/#object/sent_email__v/VBL00000000M701", "SE-001389767")</f>
        <v>SE-001389767</v>
      </c>
      <c r="D15094" s="1" t="s">
        <v>0</v>
      </c>
      <c r="E15094" s="2">
        <v>0</v>
      </c>
      <c r="F15094" s="2">
        <v>0</v>
      </c>
      <c r="G15094" s="2">
        <v>0</v>
      </c>
      <c r="H15094" s="1" t="s">
        <v>0</v>
      </c>
      <c r="I15094" s="2">
        <v>0</v>
      </c>
      <c r="J15094" s="1">
        <v>45973.657881944448</v>
      </c>
    </row>
    <row r="15095" spans="1:10" x14ac:dyDescent="0.2">
      <c r="A15095" s="4" t="s">
        <v>1</v>
      </c>
      <c r="B15095" s="3" t="str">
        <f>HYPERLINK("https://otsuka-europe-crm.veevavault.com/ui/#object/approved_document__v/V5O000000004028", "LUP - Invitación webinar 13N - nefro")</f>
        <v>LUP - Invitación webinar 13N - nefro</v>
      </c>
      <c r="C15095" s="3" t="str">
        <f>HYPERLINK("https://otsuka-europe-crm.veevavault.com/ui/#object/sent_email__v/VBL00000000M702", "SE-001389768")</f>
        <v>SE-001389768</v>
      </c>
      <c r="D15095" s="1" t="s">
        <v>0</v>
      </c>
      <c r="E15095" s="2">
        <v>0</v>
      </c>
      <c r="F15095" s="2">
        <v>0</v>
      </c>
      <c r="G15095" s="2">
        <v>0</v>
      </c>
      <c r="H15095" s="1" t="s">
        <v>0</v>
      </c>
      <c r="I15095" s="2">
        <v>0</v>
      </c>
      <c r="J15095" s="1">
        <v>45973.657881944448</v>
      </c>
    </row>
    <row r="15096" spans="1:10" x14ac:dyDescent="0.2">
      <c r="A15096" s="4" t="s">
        <v>1</v>
      </c>
      <c r="B15096" s="3" t="str">
        <f>HYPERLINK("https://otsuka-europe-crm.veevavault.com/ui/#object/approved_document__v/V5O000000004028", "LUP - Invitación webinar 13N - nefro")</f>
        <v>LUP - Invitación webinar 13N - nefro</v>
      </c>
      <c r="C15096" s="3" t="str">
        <f>HYPERLINK("https://otsuka-europe-crm.veevavault.com/ui/#object/sent_email__v/VBL00000000M703", "SE-001389769")</f>
        <v>SE-001389769</v>
      </c>
      <c r="D15096" s="1" t="s">
        <v>0</v>
      </c>
      <c r="E15096" s="2">
        <v>0</v>
      </c>
      <c r="F15096" s="2">
        <v>0</v>
      </c>
      <c r="G15096" s="2">
        <v>0</v>
      </c>
      <c r="H15096" s="1" t="s">
        <v>0</v>
      </c>
      <c r="I15096" s="2">
        <v>0</v>
      </c>
      <c r="J15096" s="1">
        <v>45973.657881944448</v>
      </c>
    </row>
    <row r="15097" spans="1:10" x14ac:dyDescent="0.2">
      <c r="A15097" s="4" t="s">
        <v>1</v>
      </c>
      <c r="B15097" s="3" t="str">
        <f>HYPERLINK("https://otsuka-europe-crm.veevavault.com/ui/#object/approved_document__v/V5O000000004028", "LUP - Invitación webinar 13N - nefro")</f>
        <v>LUP - Invitación webinar 13N - nefro</v>
      </c>
      <c r="C15097" s="3" t="str">
        <f>HYPERLINK("https://otsuka-europe-crm.veevavault.com/ui/#object/sent_email__v/VBL00000000M704", "SE-001389770")</f>
        <v>SE-001389770</v>
      </c>
      <c r="D15097" s="1" t="s">
        <v>0</v>
      </c>
      <c r="E15097" s="2">
        <v>0</v>
      </c>
      <c r="F15097" s="2">
        <v>0</v>
      </c>
      <c r="G15097" s="2">
        <v>0</v>
      </c>
      <c r="H15097" s="1" t="s">
        <v>0</v>
      </c>
      <c r="I15097" s="2">
        <v>0</v>
      </c>
      <c r="J15097" s="1">
        <v>45973.657881944448</v>
      </c>
    </row>
    <row r="15098" spans="1:10" x14ac:dyDescent="0.2">
      <c r="A15098" s="4" t="s">
        <v>1</v>
      </c>
      <c r="B15098" s="3" t="str">
        <f>HYPERLINK("https://otsuka-europe-crm.veevavault.com/ui/#object/approved_document__v/V5O000000004028", "LUP - Invitación webinar 13N - nefro")</f>
        <v>LUP - Invitación webinar 13N - nefro</v>
      </c>
      <c r="C15098" s="3" t="str">
        <f>HYPERLINK("https://otsuka-europe-crm.veevavault.com/ui/#object/sent_email__v/VBL00000000M705", "SE-001389771")</f>
        <v>SE-001389771</v>
      </c>
      <c r="D15098" s="1" t="s">
        <v>0</v>
      </c>
      <c r="E15098" s="2">
        <v>0</v>
      </c>
      <c r="F15098" s="2">
        <v>0</v>
      </c>
      <c r="G15098" s="2">
        <v>0</v>
      </c>
      <c r="H15098" s="1" t="s">
        <v>0</v>
      </c>
      <c r="I15098" s="2">
        <v>0</v>
      </c>
      <c r="J15098" s="1">
        <v>45973.657881944448</v>
      </c>
    </row>
    <row r="15099" spans="1:10" x14ac:dyDescent="0.2">
      <c r="A15099" s="4" t="s">
        <v>1</v>
      </c>
      <c r="B15099" s="3" t="str">
        <f>HYPERLINK("https://otsuka-europe-crm.veevavault.com/ui/#object/approved_document__v/V5O000000004028", "LUP - Invitación webinar 13N - nefro")</f>
        <v>LUP - Invitación webinar 13N - nefro</v>
      </c>
      <c r="C15099" s="3" t="str">
        <f>HYPERLINK("https://otsuka-europe-crm.veevavault.com/ui/#object/sent_email__v/VBL00000000M706", "SE-001389772")</f>
        <v>SE-001389772</v>
      </c>
      <c r="D15099" s="1" t="s">
        <v>0</v>
      </c>
      <c r="E15099" s="2">
        <v>0</v>
      </c>
      <c r="F15099" s="2">
        <v>0</v>
      </c>
      <c r="G15099" s="2">
        <v>0</v>
      </c>
      <c r="H15099" s="1" t="s">
        <v>0</v>
      </c>
      <c r="I15099" s="2">
        <v>0</v>
      </c>
      <c r="J15099" s="1">
        <v>45973.657881944448</v>
      </c>
    </row>
    <row r="15100" spans="1:10" x14ac:dyDescent="0.2">
      <c r="A15100" s="4" t="s">
        <v>1</v>
      </c>
      <c r="B15100" s="3" t="str">
        <f>HYPERLINK("https://otsuka-europe-crm.veevavault.com/ui/#object/approved_document__v/V5O000000004028", "LUP - Invitación webinar 13N - nefro")</f>
        <v>LUP - Invitación webinar 13N - nefro</v>
      </c>
      <c r="C15100" s="3" t="str">
        <f>HYPERLINK("https://otsuka-europe-crm.veevavault.com/ui/#object/sent_email__v/VBL00000000M707", "SE-001389773")</f>
        <v>SE-001389773</v>
      </c>
      <c r="D15100" s="1" t="s">
        <v>0</v>
      </c>
      <c r="E15100" s="2">
        <v>0</v>
      </c>
      <c r="F15100" s="2">
        <v>0</v>
      </c>
      <c r="G15100" s="2">
        <v>0</v>
      </c>
      <c r="H15100" s="1" t="s">
        <v>0</v>
      </c>
      <c r="I15100" s="2">
        <v>0</v>
      </c>
      <c r="J15100" s="1">
        <v>45973.657881944448</v>
      </c>
    </row>
    <row r="15101" spans="1:10" x14ac:dyDescent="0.2">
      <c r="A15101" s="4" t="s">
        <v>1</v>
      </c>
      <c r="B15101" s="3" t="str">
        <f>HYPERLINK("https://otsuka-europe-crm.veevavault.com/ui/#object/approved_document__v/V5O000000004028", "LUP - Invitación webinar 13N - nefro")</f>
        <v>LUP - Invitación webinar 13N - nefro</v>
      </c>
      <c r="C15101" s="3" t="str">
        <f>HYPERLINK("https://otsuka-europe-crm.veevavault.com/ui/#object/sent_email__v/VBL00000000M708", "SE-001389774")</f>
        <v>SE-001389774</v>
      </c>
      <c r="D15101" s="1" t="s">
        <v>0</v>
      </c>
      <c r="E15101" s="2">
        <v>0</v>
      </c>
      <c r="F15101" s="2">
        <v>0</v>
      </c>
      <c r="G15101" s="2">
        <v>0</v>
      </c>
      <c r="H15101" s="1" t="s">
        <v>0</v>
      </c>
      <c r="I15101" s="2">
        <v>0</v>
      </c>
      <c r="J15101" s="1">
        <v>45973.657881944448</v>
      </c>
    </row>
    <row r="15102" spans="1:10" x14ac:dyDescent="0.2">
      <c r="A15102" s="4" t="s">
        <v>1</v>
      </c>
      <c r="B15102" s="3" t="str">
        <f>HYPERLINK("https://otsuka-europe-crm.veevavault.com/ui/#object/approved_document__v/V5O000000004028", "LUP - Invitación webinar 13N - nefro")</f>
        <v>LUP - Invitación webinar 13N - nefro</v>
      </c>
      <c r="C15102" s="3" t="str">
        <f>HYPERLINK("https://otsuka-europe-crm.veevavault.com/ui/#object/sent_email__v/VBL00000000M709", "SE-001389775")</f>
        <v>SE-001389775</v>
      </c>
      <c r="D15102" s="1" t="s">
        <v>0</v>
      </c>
      <c r="E15102" s="2">
        <v>0</v>
      </c>
      <c r="F15102" s="2">
        <v>0</v>
      </c>
      <c r="G15102" s="2">
        <v>0</v>
      </c>
      <c r="H15102" s="1" t="s">
        <v>0</v>
      </c>
      <c r="I15102" s="2">
        <v>0</v>
      </c>
      <c r="J15102" s="1">
        <v>45973.657881944448</v>
      </c>
    </row>
    <row r="15103" spans="1:10" x14ac:dyDescent="0.2">
      <c r="A15103" s="4" t="s">
        <v>1</v>
      </c>
      <c r="B15103" s="3" t="str">
        <f>HYPERLINK("https://otsuka-europe-crm.veevavault.com/ui/#object/approved_document__v/V5O000000004028", "LUP - Invitación webinar 13N - nefro")</f>
        <v>LUP - Invitación webinar 13N - nefro</v>
      </c>
      <c r="C15103" s="3" t="str">
        <f>HYPERLINK("https://otsuka-europe-crm.veevavault.com/ui/#object/sent_email__v/VBL00000000M710", "SE-001389776")</f>
        <v>SE-001389776</v>
      </c>
      <c r="D15103" s="1" t="s">
        <v>0</v>
      </c>
      <c r="E15103" s="2">
        <v>0</v>
      </c>
      <c r="F15103" s="2">
        <v>0</v>
      </c>
      <c r="G15103" s="2">
        <v>0</v>
      </c>
      <c r="H15103" s="1" t="s">
        <v>0</v>
      </c>
      <c r="I15103" s="2">
        <v>0</v>
      </c>
      <c r="J15103" s="1">
        <v>45973.657893518517</v>
      </c>
    </row>
    <row r="15104" spans="1:10" x14ac:dyDescent="0.2">
      <c r="A15104" s="4" t="s">
        <v>1</v>
      </c>
      <c r="B15104" s="3" t="str">
        <f>HYPERLINK("https://otsuka-europe-crm.veevavault.com/ui/#object/approved_document__v/V5O000000004028", "LUP - Invitación webinar 13N - nefro")</f>
        <v>LUP - Invitación webinar 13N - nefro</v>
      </c>
      <c r="C15104" s="3" t="str">
        <f>HYPERLINK("https://otsuka-europe-crm.veevavault.com/ui/#object/sent_email__v/VBL00000000M711", "SE-001389777")</f>
        <v>SE-001389777</v>
      </c>
      <c r="D15104" s="1" t="s">
        <v>0</v>
      </c>
      <c r="E15104" s="2">
        <v>0</v>
      </c>
      <c r="F15104" s="2">
        <v>0</v>
      </c>
      <c r="G15104" s="2">
        <v>0</v>
      </c>
      <c r="H15104" s="1" t="s">
        <v>0</v>
      </c>
      <c r="I15104" s="2">
        <v>0</v>
      </c>
      <c r="J15104" s="1">
        <v>45973.657893518517</v>
      </c>
    </row>
    <row r="15105" spans="1:10" x14ac:dyDescent="0.2">
      <c r="A15105" s="4" t="s">
        <v>1</v>
      </c>
      <c r="B15105" s="3" t="str">
        <f>HYPERLINK("https://otsuka-europe-crm.veevavault.com/ui/#object/approved_document__v/V5O000000004028", "LUP - Invitación webinar 13N - nefro")</f>
        <v>LUP - Invitación webinar 13N - nefro</v>
      </c>
      <c r="C15105" s="3" t="str">
        <f>HYPERLINK("https://otsuka-europe-crm.veevavault.com/ui/#object/sent_email__v/VBL00000000M712", "SE-001389778")</f>
        <v>SE-001389778</v>
      </c>
      <c r="D15105" s="1" t="s">
        <v>0</v>
      </c>
      <c r="E15105" s="2">
        <v>0</v>
      </c>
      <c r="F15105" s="2">
        <v>0</v>
      </c>
      <c r="G15105" s="2">
        <v>0</v>
      </c>
      <c r="H15105" s="1" t="s">
        <v>0</v>
      </c>
      <c r="I15105" s="2">
        <v>0</v>
      </c>
      <c r="J15105" s="1">
        <v>45973.657893518517</v>
      </c>
    </row>
    <row r="15106" spans="1:10" x14ac:dyDescent="0.2">
      <c r="A15106" s="4" t="s">
        <v>1</v>
      </c>
      <c r="B15106" s="3" t="str">
        <f>HYPERLINK("https://otsuka-europe-crm.veevavault.com/ui/#object/approved_document__v/V5O000000004028", "LUP - Invitación webinar 13N - nefro")</f>
        <v>LUP - Invitación webinar 13N - nefro</v>
      </c>
      <c r="C15106" s="3" t="str">
        <f>HYPERLINK("https://otsuka-europe-crm.veevavault.com/ui/#object/sent_email__v/VBL00000000M713", "SE-001389779")</f>
        <v>SE-001389779</v>
      </c>
      <c r="D15106" s="1" t="s">
        <v>0</v>
      </c>
      <c r="E15106" s="2">
        <v>0</v>
      </c>
      <c r="F15106" s="2">
        <v>0</v>
      </c>
      <c r="G15106" s="2">
        <v>0</v>
      </c>
      <c r="H15106" s="1" t="s">
        <v>0</v>
      </c>
      <c r="I15106" s="2">
        <v>0</v>
      </c>
      <c r="J15106" s="1">
        <v>45973.657893518517</v>
      </c>
    </row>
    <row r="15107" spans="1:10" x14ac:dyDescent="0.2">
      <c r="A15107" s="4" t="s">
        <v>1</v>
      </c>
      <c r="B15107" s="3" t="str">
        <f>HYPERLINK("https://otsuka-europe-crm.veevavault.com/ui/#object/approved_document__v/V5O000000004028", "LUP - Invitación webinar 13N - nefro")</f>
        <v>LUP - Invitación webinar 13N - nefro</v>
      </c>
      <c r="C15107" s="3" t="str">
        <f>HYPERLINK("https://otsuka-europe-crm.veevavault.com/ui/#object/sent_email__v/VBL00000000M714", "SE-001389780")</f>
        <v>SE-001389780</v>
      </c>
      <c r="D15107" s="1" t="s">
        <v>0</v>
      </c>
      <c r="E15107" s="2">
        <v>0</v>
      </c>
      <c r="F15107" s="2">
        <v>0</v>
      </c>
      <c r="G15107" s="2">
        <v>0</v>
      </c>
      <c r="H15107" s="1" t="s">
        <v>0</v>
      </c>
      <c r="I15107" s="2">
        <v>0</v>
      </c>
      <c r="J15107" s="1">
        <v>45973.657893518517</v>
      </c>
    </row>
    <row r="15108" spans="1:10" x14ac:dyDescent="0.2">
      <c r="A15108" s="4" t="s">
        <v>1</v>
      </c>
      <c r="B15108" s="3" t="str">
        <f>HYPERLINK("https://otsuka-europe-crm.veevavault.com/ui/#object/approved_document__v/V5O000000004028", "LUP - Invitación webinar 13N - nefro")</f>
        <v>LUP - Invitación webinar 13N - nefro</v>
      </c>
      <c r="C15108" s="3" t="str">
        <f>HYPERLINK("https://otsuka-europe-crm.veevavault.com/ui/#object/sent_email__v/VBL00000000M715", "SE-001389781")</f>
        <v>SE-001389781</v>
      </c>
      <c r="D15108" s="1" t="s">
        <v>0</v>
      </c>
      <c r="E15108" s="2">
        <v>0</v>
      </c>
      <c r="F15108" s="2">
        <v>0</v>
      </c>
      <c r="G15108" s="2">
        <v>0</v>
      </c>
      <c r="H15108" s="1" t="s">
        <v>0</v>
      </c>
      <c r="I15108" s="2">
        <v>0</v>
      </c>
      <c r="J15108" s="1">
        <v>45973.657893518517</v>
      </c>
    </row>
    <row r="15109" spans="1:10" x14ac:dyDescent="0.2">
      <c r="A15109" s="4" t="s">
        <v>1</v>
      </c>
      <c r="B15109" s="3" t="str">
        <f>HYPERLINK("https://otsuka-europe-crm.veevavault.com/ui/#object/approved_document__v/V5O000000004028", "LUP - Invitación webinar 13N - nefro")</f>
        <v>LUP - Invitación webinar 13N - nefro</v>
      </c>
      <c r="C15109" s="3" t="str">
        <f>HYPERLINK("https://otsuka-europe-crm.veevavault.com/ui/#object/sent_email__v/VBL00000000M716", "SE-001389782")</f>
        <v>SE-001389782</v>
      </c>
      <c r="D15109" s="1" t="s">
        <v>0</v>
      </c>
      <c r="E15109" s="2">
        <v>0</v>
      </c>
      <c r="F15109" s="2">
        <v>0</v>
      </c>
      <c r="G15109" s="2">
        <v>0</v>
      </c>
      <c r="H15109" s="1" t="s">
        <v>0</v>
      </c>
      <c r="I15109" s="2">
        <v>0</v>
      </c>
      <c r="J15109" s="1">
        <v>45973.657893518517</v>
      </c>
    </row>
    <row r="15110" spans="1:10" x14ac:dyDescent="0.2">
      <c r="A15110" s="4" t="s">
        <v>1</v>
      </c>
      <c r="B15110" s="3" t="str">
        <f>HYPERLINK("https://otsuka-europe-crm.veevavault.com/ui/#object/approved_document__v/V5O000000004028", "LUP - Invitación webinar 13N - nefro")</f>
        <v>LUP - Invitación webinar 13N - nefro</v>
      </c>
      <c r="C15110" s="3" t="str">
        <f>HYPERLINK("https://otsuka-europe-crm.veevavault.com/ui/#object/sent_email__v/VBL00000000M717", "SE-001389783")</f>
        <v>SE-001389783</v>
      </c>
      <c r="D15110" s="1" t="s">
        <v>0</v>
      </c>
      <c r="E15110" s="2">
        <v>0</v>
      </c>
      <c r="F15110" s="2">
        <v>0</v>
      </c>
      <c r="G15110" s="2">
        <v>0</v>
      </c>
      <c r="H15110" s="1" t="s">
        <v>0</v>
      </c>
      <c r="I15110" s="2">
        <v>0</v>
      </c>
      <c r="J15110" s="1">
        <v>45973.657893518517</v>
      </c>
    </row>
    <row r="15111" spans="1:10" x14ac:dyDescent="0.2">
      <c r="A15111" s="4" t="s">
        <v>1</v>
      </c>
      <c r="B15111" s="3" t="str">
        <f>HYPERLINK("https://otsuka-europe-crm.veevavault.com/ui/#object/approved_document__v/V5O000000004028", "LUP - Invitación webinar 13N - nefro")</f>
        <v>LUP - Invitación webinar 13N - nefro</v>
      </c>
      <c r="C15111" s="3" t="str">
        <f>HYPERLINK("https://otsuka-europe-crm.veevavault.com/ui/#object/sent_email__v/VBL00000000M718", "SE-001389784")</f>
        <v>SE-001389784</v>
      </c>
      <c r="D15111" s="1" t="s">
        <v>0</v>
      </c>
      <c r="E15111" s="2">
        <v>0</v>
      </c>
      <c r="F15111" s="2">
        <v>0</v>
      </c>
      <c r="G15111" s="2">
        <v>0</v>
      </c>
      <c r="H15111" s="1" t="s">
        <v>0</v>
      </c>
      <c r="I15111" s="2">
        <v>0</v>
      </c>
      <c r="J15111" s="1">
        <v>45973.657893518517</v>
      </c>
    </row>
    <row r="15112" spans="1:10" x14ac:dyDescent="0.2">
      <c r="A15112" s="4" t="s">
        <v>1</v>
      </c>
      <c r="B15112" s="3" t="str">
        <f>HYPERLINK("https://otsuka-europe-crm.veevavault.com/ui/#object/approved_document__v/V5O000000004028", "LUP - Invitación webinar 13N - nefro")</f>
        <v>LUP - Invitación webinar 13N - nefro</v>
      </c>
      <c r="C15112" s="3" t="str">
        <f>HYPERLINK("https://otsuka-europe-crm.veevavault.com/ui/#object/sent_email__v/VBL00000000M719", "SE-001389785")</f>
        <v>SE-001389785</v>
      </c>
      <c r="D15112" s="1" t="s">
        <v>0</v>
      </c>
      <c r="E15112" s="2">
        <v>0</v>
      </c>
      <c r="F15112" s="2">
        <v>0</v>
      </c>
      <c r="G15112" s="2">
        <v>0</v>
      </c>
      <c r="H15112" s="1" t="s">
        <v>0</v>
      </c>
      <c r="I15112" s="2">
        <v>0</v>
      </c>
      <c r="J15112" s="1">
        <v>45973.657905092594</v>
      </c>
    </row>
    <row r="15113" spans="1:10" x14ac:dyDescent="0.2">
      <c r="A15113" s="4" t="s">
        <v>1</v>
      </c>
      <c r="B15113" s="3" t="str">
        <f>HYPERLINK("https://otsuka-europe-crm.veevavault.com/ui/#object/approved_document__v/V5O000000004028", "LUP - Invitación webinar 13N - nefro")</f>
        <v>LUP - Invitación webinar 13N - nefro</v>
      </c>
      <c r="C15113" s="3" t="str">
        <f>HYPERLINK("https://otsuka-europe-crm.veevavault.com/ui/#object/sent_email__v/VBL00000000M720", "SE-001389786")</f>
        <v>SE-001389786</v>
      </c>
      <c r="D15113" s="1" t="s">
        <v>0</v>
      </c>
      <c r="E15113" s="2">
        <v>0</v>
      </c>
      <c r="F15113" s="2">
        <v>0</v>
      </c>
      <c r="G15113" s="2">
        <v>0</v>
      </c>
      <c r="H15113" s="1" t="s">
        <v>0</v>
      </c>
      <c r="I15113" s="2">
        <v>0</v>
      </c>
      <c r="J15113" s="1">
        <v>45973.657905092594</v>
      </c>
    </row>
    <row r="15114" spans="1:10" x14ac:dyDescent="0.2">
      <c r="A15114" s="4" t="s">
        <v>1</v>
      </c>
      <c r="B15114" s="3" t="str">
        <f>HYPERLINK("https://otsuka-europe-crm.veevavault.com/ui/#object/approved_document__v/V5O000000004028", "LUP - Invitación webinar 13N - nefro")</f>
        <v>LUP - Invitación webinar 13N - nefro</v>
      </c>
      <c r="C15114" s="3" t="str">
        <f>HYPERLINK("https://otsuka-europe-crm.veevavault.com/ui/#object/sent_email__v/VBL00000000M721", "SE-001389787")</f>
        <v>SE-001389787</v>
      </c>
      <c r="D15114" s="1" t="s">
        <v>0</v>
      </c>
      <c r="E15114" s="2">
        <v>0</v>
      </c>
      <c r="F15114" s="2">
        <v>0</v>
      </c>
      <c r="G15114" s="2">
        <v>0</v>
      </c>
      <c r="H15114" s="1" t="s">
        <v>0</v>
      </c>
      <c r="I15114" s="2">
        <v>0</v>
      </c>
      <c r="J15114" s="1">
        <v>45973.657905092594</v>
      </c>
    </row>
    <row r="15115" spans="1:10" x14ac:dyDescent="0.2">
      <c r="A15115" s="4" t="s">
        <v>1</v>
      </c>
      <c r="B15115" s="3" t="str">
        <f>HYPERLINK("https://otsuka-europe-crm.veevavault.com/ui/#object/approved_document__v/V5O000000004028", "LUP - Invitación webinar 13N - nefro")</f>
        <v>LUP - Invitación webinar 13N - nefro</v>
      </c>
      <c r="C15115" s="3" t="str">
        <f>HYPERLINK("https://otsuka-europe-crm.veevavault.com/ui/#object/sent_email__v/VBL00000000M722", "SE-001389788")</f>
        <v>SE-001389788</v>
      </c>
      <c r="D15115" s="1" t="s">
        <v>0</v>
      </c>
      <c r="E15115" s="2">
        <v>0</v>
      </c>
      <c r="F15115" s="2">
        <v>0</v>
      </c>
      <c r="G15115" s="2">
        <v>0</v>
      </c>
      <c r="H15115" s="1" t="s">
        <v>0</v>
      </c>
      <c r="I15115" s="2">
        <v>0</v>
      </c>
      <c r="J15115" s="1">
        <v>45973.657905092594</v>
      </c>
    </row>
    <row r="15116" spans="1:10" x14ac:dyDescent="0.2">
      <c r="A15116" s="4" t="s">
        <v>1</v>
      </c>
      <c r="B15116" s="3" t="str">
        <f>HYPERLINK("https://otsuka-europe-crm.veevavault.com/ui/#object/approved_document__v/V5O000000004028", "LUP - Invitación webinar 13N - nefro")</f>
        <v>LUP - Invitación webinar 13N - nefro</v>
      </c>
      <c r="C15116" s="3" t="str">
        <f>HYPERLINK("https://otsuka-europe-crm.veevavault.com/ui/#object/sent_email__v/VBL00000000M723", "SE-001389789")</f>
        <v>SE-001389789</v>
      </c>
      <c r="D15116" s="1" t="s">
        <v>0</v>
      </c>
      <c r="E15116" s="2">
        <v>0</v>
      </c>
      <c r="F15116" s="2">
        <v>0</v>
      </c>
      <c r="G15116" s="2">
        <v>0</v>
      </c>
      <c r="H15116" s="1" t="s">
        <v>0</v>
      </c>
      <c r="I15116" s="2">
        <v>0</v>
      </c>
      <c r="J15116" s="1">
        <v>45973.657905092594</v>
      </c>
    </row>
    <row r="15117" spans="1:10" x14ac:dyDescent="0.2">
      <c r="A15117" s="4" t="s">
        <v>1</v>
      </c>
      <c r="B15117" s="3" t="str">
        <f>HYPERLINK("https://otsuka-europe-crm.veevavault.com/ui/#object/approved_document__v/V5O000000004028", "LUP - Invitación webinar 13N - nefro")</f>
        <v>LUP - Invitación webinar 13N - nefro</v>
      </c>
      <c r="C15117" s="3" t="str">
        <f>HYPERLINK("https://otsuka-europe-crm.veevavault.com/ui/#object/sent_email__v/VBL00000000M724", "SE-001389790")</f>
        <v>SE-001389790</v>
      </c>
      <c r="D15117" s="1" t="s">
        <v>0</v>
      </c>
      <c r="E15117" s="2">
        <v>0</v>
      </c>
      <c r="F15117" s="2">
        <v>0</v>
      </c>
      <c r="G15117" s="2">
        <v>0</v>
      </c>
      <c r="H15117" s="1" t="s">
        <v>0</v>
      </c>
      <c r="I15117" s="2">
        <v>0</v>
      </c>
      <c r="J15117" s="1">
        <v>45973.657905092594</v>
      </c>
    </row>
    <row r="15118" spans="1:10" x14ac:dyDescent="0.2">
      <c r="A15118" s="4" t="s">
        <v>1</v>
      </c>
      <c r="B15118" s="3" t="str">
        <f>HYPERLINK("https://otsuka-europe-crm.veevavault.com/ui/#object/approved_document__v/V5O000000004028", "LUP - Invitación webinar 13N - nefro")</f>
        <v>LUP - Invitación webinar 13N - nefro</v>
      </c>
      <c r="C15118" s="3" t="str">
        <f>HYPERLINK("https://otsuka-europe-crm.veevavault.com/ui/#object/sent_email__v/VBL00000000M725", "SE-001389791")</f>
        <v>SE-001389791</v>
      </c>
      <c r="D15118" s="1" t="s">
        <v>0</v>
      </c>
      <c r="E15118" s="2">
        <v>0</v>
      </c>
      <c r="F15118" s="2">
        <v>0</v>
      </c>
      <c r="G15118" s="2">
        <v>0</v>
      </c>
      <c r="H15118" s="1" t="s">
        <v>0</v>
      </c>
      <c r="I15118" s="2">
        <v>0</v>
      </c>
      <c r="J15118" s="1">
        <v>45973.657905092594</v>
      </c>
    </row>
    <row r="15119" spans="1:10" x14ac:dyDescent="0.2">
      <c r="A15119" s="4" t="s">
        <v>1</v>
      </c>
      <c r="B15119" s="3" t="str">
        <f>HYPERLINK("https://otsuka-europe-crm.veevavault.com/ui/#object/approved_document__v/V5O000000004028", "LUP - Invitación webinar 13N - nefro")</f>
        <v>LUP - Invitación webinar 13N - nefro</v>
      </c>
      <c r="C15119" s="3" t="str">
        <f>HYPERLINK("https://otsuka-europe-crm.veevavault.com/ui/#object/sent_email__v/VBL00000000M726", "SE-001389792")</f>
        <v>SE-001389792</v>
      </c>
      <c r="D15119" s="1" t="s">
        <v>0</v>
      </c>
      <c r="E15119" s="2">
        <v>0</v>
      </c>
      <c r="F15119" s="2">
        <v>0</v>
      </c>
      <c r="G15119" s="2">
        <v>0</v>
      </c>
      <c r="H15119" s="1" t="s">
        <v>0</v>
      </c>
      <c r="I15119" s="2">
        <v>0</v>
      </c>
      <c r="J15119" s="1">
        <v>45973.657905092594</v>
      </c>
    </row>
    <row r="15120" spans="1:10" x14ac:dyDescent="0.2">
      <c r="A15120" s="4" t="s">
        <v>1</v>
      </c>
      <c r="B15120" s="3" t="str">
        <f>HYPERLINK("https://otsuka-europe-crm.veevavault.com/ui/#object/approved_document__v/V5O000000004028", "LUP - Invitación webinar 13N - nefro")</f>
        <v>LUP - Invitación webinar 13N - nefro</v>
      </c>
      <c r="C15120" s="3" t="str">
        <f>HYPERLINK("https://otsuka-europe-crm.veevavault.com/ui/#object/sent_email__v/VBL00000000M727", "SE-001389793")</f>
        <v>SE-001389793</v>
      </c>
      <c r="D15120" s="1" t="s">
        <v>0</v>
      </c>
      <c r="E15120" s="2">
        <v>0</v>
      </c>
      <c r="F15120" s="2">
        <v>0</v>
      </c>
      <c r="G15120" s="2">
        <v>0</v>
      </c>
      <c r="H15120" s="1" t="s">
        <v>0</v>
      </c>
      <c r="I15120" s="2">
        <v>0</v>
      </c>
      <c r="J15120" s="1">
        <v>45973.657905092594</v>
      </c>
    </row>
    <row r="15121" spans="1:10" x14ac:dyDescent="0.2">
      <c r="A15121" s="4" t="s">
        <v>1</v>
      </c>
      <c r="B15121" s="3" t="str">
        <f>HYPERLINK("https://otsuka-europe-crm.veevavault.com/ui/#object/approved_document__v/V5O000000004028", "LUP - Invitación webinar 13N - nefro")</f>
        <v>LUP - Invitación webinar 13N - nefro</v>
      </c>
      <c r="C15121" s="3" t="str">
        <f>HYPERLINK("https://otsuka-europe-crm.veevavault.com/ui/#object/sent_email__v/VBL00000000M728", "SE-001389794")</f>
        <v>SE-001389794</v>
      </c>
      <c r="D15121" s="1" t="s">
        <v>0</v>
      </c>
      <c r="E15121" s="2">
        <v>0</v>
      </c>
      <c r="F15121" s="2">
        <v>0</v>
      </c>
      <c r="G15121" s="2">
        <v>0</v>
      </c>
      <c r="H15121" s="1" t="s">
        <v>0</v>
      </c>
      <c r="I15121" s="2">
        <v>0</v>
      </c>
      <c r="J15121" s="1">
        <v>45973.657905092594</v>
      </c>
    </row>
    <row r="15122" spans="1:10" x14ac:dyDescent="0.2">
      <c r="A15122" s="4" t="s">
        <v>1</v>
      </c>
      <c r="B15122" s="3" t="str">
        <f>HYPERLINK("https://otsuka-europe-crm.veevavault.com/ui/#object/approved_document__v/V5O000000004028", "LUP - Invitación webinar 13N - nefro")</f>
        <v>LUP - Invitación webinar 13N - nefro</v>
      </c>
      <c r="C15122" s="3" t="str">
        <f>HYPERLINK("https://otsuka-europe-crm.veevavault.com/ui/#object/sent_email__v/VBL00000000M729", "SE-001389795")</f>
        <v>SE-001389795</v>
      </c>
      <c r="D15122" s="1" t="s">
        <v>0</v>
      </c>
      <c r="E15122" s="2">
        <v>0</v>
      </c>
      <c r="F15122" s="2">
        <v>0</v>
      </c>
      <c r="G15122" s="2">
        <v>0</v>
      </c>
      <c r="H15122" s="1" t="s">
        <v>0</v>
      </c>
      <c r="I15122" s="2">
        <v>0</v>
      </c>
      <c r="J15122" s="1">
        <v>45973.657905092594</v>
      </c>
    </row>
    <row r="15123" spans="1:10" x14ac:dyDescent="0.2">
      <c r="A15123" s="4" t="s">
        <v>1</v>
      </c>
      <c r="B15123" s="3" t="str">
        <f>HYPERLINK("https://otsuka-europe-crm.veevavault.com/ui/#object/approved_document__v/V5O000000004028", "LUP - Invitación webinar 13N - nefro")</f>
        <v>LUP - Invitación webinar 13N - nefro</v>
      </c>
      <c r="C15123" s="3" t="str">
        <f>HYPERLINK("https://otsuka-europe-crm.veevavault.com/ui/#object/sent_email__v/VBL00000000M730", "SE-001389796")</f>
        <v>SE-001389796</v>
      </c>
      <c r="D15123" s="1" t="s">
        <v>0</v>
      </c>
      <c r="E15123" s="2">
        <v>0</v>
      </c>
      <c r="F15123" s="2">
        <v>0</v>
      </c>
      <c r="G15123" s="2">
        <v>0</v>
      </c>
      <c r="H15123" s="1" t="s">
        <v>0</v>
      </c>
      <c r="I15123" s="2">
        <v>0</v>
      </c>
      <c r="J15123" s="1">
        <v>45973.657905092594</v>
      </c>
    </row>
    <row r="15124" spans="1:10" x14ac:dyDescent="0.2">
      <c r="A15124" s="4" t="s">
        <v>1</v>
      </c>
      <c r="B15124" s="3" t="str">
        <f>HYPERLINK("https://otsuka-europe-crm.veevavault.com/ui/#object/approved_document__v/V5O000000004028", "LUP - Invitación webinar 13N - nefro")</f>
        <v>LUP - Invitación webinar 13N - nefro</v>
      </c>
      <c r="C15124" s="3" t="str">
        <f>HYPERLINK("https://otsuka-europe-crm.veevavault.com/ui/#object/sent_email__v/VBL00000000M731", "SE-001389797")</f>
        <v>SE-001389797</v>
      </c>
      <c r="D15124" s="1" t="s">
        <v>0</v>
      </c>
      <c r="E15124" s="2">
        <v>0</v>
      </c>
      <c r="F15124" s="2">
        <v>0</v>
      </c>
      <c r="G15124" s="2">
        <v>0</v>
      </c>
      <c r="H15124" s="1" t="s">
        <v>0</v>
      </c>
      <c r="I15124" s="2">
        <v>0</v>
      </c>
      <c r="J15124" s="1">
        <v>45973.657905092594</v>
      </c>
    </row>
    <row r="15125" spans="1:10" x14ac:dyDescent="0.2">
      <c r="A15125" s="4" t="s">
        <v>1</v>
      </c>
      <c r="B15125" s="3" t="str">
        <f>HYPERLINK("https://otsuka-europe-crm.veevavault.com/ui/#object/approved_document__v/V5O000000004028", "LUP - Invitación webinar 13N - nefro")</f>
        <v>LUP - Invitación webinar 13N - nefro</v>
      </c>
      <c r="C15125" s="3" t="str">
        <f>HYPERLINK("https://otsuka-europe-crm.veevavault.com/ui/#object/sent_email__v/VBL00000000M732", "SE-001389798")</f>
        <v>SE-001389798</v>
      </c>
      <c r="D15125" s="1" t="s">
        <v>0</v>
      </c>
      <c r="E15125" s="2">
        <v>0</v>
      </c>
      <c r="F15125" s="2">
        <v>0</v>
      </c>
      <c r="G15125" s="2">
        <v>0</v>
      </c>
      <c r="H15125" s="1" t="s">
        <v>0</v>
      </c>
      <c r="I15125" s="2">
        <v>0</v>
      </c>
      <c r="J15125" s="1">
        <v>45973.657916666663</v>
      </c>
    </row>
    <row r="15126" spans="1:10" x14ac:dyDescent="0.2">
      <c r="A15126" s="4" t="s">
        <v>1</v>
      </c>
      <c r="B15126" s="3" t="str">
        <f>HYPERLINK("https://otsuka-europe-crm.veevavault.com/ui/#object/approved_document__v/V5O000000004028", "LUP - Invitación webinar 13N - nefro")</f>
        <v>LUP - Invitación webinar 13N - nefro</v>
      </c>
      <c r="C15126" s="3" t="str">
        <f>HYPERLINK("https://otsuka-europe-crm.veevavault.com/ui/#object/sent_email__v/VBL00000000M733", "SE-001389799")</f>
        <v>SE-001389799</v>
      </c>
      <c r="D15126" s="1" t="s">
        <v>0</v>
      </c>
      <c r="E15126" s="2">
        <v>0</v>
      </c>
      <c r="F15126" s="2">
        <v>0</v>
      </c>
      <c r="G15126" s="2">
        <v>0</v>
      </c>
      <c r="H15126" s="1" t="s">
        <v>0</v>
      </c>
      <c r="I15126" s="2">
        <v>0</v>
      </c>
      <c r="J15126" s="1">
        <v>45973.657916666663</v>
      </c>
    </row>
    <row r="15127" spans="1:10" x14ac:dyDescent="0.2">
      <c r="A15127" s="4" t="s">
        <v>1</v>
      </c>
      <c r="B15127" s="3" t="str">
        <f>HYPERLINK("https://otsuka-europe-crm.veevavault.com/ui/#object/approved_document__v/V5O000000004028", "LUP - Invitación webinar 13N - nefro")</f>
        <v>LUP - Invitación webinar 13N - nefro</v>
      </c>
      <c r="C15127" s="3" t="str">
        <f>HYPERLINK("https://otsuka-europe-crm.veevavault.com/ui/#object/sent_email__v/VBL00000000M734", "SE-001389800")</f>
        <v>SE-001389800</v>
      </c>
      <c r="D15127" s="1" t="s">
        <v>0</v>
      </c>
      <c r="E15127" s="2">
        <v>0</v>
      </c>
      <c r="F15127" s="2">
        <v>0</v>
      </c>
      <c r="G15127" s="2">
        <v>0</v>
      </c>
      <c r="H15127" s="1" t="s">
        <v>0</v>
      </c>
      <c r="I15127" s="2">
        <v>0</v>
      </c>
      <c r="J15127" s="1">
        <v>45973.657916666663</v>
      </c>
    </row>
    <row r="15128" spans="1:10" x14ac:dyDescent="0.2">
      <c r="A15128" s="4" t="s">
        <v>1</v>
      </c>
      <c r="B15128" s="3" t="str">
        <f>HYPERLINK("https://otsuka-europe-crm.veevavault.com/ui/#object/approved_document__v/V5O000000004028", "LUP - Invitación webinar 13N - nefro")</f>
        <v>LUP - Invitación webinar 13N - nefro</v>
      </c>
      <c r="C15128" s="3" t="str">
        <f>HYPERLINK("https://otsuka-europe-crm.veevavault.com/ui/#object/sent_email__v/VBL00000000M735", "SE-001389801")</f>
        <v>SE-001389801</v>
      </c>
      <c r="D15128" s="1" t="s">
        <v>0</v>
      </c>
      <c r="E15128" s="2">
        <v>0</v>
      </c>
      <c r="F15128" s="2">
        <v>0</v>
      </c>
      <c r="G15128" s="2">
        <v>0</v>
      </c>
      <c r="H15128" s="1" t="s">
        <v>0</v>
      </c>
      <c r="I15128" s="2">
        <v>0</v>
      </c>
      <c r="J15128" s="1">
        <v>45973.657916666663</v>
      </c>
    </row>
    <row r="15129" spans="1:10" x14ac:dyDescent="0.2">
      <c r="A15129" s="4" t="s">
        <v>1</v>
      </c>
      <c r="B15129" s="3" t="str">
        <f>HYPERLINK("https://otsuka-europe-crm.veevavault.com/ui/#object/approved_document__v/V5O000000004028", "LUP - Invitación webinar 13N - nefro")</f>
        <v>LUP - Invitación webinar 13N - nefro</v>
      </c>
      <c r="C15129" s="3" t="str">
        <f>HYPERLINK("https://otsuka-europe-crm.veevavault.com/ui/#object/sent_email__v/VBL00000000M736", "SE-001389802")</f>
        <v>SE-001389802</v>
      </c>
      <c r="D15129" s="1" t="s">
        <v>0</v>
      </c>
      <c r="E15129" s="2">
        <v>0</v>
      </c>
      <c r="F15129" s="2">
        <v>0</v>
      </c>
      <c r="G15129" s="2">
        <v>0</v>
      </c>
      <c r="H15129" s="1" t="s">
        <v>0</v>
      </c>
      <c r="I15129" s="2">
        <v>0</v>
      </c>
      <c r="J15129" s="1">
        <v>45973.657916666663</v>
      </c>
    </row>
    <row r="15130" spans="1:10" x14ac:dyDescent="0.2">
      <c r="A15130" s="4" t="s">
        <v>1</v>
      </c>
      <c r="B15130" s="3" t="str">
        <f>HYPERLINK("https://otsuka-europe-crm.veevavault.com/ui/#object/approved_document__v/V5O000000004028", "LUP - Invitación webinar 13N - nefro")</f>
        <v>LUP - Invitación webinar 13N - nefro</v>
      </c>
      <c r="C15130" s="3" t="str">
        <f>HYPERLINK("https://otsuka-europe-crm.veevavault.com/ui/#object/sent_email__v/VBL00000000N315", "SE-001390492")</f>
        <v>SE-001390492</v>
      </c>
      <c r="D15130" s="1">
        <v>45978.686898148146</v>
      </c>
      <c r="E15130" s="2">
        <v>1</v>
      </c>
      <c r="F15130" s="2">
        <v>1</v>
      </c>
      <c r="G15130" s="2">
        <v>0</v>
      </c>
      <c r="H15130" s="1" t="s">
        <v>0</v>
      </c>
      <c r="I15130" s="2">
        <v>0</v>
      </c>
      <c r="J15130" s="1">
        <v>45978.371655092589</v>
      </c>
    </row>
    <row r="15131" spans="1:10" x14ac:dyDescent="0.2">
      <c r="A15131" s="4" t="s">
        <v>1</v>
      </c>
      <c r="B15131" s="3" t="str">
        <f>HYPERLINK("https://otsuka-europe-crm.veevavault.com/ui/#object/approved_document__v/V5O000000004028", "LUP - Invitación webinar 13N - nefro")</f>
        <v>LUP - Invitación webinar 13N - nefro</v>
      </c>
      <c r="C15131" s="3" t="str">
        <f>HYPERLINK("https://otsuka-europe-crm.veevavault.com/ui/#object/sent_email__v/VBL00000000N316", "SE-001390493")</f>
        <v>SE-001390493</v>
      </c>
      <c r="D15131" s="1">
        <v>45978.692442129628</v>
      </c>
      <c r="E15131" s="2">
        <v>1</v>
      </c>
      <c r="F15131" s="2">
        <v>1</v>
      </c>
      <c r="G15131" s="2">
        <v>0</v>
      </c>
      <c r="H15131" s="1" t="s">
        <v>0</v>
      </c>
      <c r="I15131" s="2">
        <v>0</v>
      </c>
      <c r="J15131" s="1">
        <v>45978.371678240743</v>
      </c>
    </row>
    <row r="15132" spans="1:10" x14ac:dyDescent="0.2">
      <c r="A15132" s="4" t="s">
        <v>1</v>
      </c>
      <c r="B15132" s="3" t="str">
        <f>HYPERLINK("https://otsuka-europe-crm.veevavault.com/ui/#object/approved_document__v/V5O000000004028", "LUP - Invitación webinar 13N - nefro")</f>
        <v>LUP - Invitación webinar 13N - nefro</v>
      </c>
      <c r="C15132" s="3" t="str">
        <f>HYPERLINK("https://otsuka-europe-crm.veevavault.com/ui/#object/sent_email__v/VBL00000000N317", "SE-001390494")</f>
        <v>SE-001390494</v>
      </c>
      <c r="D15132" s="1" t="s">
        <v>0</v>
      </c>
      <c r="E15132" s="2">
        <v>0</v>
      </c>
      <c r="F15132" s="2">
        <v>0</v>
      </c>
      <c r="G15132" s="2">
        <v>0</v>
      </c>
      <c r="H15132" s="1" t="s">
        <v>0</v>
      </c>
      <c r="I15132" s="2">
        <v>0</v>
      </c>
      <c r="J15132" s="1">
        <v>45978.371747685182</v>
      </c>
    </row>
    <row r="15133" spans="1:10" x14ac:dyDescent="0.2">
      <c r="A15133" s="4" t="s">
        <v>1</v>
      </c>
      <c r="B15133" s="3" t="str">
        <f>HYPERLINK("https://otsuka-europe-crm.veevavault.com/ui/#object/approved_document__v/V5O000000004028", "LUP - Invitación webinar 13N - nefro")</f>
        <v>LUP - Invitación webinar 13N - nefro</v>
      </c>
      <c r="C15133" s="3" t="str">
        <f>HYPERLINK("https://otsuka-europe-crm.veevavault.com/ui/#object/sent_email__v/VBL00000000N318", "SE-001390495")</f>
        <v>SE-001390495</v>
      </c>
      <c r="D15133" s="1">
        <v>45981.927268518521</v>
      </c>
      <c r="E15133" s="2">
        <v>1</v>
      </c>
      <c r="F15133" s="2">
        <v>1</v>
      </c>
      <c r="G15133" s="2">
        <v>0</v>
      </c>
      <c r="H15133" s="1" t="s">
        <v>0</v>
      </c>
      <c r="I15133" s="2">
        <v>0</v>
      </c>
      <c r="J15133" s="1">
        <v>45978.371770833335</v>
      </c>
    </row>
    <row r="15134" spans="1:10" x14ac:dyDescent="0.2">
      <c r="A15134" s="4" t="s">
        <v>1</v>
      </c>
      <c r="B15134" s="3" t="str">
        <f>HYPERLINK("https://otsuka-europe-crm.veevavault.com/ui/#object/approved_document__v/V5O000000004028", "LUP - Invitación webinar 13N - nefro")</f>
        <v>LUP - Invitación webinar 13N - nefro</v>
      </c>
      <c r="C15134" s="3" t="str">
        <f>HYPERLINK("https://otsuka-europe-crm.veevavault.com/ui/#object/sent_email__v/VBL00000000N319", "SE-001390496")</f>
        <v>SE-001390496</v>
      </c>
      <c r="D15134" s="1">
        <v>45978.519282407404</v>
      </c>
      <c r="E15134" s="2">
        <v>1</v>
      </c>
      <c r="F15134" s="2">
        <v>2</v>
      </c>
      <c r="G15134" s="2">
        <v>0</v>
      </c>
      <c r="H15134" s="1" t="s">
        <v>0</v>
      </c>
      <c r="I15134" s="2">
        <v>0</v>
      </c>
      <c r="J15134" s="1">
        <v>45978.371817129628</v>
      </c>
    </row>
    <row r="15135" spans="1:10" x14ac:dyDescent="0.2">
      <c r="A15135" s="4" t="s">
        <v>1</v>
      </c>
      <c r="B15135" s="3" t="str">
        <f>HYPERLINK("https://otsuka-europe-crm.veevavault.com/ui/#object/approved_document__v/V5O000000004028", "LUP - Invitación webinar 13N - nefro")</f>
        <v>LUP - Invitación webinar 13N - nefro</v>
      </c>
      <c r="C15135" s="3" t="str">
        <f>HYPERLINK("https://otsuka-europe-crm.veevavault.com/ui/#object/sent_email__v/VBL00000000N320", "SE-001390497")</f>
        <v>SE-001390497</v>
      </c>
      <c r="D15135" s="1" t="s">
        <v>0</v>
      </c>
      <c r="E15135" s="2">
        <v>0</v>
      </c>
      <c r="F15135" s="2">
        <v>0</v>
      </c>
      <c r="G15135" s="2">
        <v>0</v>
      </c>
      <c r="H15135" s="1" t="s">
        <v>0</v>
      </c>
      <c r="I15135" s="2">
        <v>0</v>
      </c>
      <c r="J15135" s="1">
        <v>45978.371863425928</v>
      </c>
    </row>
    <row r="15136" spans="1:10" x14ac:dyDescent="0.2">
      <c r="A15136" s="4" t="s">
        <v>1</v>
      </c>
      <c r="B15136" s="3" t="str">
        <f>HYPERLINK("https://otsuka-europe-crm.veevavault.com/ui/#object/approved_document__v/V5O000000004028", "LUP - Invitación webinar 13N - nefro")</f>
        <v>LUP - Invitación webinar 13N - nefro</v>
      </c>
      <c r="C15136" s="3" t="str">
        <f>HYPERLINK("https://otsuka-europe-crm.veevavault.com/ui/#object/sent_email__v/VBL00000000N321", "SE-001390498")</f>
        <v>SE-001390498</v>
      </c>
      <c r="D15136" s="1">
        <v>45978.570300925923</v>
      </c>
      <c r="E15136" s="2">
        <v>1</v>
      </c>
      <c r="F15136" s="2">
        <v>1</v>
      </c>
      <c r="G15136" s="2">
        <v>0</v>
      </c>
      <c r="H15136" s="1" t="s">
        <v>0</v>
      </c>
      <c r="I15136" s="2">
        <v>0</v>
      </c>
      <c r="J15136" s="1">
        <v>45978.371898148151</v>
      </c>
    </row>
    <row r="15137" spans="1:10" x14ac:dyDescent="0.2">
      <c r="A15137" s="4" t="s">
        <v>1</v>
      </c>
      <c r="B15137" s="3" t="str">
        <f>HYPERLINK("https://otsuka-europe-crm.veevavault.com/ui/#object/approved_document__v/V5O000000004028", "LUP - Invitación webinar 13N - nefro")</f>
        <v>LUP - Invitación webinar 13N - nefro</v>
      </c>
      <c r="C15137" s="3" t="str">
        <f>HYPERLINK("https://otsuka-europe-crm.veevavault.com/ui/#object/sent_email__v/VBL00000000N322", "SE-001390499")</f>
        <v>SE-001390499</v>
      </c>
      <c r="D15137" s="1">
        <v>45979.305555555555</v>
      </c>
      <c r="E15137" s="2">
        <v>1</v>
      </c>
      <c r="F15137" s="2">
        <v>6</v>
      </c>
      <c r="G15137" s="2">
        <v>0</v>
      </c>
      <c r="H15137" s="1" t="s">
        <v>0</v>
      </c>
      <c r="I15137" s="2">
        <v>0</v>
      </c>
      <c r="J15137" s="1">
        <v>45978.371944444443</v>
      </c>
    </row>
    <row r="15138" spans="1:10" x14ac:dyDescent="0.2">
      <c r="A15138" s="4" t="s">
        <v>1</v>
      </c>
      <c r="B15138" s="3" t="str">
        <f>HYPERLINK("https://otsuka-europe-crm.veevavault.com/ui/#object/approved_document__v/V5O000000004028", "LUP - Invitación webinar 13N - nefro")</f>
        <v>LUP - Invitación webinar 13N - nefro</v>
      </c>
      <c r="C15138" s="3" t="str">
        <f>HYPERLINK("https://otsuka-europe-crm.veevavault.com/ui/#object/sent_email__v/VBL00000000N323", "SE-001390500")</f>
        <v>SE-001390500</v>
      </c>
      <c r="D15138" s="1">
        <v>45978.375497685185</v>
      </c>
      <c r="E15138" s="2">
        <v>1</v>
      </c>
      <c r="F15138" s="2">
        <v>1</v>
      </c>
      <c r="G15138" s="2">
        <v>1</v>
      </c>
      <c r="H15138" s="1">
        <v>45978.376076388886</v>
      </c>
      <c r="I15138" s="2">
        <v>1</v>
      </c>
      <c r="J15138" s="1">
        <v>45978.371979166666</v>
      </c>
    </row>
    <row r="15139" spans="1:10" x14ac:dyDescent="0.2">
      <c r="A15139" s="4" t="s">
        <v>1</v>
      </c>
      <c r="B15139" s="3" t="str">
        <f>HYPERLINK("https://otsuka-europe-crm.veevavault.com/ui/#object/approved_document__v/V5O000000004028", "LUP - Invitación webinar 13N - nefro")</f>
        <v>LUP - Invitación webinar 13N - nefro</v>
      </c>
      <c r="C15139" s="3" t="str">
        <f>HYPERLINK("https://otsuka-europe-crm.veevavault.com/ui/#object/sent_email__v/VBL00000000N324", "SE-001390501")</f>
        <v>SE-001390501</v>
      </c>
      <c r="D15139" s="1" t="s">
        <v>0</v>
      </c>
      <c r="E15139" s="2">
        <v>0</v>
      </c>
      <c r="F15139" s="2">
        <v>0</v>
      </c>
      <c r="G15139" s="2">
        <v>0</v>
      </c>
      <c r="H15139" s="1" t="s">
        <v>0</v>
      </c>
      <c r="I15139" s="2">
        <v>0</v>
      </c>
      <c r="J15139" s="1">
        <v>45978.372048611112</v>
      </c>
    </row>
    <row r="15140" spans="1:10" x14ac:dyDescent="0.2">
      <c r="A15140" s="4" t="s">
        <v>1</v>
      </c>
      <c r="B15140" s="3" t="str">
        <f>HYPERLINK("https://otsuka-europe-crm.veevavault.com/ui/#object/approved_document__v/V5O000000004028", "LUP - Invitación webinar 13N - nefro")</f>
        <v>LUP - Invitación webinar 13N - nefro</v>
      </c>
      <c r="C15140" s="3" t="str">
        <f>HYPERLINK("https://otsuka-europe-crm.veevavault.com/ui/#object/sent_email__v/VBL00000000N325", "SE-001390502")</f>
        <v>SE-001390502</v>
      </c>
      <c r="D15140" s="1" t="s">
        <v>0</v>
      </c>
      <c r="E15140" s="2">
        <v>0</v>
      </c>
      <c r="F15140" s="2">
        <v>0</v>
      </c>
      <c r="G15140" s="2">
        <v>0</v>
      </c>
      <c r="H15140" s="1" t="s">
        <v>0</v>
      </c>
      <c r="I15140" s="2">
        <v>0</v>
      </c>
      <c r="J15140" s="1">
        <v>45978.372071759259</v>
      </c>
    </row>
    <row r="15141" spans="1:10" x14ac:dyDescent="0.2">
      <c r="A15141" s="4" t="s">
        <v>1</v>
      </c>
      <c r="B15141" s="3" t="str">
        <f>HYPERLINK("https://otsuka-europe-crm.veevavault.com/ui/#object/approved_document__v/V5O000000004028", "LUP - Invitación webinar 13N - nefro")</f>
        <v>LUP - Invitación webinar 13N - nefro</v>
      </c>
      <c r="C15141" s="3" t="str">
        <f>HYPERLINK("https://otsuka-europe-crm.veevavault.com/ui/#object/sent_email__v/VBL00000000N326", "SE-001390503")</f>
        <v>SE-001390503</v>
      </c>
      <c r="D15141" s="1">
        <v>45978.791597222225</v>
      </c>
      <c r="E15141" s="2">
        <v>1</v>
      </c>
      <c r="F15141" s="2">
        <v>2</v>
      </c>
      <c r="G15141" s="2">
        <v>0</v>
      </c>
      <c r="H15141" s="1" t="s">
        <v>0</v>
      </c>
      <c r="I15141" s="2">
        <v>0</v>
      </c>
      <c r="J15141" s="1">
        <v>45978.372118055559</v>
      </c>
    </row>
    <row r="15142" spans="1:10" x14ac:dyDescent="0.2">
      <c r="A15142" s="4" t="s">
        <v>1</v>
      </c>
      <c r="B15142" s="3" t="str">
        <f>HYPERLINK("https://otsuka-europe-crm.veevavault.com/ui/#object/approved_document__v/V5O000000004028", "LUP - Invitación webinar 13N - nefro")</f>
        <v>LUP - Invitación webinar 13N - nefro</v>
      </c>
      <c r="C15142" s="3" t="str">
        <f>HYPERLINK("https://otsuka-europe-crm.veevavault.com/ui/#object/sent_email__v/VBL00000000N327", "SE-001390504")</f>
        <v>SE-001390504</v>
      </c>
      <c r="D15142" s="1">
        <v>45978.389444444445</v>
      </c>
      <c r="E15142" s="2">
        <v>1</v>
      </c>
      <c r="F15142" s="2">
        <v>1</v>
      </c>
      <c r="G15142" s="2">
        <v>0</v>
      </c>
      <c r="H15142" s="1" t="s">
        <v>0</v>
      </c>
      <c r="I15142" s="2">
        <v>0</v>
      </c>
      <c r="J15142" s="1">
        <v>45978.372152777774</v>
      </c>
    </row>
    <row r="15143" spans="1:10" x14ac:dyDescent="0.2">
      <c r="A15143" s="4" t="s">
        <v>1</v>
      </c>
      <c r="B15143" s="3" t="str">
        <f>HYPERLINK("https://otsuka-europe-crm.veevavault.com/ui/#object/approved_document__v/V5O000000004028", "LUP - Invitación webinar 13N - nefro")</f>
        <v>LUP - Invitación webinar 13N - nefro</v>
      </c>
      <c r="C15143" s="3" t="str">
        <f>HYPERLINK("https://otsuka-europe-crm.veevavault.com/ui/#object/sent_email__v/VBL00000000N328", "SE-001390505")</f>
        <v>SE-001390505</v>
      </c>
      <c r="D15143" s="1" t="s">
        <v>0</v>
      </c>
      <c r="E15143" s="2">
        <v>0</v>
      </c>
      <c r="F15143" s="2">
        <v>0</v>
      </c>
      <c r="G15143" s="2">
        <v>0</v>
      </c>
      <c r="H15143" s="1" t="s">
        <v>0</v>
      </c>
      <c r="I15143" s="2">
        <v>0</v>
      </c>
      <c r="J15143" s="1">
        <v>45978.372199074074</v>
      </c>
    </row>
    <row r="15144" spans="1:10" x14ac:dyDescent="0.2">
      <c r="A15144" s="4" t="s">
        <v>1</v>
      </c>
      <c r="B15144" s="3" t="str">
        <f>HYPERLINK("https://otsuka-europe-crm.veevavault.com/ui/#object/approved_document__v/V5O000000004028", "LUP - Invitación webinar 13N - nefro")</f>
        <v>LUP - Invitación webinar 13N - nefro</v>
      </c>
      <c r="C15144" s="3" t="str">
        <f>HYPERLINK("https://otsuka-europe-crm.veevavault.com/ui/#object/sent_email__v/VBL00000000N329", "SE-001390506")</f>
        <v>SE-001390506</v>
      </c>
      <c r="D15144" s="1" t="s">
        <v>0</v>
      </c>
      <c r="E15144" s="2">
        <v>0</v>
      </c>
      <c r="F15144" s="2">
        <v>0</v>
      </c>
      <c r="G15144" s="2">
        <v>0</v>
      </c>
      <c r="H15144" s="1" t="s">
        <v>0</v>
      </c>
      <c r="I15144" s="2">
        <v>0</v>
      </c>
      <c r="J15144" s="1">
        <v>45978.372245370374</v>
      </c>
    </row>
    <row r="15145" spans="1:10" x14ac:dyDescent="0.2">
      <c r="A15145" s="4" t="s">
        <v>1</v>
      </c>
      <c r="B15145" s="3" t="str">
        <f>HYPERLINK("https://otsuka-europe-crm.veevavault.com/ui/#object/approved_document__v/V5O000000004028", "LUP - Invitación webinar 13N - nefro")</f>
        <v>LUP - Invitación webinar 13N - nefro</v>
      </c>
      <c r="C15145" s="3" t="str">
        <f>HYPERLINK("https://otsuka-europe-crm.veevavault.com/ui/#object/sent_email__v/VBL00000000N330", "SE-001390507")</f>
        <v>SE-001390507</v>
      </c>
      <c r="D15145" s="1" t="s">
        <v>0</v>
      </c>
      <c r="E15145" s="2">
        <v>0</v>
      </c>
      <c r="F15145" s="2">
        <v>0</v>
      </c>
      <c r="G15145" s="2">
        <v>0</v>
      </c>
      <c r="H15145" s="1" t="s">
        <v>0</v>
      </c>
      <c r="I15145" s="2">
        <v>0</v>
      </c>
      <c r="J15145" s="1">
        <v>45978.37228009259</v>
      </c>
    </row>
    <row r="15146" spans="1:10" x14ac:dyDescent="0.2">
      <c r="A15146" s="4" t="s">
        <v>1</v>
      </c>
      <c r="B15146" s="3" t="str">
        <f>HYPERLINK("https://otsuka-europe-crm.veevavault.com/ui/#object/approved_document__v/V5O000000004028", "LUP - Invitación webinar 13N - nefro")</f>
        <v>LUP - Invitación webinar 13N - nefro</v>
      </c>
      <c r="C15146" s="3" t="str">
        <f>HYPERLINK("https://otsuka-europe-crm.veevavault.com/ui/#object/sent_email__v/VBL00000000N331", "SE-001390508")</f>
        <v>SE-001390508</v>
      </c>
      <c r="D15146" s="1">
        <v>46001.852199074077</v>
      </c>
      <c r="E15146" s="2">
        <v>1</v>
      </c>
      <c r="F15146" s="2">
        <v>1</v>
      </c>
      <c r="G15146" s="2">
        <v>0</v>
      </c>
      <c r="H15146" s="1" t="s">
        <v>0</v>
      </c>
      <c r="I15146" s="2">
        <v>0</v>
      </c>
      <c r="J15146" s="1">
        <v>45978.37232638889</v>
      </c>
    </row>
    <row r="15147" spans="1:10" x14ac:dyDescent="0.2">
      <c r="A15147" s="4" t="s">
        <v>1</v>
      </c>
      <c r="B15147" s="3" t="str">
        <f>HYPERLINK("https://otsuka-europe-crm.veevavault.com/ui/#object/approved_document__v/V5O000000004028", "LUP - Invitación webinar 13N - nefro")</f>
        <v>LUP - Invitación webinar 13N - nefro</v>
      </c>
      <c r="C15147" s="3" t="str">
        <f>HYPERLINK("https://otsuka-europe-crm.veevavault.com/ui/#object/sent_email__v/VBL00000000N332", "SE-001390509")</f>
        <v>SE-001390509</v>
      </c>
      <c r="D15147" s="1">
        <v>45978.896469907406</v>
      </c>
      <c r="E15147" s="2">
        <v>1</v>
      </c>
      <c r="F15147" s="2">
        <v>2</v>
      </c>
      <c r="G15147" s="2">
        <v>0</v>
      </c>
      <c r="H15147" s="1" t="s">
        <v>0</v>
      </c>
      <c r="I15147" s="2">
        <v>0</v>
      </c>
      <c r="J15147" s="1">
        <v>45978.372372685182</v>
      </c>
    </row>
    <row r="15148" spans="1:10" x14ac:dyDescent="0.2">
      <c r="A15148" s="4" t="s">
        <v>1</v>
      </c>
      <c r="B15148" s="3" t="str">
        <f>HYPERLINK("https://otsuka-europe-crm.veevavault.com/ui/#object/approved_document__v/V5O000000004028", "LUP - Invitación webinar 13N - nefro")</f>
        <v>LUP - Invitación webinar 13N - nefro</v>
      </c>
      <c r="C15148" s="3" t="str">
        <f>HYPERLINK("https://otsuka-europe-crm.veevavault.com/ui/#object/sent_email__v/VBL00000000N333", "SE-001390510")</f>
        <v>SE-001390510</v>
      </c>
      <c r="D15148" s="1" t="s">
        <v>0</v>
      </c>
      <c r="E15148" s="2">
        <v>0</v>
      </c>
      <c r="F15148" s="2">
        <v>0</v>
      </c>
      <c r="G15148" s="2">
        <v>0</v>
      </c>
      <c r="H15148" s="1" t="s">
        <v>0</v>
      </c>
      <c r="I15148" s="2">
        <v>0</v>
      </c>
      <c r="J15148" s="1">
        <v>45978.372407407405</v>
      </c>
    </row>
    <row r="15149" spans="1:10" x14ac:dyDescent="0.2">
      <c r="A15149" s="4" t="s">
        <v>1</v>
      </c>
      <c r="B15149" s="3" t="str">
        <f>HYPERLINK("https://otsuka-europe-crm.veevavault.com/ui/#object/approved_document__v/V5O000000004028", "LUP - Invitación webinar 13N - nefro")</f>
        <v>LUP - Invitación webinar 13N - nefro</v>
      </c>
      <c r="C15149" s="3" t="str">
        <f>HYPERLINK("https://otsuka-europe-crm.veevavault.com/ui/#object/sent_email__v/VBL00000000N334", "SE-001390511")</f>
        <v>SE-001390511</v>
      </c>
      <c r="D15149" s="1" t="s">
        <v>0</v>
      </c>
      <c r="E15149" s="2">
        <v>0</v>
      </c>
      <c r="F15149" s="2">
        <v>0</v>
      </c>
      <c r="G15149" s="2">
        <v>0</v>
      </c>
      <c r="H15149" s="1" t="s">
        <v>0</v>
      </c>
      <c r="I15149" s="2">
        <v>0</v>
      </c>
      <c r="J15149" s="1">
        <v>45978.372453703705</v>
      </c>
    </row>
    <row r="15150" spans="1:10" x14ac:dyDescent="0.2">
      <c r="A15150" s="4" t="s">
        <v>1</v>
      </c>
      <c r="B15150" s="3" t="str">
        <f>HYPERLINK("https://otsuka-europe-crm.veevavault.com/ui/#object/approved_document__v/V5O000000004028", "LUP - Invitación webinar 13N - nefro")</f>
        <v>LUP - Invitación webinar 13N - nefro</v>
      </c>
      <c r="C15150" s="3" t="str">
        <f>HYPERLINK("https://otsuka-europe-crm.veevavault.com/ui/#object/sent_email__v/VBL00000000N335", "SE-001390512")</f>
        <v>SE-001390512</v>
      </c>
      <c r="D15150" s="1">
        <v>45993.891446759262</v>
      </c>
      <c r="E15150" s="2">
        <v>1</v>
      </c>
      <c r="F15150" s="2">
        <v>1</v>
      </c>
      <c r="G15150" s="2">
        <v>0</v>
      </c>
      <c r="H15150" s="1" t="s">
        <v>0</v>
      </c>
      <c r="I15150" s="2">
        <v>0</v>
      </c>
      <c r="J15150" s="1">
        <v>45978.372488425928</v>
      </c>
    </row>
    <row r="15151" spans="1:10" x14ac:dyDescent="0.2">
      <c r="A15151" s="4" t="s">
        <v>1</v>
      </c>
      <c r="B15151" s="3" t="str">
        <f>HYPERLINK("https://otsuka-europe-crm.veevavault.com/ui/#object/approved_document__v/V5O000000004028", "LUP - Invitación webinar 13N - nefro")</f>
        <v>LUP - Invitación webinar 13N - nefro</v>
      </c>
      <c r="C15151" s="3" t="str">
        <f>HYPERLINK("https://otsuka-europe-crm.veevavault.com/ui/#object/sent_email__v/VBL00000000N336", "SE-001390513")</f>
        <v>SE-001390513</v>
      </c>
      <c r="D15151" s="1">
        <v>45978.372824074075</v>
      </c>
      <c r="E15151" s="2">
        <v>1</v>
      </c>
      <c r="F15151" s="2">
        <v>1</v>
      </c>
      <c r="G15151" s="2">
        <v>0</v>
      </c>
      <c r="H15151" s="1" t="s">
        <v>0</v>
      </c>
      <c r="I15151" s="2">
        <v>0</v>
      </c>
      <c r="J15151" s="1">
        <v>45978.372534722221</v>
      </c>
    </row>
    <row r="15152" spans="1:10" x14ac:dyDescent="0.2">
      <c r="A15152" s="4" t="s">
        <v>1</v>
      </c>
      <c r="B15152" s="3" t="str">
        <f>HYPERLINK("https://otsuka-europe-crm.veevavault.com/ui/#object/approved_document__v/V5O000000004028", "LUP - Invitación webinar 13N - nefro")</f>
        <v>LUP - Invitación webinar 13N - nefro</v>
      </c>
      <c r="C15152" s="3" t="str">
        <f>HYPERLINK("https://otsuka-europe-crm.veevavault.com/ui/#object/sent_email__v/VBL00000000N337", "SE-001390514")</f>
        <v>SE-001390514</v>
      </c>
      <c r="D15152" s="1">
        <v>45978.551608796297</v>
      </c>
      <c r="E15152" s="2">
        <v>1</v>
      </c>
      <c r="F15152" s="2">
        <v>1</v>
      </c>
      <c r="G15152" s="2">
        <v>0</v>
      </c>
      <c r="H15152" s="1" t="s">
        <v>0</v>
      </c>
      <c r="I15152" s="2">
        <v>0</v>
      </c>
      <c r="J15152" s="1">
        <v>45978.372604166667</v>
      </c>
    </row>
    <row r="15153" spans="1:10" x14ac:dyDescent="0.2">
      <c r="A15153" s="4" t="s">
        <v>1</v>
      </c>
      <c r="B15153" s="3" t="str">
        <f>HYPERLINK("https://otsuka-europe-crm.veevavault.com/ui/#object/approved_document__v/V5O000000004028", "LUP - Invitación webinar 13N - nefro")</f>
        <v>LUP - Invitación webinar 13N - nefro</v>
      </c>
      <c r="C15153" s="3" t="str">
        <f>HYPERLINK("https://otsuka-europe-crm.veevavault.com/ui/#object/sent_email__v/VBL00000000N338", "SE-001390515")</f>
        <v>SE-001390515</v>
      </c>
      <c r="D15153" s="1" t="s">
        <v>0</v>
      </c>
      <c r="E15153" s="2">
        <v>0</v>
      </c>
      <c r="F15153" s="2">
        <v>0</v>
      </c>
      <c r="G15153" s="2">
        <v>0</v>
      </c>
      <c r="H15153" s="1" t="s">
        <v>0</v>
      </c>
      <c r="I15153" s="2">
        <v>0</v>
      </c>
      <c r="J15153" s="1">
        <v>45978.372662037036</v>
      </c>
    </row>
    <row r="15154" spans="1:10" x14ac:dyDescent="0.2">
      <c r="A15154" s="4" t="s">
        <v>1</v>
      </c>
      <c r="B15154" s="3" t="str">
        <f>HYPERLINK("https://otsuka-europe-crm.veevavault.com/ui/#object/approved_document__v/V5O000000004028", "LUP - Invitación webinar 13N - nefro")</f>
        <v>LUP - Invitación webinar 13N - nefro</v>
      </c>
      <c r="C15154" s="3" t="str">
        <f>HYPERLINK("https://otsuka-europe-crm.veevavault.com/ui/#object/sent_email__v/VBL00000000N339", "SE-001390516")</f>
        <v>SE-001390516</v>
      </c>
      <c r="D15154" s="1">
        <v>45979.424768518518</v>
      </c>
      <c r="E15154" s="2">
        <v>1</v>
      </c>
      <c r="F15154" s="2">
        <v>5</v>
      </c>
      <c r="G15154" s="2">
        <v>0</v>
      </c>
      <c r="H15154" s="1" t="s">
        <v>0</v>
      </c>
      <c r="I15154" s="2">
        <v>0</v>
      </c>
      <c r="J15154" s="1">
        <v>45978.372731481482</v>
      </c>
    </row>
    <row r="15155" spans="1:10" x14ac:dyDescent="0.2">
      <c r="A15155" s="4" t="s">
        <v>1</v>
      </c>
      <c r="B15155" s="3" t="str">
        <f>HYPERLINK("https://otsuka-europe-crm.veevavault.com/ui/#object/approved_document__v/V5O000000004027", "LUP - Invitación webinar 13N - reuma")</f>
        <v>LUP - Invitación webinar 13N - reuma</v>
      </c>
      <c r="C15155" s="3" t="str">
        <f>HYPERLINK("https://otsuka-europe-crm.veevavault.com/ui/#object/sent_email__v/VBL000000006325", "SE-001381283")</f>
        <v>SE-001381283</v>
      </c>
      <c r="D15155" s="1" t="s">
        <v>0</v>
      </c>
      <c r="E15155" s="2">
        <v>0</v>
      </c>
      <c r="F15155" s="2">
        <v>0</v>
      </c>
      <c r="G15155" s="2">
        <v>0</v>
      </c>
      <c r="H15155" s="1" t="s">
        <v>0</v>
      </c>
      <c r="I15155" s="2">
        <v>0</v>
      </c>
      <c r="J15155" s="1">
        <v>45967.544351851851</v>
      </c>
    </row>
    <row r="15156" spans="1:10" x14ac:dyDescent="0.2">
      <c r="A15156" s="4" t="s">
        <v>1</v>
      </c>
      <c r="B15156" s="3" t="str">
        <f>HYPERLINK("https://otsuka-europe-crm.veevavault.com/ui/#object/approved_document__v/V5O000000004027", "LUP - Invitación webinar 13N - reuma")</f>
        <v>LUP - Invitación webinar 13N - reuma</v>
      </c>
      <c r="C15156" s="3" t="str">
        <f>HYPERLINK("https://otsuka-europe-crm.veevavault.com/ui/#object/sent_email__v/VBL000000006326", "SE-001381284")</f>
        <v>SE-001381284</v>
      </c>
      <c r="D15156" s="1" t="s">
        <v>0</v>
      </c>
      <c r="E15156" s="2">
        <v>0</v>
      </c>
      <c r="F15156" s="2">
        <v>0</v>
      </c>
      <c r="G15156" s="2">
        <v>0</v>
      </c>
      <c r="H15156" s="1" t="s">
        <v>0</v>
      </c>
      <c r="I15156" s="2">
        <v>0</v>
      </c>
      <c r="J15156" s="1">
        <v>45967.544363425928</v>
      </c>
    </row>
    <row r="15157" spans="1:10" x14ac:dyDescent="0.2">
      <c r="A15157" s="4" t="s">
        <v>1</v>
      </c>
      <c r="B15157" s="3" t="str">
        <f>HYPERLINK("https://otsuka-europe-crm.veevavault.com/ui/#object/approved_document__v/V5O000000004027", "LUP - Invitación webinar 13N - reuma")</f>
        <v>LUP - Invitación webinar 13N - reuma</v>
      </c>
      <c r="C15157" s="3" t="str">
        <f>HYPERLINK("https://otsuka-europe-crm.veevavault.com/ui/#object/sent_email__v/VBL000000006327", "SE-001381285")</f>
        <v>SE-001381285</v>
      </c>
      <c r="D15157" s="1" t="s">
        <v>0</v>
      </c>
      <c r="E15157" s="2">
        <v>0</v>
      </c>
      <c r="F15157" s="2">
        <v>0</v>
      </c>
      <c r="G15157" s="2">
        <v>0</v>
      </c>
      <c r="H15157" s="1" t="s">
        <v>0</v>
      </c>
      <c r="I15157" s="2">
        <v>0</v>
      </c>
      <c r="J15157" s="1">
        <v>45967.544351851851</v>
      </c>
    </row>
    <row r="15158" spans="1:10" x14ac:dyDescent="0.2">
      <c r="A15158" s="4" t="s">
        <v>1</v>
      </c>
      <c r="B15158" s="3" t="str">
        <f>HYPERLINK("https://otsuka-europe-crm.veevavault.com/ui/#object/approved_document__v/V5O000000004027", "LUP - Invitación webinar 13N - reuma")</f>
        <v>LUP - Invitación webinar 13N - reuma</v>
      </c>
      <c r="C15158" s="3" t="str">
        <f>HYPERLINK("https://otsuka-europe-crm.veevavault.com/ui/#object/sent_email__v/VBL000000006328", "SE-001381286")</f>
        <v>SE-001381286</v>
      </c>
      <c r="D15158" s="1" t="s">
        <v>0</v>
      </c>
      <c r="E15158" s="2">
        <v>0</v>
      </c>
      <c r="F15158" s="2">
        <v>0</v>
      </c>
      <c r="G15158" s="2">
        <v>0</v>
      </c>
      <c r="H15158" s="1" t="s">
        <v>0</v>
      </c>
      <c r="I15158" s="2">
        <v>0</v>
      </c>
      <c r="J15158" s="1">
        <v>45967.544363425928</v>
      </c>
    </row>
    <row r="15159" spans="1:10" x14ac:dyDescent="0.2">
      <c r="A15159" s="4" t="s">
        <v>1</v>
      </c>
      <c r="B15159" s="3" t="str">
        <f>HYPERLINK("https://otsuka-europe-crm.veevavault.com/ui/#object/approved_document__v/V5O000000004027", "LUP - Invitación webinar 13N - reuma")</f>
        <v>LUP - Invitación webinar 13N - reuma</v>
      </c>
      <c r="C15159" s="3" t="str">
        <f>HYPERLINK("https://otsuka-europe-crm.veevavault.com/ui/#object/sent_email__v/VBL000000006329", "SE-001381287")</f>
        <v>SE-001381287</v>
      </c>
      <c r="D15159" s="1" t="s">
        <v>0</v>
      </c>
      <c r="E15159" s="2">
        <v>0</v>
      </c>
      <c r="F15159" s="2">
        <v>0</v>
      </c>
      <c r="G15159" s="2">
        <v>0</v>
      </c>
      <c r="H15159" s="1" t="s">
        <v>0</v>
      </c>
      <c r="I15159" s="2">
        <v>0</v>
      </c>
      <c r="J15159" s="1">
        <v>45967.544363425928</v>
      </c>
    </row>
    <row r="15160" spans="1:10" x14ac:dyDescent="0.2">
      <c r="A15160" s="4" t="s">
        <v>1</v>
      </c>
      <c r="B15160" s="3" t="str">
        <f>HYPERLINK("https://otsuka-europe-crm.veevavault.com/ui/#object/approved_document__v/V5O000000004027", "LUP - Invitación webinar 13N - reuma")</f>
        <v>LUP - Invitación webinar 13N - reuma</v>
      </c>
      <c r="C15160" s="3" t="str">
        <f>HYPERLINK("https://otsuka-europe-crm.veevavault.com/ui/#object/sent_email__v/VBL000000006330", "SE-001381288")</f>
        <v>SE-001381288</v>
      </c>
      <c r="D15160" s="1" t="s">
        <v>0</v>
      </c>
      <c r="E15160" s="2">
        <v>0</v>
      </c>
      <c r="F15160" s="2">
        <v>0</v>
      </c>
      <c r="G15160" s="2">
        <v>0</v>
      </c>
      <c r="H15160" s="1" t="s">
        <v>0</v>
      </c>
      <c r="I15160" s="2">
        <v>0</v>
      </c>
      <c r="J15160" s="1">
        <v>45967.544351851851</v>
      </c>
    </row>
    <row r="15161" spans="1:10" x14ac:dyDescent="0.2">
      <c r="A15161" s="4" t="s">
        <v>1</v>
      </c>
      <c r="B15161" s="3" t="str">
        <f>HYPERLINK("https://otsuka-europe-crm.veevavault.com/ui/#object/approved_document__v/V5O000000004027", "LUP - Invitación webinar 13N - reuma")</f>
        <v>LUP - Invitación webinar 13N - reuma</v>
      </c>
      <c r="C15161" s="3" t="str">
        <f>HYPERLINK("https://otsuka-europe-crm.veevavault.com/ui/#object/sent_email__v/VBL000000006331", "SE-001381289")</f>
        <v>SE-001381289</v>
      </c>
      <c r="D15161" s="1" t="s">
        <v>0</v>
      </c>
      <c r="E15161" s="2">
        <v>0</v>
      </c>
      <c r="F15161" s="2">
        <v>0</v>
      </c>
      <c r="G15161" s="2">
        <v>0</v>
      </c>
      <c r="H15161" s="1" t="s">
        <v>0</v>
      </c>
      <c r="I15161" s="2">
        <v>0</v>
      </c>
      <c r="J15161" s="1">
        <v>45967.544363425928</v>
      </c>
    </row>
    <row r="15162" spans="1:10" x14ac:dyDescent="0.2">
      <c r="A15162" s="4" t="s">
        <v>1</v>
      </c>
      <c r="B15162" s="3" t="str">
        <f>HYPERLINK("https://otsuka-europe-crm.veevavault.com/ui/#object/approved_document__v/V5O000000004027", "LUP - Invitación webinar 13N - reuma")</f>
        <v>LUP - Invitación webinar 13N - reuma</v>
      </c>
      <c r="C15162" s="3" t="str">
        <f>HYPERLINK("https://otsuka-europe-crm.veevavault.com/ui/#object/sent_email__v/VBL000000006332", "SE-001381290")</f>
        <v>SE-001381290</v>
      </c>
      <c r="D15162" s="1" t="s">
        <v>0</v>
      </c>
      <c r="E15162" s="2">
        <v>0</v>
      </c>
      <c r="F15162" s="2">
        <v>0</v>
      </c>
      <c r="G15162" s="2">
        <v>0</v>
      </c>
      <c r="H15162" s="1" t="s">
        <v>0</v>
      </c>
      <c r="I15162" s="2">
        <v>0</v>
      </c>
      <c r="J15162" s="1">
        <v>45967.544363425928</v>
      </c>
    </row>
    <row r="15163" spans="1:10" x14ac:dyDescent="0.2">
      <c r="A15163" s="4" t="s">
        <v>1</v>
      </c>
      <c r="B15163" s="3" t="str">
        <f>HYPERLINK("https://otsuka-europe-crm.veevavault.com/ui/#object/approved_document__v/V5O000000004027", "LUP - Invitación webinar 13N - reuma")</f>
        <v>LUP - Invitación webinar 13N - reuma</v>
      </c>
      <c r="C15163" s="3" t="str">
        <f>HYPERLINK("https://otsuka-europe-crm.veevavault.com/ui/#object/sent_email__v/VBL000000006333", "SE-001381291")</f>
        <v>SE-001381291</v>
      </c>
      <c r="D15163" s="1" t="s">
        <v>0</v>
      </c>
      <c r="E15163" s="2">
        <v>0</v>
      </c>
      <c r="F15163" s="2">
        <v>0</v>
      </c>
      <c r="G15163" s="2">
        <v>0</v>
      </c>
      <c r="H15163" s="1" t="s">
        <v>0</v>
      </c>
      <c r="I15163" s="2">
        <v>0</v>
      </c>
      <c r="J15163" s="1">
        <v>45967.544363425928</v>
      </c>
    </row>
    <row r="15164" spans="1:10" x14ac:dyDescent="0.2">
      <c r="A15164" s="4" t="s">
        <v>1</v>
      </c>
      <c r="B15164" s="3" t="str">
        <f>HYPERLINK("https://otsuka-europe-crm.veevavault.com/ui/#object/approved_document__v/V5O000000004027", "LUP - Invitación webinar 13N - reuma")</f>
        <v>LUP - Invitación webinar 13N - reuma</v>
      </c>
      <c r="C15164" s="3" t="str">
        <f>HYPERLINK("https://otsuka-europe-crm.veevavault.com/ui/#object/sent_email__v/VBL000000006334", "SE-001381292")</f>
        <v>SE-001381292</v>
      </c>
      <c r="D15164" s="1" t="s">
        <v>0</v>
      </c>
      <c r="E15164" s="2">
        <v>0</v>
      </c>
      <c r="F15164" s="2">
        <v>0</v>
      </c>
      <c r="G15164" s="2">
        <v>0</v>
      </c>
      <c r="H15164" s="1" t="s">
        <v>0</v>
      </c>
      <c r="I15164" s="2">
        <v>0</v>
      </c>
      <c r="J15164" s="1">
        <v>45967.544363425928</v>
      </c>
    </row>
    <row r="15165" spans="1:10" x14ac:dyDescent="0.2">
      <c r="A15165" s="4" t="s">
        <v>1</v>
      </c>
      <c r="B15165" s="3" t="str">
        <f>HYPERLINK("https://otsuka-europe-crm.veevavault.com/ui/#object/approved_document__v/V5O000000004027", "LUP - Invitación webinar 13N - reuma")</f>
        <v>LUP - Invitación webinar 13N - reuma</v>
      </c>
      <c r="C15165" s="3" t="str">
        <f>HYPERLINK("https://otsuka-europe-crm.veevavault.com/ui/#object/sent_email__v/VBL000000006335", "SE-001381293")</f>
        <v>SE-001381293</v>
      </c>
      <c r="D15165" s="1" t="s">
        <v>0</v>
      </c>
      <c r="E15165" s="2">
        <v>0</v>
      </c>
      <c r="F15165" s="2">
        <v>0</v>
      </c>
      <c r="G15165" s="2">
        <v>0</v>
      </c>
      <c r="H15165" s="1" t="s">
        <v>0</v>
      </c>
      <c r="I15165" s="2">
        <v>0</v>
      </c>
      <c r="J15165" s="1">
        <v>45967.544363425928</v>
      </c>
    </row>
    <row r="15166" spans="1:10" x14ac:dyDescent="0.2">
      <c r="A15166" s="4" t="s">
        <v>1</v>
      </c>
      <c r="B15166" s="3" t="str">
        <f>HYPERLINK("https://otsuka-europe-crm.veevavault.com/ui/#object/approved_document__v/V5O000000004027", "LUP - Invitación webinar 13N - reuma")</f>
        <v>LUP - Invitación webinar 13N - reuma</v>
      </c>
      <c r="C15166" s="3" t="str">
        <f>HYPERLINK("https://otsuka-europe-crm.veevavault.com/ui/#object/sent_email__v/VBL000000006336", "SE-001381294")</f>
        <v>SE-001381294</v>
      </c>
      <c r="D15166" s="1" t="s">
        <v>0</v>
      </c>
      <c r="E15166" s="2">
        <v>0</v>
      </c>
      <c r="F15166" s="2">
        <v>0</v>
      </c>
      <c r="G15166" s="2">
        <v>0</v>
      </c>
      <c r="H15166" s="1" t="s">
        <v>0</v>
      </c>
      <c r="I15166" s="2">
        <v>0</v>
      </c>
      <c r="J15166" s="1">
        <v>45967.544363425928</v>
      </c>
    </row>
    <row r="15167" spans="1:10" x14ac:dyDescent="0.2">
      <c r="A15167" s="4" t="s">
        <v>1</v>
      </c>
      <c r="B15167" s="3" t="str">
        <f>HYPERLINK("https://otsuka-europe-crm.veevavault.com/ui/#object/approved_document__v/V5O000000004027", "LUP - Invitación webinar 13N - reuma")</f>
        <v>LUP - Invitación webinar 13N - reuma</v>
      </c>
      <c r="C15167" s="3" t="str">
        <f>HYPERLINK("https://otsuka-europe-crm.veevavault.com/ui/#object/sent_email__v/VBL000000006337", "SE-001381295")</f>
        <v>SE-001381295</v>
      </c>
      <c r="D15167" s="1" t="s">
        <v>0</v>
      </c>
      <c r="E15167" s="2">
        <v>0</v>
      </c>
      <c r="F15167" s="2">
        <v>0</v>
      </c>
      <c r="G15167" s="2">
        <v>0</v>
      </c>
      <c r="H15167" s="1" t="s">
        <v>0</v>
      </c>
      <c r="I15167" s="2">
        <v>0</v>
      </c>
      <c r="J15167" s="1">
        <v>45967.544363425928</v>
      </c>
    </row>
    <row r="15168" spans="1:10" x14ac:dyDescent="0.2">
      <c r="A15168" s="4" t="s">
        <v>1</v>
      </c>
      <c r="B15168" s="3" t="str">
        <f>HYPERLINK("https://otsuka-europe-crm.veevavault.com/ui/#object/approved_document__v/V5O000000004027", "LUP - Invitación webinar 13N - reuma")</f>
        <v>LUP - Invitación webinar 13N - reuma</v>
      </c>
      <c r="C15168" s="3" t="str">
        <f>HYPERLINK("https://otsuka-europe-crm.veevavault.com/ui/#object/sent_email__v/VBL000000006338", "SE-001381296")</f>
        <v>SE-001381296</v>
      </c>
      <c r="D15168" s="1" t="s">
        <v>0</v>
      </c>
      <c r="E15168" s="2">
        <v>0</v>
      </c>
      <c r="F15168" s="2">
        <v>0</v>
      </c>
      <c r="G15168" s="2">
        <v>0</v>
      </c>
      <c r="H15168" s="1" t="s">
        <v>0</v>
      </c>
      <c r="I15168" s="2">
        <v>0</v>
      </c>
      <c r="J15168" s="1">
        <v>45967.544363425928</v>
      </c>
    </row>
    <row r="15169" spans="1:10" x14ac:dyDescent="0.2">
      <c r="A15169" s="4" t="s">
        <v>1</v>
      </c>
      <c r="B15169" s="3" t="str">
        <f>HYPERLINK("https://otsuka-europe-crm.veevavault.com/ui/#object/approved_document__v/V5O000000004027", "LUP - Invitación webinar 13N - reuma")</f>
        <v>LUP - Invitación webinar 13N - reuma</v>
      </c>
      <c r="C15169" s="3" t="str">
        <f>HYPERLINK("https://otsuka-europe-crm.veevavault.com/ui/#object/sent_email__v/VBL000000006339", "SE-001381297")</f>
        <v>SE-001381297</v>
      </c>
      <c r="D15169" s="1" t="s">
        <v>0</v>
      </c>
      <c r="E15169" s="2">
        <v>0</v>
      </c>
      <c r="F15169" s="2">
        <v>0</v>
      </c>
      <c r="G15169" s="2">
        <v>0</v>
      </c>
      <c r="H15169" s="1" t="s">
        <v>0</v>
      </c>
      <c r="I15169" s="2">
        <v>0</v>
      </c>
      <c r="J15169" s="1">
        <v>45967.544363425928</v>
      </c>
    </row>
    <row r="15170" spans="1:10" x14ac:dyDescent="0.2">
      <c r="A15170" s="4" t="s">
        <v>1</v>
      </c>
      <c r="B15170" s="3" t="str">
        <f>HYPERLINK("https://otsuka-europe-crm.veevavault.com/ui/#object/approved_document__v/V5O000000004027", "LUP - Invitación webinar 13N - reuma")</f>
        <v>LUP - Invitación webinar 13N - reuma</v>
      </c>
      <c r="C15170" s="3" t="str">
        <f>HYPERLINK("https://otsuka-europe-crm.veevavault.com/ui/#object/sent_email__v/VBL000000006340", "SE-001381298")</f>
        <v>SE-001381298</v>
      </c>
      <c r="D15170" s="1" t="s">
        <v>0</v>
      </c>
      <c r="E15170" s="2">
        <v>0</v>
      </c>
      <c r="F15170" s="2">
        <v>0</v>
      </c>
      <c r="G15170" s="2">
        <v>0</v>
      </c>
      <c r="H15170" s="1" t="s">
        <v>0</v>
      </c>
      <c r="I15170" s="2">
        <v>0</v>
      </c>
      <c r="J15170" s="1">
        <v>45967.544363425928</v>
      </c>
    </row>
    <row r="15171" spans="1:10" x14ac:dyDescent="0.2">
      <c r="A15171" s="4" t="s">
        <v>1</v>
      </c>
      <c r="B15171" s="3" t="str">
        <f>HYPERLINK("https://otsuka-europe-crm.veevavault.com/ui/#object/approved_document__v/V5O000000004027", "LUP - Invitación webinar 13N - reuma")</f>
        <v>LUP - Invitación webinar 13N - reuma</v>
      </c>
      <c r="C15171" s="3" t="str">
        <f>HYPERLINK("https://otsuka-europe-crm.veevavault.com/ui/#object/sent_email__v/VBL000000006341", "SE-001381299")</f>
        <v>SE-001381299</v>
      </c>
      <c r="D15171" s="1" t="s">
        <v>0</v>
      </c>
      <c r="E15171" s="2">
        <v>0</v>
      </c>
      <c r="F15171" s="2">
        <v>0</v>
      </c>
      <c r="G15171" s="2">
        <v>0</v>
      </c>
      <c r="H15171" s="1" t="s">
        <v>0</v>
      </c>
      <c r="I15171" s="2">
        <v>0</v>
      </c>
      <c r="J15171" s="1">
        <v>45967.544363425928</v>
      </c>
    </row>
    <row r="15172" spans="1:10" x14ac:dyDescent="0.2">
      <c r="A15172" s="4" t="s">
        <v>1</v>
      </c>
      <c r="B15172" s="3" t="str">
        <f>HYPERLINK("https://otsuka-europe-crm.veevavault.com/ui/#object/approved_document__v/V5O000000004027", "LUP - Invitación webinar 13N - reuma")</f>
        <v>LUP - Invitación webinar 13N - reuma</v>
      </c>
      <c r="C15172" s="3" t="str">
        <f>HYPERLINK("https://otsuka-europe-crm.veevavault.com/ui/#object/sent_email__v/VBL000000006342", "SE-001381300")</f>
        <v>SE-001381300</v>
      </c>
      <c r="D15172" s="1" t="s">
        <v>0</v>
      </c>
      <c r="E15172" s="2">
        <v>0</v>
      </c>
      <c r="F15172" s="2">
        <v>0</v>
      </c>
      <c r="G15172" s="2">
        <v>0</v>
      </c>
      <c r="H15172" s="1" t="s">
        <v>0</v>
      </c>
      <c r="I15172" s="2">
        <v>0</v>
      </c>
      <c r="J15172" s="1">
        <v>45967.544374999998</v>
      </c>
    </row>
    <row r="15173" spans="1:10" x14ac:dyDescent="0.2">
      <c r="A15173" s="4" t="s">
        <v>1</v>
      </c>
      <c r="B15173" s="3" t="str">
        <f>HYPERLINK("https://otsuka-europe-crm.veevavault.com/ui/#object/approved_document__v/V5O000000004027", "LUP - Invitación webinar 13N - reuma")</f>
        <v>LUP - Invitación webinar 13N - reuma</v>
      </c>
      <c r="C15173" s="3" t="str">
        <f>HYPERLINK("https://otsuka-europe-crm.veevavault.com/ui/#object/sent_email__v/VBL000000006343", "SE-001381301")</f>
        <v>SE-001381301</v>
      </c>
      <c r="D15173" s="1" t="s">
        <v>0</v>
      </c>
      <c r="E15173" s="2">
        <v>0</v>
      </c>
      <c r="F15173" s="2">
        <v>0</v>
      </c>
      <c r="G15173" s="2">
        <v>0</v>
      </c>
      <c r="H15173" s="1" t="s">
        <v>0</v>
      </c>
      <c r="I15173" s="2">
        <v>0</v>
      </c>
      <c r="J15173" s="1">
        <v>45967.544374999998</v>
      </c>
    </row>
    <row r="15174" spans="1:10" x14ac:dyDescent="0.2">
      <c r="A15174" s="4" t="s">
        <v>1</v>
      </c>
      <c r="B15174" s="3" t="str">
        <f>HYPERLINK("https://otsuka-europe-crm.veevavault.com/ui/#object/approved_document__v/V5O000000004027", "LUP - Invitación webinar 13N - reuma")</f>
        <v>LUP - Invitación webinar 13N - reuma</v>
      </c>
      <c r="C15174" s="3" t="str">
        <f>HYPERLINK("https://otsuka-europe-crm.veevavault.com/ui/#object/sent_email__v/VBL000000006344", "SE-001381302")</f>
        <v>SE-001381302</v>
      </c>
      <c r="D15174" s="1" t="s">
        <v>0</v>
      </c>
      <c r="E15174" s="2">
        <v>0</v>
      </c>
      <c r="F15174" s="2">
        <v>0</v>
      </c>
      <c r="G15174" s="2">
        <v>0</v>
      </c>
      <c r="H15174" s="1" t="s">
        <v>0</v>
      </c>
      <c r="I15174" s="2">
        <v>0</v>
      </c>
      <c r="J15174" s="1">
        <v>45967.544374999998</v>
      </c>
    </row>
    <row r="15175" spans="1:10" x14ac:dyDescent="0.2">
      <c r="A15175" s="4" t="s">
        <v>1</v>
      </c>
      <c r="B15175" s="3" t="str">
        <f>HYPERLINK("https://otsuka-europe-crm.veevavault.com/ui/#object/approved_document__v/V5O000000004027", "LUP - Invitación webinar 13N - reuma")</f>
        <v>LUP - Invitación webinar 13N - reuma</v>
      </c>
      <c r="C15175" s="3" t="str">
        <f>HYPERLINK("https://otsuka-europe-crm.veevavault.com/ui/#object/sent_email__v/VBL000000006345", "SE-001381303")</f>
        <v>SE-001381303</v>
      </c>
      <c r="D15175" s="1" t="s">
        <v>0</v>
      </c>
      <c r="E15175" s="2">
        <v>0</v>
      </c>
      <c r="F15175" s="2">
        <v>0</v>
      </c>
      <c r="G15175" s="2">
        <v>0</v>
      </c>
      <c r="H15175" s="1" t="s">
        <v>0</v>
      </c>
      <c r="I15175" s="2">
        <v>0</v>
      </c>
      <c r="J15175" s="1">
        <v>45967.544374999998</v>
      </c>
    </row>
    <row r="15176" spans="1:10" x14ac:dyDescent="0.2">
      <c r="A15176" s="4" t="s">
        <v>1</v>
      </c>
      <c r="B15176" s="3" t="str">
        <f>HYPERLINK("https://otsuka-europe-crm.veevavault.com/ui/#object/approved_document__v/V5O000000004027", "LUP - Invitación webinar 13N - reuma")</f>
        <v>LUP - Invitación webinar 13N - reuma</v>
      </c>
      <c r="C15176" s="3" t="str">
        <f>HYPERLINK("https://otsuka-europe-crm.veevavault.com/ui/#object/sent_email__v/VBL000000006346", "SE-001381304")</f>
        <v>SE-001381304</v>
      </c>
      <c r="D15176" s="1" t="s">
        <v>0</v>
      </c>
      <c r="E15176" s="2">
        <v>0</v>
      </c>
      <c r="F15176" s="2">
        <v>0</v>
      </c>
      <c r="G15176" s="2">
        <v>0</v>
      </c>
      <c r="H15176" s="1" t="s">
        <v>0</v>
      </c>
      <c r="I15176" s="2">
        <v>0</v>
      </c>
      <c r="J15176" s="1">
        <v>45967.544374999998</v>
      </c>
    </row>
    <row r="15177" spans="1:10" x14ac:dyDescent="0.2">
      <c r="A15177" s="4" t="s">
        <v>1</v>
      </c>
      <c r="B15177" s="3" t="str">
        <f>HYPERLINK("https://otsuka-europe-crm.veevavault.com/ui/#object/approved_document__v/V5O000000004027", "LUP - Invitación webinar 13N - reuma")</f>
        <v>LUP - Invitación webinar 13N - reuma</v>
      </c>
      <c r="C15177" s="3" t="str">
        <f>HYPERLINK("https://otsuka-europe-crm.veevavault.com/ui/#object/sent_email__v/VBL000000006347", "SE-001381305")</f>
        <v>SE-001381305</v>
      </c>
      <c r="D15177" s="1" t="s">
        <v>0</v>
      </c>
      <c r="E15177" s="2">
        <v>0</v>
      </c>
      <c r="F15177" s="2">
        <v>0</v>
      </c>
      <c r="G15177" s="2">
        <v>0</v>
      </c>
      <c r="H15177" s="1" t="s">
        <v>0</v>
      </c>
      <c r="I15177" s="2">
        <v>0</v>
      </c>
      <c r="J15177" s="1">
        <v>45967.544374999998</v>
      </c>
    </row>
    <row r="15178" spans="1:10" x14ac:dyDescent="0.2">
      <c r="A15178" s="4" t="s">
        <v>1</v>
      </c>
      <c r="B15178" s="3" t="str">
        <f>HYPERLINK("https://otsuka-europe-crm.veevavault.com/ui/#object/approved_document__v/V5O000000004027", "LUP - Invitación webinar 13N - reuma")</f>
        <v>LUP - Invitación webinar 13N - reuma</v>
      </c>
      <c r="C15178" s="3" t="str">
        <f>HYPERLINK("https://otsuka-europe-crm.veevavault.com/ui/#object/sent_email__v/VBL000000006348", "SE-001381306")</f>
        <v>SE-001381306</v>
      </c>
      <c r="D15178" s="1" t="s">
        <v>0</v>
      </c>
      <c r="E15178" s="2">
        <v>0</v>
      </c>
      <c r="F15178" s="2">
        <v>0</v>
      </c>
      <c r="G15178" s="2">
        <v>0</v>
      </c>
      <c r="H15178" s="1" t="s">
        <v>0</v>
      </c>
      <c r="I15178" s="2">
        <v>0</v>
      </c>
      <c r="J15178" s="1">
        <v>45967.544374999998</v>
      </c>
    </row>
    <row r="15179" spans="1:10" x14ac:dyDescent="0.2">
      <c r="A15179" s="4" t="s">
        <v>1</v>
      </c>
      <c r="B15179" s="3" t="str">
        <f>HYPERLINK("https://otsuka-europe-crm.veevavault.com/ui/#object/approved_document__v/V5O000000004027", "LUP - Invitación webinar 13N - reuma")</f>
        <v>LUP - Invitación webinar 13N - reuma</v>
      </c>
      <c r="C15179" s="3" t="str">
        <f>HYPERLINK("https://otsuka-europe-crm.veevavault.com/ui/#object/sent_email__v/VBL000000006349", "SE-001381307")</f>
        <v>SE-001381307</v>
      </c>
      <c r="D15179" s="1" t="s">
        <v>0</v>
      </c>
      <c r="E15179" s="2">
        <v>0</v>
      </c>
      <c r="F15179" s="2">
        <v>0</v>
      </c>
      <c r="G15179" s="2">
        <v>0</v>
      </c>
      <c r="H15179" s="1" t="s">
        <v>0</v>
      </c>
      <c r="I15179" s="2">
        <v>0</v>
      </c>
      <c r="J15179" s="1">
        <v>45967.544374999998</v>
      </c>
    </row>
    <row r="15180" spans="1:10" x14ac:dyDescent="0.2">
      <c r="A15180" s="4" t="s">
        <v>1</v>
      </c>
      <c r="B15180" s="3" t="str">
        <f>HYPERLINK("https://otsuka-europe-crm.veevavault.com/ui/#object/approved_document__v/V5O000000004027", "LUP - Invitación webinar 13N - reuma")</f>
        <v>LUP - Invitación webinar 13N - reuma</v>
      </c>
      <c r="C15180" s="3" t="str">
        <f>HYPERLINK("https://otsuka-europe-crm.veevavault.com/ui/#object/sent_email__v/VBL000000006350", "SE-001381308")</f>
        <v>SE-001381308</v>
      </c>
      <c r="D15180" s="1" t="s">
        <v>0</v>
      </c>
      <c r="E15180" s="2">
        <v>0</v>
      </c>
      <c r="F15180" s="2">
        <v>0</v>
      </c>
      <c r="G15180" s="2">
        <v>0</v>
      </c>
      <c r="H15180" s="1" t="s">
        <v>0</v>
      </c>
      <c r="I15180" s="2">
        <v>0</v>
      </c>
      <c r="J15180" s="1">
        <v>45967.544374999998</v>
      </c>
    </row>
    <row r="15181" spans="1:10" x14ac:dyDescent="0.2">
      <c r="A15181" s="4" t="s">
        <v>1</v>
      </c>
      <c r="B15181" s="3" t="str">
        <f>HYPERLINK("https://otsuka-europe-crm.veevavault.com/ui/#object/approved_document__v/V5O000000004027", "LUP - Invitación webinar 13N - reuma")</f>
        <v>LUP - Invitación webinar 13N - reuma</v>
      </c>
      <c r="C15181" s="3" t="str">
        <f>HYPERLINK("https://otsuka-europe-crm.veevavault.com/ui/#object/sent_email__v/VBL000000006351", "SE-001381309")</f>
        <v>SE-001381309</v>
      </c>
      <c r="D15181" s="1" t="s">
        <v>0</v>
      </c>
      <c r="E15181" s="2">
        <v>0</v>
      </c>
      <c r="F15181" s="2">
        <v>0</v>
      </c>
      <c r="G15181" s="2">
        <v>0</v>
      </c>
      <c r="H15181" s="1" t="s">
        <v>0</v>
      </c>
      <c r="I15181" s="2">
        <v>0</v>
      </c>
      <c r="J15181" s="1">
        <v>45967.544386574074</v>
      </c>
    </row>
    <row r="15182" spans="1:10" x14ac:dyDescent="0.2">
      <c r="A15182" s="4" t="s">
        <v>1</v>
      </c>
      <c r="B15182" s="3" t="str">
        <f>HYPERLINK("https://otsuka-europe-crm.veevavault.com/ui/#object/approved_document__v/V5O000000004027", "LUP - Invitación webinar 13N - reuma")</f>
        <v>LUP - Invitación webinar 13N - reuma</v>
      </c>
      <c r="C15182" s="3" t="str">
        <f>HYPERLINK("https://otsuka-europe-crm.veevavault.com/ui/#object/sent_email__v/VBL000000006352", "SE-001381310")</f>
        <v>SE-001381310</v>
      </c>
      <c r="D15182" s="1" t="s">
        <v>0</v>
      </c>
      <c r="E15182" s="2">
        <v>0</v>
      </c>
      <c r="F15182" s="2">
        <v>0</v>
      </c>
      <c r="G15182" s="2">
        <v>0</v>
      </c>
      <c r="H15182" s="1" t="s">
        <v>0</v>
      </c>
      <c r="I15182" s="2">
        <v>0</v>
      </c>
      <c r="J15182" s="1">
        <v>45967.544386574074</v>
      </c>
    </row>
    <row r="15183" spans="1:10" x14ac:dyDescent="0.2">
      <c r="A15183" s="4" t="s">
        <v>1</v>
      </c>
      <c r="B15183" s="3" t="str">
        <f>HYPERLINK("https://otsuka-europe-crm.veevavault.com/ui/#object/approved_document__v/V5O000000004027", "LUP - Invitación webinar 13N - reuma")</f>
        <v>LUP - Invitación webinar 13N - reuma</v>
      </c>
      <c r="C15183" s="3" t="str">
        <f>HYPERLINK("https://otsuka-europe-crm.veevavault.com/ui/#object/sent_email__v/VBL000000006353", "SE-001381311")</f>
        <v>SE-001381311</v>
      </c>
      <c r="D15183" s="1" t="s">
        <v>0</v>
      </c>
      <c r="E15183" s="2">
        <v>0</v>
      </c>
      <c r="F15183" s="2">
        <v>0</v>
      </c>
      <c r="G15183" s="2">
        <v>0</v>
      </c>
      <c r="H15183" s="1" t="s">
        <v>0</v>
      </c>
      <c r="I15183" s="2">
        <v>0</v>
      </c>
      <c r="J15183" s="1">
        <v>45967.544386574074</v>
      </c>
    </row>
    <row r="15184" spans="1:10" x14ac:dyDescent="0.2">
      <c r="A15184" s="4" t="s">
        <v>1</v>
      </c>
      <c r="B15184" s="3" t="str">
        <f>HYPERLINK("https://otsuka-europe-crm.veevavault.com/ui/#object/approved_document__v/V5O000000004027", "LUP - Invitación webinar 13N - reuma")</f>
        <v>LUP - Invitación webinar 13N - reuma</v>
      </c>
      <c r="C15184" s="3" t="str">
        <f>HYPERLINK("https://otsuka-europe-crm.veevavault.com/ui/#object/sent_email__v/VBL000000006354", "SE-001381312")</f>
        <v>SE-001381312</v>
      </c>
      <c r="D15184" s="1" t="s">
        <v>0</v>
      </c>
      <c r="E15184" s="2">
        <v>0</v>
      </c>
      <c r="F15184" s="2">
        <v>0</v>
      </c>
      <c r="G15184" s="2">
        <v>0</v>
      </c>
      <c r="H15184" s="1" t="s">
        <v>0</v>
      </c>
      <c r="I15184" s="2">
        <v>0</v>
      </c>
      <c r="J15184" s="1">
        <v>45967.544386574074</v>
      </c>
    </row>
    <row r="15185" spans="1:10" x14ac:dyDescent="0.2">
      <c r="A15185" s="4" t="s">
        <v>1</v>
      </c>
      <c r="B15185" s="3" t="str">
        <f>HYPERLINK("https://otsuka-europe-crm.veevavault.com/ui/#object/approved_document__v/V5O000000004027", "LUP - Invitación webinar 13N - reuma")</f>
        <v>LUP - Invitación webinar 13N - reuma</v>
      </c>
      <c r="C15185" s="3" t="str">
        <f>HYPERLINK("https://otsuka-europe-crm.veevavault.com/ui/#object/sent_email__v/VBL000000006355", "SE-001381313")</f>
        <v>SE-001381313</v>
      </c>
      <c r="D15185" s="1" t="s">
        <v>0</v>
      </c>
      <c r="E15185" s="2">
        <v>0</v>
      </c>
      <c r="F15185" s="2">
        <v>0</v>
      </c>
      <c r="G15185" s="2">
        <v>0</v>
      </c>
      <c r="H15185" s="1" t="s">
        <v>0</v>
      </c>
      <c r="I15185" s="2">
        <v>0</v>
      </c>
      <c r="J15185" s="1">
        <v>45967.544386574074</v>
      </c>
    </row>
    <row r="15186" spans="1:10" x14ac:dyDescent="0.2">
      <c r="A15186" s="4" t="s">
        <v>1</v>
      </c>
      <c r="B15186" s="3" t="str">
        <f>HYPERLINK("https://otsuka-europe-crm.veevavault.com/ui/#object/approved_document__v/V5O000000004027", "LUP - Invitación webinar 13N - reuma")</f>
        <v>LUP - Invitación webinar 13N - reuma</v>
      </c>
      <c r="C15186" s="3" t="str">
        <f>HYPERLINK("https://otsuka-europe-crm.veevavault.com/ui/#object/sent_email__v/VBL000000006356", "SE-001381314")</f>
        <v>SE-001381314</v>
      </c>
      <c r="D15186" s="1" t="s">
        <v>0</v>
      </c>
      <c r="E15186" s="2">
        <v>0</v>
      </c>
      <c r="F15186" s="2">
        <v>0</v>
      </c>
      <c r="G15186" s="2">
        <v>0</v>
      </c>
      <c r="H15186" s="1" t="s">
        <v>0</v>
      </c>
      <c r="I15186" s="2">
        <v>0</v>
      </c>
      <c r="J15186" s="1">
        <v>45967.544386574074</v>
      </c>
    </row>
    <row r="15187" spans="1:10" x14ac:dyDescent="0.2">
      <c r="A15187" s="4" t="s">
        <v>1</v>
      </c>
      <c r="B15187" s="3" t="str">
        <f>HYPERLINK("https://otsuka-europe-crm.veevavault.com/ui/#object/approved_document__v/V5O000000004027", "LUP - Invitación webinar 13N - reuma")</f>
        <v>LUP - Invitación webinar 13N - reuma</v>
      </c>
      <c r="C15187" s="3" t="str">
        <f>HYPERLINK("https://otsuka-europe-crm.veevavault.com/ui/#object/sent_email__v/VBL000000006357", "SE-001381315")</f>
        <v>SE-001381315</v>
      </c>
      <c r="D15187" s="1" t="s">
        <v>0</v>
      </c>
      <c r="E15187" s="2">
        <v>0</v>
      </c>
      <c r="F15187" s="2">
        <v>0</v>
      </c>
      <c r="G15187" s="2">
        <v>0</v>
      </c>
      <c r="H15187" s="1" t="s">
        <v>0</v>
      </c>
      <c r="I15187" s="2">
        <v>0</v>
      </c>
      <c r="J15187" s="1">
        <v>45967.544386574074</v>
      </c>
    </row>
    <row r="15188" spans="1:10" x14ac:dyDescent="0.2">
      <c r="A15188" s="4" t="s">
        <v>1</v>
      </c>
      <c r="B15188" s="3" t="str">
        <f>HYPERLINK("https://otsuka-europe-crm.veevavault.com/ui/#object/approved_document__v/V5O000000004027", "LUP - Invitación webinar 13N - reuma")</f>
        <v>LUP - Invitación webinar 13N - reuma</v>
      </c>
      <c r="C15188" s="3" t="str">
        <f>HYPERLINK("https://otsuka-europe-crm.veevavault.com/ui/#object/sent_email__v/VBL000000006358", "SE-001381316")</f>
        <v>SE-001381316</v>
      </c>
      <c r="D15188" s="1" t="s">
        <v>0</v>
      </c>
      <c r="E15188" s="2">
        <v>0</v>
      </c>
      <c r="F15188" s="2">
        <v>0</v>
      </c>
      <c r="G15188" s="2">
        <v>0</v>
      </c>
      <c r="H15188" s="1" t="s">
        <v>0</v>
      </c>
      <c r="I15188" s="2">
        <v>0</v>
      </c>
      <c r="J15188" s="1">
        <v>45967.544386574074</v>
      </c>
    </row>
    <row r="15189" spans="1:10" x14ac:dyDescent="0.2">
      <c r="A15189" s="4" t="s">
        <v>1</v>
      </c>
      <c r="B15189" s="3" t="str">
        <f>HYPERLINK("https://otsuka-europe-crm.veevavault.com/ui/#object/approved_document__v/V5O000000004027", "LUP - Invitación webinar 13N - reuma")</f>
        <v>LUP - Invitación webinar 13N - reuma</v>
      </c>
      <c r="C15189" s="3" t="str">
        <f>HYPERLINK("https://otsuka-europe-crm.veevavault.com/ui/#object/sent_email__v/VBL000000004763", "SE-001381318")</f>
        <v>SE-001381318</v>
      </c>
      <c r="D15189" s="1" t="s">
        <v>0</v>
      </c>
      <c r="E15189" s="2">
        <v>0</v>
      </c>
      <c r="F15189" s="2">
        <v>0</v>
      </c>
      <c r="G15189" s="2">
        <v>0</v>
      </c>
      <c r="H15189" s="1" t="s">
        <v>0</v>
      </c>
      <c r="I15189" s="2">
        <v>0</v>
      </c>
      <c r="J15189" s="1">
        <v>45967.548692129632</v>
      </c>
    </row>
    <row r="15190" spans="1:10" x14ac:dyDescent="0.2">
      <c r="A15190" s="4" t="s">
        <v>1</v>
      </c>
      <c r="B15190" s="3" t="str">
        <f>HYPERLINK("https://otsuka-europe-crm.veevavault.com/ui/#object/approved_document__v/V5O000000004027", "LUP - Invitación webinar 13N - reuma")</f>
        <v>LUP - Invitación webinar 13N - reuma</v>
      </c>
      <c r="C15190" s="3" t="str">
        <f>HYPERLINK("https://otsuka-europe-crm.veevavault.com/ui/#object/sent_email__v/VBL000000004764", "SE-001381319")</f>
        <v>SE-001381319</v>
      </c>
      <c r="D15190" s="1" t="s">
        <v>0</v>
      </c>
      <c r="E15190" s="2">
        <v>0</v>
      </c>
      <c r="F15190" s="2">
        <v>0</v>
      </c>
      <c r="G15190" s="2">
        <v>0</v>
      </c>
      <c r="H15190" s="1" t="s">
        <v>0</v>
      </c>
      <c r="I15190" s="2">
        <v>0</v>
      </c>
      <c r="J15190" s="1">
        <v>45967.548703703702</v>
      </c>
    </row>
    <row r="15191" spans="1:10" x14ac:dyDescent="0.2">
      <c r="A15191" s="4" t="s">
        <v>1</v>
      </c>
      <c r="B15191" s="3" t="str">
        <f>HYPERLINK("https://otsuka-europe-crm.veevavault.com/ui/#object/approved_document__v/V5O000000004027", "LUP - Invitación webinar 13N - reuma")</f>
        <v>LUP - Invitación webinar 13N - reuma</v>
      </c>
      <c r="C15191" s="3" t="str">
        <f>HYPERLINK("https://otsuka-europe-crm.veevavault.com/ui/#object/sent_email__v/VBL000000004765", "SE-001381320")</f>
        <v>SE-001381320</v>
      </c>
      <c r="D15191" s="1" t="s">
        <v>0</v>
      </c>
      <c r="E15191" s="2">
        <v>0</v>
      </c>
      <c r="F15191" s="2">
        <v>0</v>
      </c>
      <c r="G15191" s="2">
        <v>0</v>
      </c>
      <c r="H15191" s="1" t="s">
        <v>0</v>
      </c>
      <c r="I15191" s="2">
        <v>0</v>
      </c>
      <c r="J15191" s="1">
        <v>45967.548703703702</v>
      </c>
    </row>
    <row r="15192" spans="1:10" x14ac:dyDescent="0.2">
      <c r="A15192" s="4" t="s">
        <v>1</v>
      </c>
      <c r="B15192" s="3" t="str">
        <f>HYPERLINK("https://otsuka-europe-crm.veevavault.com/ui/#object/approved_document__v/V5O000000004027", "LUP - Invitación webinar 13N - reuma")</f>
        <v>LUP - Invitación webinar 13N - reuma</v>
      </c>
      <c r="C15192" s="3" t="str">
        <f>HYPERLINK("https://otsuka-europe-crm.veevavault.com/ui/#object/sent_email__v/VBL000000004766", "SE-001381321")</f>
        <v>SE-001381321</v>
      </c>
      <c r="D15192" s="1" t="s">
        <v>0</v>
      </c>
      <c r="E15192" s="2">
        <v>0</v>
      </c>
      <c r="F15192" s="2">
        <v>0</v>
      </c>
      <c r="G15192" s="2">
        <v>0</v>
      </c>
      <c r="H15192" s="1" t="s">
        <v>0</v>
      </c>
      <c r="I15192" s="2">
        <v>0</v>
      </c>
      <c r="J15192" s="1">
        <v>45967.548703703702</v>
      </c>
    </row>
    <row r="15193" spans="1:10" x14ac:dyDescent="0.2">
      <c r="A15193" s="4" t="s">
        <v>1</v>
      </c>
      <c r="B15193" s="3" t="str">
        <f>HYPERLINK("https://otsuka-europe-crm.veevavault.com/ui/#object/approved_document__v/V5O000000004027", "LUP - Invitación webinar 13N - reuma")</f>
        <v>LUP - Invitación webinar 13N - reuma</v>
      </c>
      <c r="C15193" s="3" t="str">
        <f>HYPERLINK("https://otsuka-europe-crm.veevavault.com/ui/#object/sent_email__v/VBL000000004767", "SE-001381322")</f>
        <v>SE-001381322</v>
      </c>
      <c r="D15193" s="1" t="s">
        <v>0</v>
      </c>
      <c r="E15193" s="2">
        <v>0</v>
      </c>
      <c r="F15193" s="2">
        <v>0</v>
      </c>
      <c r="G15193" s="2">
        <v>0</v>
      </c>
      <c r="H15193" s="1" t="s">
        <v>0</v>
      </c>
      <c r="I15193" s="2">
        <v>0</v>
      </c>
      <c r="J15193" s="1">
        <v>45967.548703703702</v>
      </c>
    </row>
    <row r="15194" spans="1:10" x14ac:dyDescent="0.2">
      <c r="A15194" s="4" t="s">
        <v>1</v>
      </c>
      <c r="B15194" s="3" t="str">
        <f>HYPERLINK("https://otsuka-europe-crm.veevavault.com/ui/#object/approved_document__v/V5O000000004027", "LUP - Invitación webinar 13N - reuma")</f>
        <v>LUP - Invitación webinar 13N - reuma</v>
      </c>
      <c r="C15194" s="3" t="str">
        <f>HYPERLINK("https://otsuka-europe-crm.veevavault.com/ui/#object/sent_email__v/VBL000000004768", "SE-001381323")</f>
        <v>SE-001381323</v>
      </c>
      <c r="D15194" s="1" t="s">
        <v>0</v>
      </c>
      <c r="E15194" s="2">
        <v>0</v>
      </c>
      <c r="F15194" s="2">
        <v>0</v>
      </c>
      <c r="G15194" s="2">
        <v>0</v>
      </c>
      <c r="H15194" s="1" t="s">
        <v>0</v>
      </c>
      <c r="I15194" s="2">
        <v>0</v>
      </c>
      <c r="J15194" s="1">
        <v>45967.548703703702</v>
      </c>
    </row>
    <row r="15195" spans="1:10" x14ac:dyDescent="0.2">
      <c r="A15195" s="4" t="s">
        <v>1</v>
      </c>
      <c r="B15195" s="3" t="str">
        <f>HYPERLINK("https://otsuka-europe-crm.veevavault.com/ui/#object/approved_document__v/V5O000000004027", "LUP - Invitación webinar 13N - reuma")</f>
        <v>LUP - Invitación webinar 13N - reuma</v>
      </c>
      <c r="C15195" s="3" t="str">
        <f>HYPERLINK("https://otsuka-europe-crm.veevavault.com/ui/#object/sent_email__v/VBL000000004769", "SE-001381324")</f>
        <v>SE-001381324</v>
      </c>
      <c r="D15195" s="1" t="s">
        <v>0</v>
      </c>
      <c r="E15195" s="2">
        <v>0</v>
      </c>
      <c r="F15195" s="2">
        <v>0</v>
      </c>
      <c r="G15195" s="2">
        <v>0</v>
      </c>
      <c r="H15195" s="1" t="s">
        <v>0</v>
      </c>
      <c r="I15195" s="2">
        <v>0</v>
      </c>
      <c r="J15195" s="1">
        <v>45967.548703703702</v>
      </c>
    </row>
    <row r="15196" spans="1:10" x14ac:dyDescent="0.2">
      <c r="A15196" s="4" t="s">
        <v>1</v>
      </c>
      <c r="B15196" s="3" t="str">
        <f>HYPERLINK("https://otsuka-europe-crm.veevavault.com/ui/#object/approved_document__v/V5O000000004027", "LUP - Invitación webinar 13N - reuma")</f>
        <v>LUP - Invitación webinar 13N - reuma</v>
      </c>
      <c r="C15196" s="3" t="str">
        <f>HYPERLINK("https://otsuka-europe-crm.veevavault.com/ui/#object/sent_email__v/VBL00000000H089", "SE-001386486")</f>
        <v>SE-001386486</v>
      </c>
      <c r="D15196" s="1">
        <v>45972.387384259258</v>
      </c>
      <c r="E15196" s="2">
        <v>1</v>
      </c>
      <c r="F15196" s="2">
        <v>2</v>
      </c>
      <c r="G15196" s="2">
        <v>1</v>
      </c>
      <c r="H15196" s="1">
        <v>45972.387488425928</v>
      </c>
      <c r="I15196" s="2">
        <v>1</v>
      </c>
      <c r="J15196" s="1">
        <v>45971.690474537034</v>
      </c>
    </row>
    <row r="15197" spans="1:10" x14ac:dyDescent="0.2">
      <c r="A15197" s="4" t="s">
        <v>1</v>
      </c>
      <c r="B15197" s="3" t="str">
        <f>HYPERLINK("https://otsuka-europe-crm.veevavault.com/ui/#object/approved_document__v/V5O000000004027", "LUP - Invitación webinar 13N - reuma")</f>
        <v>LUP - Invitación webinar 13N - reuma</v>
      </c>
      <c r="C15197" s="3" t="str">
        <f>HYPERLINK("https://otsuka-europe-crm.veevavault.com/ui/#object/sent_email__v/VBL00000000H090", "SE-001386487")</f>
        <v>SE-001386487</v>
      </c>
      <c r="D15197" s="1">
        <v>45971.690821759257</v>
      </c>
      <c r="E15197" s="2">
        <v>1</v>
      </c>
      <c r="F15197" s="2">
        <v>1</v>
      </c>
      <c r="G15197" s="2">
        <v>1</v>
      </c>
      <c r="H15197" s="1">
        <v>45971.690821759257</v>
      </c>
      <c r="I15197" s="2">
        <v>1</v>
      </c>
      <c r="J15197" s="1">
        <v>45971.690555555557</v>
      </c>
    </row>
    <row r="15198" spans="1:10" x14ac:dyDescent="0.2">
      <c r="A15198" s="4" t="s">
        <v>1</v>
      </c>
      <c r="B15198" s="3" t="str">
        <f>HYPERLINK("https://otsuka-europe-crm.veevavault.com/ui/#object/approved_document__v/V5O000000004027", "LUP - Invitación webinar 13N - reuma")</f>
        <v>LUP - Invitación webinar 13N - reuma</v>
      </c>
      <c r="C15198" s="3" t="str">
        <f>HYPERLINK("https://otsuka-europe-crm.veevavault.com/ui/#object/sent_email__v/VBL00000000H091", "SE-001386488")</f>
        <v>SE-001386488</v>
      </c>
      <c r="D15198" s="1">
        <v>45971.808217592596</v>
      </c>
      <c r="E15198" s="2">
        <v>1</v>
      </c>
      <c r="F15198" s="2">
        <v>1</v>
      </c>
      <c r="G15198" s="2">
        <v>0</v>
      </c>
      <c r="H15198" s="1" t="s">
        <v>0</v>
      </c>
      <c r="I15198" s="2">
        <v>0</v>
      </c>
      <c r="J15198" s="1">
        <v>45971.690613425926</v>
      </c>
    </row>
    <row r="15199" spans="1:10" x14ac:dyDescent="0.2">
      <c r="A15199" s="4" t="s">
        <v>1</v>
      </c>
      <c r="B15199" s="3" t="str">
        <f>HYPERLINK("https://otsuka-europe-crm.veevavault.com/ui/#object/approved_document__v/V5O000000004027", "LUP - Invitación webinar 13N - reuma")</f>
        <v>LUP - Invitación webinar 13N - reuma</v>
      </c>
      <c r="C15199" s="3" t="str">
        <f>HYPERLINK("https://otsuka-europe-crm.veevavault.com/ui/#object/sent_email__v/VBL00000000H092", "SE-001386489")</f>
        <v>SE-001386489</v>
      </c>
      <c r="D15199" s="1" t="s">
        <v>0</v>
      </c>
      <c r="E15199" s="2">
        <v>0</v>
      </c>
      <c r="F15199" s="2">
        <v>0</v>
      </c>
      <c r="G15199" s="2">
        <v>0</v>
      </c>
      <c r="H15199" s="1" t="s">
        <v>0</v>
      </c>
      <c r="I15199" s="2">
        <v>0</v>
      </c>
      <c r="J15199" s="1">
        <v>45971.690694444442</v>
      </c>
    </row>
    <row r="15200" spans="1:10" x14ac:dyDescent="0.2">
      <c r="A15200" s="4" t="s">
        <v>1</v>
      </c>
      <c r="B15200" s="3" t="str">
        <f>HYPERLINK("https://otsuka-europe-crm.veevavault.com/ui/#object/approved_document__v/V5O000000004027", "LUP - Invitación webinar 13N - reuma")</f>
        <v>LUP - Invitación webinar 13N - reuma</v>
      </c>
      <c r="C15200" s="3" t="str">
        <f>HYPERLINK("https://otsuka-europe-crm.veevavault.com/ui/#object/sent_email__v/VBL00000000H093", "SE-001386490")</f>
        <v>SE-001386490</v>
      </c>
      <c r="D15200" s="1" t="s">
        <v>0</v>
      </c>
      <c r="E15200" s="2">
        <v>0</v>
      </c>
      <c r="F15200" s="2">
        <v>0</v>
      </c>
      <c r="G15200" s="2">
        <v>0</v>
      </c>
      <c r="H15200" s="1" t="s">
        <v>0</v>
      </c>
      <c r="I15200" s="2">
        <v>0</v>
      </c>
      <c r="J15200" s="1">
        <v>45971.690763888888</v>
      </c>
    </row>
    <row r="15201" spans="1:10" x14ac:dyDescent="0.2">
      <c r="A15201" s="4" t="s">
        <v>1</v>
      </c>
      <c r="B15201" s="3" t="str">
        <f>HYPERLINK("https://otsuka-europe-crm.veevavault.com/ui/#object/approved_document__v/V5O000000004027", "LUP - Invitación webinar 13N - reuma")</f>
        <v>LUP - Invitación webinar 13N - reuma</v>
      </c>
      <c r="C15201" s="3" t="str">
        <f>HYPERLINK("https://otsuka-europe-crm.veevavault.com/ui/#object/sent_email__v/VBL00000000H094", "SE-001386491")</f>
        <v>SE-001386491</v>
      </c>
      <c r="D15201" s="1" t="s">
        <v>0</v>
      </c>
      <c r="E15201" s="2">
        <v>0</v>
      </c>
      <c r="F15201" s="2">
        <v>0</v>
      </c>
      <c r="G15201" s="2">
        <v>0</v>
      </c>
      <c r="H15201" s="1" t="s">
        <v>0</v>
      </c>
      <c r="I15201" s="2">
        <v>0</v>
      </c>
      <c r="J15201" s="1">
        <v>45971.69085648148</v>
      </c>
    </row>
    <row r="15202" spans="1:10" x14ac:dyDescent="0.2">
      <c r="A15202" s="4" t="s">
        <v>1</v>
      </c>
      <c r="B15202" s="3" t="str">
        <f>HYPERLINK("https://otsuka-europe-crm.veevavault.com/ui/#object/approved_document__v/V5O000000004027", "LUP - Invitación webinar 13N - reuma")</f>
        <v>LUP - Invitación webinar 13N - reuma</v>
      </c>
      <c r="C15202" s="3" t="str">
        <f>HYPERLINK("https://otsuka-europe-crm.veevavault.com/ui/#object/sent_email__v/VBL00000000H095", "SE-001386492")</f>
        <v>SE-001386492</v>
      </c>
      <c r="D15202" s="1" t="s">
        <v>0</v>
      </c>
      <c r="E15202" s="2">
        <v>0</v>
      </c>
      <c r="F15202" s="2">
        <v>0</v>
      </c>
      <c r="G15202" s="2">
        <v>0</v>
      </c>
      <c r="H15202" s="1" t="s">
        <v>0</v>
      </c>
      <c r="I15202" s="2">
        <v>0</v>
      </c>
      <c r="J15202" s="1">
        <v>45971.69091435185</v>
      </c>
    </row>
    <row r="15203" spans="1:10" x14ac:dyDescent="0.2">
      <c r="A15203" s="4" t="s">
        <v>1</v>
      </c>
      <c r="B15203" s="3" t="str">
        <f>HYPERLINK("https://otsuka-europe-crm.veevavault.com/ui/#object/approved_document__v/V5O000000004027", "LUP - Invitación webinar 13N - reuma")</f>
        <v>LUP - Invitación webinar 13N - reuma</v>
      </c>
      <c r="C15203" s="3" t="str">
        <f>HYPERLINK("https://otsuka-europe-crm.veevavault.com/ui/#object/sent_email__v/VBL00000000H096", "SE-001386493")</f>
        <v>SE-001386493</v>
      </c>
      <c r="D15203" s="1" t="s">
        <v>0</v>
      </c>
      <c r="E15203" s="2">
        <v>0</v>
      </c>
      <c r="F15203" s="2">
        <v>0</v>
      </c>
      <c r="G15203" s="2">
        <v>0</v>
      </c>
      <c r="H15203" s="1" t="s">
        <v>0</v>
      </c>
      <c r="I15203" s="2">
        <v>0</v>
      </c>
      <c r="J15203" s="1">
        <v>45971.690983796296</v>
      </c>
    </row>
    <row r="15204" spans="1:10" x14ac:dyDescent="0.2">
      <c r="A15204" s="4" t="s">
        <v>1</v>
      </c>
      <c r="B15204" s="3" t="str">
        <f>HYPERLINK("https://otsuka-europe-crm.veevavault.com/ui/#object/approved_document__v/V5O000000004027", "LUP - Invitación webinar 13N - reuma")</f>
        <v>LUP - Invitación webinar 13N - reuma</v>
      </c>
      <c r="C15204" s="3" t="str">
        <f>HYPERLINK("https://otsuka-europe-crm.veevavault.com/ui/#object/sent_email__v/VBL00000000H097", "SE-001386494")</f>
        <v>SE-001386494</v>
      </c>
      <c r="D15204" s="1">
        <v>45971.824467592596</v>
      </c>
      <c r="E15204" s="2">
        <v>1</v>
      </c>
      <c r="F15204" s="2">
        <v>2</v>
      </c>
      <c r="G15204" s="2">
        <v>0</v>
      </c>
      <c r="H15204" s="1" t="s">
        <v>0</v>
      </c>
      <c r="I15204" s="2">
        <v>0</v>
      </c>
      <c r="J15204" s="1">
        <v>45971.691030092596</v>
      </c>
    </row>
    <row r="15205" spans="1:10" x14ac:dyDescent="0.2">
      <c r="A15205" s="4" t="s">
        <v>1</v>
      </c>
      <c r="B15205" s="3" t="str">
        <f>HYPERLINK("https://otsuka-europe-crm.veevavault.com/ui/#object/approved_document__v/V5O000000004027", "LUP - Invitación webinar 13N - reuma")</f>
        <v>LUP - Invitación webinar 13N - reuma</v>
      </c>
      <c r="C15205" s="3" t="str">
        <f>HYPERLINK("https://otsuka-europe-crm.veevavault.com/ui/#object/sent_email__v/VBL00000000H098", "SE-001386495")</f>
        <v>SE-001386495</v>
      </c>
      <c r="D15205" s="1">
        <v>45971.701122685183</v>
      </c>
      <c r="E15205" s="2">
        <v>1</v>
      </c>
      <c r="F15205" s="2">
        <v>1</v>
      </c>
      <c r="G15205" s="2">
        <v>0</v>
      </c>
      <c r="H15205" s="1" t="s">
        <v>0</v>
      </c>
      <c r="I15205" s="2">
        <v>0</v>
      </c>
      <c r="J15205" s="1">
        <v>45971.691064814811</v>
      </c>
    </row>
    <row r="15206" spans="1:10" x14ac:dyDescent="0.2">
      <c r="A15206" s="4" t="s">
        <v>1</v>
      </c>
      <c r="B15206" s="3" t="str">
        <f>HYPERLINK("https://otsuka-europe-crm.veevavault.com/ui/#object/approved_document__v/V5O000000004027", "LUP - Invitación webinar 13N - reuma")</f>
        <v>LUP - Invitación webinar 13N - reuma</v>
      </c>
      <c r="C15206" s="3" t="str">
        <f>HYPERLINK("https://otsuka-europe-crm.veevavault.com/ui/#object/sent_email__v/VBL00000000H099", "SE-001386496")</f>
        <v>SE-001386496</v>
      </c>
      <c r="D15206" s="1" t="s">
        <v>0</v>
      </c>
      <c r="E15206" s="2">
        <v>0</v>
      </c>
      <c r="F15206" s="2">
        <v>0</v>
      </c>
      <c r="G15206" s="2">
        <v>0</v>
      </c>
      <c r="H15206" s="1" t="s">
        <v>0</v>
      </c>
      <c r="I15206" s="2">
        <v>0</v>
      </c>
      <c r="J15206" s="1">
        <v>45971.691111111111</v>
      </c>
    </row>
    <row r="15207" spans="1:10" x14ac:dyDescent="0.2">
      <c r="A15207" s="4" t="s">
        <v>1</v>
      </c>
      <c r="B15207" s="3" t="str">
        <f>HYPERLINK("https://otsuka-europe-crm.veevavault.com/ui/#object/approved_document__v/V5O000000004027", "LUP - Invitación webinar 13N - reuma")</f>
        <v>LUP - Invitación webinar 13N - reuma</v>
      </c>
      <c r="C15207" s="3" t="str">
        <f>HYPERLINK("https://otsuka-europe-crm.veevavault.com/ui/#object/sent_email__v/VBL00000000H100", "SE-001386497")</f>
        <v>SE-001386497</v>
      </c>
      <c r="D15207" s="1">
        <v>45971.887719907405</v>
      </c>
      <c r="E15207" s="2">
        <v>1</v>
      </c>
      <c r="F15207" s="2">
        <v>1</v>
      </c>
      <c r="G15207" s="2">
        <v>0</v>
      </c>
      <c r="H15207" s="1" t="s">
        <v>0</v>
      </c>
      <c r="I15207" s="2">
        <v>0</v>
      </c>
      <c r="J15207" s="1">
        <v>45971.691145833334</v>
      </c>
    </row>
    <row r="15208" spans="1:10" x14ac:dyDescent="0.2">
      <c r="A15208" s="4" t="s">
        <v>1</v>
      </c>
      <c r="B15208" s="3" t="str">
        <f>HYPERLINK("https://otsuka-europe-crm.veevavault.com/ui/#object/approved_document__v/V5O000000004027", "LUP - Invitación webinar 13N - reuma")</f>
        <v>LUP - Invitación webinar 13N - reuma</v>
      </c>
      <c r="C15208" s="3" t="str">
        <f>HYPERLINK("https://otsuka-europe-crm.veevavault.com/ui/#object/sent_email__v/VBL00000000H101", "SE-001386498")</f>
        <v>SE-001386498</v>
      </c>
      <c r="D15208" s="1" t="s">
        <v>0</v>
      </c>
      <c r="E15208" s="2">
        <v>0</v>
      </c>
      <c r="F15208" s="2">
        <v>0</v>
      </c>
      <c r="G15208" s="2">
        <v>0</v>
      </c>
      <c r="H15208" s="1" t="s">
        <v>0</v>
      </c>
      <c r="I15208" s="2">
        <v>0</v>
      </c>
      <c r="J15208" s="1">
        <v>45971.691192129627</v>
      </c>
    </row>
    <row r="15209" spans="1:10" x14ac:dyDescent="0.2">
      <c r="A15209" s="4" t="s">
        <v>1</v>
      </c>
      <c r="B15209" s="3" t="str">
        <f>HYPERLINK("https://otsuka-europe-crm.veevavault.com/ui/#object/approved_document__v/V5O000000004027", "LUP - Invitación webinar 13N - reuma")</f>
        <v>LUP - Invitación webinar 13N - reuma</v>
      </c>
      <c r="C15209" s="3" t="str">
        <f>HYPERLINK("https://otsuka-europe-crm.veevavault.com/ui/#object/sent_email__v/VBL00000000H102", "SE-001386499")</f>
        <v>SE-001386499</v>
      </c>
      <c r="D15209" s="1">
        <v>45971.693333333336</v>
      </c>
      <c r="E15209" s="2">
        <v>1</v>
      </c>
      <c r="F15209" s="2">
        <v>1</v>
      </c>
      <c r="G15209" s="2">
        <v>0</v>
      </c>
      <c r="H15209" s="1" t="s">
        <v>0</v>
      </c>
      <c r="I15209" s="2">
        <v>0</v>
      </c>
      <c r="J15209" s="1">
        <v>45971.691238425927</v>
      </c>
    </row>
    <row r="15210" spans="1:10" x14ac:dyDescent="0.2">
      <c r="A15210" s="4" t="s">
        <v>1</v>
      </c>
      <c r="B15210" s="3" t="str">
        <f>HYPERLINK("https://otsuka-europe-crm.veevavault.com/ui/#object/approved_document__v/V5O000000004027", "LUP - Invitación webinar 13N - reuma")</f>
        <v>LUP - Invitación webinar 13N - reuma</v>
      </c>
      <c r="C15210" s="3" t="str">
        <f>HYPERLINK("https://otsuka-europe-crm.veevavault.com/ui/#object/sent_email__v/VBL00000000H103", "SE-001386500")</f>
        <v>SE-001386500</v>
      </c>
      <c r="D15210" s="1" t="s">
        <v>0</v>
      </c>
      <c r="E15210" s="2">
        <v>0</v>
      </c>
      <c r="F15210" s="2">
        <v>0</v>
      </c>
      <c r="G15210" s="2">
        <v>0</v>
      </c>
      <c r="H15210" s="1" t="s">
        <v>0</v>
      </c>
      <c r="I15210" s="2">
        <v>0</v>
      </c>
      <c r="J15210" s="1">
        <v>45971.691284722219</v>
      </c>
    </row>
    <row r="15211" spans="1:10" x14ac:dyDescent="0.2">
      <c r="A15211" s="4" t="s">
        <v>1</v>
      </c>
      <c r="B15211" s="3" t="str">
        <f>HYPERLINK("https://otsuka-europe-crm.veevavault.com/ui/#object/approved_document__v/V5O000000004027", "LUP - Invitación webinar 13N - reuma")</f>
        <v>LUP - Invitación webinar 13N - reuma</v>
      </c>
      <c r="C15211" s="3" t="str">
        <f>HYPERLINK("https://otsuka-europe-crm.veevavault.com/ui/#object/sent_email__v/VBL00000000H104", "SE-001386501")</f>
        <v>SE-001386501</v>
      </c>
      <c r="D15211" s="1">
        <v>45971.744039351855</v>
      </c>
      <c r="E15211" s="2">
        <v>1</v>
      </c>
      <c r="F15211" s="2">
        <v>1</v>
      </c>
      <c r="G15211" s="2">
        <v>0</v>
      </c>
      <c r="H15211" s="1" t="s">
        <v>0</v>
      </c>
      <c r="I15211" s="2">
        <v>0</v>
      </c>
      <c r="J15211" s="1">
        <v>45971.691331018519</v>
      </c>
    </row>
    <row r="15212" spans="1:10" x14ac:dyDescent="0.2">
      <c r="A15212" s="4" t="s">
        <v>1</v>
      </c>
      <c r="B15212" s="3" t="str">
        <f>HYPERLINK("https://otsuka-europe-crm.veevavault.com/ui/#object/approved_document__v/V5O000000004027", "LUP - Invitación webinar 13N - reuma")</f>
        <v>LUP - Invitación webinar 13N - reuma</v>
      </c>
      <c r="C15212" s="3" t="str">
        <f>HYPERLINK("https://otsuka-europe-crm.veevavault.com/ui/#object/sent_email__v/VBL00000000H105", "SE-001386502")</f>
        <v>SE-001386502</v>
      </c>
      <c r="D15212" s="1">
        <v>45971.701412037037</v>
      </c>
      <c r="E15212" s="2">
        <v>1</v>
      </c>
      <c r="F15212" s="2">
        <v>1</v>
      </c>
      <c r="G15212" s="2">
        <v>0</v>
      </c>
      <c r="H15212" s="1" t="s">
        <v>0</v>
      </c>
      <c r="I15212" s="2">
        <v>0</v>
      </c>
      <c r="J15212" s="1">
        <v>45971.691365740742</v>
      </c>
    </row>
    <row r="15213" spans="1:10" x14ac:dyDescent="0.2">
      <c r="A15213" s="4" t="s">
        <v>1</v>
      </c>
      <c r="B15213" s="3" t="str">
        <f>HYPERLINK("https://otsuka-europe-crm.veevavault.com/ui/#object/approved_document__v/V5O000000004027", "LUP - Invitación webinar 13N - reuma")</f>
        <v>LUP - Invitación webinar 13N - reuma</v>
      </c>
      <c r="C15213" s="3" t="str">
        <f>HYPERLINK("https://otsuka-europe-crm.veevavault.com/ui/#object/sent_email__v/VBL00000000H106", "SE-001386503")</f>
        <v>SE-001386503</v>
      </c>
      <c r="D15213" s="1">
        <v>45971.732719907406</v>
      </c>
      <c r="E15213" s="2">
        <v>1</v>
      </c>
      <c r="F15213" s="2">
        <v>2</v>
      </c>
      <c r="G15213" s="2">
        <v>0</v>
      </c>
      <c r="H15213" s="1" t="s">
        <v>0</v>
      </c>
      <c r="I15213" s="2">
        <v>0</v>
      </c>
      <c r="J15213" s="1">
        <v>45971.691412037035</v>
      </c>
    </row>
    <row r="15214" spans="1:10" x14ac:dyDescent="0.2">
      <c r="A15214" s="4" t="s">
        <v>1</v>
      </c>
      <c r="B15214" s="3" t="str">
        <f>HYPERLINK("https://otsuka-europe-crm.veevavault.com/ui/#object/approved_document__v/V5O000000004027", "LUP - Invitación webinar 13N - reuma")</f>
        <v>LUP - Invitación webinar 13N - reuma</v>
      </c>
      <c r="C15214" s="3" t="str">
        <f>HYPERLINK("https://otsuka-europe-crm.veevavault.com/ui/#object/sent_email__v/VBL00000000H107", "SE-001386504")</f>
        <v>SE-001386504</v>
      </c>
      <c r="D15214" s="1">
        <v>45972.732754629629</v>
      </c>
      <c r="E15214" s="2">
        <v>1</v>
      </c>
      <c r="F15214" s="2">
        <v>3</v>
      </c>
      <c r="G15214" s="2">
        <v>0</v>
      </c>
      <c r="H15214" s="1" t="s">
        <v>0</v>
      </c>
      <c r="I15214" s="2">
        <v>0</v>
      </c>
      <c r="J15214" s="1">
        <v>45971.691458333335</v>
      </c>
    </row>
    <row r="15215" spans="1:10" x14ac:dyDescent="0.2">
      <c r="A15215" s="4" t="s">
        <v>1</v>
      </c>
      <c r="B15215" s="3" t="str">
        <f>HYPERLINK("https://otsuka-europe-crm.veevavault.com/ui/#object/approved_document__v/V5O000000004027", "LUP - Invitación webinar 13N - reuma")</f>
        <v>LUP - Invitación webinar 13N - reuma</v>
      </c>
      <c r="C15215" s="3" t="str">
        <f>HYPERLINK("https://otsuka-europe-crm.veevavault.com/ui/#object/sent_email__v/VBL00000000H108", "SE-001386505")</f>
        <v>SE-001386505</v>
      </c>
      <c r="D15215" s="1" t="s">
        <v>0</v>
      </c>
      <c r="E15215" s="2">
        <v>0</v>
      </c>
      <c r="F15215" s="2">
        <v>0</v>
      </c>
      <c r="G15215" s="2">
        <v>0</v>
      </c>
      <c r="H15215" s="1" t="s">
        <v>0</v>
      </c>
      <c r="I15215" s="2">
        <v>0</v>
      </c>
      <c r="J15215" s="1">
        <v>45971.691504629627</v>
      </c>
    </row>
    <row r="15216" spans="1:10" x14ac:dyDescent="0.2">
      <c r="A15216" s="4" t="s">
        <v>1</v>
      </c>
      <c r="B15216" s="3" t="str">
        <f>HYPERLINK("https://otsuka-europe-crm.veevavault.com/ui/#object/approved_document__v/V5O000000004027", "LUP - Invitación webinar 13N - reuma")</f>
        <v>LUP - Invitación webinar 13N - reuma</v>
      </c>
      <c r="C15216" s="3" t="str">
        <f>HYPERLINK("https://otsuka-europe-crm.veevavault.com/ui/#object/sent_email__v/VBL00000000H109", "SE-001386506")</f>
        <v>SE-001386506</v>
      </c>
      <c r="D15216" s="1">
        <v>45971.750902777778</v>
      </c>
      <c r="E15216" s="2">
        <v>1</v>
      </c>
      <c r="F15216" s="2">
        <v>2</v>
      </c>
      <c r="G15216" s="2">
        <v>0</v>
      </c>
      <c r="H15216" s="1" t="s">
        <v>0</v>
      </c>
      <c r="I15216" s="2">
        <v>0</v>
      </c>
      <c r="J15216" s="1">
        <v>45971.69153935185</v>
      </c>
    </row>
    <row r="15217" spans="1:10" x14ac:dyDescent="0.2">
      <c r="A15217" s="4" t="s">
        <v>1</v>
      </c>
      <c r="B15217" s="3" t="str">
        <f>HYPERLINK("https://otsuka-europe-crm.veevavault.com/ui/#object/approved_document__v/V5O000000004027", "LUP - Invitación webinar 13N - reuma")</f>
        <v>LUP - Invitación webinar 13N - reuma</v>
      </c>
      <c r="C15217" s="3" t="str">
        <f>HYPERLINK("https://otsuka-europe-crm.veevavault.com/ui/#object/sent_email__v/VBL00000000H110", "SE-001386507")</f>
        <v>SE-001386507</v>
      </c>
      <c r="D15217" s="1" t="s">
        <v>0</v>
      </c>
      <c r="E15217" s="2">
        <v>0</v>
      </c>
      <c r="F15217" s="2">
        <v>0</v>
      </c>
      <c r="G15217" s="2">
        <v>0</v>
      </c>
      <c r="H15217" s="1" t="s">
        <v>0</v>
      </c>
      <c r="I15217" s="2">
        <v>0</v>
      </c>
      <c r="J15217" s="1">
        <v>45971.69158564815</v>
      </c>
    </row>
    <row r="15218" spans="1:10" x14ac:dyDescent="0.2">
      <c r="A15218" s="4" t="s">
        <v>1</v>
      </c>
      <c r="B15218" s="3" t="str">
        <f>HYPERLINK("https://otsuka-europe-crm.veevavault.com/ui/#object/approved_document__v/V5O000000004027", "LUP - Invitación webinar 13N - reuma")</f>
        <v>LUP - Invitación webinar 13N - reuma</v>
      </c>
      <c r="C15218" s="3" t="str">
        <f>HYPERLINK("https://otsuka-europe-crm.veevavault.com/ui/#object/sent_email__v/VBL00000000H111", "SE-001386508")</f>
        <v>SE-001386508</v>
      </c>
      <c r="D15218" s="1" t="s">
        <v>0</v>
      </c>
      <c r="E15218" s="2">
        <v>0</v>
      </c>
      <c r="F15218" s="2">
        <v>0</v>
      </c>
      <c r="G15218" s="2">
        <v>0</v>
      </c>
      <c r="H15218" s="1" t="s">
        <v>0</v>
      </c>
      <c r="I15218" s="2">
        <v>0</v>
      </c>
      <c r="J15218" s="1">
        <v>45971.691620370373</v>
      </c>
    </row>
    <row r="15219" spans="1:10" x14ac:dyDescent="0.2">
      <c r="A15219" s="4" t="s">
        <v>1</v>
      </c>
      <c r="B15219" s="3" t="str">
        <f>HYPERLINK("https://otsuka-europe-crm.veevavault.com/ui/#object/approved_document__v/V5O000000004027", "LUP - Invitación webinar 13N - reuma")</f>
        <v>LUP - Invitación webinar 13N - reuma</v>
      </c>
      <c r="C15219" s="3" t="str">
        <f>HYPERLINK("https://otsuka-europe-crm.veevavault.com/ui/#object/sent_email__v/VBL00000000H112", "SE-001386509")</f>
        <v>SE-001386509</v>
      </c>
      <c r="D15219" s="1" t="s">
        <v>0</v>
      </c>
      <c r="E15219" s="2">
        <v>0</v>
      </c>
      <c r="F15219" s="2">
        <v>0</v>
      </c>
      <c r="G15219" s="2">
        <v>0</v>
      </c>
      <c r="H15219" s="1" t="s">
        <v>0</v>
      </c>
      <c r="I15219" s="2">
        <v>0</v>
      </c>
      <c r="J15219" s="1">
        <v>45971.691666666666</v>
      </c>
    </row>
    <row r="15220" spans="1:10" x14ac:dyDescent="0.2">
      <c r="A15220" s="4" t="s">
        <v>1</v>
      </c>
      <c r="B15220" s="3" t="str">
        <f>HYPERLINK("https://otsuka-europe-crm.veevavault.com/ui/#object/approved_document__v/V5O000000004027", "LUP - Invitación webinar 13N - reuma")</f>
        <v>LUP - Invitación webinar 13N - reuma</v>
      </c>
      <c r="C15220" s="3" t="str">
        <f>HYPERLINK("https://otsuka-europe-crm.veevavault.com/ui/#object/sent_email__v/VBL00000000H113", "SE-001386510")</f>
        <v>SE-001386510</v>
      </c>
      <c r="D15220" s="1" t="s">
        <v>0</v>
      </c>
      <c r="E15220" s="2">
        <v>0</v>
      </c>
      <c r="F15220" s="2">
        <v>0</v>
      </c>
      <c r="G15220" s="2">
        <v>0</v>
      </c>
      <c r="H15220" s="1" t="s">
        <v>0</v>
      </c>
      <c r="I15220" s="2">
        <v>0</v>
      </c>
      <c r="J15220" s="1">
        <v>45971.691701388889</v>
      </c>
    </row>
    <row r="15221" spans="1:10" x14ac:dyDescent="0.2">
      <c r="A15221" s="4" t="s">
        <v>1</v>
      </c>
      <c r="B15221" s="3" t="str">
        <f>HYPERLINK("https://otsuka-europe-crm.veevavault.com/ui/#object/approved_document__v/V5O000000004027", "LUP - Invitación webinar 13N - reuma")</f>
        <v>LUP - Invitación webinar 13N - reuma</v>
      </c>
      <c r="C15221" s="3" t="str">
        <f>HYPERLINK("https://otsuka-europe-crm.veevavault.com/ui/#object/sent_email__v/VBL00000000H114", "SE-001386511")</f>
        <v>SE-001386511</v>
      </c>
      <c r="D15221" s="1">
        <v>46050.695879629631</v>
      </c>
      <c r="E15221" s="2">
        <v>1</v>
      </c>
      <c r="F15221" s="2">
        <v>6</v>
      </c>
      <c r="G15221" s="2">
        <v>0</v>
      </c>
      <c r="H15221" s="1" t="s">
        <v>0</v>
      </c>
      <c r="I15221" s="2">
        <v>0</v>
      </c>
      <c r="J15221" s="1">
        <v>45971.691747685189</v>
      </c>
    </row>
    <row r="15222" spans="1:10" x14ac:dyDescent="0.2">
      <c r="A15222" s="4" t="s">
        <v>1</v>
      </c>
      <c r="B15222" s="3" t="str">
        <f>HYPERLINK("https://otsuka-europe-crm.veevavault.com/ui/#object/approved_document__v/V5O000000004027", "LUP - Invitación webinar 13N - reuma")</f>
        <v>LUP - Invitación webinar 13N - reuma</v>
      </c>
      <c r="C15222" s="3" t="str">
        <f>HYPERLINK("https://otsuka-europe-crm.veevavault.com/ui/#object/sent_email__v/VBL00000000H115", "SE-001386512")</f>
        <v>SE-001386512</v>
      </c>
      <c r="D15222" s="1" t="s">
        <v>0</v>
      </c>
      <c r="E15222" s="2">
        <v>0</v>
      </c>
      <c r="F15222" s="2">
        <v>0</v>
      </c>
      <c r="G15222" s="2">
        <v>0</v>
      </c>
      <c r="H15222" s="1" t="s">
        <v>0</v>
      </c>
      <c r="I15222" s="2">
        <v>0</v>
      </c>
      <c r="J15222" s="1">
        <v>45971.691793981481</v>
      </c>
    </row>
    <row r="15223" spans="1:10" x14ac:dyDescent="0.2">
      <c r="A15223" s="4" t="s">
        <v>1</v>
      </c>
      <c r="B15223" s="3" t="str">
        <f>HYPERLINK("https://otsuka-europe-crm.veevavault.com/ui/#object/approved_document__v/V5O000000004027", "LUP - Invitación webinar 13N - reuma")</f>
        <v>LUP - Invitación webinar 13N - reuma</v>
      </c>
      <c r="C15223" s="3" t="str">
        <f>HYPERLINK("https://otsuka-europe-crm.veevavault.com/ui/#object/sent_email__v/VBL00000000H116", "SE-001386513")</f>
        <v>SE-001386513</v>
      </c>
      <c r="D15223" s="1">
        <v>45974.928136574075</v>
      </c>
      <c r="E15223" s="2">
        <v>1</v>
      </c>
      <c r="F15223" s="2">
        <v>1</v>
      </c>
      <c r="G15223" s="2">
        <v>0</v>
      </c>
      <c r="H15223" s="1" t="s">
        <v>0</v>
      </c>
      <c r="I15223" s="2">
        <v>0</v>
      </c>
      <c r="J15223" s="1">
        <v>45971.691828703704</v>
      </c>
    </row>
    <row r="15224" spans="1:10" x14ac:dyDescent="0.2">
      <c r="A15224" s="4" t="s">
        <v>1</v>
      </c>
      <c r="B15224" s="3" t="str">
        <f>HYPERLINK("https://otsuka-europe-crm.veevavault.com/ui/#object/approved_document__v/V5O000000004027", "LUP - Invitación webinar 13N - reuma")</f>
        <v>LUP - Invitación webinar 13N - reuma</v>
      </c>
      <c r="C15224" s="3" t="str">
        <f>HYPERLINK("https://otsuka-europe-crm.veevavault.com/ui/#object/sent_email__v/VBL00000000H117", "SE-001386514")</f>
        <v>SE-001386514</v>
      </c>
      <c r="D15224" s="1">
        <v>45974.386793981481</v>
      </c>
      <c r="E15224" s="2">
        <v>1</v>
      </c>
      <c r="F15224" s="2">
        <v>3</v>
      </c>
      <c r="G15224" s="2">
        <v>0</v>
      </c>
      <c r="H15224" s="1" t="s">
        <v>0</v>
      </c>
      <c r="I15224" s="2">
        <v>0</v>
      </c>
      <c r="J15224" s="1">
        <v>45971.691874999997</v>
      </c>
    </row>
    <row r="15225" spans="1:10" x14ac:dyDescent="0.2">
      <c r="A15225" s="4" t="s">
        <v>1</v>
      </c>
      <c r="B15225" s="3" t="str">
        <f>HYPERLINK("https://otsuka-europe-crm.veevavault.com/ui/#object/approved_document__v/V5O000000004027", "LUP - Invitación webinar 13N - reuma")</f>
        <v>LUP - Invitación webinar 13N - reuma</v>
      </c>
      <c r="C15225" s="3" t="str">
        <f>HYPERLINK("https://otsuka-europe-crm.veevavault.com/ui/#object/sent_email__v/VBL00000000H118", "SE-001386515")</f>
        <v>SE-001386515</v>
      </c>
      <c r="D15225" s="1" t="s">
        <v>0</v>
      </c>
      <c r="E15225" s="2">
        <v>0</v>
      </c>
      <c r="F15225" s="2">
        <v>0</v>
      </c>
      <c r="G15225" s="2">
        <v>0</v>
      </c>
      <c r="H15225" s="1" t="s">
        <v>0</v>
      </c>
      <c r="I15225" s="2">
        <v>0</v>
      </c>
      <c r="J15225" s="1">
        <v>45971.69190972222</v>
      </c>
    </row>
    <row r="15226" spans="1:10" x14ac:dyDescent="0.2">
      <c r="A15226" s="4" t="s">
        <v>1</v>
      </c>
      <c r="B15226" s="3" t="str">
        <f>HYPERLINK("https://otsuka-europe-crm.veevavault.com/ui/#object/approved_document__v/V5O000000004027", "LUP - Invitación webinar 13N - reuma")</f>
        <v>LUP - Invitación webinar 13N - reuma</v>
      </c>
      <c r="C15226" s="3" t="str">
        <f>HYPERLINK("https://otsuka-europe-crm.veevavault.com/ui/#object/sent_email__v/VBL00000000H119", "SE-001386516")</f>
        <v>SE-001386516</v>
      </c>
      <c r="D15226" s="1">
        <v>45980.975358796299</v>
      </c>
      <c r="E15226" s="2">
        <v>1</v>
      </c>
      <c r="F15226" s="2">
        <v>8</v>
      </c>
      <c r="G15226" s="2">
        <v>0</v>
      </c>
      <c r="H15226" s="1" t="s">
        <v>0</v>
      </c>
      <c r="I15226" s="2">
        <v>0</v>
      </c>
      <c r="J15226" s="1">
        <v>45971.69195601852</v>
      </c>
    </row>
    <row r="15227" spans="1:10" x14ac:dyDescent="0.2">
      <c r="A15227" s="4" t="s">
        <v>1</v>
      </c>
      <c r="B15227" s="3" t="str">
        <f>HYPERLINK("https://otsuka-europe-crm.veevavault.com/ui/#object/approved_document__v/V5O000000004027", "LUP - Invitación webinar 13N - reuma")</f>
        <v>LUP - Invitación webinar 13N - reuma</v>
      </c>
      <c r="C15227" s="3" t="str">
        <f>HYPERLINK("https://otsuka-europe-crm.veevavault.com/ui/#object/sent_email__v/VBL00000000H120", "SE-001386517")</f>
        <v>SE-001386517</v>
      </c>
      <c r="D15227" s="1">
        <v>45973.001006944447</v>
      </c>
      <c r="E15227" s="2">
        <v>1</v>
      </c>
      <c r="F15227" s="2">
        <v>1</v>
      </c>
      <c r="G15227" s="2">
        <v>0</v>
      </c>
      <c r="H15227" s="1" t="s">
        <v>0</v>
      </c>
      <c r="I15227" s="2">
        <v>0</v>
      </c>
      <c r="J15227" s="1">
        <v>45971.691990740743</v>
      </c>
    </row>
    <row r="15228" spans="1:10" x14ac:dyDescent="0.2">
      <c r="A15228" s="4" t="s">
        <v>1</v>
      </c>
      <c r="B15228" s="3" t="str">
        <f>HYPERLINK("https://otsuka-europe-crm.veevavault.com/ui/#object/approved_document__v/V5O000000004027", "LUP - Invitación webinar 13N - reuma")</f>
        <v>LUP - Invitación webinar 13N - reuma</v>
      </c>
      <c r="C15228" s="3" t="str">
        <f>HYPERLINK("https://otsuka-europe-crm.veevavault.com/ui/#object/sent_email__v/VBL00000000M650", "SE-001389711")</f>
        <v>SE-001389711</v>
      </c>
      <c r="D15228" s="1" t="s">
        <v>0</v>
      </c>
      <c r="E15228" s="2">
        <v>0</v>
      </c>
      <c r="F15228" s="2">
        <v>0</v>
      </c>
      <c r="G15228" s="2">
        <v>0</v>
      </c>
      <c r="H15228" s="1" t="s">
        <v>0</v>
      </c>
      <c r="I15228" s="2">
        <v>0</v>
      </c>
      <c r="J15228" s="1">
        <v>45973.601006944446</v>
      </c>
    </row>
    <row r="15229" spans="1:10" x14ac:dyDescent="0.2">
      <c r="A15229" s="4" t="s">
        <v>1</v>
      </c>
      <c r="B15229" s="3" t="str">
        <f>HYPERLINK("https://otsuka-europe-crm.veevavault.com/ui/#object/approved_document__v/V5O000000004027", "LUP - Invitación webinar 13N - reuma")</f>
        <v>LUP - Invitación webinar 13N - reuma</v>
      </c>
      <c r="C15229" s="3" t="str">
        <f>HYPERLINK("https://otsuka-europe-crm.veevavault.com/ui/#object/sent_email__v/VBL00000000M651", "SE-001389712")</f>
        <v>SE-001389712</v>
      </c>
      <c r="D15229" s="1" t="s">
        <v>0</v>
      </c>
      <c r="E15229" s="2">
        <v>0</v>
      </c>
      <c r="F15229" s="2">
        <v>0</v>
      </c>
      <c r="G15229" s="2">
        <v>0</v>
      </c>
      <c r="H15229" s="1" t="s">
        <v>0</v>
      </c>
      <c r="I15229" s="2">
        <v>0</v>
      </c>
      <c r="J15229" s="1">
        <v>45973.601064814815</v>
      </c>
    </row>
    <row r="15230" spans="1:10" x14ac:dyDescent="0.2">
      <c r="A15230" s="4" t="s">
        <v>1</v>
      </c>
      <c r="B15230" s="3" t="str">
        <f>HYPERLINK("https://otsuka-europe-crm.veevavault.com/ui/#object/approved_document__v/V5O000000004027", "LUP - Invitación webinar 13N - reuma")</f>
        <v>LUP - Invitación webinar 13N - reuma</v>
      </c>
      <c r="C15230" s="3" t="str">
        <f>HYPERLINK("https://otsuka-europe-crm.veevavault.com/ui/#object/sent_email__v/VBL00000000M652", "SE-001389713")</f>
        <v>SE-001389713</v>
      </c>
      <c r="D15230" s="1" t="s">
        <v>0</v>
      </c>
      <c r="E15230" s="2">
        <v>0</v>
      </c>
      <c r="F15230" s="2">
        <v>0</v>
      </c>
      <c r="G15230" s="2">
        <v>0</v>
      </c>
      <c r="H15230" s="1" t="s">
        <v>0</v>
      </c>
      <c r="I15230" s="2">
        <v>0</v>
      </c>
      <c r="J15230" s="1">
        <v>45973.601099537038</v>
      </c>
    </row>
    <row r="15231" spans="1:10" x14ac:dyDescent="0.2">
      <c r="A15231" s="4" t="s">
        <v>1</v>
      </c>
      <c r="B15231" s="3" t="str">
        <f>HYPERLINK("https://otsuka-europe-crm.veevavault.com/ui/#object/approved_document__v/V5O000000004027", "LUP - Invitación webinar 13N - reuma")</f>
        <v>LUP - Invitación webinar 13N - reuma</v>
      </c>
      <c r="C15231" s="3" t="str">
        <f>HYPERLINK("https://otsuka-europe-crm.veevavault.com/ui/#object/sent_email__v/VBL00000000M653", "SE-001389714")</f>
        <v>SE-001389714</v>
      </c>
      <c r="D15231" s="1" t="s">
        <v>0</v>
      </c>
      <c r="E15231" s="2">
        <v>0</v>
      </c>
      <c r="F15231" s="2">
        <v>0</v>
      </c>
      <c r="G15231" s="2">
        <v>0</v>
      </c>
      <c r="H15231" s="1" t="s">
        <v>0</v>
      </c>
      <c r="I15231" s="2">
        <v>0</v>
      </c>
      <c r="J15231" s="1">
        <v>45973.601134259261</v>
      </c>
    </row>
    <row r="15232" spans="1:10" x14ac:dyDescent="0.2">
      <c r="A15232" s="4" t="s">
        <v>1</v>
      </c>
      <c r="B15232" s="3" t="str">
        <f>HYPERLINK("https://otsuka-europe-crm.veevavault.com/ui/#object/approved_document__v/V5O000000004027", "LUP - Invitación webinar 13N - reuma")</f>
        <v>LUP - Invitación webinar 13N - reuma</v>
      </c>
      <c r="C15232" s="3" t="str">
        <f>HYPERLINK("https://otsuka-europe-crm.veevavault.com/ui/#object/sent_email__v/VBL00000000M654", "SE-001389715")</f>
        <v>SE-001389715</v>
      </c>
      <c r="D15232" s="1" t="s">
        <v>0</v>
      </c>
      <c r="E15232" s="2">
        <v>0</v>
      </c>
      <c r="F15232" s="2">
        <v>0</v>
      </c>
      <c r="G15232" s="2">
        <v>0</v>
      </c>
      <c r="H15232" s="1" t="s">
        <v>0</v>
      </c>
      <c r="I15232" s="2">
        <v>0</v>
      </c>
      <c r="J15232" s="1">
        <v>45973.601180555554</v>
      </c>
    </row>
    <row r="15233" spans="1:10" x14ac:dyDescent="0.2">
      <c r="A15233" s="4" t="s">
        <v>1</v>
      </c>
      <c r="B15233" s="3" t="str">
        <f>HYPERLINK("https://otsuka-europe-crm.veevavault.com/ui/#object/approved_document__v/V5O000000004027", "LUP - Invitación webinar 13N - reuma")</f>
        <v>LUP - Invitación webinar 13N - reuma</v>
      </c>
      <c r="C15233" s="3" t="str">
        <f>HYPERLINK("https://otsuka-europe-crm.veevavault.com/ui/#object/sent_email__v/VBL00000000M655", "SE-001389716")</f>
        <v>SE-001389716</v>
      </c>
      <c r="D15233" s="1">
        <v>45973.608668981484</v>
      </c>
      <c r="E15233" s="2">
        <v>1</v>
      </c>
      <c r="F15233" s="2">
        <v>1</v>
      </c>
      <c r="G15233" s="2">
        <v>0</v>
      </c>
      <c r="H15233" s="1" t="s">
        <v>0</v>
      </c>
      <c r="I15233" s="2">
        <v>0</v>
      </c>
      <c r="J15233" s="1">
        <v>45973.601226851853</v>
      </c>
    </row>
    <row r="15234" spans="1:10" x14ac:dyDescent="0.2">
      <c r="A15234" s="4" t="s">
        <v>1</v>
      </c>
      <c r="B15234" s="3" t="str">
        <f>HYPERLINK("https://otsuka-europe-crm.veevavault.com/ui/#object/approved_document__v/V5O000000004027", "LUP - Invitación webinar 13N - reuma")</f>
        <v>LUP - Invitación webinar 13N - reuma</v>
      </c>
      <c r="C15234" s="3" t="str">
        <f>HYPERLINK("https://otsuka-europe-crm.veevavault.com/ui/#object/sent_email__v/VBL00000000M656", "SE-001389717")</f>
        <v>SE-001389717</v>
      </c>
      <c r="D15234" s="1">
        <v>45973.754236111112</v>
      </c>
      <c r="E15234" s="2">
        <v>1</v>
      </c>
      <c r="F15234" s="2">
        <v>1</v>
      </c>
      <c r="G15234" s="2">
        <v>0</v>
      </c>
      <c r="H15234" s="1" t="s">
        <v>0</v>
      </c>
      <c r="I15234" s="2">
        <v>0</v>
      </c>
      <c r="J15234" s="1">
        <v>45973.601261574076</v>
      </c>
    </row>
    <row r="15235" spans="1:10" x14ac:dyDescent="0.2">
      <c r="A15235" s="4" t="s">
        <v>1</v>
      </c>
      <c r="B15235" s="3" t="str">
        <f>HYPERLINK("https://otsuka-europe-crm.veevavault.com/ui/#object/approved_document__v/V5O000000004027", "LUP - Invitación webinar 13N - reuma")</f>
        <v>LUP - Invitación webinar 13N - reuma</v>
      </c>
      <c r="C15235" s="3" t="str">
        <f>HYPERLINK("https://otsuka-europe-crm.veevavault.com/ui/#object/sent_email__v/VBL00000000M657", "SE-001389718")</f>
        <v>SE-001389718</v>
      </c>
      <c r="D15235" s="1" t="s">
        <v>0</v>
      </c>
      <c r="E15235" s="2">
        <v>0</v>
      </c>
      <c r="F15235" s="2">
        <v>0</v>
      </c>
      <c r="G15235" s="2">
        <v>0</v>
      </c>
      <c r="H15235" s="1" t="s">
        <v>0</v>
      </c>
      <c r="I15235" s="2">
        <v>0</v>
      </c>
      <c r="J15235" s="1">
        <v>45973.601307870369</v>
      </c>
    </row>
    <row r="15236" spans="1:10" x14ac:dyDescent="0.2">
      <c r="A15236" s="4" t="s">
        <v>1</v>
      </c>
      <c r="B15236" s="3" t="str">
        <f>HYPERLINK("https://otsuka-europe-crm.veevavault.com/ui/#object/approved_document__v/V5O000000004027", "LUP - Invitación webinar 13N - reuma")</f>
        <v>LUP - Invitación webinar 13N - reuma</v>
      </c>
      <c r="C15236" s="3" t="str">
        <f>HYPERLINK("https://otsuka-europe-crm.veevavault.com/ui/#object/sent_email__v/VBL00000000M658", "SE-001389719")</f>
        <v>SE-001389719</v>
      </c>
      <c r="D15236" s="1">
        <v>45973.789004629631</v>
      </c>
      <c r="E15236" s="2">
        <v>1</v>
      </c>
      <c r="F15236" s="2">
        <v>1</v>
      </c>
      <c r="G15236" s="2">
        <v>0</v>
      </c>
      <c r="H15236" s="1" t="s">
        <v>0</v>
      </c>
      <c r="I15236" s="2">
        <v>0</v>
      </c>
      <c r="J15236" s="1">
        <v>45973.601342592592</v>
      </c>
    </row>
    <row r="15237" spans="1:10" x14ac:dyDescent="0.2">
      <c r="A15237" s="4" t="s">
        <v>1</v>
      </c>
      <c r="B15237" s="3" t="str">
        <f>HYPERLINK("https://otsuka-europe-crm.veevavault.com/ui/#object/approved_document__v/V5O000000004027", "LUP - Invitación webinar 13N - reuma")</f>
        <v>LUP - Invitación webinar 13N - reuma</v>
      </c>
      <c r="C15237" s="3" t="str">
        <f>HYPERLINK("https://otsuka-europe-crm.veevavault.com/ui/#object/sent_email__v/VBL00000000M659", "SE-001389720")</f>
        <v>SE-001389720</v>
      </c>
      <c r="D15237" s="1" t="s">
        <v>0</v>
      </c>
      <c r="E15237" s="2">
        <v>0</v>
      </c>
      <c r="F15237" s="2">
        <v>0</v>
      </c>
      <c r="G15237" s="2">
        <v>0</v>
      </c>
      <c r="H15237" s="1" t="s">
        <v>0</v>
      </c>
      <c r="I15237" s="2">
        <v>0</v>
      </c>
      <c r="J15237" s="1">
        <v>45973.601388888892</v>
      </c>
    </row>
    <row r="15238" spans="1:10" x14ac:dyDescent="0.2">
      <c r="A15238" s="4" t="s">
        <v>1</v>
      </c>
      <c r="B15238" s="3" t="str">
        <f>HYPERLINK("https://otsuka-europe-crm.veevavault.com/ui/#object/approved_document__v/V5O000000004027", "LUP - Invitación webinar 13N - reuma")</f>
        <v>LUP - Invitación webinar 13N - reuma</v>
      </c>
      <c r="C15238" s="3" t="str">
        <f>HYPERLINK("https://otsuka-europe-crm.veevavault.com/ui/#object/sent_email__v/VBL00000000M667", "SE-001389733")</f>
        <v>SE-001389733</v>
      </c>
      <c r="D15238" s="1" t="s">
        <v>0</v>
      </c>
      <c r="E15238" s="2">
        <v>0</v>
      </c>
      <c r="F15238" s="2">
        <v>0</v>
      </c>
      <c r="G15238" s="2">
        <v>0</v>
      </c>
      <c r="H15238" s="1" t="s">
        <v>0</v>
      </c>
      <c r="I15238" s="2">
        <v>0</v>
      </c>
      <c r="J15238" s="1">
        <v>45973.713900462964</v>
      </c>
    </row>
    <row r="15239" spans="1:10" x14ac:dyDescent="0.2">
      <c r="A15239" s="4" t="s">
        <v>1</v>
      </c>
      <c r="B15239" s="3" t="str">
        <f>HYPERLINK("https://otsuka-europe-crm.veevavault.com/ui/#object/approved_document__v/V5O000000004027", "LUP - Invitación webinar 13N - reuma")</f>
        <v>LUP - Invitación webinar 13N - reuma</v>
      </c>
      <c r="C15239" s="3" t="str">
        <f>HYPERLINK("https://otsuka-europe-crm.veevavault.com/ui/#object/sent_email__v/VBL00000000M668", "SE-001389734")</f>
        <v>SE-001389734</v>
      </c>
      <c r="D15239" s="1" t="s">
        <v>0</v>
      </c>
      <c r="E15239" s="2">
        <v>0</v>
      </c>
      <c r="F15239" s="2">
        <v>0</v>
      </c>
      <c r="G15239" s="2">
        <v>0</v>
      </c>
      <c r="H15239" s="1" t="s">
        <v>0</v>
      </c>
      <c r="I15239" s="2">
        <v>0</v>
      </c>
      <c r="J15239" s="1">
        <v>45973.652222222219</v>
      </c>
    </row>
    <row r="15240" spans="1:10" x14ac:dyDescent="0.2">
      <c r="A15240" s="4" t="s">
        <v>1</v>
      </c>
      <c r="B15240" s="3" t="str">
        <f>HYPERLINK("https://otsuka-europe-crm.veevavault.com/ui/#object/approved_document__v/V5O000000004027", "LUP - Invitación webinar 13N - reuma")</f>
        <v>LUP - Invitación webinar 13N - reuma</v>
      </c>
      <c r="C15240" s="3" t="str">
        <f>HYPERLINK("https://otsuka-europe-crm.veevavault.com/ui/#object/sent_email__v/VBL00000000M669", "SE-001389735")</f>
        <v>SE-001389735</v>
      </c>
      <c r="D15240" s="1" t="s">
        <v>0</v>
      </c>
      <c r="E15240" s="2">
        <v>0</v>
      </c>
      <c r="F15240" s="2">
        <v>0</v>
      </c>
      <c r="G15240" s="2">
        <v>0</v>
      </c>
      <c r="H15240" s="1" t="s">
        <v>0</v>
      </c>
      <c r="I15240" s="2">
        <v>0</v>
      </c>
      <c r="J15240" s="1">
        <v>45973.652314814812</v>
      </c>
    </row>
    <row r="15241" spans="1:10" x14ac:dyDescent="0.2">
      <c r="A15241" s="4" t="s">
        <v>1</v>
      </c>
      <c r="B15241" s="3" t="str">
        <f>HYPERLINK("https://otsuka-europe-crm.veevavault.com/ui/#object/approved_document__v/V5O000000004027", "LUP - Invitación webinar 13N - reuma")</f>
        <v>LUP - Invitación webinar 13N - reuma</v>
      </c>
      <c r="C15241" s="3" t="str">
        <f>HYPERLINK("https://otsuka-europe-crm.veevavault.com/ui/#object/sent_email__v/VBL00000000M670", "SE-001389736")</f>
        <v>SE-001389736</v>
      </c>
      <c r="D15241" s="1" t="s">
        <v>0</v>
      </c>
      <c r="E15241" s="2">
        <v>0</v>
      </c>
      <c r="F15241" s="2">
        <v>0</v>
      </c>
      <c r="G15241" s="2">
        <v>0</v>
      </c>
      <c r="H15241" s="1" t="s">
        <v>0</v>
      </c>
      <c r="I15241" s="2">
        <v>0</v>
      </c>
      <c r="J15241" s="1">
        <v>45973.652222222219</v>
      </c>
    </row>
    <row r="15242" spans="1:10" x14ac:dyDescent="0.2">
      <c r="A15242" s="4" t="s">
        <v>1</v>
      </c>
      <c r="B15242" s="3" t="str">
        <f>HYPERLINK("https://otsuka-europe-crm.veevavault.com/ui/#object/approved_document__v/V5O000000004027", "LUP - Invitación webinar 13N - reuma")</f>
        <v>LUP - Invitación webinar 13N - reuma</v>
      </c>
      <c r="C15242" s="3" t="str">
        <f>HYPERLINK("https://otsuka-europe-crm.veevavault.com/ui/#object/sent_email__v/VBL00000000M671", "SE-001389737")</f>
        <v>SE-001389737</v>
      </c>
      <c r="D15242" s="1" t="s">
        <v>0</v>
      </c>
      <c r="E15242" s="2">
        <v>0</v>
      </c>
      <c r="F15242" s="2">
        <v>0</v>
      </c>
      <c r="G15242" s="2">
        <v>0</v>
      </c>
      <c r="H15242" s="1" t="s">
        <v>0</v>
      </c>
      <c r="I15242" s="2">
        <v>0</v>
      </c>
      <c r="J15242" s="1">
        <v>45973.652314814812</v>
      </c>
    </row>
    <row r="15243" spans="1:10" x14ac:dyDescent="0.2">
      <c r="A15243" s="4" t="s">
        <v>1</v>
      </c>
      <c r="B15243" s="3" t="str">
        <f>HYPERLINK("https://otsuka-europe-crm.veevavault.com/ui/#object/approved_document__v/V5O000000004027", "LUP - Invitación webinar 13N - reuma")</f>
        <v>LUP - Invitación webinar 13N - reuma</v>
      </c>
      <c r="C15243" s="3" t="str">
        <f>HYPERLINK("https://otsuka-europe-crm.veevavault.com/ui/#object/sent_email__v/VBL00000000M672", "SE-001389738")</f>
        <v>SE-001389738</v>
      </c>
      <c r="D15243" s="1" t="s">
        <v>0</v>
      </c>
      <c r="E15243" s="2">
        <v>0</v>
      </c>
      <c r="F15243" s="2">
        <v>0</v>
      </c>
      <c r="G15243" s="2">
        <v>0</v>
      </c>
      <c r="H15243" s="1" t="s">
        <v>0</v>
      </c>
      <c r="I15243" s="2">
        <v>0</v>
      </c>
      <c r="J15243" s="1">
        <v>45973.652314814812</v>
      </c>
    </row>
    <row r="15244" spans="1:10" x14ac:dyDescent="0.2">
      <c r="A15244" s="4" t="s">
        <v>1</v>
      </c>
      <c r="B15244" s="3" t="str">
        <f>HYPERLINK("https://otsuka-europe-crm.veevavault.com/ui/#object/approved_document__v/V5O000000004027", "LUP - Invitación webinar 13N - reuma")</f>
        <v>LUP - Invitación webinar 13N - reuma</v>
      </c>
      <c r="C15244" s="3" t="str">
        <f>HYPERLINK("https://otsuka-europe-crm.veevavault.com/ui/#object/sent_email__v/VBL00000000M673", "SE-001389739")</f>
        <v>SE-001389739</v>
      </c>
      <c r="D15244" s="1" t="s">
        <v>0</v>
      </c>
      <c r="E15244" s="2">
        <v>0</v>
      </c>
      <c r="F15244" s="2">
        <v>0</v>
      </c>
      <c r="G15244" s="2">
        <v>0</v>
      </c>
      <c r="H15244" s="1" t="s">
        <v>0</v>
      </c>
      <c r="I15244" s="2">
        <v>0</v>
      </c>
      <c r="J15244" s="1">
        <v>45973.652222222219</v>
      </c>
    </row>
    <row r="15245" spans="1:10" x14ac:dyDescent="0.2">
      <c r="A15245" s="4" t="s">
        <v>1</v>
      </c>
      <c r="B15245" s="3" t="str">
        <f>HYPERLINK("https://otsuka-europe-crm.veevavault.com/ui/#object/approved_document__v/V5O000000004027", "LUP - Invitación webinar 13N - reuma")</f>
        <v>LUP - Invitación webinar 13N - reuma</v>
      </c>
      <c r="C15245" s="3" t="str">
        <f>HYPERLINK("https://otsuka-europe-crm.veevavault.com/ui/#object/sent_email__v/VBL00000000M674", "SE-001389740")</f>
        <v>SE-001389740</v>
      </c>
      <c r="D15245" s="1" t="s">
        <v>0</v>
      </c>
      <c r="E15245" s="2">
        <v>0</v>
      </c>
      <c r="F15245" s="2">
        <v>0</v>
      </c>
      <c r="G15245" s="2">
        <v>0</v>
      </c>
      <c r="H15245" s="1" t="s">
        <v>0</v>
      </c>
      <c r="I15245" s="2">
        <v>0</v>
      </c>
      <c r="J15245" s="1">
        <v>45973.652314814812</v>
      </c>
    </row>
    <row r="15246" spans="1:10" x14ac:dyDescent="0.2">
      <c r="A15246" s="4" t="s">
        <v>1</v>
      </c>
      <c r="B15246" s="3" t="str">
        <f>HYPERLINK("https://otsuka-europe-crm.veevavault.com/ui/#object/approved_document__v/V5O000000004027", "LUP - Invitación webinar 13N - reuma")</f>
        <v>LUP - Invitación webinar 13N - reuma</v>
      </c>
      <c r="C15246" s="3" t="str">
        <f>HYPERLINK("https://otsuka-europe-crm.veevavault.com/ui/#object/sent_email__v/VBL00000000M675", "SE-001389741")</f>
        <v>SE-001389741</v>
      </c>
      <c r="D15246" s="1" t="s">
        <v>0</v>
      </c>
      <c r="E15246" s="2">
        <v>0</v>
      </c>
      <c r="F15246" s="2">
        <v>0</v>
      </c>
      <c r="G15246" s="2">
        <v>0</v>
      </c>
      <c r="H15246" s="1" t="s">
        <v>0</v>
      </c>
      <c r="I15246" s="2">
        <v>0</v>
      </c>
      <c r="J15246" s="1">
        <v>45973.652314814812</v>
      </c>
    </row>
    <row r="15247" spans="1:10" x14ac:dyDescent="0.2">
      <c r="A15247" s="4" t="s">
        <v>1</v>
      </c>
      <c r="B15247" s="3" t="str">
        <f>HYPERLINK("https://otsuka-europe-crm.veevavault.com/ui/#object/approved_document__v/V5O000000004027", "LUP - Invitación webinar 13N - reuma")</f>
        <v>LUP - Invitación webinar 13N - reuma</v>
      </c>
      <c r="C15247" s="3" t="str">
        <f>HYPERLINK("https://otsuka-europe-crm.veevavault.com/ui/#object/sent_email__v/VBL00000000M676", "SE-001389742")</f>
        <v>SE-001389742</v>
      </c>
      <c r="D15247" s="1" t="s">
        <v>0</v>
      </c>
      <c r="E15247" s="2">
        <v>0</v>
      </c>
      <c r="F15247" s="2">
        <v>0</v>
      </c>
      <c r="G15247" s="2">
        <v>0</v>
      </c>
      <c r="H15247" s="1" t="s">
        <v>0</v>
      </c>
      <c r="I15247" s="2">
        <v>0</v>
      </c>
      <c r="J15247" s="1">
        <v>45973.652222222219</v>
      </c>
    </row>
    <row r="15248" spans="1:10" x14ac:dyDescent="0.2">
      <c r="A15248" s="4" t="s">
        <v>1</v>
      </c>
      <c r="B15248" s="3" t="str">
        <f>HYPERLINK("https://otsuka-europe-crm.veevavault.com/ui/#object/approved_document__v/V5O000000004027", "LUP - Invitación webinar 13N - reuma")</f>
        <v>LUP - Invitación webinar 13N - reuma</v>
      </c>
      <c r="C15248" s="3" t="str">
        <f>HYPERLINK("https://otsuka-europe-crm.veevavault.com/ui/#object/sent_email__v/VBL00000000M677", "SE-001389743")</f>
        <v>SE-001389743</v>
      </c>
      <c r="D15248" s="1" t="s">
        <v>0</v>
      </c>
      <c r="E15248" s="2">
        <v>0</v>
      </c>
      <c r="F15248" s="2">
        <v>0</v>
      </c>
      <c r="G15248" s="2">
        <v>0</v>
      </c>
      <c r="H15248" s="1" t="s">
        <v>0</v>
      </c>
      <c r="I15248" s="2">
        <v>0</v>
      </c>
      <c r="J15248" s="1">
        <v>45973.652222222219</v>
      </c>
    </row>
    <row r="15249" spans="1:10" x14ac:dyDescent="0.2">
      <c r="A15249" s="4" t="s">
        <v>1</v>
      </c>
      <c r="B15249" s="3" t="str">
        <f>HYPERLINK("https://otsuka-europe-crm.veevavault.com/ui/#object/approved_document__v/V5O000000004027", "LUP - Invitación webinar 13N - reuma")</f>
        <v>LUP - Invitación webinar 13N - reuma</v>
      </c>
      <c r="C15249" s="3" t="str">
        <f>HYPERLINK("https://otsuka-europe-crm.veevavault.com/ui/#object/sent_email__v/VBL00000000M678", "SE-001389744")</f>
        <v>SE-001389744</v>
      </c>
      <c r="D15249" s="1" t="s">
        <v>0</v>
      </c>
      <c r="E15249" s="2">
        <v>0</v>
      </c>
      <c r="F15249" s="2">
        <v>0</v>
      </c>
      <c r="G15249" s="2">
        <v>0</v>
      </c>
      <c r="H15249" s="1" t="s">
        <v>0</v>
      </c>
      <c r="I15249" s="2">
        <v>0</v>
      </c>
      <c r="J15249" s="1">
        <v>45973.652222222219</v>
      </c>
    </row>
    <row r="15250" spans="1:10" x14ac:dyDescent="0.2">
      <c r="A15250" s="4" t="s">
        <v>1</v>
      </c>
      <c r="B15250" s="3" t="str">
        <f>HYPERLINK("https://otsuka-europe-crm.veevavault.com/ui/#object/approved_document__v/V5O000000004027", "LUP - Invitación webinar 13N - reuma")</f>
        <v>LUP - Invitación webinar 13N - reuma</v>
      </c>
      <c r="C15250" s="3" t="str">
        <f>HYPERLINK("https://otsuka-europe-crm.veevavault.com/ui/#object/sent_email__v/VBL00000000M679", "SE-001389745")</f>
        <v>SE-001389745</v>
      </c>
      <c r="D15250" s="1" t="s">
        <v>0</v>
      </c>
      <c r="E15250" s="2">
        <v>0</v>
      </c>
      <c r="F15250" s="2">
        <v>0</v>
      </c>
      <c r="G15250" s="2">
        <v>0</v>
      </c>
      <c r="H15250" s="1" t="s">
        <v>0</v>
      </c>
      <c r="I15250" s="2">
        <v>0</v>
      </c>
      <c r="J15250" s="1">
        <v>45973.652233796296</v>
      </c>
    </row>
    <row r="15251" spans="1:10" x14ac:dyDescent="0.2">
      <c r="A15251" s="4" t="s">
        <v>1</v>
      </c>
      <c r="B15251" s="3" t="str">
        <f>HYPERLINK("https://otsuka-europe-crm.veevavault.com/ui/#object/approved_document__v/V5O000000004027", "LUP - Invitación webinar 13N - reuma")</f>
        <v>LUP - Invitación webinar 13N - reuma</v>
      </c>
      <c r="C15251" s="3" t="str">
        <f>HYPERLINK("https://otsuka-europe-crm.veevavault.com/ui/#object/sent_email__v/VBL00000000M680", "SE-001389746")</f>
        <v>SE-001389746</v>
      </c>
      <c r="D15251" s="1" t="s">
        <v>0</v>
      </c>
      <c r="E15251" s="2">
        <v>0</v>
      </c>
      <c r="F15251" s="2">
        <v>0</v>
      </c>
      <c r="G15251" s="2">
        <v>0</v>
      </c>
      <c r="H15251" s="1" t="s">
        <v>0</v>
      </c>
      <c r="I15251" s="2">
        <v>0</v>
      </c>
      <c r="J15251" s="1">
        <v>45973.652314814812</v>
      </c>
    </row>
    <row r="15252" spans="1:10" x14ac:dyDescent="0.2">
      <c r="A15252" s="4" t="s">
        <v>1</v>
      </c>
      <c r="B15252" s="3" t="str">
        <f>HYPERLINK("https://otsuka-europe-crm.veevavault.com/ui/#object/approved_document__v/V5O000000004027", "LUP - Invitación webinar 13N - reuma")</f>
        <v>LUP - Invitación webinar 13N - reuma</v>
      </c>
      <c r="C15252" s="3" t="str">
        <f>HYPERLINK("https://otsuka-europe-crm.veevavault.com/ui/#object/sent_email__v/VBL00000000M681", "SE-001389747")</f>
        <v>SE-001389747</v>
      </c>
      <c r="D15252" s="1" t="s">
        <v>0</v>
      </c>
      <c r="E15252" s="2">
        <v>0</v>
      </c>
      <c r="F15252" s="2">
        <v>0</v>
      </c>
      <c r="G15252" s="2">
        <v>0</v>
      </c>
      <c r="H15252" s="1" t="s">
        <v>0</v>
      </c>
      <c r="I15252" s="2">
        <v>0</v>
      </c>
      <c r="J15252" s="1">
        <v>45973.652314814812</v>
      </c>
    </row>
    <row r="15253" spans="1:10" x14ac:dyDescent="0.2">
      <c r="A15253" s="4" t="s">
        <v>1</v>
      </c>
      <c r="B15253" s="3" t="str">
        <f>HYPERLINK("https://otsuka-europe-crm.veevavault.com/ui/#object/approved_document__v/V5O000000004027", "LUP - Invitación webinar 13N - reuma")</f>
        <v>LUP - Invitación webinar 13N - reuma</v>
      </c>
      <c r="C15253" s="3" t="str">
        <f>HYPERLINK("https://otsuka-europe-crm.veevavault.com/ui/#object/sent_email__v/VBL00000000M682", "SE-001389748")</f>
        <v>SE-001389748</v>
      </c>
      <c r="D15253" s="1" t="s">
        <v>0</v>
      </c>
      <c r="E15253" s="2">
        <v>0</v>
      </c>
      <c r="F15253" s="2">
        <v>0</v>
      </c>
      <c r="G15253" s="2">
        <v>0</v>
      </c>
      <c r="H15253" s="1" t="s">
        <v>0</v>
      </c>
      <c r="I15253" s="2">
        <v>0</v>
      </c>
      <c r="J15253" s="1">
        <v>45973.652233796296</v>
      </c>
    </row>
    <row r="15254" spans="1:10" x14ac:dyDescent="0.2">
      <c r="A15254" s="4" t="s">
        <v>1</v>
      </c>
      <c r="B15254" s="3" t="str">
        <f>HYPERLINK("https://otsuka-europe-crm.veevavault.com/ui/#object/approved_document__v/V5O000000004027", "LUP - Invitación webinar 13N - reuma")</f>
        <v>LUP - Invitación webinar 13N - reuma</v>
      </c>
      <c r="C15254" s="3" t="str">
        <f>HYPERLINK("https://otsuka-europe-crm.veevavault.com/ui/#object/sent_email__v/VBL00000000M683", "SE-001389749")</f>
        <v>SE-001389749</v>
      </c>
      <c r="D15254" s="1" t="s">
        <v>0</v>
      </c>
      <c r="E15254" s="2">
        <v>0</v>
      </c>
      <c r="F15254" s="2">
        <v>0</v>
      </c>
      <c r="G15254" s="2">
        <v>0</v>
      </c>
      <c r="H15254" s="1" t="s">
        <v>0</v>
      </c>
      <c r="I15254" s="2">
        <v>0</v>
      </c>
      <c r="J15254" s="1">
        <v>45973.652314814812</v>
      </c>
    </row>
    <row r="15255" spans="1:10" x14ac:dyDescent="0.2">
      <c r="A15255" s="4" t="s">
        <v>1</v>
      </c>
      <c r="B15255" s="3" t="str">
        <f>HYPERLINK("https://otsuka-europe-crm.veevavault.com/ui/#object/approved_document__v/V5O000000004027", "LUP - Invitación webinar 13N - reuma")</f>
        <v>LUP - Invitación webinar 13N - reuma</v>
      </c>
      <c r="C15255" s="3" t="str">
        <f>HYPERLINK("https://otsuka-europe-crm.veevavault.com/ui/#object/sent_email__v/VBL00000000M684", "SE-001389750")</f>
        <v>SE-001389750</v>
      </c>
      <c r="D15255" s="1" t="s">
        <v>0</v>
      </c>
      <c r="E15255" s="2">
        <v>0</v>
      </c>
      <c r="F15255" s="2">
        <v>0</v>
      </c>
      <c r="G15255" s="2">
        <v>0</v>
      </c>
      <c r="H15255" s="1" t="s">
        <v>0</v>
      </c>
      <c r="I15255" s="2">
        <v>0</v>
      </c>
      <c r="J15255" s="1">
        <v>45973.652222222219</v>
      </c>
    </row>
    <row r="15256" spans="1:10" x14ac:dyDescent="0.2">
      <c r="A15256" s="4" t="s">
        <v>1</v>
      </c>
      <c r="B15256" s="3" t="str">
        <f>HYPERLINK("https://otsuka-europe-crm.veevavault.com/ui/#object/approved_document__v/V5O000000004027", "LUP - Invitación webinar 13N - reuma")</f>
        <v>LUP - Invitación webinar 13N - reuma</v>
      </c>
      <c r="C15256" s="3" t="str">
        <f>HYPERLINK("https://otsuka-europe-crm.veevavault.com/ui/#object/sent_email__v/VBL00000000M685", "SE-001389751")</f>
        <v>SE-001389751</v>
      </c>
      <c r="D15256" s="1" t="s">
        <v>0</v>
      </c>
      <c r="E15256" s="2">
        <v>0</v>
      </c>
      <c r="F15256" s="2">
        <v>0</v>
      </c>
      <c r="G15256" s="2">
        <v>0</v>
      </c>
      <c r="H15256" s="1" t="s">
        <v>0</v>
      </c>
      <c r="I15256" s="2">
        <v>0</v>
      </c>
      <c r="J15256" s="1">
        <v>45973.652233796296</v>
      </c>
    </row>
    <row r="15257" spans="1:10" x14ac:dyDescent="0.2">
      <c r="A15257" s="4" t="s">
        <v>1</v>
      </c>
      <c r="B15257" s="3" t="str">
        <f>HYPERLINK("https://otsuka-europe-crm.veevavault.com/ui/#object/approved_document__v/V5O000000004027", "LUP - Invitación webinar 13N - reuma")</f>
        <v>LUP - Invitación webinar 13N - reuma</v>
      </c>
      <c r="C15257" s="3" t="str">
        <f>HYPERLINK("https://otsuka-europe-crm.veevavault.com/ui/#object/sent_email__v/VBL00000000M686", "SE-001389752")</f>
        <v>SE-001389752</v>
      </c>
      <c r="D15257" s="1" t="s">
        <v>0</v>
      </c>
      <c r="E15257" s="2">
        <v>0</v>
      </c>
      <c r="F15257" s="2">
        <v>0</v>
      </c>
      <c r="G15257" s="2">
        <v>0</v>
      </c>
      <c r="H15257" s="1" t="s">
        <v>0</v>
      </c>
      <c r="I15257" s="2">
        <v>0</v>
      </c>
      <c r="J15257" s="1">
        <v>45973.652314814812</v>
      </c>
    </row>
    <row r="15258" spans="1:10" x14ac:dyDescent="0.2">
      <c r="A15258" s="4" t="s">
        <v>1</v>
      </c>
      <c r="B15258" s="3" t="str">
        <f>HYPERLINK("https://otsuka-europe-crm.veevavault.com/ui/#object/approved_document__v/V5O000000004027", "LUP - Invitación webinar 13N - reuma")</f>
        <v>LUP - Invitación webinar 13N - reuma</v>
      </c>
      <c r="C15258" s="3" t="str">
        <f>HYPERLINK("https://otsuka-europe-crm.veevavault.com/ui/#object/sent_email__v/VBL00000000M687", "SE-001389753")</f>
        <v>SE-001389753</v>
      </c>
      <c r="D15258" s="1" t="s">
        <v>0</v>
      </c>
      <c r="E15258" s="2">
        <v>0</v>
      </c>
      <c r="F15258" s="2">
        <v>0</v>
      </c>
      <c r="G15258" s="2">
        <v>0</v>
      </c>
      <c r="H15258" s="1" t="s">
        <v>0</v>
      </c>
      <c r="I15258" s="2">
        <v>0</v>
      </c>
      <c r="J15258" s="1">
        <v>45973.652314814812</v>
      </c>
    </row>
    <row r="15259" spans="1:10" x14ac:dyDescent="0.2">
      <c r="A15259" s="4" t="s">
        <v>1</v>
      </c>
      <c r="B15259" s="3" t="str">
        <f>HYPERLINK("https://otsuka-europe-crm.veevavault.com/ui/#object/approved_document__v/V5O000000004027", "LUP - Invitación webinar 13N - reuma")</f>
        <v>LUP - Invitación webinar 13N - reuma</v>
      </c>
      <c r="C15259" s="3" t="str">
        <f>HYPERLINK("https://otsuka-europe-crm.veevavault.com/ui/#object/sent_email__v/VBL00000000M688", "SE-001389754")</f>
        <v>SE-001389754</v>
      </c>
      <c r="D15259" s="1" t="s">
        <v>0</v>
      </c>
      <c r="E15259" s="2">
        <v>0</v>
      </c>
      <c r="F15259" s="2">
        <v>0</v>
      </c>
      <c r="G15259" s="2">
        <v>0</v>
      </c>
      <c r="H15259" s="1" t="s">
        <v>0</v>
      </c>
      <c r="I15259" s="2">
        <v>0</v>
      </c>
      <c r="J15259" s="1">
        <v>45973.652326388888</v>
      </c>
    </row>
    <row r="15260" spans="1:10" x14ac:dyDescent="0.2">
      <c r="A15260" s="4" t="s">
        <v>1</v>
      </c>
      <c r="B15260" s="3" t="str">
        <f>HYPERLINK("https://otsuka-europe-crm.veevavault.com/ui/#object/approved_document__v/V5O000000004027", "LUP - Invitación webinar 13N - reuma")</f>
        <v>LUP - Invitación webinar 13N - reuma</v>
      </c>
      <c r="C15260" s="3" t="str">
        <f>HYPERLINK("https://otsuka-europe-crm.veevavault.com/ui/#object/sent_email__v/VBL00000000M689", "SE-001389755")</f>
        <v>SE-001389755</v>
      </c>
      <c r="D15260" s="1" t="s">
        <v>0</v>
      </c>
      <c r="E15260" s="2">
        <v>0</v>
      </c>
      <c r="F15260" s="2">
        <v>0</v>
      </c>
      <c r="G15260" s="2">
        <v>0</v>
      </c>
      <c r="H15260" s="1" t="s">
        <v>0</v>
      </c>
      <c r="I15260" s="2">
        <v>0</v>
      </c>
      <c r="J15260" s="1">
        <v>45973.652314814812</v>
      </c>
    </row>
    <row r="15261" spans="1:10" x14ac:dyDescent="0.2">
      <c r="A15261" s="4" t="s">
        <v>1</v>
      </c>
      <c r="B15261" s="3" t="str">
        <f>HYPERLINK("https://otsuka-europe-crm.veevavault.com/ui/#object/approved_document__v/V5O000000004027", "LUP - Invitación webinar 13N - reuma")</f>
        <v>LUP - Invitación webinar 13N - reuma</v>
      </c>
      <c r="C15261" s="3" t="str">
        <f>HYPERLINK("https://otsuka-europe-crm.veevavault.com/ui/#object/sent_email__v/VBL00000000M690", "SE-001389756")</f>
        <v>SE-001389756</v>
      </c>
      <c r="D15261" s="1" t="s">
        <v>0</v>
      </c>
      <c r="E15261" s="2">
        <v>0</v>
      </c>
      <c r="F15261" s="2">
        <v>0</v>
      </c>
      <c r="G15261" s="2">
        <v>0</v>
      </c>
      <c r="H15261" s="1" t="s">
        <v>0</v>
      </c>
      <c r="I15261" s="2">
        <v>0</v>
      </c>
      <c r="J15261" s="1">
        <v>45973.652233796296</v>
      </c>
    </row>
    <row r="15262" spans="1:10" x14ac:dyDescent="0.2">
      <c r="A15262" s="4" t="s">
        <v>1</v>
      </c>
      <c r="B15262" s="3" t="str">
        <f>HYPERLINK("https://otsuka-europe-crm.veevavault.com/ui/#object/approved_document__v/V5O000000004027", "LUP - Invitación webinar 13N - reuma")</f>
        <v>LUP - Invitación webinar 13N - reuma</v>
      </c>
      <c r="C15262" s="3" t="str">
        <f>HYPERLINK("https://otsuka-europe-crm.veevavault.com/ui/#object/sent_email__v/VBL00000000M691", "SE-001389757")</f>
        <v>SE-001389757</v>
      </c>
      <c r="D15262" s="1" t="s">
        <v>0</v>
      </c>
      <c r="E15262" s="2">
        <v>0</v>
      </c>
      <c r="F15262" s="2">
        <v>0</v>
      </c>
      <c r="G15262" s="2">
        <v>0</v>
      </c>
      <c r="H15262" s="1" t="s">
        <v>0</v>
      </c>
      <c r="I15262" s="2">
        <v>0</v>
      </c>
      <c r="J15262" s="1">
        <v>45973.652233796296</v>
      </c>
    </row>
    <row r="15263" spans="1:10" x14ac:dyDescent="0.2">
      <c r="A15263" s="4" t="s">
        <v>1</v>
      </c>
      <c r="B15263" s="3" t="str">
        <f>HYPERLINK("https://otsuka-europe-crm.veevavault.com/ui/#object/approved_document__v/V5O000000004027", "LUP - Invitación webinar 13N - reuma")</f>
        <v>LUP - Invitación webinar 13N - reuma</v>
      </c>
      <c r="C15263" s="3" t="str">
        <f>HYPERLINK("https://otsuka-europe-crm.veevavault.com/ui/#object/sent_email__v/VBL00000000M692", "SE-001389758")</f>
        <v>SE-001389758</v>
      </c>
      <c r="D15263" s="1" t="s">
        <v>0</v>
      </c>
      <c r="E15263" s="2">
        <v>0</v>
      </c>
      <c r="F15263" s="2">
        <v>0</v>
      </c>
      <c r="G15263" s="2">
        <v>0</v>
      </c>
      <c r="H15263" s="1" t="s">
        <v>0</v>
      </c>
      <c r="I15263" s="2">
        <v>0</v>
      </c>
      <c r="J15263" s="1">
        <v>45973.652233796296</v>
      </c>
    </row>
    <row r="15264" spans="1:10" x14ac:dyDescent="0.2">
      <c r="A15264" s="4" t="s">
        <v>1</v>
      </c>
      <c r="B15264" s="3" t="str">
        <f>HYPERLINK("https://otsuka-europe-crm.veevavault.com/ui/#object/approved_document__v/V5O000000004027", "LUP - Invitación webinar 13N - reuma")</f>
        <v>LUP - Invitación webinar 13N - reuma</v>
      </c>
      <c r="C15264" s="3" t="str">
        <f>HYPERLINK("https://otsuka-europe-crm.veevavault.com/ui/#object/sent_email__v/VBL00000000M693", "SE-001389759")</f>
        <v>SE-001389759</v>
      </c>
      <c r="D15264" s="1" t="s">
        <v>0</v>
      </c>
      <c r="E15264" s="2">
        <v>0</v>
      </c>
      <c r="F15264" s="2">
        <v>0</v>
      </c>
      <c r="G15264" s="2">
        <v>0</v>
      </c>
      <c r="H15264" s="1" t="s">
        <v>0</v>
      </c>
      <c r="I15264" s="2">
        <v>0</v>
      </c>
      <c r="J15264" s="1">
        <v>45973.652233796296</v>
      </c>
    </row>
    <row r="15265" spans="1:10" x14ac:dyDescent="0.2">
      <c r="A15265" s="4" t="s">
        <v>1</v>
      </c>
      <c r="B15265" s="3" t="str">
        <f>HYPERLINK("https://otsuka-europe-crm.veevavault.com/ui/#object/approved_document__v/V5O000000004027", "LUP - Invitación webinar 13N - reuma")</f>
        <v>LUP - Invitación webinar 13N - reuma</v>
      </c>
      <c r="C15265" s="3" t="str">
        <f>HYPERLINK("https://otsuka-europe-crm.veevavault.com/ui/#object/sent_email__v/VBL00000000M694", "SE-001389760")</f>
        <v>SE-001389760</v>
      </c>
      <c r="D15265" s="1" t="s">
        <v>0</v>
      </c>
      <c r="E15265" s="2">
        <v>0</v>
      </c>
      <c r="F15265" s="2">
        <v>0</v>
      </c>
      <c r="G15265" s="2">
        <v>0</v>
      </c>
      <c r="H15265" s="1" t="s">
        <v>0</v>
      </c>
      <c r="I15265" s="2">
        <v>0</v>
      </c>
      <c r="J15265" s="1">
        <v>45973.652314814812</v>
      </c>
    </row>
    <row r="15266" spans="1:10" x14ac:dyDescent="0.2">
      <c r="A15266" s="4" t="s">
        <v>1</v>
      </c>
      <c r="B15266" s="3" t="str">
        <f>HYPERLINK("https://otsuka-europe-crm.veevavault.com/ui/#object/approved_document__v/V5O000000004027", "LUP - Invitación webinar 13N - reuma")</f>
        <v>LUP - Invitación webinar 13N - reuma</v>
      </c>
      <c r="C15266" s="3" t="str">
        <f>HYPERLINK("https://otsuka-europe-crm.veevavault.com/ui/#object/sent_email__v/VBL00000000M695", "SE-001389761")</f>
        <v>SE-001389761</v>
      </c>
      <c r="D15266" s="1" t="s">
        <v>0</v>
      </c>
      <c r="E15266" s="2">
        <v>0</v>
      </c>
      <c r="F15266" s="2">
        <v>0</v>
      </c>
      <c r="G15266" s="2">
        <v>0</v>
      </c>
      <c r="H15266" s="1" t="s">
        <v>0</v>
      </c>
      <c r="I15266" s="2">
        <v>0</v>
      </c>
      <c r="J15266" s="1">
        <v>45973.652314814812</v>
      </c>
    </row>
    <row r="15267" spans="1:10" x14ac:dyDescent="0.2">
      <c r="A15267" s="4" t="s">
        <v>1</v>
      </c>
      <c r="B15267" s="3" t="str">
        <f>HYPERLINK("https://otsuka-europe-crm.veevavault.com/ui/#object/approved_document__v/V5O000000004027", "LUP - Invitación webinar 13N - reuma")</f>
        <v>LUP - Invitación webinar 13N - reuma</v>
      </c>
      <c r="C15267" s="3" t="str">
        <f>HYPERLINK("https://otsuka-europe-crm.veevavault.com/ui/#object/sent_email__v/VBL00000000M696", "SE-001389762")</f>
        <v>SE-001389762</v>
      </c>
      <c r="D15267" s="1" t="s">
        <v>0</v>
      </c>
      <c r="E15267" s="2">
        <v>0</v>
      </c>
      <c r="F15267" s="2">
        <v>0</v>
      </c>
      <c r="G15267" s="2">
        <v>0</v>
      </c>
      <c r="H15267" s="1" t="s">
        <v>0</v>
      </c>
      <c r="I15267" s="2">
        <v>0</v>
      </c>
      <c r="J15267" s="1">
        <v>45973.652314814812</v>
      </c>
    </row>
    <row r="15268" spans="1:10" x14ac:dyDescent="0.2">
      <c r="A15268" s="4" t="s">
        <v>1</v>
      </c>
      <c r="B15268" s="3" t="str">
        <f>HYPERLINK("https://otsuka-europe-crm.veevavault.com/ui/#object/approved_document__v/V5O000000004027", "LUP - Invitación webinar 13N - reuma")</f>
        <v>LUP - Invitación webinar 13N - reuma</v>
      </c>
      <c r="C15268" s="3" t="str">
        <f>HYPERLINK("https://otsuka-europe-crm.veevavault.com/ui/#object/sent_email__v/VBL00000000M737", "SE-001389804")</f>
        <v>SE-001389804</v>
      </c>
      <c r="D15268" s="1" t="s">
        <v>0</v>
      </c>
      <c r="E15268" s="2">
        <v>0</v>
      </c>
      <c r="F15268" s="2">
        <v>0</v>
      </c>
      <c r="G15268" s="2">
        <v>0</v>
      </c>
      <c r="H15268" s="1" t="s">
        <v>0</v>
      </c>
      <c r="I15268" s="2">
        <v>0</v>
      </c>
      <c r="J15268" s="1">
        <v>45973.713969907411</v>
      </c>
    </row>
    <row r="15269" spans="1:10" x14ac:dyDescent="0.2">
      <c r="A15269" s="4" t="s">
        <v>1</v>
      </c>
      <c r="B15269" s="3" t="str">
        <f>HYPERLINK("https://otsuka-europe-crm.veevavault.com/ui/#object/approved_document__v/V5O000000004027", "LUP - Invitación webinar 13N - reuma")</f>
        <v>LUP - Invitación webinar 13N - reuma</v>
      </c>
      <c r="C15269" s="3" t="str">
        <f>HYPERLINK("https://otsuka-europe-crm.veevavault.com/ui/#object/sent_email__v/VBL00000000M738", "SE-001389805")</f>
        <v>SE-001389805</v>
      </c>
      <c r="D15269" s="1" t="s">
        <v>0</v>
      </c>
      <c r="E15269" s="2">
        <v>0</v>
      </c>
      <c r="F15269" s="2">
        <v>0</v>
      </c>
      <c r="G15269" s="2">
        <v>0</v>
      </c>
      <c r="H15269" s="1" t="s">
        <v>0</v>
      </c>
      <c r="I15269" s="2">
        <v>0</v>
      </c>
      <c r="J15269" s="1">
        <v>45973.663807870369</v>
      </c>
    </row>
    <row r="15270" spans="1:10" x14ac:dyDescent="0.2">
      <c r="A15270" s="4" t="s">
        <v>1</v>
      </c>
      <c r="B15270" s="3" t="str">
        <f>HYPERLINK("https://otsuka-europe-crm.veevavault.com/ui/#object/approved_document__v/V5O000000004027", "LUP - Invitación webinar 13N - reuma")</f>
        <v>LUP - Invitación webinar 13N - reuma</v>
      </c>
      <c r="C15270" s="3" t="str">
        <f>HYPERLINK("https://otsuka-europe-crm.veevavault.com/ui/#object/sent_email__v/VBL00000000M739", "SE-001389806")</f>
        <v>SE-001389806</v>
      </c>
      <c r="D15270" s="1" t="s">
        <v>0</v>
      </c>
      <c r="E15270" s="2">
        <v>0</v>
      </c>
      <c r="F15270" s="2">
        <v>0</v>
      </c>
      <c r="G15270" s="2">
        <v>0</v>
      </c>
      <c r="H15270" s="1" t="s">
        <v>0</v>
      </c>
      <c r="I15270" s="2">
        <v>0</v>
      </c>
      <c r="J15270" s="1">
        <v>45973.663807870369</v>
      </c>
    </row>
    <row r="15271" spans="1:10" x14ac:dyDescent="0.2">
      <c r="A15271" s="4" t="s">
        <v>1</v>
      </c>
      <c r="B15271" s="3" t="str">
        <f>HYPERLINK("https://otsuka-europe-crm.veevavault.com/ui/#object/approved_document__v/V5O000000004027", "LUP - Invitación webinar 13N - reuma")</f>
        <v>LUP - Invitación webinar 13N - reuma</v>
      </c>
      <c r="C15271" s="3" t="str">
        <f>HYPERLINK("https://otsuka-europe-crm.veevavault.com/ui/#object/sent_email__v/VBL00000000M740", "SE-001389807")</f>
        <v>SE-001389807</v>
      </c>
      <c r="D15271" s="1" t="s">
        <v>0</v>
      </c>
      <c r="E15271" s="2">
        <v>0</v>
      </c>
      <c r="F15271" s="2">
        <v>0</v>
      </c>
      <c r="G15271" s="2">
        <v>0</v>
      </c>
      <c r="H15271" s="1" t="s">
        <v>0</v>
      </c>
      <c r="I15271" s="2">
        <v>0</v>
      </c>
      <c r="J15271" s="1">
        <v>45973.663807870369</v>
      </c>
    </row>
    <row r="15272" spans="1:10" x14ac:dyDescent="0.2">
      <c r="A15272" s="4" t="s">
        <v>1</v>
      </c>
      <c r="B15272" s="3" t="str">
        <f>HYPERLINK("https://otsuka-europe-crm.veevavault.com/ui/#object/approved_document__v/V5O000000004027", "LUP - Invitación webinar 13N - reuma")</f>
        <v>LUP - Invitación webinar 13N - reuma</v>
      </c>
      <c r="C15272" s="3" t="str">
        <f>HYPERLINK("https://otsuka-europe-crm.veevavault.com/ui/#object/sent_email__v/VBL00000000M741", "SE-001389808")</f>
        <v>SE-001389808</v>
      </c>
      <c r="D15272" s="1" t="s">
        <v>0</v>
      </c>
      <c r="E15272" s="2">
        <v>0</v>
      </c>
      <c r="F15272" s="2">
        <v>0</v>
      </c>
      <c r="G15272" s="2">
        <v>0</v>
      </c>
      <c r="H15272" s="1" t="s">
        <v>0</v>
      </c>
      <c r="I15272" s="2">
        <v>0</v>
      </c>
      <c r="J15272" s="1">
        <v>45973.663900462961</v>
      </c>
    </row>
    <row r="15273" spans="1:10" x14ac:dyDescent="0.2">
      <c r="A15273" s="4" t="s">
        <v>1</v>
      </c>
      <c r="B15273" s="3" t="str">
        <f>HYPERLINK("https://otsuka-europe-crm.veevavault.com/ui/#object/approved_document__v/V5OZ025E82USSZ5", "LUP - Invitación webinar NL y RCV - nefro")</f>
        <v>LUP - Invitación webinar NL y RCV - nefro</v>
      </c>
      <c r="C15273" s="3" t="str">
        <f>HYPERLINK("https://otsuka-europe-crm.veevavault.com/ui/#object/sent_email__v/VBLZ025E82HNAU1", "SE-000287991")</f>
        <v>SE-000287991</v>
      </c>
      <c r="D15273" s="1">
        <v>45976.386481481481</v>
      </c>
      <c r="E15273" s="2">
        <v>1</v>
      </c>
      <c r="F15273" s="2">
        <v>3</v>
      </c>
      <c r="G15273" s="2">
        <v>1</v>
      </c>
      <c r="H15273" s="1">
        <v>45947.430555555555</v>
      </c>
      <c r="I15273" s="2">
        <v>4</v>
      </c>
      <c r="J15273" s="1">
        <v>45947.4297337963</v>
      </c>
    </row>
    <row r="15274" spans="1:10" x14ac:dyDescent="0.2">
      <c r="A15274" s="4" t="s">
        <v>1</v>
      </c>
      <c r="B15274" s="3" t="str">
        <f>HYPERLINK("https://otsuka-europe-crm.veevavault.com/ui/#object/approved_document__v/V5OZ025E82USSZ5", "LUP - Invitación webinar NL y RCV - nefro")</f>
        <v>LUP - Invitación webinar NL y RCV - nefro</v>
      </c>
      <c r="C15274" s="3" t="str">
        <f>HYPERLINK("https://otsuka-europe-crm.veevavault.com/ui/#object/sent_email__v/VBLZ025E82HOKWD", "SE-000288192")</f>
        <v>SE-000288192</v>
      </c>
      <c r="D15274" s="1">
        <v>45950.456631944442</v>
      </c>
      <c r="E15274" s="2">
        <v>1</v>
      </c>
      <c r="F15274" s="2">
        <v>1</v>
      </c>
      <c r="G15274" s="2">
        <v>0</v>
      </c>
      <c r="H15274" s="1" t="s">
        <v>0</v>
      </c>
      <c r="I15274" s="2">
        <v>0</v>
      </c>
      <c r="J15274" s="1">
        <v>45950.390034722222</v>
      </c>
    </row>
    <row r="15275" spans="1:10" x14ac:dyDescent="0.2">
      <c r="A15275" s="4" t="s">
        <v>1</v>
      </c>
      <c r="B15275" s="3" t="str">
        <f>HYPERLINK("https://otsuka-europe-crm.veevavault.com/ui/#object/approved_document__v/V5OZ025E82USSZ5", "LUP - Invitación webinar NL y RCV - nefro")</f>
        <v>LUP - Invitación webinar NL y RCV - nefro</v>
      </c>
      <c r="C15275" s="3" t="str">
        <f>HYPERLINK("https://otsuka-europe-crm.veevavault.com/ui/#object/sent_email__v/VBLZ025E82HOKWE", "SE-000288193")</f>
        <v>SE-000288193</v>
      </c>
      <c r="D15275" s="1" t="s">
        <v>0</v>
      </c>
      <c r="E15275" s="2">
        <v>0</v>
      </c>
      <c r="F15275" s="2">
        <v>0</v>
      </c>
      <c r="G15275" s="2">
        <v>0</v>
      </c>
      <c r="H15275" s="1" t="s">
        <v>0</v>
      </c>
      <c r="I15275" s="2">
        <v>0</v>
      </c>
      <c r="J15275" s="1">
        <v>45950.389918981484</v>
      </c>
    </row>
    <row r="15276" spans="1:10" x14ac:dyDescent="0.2">
      <c r="A15276" s="4" t="s">
        <v>1</v>
      </c>
      <c r="B15276" s="3" t="str">
        <f>HYPERLINK("https://otsuka-europe-crm.veevavault.com/ui/#object/approved_document__v/V5OZ025E82USSZ5", "LUP - Invitación webinar NL y RCV - nefro")</f>
        <v>LUP - Invitación webinar NL y RCV - nefro</v>
      </c>
      <c r="C15276" s="3" t="str">
        <f>HYPERLINK("https://otsuka-europe-crm.veevavault.com/ui/#object/sent_email__v/VBLZ025E82HOKWF", "SE-000288194")</f>
        <v>SE-000288194</v>
      </c>
      <c r="D15276" s="1" t="s">
        <v>0</v>
      </c>
      <c r="E15276" s="2">
        <v>0</v>
      </c>
      <c r="F15276" s="2">
        <v>0</v>
      </c>
      <c r="G15276" s="2">
        <v>0</v>
      </c>
      <c r="H15276" s="1" t="s">
        <v>0</v>
      </c>
      <c r="I15276" s="2">
        <v>0</v>
      </c>
      <c r="J15276" s="1">
        <v>45950.390023148146</v>
      </c>
    </row>
    <row r="15277" spans="1:10" x14ac:dyDescent="0.2">
      <c r="A15277" s="4" t="s">
        <v>1</v>
      </c>
      <c r="B15277" s="3" t="str">
        <f>HYPERLINK("https://otsuka-europe-crm.veevavault.com/ui/#object/approved_document__v/V5OZ025E82USSZ5", "LUP - Invitación webinar NL y RCV - nefro")</f>
        <v>LUP - Invitación webinar NL y RCV - nefro</v>
      </c>
      <c r="C15277" s="3" t="str">
        <f>HYPERLINK("https://otsuka-europe-crm.veevavault.com/ui/#object/sent_email__v/VBLZ025E82HOKWG", "SE-000288195")</f>
        <v>SE-000288195</v>
      </c>
      <c r="D15277" s="1" t="s">
        <v>0</v>
      </c>
      <c r="E15277" s="2">
        <v>0</v>
      </c>
      <c r="F15277" s="2">
        <v>0</v>
      </c>
      <c r="G15277" s="2">
        <v>0</v>
      </c>
      <c r="H15277" s="1" t="s">
        <v>0</v>
      </c>
      <c r="I15277" s="2">
        <v>0</v>
      </c>
      <c r="J15277" s="1">
        <v>45950.389930555553</v>
      </c>
    </row>
    <row r="15278" spans="1:10" x14ac:dyDescent="0.2">
      <c r="A15278" s="4" t="s">
        <v>1</v>
      </c>
      <c r="B15278" s="3" t="str">
        <f>HYPERLINK("https://otsuka-europe-crm.veevavault.com/ui/#object/approved_document__v/V5OZ025E82USSZ5", "LUP - Invitación webinar NL y RCV - nefro")</f>
        <v>LUP - Invitación webinar NL y RCV - nefro</v>
      </c>
      <c r="C15278" s="3" t="str">
        <f>HYPERLINK("https://otsuka-europe-crm.veevavault.com/ui/#object/sent_email__v/VBLZ025E82HOKWH", "SE-000288196")</f>
        <v>SE-000288196</v>
      </c>
      <c r="D15278" s="1" t="s">
        <v>0</v>
      </c>
      <c r="E15278" s="2">
        <v>0</v>
      </c>
      <c r="F15278" s="2">
        <v>0</v>
      </c>
      <c r="G15278" s="2">
        <v>0</v>
      </c>
      <c r="H15278" s="1" t="s">
        <v>0</v>
      </c>
      <c r="I15278" s="2">
        <v>0</v>
      </c>
      <c r="J15278" s="1">
        <v>45950.39</v>
      </c>
    </row>
    <row r="15279" spans="1:10" x14ac:dyDescent="0.2">
      <c r="A15279" s="4" t="s">
        <v>1</v>
      </c>
      <c r="B15279" s="3" t="str">
        <f>HYPERLINK("https://otsuka-europe-crm.veevavault.com/ui/#object/approved_document__v/V5OZ025E82USSZ5", "LUP - Invitación webinar NL y RCV - nefro")</f>
        <v>LUP - Invitación webinar NL y RCV - nefro</v>
      </c>
      <c r="C15279" s="3" t="str">
        <f>HYPERLINK("https://otsuka-europe-crm.veevavault.com/ui/#object/sent_email__v/VBLZ025E82HOKWI", "SE-000288197")</f>
        <v>SE-000288197</v>
      </c>
      <c r="D15279" s="1" t="s">
        <v>0</v>
      </c>
      <c r="E15279" s="2">
        <v>0</v>
      </c>
      <c r="F15279" s="2">
        <v>0</v>
      </c>
      <c r="G15279" s="2">
        <v>0</v>
      </c>
      <c r="H15279" s="1" t="s">
        <v>0</v>
      </c>
      <c r="I15279" s="2">
        <v>0</v>
      </c>
      <c r="J15279" s="1">
        <v>45950.38989583333</v>
      </c>
    </row>
    <row r="15280" spans="1:10" x14ac:dyDescent="0.2">
      <c r="A15280" s="4" t="s">
        <v>1</v>
      </c>
      <c r="B15280" s="3" t="str">
        <f>HYPERLINK("https://otsuka-europe-crm.veevavault.com/ui/#object/approved_document__v/V5OZ025E82USSZ5", "LUP - Invitación webinar NL y RCV - nefro")</f>
        <v>LUP - Invitación webinar NL y RCV - nefro</v>
      </c>
      <c r="C15280" s="3" t="str">
        <f>HYPERLINK("https://otsuka-europe-crm.veevavault.com/ui/#object/sent_email__v/VBLZ025E82HOKWJ", "SE-000288198")</f>
        <v>SE-000288198</v>
      </c>
      <c r="D15280" s="1" t="s">
        <v>0</v>
      </c>
      <c r="E15280" s="2">
        <v>0</v>
      </c>
      <c r="F15280" s="2">
        <v>0</v>
      </c>
      <c r="G15280" s="2">
        <v>0</v>
      </c>
      <c r="H15280" s="1" t="s">
        <v>0</v>
      </c>
      <c r="I15280" s="2">
        <v>0</v>
      </c>
      <c r="J15280" s="1">
        <v>45950.390011574076</v>
      </c>
    </row>
    <row r="15281" spans="1:10" x14ac:dyDescent="0.2">
      <c r="A15281" s="4" t="s">
        <v>1</v>
      </c>
      <c r="B15281" s="3" t="str">
        <f>HYPERLINK("https://otsuka-europe-crm.veevavault.com/ui/#object/approved_document__v/V5OZ025E82USSZ5", "LUP - Invitación webinar NL y RCV - nefro")</f>
        <v>LUP - Invitación webinar NL y RCV - nefro</v>
      </c>
      <c r="C15281" s="3" t="str">
        <f>HYPERLINK("https://otsuka-europe-crm.veevavault.com/ui/#object/sent_email__v/VBLZ025E82HOKWK", "SE-000288199")</f>
        <v>SE-000288199</v>
      </c>
      <c r="D15281" s="1" t="s">
        <v>0</v>
      </c>
      <c r="E15281" s="2">
        <v>0</v>
      </c>
      <c r="F15281" s="2">
        <v>0</v>
      </c>
      <c r="G15281" s="2">
        <v>0</v>
      </c>
      <c r="H15281" s="1" t="s">
        <v>0</v>
      </c>
      <c r="I15281" s="2">
        <v>0</v>
      </c>
      <c r="J15281" s="1">
        <v>45950.38989583333</v>
      </c>
    </row>
    <row r="15282" spans="1:10" x14ac:dyDescent="0.2">
      <c r="A15282" s="4" t="s">
        <v>1</v>
      </c>
      <c r="B15282" s="3" t="str">
        <f>HYPERLINK("https://otsuka-europe-crm.veevavault.com/ui/#object/approved_document__v/V5OZ025E82USSZ5", "LUP - Invitación webinar NL y RCV - nefro")</f>
        <v>LUP - Invitación webinar NL y RCV - nefro</v>
      </c>
      <c r="C15282" s="3" t="str">
        <f>HYPERLINK("https://otsuka-europe-crm.veevavault.com/ui/#object/sent_email__v/VBLZ025E82HOKWL", "SE-000288200")</f>
        <v>SE-000288200</v>
      </c>
      <c r="D15282" s="1">
        <v>45952.767013888886</v>
      </c>
      <c r="E15282" s="2">
        <v>1</v>
      </c>
      <c r="F15282" s="2">
        <v>1</v>
      </c>
      <c r="G15282" s="2">
        <v>1</v>
      </c>
      <c r="H15282" s="1">
        <v>45952.767106481479</v>
      </c>
      <c r="I15282" s="2">
        <v>1</v>
      </c>
      <c r="J15282" s="1">
        <v>45950.390046296299</v>
      </c>
    </row>
    <row r="15283" spans="1:10" x14ac:dyDescent="0.2">
      <c r="A15283" s="4" t="s">
        <v>1</v>
      </c>
      <c r="B15283" s="3" t="str">
        <f>HYPERLINK("https://otsuka-europe-crm.veevavault.com/ui/#object/approved_document__v/V5OZ025E82USSZ5", "LUP - Invitación webinar NL y RCV - nefro")</f>
        <v>LUP - Invitación webinar NL y RCV - nefro</v>
      </c>
      <c r="C15283" s="3" t="str">
        <f>HYPERLINK("https://otsuka-europe-crm.veevavault.com/ui/#object/sent_email__v/VBLZ025E82HOKWM", "SE-000288201")</f>
        <v>SE-000288201</v>
      </c>
      <c r="D15283" s="1" t="s">
        <v>0</v>
      </c>
      <c r="E15283" s="2">
        <v>0</v>
      </c>
      <c r="F15283" s="2">
        <v>0</v>
      </c>
      <c r="G15283" s="2">
        <v>0</v>
      </c>
      <c r="H15283" s="1" t="s">
        <v>0</v>
      </c>
      <c r="I15283" s="2">
        <v>0</v>
      </c>
      <c r="J15283" s="1">
        <v>45950.38994212963</v>
      </c>
    </row>
    <row r="15284" spans="1:10" x14ac:dyDescent="0.2">
      <c r="A15284" s="4" t="s">
        <v>1</v>
      </c>
      <c r="B15284" s="3" t="str">
        <f>HYPERLINK("https://otsuka-europe-crm.veevavault.com/ui/#object/approved_document__v/V5OZ025E82USSZ5", "LUP - Invitación webinar NL y RCV - nefro")</f>
        <v>LUP - Invitación webinar NL y RCV - nefro</v>
      </c>
      <c r="C15284" s="3" t="str">
        <f>HYPERLINK("https://otsuka-europe-crm.veevavault.com/ui/#object/sent_email__v/VBLZ025E82HOKWN", "SE-000288202")</f>
        <v>SE-000288202</v>
      </c>
      <c r="D15284" s="1" t="s">
        <v>0</v>
      </c>
      <c r="E15284" s="2">
        <v>0</v>
      </c>
      <c r="F15284" s="2">
        <v>0</v>
      </c>
      <c r="G15284" s="2">
        <v>0</v>
      </c>
      <c r="H15284" s="1" t="s">
        <v>0</v>
      </c>
      <c r="I15284" s="2">
        <v>0</v>
      </c>
      <c r="J15284" s="1">
        <v>45950.390034722222</v>
      </c>
    </row>
    <row r="15285" spans="1:10" x14ac:dyDescent="0.2">
      <c r="A15285" s="4" t="s">
        <v>1</v>
      </c>
      <c r="B15285" s="3" t="str">
        <f>HYPERLINK("https://otsuka-europe-crm.veevavault.com/ui/#object/approved_document__v/V5OZ025E82USSZ5", "LUP - Invitación webinar NL y RCV - nefro")</f>
        <v>LUP - Invitación webinar NL y RCV - nefro</v>
      </c>
      <c r="C15285" s="3" t="str">
        <f>HYPERLINK("https://otsuka-europe-crm.veevavault.com/ui/#object/sent_email__v/VBLZ025E82HOKWO", "SE-000288203")</f>
        <v>SE-000288203</v>
      </c>
      <c r="D15285" s="1" t="s">
        <v>0</v>
      </c>
      <c r="E15285" s="2">
        <v>0</v>
      </c>
      <c r="F15285" s="2">
        <v>0</v>
      </c>
      <c r="G15285" s="2">
        <v>0</v>
      </c>
      <c r="H15285" s="1" t="s">
        <v>0</v>
      </c>
      <c r="I15285" s="2">
        <v>0</v>
      </c>
      <c r="J15285" s="1">
        <v>45950.38994212963</v>
      </c>
    </row>
    <row r="15286" spans="1:10" x14ac:dyDescent="0.2">
      <c r="A15286" s="4" t="s">
        <v>1</v>
      </c>
      <c r="B15286" s="3" t="str">
        <f>HYPERLINK("https://otsuka-europe-crm.veevavault.com/ui/#object/approved_document__v/V5OZ025E82USSZ5", "LUP - Invitación webinar NL y RCV - nefro")</f>
        <v>LUP - Invitación webinar NL y RCV - nefro</v>
      </c>
      <c r="C15286" s="3" t="str">
        <f>HYPERLINK("https://otsuka-europe-crm.veevavault.com/ui/#object/sent_email__v/VBLZ025E82HOKWP", "SE-000288204")</f>
        <v>SE-000288204</v>
      </c>
      <c r="D15286" s="1">
        <v>45951.008402777778</v>
      </c>
      <c r="E15286" s="2">
        <v>1</v>
      </c>
      <c r="F15286" s="2">
        <v>1</v>
      </c>
      <c r="G15286" s="2">
        <v>0</v>
      </c>
      <c r="H15286" s="1" t="s">
        <v>0</v>
      </c>
      <c r="I15286" s="2">
        <v>0</v>
      </c>
      <c r="J15286" s="1">
        <v>45950.390057870369</v>
      </c>
    </row>
    <row r="15287" spans="1:10" x14ac:dyDescent="0.2">
      <c r="A15287" s="4" t="s">
        <v>1</v>
      </c>
      <c r="B15287" s="3" t="str">
        <f>HYPERLINK("https://otsuka-europe-crm.veevavault.com/ui/#object/approved_document__v/V5OZ025E82USSZ5", "LUP - Invitación webinar NL y RCV - nefro")</f>
        <v>LUP - Invitación webinar NL y RCV - nefro</v>
      </c>
      <c r="C15287" s="3" t="str">
        <f>HYPERLINK("https://otsuka-europe-crm.veevavault.com/ui/#object/sent_email__v/VBLZ025E82HOKWQ", "SE-000288205")</f>
        <v>SE-000288205</v>
      </c>
      <c r="D15287" s="1" t="s">
        <v>0</v>
      </c>
      <c r="E15287" s="2">
        <v>0</v>
      </c>
      <c r="F15287" s="2">
        <v>0</v>
      </c>
      <c r="G15287" s="2">
        <v>0</v>
      </c>
      <c r="H15287" s="1" t="s">
        <v>0</v>
      </c>
      <c r="I15287" s="2">
        <v>0</v>
      </c>
      <c r="J15287" s="1">
        <v>45950.38994212963</v>
      </c>
    </row>
    <row r="15288" spans="1:10" x14ac:dyDescent="0.2">
      <c r="A15288" s="4" t="s">
        <v>1</v>
      </c>
      <c r="B15288" s="3" t="str">
        <f>HYPERLINK("https://otsuka-europe-crm.veevavault.com/ui/#object/approved_document__v/V5OZ025E82USSZ5", "LUP - Invitación webinar NL y RCV - nefro")</f>
        <v>LUP - Invitación webinar NL y RCV - nefro</v>
      </c>
      <c r="C15288" s="3" t="str">
        <f>HYPERLINK("https://otsuka-europe-crm.veevavault.com/ui/#object/sent_email__v/VBLZ025E82HOKWR", "SE-000288206")</f>
        <v>SE-000288206</v>
      </c>
      <c r="D15288" s="1" t="s">
        <v>0</v>
      </c>
      <c r="E15288" s="2">
        <v>0</v>
      </c>
      <c r="F15288" s="2">
        <v>0</v>
      </c>
      <c r="G15288" s="2">
        <v>0</v>
      </c>
      <c r="H15288" s="1" t="s">
        <v>0</v>
      </c>
      <c r="I15288" s="2">
        <v>0</v>
      </c>
      <c r="J15288" s="1">
        <v>45950.390069444446</v>
      </c>
    </row>
    <row r="15289" spans="1:10" x14ac:dyDescent="0.2">
      <c r="A15289" s="4" t="s">
        <v>1</v>
      </c>
      <c r="B15289" s="3" t="str">
        <f>HYPERLINK("https://otsuka-europe-crm.veevavault.com/ui/#object/approved_document__v/V5OZ025E82USSZ5", "LUP - Invitación webinar NL y RCV - nefro")</f>
        <v>LUP - Invitación webinar NL y RCV - nefro</v>
      </c>
      <c r="C15289" s="3" t="str">
        <f>HYPERLINK("https://otsuka-europe-crm.veevavault.com/ui/#object/sent_email__v/VBLZ025E82HOKWS", "SE-000288207")</f>
        <v>SE-000288207</v>
      </c>
      <c r="D15289" s="1">
        <v>45950.732719907406</v>
      </c>
      <c r="E15289" s="2">
        <v>1</v>
      </c>
      <c r="F15289" s="2">
        <v>1</v>
      </c>
      <c r="G15289" s="2">
        <v>0</v>
      </c>
      <c r="H15289" s="1" t="s">
        <v>0</v>
      </c>
      <c r="I15289" s="2">
        <v>0</v>
      </c>
      <c r="J15289" s="1">
        <v>45950.389953703707</v>
      </c>
    </row>
    <row r="15290" spans="1:10" x14ac:dyDescent="0.2">
      <c r="A15290" s="4" t="s">
        <v>1</v>
      </c>
      <c r="B15290" s="3" t="str">
        <f>HYPERLINK("https://otsuka-europe-crm.veevavault.com/ui/#object/approved_document__v/V5OZ025E82USSZ5", "LUP - Invitación webinar NL y RCV - nefro")</f>
        <v>LUP - Invitación webinar NL y RCV - nefro</v>
      </c>
      <c r="C15290" s="3" t="str">
        <f>HYPERLINK("https://otsuka-europe-crm.veevavault.com/ui/#object/sent_email__v/VBLZ025E82HOKWT", "SE-000288208")</f>
        <v>SE-000288208</v>
      </c>
      <c r="D15290" s="1">
        <v>45950.408159722225</v>
      </c>
      <c r="E15290" s="2">
        <v>1</v>
      </c>
      <c r="F15290" s="2">
        <v>1</v>
      </c>
      <c r="G15290" s="2">
        <v>0</v>
      </c>
      <c r="H15290" s="1" t="s">
        <v>0</v>
      </c>
      <c r="I15290" s="2">
        <v>0</v>
      </c>
      <c r="J15290" s="1">
        <v>45950.390069444446</v>
      </c>
    </row>
    <row r="15291" spans="1:10" x14ac:dyDescent="0.2">
      <c r="A15291" s="4" t="s">
        <v>1</v>
      </c>
      <c r="B15291" s="3" t="str">
        <f>HYPERLINK("https://otsuka-europe-crm.veevavault.com/ui/#object/approved_document__v/V5OZ025E82USSZ5", "LUP - Invitación webinar NL y RCV - nefro")</f>
        <v>LUP - Invitación webinar NL y RCV - nefro</v>
      </c>
      <c r="C15291" s="3" t="str">
        <f>HYPERLINK("https://otsuka-europe-crm.veevavault.com/ui/#object/sent_email__v/VBLZ025E82HOKWU", "SE-000288209")</f>
        <v>SE-000288209</v>
      </c>
      <c r="D15291" s="1" t="s">
        <v>0</v>
      </c>
      <c r="E15291" s="2">
        <v>0</v>
      </c>
      <c r="F15291" s="2">
        <v>0</v>
      </c>
      <c r="G15291" s="2">
        <v>0</v>
      </c>
      <c r="H15291" s="1" t="s">
        <v>0</v>
      </c>
      <c r="I15291" s="2">
        <v>0</v>
      </c>
      <c r="J15291" s="1">
        <v>45950.390092592592</v>
      </c>
    </row>
    <row r="15292" spans="1:10" x14ac:dyDescent="0.2">
      <c r="A15292" s="4" t="s">
        <v>1</v>
      </c>
      <c r="B15292" s="3" t="str">
        <f>HYPERLINK("https://otsuka-europe-crm.veevavault.com/ui/#object/approved_document__v/V5OZ025E82USSZ5", "LUP - Invitación webinar NL y RCV - nefro")</f>
        <v>LUP - Invitación webinar NL y RCV - nefro</v>
      </c>
      <c r="C15292" s="3" t="str">
        <f>HYPERLINK("https://otsuka-europe-crm.veevavault.com/ui/#object/sent_email__v/VBLZ025E82HOKWV", "SE-000288210")</f>
        <v>SE-000288210</v>
      </c>
      <c r="D15292" s="1" t="s">
        <v>0</v>
      </c>
      <c r="E15292" s="2">
        <v>0</v>
      </c>
      <c r="F15292" s="2">
        <v>0</v>
      </c>
      <c r="G15292" s="2">
        <v>0</v>
      </c>
      <c r="H15292" s="1" t="s">
        <v>0</v>
      </c>
      <c r="I15292" s="2">
        <v>0</v>
      </c>
      <c r="J15292" s="1">
        <v>45950.389953703707</v>
      </c>
    </row>
    <row r="15293" spans="1:10" x14ac:dyDescent="0.2">
      <c r="A15293" s="4" t="s">
        <v>1</v>
      </c>
      <c r="B15293" s="3" t="str">
        <f>HYPERLINK("https://otsuka-europe-crm.veevavault.com/ui/#object/approved_document__v/V5OZ025E82USSZ5", "LUP - Invitación webinar NL y RCV - nefro")</f>
        <v>LUP - Invitación webinar NL y RCV - nefro</v>
      </c>
      <c r="C15293" s="3" t="str">
        <f>HYPERLINK("https://otsuka-europe-crm.veevavault.com/ui/#object/sent_email__v/VBLZ025E82HOKWW", "SE-000288211")</f>
        <v>SE-000288211</v>
      </c>
      <c r="D15293" s="1">
        <v>45992.500462962962</v>
      </c>
      <c r="E15293" s="2">
        <v>1</v>
      </c>
      <c r="F15293" s="2">
        <v>8</v>
      </c>
      <c r="G15293" s="2">
        <v>0</v>
      </c>
      <c r="H15293" s="1" t="s">
        <v>0</v>
      </c>
      <c r="I15293" s="2">
        <v>0</v>
      </c>
      <c r="J15293" s="1">
        <v>45950.390092592592</v>
      </c>
    </row>
    <row r="15294" spans="1:10" x14ac:dyDescent="0.2">
      <c r="A15294" s="4" t="s">
        <v>1</v>
      </c>
      <c r="B15294" s="3" t="str">
        <f>HYPERLINK("https://otsuka-europe-crm.veevavault.com/ui/#object/approved_document__v/V5OZ025E82USSZ5", "LUP - Invitación webinar NL y RCV - nefro")</f>
        <v>LUP - Invitación webinar NL y RCV - nefro</v>
      </c>
      <c r="C15294" s="3" t="str">
        <f>HYPERLINK("https://otsuka-europe-crm.veevavault.com/ui/#object/sent_email__v/VBLZ025E82HOKWX", "SE-000288212")</f>
        <v>SE-000288212</v>
      </c>
      <c r="D15294" s="1" t="s">
        <v>0</v>
      </c>
      <c r="E15294" s="2">
        <v>0</v>
      </c>
      <c r="F15294" s="2">
        <v>0</v>
      </c>
      <c r="G15294" s="2">
        <v>0</v>
      </c>
      <c r="H15294" s="1" t="s">
        <v>0</v>
      </c>
      <c r="I15294" s="2">
        <v>0</v>
      </c>
      <c r="J15294" s="1">
        <v>45950.389988425923</v>
      </c>
    </row>
    <row r="15295" spans="1:10" x14ac:dyDescent="0.2">
      <c r="A15295" s="4" t="s">
        <v>1</v>
      </c>
      <c r="B15295" s="3" t="str">
        <f>HYPERLINK("https://otsuka-europe-crm.veevavault.com/ui/#object/approved_document__v/V5OZ025E82USSZ5", "LUP - Invitación webinar NL y RCV - nefro")</f>
        <v>LUP - Invitación webinar NL y RCV - nefro</v>
      </c>
      <c r="C15295" s="3" t="str">
        <f>HYPERLINK("https://otsuka-europe-crm.veevavault.com/ui/#object/sent_email__v/VBLZ025E82HOKWY", "SE-000288213")</f>
        <v>SE-000288213</v>
      </c>
      <c r="D15295" s="1">
        <v>45951.897939814815</v>
      </c>
      <c r="E15295" s="2">
        <v>1</v>
      </c>
      <c r="F15295" s="2">
        <v>2</v>
      </c>
      <c r="G15295" s="2">
        <v>0</v>
      </c>
      <c r="H15295" s="1" t="s">
        <v>0</v>
      </c>
      <c r="I15295" s="2">
        <v>0</v>
      </c>
      <c r="J15295" s="1">
        <v>45950.390104166669</v>
      </c>
    </row>
    <row r="15296" spans="1:10" x14ac:dyDescent="0.2">
      <c r="A15296" s="4" t="s">
        <v>1</v>
      </c>
      <c r="B15296" s="3" t="str">
        <f>HYPERLINK("https://otsuka-europe-crm.veevavault.com/ui/#object/approved_document__v/V5OZ025E82USSZ5", "LUP - Invitación webinar NL y RCV - nefro")</f>
        <v>LUP - Invitación webinar NL y RCV - nefro</v>
      </c>
      <c r="C15296" s="3" t="str">
        <f>HYPERLINK("https://otsuka-europe-crm.veevavault.com/ui/#object/sent_email__v/VBLZ025E82HOKWZ", "SE-000288214")</f>
        <v>SE-000288214</v>
      </c>
      <c r="D15296" s="1" t="s">
        <v>0</v>
      </c>
      <c r="E15296" s="2">
        <v>0</v>
      </c>
      <c r="F15296" s="2">
        <v>0</v>
      </c>
      <c r="G15296" s="2">
        <v>0</v>
      </c>
      <c r="H15296" s="1" t="s">
        <v>0</v>
      </c>
      <c r="I15296" s="2">
        <v>0</v>
      </c>
      <c r="J15296" s="1">
        <v>45950.389988425923</v>
      </c>
    </row>
    <row r="15297" spans="1:10" x14ac:dyDescent="0.2">
      <c r="A15297" s="4" t="s">
        <v>1</v>
      </c>
      <c r="B15297" s="3" t="str">
        <f>HYPERLINK("https://otsuka-europe-crm.veevavault.com/ui/#object/approved_document__v/V5OZ025E82USSZ5", "LUP - Invitación webinar NL y RCV - nefro")</f>
        <v>LUP - Invitación webinar NL y RCV - nefro</v>
      </c>
      <c r="C15297" s="3" t="str">
        <f>HYPERLINK("https://otsuka-europe-crm.veevavault.com/ui/#object/sent_email__v/VBLZ025E82HOKX0", "SE-000288215")</f>
        <v>SE-000288215</v>
      </c>
      <c r="D15297" s="1" t="s">
        <v>0</v>
      </c>
      <c r="E15297" s="2">
        <v>0</v>
      </c>
      <c r="F15297" s="2">
        <v>0</v>
      </c>
      <c r="G15297" s="2">
        <v>0</v>
      </c>
      <c r="H15297" s="1" t="s">
        <v>0</v>
      </c>
      <c r="I15297" s="2">
        <v>0</v>
      </c>
      <c r="J15297" s="1">
        <v>45950.390127314815</v>
      </c>
    </row>
    <row r="15298" spans="1:10" x14ac:dyDescent="0.2">
      <c r="A15298" s="4" t="s">
        <v>1</v>
      </c>
      <c r="B15298" s="3" t="str">
        <f>HYPERLINK("https://otsuka-europe-crm.veevavault.com/ui/#object/approved_document__v/V5OZ025E82USSZ5", "LUP - Invitación webinar NL y RCV - nefro")</f>
        <v>LUP - Invitación webinar NL y RCV - nefro</v>
      </c>
      <c r="C15298" s="3" t="str">
        <f>HYPERLINK("https://otsuka-europe-crm.veevavault.com/ui/#object/sent_email__v/VBLZ025E82HOKX1", "SE-000288216")</f>
        <v>SE-000288216</v>
      </c>
      <c r="D15298" s="1" t="s">
        <v>0</v>
      </c>
      <c r="E15298" s="2">
        <v>0</v>
      </c>
      <c r="F15298" s="2">
        <v>0</v>
      </c>
      <c r="G15298" s="2">
        <v>0</v>
      </c>
      <c r="H15298" s="1" t="s">
        <v>0</v>
      </c>
      <c r="I15298" s="2">
        <v>0</v>
      </c>
      <c r="J15298" s="1">
        <v>45950.389988425923</v>
      </c>
    </row>
    <row r="15299" spans="1:10" x14ac:dyDescent="0.2">
      <c r="A15299" s="4" t="s">
        <v>1</v>
      </c>
      <c r="B15299" s="3" t="str">
        <f>HYPERLINK("https://otsuka-europe-crm.veevavault.com/ui/#object/approved_document__v/V5OZ025E82USSZ5", "LUP - Invitación webinar NL y RCV - nefro")</f>
        <v>LUP - Invitación webinar NL y RCV - nefro</v>
      </c>
      <c r="C15299" s="3" t="str">
        <f>HYPERLINK("https://otsuka-europe-crm.veevavault.com/ui/#object/sent_email__v/VBLZ025E82HOKX2", "SE-000288217")</f>
        <v>SE-000288217</v>
      </c>
      <c r="D15299" s="1">
        <v>45950.486296296294</v>
      </c>
      <c r="E15299" s="2">
        <v>1</v>
      </c>
      <c r="F15299" s="2">
        <v>1</v>
      </c>
      <c r="G15299" s="2">
        <v>0</v>
      </c>
      <c r="H15299" s="1" t="s">
        <v>0</v>
      </c>
      <c r="I15299" s="2">
        <v>0</v>
      </c>
      <c r="J15299" s="1">
        <v>45950.390023148146</v>
      </c>
    </row>
    <row r="15300" spans="1:10" x14ac:dyDescent="0.2">
      <c r="A15300" s="4" t="s">
        <v>1</v>
      </c>
      <c r="B15300" s="3" t="str">
        <f>HYPERLINK("https://otsuka-europe-crm.veevavault.com/ui/#object/approved_document__v/V5OZ025E82USSZ5", "LUP - Invitación webinar NL y RCV - nefro")</f>
        <v>LUP - Invitación webinar NL y RCV - nefro</v>
      </c>
      <c r="C15300" s="3" t="str">
        <f>HYPERLINK("https://otsuka-europe-crm.veevavault.com/ui/#object/sent_email__v/VBLZ025E82HOKX3", "SE-000288218")</f>
        <v>SE-000288218</v>
      </c>
      <c r="D15300" s="1">
        <v>45950.490613425929</v>
      </c>
      <c r="E15300" s="2">
        <v>1</v>
      </c>
      <c r="F15300" s="2">
        <v>1</v>
      </c>
      <c r="G15300" s="2">
        <v>0</v>
      </c>
      <c r="H15300" s="1" t="s">
        <v>0</v>
      </c>
      <c r="I15300" s="2">
        <v>0</v>
      </c>
      <c r="J15300" s="1">
        <v>45950.389907407407</v>
      </c>
    </row>
    <row r="15301" spans="1:10" x14ac:dyDescent="0.2">
      <c r="A15301" s="4" t="s">
        <v>1</v>
      </c>
      <c r="B15301" s="3" t="str">
        <f>HYPERLINK("https://otsuka-europe-crm.veevavault.com/ui/#object/approved_document__v/V5OZ025E82USSZ5", "LUP - Invitación webinar NL y RCV - nefro")</f>
        <v>LUP - Invitación webinar NL y RCV - nefro</v>
      </c>
      <c r="C15301" s="3" t="str">
        <f>HYPERLINK("https://otsuka-europe-crm.veevavault.com/ui/#object/sent_email__v/VBLZ025E82HOKX4", "SE-000288219")</f>
        <v>SE-000288219</v>
      </c>
      <c r="D15301" s="1">
        <v>45950.653182870374</v>
      </c>
      <c r="E15301" s="2">
        <v>1</v>
      </c>
      <c r="F15301" s="2">
        <v>1</v>
      </c>
      <c r="G15301" s="2">
        <v>0</v>
      </c>
      <c r="H15301" s="1" t="s">
        <v>0</v>
      </c>
      <c r="I15301" s="2">
        <v>0</v>
      </c>
      <c r="J15301" s="1">
        <v>45950.390115740738</v>
      </c>
    </row>
    <row r="15302" spans="1:10" x14ac:dyDescent="0.2">
      <c r="A15302" s="4" t="s">
        <v>1</v>
      </c>
      <c r="B15302" s="3" t="str">
        <f>HYPERLINK("https://otsuka-europe-crm.veevavault.com/ui/#object/approved_document__v/V5OZ025E82USSZ5", "LUP - Invitación webinar NL y RCV - nefro")</f>
        <v>LUP - Invitación webinar NL y RCV - nefro</v>
      </c>
      <c r="C15302" s="3" t="str">
        <f>HYPERLINK("https://otsuka-europe-crm.veevavault.com/ui/#object/sent_email__v/VBLZ025E82HOKX5", "SE-000288220")</f>
        <v>SE-000288220</v>
      </c>
      <c r="D15302" s="1" t="s">
        <v>0</v>
      </c>
      <c r="E15302" s="2">
        <v>0</v>
      </c>
      <c r="F15302" s="2">
        <v>0</v>
      </c>
      <c r="G15302" s="2">
        <v>0</v>
      </c>
      <c r="H15302" s="1" t="s">
        <v>0</v>
      </c>
      <c r="I15302" s="2">
        <v>0</v>
      </c>
      <c r="J15302" s="1">
        <v>45950.389976851853</v>
      </c>
    </row>
    <row r="15303" spans="1:10" x14ac:dyDescent="0.2">
      <c r="A15303" s="4" t="s">
        <v>1</v>
      </c>
      <c r="B15303" s="3" t="str">
        <f>HYPERLINK("https://otsuka-europe-crm.veevavault.com/ui/#object/approved_document__v/V5OZ025E82USSZ5", "LUP - Invitación webinar NL y RCV - nefro")</f>
        <v>LUP - Invitación webinar NL y RCV - nefro</v>
      </c>
      <c r="C15303" s="3" t="str">
        <f>HYPERLINK("https://otsuka-europe-crm.veevavault.com/ui/#object/sent_email__v/VBLZ025E82HOL7H", "SE-000288221")</f>
        <v>SE-000288221</v>
      </c>
      <c r="D15303" s="1" t="s">
        <v>0</v>
      </c>
      <c r="E15303" s="2">
        <v>0</v>
      </c>
      <c r="F15303" s="2">
        <v>0</v>
      </c>
      <c r="G15303" s="2">
        <v>0</v>
      </c>
      <c r="H15303" s="1" t="s">
        <v>0</v>
      </c>
      <c r="I15303" s="2">
        <v>0</v>
      </c>
      <c r="J15303" s="1">
        <v>45950.391296296293</v>
      </c>
    </row>
    <row r="15304" spans="1:10" x14ac:dyDescent="0.2">
      <c r="A15304" s="4" t="s">
        <v>1</v>
      </c>
      <c r="B15304" s="3" t="str">
        <f>HYPERLINK("https://otsuka-europe-crm.veevavault.com/ui/#object/approved_document__v/V5OZ025E82USSZ5", "LUP - Invitación webinar NL y RCV - nefro")</f>
        <v>LUP - Invitación webinar NL y RCV - nefro</v>
      </c>
      <c r="C15304" s="3" t="str">
        <f>HYPERLINK("https://otsuka-europe-crm.veevavault.com/ui/#object/sent_email__v/VBLZ025E82HOL7I", "SE-000288222")</f>
        <v>SE-000288222</v>
      </c>
      <c r="D15304" s="1">
        <v>45950.602395833332</v>
      </c>
      <c r="E15304" s="2">
        <v>1</v>
      </c>
      <c r="F15304" s="2">
        <v>1</v>
      </c>
      <c r="G15304" s="2">
        <v>0</v>
      </c>
      <c r="H15304" s="1" t="s">
        <v>0</v>
      </c>
      <c r="I15304" s="2">
        <v>0</v>
      </c>
      <c r="J15304" s="1">
        <v>45950.391203703701</v>
      </c>
    </row>
    <row r="15305" spans="1:10" x14ac:dyDescent="0.2">
      <c r="A15305" s="4" t="s">
        <v>1</v>
      </c>
      <c r="B15305" s="3" t="str">
        <f>HYPERLINK("https://otsuka-europe-crm.veevavault.com/ui/#object/approved_document__v/V5OZ025E82USSZ5", "LUP - Invitación webinar NL y RCV - nefro")</f>
        <v>LUP - Invitación webinar NL y RCV - nefro</v>
      </c>
      <c r="C15305" s="3" t="str">
        <f>HYPERLINK("https://otsuka-europe-crm.veevavault.com/ui/#object/sent_email__v/VBLZ025E82HOL7J", "SE-000288223")</f>
        <v>SE-000288223</v>
      </c>
      <c r="D15305" s="1" t="s">
        <v>0</v>
      </c>
      <c r="E15305" s="2">
        <v>0</v>
      </c>
      <c r="F15305" s="2">
        <v>0</v>
      </c>
      <c r="G15305" s="2">
        <v>0</v>
      </c>
      <c r="H15305" s="1" t="s">
        <v>0</v>
      </c>
      <c r="I15305" s="2">
        <v>0</v>
      </c>
      <c r="J15305" s="1">
        <v>45950.39130787037</v>
      </c>
    </row>
    <row r="15306" spans="1:10" x14ac:dyDescent="0.2">
      <c r="A15306" s="4" t="s">
        <v>1</v>
      </c>
      <c r="B15306" s="3" t="str">
        <f>HYPERLINK("https://otsuka-europe-crm.veevavault.com/ui/#object/approved_document__v/V5OZ025E82USSZ5", "LUP - Invitación webinar NL y RCV - nefro")</f>
        <v>LUP - Invitación webinar NL y RCV - nefro</v>
      </c>
      <c r="C15306" s="3" t="str">
        <f>HYPERLINK("https://otsuka-europe-crm.veevavault.com/ui/#object/sent_email__v/VBLZ025E82HOL7K", "SE-000288224")</f>
        <v>SE-000288224</v>
      </c>
      <c r="D15306" s="1">
        <v>45950.759699074071</v>
      </c>
      <c r="E15306" s="2">
        <v>1</v>
      </c>
      <c r="F15306" s="2">
        <v>1</v>
      </c>
      <c r="G15306" s="2">
        <v>0</v>
      </c>
      <c r="H15306" s="1" t="s">
        <v>0</v>
      </c>
      <c r="I15306" s="2">
        <v>0</v>
      </c>
      <c r="J15306" s="1">
        <v>45950.391203703701</v>
      </c>
    </row>
    <row r="15307" spans="1:10" x14ac:dyDescent="0.2">
      <c r="A15307" s="4" t="s">
        <v>1</v>
      </c>
      <c r="B15307" s="3" t="str">
        <f>HYPERLINK("https://otsuka-europe-crm.veevavault.com/ui/#object/approved_document__v/V5OZ025E82USSZ5", "LUP - Invitación webinar NL y RCV - nefro")</f>
        <v>LUP - Invitación webinar NL y RCV - nefro</v>
      </c>
      <c r="C15307" s="3" t="str">
        <f>HYPERLINK("https://otsuka-europe-crm.veevavault.com/ui/#object/sent_email__v/VBLZ025E82HOL7L", "SE-000288225")</f>
        <v>SE-000288225</v>
      </c>
      <c r="D15307" s="1">
        <v>45951.533148148148</v>
      </c>
      <c r="E15307" s="2">
        <v>1</v>
      </c>
      <c r="F15307" s="2">
        <v>1</v>
      </c>
      <c r="G15307" s="2">
        <v>1</v>
      </c>
      <c r="H15307" s="1">
        <v>45951.533599537041</v>
      </c>
      <c r="I15307" s="2">
        <v>1</v>
      </c>
      <c r="J15307" s="1">
        <v>45950.391226851854</v>
      </c>
    </row>
    <row r="15308" spans="1:10" x14ac:dyDescent="0.2">
      <c r="A15308" s="4" t="s">
        <v>1</v>
      </c>
      <c r="B15308" s="3" t="str">
        <f>HYPERLINK("https://otsuka-europe-crm.veevavault.com/ui/#object/approved_document__v/V5OZ025E82USSZ5", "LUP - Invitación webinar NL y RCV - nefro")</f>
        <v>LUP - Invitación webinar NL y RCV - nefro</v>
      </c>
      <c r="C15308" s="3" t="str">
        <f>HYPERLINK("https://otsuka-europe-crm.veevavault.com/ui/#object/sent_email__v/VBLZ025E82HOL7M", "SE-000288226")</f>
        <v>SE-000288226</v>
      </c>
      <c r="D15308" s="1">
        <v>45950.489641203705</v>
      </c>
      <c r="E15308" s="2">
        <v>1</v>
      </c>
      <c r="F15308" s="2">
        <v>1</v>
      </c>
      <c r="G15308" s="2">
        <v>1</v>
      </c>
      <c r="H15308" s="1">
        <v>45950.494652777779</v>
      </c>
      <c r="I15308" s="2">
        <v>1</v>
      </c>
      <c r="J15308" s="1">
        <v>45950.391111111108</v>
      </c>
    </row>
    <row r="15309" spans="1:10" x14ac:dyDescent="0.2">
      <c r="A15309" s="4" t="s">
        <v>1</v>
      </c>
      <c r="B15309" s="3" t="str">
        <f>HYPERLINK("https://otsuka-europe-crm.veevavault.com/ui/#object/approved_document__v/V5OZ025E82USSZ5", "LUP - Invitación webinar NL y RCV - nefro")</f>
        <v>LUP - Invitación webinar NL y RCV - nefro</v>
      </c>
      <c r="C15309" s="3" t="str">
        <f>HYPERLINK("https://otsuka-europe-crm.veevavault.com/ui/#object/sent_email__v/VBLZ025E82HOL7N", "SE-000288227")</f>
        <v>SE-000288227</v>
      </c>
      <c r="D15309" s="1">
        <v>45951.805775462963</v>
      </c>
      <c r="E15309" s="2">
        <v>1</v>
      </c>
      <c r="F15309" s="2">
        <v>4</v>
      </c>
      <c r="G15309" s="2">
        <v>0</v>
      </c>
      <c r="H15309" s="1" t="s">
        <v>0</v>
      </c>
      <c r="I15309" s="2">
        <v>0</v>
      </c>
      <c r="J15309" s="1">
        <v>45950.391238425924</v>
      </c>
    </row>
    <row r="15310" spans="1:10" x14ac:dyDescent="0.2">
      <c r="A15310" s="4" t="s">
        <v>1</v>
      </c>
      <c r="B15310" s="3" t="str">
        <f>HYPERLINK("https://otsuka-europe-crm.veevavault.com/ui/#object/approved_document__v/V5OZ025E82USSZ5", "LUP - Invitación webinar NL y RCV - nefro")</f>
        <v>LUP - Invitación webinar NL y RCV - nefro</v>
      </c>
      <c r="C15310" s="3" t="str">
        <f>HYPERLINK("https://otsuka-europe-crm.veevavault.com/ui/#object/sent_email__v/VBLZ025E82HOL7O", "SE-000288228")</f>
        <v>SE-000288228</v>
      </c>
      <c r="D15310" s="1">
        <v>45950.4840625</v>
      </c>
      <c r="E15310" s="2">
        <v>1</v>
      </c>
      <c r="F15310" s="2">
        <v>1</v>
      </c>
      <c r="G15310" s="2">
        <v>0</v>
      </c>
      <c r="H15310" s="1" t="s">
        <v>0</v>
      </c>
      <c r="I15310" s="2">
        <v>0</v>
      </c>
      <c r="J15310" s="1">
        <v>45950.391122685185</v>
      </c>
    </row>
    <row r="15311" spans="1:10" x14ac:dyDescent="0.2">
      <c r="A15311" s="4" t="s">
        <v>1</v>
      </c>
      <c r="B15311" s="3" t="str">
        <f>HYPERLINK("https://otsuka-europe-crm.veevavault.com/ui/#object/approved_document__v/V5OZ025E82USSZ5", "LUP - Invitación webinar NL y RCV - nefro")</f>
        <v>LUP - Invitación webinar NL y RCV - nefro</v>
      </c>
      <c r="C15311" s="3" t="str">
        <f>HYPERLINK("https://otsuka-europe-crm.veevavault.com/ui/#object/sent_email__v/VBLZ025E82HOL7P", "SE-000288229")</f>
        <v>SE-000288229</v>
      </c>
      <c r="D15311" s="1">
        <v>46045.585358796299</v>
      </c>
      <c r="E15311" s="2">
        <v>1</v>
      </c>
      <c r="F15311" s="2">
        <v>2</v>
      </c>
      <c r="G15311" s="2">
        <v>0</v>
      </c>
      <c r="H15311" s="1" t="s">
        <v>0</v>
      </c>
      <c r="I15311" s="2">
        <v>0</v>
      </c>
      <c r="J15311" s="1">
        <v>45950.391250000001</v>
      </c>
    </row>
    <row r="15312" spans="1:10" x14ac:dyDescent="0.2">
      <c r="A15312" s="4" t="s">
        <v>1</v>
      </c>
      <c r="B15312" s="3" t="str">
        <f>HYPERLINK("https://otsuka-europe-crm.veevavault.com/ui/#object/approved_document__v/V5OZ025E82USSZ5", "LUP - Invitación webinar NL y RCV - nefro")</f>
        <v>LUP - Invitación webinar NL y RCV - nefro</v>
      </c>
      <c r="C15312" s="3" t="str">
        <f>HYPERLINK("https://otsuka-europe-crm.veevavault.com/ui/#object/sent_email__v/VBLZ025E82HOL7Q", "SE-000288230")</f>
        <v>SE-000288230</v>
      </c>
      <c r="D15312" s="1">
        <v>45968.37840277778</v>
      </c>
      <c r="E15312" s="2">
        <v>1</v>
      </c>
      <c r="F15312" s="2">
        <v>3</v>
      </c>
      <c r="G15312" s="2">
        <v>1</v>
      </c>
      <c r="H15312" s="1">
        <v>45951.652858796297</v>
      </c>
      <c r="I15312" s="2">
        <v>1</v>
      </c>
      <c r="J15312" s="1">
        <v>45950.391134259262</v>
      </c>
    </row>
    <row r="15313" spans="1:10" x14ac:dyDescent="0.2">
      <c r="A15313" s="4" t="s">
        <v>1</v>
      </c>
      <c r="B15313" s="3" t="str">
        <f>HYPERLINK("https://otsuka-europe-crm.veevavault.com/ui/#object/approved_document__v/V5OZ025E82USSZ5", "LUP - Invitación webinar NL y RCV - nefro")</f>
        <v>LUP - Invitación webinar NL y RCV - nefro</v>
      </c>
      <c r="C15313" s="3" t="str">
        <f>HYPERLINK("https://otsuka-europe-crm.veevavault.com/ui/#object/sent_email__v/VBLZ025E82HOL7R", "SE-000288231")</f>
        <v>SE-000288231</v>
      </c>
      <c r="D15313" s="1">
        <v>45950.648611111108</v>
      </c>
      <c r="E15313" s="2">
        <v>1</v>
      </c>
      <c r="F15313" s="2">
        <v>2</v>
      </c>
      <c r="G15313" s="2">
        <v>0</v>
      </c>
      <c r="H15313" s="1" t="s">
        <v>0</v>
      </c>
      <c r="I15313" s="2">
        <v>0</v>
      </c>
      <c r="J15313" s="1">
        <v>45950.391215277778</v>
      </c>
    </row>
    <row r="15314" spans="1:10" x14ac:dyDescent="0.2">
      <c r="A15314" s="4" t="s">
        <v>1</v>
      </c>
      <c r="B15314" s="3" t="str">
        <f>HYPERLINK("https://otsuka-europe-crm.veevavault.com/ui/#object/approved_document__v/V5OZ025E82USSZ5", "LUP - Invitación webinar NL y RCV - nefro")</f>
        <v>LUP - Invitación webinar NL y RCV - nefro</v>
      </c>
      <c r="C15314" s="3" t="str">
        <f>HYPERLINK("https://otsuka-europe-crm.veevavault.com/ui/#object/sent_email__v/VBLZ025E82HOL7S", "SE-000288232")</f>
        <v>SE-000288232</v>
      </c>
      <c r="D15314" s="1" t="s">
        <v>0</v>
      </c>
      <c r="E15314" s="2">
        <v>0</v>
      </c>
      <c r="F15314" s="2">
        <v>0</v>
      </c>
      <c r="G15314" s="2">
        <v>0</v>
      </c>
      <c r="H15314" s="1" t="s">
        <v>0</v>
      </c>
      <c r="I15314" s="2">
        <v>0</v>
      </c>
      <c r="J15314" s="1">
        <v>45950.391122685185</v>
      </c>
    </row>
    <row r="15315" spans="1:10" x14ac:dyDescent="0.2">
      <c r="A15315" s="4" t="s">
        <v>1</v>
      </c>
      <c r="B15315" s="3" t="str">
        <f>HYPERLINK("https://otsuka-europe-crm.veevavault.com/ui/#object/approved_document__v/V5OZ025E82USSZ5", "LUP - Invitación webinar NL y RCV - nefro")</f>
        <v>LUP - Invitación webinar NL y RCV - nefro</v>
      </c>
      <c r="C15315" s="3" t="str">
        <f>HYPERLINK("https://otsuka-europe-crm.veevavault.com/ui/#object/sent_email__v/VBLZ025E82HOL7T", "SE-000288233")</f>
        <v>SE-000288233</v>
      </c>
      <c r="D15315" s="1">
        <v>45980.662048611113</v>
      </c>
      <c r="E15315" s="2">
        <v>1</v>
      </c>
      <c r="F15315" s="2">
        <v>1</v>
      </c>
      <c r="G15315" s="2">
        <v>0</v>
      </c>
      <c r="H15315" s="1" t="s">
        <v>0</v>
      </c>
      <c r="I15315" s="2">
        <v>0</v>
      </c>
      <c r="J15315" s="1">
        <v>45950.391250000001</v>
      </c>
    </row>
    <row r="15316" spans="1:10" x14ac:dyDescent="0.2">
      <c r="A15316" s="4" t="s">
        <v>1</v>
      </c>
      <c r="B15316" s="3" t="str">
        <f>HYPERLINK("https://otsuka-europe-crm.veevavault.com/ui/#object/approved_document__v/V5OZ025E82USSZ5", "LUP - Invitación webinar NL y RCV - nefro")</f>
        <v>LUP - Invitación webinar NL y RCV - nefro</v>
      </c>
      <c r="C15316" s="3" t="str">
        <f>HYPERLINK("https://otsuka-europe-crm.veevavault.com/ui/#object/sent_email__v/VBLZ025E82HOL7U", "SE-000288234")</f>
        <v>SE-000288234</v>
      </c>
      <c r="D15316" s="1" t="s">
        <v>0</v>
      </c>
      <c r="E15316" s="2">
        <v>0</v>
      </c>
      <c r="F15316" s="2">
        <v>0</v>
      </c>
      <c r="G15316" s="2">
        <v>0</v>
      </c>
      <c r="H15316" s="1" t="s">
        <v>0</v>
      </c>
      <c r="I15316" s="2">
        <v>0</v>
      </c>
      <c r="J15316" s="1">
        <v>45950.391134259262</v>
      </c>
    </row>
    <row r="15317" spans="1:10" x14ac:dyDescent="0.2">
      <c r="A15317" s="4" t="s">
        <v>1</v>
      </c>
      <c r="B15317" s="3" t="str">
        <f>HYPERLINK("https://otsuka-europe-crm.veevavault.com/ui/#object/approved_document__v/V5OZ025E82USSZ5", "LUP - Invitación webinar NL y RCV - nefro")</f>
        <v>LUP - Invitación webinar NL y RCV - nefro</v>
      </c>
      <c r="C15317" s="3" t="str">
        <f>HYPERLINK("https://otsuka-europe-crm.veevavault.com/ui/#object/sent_email__v/VBLZ025E82HOL7V", "SE-000288235")</f>
        <v>SE-000288235</v>
      </c>
      <c r="D15317" s="1" t="s">
        <v>0</v>
      </c>
      <c r="E15317" s="2">
        <v>0</v>
      </c>
      <c r="F15317" s="2">
        <v>0</v>
      </c>
      <c r="G15317" s="2">
        <v>0</v>
      </c>
      <c r="H15317" s="1" t="s">
        <v>0</v>
      </c>
      <c r="I15317" s="2">
        <v>0</v>
      </c>
      <c r="J15317" s="1">
        <v>45950.391261574077</v>
      </c>
    </row>
    <row r="15318" spans="1:10" x14ac:dyDescent="0.2">
      <c r="A15318" s="4" t="s">
        <v>1</v>
      </c>
      <c r="B15318" s="3" t="str">
        <f>HYPERLINK("https://otsuka-europe-crm.veevavault.com/ui/#object/approved_document__v/V5OZ025E82USSZ5", "LUP - Invitación webinar NL y RCV - nefro")</f>
        <v>LUP - Invitación webinar NL y RCV - nefro</v>
      </c>
      <c r="C15318" s="3" t="str">
        <f>HYPERLINK("https://otsuka-europe-crm.veevavault.com/ui/#object/sent_email__v/VBLZ025E82HOL7W", "SE-000288236")</f>
        <v>SE-000288236</v>
      </c>
      <c r="D15318" s="1" t="s">
        <v>0</v>
      </c>
      <c r="E15318" s="2">
        <v>0</v>
      </c>
      <c r="F15318" s="2">
        <v>0</v>
      </c>
      <c r="G15318" s="2">
        <v>0</v>
      </c>
      <c r="H15318" s="1" t="s">
        <v>0</v>
      </c>
      <c r="I15318" s="2">
        <v>0</v>
      </c>
      <c r="J15318" s="1">
        <v>45950.391145833331</v>
      </c>
    </row>
    <row r="15319" spans="1:10" x14ac:dyDescent="0.2">
      <c r="A15319" s="4" t="s">
        <v>1</v>
      </c>
      <c r="B15319" s="3" t="str">
        <f>HYPERLINK("https://otsuka-europe-crm.veevavault.com/ui/#object/approved_document__v/V5OZ025E82USSZ5", "LUP - Invitación webinar NL y RCV - nefro")</f>
        <v>LUP - Invitación webinar NL y RCV - nefro</v>
      </c>
      <c r="C15319" s="3" t="str">
        <f>HYPERLINK("https://otsuka-europe-crm.veevavault.com/ui/#object/sent_email__v/VBLZ025E82HOL7X", "SE-000288237")</f>
        <v>SE-000288237</v>
      </c>
      <c r="D15319" s="1">
        <v>45952.850289351853</v>
      </c>
      <c r="E15319" s="2">
        <v>1</v>
      </c>
      <c r="F15319" s="2">
        <v>2</v>
      </c>
      <c r="G15319" s="2">
        <v>0</v>
      </c>
      <c r="H15319" s="1" t="s">
        <v>0</v>
      </c>
      <c r="I15319" s="2">
        <v>0</v>
      </c>
      <c r="J15319" s="1">
        <v>45950.391296296293</v>
      </c>
    </row>
    <row r="15320" spans="1:10" x14ac:dyDescent="0.2">
      <c r="A15320" s="4" t="s">
        <v>1</v>
      </c>
      <c r="B15320" s="3" t="str">
        <f>HYPERLINK("https://otsuka-europe-crm.veevavault.com/ui/#object/approved_document__v/V5OZ025E82USSZ5", "LUP - Invitación webinar NL y RCV - nefro")</f>
        <v>LUP - Invitación webinar NL y RCV - nefro</v>
      </c>
      <c r="C15320" s="3" t="str">
        <f>HYPERLINK("https://otsuka-europe-crm.veevavault.com/ui/#object/sent_email__v/VBLZ025E82HOL7Y", "SE-000288238")</f>
        <v>SE-000288238</v>
      </c>
      <c r="D15320" s="1">
        <v>45950.457256944443</v>
      </c>
      <c r="E15320" s="2">
        <v>1</v>
      </c>
      <c r="F15320" s="2">
        <v>2</v>
      </c>
      <c r="G15320" s="2">
        <v>0</v>
      </c>
      <c r="H15320" s="1" t="s">
        <v>0</v>
      </c>
      <c r="I15320" s="2">
        <v>0</v>
      </c>
      <c r="J15320" s="1">
        <v>45950.391192129631</v>
      </c>
    </row>
    <row r="15321" spans="1:10" x14ac:dyDescent="0.2">
      <c r="A15321" s="4" t="s">
        <v>1</v>
      </c>
      <c r="B15321" s="3" t="str">
        <f>HYPERLINK("https://otsuka-europe-crm.veevavault.com/ui/#object/approved_document__v/V5OZ025E82USSZ5", "LUP - Invitación webinar NL y RCV - nefro")</f>
        <v>LUP - Invitación webinar NL y RCV - nefro</v>
      </c>
      <c r="C15321" s="3" t="str">
        <f>HYPERLINK("https://otsuka-europe-crm.veevavault.com/ui/#object/sent_email__v/VBLZ025E82HOL7Z", "SE-000288239")</f>
        <v>SE-000288239</v>
      </c>
      <c r="D15321" s="1" t="s">
        <v>0</v>
      </c>
      <c r="E15321" s="2">
        <v>0</v>
      </c>
      <c r="F15321" s="2">
        <v>0</v>
      </c>
      <c r="G15321" s="2">
        <v>0</v>
      </c>
      <c r="H15321" s="1" t="s">
        <v>0</v>
      </c>
      <c r="I15321" s="2">
        <v>0</v>
      </c>
      <c r="J15321" s="1">
        <v>45950.391284722224</v>
      </c>
    </row>
    <row r="15322" spans="1:10" x14ac:dyDescent="0.2">
      <c r="A15322" s="4" t="s">
        <v>1</v>
      </c>
      <c r="B15322" s="3" t="str">
        <f>HYPERLINK("https://otsuka-europe-crm.veevavault.com/ui/#object/approved_document__v/V5OZ025E82USSZ5", "LUP - Invitación webinar NL y RCV - nefro")</f>
        <v>LUP - Invitación webinar NL y RCV - nefro</v>
      </c>
      <c r="C15322" s="3" t="str">
        <f>HYPERLINK("https://otsuka-europe-crm.veevavault.com/ui/#object/sent_email__v/VBLZ025E82HOL80", "SE-000288240")</f>
        <v>SE-000288240</v>
      </c>
      <c r="D15322" s="1">
        <v>45964.946469907409</v>
      </c>
      <c r="E15322" s="2">
        <v>1</v>
      </c>
      <c r="F15322" s="2">
        <v>4</v>
      </c>
      <c r="G15322" s="2">
        <v>0</v>
      </c>
      <c r="H15322" s="1" t="s">
        <v>0</v>
      </c>
      <c r="I15322" s="2">
        <v>0</v>
      </c>
      <c r="J15322" s="1">
        <v>45950.391192129631</v>
      </c>
    </row>
    <row r="15323" spans="1:10" x14ac:dyDescent="0.2">
      <c r="A15323" s="4" t="s">
        <v>1</v>
      </c>
      <c r="B15323" s="3" t="str">
        <f>HYPERLINK("https://otsuka-europe-crm.veevavault.com/ui/#object/approved_document__v/V5OZ025E82USSZ5", "LUP - Invitación webinar NL y RCV - nefro")</f>
        <v>LUP - Invitación webinar NL y RCV - nefro</v>
      </c>
      <c r="C15323" s="3" t="str">
        <f>HYPERLINK("https://otsuka-europe-crm.veevavault.com/ui/#object/sent_email__v/VBLZ025E82HOL81", "SE-000288241")</f>
        <v>SE-000288241</v>
      </c>
      <c r="D15323" s="1">
        <v>45959.867361111108</v>
      </c>
      <c r="E15323" s="2">
        <v>1</v>
      </c>
      <c r="F15323" s="2">
        <v>2</v>
      </c>
      <c r="G15323" s="2">
        <v>0</v>
      </c>
      <c r="H15323" s="1" t="s">
        <v>0</v>
      </c>
      <c r="I15323" s="2">
        <v>0</v>
      </c>
      <c r="J15323" s="1">
        <v>45950.391157407408</v>
      </c>
    </row>
    <row r="15324" spans="1:10" x14ac:dyDescent="0.2">
      <c r="A15324" s="4" t="s">
        <v>1</v>
      </c>
      <c r="B15324" s="3" t="str">
        <f>HYPERLINK("https://otsuka-europe-crm.veevavault.com/ui/#object/approved_document__v/V5OZ025E82USSZ5", "LUP - Invitación webinar NL y RCV - nefro")</f>
        <v>LUP - Invitación webinar NL y RCV - nefro</v>
      </c>
      <c r="C15324" s="3" t="str">
        <f>HYPERLINK("https://otsuka-europe-crm.veevavault.com/ui/#object/sent_email__v/VBLZ025E82HOL82", "SE-000288242")</f>
        <v>SE-000288242</v>
      </c>
      <c r="D15324" s="1" t="s">
        <v>0</v>
      </c>
      <c r="E15324" s="2">
        <v>0</v>
      </c>
      <c r="F15324" s="2">
        <v>0</v>
      </c>
      <c r="G15324" s="2">
        <v>0</v>
      </c>
      <c r="H15324" s="1" t="s">
        <v>0</v>
      </c>
      <c r="I15324" s="2">
        <v>0</v>
      </c>
      <c r="J15324" s="1">
        <v>45950.391261574077</v>
      </c>
    </row>
    <row r="15325" spans="1:10" x14ac:dyDescent="0.2">
      <c r="A15325" s="4" t="s">
        <v>1</v>
      </c>
      <c r="B15325" s="3" t="str">
        <f>HYPERLINK("https://otsuka-europe-crm.veevavault.com/ui/#object/approved_document__v/V5OZ025E82USSZ5", "LUP - Invitación webinar NL y RCV - nefro")</f>
        <v>LUP - Invitación webinar NL y RCV - nefro</v>
      </c>
      <c r="C15325" s="3" t="str">
        <f>HYPERLINK("https://otsuka-europe-crm.veevavault.com/ui/#object/sent_email__v/VBLZ025E82HOL83", "SE-000288243")</f>
        <v>SE-000288243</v>
      </c>
      <c r="D15325" s="1" t="s">
        <v>0</v>
      </c>
      <c r="E15325" s="2">
        <v>0</v>
      </c>
      <c r="F15325" s="2">
        <v>0</v>
      </c>
      <c r="G15325" s="2">
        <v>0</v>
      </c>
      <c r="H15325" s="1" t="s">
        <v>0</v>
      </c>
      <c r="I15325" s="2">
        <v>0</v>
      </c>
      <c r="J15325" s="1">
        <v>45950.391168981485</v>
      </c>
    </row>
    <row r="15326" spans="1:10" x14ac:dyDescent="0.2">
      <c r="A15326" s="4" t="s">
        <v>1</v>
      </c>
      <c r="B15326" s="3" t="str">
        <f>HYPERLINK("https://otsuka-europe-crm.veevavault.com/ui/#object/approved_document__v/V5OZ025E82USSZ5", "LUP - Invitación webinar NL y RCV - nefro")</f>
        <v>LUP - Invitación webinar NL y RCV - nefro</v>
      </c>
      <c r="C15326" s="3" t="str">
        <f>HYPERLINK("https://otsuka-europe-crm.veevavault.com/ui/#object/sent_email__v/VBLZ025E82HOL84", "SE-000288244")</f>
        <v>SE-000288244</v>
      </c>
      <c r="D15326" s="1">
        <v>45950.413553240738</v>
      </c>
      <c r="E15326" s="2">
        <v>1</v>
      </c>
      <c r="F15326" s="2">
        <v>1</v>
      </c>
      <c r="G15326" s="2">
        <v>0</v>
      </c>
      <c r="H15326" s="1" t="s">
        <v>0</v>
      </c>
      <c r="I15326" s="2">
        <v>0</v>
      </c>
      <c r="J15326" s="1">
        <v>45950.391273148147</v>
      </c>
    </row>
    <row r="15327" spans="1:10" x14ac:dyDescent="0.2">
      <c r="A15327" s="4" t="s">
        <v>1</v>
      </c>
      <c r="B15327" s="3" t="str">
        <f>HYPERLINK("https://otsuka-europe-crm.veevavault.com/ui/#object/approved_document__v/V5OZ025E82USSZ5", "LUP - Invitación webinar NL y RCV - nefro")</f>
        <v>LUP - Invitación webinar NL y RCV - nefro</v>
      </c>
      <c r="C15327" s="3" t="str">
        <f>HYPERLINK("https://otsuka-europe-crm.veevavault.com/ui/#object/sent_email__v/VBLZ025E82HOL85", "SE-000288245")</f>
        <v>SE-000288245</v>
      </c>
      <c r="D15327" s="1" t="s">
        <v>0</v>
      </c>
      <c r="E15327" s="2">
        <v>0</v>
      </c>
      <c r="F15327" s="2">
        <v>0</v>
      </c>
      <c r="G15327" s="2">
        <v>0</v>
      </c>
      <c r="H15327" s="1" t="s">
        <v>0</v>
      </c>
      <c r="I15327" s="2">
        <v>0</v>
      </c>
      <c r="J15327" s="1">
        <v>45950.391180555554</v>
      </c>
    </row>
    <row r="15328" spans="1:10" x14ac:dyDescent="0.2">
      <c r="A15328" s="4" t="s">
        <v>1</v>
      </c>
      <c r="B15328" s="3" t="str">
        <f>HYPERLINK("https://otsuka-europe-crm.veevavault.com/ui/#object/approved_document__v/V5OZ025E82USSZ5", "LUP - Invitación webinar NL y RCV - nefro")</f>
        <v>LUP - Invitación webinar NL y RCV - nefro</v>
      </c>
      <c r="C15328" s="3" t="str">
        <f>HYPERLINK("https://otsuka-europe-crm.veevavault.com/ui/#object/sent_email__v/VBLZ025E82HOKLA", "SE-000288246")</f>
        <v>SE-000288246</v>
      </c>
      <c r="D15328" s="1" t="s">
        <v>0</v>
      </c>
      <c r="E15328" s="2">
        <v>0</v>
      </c>
      <c r="F15328" s="2">
        <v>0</v>
      </c>
      <c r="G15328" s="2">
        <v>0</v>
      </c>
      <c r="H15328" s="1" t="s">
        <v>0</v>
      </c>
      <c r="I15328" s="2">
        <v>0</v>
      </c>
      <c r="J15328" s="1">
        <v>45950.392094907409</v>
      </c>
    </row>
    <row r="15329" spans="1:10" x14ac:dyDescent="0.2">
      <c r="A15329" s="4" t="s">
        <v>1</v>
      </c>
      <c r="B15329" s="3" t="str">
        <f>HYPERLINK("https://otsuka-europe-crm.veevavault.com/ui/#object/approved_document__v/V5OZ025E82USSZ5", "LUP - Invitación webinar NL y RCV - nefro")</f>
        <v>LUP - Invitación webinar NL y RCV - nefro</v>
      </c>
      <c r="C15329" s="3" t="str">
        <f>HYPERLINK("https://otsuka-europe-crm.veevavault.com/ui/#object/sent_email__v/VBLZ025E82HOKLB", "SE-000288247")</f>
        <v>SE-000288247</v>
      </c>
      <c r="D15329" s="1">
        <v>45950.450740740744</v>
      </c>
      <c r="E15329" s="2">
        <v>1</v>
      </c>
      <c r="F15329" s="2">
        <v>1</v>
      </c>
      <c r="G15329" s="2">
        <v>0</v>
      </c>
      <c r="H15329" s="1" t="s">
        <v>0</v>
      </c>
      <c r="I15329" s="2">
        <v>0</v>
      </c>
      <c r="J15329" s="1">
        <v>45950.391979166663</v>
      </c>
    </row>
    <row r="15330" spans="1:10" x14ac:dyDescent="0.2">
      <c r="A15330" s="4" t="s">
        <v>1</v>
      </c>
      <c r="B15330" s="3" t="str">
        <f>HYPERLINK("https://otsuka-europe-crm.veevavault.com/ui/#object/approved_document__v/V5OZ025E82USSZ5", "LUP - Invitación webinar NL y RCV - nefro")</f>
        <v>LUP - Invitación webinar NL y RCV - nefro</v>
      </c>
      <c r="C15330" s="3" t="str">
        <f>HYPERLINK("https://otsuka-europe-crm.veevavault.com/ui/#object/sent_email__v/VBLZ025E82HOKLC", "SE-000288248")</f>
        <v>SE-000288248</v>
      </c>
      <c r="D15330" s="1" t="s">
        <v>0</v>
      </c>
      <c r="E15330" s="2">
        <v>0</v>
      </c>
      <c r="F15330" s="2">
        <v>0</v>
      </c>
      <c r="G15330" s="2">
        <v>0</v>
      </c>
      <c r="H15330" s="1" t="s">
        <v>0</v>
      </c>
      <c r="I15330" s="2">
        <v>0</v>
      </c>
      <c r="J15330" s="1">
        <v>45950.392106481479</v>
      </c>
    </row>
    <row r="15331" spans="1:10" x14ac:dyDescent="0.2">
      <c r="A15331" s="4" t="s">
        <v>1</v>
      </c>
      <c r="B15331" s="3" t="str">
        <f>HYPERLINK("https://otsuka-europe-crm.veevavault.com/ui/#object/approved_document__v/V5OZ025E82USSZ5", "LUP - Invitación webinar NL y RCV - nefro")</f>
        <v>LUP - Invitación webinar NL y RCV - nefro</v>
      </c>
      <c r="C15331" s="3" t="str">
        <f>HYPERLINK("https://otsuka-europe-crm.veevavault.com/ui/#object/sent_email__v/VBLZ025E82HOKLD", "SE-000288249")</f>
        <v>SE-000288249</v>
      </c>
      <c r="D15331" s="1">
        <v>45950.950624999998</v>
      </c>
      <c r="E15331" s="2">
        <v>1</v>
      </c>
      <c r="F15331" s="2">
        <v>1</v>
      </c>
      <c r="G15331" s="2">
        <v>0</v>
      </c>
      <c r="H15331" s="1" t="s">
        <v>0</v>
      </c>
      <c r="I15331" s="2">
        <v>0</v>
      </c>
      <c r="J15331" s="1">
        <v>45950.39199074074</v>
      </c>
    </row>
    <row r="15332" spans="1:10" x14ac:dyDescent="0.2">
      <c r="A15332" s="4" t="s">
        <v>1</v>
      </c>
      <c r="B15332" s="3" t="str">
        <f>HYPERLINK("https://otsuka-europe-crm.veevavault.com/ui/#object/approved_document__v/V5OZ025E82USSZ5", "LUP - Invitación webinar NL y RCV - nefro")</f>
        <v>LUP - Invitación webinar NL y RCV - nefro</v>
      </c>
      <c r="C15332" s="3" t="str">
        <f>HYPERLINK("https://otsuka-europe-crm.veevavault.com/ui/#object/sent_email__v/VBLZ025E82HOKLE", "SE-000288250")</f>
        <v>SE-000288250</v>
      </c>
      <c r="D15332" s="1">
        <v>45950.98228009259</v>
      </c>
      <c r="E15332" s="2">
        <v>1</v>
      </c>
      <c r="F15332" s="2">
        <v>1</v>
      </c>
      <c r="G15332" s="2">
        <v>0</v>
      </c>
      <c r="H15332" s="1" t="s">
        <v>0</v>
      </c>
      <c r="I15332" s="2">
        <v>0</v>
      </c>
      <c r="J15332" s="1">
        <v>45950.392071759263</v>
      </c>
    </row>
    <row r="15333" spans="1:10" x14ac:dyDescent="0.2">
      <c r="A15333" s="4" t="s">
        <v>1</v>
      </c>
      <c r="B15333" s="3" t="str">
        <f>HYPERLINK("https://otsuka-europe-crm.veevavault.com/ui/#object/approved_document__v/V5OZ025E82USSZ5", "LUP - Invitación webinar NL y RCV - nefro")</f>
        <v>LUP - Invitación webinar NL y RCV - nefro</v>
      </c>
      <c r="C15333" s="3" t="str">
        <f>HYPERLINK("https://otsuka-europe-crm.veevavault.com/ui/#object/sent_email__v/VBLZ025E82HOKLF", "SE-000288251")</f>
        <v>SE-000288251</v>
      </c>
      <c r="D15333" s="1">
        <v>45950.412175925929</v>
      </c>
      <c r="E15333" s="2">
        <v>1</v>
      </c>
      <c r="F15333" s="2">
        <v>3</v>
      </c>
      <c r="G15333" s="2">
        <v>0</v>
      </c>
      <c r="H15333" s="1" t="s">
        <v>0</v>
      </c>
      <c r="I15333" s="2">
        <v>0</v>
      </c>
      <c r="J15333" s="1">
        <v>45950.391956018517</v>
      </c>
    </row>
    <row r="15334" spans="1:10" x14ac:dyDescent="0.2">
      <c r="A15334" s="4" t="s">
        <v>1</v>
      </c>
      <c r="B15334" s="3" t="str">
        <f>HYPERLINK("https://otsuka-europe-crm.veevavault.com/ui/#object/approved_document__v/V5OZ025E82USSZ5", "LUP - Invitación webinar NL y RCV - nefro")</f>
        <v>LUP - Invitación webinar NL y RCV - nefro</v>
      </c>
      <c r="C15334" s="3" t="str">
        <f>HYPERLINK("https://otsuka-europe-crm.veevavault.com/ui/#object/sent_email__v/VBLZ025E82HOKLG", "SE-000288252")</f>
        <v>SE-000288252</v>
      </c>
      <c r="D15334" s="1">
        <v>45950.428043981483</v>
      </c>
      <c r="E15334" s="2">
        <v>1</v>
      </c>
      <c r="F15334" s="2">
        <v>1</v>
      </c>
      <c r="G15334" s="2">
        <v>0</v>
      </c>
      <c r="H15334" s="1" t="s">
        <v>0</v>
      </c>
      <c r="I15334" s="2">
        <v>0</v>
      </c>
      <c r="J15334" s="1">
        <v>45950.392071759263</v>
      </c>
    </row>
    <row r="15335" spans="1:10" x14ac:dyDescent="0.2">
      <c r="A15335" s="4" t="s">
        <v>1</v>
      </c>
      <c r="B15335" s="3" t="str">
        <f>HYPERLINK("https://otsuka-europe-crm.veevavault.com/ui/#object/approved_document__v/V5OZ025E82USSZ5", "LUP - Invitación webinar NL y RCV - nefro")</f>
        <v>LUP - Invitación webinar NL y RCV - nefro</v>
      </c>
      <c r="C15335" s="3" t="str">
        <f>HYPERLINK("https://otsuka-europe-crm.veevavault.com/ui/#object/sent_email__v/VBLZ025E82HOKLH", "SE-000288253")</f>
        <v>SE-000288253</v>
      </c>
      <c r="D15335" s="1">
        <v>45950.649386574078</v>
      </c>
      <c r="E15335" s="2">
        <v>1</v>
      </c>
      <c r="F15335" s="2">
        <v>1</v>
      </c>
      <c r="G15335" s="2">
        <v>0</v>
      </c>
      <c r="H15335" s="1" t="s">
        <v>0</v>
      </c>
      <c r="I15335" s="2">
        <v>0</v>
      </c>
      <c r="J15335" s="1">
        <v>45950.391956018517</v>
      </c>
    </row>
    <row r="15336" spans="1:10" x14ac:dyDescent="0.2">
      <c r="A15336" s="4" t="s">
        <v>1</v>
      </c>
      <c r="B15336" s="3" t="str">
        <f>HYPERLINK("https://otsuka-europe-crm.veevavault.com/ui/#object/approved_document__v/V5OZ025E82USSZ5", "LUP - Invitación webinar NL y RCV - nefro")</f>
        <v>LUP - Invitación webinar NL y RCV - nefro</v>
      </c>
      <c r="C15336" s="3" t="str">
        <f>HYPERLINK("https://otsuka-europe-crm.veevavault.com/ui/#object/sent_email__v/VBLZ025E82HOKLI", "SE-000288254")</f>
        <v>SE-000288254</v>
      </c>
      <c r="D15336" s="1" t="s">
        <v>0</v>
      </c>
      <c r="E15336" s="2">
        <v>0</v>
      </c>
      <c r="F15336" s="2">
        <v>0</v>
      </c>
      <c r="G15336" s="2">
        <v>0</v>
      </c>
      <c r="H15336" s="1" t="s">
        <v>0</v>
      </c>
      <c r="I15336" s="2">
        <v>0</v>
      </c>
      <c r="J15336" s="1">
        <v>45950.392083333332</v>
      </c>
    </row>
    <row r="15337" spans="1:10" x14ac:dyDescent="0.2">
      <c r="A15337" s="4" t="s">
        <v>1</v>
      </c>
      <c r="B15337" s="3" t="str">
        <f>HYPERLINK("https://otsuka-europe-crm.veevavault.com/ui/#object/approved_document__v/V5OZ025E82USSZ5", "LUP - Invitación webinar NL y RCV - nefro")</f>
        <v>LUP - Invitación webinar NL y RCV - nefro</v>
      </c>
      <c r="C15337" s="3" t="str">
        <f>HYPERLINK("https://otsuka-europe-crm.veevavault.com/ui/#object/sent_email__v/VBLZ025E82HOKLJ", "SE-000288255")</f>
        <v>SE-000288255</v>
      </c>
      <c r="D15337" s="1" t="s">
        <v>0</v>
      </c>
      <c r="E15337" s="2">
        <v>0</v>
      </c>
      <c r="F15337" s="2">
        <v>0</v>
      </c>
      <c r="G15337" s="2">
        <v>0</v>
      </c>
      <c r="H15337" s="1" t="s">
        <v>0</v>
      </c>
      <c r="I15337" s="2">
        <v>0</v>
      </c>
      <c r="J15337" s="1">
        <v>45950.391967592594</v>
      </c>
    </row>
    <row r="15338" spans="1:10" x14ac:dyDescent="0.2">
      <c r="A15338" s="4" t="s">
        <v>1</v>
      </c>
      <c r="B15338" s="3" t="str">
        <f>HYPERLINK("https://otsuka-europe-crm.veevavault.com/ui/#object/approved_document__v/V5OZ025E82USSZ5", "LUP - Invitación webinar NL y RCV - nefro")</f>
        <v>LUP - Invitación webinar NL y RCV - nefro</v>
      </c>
      <c r="C15338" s="3" t="str">
        <f>HYPERLINK("https://otsuka-europe-crm.veevavault.com/ui/#object/sent_email__v/VBLZ025E82HOKLK", "SE-000288256")</f>
        <v>SE-000288256</v>
      </c>
      <c r="D15338" s="1">
        <v>45961.522222222222</v>
      </c>
      <c r="E15338" s="2">
        <v>1</v>
      </c>
      <c r="F15338" s="2">
        <v>2</v>
      </c>
      <c r="G15338" s="2">
        <v>1</v>
      </c>
      <c r="H15338" s="1">
        <v>45950.408900462964</v>
      </c>
      <c r="I15338" s="2">
        <v>1</v>
      </c>
      <c r="J15338" s="1">
        <v>45950.392094907409</v>
      </c>
    </row>
    <row r="15339" spans="1:10" x14ac:dyDescent="0.2">
      <c r="A15339" s="4" t="s">
        <v>1</v>
      </c>
      <c r="B15339" s="3" t="str">
        <f>HYPERLINK("https://otsuka-europe-crm.veevavault.com/ui/#object/approved_document__v/V5OZ025E82USSZ5", "LUP - Invitación webinar NL y RCV - nefro")</f>
        <v>LUP - Invitación webinar NL y RCV - nefro</v>
      </c>
      <c r="C15339" s="3" t="str">
        <f>HYPERLINK("https://otsuka-europe-crm.veevavault.com/ui/#object/sent_email__v/VBLZ025E82HOKLL", "SE-000288257")</f>
        <v>SE-000288257</v>
      </c>
      <c r="D15339" s="1">
        <v>45950.452094907407</v>
      </c>
      <c r="E15339" s="2">
        <v>1</v>
      </c>
      <c r="F15339" s="2">
        <v>1</v>
      </c>
      <c r="G15339" s="2">
        <v>0</v>
      </c>
      <c r="H15339" s="1" t="s">
        <v>0</v>
      </c>
      <c r="I15339" s="2">
        <v>0</v>
      </c>
      <c r="J15339" s="1">
        <v>45950.391967592594</v>
      </c>
    </row>
    <row r="15340" spans="1:10" x14ac:dyDescent="0.2">
      <c r="A15340" s="4" t="s">
        <v>1</v>
      </c>
      <c r="B15340" s="3" t="str">
        <f>HYPERLINK("https://otsuka-europe-crm.veevavault.com/ui/#object/approved_document__v/V5OZ025E82USSZ5", "LUP - Invitación webinar NL y RCV - nefro")</f>
        <v>LUP - Invitación webinar NL y RCV - nefro</v>
      </c>
      <c r="C15340" s="3" t="str">
        <f>HYPERLINK("https://otsuka-europe-crm.veevavault.com/ui/#object/sent_email__v/VBLZ025E82HOKLM", "SE-000288258")</f>
        <v>SE-000288258</v>
      </c>
      <c r="D15340" s="1" t="s">
        <v>0</v>
      </c>
      <c r="E15340" s="2">
        <v>0</v>
      </c>
      <c r="F15340" s="2">
        <v>0</v>
      </c>
      <c r="G15340" s="2">
        <v>0</v>
      </c>
      <c r="H15340" s="1" t="s">
        <v>0</v>
      </c>
      <c r="I15340" s="2">
        <v>0</v>
      </c>
      <c r="J15340" s="1">
        <v>45950.392164351855</v>
      </c>
    </row>
    <row r="15341" spans="1:10" x14ac:dyDescent="0.2">
      <c r="A15341" s="4" t="s">
        <v>1</v>
      </c>
      <c r="B15341" s="3" t="str">
        <f>HYPERLINK("https://otsuka-europe-crm.veevavault.com/ui/#object/approved_document__v/V5OZ025E82USSZ5", "LUP - Invitación webinar NL y RCV - nefro")</f>
        <v>LUP - Invitación webinar NL y RCV - nefro</v>
      </c>
      <c r="C15341" s="3" t="str">
        <f>HYPERLINK("https://otsuka-europe-crm.veevavault.com/ui/#object/sent_email__v/VBLZ025E82HOKLN", "SE-000288259")</f>
        <v>SE-000288259</v>
      </c>
      <c r="D15341" s="1">
        <v>45951.944432870368</v>
      </c>
      <c r="E15341" s="2">
        <v>1</v>
      </c>
      <c r="F15341" s="2">
        <v>2</v>
      </c>
      <c r="G15341" s="2">
        <v>0</v>
      </c>
      <c r="H15341" s="1" t="s">
        <v>0</v>
      </c>
      <c r="I15341" s="2">
        <v>0</v>
      </c>
      <c r="J15341" s="1">
        <v>45950.392060185186</v>
      </c>
    </row>
    <row r="15342" spans="1:10" x14ac:dyDescent="0.2">
      <c r="A15342" s="4" t="s">
        <v>1</v>
      </c>
      <c r="B15342" s="3" t="str">
        <f>HYPERLINK("https://otsuka-europe-crm.veevavault.com/ui/#object/approved_document__v/V5OZ025E82USSZ5", "LUP - Invitación webinar NL y RCV - nefro")</f>
        <v>LUP - Invitación webinar NL y RCV - nefro</v>
      </c>
      <c r="C15342" s="3" t="str">
        <f>HYPERLINK("https://otsuka-europe-crm.veevavault.com/ui/#object/sent_email__v/VBLZ025E82HOKLO", "SE-000288260")</f>
        <v>SE-000288260</v>
      </c>
      <c r="D15342" s="1" t="s">
        <v>0</v>
      </c>
      <c r="E15342" s="2">
        <v>0</v>
      </c>
      <c r="F15342" s="2">
        <v>0</v>
      </c>
      <c r="G15342" s="2">
        <v>0</v>
      </c>
      <c r="H15342" s="1" t="s">
        <v>0</v>
      </c>
      <c r="I15342" s="2">
        <v>0</v>
      </c>
      <c r="J15342" s="1">
        <v>45950.392152777778</v>
      </c>
    </row>
    <row r="15343" spans="1:10" x14ac:dyDescent="0.2">
      <c r="A15343" s="4" t="s">
        <v>1</v>
      </c>
      <c r="B15343" s="3" t="str">
        <f>HYPERLINK("https://otsuka-europe-crm.veevavault.com/ui/#object/approved_document__v/V5OZ025E82USSZ5", "LUP - Invitación webinar NL y RCV - nefro")</f>
        <v>LUP - Invitación webinar NL y RCV - nefro</v>
      </c>
      <c r="C15343" s="3" t="str">
        <f>HYPERLINK("https://otsuka-europe-crm.veevavault.com/ui/#object/sent_email__v/VBLZ025E82HOKLP", "SE-000288261")</f>
        <v>SE-000288261</v>
      </c>
      <c r="D15343" s="1">
        <v>45950.673275462963</v>
      </c>
      <c r="E15343" s="2">
        <v>1</v>
      </c>
      <c r="F15343" s="2">
        <v>1</v>
      </c>
      <c r="G15343" s="2">
        <v>0</v>
      </c>
      <c r="H15343" s="1" t="s">
        <v>0</v>
      </c>
      <c r="I15343" s="2">
        <v>0</v>
      </c>
      <c r="J15343" s="1">
        <v>45950.392060185186</v>
      </c>
    </row>
    <row r="15344" spans="1:10" x14ac:dyDescent="0.2">
      <c r="A15344" s="4" t="s">
        <v>1</v>
      </c>
      <c r="B15344" s="3" t="str">
        <f>HYPERLINK("https://otsuka-europe-crm.veevavault.com/ui/#object/approved_document__v/V5OZ025E82USSZ5", "LUP - Invitación webinar NL y RCV - nefro")</f>
        <v>LUP - Invitación webinar NL y RCV - nefro</v>
      </c>
      <c r="C15344" s="3" t="str">
        <f>HYPERLINK("https://otsuka-europe-crm.veevavault.com/ui/#object/sent_email__v/VBLZ025E82HOKLQ", "SE-000288262")</f>
        <v>SE-000288262</v>
      </c>
      <c r="D15344" s="1" t="s">
        <v>0</v>
      </c>
      <c r="E15344" s="2">
        <v>0</v>
      </c>
      <c r="F15344" s="2">
        <v>0</v>
      </c>
      <c r="G15344" s="2">
        <v>0</v>
      </c>
      <c r="H15344" s="1" t="s">
        <v>0</v>
      </c>
      <c r="I15344" s="2">
        <v>0</v>
      </c>
      <c r="J15344" s="1">
        <v>45950.392152777778</v>
      </c>
    </row>
    <row r="15345" spans="1:10" x14ac:dyDescent="0.2">
      <c r="A15345" s="4" t="s">
        <v>1</v>
      </c>
      <c r="B15345" s="3" t="str">
        <f>HYPERLINK("https://otsuka-europe-crm.veevavault.com/ui/#object/approved_document__v/V5OZ025E82USSZ5", "LUP - Invitación webinar NL y RCV - nefro")</f>
        <v>LUP - Invitación webinar NL y RCV - nefro</v>
      </c>
      <c r="C15345" s="3" t="str">
        <f>HYPERLINK("https://otsuka-europe-crm.veevavault.com/ui/#object/sent_email__v/VBLZ025E82HOKLR", "SE-000288263")</f>
        <v>SE-000288263</v>
      </c>
      <c r="D15345" s="1">
        <v>45951.02511574074</v>
      </c>
      <c r="E15345" s="2">
        <v>1</v>
      </c>
      <c r="F15345" s="2">
        <v>1</v>
      </c>
      <c r="G15345" s="2">
        <v>0</v>
      </c>
      <c r="H15345" s="1" t="s">
        <v>0</v>
      </c>
      <c r="I15345" s="2">
        <v>0</v>
      </c>
      <c r="J15345" s="1">
        <v>45950.392025462963</v>
      </c>
    </row>
    <row r="15346" spans="1:10" x14ac:dyDescent="0.2">
      <c r="A15346" s="4" t="s">
        <v>1</v>
      </c>
      <c r="B15346" s="3" t="str">
        <f>HYPERLINK("https://otsuka-europe-crm.veevavault.com/ui/#object/approved_document__v/V5OZ025E82USSZ5", "LUP - Invitación webinar NL y RCV - nefro")</f>
        <v>LUP - Invitación webinar NL y RCV - nefro</v>
      </c>
      <c r="C15346" s="3" t="str">
        <f>HYPERLINK("https://otsuka-europe-crm.veevavault.com/ui/#object/sent_email__v/VBLZ025E82HOKLS", "SE-000288264")</f>
        <v>SE-000288264</v>
      </c>
      <c r="D15346" s="1" t="s">
        <v>0</v>
      </c>
      <c r="E15346" s="2">
        <v>0</v>
      </c>
      <c r="F15346" s="2">
        <v>0</v>
      </c>
      <c r="G15346" s="2">
        <v>0</v>
      </c>
      <c r="H15346" s="1" t="s">
        <v>0</v>
      </c>
      <c r="I15346" s="2">
        <v>0</v>
      </c>
      <c r="J15346" s="1">
        <v>45950.392002314817</v>
      </c>
    </row>
    <row r="15347" spans="1:10" x14ac:dyDescent="0.2">
      <c r="A15347" s="4" t="s">
        <v>1</v>
      </c>
      <c r="B15347" s="3" t="str">
        <f>HYPERLINK("https://otsuka-europe-crm.veevavault.com/ui/#object/approved_document__v/V5OZ025E82USSZ5", "LUP - Invitación webinar NL y RCV - nefro")</f>
        <v>LUP - Invitación webinar NL y RCV - nefro</v>
      </c>
      <c r="C15347" s="3" t="str">
        <f>HYPERLINK("https://otsuka-europe-crm.veevavault.com/ui/#object/sent_email__v/VBLZ025E82HOKLT", "SE-000288265")</f>
        <v>SE-000288265</v>
      </c>
      <c r="D15347" s="1">
        <v>45986.293912037036</v>
      </c>
      <c r="E15347" s="2">
        <v>1</v>
      </c>
      <c r="F15347" s="2">
        <v>3</v>
      </c>
      <c r="G15347" s="2">
        <v>0</v>
      </c>
      <c r="H15347" s="1" t="s">
        <v>0</v>
      </c>
      <c r="I15347" s="2">
        <v>0</v>
      </c>
      <c r="J15347" s="1">
        <v>45950.392129629632</v>
      </c>
    </row>
    <row r="15348" spans="1:10" x14ac:dyDescent="0.2">
      <c r="A15348" s="4" t="s">
        <v>1</v>
      </c>
      <c r="B15348" s="3" t="str">
        <f>HYPERLINK("https://otsuka-europe-crm.veevavault.com/ui/#object/approved_document__v/V5OZ025E82USSZ5", "LUP - Invitación webinar NL y RCV - nefro")</f>
        <v>LUP - Invitación webinar NL y RCV - nefro</v>
      </c>
      <c r="C15348" s="3" t="str">
        <f>HYPERLINK("https://otsuka-europe-crm.veevavault.com/ui/#object/sent_email__v/VBLZ025E82HOKLU", "SE-000288266")</f>
        <v>SE-000288266</v>
      </c>
      <c r="D15348" s="1">
        <v>45950.817418981482</v>
      </c>
      <c r="E15348" s="2">
        <v>1</v>
      </c>
      <c r="F15348" s="2">
        <v>1</v>
      </c>
      <c r="G15348" s="2">
        <v>0</v>
      </c>
      <c r="H15348" s="1" t="s">
        <v>0</v>
      </c>
      <c r="I15348" s="2">
        <v>0</v>
      </c>
      <c r="J15348" s="1">
        <v>45950.392025462963</v>
      </c>
    </row>
    <row r="15349" spans="1:10" x14ac:dyDescent="0.2">
      <c r="A15349" s="4" t="s">
        <v>1</v>
      </c>
      <c r="B15349" s="3" t="str">
        <f>HYPERLINK("https://otsuka-europe-crm.veevavault.com/ui/#object/approved_document__v/V5OZ025E82USSZ5", "LUP - Invitación webinar NL y RCV - nefro")</f>
        <v>LUP - Invitación webinar NL y RCV - nefro</v>
      </c>
      <c r="C15349" s="3" t="str">
        <f>HYPERLINK("https://otsuka-europe-crm.veevavault.com/ui/#object/sent_email__v/VBLZ025E82HOKLV", "SE-000288267")</f>
        <v>SE-000288267</v>
      </c>
      <c r="D15349" s="1">
        <v>45950.411631944444</v>
      </c>
      <c r="E15349" s="2">
        <v>1</v>
      </c>
      <c r="F15349" s="2">
        <v>1</v>
      </c>
      <c r="G15349" s="2">
        <v>0</v>
      </c>
      <c r="H15349" s="1" t="s">
        <v>0</v>
      </c>
      <c r="I15349" s="2">
        <v>0</v>
      </c>
      <c r="J15349" s="1">
        <v>45950.392129629632</v>
      </c>
    </row>
    <row r="15350" spans="1:10" x14ac:dyDescent="0.2">
      <c r="A15350" s="4" t="s">
        <v>1</v>
      </c>
      <c r="B15350" s="3" t="str">
        <f>HYPERLINK("https://otsuka-europe-crm.veevavault.com/ui/#object/approved_document__v/V5OZ025E82USSZ5", "LUP - Invitación webinar NL y RCV - nefro")</f>
        <v>LUP - Invitación webinar NL y RCV - nefro</v>
      </c>
      <c r="C15350" s="3" t="str">
        <f>HYPERLINK("https://otsuka-europe-crm.veevavault.com/ui/#object/sent_email__v/VBLZ025E82HOKLW", "SE-000288268")</f>
        <v>SE-000288268</v>
      </c>
      <c r="D15350" s="1">
        <v>45950.74523148148</v>
      </c>
      <c r="E15350" s="2">
        <v>1</v>
      </c>
      <c r="F15350" s="2">
        <v>2</v>
      </c>
      <c r="G15350" s="2">
        <v>0</v>
      </c>
      <c r="H15350" s="1" t="s">
        <v>0</v>
      </c>
      <c r="I15350" s="2">
        <v>0</v>
      </c>
      <c r="J15350" s="1">
        <v>45950.39203703704</v>
      </c>
    </row>
    <row r="15351" spans="1:10" x14ac:dyDescent="0.2">
      <c r="A15351" s="4" t="s">
        <v>1</v>
      </c>
      <c r="B15351" s="3" t="str">
        <f>HYPERLINK("https://otsuka-europe-crm.veevavault.com/ui/#object/approved_document__v/V5OZ025E82USSZ5", "LUP - Invitación webinar NL y RCV - nefro")</f>
        <v>LUP - Invitación webinar NL y RCV - nefro</v>
      </c>
      <c r="C15351" s="3" t="str">
        <f>HYPERLINK("https://otsuka-europe-crm.veevavault.com/ui/#object/sent_email__v/VBLZ025E82HOKLX", "SE-000288269")</f>
        <v>SE-000288269</v>
      </c>
      <c r="D15351" s="1">
        <v>45951.850416666668</v>
      </c>
      <c r="E15351" s="2">
        <v>1</v>
      </c>
      <c r="F15351" s="2">
        <v>2</v>
      </c>
      <c r="G15351" s="2">
        <v>0</v>
      </c>
      <c r="H15351" s="1" t="s">
        <v>0</v>
      </c>
      <c r="I15351" s="2">
        <v>0</v>
      </c>
      <c r="J15351" s="1">
        <v>45950.392141203702</v>
      </c>
    </row>
    <row r="15352" spans="1:10" x14ac:dyDescent="0.2">
      <c r="A15352" s="4" t="s">
        <v>1</v>
      </c>
      <c r="B15352" s="3" t="str">
        <f>HYPERLINK("https://otsuka-europe-crm.veevavault.com/ui/#object/approved_document__v/V5OZ025E82USSZ5", "LUP - Invitación webinar NL y RCV - nefro")</f>
        <v>LUP - Invitación webinar NL y RCV - nefro</v>
      </c>
      <c r="C15352" s="3" t="str">
        <f>HYPERLINK("https://otsuka-europe-crm.veevavault.com/ui/#object/sent_email__v/VBLZ025E82HOKLY", "SE-000288270")</f>
        <v>SE-000288270</v>
      </c>
      <c r="D15352" s="1" t="s">
        <v>0</v>
      </c>
      <c r="E15352" s="2">
        <v>0</v>
      </c>
      <c r="F15352" s="2">
        <v>0</v>
      </c>
      <c r="G15352" s="2">
        <v>0</v>
      </c>
      <c r="H15352" s="1" t="s">
        <v>0</v>
      </c>
      <c r="I15352" s="2">
        <v>0</v>
      </c>
      <c r="J15352" s="1">
        <v>45950.392118055555</v>
      </c>
    </row>
    <row r="15353" spans="1:10" x14ac:dyDescent="0.2">
      <c r="A15353" s="4" t="s">
        <v>1</v>
      </c>
      <c r="B15353" s="3" t="str">
        <f>HYPERLINK("https://otsuka-europe-crm.veevavault.com/ui/#object/approved_document__v/V5OZ025E82USSZ5", "LUP - Invitación webinar NL y RCV - nefro")</f>
        <v>LUP - Invitación webinar NL y RCV - nefro</v>
      </c>
      <c r="C15353" s="3" t="str">
        <f>HYPERLINK("https://otsuka-europe-crm.veevavault.com/ui/#object/sent_email__v/VBLZ025E82HOKLZ", "SE-000288271")</f>
        <v>SE-000288271</v>
      </c>
      <c r="D15353" s="1">
        <v>45950.392141203702</v>
      </c>
      <c r="E15353" s="2">
        <v>1</v>
      </c>
      <c r="F15353" s="2">
        <v>3</v>
      </c>
      <c r="G15353" s="2">
        <v>1</v>
      </c>
      <c r="H15353" s="1">
        <v>45950.392129629632</v>
      </c>
      <c r="I15353" s="2">
        <v>4</v>
      </c>
      <c r="J15353" s="1">
        <v>45950.392013888886</v>
      </c>
    </row>
    <row r="15354" spans="1:10" x14ac:dyDescent="0.2">
      <c r="A15354" s="4" t="s">
        <v>1</v>
      </c>
      <c r="B15354" s="3" t="str">
        <f>HYPERLINK("https://otsuka-europe-crm.veevavault.com/ui/#object/approved_document__v/V5OZ025E82USSZ5", "LUP - Invitación webinar NL y RCV - nefro")</f>
        <v>LUP - Invitación webinar NL y RCV - nefro</v>
      </c>
      <c r="C15354" s="3" t="str">
        <f>HYPERLINK("https://otsuka-europe-crm.veevavault.com/ui/#object/sent_email__v/VBLZ025E82HOMR1", "SE-000288324")</f>
        <v>SE-000288324</v>
      </c>
      <c r="D15354" s="1" t="s">
        <v>0</v>
      </c>
      <c r="E15354" s="2">
        <v>0</v>
      </c>
      <c r="F15354" s="2">
        <v>0</v>
      </c>
      <c r="G15354" s="2">
        <v>0</v>
      </c>
      <c r="H15354" s="1" t="s">
        <v>0</v>
      </c>
      <c r="I15354" s="2">
        <v>0</v>
      </c>
      <c r="J15354" s="1">
        <v>45950.401030092595</v>
      </c>
    </row>
    <row r="15355" spans="1:10" x14ac:dyDescent="0.2">
      <c r="A15355" s="4" t="s">
        <v>1</v>
      </c>
      <c r="B15355" s="3" t="str">
        <f>HYPERLINK("https://otsuka-europe-crm.veevavault.com/ui/#object/approved_document__v/V5OZ025E82USSZ5", "LUP - Invitación webinar NL y RCV - nefro")</f>
        <v>LUP - Invitación webinar NL y RCV - nefro</v>
      </c>
      <c r="C15355" s="3" t="str">
        <f>HYPERLINK("https://otsuka-europe-crm.veevavault.com/ui/#object/sent_email__v/VBLZ025E82HOMR2", "SE-000288325")</f>
        <v>SE-000288325</v>
      </c>
      <c r="D15355" s="1">
        <v>45950.450833333336</v>
      </c>
      <c r="E15355" s="2">
        <v>1</v>
      </c>
      <c r="F15355" s="2">
        <v>1</v>
      </c>
      <c r="G15355" s="2">
        <v>0</v>
      </c>
      <c r="H15355" s="1" t="s">
        <v>0</v>
      </c>
      <c r="I15355" s="2">
        <v>0</v>
      </c>
      <c r="J15355" s="1">
        <v>45950.40111111111</v>
      </c>
    </row>
    <row r="15356" spans="1:10" x14ac:dyDescent="0.2">
      <c r="A15356" s="4" t="s">
        <v>1</v>
      </c>
      <c r="B15356" s="3" t="str">
        <f>HYPERLINK("https://otsuka-europe-crm.veevavault.com/ui/#object/approved_document__v/V5OZ025E82USSZ5", "LUP - Invitación webinar NL y RCV - nefro")</f>
        <v>LUP - Invitación webinar NL y RCV - nefro</v>
      </c>
      <c r="C15356" s="3" t="str">
        <f>HYPERLINK("https://otsuka-europe-crm.veevavault.com/ui/#object/sent_email__v/VBLZ025E82HOMR3", "SE-000288326")</f>
        <v>SE-000288326</v>
      </c>
      <c r="D15356" s="1" t="s">
        <v>0</v>
      </c>
      <c r="E15356" s="2">
        <v>0</v>
      </c>
      <c r="F15356" s="2">
        <v>0</v>
      </c>
      <c r="G15356" s="2">
        <v>0</v>
      </c>
      <c r="H15356" s="1" t="s">
        <v>0</v>
      </c>
      <c r="I15356" s="2">
        <v>0</v>
      </c>
      <c r="J15356" s="1">
        <v>45950.400995370372</v>
      </c>
    </row>
    <row r="15357" spans="1:10" x14ac:dyDescent="0.2">
      <c r="A15357" s="4" t="s">
        <v>1</v>
      </c>
      <c r="B15357" s="3" t="str">
        <f>HYPERLINK("https://otsuka-europe-crm.veevavault.com/ui/#object/approved_document__v/V5OZ025E82USSZ5", "LUP - Invitación webinar NL y RCV - nefro")</f>
        <v>LUP - Invitación webinar NL y RCV - nefro</v>
      </c>
      <c r="C15357" s="3" t="str">
        <f>HYPERLINK("https://otsuka-europe-crm.veevavault.com/ui/#object/sent_email__v/VBLZ025E82HOMR4", "SE-000288327")</f>
        <v>SE-000288327</v>
      </c>
      <c r="D15357" s="1">
        <v>45950.950624999998</v>
      </c>
      <c r="E15357" s="2">
        <v>1</v>
      </c>
      <c r="F15357" s="2">
        <v>1</v>
      </c>
      <c r="G15357" s="2">
        <v>0</v>
      </c>
      <c r="H15357" s="1" t="s">
        <v>0</v>
      </c>
      <c r="I15357" s="2">
        <v>0</v>
      </c>
      <c r="J15357" s="1">
        <v>45950.40111111111</v>
      </c>
    </row>
    <row r="15358" spans="1:10" x14ac:dyDescent="0.2">
      <c r="A15358" s="4" t="s">
        <v>1</v>
      </c>
      <c r="B15358" s="3" t="str">
        <f>HYPERLINK("https://otsuka-europe-crm.veevavault.com/ui/#object/approved_document__v/V5OZ025E82USSZ5", "LUP - Invitación webinar NL y RCV - nefro")</f>
        <v>LUP - Invitación webinar NL y RCV - nefro</v>
      </c>
      <c r="C15358" s="3" t="str">
        <f>HYPERLINK("https://otsuka-europe-crm.veevavault.com/ui/#object/sent_email__v/VBLZ025E82HOMR5", "SE-000288328")</f>
        <v>SE-000288328</v>
      </c>
      <c r="D15358" s="1">
        <v>45950.982268518521</v>
      </c>
      <c r="E15358" s="2">
        <v>1</v>
      </c>
      <c r="F15358" s="2">
        <v>1</v>
      </c>
      <c r="G15358" s="2">
        <v>0</v>
      </c>
      <c r="H15358" s="1" t="s">
        <v>0</v>
      </c>
      <c r="I15358" s="2">
        <v>0</v>
      </c>
      <c r="J15358" s="1">
        <v>45950.400995370372</v>
      </c>
    </row>
    <row r="15359" spans="1:10" x14ac:dyDescent="0.2">
      <c r="A15359" s="4" t="s">
        <v>1</v>
      </c>
      <c r="B15359" s="3" t="str">
        <f>HYPERLINK("https://otsuka-europe-crm.veevavault.com/ui/#object/approved_document__v/V5OZ025E82USSZ5", "LUP - Invitación webinar NL y RCV - nefro")</f>
        <v>LUP - Invitación webinar NL y RCV - nefro</v>
      </c>
      <c r="C15359" s="3" t="str">
        <f>HYPERLINK("https://otsuka-europe-crm.veevavault.com/ui/#object/sent_email__v/VBLZ025E82HOMR6", "SE-000288329")</f>
        <v>SE-000288329</v>
      </c>
      <c r="D15359" s="1" t="s">
        <v>0</v>
      </c>
      <c r="E15359" s="2">
        <v>0</v>
      </c>
      <c r="F15359" s="2">
        <v>0</v>
      </c>
      <c r="G15359" s="2">
        <v>0</v>
      </c>
      <c r="H15359" s="1" t="s">
        <v>0</v>
      </c>
      <c r="I15359" s="2">
        <v>0</v>
      </c>
      <c r="J15359" s="1">
        <v>45950.401145833333</v>
      </c>
    </row>
    <row r="15360" spans="1:10" x14ac:dyDescent="0.2">
      <c r="A15360" s="4" t="s">
        <v>1</v>
      </c>
      <c r="B15360" s="3" t="str">
        <f>HYPERLINK("https://otsuka-europe-crm.veevavault.com/ui/#object/approved_document__v/V5OZ025E82USSZ5", "LUP - Invitación webinar NL y RCV - nefro")</f>
        <v>LUP - Invitación webinar NL y RCV - nefro</v>
      </c>
      <c r="C15360" s="3" t="str">
        <f>HYPERLINK("https://otsuka-europe-crm.veevavault.com/ui/#object/sent_email__v/VBLZ025E82HOMR7", "SE-000288330")</f>
        <v>SE-000288330</v>
      </c>
      <c r="D15360" s="1">
        <v>45951.239502314813</v>
      </c>
      <c r="E15360" s="2">
        <v>1</v>
      </c>
      <c r="F15360" s="2">
        <v>1</v>
      </c>
      <c r="G15360" s="2">
        <v>0</v>
      </c>
      <c r="H15360" s="1" t="s">
        <v>0</v>
      </c>
      <c r="I15360" s="2">
        <v>0</v>
      </c>
      <c r="J15360" s="1">
        <v>45950.401041666664</v>
      </c>
    </row>
    <row r="15361" spans="1:10" x14ac:dyDescent="0.2">
      <c r="A15361" s="4" t="s">
        <v>1</v>
      </c>
      <c r="B15361" s="3" t="str">
        <f>HYPERLINK("https://otsuka-europe-crm.veevavault.com/ui/#object/approved_document__v/V5OZ025E82USSZ5", "LUP - Invitación webinar NL y RCV - nefro")</f>
        <v>LUP - Invitación webinar NL y RCV - nefro</v>
      </c>
      <c r="C15361" s="3" t="str">
        <f>HYPERLINK("https://otsuka-europe-crm.veevavault.com/ui/#object/sent_email__v/VBLZ025E82HOMR8", "SE-000288331")</f>
        <v>SE-000288331</v>
      </c>
      <c r="D15361" s="1">
        <v>45950.649409722224</v>
      </c>
      <c r="E15361" s="2">
        <v>1</v>
      </c>
      <c r="F15361" s="2">
        <v>2</v>
      </c>
      <c r="G15361" s="2">
        <v>0</v>
      </c>
      <c r="H15361" s="1" t="s">
        <v>0</v>
      </c>
      <c r="I15361" s="2">
        <v>0</v>
      </c>
      <c r="J15361" s="1">
        <v>45950.40115740741</v>
      </c>
    </row>
    <row r="15362" spans="1:10" x14ac:dyDescent="0.2">
      <c r="A15362" s="4" t="s">
        <v>1</v>
      </c>
      <c r="B15362" s="3" t="str">
        <f>HYPERLINK("https://otsuka-europe-crm.veevavault.com/ui/#object/approved_document__v/V5OZ025E82USSZ5", "LUP - Invitación webinar NL y RCV - nefro")</f>
        <v>LUP - Invitación webinar NL y RCV - nefro</v>
      </c>
      <c r="C15362" s="3" t="str">
        <f>HYPERLINK("https://otsuka-europe-crm.veevavault.com/ui/#object/sent_email__v/VBLZ025E82HOMR9", "SE-000288332")</f>
        <v>SE-000288332</v>
      </c>
      <c r="D15362" s="1" t="s">
        <v>0</v>
      </c>
      <c r="E15362" s="2">
        <v>0</v>
      </c>
      <c r="F15362" s="2">
        <v>0</v>
      </c>
      <c r="G15362" s="2">
        <v>0</v>
      </c>
      <c r="H15362" s="1" t="s">
        <v>0</v>
      </c>
      <c r="I15362" s="2">
        <v>0</v>
      </c>
      <c r="J15362" s="1">
        <v>45950.401053240741</v>
      </c>
    </row>
    <row r="15363" spans="1:10" x14ac:dyDescent="0.2">
      <c r="A15363" s="4" t="s">
        <v>1</v>
      </c>
      <c r="B15363" s="3" t="str">
        <f>HYPERLINK("https://otsuka-europe-crm.veevavault.com/ui/#object/approved_document__v/V5OZ025E82USSZ5", "LUP - Invitación webinar NL y RCV - nefro")</f>
        <v>LUP - Invitación webinar NL y RCV - nefro</v>
      </c>
      <c r="C15363" s="3" t="str">
        <f>HYPERLINK("https://otsuka-europe-crm.veevavault.com/ui/#object/sent_email__v/VBLZ025E82HOMRA", "SE-000288333")</f>
        <v>SE-000288333</v>
      </c>
      <c r="D15363" s="1" t="s">
        <v>0</v>
      </c>
      <c r="E15363" s="2">
        <v>0</v>
      </c>
      <c r="F15363" s="2">
        <v>0</v>
      </c>
      <c r="G15363" s="2">
        <v>0</v>
      </c>
      <c r="H15363" s="1" t="s">
        <v>0</v>
      </c>
      <c r="I15363" s="2">
        <v>0</v>
      </c>
      <c r="J15363" s="1">
        <v>45950.401018518518</v>
      </c>
    </row>
    <row r="15364" spans="1:10" x14ac:dyDescent="0.2">
      <c r="A15364" s="4" t="s">
        <v>1</v>
      </c>
      <c r="B15364" s="3" t="str">
        <f>HYPERLINK("https://otsuka-europe-crm.veevavault.com/ui/#object/approved_document__v/V5OZ025E82USSZ5", "LUP - Invitación webinar NL y RCV - nefro")</f>
        <v>LUP - Invitación webinar NL y RCV - nefro</v>
      </c>
      <c r="C15364" s="3" t="str">
        <f>HYPERLINK("https://otsuka-europe-crm.veevavault.com/ui/#object/sent_email__v/VBLZ025E82HOMRB", "SE-000288334")</f>
        <v>SE-000288334</v>
      </c>
      <c r="D15364" s="1">
        <v>45961.522222222222</v>
      </c>
      <c r="E15364" s="2">
        <v>1</v>
      </c>
      <c r="F15364" s="2">
        <v>1</v>
      </c>
      <c r="G15364" s="2">
        <v>0</v>
      </c>
      <c r="H15364" s="1" t="s">
        <v>0</v>
      </c>
      <c r="I15364" s="2">
        <v>0</v>
      </c>
      <c r="J15364" s="1">
        <v>45950.401122685187</v>
      </c>
    </row>
    <row r="15365" spans="1:10" x14ac:dyDescent="0.2">
      <c r="A15365" s="4" t="s">
        <v>1</v>
      </c>
      <c r="B15365" s="3" t="str">
        <f>HYPERLINK("https://otsuka-europe-crm.veevavault.com/ui/#object/approved_document__v/V5OZ025E82USSZ5", "LUP - Invitación webinar NL y RCV - nefro")</f>
        <v>LUP - Invitación webinar NL y RCV - nefro</v>
      </c>
      <c r="C15365" s="3" t="str">
        <f>HYPERLINK("https://otsuka-europe-crm.veevavault.com/ui/#object/sent_email__v/VBLZ025E82HOMRC", "SE-000288335")</f>
        <v>SE-000288335</v>
      </c>
      <c r="D15365" s="1">
        <v>45950.452094907407</v>
      </c>
      <c r="E15365" s="2">
        <v>1</v>
      </c>
      <c r="F15365" s="2">
        <v>1</v>
      </c>
      <c r="G15365" s="2">
        <v>0</v>
      </c>
      <c r="H15365" s="1" t="s">
        <v>0</v>
      </c>
      <c r="I15365" s="2">
        <v>0</v>
      </c>
      <c r="J15365" s="1">
        <v>45950.401018518518</v>
      </c>
    </row>
    <row r="15366" spans="1:10" x14ac:dyDescent="0.2">
      <c r="A15366" s="4" t="s">
        <v>1</v>
      </c>
      <c r="B15366" s="3" t="str">
        <f>HYPERLINK("https://otsuka-europe-crm.veevavault.com/ui/#object/approved_document__v/V5OZ025E82USSZ5", "LUP - Invitación webinar NL y RCV - nefro")</f>
        <v>LUP - Invitación webinar NL y RCV - nefro</v>
      </c>
      <c r="C15366" s="3" t="str">
        <f>HYPERLINK("https://otsuka-europe-crm.veevavault.com/ui/#object/sent_email__v/VBLZ025E82HOMRD", "SE-000288336")</f>
        <v>SE-000288336</v>
      </c>
      <c r="D15366" s="1" t="s">
        <v>0</v>
      </c>
      <c r="E15366" s="2">
        <v>0</v>
      </c>
      <c r="F15366" s="2">
        <v>0</v>
      </c>
      <c r="G15366" s="2">
        <v>0</v>
      </c>
      <c r="H15366" s="1" t="s">
        <v>0</v>
      </c>
      <c r="I15366" s="2">
        <v>0</v>
      </c>
      <c r="J15366" s="1">
        <v>45950.401203703703</v>
      </c>
    </row>
    <row r="15367" spans="1:10" x14ac:dyDescent="0.2">
      <c r="A15367" s="4" t="s">
        <v>1</v>
      </c>
      <c r="B15367" s="3" t="str">
        <f>HYPERLINK("https://otsuka-europe-crm.veevavault.com/ui/#object/approved_document__v/V5OZ025E82USSZ5", "LUP - Invitación webinar NL y RCV - nefro")</f>
        <v>LUP - Invitación webinar NL y RCV - nefro</v>
      </c>
      <c r="C15367" s="3" t="str">
        <f>HYPERLINK("https://otsuka-europe-crm.veevavault.com/ui/#object/sent_email__v/VBLZ025E82HOMRE", "SE-000288337")</f>
        <v>SE-000288337</v>
      </c>
      <c r="D15367" s="1">
        <v>45951.944432870368</v>
      </c>
      <c r="E15367" s="2">
        <v>1</v>
      </c>
      <c r="F15367" s="2">
        <v>2</v>
      </c>
      <c r="G15367" s="2">
        <v>0</v>
      </c>
      <c r="H15367" s="1" t="s">
        <v>0</v>
      </c>
      <c r="I15367" s="2">
        <v>0</v>
      </c>
      <c r="J15367" s="1">
        <v>45950.401099537034</v>
      </c>
    </row>
    <row r="15368" spans="1:10" x14ac:dyDescent="0.2">
      <c r="A15368" s="4" t="s">
        <v>1</v>
      </c>
      <c r="B15368" s="3" t="str">
        <f>HYPERLINK("https://otsuka-europe-crm.veevavault.com/ui/#object/approved_document__v/V5OZ025E82USSZ5", "LUP - Invitación webinar NL y RCV - nefro")</f>
        <v>LUP - Invitación webinar NL y RCV - nefro</v>
      </c>
      <c r="C15368" s="3" t="str">
        <f>HYPERLINK("https://otsuka-europe-crm.veevavault.com/ui/#object/sent_email__v/VBLZ025E82HOMRF", "SE-000288338")</f>
        <v>SE-000288338</v>
      </c>
      <c r="D15368" s="1" t="s">
        <v>0</v>
      </c>
      <c r="E15368" s="2">
        <v>0</v>
      </c>
      <c r="F15368" s="2">
        <v>0</v>
      </c>
      <c r="G15368" s="2">
        <v>0</v>
      </c>
      <c r="H15368" s="1" t="s">
        <v>0</v>
      </c>
      <c r="I15368" s="2">
        <v>0</v>
      </c>
      <c r="J15368" s="1">
        <v>45950.401203703703</v>
      </c>
    </row>
    <row r="15369" spans="1:10" x14ac:dyDescent="0.2">
      <c r="A15369" s="4" t="s">
        <v>1</v>
      </c>
      <c r="B15369" s="3" t="str">
        <f>HYPERLINK("https://otsuka-europe-crm.veevavault.com/ui/#object/approved_document__v/V5OZ025E82USSZ5", "LUP - Invitación webinar NL y RCV - nefro")</f>
        <v>LUP - Invitación webinar NL y RCV - nefro</v>
      </c>
      <c r="C15369" s="3" t="str">
        <f>HYPERLINK("https://otsuka-europe-crm.veevavault.com/ui/#object/sent_email__v/VBLZ025E82HOMRG", "SE-000288339")</f>
        <v>SE-000288339</v>
      </c>
      <c r="D15369" s="1">
        <v>45950.673275462963</v>
      </c>
      <c r="E15369" s="2">
        <v>1</v>
      </c>
      <c r="F15369" s="2">
        <v>1</v>
      </c>
      <c r="G15369" s="2">
        <v>0</v>
      </c>
      <c r="H15369" s="1" t="s">
        <v>0</v>
      </c>
      <c r="I15369" s="2">
        <v>0</v>
      </c>
      <c r="J15369" s="1">
        <v>45950.401076388887</v>
      </c>
    </row>
    <row r="15370" spans="1:10" x14ac:dyDescent="0.2">
      <c r="A15370" s="4" t="s">
        <v>1</v>
      </c>
      <c r="B15370" s="3" t="str">
        <f>HYPERLINK("https://otsuka-europe-crm.veevavault.com/ui/#object/approved_document__v/V5OZ025E82USSZ5", "LUP - Invitación webinar NL y RCV - nefro")</f>
        <v>LUP - Invitación webinar NL y RCV - nefro</v>
      </c>
      <c r="C15370" s="3" t="str">
        <f>HYPERLINK("https://otsuka-europe-crm.veevavault.com/ui/#object/sent_email__v/VBLZ025E82HOMRH", "SE-000288340")</f>
        <v>SE-000288340</v>
      </c>
      <c r="D15370" s="1" t="s">
        <v>0</v>
      </c>
      <c r="E15370" s="2">
        <v>0</v>
      </c>
      <c r="F15370" s="2">
        <v>0</v>
      </c>
      <c r="G15370" s="2">
        <v>0</v>
      </c>
      <c r="H15370" s="1" t="s">
        <v>0</v>
      </c>
      <c r="I15370" s="2">
        <v>0</v>
      </c>
      <c r="J15370" s="1">
        <v>45950.401192129626</v>
      </c>
    </row>
    <row r="15371" spans="1:10" x14ac:dyDescent="0.2">
      <c r="A15371" s="4" t="s">
        <v>1</v>
      </c>
      <c r="B15371" s="3" t="str">
        <f>HYPERLINK("https://otsuka-europe-crm.veevavault.com/ui/#object/approved_document__v/V5OZ025E82USSZ5", "LUP - Invitación webinar NL y RCV - nefro")</f>
        <v>LUP - Invitación webinar NL y RCV - nefro</v>
      </c>
      <c r="C15371" s="3" t="str">
        <f>HYPERLINK("https://otsuka-europe-crm.veevavault.com/ui/#object/sent_email__v/VBLZ025E82HOMRI", "SE-000288341")</f>
        <v>SE-000288341</v>
      </c>
      <c r="D15371" s="1">
        <v>45951.02511574074</v>
      </c>
      <c r="E15371" s="2">
        <v>1</v>
      </c>
      <c r="F15371" s="2">
        <v>1</v>
      </c>
      <c r="G15371" s="2">
        <v>0</v>
      </c>
      <c r="H15371" s="1" t="s">
        <v>0</v>
      </c>
      <c r="I15371" s="2">
        <v>0</v>
      </c>
      <c r="J15371" s="1">
        <v>45950.401087962964</v>
      </c>
    </row>
    <row r="15372" spans="1:10" x14ac:dyDescent="0.2">
      <c r="A15372" s="4" t="s">
        <v>1</v>
      </c>
      <c r="B15372" s="3" t="str">
        <f>HYPERLINK("https://otsuka-europe-crm.veevavault.com/ui/#object/approved_document__v/V5OZ025E82USSZ5", "LUP - Invitación webinar NL y RCV - nefro")</f>
        <v>LUP - Invitación webinar NL y RCV - nefro</v>
      </c>
      <c r="C15372" s="3" t="str">
        <f>HYPERLINK("https://otsuka-europe-crm.veevavault.com/ui/#object/sent_email__v/VBLZ025E82HOMRJ", "SE-000288342")</f>
        <v>SE-000288342</v>
      </c>
      <c r="D15372" s="1" t="s">
        <v>0</v>
      </c>
      <c r="E15372" s="2">
        <v>0</v>
      </c>
      <c r="F15372" s="2">
        <v>0</v>
      </c>
      <c r="G15372" s="2">
        <v>0</v>
      </c>
      <c r="H15372" s="1" t="s">
        <v>0</v>
      </c>
      <c r="I15372" s="2">
        <v>0</v>
      </c>
      <c r="J15372" s="1">
        <v>45950.401180555556</v>
      </c>
    </row>
    <row r="15373" spans="1:10" x14ac:dyDescent="0.2">
      <c r="A15373" s="4" t="s">
        <v>1</v>
      </c>
      <c r="B15373" s="3" t="str">
        <f>HYPERLINK("https://otsuka-europe-crm.veevavault.com/ui/#object/approved_document__v/V5OZ025E82USSZ5", "LUP - Invitación webinar NL y RCV - nefro")</f>
        <v>LUP - Invitación webinar NL y RCV - nefro</v>
      </c>
      <c r="C15373" s="3" t="str">
        <f>HYPERLINK("https://otsuka-europe-crm.veevavault.com/ui/#object/sent_email__v/VBLZ025E82HOMRK", "SE-000288343")</f>
        <v>SE-000288343</v>
      </c>
      <c r="D15373" s="1">
        <v>45986.293912037036</v>
      </c>
      <c r="E15373" s="2">
        <v>1</v>
      </c>
      <c r="F15373" s="2">
        <v>3</v>
      </c>
      <c r="G15373" s="2">
        <v>0</v>
      </c>
      <c r="H15373" s="1" t="s">
        <v>0</v>
      </c>
      <c r="I15373" s="2">
        <v>0</v>
      </c>
      <c r="J15373" s="1">
        <v>45950.401053240741</v>
      </c>
    </row>
    <row r="15374" spans="1:10" x14ac:dyDescent="0.2">
      <c r="A15374" s="4" t="s">
        <v>1</v>
      </c>
      <c r="B15374" s="3" t="str">
        <f>HYPERLINK("https://otsuka-europe-crm.veevavault.com/ui/#object/approved_document__v/V5OZ025E82USSZ5", "LUP - Invitación webinar NL y RCV - nefro")</f>
        <v>LUP - Invitación webinar NL y RCV - nefro</v>
      </c>
      <c r="C15374" s="3" t="str">
        <f>HYPERLINK("https://otsuka-europe-crm.veevavault.com/ui/#object/sent_email__v/VBLZ025E82HOMRL", "SE-000288344")</f>
        <v>SE-000288344</v>
      </c>
      <c r="D15374" s="1">
        <v>45950.817418981482</v>
      </c>
      <c r="E15374" s="2">
        <v>1</v>
      </c>
      <c r="F15374" s="2">
        <v>1</v>
      </c>
      <c r="G15374" s="2">
        <v>0</v>
      </c>
      <c r="H15374" s="1" t="s">
        <v>0</v>
      </c>
      <c r="I15374" s="2">
        <v>0</v>
      </c>
      <c r="J15374" s="1">
        <v>45950.40116898148</v>
      </c>
    </row>
    <row r="15375" spans="1:10" x14ac:dyDescent="0.2">
      <c r="A15375" s="4" t="s">
        <v>1</v>
      </c>
      <c r="B15375" s="3" t="str">
        <f>HYPERLINK("https://otsuka-europe-crm.veevavault.com/ui/#object/approved_document__v/V5OZ025E82USSZ5", "LUP - Invitación webinar NL y RCV - nefro")</f>
        <v>LUP - Invitación webinar NL y RCV - nefro</v>
      </c>
      <c r="C15375" s="3" t="str">
        <f>HYPERLINK("https://otsuka-europe-crm.veevavault.com/ui/#object/sent_email__v/VBLZ025E82HOMRM", "SE-000288345")</f>
        <v>SE-000288345</v>
      </c>
      <c r="D15375" s="1">
        <v>45950.411631944444</v>
      </c>
      <c r="E15375" s="2">
        <v>1</v>
      </c>
      <c r="F15375" s="2">
        <v>1</v>
      </c>
      <c r="G15375" s="2">
        <v>0</v>
      </c>
      <c r="H15375" s="1" t="s">
        <v>0</v>
      </c>
      <c r="I15375" s="2">
        <v>0</v>
      </c>
      <c r="J15375" s="1">
        <v>45950.401064814818</v>
      </c>
    </row>
    <row r="15376" spans="1:10" x14ac:dyDescent="0.2">
      <c r="A15376" s="4" t="s">
        <v>1</v>
      </c>
      <c r="B15376" s="3" t="str">
        <f>HYPERLINK("https://otsuka-europe-crm.veevavault.com/ui/#object/approved_document__v/V5OZ025E82USSZ5", "LUP - Invitación webinar NL y RCV - nefro")</f>
        <v>LUP - Invitación webinar NL y RCV - nefro</v>
      </c>
      <c r="C15376" s="3" t="str">
        <f>HYPERLINK("https://otsuka-europe-crm.veevavault.com/ui/#object/sent_email__v/VBLZ025E82HOMRN", "SE-000288346")</f>
        <v>SE-000288346</v>
      </c>
      <c r="D15376" s="1">
        <v>45950.745138888888</v>
      </c>
      <c r="E15376" s="2">
        <v>1</v>
      </c>
      <c r="F15376" s="2">
        <v>2</v>
      </c>
      <c r="G15376" s="2">
        <v>0</v>
      </c>
      <c r="H15376" s="1" t="s">
        <v>0</v>
      </c>
      <c r="I15376" s="2">
        <v>0</v>
      </c>
      <c r="J15376" s="1">
        <v>45950.40116898148</v>
      </c>
    </row>
    <row r="15377" spans="1:10" x14ac:dyDescent="0.2">
      <c r="A15377" s="4" t="s">
        <v>1</v>
      </c>
      <c r="B15377" s="3" t="str">
        <f>HYPERLINK("https://otsuka-europe-crm.veevavault.com/ui/#object/approved_document__v/V5OZ025E82USSZ5", "LUP - Invitación webinar NL y RCV - nefro")</f>
        <v>LUP - Invitación webinar NL y RCV - nefro</v>
      </c>
      <c r="C15377" s="3" t="str">
        <f>HYPERLINK("https://otsuka-europe-crm.veevavault.com/ui/#object/sent_email__v/VBLZ025E82HOMRO", "SE-000288347")</f>
        <v>SE-000288347</v>
      </c>
      <c r="D15377" s="1" t="s">
        <v>0</v>
      </c>
      <c r="E15377" s="2">
        <v>0</v>
      </c>
      <c r="F15377" s="2">
        <v>0</v>
      </c>
      <c r="G15377" s="2">
        <v>0</v>
      </c>
      <c r="H15377" s="1" t="s">
        <v>0</v>
      </c>
      <c r="I15377" s="2">
        <v>0</v>
      </c>
      <c r="J15377" s="1">
        <v>45950.401134259257</v>
      </c>
    </row>
    <row r="15378" spans="1:10" x14ac:dyDescent="0.2">
      <c r="A15378" s="4" t="s">
        <v>1</v>
      </c>
      <c r="B15378" s="3" t="str">
        <f>HYPERLINK("https://otsuka-europe-crm.veevavault.com/ui/#object/approved_document__v/V5OZ025E82USSZ5", "LUP - Invitación webinar NL y RCV - nefro")</f>
        <v>LUP - Invitación webinar NL y RCV - nefro</v>
      </c>
      <c r="C15378" s="3" t="str">
        <f>HYPERLINK("https://otsuka-europe-crm.veevavault.com/ui/#object/sent_email__v/VBLZ025E82HOMRP", "SE-000288348")</f>
        <v>SE-000288348</v>
      </c>
      <c r="D15378" s="1" t="s">
        <v>0</v>
      </c>
      <c r="E15378" s="2">
        <v>0</v>
      </c>
      <c r="F15378" s="2">
        <v>0</v>
      </c>
      <c r="G15378" s="2">
        <v>0</v>
      </c>
      <c r="H15378" s="1" t="s">
        <v>0</v>
      </c>
      <c r="I15378" s="2">
        <v>0</v>
      </c>
      <c r="J15378" s="1">
        <v>45950.401030092595</v>
      </c>
    </row>
    <row r="15379" spans="1:10" x14ac:dyDescent="0.2">
      <c r="A15379" s="4" t="s">
        <v>1</v>
      </c>
      <c r="B15379" s="3" t="str">
        <f>HYPERLINK("https://otsuka-europe-crm.veevavault.com/ui/#object/approved_document__v/V5OZ025E82USSZ5", "LUP - Invitación webinar NL y RCV - nefro")</f>
        <v>LUP - Invitación webinar NL y RCV - nefro</v>
      </c>
      <c r="C15379" s="3" t="str">
        <f>HYPERLINK("https://otsuka-europe-crm.veevavault.com/ui/#object/sent_email__v/VBLZ025E82HOMRQ", "SE-000288349")</f>
        <v>SE-000288349</v>
      </c>
      <c r="D15379" s="1">
        <v>45950.401261574072</v>
      </c>
      <c r="E15379" s="2">
        <v>1</v>
      </c>
      <c r="F15379" s="2">
        <v>2</v>
      </c>
      <c r="G15379" s="2">
        <v>1</v>
      </c>
      <c r="H15379" s="1">
        <v>45950.401250000003</v>
      </c>
      <c r="I15379" s="2">
        <v>4</v>
      </c>
      <c r="J15379" s="1">
        <v>45950.401134259257</v>
      </c>
    </row>
    <row r="15380" spans="1:10" x14ac:dyDescent="0.2">
      <c r="A15380" s="4" t="s">
        <v>1</v>
      </c>
      <c r="B15380" s="3" t="str">
        <f>HYPERLINK("https://otsuka-europe-crm.veevavault.com/ui/#object/approved_document__v/V5OZ025E82USSZ5", "LUP - Invitación webinar NL y RCV - nefro")</f>
        <v>LUP - Invitación webinar NL y RCV - nefro</v>
      </c>
      <c r="C15380" s="3" t="str">
        <f>HYPERLINK("https://otsuka-europe-crm.veevavault.com/ui/#object/sent_email__v/VBLZ025E82HQ689", "SE-000288877")</f>
        <v>SE-000288877</v>
      </c>
      <c r="D15380" s="1">
        <v>45952.395925925928</v>
      </c>
      <c r="E15380" s="2">
        <v>1</v>
      </c>
      <c r="F15380" s="2">
        <v>2</v>
      </c>
      <c r="G15380" s="2">
        <v>0</v>
      </c>
      <c r="H15380" s="1" t="s">
        <v>0</v>
      </c>
      <c r="I15380" s="2">
        <v>0</v>
      </c>
      <c r="J15380" s="1">
        <v>45952.377465277779</v>
      </c>
    </row>
    <row r="15381" spans="1:10" x14ac:dyDescent="0.2">
      <c r="A15381" s="4" t="s">
        <v>1</v>
      </c>
      <c r="B15381" s="3" t="str">
        <f>HYPERLINK("https://otsuka-europe-crm.veevavault.com/ui/#object/approved_document__v/V5OZ025E82USSZ5", "LUP - Invitación webinar NL y RCV - nefro")</f>
        <v>LUP - Invitación webinar NL y RCV - nefro</v>
      </c>
      <c r="C15381" s="3" t="str">
        <f>HYPERLINK("https://otsuka-europe-crm.veevavault.com/ui/#object/sent_email__v/VBLZ025E82HQ68A", "SE-000288878")</f>
        <v>SE-000288878</v>
      </c>
      <c r="D15381" s="1">
        <v>45952.446435185186</v>
      </c>
      <c r="E15381" s="2">
        <v>1</v>
      </c>
      <c r="F15381" s="2">
        <v>1</v>
      </c>
      <c r="G15381" s="2">
        <v>1</v>
      </c>
      <c r="H15381" s="1">
        <v>45952.446562500001</v>
      </c>
      <c r="I15381" s="2">
        <v>1</v>
      </c>
      <c r="J15381" s="1">
        <v>45952.377476851849</v>
      </c>
    </row>
    <row r="15382" spans="1:10" x14ac:dyDescent="0.2">
      <c r="A15382" s="4" t="s">
        <v>1</v>
      </c>
      <c r="B15382" s="3" t="str">
        <f>HYPERLINK("https://otsuka-europe-crm.veevavault.com/ui/#object/approved_document__v/V5OZ025E82USSZ5", "LUP - Invitación webinar NL y RCV - nefro")</f>
        <v>LUP - Invitación webinar NL y RCV - nefro</v>
      </c>
      <c r="C15382" s="3" t="str">
        <f>HYPERLINK("https://otsuka-europe-crm.veevavault.com/ui/#object/sent_email__v/VBLZ025E82HQ68B", "SE-000288879")</f>
        <v>SE-000288879</v>
      </c>
      <c r="D15382" s="1" t="s">
        <v>0</v>
      </c>
      <c r="E15382" s="2">
        <v>0</v>
      </c>
      <c r="F15382" s="2">
        <v>0</v>
      </c>
      <c r="G15382" s="2">
        <v>0</v>
      </c>
      <c r="H15382" s="1" t="s">
        <v>0</v>
      </c>
      <c r="I15382" s="2">
        <v>0</v>
      </c>
      <c r="J15382" s="1">
        <v>45952.377500000002</v>
      </c>
    </row>
    <row r="15383" spans="1:10" x14ac:dyDescent="0.2">
      <c r="A15383" s="4" t="s">
        <v>1</v>
      </c>
      <c r="B15383" s="3" t="str">
        <f>HYPERLINK("https://otsuka-europe-crm.veevavault.com/ui/#object/approved_document__v/V5OZ025E82USSZ5", "LUP - Invitación webinar NL y RCV - nefro")</f>
        <v>LUP - Invitación webinar NL y RCV - nefro</v>
      </c>
      <c r="C15383" s="3" t="str">
        <f>HYPERLINK("https://otsuka-europe-crm.veevavault.com/ui/#object/sent_email__v/VBLZ025E82HQ68C", "SE-000288880")</f>
        <v>SE-000288880</v>
      </c>
      <c r="D15383" s="1">
        <v>45952.936793981484</v>
      </c>
      <c r="E15383" s="2">
        <v>1</v>
      </c>
      <c r="F15383" s="2">
        <v>1</v>
      </c>
      <c r="G15383" s="2">
        <v>0</v>
      </c>
      <c r="H15383" s="1" t="s">
        <v>0</v>
      </c>
      <c r="I15383" s="2">
        <v>0</v>
      </c>
      <c r="J15383" s="1">
        <v>45952.377465277779</v>
      </c>
    </row>
    <row r="15384" spans="1:10" x14ac:dyDescent="0.2">
      <c r="A15384" s="4" t="s">
        <v>1</v>
      </c>
      <c r="B15384" s="3" t="str">
        <f>HYPERLINK("https://otsuka-europe-crm.veevavault.com/ui/#object/approved_document__v/V5OZ025E82USSZ5", "LUP - Invitación webinar NL y RCV - nefro")</f>
        <v>LUP - Invitación webinar NL y RCV - nefro</v>
      </c>
      <c r="C15384" s="3" t="str">
        <f>HYPERLINK("https://otsuka-europe-crm.veevavault.com/ui/#object/sent_email__v/VBLZ025E82HQ68D", "SE-000288881")</f>
        <v>SE-000288881</v>
      </c>
      <c r="D15384" s="1">
        <v>45952.864178240743</v>
      </c>
      <c r="E15384" s="2">
        <v>1</v>
      </c>
      <c r="F15384" s="2">
        <v>3</v>
      </c>
      <c r="G15384" s="2">
        <v>0</v>
      </c>
      <c r="H15384" s="1" t="s">
        <v>0</v>
      </c>
      <c r="I15384" s="2">
        <v>0</v>
      </c>
      <c r="J15384" s="1">
        <v>45952.377476851849</v>
      </c>
    </row>
    <row r="15385" spans="1:10" x14ac:dyDescent="0.2">
      <c r="A15385" s="4" t="s">
        <v>1</v>
      </c>
      <c r="B15385" s="3" t="str">
        <f>HYPERLINK("https://otsuka-europe-crm.veevavault.com/ui/#object/approved_document__v/V5OZ025E82USSZ5", "LUP - Invitación webinar NL y RCV - nefro")</f>
        <v>LUP - Invitación webinar NL y RCV - nefro</v>
      </c>
      <c r="C15385" s="3" t="str">
        <f>HYPERLINK("https://otsuka-europe-crm.veevavault.com/ui/#object/sent_email__v/VBLZ025E82HQ68E", "SE-000288882")</f>
        <v>SE-000288882</v>
      </c>
      <c r="D15385" s="1">
        <v>45953.619675925926</v>
      </c>
      <c r="E15385" s="2">
        <v>1</v>
      </c>
      <c r="F15385" s="2">
        <v>1</v>
      </c>
      <c r="G15385" s="2">
        <v>1</v>
      </c>
      <c r="H15385" s="1">
        <v>45953.619675925926</v>
      </c>
      <c r="I15385" s="2">
        <v>1</v>
      </c>
      <c r="J15385" s="1">
        <v>45952.377488425926</v>
      </c>
    </row>
    <row r="15386" spans="1:10" x14ac:dyDescent="0.2">
      <c r="A15386" s="4" t="s">
        <v>1</v>
      </c>
      <c r="B15386" s="3" t="str">
        <f>HYPERLINK("https://otsuka-europe-crm.veevavault.com/ui/#object/approved_document__v/V5OZ025E82USSZ5", "LUP - Invitación webinar NL y RCV - nefro")</f>
        <v>LUP - Invitación webinar NL y RCV - nefro</v>
      </c>
      <c r="C15386" s="3" t="str">
        <f>HYPERLINK("https://otsuka-europe-crm.veevavault.com/ui/#object/sent_email__v/VBLZ025E82HQ68F", "SE-000288883")</f>
        <v>SE-000288883</v>
      </c>
      <c r="D15386" s="1" t="s">
        <v>0</v>
      </c>
      <c r="E15386" s="2">
        <v>0</v>
      </c>
      <c r="F15386" s="2">
        <v>0</v>
      </c>
      <c r="G15386" s="2">
        <v>0</v>
      </c>
      <c r="H15386" s="1" t="s">
        <v>0</v>
      </c>
      <c r="I15386" s="2">
        <v>0</v>
      </c>
      <c r="J15386" s="1">
        <v>45952.377488425926</v>
      </c>
    </row>
    <row r="15387" spans="1:10" x14ac:dyDescent="0.2">
      <c r="A15387" s="4" t="s">
        <v>1</v>
      </c>
      <c r="B15387" s="3" t="str">
        <f>HYPERLINK("https://otsuka-europe-crm.veevavault.com/ui/#object/approved_document__v/V5OZ025E82USSZ5", "LUP - Invitación webinar NL y RCV - nefro")</f>
        <v>LUP - Invitación webinar NL y RCV - nefro</v>
      </c>
      <c r="C15387" s="3" t="str">
        <f>HYPERLINK("https://otsuka-europe-crm.veevavault.com/ui/#object/sent_email__v/VBLZ025E82HQ68G", "SE-000288884")</f>
        <v>SE-000288884</v>
      </c>
      <c r="D15387" s="1">
        <v>45953.604594907411</v>
      </c>
      <c r="E15387" s="2">
        <v>1</v>
      </c>
      <c r="F15387" s="2">
        <v>1</v>
      </c>
      <c r="G15387" s="2">
        <v>0</v>
      </c>
      <c r="H15387" s="1" t="s">
        <v>0</v>
      </c>
      <c r="I15387" s="2">
        <v>0</v>
      </c>
      <c r="J15387" s="1">
        <v>45952.377523148149</v>
      </c>
    </row>
    <row r="15388" spans="1:10" x14ac:dyDescent="0.2">
      <c r="A15388" s="4" t="s">
        <v>1</v>
      </c>
      <c r="B15388" s="3" t="str">
        <f>HYPERLINK("https://otsuka-europe-crm.veevavault.com/ui/#object/approved_document__v/V5OZ025E82USSZ5", "LUP - Invitación webinar NL y RCV - nefro")</f>
        <v>LUP - Invitación webinar NL y RCV - nefro</v>
      </c>
      <c r="C15388" s="3" t="str">
        <f>HYPERLINK("https://otsuka-europe-crm.veevavault.com/ui/#object/sent_email__v/VBLZ025E82HQ68H", "SE-000288885")</f>
        <v>SE-000288885</v>
      </c>
      <c r="D15388" s="1">
        <v>45952.37976851852</v>
      </c>
      <c r="E15388" s="2">
        <v>1</v>
      </c>
      <c r="F15388" s="2">
        <v>1</v>
      </c>
      <c r="G15388" s="2">
        <v>0</v>
      </c>
      <c r="H15388" s="1" t="s">
        <v>0</v>
      </c>
      <c r="I15388" s="2">
        <v>0</v>
      </c>
      <c r="J15388" s="1">
        <v>45952.377488425926</v>
      </c>
    </row>
    <row r="15389" spans="1:10" x14ac:dyDescent="0.2">
      <c r="A15389" s="4" t="s">
        <v>1</v>
      </c>
      <c r="B15389" s="3" t="str">
        <f>HYPERLINK("https://otsuka-europe-crm.veevavault.com/ui/#object/approved_document__v/V5OZ025E82USSZ5", "LUP - Invitación webinar NL y RCV - nefro")</f>
        <v>LUP - Invitación webinar NL y RCV - nefro</v>
      </c>
      <c r="C15389" s="3" t="str">
        <f>HYPERLINK("https://otsuka-europe-crm.veevavault.com/ui/#object/sent_email__v/VBLZ025E82HQ68I", "SE-000288886")</f>
        <v>SE-000288886</v>
      </c>
      <c r="D15389" s="1" t="s">
        <v>0</v>
      </c>
      <c r="E15389" s="2">
        <v>0</v>
      </c>
      <c r="F15389" s="2">
        <v>0</v>
      </c>
      <c r="G15389" s="2">
        <v>0</v>
      </c>
      <c r="H15389" s="1" t="s">
        <v>0</v>
      </c>
      <c r="I15389" s="2">
        <v>0</v>
      </c>
      <c r="J15389" s="1">
        <v>45952.377453703702</v>
      </c>
    </row>
    <row r="15390" spans="1:10" x14ac:dyDescent="0.2">
      <c r="A15390" s="4" t="s">
        <v>1</v>
      </c>
      <c r="B15390" s="3" t="str">
        <f>HYPERLINK("https://otsuka-europe-crm.veevavault.com/ui/#object/approved_document__v/V5OZ025E82USSZ5", "LUP - Invitación webinar NL y RCV - nefro")</f>
        <v>LUP - Invitación webinar NL y RCV - nefro</v>
      </c>
      <c r="C15390" s="3" t="str">
        <f>HYPERLINK("https://otsuka-europe-crm.veevavault.com/ui/#object/sent_email__v/VBLZ025E82HQ68J", "SE-000288887")</f>
        <v>SE-000288887</v>
      </c>
      <c r="D15390" s="1" t="s">
        <v>0</v>
      </c>
      <c r="E15390" s="2">
        <v>0</v>
      </c>
      <c r="F15390" s="2">
        <v>0</v>
      </c>
      <c r="G15390" s="2">
        <v>0</v>
      </c>
      <c r="H15390" s="1" t="s">
        <v>0</v>
      </c>
      <c r="I15390" s="2">
        <v>0</v>
      </c>
      <c r="J15390" s="1">
        <v>45952.377488425926</v>
      </c>
    </row>
    <row r="15391" spans="1:10" x14ac:dyDescent="0.2">
      <c r="A15391" s="4" t="s">
        <v>1</v>
      </c>
      <c r="B15391" s="3" t="str">
        <f>HYPERLINK("https://otsuka-europe-crm.veevavault.com/ui/#object/approved_document__v/V5OZ025E82USSZ5", "LUP - Invitación webinar NL y RCV - nefro")</f>
        <v>LUP - Invitación webinar NL y RCV - nefro</v>
      </c>
      <c r="C15391" s="3" t="str">
        <f>HYPERLINK("https://otsuka-europe-crm.veevavault.com/ui/#object/sent_email__v/VBLZ025E82HQ68K", "SE-000288888")</f>
        <v>SE-000288888</v>
      </c>
      <c r="D15391" s="1">
        <v>45952.700231481482</v>
      </c>
      <c r="E15391" s="2">
        <v>1</v>
      </c>
      <c r="F15391" s="2">
        <v>3</v>
      </c>
      <c r="G15391" s="2">
        <v>0</v>
      </c>
      <c r="H15391" s="1" t="s">
        <v>0</v>
      </c>
      <c r="I15391" s="2">
        <v>0</v>
      </c>
      <c r="J15391" s="1">
        <v>45952.377476851849</v>
      </c>
    </row>
    <row r="15392" spans="1:10" x14ac:dyDescent="0.2">
      <c r="A15392" s="4" t="s">
        <v>1</v>
      </c>
      <c r="B15392" s="3" t="str">
        <f>HYPERLINK("https://otsuka-europe-crm.veevavault.com/ui/#object/approved_document__v/V5OZ025E82USSZ5", "LUP - Invitación webinar NL y RCV - nefro")</f>
        <v>LUP - Invitación webinar NL y RCV - nefro</v>
      </c>
      <c r="C15392" s="3" t="str">
        <f>HYPERLINK("https://otsuka-europe-crm.veevavault.com/ui/#object/sent_email__v/VBLZ025E82HQ68L", "SE-000288889")</f>
        <v>SE-000288889</v>
      </c>
      <c r="D15392" s="1" t="s">
        <v>0</v>
      </c>
      <c r="E15392" s="2">
        <v>0</v>
      </c>
      <c r="F15392" s="2">
        <v>0</v>
      </c>
      <c r="G15392" s="2">
        <v>0</v>
      </c>
      <c r="H15392" s="1" t="s">
        <v>0</v>
      </c>
      <c r="I15392" s="2">
        <v>0</v>
      </c>
      <c r="J15392" s="1">
        <v>45952.377465277779</v>
      </c>
    </row>
    <row r="15393" spans="1:10" x14ac:dyDescent="0.2">
      <c r="A15393" s="4" t="s">
        <v>1</v>
      </c>
      <c r="B15393" s="3" t="str">
        <f>HYPERLINK("https://otsuka-europe-crm.veevavault.com/ui/#object/approved_document__v/V5OZ025E82USSZ5", "LUP - Invitación webinar NL y RCV - nefro")</f>
        <v>LUP - Invitación webinar NL y RCV - nefro</v>
      </c>
      <c r="C15393" s="3" t="str">
        <f>HYPERLINK("https://otsuka-europe-crm.veevavault.com/ui/#object/sent_email__v/VBLZ025E82HQ68M", "SE-000288890")</f>
        <v>SE-000288890</v>
      </c>
      <c r="D15393" s="1">
        <v>45952.774594907409</v>
      </c>
      <c r="E15393" s="2">
        <v>1</v>
      </c>
      <c r="F15393" s="2">
        <v>1</v>
      </c>
      <c r="G15393" s="2">
        <v>0</v>
      </c>
      <c r="H15393" s="1" t="s">
        <v>0</v>
      </c>
      <c r="I15393" s="2">
        <v>0</v>
      </c>
      <c r="J15393" s="1">
        <v>45952.377488425926</v>
      </c>
    </row>
    <row r="15394" spans="1:10" x14ac:dyDescent="0.2">
      <c r="A15394" s="4" t="s">
        <v>1</v>
      </c>
      <c r="B15394" s="3" t="str">
        <f>HYPERLINK("https://otsuka-europe-crm.veevavault.com/ui/#object/approved_document__v/V5OZ025E82USSZ5", "LUP - Invitación webinar NL y RCV - nefro")</f>
        <v>LUP - Invitación webinar NL y RCV - nefro</v>
      </c>
      <c r="C15394" s="3" t="str">
        <f>HYPERLINK("https://otsuka-europe-crm.veevavault.com/ui/#object/sent_email__v/VBLZ025E82HQ68N", "SE-000288891")</f>
        <v>SE-000288891</v>
      </c>
      <c r="D15394" s="1" t="s">
        <v>0</v>
      </c>
      <c r="E15394" s="2">
        <v>0</v>
      </c>
      <c r="F15394" s="2">
        <v>0</v>
      </c>
      <c r="G15394" s="2">
        <v>0</v>
      </c>
      <c r="H15394" s="1" t="s">
        <v>0</v>
      </c>
      <c r="I15394" s="2">
        <v>0</v>
      </c>
      <c r="J15394" s="1">
        <v>45952.377500000002</v>
      </c>
    </row>
    <row r="15395" spans="1:10" x14ac:dyDescent="0.2">
      <c r="A15395" s="4" t="s">
        <v>1</v>
      </c>
      <c r="B15395" s="3" t="str">
        <f>HYPERLINK("https://otsuka-europe-crm.veevavault.com/ui/#object/approved_document__v/V5OZ025E82USSZ5", "LUP - Invitación webinar NL y RCV - nefro")</f>
        <v>LUP - Invitación webinar NL y RCV - nefro</v>
      </c>
      <c r="C15395" s="3" t="str">
        <f>HYPERLINK("https://otsuka-europe-crm.veevavault.com/ui/#object/sent_email__v/VBLZ025E82HQ68O", "SE-000288892")</f>
        <v>SE-000288892</v>
      </c>
      <c r="D15395" s="1">
        <v>45952.452002314814</v>
      </c>
      <c r="E15395" s="2">
        <v>1</v>
      </c>
      <c r="F15395" s="2">
        <v>5</v>
      </c>
      <c r="G15395" s="2">
        <v>0</v>
      </c>
      <c r="H15395" s="1" t="s">
        <v>0</v>
      </c>
      <c r="I15395" s="2">
        <v>0</v>
      </c>
      <c r="J15395" s="1">
        <v>45952.377523148149</v>
      </c>
    </row>
    <row r="15396" spans="1:10" x14ac:dyDescent="0.2">
      <c r="A15396" s="4" t="s">
        <v>1</v>
      </c>
      <c r="B15396" s="3" t="str">
        <f>HYPERLINK("https://otsuka-europe-crm.veevavault.com/ui/#object/approved_document__v/V5OZ025E82USSZ5", "LUP - Invitación webinar NL y RCV - nefro")</f>
        <v>LUP - Invitación webinar NL y RCV - nefro</v>
      </c>
      <c r="C15396" s="3" t="str">
        <f>HYPERLINK("https://otsuka-europe-crm.veevavault.com/ui/#object/sent_email__v/VBLZ025E82HQ68P", "SE-000288893")</f>
        <v>SE-000288893</v>
      </c>
      <c r="D15396" s="1" t="s">
        <v>0</v>
      </c>
      <c r="E15396" s="2">
        <v>0</v>
      </c>
      <c r="F15396" s="2">
        <v>0</v>
      </c>
      <c r="G15396" s="2">
        <v>0</v>
      </c>
      <c r="H15396" s="1" t="s">
        <v>0</v>
      </c>
      <c r="I15396" s="2">
        <v>0</v>
      </c>
      <c r="J15396" s="1">
        <v>45952.377453703702</v>
      </c>
    </row>
    <row r="15397" spans="1:10" x14ac:dyDescent="0.2">
      <c r="A15397" s="4" t="s">
        <v>1</v>
      </c>
      <c r="B15397" s="3" t="str">
        <f>HYPERLINK("https://otsuka-europe-crm.veevavault.com/ui/#object/approved_document__v/V5OZ025E82USSZ5", "LUP - Invitación webinar NL y RCV - nefro")</f>
        <v>LUP - Invitación webinar NL y RCV - nefro</v>
      </c>
      <c r="C15397" s="3" t="str">
        <f>HYPERLINK("https://otsuka-europe-crm.veevavault.com/ui/#object/sent_email__v/VBLZ025E82HQ68Q", "SE-000288894")</f>
        <v>SE-000288894</v>
      </c>
      <c r="D15397" s="1" t="s">
        <v>0</v>
      </c>
      <c r="E15397" s="2">
        <v>0</v>
      </c>
      <c r="F15397" s="2">
        <v>0</v>
      </c>
      <c r="G15397" s="2">
        <v>0</v>
      </c>
      <c r="H15397" s="1" t="s">
        <v>0</v>
      </c>
      <c r="I15397" s="2">
        <v>0</v>
      </c>
      <c r="J15397" s="1">
        <v>45952.377453703702</v>
      </c>
    </row>
    <row r="15398" spans="1:10" x14ac:dyDescent="0.2">
      <c r="A15398" s="4" t="s">
        <v>1</v>
      </c>
      <c r="B15398" s="3" t="str">
        <f>HYPERLINK("https://otsuka-europe-crm.veevavault.com/ui/#object/approved_document__v/V5OZ025E82USSZ5", "LUP - Invitación webinar NL y RCV - nefro")</f>
        <v>LUP - Invitación webinar NL y RCV - nefro</v>
      </c>
      <c r="C15398" s="3" t="str">
        <f>HYPERLINK("https://otsuka-europe-crm.veevavault.com/ui/#object/sent_email__v/VBLZ025E82HQ68R", "SE-000288895")</f>
        <v>SE-000288895</v>
      </c>
      <c r="D15398" s="1">
        <v>45957.736481481479</v>
      </c>
      <c r="E15398" s="2">
        <v>1</v>
      </c>
      <c r="F15398" s="2">
        <v>1</v>
      </c>
      <c r="G15398" s="2">
        <v>0</v>
      </c>
      <c r="H15398" s="1" t="s">
        <v>0</v>
      </c>
      <c r="I15398" s="2">
        <v>0</v>
      </c>
      <c r="J15398" s="1">
        <v>45952.377465277779</v>
      </c>
    </row>
    <row r="15399" spans="1:10" x14ac:dyDescent="0.2">
      <c r="A15399" s="4" t="s">
        <v>1</v>
      </c>
      <c r="B15399" s="3" t="str">
        <f>HYPERLINK("https://otsuka-europe-crm.veevavault.com/ui/#object/approved_document__v/V5OZ025E82USSZ5", "LUP - Invitación webinar NL y RCV - nefro")</f>
        <v>LUP - Invitación webinar NL y RCV - nefro</v>
      </c>
      <c r="C15399" s="3" t="str">
        <f>HYPERLINK("https://otsuka-europe-crm.veevavault.com/ui/#object/sent_email__v/VBLZ025E82HQ68S", "SE-000288896")</f>
        <v>SE-000288896</v>
      </c>
      <c r="D15399" s="1" t="s">
        <v>0</v>
      </c>
      <c r="E15399" s="2">
        <v>0</v>
      </c>
      <c r="F15399" s="2">
        <v>0</v>
      </c>
      <c r="G15399" s="2">
        <v>0</v>
      </c>
      <c r="H15399" s="1" t="s">
        <v>0</v>
      </c>
      <c r="I15399" s="2">
        <v>0</v>
      </c>
      <c r="J15399" s="1">
        <v>45952.377488425926</v>
      </c>
    </row>
    <row r="15400" spans="1:10" x14ac:dyDescent="0.2">
      <c r="A15400" s="4" t="s">
        <v>1</v>
      </c>
      <c r="B15400" s="3" t="str">
        <f>HYPERLINK("https://otsuka-europe-crm.veevavault.com/ui/#object/approved_document__v/V5OZ025E82USSZ5", "LUP - Invitación webinar NL y RCV - nefro")</f>
        <v>LUP - Invitación webinar NL y RCV - nefro</v>
      </c>
      <c r="C15400" s="3" t="str">
        <f>HYPERLINK("https://otsuka-europe-crm.veevavault.com/ui/#object/sent_email__v/VBLZ025E82HQ68T", "SE-000288897")</f>
        <v>SE-000288897</v>
      </c>
      <c r="D15400" s="1">
        <v>45952.814074074071</v>
      </c>
      <c r="E15400" s="2">
        <v>1</v>
      </c>
      <c r="F15400" s="2">
        <v>2</v>
      </c>
      <c r="G15400" s="2">
        <v>0</v>
      </c>
      <c r="H15400" s="1" t="s">
        <v>0</v>
      </c>
      <c r="I15400" s="2">
        <v>0</v>
      </c>
      <c r="J15400" s="1">
        <v>45952.377488425926</v>
      </c>
    </row>
    <row r="15401" spans="1:10" x14ac:dyDescent="0.2">
      <c r="A15401" s="4" t="s">
        <v>1</v>
      </c>
      <c r="B15401" s="3" t="str">
        <f>HYPERLINK("https://otsuka-europe-crm.veevavault.com/ui/#object/approved_document__v/V5OZ025E82USSZ5", "LUP - Invitación webinar NL y RCV - nefro")</f>
        <v>LUP - Invitación webinar NL y RCV - nefro</v>
      </c>
      <c r="C15401" s="3" t="str">
        <f>HYPERLINK("https://otsuka-europe-crm.veevavault.com/ui/#object/sent_email__v/VBLZ025E82HQ68U", "SE-000288898")</f>
        <v>SE-000288898</v>
      </c>
      <c r="D15401" s="1">
        <v>45952.799317129633</v>
      </c>
      <c r="E15401" s="2">
        <v>1</v>
      </c>
      <c r="F15401" s="2">
        <v>1</v>
      </c>
      <c r="G15401" s="2">
        <v>0</v>
      </c>
      <c r="H15401" s="1" t="s">
        <v>0</v>
      </c>
      <c r="I15401" s="2">
        <v>0</v>
      </c>
      <c r="J15401" s="1">
        <v>45952.377488425926</v>
      </c>
    </row>
    <row r="15402" spans="1:10" x14ac:dyDescent="0.2">
      <c r="A15402" s="4" t="s">
        <v>1</v>
      </c>
      <c r="B15402" s="3" t="str">
        <f>HYPERLINK("https://otsuka-europe-crm.veevavault.com/ui/#object/approved_document__v/V5OZ025E82USSZ5", "LUP - Invitación webinar NL y RCV - nefro")</f>
        <v>LUP - Invitación webinar NL y RCV - nefro</v>
      </c>
      <c r="C15402" s="3" t="str">
        <f>HYPERLINK("https://otsuka-europe-crm.veevavault.com/ui/#object/sent_email__v/VBLZ025E82HQ68V", "SE-000288899")</f>
        <v>SE-000288899</v>
      </c>
      <c r="D15402" s="1">
        <v>45952.445196759261</v>
      </c>
      <c r="E15402" s="2">
        <v>1</v>
      </c>
      <c r="F15402" s="2">
        <v>3</v>
      </c>
      <c r="G15402" s="2">
        <v>0</v>
      </c>
      <c r="H15402" s="1" t="s">
        <v>0</v>
      </c>
      <c r="I15402" s="2">
        <v>0</v>
      </c>
      <c r="J15402" s="1">
        <v>45952.377488425926</v>
      </c>
    </row>
    <row r="15403" spans="1:10" x14ac:dyDescent="0.2">
      <c r="A15403" s="4" t="s">
        <v>1</v>
      </c>
      <c r="B15403" s="3" t="str">
        <f>HYPERLINK("https://otsuka-europe-crm.veevavault.com/ui/#object/approved_document__v/V5OZ025E82USSZ5", "LUP - Invitación webinar NL y RCV - nefro")</f>
        <v>LUP - Invitación webinar NL y RCV - nefro</v>
      </c>
      <c r="C15403" s="3" t="str">
        <f>HYPERLINK("https://otsuka-europe-crm.veevavault.com/ui/#object/sent_email__v/VBLZ025E82HQ68W", "SE-000288900")</f>
        <v>SE-000288900</v>
      </c>
      <c r="D15403" s="1">
        <v>45952.89640046296</v>
      </c>
      <c r="E15403" s="2">
        <v>1</v>
      </c>
      <c r="F15403" s="2">
        <v>1</v>
      </c>
      <c r="G15403" s="2">
        <v>0</v>
      </c>
      <c r="H15403" s="1" t="s">
        <v>0</v>
      </c>
      <c r="I15403" s="2">
        <v>0</v>
      </c>
      <c r="J15403" s="1">
        <v>45952.377476851849</v>
      </c>
    </row>
    <row r="15404" spans="1:10" x14ac:dyDescent="0.2">
      <c r="A15404" s="4" t="s">
        <v>1</v>
      </c>
      <c r="B15404" s="3" t="str">
        <f>HYPERLINK("https://otsuka-europe-crm.veevavault.com/ui/#object/approved_document__v/V5OZ025E82USSZ5", "LUP - Invitación webinar NL y RCV - nefro")</f>
        <v>LUP - Invitación webinar NL y RCV - nefro</v>
      </c>
      <c r="C15404" s="3" t="str">
        <f>HYPERLINK("https://otsuka-europe-crm.veevavault.com/ui/#object/sent_email__v/VBLZ025E82HQ68X", "SE-000288901")</f>
        <v>SE-000288901</v>
      </c>
      <c r="D15404" s="1" t="s">
        <v>0</v>
      </c>
      <c r="E15404" s="2">
        <v>0</v>
      </c>
      <c r="F15404" s="2">
        <v>0</v>
      </c>
      <c r="G15404" s="2">
        <v>0</v>
      </c>
      <c r="H15404" s="1" t="s">
        <v>0</v>
      </c>
      <c r="I15404" s="2">
        <v>0</v>
      </c>
      <c r="J15404" s="1">
        <v>45952.377500000002</v>
      </c>
    </row>
    <row r="15405" spans="1:10" x14ac:dyDescent="0.2">
      <c r="A15405" s="4" t="s">
        <v>1</v>
      </c>
      <c r="B15405" s="3" t="str">
        <f>HYPERLINK("https://otsuka-europe-crm.veevavault.com/ui/#object/approved_document__v/V5OZ025E82USSZ5", "LUP - Invitación webinar NL y RCV - nefro")</f>
        <v>LUP - Invitación webinar NL y RCV - nefro</v>
      </c>
      <c r="C15405" s="3" t="str">
        <f>HYPERLINK("https://otsuka-europe-crm.veevavault.com/ui/#object/sent_email__v/VBLZ025E82HQ68Y", "SE-000288902")</f>
        <v>SE-000288902</v>
      </c>
      <c r="D15405" s="1">
        <v>45952.378854166665</v>
      </c>
      <c r="E15405" s="2">
        <v>1</v>
      </c>
      <c r="F15405" s="2">
        <v>1</v>
      </c>
      <c r="G15405" s="2">
        <v>0</v>
      </c>
      <c r="H15405" s="1" t="s">
        <v>0</v>
      </c>
      <c r="I15405" s="2">
        <v>0</v>
      </c>
      <c r="J15405" s="1">
        <v>45952.377500000002</v>
      </c>
    </row>
    <row r="15406" spans="1:10" x14ac:dyDescent="0.2">
      <c r="A15406" s="4" t="s">
        <v>1</v>
      </c>
      <c r="B15406" s="3" t="str">
        <f>HYPERLINK("https://otsuka-europe-crm.veevavault.com/ui/#object/approved_document__v/V5OZ025E82USSZ5", "LUP - Invitación webinar NL y RCV - nefro")</f>
        <v>LUP - Invitación webinar NL y RCV - nefro</v>
      </c>
      <c r="C15406" s="3" t="str">
        <f>HYPERLINK("https://otsuka-europe-crm.veevavault.com/ui/#object/sent_email__v/VBLZ025E82HQ68Z", "SE-000288903")</f>
        <v>SE-000288903</v>
      </c>
      <c r="D15406" s="1">
        <v>45952.402395833335</v>
      </c>
      <c r="E15406" s="2">
        <v>1</v>
      </c>
      <c r="F15406" s="2">
        <v>1</v>
      </c>
      <c r="G15406" s="2">
        <v>0</v>
      </c>
      <c r="H15406" s="1" t="s">
        <v>0</v>
      </c>
      <c r="I15406" s="2">
        <v>0</v>
      </c>
      <c r="J15406" s="1">
        <v>45952.377476851849</v>
      </c>
    </row>
    <row r="15407" spans="1:10" x14ac:dyDescent="0.2">
      <c r="A15407" s="4" t="s">
        <v>1</v>
      </c>
      <c r="B15407" s="3" t="str">
        <f>HYPERLINK("https://otsuka-europe-crm.veevavault.com/ui/#object/approved_document__v/V5OZ025E82USSZ5", "LUP - Invitación webinar NL y RCV - nefro")</f>
        <v>LUP - Invitación webinar NL y RCV - nefro</v>
      </c>
      <c r="C15407" s="3" t="str">
        <f>HYPERLINK("https://otsuka-europe-crm.veevavault.com/ui/#object/sent_email__v/VBLZ025E82HQ690", "SE-000288904")</f>
        <v>SE-000288904</v>
      </c>
      <c r="D15407" s="1" t="s">
        <v>0</v>
      </c>
      <c r="E15407" s="2">
        <v>0</v>
      </c>
      <c r="F15407" s="2">
        <v>0</v>
      </c>
      <c r="G15407" s="2">
        <v>0</v>
      </c>
      <c r="H15407" s="1" t="s">
        <v>0</v>
      </c>
      <c r="I15407" s="2">
        <v>0</v>
      </c>
      <c r="J15407" s="1">
        <v>45952.377442129633</v>
      </c>
    </row>
    <row r="15408" spans="1:10" x14ac:dyDescent="0.2">
      <c r="A15408" s="4" t="s">
        <v>1</v>
      </c>
      <c r="B15408" s="3" t="str">
        <f>HYPERLINK("https://otsuka-europe-crm.veevavault.com/ui/#object/approved_document__v/V5OZ025E82USSZ5", "LUP - Invitación webinar NL y RCV - nefro")</f>
        <v>LUP - Invitación webinar NL y RCV - nefro</v>
      </c>
      <c r="C15408" s="3" t="str">
        <f>HYPERLINK("https://otsuka-europe-crm.veevavault.com/ui/#object/sent_email__v/VBLZ025E82HQ691", "SE-000288905")</f>
        <v>SE-000288905</v>
      </c>
      <c r="D15408" s="1" t="s">
        <v>0</v>
      </c>
      <c r="E15408" s="2">
        <v>0</v>
      </c>
      <c r="F15408" s="2">
        <v>0</v>
      </c>
      <c r="G15408" s="2">
        <v>0</v>
      </c>
      <c r="H15408" s="1" t="s">
        <v>0</v>
      </c>
      <c r="I15408" s="2">
        <v>0</v>
      </c>
      <c r="J15408" s="1">
        <v>45952.377453703702</v>
      </c>
    </row>
    <row r="15409" spans="1:10" x14ac:dyDescent="0.2">
      <c r="A15409" s="4" t="s">
        <v>1</v>
      </c>
      <c r="B15409" s="3" t="str">
        <f>HYPERLINK("https://otsuka-europe-crm.veevavault.com/ui/#object/approved_document__v/V5OZ025E82USSZ5", "LUP - Invitación webinar NL y RCV - nefro")</f>
        <v>LUP - Invitación webinar NL y RCV - nefro</v>
      </c>
      <c r="C15409" s="3" t="str">
        <f>HYPERLINK("https://otsuka-europe-crm.veevavault.com/ui/#object/sent_email__v/VBLZ025E82HQ692", "SE-000288906")</f>
        <v>SE-000288906</v>
      </c>
      <c r="D15409" s="1" t="s">
        <v>0</v>
      </c>
      <c r="E15409" s="2">
        <v>0</v>
      </c>
      <c r="F15409" s="2">
        <v>0</v>
      </c>
      <c r="G15409" s="2">
        <v>0</v>
      </c>
      <c r="H15409" s="1" t="s">
        <v>0</v>
      </c>
      <c r="I15409" s="2">
        <v>0</v>
      </c>
      <c r="J15409" s="1">
        <v>45952.377500000002</v>
      </c>
    </row>
    <row r="15410" spans="1:10" x14ac:dyDescent="0.2">
      <c r="A15410" s="4" t="s">
        <v>1</v>
      </c>
      <c r="B15410" s="3" t="str">
        <f>HYPERLINK("https://otsuka-europe-crm.veevavault.com/ui/#object/approved_document__v/V5OZ025E82USSZ5", "LUP - Invitación webinar NL y RCV - nefro")</f>
        <v>LUP - Invitación webinar NL y RCV - nefro</v>
      </c>
      <c r="C15410" s="3" t="str">
        <f>HYPERLINK("https://otsuka-europe-crm.veevavault.com/ui/#object/sent_email__v/VBLZ025E82HQ693", "SE-000288907")</f>
        <v>SE-000288907</v>
      </c>
      <c r="D15410" s="1" t="s">
        <v>0</v>
      </c>
      <c r="E15410" s="2">
        <v>0</v>
      </c>
      <c r="F15410" s="2">
        <v>0</v>
      </c>
      <c r="G15410" s="2">
        <v>0</v>
      </c>
      <c r="H15410" s="1" t="s">
        <v>0</v>
      </c>
      <c r="I15410" s="2">
        <v>0</v>
      </c>
      <c r="J15410" s="1">
        <v>45952.377500000002</v>
      </c>
    </row>
    <row r="15411" spans="1:10" x14ac:dyDescent="0.2">
      <c r="A15411" s="4" t="s">
        <v>1</v>
      </c>
      <c r="B15411" s="3" t="str">
        <f>HYPERLINK("https://otsuka-europe-crm.veevavault.com/ui/#object/approved_document__v/V5OZ025E82USSZ5", "LUP - Invitación webinar NL y RCV - nefro")</f>
        <v>LUP - Invitación webinar NL y RCV - nefro</v>
      </c>
      <c r="C15411" s="3" t="str">
        <f>HYPERLINK("https://otsuka-europe-crm.veevavault.com/ui/#object/sent_email__v/VBLZ025E82HQ694", "SE-000288908")</f>
        <v>SE-000288908</v>
      </c>
      <c r="D15411" s="1" t="s">
        <v>0</v>
      </c>
      <c r="E15411" s="2">
        <v>0</v>
      </c>
      <c r="F15411" s="2">
        <v>0</v>
      </c>
      <c r="G15411" s="2">
        <v>0</v>
      </c>
      <c r="H15411" s="1" t="s">
        <v>0</v>
      </c>
      <c r="I15411" s="2">
        <v>0</v>
      </c>
      <c r="J15411" s="1">
        <v>45952.377476851849</v>
      </c>
    </row>
    <row r="15412" spans="1:10" x14ac:dyDescent="0.2">
      <c r="A15412" s="4" t="s">
        <v>1</v>
      </c>
      <c r="B15412" s="3" t="str">
        <f>HYPERLINK("https://otsuka-europe-crm.veevavault.com/ui/#object/approved_document__v/V5OZ025E82USSZ5", "LUP - Invitación webinar NL y RCV - nefro")</f>
        <v>LUP - Invitación webinar NL y RCV - nefro</v>
      </c>
      <c r="C15412" s="3" t="str">
        <f>HYPERLINK("https://otsuka-europe-crm.veevavault.com/ui/#object/sent_email__v/VBLZ025E82HQ695", "SE-000288909")</f>
        <v>SE-000288909</v>
      </c>
      <c r="D15412" s="1" t="s">
        <v>0</v>
      </c>
      <c r="E15412" s="2">
        <v>0</v>
      </c>
      <c r="F15412" s="2">
        <v>0</v>
      </c>
      <c r="G15412" s="2">
        <v>0</v>
      </c>
      <c r="H15412" s="1" t="s">
        <v>0</v>
      </c>
      <c r="I15412" s="2">
        <v>0</v>
      </c>
      <c r="J15412" s="1">
        <v>45952.377500000002</v>
      </c>
    </row>
    <row r="15413" spans="1:10" x14ac:dyDescent="0.2">
      <c r="A15413" s="4" t="s">
        <v>1</v>
      </c>
      <c r="B15413" s="3" t="str">
        <f>HYPERLINK("https://otsuka-europe-crm.veevavault.com/ui/#object/approved_document__v/V5OZ025E82USSZ5", "LUP - Invitación webinar NL y RCV - nefro")</f>
        <v>LUP - Invitación webinar NL y RCV - nefro</v>
      </c>
      <c r="C15413" s="3" t="str">
        <f>HYPERLINK("https://otsuka-europe-crm.veevavault.com/ui/#object/sent_email__v/VBLZ025E82HQ696", "SE-000288910")</f>
        <v>SE-000288910</v>
      </c>
      <c r="D15413" s="1" t="s">
        <v>0</v>
      </c>
      <c r="E15413" s="2">
        <v>0</v>
      </c>
      <c r="F15413" s="2">
        <v>0</v>
      </c>
      <c r="G15413" s="2">
        <v>0</v>
      </c>
      <c r="H15413" s="1" t="s">
        <v>0</v>
      </c>
      <c r="I15413" s="2">
        <v>0</v>
      </c>
      <c r="J15413" s="1">
        <v>45952.377488425926</v>
      </c>
    </row>
    <row r="15414" spans="1:10" x14ac:dyDescent="0.2">
      <c r="A15414" s="4" t="s">
        <v>1</v>
      </c>
      <c r="B15414" s="3" t="str">
        <f>HYPERLINK("https://otsuka-europe-crm.veevavault.com/ui/#object/approved_document__v/V5OZ025E82USSZ5", "LUP - Invitación webinar NL y RCV - nefro")</f>
        <v>LUP - Invitación webinar NL y RCV - nefro</v>
      </c>
      <c r="C15414" s="3" t="str">
        <f>HYPERLINK("https://otsuka-europe-crm.veevavault.com/ui/#object/sent_email__v/VBLZ025E82HQ697", "SE-000288911")</f>
        <v>SE-000288911</v>
      </c>
      <c r="D15414" s="1" t="s">
        <v>0</v>
      </c>
      <c r="E15414" s="2">
        <v>0</v>
      </c>
      <c r="F15414" s="2">
        <v>0</v>
      </c>
      <c r="G15414" s="2">
        <v>0</v>
      </c>
      <c r="H15414" s="1" t="s">
        <v>0</v>
      </c>
      <c r="I15414" s="2">
        <v>0</v>
      </c>
      <c r="J15414" s="1">
        <v>45952.377453703702</v>
      </c>
    </row>
    <row r="15415" spans="1:10" x14ac:dyDescent="0.2">
      <c r="A15415" s="4" t="s">
        <v>1</v>
      </c>
      <c r="B15415" s="3" t="str">
        <f>HYPERLINK("https://otsuka-europe-crm.veevavault.com/ui/#object/approved_document__v/V5OZ025E82USSZ5", "LUP - Invitación webinar NL y RCV - nefro")</f>
        <v>LUP - Invitación webinar NL y RCV - nefro</v>
      </c>
      <c r="C15415" s="3" t="str">
        <f>HYPERLINK("https://otsuka-europe-crm.veevavault.com/ui/#object/sent_email__v/VBLZ025E82HQ698", "SE-000288912")</f>
        <v>SE-000288912</v>
      </c>
      <c r="D15415" s="1" t="s">
        <v>0</v>
      </c>
      <c r="E15415" s="2">
        <v>0</v>
      </c>
      <c r="F15415" s="2">
        <v>0</v>
      </c>
      <c r="G15415" s="2">
        <v>0</v>
      </c>
      <c r="H15415" s="1" t="s">
        <v>0</v>
      </c>
      <c r="I15415" s="2">
        <v>0</v>
      </c>
      <c r="J15415" s="1">
        <v>45952.377442129633</v>
      </c>
    </row>
    <row r="15416" spans="1:10" x14ac:dyDescent="0.2">
      <c r="A15416" s="4" t="s">
        <v>1</v>
      </c>
      <c r="B15416" s="3" t="str">
        <f>HYPERLINK("https://otsuka-europe-crm.veevavault.com/ui/#object/approved_document__v/V5OZ025E82USSZ5", "LUP - Invitación webinar NL y RCV - nefro")</f>
        <v>LUP - Invitación webinar NL y RCV - nefro</v>
      </c>
      <c r="C15416" s="3" t="str">
        <f>HYPERLINK("https://otsuka-europe-crm.veevavault.com/ui/#object/sent_email__v/VBLZ025E82HQ699", "SE-000288913")</f>
        <v>SE-000288913</v>
      </c>
      <c r="D15416" s="1" t="s">
        <v>0</v>
      </c>
      <c r="E15416" s="2">
        <v>0</v>
      </c>
      <c r="F15416" s="2">
        <v>0</v>
      </c>
      <c r="G15416" s="2">
        <v>0</v>
      </c>
      <c r="H15416" s="1" t="s">
        <v>0</v>
      </c>
      <c r="I15416" s="2">
        <v>0</v>
      </c>
      <c r="J15416" s="1">
        <v>45952.377488425926</v>
      </c>
    </row>
    <row r="15417" spans="1:10" x14ac:dyDescent="0.2">
      <c r="A15417" s="4" t="s">
        <v>1</v>
      </c>
      <c r="B15417" s="3" t="str">
        <f>HYPERLINK("https://otsuka-europe-crm.veevavault.com/ui/#object/approved_document__v/V5OZ025E82USSZ5", "LUP - Invitación webinar NL y RCV - nefro")</f>
        <v>LUP - Invitación webinar NL y RCV - nefro</v>
      </c>
      <c r="C15417" s="3" t="str">
        <f>HYPERLINK("https://otsuka-europe-crm.veevavault.com/ui/#object/sent_email__v/VBLZ025E82HQ69A", "SE-000288914")</f>
        <v>SE-000288914</v>
      </c>
      <c r="D15417" s="1">
        <v>45952.872002314813</v>
      </c>
      <c r="E15417" s="2">
        <v>1</v>
      </c>
      <c r="F15417" s="2">
        <v>3</v>
      </c>
      <c r="G15417" s="2">
        <v>1</v>
      </c>
      <c r="H15417" s="1">
        <v>45952.873310185183</v>
      </c>
      <c r="I15417" s="2">
        <v>1</v>
      </c>
      <c r="J15417" s="1">
        <v>45952.377476851849</v>
      </c>
    </row>
    <row r="15418" spans="1:10" x14ac:dyDescent="0.2">
      <c r="A15418" s="4" t="s">
        <v>1</v>
      </c>
      <c r="B15418" s="3" t="str">
        <f>HYPERLINK("https://otsuka-europe-crm.veevavault.com/ui/#object/approved_document__v/V5OZ025E82USSZ5", "LUP - Invitación webinar NL y RCV - nefro")</f>
        <v>LUP - Invitación webinar NL y RCV - nefro</v>
      </c>
      <c r="C15418" s="3" t="str">
        <f>HYPERLINK("https://otsuka-europe-crm.veevavault.com/ui/#object/sent_email__v/VBLZ025E82HQ69B", "SE-000288915")</f>
        <v>SE-000288915</v>
      </c>
      <c r="D15418" s="1">
        <v>45952.386469907404</v>
      </c>
      <c r="E15418" s="2">
        <v>1</v>
      </c>
      <c r="F15418" s="2">
        <v>1</v>
      </c>
      <c r="G15418" s="2">
        <v>0</v>
      </c>
      <c r="H15418" s="1" t="s">
        <v>0</v>
      </c>
      <c r="I15418" s="2">
        <v>0</v>
      </c>
      <c r="J15418" s="1">
        <v>45952.377488425926</v>
      </c>
    </row>
    <row r="15419" spans="1:10" x14ac:dyDescent="0.2">
      <c r="A15419" s="4" t="s">
        <v>1</v>
      </c>
      <c r="B15419" s="3" t="str">
        <f>HYPERLINK("https://otsuka-europe-crm.veevavault.com/ui/#object/approved_document__v/V5OZ025E82USSZ5", "LUP - Invitación webinar NL y RCV - nefro")</f>
        <v>LUP - Invitación webinar NL y RCV - nefro</v>
      </c>
      <c r="C15419" s="3" t="str">
        <f>HYPERLINK("https://otsuka-europe-crm.veevavault.com/ui/#object/sent_email__v/VBLZ025E82HQ69C", "SE-000288916")</f>
        <v>SE-000288916</v>
      </c>
      <c r="D15419" s="1" t="s">
        <v>0</v>
      </c>
      <c r="E15419" s="2">
        <v>0</v>
      </c>
      <c r="F15419" s="2">
        <v>0</v>
      </c>
      <c r="G15419" s="2">
        <v>0</v>
      </c>
      <c r="H15419" s="1" t="s">
        <v>0</v>
      </c>
      <c r="I15419" s="2">
        <v>0</v>
      </c>
      <c r="J15419" s="1">
        <v>45952.377488425926</v>
      </c>
    </row>
    <row r="15420" spans="1:10" x14ac:dyDescent="0.2">
      <c r="A15420" s="4" t="s">
        <v>1</v>
      </c>
      <c r="B15420" s="3" t="str">
        <f>HYPERLINK("https://otsuka-europe-crm.veevavault.com/ui/#object/approved_document__v/V5OZ025E82USSZ5", "LUP - Invitación webinar NL y RCV - nefro")</f>
        <v>LUP - Invitación webinar NL y RCV - nefro</v>
      </c>
      <c r="C15420" s="3" t="str">
        <f>HYPERLINK("https://otsuka-europe-crm.veevavault.com/ui/#object/sent_email__v/VBLZ025E82HQ69D", "SE-000288917")</f>
        <v>SE-000288917</v>
      </c>
      <c r="D15420" s="1" t="s">
        <v>0</v>
      </c>
      <c r="E15420" s="2">
        <v>0</v>
      </c>
      <c r="F15420" s="2">
        <v>0</v>
      </c>
      <c r="G15420" s="2">
        <v>0</v>
      </c>
      <c r="H15420" s="1" t="s">
        <v>0</v>
      </c>
      <c r="I15420" s="2">
        <v>0</v>
      </c>
      <c r="J15420" s="1">
        <v>45952.377465277779</v>
      </c>
    </row>
    <row r="15421" spans="1:10" x14ac:dyDescent="0.2">
      <c r="A15421" s="4" t="s">
        <v>1</v>
      </c>
      <c r="B15421" s="3" t="str">
        <f>HYPERLINK("https://otsuka-europe-crm.veevavault.com/ui/#object/approved_document__v/V5OZ025E82USSZ5", "LUP - Invitación webinar NL y RCV - nefro")</f>
        <v>LUP - Invitación webinar NL y RCV - nefro</v>
      </c>
      <c r="C15421" s="3" t="str">
        <f>HYPERLINK("https://otsuka-europe-crm.veevavault.com/ui/#object/sent_email__v/VBLZ025E82HQ69E", "SE-000288918")</f>
        <v>SE-000288918</v>
      </c>
      <c r="D15421" s="1">
        <v>45952.377569444441</v>
      </c>
      <c r="E15421" s="2">
        <v>1</v>
      </c>
      <c r="F15421" s="2">
        <v>1</v>
      </c>
      <c r="G15421" s="2">
        <v>0</v>
      </c>
      <c r="H15421" s="1" t="s">
        <v>0</v>
      </c>
      <c r="I15421" s="2">
        <v>0</v>
      </c>
      <c r="J15421" s="1">
        <v>45952.377500000002</v>
      </c>
    </row>
    <row r="15422" spans="1:10" x14ac:dyDescent="0.2">
      <c r="A15422" s="4" t="s">
        <v>1</v>
      </c>
      <c r="B15422" s="3" t="str">
        <f>HYPERLINK("https://otsuka-europe-crm.veevavault.com/ui/#object/approved_document__v/V5OZ025E82USSZ5", "LUP - Invitación webinar NL y RCV - nefro")</f>
        <v>LUP - Invitación webinar NL y RCV - nefro</v>
      </c>
      <c r="C15422" s="3" t="str">
        <f>HYPERLINK("https://otsuka-europe-crm.veevavault.com/ui/#object/sent_email__v/VBLZ025E82HQ69F", "SE-000288919")</f>
        <v>SE-000288919</v>
      </c>
      <c r="D15422" s="1" t="s">
        <v>0</v>
      </c>
      <c r="E15422" s="2">
        <v>0</v>
      </c>
      <c r="F15422" s="2">
        <v>0</v>
      </c>
      <c r="G15422" s="2">
        <v>0</v>
      </c>
      <c r="H15422" s="1" t="s">
        <v>0</v>
      </c>
      <c r="I15422" s="2">
        <v>0</v>
      </c>
      <c r="J15422" s="1">
        <v>45952.377476851849</v>
      </c>
    </row>
    <row r="15423" spans="1:10" x14ac:dyDescent="0.2">
      <c r="A15423" s="4" t="s">
        <v>1</v>
      </c>
      <c r="B15423" s="3" t="str">
        <f>HYPERLINK("https://otsuka-europe-crm.veevavault.com/ui/#object/approved_document__v/V5OZ025E82USSZ5", "LUP - Invitación webinar NL y RCV - nefro")</f>
        <v>LUP - Invitación webinar NL y RCV - nefro</v>
      </c>
      <c r="C15423" s="3" t="str">
        <f>HYPERLINK("https://otsuka-europe-crm.veevavault.com/ui/#object/sent_email__v/VBLZ025E82HQ69G", "SE-000288920")</f>
        <v>SE-000288920</v>
      </c>
      <c r="D15423" s="1" t="s">
        <v>0</v>
      </c>
      <c r="E15423" s="2">
        <v>0</v>
      </c>
      <c r="F15423" s="2">
        <v>0</v>
      </c>
      <c r="G15423" s="2">
        <v>0</v>
      </c>
      <c r="H15423" s="1" t="s">
        <v>0</v>
      </c>
      <c r="I15423" s="2">
        <v>0</v>
      </c>
      <c r="J15423" s="1">
        <v>45952.377453703702</v>
      </c>
    </row>
    <row r="15424" spans="1:10" x14ac:dyDescent="0.2">
      <c r="A15424" s="4" t="s">
        <v>1</v>
      </c>
      <c r="B15424" s="3" t="str">
        <f>HYPERLINK("https://otsuka-europe-crm.veevavault.com/ui/#object/approved_document__v/V5OZ025E82USSZ5", "LUP - Invitación webinar NL y RCV - nefro")</f>
        <v>LUP - Invitación webinar NL y RCV - nefro</v>
      </c>
      <c r="C15424" s="3" t="str">
        <f>HYPERLINK("https://otsuka-europe-crm.veevavault.com/ui/#object/sent_email__v/VBLZ025E82HQ69H", "SE-000288921")</f>
        <v>SE-000288921</v>
      </c>
      <c r="D15424" s="1">
        <v>45952.552847222221</v>
      </c>
      <c r="E15424" s="2">
        <v>1</v>
      </c>
      <c r="F15424" s="2">
        <v>1</v>
      </c>
      <c r="G15424" s="2">
        <v>1</v>
      </c>
      <c r="H15424" s="1">
        <v>45952.552847222221</v>
      </c>
      <c r="I15424" s="2">
        <v>1</v>
      </c>
      <c r="J15424" s="1">
        <v>45952.377476851849</v>
      </c>
    </row>
    <row r="15425" spans="1:10" x14ac:dyDescent="0.2">
      <c r="A15425" s="4" t="s">
        <v>1</v>
      </c>
      <c r="B15425" s="3" t="str">
        <f>HYPERLINK("https://otsuka-europe-crm.veevavault.com/ui/#object/approved_document__v/V5OZ025E82USSZ5", "LUP - Invitación webinar NL y RCV - nefro")</f>
        <v>LUP - Invitación webinar NL y RCV - nefro</v>
      </c>
      <c r="C15425" s="3" t="str">
        <f>HYPERLINK("https://otsuka-europe-crm.veevavault.com/ui/#object/sent_email__v/VBLZ025E82HQ69I", "SE-000288922")</f>
        <v>SE-000288922</v>
      </c>
      <c r="D15425" s="1" t="s">
        <v>0</v>
      </c>
      <c r="E15425" s="2">
        <v>0</v>
      </c>
      <c r="F15425" s="2">
        <v>0</v>
      </c>
      <c r="G15425" s="2">
        <v>0</v>
      </c>
      <c r="H15425" s="1" t="s">
        <v>0</v>
      </c>
      <c r="I15425" s="2">
        <v>0</v>
      </c>
      <c r="J15425" s="1">
        <v>45952.377488425926</v>
      </c>
    </row>
    <row r="15426" spans="1:10" x14ac:dyDescent="0.2">
      <c r="A15426" s="4" t="s">
        <v>1</v>
      </c>
      <c r="B15426" s="3" t="str">
        <f>HYPERLINK("https://otsuka-europe-crm.veevavault.com/ui/#object/approved_document__v/V5OZ025E82USSZ5", "LUP - Invitación webinar NL y RCV - nefro")</f>
        <v>LUP - Invitación webinar NL y RCV - nefro</v>
      </c>
      <c r="C15426" s="3" t="str">
        <f>HYPERLINK("https://otsuka-europe-crm.veevavault.com/ui/#object/sent_email__v/VBLZ025E82HQ69J", "SE-000288923")</f>
        <v>SE-000288923</v>
      </c>
      <c r="D15426" s="1">
        <v>45952.389930555553</v>
      </c>
      <c r="E15426" s="2">
        <v>1</v>
      </c>
      <c r="F15426" s="2">
        <v>1</v>
      </c>
      <c r="G15426" s="2">
        <v>0</v>
      </c>
      <c r="H15426" s="1" t="s">
        <v>0</v>
      </c>
      <c r="I15426" s="2">
        <v>0</v>
      </c>
      <c r="J15426" s="1">
        <v>45952.377488425926</v>
      </c>
    </row>
    <row r="15427" spans="1:10" x14ac:dyDescent="0.2">
      <c r="A15427" s="4" t="s">
        <v>1</v>
      </c>
      <c r="B15427" s="3" t="str">
        <f>HYPERLINK("https://otsuka-europe-crm.veevavault.com/ui/#object/approved_document__v/V5OZ025E82USSZ5", "LUP - Invitación webinar NL y RCV - nefro")</f>
        <v>LUP - Invitación webinar NL y RCV - nefro</v>
      </c>
      <c r="C15427" s="3" t="str">
        <f>HYPERLINK("https://otsuka-europe-crm.veevavault.com/ui/#object/sent_email__v/VBLZ025E82HQ69K", "SE-000288924")</f>
        <v>SE-000288924</v>
      </c>
      <c r="D15427" s="1" t="s">
        <v>0</v>
      </c>
      <c r="E15427" s="2">
        <v>0</v>
      </c>
      <c r="F15427" s="2">
        <v>0</v>
      </c>
      <c r="G15427" s="2">
        <v>0</v>
      </c>
      <c r="H15427" s="1" t="s">
        <v>0</v>
      </c>
      <c r="I15427" s="2">
        <v>0</v>
      </c>
      <c r="J15427" s="1">
        <v>45952.377453703702</v>
      </c>
    </row>
    <row r="15428" spans="1:10" x14ac:dyDescent="0.2">
      <c r="A15428" s="4" t="s">
        <v>1</v>
      </c>
      <c r="B15428" s="3" t="str">
        <f>HYPERLINK("https://otsuka-europe-crm.veevavault.com/ui/#object/approved_document__v/V5OZ025E82USSZ5", "LUP - Invitación webinar NL y RCV - nefro")</f>
        <v>LUP - Invitación webinar NL y RCV - nefro</v>
      </c>
      <c r="C15428" s="3" t="str">
        <f>HYPERLINK("https://otsuka-europe-crm.veevavault.com/ui/#object/sent_email__v/VBLZ025E82HQ69L", "SE-000288925")</f>
        <v>SE-000288925</v>
      </c>
      <c r="D15428" s="1" t="s">
        <v>0</v>
      </c>
      <c r="E15428" s="2">
        <v>0</v>
      </c>
      <c r="F15428" s="2">
        <v>0</v>
      </c>
      <c r="G15428" s="2">
        <v>0</v>
      </c>
      <c r="H15428" s="1" t="s">
        <v>0</v>
      </c>
      <c r="I15428" s="2">
        <v>0</v>
      </c>
      <c r="J15428" s="1">
        <v>45952.377476851849</v>
      </c>
    </row>
    <row r="15429" spans="1:10" x14ac:dyDescent="0.2">
      <c r="A15429" s="4" t="s">
        <v>1</v>
      </c>
      <c r="B15429" s="3" t="str">
        <f>HYPERLINK("https://otsuka-europe-crm.veevavault.com/ui/#object/approved_document__v/V5OZ025E82USSZ5", "LUP - Invitación webinar NL y RCV - nefro")</f>
        <v>LUP - Invitación webinar NL y RCV - nefro</v>
      </c>
      <c r="C15429" s="3" t="str">
        <f>HYPERLINK("https://otsuka-europe-crm.veevavault.com/ui/#object/sent_email__v/VBLZ025E82HQ69M", "SE-000288926")</f>
        <v>SE-000288926</v>
      </c>
      <c r="D15429" s="1" t="s">
        <v>0</v>
      </c>
      <c r="E15429" s="2">
        <v>0</v>
      </c>
      <c r="F15429" s="2">
        <v>0</v>
      </c>
      <c r="G15429" s="2">
        <v>0</v>
      </c>
      <c r="H15429" s="1" t="s">
        <v>0</v>
      </c>
      <c r="I15429" s="2">
        <v>0</v>
      </c>
      <c r="J15429" s="1">
        <v>45952.377523148149</v>
      </c>
    </row>
    <row r="15430" spans="1:10" x14ac:dyDescent="0.2">
      <c r="A15430" s="4" t="s">
        <v>1</v>
      </c>
      <c r="B15430" s="3" t="str">
        <f>HYPERLINK("https://otsuka-europe-crm.veevavault.com/ui/#object/approved_document__v/V5OZ025E82USSZ5", "LUP - Invitación webinar NL y RCV - nefro")</f>
        <v>LUP - Invitación webinar NL y RCV - nefro</v>
      </c>
      <c r="C15430" s="3" t="str">
        <f>HYPERLINK("https://otsuka-europe-crm.veevavault.com/ui/#object/sent_email__v/VBLZ025E82HQ69N", "SE-000288927")</f>
        <v>SE-000288927</v>
      </c>
      <c r="D15430" s="1" t="s">
        <v>0</v>
      </c>
      <c r="E15430" s="2">
        <v>0</v>
      </c>
      <c r="F15430" s="2">
        <v>0</v>
      </c>
      <c r="G15430" s="2">
        <v>0</v>
      </c>
      <c r="H15430" s="1" t="s">
        <v>0</v>
      </c>
      <c r="I15430" s="2">
        <v>0</v>
      </c>
      <c r="J15430" s="1">
        <v>45952.377500000002</v>
      </c>
    </row>
    <row r="15431" spans="1:10" x14ac:dyDescent="0.2">
      <c r="A15431" s="4" t="s">
        <v>1</v>
      </c>
      <c r="B15431" s="3" t="str">
        <f>HYPERLINK("https://otsuka-europe-crm.veevavault.com/ui/#object/approved_document__v/V5OZ025E82USSZ5", "LUP - Invitación webinar NL y RCV - nefro")</f>
        <v>LUP - Invitación webinar NL y RCV - nefro</v>
      </c>
      <c r="C15431" s="3" t="str">
        <f>HYPERLINK("https://otsuka-europe-crm.veevavault.com/ui/#object/sent_email__v/VBLZ025E82HQ69O", "SE-000288928")</f>
        <v>SE-000288928</v>
      </c>
      <c r="D15431" s="1">
        <v>45968.974814814814</v>
      </c>
      <c r="E15431" s="2">
        <v>1</v>
      </c>
      <c r="F15431" s="2">
        <v>2</v>
      </c>
      <c r="G15431" s="2">
        <v>0</v>
      </c>
      <c r="H15431" s="1" t="s">
        <v>0</v>
      </c>
      <c r="I15431" s="2">
        <v>0</v>
      </c>
      <c r="J15431" s="1">
        <v>45952.377453703702</v>
      </c>
    </row>
    <row r="15432" spans="1:10" x14ac:dyDescent="0.2">
      <c r="A15432" s="4" t="s">
        <v>1</v>
      </c>
      <c r="B15432" s="3" t="str">
        <f>HYPERLINK("https://otsuka-europe-crm.veevavault.com/ui/#object/approved_document__v/V5OZ025E82USSZ5", "LUP - Invitación webinar NL y RCV - nefro")</f>
        <v>LUP - Invitación webinar NL y RCV - nefro</v>
      </c>
      <c r="C15432" s="3" t="str">
        <f>HYPERLINK("https://otsuka-europe-crm.veevavault.com/ui/#object/sent_email__v/VBLZ025E82HQ69P", "SE-000288929")</f>
        <v>SE-000288929</v>
      </c>
      <c r="D15432" s="1" t="s">
        <v>0</v>
      </c>
      <c r="E15432" s="2">
        <v>0</v>
      </c>
      <c r="F15432" s="2">
        <v>0</v>
      </c>
      <c r="G15432" s="2">
        <v>0</v>
      </c>
      <c r="H15432" s="1" t="s">
        <v>0</v>
      </c>
      <c r="I15432" s="2">
        <v>0</v>
      </c>
      <c r="J15432" s="1">
        <v>45952.377465277779</v>
      </c>
    </row>
    <row r="15433" spans="1:10" x14ac:dyDescent="0.2">
      <c r="A15433" s="4" t="s">
        <v>1</v>
      </c>
      <c r="B15433" s="3" t="str">
        <f>HYPERLINK("https://otsuka-europe-crm.veevavault.com/ui/#object/approved_document__v/V5OZ025E82USSZ5", "LUP - Invitación webinar NL y RCV - nefro")</f>
        <v>LUP - Invitación webinar NL y RCV - nefro</v>
      </c>
      <c r="C15433" s="3" t="str">
        <f>HYPERLINK("https://otsuka-europe-crm.veevavault.com/ui/#object/sent_email__v/VBLZ025E82HQ69Q", "SE-000288930")</f>
        <v>SE-000288930</v>
      </c>
      <c r="D15433" s="1" t="s">
        <v>0</v>
      </c>
      <c r="E15433" s="2">
        <v>0</v>
      </c>
      <c r="F15433" s="2">
        <v>0</v>
      </c>
      <c r="G15433" s="2">
        <v>0</v>
      </c>
      <c r="H15433" s="1" t="s">
        <v>0</v>
      </c>
      <c r="I15433" s="2">
        <v>0</v>
      </c>
      <c r="J15433" s="1">
        <v>45952.377465277779</v>
      </c>
    </row>
    <row r="15434" spans="1:10" x14ac:dyDescent="0.2">
      <c r="A15434" s="4" t="s">
        <v>1</v>
      </c>
      <c r="B15434" s="3" t="str">
        <f>HYPERLINK("https://otsuka-europe-crm.veevavault.com/ui/#object/approved_document__v/V5OZ025E82USSZ5", "LUP - Invitación webinar NL y RCV - nefro")</f>
        <v>LUP - Invitación webinar NL y RCV - nefro</v>
      </c>
      <c r="C15434" s="3" t="str">
        <f>HYPERLINK("https://otsuka-europe-crm.veevavault.com/ui/#object/sent_email__v/VBLZ025E82HQ69R", "SE-000288931")</f>
        <v>SE-000288931</v>
      </c>
      <c r="D15434" s="1">
        <v>45971.771238425928</v>
      </c>
      <c r="E15434" s="2">
        <v>1</v>
      </c>
      <c r="F15434" s="2">
        <v>1</v>
      </c>
      <c r="G15434" s="2">
        <v>0</v>
      </c>
      <c r="H15434" s="1" t="s">
        <v>0</v>
      </c>
      <c r="I15434" s="2">
        <v>0</v>
      </c>
      <c r="J15434" s="1">
        <v>45952.377442129633</v>
      </c>
    </row>
    <row r="15435" spans="1:10" x14ac:dyDescent="0.2">
      <c r="A15435" s="4" t="s">
        <v>1</v>
      </c>
      <c r="B15435" s="3" t="str">
        <f>HYPERLINK("https://otsuka-europe-crm.veevavault.com/ui/#object/approved_document__v/V5OZ025E82USSZ5", "LUP - Invitación webinar NL y RCV - nefro")</f>
        <v>LUP - Invitación webinar NL y RCV - nefro</v>
      </c>
      <c r="C15435" s="3" t="str">
        <f>HYPERLINK("https://otsuka-europe-crm.veevavault.com/ui/#object/sent_email__v/VBLZ025E82HQ69S", "SE-000288932")</f>
        <v>SE-000288932</v>
      </c>
      <c r="D15435" s="1" t="s">
        <v>0</v>
      </c>
      <c r="E15435" s="2">
        <v>0</v>
      </c>
      <c r="F15435" s="2">
        <v>0</v>
      </c>
      <c r="G15435" s="2">
        <v>0</v>
      </c>
      <c r="H15435" s="1" t="s">
        <v>0</v>
      </c>
      <c r="I15435" s="2">
        <v>0</v>
      </c>
      <c r="J15435" s="1">
        <v>45952.377500000002</v>
      </c>
    </row>
    <row r="15436" spans="1:10" x14ac:dyDescent="0.2">
      <c r="A15436" s="4" t="s">
        <v>1</v>
      </c>
      <c r="B15436" s="3" t="str">
        <f>HYPERLINK("https://otsuka-europe-crm.veevavault.com/ui/#object/approved_document__v/V5OZ025E82USSZ5", "LUP - Invitación webinar NL y RCV - nefro")</f>
        <v>LUP - Invitación webinar NL y RCV - nefro</v>
      </c>
      <c r="C15436" s="3" t="str">
        <f>HYPERLINK("https://otsuka-europe-crm.veevavault.com/ui/#object/sent_email__v/VBLZ025E82HQ69T", "SE-000288933")</f>
        <v>SE-000288933</v>
      </c>
      <c r="D15436" s="1">
        <v>45971.873645833337</v>
      </c>
      <c r="E15436" s="2">
        <v>1</v>
      </c>
      <c r="F15436" s="2">
        <v>2</v>
      </c>
      <c r="G15436" s="2">
        <v>0</v>
      </c>
      <c r="H15436" s="1" t="s">
        <v>0</v>
      </c>
      <c r="I15436" s="2">
        <v>0</v>
      </c>
      <c r="J15436" s="1">
        <v>45952.377488425926</v>
      </c>
    </row>
    <row r="15437" spans="1:10" x14ac:dyDescent="0.2">
      <c r="A15437" s="4" t="s">
        <v>1</v>
      </c>
      <c r="B15437" s="3" t="str">
        <f>HYPERLINK("https://otsuka-europe-crm.veevavault.com/ui/#object/approved_document__v/V5OZ025E82USSZ5", "LUP - Invitación webinar NL y RCV - nefro")</f>
        <v>LUP - Invitación webinar NL y RCV - nefro</v>
      </c>
      <c r="C15437" s="3" t="str">
        <f>HYPERLINK("https://otsuka-europe-crm.veevavault.com/ui/#object/sent_email__v/VBLZ025E82HQ0ZE", "SE-000288934")</f>
        <v>SE-000288934</v>
      </c>
      <c r="D15437" s="1" t="s">
        <v>0</v>
      </c>
      <c r="E15437" s="2">
        <v>0</v>
      </c>
      <c r="F15437" s="2">
        <v>0</v>
      </c>
      <c r="G15437" s="2">
        <v>0</v>
      </c>
      <c r="H15437" s="1" t="s">
        <v>0</v>
      </c>
      <c r="I15437" s="2">
        <v>0</v>
      </c>
      <c r="J15437" s="1">
        <v>45952.377453703702</v>
      </c>
    </row>
    <row r="15438" spans="1:10" x14ac:dyDescent="0.2">
      <c r="A15438" s="4" t="s">
        <v>1</v>
      </c>
      <c r="B15438" s="3" t="str">
        <f>HYPERLINK("https://otsuka-europe-crm.veevavault.com/ui/#object/approved_document__v/V5OZ025E82USSZ5", "LUP - Invitación webinar NL y RCV - nefro")</f>
        <v>LUP - Invitación webinar NL y RCV - nefro</v>
      </c>
      <c r="C15438" s="3" t="str">
        <f>HYPERLINK("https://otsuka-europe-crm.veevavault.com/ui/#object/sent_email__v/VBLZ025E82HQ6GL", "SE-000288936")</f>
        <v>SE-000288936</v>
      </c>
      <c r="D15438" s="1">
        <v>45969.699861111112</v>
      </c>
      <c r="E15438" s="2">
        <v>1</v>
      </c>
      <c r="F15438" s="2">
        <v>2</v>
      </c>
      <c r="G15438" s="2">
        <v>0</v>
      </c>
      <c r="H15438" s="1" t="s">
        <v>0</v>
      </c>
      <c r="I15438" s="2">
        <v>0</v>
      </c>
      <c r="J15438" s="1">
        <v>45952.377500000002</v>
      </c>
    </row>
    <row r="15439" spans="1:10" x14ac:dyDescent="0.2">
      <c r="A15439" s="4" t="s">
        <v>1</v>
      </c>
      <c r="B15439" s="3" t="str">
        <f>HYPERLINK("https://otsuka-europe-crm.veevavault.com/ui/#object/approved_document__v/V5OZ025E82USSZ5", "LUP - Invitación webinar NL y RCV - nefro")</f>
        <v>LUP - Invitación webinar NL y RCV - nefro</v>
      </c>
      <c r="C15439" s="3" t="str">
        <f>HYPERLINK("https://otsuka-europe-crm.veevavault.com/ui/#object/sent_email__v/VBLZ025E82HQ6GM", "SE-000288937")</f>
        <v>SE-000288937</v>
      </c>
      <c r="D15439" s="1">
        <v>45952.925474537034</v>
      </c>
      <c r="E15439" s="2">
        <v>1</v>
      </c>
      <c r="F15439" s="2">
        <v>1</v>
      </c>
      <c r="G15439" s="2">
        <v>1</v>
      </c>
      <c r="H15439" s="1">
        <v>45952.926319444443</v>
      </c>
      <c r="I15439" s="2">
        <v>1</v>
      </c>
      <c r="J15439" s="1">
        <v>45952.377500000002</v>
      </c>
    </row>
    <row r="15440" spans="1:10" x14ac:dyDescent="0.2">
      <c r="A15440" s="4" t="s">
        <v>1</v>
      </c>
      <c r="B15440" s="3" t="str">
        <f>HYPERLINK("https://otsuka-europe-crm.veevavault.com/ui/#object/approved_document__v/V5OZ025E82USSZ5", "LUP - Invitación webinar NL y RCV - nefro")</f>
        <v>LUP - Invitación webinar NL y RCV - nefro</v>
      </c>
      <c r="C15440" s="3" t="str">
        <f>HYPERLINK("https://otsuka-europe-crm.veevavault.com/ui/#object/sent_email__v/VBLZ025E82HQ6GN", "SE-000288938")</f>
        <v>SE-000288938</v>
      </c>
      <c r="D15440" s="1">
        <v>45952.424224537041</v>
      </c>
      <c r="E15440" s="2">
        <v>1</v>
      </c>
      <c r="F15440" s="2">
        <v>1</v>
      </c>
      <c r="G15440" s="2">
        <v>0</v>
      </c>
      <c r="H15440" s="1" t="s">
        <v>0</v>
      </c>
      <c r="I15440" s="2">
        <v>0</v>
      </c>
      <c r="J15440" s="1">
        <v>45952.377500000002</v>
      </c>
    </row>
    <row r="15441" spans="1:10" x14ac:dyDescent="0.2">
      <c r="A15441" s="4" t="s">
        <v>1</v>
      </c>
      <c r="B15441" s="3" t="str">
        <f>HYPERLINK("https://otsuka-europe-crm.veevavault.com/ui/#object/approved_document__v/V5OZ025E82USSZ5", "LUP - Invitación webinar NL y RCV - nefro")</f>
        <v>LUP - Invitación webinar NL y RCV - nefro</v>
      </c>
      <c r="C15441" s="3" t="str">
        <f>HYPERLINK("https://otsuka-europe-crm.veevavault.com/ui/#object/sent_email__v/VBLZ025E82HQ6GO", "SE-000288939")</f>
        <v>SE-000288939</v>
      </c>
      <c r="D15441" s="1">
        <v>45952.658275462964</v>
      </c>
      <c r="E15441" s="2">
        <v>1</v>
      </c>
      <c r="F15441" s="2">
        <v>3</v>
      </c>
      <c r="G15441" s="2">
        <v>0</v>
      </c>
      <c r="H15441" s="1" t="s">
        <v>0</v>
      </c>
      <c r="I15441" s="2">
        <v>0</v>
      </c>
      <c r="J15441" s="1">
        <v>45952.377465277779</v>
      </c>
    </row>
    <row r="15442" spans="1:10" x14ac:dyDescent="0.2">
      <c r="A15442" s="4" t="s">
        <v>1</v>
      </c>
      <c r="B15442" s="3" t="str">
        <f>HYPERLINK("https://otsuka-europe-crm.veevavault.com/ui/#object/approved_document__v/V5OZ025E82USSZ5", "LUP - Invitación webinar NL y RCV - nefro")</f>
        <v>LUP - Invitación webinar NL y RCV - nefro</v>
      </c>
      <c r="C15442" s="3" t="str">
        <f>HYPERLINK("https://otsuka-europe-crm.veevavault.com/ui/#object/sent_email__v/VBLZ025E82HQ6GP", "SE-000288940")</f>
        <v>SE-000288940</v>
      </c>
      <c r="D15442" s="1" t="s">
        <v>0</v>
      </c>
      <c r="E15442" s="2">
        <v>0</v>
      </c>
      <c r="F15442" s="2">
        <v>0</v>
      </c>
      <c r="G15442" s="2">
        <v>0</v>
      </c>
      <c r="H15442" s="1" t="s">
        <v>0</v>
      </c>
      <c r="I15442" s="2">
        <v>0</v>
      </c>
      <c r="J15442" s="1">
        <v>45952.377453703702</v>
      </c>
    </row>
    <row r="15443" spans="1:10" x14ac:dyDescent="0.2">
      <c r="A15443" s="4" t="s">
        <v>1</v>
      </c>
      <c r="B15443" s="3" t="str">
        <f>HYPERLINK("https://otsuka-europe-crm.veevavault.com/ui/#object/approved_document__v/V5OZ025E82USSZ5", "LUP - Invitación webinar NL y RCV - nefro")</f>
        <v>LUP - Invitación webinar NL y RCV - nefro</v>
      </c>
      <c r="C15443" s="3" t="str">
        <f>HYPERLINK("https://otsuka-europe-crm.veevavault.com/ui/#object/sent_email__v/VBLZ025E82HQ6GQ", "SE-000288941")</f>
        <v>SE-000288941</v>
      </c>
      <c r="D15443" s="1" t="s">
        <v>0</v>
      </c>
      <c r="E15443" s="2">
        <v>0</v>
      </c>
      <c r="F15443" s="2">
        <v>0</v>
      </c>
      <c r="G15443" s="2">
        <v>0</v>
      </c>
      <c r="H15443" s="1" t="s">
        <v>0</v>
      </c>
      <c r="I15443" s="2">
        <v>0</v>
      </c>
      <c r="J15443" s="1">
        <v>45952.377500000002</v>
      </c>
    </row>
    <row r="15444" spans="1:10" x14ac:dyDescent="0.2">
      <c r="A15444" s="4" t="s">
        <v>1</v>
      </c>
      <c r="B15444" s="3" t="str">
        <f>HYPERLINK("https://otsuka-europe-crm.veevavault.com/ui/#object/approved_document__v/V5OZ025E82USSZ5", "LUP - Invitación webinar NL y RCV - nefro")</f>
        <v>LUP - Invitación webinar NL y RCV - nefro</v>
      </c>
      <c r="C15444" s="3" t="str">
        <f>HYPERLINK("https://otsuka-europe-crm.veevavault.com/ui/#object/sent_email__v/VBLZ025E82HQ6GR", "SE-000288942")</f>
        <v>SE-000288942</v>
      </c>
      <c r="D15444" s="1" t="s">
        <v>0</v>
      </c>
      <c r="E15444" s="2">
        <v>0</v>
      </c>
      <c r="F15444" s="2">
        <v>0</v>
      </c>
      <c r="G15444" s="2">
        <v>0</v>
      </c>
      <c r="H15444" s="1" t="s">
        <v>0</v>
      </c>
      <c r="I15444" s="2">
        <v>0</v>
      </c>
      <c r="J15444" s="1">
        <v>45952.377476851849</v>
      </c>
    </row>
    <row r="15445" spans="1:10" x14ac:dyDescent="0.2">
      <c r="A15445" s="4" t="s">
        <v>1</v>
      </c>
      <c r="B15445" s="3" t="str">
        <f>HYPERLINK("https://otsuka-europe-crm.veevavault.com/ui/#object/approved_document__v/V5OZ025E82USSZ5", "LUP - Invitación webinar NL y RCV - nefro")</f>
        <v>LUP - Invitación webinar NL y RCV - nefro</v>
      </c>
      <c r="C15445" s="3" t="str">
        <f>HYPERLINK("https://otsuka-europe-crm.veevavault.com/ui/#object/sent_email__v/VBLZ025E82HQ6GS", "SE-000288943")</f>
        <v>SE-000288943</v>
      </c>
      <c r="D15445" s="1" t="s">
        <v>0</v>
      </c>
      <c r="E15445" s="2">
        <v>0</v>
      </c>
      <c r="F15445" s="2">
        <v>0</v>
      </c>
      <c r="G15445" s="2">
        <v>0</v>
      </c>
      <c r="H15445" s="1" t="s">
        <v>0</v>
      </c>
      <c r="I15445" s="2">
        <v>0</v>
      </c>
      <c r="J15445" s="1">
        <v>45952.377453703702</v>
      </c>
    </row>
    <row r="15446" spans="1:10" x14ac:dyDescent="0.2">
      <c r="A15446" s="4" t="s">
        <v>1</v>
      </c>
      <c r="B15446" s="3" t="str">
        <f>HYPERLINK("https://otsuka-europe-crm.veevavault.com/ui/#object/approved_document__v/V5OZ025E82USSZ5", "LUP - Invitación webinar NL y RCV - nefro")</f>
        <v>LUP - Invitación webinar NL y RCV - nefro</v>
      </c>
      <c r="C15446" s="3" t="str">
        <f>HYPERLINK("https://otsuka-europe-crm.veevavault.com/ui/#object/sent_email__v/VBLZ025E82HQ6GT", "SE-000288944")</f>
        <v>SE-000288944</v>
      </c>
      <c r="D15446" s="1" t="s">
        <v>0</v>
      </c>
      <c r="E15446" s="2">
        <v>0</v>
      </c>
      <c r="F15446" s="2">
        <v>0</v>
      </c>
      <c r="G15446" s="2">
        <v>0</v>
      </c>
      <c r="H15446" s="1" t="s">
        <v>0</v>
      </c>
      <c r="I15446" s="2">
        <v>0</v>
      </c>
      <c r="J15446" s="1">
        <v>45952.377488425926</v>
      </c>
    </row>
    <row r="15447" spans="1:10" x14ac:dyDescent="0.2">
      <c r="A15447" s="4" t="s">
        <v>1</v>
      </c>
      <c r="B15447" s="3" t="str">
        <f>HYPERLINK("https://otsuka-europe-crm.veevavault.com/ui/#object/approved_document__v/V5OZ025E82USSZ5", "LUP - Invitación webinar NL y RCV - nefro")</f>
        <v>LUP - Invitación webinar NL y RCV - nefro</v>
      </c>
      <c r="C15447" s="3" t="str">
        <f>HYPERLINK("https://otsuka-europe-crm.veevavault.com/ui/#object/sent_email__v/VBLZ025E82HQ6GU", "SE-000288945")</f>
        <v>SE-000288945</v>
      </c>
      <c r="D15447" s="1">
        <v>45952.934525462966</v>
      </c>
      <c r="E15447" s="2">
        <v>1</v>
      </c>
      <c r="F15447" s="2">
        <v>1</v>
      </c>
      <c r="G15447" s="2">
        <v>0</v>
      </c>
      <c r="H15447" s="1" t="s">
        <v>0</v>
      </c>
      <c r="I15447" s="2">
        <v>0</v>
      </c>
      <c r="J15447" s="1">
        <v>45952.377465277779</v>
      </c>
    </row>
    <row r="15448" spans="1:10" x14ac:dyDescent="0.2">
      <c r="A15448" s="4" t="s">
        <v>1</v>
      </c>
      <c r="B15448" s="3" t="str">
        <f>HYPERLINK("https://otsuka-europe-crm.veevavault.com/ui/#object/approved_document__v/V5OZ025E82USSZ5", "LUP - Invitación webinar NL y RCV - nefro")</f>
        <v>LUP - Invitación webinar NL y RCV - nefro</v>
      </c>
      <c r="C15448" s="3" t="str">
        <f>HYPERLINK("https://otsuka-europe-crm.veevavault.com/ui/#object/sent_email__v/VBLZ025E82HQ6GV", "SE-000288946")</f>
        <v>SE-000288946</v>
      </c>
      <c r="D15448" s="1" t="s">
        <v>0</v>
      </c>
      <c r="E15448" s="2">
        <v>0</v>
      </c>
      <c r="F15448" s="2">
        <v>0</v>
      </c>
      <c r="G15448" s="2">
        <v>0</v>
      </c>
      <c r="H15448" s="1" t="s">
        <v>0</v>
      </c>
      <c r="I15448" s="2">
        <v>0</v>
      </c>
      <c r="J15448" s="1">
        <v>45952.377523148149</v>
      </c>
    </row>
    <row r="15449" spans="1:10" x14ac:dyDescent="0.2">
      <c r="A15449" s="4" t="s">
        <v>1</v>
      </c>
      <c r="B15449" s="3" t="str">
        <f>HYPERLINK("https://otsuka-europe-crm.veevavault.com/ui/#object/approved_document__v/V5OZ025E82USSZ5", "LUP - Invitación webinar NL y RCV - nefro")</f>
        <v>LUP - Invitación webinar NL y RCV - nefro</v>
      </c>
      <c r="C15449" s="3" t="str">
        <f>HYPERLINK("https://otsuka-europe-crm.veevavault.com/ui/#object/sent_email__v/VBLZ025E82HQ6GW", "SE-000288947")</f>
        <v>SE-000288947</v>
      </c>
      <c r="D15449" s="1" t="s">
        <v>0</v>
      </c>
      <c r="E15449" s="2">
        <v>0</v>
      </c>
      <c r="F15449" s="2">
        <v>0</v>
      </c>
      <c r="G15449" s="2">
        <v>0</v>
      </c>
      <c r="H15449" s="1" t="s">
        <v>0</v>
      </c>
      <c r="I15449" s="2">
        <v>0</v>
      </c>
      <c r="J15449" s="1">
        <v>45952.377500000002</v>
      </c>
    </row>
    <row r="15450" spans="1:10" x14ac:dyDescent="0.2">
      <c r="A15450" s="4" t="s">
        <v>1</v>
      </c>
      <c r="B15450" s="3" t="str">
        <f>HYPERLINK("https://otsuka-europe-crm.veevavault.com/ui/#object/approved_document__v/V5OZ025E82USSZ5", "LUP - Invitación webinar NL y RCV - nefro")</f>
        <v>LUP - Invitación webinar NL y RCV - nefro</v>
      </c>
      <c r="C15450" s="3" t="str">
        <f>HYPERLINK("https://otsuka-europe-crm.veevavault.com/ui/#object/sent_email__v/VBLZ025E82HQ6GX", "SE-000288948")</f>
        <v>SE-000288948</v>
      </c>
      <c r="D15450" s="1" t="s">
        <v>0</v>
      </c>
      <c r="E15450" s="2">
        <v>0</v>
      </c>
      <c r="F15450" s="2">
        <v>0</v>
      </c>
      <c r="G15450" s="2">
        <v>0</v>
      </c>
      <c r="H15450" s="1" t="s">
        <v>0</v>
      </c>
      <c r="I15450" s="2">
        <v>0</v>
      </c>
      <c r="J15450" s="1">
        <v>45952.377500000002</v>
      </c>
    </row>
    <row r="15451" spans="1:10" x14ac:dyDescent="0.2">
      <c r="A15451" s="4" t="s">
        <v>1</v>
      </c>
      <c r="B15451" s="3" t="str">
        <f>HYPERLINK("https://otsuka-europe-crm.veevavault.com/ui/#object/approved_document__v/V5OZ025E82USSZ5", "LUP - Invitación webinar NL y RCV - nefro")</f>
        <v>LUP - Invitación webinar NL y RCV - nefro</v>
      </c>
      <c r="C15451" s="3" t="str">
        <f>HYPERLINK("https://otsuka-europe-crm.veevavault.com/ui/#object/sent_email__v/VBLZ025E82HQ6GY", "SE-000288949")</f>
        <v>SE-000288949</v>
      </c>
      <c r="D15451" s="1" t="s">
        <v>0</v>
      </c>
      <c r="E15451" s="2">
        <v>0</v>
      </c>
      <c r="F15451" s="2">
        <v>0</v>
      </c>
      <c r="G15451" s="2">
        <v>0</v>
      </c>
      <c r="H15451" s="1" t="s">
        <v>0</v>
      </c>
      <c r="I15451" s="2">
        <v>0</v>
      </c>
      <c r="J15451" s="1">
        <v>45952.377500000002</v>
      </c>
    </row>
    <row r="15452" spans="1:10" x14ac:dyDescent="0.2">
      <c r="A15452" s="4" t="s">
        <v>1</v>
      </c>
      <c r="B15452" s="3" t="str">
        <f>HYPERLINK("https://otsuka-europe-crm.veevavault.com/ui/#object/approved_document__v/V5OZ025E82USSZ5", "LUP - Invitación webinar NL y RCV - nefro")</f>
        <v>LUP - Invitación webinar NL y RCV - nefro</v>
      </c>
      <c r="C15452" s="3" t="str">
        <f>HYPERLINK("https://otsuka-europe-crm.veevavault.com/ui/#object/sent_email__v/VBLZ025E82HQ6GZ", "SE-000288950")</f>
        <v>SE-000288950</v>
      </c>
      <c r="D15452" s="1">
        <v>45952.386458333334</v>
      </c>
      <c r="E15452" s="2">
        <v>1</v>
      </c>
      <c r="F15452" s="2">
        <v>1</v>
      </c>
      <c r="G15452" s="2">
        <v>0</v>
      </c>
      <c r="H15452" s="1" t="s">
        <v>0</v>
      </c>
      <c r="I15452" s="2">
        <v>0</v>
      </c>
      <c r="J15452" s="1">
        <v>45952.377453703702</v>
      </c>
    </row>
    <row r="15453" spans="1:10" x14ac:dyDescent="0.2">
      <c r="A15453" s="4" t="s">
        <v>1</v>
      </c>
      <c r="B15453" s="3" t="str">
        <f>HYPERLINK("https://otsuka-europe-crm.veevavault.com/ui/#object/approved_document__v/V5OZ025E82USSZ5", "LUP - Invitación webinar NL y RCV - nefro")</f>
        <v>LUP - Invitación webinar NL y RCV - nefro</v>
      </c>
      <c r="C15453" s="3" t="str">
        <f>HYPERLINK("https://otsuka-europe-crm.veevavault.com/ui/#object/sent_email__v/VBLZ025E82HQ6H0", "SE-000288951")</f>
        <v>SE-000288951</v>
      </c>
      <c r="D15453" s="1">
        <v>45952.559803240743</v>
      </c>
      <c r="E15453" s="2">
        <v>1</v>
      </c>
      <c r="F15453" s="2">
        <v>1</v>
      </c>
      <c r="G15453" s="2">
        <v>0</v>
      </c>
      <c r="H15453" s="1" t="s">
        <v>0</v>
      </c>
      <c r="I15453" s="2">
        <v>0</v>
      </c>
      <c r="J15453" s="1">
        <v>45952.377488425926</v>
      </c>
    </row>
    <row r="15454" spans="1:10" x14ac:dyDescent="0.2">
      <c r="A15454" s="4" t="s">
        <v>1</v>
      </c>
      <c r="B15454" s="3" t="str">
        <f>HYPERLINK("https://otsuka-europe-crm.veevavault.com/ui/#object/approved_document__v/V5OZ025E82USSZ5", "LUP - Invitación webinar NL y RCV - nefro")</f>
        <v>LUP - Invitación webinar NL y RCV - nefro</v>
      </c>
      <c r="C15454" s="3" t="str">
        <f>HYPERLINK("https://otsuka-europe-crm.veevavault.com/ui/#object/sent_email__v/VBLZ025E82HQ6H1", "SE-000288952")</f>
        <v>SE-000288952</v>
      </c>
      <c r="D15454" s="1">
        <v>45953.172083333331</v>
      </c>
      <c r="E15454" s="2">
        <v>1</v>
      </c>
      <c r="F15454" s="2">
        <v>2</v>
      </c>
      <c r="G15454" s="2">
        <v>0</v>
      </c>
      <c r="H15454" s="1" t="s">
        <v>0</v>
      </c>
      <c r="I15454" s="2">
        <v>0</v>
      </c>
      <c r="J15454" s="1">
        <v>45952.377500000002</v>
      </c>
    </row>
    <row r="15455" spans="1:10" x14ac:dyDescent="0.2">
      <c r="A15455" s="4" t="s">
        <v>1</v>
      </c>
      <c r="B15455" s="3" t="str">
        <f>HYPERLINK("https://otsuka-europe-crm.veevavault.com/ui/#object/approved_document__v/V5OZ025E82USSZ5", "LUP - Invitación webinar NL y RCV - nefro")</f>
        <v>LUP - Invitación webinar NL y RCV - nefro</v>
      </c>
      <c r="C15455" s="3" t="str">
        <f>HYPERLINK("https://otsuka-europe-crm.veevavault.com/ui/#object/sent_email__v/VBLZ025E82HQ6H2", "SE-000288953")</f>
        <v>SE-000288953</v>
      </c>
      <c r="D15455" s="1" t="s">
        <v>0</v>
      </c>
      <c r="E15455" s="2">
        <v>0</v>
      </c>
      <c r="F15455" s="2">
        <v>0</v>
      </c>
      <c r="G15455" s="2">
        <v>0</v>
      </c>
      <c r="H15455" s="1" t="s">
        <v>0</v>
      </c>
      <c r="I15455" s="2">
        <v>0</v>
      </c>
      <c r="J15455" s="1">
        <v>45952.377453703702</v>
      </c>
    </row>
    <row r="15456" spans="1:10" x14ac:dyDescent="0.2">
      <c r="A15456" s="4" t="s">
        <v>1</v>
      </c>
      <c r="B15456" s="3" t="str">
        <f>HYPERLINK("https://otsuka-europe-crm.veevavault.com/ui/#object/approved_document__v/V5OZ025E82USSZ5", "LUP - Invitación webinar NL y RCV - nefro")</f>
        <v>LUP - Invitación webinar NL y RCV - nefro</v>
      </c>
      <c r="C15456" s="3" t="str">
        <f>HYPERLINK("https://otsuka-europe-crm.veevavault.com/ui/#object/sent_email__v/VBLZ025E82HQ6H3", "SE-000288954")</f>
        <v>SE-000288954</v>
      </c>
      <c r="D15456" s="1">
        <v>45953.663321759261</v>
      </c>
      <c r="E15456" s="2">
        <v>1</v>
      </c>
      <c r="F15456" s="2">
        <v>3</v>
      </c>
      <c r="G15456" s="2">
        <v>0</v>
      </c>
      <c r="H15456" s="1" t="s">
        <v>0</v>
      </c>
      <c r="I15456" s="2">
        <v>0</v>
      </c>
      <c r="J15456" s="1">
        <v>45952.377453703702</v>
      </c>
    </row>
    <row r="15457" spans="1:10" x14ac:dyDescent="0.2">
      <c r="A15457" s="4" t="s">
        <v>1</v>
      </c>
      <c r="B15457" s="3" t="str">
        <f>HYPERLINK("https://otsuka-europe-crm.veevavault.com/ui/#object/approved_document__v/V5OZ025E82USSZ5", "LUP - Invitación webinar NL y RCV - nefro")</f>
        <v>LUP - Invitación webinar NL y RCV - nefro</v>
      </c>
      <c r="C15457" s="3" t="str">
        <f>HYPERLINK("https://otsuka-europe-crm.veevavault.com/ui/#object/sent_email__v/VBLZ025E82HQ6H4", "SE-000288955")</f>
        <v>SE-000288955</v>
      </c>
      <c r="D15457" s="1" t="s">
        <v>0</v>
      </c>
      <c r="E15457" s="2">
        <v>0</v>
      </c>
      <c r="F15457" s="2">
        <v>0</v>
      </c>
      <c r="G15457" s="2">
        <v>0</v>
      </c>
      <c r="H15457" s="1" t="s">
        <v>0</v>
      </c>
      <c r="I15457" s="2">
        <v>0</v>
      </c>
      <c r="J15457" s="1">
        <v>45952.377488425926</v>
      </c>
    </row>
    <row r="15458" spans="1:10" x14ac:dyDescent="0.2">
      <c r="A15458" s="4" t="s">
        <v>1</v>
      </c>
      <c r="B15458" s="3" t="str">
        <f>HYPERLINK("https://otsuka-europe-crm.veevavault.com/ui/#object/approved_document__v/V5OZ025E82USSZ5", "LUP - Invitación webinar NL y RCV - nefro")</f>
        <v>LUP - Invitación webinar NL y RCV - nefro</v>
      </c>
      <c r="C15458" s="3" t="str">
        <f>HYPERLINK("https://otsuka-europe-crm.veevavault.com/ui/#object/sent_email__v/VBLZ025E82HQ6H5", "SE-000288956")</f>
        <v>SE-000288956</v>
      </c>
      <c r="D15458" s="1" t="s">
        <v>0</v>
      </c>
      <c r="E15458" s="2">
        <v>0</v>
      </c>
      <c r="F15458" s="2">
        <v>0</v>
      </c>
      <c r="G15458" s="2">
        <v>0</v>
      </c>
      <c r="H15458" s="1" t="s">
        <v>0</v>
      </c>
      <c r="I15458" s="2">
        <v>0</v>
      </c>
      <c r="J15458" s="1">
        <v>45952.377488425926</v>
      </c>
    </row>
    <row r="15459" spans="1:10" x14ac:dyDescent="0.2">
      <c r="A15459" s="4" t="s">
        <v>1</v>
      </c>
      <c r="B15459" s="3" t="str">
        <f>HYPERLINK("https://otsuka-europe-crm.veevavault.com/ui/#object/approved_document__v/V5OZ025E82USSZ5", "LUP - Invitación webinar NL y RCV - nefro")</f>
        <v>LUP - Invitación webinar NL y RCV - nefro</v>
      </c>
      <c r="C15459" s="3" t="str">
        <f>HYPERLINK("https://otsuka-europe-crm.veevavault.com/ui/#object/sent_email__v/VBLZ025E82HQ6H6", "SE-000288957")</f>
        <v>SE-000288957</v>
      </c>
      <c r="D15459" s="1" t="s">
        <v>0</v>
      </c>
      <c r="E15459" s="2">
        <v>0</v>
      </c>
      <c r="F15459" s="2">
        <v>0</v>
      </c>
      <c r="G15459" s="2">
        <v>0</v>
      </c>
      <c r="H15459" s="1" t="s">
        <v>0</v>
      </c>
      <c r="I15459" s="2">
        <v>0</v>
      </c>
      <c r="J15459" s="1">
        <v>45952.377453703702</v>
      </c>
    </row>
    <row r="15460" spans="1:10" x14ac:dyDescent="0.2">
      <c r="A15460" s="4" t="s">
        <v>1</v>
      </c>
      <c r="B15460" s="3" t="str">
        <f>HYPERLINK("https://otsuka-europe-crm.veevavault.com/ui/#object/approved_document__v/V5OZ025E82USSZ5", "LUP - Invitación webinar NL y RCV - nefro")</f>
        <v>LUP - Invitación webinar NL y RCV - nefro</v>
      </c>
      <c r="C15460" s="3" t="str">
        <f>HYPERLINK("https://otsuka-europe-crm.veevavault.com/ui/#object/sent_email__v/VBLZ025E82HQ6H7", "SE-000288958")</f>
        <v>SE-000288958</v>
      </c>
      <c r="D15460" s="1">
        <v>45953.002557870372</v>
      </c>
      <c r="E15460" s="2">
        <v>1</v>
      </c>
      <c r="F15460" s="2">
        <v>1</v>
      </c>
      <c r="G15460" s="2">
        <v>0</v>
      </c>
      <c r="H15460" s="1" t="s">
        <v>0</v>
      </c>
      <c r="I15460" s="2">
        <v>0</v>
      </c>
      <c r="J15460" s="1">
        <v>45952.377453703702</v>
      </c>
    </row>
    <row r="15461" spans="1:10" x14ac:dyDescent="0.2">
      <c r="A15461" s="4" t="s">
        <v>1</v>
      </c>
      <c r="B15461" s="3" t="str">
        <f>HYPERLINK("https://otsuka-europe-crm.veevavault.com/ui/#object/approved_document__v/V5OZ025E82USSZ5", "LUP - Invitación webinar NL y RCV - nefro")</f>
        <v>LUP - Invitación webinar NL y RCV - nefro</v>
      </c>
      <c r="C15461" s="3" t="str">
        <f>HYPERLINK("https://otsuka-europe-crm.veevavault.com/ui/#object/sent_email__v/VBLZ025E82HQ6H8", "SE-000288959")</f>
        <v>SE-000288959</v>
      </c>
      <c r="D15461" s="1">
        <v>45952.392824074072</v>
      </c>
      <c r="E15461" s="2">
        <v>1</v>
      </c>
      <c r="F15461" s="2">
        <v>1</v>
      </c>
      <c r="G15461" s="2">
        <v>0</v>
      </c>
      <c r="H15461" s="1" t="s">
        <v>0</v>
      </c>
      <c r="I15461" s="2">
        <v>0</v>
      </c>
      <c r="J15461" s="1">
        <v>45952.377488425926</v>
      </c>
    </row>
    <row r="15462" spans="1:10" x14ac:dyDescent="0.2">
      <c r="A15462" s="4" t="s">
        <v>1</v>
      </c>
      <c r="B15462" s="3" t="str">
        <f>HYPERLINK("https://otsuka-europe-crm.veevavault.com/ui/#object/approved_document__v/V5OZ025E82USSZ5", "LUP - Invitación webinar NL y RCV - nefro")</f>
        <v>LUP - Invitación webinar NL y RCV - nefro</v>
      </c>
      <c r="C15462" s="3" t="str">
        <f>HYPERLINK("https://otsuka-europe-crm.veevavault.com/ui/#object/sent_email__v/VBLZ025E82HQ6H9", "SE-000288960")</f>
        <v>SE-000288960</v>
      </c>
      <c r="D15462" s="1" t="s">
        <v>0</v>
      </c>
      <c r="E15462" s="2">
        <v>0</v>
      </c>
      <c r="F15462" s="2">
        <v>0</v>
      </c>
      <c r="G15462" s="2">
        <v>0</v>
      </c>
      <c r="H15462" s="1" t="s">
        <v>0</v>
      </c>
      <c r="I15462" s="2">
        <v>0</v>
      </c>
      <c r="J15462" s="1">
        <v>45952.377476851849</v>
      </c>
    </row>
    <row r="15463" spans="1:10" x14ac:dyDescent="0.2">
      <c r="A15463" s="4" t="s">
        <v>1</v>
      </c>
      <c r="B15463" s="3" t="str">
        <f>HYPERLINK("https://otsuka-europe-crm.veevavault.com/ui/#object/approved_document__v/V5OZ025E82USSZ5", "LUP - Invitación webinar NL y RCV - nefro")</f>
        <v>LUP - Invitación webinar NL y RCV - nefro</v>
      </c>
      <c r="C15463" s="3" t="str">
        <f>HYPERLINK("https://otsuka-europe-crm.veevavault.com/ui/#object/sent_email__v/VBLZ025E82HS2IL", "SE-000290154")</f>
        <v>SE-000290154</v>
      </c>
      <c r="D15463" s="1" t="s">
        <v>0</v>
      </c>
      <c r="E15463" s="2">
        <v>0</v>
      </c>
      <c r="F15463" s="2">
        <v>0</v>
      </c>
      <c r="G15463" s="2">
        <v>0</v>
      </c>
      <c r="H15463" s="1" t="s">
        <v>0</v>
      </c>
      <c r="I15463" s="2">
        <v>0</v>
      </c>
      <c r="J15463" s="1">
        <v>45953.376747685186</v>
      </c>
    </row>
    <row r="15464" spans="1:10" x14ac:dyDescent="0.2">
      <c r="A15464" s="4" t="s">
        <v>1</v>
      </c>
      <c r="B15464" s="3" t="str">
        <f>HYPERLINK("https://otsuka-europe-crm.veevavault.com/ui/#object/approved_document__v/V5OZ025E82USSZ5", "LUP - Invitación webinar NL y RCV - nefro")</f>
        <v>LUP - Invitación webinar NL y RCV - nefro</v>
      </c>
      <c r="C15464" s="3" t="str">
        <f>HYPERLINK("https://otsuka-europe-crm.veevavault.com/ui/#object/sent_email__v/VBLZ025E82HS2IM", "SE-000290155")</f>
        <v>SE-000290155</v>
      </c>
      <c r="D15464" s="1" t="s">
        <v>0</v>
      </c>
      <c r="E15464" s="2">
        <v>0</v>
      </c>
      <c r="F15464" s="2">
        <v>0</v>
      </c>
      <c r="G15464" s="2">
        <v>0</v>
      </c>
      <c r="H15464" s="1" t="s">
        <v>0</v>
      </c>
      <c r="I15464" s="2">
        <v>0</v>
      </c>
      <c r="J15464" s="1">
        <v>45953.376585648148</v>
      </c>
    </row>
    <row r="15465" spans="1:10" x14ac:dyDescent="0.2">
      <c r="A15465" s="4" t="s">
        <v>1</v>
      </c>
      <c r="B15465" s="3" t="str">
        <f>HYPERLINK("https://otsuka-europe-crm.veevavault.com/ui/#object/approved_document__v/V5OZ025E82USSZ5", "LUP - Invitación webinar NL y RCV - nefro")</f>
        <v>LUP - Invitación webinar NL y RCV - nefro</v>
      </c>
      <c r="C15465" s="3" t="str">
        <f>HYPERLINK("https://otsuka-europe-crm.veevavault.com/ui/#object/sent_email__v/VBLZ025E82HS2IN", "SE-000290156")</f>
        <v>SE-000290156</v>
      </c>
      <c r="D15465" s="1">
        <v>45953.716747685183</v>
      </c>
      <c r="E15465" s="2">
        <v>1</v>
      </c>
      <c r="F15465" s="2">
        <v>1</v>
      </c>
      <c r="G15465" s="2">
        <v>0</v>
      </c>
      <c r="H15465" s="1" t="s">
        <v>0</v>
      </c>
      <c r="I15465" s="2">
        <v>0</v>
      </c>
      <c r="J15465" s="1">
        <v>45953.376736111109</v>
      </c>
    </row>
    <row r="15466" spans="1:10" x14ac:dyDescent="0.2">
      <c r="A15466" s="4" t="s">
        <v>1</v>
      </c>
      <c r="B15466" s="3" t="str">
        <f>HYPERLINK("https://otsuka-europe-crm.veevavault.com/ui/#object/approved_document__v/V5OZ025E82USSZ5", "LUP - Invitación webinar NL y RCV - nefro")</f>
        <v>LUP - Invitación webinar NL y RCV - nefro</v>
      </c>
      <c r="C15466" s="3" t="str">
        <f>HYPERLINK("https://otsuka-europe-crm.veevavault.com/ui/#object/sent_email__v/VBLZ025E82HS2IO", "SE-000290157")</f>
        <v>SE-000290157</v>
      </c>
      <c r="D15466" s="1" t="s">
        <v>0</v>
      </c>
      <c r="E15466" s="2">
        <v>0</v>
      </c>
      <c r="F15466" s="2">
        <v>0</v>
      </c>
      <c r="G15466" s="2">
        <v>0</v>
      </c>
      <c r="H15466" s="1" t="s">
        <v>0</v>
      </c>
      <c r="I15466" s="2">
        <v>0</v>
      </c>
      <c r="J15466" s="1">
        <v>45953.376840277779</v>
      </c>
    </row>
    <row r="15467" spans="1:10" x14ac:dyDescent="0.2">
      <c r="A15467" s="4" t="s">
        <v>1</v>
      </c>
      <c r="B15467" s="3" t="str">
        <f>HYPERLINK("https://otsuka-europe-crm.veevavault.com/ui/#object/approved_document__v/V5OZ025E82USSZ5", "LUP - Invitación webinar NL y RCV - nefro")</f>
        <v>LUP - Invitación webinar NL y RCV - nefro</v>
      </c>
      <c r="C15467" s="3" t="str">
        <f>HYPERLINK("https://otsuka-europe-crm.veevavault.com/ui/#object/sent_email__v/VBLZ025E82HS2IP", "SE-000290158")</f>
        <v>SE-000290158</v>
      </c>
      <c r="D15467" s="1" t="s">
        <v>0</v>
      </c>
      <c r="E15467" s="2">
        <v>0</v>
      </c>
      <c r="F15467" s="2">
        <v>0</v>
      </c>
      <c r="G15467" s="2">
        <v>0</v>
      </c>
      <c r="H15467" s="1" t="s">
        <v>0</v>
      </c>
      <c r="I15467" s="2">
        <v>0</v>
      </c>
      <c r="J15467" s="1">
        <v>45953.376655092594</v>
      </c>
    </row>
    <row r="15468" spans="1:10" x14ac:dyDescent="0.2">
      <c r="A15468" s="4" t="s">
        <v>1</v>
      </c>
      <c r="B15468" s="3" t="str">
        <f>HYPERLINK("https://otsuka-europe-crm.veevavault.com/ui/#object/approved_document__v/V5OZ025E82USSZ5", "LUP - Invitación webinar NL y RCV - nefro")</f>
        <v>LUP - Invitación webinar NL y RCV - nefro</v>
      </c>
      <c r="C15468" s="3" t="str">
        <f>HYPERLINK("https://otsuka-europe-crm.veevavault.com/ui/#object/sent_email__v/VBLZ025E82HS2IQ", "SE-000290159")</f>
        <v>SE-000290159</v>
      </c>
      <c r="D15468" s="1" t="s">
        <v>0</v>
      </c>
      <c r="E15468" s="2">
        <v>0</v>
      </c>
      <c r="F15468" s="2">
        <v>0</v>
      </c>
      <c r="G15468" s="2">
        <v>0</v>
      </c>
      <c r="H15468" s="1" t="s">
        <v>0</v>
      </c>
      <c r="I15468" s="2">
        <v>0</v>
      </c>
      <c r="J15468" s="1">
        <v>45953.376747685186</v>
      </c>
    </row>
    <row r="15469" spans="1:10" x14ac:dyDescent="0.2">
      <c r="A15469" s="4" t="s">
        <v>1</v>
      </c>
      <c r="B15469" s="3" t="str">
        <f>HYPERLINK("https://otsuka-europe-crm.veevavault.com/ui/#object/approved_document__v/V5OZ025E82USSZ5", "LUP - Invitación webinar NL y RCV - nefro")</f>
        <v>LUP - Invitación webinar NL y RCV - nefro</v>
      </c>
      <c r="C15469" s="3" t="str">
        <f>HYPERLINK("https://otsuka-europe-crm.veevavault.com/ui/#object/sent_email__v/VBLZ025E82HS2IR", "SE-000290160")</f>
        <v>SE-000290160</v>
      </c>
      <c r="D15469" s="1" t="s">
        <v>0</v>
      </c>
      <c r="E15469" s="2">
        <v>0</v>
      </c>
      <c r="F15469" s="2">
        <v>0</v>
      </c>
      <c r="G15469" s="2">
        <v>0</v>
      </c>
      <c r="H15469" s="1" t="s">
        <v>0</v>
      </c>
      <c r="I15469" s="2">
        <v>0</v>
      </c>
      <c r="J15469" s="1">
        <v>45953.376597222225</v>
      </c>
    </row>
    <row r="15470" spans="1:10" x14ac:dyDescent="0.2">
      <c r="A15470" s="4" t="s">
        <v>1</v>
      </c>
      <c r="B15470" s="3" t="str">
        <f>HYPERLINK("https://otsuka-europe-crm.veevavault.com/ui/#object/approved_document__v/V5OZ025E82USSZ5", "LUP - Invitación webinar NL y RCV - nefro")</f>
        <v>LUP - Invitación webinar NL y RCV - nefro</v>
      </c>
      <c r="C15470" s="3" t="str">
        <f>HYPERLINK("https://otsuka-europe-crm.veevavault.com/ui/#object/sent_email__v/VBLZ025E82HS2IS", "SE-000290161")</f>
        <v>SE-000290161</v>
      </c>
      <c r="D15470" s="1" t="s">
        <v>0</v>
      </c>
      <c r="E15470" s="2">
        <v>0</v>
      </c>
      <c r="F15470" s="2">
        <v>0</v>
      </c>
      <c r="G15470" s="2">
        <v>0</v>
      </c>
      <c r="H15470" s="1" t="s">
        <v>0</v>
      </c>
      <c r="I15470" s="2">
        <v>0</v>
      </c>
      <c r="J15470" s="1">
        <v>45953.376770833333</v>
      </c>
    </row>
    <row r="15471" spans="1:10" x14ac:dyDescent="0.2">
      <c r="A15471" s="4" t="s">
        <v>1</v>
      </c>
      <c r="B15471" s="3" t="str">
        <f>HYPERLINK("https://otsuka-europe-crm.veevavault.com/ui/#object/approved_document__v/V5OZ025E82USSZ5", "LUP - Invitación webinar NL y RCV - nefro")</f>
        <v>LUP - Invitación webinar NL y RCV - nefro</v>
      </c>
      <c r="C15471" s="3" t="str">
        <f>HYPERLINK("https://otsuka-europe-crm.veevavault.com/ui/#object/sent_email__v/VBLZ025E82HS2IT", "SE-000290162")</f>
        <v>SE-000290162</v>
      </c>
      <c r="D15471" s="1" t="s">
        <v>0</v>
      </c>
      <c r="E15471" s="2">
        <v>0</v>
      </c>
      <c r="F15471" s="2">
        <v>0</v>
      </c>
      <c r="G15471" s="2">
        <v>0</v>
      </c>
      <c r="H15471" s="1" t="s">
        <v>0</v>
      </c>
      <c r="I15471" s="2">
        <v>0</v>
      </c>
      <c r="J15471" s="1">
        <v>45953.376597222225</v>
      </c>
    </row>
    <row r="15472" spans="1:10" x14ac:dyDescent="0.2">
      <c r="A15472" s="4" t="s">
        <v>1</v>
      </c>
      <c r="B15472" s="3" t="str">
        <f>HYPERLINK("https://otsuka-europe-crm.veevavault.com/ui/#object/approved_document__v/V5OZ025E82USSZ5", "LUP - Invitación webinar NL y RCV - nefro")</f>
        <v>LUP - Invitación webinar NL y RCV - nefro</v>
      </c>
      <c r="C15472" s="3" t="str">
        <f>HYPERLINK("https://otsuka-europe-crm.veevavault.com/ui/#object/sent_email__v/VBLZ025E82HS2IU", "SE-000290163")</f>
        <v>SE-000290163</v>
      </c>
      <c r="D15472" s="1" t="s">
        <v>0</v>
      </c>
      <c r="E15472" s="2">
        <v>0</v>
      </c>
      <c r="F15472" s="2">
        <v>0</v>
      </c>
      <c r="G15472" s="2">
        <v>0</v>
      </c>
      <c r="H15472" s="1" t="s">
        <v>0</v>
      </c>
      <c r="I15472" s="2">
        <v>0</v>
      </c>
      <c r="J15472" s="1">
        <v>45953.376782407409</v>
      </c>
    </row>
    <row r="15473" spans="1:10" x14ac:dyDescent="0.2">
      <c r="A15473" s="4" t="s">
        <v>1</v>
      </c>
      <c r="B15473" s="3" t="str">
        <f>HYPERLINK("https://otsuka-europe-crm.veevavault.com/ui/#object/approved_document__v/V5OZ025E82USSZ5", "LUP - Invitación webinar NL y RCV - nefro")</f>
        <v>LUP - Invitación webinar NL y RCV - nefro</v>
      </c>
      <c r="C15473" s="3" t="str">
        <f>HYPERLINK("https://otsuka-europe-crm.veevavault.com/ui/#object/sent_email__v/VBLZ025E82HS2IV", "SE-000290164")</f>
        <v>SE-000290164</v>
      </c>
      <c r="D15473" s="1" t="s">
        <v>0</v>
      </c>
      <c r="E15473" s="2">
        <v>0</v>
      </c>
      <c r="F15473" s="2">
        <v>0</v>
      </c>
      <c r="G15473" s="2">
        <v>0</v>
      </c>
      <c r="H15473" s="1" t="s">
        <v>0</v>
      </c>
      <c r="I15473" s="2">
        <v>0</v>
      </c>
      <c r="J15473" s="1">
        <v>45953.376643518517</v>
      </c>
    </row>
    <row r="15474" spans="1:10" x14ac:dyDescent="0.2">
      <c r="A15474" s="4" t="s">
        <v>1</v>
      </c>
      <c r="B15474" s="3" t="str">
        <f>HYPERLINK("https://otsuka-europe-crm.veevavault.com/ui/#object/approved_document__v/V5OZ025E82USSZ5", "LUP - Invitación webinar NL y RCV - nefro")</f>
        <v>LUP - Invitación webinar NL y RCV - nefro</v>
      </c>
      <c r="C15474" s="3" t="str">
        <f>HYPERLINK("https://otsuka-europe-crm.veevavault.com/ui/#object/sent_email__v/VBLZ025E82HS2IW", "SE-000290165")</f>
        <v>SE-000290165</v>
      </c>
      <c r="D15474" s="1" t="s">
        <v>0</v>
      </c>
      <c r="E15474" s="2">
        <v>0</v>
      </c>
      <c r="F15474" s="2">
        <v>0</v>
      </c>
      <c r="G15474" s="2">
        <v>0</v>
      </c>
      <c r="H15474" s="1" t="s">
        <v>0</v>
      </c>
      <c r="I15474" s="2">
        <v>0</v>
      </c>
      <c r="J15474" s="1">
        <v>45953.376712962963</v>
      </c>
    </row>
    <row r="15475" spans="1:10" x14ac:dyDescent="0.2">
      <c r="A15475" s="4" t="s">
        <v>1</v>
      </c>
      <c r="B15475" s="3" t="str">
        <f>HYPERLINK("https://otsuka-europe-crm.veevavault.com/ui/#object/approved_document__v/V5OZ025E82USSZ5", "LUP - Invitación webinar NL y RCV - nefro")</f>
        <v>LUP - Invitación webinar NL y RCV - nefro</v>
      </c>
      <c r="C15475" s="3" t="str">
        <f>HYPERLINK("https://otsuka-europe-crm.veevavault.com/ui/#object/sent_email__v/VBLZ025E82HS2IX", "SE-000290166")</f>
        <v>SE-000290166</v>
      </c>
      <c r="D15475" s="1" t="s">
        <v>0</v>
      </c>
      <c r="E15475" s="2">
        <v>0</v>
      </c>
      <c r="F15475" s="2">
        <v>0</v>
      </c>
      <c r="G15475" s="2">
        <v>0</v>
      </c>
      <c r="H15475" s="1" t="s">
        <v>0</v>
      </c>
      <c r="I15475" s="2">
        <v>0</v>
      </c>
      <c r="J15475" s="1">
        <v>45953.376562500001</v>
      </c>
    </row>
    <row r="15476" spans="1:10" x14ac:dyDescent="0.2">
      <c r="A15476" s="4" t="s">
        <v>1</v>
      </c>
      <c r="B15476" s="3" t="str">
        <f>HYPERLINK("https://otsuka-europe-crm.veevavault.com/ui/#object/approved_document__v/V5OZ025E82USSZ5", "LUP - Invitación webinar NL y RCV - nefro")</f>
        <v>LUP - Invitación webinar NL y RCV - nefro</v>
      </c>
      <c r="C15476" s="3" t="str">
        <f>HYPERLINK("https://otsuka-europe-crm.veevavault.com/ui/#object/sent_email__v/VBLZ025E82HS2IY", "SE-000290167")</f>
        <v>SE-000290167</v>
      </c>
      <c r="D15476" s="1" t="s">
        <v>0</v>
      </c>
      <c r="E15476" s="2">
        <v>0</v>
      </c>
      <c r="F15476" s="2">
        <v>0</v>
      </c>
      <c r="G15476" s="2">
        <v>0</v>
      </c>
      <c r="H15476" s="1" t="s">
        <v>0</v>
      </c>
      <c r="I15476" s="2">
        <v>0</v>
      </c>
      <c r="J15476" s="1">
        <v>45953.376805555556</v>
      </c>
    </row>
    <row r="15477" spans="1:10" x14ac:dyDescent="0.2">
      <c r="A15477" s="4" t="s">
        <v>1</v>
      </c>
      <c r="B15477" s="3" t="str">
        <f>HYPERLINK("https://otsuka-europe-crm.veevavault.com/ui/#object/approved_document__v/V5OZ025E82USSZ5", "LUP - Invitación webinar NL y RCV - nefro")</f>
        <v>LUP - Invitación webinar NL y RCV - nefro</v>
      </c>
      <c r="C15477" s="3" t="str">
        <f>HYPERLINK("https://otsuka-europe-crm.veevavault.com/ui/#object/sent_email__v/VBLZ025E82HS2IZ", "SE-000290168")</f>
        <v>SE-000290168</v>
      </c>
      <c r="D15477" s="1" t="s">
        <v>0</v>
      </c>
      <c r="E15477" s="2">
        <v>0</v>
      </c>
      <c r="F15477" s="2">
        <v>0</v>
      </c>
      <c r="G15477" s="2">
        <v>0</v>
      </c>
      <c r="H15477" s="1" t="s">
        <v>0</v>
      </c>
      <c r="I15477" s="2">
        <v>0</v>
      </c>
      <c r="J15477" s="1">
        <v>45953.376631944448</v>
      </c>
    </row>
    <row r="15478" spans="1:10" x14ac:dyDescent="0.2">
      <c r="A15478" s="4" t="s">
        <v>1</v>
      </c>
      <c r="B15478" s="3" t="str">
        <f>HYPERLINK("https://otsuka-europe-crm.veevavault.com/ui/#object/approved_document__v/V5OZ025E82USSZ5", "LUP - Invitación webinar NL y RCV - nefro")</f>
        <v>LUP - Invitación webinar NL y RCV - nefro</v>
      </c>
      <c r="C15478" s="3" t="str">
        <f>HYPERLINK("https://otsuka-europe-crm.veevavault.com/ui/#object/sent_email__v/VBLZ025E82HS2J0", "SE-000290169")</f>
        <v>SE-000290169</v>
      </c>
      <c r="D15478" s="1" t="s">
        <v>0</v>
      </c>
      <c r="E15478" s="2">
        <v>0</v>
      </c>
      <c r="F15478" s="2">
        <v>0</v>
      </c>
      <c r="G15478" s="2">
        <v>0</v>
      </c>
      <c r="H15478" s="1" t="s">
        <v>0</v>
      </c>
      <c r="I15478" s="2">
        <v>0</v>
      </c>
      <c r="J15478" s="1">
        <v>45953.376805555556</v>
      </c>
    </row>
    <row r="15479" spans="1:10" x14ac:dyDescent="0.2">
      <c r="A15479" s="4" t="s">
        <v>1</v>
      </c>
      <c r="B15479" s="3" t="str">
        <f>HYPERLINK("https://otsuka-europe-crm.veevavault.com/ui/#object/approved_document__v/V5OZ025E82USSZ5", "LUP - Invitación webinar NL y RCV - nefro")</f>
        <v>LUP - Invitación webinar NL y RCV - nefro</v>
      </c>
      <c r="C15479" s="3" t="str">
        <f>HYPERLINK("https://otsuka-europe-crm.veevavault.com/ui/#object/sent_email__v/VBLZ025E82HS2J1", "SE-000290170")</f>
        <v>SE-000290170</v>
      </c>
      <c r="D15479" s="1" t="s">
        <v>0</v>
      </c>
      <c r="E15479" s="2">
        <v>0</v>
      </c>
      <c r="F15479" s="2">
        <v>0</v>
      </c>
      <c r="G15479" s="2">
        <v>0</v>
      </c>
      <c r="H15479" s="1" t="s">
        <v>0</v>
      </c>
      <c r="I15479" s="2">
        <v>0</v>
      </c>
      <c r="J15479" s="1">
        <v>45953.376620370371</v>
      </c>
    </row>
    <row r="15480" spans="1:10" x14ac:dyDescent="0.2">
      <c r="A15480" s="4" t="s">
        <v>1</v>
      </c>
      <c r="B15480" s="3" t="str">
        <f>HYPERLINK("https://otsuka-europe-crm.veevavault.com/ui/#object/approved_document__v/V5OZ025E82USSZ5", "LUP - Invitación webinar NL y RCV - nefro")</f>
        <v>LUP - Invitación webinar NL y RCV - nefro</v>
      </c>
      <c r="C15480" s="3" t="str">
        <f>HYPERLINK("https://otsuka-europe-crm.veevavault.com/ui/#object/sent_email__v/VBLZ025E82HS2J2", "SE-000290171")</f>
        <v>SE-000290171</v>
      </c>
      <c r="D15480" s="1" t="s">
        <v>0</v>
      </c>
      <c r="E15480" s="2">
        <v>0</v>
      </c>
      <c r="F15480" s="2">
        <v>0</v>
      </c>
      <c r="G15480" s="2">
        <v>0</v>
      </c>
      <c r="H15480" s="1" t="s">
        <v>0</v>
      </c>
      <c r="I15480" s="2">
        <v>0</v>
      </c>
      <c r="J15480" s="1">
        <v>45953.376736111109</v>
      </c>
    </row>
    <row r="15481" spans="1:10" x14ac:dyDescent="0.2">
      <c r="A15481" s="4" t="s">
        <v>1</v>
      </c>
      <c r="B15481" s="3" t="str">
        <f>HYPERLINK("https://otsuka-europe-crm.veevavault.com/ui/#object/approved_document__v/V5OZ025E82USSZ5", "LUP - Invitación webinar NL y RCV - nefro")</f>
        <v>LUP - Invitación webinar NL y RCV - nefro</v>
      </c>
      <c r="C15481" s="3" t="str">
        <f>HYPERLINK("https://otsuka-europe-crm.veevavault.com/ui/#object/sent_email__v/VBLZ025E82HS2J3", "SE-000290172")</f>
        <v>SE-000290172</v>
      </c>
      <c r="D15481" s="1" t="s">
        <v>0</v>
      </c>
      <c r="E15481" s="2">
        <v>0</v>
      </c>
      <c r="F15481" s="2">
        <v>0</v>
      </c>
      <c r="G15481" s="2">
        <v>0</v>
      </c>
      <c r="H15481" s="1" t="s">
        <v>0</v>
      </c>
      <c r="I15481" s="2">
        <v>0</v>
      </c>
      <c r="J15481" s="1">
        <v>45953.376585648148</v>
      </c>
    </row>
    <row r="15482" spans="1:10" x14ac:dyDescent="0.2">
      <c r="A15482" s="4" t="s">
        <v>1</v>
      </c>
      <c r="B15482" s="3" t="str">
        <f>HYPERLINK("https://otsuka-europe-crm.veevavault.com/ui/#object/approved_document__v/V5OZ025E82USSZ5", "LUP - Invitación webinar NL y RCV - nefro")</f>
        <v>LUP - Invitación webinar NL y RCV - nefro</v>
      </c>
      <c r="C15482" s="3" t="str">
        <f>HYPERLINK("https://otsuka-europe-crm.veevavault.com/ui/#object/sent_email__v/VBLZ025E82HS2J4", "SE-000290173")</f>
        <v>SE-000290173</v>
      </c>
      <c r="D15482" s="1" t="s">
        <v>0</v>
      </c>
      <c r="E15482" s="2">
        <v>0</v>
      </c>
      <c r="F15482" s="2">
        <v>0</v>
      </c>
      <c r="G15482" s="2">
        <v>0</v>
      </c>
      <c r="H15482" s="1" t="s">
        <v>0</v>
      </c>
      <c r="I15482" s="2">
        <v>0</v>
      </c>
      <c r="J15482" s="1">
        <v>45953.376759259256</v>
      </c>
    </row>
    <row r="15483" spans="1:10" x14ac:dyDescent="0.2">
      <c r="A15483" s="4" t="s">
        <v>1</v>
      </c>
      <c r="B15483" s="3" t="str">
        <f>HYPERLINK("https://otsuka-europe-crm.veevavault.com/ui/#object/approved_document__v/V5OZ025E82USSZ5", "LUP - Invitación webinar NL y RCV - nefro")</f>
        <v>LUP - Invitación webinar NL y RCV - nefro</v>
      </c>
      <c r="C15483" s="3" t="str">
        <f>HYPERLINK("https://otsuka-europe-crm.veevavault.com/ui/#object/sent_email__v/VBLZ025E82HS2J5", "SE-000290174")</f>
        <v>SE-000290174</v>
      </c>
      <c r="D15483" s="1" t="s">
        <v>0</v>
      </c>
      <c r="E15483" s="2">
        <v>0</v>
      </c>
      <c r="F15483" s="2">
        <v>0</v>
      </c>
      <c r="G15483" s="2">
        <v>0</v>
      </c>
      <c r="H15483" s="1" t="s">
        <v>0</v>
      </c>
      <c r="I15483" s="2">
        <v>0</v>
      </c>
      <c r="J15483" s="1">
        <v>45953.376597222225</v>
      </c>
    </row>
    <row r="15484" spans="1:10" x14ac:dyDescent="0.2">
      <c r="A15484" s="4" t="s">
        <v>1</v>
      </c>
      <c r="B15484" s="3" t="str">
        <f>HYPERLINK("https://otsuka-europe-crm.veevavault.com/ui/#object/approved_document__v/V5OZ025E82USSZ5", "LUP - Invitación webinar NL y RCV - nefro")</f>
        <v>LUP - Invitación webinar NL y RCV - nefro</v>
      </c>
      <c r="C15484" s="3" t="str">
        <f>HYPERLINK("https://otsuka-europe-crm.veevavault.com/ui/#object/sent_email__v/VBLZ025E82HS2J6", "SE-000290175")</f>
        <v>SE-000290175</v>
      </c>
      <c r="D15484" s="1" t="s">
        <v>0</v>
      </c>
      <c r="E15484" s="2">
        <v>0</v>
      </c>
      <c r="F15484" s="2">
        <v>0</v>
      </c>
      <c r="G15484" s="2">
        <v>0</v>
      </c>
      <c r="H15484" s="1" t="s">
        <v>0</v>
      </c>
      <c r="I15484" s="2">
        <v>0</v>
      </c>
      <c r="J15484" s="1">
        <v>45953.376655092594</v>
      </c>
    </row>
    <row r="15485" spans="1:10" x14ac:dyDescent="0.2">
      <c r="A15485" s="4" t="s">
        <v>1</v>
      </c>
      <c r="B15485" s="3" t="str">
        <f>HYPERLINK("https://otsuka-europe-crm.veevavault.com/ui/#object/approved_document__v/V5OZ025E82USSZ5", "LUP - Invitación webinar NL y RCV - nefro")</f>
        <v>LUP - Invitación webinar NL y RCV - nefro</v>
      </c>
      <c r="C15485" s="3" t="str">
        <f>HYPERLINK("https://otsuka-europe-crm.veevavault.com/ui/#object/sent_email__v/VBLZ025E82HS2J7", "SE-000290176")</f>
        <v>SE-000290176</v>
      </c>
      <c r="D15485" s="1" t="s">
        <v>0</v>
      </c>
      <c r="E15485" s="2">
        <v>0</v>
      </c>
      <c r="F15485" s="2">
        <v>0</v>
      </c>
      <c r="G15485" s="2">
        <v>0</v>
      </c>
      <c r="H15485" s="1" t="s">
        <v>0</v>
      </c>
      <c r="I15485" s="2">
        <v>0</v>
      </c>
      <c r="J15485" s="1">
        <v>45953.376817129632</v>
      </c>
    </row>
    <row r="15486" spans="1:10" x14ac:dyDescent="0.2">
      <c r="A15486" s="4" t="s">
        <v>1</v>
      </c>
      <c r="B15486" s="3" t="str">
        <f>HYPERLINK("https://otsuka-europe-crm.veevavault.com/ui/#object/approved_document__v/V5OZ025E82USSZ5", "LUP - Invitación webinar NL y RCV - nefro")</f>
        <v>LUP - Invitación webinar NL y RCV - nefro</v>
      </c>
      <c r="C15486" s="3" t="str">
        <f>HYPERLINK("https://otsuka-europe-crm.veevavault.com/ui/#object/sent_email__v/VBLZ025E82HS2J8", "SE-000290177")</f>
        <v>SE-000290177</v>
      </c>
      <c r="D15486" s="1" t="s">
        <v>0</v>
      </c>
      <c r="E15486" s="2">
        <v>0</v>
      </c>
      <c r="F15486" s="2">
        <v>0</v>
      </c>
      <c r="G15486" s="2">
        <v>0</v>
      </c>
      <c r="H15486" s="1" t="s">
        <v>0</v>
      </c>
      <c r="I15486" s="2">
        <v>0</v>
      </c>
      <c r="J15486" s="1">
        <v>45953.376655092594</v>
      </c>
    </row>
    <row r="15487" spans="1:10" x14ac:dyDescent="0.2">
      <c r="A15487" s="4" t="s">
        <v>1</v>
      </c>
      <c r="B15487" s="3" t="str">
        <f>HYPERLINK("https://otsuka-europe-crm.veevavault.com/ui/#object/approved_document__v/V5OZ025E82USSZ5", "LUP - Invitación webinar NL y RCV - nefro")</f>
        <v>LUP - Invitación webinar NL y RCV - nefro</v>
      </c>
      <c r="C15487" s="3" t="str">
        <f>HYPERLINK("https://otsuka-europe-crm.veevavault.com/ui/#object/sent_email__v/VBLZ025E82HS2J9", "SE-000290178")</f>
        <v>SE-000290178</v>
      </c>
      <c r="D15487" s="1" t="s">
        <v>0</v>
      </c>
      <c r="E15487" s="2">
        <v>0</v>
      </c>
      <c r="F15487" s="2">
        <v>0</v>
      </c>
      <c r="G15487" s="2">
        <v>0</v>
      </c>
      <c r="H15487" s="1" t="s">
        <v>0</v>
      </c>
      <c r="I15487" s="2">
        <v>0</v>
      </c>
      <c r="J15487" s="1">
        <v>45953.376805555556</v>
      </c>
    </row>
    <row r="15488" spans="1:10" x14ac:dyDescent="0.2">
      <c r="A15488" s="4" t="s">
        <v>1</v>
      </c>
      <c r="B15488" s="3" t="str">
        <f>HYPERLINK("https://otsuka-europe-crm.veevavault.com/ui/#object/approved_document__v/V5OZ025E82USSZ5", "LUP - Invitación webinar NL y RCV - nefro")</f>
        <v>LUP - Invitación webinar NL y RCV - nefro</v>
      </c>
      <c r="C15488" s="3" t="str">
        <f>HYPERLINK("https://otsuka-europe-crm.veevavault.com/ui/#object/sent_email__v/VBLZ025E82HS2JA", "SE-000290179")</f>
        <v>SE-000290179</v>
      </c>
      <c r="D15488" s="1" t="s">
        <v>0</v>
      </c>
      <c r="E15488" s="2">
        <v>0</v>
      </c>
      <c r="F15488" s="2">
        <v>0</v>
      </c>
      <c r="G15488" s="2">
        <v>0</v>
      </c>
      <c r="H15488" s="1" t="s">
        <v>0</v>
      </c>
      <c r="I15488" s="2">
        <v>0</v>
      </c>
      <c r="J15488" s="1">
        <v>45953.37667824074</v>
      </c>
    </row>
    <row r="15489" spans="1:10" x14ac:dyDescent="0.2">
      <c r="A15489" s="4" t="s">
        <v>1</v>
      </c>
      <c r="B15489" s="3" t="str">
        <f>HYPERLINK("https://otsuka-europe-crm.veevavault.com/ui/#object/approved_document__v/V5OZ025E82USSZ5", "LUP - Invitación webinar NL y RCV - nefro")</f>
        <v>LUP - Invitación webinar NL y RCV - nefro</v>
      </c>
      <c r="C15489" s="3" t="str">
        <f>HYPERLINK("https://otsuka-europe-crm.veevavault.com/ui/#object/sent_email__v/VBLZ025E82HS2JB", "SE-000290180")</f>
        <v>SE-000290180</v>
      </c>
      <c r="D15489" s="1" t="s">
        <v>0</v>
      </c>
      <c r="E15489" s="2">
        <v>0</v>
      </c>
      <c r="F15489" s="2">
        <v>0</v>
      </c>
      <c r="G15489" s="2">
        <v>0</v>
      </c>
      <c r="H15489" s="1" t="s">
        <v>0</v>
      </c>
      <c r="I15489" s="2">
        <v>0</v>
      </c>
      <c r="J15489" s="1">
        <v>45953.376840277779</v>
      </c>
    </row>
    <row r="15490" spans="1:10" x14ac:dyDescent="0.2">
      <c r="A15490" s="4" t="s">
        <v>1</v>
      </c>
      <c r="B15490" s="3" t="str">
        <f>HYPERLINK("https://otsuka-europe-crm.veevavault.com/ui/#object/approved_document__v/V5OZ025E82USSZ5", "LUP - Invitación webinar NL y RCV - nefro")</f>
        <v>LUP - Invitación webinar NL y RCV - nefro</v>
      </c>
      <c r="C15490" s="3" t="str">
        <f>HYPERLINK("https://otsuka-europe-crm.veevavault.com/ui/#object/sent_email__v/VBLZ025E82HS2JC", "SE-000290181")</f>
        <v>SE-000290181</v>
      </c>
      <c r="D15490" s="1" t="s">
        <v>0</v>
      </c>
      <c r="E15490" s="2">
        <v>0</v>
      </c>
      <c r="F15490" s="2">
        <v>0</v>
      </c>
      <c r="G15490" s="2">
        <v>0</v>
      </c>
      <c r="H15490" s="1" t="s">
        <v>0</v>
      </c>
      <c r="I15490" s="2">
        <v>0</v>
      </c>
      <c r="J15490" s="1">
        <v>45953.376689814817</v>
      </c>
    </row>
    <row r="15491" spans="1:10" x14ac:dyDescent="0.2">
      <c r="A15491" s="4" t="s">
        <v>1</v>
      </c>
      <c r="B15491" s="3" t="str">
        <f>HYPERLINK("https://otsuka-europe-crm.veevavault.com/ui/#object/approved_document__v/V5OZ025E82USSZ5", "LUP - Invitación webinar NL y RCV - nefro")</f>
        <v>LUP - Invitación webinar NL y RCV - nefro</v>
      </c>
      <c r="C15491" s="3" t="str">
        <f>HYPERLINK("https://otsuka-europe-crm.veevavault.com/ui/#object/sent_email__v/VBLZ025E82HS2JD", "SE-000290182")</f>
        <v>SE-000290182</v>
      </c>
      <c r="D15491" s="1">
        <v>45953.376979166664</v>
      </c>
      <c r="E15491" s="2">
        <v>1</v>
      </c>
      <c r="F15491" s="2">
        <v>1</v>
      </c>
      <c r="G15491" s="2">
        <v>0</v>
      </c>
      <c r="H15491" s="1" t="s">
        <v>0</v>
      </c>
      <c r="I15491" s="2">
        <v>0</v>
      </c>
      <c r="J15491" s="1">
        <v>45953.376851851855</v>
      </c>
    </row>
    <row r="15492" spans="1:10" x14ac:dyDescent="0.2">
      <c r="A15492" s="4" t="s">
        <v>1</v>
      </c>
      <c r="B15492" s="3" t="str">
        <f>HYPERLINK("https://otsuka-europe-crm.veevavault.com/ui/#object/approved_document__v/V5OZ025E82USSZ5", "LUP - Invitación webinar NL y RCV - nefro")</f>
        <v>LUP - Invitación webinar NL y RCV - nefro</v>
      </c>
      <c r="C15492" s="3" t="str">
        <f>HYPERLINK("https://otsuka-europe-crm.veevavault.com/ui/#object/sent_email__v/VBLZ025E82HS2JE", "SE-000290183")</f>
        <v>SE-000290183</v>
      </c>
      <c r="D15492" s="1" t="s">
        <v>0</v>
      </c>
      <c r="E15492" s="2">
        <v>0</v>
      </c>
      <c r="F15492" s="2">
        <v>0</v>
      </c>
      <c r="G15492" s="2">
        <v>0</v>
      </c>
      <c r="H15492" s="1" t="s">
        <v>0</v>
      </c>
      <c r="I15492" s="2">
        <v>0</v>
      </c>
      <c r="J15492" s="1">
        <v>45953.376875000002</v>
      </c>
    </row>
    <row r="15493" spans="1:10" x14ac:dyDescent="0.2">
      <c r="A15493" s="4" t="s">
        <v>1</v>
      </c>
      <c r="B15493" s="3" t="str">
        <f>HYPERLINK("https://otsuka-europe-crm.veevavault.com/ui/#object/approved_document__v/V5OZ025E82USSZ5", "LUP - Invitación webinar NL y RCV - nefro")</f>
        <v>LUP - Invitación webinar NL y RCV - nefro</v>
      </c>
      <c r="C15493" s="3" t="str">
        <f>HYPERLINK("https://otsuka-europe-crm.veevavault.com/ui/#object/sent_email__v/VBLZ025E82HS2JF", "SE-000290184")</f>
        <v>SE-000290184</v>
      </c>
      <c r="D15493" s="1" t="s">
        <v>0</v>
      </c>
      <c r="E15493" s="2">
        <v>0</v>
      </c>
      <c r="F15493" s="2">
        <v>0</v>
      </c>
      <c r="G15493" s="2">
        <v>0</v>
      </c>
      <c r="H15493" s="1" t="s">
        <v>0</v>
      </c>
      <c r="I15493" s="2">
        <v>0</v>
      </c>
      <c r="J15493" s="1">
        <v>45953.376701388886</v>
      </c>
    </row>
    <row r="15494" spans="1:10" x14ac:dyDescent="0.2">
      <c r="A15494" s="4" t="s">
        <v>1</v>
      </c>
      <c r="B15494" s="3" t="str">
        <f>HYPERLINK("https://otsuka-europe-crm.veevavault.com/ui/#object/approved_document__v/V5OZ025E82USSZ5", "LUP - Invitación webinar NL y RCV - nefro")</f>
        <v>LUP - Invitación webinar NL y RCV - nefro</v>
      </c>
      <c r="C15494" s="3" t="str">
        <f>HYPERLINK("https://otsuka-europe-crm.veevavault.com/ui/#object/sent_email__v/VBLZ025E82HS2JG", "SE-000290185")</f>
        <v>SE-000290185</v>
      </c>
      <c r="D15494" s="1" t="s">
        <v>0</v>
      </c>
      <c r="E15494" s="2">
        <v>0</v>
      </c>
      <c r="F15494" s="2">
        <v>0</v>
      </c>
      <c r="G15494" s="2">
        <v>0</v>
      </c>
      <c r="H15494" s="1" t="s">
        <v>0</v>
      </c>
      <c r="I15494" s="2">
        <v>0</v>
      </c>
      <c r="J15494" s="1">
        <v>45953.376863425925</v>
      </c>
    </row>
    <row r="15495" spans="1:10" x14ac:dyDescent="0.2">
      <c r="A15495" s="4" t="s">
        <v>1</v>
      </c>
      <c r="B15495" s="3" t="str">
        <f>HYPERLINK("https://otsuka-europe-crm.veevavault.com/ui/#object/approved_document__v/V5OZ025E82USSZ5", "LUP - Invitación webinar NL y RCV - nefro")</f>
        <v>LUP - Invitación webinar NL y RCV - nefro</v>
      </c>
      <c r="C15495" s="3" t="str">
        <f>HYPERLINK("https://otsuka-europe-crm.veevavault.com/ui/#object/sent_email__v/VBLZ025E82HS2JH", "SE-000290186")</f>
        <v>SE-000290186</v>
      </c>
      <c r="D15495" s="1">
        <v>45959.362974537034</v>
      </c>
      <c r="E15495" s="2">
        <v>1</v>
      </c>
      <c r="F15495" s="2">
        <v>1</v>
      </c>
      <c r="G15495" s="2">
        <v>0</v>
      </c>
      <c r="H15495" s="1" t="s">
        <v>0</v>
      </c>
      <c r="I15495" s="2">
        <v>0</v>
      </c>
      <c r="J15495" s="1">
        <v>45953.376689814817</v>
      </c>
    </row>
    <row r="15496" spans="1:10" x14ac:dyDescent="0.2">
      <c r="A15496" s="4" t="s">
        <v>1</v>
      </c>
      <c r="B15496" s="3" t="str">
        <f>HYPERLINK("https://otsuka-europe-crm.veevavault.com/ui/#object/approved_document__v/V5OZ025E82USSZ5", "LUP - Invitación webinar NL y RCV - nefro")</f>
        <v>LUP - Invitación webinar NL y RCV - nefro</v>
      </c>
      <c r="C15496" s="3" t="str">
        <f>HYPERLINK("https://otsuka-europe-crm.veevavault.com/ui/#object/sent_email__v/VBLZ025E82HS2JI", "SE-000290187")</f>
        <v>SE-000290187</v>
      </c>
      <c r="D15496" s="1" t="s">
        <v>0</v>
      </c>
      <c r="E15496" s="2">
        <v>0</v>
      </c>
      <c r="F15496" s="2">
        <v>0</v>
      </c>
      <c r="G15496" s="2">
        <v>0</v>
      </c>
      <c r="H15496" s="1" t="s">
        <v>0</v>
      </c>
      <c r="I15496" s="2">
        <v>0</v>
      </c>
      <c r="J15496" s="1">
        <v>45953.376562500001</v>
      </c>
    </row>
    <row r="15497" spans="1:10" x14ac:dyDescent="0.2">
      <c r="A15497" s="4" t="s">
        <v>1</v>
      </c>
      <c r="B15497" s="3" t="str">
        <f>HYPERLINK("https://otsuka-europe-crm.veevavault.com/ui/#object/approved_document__v/V5OZ025E82USSZ5", "LUP - Invitación webinar NL y RCV - nefro")</f>
        <v>LUP - Invitación webinar NL y RCV - nefro</v>
      </c>
      <c r="C15497" s="3" t="str">
        <f>HYPERLINK("https://otsuka-europe-crm.veevavault.com/ui/#object/sent_email__v/VBLZ025E82HS2JJ", "SE-000290188")</f>
        <v>SE-000290188</v>
      </c>
      <c r="D15497" s="1" t="s">
        <v>0</v>
      </c>
      <c r="E15497" s="2">
        <v>0</v>
      </c>
      <c r="F15497" s="2">
        <v>0</v>
      </c>
      <c r="G15497" s="2">
        <v>0</v>
      </c>
      <c r="H15497" s="1" t="s">
        <v>0</v>
      </c>
      <c r="I15497" s="2">
        <v>0</v>
      </c>
      <c r="J15497" s="1">
        <v>45953.376701388886</v>
      </c>
    </row>
    <row r="15498" spans="1:10" x14ac:dyDescent="0.2">
      <c r="A15498" s="4" t="s">
        <v>1</v>
      </c>
      <c r="B15498" s="3" t="str">
        <f>HYPERLINK("https://otsuka-europe-crm.veevavault.com/ui/#object/approved_document__v/V5OZ025E82USSZ5", "LUP - Invitación webinar NL y RCV - nefro")</f>
        <v>LUP - Invitación webinar NL y RCV - nefro</v>
      </c>
      <c r="C15498" s="3" t="str">
        <f>HYPERLINK("https://otsuka-europe-crm.veevavault.com/ui/#object/sent_email__v/VBLZ025E82HS2JK", "SE-000290189")</f>
        <v>SE-000290189</v>
      </c>
      <c r="D15498" s="1">
        <v>45953.772557870368</v>
      </c>
      <c r="E15498" s="2">
        <v>1</v>
      </c>
      <c r="F15498" s="2">
        <v>1</v>
      </c>
      <c r="G15498" s="2">
        <v>0</v>
      </c>
      <c r="H15498" s="1" t="s">
        <v>0</v>
      </c>
      <c r="I15498" s="2">
        <v>0</v>
      </c>
      <c r="J15498" s="1">
        <v>45953.376597222225</v>
      </c>
    </row>
    <row r="15499" spans="1:10" x14ac:dyDescent="0.2">
      <c r="A15499" s="4" t="s">
        <v>1</v>
      </c>
      <c r="B15499" s="3" t="str">
        <f>HYPERLINK("https://otsuka-europe-crm.veevavault.com/ui/#object/approved_document__v/V5OZ025E82USSZ5", "LUP - Invitación webinar NL y RCV - nefro")</f>
        <v>LUP - Invitación webinar NL y RCV - nefro</v>
      </c>
      <c r="C15499" s="3" t="str">
        <f>HYPERLINK("https://otsuka-europe-crm.veevavault.com/ui/#object/sent_email__v/VBLZ025E82HS2LD", "SE-000290190")</f>
        <v>SE-000290190</v>
      </c>
      <c r="D15499" s="1" t="s">
        <v>0</v>
      </c>
      <c r="E15499" s="2">
        <v>0</v>
      </c>
      <c r="F15499" s="2">
        <v>0</v>
      </c>
      <c r="G15499" s="2">
        <v>0</v>
      </c>
      <c r="H15499" s="1" t="s">
        <v>0</v>
      </c>
      <c r="I15499" s="2">
        <v>0</v>
      </c>
      <c r="J15499" s="1">
        <v>45953.378148148149</v>
      </c>
    </row>
    <row r="15500" spans="1:10" x14ac:dyDescent="0.2">
      <c r="A15500" s="4" t="s">
        <v>1</v>
      </c>
      <c r="B15500" s="3" t="str">
        <f>HYPERLINK("https://otsuka-europe-crm.veevavault.com/ui/#object/approved_document__v/V5OZ025E82USSZ5", "LUP - Invitación webinar NL y RCV - nefro")</f>
        <v>LUP - Invitación webinar NL y RCV - nefro</v>
      </c>
      <c r="C15500" s="3" t="str">
        <f>HYPERLINK("https://otsuka-europe-crm.veevavault.com/ui/#object/sent_email__v/VBLZ025E82HS2LE", "SE-000290191")</f>
        <v>SE-000290191</v>
      </c>
      <c r="D15500" s="1" t="s">
        <v>0</v>
      </c>
      <c r="E15500" s="2">
        <v>0</v>
      </c>
      <c r="F15500" s="2">
        <v>0</v>
      </c>
      <c r="G15500" s="2">
        <v>0</v>
      </c>
      <c r="H15500" s="1" t="s">
        <v>0</v>
      </c>
      <c r="I15500" s="2">
        <v>0</v>
      </c>
      <c r="J15500" s="1">
        <v>45953.378668981481</v>
      </c>
    </row>
    <row r="15501" spans="1:10" x14ac:dyDescent="0.2">
      <c r="A15501" s="4" t="s">
        <v>1</v>
      </c>
      <c r="B15501" s="3" t="str">
        <f>HYPERLINK("https://otsuka-europe-crm.veevavault.com/ui/#object/approved_document__v/V5OZ025E82USSZ5", "LUP - Invitación webinar NL y RCV - nefro")</f>
        <v>LUP - Invitación webinar NL y RCV - nefro</v>
      </c>
      <c r="C15501" s="3" t="str">
        <f>HYPERLINK("https://otsuka-europe-crm.veevavault.com/ui/#object/sent_email__v/VBLZ025E82HS2LF", "SE-000290192")</f>
        <v>SE-000290192</v>
      </c>
      <c r="D15501" s="1" t="s">
        <v>0</v>
      </c>
      <c r="E15501" s="2">
        <v>0</v>
      </c>
      <c r="F15501" s="2">
        <v>0</v>
      </c>
      <c r="G15501" s="2">
        <v>0</v>
      </c>
      <c r="H15501" s="1" t="s">
        <v>0</v>
      </c>
      <c r="I15501" s="2">
        <v>0</v>
      </c>
      <c r="J15501" s="1">
        <v>45953.377858796295</v>
      </c>
    </row>
    <row r="15502" spans="1:10" x14ac:dyDescent="0.2">
      <c r="A15502" s="4" t="s">
        <v>1</v>
      </c>
      <c r="B15502" s="3" t="str">
        <f>HYPERLINK("https://otsuka-europe-crm.veevavault.com/ui/#object/approved_document__v/V5OZ025E82USSZ5", "LUP - Invitación webinar NL y RCV - nefro")</f>
        <v>LUP - Invitación webinar NL y RCV - nefro</v>
      </c>
      <c r="C15502" s="3" t="str">
        <f>HYPERLINK("https://otsuka-europe-crm.veevavault.com/ui/#object/sent_email__v/VBLZ025E82HS2LG", "SE-000290193")</f>
        <v>SE-000290193</v>
      </c>
      <c r="D15502" s="1" t="s">
        <v>0</v>
      </c>
      <c r="E15502" s="2">
        <v>0</v>
      </c>
      <c r="F15502" s="2">
        <v>0</v>
      </c>
      <c r="G15502" s="2">
        <v>0</v>
      </c>
      <c r="H15502" s="1" t="s">
        <v>0</v>
      </c>
      <c r="I15502" s="2">
        <v>0</v>
      </c>
      <c r="J15502" s="1">
        <v>45953.378622685188</v>
      </c>
    </row>
    <row r="15503" spans="1:10" x14ac:dyDescent="0.2">
      <c r="A15503" s="4" t="s">
        <v>1</v>
      </c>
      <c r="B15503" s="3" t="str">
        <f>HYPERLINK("https://otsuka-europe-crm.veevavault.com/ui/#object/approved_document__v/V5OZ025E82USSZ5", "LUP - Invitación webinar NL y RCV - nefro")</f>
        <v>LUP - Invitación webinar NL y RCV - nefro</v>
      </c>
      <c r="C15503" s="3" t="str">
        <f>HYPERLINK("https://otsuka-europe-crm.veevavault.com/ui/#object/sent_email__v/VBLZ025E82HS2LH", "SE-000290194")</f>
        <v>SE-000290194</v>
      </c>
      <c r="D15503" s="1" t="s">
        <v>0</v>
      </c>
      <c r="E15503" s="2">
        <v>0</v>
      </c>
      <c r="F15503" s="2">
        <v>0</v>
      </c>
      <c r="G15503" s="2">
        <v>0</v>
      </c>
      <c r="H15503" s="1" t="s">
        <v>0</v>
      </c>
      <c r="I15503" s="2">
        <v>0</v>
      </c>
      <c r="J15503" s="1">
        <v>45953.377881944441</v>
      </c>
    </row>
    <row r="15504" spans="1:10" x14ac:dyDescent="0.2">
      <c r="A15504" s="4" t="s">
        <v>1</v>
      </c>
      <c r="B15504" s="3" t="str">
        <f>HYPERLINK("https://otsuka-europe-crm.veevavault.com/ui/#object/approved_document__v/V5OZ025E82USSZ5", "LUP - Invitación webinar NL y RCV - nefro")</f>
        <v>LUP - Invitación webinar NL y RCV - nefro</v>
      </c>
      <c r="C15504" s="3" t="str">
        <f>HYPERLINK("https://otsuka-europe-crm.veevavault.com/ui/#object/sent_email__v/VBLZ025E82HS2LI", "SE-000290195")</f>
        <v>SE-000290195</v>
      </c>
      <c r="D15504" s="1" t="s">
        <v>0</v>
      </c>
      <c r="E15504" s="2">
        <v>0</v>
      </c>
      <c r="F15504" s="2">
        <v>0</v>
      </c>
      <c r="G15504" s="2">
        <v>0</v>
      </c>
      <c r="H15504" s="1" t="s">
        <v>0</v>
      </c>
      <c r="I15504" s="2">
        <v>0</v>
      </c>
      <c r="J15504" s="1">
        <v>45953.377893518518</v>
      </c>
    </row>
    <row r="15505" spans="1:10" x14ac:dyDescent="0.2">
      <c r="A15505" s="4" t="s">
        <v>1</v>
      </c>
      <c r="B15505" s="3" t="str">
        <f>HYPERLINK("https://otsuka-europe-crm.veevavault.com/ui/#object/approved_document__v/V5OZ025E82USSZ5", "LUP - Invitación webinar NL y RCV - nefro")</f>
        <v>LUP - Invitación webinar NL y RCV - nefro</v>
      </c>
      <c r="C15505" s="3" t="str">
        <f>HYPERLINK("https://otsuka-europe-crm.veevavault.com/ui/#object/sent_email__v/VBLZ025E82HS2LJ", "SE-000290196")</f>
        <v>SE-000290196</v>
      </c>
      <c r="D15505" s="1" t="s">
        <v>0</v>
      </c>
      <c r="E15505" s="2">
        <v>0</v>
      </c>
      <c r="F15505" s="2">
        <v>0</v>
      </c>
      <c r="G15505" s="2">
        <v>0</v>
      </c>
      <c r="H15505" s="1" t="s">
        <v>0</v>
      </c>
      <c r="I15505" s="2">
        <v>0</v>
      </c>
      <c r="J15505" s="1">
        <v>45953.378379629627</v>
      </c>
    </row>
    <row r="15506" spans="1:10" x14ac:dyDescent="0.2">
      <c r="A15506" s="4" t="s">
        <v>1</v>
      </c>
      <c r="B15506" s="3" t="str">
        <f>HYPERLINK("https://otsuka-europe-crm.veevavault.com/ui/#object/approved_document__v/V5OZ025E82USSZ5", "LUP - Invitación webinar NL y RCV - nefro")</f>
        <v>LUP - Invitación webinar NL y RCV - nefro</v>
      </c>
      <c r="C15506" s="3" t="str">
        <f>HYPERLINK("https://otsuka-europe-crm.veevavault.com/ui/#object/sent_email__v/VBLZ025E82HS2LK", "SE-000290197")</f>
        <v>SE-000290197</v>
      </c>
      <c r="D15506" s="1" t="s">
        <v>0</v>
      </c>
      <c r="E15506" s="2">
        <v>0</v>
      </c>
      <c r="F15506" s="2">
        <v>0</v>
      </c>
      <c r="G15506" s="2">
        <v>0</v>
      </c>
      <c r="H15506" s="1" t="s">
        <v>0</v>
      </c>
      <c r="I15506" s="2">
        <v>0</v>
      </c>
      <c r="J15506" s="1">
        <v>45953.377881944441</v>
      </c>
    </row>
    <row r="15507" spans="1:10" x14ac:dyDescent="0.2">
      <c r="A15507" s="4" t="s">
        <v>1</v>
      </c>
      <c r="B15507" s="3" t="str">
        <f>HYPERLINK("https://otsuka-europe-crm.veevavault.com/ui/#object/approved_document__v/V5OZ025E82USSZ5", "LUP - Invitación webinar NL y RCV - nefro")</f>
        <v>LUP - Invitación webinar NL y RCV - nefro</v>
      </c>
      <c r="C15507" s="3" t="str">
        <f>HYPERLINK("https://otsuka-europe-crm.veevavault.com/ui/#object/sent_email__v/VBLZ025E82HS2LL", "SE-000290198")</f>
        <v>SE-000290198</v>
      </c>
      <c r="D15507" s="1" t="s">
        <v>0</v>
      </c>
      <c r="E15507" s="2">
        <v>0</v>
      </c>
      <c r="F15507" s="2">
        <v>0</v>
      </c>
      <c r="G15507" s="2">
        <v>0</v>
      </c>
      <c r="H15507" s="1" t="s">
        <v>0</v>
      </c>
      <c r="I15507" s="2">
        <v>0</v>
      </c>
      <c r="J15507" s="1">
        <v>45953.377986111111</v>
      </c>
    </row>
    <row r="15508" spans="1:10" x14ac:dyDescent="0.2">
      <c r="A15508" s="4" t="s">
        <v>1</v>
      </c>
      <c r="B15508" s="3" t="str">
        <f>HYPERLINK("https://otsuka-europe-crm.veevavault.com/ui/#object/approved_document__v/V5OZ025E82USSZ5", "LUP - Invitación webinar NL y RCV - nefro")</f>
        <v>LUP - Invitación webinar NL y RCV - nefro</v>
      </c>
      <c r="C15508" s="3" t="str">
        <f>HYPERLINK("https://otsuka-europe-crm.veevavault.com/ui/#object/sent_email__v/VBLZ025E82HS2LM", "SE-000290199")</f>
        <v>SE-000290199</v>
      </c>
      <c r="D15508" s="1" t="s">
        <v>0</v>
      </c>
      <c r="E15508" s="2">
        <v>0</v>
      </c>
      <c r="F15508" s="2">
        <v>0</v>
      </c>
      <c r="G15508" s="2">
        <v>0</v>
      </c>
      <c r="H15508" s="1" t="s">
        <v>0</v>
      </c>
      <c r="I15508" s="2">
        <v>0</v>
      </c>
      <c r="J15508" s="1">
        <v>45953.377858796295</v>
      </c>
    </row>
    <row r="15509" spans="1:10" x14ac:dyDescent="0.2">
      <c r="A15509" s="4" t="s">
        <v>1</v>
      </c>
      <c r="B15509" s="3" t="str">
        <f>HYPERLINK("https://otsuka-europe-crm.veevavault.com/ui/#object/approved_document__v/V5OZ025E82USSZ5", "LUP - Invitación webinar NL y RCV - nefro")</f>
        <v>LUP - Invitación webinar NL y RCV - nefro</v>
      </c>
      <c r="C15509" s="3" t="str">
        <f>HYPERLINK("https://otsuka-europe-crm.veevavault.com/ui/#object/sent_email__v/VBLZ025E82HS2LN", "SE-000290200")</f>
        <v>SE-000290200</v>
      </c>
      <c r="D15509" s="1" t="s">
        <v>0</v>
      </c>
      <c r="E15509" s="2">
        <v>0</v>
      </c>
      <c r="F15509" s="2">
        <v>0</v>
      </c>
      <c r="G15509" s="2">
        <v>0</v>
      </c>
      <c r="H15509" s="1" t="s">
        <v>0</v>
      </c>
      <c r="I15509" s="2">
        <v>0</v>
      </c>
      <c r="J15509" s="1">
        <v>45953.378321759257</v>
      </c>
    </row>
    <row r="15510" spans="1:10" x14ac:dyDescent="0.2">
      <c r="A15510" s="4" t="s">
        <v>1</v>
      </c>
      <c r="B15510" s="3" t="str">
        <f>HYPERLINK("https://otsuka-europe-crm.veevavault.com/ui/#object/approved_document__v/V5OZ025E82USSZ5", "LUP - Invitación webinar NL y RCV - nefro")</f>
        <v>LUP - Invitación webinar NL y RCV - nefro</v>
      </c>
      <c r="C15510" s="3" t="str">
        <f>HYPERLINK("https://otsuka-europe-crm.veevavault.com/ui/#object/sent_email__v/VBLZ025E82HS2LO", "SE-000290201")</f>
        <v>SE-000290201</v>
      </c>
      <c r="D15510" s="1" t="s">
        <v>0</v>
      </c>
      <c r="E15510" s="2">
        <v>0</v>
      </c>
      <c r="F15510" s="2">
        <v>0</v>
      </c>
      <c r="G15510" s="2">
        <v>0</v>
      </c>
      <c r="H15510" s="1" t="s">
        <v>0</v>
      </c>
      <c r="I15510" s="2">
        <v>0</v>
      </c>
      <c r="J15510" s="1">
        <v>45953.377951388888</v>
      </c>
    </row>
    <row r="15511" spans="1:10" x14ac:dyDescent="0.2">
      <c r="A15511" s="4" t="s">
        <v>1</v>
      </c>
      <c r="B15511" s="3" t="str">
        <f>HYPERLINK("https://otsuka-europe-crm.veevavault.com/ui/#object/approved_document__v/V5OZ025E82USSZ5", "LUP - Invitación webinar NL y RCV - nefro")</f>
        <v>LUP - Invitación webinar NL y RCV - nefro</v>
      </c>
      <c r="C15511" s="3" t="str">
        <f>HYPERLINK("https://otsuka-europe-crm.veevavault.com/ui/#object/sent_email__v/VBLZ025E82HS2LP", "SE-000290202")</f>
        <v>SE-000290202</v>
      </c>
      <c r="D15511" s="1">
        <v>45953.79928240741</v>
      </c>
      <c r="E15511" s="2">
        <v>1</v>
      </c>
      <c r="F15511" s="2">
        <v>1</v>
      </c>
      <c r="G15511" s="2">
        <v>0</v>
      </c>
      <c r="H15511" s="1" t="s">
        <v>0</v>
      </c>
      <c r="I15511" s="2">
        <v>0</v>
      </c>
      <c r="J15511" s="1">
        <v>45953.378668981481</v>
      </c>
    </row>
    <row r="15512" spans="1:10" x14ac:dyDescent="0.2">
      <c r="A15512" s="4" t="s">
        <v>1</v>
      </c>
      <c r="B15512" s="3" t="str">
        <f>HYPERLINK("https://otsuka-europe-crm.veevavault.com/ui/#object/approved_document__v/V5OZ025E82USSZ5", "LUP - Invitación webinar NL y RCV - nefro")</f>
        <v>LUP - Invitación webinar NL y RCV - nefro</v>
      </c>
      <c r="C15512" s="3" t="str">
        <f>HYPERLINK("https://otsuka-europe-crm.veevavault.com/ui/#object/sent_email__v/VBLZ025E82HS2LQ", "SE-000290203")</f>
        <v>SE-000290203</v>
      </c>
      <c r="D15512" s="1" t="s">
        <v>0</v>
      </c>
      <c r="E15512" s="2">
        <v>0</v>
      </c>
      <c r="F15512" s="2">
        <v>0</v>
      </c>
      <c r="G15512" s="2">
        <v>0</v>
      </c>
      <c r="H15512" s="1" t="s">
        <v>0</v>
      </c>
      <c r="I15512" s="2">
        <v>0</v>
      </c>
      <c r="J15512" s="1">
        <v>45953.377847222226</v>
      </c>
    </row>
    <row r="15513" spans="1:10" x14ac:dyDescent="0.2">
      <c r="A15513" s="4" t="s">
        <v>1</v>
      </c>
      <c r="B15513" s="3" t="str">
        <f>HYPERLINK("https://otsuka-europe-crm.veevavault.com/ui/#object/approved_document__v/V5OZ025E82USSZ5", "LUP - Invitación webinar NL y RCV - nefro")</f>
        <v>LUP - Invitación webinar NL y RCV - nefro</v>
      </c>
      <c r="C15513" s="3" t="str">
        <f>HYPERLINK("https://otsuka-europe-crm.veevavault.com/ui/#object/sent_email__v/VBLZ025E82HS2LR", "SE-000290204")</f>
        <v>SE-000290204</v>
      </c>
      <c r="D15513" s="1" t="s">
        <v>0</v>
      </c>
      <c r="E15513" s="2">
        <v>0</v>
      </c>
      <c r="F15513" s="2">
        <v>0</v>
      </c>
      <c r="G15513" s="2">
        <v>0</v>
      </c>
      <c r="H15513" s="1" t="s">
        <v>0</v>
      </c>
      <c r="I15513" s="2">
        <v>0</v>
      </c>
      <c r="J15513" s="1">
        <v>45953.378437500003</v>
      </c>
    </row>
    <row r="15514" spans="1:10" x14ac:dyDescent="0.2">
      <c r="A15514" s="4" t="s">
        <v>1</v>
      </c>
      <c r="B15514" s="3" t="str">
        <f>HYPERLINK("https://otsuka-europe-crm.veevavault.com/ui/#object/approved_document__v/V5OZ025E82USSZ5", "LUP - Invitación webinar NL y RCV - nefro")</f>
        <v>LUP - Invitación webinar NL y RCV - nefro</v>
      </c>
      <c r="C15514" s="3" t="str">
        <f>HYPERLINK("https://otsuka-europe-crm.veevavault.com/ui/#object/sent_email__v/VBLZ025E82HS2LS", "SE-000290205")</f>
        <v>SE-000290205</v>
      </c>
      <c r="D15514" s="1">
        <v>45953.513379629629</v>
      </c>
      <c r="E15514" s="2">
        <v>1</v>
      </c>
      <c r="F15514" s="2">
        <v>1</v>
      </c>
      <c r="G15514" s="2">
        <v>0</v>
      </c>
      <c r="H15514" s="1" t="s">
        <v>0</v>
      </c>
      <c r="I15514" s="2">
        <v>0</v>
      </c>
      <c r="J15514" s="1">
        <v>45953.377835648149</v>
      </c>
    </row>
    <row r="15515" spans="1:10" x14ac:dyDescent="0.2">
      <c r="A15515" s="4" t="s">
        <v>1</v>
      </c>
      <c r="B15515" s="3" t="str">
        <f>HYPERLINK("https://otsuka-europe-crm.veevavault.com/ui/#object/approved_document__v/V5OZ025E82USSZ5", "LUP - Invitación webinar NL y RCV - nefro")</f>
        <v>LUP - Invitación webinar NL y RCV - nefro</v>
      </c>
      <c r="C15515" s="3" t="str">
        <f>HYPERLINK("https://otsuka-europe-crm.veevavault.com/ui/#object/sent_email__v/VBLZ025E82HS2LT", "SE-000290206")</f>
        <v>SE-000290206</v>
      </c>
      <c r="D15515" s="1" t="s">
        <v>0</v>
      </c>
      <c r="E15515" s="2">
        <v>0</v>
      </c>
      <c r="F15515" s="2">
        <v>0</v>
      </c>
      <c r="G15515" s="2">
        <v>0</v>
      </c>
      <c r="H15515" s="1" t="s">
        <v>0</v>
      </c>
      <c r="I15515" s="2">
        <v>0</v>
      </c>
      <c r="J15515" s="1">
        <v>45953.378564814811</v>
      </c>
    </row>
    <row r="15516" spans="1:10" x14ac:dyDescent="0.2">
      <c r="A15516" s="4" t="s">
        <v>1</v>
      </c>
      <c r="B15516" s="3" t="str">
        <f>HYPERLINK("https://otsuka-europe-crm.veevavault.com/ui/#object/approved_document__v/V5OZ025E82USSZ5", "LUP - Invitación webinar NL y RCV - nefro")</f>
        <v>LUP - Invitación webinar NL y RCV - nefro</v>
      </c>
      <c r="C15516" s="3" t="str">
        <f>HYPERLINK("https://otsuka-europe-crm.veevavault.com/ui/#object/sent_email__v/VBLZ025E82HS2LU", "SE-000290207")</f>
        <v>SE-000290207</v>
      </c>
      <c r="D15516" s="1">
        <v>45953.567314814813</v>
      </c>
      <c r="E15516" s="2">
        <v>1</v>
      </c>
      <c r="F15516" s="2">
        <v>2</v>
      </c>
      <c r="G15516" s="2">
        <v>1</v>
      </c>
      <c r="H15516" s="1">
        <v>45953.567858796298</v>
      </c>
      <c r="I15516" s="2">
        <v>1</v>
      </c>
      <c r="J15516" s="1">
        <v>45953.377858796295</v>
      </c>
    </row>
    <row r="15517" spans="1:10" x14ac:dyDescent="0.2">
      <c r="A15517" s="4" t="s">
        <v>1</v>
      </c>
      <c r="B15517" s="3" t="str">
        <f>HYPERLINK("https://otsuka-europe-crm.veevavault.com/ui/#object/approved_document__v/V5OZ025E82USSZ5", "LUP - Invitación webinar NL y RCV - nefro")</f>
        <v>LUP - Invitación webinar NL y RCV - nefro</v>
      </c>
      <c r="C15517" s="3" t="str">
        <f>HYPERLINK("https://otsuka-europe-crm.veevavault.com/ui/#object/sent_email__v/VBLZ025E82HS2LV", "SE-000290208")</f>
        <v>SE-000290208</v>
      </c>
      <c r="D15517" s="1" t="s">
        <v>0</v>
      </c>
      <c r="E15517" s="2">
        <v>0</v>
      </c>
      <c r="F15517" s="2">
        <v>0</v>
      </c>
      <c r="G15517" s="2">
        <v>0</v>
      </c>
      <c r="H15517" s="1" t="s">
        <v>0</v>
      </c>
      <c r="I15517" s="2">
        <v>0</v>
      </c>
      <c r="J15517" s="1">
        <v>45953.378344907411</v>
      </c>
    </row>
    <row r="15518" spans="1:10" x14ac:dyDescent="0.2">
      <c r="A15518" s="4" t="s">
        <v>1</v>
      </c>
      <c r="B15518" s="3" t="str">
        <f>HYPERLINK("https://otsuka-europe-crm.veevavault.com/ui/#object/approved_document__v/V5OZ025E82USSZ5", "LUP - Invitación webinar NL y RCV - nefro")</f>
        <v>LUP - Invitación webinar NL y RCV - nefro</v>
      </c>
      <c r="C15518" s="3" t="str">
        <f>HYPERLINK("https://otsuka-europe-crm.veevavault.com/ui/#object/sent_email__v/VBLZ025E82HS2LW", "SE-000290209")</f>
        <v>SE-000290209</v>
      </c>
      <c r="D15518" s="1" t="s">
        <v>0</v>
      </c>
      <c r="E15518" s="2">
        <v>0</v>
      </c>
      <c r="F15518" s="2">
        <v>0</v>
      </c>
      <c r="G15518" s="2">
        <v>0</v>
      </c>
      <c r="H15518" s="1" t="s">
        <v>0</v>
      </c>
      <c r="I15518" s="2">
        <v>0</v>
      </c>
      <c r="J15518" s="1">
        <v>45953.378055555557</v>
      </c>
    </row>
    <row r="15519" spans="1:10" x14ac:dyDescent="0.2">
      <c r="A15519" s="4" t="s">
        <v>1</v>
      </c>
      <c r="B15519" s="3" t="str">
        <f>HYPERLINK("https://otsuka-europe-crm.veevavault.com/ui/#object/approved_document__v/V5OZ025E82USSZ5", "LUP - Invitación webinar NL y RCV - nefro")</f>
        <v>LUP - Invitación webinar NL y RCV - nefro</v>
      </c>
      <c r="C15519" s="3" t="str">
        <f>HYPERLINK("https://otsuka-europe-crm.veevavault.com/ui/#object/sent_email__v/VBLZ025E82HS2LX", "SE-000290210")</f>
        <v>SE-000290210</v>
      </c>
      <c r="D15519" s="1" t="s">
        <v>0</v>
      </c>
      <c r="E15519" s="2">
        <v>0</v>
      </c>
      <c r="F15519" s="2">
        <v>0</v>
      </c>
      <c r="G15519" s="2">
        <v>0</v>
      </c>
      <c r="H15519" s="1" t="s">
        <v>0</v>
      </c>
      <c r="I15519" s="2">
        <v>0</v>
      </c>
      <c r="J15519" s="1">
        <v>45953.378194444442</v>
      </c>
    </row>
    <row r="15520" spans="1:10" x14ac:dyDescent="0.2">
      <c r="A15520" s="4" t="s">
        <v>1</v>
      </c>
      <c r="B15520" s="3" t="str">
        <f>HYPERLINK("https://otsuka-europe-crm.veevavault.com/ui/#object/approved_document__v/V5OZ025E82USSZ5", "LUP - Invitación webinar NL y RCV - nefro")</f>
        <v>LUP - Invitación webinar NL y RCV - nefro</v>
      </c>
      <c r="C15520" s="3" t="str">
        <f>HYPERLINK("https://otsuka-europe-crm.veevavault.com/ui/#object/sent_email__v/VBLZ025E82HS2LY", "SE-000290211")</f>
        <v>SE-000290211</v>
      </c>
      <c r="D15520" s="1" t="s">
        <v>0</v>
      </c>
      <c r="E15520" s="2">
        <v>0</v>
      </c>
      <c r="F15520" s="2">
        <v>0</v>
      </c>
      <c r="G15520" s="2">
        <v>0</v>
      </c>
      <c r="H15520" s="1" t="s">
        <v>0</v>
      </c>
      <c r="I15520" s="2">
        <v>0</v>
      </c>
      <c r="J15520" s="1">
        <v>45953.377905092595</v>
      </c>
    </row>
    <row r="15521" spans="1:10" x14ac:dyDescent="0.2">
      <c r="A15521" s="4" t="s">
        <v>1</v>
      </c>
      <c r="B15521" s="3" t="str">
        <f>HYPERLINK("https://otsuka-europe-crm.veevavault.com/ui/#object/approved_document__v/V5OZ025E82USSZ5", "LUP - Invitación webinar NL y RCV - nefro")</f>
        <v>LUP - Invitación webinar NL y RCV - nefro</v>
      </c>
      <c r="C15521" s="3" t="str">
        <f>HYPERLINK("https://otsuka-europe-crm.veevavault.com/ui/#object/sent_email__v/VBLZ025E82HS2LZ", "SE-000290212")</f>
        <v>SE-000290212</v>
      </c>
      <c r="D15521" s="1" t="s">
        <v>0</v>
      </c>
      <c r="E15521" s="2">
        <v>0</v>
      </c>
      <c r="F15521" s="2">
        <v>0</v>
      </c>
      <c r="G15521" s="2">
        <v>0</v>
      </c>
      <c r="H15521" s="1" t="s">
        <v>0</v>
      </c>
      <c r="I15521" s="2">
        <v>0</v>
      </c>
      <c r="J15521" s="1">
        <v>45953.378530092596</v>
      </c>
    </row>
    <row r="15522" spans="1:10" x14ac:dyDescent="0.2">
      <c r="A15522" s="4" t="s">
        <v>1</v>
      </c>
      <c r="B15522" s="3" t="str">
        <f>HYPERLINK("https://otsuka-europe-crm.veevavault.com/ui/#object/approved_document__v/V5OZ025E82USSZ5", "LUP - Invitación webinar NL y RCV - nefro")</f>
        <v>LUP - Invitación webinar NL y RCV - nefro</v>
      </c>
      <c r="C15522" s="3" t="str">
        <f>HYPERLINK("https://otsuka-europe-crm.veevavault.com/ui/#object/sent_email__v/VBLZ025E82HS2M0", "SE-000290213")</f>
        <v>SE-000290213</v>
      </c>
      <c r="D15522" s="1" t="s">
        <v>0</v>
      </c>
      <c r="E15522" s="2">
        <v>0</v>
      </c>
      <c r="F15522" s="2">
        <v>0</v>
      </c>
      <c r="G15522" s="2">
        <v>0</v>
      </c>
      <c r="H15522" s="1" t="s">
        <v>0</v>
      </c>
      <c r="I15522" s="2">
        <v>0</v>
      </c>
      <c r="J15522" s="1">
        <v>45953.377893518518</v>
      </c>
    </row>
    <row r="15523" spans="1:10" x14ac:dyDescent="0.2">
      <c r="A15523" s="4" t="s">
        <v>1</v>
      </c>
      <c r="B15523" s="3" t="str">
        <f>HYPERLINK("https://otsuka-europe-crm.veevavault.com/ui/#object/approved_document__v/V5OZ025E82USSZ5", "LUP - Invitación webinar NL y RCV - nefro")</f>
        <v>LUP - Invitación webinar NL y RCV - nefro</v>
      </c>
      <c r="C15523" s="3" t="str">
        <f>HYPERLINK("https://otsuka-europe-crm.veevavault.com/ui/#object/sent_email__v/VBLZ025E82HS2M1", "SE-000290214")</f>
        <v>SE-000290214</v>
      </c>
      <c r="D15523" s="1" t="s">
        <v>0</v>
      </c>
      <c r="E15523" s="2">
        <v>0</v>
      </c>
      <c r="F15523" s="2">
        <v>0</v>
      </c>
      <c r="G15523" s="2">
        <v>0</v>
      </c>
      <c r="H15523" s="1" t="s">
        <v>0</v>
      </c>
      <c r="I15523" s="2">
        <v>0</v>
      </c>
      <c r="J15523" s="1">
        <v>45953.37841435185</v>
      </c>
    </row>
    <row r="15524" spans="1:10" x14ac:dyDescent="0.2">
      <c r="A15524" s="4" t="s">
        <v>1</v>
      </c>
      <c r="B15524" s="3" t="str">
        <f>HYPERLINK("https://otsuka-europe-crm.veevavault.com/ui/#object/approved_document__v/V5OZ025E82USSZ5", "LUP - Invitación webinar NL y RCV - nefro")</f>
        <v>LUP - Invitación webinar NL y RCV - nefro</v>
      </c>
      <c r="C15524" s="3" t="str">
        <f>HYPERLINK("https://otsuka-europe-crm.veevavault.com/ui/#object/sent_email__v/VBLZ025E82HS2M2", "SE-000290215")</f>
        <v>SE-000290215</v>
      </c>
      <c r="D15524" s="1" t="s">
        <v>0</v>
      </c>
      <c r="E15524" s="2">
        <v>0</v>
      </c>
      <c r="F15524" s="2">
        <v>0</v>
      </c>
      <c r="G15524" s="2">
        <v>0</v>
      </c>
      <c r="H15524" s="1" t="s">
        <v>0</v>
      </c>
      <c r="I15524" s="2">
        <v>0</v>
      </c>
      <c r="J15524" s="1">
        <v>45953.378159722219</v>
      </c>
    </row>
    <row r="15525" spans="1:10" x14ac:dyDescent="0.2">
      <c r="A15525" s="4" t="s">
        <v>1</v>
      </c>
      <c r="B15525" s="3" t="str">
        <f>HYPERLINK("https://otsuka-europe-crm.veevavault.com/ui/#object/approved_document__v/V5OZ025E82USSZ5", "LUP - Invitación webinar NL y RCV - nefro")</f>
        <v>LUP - Invitación webinar NL y RCV - nefro</v>
      </c>
      <c r="C15525" s="3" t="str">
        <f>HYPERLINK("https://otsuka-europe-crm.veevavault.com/ui/#object/sent_email__v/VBLZ025E82HS2M3", "SE-000290216")</f>
        <v>SE-000290216</v>
      </c>
      <c r="D15525" s="1" t="s">
        <v>0</v>
      </c>
      <c r="E15525" s="2">
        <v>0</v>
      </c>
      <c r="F15525" s="2">
        <v>0</v>
      </c>
      <c r="G15525" s="2">
        <v>0</v>
      </c>
      <c r="H15525" s="1" t="s">
        <v>0</v>
      </c>
      <c r="I15525" s="2">
        <v>0</v>
      </c>
      <c r="J15525" s="1">
        <v>45953.378460648149</v>
      </c>
    </row>
    <row r="15526" spans="1:10" x14ac:dyDescent="0.2">
      <c r="A15526" s="4" t="s">
        <v>1</v>
      </c>
      <c r="B15526" s="3" t="str">
        <f>HYPERLINK("https://otsuka-europe-crm.veevavault.com/ui/#object/approved_document__v/V5OZ025E82USSZ5", "LUP - Invitación webinar NL y RCV - nefro")</f>
        <v>LUP - Invitación webinar NL y RCV - nefro</v>
      </c>
      <c r="C15526" s="3" t="str">
        <f>HYPERLINK("https://otsuka-europe-crm.veevavault.com/ui/#object/sent_email__v/VBLZ025E82HS2M4", "SE-000290217")</f>
        <v>SE-000290217</v>
      </c>
      <c r="D15526" s="1">
        <v>45959.290451388886</v>
      </c>
      <c r="E15526" s="2">
        <v>1</v>
      </c>
      <c r="F15526" s="2">
        <v>1</v>
      </c>
      <c r="G15526" s="2">
        <v>0</v>
      </c>
      <c r="H15526" s="1" t="s">
        <v>0</v>
      </c>
      <c r="I15526" s="2">
        <v>0</v>
      </c>
      <c r="J15526" s="1">
        <v>45953.377893518518</v>
      </c>
    </row>
    <row r="15527" spans="1:10" x14ac:dyDescent="0.2">
      <c r="A15527" s="4" t="s">
        <v>1</v>
      </c>
      <c r="B15527" s="3" t="str">
        <f>HYPERLINK("https://otsuka-europe-crm.veevavault.com/ui/#object/approved_document__v/V5OZ025E82USSZ5", "LUP - Invitación webinar NL y RCV - nefro")</f>
        <v>LUP - Invitación webinar NL y RCV - nefro</v>
      </c>
      <c r="C15527" s="3" t="str">
        <f>HYPERLINK("https://otsuka-europe-crm.veevavault.com/ui/#object/sent_email__v/VBLZ025E82HS2M5", "SE-000290218")</f>
        <v>SE-000290218</v>
      </c>
      <c r="D15527" s="1" t="s">
        <v>0</v>
      </c>
      <c r="E15527" s="2">
        <v>0</v>
      </c>
      <c r="F15527" s="2">
        <v>0</v>
      </c>
      <c r="G15527" s="2">
        <v>0</v>
      </c>
      <c r="H15527" s="1" t="s">
        <v>0</v>
      </c>
      <c r="I15527" s="2">
        <v>0</v>
      </c>
      <c r="J15527" s="1">
        <v>45953.37840277778</v>
      </c>
    </row>
    <row r="15528" spans="1:10" x14ac:dyDescent="0.2">
      <c r="A15528" s="4" t="s">
        <v>1</v>
      </c>
      <c r="B15528" s="3" t="str">
        <f>HYPERLINK("https://otsuka-europe-crm.veevavault.com/ui/#object/approved_document__v/V5OZ025E82USSZ5", "LUP - Invitación webinar NL y RCV - nefro")</f>
        <v>LUP - Invitación webinar NL y RCV - nefro</v>
      </c>
      <c r="C15528" s="3" t="str">
        <f>HYPERLINK("https://otsuka-europe-crm.veevavault.com/ui/#object/sent_email__v/VBLZ025E82HS2M6", "SE-000290219")</f>
        <v>SE-000290219</v>
      </c>
      <c r="D15528" s="1" t="s">
        <v>0</v>
      </c>
      <c r="E15528" s="2">
        <v>0</v>
      </c>
      <c r="F15528" s="2">
        <v>0</v>
      </c>
      <c r="G15528" s="2">
        <v>0</v>
      </c>
      <c r="H15528" s="1" t="s">
        <v>0</v>
      </c>
      <c r="I15528" s="2">
        <v>0</v>
      </c>
      <c r="J15528" s="1">
        <v>45953.377951388888</v>
      </c>
    </row>
    <row r="15529" spans="1:10" x14ac:dyDescent="0.2">
      <c r="A15529" s="4" t="s">
        <v>1</v>
      </c>
      <c r="B15529" s="3" t="str">
        <f>HYPERLINK("https://otsuka-europe-crm.veevavault.com/ui/#object/approved_document__v/V5OZ025E82USSZ5", "LUP - Invitación webinar NL y RCV - nefro")</f>
        <v>LUP - Invitación webinar NL y RCV - nefro</v>
      </c>
      <c r="C15529" s="3" t="str">
        <f>HYPERLINK("https://otsuka-europe-crm.veevavault.com/ui/#object/sent_email__v/VBLZ025E82HS2M7", "SE-000290220")</f>
        <v>SE-000290220</v>
      </c>
      <c r="D15529" s="1" t="s">
        <v>0</v>
      </c>
      <c r="E15529" s="2">
        <v>0</v>
      </c>
      <c r="F15529" s="2">
        <v>0</v>
      </c>
      <c r="G15529" s="2">
        <v>0</v>
      </c>
      <c r="H15529" s="1" t="s">
        <v>0</v>
      </c>
      <c r="I15529" s="2">
        <v>0</v>
      </c>
      <c r="J15529" s="1">
        <v>45953.378599537034</v>
      </c>
    </row>
    <row r="15530" spans="1:10" x14ac:dyDescent="0.2">
      <c r="A15530" s="4" t="s">
        <v>1</v>
      </c>
      <c r="B15530" s="3" t="str">
        <f>HYPERLINK("https://otsuka-europe-crm.veevavault.com/ui/#object/approved_document__v/V5OZ025E82USSZ5", "LUP - Invitación webinar NL y RCV - nefro")</f>
        <v>LUP - Invitación webinar NL y RCV - nefro</v>
      </c>
      <c r="C15530" s="3" t="str">
        <f>HYPERLINK("https://otsuka-europe-crm.veevavault.com/ui/#object/sent_email__v/VBLZ025E82HS2QX", "SE-000290222")</f>
        <v>SE-000290222</v>
      </c>
      <c r="D15530" s="1" t="s">
        <v>0</v>
      </c>
      <c r="E15530" s="2">
        <v>0</v>
      </c>
      <c r="F15530" s="2">
        <v>0</v>
      </c>
      <c r="G15530" s="2">
        <v>0</v>
      </c>
      <c r="H15530" s="1" t="s">
        <v>0</v>
      </c>
      <c r="I15530" s="2">
        <v>0</v>
      </c>
      <c r="J15530" s="1">
        <v>45953.379178240742</v>
      </c>
    </row>
    <row r="15531" spans="1:10" x14ac:dyDescent="0.2">
      <c r="A15531" s="4" t="s">
        <v>1</v>
      </c>
      <c r="B15531" s="3" t="str">
        <f>HYPERLINK("https://otsuka-europe-crm.veevavault.com/ui/#object/approved_document__v/V5OZ025E82USSZ5", "LUP - Invitación webinar NL y RCV - nefro")</f>
        <v>LUP - Invitación webinar NL y RCV - nefro</v>
      </c>
      <c r="C15531" s="3" t="str">
        <f>HYPERLINK("https://otsuka-europe-crm.veevavault.com/ui/#object/sent_email__v/VBLZ025E82HS2QY", "SE-000290223")</f>
        <v>SE-000290223</v>
      </c>
      <c r="D15531" s="1" t="s">
        <v>0</v>
      </c>
      <c r="E15531" s="2">
        <v>0</v>
      </c>
      <c r="F15531" s="2">
        <v>0</v>
      </c>
      <c r="G15531" s="2">
        <v>0</v>
      </c>
      <c r="H15531" s="1" t="s">
        <v>0</v>
      </c>
      <c r="I15531" s="2">
        <v>0</v>
      </c>
      <c r="J15531" s="1">
        <v>45953.37909722222</v>
      </c>
    </row>
    <row r="15532" spans="1:10" x14ac:dyDescent="0.2">
      <c r="A15532" s="4" t="s">
        <v>1</v>
      </c>
      <c r="B15532" s="3" t="str">
        <f>HYPERLINK("https://otsuka-europe-crm.veevavault.com/ui/#object/approved_document__v/V5OZ025E82USSZ5", "LUP - Invitación webinar NL y RCV - nefro")</f>
        <v>LUP - Invitación webinar NL y RCV - nefro</v>
      </c>
      <c r="C15532" s="3" t="str">
        <f>HYPERLINK("https://otsuka-europe-crm.veevavault.com/ui/#object/sent_email__v/VBLZ025E82HS2QZ", "SE-000290224")</f>
        <v>SE-000290224</v>
      </c>
      <c r="D15532" s="1" t="s">
        <v>0</v>
      </c>
      <c r="E15532" s="2">
        <v>0</v>
      </c>
      <c r="F15532" s="2">
        <v>0</v>
      </c>
      <c r="G15532" s="2">
        <v>0</v>
      </c>
      <c r="H15532" s="1" t="s">
        <v>0</v>
      </c>
      <c r="I15532" s="2">
        <v>0</v>
      </c>
      <c r="J15532" s="1">
        <v>45953.379108796296</v>
      </c>
    </row>
    <row r="15533" spans="1:10" x14ac:dyDescent="0.2">
      <c r="A15533" s="4" t="s">
        <v>1</v>
      </c>
      <c r="B15533" s="3" t="str">
        <f>HYPERLINK("https://otsuka-europe-crm.veevavault.com/ui/#object/approved_document__v/V5OZ025E82USSZ5", "LUP - Invitación webinar NL y RCV - nefro")</f>
        <v>LUP - Invitación webinar NL y RCV - nefro</v>
      </c>
      <c r="C15533" s="3" t="str">
        <f>HYPERLINK("https://otsuka-europe-crm.veevavault.com/ui/#object/sent_email__v/VBLZ025E82HS2R0", "SE-000290225")</f>
        <v>SE-000290225</v>
      </c>
      <c r="D15533" s="1">
        <v>45953.810868055552</v>
      </c>
      <c r="E15533" s="2">
        <v>1</v>
      </c>
      <c r="F15533" s="2">
        <v>1</v>
      </c>
      <c r="G15533" s="2">
        <v>0</v>
      </c>
      <c r="H15533" s="1" t="s">
        <v>0</v>
      </c>
      <c r="I15533" s="2">
        <v>0</v>
      </c>
      <c r="J15533" s="1">
        <v>45953.378969907404</v>
      </c>
    </row>
    <row r="15534" spans="1:10" x14ac:dyDescent="0.2">
      <c r="A15534" s="4" t="s">
        <v>1</v>
      </c>
      <c r="B15534" s="3" t="str">
        <f>HYPERLINK("https://otsuka-europe-crm.veevavault.com/ui/#object/approved_document__v/V5OZ025E82USSZ5", "LUP - Invitación webinar NL y RCV - nefro")</f>
        <v>LUP - Invitación webinar NL y RCV - nefro</v>
      </c>
      <c r="C15534" s="3" t="str">
        <f>HYPERLINK("https://otsuka-europe-crm.veevavault.com/ui/#object/sent_email__v/VBLZ025E82HS2R1", "SE-000290226")</f>
        <v>SE-000290226</v>
      </c>
      <c r="D15534" s="1" t="s">
        <v>0</v>
      </c>
      <c r="E15534" s="2">
        <v>0</v>
      </c>
      <c r="F15534" s="2">
        <v>0</v>
      </c>
      <c r="G15534" s="2">
        <v>0</v>
      </c>
      <c r="H15534" s="1" t="s">
        <v>0</v>
      </c>
      <c r="I15534" s="2">
        <v>0</v>
      </c>
      <c r="J15534" s="1">
        <v>45953.37909722222</v>
      </c>
    </row>
    <row r="15535" spans="1:10" x14ac:dyDescent="0.2">
      <c r="A15535" s="4" t="s">
        <v>1</v>
      </c>
      <c r="B15535" s="3" t="str">
        <f>HYPERLINK("https://otsuka-europe-crm.veevavault.com/ui/#object/approved_document__v/V5OZ025E82USSZ5", "LUP - Invitación webinar NL y RCV - nefro")</f>
        <v>LUP - Invitación webinar NL y RCV - nefro</v>
      </c>
      <c r="C15535" s="3" t="str">
        <f>HYPERLINK("https://otsuka-europe-crm.veevavault.com/ui/#object/sent_email__v/VBLZ025E82HS2R2", "SE-000290227")</f>
        <v>SE-000290227</v>
      </c>
      <c r="D15535" s="1" t="s">
        <v>0</v>
      </c>
      <c r="E15535" s="2">
        <v>0</v>
      </c>
      <c r="F15535" s="2">
        <v>0</v>
      </c>
      <c r="G15535" s="2">
        <v>0</v>
      </c>
      <c r="H15535" s="1" t="s">
        <v>0</v>
      </c>
      <c r="I15535" s="2">
        <v>0</v>
      </c>
      <c r="J15535" s="1">
        <v>45953.378958333335</v>
      </c>
    </row>
    <row r="15536" spans="1:10" x14ac:dyDescent="0.2">
      <c r="A15536" s="4" t="s">
        <v>1</v>
      </c>
      <c r="B15536" s="3" t="str">
        <f>HYPERLINK("https://otsuka-europe-crm.veevavault.com/ui/#object/approved_document__v/V5OZ025E82USSZ5", "LUP - Invitación webinar NL y RCV - nefro")</f>
        <v>LUP - Invitación webinar NL y RCV - nefro</v>
      </c>
      <c r="C15536" s="3" t="str">
        <f>HYPERLINK("https://otsuka-europe-crm.veevavault.com/ui/#object/sent_email__v/VBLZ025E82HS2R3", "SE-000290228")</f>
        <v>SE-000290228</v>
      </c>
      <c r="D15536" s="1" t="s">
        <v>0</v>
      </c>
      <c r="E15536" s="2">
        <v>0</v>
      </c>
      <c r="F15536" s="2">
        <v>0</v>
      </c>
      <c r="G15536" s="2">
        <v>0</v>
      </c>
      <c r="H15536" s="1" t="s">
        <v>0</v>
      </c>
      <c r="I15536" s="2">
        <v>0</v>
      </c>
      <c r="J15536" s="1">
        <v>45953.379131944443</v>
      </c>
    </row>
    <row r="15537" spans="1:10" x14ac:dyDescent="0.2">
      <c r="A15537" s="4" t="s">
        <v>1</v>
      </c>
      <c r="B15537" s="3" t="str">
        <f>HYPERLINK("https://otsuka-europe-crm.veevavault.com/ui/#object/approved_document__v/V5OZ025E82USSZ5", "LUP - Invitación webinar NL y RCV - nefro")</f>
        <v>LUP - Invitación webinar NL y RCV - nefro</v>
      </c>
      <c r="C15537" s="3" t="str">
        <f>HYPERLINK("https://otsuka-europe-crm.veevavault.com/ui/#object/sent_email__v/VBLZ025E82HS2R4", "SE-000290229")</f>
        <v>SE-000290229</v>
      </c>
      <c r="D15537" s="1">
        <v>45954.016689814816</v>
      </c>
      <c r="E15537" s="2">
        <v>1</v>
      </c>
      <c r="F15537" s="2">
        <v>1</v>
      </c>
      <c r="G15537" s="2">
        <v>0</v>
      </c>
      <c r="H15537" s="1" t="s">
        <v>0</v>
      </c>
      <c r="I15537" s="2">
        <v>0</v>
      </c>
      <c r="J15537" s="1">
        <v>45953.37909722222</v>
      </c>
    </row>
    <row r="15538" spans="1:10" x14ac:dyDescent="0.2">
      <c r="A15538" s="4" t="s">
        <v>1</v>
      </c>
      <c r="B15538" s="3" t="str">
        <f>HYPERLINK("https://otsuka-europe-crm.veevavault.com/ui/#object/approved_document__v/V5OZ025E82USSZ5", "LUP - Invitación webinar NL y RCV - nefro")</f>
        <v>LUP - Invitación webinar NL y RCV - nefro</v>
      </c>
      <c r="C15538" s="3" t="str">
        <f>HYPERLINK("https://otsuka-europe-crm.veevavault.com/ui/#object/sent_email__v/VBLZ025E82HS2R5", "SE-000290230")</f>
        <v>SE-000290230</v>
      </c>
      <c r="D15538" s="1" t="s">
        <v>0</v>
      </c>
      <c r="E15538" s="2">
        <v>0</v>
      </c>
      <c r="F15538" s="2">
        <v>0</v>
      </c>
      <c r="G15538" s="2">
        <v>0</v>
      </c>
      <c r="H15538" s="1" t="s">
        <v>0</v>
      </c>
      <c r="I15538" s="2">
        <v>0</v>
      </c>
      <c r="J15538" s="1">
        <v>45953.379120370373</v>
      </c>
    </row>
    <row r="15539" spans="1:10" x14ac:dyDescent="0.2">
      <c r="A15539" s="4" t="s">
        <v>1</v>
      </c>
      <c r="B15539" s="3" t="str">
        <f>HYPERLINK("https://otsuka-europe-crm.veevavault.com/ui/#object/approved_document__v/V5OZ025E82USSZ5", "LUP - Invitación webinar NL y RCV - nefro")</f>
        <v>LUP - Invitación webinar NL y RCV - nefro</v>
      </c>
      <c r="C15539" s="3" t="str">
        <f>HYPERLINK("https://otsuka-europe-crm.veevavault.com/ui/#object/sent_email__v/VBLZ025E82HS2R6", "SE-000290231")</f>
        <v>SE-000290231</v>
      </c>
      <c r="D15539" s="1" t="s">
        <v>0</v>
      </c>
      <c r="E15539" s="2">
        <v>0</v>
      </c>
      <c r="F15539" s="2">
        <v>0</v>
      </c>
      <c r="G15539" s="2">
        <v>0</v>
      </c>
      <c r="H15539" s="1" t="s">
        <v>0</v>
      </c>
      <c r="I15539" s="2">
        <v>0</v>
      </c>
      <c r="J15539" s="1">
        <v>45953.37908564815</v>
      </c>
    </row>
    <row r="15540" spans="1:10" x14ac:dyDescent="0.2">
      <c r="A15540" s="4" t="s">
        <v>1</v>
      </c>
      <c r="B15540" s="3" t="str">
        <f>HYPERLINK("https://otsuka-europe-crm.veevavault.com/ui/#object/approved_document__v/V5OZ025E82USSZ5", "LUP - Invitación webinar NL y RCV - nefro")</f>
        <v>LUP - Invitación webinar NL y RCV - nefro</v>
      </c>
      <c r="C15540" s="3" t="str">
        <f>HYPERLINK("https://otsuka-europe-crm.veevavault.com/ui/#object/sent_email__v/VBLZ025E82HS2R7", "SE-000290232")</f>
        <v>SE-000290232</v>
      </c>
      <c r="D15540" s="1">
        <v>45953.404895833337</v>
      </c>
      <c r="E15540" s="2">
        <v>1</v>
      </c>
      <c r="F15540" s="2">
        <v>1</v>
      </c>
      <c r="G15540" s="2">
        <v>0</v>
      </c>
      <c r="H15540" s="1" t="s">
        <v>0</v>
      </c>
      <c r="I15540" s="2">
        <v>0</v>
      </c>
      <c r="J15540" s="1">
        <v>45953.37908564815</v>
      </c>
    </row>
    <row r="15541" spans="1:10" x14ac:dyDescent="0.2">
      <c r="A15541" s="4" t="s">
        <v>1</v>
      </c>
      <c r="B15541" s="3" t="str">
        <f>HYPERLINK("https://otsuka-europe-crm.veevavault.com/ui/#object/approved_document__v/V5OZ025E82USSZ5", "LUP - Invitación webinar NL y RCV - nefro")</f>
        <v>LUP - Invitación webinar NL y RCV - nefro</v>
      </c>
      <c r="C15541" s="3" t="str">
        <f>HYPERLINK("https://otsuka-europe-crm.veevavault.com/ui/#object/sent_email__v/VBLZ025E82HS2R8", "SE-000290233")</f>
        <v>SE-000290233</v>
      </c>
      <c r="D15541" s="1" t="s">
        <v>0</v>
      </c>
      <c r="E15541" s="2">
        <v>0</v>
      </c>
      <c r="F15541" s="2">
        <v>0</v>
      </c>
      <c r="G15541" s="2">
        <v>0</v>
      </c>
      <c r="H15541" s="1" t="s">
        <v>0</v>
      </c>
      <c r="I15541" s="2">
        <v>0</v>
      </c>
      <c r="J15541" s="1">
        <v>45953.378946759258</v>
      </c>
    </row>
    <row r="15542" spans="1:10" x14ac:dyDescent="0.2">
      <c r="A15542" s="4" t="s">
        <v>1</v>
      </c>
      <c r="B15542" s="3" t="str">
        <f>HYPERLINK("https://otsuka-europe-crm.veevavault.com/ui/#object/approved_document__v/V5OZ025E82USSZ5", "LUP - Invitación webinar NL y RCV - nefro")</f>
        <v>LUP - Invitación webinar NL y RCV - nefro</v>
      </c>
      <c r="C15542" s="3" t="str">
        <f>HYPERLINK("https://otsuka-europe-crm.veevavault.com/ui/#object/sent_email__v/VBLZ025E82HS2R9", "SE-000290234")</f>
        <v>SE-000290234</v>
      </c>
      <c r="D15542" s="1" t="s">
        <v>0</v>
      </c>
      <c r="E15542" s="2">
        <v>0</v>
      </c>
      <c r="F15542" s="2">
        <v>0</v>
      </c>
      <c r="G15542" s="2">
        <v>0</v>
      </c>
      <c r="H15542" s="1" t="s">
        <v>0</v>
      </c>
      <c r="I15542" s="2">
        <v>0</v>
      </c>
      <c r="J15542" s="1">
        <v>45953.37909722222</v>
      </c>
    </row>
    <row r="15543" spans="1:10" x14ac:dyDescent="0.2">
      <c r="A15543" s="4" t="s">
        <v>1</v>
      </c>
      <c r="B15543" s="3" t="str">
        <f>HYPERLINK("https://otsuka-europe-crm.veevavault.com/ui/#object/approved_document__v/V5OZ025E82USSZ5", "LUP - Invitación webinar NL y RCV - nefro")</f>
        <v>LUP - Invitación webinar NL y RCV - nefro</v>
      </c>
      <c r="C15543" s="3" t="str">
        <f>HYPERLINK("https://otsuka-europe-crm.veevavault.com/ui/#object/sent_email__v/VBLZ025E82HS2RA", "SE-000290235")</f>
        <v>SE-000290235</v>
      </c>
      <c r="D15543" s="1" t="s">
        <v>0</v>
      </c>
      <c r="E15543" s="2">
        <v>0</v>
      </c>
      <c r="F15543" s="2">
        <v>0</v>
      </c>
      <c r="G15543" s="2">
        <v>0</v>
      </c>
      <c r="H15543" s="1" t="s">
        <v>0</v>
      </c>
      <c r="I15543" s="2">
        <v>0</v>
      </c>
      <c r="J15543" s="1">
        <v>45953.379189814812</v>
      </c>
    </row>
    <row r="15544" spans="1:10" x14ac:dyDescent="0.2">
      <c r="A15544" s="4" t="s">
        <v>1</v>
      </c>
      <c r="B15544" s="3" t="str">
        <f>HYPERLINK("https://otsuka-europe-crm.veevavault.com/ui/#object/approved_document__v/V5OZ025E82USSZ5", "LUP - Invitación webinar NL y RCV - nefro")</f>
        <v>LUP - Invitación webinar NL y RCV - nefro</v>
      </c>
      <c r="C15544" s="3" t="str">
        <f>HYPERLINK("https://otsuka-europe-crm.veevavault.com/ui/#object/sent_email__v/VBLZ025E82HS2RB", "SE-000290236")</f>
        <v>SE-000290236</v>
      </c>
      <c r="D15544" s="1" t="s">
        <v>0</v>
      </c>
      <c r="E15544" s="2">
        <v>0</v>
      </c>
      <c r="F15544" s="2">
        <v>0</v>
      </c>
      <c r="G15544" s="2">
        <v>0</v>
      </c>
      <c r="H15544" s="1" t="s">
        <v>0</v>
      </c>
      <c r="I15544" s="2">
        <v>0</v>
      </c>
      <c r="J15544" s="1">
        <v>45953.37908564815</v>
      </c>
    </row>
    <row r="15545" spans="1:10" x14ac:dyDescent="0.2">
      <c r="A15545" s="4" t="s">
        <v>1</v>
      </c>
      <c r="B15545" s="3" t="str">
        <f>HYPERLINK("https://otsuka-europe-crm.veevavault.com/ui/#object/approved_document__v/V5OZ025E82USSZ5", "LUP - Invitación webinar NL y RCV - nefro")</f>
        <v>LUP - Invitación webinar NL y RCV - nefro</v>
      </c>
      <c r="C15545" s="3" t="str">
        <f>HYPERLINK("https://otsuka-europe-crm.veevavault.com/ui/#object/sent_email__v/VBLZ025E82HS2RC", "SE-000290237")</f>
        <v>SE-000290237</v>
      </c>
      <c r="D15545" s="1">
        <v>45970.919583333336</v>
      </c>
      <c r="E15545" s="2">
        <v>1</v>
      </c>
      <c r="F15545" s="2">
        <v>1</v>
      </c>
      <c r="G15545" s="2">
        <v>0</v>
      </c>
      <c r="H15545" s="1" t="s">
        <v>0</v>
      </c>
      <c r="I15545" s="2">
        <v>0</v>
      </c>
      <c r="J15545" s="1">
        <v>45953.379212962966</v>
      </c>
    </row>
    <row r="15546" spans="1:10" x14ac:dyDescent="0.2">
      <c r="A15546" s="4" t="s">
        <v>1</v>
      </c>
      <c r="B15546" s="3" t="str">
        <f>HYPERLINK("https://otsuka-europe-crm.veevavault.com/ui/#object/approved_document__v/V5OZ025E82USSZ5", "LUP - Invitación webinar NL y RCV - nefro")</f>
        <v>LUP - Invitación webinar NL y RCV - nefro</v>
      </c>
      <c r="C15546" s="3" t="str">
        <f>HYPERLINK("https://otsuka-europe-crm.veevavault.com/ui/#object/sent_email__v/VBLZ025E82HS2RD", "SE-000290238")</f>
        <v>SE-000290238</v>
      </c>
      <c r="D15546" s="1">
        <v>45957.970416666663</v>
      </c>
      <c r="E15546" s="2">
        <v>1</v>
      </c>
      <c r="F15546" s="2">
        <v>1</v>
      </c>
      <c r="G15546" s="2">
        <v>0</v>
      </c>
      <c r="H15546" s="1" t="s">
        <v>0</v>
      </c>
      <c r="I15546" s="2">
        <v>0</v>
      </c>
      <c r="J15546" s="1">
        <v>45953.37908564815</v>
      </c>
    </row>
    <row r="15547" spans="1:10" x14ac:dyDescent="0.2">
      <c r="A15547" s="4" t="s">
        <v>1</v>
      </c>
      <c r="B15547" s="3" t="str">
        <f>HYPERLINK("https://otsuka-europe-crm.veevavault.com/ui/#object/approved_document__v/V5OZ025E82USSZ5", "LUP - Invitación webinar NL y RCV - nefro")</f>
        <v>LUP - Invitación webinar NL y RCV - nefro</v>
      </c>
      <c r="C15547" s="3" t="str">
        <f>HYPERLINK("https://otsuka-europe-crm.veevavault.com/ui/#object/sent_email__v/VBLZ025E82HS2RE", "SE-000290239")</f>
        <v>SE-000290239</v>
      </c>
      <c r="D15547" s="1">
        <v>45953.809560185182</v>
      </c>
      <c r="E15547" s="2">
        <v>1</v>
      </c>
      <c r="F15547" s="2">
        <v>2</v>
      </c>
      <c r="G15547" s="2">
        <v>0</v>
      </c>
      <c r="H15547" s="1" t="s">
        <v>0</v>
      </c>
      <c r="I15547" s="2">
        <v>0</v>
      </c>
      <c r="J15547" s="1">
        <v>45953.379201388889</v>
      </c>
    </row>
    <row r="15548" spans="1:10" x14ac:dyDescent="0.2">
      <c r="A15548" s="4" t="s">
        <v>1</v>
      </c>
      <c r="B15548" s="3" t="str">
        <f>HYPERLINK("https://otsuka-europe-crm.veevavault.com/ui/#object/approved_document__v/V5OZ025E82USSZ5", "LUP - Invitación webinar NL y RCV - nefro")</f>
        <v>LUP - Invitación webinar NL y RCV - nefro</v>
      </c>
      <c r="C15548" s="3" t="str">
        <f>HYPERLINK("https://otsuka-europe-crm.veevavault.com/ui/#object/sent_email__v/VBLZ025E82HS2RF", "SE-000290240")</f>
        <v>SE-000290240</v>
      </c>
      <c r="D15548" s="1" t="s">
        <v>0</v>
      </c>
      <c r="E15548" s="2">
        <v>0</v>
      </c>
      <c r="F15548" s="2">
        <v>0</v>
      </c>
      <c r="G15548" s="2">
        <v>0</v>
      </c>
      <c r="H15548" s="1" t="s">
        <v>0</v>
      </c>
      <c r="I15548" s="2">
        <v>0</v>
      </c>
      <c r="J15548" s="1">
        <v>45953.37908564815</v>
      </c>
    </row>
    <row r="15549" spans="1:10" x14ac:dyDescent="0.2">
      <c r="A15549" s="4" t="s">
        <v>1</v>
      </c>
      <c r="B15549" s="3" t="str">
        <f>HYPERLINK("https://otsuka-europe-crm.veevavault.com/ui/#object/approved_document__v/V5OZ025E82USSZ5", "LUP - Invitación webinar NL y RCV - nefro")</f>
        <v>LUP - Invitación webinar NL y RCV - nefro</v>
      </c>
      <c r="C15549" s="3" t="str">
        <f>HYPERLINK("https://otsuka-europe-crm.veevavault.com/ui/#object/sent_email__v/VBLZ025E82HS2RG", "SE-000290241")</f>
        <v>SE-000290241</v>
      </c>
      <c r="D15549" s="1" t="s">
        <v>0</v>
      </c>
      <c r="E15549" s="2">
        <v>0</v>
      </c>
      <c r="F15549" s="2">
        <v>0</v>
      </c>
      <c r="G15549" s="2">
        <v>0</v>
      </c>
      <c r="H15549" s="1" t="s">
        <v>0</v>
      </c>
      <c r="I15549" s="2">
        <v>0</v>
      </c>
      <c r="J15549" s="1">
        <v>45953.379189814812</v>
      </c>
    </row>
    <row r="15550" spans="1:10" x14ac:dyDescent="0.2">
      <c r="A15550" s="4" t="s">
        <v>1</v>
      </c>
      <c r="B15550" s="3" t="str">
        <f>HYPERLINK("https://otsuka-europe-crm.veevavault.com/ui/#object/approved_document__v/V5OZ025E82USSZ5", "LUP - Invitación webinar NL y RCV - nefro")</f>
        <v>LUP - Invitación webinar NL y RCV - nefro</v>
      </c>
      <c r="C15550" s="3" t="str">
        <f>HYPERLINK("https://otsuka-europe-crm.veevavault.com/ui/#object/sent_email__v/VBLZ025E82HS2RH", "SE-000290242")</f>
        <v>SE-000290242</v>
      </c>
      <c r="D15550" s="1" t="s">
        <v>0</v>
      </c>
      <c r="E15550" s="2">
        <v>0</v>
      </c>
      <c r="F15550" s="2">
        <v>0</v>
      </c>
      <c r="G15550" s="2">
        <v>0</v>
      </c>
      <c r="H15550" s="1" t="s">
        <v>0</v>
      </c>
      <c r="I15550" s="2">
        <v>0</v>
      </c>
      <c r="J15550" s="1">
        <v>45953.378935185188</v>
      </c>
    </row>
    <row r="15551" spans="1:10" x14ac:dyDescent="0.2">
      <c r="A15551" s="4" t="s">
        <v>1</v>
      </c>
      <c r="B15551" s="3" t="str">
        <f>HYPERLINK("https://otsuka-europe-crm.veevavault.com/ui/#object/approved_document__v/V5OZ025E82USSZ5", "LUP - Invitación webinar NL y RCV - nefro")</f>
        <v>LUP - Invitación webinar NL y RCV - nefro</v>
      </c>
      <c r="C15551" s="3" t="str">
        <f>HYPERLINK("https://otsuka-europe-crm.veevavault.com/ui/#object/sent_email__v/VBLZ025E82HS2RI", "SE-000290243")</f>
        <v>SE-000290243</v>
      </c>
      <c r="D15551" s="1" t="s">
        <v>0</v>
      </c>
      <c r="E15551" s="2">
        <v>0</v>
      </c>
      <c r="F15551" s="2">
        <v>0</v>
      </c>
      <c r="G15551" s="2">
        <v>0</v>
      </c>
      <c r="H15551" s="1" t="s">
        <v>0</v>
      </c>
      <c r="I15551" s="2">
        <v>0</v>
      </c>
      <c r="J15551" s="1">
        <v>45953.37908564815</v>
      </c>
    </row>
    <row r="15552" spans="1:10" x14ac:dyDescent="0.2">
      <c r="A15552" s="4" t="s">
        <v>1</v>
      </c>
      <c r="B15552" s="3" t="str">
        <f>HYPERLINK("https://otsuka-europe-crm.veevavault.com/ui/#object/approved_document__v/V5OZ025E82USSZ5", "LUP - Invitación webinar NL y RCV - nefro")</f>
        <v>LUP - Invitación webinar NL y RCV - nefro</v>
      </c>
      <c r="C15552" s="3" t="str">
        <f>HYPERLINK("https://otsuka-europe-crm.veevavault.com/ui/#object/sent_email__v/VBLZ025E82HS2RJ", "SE-000290244")</f>
        <v>SE-000290244</v>
      </c>
      <c r="D15552" s="1" t="s">
        <v>0</v>
      </c>
      <c r="E15552" s="2">
        <v>0</v>
      </c>
      <c r="F15552" s="2">
        <v>0</v>
      </c>
      <c r="G15552" s="2">
        <v>0</v>
      </c>
      <c r="H15552" s="1" t="s">
        <v>0</v>
      </c>
      <c r="I15552" s="2">
        <v>0</v>
      </c>
      <c r="J15552" s="1">
        <v>45953.378923611112</v>
      </c>
    </row>
    <row r="15553" spans="1:10" x14ac:dyDescent="0.2">
      <c r="A15553" s="4" t="s">
        <v>1</v>
      </c>
      <c r="B15553" s="3" t="str">
        <f>HYPERLINK("https://otsuka-europe-crm.veevavault.com/ui/#object/approved_document__v/V5OZ025E82USSZ5", "LUP - Invitación webinar NL y RCV - nefro")</f>
        <v>LUP - Invitación webinar NL y RCV - nefro</v>
      </c>
      <c r="C15553" s="3" t="str">
        <f>HYPERLINK("https://otsuka-europe-crm.veevavault.com/ui/#object/sent_email__v/VBLZ025E82HS2RK", "SE-000290245")</f>
        <v>SE-000290245</v>
      </c>
      <c r="D15553" s="1" t="s">
        <v>0</v>
      </c>
      <c r="E15553" s="2">
        <v>0</v>
      </c>
      <c r="F15553" s="2">
        <v>0</v>
      </c>
      <c r="G15553" s="2">
        <v>0</v>
      </c>
      <c r="H15553" s="1" t="s">
        <v>0</v>
      </c>
      <c r="I15553" s="2">
        <v>0</v>
      </c>
      <c r="J15553" s="1">
        <v>45953.37908564815</v>
      </c>
    </row>
    <row r="15554" spans="1:10" x14ac:dyDescent="0.2">
      <c r="A15554" s="4" t="s">
        <v>1</v>
      </c>
      <c r="B15554" s="3" t="str">
        <f>HYPERLINK("https://otsuka-europe-crm.veevavault.com/ui/#object/approved_document__v/V5OZ025E82USSZ5", "LUP - Invitación webinar NL y RCV - nefro")</f>
        <v>LUP - Invitación webinar NL y RCV - nefro</v>
      </c>
      <c r="C15554" s="3" t="str">
        <f>HYPERLINK("https://otsuka-europe-crm.veevavault.com/ui/#object/sent_email__v/VBLZ025E82HS2RL", "SE-000290246")</f>
        <v>SE-000290246</v>
      </c>
      <c r="D15554" s="1" t="s">
        <v>0</v>
      </c>
      <c r="E15554" s="2">
        <v>0</v>
      </c>
      <c r="F15554" s="2">
        <v>0</v>
      </c>
      <c r="G15554" s="2">
        <v>0</v>
      </c>
      <c r="H15554" s="1" t="s">
        <v>0</v>
      </c>
      <c r="I15554" s="2">
        <v>0</v>
      </c>
      <c r="J15554" s="1">
        <v>45953.378935185188</v>
      </c>
    </row>
    <row r="15555" spans="1:10" x14ac:dyDescent="0.2">
      <c r="A15555" s="4" t="s">
        <v>1</v>
      </c>
      <c r="B15555" s="3" t="str">
        <f>HYPERLINK("https://otsuka-europe-crm.veevavault.com/ui/#object/approved_document__v/V5OZ025E82USSZ5", "LUP - Invitación webinar NL y RCV - nefro")</f>
        <v>LUP - Invitación webinar NL y RCV - nefro</v>
      </c>
      <c r="C15555" s="3" t="str">
        <f>HYPERLINK("https://otsuka-europe-crm.veevavault.com/ui/#object/sent_email__v/VBLZ025E82HS2RM", "SE-000290247")</f>
        <v>SE-000290247</v>
      </c>
      <c r="D15555" s="1" t="s">
        <v>0</v>
      </c>
      <c r="E15555" s="2">
        <v>0</v>
      </c>
      <c r="F15555" s="2">
        <v>0</v>
      </c>
      <c r="G15555" s="2">
        <v>0</v>
      </c>
      <c r="H15555" s="1" t="s">
        <v>0</v>
      </c>
      <c r="I15555" s="2">
        <v>0</v>
      </c>
      <c r="J15555" s="1">
        <v>45953.379166666666</v>
      </c>
    </row>
    <row r="15556" spans="1:10" x14ac:dyDescent="0.2">
      <c r="A15556" s="4" t="s">
        <v>1</v>
      </c>
      <c r="B15556" s="3" t="str">
        <f>HYPERLINK("https://otsuka-europe-crm.veevavault.com/ui/#object/approved_document__v/V5OZ025E82USSZ5", "LUP - Invitación webinar NL y RCV - nefro")</f>
        <v>LUP - Invitación webinar NL y RCV - nefro</v>
      </c>
      <c r="C15556" s="3" t="str">
        <f>HYPERLINK("https://otsuka-europe-crm.veevavault.com/ui/#object/sent_email__v/VBLZ025E82HS2RN", "SE-000290248")</f>
        <v>SE-000290248</v>
      </c>
      <c r="D15556" s="1" t="s">
        <v>0</v>
      </c>
      <c r="E15556" s="2">
        <v>0</v>
      </c>
      <c r="F15556" s="2">
        <v>0</v>
      </c>
      <c r="G15556" s="2">
        <v>0</v>
      </c>
      <c r="H15556" s="1" t="s">
        <v>0</v>
      </c>
      <c r="I15556" s="2">
        <v>0</v>
      </c>
      <c r="J15556" s="1">
        <v>45953.37908564815</v>
      </c>
    </row>
    <row r="15557" spans="1:10" x14ac:dyDescent="0.2">
      <c r="A15557" s="4" t="s">
        <v>1</v>
      </c>
      <c r="B15557" s="3" t="str">
        <f>HYPERLINK("https://otsuka-europe-crm.veevavault.com/ui/#object/approved_document__v/V5OZ025E82USSZ5", "LUP - Invitación webinar NL y RCV - nefro")</f>
        <v>LUP - Invitación webinar NL y RCV - nefro</v>
      </c>
      <c r="C15557" s="3" t="str">
        <f>HYPERLINK("https://otsuka-europe-crm.veevavault.com/ui/#object/sent_email__v/VBLZ025E82HS2RO", "SE-000290249")</f>
        <v>SE-000290249</v>
      </c>
      <c r="D15557" s="1">
        <v>45953.789050925923</v>
      </c>
      <c r="E15557" s="2">
        <v>1</v>
      </c>
      <c r="F15557" s="2">
        <v>2</v>
      </c>
      <c r="G15557" s="2">
        <v>1</v>
      </c>
      <c r="H15557" s="1">
        <v>45953.789201388892</v>
      </c>
      <c r="I15557" s="2">
        <v>1</v>
      </c>
      <c r="J15557" s="1">
        <v>45953.379155092596</v>
      </c>
    </row>
    <row r="15558" spans="1:10" x14ac:dyDescent="0.2">
      <c r="A15558" s="4" t="s">
        <v>1</v>
      </c>
      <c r="B15558" s="3" t="str">
        <f>HYPERLINK("https://otsuka-europe-crm.veevavault.com/ui/#object/approved_document__v/V5OZ025E82USSZ5", "LUP - Invitación webinar NL y RCV - nefro")</f>
        <v>LUP - Invitación webinar NL y RCV - nefro</v>
      </c>
      <c r="C15558" s="3" t="str">
        <f>HYPERLINK("https://otsuka-europe-crm.veevavault.com/ui/#object/sent_email__v/VBLZ025E82HS2RP", "SE-000290250")</f>
        <v>SE-000290250</v>
      </c>
      <c r="D15558" s="1" t="s">
        <v>0</v>
      </c>
      <c r="E15558" s="2">
        <v>0</v>
      </c>
      <c r="F15558" s="2">
        <v>0</v>
      </c>
      <c r="G15558" s="2">
        <v>0</v>
      </c>
      <c r="H15558" s="1" t="s">
        <v>0</v>
      </c>
      <c r="I15558" s="2">
        <v>0</v>
      </c>
      <c r="J15558" s="1">
        <v>45953.379062499997</v>
      </c>
    </row>
    <row r="15559" spans="1:10" x14ac:dyDescent="0.2">
      <c r="A15559" s="4" t="s">
        <v>1</v>
      </c>
      <c r="B15559" s="3" t="str">
        <f>HYPERLINK("https://otsuka-europe-crm.veevavault.com/ui/#object/approved_document__v/V5OZ025E82USSZ5", "LUP - Invitación webinar NL y RCV - nefro")</f>
        <v>LUP - Invitación webinar NL y RCV - nefro</v>
      </c>
      <c r="C15559" s="3" t="str">
        <f>HYPERLINK("https://otsuka-europe-crm.veevavault.com/ui/#object/sent_email__v/VBLZ025E82HS2RQ", "SE-000290251")</f>
        <v>SE-000290251</v>
      </c>
      <c r="D15559" s="1" t="s">
        <v>0</v>
      </c>
      <c r="E15559" s="2">
        <v>0</v>
      </c>
      <c r="F15559" s="2">
        <v>0</v>
      </c>
      <c r="G15559" s="2">
        <v>0</v>
      </c>
      <c r="H15559" s="1" t="s">
        <v>0</v>
      </c>
      <c r="I15559" s="2">
        <v>0</v>
      </c>
      <c r="J15559" s="1">
        <v>45953.379131944443</v>
      </c>
    </row>
    <row r="15560" spans="1:10" x14ac:dyDescent="0.2">
      <c r="A15560" s="4" t="s">
        <v>1</v>
      </c>
      <c r="B15560" s="3" t="str">
        <f>HYPERLINK("https://otsuka-europe-crm.veevavault.com/ui/#object/approved_document__v/V5OZ025E82USSZ5", "LUP - Invitación webinar NL y RCV - nefro")</f>
        <v>LUP - Invitación webinar NL y RCV - nefro</v>
      </c>
      <c r="C15560" s="3" t="str">
        <f>HYPERLINK("https://otsuka-europe-crm.veevavault.com/ui/#object/sent_email__v/VBLZ025E82HS2RR", "SE-000290252")</f>
        <v>SE-000290252</v>
      </c>
      <c r="D15560" s="1" t="s">
        <v>0</v>
      </c>
      <c r="E15560" s="2">
        <v>0</v>
      </c>
      <c r="F15560" s="2">
        <v>0</v>
      </c>
      <c r="G15560" s="2">
        <v>0</v>
      </c>
      <c r="H15560" s="1" t="s">
        <v>0</v>
      </c>
      <c r="I15560" s="2">
        <v>0</v>
      </c>
      <c r="J15560" s="1">
        <v>45953.37908564815</v>
      </c>
    </row>
    <row r="15561" spans="1:10" x14ac:dyDescent="0.2">
      <c r="A15561" s="4" t="s">
        <v>1</v>
      </c>
      <c r="B15561" s="3" t="str">
        <f>HYPERLINK("https://otsuka-europe-crm.veevavault.com/ui/#object/approved_document__v/V5OZ025E82USSZ5", "LUP - Invitación webinar NL y RCV - nefro")</f>
        <v>LUP - Invitación webinar NL y RCV - nefro</v>
      </c>
      <c r="C15561" s="3" t="str">
        <f>HYPERLINK("https://otsuka-europe-crm.veevavault.com/ui/#object/sent_email__v/VBLZ025E82HS2RS", "SE-000290253")</f>
        <v>SE-000290253</v>
      </c>
      <c r="D15561" s="1" t="s">
        <v>0</v>
      </c>
      <c r="E15561" s="2">
        <v>0</v>
      </c>
      <c r="F15561" s="2">
        <v>0</v>
      </c>
      <c r="G15561" s="2">
        <v>0</v>
      </c>
      <c r="H15561" s="1" t="s">
        <v>0</v>
      </c>
      <c r="I15561" s="2">
        <v>0</v>
      </c>
      <c r="J15561" s="1">
        <v>45953.379155092596</v>
      </c>
    </row>
    <row r="15562" spans="1:10" x14ac:dyDescent="0.2">
      <c r="A15562" s="4" t="s">
        <v>1</v>
      </c>
      <c r="B15562" s="3" t="str">
        <f>HYPERLINK("https://otsuka-europe-crm.veevavault.com/ui/#object/approved_document__v/V5OZ025E82USSZ5", "LUP - Invitación webinar NL y RCV - nefro")</f>
        <v>LUP - Invitación webinar NL y RCV - nefro</v>
      </c>
      <c r="C15562" s="3" t="str">
        <f>HYPERLINK("https://otsuka-europe-crm.veevavault.com/ui/#object/sent_email__v/VBLZ025E82HS2RT", "SE-000290254")</f>
        <v>SE-000290254</v>
      </c>
      <c r="D15562" s="1" t="s">
        <v>0</v>
      </c>
      <c r="E15562" s="2">
        <v>0</v>
      </c>
      <c r="F15562" s="2">
        <v>0</v>
      </c>
      <c r="G15562" s="2">
        <v>0</v>
      </c>
      <c r="H15562" s="1" t="s">
        <v>0</v>
      </c>
      <c r="I15562" s="2">
        <v>0</v>
      </c>
      <c r="J15562" s="1">
        <v>45953.378969907404</v>
      </c>
    </row>
    <row r="15563" spans="1:10" x14ac:dyDescent="0.2">
      <c r="A15563" s="4" t="s">
        <v>1</v>
      </c>
      <c r="B15563" s="3" t="str">
        <f>HYPERLINK("https://otsuka-europe-crm.veevavault.com/ui/#object/approved_document__v/V5OZ025E82USSZ5", "LUP - Invitación webinar NL y RCV - nefro")</f>
        <v>LUP - Invitación webinar NL y RCV - nefro</v>
      </c>
      <c r="C15563" s="3" t="str">
        <f>HYPERLINK("https://otsuka-europe-crm.veevavault.com/ui/#object/sent_email__v/VBLZ025E82HS2RU", "SE-000290255")</f>
        <v>SE-000290255</v>
      </c>
      <c r="D15563" s="1" t="s">
        <v>0</v>
      </c>
      <c r="E15563" s="2">
        <v>0</v>
      </c>
      <c r="F15563" s="2">
        <v>0</v>
      </c>
      <c r="G15563" s="2">
        <v>0</v>
      </c>
      <c r="H15563" s="1" t="s">
        <v>0</v>
      </c>
      <c r="I15563" s="2">
        <v>0</v>
      </c>
      <c r="J15563" s="1">
        <v>45953.379143518519</v>
      </c>
    </row>
    <row r="15564" spans="1:10" x14ac:dyDescent="0.2">
      <c r="A15564" s="4" t="s">
        <v>1</v>
      </c>
      <c r="B15564" s="3" t="str">
        <f>HYPERLINK("https://otsuka-europe-crm.veevavault.com/ui/#object/approved_document__v/V5OZ025E82USSZ5", "LUP - Invitación webinar NL y RCV - nefro")</f>
        <v>LUP - Invitación webinar NL y RCV - nefro</v>
      </c>
      <c r="C15564" s="3" t="str">
        <f>HYPERLINK("https://otsuka-europe-crm.veevavault.com/ui/#object/sent_email__v/VBLZ025E82HS2RV", "SE-000290256")</f>
        <v>SE-000290256</v>
      </c>
      <c r="D15564" s="1" t="s">
        <v>0</v>
      </c>
      <c r="E15564" s="2">
        <v>0</v>
      </c>
      <c r="F15564" s="2">
        <v>0</v>
      </c>
      <c r="G15564" s="2">
        <v>0</v>
      </c>
      <c r="H15564" s="1" t="s">
        <v>0</v>
      </c>
      <c r="I15564" s="2">
        <v>0</v>
      </c>
      <c r="J15564" s="1">
        <v>45953.378981481481</v>
      </c>
    </row>
    <row r="15565" spans="1:10" x14ac:dyDescent="0.2">
      <c r="A15565" s="4" t="s">
        <v>1</v>
      </c>
      <c r="B15565" s="3" t="str">
        <f>HYPERLINK("https://otsuka-europe-crm.veevavault.com/ui/#object/approved_document__v/V5OZ025E82USSZ5", "LUP - Invitación webinar NL y RCV - nefro")</f>
        <v>LUP - Invitación webinar NL y RCV - nefro</v>
      </c>
      <c r="C15565" s="3" t="str">
        <f>HYPERLINK("https://otsuka-europe-crm.veevavault.com/ui/#object/sent_email__v/VBLZ025E82HS2Z9", "SE-000290257")</f>
        <v>SE-000290257</v>
      </c>
      <c r="D15565" s="1" t="s">
        <v>0</v>
      </c>
      <c r="E15565" s="2">
        <v>0</v>
      </c>
      <c r="F15565" s="2">
        <v>0</v>
      </c>
      <c r="G15565" s="2">
        <v>0</v>
      </c>
      <c r="H15565" s="1" t="s">
        <v>0</v>
      </c>
      <c r="I15565" s="2">
        <v>0</v>
      </c>
      <c r="J15565" s="1">
        <v>45953.379849537036</v>
      </c>
    </row>
    <row r="15566" spans="1:10" x14ac:dyDescent="0.2">
      <c r="A15566" s="4" t="s">
        <v>1</v>
      </c>
      <c r="B15566" s="3" t="str">
        <f>HYPERLINK("https://otsuka-europe-crm.veevavault.com/ui/#object/approved_document__v/V5OZ025E82USSZ5", "LUP - Invitación webinar NL y RCV - nefro")</f>
        <v>LUP - Invitación webinar NL y RCV - nefro</v>
      </c>
      <c r="C15566" s="3" t="str">
        <f>HYPERLINK("https://otsuka-europe-crm.veevavault.com/ui/#object/sent_email__v/VBLZ025E82HS2ZA", "SE-000290258")</f>
        <v>SE-000290258</v>
      </c>
      <c r="D15566" s="1" t="s">
        <v>0</v>
      </c>
      <c r="E15566" s="2">
        <v>0</v>
      </c>
      <c r="F15566" s="2">
        <v>0</v>
      </c>
      <c r="G15566" s="2">
        <v>0</v>
      </c>
      <c r="H15566" s="1" t="s">
        <v>0</v>
      </c>
      <c r="I15566" s="2">
        <v>0</v>
      </c>
      <c r="J15566" s="1">
        <v>45953.379814814813</v>
      </c>
    </row>
    <row r="15567" spans="1:10" x14ac:dyDescent="0.2">
      <c r="A15567" s="4" t="s">
        <v>1</v>
      </c>
      <c r="B15567" s="3" t="str">
        <f>HYPERLINK("https://otsuka-europe-crm.veevavault.com/ui/#object/approved_document__v/V5OZ025E82USSZ5", "LUP - Invitación webinar NL y RCV - nefro")</f>
        <v>LUP - Invitación webinar NL y RCV - nefro</v>
      </c>
      <c r="C15567" s="3" t="str">
        <f>HYPERLINK("https://otsuka-europe-crm.veevavault.com/ui/#object/sent_email__v/VBLZ025E82HS2ZB", "SE-000290259")</f>
        <v>SE-000290259</v>
      </c>
      <c r="D15567" s="1" t="s">
        <v>0</v>
      </c>
      <c r="E15567" s="2">
        <v>0</v>
      </c>
      <c r="F15567" s="2">
        <v>0</v>
      </c>
      <c r="G15567" s="2">
        <v>0</v>
      </c>
      <c r="H15567" s="1" t="s">
        <v>0</v>
      </c>
      <c r="I15567" s="2">
        <v>0</v>
      </c>
      <c r="J15567" s="1">
        <v>45953.379826388889</v>
      </c>
    </row>
    <row r="15568" spans="1:10" x14ac:dyDescent="0.2">
      <c r="A15568" s="4" t="s">
        <v>1</v>
      </c>
      <c r="B15568" s="3" t="str">
        <f>HYPERLINK("https://otsuka-europe-crm.veevavault.com/ui/#object/approved_document__v/V5OZ025E82USSZ5", "LUP - Invitación webinar NL y RCV - nefro")</f>
        <v>LUP - Invitación webinar NL y RCV - nefro</v>
      </c>
      <c r="C15568" s="3" t="str">
        <f>HYPERLINK("https://otsuka-europe-crm.veevavault.com/ui/#object/sent_email__v/VBLZ025E82HS2ZC", "SE-000290260")</f>
        <v>SE-000290260</v>
      </c>
      <c r="D15568" s="1">
        <v>45953.411261574074</v>
      </c>
      <c r="E15568" s="2">
        <v>1</v>
      </c>
      <c r="F15568" s="2">
        <v>1</v>
      </c>
      <c r="G15568" s="2">
        <v>0</v>
      </c>
      <c r="H15568" s="1" t="s">
        <v>0</v>
      </c>
      <c r="I15568" s="2">
        <v>0</v>
      </c>
      <c r="J15568" s="1">
        <v>45953.379780092589</v>
      </c>
    </row>
    <row r="15569" spans="1:10" x14ac:dyDescent="0.2">
      <c r="A15569" s="4" t="s">
        <v>1</v>
      </c>
      <c r="B15569" s="3" t="str">
        <f>HYPERLINK("https://otsuka-europe-crm.veevavault.com/ui/#object/approved_document__v/V5OZ025E82USSZ5", "LUP - Invitación webinar NL y RCV - nefro")</f>
        <v>LUP - Invitación webinar NL y RCV - nefro</v>
      </c>
      <c r="C15569" s="3" t="str">
        <f>HYPERLINK("https://otsuka-europe-crm.veevavault.com/ui/#object/sent_email__v/VBLZ025E82HS2ZD", "SE-000290261")</f>
        <v>SE-000290261</v>
      </c>
      <c r="D15569" s="1" t="s">
        <v>0</v>
      </c>
      <c r="E15569" s="2">
        <v>0</v>
      </c>
      <c r="F15569" s="2">
        <v>0</v>
      </c>
      <c r="G15569" s="2">
        <v>0</v>
      </c>
      <c r="H15569" s="1" t="s">
        <v>0</v>
      </c>
      <c r="I15569" s="2">
        <v>0</v>
      </c>
      <c r="J15569" s="1">
        <v>45953.379791666666</v>
      </c>
    </row>
    <row r="15570" spans="1:10" x14ac:dyDescent="0.2">
      <c r="A15570" s="4" t="s">
        <v>1</v>
      </c>
      <c r="B15570" s="3" t="str">
        <f>HYPERLINK("https://otsuka-europe-crm.veevavault.com/ui/#object/approved_document__v/V5OZ025E82USSZ5", "LUP - Invitación webinar NL y RCV - nefro")</f>
        <v>LUP - Invitación webinar NL y RCV - nefro</v>
      </c>
      <c r="C15570" s="3" t="str">
        <f>HYPERLINK("https://otsuka-europe-crm.veevavault.com/ui/#object/sent_email__v/VBLZ025E82HS2ZE", "SE-000290262")</f>
        <v>SE-000290262</v>
      </c>
      <c r="D15570" s="1" t="s">
        <v>0</v>
      </c>
      <c r="E15570" s="2">
        <v>0</v>
      </c>
      <c r="F15570" s="2">
        <v>0</v>
      </c>
      <c r="G15570" s="2">
        <v>0</v>
      </c>
      <c r="H15570" s="1" t="s">
        <v>0</v>
      </c>
      <c r="I15570" s="2">
        <v>0</v>
      </c>
      <c r="J15570" s="1">
        <v>45953.379826388889</v>
      </c>
    </row>
    <row r="15571" spans="1:10" x14ac:dyDescent="0.2">
      <c r="A15571" s="4" t="s">
        <v>1</v>
      </c>
      <c r="B15571" s="3" t="str">
        <f>HYPERLINK("https://otsuka-europe-crm.veevavault.com/ui/#object/approved_document__v/V5OZ025E82USSZ5", "LUP - Invitación webinar NL y RCV - nefro")</f>
        <v>LUP - Invitación webinar NL y RCV - nefro</v>
      </c>
      <c r="C15571" s="3" t="str">
        <f>HYPERLINK("https://otsuka-europe-crm.veevavault.com/ui/#object/sent_email__v/VBLZ025E82HS2ZF", "SE-000290263")</f>
        <v>SE-000290263</v>
      </c>
      <c r="D15571" s="1" t="s">
        <v>0</v>
      </c>
      <c r="E15571" s="2">
        <v>0</v>
      </c>
      <c r="F15571" s="2">
        <v>0</v>
      </c>
      <c r="G15571" s="2">
        <v>0</v>
      </c>
      <c r="H15571" s="1" t="s">
        <v>0</v>
      </c>
      <c r="I15571" s="2">
        <v>0</v>
      </c>
      <c r="J15571" s="1">
        <v>45953.379826388889</v>
      </c>
    </row>
    <row r="15572" spans="1:10" x14ac:dyDescent="0.2">
      <c r="A15572" s="4" t="s">
        <v>1</v>
      </c>
      <c r="B15572" s="3" t="str">
        <f>HYPERLINK("https://otsuka-europe-crm.veevavault.com/ui/#object/approved_document__v/V5OZ025E82USSZ5", "LUP - Invitación webinar NL y RCV - nefro")</f>
        <v>LUP - Invitación webinar NL y RCV - nefro</v>
      </c>
      <c r="C15572" s="3" t="str">
        <f>HYPERLINK("https://otsuka-europe-crm.veevavault.com/ui/#object/sent_email__v/VBLZ025E82HS2ZG", "SE-000290264")</f>
        <v>SE-000290264</v>
      </c>
      <c r="D15572" s="1" t="s">
        <v>0</v>
      </c>
      <c r="E15572" s="2">
        <v>0</v>
      </c>
      <c r="F15572" s="2">
        <v>0</v>
      </c>
      <c r="G15572" s="2">
        <v>0</v>
      </c>
      <c r="H15572" s="1" t="s">
        <v>0</v>
      </c>
      <c r="I15572" s="2">
        <v>0</v>
      </c>
      <c r="J15572" s="1">
        <v>45953.379861111112</v>
      </c>
    </row>
    <row r="15573" spans="1:10" x14ac:dyDescent="0.2">
      <c r="A15573" s="4" t="s">
        <v>1</v>
      </c>
      <c r="B15573" s="3" t="str">
        <f>HYPERLINK("https://otsuka-europe-crm.veevavault.com/ui/#object/approved_document__v/V5OZ025E82USSZ5", "LUP - Invitación webinar NL y RCV - nefro")</f>
        <v>LUP - Invitación webinar NL y RCV - nefro</v>
      </c>
      <c r="C15573" s="3" t="str">
        <f>HYPERLINK("https://otsuka-europe-crm.veevavault.com/ui/#object/sent_email__v/VBLZ025E82HS2ZH", "SE-000290265")</f>
        <v>SE-000290265</v>
      </c>
      <c r="D15573" s="1" t="s">
        <v>0</v>
      </c>
      <c r="E15573" s="2">
        <v>0</v>
      </c>
      <c r="F15573" s="2">
        <v>0</v>
      </c>
      <c r="G15573" s="2">
        <v>0</v>
      </c>
      <c r="H15573" s="1" t="s">
        <v>0</v>
      </c>
      <c r="I15573" s="2">
        <v>0</v>
      </c>
      <c r="J15573" s="1">
        <v>45953.379837962966</v>
      </c>
    </row>
    <row r="15574" spans="1:10" x14ac:dyDescent="0.2">
      <c r="A15574" s="4" t="s">
        <v>1</v>
      </c>
      <c r="B15574" s="3" t="str">
        <f>HYPERLINK("https://otsuka-europe-crm.veevavault.com/ui/#object/approved_document__v/V5OZ025E82USSZ5", "LUP - Invitación webinar NL y RCV - nefro")</f>
        <v>LUP - Invitación webinar NL y RCV - nefro</v>
      </c>
      <c r="C15574" s="3" t="str">
        <f>HYPERLINK("https://otsuka-europe-crm.veevavault.com/ui/#object/sent_email__v/VBLZ025E82HSL19", "SE-000290401")</f>
        <v>SE-000290401</v>
      </c>
      <c r="D15574" s="1" t="s">
        <v>0</v>
      </c>
      <c r="E15574" s="2">
        <v>0</v>
      </c>
      <c r="F15574" s="2">
        <v>0</v>
      </c>
      <c r="G15574" s="2">
        <v>0</v>
      </c>
      <c r="H15574" s="1" t="s">
        <v>0</v>
      </c>
      <c r="I15574" s="2">
        <v>0</v>
      </c>
      <c r="J15574" s="1">
        <v>45953.558171296296</v>
      </c>
    </row>
    <row r="15575" spans="1:10" x14ac:dyDescent="0.2">
      <c r="A15575" s="4" t="s">
        <v>1</v>
      </c>
      <c r="B15575" s="3" t="str">
        <f>HYPERLINK("https://otsuka-europe-crm.veevavault.com/ui/#object/approved_document__v/V5OZ025E82USSZ5", "LUP - Invitación webinar NL y RCV - nefro")</f>
        <v>LUP - Invitación webinar NL y RCV - nefro</v>
      </c>
      <c r="C15575" s="3" t="str">
        <f>HYPERLINK("https://otsuka-europe-crm.veevavault.com/ui/#object/sent_email__v/VBLZ025E82HSL1A", "SE-000290402")</f>
        <v>SE-000290402</v>
      </c>
      <c r="D15575" s="1">
        <v>45953.559664351851</v>
      </c>
      <c r="E15575" s="2">
        <v>1</v>
      </c>
      <c r="F15575" s="2">
        <v>1</v>
      </c>
      <c r="G15575" s="2">
        <v>0</v>
      </c>
      <c r="H15575" s="1" t="s">
        <v>0</v>
      </c>
      <c r="I15575" s="2">
        <v>0</v>
      </c>
      <c r="J15575" s="1">
        <v>45953.558171296296</v>
      </c>
    </row>
    <row r="15576" spans="1:10" x14ac:dyDescent="0.2">
      <c r="A15576" s="4" t="s">
        <v>1</v>
      </c>
      <c r="B15576" s="3" t="str">
        <f>HYPERLINK("https://otsuka-europe-crm.veevavault.com/ui/#object/approved_document__v/V5OZ025E82USSZ5", "LUP - Invitación webinar NL y RCV - nefro")</f>
        <v>LUP - Invitación webinar NL y RCV - nefro</v>
      </c>
      <c r="C15576" s="3" t="str">
        <f>HYPERLINK("https://otsuka-europe-crm.veevavault.com/ui/#object/sent_email__v/VBLZ025E82HSL1B", "SE-000290403")</f>
        <v>SE-000290403</v>
      </c>
      <c r="D15576" s="1" t="s">
        <v>0</v>
      </c>
      <c r="E15576" s="2">
        <v>0</v>
      </c>
      <c r="F15576" s="2">
        <v>0</v>
      </c>
      <c r="G15576" s="2">
        <v>0</v>
      </c>
      <c r="H15576" s="1" t="s">
        <v>0</v>
      </c>
      <c r="I15576" s="2">
        <v>0</v>
      </c>
      <c r="J15576" s="1">
        <v>45953.558182870373</v>
      </c>
    </row>
    <row r="15577" spans="1:10" x14ac:dyDescent="0.2">
      <c r="A15577" s="4" t="s">
        <v>1</v>
      </c>
      <c r="B15577" s="3" t="str">
        <f>HYPERLINK("https://otsuka-europe-crm.veevavault.com/ui/#object/approved_document__v/V5OZ025E82USSZ5", "LUP - Invitación webinar NL y RCV - nefro")</f>
        <v>LUP - Invitación webinar NL y RCV - nefro</v>
      </c>
      <c r="C15577" s="3" t="str">
        <f>HYPERLINK("https://otsuka-europe-crm.veevavault.com/ui/#object/sent_email__v/VBLZ025E82HSL1C", "SE-000290404")</f>
        <v>SE-000290404</v>
      </c>
      <c r="D15577" s="1">
        <v>45973.286111111112</v>
      </c>
      <c r="E15577" s="2">
        <v>1</v>
      </c>
      <c r="F15577" s="2">
        <v>1</v>
      </c>
      <c r="G15577" s="2">
        <v>0</v>
      </c>
      <c r="H15577" s="1" t="s">
        <v>0</v>
      </c>
      <c r="I15577" s="2">
        <v>0</v>
      </c>
      <c r="J15577" s="1">
        <v>45953.558194444442</v>
      </c>
    </row>
    <row r="15578" spans="1:10" x14ac:dyDescent="0.2">
      <c r="A15578" s="4" t="s">
        <v>1</v>
      </c>
      <c r="B15578" s="3" t="str">
        <f>HYPERLINK("https://otsuka-europe-crm.veevavault.com/ui/#object/approved_document__v/V5OZ025E82USSZ5", "LUP - Invitación webinar NL y RCV - nefro")</f>
        <v>LUP - Invitación webinar NL y RCV - nefro</v>
      </c>
      <c r="C15578" s="3" t="str">
        <f>HYPERLINK("https://otsuka-europe-crm.veevavault.com/ui/#object/sent_email__v/VBLZ025E82HSL1D", "SE-000290405")</f>
        <v>SE-000290405</v>
      </c>
      <c r="D15578" s="1">
        <v>45953.661307870374</v>
      </c>
      <c r="E15578" s="2">
        <v>1</v>
      </c>
      <c r="F15578" s="2">
        <v>1</v>
      </c>
      <c r="G15578" s="2">
        <v>0</v>
      </c>
      <c r="H15578" s="1" t="s">
        <v>0</v>
      </c>
      <c r="I15578" s="2">
        <v>0</v>
      </c>
      <c r="J15578" s="1">
        <v>45953.558194444442</v>
      </c>
    </row>
    <row r="15579" spans="1:10" x14ac:dyDescent="0.2">
      <c r="A15579" s="4" t="s">
        <v>1</v>
      </c>
      <c r="B15579" s="3" t="str">
        <f>HYPERLINK("https://otsuka-europe-crm.veevavault.com/ui/#object/approved_document__v/V5OZ025E82USSZ5", "LUP - Invitación webinar NL y RCV - nefro")</f>
        <v>LUP - Invitación webinar NL y RCV - nefro</v>
      </c>
      <c r="C15579" s="3" t="str">
        <f>HYPERLINK("https://otsuka-europe-crm.veevavault.com/ui/#object/sent_email__v/VBLZ025E82HSL1E", "SE-000290406")</f>
        <v>SE-000290406</v>
      </c>
      <c r="D15579" s="1">
        <v>45953.926562499997</v>
      </c>
      <c r="E15579" s="2">
        <v>1</v>
      </c>
      <c r="F15579" s="2">
        <v>1</v>
      </c>
      <c r="G15579" s="2">
        <v>0</v>
      </c>
      <c r="H15579" s="1" t="s">
        <v>0</v>
      </c>
      <c r="I15579" s="2">
        <v>0</v>
      </c>
      <c r="J15579" s="1">
        <v>45953.558206018519</v>
      </c>
    </row>
    <row r="15580" spans="1:10" x14ac:dyDescent="0.2">
      <c r="A15580" s="4" t="s">
        <v>1</v>
      </c>
      <c r="B15580" s="3" t="str">
        <f>HYPERLINK("https://otsuka-europe-crm.veevavault.com/ui/#object/approved_document__v/V5OZ025E82USSZ5", "LUP - Invitación webinar NL y RCV - nefro")</f>
        <v>LUP - Invitación webinar NL y RCV - nefro</v>
      </c>
      <c r="C15580" s="3" t="str">
        <f>HYPERLINK("https://otsuka-europe-crm.veevavault.com/ui/#object/sent_email__v/VBLZ025E82HSL1F", "SE-000290407")</f>
        <v>SE-000290407</v>
      </c>
      <c r="D15580" s="1" t="s">
        <v>0</v>
      </c>
      <c r="E15580" s="2">
        <v>0</v>
      </c>
      <c r="F15580" s="2">
        <v>0</v>
      </c>
      <c r="G15580" s="2">
        <v>0</v>
      </c>
      <c r="H15580" s="1" t="s">
        <v>0</v>
      </c>
      <c r="I15580" s="2">
        <v>0</v>
      </c>
      <c r="J15580" s="1">
        <v>45953.558217592596</v>
      </c>
    </row>
    <row r="15581" spans="1:10" x14ac:dyDescent="0.2">
      <c r="A15581" s="4" t="s">
        <v>1</v>
      </c>
      <c r="B15581" s="3" t="str">
        <f>HYPERLINK("https://otsuka-europe-crm.veevavault.com/ui/#object/approved_document__v/V5OZ025E82USSZ5", "LUP - Invitación webinar NL y RCV - nefro")</f>
        <v>LUP - Invitación webinar NL y RCV - nefro</v>
      </c>
      <c r="C15581" s="3" t="str">
        <f>HYPERLINK("https://otsuka-europe-crm.veevavault.com/ui/#object/sent_email__v/VBLZ025E82HSL1G", "SE-000290408")</f>
        <v>SE-000290408</v>
      </c>
      <c r="D15581" s="1">
        <v>45953.724490740744</v>
      </c>
      <c r="E15581" s="2">
        <v>1</v>
      </c>
      <c r="F15581" s="2">
        <v>2</v>
      </c>
      <c r="G15581" s="2">
        <v>0</v>
      </c>
      <c r="H15581" s="1" t="s">
        <v>0</v>
      </c>
      <c r="I15581" s="2">
        <v>0</v>
      </c>
      <c r="J15581" s="1">
        <v>45953.558229166665</v>
      </c>
    </row>
    <row r="15582" spans="1:10" x14ac:dyDescent="0.2">
      <c r="A15582" s="4" t="s">
        <v>1</v>
      </c>
      <c r="B15582" s="3" t="str">
        <f>HYPERLINK("https://otsuka-europe-crm.veevavault.com/ui/#object/approved_document__v/V5OZ025E82USSZ5", "LUP - Invitación webinar NL y RCV - nefro")</f>
        <v>LUP - Invitación webinar NL y RCV - nefro</v>
      </c>
      <c r="C15582" s="3" t="str">
        <f>HYPERLINK("https://otsuka-europe-crm.veevavault.com/ui/#object/sent_email__v/VBLZ025E82HSL1H", "SE-000290409")</f>
        <v>SE-000290409</v>
      </c>
      <c r="D15582" s="1">
        <v>45953.571863425925</v>
      </c>
      <c r="E15582" s="2">
        <v>1</v>
      </c>
      <c r="F15582" s="2">
        <v>1</v>
      </c>
      <c r="G15582" s="2">
        <v>0</v>
      </c>
      <c r="H15582" s="1" t="s">
        <v>0</v>
      </c>
      <c r="I15582" s="2">
        <v>0</v>
      </c>
      <c r="J15582" s="1">
        <v>45953.558240740742</v>
      </c>
    </row>
    <row r="15583" spans="1:10" x14ac:dyDescent="0.2">
      <c r="A15583" s="4" t="s">
        <v>1</v>
      </c>
      <c r="B15583" s="3" t="str">
        <f>HYPERLINK("https://otsuka-europe-crm.veevavault.com/ui/#object/approved_document__v/V5OZ025E82USSZ5", "LUP - Invitación webinar NL y RCV - nefro")</f>
        <v>LUP - Invitación webinar NL y RCV - nefro</v>
      </c>
      <c r="C15583" s="3" t="str">
        <f>HYPERLINK("https://otsuka-europe-crm.veevavault.com/ui/#object/sent_email__v/VBLZ025E82HSL1I", "SE-000290410")</f>
        <v>SE-000290410</v>
      </c>
      <c r="D15583" s="1" t="s">
        <v>0</v>
      </c>
      <c r="E15583" s="2">
        <v>0</v>
      </c>
      <c r="F15583" s="2">
        <v>0</v>
      </c>
      <c r="G15583" s="2">
        <v>0</v>
      </c>
      <c r="H15583" s="1" t="s">
        <v>0</v>
      </c>
      <c r="I15583" s="2">
        <v>0</v>
      </c>
      <c r="J15583" s="1">
        <v>45953.558240740742</v>
      </c>
    </row>
    <row r="15584" spans="1:10" x14ac:dyDescent="0.2">
      <c r="A15584" s="4" t="s">
        <v>1</v>
      </c>
      <c r="B15584" s="3" t="str">
        <f>HYPERLINK("https://otsuka-europe-crm.veevavault.com/ui/#object/approved_document__v/V5OZ025E82USSZ5", "LUP - Invitación webinar NL y RCV - nefro")</f>
        <v>LUP - Invitación webinar NL y RCV - nefro</v>
      </c>
      <c r="C15584" s="3" t="str">
        <f>HYPERLINK("https://otsuka-europe-crm.veevavault.com/ui/#object/sent_email__v/VBLZ025E82HSL1J", "SE-000290411")</f>
        <v>SE-000290411</v>
      </c>
      <c r="D15584" s="1">
        <v>45953.560671296298</v>
      </c>
      <c r="E15584" s="2">
        <v>1</v>
      </c>
      <c r="F15584" s="2">
        <v>1</v>
      </c>
      <c r="G15584" s="2">
        <v>0</v>
      </c>
      <c r="H15584" s="1" t="s">
        <v>0</v>
      </c>
      <c r="I15584" s="2">
        <v>0</v>
      </c>
      <c r="J15584" s="1">
        <v>45953.558252314811</v>
      </c>
    </row>
    <row r="15585" spans="1:10" x14ac:dyDescent="0.2">
      <c r="A15585" s="4" t="s">
        <v>1</v>
      </c>
      <c r="B15585" s="3" t="str">
        <f>HYPERLINK("https://otsuka-europe-crm.veevavault.com/ui/#object/approved_document__v/V5OZ025E82USSZ5", "LUP - Invitación webinar NL y RCV - nefro")</f>
        <v>LUP - Invitación webinar NL y RCV - nefro</v>
      </c>
      <c r="C15585" s="3" t="str">
        <f>HYPERLINK("https://otsuka-europe-crm.veevavault.com/ui/#object/sent_email__v/VBLZ025E82HSL1K", "SE-000290412")</f>
        <v>SE-000290412</v>
      </c>
      <c r="D15585" s="1">
        <v>45953.663321759261</v>
      </c>
      <c r="E15585" s="2">
        <v>1</v>
      </c>
      <c r="F15585" s="2">
        <v>2</v>
      </c>
      <c r="G15585" s="2">
        <v>0</v>
      </c>
      <c r="H15585" s="1" t="s">
        <v>0</v>
      </c>
      <c r="I15585" s="2">
        <v>0</v>
      </c>
      <c r="J15585" s="1">
        <v>45953.558263888888</v>
      </c>
    </row>
    <row r="15586" spans="1:10" x14ac:dyDescent="0.2">
      <c r="A15586" s="4" t="s">
        <v>1</v>
      </c>
      <c r="B15586" s="3" t="str">
        <f>HYPERLINK("https://otsuka-europe-crm.veevavault.com/ui/#object/approved_document__v/V5OZ025E82USSZ5", "LUP - Invitación webinar NL y RCV - nefro")</f>
        <v>LUP - Invitación webinar NL y RCV - nefro</v>
      </c>
      <c r="C15586" s="3" t="str">
        <f>HYPERLINK("https://otsuka-europe-crm.veevavault.com/ui/#object/sent_email__v/VBLZ025E82HSL1L", "SE-000290413")</f>
        <v>SE-000290413</v>
      </c>
      <c r="D15586" s="1" t="s">
        <v>0</v>
      </c>
      <c r="E15586" s="2">
        <v>0</v>
      </c>
      <c r="F15586" s="2">
        <v>0</v>
      </c>
      <c r="G15586" s="2">
        <v>0</v>
      </c>
      <c r="H15586" s="1" t="s">
        <v>0</v>
      </c>
      <c r="I15586" s="2">
        <v>0</v>
      </c>
      <c r="J15586" s="1">
        <v>45953.558275462965</v>
      </c>
    </row>
    <row r="15587" spans="1:10" x14ac:dyDescent="0.2">
      <c r="A15587" s="4" t="s">
        <v>1</v>
      </c>
      <c r="B15587" s="3" t="str">
        <f>HYPERLINK("https://otsuka-europe-crm.veevavault.com/ui/#object/approved_document__v/V5OZ025E82USSZ5", "LUP - Invitación webinar NL y RCV - nefro")</f>
        <v>LUP - Invitación webinar NL y RCV - nefro</v>
      </c>
      <c r="C15587" s="3" t="str">
        <f>HYPERLINK("https://otsuka-europe-crm.veevavault.com/ui/#object/sent_email__v/VBLZ025E82HSL1M", "SE-000290414")</f>
        <v>SE-000290414</v>
      </c>
      <c r="D15587" s="1" t="s">
        <v>0</v>
      </c>
      <c r="E15587" s="2">
        <v>0</v>
      </c>
      <c r="F15587" s="2">
        <v>0</v>
      </c>
      <c r="G15587" s="2">
        <v>0</v>
      </c>
      <c r="H15587" s="1" t="s">
        <v>0</v>
      </c>
      <c r="I15587" s="2">
        <v>0</v>
      </c>
      <c r="J15587" s="1">
        <v>45953.558287037034</v>
      </c>
    </row>
    <row r="15588" spans="1:10" x14ac:dyDescent="0.2">
      <c r="A15588" s="4" t="s">
        <v>1</v>
      </c>
      <c r="B15588" s="3" t="str">
        <f>HYPERLINK("https://otsuka-europe-crm.veevavault.com/ui/#object/approved_document__v/V5OZ025E82USSZ5", "LUP - Invitación webinar NL y RCV - nefro")</f>
        <v>LUP - Invitación webinar NL y RCV - nefro</v>
      </c>
      <c r="C15588" s="3" t="str">
        <f>HYPERLINK("https://otsuka-europe-crm.veevavault.com/ui/#object/sent_email__v/VBLZ025E82HSL1N", "SE-000290415")</f>
        <v>SE-000290415</v>
      </c>
      <c r="D15588" s="1" t="s">
        <v>0</v>
      </c>
      <c r="E15588" s="2">
        <v>0</v>
      </c>
      <c r="F15588" s="2">
        <v>0</v>
      </c>
      <c r="G15588" s="2">
        <v>0</v>
      </c>
      <c r="H15588" s="1" t="s">
        <v>0</v>
      </c>
      <c r="I15588" s="2">
        <v>0</v>
      </c>
      <c r="J15588" s="1">
        <v>45953.558298611111</v>
      </c>
    </row>
    <row r="15589" spans="1:10" x14ac:dyDescent="0.2">
      <c r="A15589" s="4" t="s">
        <v>1</v>
      </c>
      <c r="B15589" s="3" t="str">
        <f>HYPERLINK("https://otsuka-europe-crm.veevavault.com/ui/#object/approved_document__v/V5OZ025E82USSZ5", "LUP - Invitación webinar NL y RCV - nefro")</f>
        <v>LUP - Invitación webinar NL y RCV - nefro</v>
      </c>
      <c r="C15589" s="3" t="str">
        <f>HYPERLINK("https://otsuka-europe-crm.veevavault.com/ui/#object/sent_email__v/VBLZ025E82HSL1O", "SE-000290416")</f>
        <v>SE-000290416</v>
      </c>
      <c r="D15589" s="1" t="s">
        <v>0</v>
      </c>
      <c r="E15589" s="2">
        <v>0</v>
      </c>
      <c r="F15589" s="2">
        <v>0</v>
      </c>
      <c r="G15589" s="2">
        <v>0</v>
      </c>
      <c r="H15589" s="1" t="s">
        <v>0</v>
      </c>
      <c r="I15589" s="2">
        <v>0</v>
      </c>
      <c r="J15589" s="1">
        <v>45953.558298611111</v>
      </c>
    </row>
    <row r="15590" spans="1:10" x14ac:dyDescent="0.2">
      <c r="A15590" s="4" t="s">
        <v>1</v>
      </c>
      <c r="B15590" s="3" t="str">
        <f>HYPERLINK("https://otsuka-europe-crm.veevavault.com/ui/#object/approved_document__v/V5OZ025E82USSZ5", "LUP - Invitación webinar NL y RCV - nefro")</f>
        <v>LUP - Invitación webinar NL y RCV - nefro</v>
      </c>
      <c r="C15590" s="3" t="str">
        <f>HYPERLINK("https://otsuka-europe-crm.veevavault.com/ui/#object/sent_email__v/VBLZ025E82HSL1P", "SE-000290417")</f>
        <v>SE-000290417</v>
      </c>
      <c r="D15590" s="1">
        <v>45974.552870370368</v>
      </c>
      <c r="E15590" s="2">
        <v>1</v>
      </c>
      <c r="F15590" s="2">
        <v>2</v>
      </c>
      <c r="G15590" s="2">
        <v>0</v>
      </c>
      <c r="H15590" s="1" t="s">
        <v>0</v>
      </c>
      <c r="I15590" s="2">
        <v>0</v>
      </c>
      <c r="J15590" s="1">
        <v>45953.558310185188</v>
      </c>
    </row>
    <row r="15591" spans="1:10" x14ac:dyDescent="0.2">
      <c r="A15591" s="4" t="s">
        <v>1</v>
      </c>
      <c r="B15591" s="3" t="str">
        <f>HYPERLINK("https://otsuka-europe-crm.veevavault.com/ui/#object/approved_document__v/V5OZ025E82USSZ5", "LUP - Invitación webinar NL y RCV - nefro")</f>
        <v>LUP - Invitación webinar NL y RCV - nefro</v>
      </c>
      <c r="C15591" s="3" t="str">
        <f>HYPERLINK("https://otsuka-europe-crm.veevavault.com/ui/#object/sent_email__v/VBLZ025E82HSL1Q", "SE-000290418")</f>
        <v>SE-000290418</v>
      </c>
      <c r="D15591" s="1" t="s">
        <v>0</v>
      </c>
      <c r="E15591" s="2">
        <v>0</v>
      </c>
      <c r="F15591" s="2">
        <v>0</v>
      </c>
      <c r="G15591" s="2">
        <v>0</v>
      </c>
      <c r="H15591" s="1" t="s">
        <v>0</v>
      </c>
      <c r="I15591" s="2">
        <v>0</v>
      </c>
      <c r="J15591" s="1">
        <v>45953.558321759258</v>
      </c>
    </row>
    <row r="15592" spans="1:10" x14ac:dyDescent="0.2">
      <c r="A15592" s="4" t="s">
        <v>1</v>
      </c>
      <c r="B15592" s="3" t="str">
        <f>HYPERLINK("https://otsuka-europe-crm.veevavault.com/ui/#object/approved_document__v/V5OZ025E82USSZ5", "LUP - Invitación webinar NL y RCV - nefro")</f>
        <v>LUP - Invitación webinar NL y RCV - nefro</v>
      </c>
      <c r="C15592" s="3" t="str">
        <f>HYPERLINK("https://otsuka-europe-crm.veevavault.com/ui/#object/sent_email__v/VBLZ025E82HSL1R", "SE-000290419")</f>
        <v>SE-000290419</v>
      </c>
      <c r="D15592" s="1">
        <v>45969.699664351851</v>
      </c>
      <c r="E15592" s="2">
        <v>1</v>
      </c>
      <c r="F15592" s="2">
        <v>2</v>
      </c>
      <c r="G15592" s="2">
        <v>0</v>
      </c>
      <c r="H15592" s="1" t="s">
        <v>0</v>
      </c>
      <c r="I15592" s="2">
        <v>0</v>
      </c>
      <c r="J15592" s="1">
        <v>45953.558333333334</v>
      </c>
    </row>
    <row r="15593" spans="1:10" x14ac:dyDescent="0.2">
      <c r="A15593" s="4" t="s">
        <v>1</v>
      </c>
      <c r="B15593" s="3" t="str">
        <f>HYPERLINK("https://otsuka-europe-crm.veevavault.com/ui/#object/approved_document__v/V5OZ025E82USSZ5", "LUP - Invitación webinar NL y RCV - nefro")</f>
        <v>LUP - Invitación webinar NL y RCV - nefro</v>
      </c>
      <c r="C15593" s="3" t="str">
        <f>HYPERLINK("https://otsuka-europe-crm.veevavault.com/ui/#object/sent_email__v/VBLZ025E82HSL1S", "SE-000290420")</f>
        <v>SE-000290420</v>
      </c>
      <c r="D15593" s="1" t="s">
        <v>0</v>
      </c>
      <c r="E15593" s="2">
        <v>0</v>
      </c>
      <c r="F15593" s="2">
        <v>0</v>
      </c>
      <c r="G15593" s="2">
        <v>0</v>
      </c>
      <c r="H15593" s="1" t="s">
        <v>0</v>
      </c>
      <c r="I15593" s="2">
        <v>0</v>
      </c>
      <c r="J15593" s="1">
        <v>45953.558344907404</v>
      </c>
    </row>
    <row r="15594" spans="1:10" x14ac:dyDescent="0.2">
      <c r="A15594" s="4" t="s">
        <v>1</v>
      </c>
      <c r="B15594" s="3" t="str">
        <f>HYPERLINK("https://otsuka-europe-crm.veevavault.com/ui/#object/approved_document__v/V5OZ025E82USSZ5", "LUP - Invitación webinar NL y RCV - nefro")</f>
        <v>LUP - Invitación webinar NL y RCV - nefro</v>
      </c>
      <c r="C15594" s="3" t="str">
        <f>HYPERLINK("https://otsuka-europe-crm.veevavault.com/ui/#object/sent_email__v/VBLZ025E82HSL1T", "SE-000290421")</f>
        <v>SE-000290421</v>
      </c>
      <c r="D15594" s="1" t="s">
        <v>0</v>
      </c>
      <c r="E15594" s="2">
        <v>0</v>
      </c>
      <c r="F15594" s="2">
        <v>0</v>
      </c>
      <c r="G15594" s="2">
        <v>0</v>
      </c>
      <c r="H15594" s="1" t="s">
        <v>0</v>
      </c>
      <c r="I15594" s="2">
        <v>0</v>
      </c>
      <c r="J15594" s="1">
        <v>45953.558356481481</v>
      </c>
    </row>
    <row r="15595" spans="1:10" x14ac:dyDescent="0.2">
      <c r="A15595" s="4" t="s">
        <v>1</v>
      </c>
      <c r="B15595" s="3" t="str">
        <f>HYPERLINK("https://otsuka-europe-crm.veevavault.com/ui/#object/approved_document__v/V5OZ025E82USSZ5", "LUP - Invitación webinar NL y RCV - nefro")</f>
        <v>LUP - Invitación webinar NL y RCV - nefro</v>
      </c>
      <c r="C15595" s="3" t="str">
        <f>HYPERLINK("https://otsuka-europe-crm.veevavault.com/ui/#object/sent_email__v/VBLZ025E82HSL1U", "SE-000290422")</f>
        <v>SE-000290422</v>
      </c>
      <c r="D15595" s="1">
        <v>45953.72550925926</v>
      </c>
      <c r="E15595" s="2">
        <v>1</v>
      </c>
      <c r="F15595" s="2">
        <v>2</v>
      </c>
      <c r="G15595" s="2">
        <v>0</v>
      </c>
      <c r="H15595" s="1" t="s">
        <v>0</v>
      </c>
      <c r="I15595" s="2">
        <v>0</v>
      </c>
      <c r="J15595" s="1">
        <v>45953.558356481481</v>
      </c>
    </row>
    <row r="15596" spans="1:10" x14ac:dyDescent="0.2">
      <c r="A15596" s="4" t="s">
        <v>1</v>
      </c>
      <c r="B15596" s="3" t="str">
        <f>HYPERLINK("https://otsuka-europe-crm.veevavault.com/ui/#object/approved_document__v/V5OZ025E82USSZ5", "LUP - Invitación webinar NL y RCV - nefro")</f>
        <v>LUP - Invitación webinar NL y RCV - nefro</v>
      </c>
      <c r="C15596" s="3" t="str">
        <f>HYPERLINK("https://otsuka-europe-crm.veevavault.com/ui/#object/sent_email__v/VBLZ025E82HSL1V", "SE-000290423")</f>
        <v>SE-000290423</v>
      </c>
      <c r="D15596" s="1" t="s">
        <v>0</v>
      </c>
      <c r="E15596" s="2">
        <v>0</v>
      </c>
      <c r="F15596" s="2">
        <v>0</v>
      </c>
      <c r="G15596" s="2">
        <v>0</v>
      </c>
      <c r="H15596" s="1" t="s">
        <v>0</v>
      </c>
      <c r="I15596" s="2">
        <v>0</v>
      </c>
      <c r="J15596" s="1">
        <v>45953.558368055557</v>
      </c>
    </row>
    <row r="15597" spans="1:10" x14ac:dyDescent="0.2">
      <c r="A15597" s="4" t="s">
        <v>1</v>
      </c>
      <c r="B15597" s="3" t="str">
        <f>HYPERLINK("https://otsuka-europe-crm.veevavault.com/ui/#object/approved_document__v/V5OZ025E82USSZ5", "LUP - Invitación webinar NL y RCV - nefro")</f>
        <v>LUP - Invitación webinar NL y RCV - nefro</v>
      </c>
      <c r="C15597" s="3" t="str">
        <f>HYPERLINK("https://otsuka-europe-crm.veevavault.com/ui/#object/sent_email__v/VBLZ025E82HSL1W", "SE-000290424")</f>
        <v>SE-000290424</v>
      </c>
      <c r="D15597" s="1">
        <v>45953.559166666666</v>
      </c>
      <c r="E15597" s="2">
        <v>1</v>
      </c>
      <c r="F15597" s="2">
        <v>1</v>
      </c>
      <c r="G15597" s="2">
        <v>0</v>
      </c>
      <c r="H15597" s="1" t="s">
        <v>0</v>
      </c>
      <c r="I15597" s="2">
        <v>0</v>
      </c>
      <c r="J15597" s="1">
        <v>45953.558391203704</v>
      </c>
    </row>
    <row r="15598" spans="1:10" x14ac:dyDescent="0.2">
      <c r="A15598" s="4" t="s">
        <v>1</v>
      </c>
      <c r="B15598" s="3" t="str">
        <f>HYPERLINK("https://otsuka-europe-crm.veevavault.com/ui/#object/approved_document__v/V5OZ025E82USSZ5", "LUP - Invitación webinar NL y RCV - nefro")</f>
        <v>LUP - Invitación webinar NL y RCV - nefro</v>
      </c>
      <c r="C15598" s="3" t="str">
        <f>HYPERLINK("https://otsuka-europe-crm.veevavault.com/ui/#object/sent_email__v/VBLZ025E82HSL1X", "SE-000290425")</f>
        <v>SE-000290425</v>
      </c>
      <c r="D15598" s="1" t="s">
        <v>0</v>
      </c>
      <c r="E15598" s="2">
        <v>0</v>
      </c>
      <c r="F15598" s="2">
        <v>0</v>
      </c>
      <c r="G15598" s="2">
        <v>0</v>
      </c>
      <c r="H15598" s="1" t="s">
        <v>0</v>
      </c>
      <c r="I15598" s="2">
        <v>0</v>
      </c>
      <c r="J15598" s="1">
        <v>45953.55840277778</v>
      </c>
    </row>
    <row r="15599" spans="1:10" x14ac:dyDescent="0.2">
      <c r="A15599" s="4" t="s">
        <v>1</v>
      </c>
      <c r="B15599" s="3" t="str">
        <f>HYPERLINK("https://otsuka-europe-crm.veevavault.com/ui/#object/approved_document__v/V5OZ025E82USSZ5", "LUP - Invitación webinar NL y RCV - nefro")</f>
        <v>LUP - Invitación webinar NL y RCV - nefro</v>
      </c>
      <c r="C15599" s="3" t="str">
        <f>HYPERLINK("https://otsuka-europe-crm.veevavault.com/ui/#object/sent_email__v/VBLZ025E82HSL41", "SE-000290426")</f>
        <v>SE-000290426</v>
      </c>
      <c r="D15599" s="1">
        <v>45953.67895833333</v>
      </c>
      <c r="E15599" s="2">
        <v>1</v>
      </c>
      <c r="F15599" s="2">
        <v>1</v>
      </c>
      <c r="G15599" s="2">
        <v>0</v>
      </c>
      <c r="H15599" s="1" t="s">
        <v>0</v>
      </c>
      <c r="I15599" s="2">
        <v>0</v>
      </c>
      <c r="J15599" s="1">
        <v>45953.558518518519</v>
      </c>
    </row>
    <row r="15600" spans="1:10" x14ac:dyDescent="0.2">
      <c r="A15600" s="4" t="s">
        <v>1</v>
      </c>
      <c r="B15600" s="3" t="str">
        <f>HYPERLINK("https://otsuka-europe-crm.veevavault.com/ui/#object/approved_document__v/V5OZ025E82USSZ5", "LUP - Invitación webinar NL y RCV - nefro")</f>
        <v>LUP - Invitación webinar NL y RCV - nefro</v>
      </c>
      <c r="C15600" s="3" t="str">
        <f>HYPERLINK("https://otsuka-europe-crm.veevavault.com/ui/#object/sent_email__v/VBLZ025E82HSL42", "SE-000290427")</f>
        <v>SE-000290427</v>
      </c>
      <c r="D15600" s="1" t="s">
        <v>0</v>
      </c>
      <c r="E15600" s="2">
        <v>0</v>
      </c>
      <c r="F15600" s="2">
        <v>0</v>
      </c>
      <c r="G15600" s="2">
        <v>0</v>
      </c>
      <c r="H15600" s="1" t="s">
        <v>0</v>
      </c>
      <c r="I15600" s="2">
        <v>0</v>
      </c>
      <c r="J15600" s="1">
        <v>45953.558530092596</v>
      </c>
    </row>
    <row r="15601" spans="1:10" x14ac:dyDescent="0.2">
      <c r="A15601" s="4" t="s">
        <v>1</v>
      </c>
      <c r="B15601" s="3" t="str">
        <f>HYPERLINK("https://otsuka-europe-crm.veevavault.com/ui/#object/approved_document__v/V5OZ025E82USSZ5", "LUP - Invitación webinar NL y RCV - nefro")</f>
        <v>LUP - Invitación webinar NL y RCV - nefro</v>
      </c>
      <c r="C15601" s="3" t="str">
        <f>HYPERLINK("https://otsuka-europe-crm.veevavault.com/ui/#object/sent_email__v/VBLZ025E82HSL43", "SE-000290428")</f>
        <v>SE-000290428</v>
      </c>
      <c r="D15601" s="1">
        <v>45971.790219907409</v>
      </c>
      <c r="E15601" s="2">
        <v>1</v>
      </c>
      <c r="F15601" s="2">
        <v>1</v>
      </c>
      <c r="G15601" s="2">
        <v>0</v>
      </c>
      <c r="H15601" s="1" t="s">
        <v>0</v>
      </c>
      <c r="I15601" s="2">
        <v>0</v>
      </c>
      <c r="J15601" s="1">
        <v>45953.558530092596</v>
      </c>
    </row>
    <row r="15602" spans="1:10" x14ac:dyDescent="0.2">
      <c r="A15602" s="4" t="s">
        <v>1</v>
      </c>
      <c r="B15602" s="3" t="str">
        <f>HYPERLINK("https://otsuka-europe-crm.veevavault.com/ui/#object/approved_document__v/V5OZ025E82USSZ5", "LUP - Invitación webinar NL y RCV - nefro")</f>
        <v>LUP - Invitación webinar NL y RCV - nefro</v>
      </c>
      <c r="C15602" s="3" t="str">
        <f>HYPERLINK("https://otsuka-europe-crm.veevavault.com/ui/#object/sent_email__v/VBLZ025E82HSL44", "SE-000290429")</f>
        <v>SE-000290429</v>
      </c>
      <c r="D15602" s="1" t="s">
        <v>0</v>
      </c>
      <c r="E15602" s="2">
        <v>0</v>
      </c>
      <c r="F15602" s="2">
        <v>0</v>
      </c>
      <c r="G15602" s="2">
        <v>0</v>
      </c>
      <c r="H15602" s="1" t="s">
        <v>0</v>
      </c>
      <c r="I15602" s="2">
        <v>0</v>
      </c>
      <c r="J15602" s="1">
        <v>45953.558541666665</v>
      </c>
    </row>
    <row r="15603" spans="1:10" x14ac:dyDescent="0.2">
      <c r="A15603" s="4" t="s">
        <v>1</v>
      </c>
      <c r="B15603" s="3" t="str">
        <f>HYPERLINK("https://otsuka-europe-crm.veevavault.com/ui/#object/approved_document__v/V5OZ025E82USSZ5", "LUP - Invitación webinar NL y RCV - nefro")</f>
        <v>LUP - Invitación webinar NL y RCV - nefro</v>
      </c>
      <c r="C15603" s="3" t="str">
        <f>HYPERLINK("https://otsuka-europe-crm.veevavault.com/ui/#object/sent_email__v/VBLZ025E82HSL45", "SE-000290430")</f>
        <v>SE-000290430</v>
      </c>
      <c r="D15603" s="1" t="s">
        <v>0</v>
      </c>
      <c r="E15603" s="2">
        <v>0</v>
      </c>
      <c r="F15603" s="2">
        <v>0</v>
      </c>
      <c r="G15603" s="2">
        <v>0</v>
      </c>
      <c r="H15603" s="1" t="s">
        <v>0</v>
      </c>
      <c r="I15603" s="2">
        <v>0</v>
      </c>
      <c r="J15603" s="1">
        <v>45953.558553240742</v>
      </c>
    </row>
    <row r="15604" spans="1:10" x14ac:dyDescent="0.2">
      <c r="A15604" s="4" t="s">
        <v>1</v>
      </c>
      <c r="B15604" s="3" t="str">
        <f>HYPERLINK("https://otsuka-europe-crm.veevavault.com/ui/#object/approved_document__v/V5OZ025E82USSZ5", "LUP - Invitación webinar NL y RCV - nefro")</f>
        <v>LUP - Invitación webinar NL y RCV - nefro</v>
      </c>
      <c r="C15604" s="3" t="str">
        <f>HYPERLINK("https://otsuka-europe-crm.veevavault.com/ui/#object/sent_email__v/VBLZ025E82HSL46", "SE-000290431")</f>
        <v>SE-000290431</v>
      </c>
      <c r="D15604" s="1">
        <v>45953.926793981482</v>
      </c>
      <c r="E15604" s="2">
        <v>1</v>
      </c>
      <c r="F15604" s="2">
        <v>2</v>
      </c>
      <c r="G15604" s="2">
        <v>0</v>
      </c>
      <c r="H15604" s="1" t="s">
        <v>0</v>
      </c>
      <c r="I15604" s="2">
        <v>0</v>
      </c>
      <c r="J15604" s="1">
        <v>45953.558564814812</v>
      </c>
    </row>
    <row r="15605" spans="1:10" x14ac:dyDescent="0.2">
      <c r="A15605" s="4" t="s">
        <v>1</v>
      </c>
      <c r="B15605" s="3" t="str">
        <f>HYPERLINK("https://otsuka-europe-crm.veevavault.com/ui/#object/approved_document__v/V5OZ025E82USSZ5", "LUP - Invitación webinar NL y RCV - nefro")</f>
        <v>LUP - Invitación webinar NL y RCV - nefro</v>
      </c>
      <c r="C15605" s="3" t="str">
        <f>HYPERLINK("https://otsuka-europe-crm.veevavault.com/ui/#object/sent_email__v/VBLZ025E82HSL47", "SE-000290432")</f>
        <v>SE-000290432</v>
      </c>
      <c r="D15605" s="1">
        <v>45953.586631944447</v>
      </c>
      <c r="E15605" s="2">
        <v>1</v>
      </c>
      <c r="F15605" s="2">
        <v>2</v>
      </c>
      <c r="G15605" s="2">
        <v>0</v>
      </c>
      <c r="H15605" s="1" t="s">
        <v>0</v>
      </c>
      <c r="I15605" s="2">
        <v>0</v>
      </c>
      <c r="J15605" s="1">
        <v>45953.558564814812</v>
      </c>
    </row>
    <row r="15606" spans="1:10" x14ac:dyDescent="0.2">
      <c r="A15606" s="4" t="s">
        <v>1</v>
      </c>
      <c r="B15606" s="3" t="str">
        <f>HYPERLINK("https://otsuka-europe-crm.veevavault.com/ui/#object/approved_document__v/V5OZ025E82USSZ5", "LUP - Invitación webinar NL y RCV - nefro")</f>
        <v>LUP - Invitación webinar NL y RCV - nefro</v>
      </c>
      <c r="C15606" s="3" t="str">
        <f>HYPERLINK("https://otsuka-europe-crm.veevavault.com/ui/#object/sent_email__v/VBLZ025E82HSL48", "SE-000290433")</f>
        <v>SE-000290433</v>
      </c>
      <c r="D15606" s="1">
        <v>45965.865451388891</v>
      </c>
      <c r="E15606" s="2">
        <v>1</v>
      </c>
      <c r="F15606" s="2">
        <v>2</v>
      </c>
      <c r="G15606" s="2">
        <v>0</v>
      </c>
      <c r="H15606" s="1" t="s">
        <v>0</v>
      </c>
      <c r="I15606" s="2">
        <v>0</v>
      </c>
      <c r="J15606" s="1">
        <v>45953.558587962965</v>
      </c>
    </row>
    <row r="15607" spans="1:10" x14ac:dyDescent="0.2">
      <c r="A15607" s="4" t="s">
        <v>1</v>
      </c>
      <c r="B15607" s="3" t="str">
        <f>HYPERLINK("https://otsuka-europe-crm.veevavault.com/ui/#object/approved_document__v/V5OZ025E82USSZ5", "LUP - Invitación webinar NL y RCV - nefro")</f>
        <v>LUP - Invitación webinar NL y RCV - nefro</v>
      </c>
      <c r="C15607" s="3" t="str">
        <f>HYPERLINK("https://otsuka-europe-crm.veevavault.com/ui/#object/sent_email__v/VBLZ025E82HSL49", "SE-000290434")</f>
        <v>SE-000290434</v>
      </c>
      <c r="D15607" s="1" t="s">
        <v>0</v>
      </c>
      <c r="E15607" s="2">
        <v>0</v>
      </c>
      <c r="F15607" s="2">
        <v>0</v>
      </c>
      <c r="G15607" s="2">
        <v>0</v>
      </c>
      <c r="H15607" s="1" t="s">
        <v>0</v>
      </c>
      <c r="I15607" s="2">
        <v>0</v>
      </c>
      <c r="J15607" s="1">
        <v>45953.558587962965</v>
      </c>
    </row>
    <row r="15608" spans="1:10" x14ac:dyDescent="0.2">
      <c r="A15608" s="4" t="s">
        <v>1</v>
      </c>
      <c r="B15608" s="3" t="str">
        <f>HYPERLINK("https://otsuka-europe-crm.veevavault.com/ui/#object/approved_document__v/V5OZ025E82USSZ5", "LUP - Invitación webinar NL y RCV - nefro")</f>
        <v>LUP - Invitación webinar NL y RCV - nefro</v>
      </c>
      <c r="C15608" s="3" t="str">
        <f>HYPERLINK("https://otsuka-europe-crm.veevavault.com/ui/#object/sent_email__v/VBLZ025E82HSL4A", "SE-000290435")</f>
        <v>SE-000290435</v>
      </c>
      <c r="D15608" s="1" t="s">
        <v>0</v>
      </c>
      <c r="E15608" s="2">
        <v>0</v>
      </c>
      <c r="F15608" s="2">
        <v>0</v>
      </c>
      <c r="G15608" s="2">
        <v>0</v>
      </c>
      <c r="H15608" s="1" t="s">
        <v>0</v>
      </c>
      <c r="I15608" s="2">
        <v>0</v>
      </c>
      <c r="J15608" s="1">
        <v>45953.558599537035</v>
      </c>
    </row>
    <row r="15609" spans="1:10" x14ac:dyDescent="0.2">
      <c r="A15609" s="4" t="s">
        <v>1</v>
      </c>
      <c r="B15609" s="3" t="str">
        <f>HYPERLINK("https://otsuka-europe-crm.veevavault.com/ui/#object/approved_document__v/V5OZ025E82USSZ5", "LUP - Invitación webinar NL y RCV - nefro")</f>
        <v>LUP - Invitación webinar NL y RCV - nefro</v>
      </c>
      <c r="C15609" s="3" t="str">
        <f>HYPERLINK("https://otsuka-europe-crm.veevavault.com/ui/#object/sent_email__v/VBLZ025E82HSL4B", "SE-000290436")</f>
        <v>SE-000290436</v>
      </c>
      <c r="D15609" s="1">
        <v>45953.60565972222</v>
      </c>
      <c r="E15609" s="2">
        <v>1</v>
      </c>
      <c r="F15609" s="2">
        <v>1</v>
      </c>
      <c r="G15609" s="2">
        <v>0</v>
      </c>
      <c r="H15609" s="1" t="s">
        <v>0</v>
      </c>
      <c r="I15609" s="2">
        <v>0</v>
      </c>
      <c r="J15609" s="1">
        <v>45953.558611111112</v>
      </c>
    </row>
    <row r="15610" spans="1:10" x14ac:dyDescent="0.2">
      <c r="A15610" s="4" t="s">
        <v>1</v>
      </c>
      <c r="B15610" s="3" t="str">
        <f>HYPERLINK("https://otsuka-europe-crm.veevavault.com/ui/#object/approved_document__v/V5OZ025E82USSZ5", "LUP - Invitación webinar NL y RCV - nefro")</f>
        <v>LUP - Invitación webinar NL y RCV - nefro</v>
      </c>
      <c r="C15610" s="3" t="str">
        <f>HYPERLINK("https://otsuka-europe-crm.veevavault.com/ui/#object/sent_email__v/VBLZ025E82HSL4C", "SE-000290437")</f>
        <v>SE-000290437</v>
      </c>
      <c r="D15610" s="1">
        <v>45953.636064814818</v>
      </c>
      <c r="E15610" s="2">
        <v>1</v>
      </c>
      <c r="F15610" s="2">
        <v>4</v>
      </c>
      <c r="G15610" s="2">
        <v>0</v>
      </c>
      <c r="H15610" s="1" t="s">
        <v>0</v>
      </c>
      <c r="I15610" s="2">
        <v>0</v>
      </c>
      <c r="J15610" s="1">
        <v>45953.558622685188</v>
      </c>
    </row>
    <row r="15611" spans="1:10" x14ac:dyDescent="0.2">
      <c r="A15611" s="4" t="s">
        <v>1</v>
      </c>
      <c r="B15611" s="3" t="str">
        <f>HYPERLINK("https://otsuka-europe-crm.veevavault.com/ui/#object/approved_document__v/V5OZ025E82USSZ5", "LUP - Invitación webinar NL y RCV - nefro")</f>
        <v>LUP - Invitación webinar NL y RCV - nefro</v>
      </c>
      <c r="C15611" s="3" t="str">
        <f>HYPERLINK("https://otsuka-europe-crm.veevavault.com/ui/#object/sent_email__v/VBLZ025E82HSL4D", "SE-000290438")</f>
        <v>SE-000290438</v>
      </c>
      <c r="D15611" s="1" t="s">
        <v>0</v>
      </c>
      <c r="E15611" s="2">
        <v>0</v>
      </c>
      <c r="F15611" s="2">
        <v>0</v>
      </c>
      <c r="G15611" s="2">
        <v>0</v>
      </c>
      <c r="H15611" s="1" t="s">
        <v>0</v>
      </c>
      <c r="I15611" s="2">
        <v>0</v>
      </c>
      <c r="J15611" s="1">
        <v>45953.558622685188</v>
      </c>
    </row>
    <row r="15612" spans="1:10" x14ac:dyDescent="0.2">
      <c r="A15612" s="4" t="s">
        <v>1</v>
      </c>
      <c r="B15612" s="3" t="str">
        <f>HYPERLINK("https://otsuka-europe-crm.veevavault.com/ui/#object/approved_document__v/V5OZ025E82USSZ5", "LUP - Invitación webinar NL y RCV - nefro")</f>
        <v>LUP - Invitación webinar NL y RCV - nefro</v>
      </c>
      <c r="C15612" s="3" t="str">
        <f>HYPERLINK("https://otsuka-europe-crm.veevavault.com/ui/#object/sent_email__v/VBLZ025E82HSL4E", "SE-000290439")</f>
        <v>SE-000290439</v>
      </c>
      <c r="D15612" s="1">
        <v>45953.578287037039</v>
      </c>
      <c r="E15612" s="2">
        <v>1</v>
      </c>
      <c r="F15612" s="2">
        <v>1</v>
      </c>
      <c r="G15612" s="2">
        <v>0</v>
      </c>
      <c r="H15612" s="1" t="s">
        <v>0</v>
      </c>
      <c r="I15612" s="2">
        <v>0</v>
      </c>
      <c r="J15612" s="1">
        <v>45953.558645833335</v>
      </c>
    </row>
    <row r="15613" spans="1:10" x14ac:dyDescent="0.2">
      <c r="A15613" s="4" t="s">
        <v>1</v>
      </c>
      <c r="B15613" s="3" t="str">
        <f>HYPERLINK("https://otsuka-europe-crm.veevavault.com/ui/#object/approved_document__v/V5OZ025E82USSZ5", "LUP - Invitación webinar NL y RCV - nefro")</f>
        <v>LUP - Invitación webinar NL y RCV - nefro</v>
      </c>
      <c r="C15613" s="3" t="str">
        <f>HYPERLINK("https://otsuka-europe-crm.veevavault.com/ui/#object/sent_email__v/VBLZ025E82HSL4F", "SE-000290440")</f>
        <v>SE-000290440</v>
      </c>
      <c r="D15613" s="1" t="s">
        <v>0</v>
      </c>
      <c r="E15613" s="2">
        <v>0</v>
      </c>
      <c r="F15613" s="2">
        <v>0</v>
      </c>
      <c r="G15613" s="2">
        <v>0</v>
      </c>
      <c r="H15613" s="1" t="s">
        <v>0</v>
      </c>
      <c r="I15613" s="2">
        <v>0</v>
      </c>
      <c r="J15613" s="1">
        <v>45953.558645833335</v>
      </c>
    </row>
    <row r="15614" spans="1:10" x14ac:dyDescent="0.2">
      <c r="A15614" s="4" t="s">
        <v>1</v>
      </c>
      <c r="B15614" s="3" t="str">
        <f>HYPERLINK("https://otsuka-europe-crm.veevavault.com/ui/#object/approved_document__v/V5OZ025E82USSZ5", "LUP - Invitación webinar NL y RCV - nefro")</f>
        <v>LUP - Invitación webinar NL y RCV - nefro</v>
      </c>
      <c r="C15614" s="3" t="str">
        <f>HYPERLINK("https://otsuka-europe-crm.veevavault.com/ui/#object/sent_email__v/VBLZ025E82HSL4G", "SE-000290441")</f>
        <v>SE-000290441</v>
      </c>
      <c r="D15614" s="1" t="s">
        <v>0</v>
      </c>
      <c r="E15614" s="2">
        <v>0</v>
      </c>
      <c r="F15614" s="2">
        <v>0</v>
      </c>
      <c r="G15614" s="2">
        <v>0</v>
      </c>
      <c r="H15614" s="1" t="s">
        <v>0</v>
      </c>
      <c r="I15614" s="2">
        <v>0</v>
      </c>
      <c r="J15614" s="1">
        <v>45953.558657407404</v>
      </c>
    </row>
    <row r="15615" spans="1:10" x14ac:dyDescent="0.2">
      <c r="A15615" s="4" t="s">
        <v>1</v>
      </c>
      <c r="B15615" s="3" t="str">
        <f>HYPERLINK("https://otsuka-europe-crm.veevavault.com/ui/#object/approved_document__v/V5OZ025E82USSZ5", "LUP - Invitación webinar NL y RCV - nefro")</f>
        <v>LUP - Invitación webinar NL y RCV - nefro</v>
      </c>
      <c r="C15615" s="3" t="str">
        <f>HYPERLINK("https://otsuka-europe-crm.veevavault.com/ui/#object/sent_email__v/VBLZ025E82HSL4H", "SE-000290442")</f>
        <v>SE-000290442</v>
      </c>
      <c r="D15615" s="1">
        <v>45953.586770833332</v>
      </c>
      <c r="E15615" s="2">
        <v>1</v>
      </c>
      <c r="F15615" s="2">
        <v>1</v>
      </c>
      <c r="G15615" s="2">
        <v>1</v>
      </c>
      <c r="H15615" s="1">
        <v>45953.587187500001</v>
      </c>
      <c r="I15615" s="2">
        <v>1</v>
      </c>
      <c r="J15615" s="1">
        <v>45953.558668981481</v>
      </c>
    </row>
    <row r="15616" spans="1:10" x14ac:dyDescent="0.2">
      <c r="A15616" s="4" t="s">
        <v>1</v>
      </c>
      <c r="B15616" s="3" t="str">
        <f>HYPERLINK("https://otsuka-europe-crm.veevavault.com/ui/#object/approved_document__v/V5OZ025E82USSZ5", "LUP - Invitación webinar NL y RCV - nefro")</f>
        <v>LUP - Invitación webinar NL y RCV - nefro</v>
      </c>
      <c r="C15616" s="3" t="str">
        <f>HYPERLINK("https://otsuka-europe-crm.veevavault.com/ui/#object/sent_email__v/VBLZ025E82HSL4I", "SE-000290443")</f>
        <v>SE-000290443</v>
      </c>
      <c r="D15616" s="1">
        <v>45960.428530092591</v>
      </c>
      <c r="E15616" s="2">
        <v>1</v>
      </c>
      <c r="F15616" s="2">
        <v>1</v>
      </c>
      <c r="G15616" s="2">
        <v>0</v>
      </c>
      <c r="H15616" s="1" t="s">
        <v>0</v>
      </c>
      <c r="I15616" s="2">
        <v>0</v>
      </c>
      <c r="J15616" s="1">
        <v>45953.558680555558</v>
      </c>
    </row>
    <row r="15617" spans="1:10" x14ac:dyDescent="0.2">
      <c r="A15617" s="4" t="s">
        <v>1</v>
      </c>
      <c r="B15617" s="3" t="str">
        <f>HYPERLINK("https://otsuka-europe-crm.veevavault.com/ui/#object/approved_document__v/V5OZ025E82USSZ5", "LUP - Invitación webinar NL y RCV - nefro")</f>
        <v>LUP - Invitación webinar NL y RCV - nefro</v>
      </c>
      <c r="C15617" s="3" t="str">
        <f>HYPERLINK("https://otsuka-europe-crm.veevavault.com/ui/#object/sent_email__v/VBLZ025E82HSL4J", "SE-000290444")</f>
        <v>SE-000290444</v>
      </c>
      <c r="D15617" s="1" t="s">
        <v>0</v>
      </c>
      <c r="E15617" s="2">
        <v>0</v>
      </c>
      <c r="F15617" s="2">
        <v>0</v>
      </c>
      <c r="G15617" s="2">
        <v>0</v>
      </c>
      <c r="H15617" s="1" t="s">
        <v>0</v>
      </c>
      <c r="I15617" s="2">
        <v>0</v>
      </c>
      <c r="J15617" s="1">
        <v>45953.558692129627</v>
      </c>
    </row>
    <row r="15618" spans="1:10" x14ac:dyDescent="0.2">
      <c r="A15618" s="4" t="s">
        <v>1</v>
      </c>
      <c r="B15618" s="3" t="str">
        <f>HYPERLINK("https://otsuka-europe-crm.veevavault.com/ui/#object/approved_document__v/V5OZ025E82USSZ5", "LUP - Invitación webinar NL y RCV - nefro")</f>
        <v>LUP - Invitación webinar NL y RCV - nefro</v>
      </c>
      <c r="C15618" s="3" t="str">
        <f>HYPERLINK("https://otsuka-europe-crm.veevavault.com/ui/#object/sent_email__v/VBLZ025E82HSL4K", "SE-000290445")</f>
        <v>SE-000290445</v>
      </c>
      <c r="D15618" s="1">
        <v>45953.562662037039</v>
      </c>
      <c r="E15618" s="2">
        <v>1</v>
      </c>
      <c r="F15618" s="2">
        <v>1</v>
      </c>
      <c r="G15618" s="2">
        <v>0</v>
      </c>
      <c r="H15618" s="1" t="s">
        <v>0</v>
      </c>
      <c r="I15618" s="2">
        <v>0</v>
      </c>
      <c r="J15618" s="1">
        <v>45953.558703703704</v>
      </c>
    </row>
    <row r="15619" spans="1:10" x14ac:dyDescent="0.2">
      <c r="A15619" s="4" t="s">
        <v>1</v>
      </c>
      <c r="B15619" s="3" t="str">
        <f>HYPERLINK("https://otsuka-europe-crm.veevavault.com/ui/#object/approved_document__v/V5OZ025E82USSZ5", "LUP - Invitación webinar NL y RCV - nefro")</f>
        <v>LUP - Invitación webinar NL y RCV - nefro</v>
      </c>
      <c r="C15619" s="3" t="str">
        <f>HYPERLINK("https://otsuka-europe-crm.veevavault.com/ui/#object/sent_email__v/VBLZ025E82HSL4L", "SE-000290446")</f>
        <v>SE-000290446</v>
      </c>
      <c r="D15619" s="1" t="s">
        <v>0</v>
      </c>
      <c r="E15619" s="2">
        <v>0</v>
      </c>
      <c r="F15619" s="2">
        <v>0</v>
      </c>
      <c r="G15619" s="2">
        <v>0</v>
      </c>
      <c r="H15619" s="1" t="s">
        <v>0</v>
      </c>
      <c r="I15619" s="2">
        <v>0</v>
      </c>
      <c r="J15619" s="1">
        <v>45953.558715277781</v>
      </c>
    </row>
    <row r="15620" spans="1:10" x14ac:dyDescent="0.2">
      <c r="A15620" s="4" t="s">
        <v>1</v>
      </c>
      <c r="B15620" s="3" t="str">
        <f>HYPERLINK("https://otsuka-europe-crm.veevavault.com/ui/#object/approved_document__v/V5OZ025E82USSZ5", "LUP - Invitación webinar NL y RCV - nefro")</f>
        <v>LUP - Invitación webinar NL y RCV - nefro</v>
      </c>
      <c r="C15620" s="3" t="str">
        <f>HYPERLINK("https://otsuka-europe-crm.veevavault.com/ui/#object/sent_email__v/VBLZ025E82HSL4M", "SE-000290447")</f>
        <v>SE-000290447</v>
      </c>
      <c r="D15620" s="1" t="s">
        <v>0</v>
      </c>
      <c r="E15620" s="2">
        <v>0</v>
      </c>
      <c r="F15620" s="2">
        <v>0</v>
      </c>
      <c r="G15620" s="2">
        <v>0</v>
      </c>
      <c r="H15620" s="1" t="s">
        <v>0</v>
      </c>
      <c r="I15620" s="2">
        <v>0</v>
      </c>
      <c r="J15620" s="1">
        <v>45953.558715277781</v>
      </c>
    </row>
    <row r="15621" spans="1:10" x14ac:dyDescent="0.2">
      <c r="A15621" s="4" t="s">
        <v>1</v>
      </c>
      <c r="B15621" s="3" t="str">
        <f>HYPERLINK("https://otsuka-europe-crm.veevavault.com/ui/#object/approved_document__v/V5OZ025E82USSZ5", "LUP - Invitación webinar NL y RCV - nefro")</f>
        <v>LUP - Invitación webinar NL y RCV - nefro</v>
      </c>
      <c r="C15621" s="3" t="str">
        <f>HYPERLINK("https://otsuka-europe-crm.veevavault.com/ui/#object/sent_email__v/VBLZ025E82HSL4N", "SE-000290448")</f>
        <v>SE-000290448</v>
      </c>
      <c r="D15621" s="1">
        <v>45953.783043981479</v>
      </c>
      <c r="E15621" s="2">
        <v>1</v>
      </c>
      <c r="F15621" s="2">
        <v>2</v>
      </c>
      <c r="G15621" s="2">
        <v>0</v>
      </c>
      <c r="H15621" s="1" t="s">
        <v>0</v>
      </c>
      <c r="I15621" s="2">
        <v>0</v>
      </c>
      <c r="J15621" s="1">
        <v>45953.55872685185</v>
      </c>
    </row>
    <row r="15622" spans="1:10" x14ac:dyDescent="0.2">
      <c r="A15622" s="4" t="s">
        <v>1</v>
      </c>
      <c r="B15622" s="3" t="str">
        <f>HYPERLINK("https://otsuka-europe-crm.veevavault.com/ui/#object/approved_document__v/V5OZ025E82USSZ5", "LUP - Invitación webinar NL y RCV - nefro")</f>
        <v>LUP - Invitación webinar NL y RCV - nefro</v>
      </c>
      <c r="C15622" s="3" t="str">
        <f>HYPERLINK("https://otsuka-europe-crm.veevavault.com/ui/#object/sent_email__v/VBLZ025E82HSL4O", "SE-000290449")</f>
        <v>SE-000290449</v>
      </c>
      <c r="D15622" s="1" t="s">
        <v>0</v>
      </c>
      <c r="E15622" s="2">
        <v>0</v>
      </c>
      <c r="F15622" s="2">
        <v>0</v>
      </c>
      <c r="G15622" s="2">
        <v>0</v>
      </c>
      <c r="H15622" s="1" t="s">
        <v>0</v>
      </c>
      <c r="I15622" s="2">
        <v>0</v>
      </c>
      <c r="J15622" s="1">
        <v>45953.558738425927</v>
      </c>
    </row>
    <row r="15623" spans="1:10" x14ac:dyDescent="0.2">
      <c r="A15623" s="4" t="s">
        <v>1</v>
      </c>
      <c r="B15623" s="3" t="str">
        <f>HYPERLINK("https://otsuka-europe-crm.veevavault.com/ui/#object/approved_document__v/V5OZ025E82USSZ5", "LUP - Invitación webinar NL y RCV - nefro")</f>
        <v>LUP - Invitación webinar NL y RCV - nefro</v>
      </c>
      <c r="C15623" s="3" t="str">
        <f>HYPERLINK("https://otsuka-europe-crm.veevavault.com/ui/#object/sent_email__v/VBLZ025E82HSL4P", "SE-000290450")</f>
        <v>SE-000290450</v>
      </c>
      <c r="D15623" s="1" t="s">
        <v>0</v>
      </c>
      <c r="E15623" s="2">
        <v>0</v>
      </c>
      <c r="F15623" s="2">
        <v>0</v>
      </c>
      <c r="G15623" s="2">
        <v>0</v>
      </c>
      <c r="H15623" s="1" t="s">
        <v>0</v>
      </c>
      <c r="I15623" s="2">
        <v>0</v>
      </c>
      <c r="J15623" s="1">
        <v>45953.558749999997</v>
      </c>
    </row>
    <row r="15624" spans="1:10" x14ac:dyDescent="0.2">
      <c r="A15624" s="4" t="s">
        <v>1</v>
      </c>
      <c r="B15624" s="3" t="str">
        <f>HYPERLINK("https://otsuka-europe-crm.veevavault.com/ui/#object/approved_document__v/V5OZ025E82USSZ5", "LUP - Invitación webinar NL y RCV - nefro")</f>
        <v>LUP - Invitación webinar NL y RCV - nefro</v>
      </c>
      <c r="C15624" s="3" t="str">
        <f>HYPERLINK("https://otsuka-europe-crm.veevavault.com/ui/#object/sent_email__v/VBLZ025E82HSL4Q", "SE-000290451")</f>
        <v>SE-000290451</v>
      </c>
      <c r="D15624" s="1">
        <v>45953.574525462966</v>
      </c>
      <c r="E15624" s="2">
        <v>1</v>
      </c>
      <c r="F15624" s="2">
        <v>2</v>
      </c>
      <c r="G15624" s="2">
        <v>0</v>
      </c>
      <c r="H15624" s="1" t="s">
        <v>0</v>
      </c>
      <c r="I15624" s="2">
        <v>0</v>
      </c>
      <c r="J15624" s="1">
        <v>45953.558761574073</v>
      </c>
    </row>
    <row r="15625" spans="1:10" x14ac:dyDescent="0.2">
      <c r="A15625" s="4" t="s">
        <v>1</v>
      </c>
      <c r="B15625" s="3" t="str">
        <f>HYPERLINK("https://otsuka-europe-crm.veevavault.com/ui/#object/approved_document__v/V5OZ025E82USSZ5", "LUP - Invitación webinar NL y RCV - nefro")</f>
        <v>LUP - Invitación webinar NL y RCV - nefro</v>
      </c>
      <c r="C15625" s="3" t="str">
        <f>HYPERLINK("https://otsuka-europe-crm.veevavault.com/ui/#object/sent_email__v/VBLZ025E82HSL4R", "SE-000290452")</f>
        <v>SE-000290452</v>
      </c>
      <c r="D15625" s="1" t="s">
        <v>0</v>
      </c>
      <c r="E15625" s="2">
        <v>0</v>
      </c>
      <c r="F15625" s="2">
        <v>0</v>
      </c>
      <c r="G15625" s="2">
        <v>0</v>
      </c>
      <c r="H15625" s="1" t="s">
        <v>0</v>
      </c>
      <c r="I15625" s="2">
        <v>0</v>
      </c>
      <c r="J15625" s="1">
        <v>45953.558761574073</v>
      </c>
    </row>
    <row r="15626" spans="1:10" x14ac:dyDescent="0.2">
      <c r="A15626" s="4" t="s">
        <v>1</v>
      </c>
      <c r="B15626" s="3" t="str">
        <f>HYPERLINK("https://otsuka-europe-crm.veevavault.com/ui/#object/approved_document__v/V5OZ025E82USSZ5", "LUP - Invitación webinar NL y RCV - nefro")</f>
        <v>LUP - Invitación webinar NL y RCV - nefro</v>
      </c>
      <c r="C15626" s="3" t="str">
        <f>HYPERLINK("https://otsuka-europe-crm.veevavault.com/ui/#object/sent_email__v/VBLZ025E82HSL4S", "SE-000290453")</f>
        <v>SE-000290453</v>
      </c>
      <c r="D15626" s="1" t="s">
        <v>0</v>
      </c>
      <c r="E15626" s="2">
        <v>0</v>
      </c>
      <c r="F15626" s="2">
        <v>0</v>
      </c>
      <c r="G15626" s="2">
        <v>0</v>
      </c>
      <c r="H15626" s="1" t="s">
        <v>0</v>
      </c>
      <c r="I15626" s="2">
        <v>0</v>
      </c>
      <c r="J15626" s="1">
        <v>45953.55877314815</v>
      </c>
    </row>
    <row r="15627" spans="1:10" x14ac:dyDescent="0.2">
      <c r="A15627" s="4" t="s">
        <v>1</v>
      </c>
      <c r="B15627" s="3" t="str">
        <f>HYPERLINK("https://otsuka-europe-crm.veevavault.com/ui/#object/approved_document__v/V5OZ025E82USSZ5", "LUP - Invitación webinar NL y RCV - nefro")</f>
        <v>LUP - Invitación webinar NL y RCV - nefro</v>
      </c>
      <c r="C15627" s="3" t="str">
        <f>HYPERLINK("https://otsuka-europe-crm.veevavault.com/ui/#object/sent_email__v/VBLZ025E82HSL4T", "SE-000290454")</f>
        <v>SE-000290454</v>
      </c>
      <c r="D15627" s="1" t="s">
        <v>0</v>
      </c>
      <c r="E15627" s="2">
        <v>0</v>
      </c>
      <c r="F15627" s="2">
        <v>0</v>
      </c>
      <c r="G15627" s="2">
        <v>0</v>
      </c>
      <c r="H15627" s="1" t="s">
        <v>0</v>
      </c>
      <c r="I15627" s="2">
        <v>0</v>
      </c>
      <c r="J15627" s="1">
        <v>45953.55878472222</v>
      </c>
    </row>
    <row r="15628" spans="1:10" x14ac:dyDescent="0.2">
      <c r="A15628" s="4" t="s">
        <v>1</v>
      </c>
      <c r="B15628" s="3" t="str">
        <f>HYPERLINK("https://otsuka-europe-crm.veevavault.com/ui/#object/approved_document__v/V5OZ025E82USSZ5", "LUP - Invitación webinar NL y RCV - nefro")</f>
        <v>LUP - Invitación webinar NL y RCV - nefro</v>
      </c>
      <c r="C15628" s="3" t="str">
        <f>HYPERLINK("https://otsuka-europe-crm.veevavault.com/ui/#object/sent_email__v/VBLZ025E82HSL4U", "SE-000290455")</f>
        <v>SE-000290455</v>
      </c>
      <c r="D15628" s="1" t="s">
        <v>0</v>
      </c>
      <c r="E15628" s="2">
        <v>0</v>
      </c>
      <c r="F15628" s="2">
        <v>0</v>
      </c>
      <c r="G15628" s="2">
        <v>0</v>
      </c>
      <c r="H15628" s="1" t="s">
        <v>0</v>
      </c>
      <c r="I15628" s="2">
        <v>0</v>
      </c>
      <c r="J15628" s="1">
        <v>45953.558796296296</v>
      </c>
    </row>
    <row r="15629" spans="1:10" x14ac:dyDescent="0.2">
      <c r="A15629" s="4" t="s">
        <v>1</v>
      </c>
      <c r="B15629" s="3" t="str">
        <f>HYPERLINK("https://otsuka-europe-crm.veevavault.com/ui/#object/approved_document__v/V5OZ025E82USSZ5", "LUP - Invitación webinar NL y RCV - nefro")</f>
        <v>LUP - Invitación webinar NL y RCV - nefro</v>
      </c>
      <c r="C15629" s="3" t="str">
        <f>HYPERLINK("https://otsuka-europe-crm.veevavault.com/ui/#object/sent_email__v/VBLZ025E82HSL4V", "SE-000290456")</f>
        <v>SE-000290456</v>
      </c>
      <c r="D15629" s="1">
        <v>45979.649236111109</v>
      </c>
      <c r="E15629" s="2">
        <v>1</v>
      </c>
      <c r="F15629" s="2">
        <v>5</v>
      </c>
      <c r="G15629" s="2">
        <v>0</v>
      </c>
      <c r="H15629" s="1" t="s">
        <v>0</v>
      </c>
      <c r="I15629" s="2">
        <v>0</v>
      </c>
      <c r="J15629" s="1">
        <v>45953.558796296296</v>
      </c>
    </row>
    <row r="15630" spans="1:10" x14ac:dyDescent="0.2">
      <c r="A15630" s="4" t="s">
        <v>1</v>
      </c>
      <c r="B15630" s="3" t="str">
        <f>HYPERLINK("https://otsuka-europe-crm.veevavault.com/ui/#object/approved_document__v/V5OZ025E82USSZ5", "LUP - Invitación webinar NL y RCV - nefro")</f>
        <v>LUP - Invitación webinar NL y RCV - nefro</v>
      </c>
      <c r="C15630" s="3" t="str">
        <f>HYPERLINK("https://otsuka-europe-crm.veevavault.com/ui/#object/sent_email__v/VBLZ025E82HSL4W", "SE-000290457")</f>
        <v>SE-000290457</v>
      </c>
      <c r="D15630" s="1">
        <v>45953.568993055553</v>
      </c>
      <c r="E15630" s="2">
        <v>1</v>
      </c>
      <c r="F15630" s="2">
        <v>2</v>
      </c>
      <c r="G15630" s="2">
        <v>0</v>
      </c>
      <c r="H15630" s="1" t="s">
        <v>0</v>
      </c>
      <c r="I15630" s="2">
        <v>0</v>
      </c>
      <c r="J15630" s="1">
        <v>45953.558807870373</v>
      </c>
    </row>
    <row r="15631" spans="1:10" x14ac:dyDescent="0.2">
      <c r="A15631" s="4" t="s">
        <v>1</v>
      </c>
      <c r="B15631" s="3" t="str">
        <f>HYPERLINK("https://otsuka-europe-crm.veevavault.com/ui/#object/approved_document__v/V5OZ025E82USSZ5", "LUP - Invitación webinar NL y RCV - nefro")</f>
        <v>LUP - Invitación webinar NL y RCV - nefro</v>
      </c>
      <c r="C15631" s="3" t="str">
        <f>HYPERLINK("https://otsuka-europe-crm.veevavault.com/ui/#object/sent_email__v/VBLZ025E82HSL4X", "SE-000290458")</f>
        <v>SE-000290458</v>
      </c>
      <c r="D15631" s="1" t="s">
        <v>0</v>
      </c>
      <c r="E15631" s="2">
        <v>0</v>
      </c>
      <c r="F15631" s="2">
        <v>0</v>
      </c>
      <c r="G15631" s="2">
        <v>0</v>
      </c>
      <c r="H15631" s="1" t="s">
        <v>0</v>
      </c>
      <c r="I15631" s="2">
        <v>0</v>
      </c>
      <c r="J15631" s="1">
        <v>45953.558819444443</v>
      </c>
    </row>
    <row r="15632" spans="1:10" x14ac:dyDescent="0.2">
      <c r="A15632" s="4" t="s">
        <v>1</v>
      </c>
      <c r="B15632" s="3" t="str">
        <f>HYPERLINK("https://otsuka-europe-crm.veevavault.com/ui/#object/approved_document__v/V5OZ025E82USSZ5", "LUP - Invitación webinar NL y RCV - nefro")</f>
        <v>LUP - Invitación webinar NL y RCV - nefro</v>
      </c>
      <c r="C15632" s="3" t="str">
        <f>HYPERLINK("https://otsuka-europe-crm.veevavault.com/ui/#object/sent_email__v/VBLZ025E82HSL4Y", "SE-000290459")</f>
        <v>SE-000290459</v>
      </c>
      <c r="D15632" s="1" t="s">
        <v>0</v>
      </c>
      <c r="E15632" s="2">
        <v>0</v>
      </c>
      <c r="F15632" s="2">
        <v>0</v>
      </c>
      <c r="G15632" s="2">
        <v>0</v>
      </c>
      <c r="H15632" s="1" t="s">
        <v>0</v>
      </c>
      <c r="I15632" s="2">
        <v>0</v>
      </c>
      <c r="J15632" s="1">
        <v>45953.558831018519</v>
      </c>
    </row>
    <row r="15633" spans="1:10" x14ac:dyDescent="0.2">
      <c r="A15633" s="4" t="s">
        <v>1</v>
      </c>
      <c r="B15633" s="3" t="str">
        <f>HYPERLINK("https://otsuka-europe-crm.veevavault.com/ui/#object/approved_document__v/V5OZ025E82USSZ5", "LUP - Invitación webinar NL y RCV - nefro")</f>
        <v>LUP - Invitación webinar NL y RCV - nefro</v>
      </c>
      <c r="C15633" s="3" t="str">
        <f>HYPERLINK("https://otsuka-europe-crm.veevavault.com/ui/#object/sent_email__v/VBLZ025E82HSL4Z", "SE-000290460")</f>
        <v>SE-000290460</v>
      </c>
      <c r="D15633" s="1">
        <v>45971.873530092591</v>
      </c>
      <c r="E15633" s="2">
        <v>1</v>
      </c>
      <c r="F15633" s="2">
        <v>2</v>
      </c>
      <c r="G15633" s="2">
        <v>0</v>
      </c>
      <c r="H15633" s="1" t="s">
        <v>0</v>
      </c>
      <c r="I15633" s="2">
        <v>0</v>
      </c>
      <c r="J15633" s="1">
        <v>45953.558842592596</v>
      </c>
    </row>
    <row r="15634" spans="1:10" x14ac:dyDescent="0.2">
      <c r="A15634" s="4" t="s">
        <v>1</v>
      </c>
      <c r="B15634" s="3" t="str">
        <f>HYPERLINK("https://otsuka-europe-crm.veevavault.com/ui/#object/approved_document__v/V5OZ025E82USSZ5", "LUP - Invitación webinar NL y RCV - nefro")</f>
        <v>LUP - Invitación webinar NL y RCV - nefro</v>
      </c>
      <c r="C15634" s="3" t="str">
        <f>HYPERLINK("https://otsuka-europe-crm.veevavault.com/ui/#object/sent_email__v/VBLZ025E82HSL50", "SE-000290461")</f>
        <v>SE-000290461</v>
      </c>
      <c r="D15634" s="1" t="s">
        <v>0</v>
      </c>
      <c r="E15634" s="2">
        <v>0</v>
      </c>
      <c r="F15634" s="2">
        <v>0</v>
      </c>
      <c r="G15634" s="2">
        <v>0</v>
      </c>
      <c r="H15634" s="1" t="s">
        <v>0</v>
      </c>
      <c r="I15634" s="2">
        <v>0</v>
      </c>
      <c r="J15634" s="1">
        <v>45953.558854166666</v>
      </c>
    </row>
    <row r="15635" spans="1:10" x14ac:dyDescent="0.2">
      <c r="A15635" s="4" t="s">
        <v>1</v>
      </c>
      <c r="B15635" s="3" t="str">
        <f>HYPERLINK("https://otsuka-europe-crm.veevavault.com/ui/#object/approved_document__v/V5OZ025E82USSZ5", "LUP - Invitación webinar NL y RCV - nefro")</f>
        <v>LUP - Invitación webinar NL y RCV - nefro</v>
      </c>
      <c r="C15635" s="3" t="str">
        <f>HYPERLINK("https://otsuka-europe-crm.veevavault.com/ui/#object/sent_email__v/VBLZ025E82HSL51", "SE-000290462")</f>
        <v>SE-000290462</v>
      </c>
      <c r="D15635" s="1">
        <v>45953.682384259257</v>
      </c>
      <c r="E15635" s="2">
        <v>1</v>
      </c>
      <c r="F15635" s="2">
        <v>2</v>
      </c>
      <c r="G15635" s="2">
        <v>0</v>
      </c>
      <c r="H15635" s="1" t="s">
        <v>0</v>
      </c>
      <c r="I15635" s="2">
        <v>0</v>
      </c>
      <c r="J15635" s="1">
        <v>45953.558854166666</v>
      </c>
    </row>
    <row r="15636" spans="1:10" x14ac:dyDescent="0.2">
      <c r="A15636" s="4" t="s">
        <v>1</v>
      </c>
      <c r="B15636" s="3" t="str">
        <f>HYPERLINK("https://otsuka-europe-crm.veevavault.com/ui/#object/approved_document__v/V5OZ025E82USSZ5", "LUP - Invitación webinar NL y RCV - nefro")</f>
        <v>LUP - Invitación webinar NL y RCV - nefro</v>
      </c>
      <c r="C15636" s="3" t="str">
        <f>HYPERLINK("https://otsuka-europe-crm.veevavault.com/ui/#object/sent_email__v/VBLZ025E82HSL52", "SE-000290463")</f>
        <v>SE-000290463</v>
      </c>
      <c r="D15636" s="1">
        <v>45953.818564814814</v>
      </c>
      <c r="E15636" s="2">
        <v>1</v>
      </c>
      <c r="F15636" s="2">
        <v>1</v>
      </c>
      <c r="G15636" s="2">
        <v>1</v>
      </c>
      <c r="H15636" s="1">
        <v>45953.818749999999</v>
      </c>
      <c r="I15636" s="2">
        <v>1</v>
      </c>
      <c r="J15636" s="1">
        <v>45953.558865740742</v>
      </c>
    </row>
    <row r="15637" spans="1:10" x14ac:dyDescent="0.2">
      <c r="A15637" s="4" t="s">
        <v>1</v>
      </c>
      <c r="B15637" s="3" t="str">
        <f>HYPERLINK("https://otsuka-europe-crm.veevavault.com/ui/#object/approved_document__v/V5OZ025E82USSZ5", "LUP - Invitación webinar NL y RCV - nefro")</f>
        <v>LUP - Invitación webinar NL y RCV - nefro</v>
      </c>
      <c r="C15637" s="3" t="str">
        <f>HYPERLINK("https://otsuka-europe-crm.veevavault.com/ui/#object/sent_email__v/VBLZ025E82HSL53", "SE-000290464")</f>
        <v>SE-000290464</v>
      </c>
      <c r="D15637" s="1" t="s">
        <v>0</v>
      </c>
      <c r="E15637" s="2">
        <v>0</v>
      </c>
      <c r="F15637" s="2">
        <v>0</v>
      </c>
      <c r="G15637" s="2">
        <v>0</v>
      </c>
      <c r="H15637" s="1" t="s">
        <v>0</v>
      </c>
      <c r="I15637" s="2">
        <v>0</v>
      </c>
      <c r="J15637" s="1">
        <v>45953.558877314812</v>
      </c>
    </row>
    <row r="15638" spans="1:10" x14ac:dyDescent="0.2">
      <c r="A15638" s="4" t="s">
        <v>1</v>
      </c>
      <c r="B15638" s="3" t="str">
        <f>HYPERLINK("https://otsuka-europe-crm.veevavault.com/ui/#object/approved_document__v/V5OZ025E82USSZ5", "LUP - Invitación webinar NL y RCV - nefro")</f>
        <v>LUP - Invitación webinar NL y RCV - nefro</v>
      </c>
      <c r="C15638" s="3" t="str">
        <f>HYPERLINK("https://otsuka-europe-crm.veevavault.com/ui/#object/sent_email__v/VBLZ025E82HSL54", "SE-000290465")</f>
        <v>SE-000290465</v>
      </c>
      <c r="D15638" s="1" t="s">
        <v>0</v>
      </c>
      <c r="E15638" s="2">
        <v>0</v>
      </c>
      <c r="F15638" s="2">
        <v>0</v>
      </c>
      <c r="G15638" s="2">
        <v>0</v>
      </c>
      <c r="H15638" s="1" t="s">
        <v>0</v>
      </c>
      <c r="I15638" s="2">
        <v>0</v>
      </c>
      <c r="J15638" s="1">
        <v>45953.558888888889</v>
      </c>
    </row>
    <row r="15639" spans="1:10" x14ac:dyDescent="0.2">
      <c r="A15639" s="4" t="s">
        <v>1</v>
      </c>
      <c r="B15639" s="3" t="str">
        <f>HYPERLINK("https://otsuka-europe-crm.veevavault.com/ui/#object/approved_document__v/V5OZ025E82USSZ5", "LUP - Invitación webinar NL y RCV - nefro")</f>
        <v>LUP - Invitación webinar NL y RCV - nefro</v>
      </c>
      <c r="C15639" s="3" t="str">
        <f>HYPERLINK("https://otsuka-europe-crm.veevavault.com/ui/#object/sent_email__v/VBLZ025E82HSL55", "SE-000290466")</f>
        <v>SE-000290466</v>
      </c>
      <c r="D15639" s="1" t="s">
        <v>0</v>
      </c>
      <c r="E15639" s="2">
        <v>0</v>
      </c>
      <c r="F15639" s="2">
        <v>0</v>
      </c>
      <c r="G15639" s="2">
        <v>0</v>
      </c>
      <c r="H15639" s="1" t="s">
        <v>0</v>
      </c>
      <c r="I15639" s="2">
        <v>0</v>
      </c>
      <c r="J15639" s="1">
        <v>45953.558888888889</v>
      </c>
    </row>
    <row r="15640" spans="1:10" x14ac:dyDescent="0.2">
      <c r="A15640" s="4" t="s">
        <v>1</v>
      </c>
      <c r="B15640" s="3" t="str">
        <f>HYPERLINK("https://otsuka-europe-crm.veevavault.com/ui/#object/approved_document__v/V5OZ025E82USSZ5", "LUP - Invitación webinar NL y RCV - nefro")</f>
        <v>LUP - Invitación webinar NL y RCV - nefro</v>
      </c>
      <c r="C15640" s="3" t="str">
        <f>HYPERLINK("https://otsuka-europe-crm.veevavault.com/ui/#object/sent_email__v/VBLZ025E82HSL56", "SE-000290467")</f>
        <v>SE-000290467</v>
      </c>
      <c r="D15640" s="1" t="s">
        <v>0</v>
      </c>
      <c r="E15640" s="2">
        <v>0</v>
      </c>
      <c r="F15640" s="2">
        <v>0</v>
      </c>
      <c r="G15640" s="2">
        <v>0</v>
      </c>
      <c r="H15640" s="1" t="s">
        <v>0</v>
      </c>
      <c r="I15640" s="2">
        <v>0</v>
      </c>
      <c r="J15640" s="1">
        <v>45953.558900462966</v>
      </c>
    </row>
    <row r="15641" spans="1:10" x14ac:dyDescent="0.2">
      <c r="A15641" s="4" t="s">
        <v>1</v>
      </c>
      <c r="B15641" s="3" t="str">
        <f>HYPERLINK("https://otsuka-europe-crm.veevavault.com/ui/#object/approved_document__v/V5OZ025E82USSZ5", "LUP - Invitación webinar NL y RCV - nefro")</f>
        <v>LUP - Invitación webinar NL y RCV - nefro</v>
      </c>
      <c r="C15641" s="3" t="str">
        <f>HYPERLINK("https://otsuka-europe-crm.veevavault.com/ui/#object/sent_email__v/VBLZ025E82HSL57", "SE-000290468")</f>
        <v>SE-000290468</v>
      </c>
      <c r="D15641" s="1" t="s">
        <v>0</v>
      </c>
      <c r="E15641" s="2">
        <v>0</v>
      </c>
      <c r="F15641" s="2">
        <v>0</v>
      </c>
      <c r="G15641" s="2">
        <v>0</v>
      </c>
      <c r="H15641" s="1" t="s">
        <v>0</v>
      </c>
      <c r="I15641" s="2">
        <v>0</v>
      </c>
      <c r="J15641" s="1">
        <v>45953.558912037035</v>
      </c>
    </row>
    <row r="15642" spans="1:10" x14ac:dyDescent="0.2">
      <c r="A15642" s="4" t="s">
        <v>1</v>
      </c>
      <c r="B15642" s="3" t="str">
        <f>HYPERLINK("https://otsuka-europe-crm.veevavault.com/ui/#object/approved_document__v/V5OZ025E82USSZ5", "LUP - Invitación webinar NL y RCV - nefro")</f>
        <v>LUP - Invitación webinar NL y RCV - nefro</v>
      </c>
      <c r="C15642" s="3" t="str">
        <f>HYPERLINK("https://otsuka-europe-crm.veevavault.com/ui/#object/sent_email__v/VBLZ025E82HSL58", "SE-000290469")</f>
        <v>SE-000290469</v>
      </c>
      <c r="D15642" s="1">
        <v>45953.885729166665</v>
      </c>
      <c r="E15642" s="2">
        <v>1</v>
      </c>
      <c r="F15642" s="2">
        <v>1</v>
      </c>
      <c r="G15642" s="2">
        <v>0</v>
      </c>
      <c r="H15642" s="1" t="s">
        <v>0</v>
      </c>
      <c r="I15642" s="2">
        <v>0</v>
      </c>
      <c r="J15642" s="1">
        <v>45953.558923611112</v>
      </c>
    </row>
    <row r="15643" spans="1:10" x14ac:dyDescent="0.2">
      <c r="A15643" s="4" t="s">
        <v>1</v>
      </c>
      <c r="B15643" s="3" t="str">
        <f>HYPERLINK("https://otsuka-europe-crm.veevavault.com/ui/#object/approved_document__v/V5OZ025E82USSZ5", "LUP - Invitación webinar NL y RCV - nefro")</f>
        <v>LUP - Invitación webinar NL y RCV - nefro</v>
      </c>
      <c r="C15643" s="3" t="str">
        <f>HYPERLINK("https://otsuka-europe-crm.veevavault.com/ui/#object/sent_email__v/VBLZ025E82HSL59", "SE-000290470")</f>
        <v>SE-000290470</v>
      </c>
      <c r="D15643" s="1" t="s">
        <v>0</v>
      </c>
      <c r="E15643" s="2">
        <v>0</v>
      </c>
      <c r="F15643" s="2">
        <v>0</v>
      </c>
      <c r="G15643" s="2">
        <v>0</v>
      </c>
      <c r="H15643" s="1" t="s">
        <v>0</v>
      </c>
      <c r="I15643" s="2">
        <v>0</v>
      </c>
      <c r="J15643" s="1">
        <v>45953.558935185189</v>
      </c>
    </row>
    <row r="15644" spans="1:10" x14ac:dyDescent="0.2">
      <c r="A15644" s="4" t="s">
        <v>1</v>
      </c>
      <c r="B15644" s="3" t="str">
        <f>HYPERLINK("https://otsuka-europe-crm.veevavault.com/ui/#object/approved_document__v/V5OZ025E82USSZ5", "LUP - Invitación webinar NL y RCV - nefro")</f>
        <v>LUP - Invitación webinar NL y RCV - nefro</v>
      </c>
      <c r="C15644" s="3" t="str">
        <f>HYPERLINK("https://otsuka-europe-crm.veevavault.com/ui/#object/sent_email__v/VBLZ025E82HSL5A", "SE-000290471")</f>
        <v>SE-000290471</v>
      </c>
      <c r="D15644" s="1">
        <v>45953.935740740744</v>
      </c>
      <c r="E15644" s="2">
        <v>1</v>
      </c>
      <c r="F15644" s="2">
        <v>2</v>
      </c>
      <c r="G15644" s="2">
        <v>0</v>
      </c>
      <c r="H15644" s="1" t="s">
        <v>0</v>
      </c>
      <c r="I15644" s="2">
        <v>0</v>
      </c>
      <c r="J15644" s="1">
        <v>45953.558946759258</v>
      </c>
    </row>
    <row r="15645" spans="1:10" x14ac:dyDescent="0.2">
      <c r="A15645" s="4" t="s">
        <v>1</v>
      </c>
      <c r="B15645" s="3" t="str">
        <f>HYPERLINK("https://otsuka-europe-crm.veevavault.com/ui/#object/approved_document__v/V5OZ025E82USSZ5", "LUP - Invitación webinar NL y RCV - nefro")</f>
        <v>LUP - Invitación webinar NL y RCV - nefro</v>
      </c>
      <c r="C15645" s="3" t="str">
        <f>HYPERLINK("https://otsuka-europe-crm.veevavault.com/ui/#object/sent_email__v/VBLZ025E82HSL5B", "SE-000290472")</f>
        <v>SE-000290472</v>
      </c>
      <c r="D15645" s="1" t="s">
        <v>0</v>
      </c>
      <c r="E15645" s="2">
        <v>0</v>
      </c>
      <c r="F15645" s="2">
        <v>0</v>
      </c>
      <c r="G15645" s="2">
        <v>0</v>
      </c>
      <c r="H15645" s="1" t="s">
        <v>0</v>
      </c>
      <c r="I15645" s="2">
        <v>0</v>
      </c>
      <c r="J15645" s="1">
        <v>45953.558946759258</v>
      </c>
    </row>
    <row r="15646" spans="1:10" x14ac:dyDescent="0.2">
      <c r="A15646" s="4" t="s">
        <v>1</v>
      </c>
      <c r="B15646" s="3" t="str">
        <f>HYPERLINK("https://otsuka-europe-crm.veevavault.com/ui/#object/approved_document__v/V5OZ025E82USSZ5", "LUP - Invitación webinar NL y RCV - nefro")</f>
        <v>LUP - Invitación webinar NL y RCV - nefro</v>
      </c>
      <c r="C15646" s="3" t="str">
        <f>HYPERLINK("https://otsuka-europe-crm.veevavault.com/ui/#object/sent_email__v/VBLZ025E82HSL5C", "SE-000290473")</f>
        <v>SE-000290473</v>
      </c>
      <c r="D15646" s="1" t="s">
        <v>0</v>
      </c>
      <c r="E15646" s="2">
        <v>0</v>
      </c>
      <c r="F15646" s="2">
        <v>0</v>
      </c>
      <c r="G15646" s="2">
        <v>0</v>
      </c>
      <c r="H15646" s="1" t="s">
        <v>0</v>
      </c>
      <c r="I15646" s="2">
        <v>0</v>
      </c>
      <c r="J15646" s="1">
        <v>45953.558969907404</v>
      </c>
    </row>
    <row r="15647" spans="1:10" x14ac:dyDescent="0.2">
      <c r="A15647" s="4" t="s">
        <v>1</v>
      </c>
      <c r="B15647" s="3" t="str">
        <f>HYPERLINK("https://otsuka-europe-crm.veevavault.com/ui/#object/approved_document__v/V5OZ025E82USSZ5", "LUP - Invitación webinar NL y RCV - nefro")</f>
        <v>LUP - Invitación webinar NL y RCV - nefro</v>
      </c>
      <c r="C15647" s="3" t="str">
        <f>HYPERLINK("https://otsuka-europe-crm.veevavault.com/ui/#object/sent_email__v/VBLZ025E82HSL5D", "SE-000290474")</f>
        <v>SE-000290474</v>
      </c>
      <c r="D15647" s="1" t="s">
        <v>0</v>
      </c>
      <c r="E15647" s="2">
        <v>0</v>
      </c>
      <c r="F15647" s="2">
        <v>0</v>
      </c>
      <c r="G15647" s="2">
        <v>0</v>
      </c>
      <c r="H15647" s="1" t="s">
        <v>0</v>
      </c>
      <c r="I15647" s="2">
        <v>0</v>
      </c>
      <c r="J15647" s="1">
        <v>45953.558969907404</v>
      </c>
    </row>
    <row r="15648" spans="1:10" x14ac:dyDescent="0.2">
      <c r="A15648" s="4" t="s">
        <v>1</v>
      </c>
      <c r="B15648" s="3" t="str">
        <f>HYPERLINK("https://otsuka-europe-crm.veevavault.com/ui/#object/approved_document__v/V5OZ025E82USSZ5", "LUP - Invitación webinar NL y RCV - nefro")</f>
        <v>LUP - Invitación webinar NL y RCV - nefro</v>
      </c>
      <c r="C15648" s="3" t="str">
        <f>HYPERLINK("https://otsuka-europe-crm.veevavault.com/ui/#object/sent_email__v/VBLZ025E82HSL5E", "SE-000290475")</f>
        <v>SE-000290475</v>
      </c>
      <c r="D15648" s="1" t="s">
        <v>0</v>
      </c>
      <c r="E15648" s="2">
        <v>0</v>
      </c>
      <c r="F15648" s="2">
        <v>0</v>
      </c>
      <c r="G15648" s="2">
        <v>0</v>
      </c>
      <c r="H15648" s="1" t="s">
        <v>0</v>
      </c>
      <c r="I15648" s="2">
        <v>0</v>
      </c>
      <c r="J15648" s="1">
        <v>45953.558981481481</v>
      </c>
    </row>
    <row r="15649" spans="1:10" x14ac:dyDescent="0.2">
      <c r="A15649" s="4" t="s">
        <v>1</v>
      </c>
      <c r="B15649" s="3" t="str">
        <f>HYPERLINK("https://otsuka-europe-crm.veevavault.com/ui/#object/approved_document__v/V5OZ025E82USSZ5", "LUP - Invitación webinar NL y RCV - nefro")</f>
        <v>LUP - Invitación webinar NL y RCV - nefro</v>
      </c>
      <c r="C15649" s="3" t="str">
        <f>HYPERLINK("https://otsuka-europe-crm.veevavault.com/ui/#object/sent_email__v/VBLZ025E82HSL5F", "SE-000290476")</f>
        <v>SE-000290476</v>
      </c>
      <c r="D15649" s="1" t="s">
        <v>0</v>
      </c>
      <c r="E15649" s="2">
        <v>0</v>
      </c>
      <c r="F15649" s="2">
        <v>0</v>
      </c>
      <c r="G15649" s="2">
        <v>0</v>
      </c>
      <c r="H15649" s="1" t="s">
        <v>0</v>
      </c>
      <c r="I15649" s="2">
        <v>0</v>
      </c>
      <c r="J15649" s="1">
        <v>45953.558993055558</v>
      </c>
    </row>
    <row r="15650" spans="1:10" x14ac:dyDescent="0.2">
      <c r="A15650" s="4" t="s">
        <v>1</v>
      </c>
      <c r="B15650" s="3" t="str">
        <f>HYPERLINK("https://otsuka-europe-crm.veevavault.com/ui/#object/approved_document__v/V5OZ025E82USSZ5", "LUP - Invitación webinar NL y RCV - nefro")</f>
        <v>LUP - Invitación webinar NL y RCV - nefro</v>
      </c>
      <c r="C15650" s="3" t="str">
        <f>HYPERLINK("https://otsuka-europe-crm.veevavault.com/ui/#object/sent_email__v/VBLZ025E82HSL5G", "SE-000290477")</f>
        <v>SE-000290477</v>
      </c>
      <c r="D15650" s="1">
        <v>45963.849328703705</v>
      </c>
      <c r="E15650" s="2">
        <v>1</v>
      </c>
      <c r="F15650" s="2">
        <v>1</v>
      </c>
      <c r="G15650" s="2">
        <v>0</v>
      </c>
      <c r="H15650" s="1" t="s">
        <v>0</v>
      </c>
      <c r="I15650" s="2">
        <v>0</v>
      </c>
      <c r="J15650" s="1">
        <v>45953.559004629627</v>
      </c>
    </row>
    <row r="15651" spans="1:10" x14ac:dyDescent="0.2">
      <c r="A15651" s="4" t="s">
        <v>1</v>
      </c>
      <c r="B15651" s="3" t="str">
        <f>HYPERLINK("https://otsuka-europe-crm.veevavault.com/ui/#object/approved_document__v/V5OZ025E82USSZ5", "LUP - Invitación webinar NL y RCV - nefro")</f>
        <v>LUP - Invitación webinar NL y RCV - nefro</v>
      </c>
      <c r="C15651" s="3" t="str">
        <f>HYPERLINK("https://otsuka-europe-crm.veevavault.com/ui/#object/sent_email__v/VBLZ025E82HSL5H", "SE-000290478")</f>
        <v>SE-000290478</v>
      </c>
      <c r="D15651" s="1" t="s">
        <v>0</v>
      </c>
      <c r="E15651" s="2">
        <v>0</v>
      </c>
      <c r="F15651" s="2">
        <v>0</v>
      </c>
      <c r="G15651" s="2">
        <v>0</v>
      </c>
      <c r="H15651" s="1" t="s">
        <v>0</v>
      </c>
      <c r="I15651" s="2">
        <v>0</v>
      </c>
      <c r="J15651" s="1">
        <v>45953.559016203704</v>
      </c>
    </row>
    <row r="15652" spans="1:10" x14ac:dyDescent="0.2">
      <c r="A15652" s="4" t="s">
        <v>1</v>
      </c>
      <c r="B15652" s="3" t="str">
        <f>HYPERLINK("https://otsuka-europe-crm.veevavault.com/ui/#object/approved_document__v/V5OZ025E82USSZ5", "LUP - Invitación webinar NL y RCV - nefro")</f>
        <v>LUP - Invitación webinar NL y RCV - nefro</v>
      </c>
      <c r="C15652" s="3" t="str">
        <f>HYPERLINK("https://otsuka-europe-crm.veevavault.com/ui/#object/sent_email__v/VBLZ025E82HSL5I", "SE-000290479")</f>
        <v>SE-000290479</v>
      </c>
      <c r="D15652" s="1">
        <v>45953.604594907411</v>
      </c>
      <c r="E15652" s="2">
        <v>1</v>
      </c>
      <c r="F15652" s="2">
        <v>1</v>
      </c>
      <c r="G15652" s="2">
        <v>0</v>
      </c>
      <c r="H15652" s="1" t="s">
        <v>0</v>
      </c>
      <c r="I15652" s="2">
        <v>0</v>
      </c>
      <c r="J15652" s="1">
        <v>45953.559016203704</v>
      </c>
    </row>
    <row r="15653" spans="1:10" x14ac:dyDescent="0.2">
      <c r="A15653" s="4" t="s">
        <v>1</v>
      </c>
      <c r="B15653" s="3" t="str">
        <f>HYPERLINK("https://otsuka-europe-crm.veevavault.com/ui/#object/approved_document__v/V5OZ025E82USSZ5", "LUP - Invitación webinar NL y RCV - nefro")</f>
        <v>LUP - Invitación webinar NL y RCV - nefro</v>
      </c>
      <c r="C15653" s="3" t="str">
        <f>HYPERLINK("https://otsuka-europe-crm.veevavault.com/ui/#object/sent_email__v/VBLZ025E82HSL5J", "SE-000290480")</f>
        <v>SE-000290480</v>
      </c>
      <c r="D15653" s="1" t="s">
        <v>0</v>
      </c>
      <c r="E15653" s="2">
        <v>0</v>
      </c>
      <c r="F15653" s="2">
        <v>0</v>
      </c>
      <c r="G15653" s="2">
        <v>0</v>
      </c>
      <c r="H15653" s="1" t="s">
        <v>0</v>
      </c>
      <c r="I15653" s="2">
        <v>0</v>
      </c>
      <c r="J15653" s="1">
        <v>45953.559027777781</v>
      </c>
    </row>
    <row r="15654" spans="1:10" x14ac:dyDescent="0.2">
      <c r="A15654" s="4" t="s">
        <v>1</v>
      </c>
      <c r="B15654" s="3" t="str">
        <f>HYPERLINK("https://otsuka-europe-crm.veevavault.com/ui/#object/approved_document__v/V5OZ025E82USSZ5", "LUP - Invitación webinar NL y RCV - nefro")</f>
        <v>LUP - Invitación webinar NL y RCV - nefro</v>
      </c>
      <c r="C15654" s="3" t="str">
        <f>HYPERLINK("https://otsuka-europe-crm.veevavault.com/ui/#object/sent_email__v/VBLZ025E82HSL5K", "SE-000290481")</f>
        <v>SE-000290481</v>
      </c>
      <c r="D15654" s="1" t="s">
        <v>0</v>
      </c>
      <c r="E15654" s="2">
        <v>0</v>
      </c>
      <c r="F15654" s="2">
        <v>0</v>
      </c>
      <c r="G15654" s="2">
        <v>0</v>
      </c>
      <c r="H15654" s="1" t="s">
        <v>0</v>
      </c>
      <c r="I15654" s="2">
        <v>0</v>
      </c>
      <c r="J15654" s="1">
        <v>45953.559039351851</v>
      </c>
    </row>
    <row r="15655" spans="1:10" x14ac:dyDescent="0.2">
      <c r="A15655" s="4" t="s">
        <v>1</v>
      </c>
      <c r="B15655" s="3" t="str">
        <f>HYPERLINK("https://otsuka-europe-crm.veevavault.com/ui/#object/approved_document__v/V5OZ025E82USSZ5", "LUP - Invitación webinar NL y RCV - nefro")</f>
        <v>LUP - Invitación webinar NL y RCV - nefro</v>
      </c>
      <c r="C15655" s="3" t="str">
        <f>HYPERLINK("https://otsuka-europe-crm.veevavault.com/ui/#object/sent_email__v/VBLZ025E82HSL5L", "SE-000290482")</f>
        <v>SE-000290482</v>
      </c>
      <c r="D15655" s="1" t="s">
        <v>0</v>
      </c>
      <c r="E15655" s="2">
        <v>0</v>
      </c>
      <c r="F15655" s="2">
        <v>0</v>
      </c>
      <c r="G15655" s="2">
        <v>0</v>
      </c>
      <c r="H15655" s="1" t="s">
        <v>0</v>
      </c>
      <c r="I15655" s="2">
        <v>0</v>
      </c>
      <c r="J15655" s="1">
        <v>45953.559050925927</v>
      </c>
    </row>
    <row r="15656" spans="1:10" x14ac:dyDescent="0.2">
      <c r="A15656" s="4" t="s">
        <v>1</v>
      </c>
      <c r="B15656" s="3" t="str">
        <f>HYPERLINK("https://otsuka-europe-crm.veevavault.com/ui/#object/approved_document__v/V5OZ025E82USSZ5", "LUP - Invitación webinar NL y RCV - nefro")</f>
        <v>LUP - Invitación webinar NL y RCV - nefro</v>
      </c>
      <c r="C15656" s="3" t="str">
        <f>HYPERLINK("https://otsuka-europe-crm.veevavault.com/ui/#object/sent_email__v/VBLZ025E82HSL5M", "SE-000290483")</f>
        <v>SE-000290483</v>
      </c>
      <c r="D15656" s="1" t="s">
        <v>0</v>
      </c>
      <c r="E15656" s="2">
        <v>0</v>
      </c>
      <c r="F15656" s="2">
        <v>0</v>
      </c>
      <c r="G15656" s="2">
        <v>0</v>
      </c>
      <c r="H15656" s="1" t="s">
        <v>0</v>
      </c>
      <c r="I15656" s="2">
        <v>0</v>
      </c>
      <c r="J15656" s="1">
        <v>45953.559062499997</v>
      </c>
    </row>
    <row r="15657" spans="1:10" x14ac:dyDescent="0.2">
      <c r="A15657" s="4" t="s">
        <v>1</v>
      </c>
      <c r="B15657" s="3" t="str">
        <f>HYPERLINK("https://otsuka-europe-crm.veevavault.com/ui/#object/approved_document__v/V5OZ025E82USSZ5", "LUP - Invitación webinar NL y RCV - nefro")</f>
        <v>LUP - Invitación webinar NL y RCV - nefro</v>
      </c>
      <c r="C15657" s="3" t="str">
        <f>HYPERLINK("https://otsuka-europe-crm.veevavault.com/ui/#object/sent_email__v/VBL000000005276", "SE-001380086")</f>
        <v>SE-001380086</v>
      </c>
      <c r="D15657" s="1" t="s">
        <v>0</v>
      </c>
      <c r="E15657" s="2">
        <v>0</v>
      </c>
      <c r="F15657" s="2">
        <v>0</v>
      </c>
      <c r="G15657" s="2">
        <v>0</v>
      </c>
      <c r="H15657" s="1" t="s">
        <v>0</v>
      </c>
      <c r="I15657" s="2">
        <v>0</v>
      </c>
      <c r="J15657" s="1">
        <v>45961.406724537039</v>
      </c>
    </row>
    <row r="15658" spans="1:10" x14ac:dyDescent="0.2">
      <c r="A15658" s="4" t="s">
        <v>1</v>
      </c>
      <c r="B15658" s="3" t="str">
        <f>HYPERLINK("https://otsuka-europe-crm.veevavault.com/ui/#object/approved_document__v/V5OZ025E82USSZ5", "LUP - Invitación webinar NL y RCV - nefro")</f>
        <v>LUP - Invitación webinar NL y RCV - nefro</v>
      </c>
      <c r="C15658" s="3" t="str">
        <f>HYPERLINK("https://otsuka-europe-crm.veevavault.com/ui/#object/sent_email__v/VBL000000005277", "SE-001380087")</f>
        <v>SE-001380087</v>
      </c>
      <c r="D15658" s="1" t="s">
        <v>0</v>
      </c>
      <c r="E15658" s="2">
        <v>0</v>
      </c>
      <c r="F15658" s="2">
        <v>0</v>
      </c>
      <c r="G15658" s="2">
        <v>0</v>
      </c>
      <c r="H15658" s="1" t="s">
        <v>0</v>
      </c>
      <c r="I15658" s="2">
        <v>0</v>
      </c>
      <c r="J15658" s="1">
        <v>45961.406724537039</v>
      </c>
    </row>
    <row r="15659" spans="1:10" x14ac:dyDescent="0.2">
      <c r="A15659" s="4" t="s">
        <v>1</v>
      </c>
      <c r="B15659" s="3" t="str">
        <f>HYPERLINK("https://otsuka-europe-crm.veevavault.com/ui/#object/approved_document__v/V5OZ025E82USSZ5", "LUP - Invitación webinar NL y RCV - nefro")</f>
        <v>LUP - Invitación webinar NL y RCV - nefro</v>
      </c>
      <c r="C15659" s="3" t="str">
        <f>HYPERLINK("https://otsuka-europe-crm.veevavault.com/ui/#object/sent_email__v/VBL000000005278", "SE-001380088")</f>
        <v>SE-001380088</v>
      </c>
      <c r="D15659" s="1" t="s">
        <v>0</v>
      </c>
      <c r="E15659" s="2">
        <v>0</v>
      </c>
      <c r="F15659" s="2">
        <v>0</v>
      </c>
      <c r="G15659" s="2">
        <v>0</v>
      </c>
      <c r="H15659" s="1" t="s">
        <v>0</v>
      </c>
      <c r="I15659" s="2">
        <v>0</v>
      </c>
      <c r="J15659" s="1">
        <v>45961.406724537039</v>
      </c>
    </row>
    <row r="15660" spans="1:10" x14ac:dyDescent="0.2">
      <c r="A15660" s="4" t="s">
        <v>1</v>
      </c>
      <c r="B15660" s="3" t="str">
        <f>HYPERLINK("https://otsuka-europe-crm.veevavault.com/ui/#object/approved_document__v/V5OZ025E82USSZ5", "LUP - Invitación webinar NL y RCV - nefro")</f>
        <v>LUP - Invitación webinar NL y RCV - nefro</v>
      </c>
      <c r="C15660" s="3" t="str">
        <f>HYPERLINK("https://otsuka-europe-crm.veevavault.com/ui/#object/sent_email__v/VBL000000005279", "SE-001380089")</f>
        <v>SE-001380089</v>
      </c>
      <c r="D15660" s="1" t="s">
        <v>0</v>
      </c>
      <c r="E15660" s="2">
        <v>0</v>
      </c>
      <c r="F15660" s="2">
        <v>0</v>
      </c>
      <c r="G15660" s="2">
        <v>0</v>
      </c>
      <c r="H15660" s="1" t="s">
        <v>0</v>
      </c>
      <c r="I15660" s="2">
        <v>0</v>
      </c>
      <c r="J15660" s="1">
        <v>45961.406724537039</v>
      </c>
    </row>
    <row r="15661" spans="1:10" x14ac:dyDescent="0.2">
      <c r="A15661" s="4" t="s">
        <v>1</v>
      </c>
      <c r="B15661" s="3" t="str">
        <f>HYPERLINK("https://otsuka-europe-crm.veevavault.com/ui/#object/approved_document__v/V5OZ025E82USSZ5", "LUP - Invitación webinar NL y RCV - nefro")</f>
        <v>LUP - Invitación webinar NL y RCV - nefro</v>
      </c>
      <c r="C15661" s="3" t="str">
        <f>HYPERLINK("https://otsuka-europe-crm.veevavault.com/ui/#object/sent_email__v/VBL000000005280", "SE-001380090")</f>
        <v>SE-001380090</v>
      </c>
      <c r="D15661" s="1" t="s">
        <v>0</v>
      </c>
      <c r="E15661" s="2">
        <v>0</v>
      </c>
      <c r="F15661" s="2">
        <v>0</v>
      </c>
      <c r="G15661" s="2">
        <v>0</v>
      </c>
      <c r="H15661" s="1" t="s">
        <v>0</v>
      </c>
      <c r="I15661" s="2">
        <v>0</v>
      </c>
      <c r="J15661" s="1">
        <v>45961.406724537039</v>
      </c>
    </row>
    <row r="15662" spans="1:10" x14ac:dyDescent="0.2">
      <c r="A15662" s="4" t="s">
        <v>1</v>
      </c>
      <c r="B15662" s="3" t="str">
        <f>HYPERLINK("https://otsuka-europe-crm.veevavault.com/ui/#object/approved_document__v/V5OZ025E82USSZ5", "LUP - Invitación webinar NL y RCV - nefro")</f>
        <v>LUP - Invitación webinar NL y RCV - nefro</v>
      </c>
      <c r="C15662" s="3" t="str">
        <f>HYPERLINK("https://otsuka-europe-crm.veevavault.com/ui/#object/sent_email__v/VBL000000005281", "SE-001380091")</f>
        <v>SE-001380091</v>
      </c>
      <c r="D15662" s="1" t="s">
        <v>0</v>
      </c>
      <c r="E15662" s="2">
        <v>0</v>
      </c>
      <c r="F15662" s="2">
        <v>0</v>
      </c>
      <c r="G15662" s="2">
        <v>0</v>
      </c>
      <c r="H15662" s="1" t="s">
        <v>0</v>
      </c>
      <c r="I15662" s="2">
        <v>0</v>
      </c>
      <c r="J15662" s="1">
        <v>45961.406724537039</v>
      </c>
    </row>
    <row r="15663" spans="1:10" x14ac:dyDescent="0.2">
      <c r="A15663" s="4" t="s">
        <v>1</v>
      </c>
      <c r="B15663" s="3" t="str">
        <f>HYPERLINK("https://otsuka-europe-crm.veevavault.com/ui/#object/approved_document__v/V5OZ025E82USSZ5", "LUP - Invitación webinar NL y RCV - nefro")</f>
        <v>LUP - Invitación webinar NL y RCV - nefro</v>
      </c>
      <c r="C15663" s="3" t="str">
        <f>HYPERLINK("https://otsuka-europe-crm.veevavault.com/ui/#object/sent_email__v/VBL000000005282", "SE-001380092")</f>
        <v>SE-001380092</v>
      </c>
      <c r="D15663" s="1" t="s">
        <v>0</v>
      </c>
      <c r="E15663" s="2">
        <v>0</v>
      </c>
      <c r="F15663" s="2">
        <v>0</v>
      </c>
      <c r="G15663" s="2">
        <v>0</v>
      </c>
      <c r="H15663" s="1" t="s">
        <v>0</v>
      </c>
      <c r="I15663" s="2">
        <v>0</v>
      </c>
      <c r="J15663" s="1">
        <v>45961.406724537039</v>
      </c>
    </row>
    <row r="15664" spans="1:10" x14ac:dyDescent="0.2">
      <c r="A15664" s="4" t="s">
        <v>1</v>
      </c>
      <c r="B15664" s="3" t="str">
        <f>HYPERLINK("https://otsuka-europe-crm.veevavault.com/ui/#object/approved_document__v/V5OZ025E82USSZ5", "LUP - Invitación webinar NL y RCV - nefro")</f>
        <v>LUP - Invitación webinar NL y RCV - nefro</v>
      </c>
      <c r="C15664" s="3" t="str">
        <f>HYPERLINK("https://otsuka-europe-crm.veevavault.com/ui/#object/sent_email__v/VBL000000005283", "SE-001380093")</f>
        <v>SE-001380093</v>
      </c>
      <c r="D15664" s="1" t="s">
        <v>0</v>
      </c>
      <c r="E15664" s="2">
        <v>0</v>
      </c>
      <c r="F15664" s="2">
        <v>0</v>
      </c>
      <c r="G15664" s="2">
        <v>0</v>
      </c>
      <c r="H15664" s="1" t="s">
        <v>0</v>
      </c>
      <c r="I15664" s="2">
        <v>0</v>
      </c>
      <c r="J15664" s="1">
        <v>45961.406724537039</v>
      </c>
    </row>
    <row r="15665" spans="1:10" x14ac:dyDescent="0.2">
      <c r="A15665" s="4" t="s">
        <v>1</v>
      </c>
      <c r="B15665" s="3" t="str">
        <f>HYPERLINK("https://otsuka-europe-crm.veevavault.com/ui/#object/approved_document__v/V5OZ025E82USSZ5", "LUP - Invitación webinar NL y RCV - nefro")</f>
        <v>LUP - Invitación webinar NL y RCV - nefro</v>
      </c>
      <c r="C15665" s="3" t="str">
        <f>HYPERLINK("https://otsuka-europe-crm.veevavault.com/ui/#object/sent_email__v/VBL000000005284", "SE-001380094")</f>
        <v>SE-001380094</v>
      </c>
      <c r="D15665" s="1" t="s">
        <v>0</v>
      </c>
      <c r="E15665" s="2">
        <v>0</v>
      </c>
      <c r="F15665" s="2">
        <v>0</v>
      </c>
      <c r="G15665" s="2">
        <v>0</v>
      </c>
      <c r="H15665" s="1" t="s">
        <v>0</v>
      </c>
      <c r="I15665" s="2">
        <v>0</v>
      </c>
      <c r="J15665" s="1">
        <v>45961.406736111108</v>
      </c>
    </row>
    <row r="15666" spans="1:10" x14ac:dyDescent="0.2">
      <c r="A15666" s="4" t="s">
        <v>1</v>
      </c>
      <c r="B15666" s="3" t="str">
        <f>HYPERLINK("https://otsuka-europe-crm.veevavault.com/ui/#object/approved_document__v/V5OZ025E82USSZ5", "LUP - Invitación webinar NL y RCV - nefro")</f>
        <v>LUP - Invitación webinar NL y RCV - nefro</v>
      </c>
      <c r="C15666" s="3" t="str">
        <f>HYPERLINK("https://otsuka-europe-crm.veevavault.com/ui/#object/sent_email__v/VBL000000005285", "SE-001380095")</f>
        <v>SE-001380095</v>
      </c>
      <c r="D15666" s="1" t="s">
        <v>0</v>
      </c>
      <c r="E15666" s="2">
        <v>0</v>
      </c>
      <c r="F15666" s="2">
        <v>0</v>
      </c>
      <c r="G15666" s="2">
        <v>0</v>
      </c>
      <c r="H15666" s="1" t="s">
        <v>0</v>
      </c>
      <c r="I15666" s="2">
        <v>0</v>
      </c>
      <c r="J15666" s="1">
        <v>45961.406724537039</v>
      </c>
    </row>
    <row r="15667" spans="1:10" x14ac:dyDescent="0.2">
      <c r="A15667" s="4" t="s">
        <v>1</v>
      </c>
      <c r="B15667" s="3" t="str">
        <f>HYPERLINK("https://otsuka-europe-crm.veevavault.com/ui/#object/approved_document__v/V5OZ025E82USSZ5", "LUP - Invitación webinar NL y RCV - nefro")</f>
        <v>LUP - Invitación webinar NL y RCV - nefro</v>
      </c>
      <c r="C15667" s="3" t="str">
        <f>HYPERLINK("https://otsuka-europe-crm.veevavault.com/ui/#object/sent_email__v/VBL000000005286", "SE-001380096")</f>
        <v>SE-001380096</v>
      </c>
      <c r="D15667" s="1" t="s">
        <v>0</v>
      </c>
      <c r="E15667" s="2">
        <v>0</v>
      </c>
      <c r="F15667" s="2">
        <v>0</v>
      </c>
      <c r="G15667" s="2">
        <v>0</v>
      </c>
      <c r="H15667" s="1" t="s">
        <v>0</v>
      </c>
      <c r="I15667" s="2">
        <v>0</v>
      </c>
      <c r="J15667" s="1">
        <v>45961.406736111108</v>
      </c>
    </row>
    <row r="15668" spans="1:10" x14ac:dyDescent="0.2">
      <c r="A15668" s="4" t="s">
        <v>1</v>
      </c>
      <c r="B15668" s="3" t="str">
        <f>HYPERLINK("https://otsuka-europe-crm.veevavault.com/ui/#object/approved_document__v/V5OZ025E82USSZ5", "LUP - Invitación webinar NL y RCV - nefro")</f>
        <v>LUP - Invitación webinar NL y RCV - nefro</v>
      </c>
      <c r="C15668" s="3" t="str">
        <f>HYPERLINK("https://otsuka-europe-crm.veevavault.com/ui/#object/sent_email__v/VBL000000005287", "SE-001380097")</f>
        <v>SE-001380097</v>
      </c>
      <c r="D15668" s="1" t="s">
        <v>0</v>
      </c>
      <c r="E15668" s="2">
        <v>0</v>
      </c>
      <c r="F15668" s="2">
        <v>0</v>
      </c>
      <c r="G15668" s="2">
        <v>0</v>
      </c>
      <c r="H15668" s="1" t="s">
        <v>0</v>
      </c>
      <c r="I15668" s="2">
        <v>0</v>
      </c>
      <c r="J15668" s="1">
        <v>45961.406736111108</v>
      </c>
    </row>
    <row r="15669" spans="1:10" x14ac:dyDescent="0.2">
      <c r="A15669" s="4" t="s">
        <v>1</v>
      </c>
      <c r="B15669" s="3" t="str">
        <f>HYPERLINK("https://otsuka-europe-crm.veevavault.com/ui/#object/approved_document__v/V5OZ025E82USSZ5", "LUP - Invitación webinar NL y RCV - nefro")</f>
        <v>LUP - Invitación webinar NL y RCV - nefro</v>
      </c>
      <c r="C15669" s="3" t="str">
        <f>HYPERLINK("https://otsuka-europe-crm.veevavault.com/ui/#object/sent_email__v/VBL000000005288", "SE-001380098")</f>
        <v>SE-001380098</v>
      </c>
      <c r="D15669" s="1" t="s">
        <v>0</v>
      </c>
      <c r="E15669" s="2">
        <v>0</v>
      </c>
      <c r="F15669" s="2">
        <v>0</v>
      </c>
      <c r="G15669" s="2">
        <v>0</v>
      </c>
      <c r="H15669" s="1" t="s">
        <v>0</v>
      </c>
      <c r="I15669" s="2">
        <v>0</v>
      </c>
      <c r="J15669" s="1">
        <v>45961.406736111108</v>
      </c>
    </row>
    <row r="15670" spans="1:10" x14ac:dyDescent="0.2">
      <c r="A15670" s="4" t="s">
        <v>1</v>
      </c>
      <c r="B15670" s="3" t="str">
        <f>HYPERLINK("https://otsuka-europe-crm.veevavault.com/ui/#object/approved_document__v/V5OZ025E82USSZ5", "LUP - Invitación webinar NL y RCV - nefro")</f>
        <v>LUP - Invitación webinar NL y RCV - nefro</v>
      </c>
      <c r="C15670" s="3" t="str">
        <f>HYPERLINK("https://otsuka-europe-crm.veevavault.com/ui/#object/sent_email__v/VBL000000005289", "SE-001380099")</f>
        <v>SE-001380099</v>
      </c>
      <c r="D15670" s="1" t="s">
        <v>0</v>
      </c>
      <c r="E15670" s="2">
        <v>0</v>
      </c>
      <c r="F15670" s="2">
        <v>0</v>
      </c>
      <c r="G15670" s="2">
        <v>0</v>
      </c>
      <c r="H15670" s="1" t="s">
        <v>0</v>
      </c>
      <c r="I15670" s="2">
        <v>0</v>
      </c>
      <c r="J15670" s="1">
        <v>45961.406747685185</v>
      </c>
    </row>
    <row r="15671" spans="1:10" x14ac:dyDescent="0.2">
      <c r="A15671" s="4" t="s">
        <v>1</v>
      </c>
      <c r="B15671" s="3" t="str">
        <f>HYPERLINK("https://otsuka-europe-crm.veevavault.com/ui/#object/approved_document__v/V5OZ025E82USSZ5", "LUP - Invitación webinar NL y RCV - nefro")</f>
        <v>LUP - Invitación webinar NL y RCV - nefro</v>
      </c>
      <c r="C15671" s="3" t="str">
        <f>HYPERLINK("https://otsuka-europe-crm.veevavault.com/ui/#object/sent_email__v/VBL000000005290", "SE-001380100")</f>
        <v>SE-001380100</v>
      </c>
      <c r="D15671" s="1" t="s">
        <v>0</v>
      </c>
      <c r="E15671" s="2">
        <v>0</v>
      </c>
      <c r="F15671" s="2">
        <v>0</v>
      </c>
      <c r="G15671" s="2">
        <v>0</v>
      </c>
      <c r="H15671" s="1" t="s">
        <v>0</v>
      </c>
      <c r="I15671" s="2">
        <v>0</v>
      </c>
      <c r="J15671" s="1">
        <v>45961.406747685185</v>
      </c>
    </row>
    <row r="15672" spans="1:10" x14ac:dyDescent="0.2">
      <c r="A15672" s="4" t="s">
        <v>1</v>
      </c>
      <c r="B15672" s="3" t="str">
        <f>HYPERLINK("https://otsuka-europe-crm.veevavault.com/ui/#object/approved_document__v/V5OZ025E82USSZ5", "LUP - Invitación webinar NL y RCV - nefro")</f>
        <v>LUP - Invitación webinar NL y RCV - nefro</v>
      </c>
      <c r="C15672" s="3" t="str">
        <f>HYPERLINK("https://otsuka-europe-crm.veevavault.com/ui/#object/sent_email__v/VBL000000005291", "SE-001380101")</f>
        <v>SE-001380101</v>
      </c>
      <c r="D15672" s="1" t="s">
        <v>0</v>
      </c>
      <c r="E15672" s="2">
        <v>0</v>
      </c>
      <c r="F15672" s="2">
        <v>0</v>
      </c>
      <c r="G15672" s="2">
        <v>0</v>
      </c>
      <c r="H15672" s="1" t="s">
        <v>0</v>
      </c>
      <c r="I15672" s="2">
        <v>0</v>
      </c>
      <c r="J15672" s="1">
        <v>45961.406747685185</v>
      </c>
    </row>
    <row r="15673" spans="1:10" x14ac:dyDescent="0.2">
      <c r="A15673" s="4" t="s">
        <v>1</v>
      </c>
      <c r="B15673" s="3" t="str">
        <f>HYPERLINK("https://otsuka-europe-crm.veevavault.com/ui/#object/approved_document__v/V5OZ025E82USSZ5", "LUP - Invitación webinar NL y RCV - nefro")</f>
        <v>LUP - Invitación webinar NL y RCV - nefro</v>
      </c>
      <c r="C15673" s="3" t="str">
        <f>HYPERLINK("https://otsuka-europe-crm.veevavault.com/ui/#object/sent_email__v/VBL000000005292", "SE-001380102")</f>
        <v>SE-001380102</v>
      </c>
      <c r="D15673" s="1" t="s">
        <v>0</v>
      </c>
      <c r="E15673" s="2">
        <v>0</v>
      </c>
      <c r="F15673" s="2">
        <v>0</v>
      </c>
      <c r="G15673" s="2">
        <v>0</v>
      </c>
      <c r="H15673" s="1" t="s">
        <v>0</v>
      </c>
      <c r="I15673" s="2">
        <v>0</v>
      </c>
      <c r="J15673" s="1">
        <v>45961.406747685185</v>
      </c>
    </row>
    <row r="15674" spans="1:10" x14ac:dyDescent="0.2">
      <c r="A15674" s="4" t="s">
        <v>1</v>
      </c>
      <c r="B15674" s="3" t="str">
        <f>HYPERLINK("https://otsuka-europe-crm.veevavault.com/ui/#object/approved_document__v/V5OZ025E82USSZ5", "LUP - Invitación webinar NL y RCV - nefro")</f>
        <v>LUP - Invitación webinar NL y RCV - nefro</v>
      </c>
      <c r="C15674" s="3" t="str">
        <f>HYPERLINK("https://otsuka-europe-crm.veevavault.com/ui/#object/sent_email__v/VBL000000005293", "SE-001380103")</f>
        <v>SE-001380103</v>
      </c>
      <c r="D15674" s="1" t="s">
        <v>0</v>
      </c>
      <c r="E15674" s="2">
        <v>0</v>
      </c>
      <c r="F15674" s="2">
        <v>0</v>
      </c>
      <c r="G15674" s="2">
        <v>0</v>
      </c>
      <c r="H15674" s="1" t="s">
        <v>0</v>
      </c>
      <c r="I15674" s="2">
        <v>0</v>
      </c>
      <c r="J15674" s="1">
        <v>45961.406747685185</v>
      </c>
    </row>
    <row r="15675" spans="1:10" x14ac:dyDescent="0.2">
      <c r="A15675" s="4" t="s">
        <v>1</v>
      </c>
      <c r="B15675" s="3" t="str">
        <f>HYPERLINK("https://otsuka-europe-crm.veevavault.com/ui/#object/approved_document__v/V5OZ025E82USSZ5", "LUP - Invitación webinar NL y RCV - nefro")</f>
        <v>LUP - Invitación webinar NL y RCV - nefro</v>
      </c>
      <c r="C15675" s="3" t="str">
        <f>HYPERLINK("https://otsuka-europe-crm.veevavault.com/ui/#object/sent_email__v/VBL000000005294", "SE-001380104")</f>
        <v>SE-001380104</v>
      </c>
      <c r="D15675" s="1" t="s">
        <v>0</v>
      </c>
      <c r="E15675" s="2">
        <v>0</v>
      </c>
      <c r="F15675" s="2">
        <v>0</v>
      </c>
      <c r="G15675" s="2">
        <v>0</v>
      </c>
      <c r="H15675" s="1" t="s">
        <v>0</v>
      </c>
      <c r="I15675" s="2">
        <v>0</v>
      </c>
      <c r="J15675" s="1">
        <v>45961.406747685185</v>
      </c>
    </row>
    <row r="15676" spans="1:10" x14ac:dyDescent="0.2">
      <c r="A15676" s="4" t="s">
        <v>1</v>
      </c>
      <c r="B15676" s="3" t="str">
        <f>HYPERLINK("https://otsuka-europe-crm.veevavault.com/ui/#object/approved_document__v/V5OZ025E82USSZ5", "LUP - Invitación webinar NL y RCV - nefro")</f>
        <v>LUP - Invitación webinar NL y RCV - nefro</v>
      </c>
      <c r="C15676" s="3" t="str">
        <f>HYPERLINK("https://otsuka-europe-crm.veevavault.com/ui/#object/sent_email__v/VBL000000005295", "SE-001380105")</f>
        <v>SE-001380105</v>
      </c>
      <c r="D15676" s="1" t="s">
        <v>0</v>
      </c>
      <c r="E15676" s="2">
        <v>0</v>
      </c>
      <c r="F15676" s="2">
        <v>0</v>
      </c>
      <c r="G15676" s="2">
        <v>0</v>
      </c>
      <c r="H15676" s="1" t="s">
        <v>0</v>
      </c>
      <c r="I15676" s="2">
        <v>0</v>
      </c>
      <c r="J15676" s="1">
        <v>45961.406747685185</v>
      </c>
    </row>
    <row r="15677" spans="1:10" x14ac:dyDescent="0.2">
      <c r="A15677" s="4" t="s">
        <v>1</v>
      </c>
      <c r="B15677" s="3" t="str">
        <f>HYPERLINK("https://otsuka-europe-crm.veevavault.com/ui/#object/approved_document__v/V5OZ025E82USSZ5", "LUP - Invitación webinar NL y RCV - nefro")</f>
        <v>LUP - Invitación webinar NL y RCV - nefro</v>
      </c>
      <c r="C15677" s="3" t="str">
        <f>HYPERLINK("https://otsuka-europe-crm.veevavault.com/ui/#object/sent_email__v/VBL000000005296", "SE-001380106")</f>
        <v>SE-001380106</v>
      </c>
      <c r="D15677" s="1" t="s">
        <v>0</v>
      </c>
      <c r="E15677" s="2">
        <v>0</v>
      </c>
      <c r="F15677" s="2">
        <v>0</v>
      </c>
      <c r="G15677" s="2">
        <v>0</v>
      </c>
      <c r="H15677" s="1" t="s">
        <v>0</v>
      </c>
      <c r="I15677" s="2">
        <v>0</v>
      </c>
      <c r="J15677" s="1">
        <v>45961.406747685185</v>
      </c>
    </row>
    <row r="15678" spans="1:10" x14ac:dyDescent="0.2">
      <c r="A15678" s="4" t="s">
        <v>1</v>
      </c>
      <c r="B15678" s="3" t="str">
        <f>HYPERLINK("https://otsuka-europe-crm.veevavault.com/ui/#object/approved_document__v/V5OZ025E82USSZ5", "LUP - Invitación webinar NL y RCV - nefro")</f>
        <v>LUP - Invitación webinar NL y RCV - nefro</v>
      </c>
      <c r="C15678" s="3" t="str">
        <f>HYPERLINK("https://otsuka-europe-crm.veevavault.com/ui/#object/sent_email__v/VBL000000005297", "SE-001380107")</f>
        <v>SE-001380107</v>
      </c>
      <c r="D15678" s="1" t="s">
        <v>0</v>
      </c>
      <c r="E15678" s="2">
        <v>0</v>
      </c>
      <c r="F15678" s="2">
        <v>0</v>
      </c>
      <c r="G15678" s="2">
        <v>0</v>
      </c>
      <c r="H15678" s="1" t="s">
        <v>0</v>
      </c>
      <c r="I15678" s="2">
        <v>0</v>
      </c>
      <c r="J15678" s="1">
        <v>45961.406747685185</v>
      </c>
    </row>
    <row r="15679" spans="1:10" x14ac:dyDescent="0.2">
      <c r="A15679" s="4" t="s">
        <v>1</v>
      </c>
      <c r="B15679" s="3" t="str">
        <f>HYPERLINK("https://otsuka-europe-crm.veevavault.com/ui/#object/approved_document__v/V5OZ025E82USSZ5", "LUP - Invitación webinar NL y RCV - nefro")</f>
        <v>LUP - Invitación webinar NL y RCV - nefro</v>
      </c>
      <c r="C15679" s="3" t="str">
        <f>HYPERLINK("https://otsuka-europe-crm.veevavault.com/ui/#object/sent_email__v/VBL000000005298", "SE-001380108")</f>
        <v>SE-001380108</v>
      </c>
      <c r="D15679" s="1" t="s">
        <v>0</v>
      </c>
      <c r="E15679" s="2">
        <v>0</v>
      </c>
      <c r="F15679" s="2">
        <v>0</v>
      </c>
      <c r="G15679" s="2">
        <v>0</v>
      </c>
      <c r="H15679" s="1" t="s">
        <v>0</v>
      </c>
      <c r="I15679" s="2">
        <v>0</v>
      </c>
      <c r="J15679" s="1">
        <v>45961.406747685185</v>
      </c>
    </row>
    <row r="15680" spans="1:10" x14ac:dyDescent="0.2">
      <c r="A15680" s="4" t="s">
        <v>1</v>
      </c>
      <c r="B15680" s="3" t="str">
        <f>HYPERLINK("https://otsuka-europe-crm.veevavault.com/ui/#object/approved_document__v/V5OZ025E82USSZ5", "LUP - Invitación webinar NL y RCV - nefro")</f>
        <v>LUP - Invitación webinar NL y RCV - nefro</v>
      </c>
      <c r="C15680" s="3" t="str">
        <f>HYPERLINK("https://otsuka-europe-crm.veevavault.com/ui/#object/sent_email__v/VBL000000005299", "SE-001380109")</f>
        <v>SE-001380109</v>
      </c>
      <c r="D15680" s="1" t="s">
        <v>0</v>
      </c>
      <c r="E15680" s="2">
        <v>0</v>
      </c>
      <c r="F15680" s="2">
        <v>0</v>
      </c>
      <c r="G15680" s="2">
        <v>0</v>
      </c>
      <c r="H15680" s="1" t="s">
        <v>0</v>
      </c>
      <c r="I15680" s="2">
        <v>0</v>
      </c>
      <c r="J15680" s="1">
        <v>45961.406747685185</v>
      </c>
    </row>
    <row r="15681" spans="1:10" x14ac:dyDescent="0.2">
      <c r="A15681" s="4" t="s">
        <v>1</v>
      </c>
      <c r="B15681" s="3" t="str">
        <f>HYPERLINK("https://otsuka-europe-crm.veevavault.com/ui/#object/approved_document__v/V5OZ025E82USSZ5", "LUP - Invitación webinar NL y RCV - nefro")</f>
        <v>LUP - Invitación webinar NL y RCV - nefro</v>
      </c>
      <c r="C15681" s="3" t="str">
        <f>HYPERLINK("https://otsuka-europe-crm.veevavault.com/ui/#object/sent_email__v/VBL000000005300", "SE-001380110")</f>
        <v>SE-001380110</v>
      </c>
      <c r="D15681" s="1" t="s">
        <v>0</v>
      </c>
      <c r="E15681" s="2">
        <v>0</v>
      </c>
      <c r="F15681" s="2">
        <v>0</v>
      </c>
      <c r="G15681" s="2">
        <v>0</v>
      </c>
      <c r="H15681" s="1" t="s">
        <v>0</v>
      </c>
      <c r="I15681" s="2">
        <v>0</v>
      </c>
      <c r="J15681" s="1">
        <v>45961.406747685185</v>
      </c>
    </row>
    <row r="15682" spans="1:10" x14ac:dyDescent="0.2">
      <c r="A15682" s="4" t="s">
        <v>1</v>
      </c>
      <c r="B15682" s="3" t="str">
        <f>HYPERLINK("https://otsuka-europe-crm.veevavault.com/ui/#object/approved_document__v/V5OZ025E82USSZ5", "LUP - Invitación webinar NL y RCV - nefro")</f>
        <v>LUP - Invitación webinar NL y RCV - nefro</v>
      </c>
      <c r="C15682" s="3" t="str">
        <f>HYPERLINK("https://otsuka-europe-crm.veevavault.com/ui/#object/sent_email__v/VBL000000005301", "SE-001380111")</f>
        <v>SE-001380111</v>
      </c>
      <c r="D15682" s="1" t="s">
        <v>0</v>
      </c>
      <c r="E15682" s="2">
        <v>0</v>
      </c>
      <c r="F15682" s="2">
        <v>0</v>
      </c>
      <c r="G15682" s="2">
        <v>0</v>
      </c>
      <c r="H15682" s="1" t="s">
        <v>0</v>
      </c>
      <c r="I15682" s="2">
        <v>0</v>
      </c>
      <c r="J15682" s="1">
        <v>45961.406747685185</v>
      </c>
    </row>
    <row r="15683" spans="1:10" x14ac:dyDescent="0.2">
      <c r="A15683" s="4" t="s">
        <v>1</v>
      </c>
      <c r="B15683" s="3" t="str">
        <f>HYPERLINK("https://otsuka-europe-crm.veevavault.com/ui/#object/approved_document__v/V5OZ025E82USSZ5", "LUP - Invitación webinar NL y RCV - nefro")</f>
        <v>LUP - Invitación webinar NL y RCV - nefro</v>
      </c>
      <c r="C15683" s="3" t="str">
        <f>HYPERLINK("https://otsuka-europe-crm.veevavault.com/ui/#object/sent_email__v/VBL000000005302", "SE-001380112")</f>
        <v>SE-001380112</v>
      </c>
      <c r="D15683" s="1" t="s">
        <v>0</v>
      </c>
      <c r="E15683" s="2">
        <v>0</v>
      </c>
      <c r="F15683" s="2">
        <v>0</v>
      </c>
      <c r="G15683" s="2">
        <v>0</v>
      </c>
      <c r="H15683" s="1" t="s">
        <v>0</v>
      </c>
      <c r="I15683" s="2">
        <v>0</v>
      </c>
      <c r="J15683" s="1">
        <v>45961.406747685185</v>
      </c>
    </row>
    <row r="15684" spans="1:10" x14ac:dyDescent="0.2">
      <c r="A15684" s="4" t="s">
        <v>1</v>
      </c>
      <c r="B15684" s="3" t="str">
        <f>HYPERLINK("https://otsuka-europe-crm.veevavault.com/ui/#object/approved_document__v/V5OZ025E82USSZ5", "LUP - Invitación webinar NL y RCV - nefro")</f>
        <v>LUP - Invitación webinar NL y RCV - nefro</v>
      </c>
      <c r="C15684" s="3" t="str">
        <f>HYPERLINK("https://otsuka-europe-crm.veevavault.com/ui/#object/sent_email__v/VBL000000005303", "SE-001380113")</f>
        <v>SE-001380113</v>
      </c>
      <c r="D15684" s="1" t="s">
        <v>0</v>
      </c>
      <c r="E15684" s="2">
        <v>0</v>
      </c>
      <c r="F15684" s="2">
        <v>0</v>
      </c>
      <c r="G15684" s="2">
        <v>0</v>
      </c>
      <c r="H15684" s="1" t="s">
        <v>0</v>
      </c>
      <c r="I15684" s="2">
        <v>0</v>
      </c>
      <c r="J15684" s="1">
        <v>45961.406747685185</v>
      </c>
    </row>
    <row r="15685" spans="1:10" x14ac:dyDescent="0.2">
      <c r="A15685" s="4" t="s">
        <v>1</v>
      </c>
      <c r="B15685" s="3" t="str">
        <f>HYPERLINK("https://otsuka-europe-crm.veevavault.com/ui/#object/approved_document__v/V5OZ025E82UW8W9", "LUP - Invitación webinar NL y RCV - reuma")</f>
        <v>LUP - Invitación webinar NL y RCV - reuma</v>
      </c>
      <c r="C15685" s="3" t="str">
        <f>HYPERLINK("https://otsuka-europe-crm.veevavault.com/ui/#object/sent_email__v/VBLZ025E82HQ8UP", "SE-000288965")</f>
        <v>SE-000288965</v>
      </c>
      <c r="D15685" s="1" t="s">
        <v>0</v>
      </c>
      <c r="E15685" s="2">
        <v>0</v>
      </c>
      <c r="F15685" s="2">
        <v>0</v>
      </c>
      <c r="G15685" s="2">
        <v>0</v>
      </c>
      <c r="H15685" s="1" t="s">
        <v>0</v>
      </c>
      <c r="I15685" s="2">
        <v>0</v>
      </c>
      <c r="J15685" s="1">
        <v>45952.377476851849</v>
      </c>
    </row>
    <row r="15686" spans="1:10" x14ac:dyDescent="0.2">
      <c r="A15686" s="4" t="s">
        <v>1</v>
      </c>
      <c r="B15686" s="3" t="str">
        <f>HYPERLINK("https://otsuka-europe-crm.veevavault.com/ui/#object/approved_document__v/V5OZ025E82UW8W9", "LUP - Invitación webinar NL y RCV - reuma")</f>
        <v>LUP - Invitación webinar NL y RCV - reuma</v>
      </c>
      <c r="C15686" s="3" t="str">
        <f>HYPERLINK("https://otsuka-europe-crm.veevavault.com/ui/#object/sent_email__v/VBLZ025E82HQ8UQ", "SE-000288966")</f>
        <v>SE-000288966</v>
      </c>
      <c r="D15686" s="1" t="s">
        <v>0</v>
      </c>
      <c r="E15686" s="2">
        <v>0</v>
      </c>
      <c r="F15686" s="2">
        <v>0</v>
      </c>
      <c r="G15686" s="2">
        <v>0</v>
      </c>
      <c r="H15686" s="1" t="s">
        <v>0</v>
      </c>
      <c r="I15686" s="2">
        <v>0</v>
      </c>
      <c r="J15686" s="1">
        <v>45952.377500000002</v>
      </c>
    </row>
    <row r="15687" spans="1:10" x14ac:dyDescent="0.2">
      <c r="A15687" s="4" t="s">
        <v>1</v>
      </c>
      <c r="B15687" s="3" t="str">
        <f>HYPERLINK("https://otsuka-europe-crm.veevavault.com/ui/#object/approved_document__v/V5OZ025E82UW8W9", "LUP - Invitación webinar NL y RCV - reuma")</f>
        <v>LUP - Invitación webinar NL y RCV - reuma</v>
      </c>
      <c r="C15687" s="3" t="str">
        <f>HYPERLINK("https://otsuka-europe-crm.veevavault.com/ui/#object/sent_email__v/VBLZ025E82HQ8UR", "SE-000288967")</f>
        <v>SE-000288967</v>
      </c>
      <c r="D15687" s="1" t="s">
        <v>0</v>
      </c>
      <c r="E15687" s="2">
        <v>0</v>
      </c>
      <c r="F15687" s="2">
        <v>0</v>
      </c>
      <c r="G15687" s="2">
        <v>0</v>
      </c>
      <c r="H15687" s="1" t="s">
        <v>0</v>
      </c>
      <c r="I15687" s="2">
        <v>0</v>
      </c>
      <c r="J15687" s="1">
        <v>45952.377453703702</v>
      </c>
    </row>
    <row r="15688" spans="1:10" x14ac:dyDescent="0.2">
      <c r="A15688" s="4" t="s">
        <v>1</v>
      </c>
      <c r="B15688" s="3" t="str">
        <f>HYPERLINK("https://otsuka-europe-crm.veevavault.com/ui/#object/approved_document__v/V5OZ025E82UW8W9", "LUP - Invitación webinar NL y RCV - reuma")</f>
        <v>LUP - Invitación webinar NL y RCV - reuma</v>
      </c>
      <c r="C15688" s="3" t="str">
        <f>HYPERLINK("https://otsuka-europe-crm.veevavault.com/ui/#object/sent_email__v/VBLZ025E82HQ8US", "SE-000288968")</f>
        <v>SE-000288968</v>
      </c>
      <c r="D15688" s="1" t="s">
        <v>0</v>
      </c>
      <c r="E15688" s="2">
        <v>0</v>
      </c>
      <c r="F15688" s="2">
        <v>0</v>
      </c>
      <c r="G15688" s="2">
        <v>0</v>
      </c>
      <c r="H15688" s="1" t="s">
        <v>0</v>
      </c>
      <c r="I15688" s="2">
        <v>0</v>
      </c>
      <c r="J15688" s="1">
        <v>45952.377465277779</v>
      </c>
    </row>
    <row r="15689" spans="1:10" x14ac:dyDescent="0.2">
      <c r="A15689" s="4" t="s">
        <v>1</v>
      </c>
      <c r="B15689" s="3" t="str">
        <f>HYPERLINK("https://otsuka-europe-crm.veevavault.com/ui/#object/approved_document__v/V5OZ025E82UW8W9", "LUP - Invitación webinar NL y RCV - reuma")</f>
        <v>LUP - Invitación webinar NL y RCV - reuma</v>
      </c>
      <c r="C15689" s="3" t="str">
        <f>HYPERLINK("https://otsuka-europe-crm.veevavault.com/ui/#object/sent_email__v/VBLZ025E82HQ8UT", "SE-000288969")</f>
        <v>SE-000288969</v>
      </c>
      <c r="D15689" s="1">
        <v>45953.262094907404</v>
      </c>
      <c r="E15689" s="2">
        <v>1</v>
      </c>
      <c r="F15689" s="2">
        <v>1</v>
      </c>
      <c r="G15689" s="2">
        <v>0</v>
      </c>
      <c r="H15689" s="1" t="s">
        <v>0</v>
      </c>
      <c r="I15689" s="2">
        <v>0</v>
      </c>
      <c r="J15689" s="1">
        <v>45952.377523148149</v>
      </c>
    </row>
    <row r="15690" spans="1:10" x14ac:dyDescent="0.2">
      <c r="A15690" s="4" t="s">
        <v>1</v>
      </c>
      <c r="B15690" s="3" t="str">
        <f>HYPERLINK("https://otsuka-europe-crm.veevavault.com/ui/#object/approved_document__v/V5OZ025E82UW8W9", "LUP - Invitación webinar NL y RCV - reuma")</f>
        <v>LUP - Invitación webinar NL y RCV - reuma</v>
      </c>
      <c r="C15690" s="3" t="str">
        <f>HYPERLINK("https://otsuka-europe-crm.veevavault.com/ui/#object/sent_email__v/VBLZ025E82HQ8UU", "SE-000288970")</f>
        <v>SE-000288970</v>
      </c>
      <c r="D15690" s="1">
        <v>45953.505740740744</v>
      </c>
      <c r="E15690" s="2">
        <v>1</v>
      </c>
      <c r="F15690" s="2">
        <v>1</v>
      </c>
      <c r="G15690" s="2">
        <v>0</v>
      </c>
      <c r="H15690" s="1" t="s">
        <v>0</v>
      </c>
      <c r="I15690" s="2">
        <v>0</v>
      </c>
      <c r="J15690" s="1">
        <v>45952.377442129633</v>
      </c>
    </row>
    <row r="15691" spans="1:10" x14ac:dyDescent="0.2">
      <c r="A15691" s="4" t="s">
        <v>1</v>
      </c>
      <c r="B15691" s="3" t="str">
        <f>HYPERLINK("https://otsuka-europe-crm.veevavault.com/ui/#object/approved_document__v/V5OZ025E82UW8W9", "LUP - Invitación webinar NL y RCV - reuma")</f>
        <v>LUP - Invitación webinar NL y RCV - reuma</v>
      </c>
      <c r="C15691" s="3" t="str">
        <f>HYPERLINK("https://otsuka-europe-crm.veevavault.com/ui/#object/sent_email__v/VBLZ025E82HQ8UV", "SE-000288971")</f>
        <v>SE-000288971</v>
      </c>
      <c r="D15691" s="1">
        <v>45958.377430555556</v>
      </c>
      <c r="E15691" s="2">
        <v>1</v>
      </c>
      <c r="F15691" s="2">
        <v>2</v>
      </c>
      <c r="G15691" s="2">
        <v>0</v>
      </c>
      <c r="H15691" s="1" t="s">
        <v>0</v>
      </c>
      <c r="I15691" s="2">
        <v>0</v>
      </c>
      <c r="J15691" s="1">
        <v>45952.377453703702</v>
      </c>
    </row>
    <row r="15692" spans="1:10" x14ac:dyDescent="0.2">
      <c r="A15692" s="4" t="s">
        <v>1</v>
      </c>
      <c r="B15692" s="3" t="str">
        <f>HYPERLINK("https://otsuka-europe-crm.veevavault.com/ui/#object/approved_document__v/V5OZ025E82UW8W9", "LUP - Invitación webinar NL y RCV - reuma")</f>
        <v>LUP - Invitación webinar NL y RCV - reuma</v>
      </c>
      <c r="C15692" s="3" t="str">
        <f>HYPERLINK("https://otsuka-europe-crm.veevavault.com/ui/#object/sent_email__v/VBLZ025E82HQ8UW", "SE-000288972")</f>
        <v>SE-000288972</v>
      </c>
      <c r="D15692" s="1" t="s">
        <v>0</v>
      </c>
      <c r="E15692" s="2">
        <v>0</v>
      </c>
      <c r="F15692" s="2">
        <v>0</v>
      </c>
      <c r="G15692" s="2">
        <v>0</v>
      </c>
      <c r="H15692" s="1" t="s">
        <v>0</v>
      </c>
      <c r="I15692" s="2">
        <v>0</v>
      </c>
      <c r="J15692" s="1">
        <v>45952.377442129633</v>
      </c>
    </row>
    <row r="15693" spans="1:10" x14ac:dyDescent="0.2">
      <c r="A15693" s="4" t="s">
        <v>1</v>
      </c>
      <c r="B15693" s="3" t="str">
        <f>HYPERLINK("https://otsuka-europe-crm.veevavault.com/ui/#object/approved_document__v/V5OZ025E82UW8W9", "LUP - Invitación webinar NL y RCV - reuma")</f>
        <v>LUP - Invitación webinar NL y RCV - reuma</v>
      </c>
      <c r="C15693" s="3" t="str">
        <f>HYPERLINK("https://otsuka-europe-crm.veevavault.com/ui/#object/sent_email__v/VBLZ025E82HQ8UX", "SE-000288973")</f>
        <v>SE-000288973</v>
      </c>
      <c r="D15693" s="1" t="s">
        <v>0</v>
      </c>
      <c r="E15693" s="2">
        <v>0</v>
      </c>
      <c r="F15693" s="2">
        <v>0</v>
      </c>
      <c r="G15693" s="2">
        <v>0</v>
      </c>
      <c r="H15693" s="1" t="s">
        <v>0</v>
      </c>
      <c r="I15693" s="2">
        <v>0</v>
      </c>
      <c r="J15693" s="1">
        <v>45952.377476851849</v>
      </c>
    </row>
    <row r="15694" spans="1:10" x14ac:dyDescent="0.2">
      <c r="A15694" s="4" t="s">
        <v>1</v>
      </c>
      <c r="B15694" s="3" t="str">
        <f>HYPERLINK("https://otsuka-europe-crm.veevavault.com/ui/#object/approved_document__v/V5OZ025E82UW8W9", "LUP - Invitación webinar NL y RCV - reuma")</f>
        <v>LUP - Invitación webinar NL y RCV - reuma</v>
      </c>
      <c r="C15694" s="3" t="str">
        <f>HYPERLINK("https://otsuka-europe-crm.veevavault.com/ui/#object/sent_email__v/VBLZ025E82HQ8UY", "SE-000288974")</f>
        <v>SE-000288974</v>
      </c>
      <c r="D15694" s="1">
        <v>45953.007847222223</v>
      </c>
      <c r="E15694" s="2">
        <v>1</v>
      </c>
      <c r="F15694" s="2">
        <v>2</v>
      </c>
      <c r="G15694" s="2">
        <v>0</v>
      </c>
      <c r="H15694" s="1" t="s">
        <v>0</v>
      </c>
      <c r="I15694" s="2">
        <v>0</v>
      </c>
      <c r="J15694" s="1">
        <v>45952.377500000002</v>
      </c>
    </row>
    <row r="15695" spans="1:10" x14ac:dyDescent="0.2">
      <c r="A15695" s="4" t="s">
        <v>1</v>
      </c>
      <c r="B15695" s="3" t="str">
        <f>HYPERLINK("https://otsuka-europe-crm.veevavault.com/ui/#object/approved_document__v/V5OZ025E82UW8W9", "LUP - Invitación webinar NL y RCV - reuma")</f>
        <v>LUP - Invitación webinar NL y RCV - reuma</v>
      </c>
      <c r="C15695" s="3" t="str">
        <f>HYPERLINK("https://otsuka-europe-crm.veevavault.com/ui/#object/sent_email__v/VBLZ025E82HQ8UZ", "SE-000288975")</f>
        <v>SE-000288975</v>
      </c>
      <c r="D15695" s="1">
        <v>45969.115104166667</v>
      </c>
      <c r="E15695" s="2">
        <v>1</v>
      </c>
      <c r="F15695" s="2">
        <v>2</v>
      </c>
      <c r="G15695" s="2">
        <v>0</v>
      </c>
      <c r="H15695" s="1" t="s">
        <v>0</v>
      </c>
      <c r="I15695" s="2">
        <v>0</v>
      </c>
      <c r="J15695" s="1">
        <v>45952.377500000002</v>
      </c>
    </row>
    <row r="15696" spans="1:10" x14ac:dyDescent="0.2">
      <c r="A15696" s="4" t="s">
        <v>1</v>
      </c>
      <c r="B15696" s="3" t="str">
        <f>HYPERLINK("https://otsuka-europe-crm.veevavault.com/ui/#object/approved_document__v/V5OZ025E82UW8W9", "LUP - Invitación webinar NL y RCV - reuma")</f>
        <v>LUP - Invitación webinar NL y RCV - reuma</v>
      </c>
      <c r="C15696" s="3" t="str">
        <f>HYPERLINK("https://otsuka-europe-crm.veevavault.com/ui/#object/sent_email__v/VBLZ025E82HQ8V0", "SE-000288976")</f>
        <v>SE-000288976</v>
      </c>
      <c r="D15696" s="1">
        <v>45952.611631944441</v>
      </c>
      <c r="E15696" s="2">
        <v>1</v>
      </c>
      <c r="F15696" s="2">
        <v>1</v>
      </c>
      <c r="G15696" s="2">
        <v>0</v>
      </c>
      <c r="H15696" s="1" t="s">
        <v>0</v>
      </c>
      <c r="I15696" s="2">
        <v>0</v>
      </c>
      <c r="J15696" s="1">
        <v>45952.377488425926</v>
      </c>
    </row>
    <row r="15697" spans="1:10" x14ac:dyDescent="0.2">
      <c r="A15697" s="4" t="s">
        <v>1</v>
      </c>
      <c r="B15697" s="3" t="str">
        <f>HYPERLINK("https://otsuka-europe-crm.veevavault.com/ui/#object/approved_document__v/V5OZ025E82UW8W9", "LUP - Invitación webinar NL y RCV - reuma")</f>
        <v>LUP - Invitación webinar NL y RCV - reuma</v>
      </c>
      <c r="C15697" s="3" t="str">
        <f>HYPERLINK("https://otsuka-europe-crm.veevavault.com/ui/#object/sent_email__v/VBLZ025E82HQ8V1", "SE-000288977")</f>
        <v>SE-000288977</v>
      </c>
      <c r="D15697" s="1">
        <v>45952.386307870373</v>
      </c>
      <c r="E15697" s="2">
        <v>1</v>
      </c>
      <c r="F15697" s="2">
        <v>1</v>
      </c>
      <c r="G15697" s="2">
        <v>0</v>
      </c>
      <c r="H15697" s="1" t="s">
        <v>0</v>
      </c>
      <c r="I15697" s="2">
        <v>0</v>
      </c>
      <c r="J15697" s="1">
        <v>45952.377488425926</v>
      </c>
    </row>
    <row r="15698" spans="1:10" x14ac:dyDescent="0.2">
      <c r="A15698" s="4" t="s">
        <v>1</v>
      </c>
      <c r="B15698" s="3" t="str">
        <f>HYPERLINK("https://otsuka-europe-crm.veevavault.com/ui/#object/approved_document__v/V5OZ025E82UW8W9", "LUP - Invitación webinar NL y RCV - reuma")</f>
        <v>LUP - Invitación webinar NL y RCV - reuma</v>
      </c>
      <c r="C15698" s="3" t="str">
        <f>HYPERLINK("https://otsuka-europe-crm.veevavault.com/ui/#object/sent_email__v/VBLZ025E82HQ8V2", "SE-000288978")</f>
        <v>SE-000288978</v>
      </c>
      <c r="D15698" s="1" t="s">
        <v>0</v>
      </c>
      <c r="E15698" s="2">
        <v>0</v>
      </c>
      <c r="F15698" s="2">
        <v>0</v>
      </c>
      <c r="G15698" s="2">
        <v>0</v>
      </c>
      <c r="H15698" s="1" t="s">
        <v>0</v>
      </c>
      <c r="I15698" s="2">
        <v>0</v>
      </c>
      <c r="J15698" s="1">
        <v>45952.377453703702</v>
      </c>
    </row>
    <row r="15699" spans="1:10" x14ac:dyDescent="0.2">
      <c r="A15699" s="4" t="s">
        <v>1</v>
      </c>
      <c r="B15699" s="3" t="str">
        <f>HYPERLINK("https://otsuka-europe-crm.veevavault.com/ui/#object/approved_document__v/V5OZ025E82UW8W9", "LUP - Invitación webinar NL y RCV - reuma")</f>
        <v>LUP - Invitación webinar NL y RCV - reuma</v>
      </c>
      <c r="C15699" s="3" t="str">
        <f>HYPERLINK("https://otsuka-europe-crm.veevavault.com/ui/#object/sent_email__v/VBLZ025E82HQ8V3", "SE-000288979")</f>
        <v>SE-000288979</v>
      </c>
      <c r="D15699" s="1" t="s">
        <v>0</v>
      </c>
      <c r="E15699" s="2">
        <v>0</v>
      </c>
      <c r="F15699" s="2">
        <v>0</v>
      </c>
      <c r="G15699" s="2">
        <v>0</v>
      </c>
      <c r="H15699" s="1" t="s">
        <v>0</v>
      </c>
      <c r="I15699" s="2">
        <v>0</v>
      </c>
      <c r="J15699" s="1">
        <v>45952.377453703702</v>
      </c>
    </row>
    <row r="15700" spans="1:10" x14ac:dyDescent="0.2">
      <c r="A15700" s="4" t="s">
        <v>1</v>
      </c>
      <c r="B15700" s="3" t="str">
        <f>HYPERLINK("https://otsuka-europe-crm.veevavault.com/ui/#object/approved_document__v/V5OZ025E82UW8W9", "LUP - Invitación webinar NL y RCV - reuma")</f>
        <v>LUP - Invitación webinar NL y RCV - reuma</v>
      </c>
      <c r="C15700" s="3" t="str">
        <f>HYPERLINK("https://otsuka-europe-crm.veevavault.com/ui/#object/sent_email__v/VBLZ025E82HQ8V4", "SE-000288980")</f>
        <v>SE-000288980</v>
      </c>
      <c r="D15700" s="1" t="s">
        <v>0</v>
      </c>
      <c r="E15700" s="2">
        <v>0</v>
      </c>
      <c r="F15700" s="2">
        <v>0</v>
      </c>
      <c r="G15700" s="2">
        <v>0</v>
      </c>
      <c r="H15700" s="1" t="s">
        <v>0</v>
      </c>
      <c r="I15700" s="2">
        <v>0</v>
      </c>
      <c r="J15700" s="1">
        <v>45952.377500000002</v>
      </c>
    </row>
    <row r="15701" spans="1:10" x14ac:dyDescent="0.2">
      <c r="A15701" s="4" t="s">
        <v>1</v>
      </c>
      <c r="B15701" s="3" t="str">
        <f>HYPERLINK("https://otsuka-europe-crm.veevavault.com/ui/#object/approved_document__v/V5OZ025E82UW8W9", "LUP - Invitación webinar NL y RCV - reuma")</f>
        <v>LUP - Invitación webinar NL y RCV - reuma</v>
      </c>
      <c r="C15701" s="3" t="str">
        <f>HYPERLINK("https://otsuka-europe-crm.veevavault.com/ui/#object/sent_email__v/VBLZ025E82HQ8V5", "SE-000288981")</f>
        <v>SE-000288981</v>
      </c>
      <c r="D15701" s="1">
        <v>45952.377743055556</v>
      </c>
      <c r="E15701" s="2">
        <v>1</v>
      </c>
      <c r="F15701" s="2">
        <v>1</v>
      </c>
      <c r="G15701" s="2">
        <v>0</v>
      </c>
      <c r="H15701" s="1" t="s">
        <v>0</v>
      </c>
      <c r="I15701" s="2">
        <v>0</v>
      </c>
      <c r="J15701" s="1">
        <v>45952.377488425926</v>
      </c>
    </row>
    <row r="15702" spans="1:10" x14ac:dyDescent="0.2">
      <c r="A15702" s="4" t="s">
        <v>1</v>
      </c>
      <c r="B15702" s="3" t="str">
        <f>HYPERLINK("https://otsuka-europe-crm.veevavault.com/ui/#object/approved_document__v/V5OZ025E82UW8W9", "LUP - Invitación webinar NL y RCV - reuma")</f>
        <v>LUP - Invitación webinar NL y RCV - reuma</v>
      </c>
      <c r="C15702" s="3" t="str">
        <f>HYPERLINK("https://otsuka-europe-crm.veevavault.com/ui/#object/sent_email__v/VBLZ025E82HQ8V6", "SE-000288982")</f>
        <v>SE-000288982</v>
      </c>
      <c r="D15702" s="1">
        <v>45953.208368055559</v>
      </c>
      <c r="E15702" s="2">
        <v>1</v>
      </c>
      <c r="F15702" s="2">
        <v>3</v>
      </c>
      <c r="G15702" s="2">
        <v>0</v>
      </c>
      <c r="H15702" s="1" t="s">
        <v>0</v>
      </c>
      <c r="I15702" s="2">
        <v>0</v>
      </c>
      <c r="J15702" s="1">
        <v>45952.377453703702</v>
      </c>
    </row>
    <row r="15703" spans="1:10" x14ac:dyDescent="0.2">
      <c r="A15703" s="4" t="s">
        <v>1</v>
      </c>
      <c r="B15703" s="3" t="str">
        <f>HYPERLINK("https://otsuka-europe-crm.veevavault.com/ui/#object/approved_document__v/V5OZ025E82UW8W9", "LUP - Invitación webinar NL y RCV - reuma")</f>
        <v>LUP - Invitación webinar NL y RCV - reuma</v>
      </c>
      <c r="C15703" s="3" t="str">
        <f>HYPERLINK("https://otsuka-europe-crm.veevavault.com/ui/#object/sent_email__v/VBLZ025E82HQ8V7", "SE-000288983")</f>
        <v>SE-000288983</v>
      </c>
      <c r="D15703" s="1">
        <v>45952.399907407409</v>
      </c>
      <c r="E15703" s="2">
        <v>1</v>
      </c>
      <c r="F15703" s="2">
        <v>2</v>
      </c>
      <c r="G15703" s="2">
        <v>0</v>
      </c>
      <c r="H15703" s="1" t="s">
        <v>0</v>
      </c>
      <c r="I15703" s="2">
        <v>0</v>
      </c>
      <c r="J15703" s="1">
        <v>45952.377500000002</v>
      </c>
    </row>
    <row r="15704" spans="1:10" x14ac:dyDescent="0.2">
      <c r="A15704" s="4" t="s">
        <v>1</v>
      </c>
      <c r="B15704" s="3" t="str">
        <f>HYPERLINK("https://otsuka-europe-crm.veevavault.com/ui/#object/approved_document__v/V5OZ025E82UW8W9", "LUP - Invitación webinar NL y RCV - reuma")</f>
        <v>LUP - Invitación webinar NL y RCV - reuma</v>
      </c>
      <c r="C15704" s="3" t="str">
        <f>HYPERLINK("https://otsuka-europe-crm.veevavault.com/ui/#object/sent_email__v/VBLZ025E82HQ8V8", "SE-000288984")</f>
        <v>SE-000288984</v>
      </c>
      <c r="D15704" s="1" t="s">
        <v>0</v>
      </c>
      <c r="E15704" s="2">
        <v>0</v>
      </c>
      <c r="F15704" s="2">
        <v>0</v>
      </c>
      <c r="G15704" s="2">
        <v>0</v>
      </c>
      <c r="H15704" s="1" t="s">
        <v>0</v>
      </c>
      <c r="I15704" s="2">
        <v>0</v>
      </c>
      <c r="J15704" s="1">
        <v>45952.377500000002</v>
      </c>
    </row>
    <row r="15705" spans="1:10" x14ac:dyDescent="0.2">
      <c r="A15705" s="4" t="s">
        <v>1</v>
      </c>
      <c r="B15705" s="3" t="str">
        <f>HYPERLINK("https://otsuka-europe-crm.veevavault.com/ui/#object/approved_document__v/V5OZ025E82UW8W9", "LUP - Invitación webinar NL y RCV - reuma")</f>
        <v>LUP - Invitación webinar NL y RCV - reuma</v>
      </c>
      <c r="C15705" s="3" t="str">
        <f>HYPERLINK("https://otsuka-europe-crm.veevavault.com/ui/#object/sent_email__v/VBLZ025E82HQ8V9", "SE-000288985")</f>
        <v>SE-000288985</v>
      </c>
      <c r="D15705" s="1">
        <v>45953.630266203705</v>
      </c>
      <c r="E15705" s="2">
        <v>1</v>
      </c>
      <c r="F15705" s="2">
        <v>1</v>
      </c>
      <c r="G15705" s="2">
        <v>1</v>
      </c>
      <c r="H15705" s="1">
        <v>45953.630370370367</v>
      </c>
      <c r="I15705" s="2">
        <v>1</v>
      </c>
      <c r="J15705" s="1">
        <v>45952.377500000002</v>
      </c>
    </row>
    <row r="15706" spans="1:10" x14ac:dyDescent="0.2">
      <c r="A15706" s="4" t="s">
        <v>1</v>
      </c>
      <c r="B15706" s="3" t="str">
        <f>HYPERLINK("https://otsuka-europe-crm.veevavault.com/ui/#object/approved_document__v/V5OZ025E82UW8W9", "LUP - Invitación webinar NL y RCV - reuma")</f>
        <v>LUP - Invitación webinar NL y RCV - reuma</v>
      </c>
      <c r="C15706" s="3" t="str">
        <f>HYPERLINK("https://otsuka-europe-crm.veevavault.com/ui/#object/sent_email__v/VBLZ025E82HQ8VA", "SE-000288986")</f>
        <v>SE-000288986</v>
      </c>
      <c r="D15706" s="1" t="s">
        <v>0</v>
      </c>
      <c r="E15706" s="2">
        <v>0</v>
      </c>
      <c r="F15706" s="2">
        <v>0</v>
      </c>
      <c r="G15706" s="2">
        <v>0</v>
      </c>
      <c r="H15706" s="1" t="s">
        <v>0</v>
      </c>
      <c r="I15706" s="2">
        <v>0</v>
      </c>
      <c r="J15706" s="1">
        <v>45952.377500000002</v>
      </c>
    </row>
    <row r="15707" spans="1:10" x14ac:dyDescent="0.2">
      <c r="A15707" s="4" t="s">
        <v>1</v>
      </c>
      <c r="B15707" s="3" t="str">
        <f>HYPERLINK("https://otsuka-europe-crm.veevavault.com/ui/#object/approved_document__v/V5OZ025E82UW8W9", "LUP - Invitación webinar NL y RCV - reuma")</f>
        <v>LUP - Invitación webinar NL y RCV - reuma</v>
      </c>
      <c r="C15707" s="3" t="str">
        <f>HYPERLINK("https://otsuka-europe-crm.veevavault.com/ui/#object/sent_email__v/VBLZ025E82HQ8VB", "SE-000288987")</f>
        <v>SE-000288987</v>
      </c>
      <c r="D15707" s="1">
        <v>45952.417662037034</v>
      </c>
      <c r="E15707" s="2">
        <v>1</v>
      </c>
      <c r="F15707" s="2">
        <v>1</v>
      </c>
      <c r="G15707" s="2">
        <v>0</v>
      </c>
      <c r="H15707" s="1" t="s">
        <v>0</v>
      </c>
      <c r="I15707" s="2">
        <v>0</v>
      </c>
      <c r="J15707" s="1">
        <v>45952.377488425926</v>
      </c>
    </row>
    <row r="15708" spans="1:10" x14ac:dyDescent="0.2">
      <c r="A15708" s="4" t="s">
        <v>1</v>
      </c>
      <c r="B15708" s="3" t="str">
        <f>HYPERLINK("https://otsuka-europe-crm.veevavault.com/ui/#object/approved_document__v/V5OZ025E82UW8W9", "LUP - Invitación webinar NL y RCV - reuma")</f>
        <v>LUP - Invitación webinar NL y RCV - reuma</v>
      </c>
      <c r="C15708" s="3" t="str">
        <f>HYPERLINK("https://otsuka-europe-crm.veevavault.com/ui/#object/sent_email__v/VBLZ025E82HQ8VC", "SE-000288988")</f>
        <v>SE-000288988</v>
      </c>
      <c r="D15708" s="1">
        <v>45953.006701388891</v>
      </c>
      <c r="E15708" s="2">
        <v>1</v>
      </c>
      <c r="F15708" s="2">
        <v>1</v>
      </c>
      <c r="G15708" s="2">
        <v>0</v>
      </c>
      <c r="H15708" s="1" t="s">
        <v>0</v>
      </c>
      <c r="I15708" s="2">
        <v>0</v>
      </c>
      <c r="J15708" s="1">
        <v>45952.377465277779</v>
      </c>
    </row>
    <row r="15709" spans="1:10" x14ac:dyDescent="0.2">
      <c r="A15709" s="4" t="s">
        <v>1</v>
      </c>
      <c r="B15709" s="3" t="str">
        <f>HYPERLINK("https://otsuka-europe-crm.veevavault.com/ui/#object/approved_document__v/V5OZ025E82UW8W9", "LUP - Invitación webinar NL y RCV - reuma")</f>
        <v>LUP - Invitación webinar NL y RCV - reuma</v>
      </c>
      <c r="C15709" s="3" t="str">
        <f>HYPERLINK("https://otsuka-europe-crm.veevavault.com/ui/#object/sent_email__v/VBLZ025E82HQ8VD", "SE-000288989")</f>
        <v>SE-000288989</v>
      </c>
      <c r="D15709" s="1" t="s">
        <v>0</v>
      </c>
      <c r="E15709" s="2">
        <v>0</v>
      </c>
      <c r="F15709" s="2">
        <v>0</v>
      </c>
      <c r="G15709" s="2">
        <v>0</v>
      </c>
      <c r="H15709" s="1" t="s">
        <v>0</v>
      </c>
      <c r="I15709" s="2">
        <v>0</v>
      </c>
      <c r="J15709" s="1">
        <v>45952.377523148149</v>
      </c>
    </row>
    <row r="15710" spans="1:10" x14ac:dyDescent="0.2">
      <c r="A15710" s="4" t="s">
        <v>1</v>
      </c>
      <c r="B15710" s="3" t="str">
        <f>HYPERLINK("https://otsuka-europe-crm.veevavault.com/ui/#object/approved_document__v/V5OZ025E82UW8W9", "LUP - Invitación webinar NL y RCV - reuma")</f>
        <v>LUP - Invitación webinar NL y RCV - reuma</v>
      </c>
      <c r="C15710" s="3" t="str">
        <f>HYPERLINK("https://otsuka-europe-crm.veevavault.com/ui/#object/sent_email__v/VBLZ025E82HQ8VE", "SE-000288990")</f>
        <v>SE-000288990</v>
      </c>
      <c r="D15710" s="1" t="s">
        <v>0</v>
      </c>
      <c r="E15710" s="2">
        <v>0</v>
      </c>
      <c r="F15710" s="2">
        <v>0</v>
      </c>
      <c r="G15710" s="2">
        <v>0</v>
      </c>
      <c r="H15710" s="1" t="s">
        <v>0</v>
      </c>
      <c r="I15710" s="2">
        <v>0</v>
      </c>
      <c r="J15710" s="1">
        <v>45952.377465277779</v>
      </c>
    </row>
    <row r="15711" spans="1:10" x14ac:dyDescent="0.2">
      <c r="A15711" s="4" t="s">
        <v>1</v>
      </c>
      <c r="B15711" s="3" t="str">
        <f>HYPERLINK("https://otsuka-europe-crm.veevavault.com/ui/#object/approved_document__v/V5OZ025E82UW8W9", "LUP - Invitación webinar NL y RCV - reuma")</f>
        <v>LUP - Invitación webinar NL y RCV - reuma</v>
      </c>
      <c r="C15711" s="3" t="str">
        <f>HYPERLINK("https://otsuka-europe-crm.veevavault.com/ui/#object/sent_email__v/VBLZ025E82HQ8VF", "SE-000288991")</f>
        <v>SE-000288991</v>
      </c>
      <c r="D15711" s="1">
        <v>46025.926111111112</v>
      </c>
      <c r="E15711" s="2">
        <v>1</v>
      </c>
      <c r="F15711" s="2">
        <v>2</v>
      </c>
      <c r="G15711" s="2">
        <v>0</v>
      </c>
      <c r="H15711" s="1" t="s">
        <v>0</v>
      </c>
      <c r="I15711" s="2">
        <v>0</v>
      </c>
      <c r="J15711" s="1">
        <v>45952.377500000002</v>
      </c>
    </row>
    <row r="15712" spans="1:10" x14ac:dyDescent="0.2">
      <c r="A15712" s="4" t="s">
        <v>1</v>
      </c>
      <c r="B15712" s="3" t="str">
        <f>HYPERLINK("https://otsuka-europe-crm.veevavault.com/ui/#object/approved_document__v/V5OZ025E82UW8W9", "LUP - Invitación webinar NL y RCV - reuma")</f>
        <v>LUP - Invitación webinar NL y RCV - reuma</v>
      </c>
      <c r="C15712" s="3" t="str">
        <f>HYPERLINK("https://otsuka-europe-crm.veevavault.com/ui/#object/sent_email__v/VBLZ025E82HQ8VG", "SE-000288992")</f>
        <v>SE-000288992</v>
      </c>
      <c r="D15712" s="1" t="s">
        <v>0</v>
      </c>
      <c r="E15712" s="2">
        <v>0</v>
      </c>
      <c r="F15712" s="2">
        <v>0</v>
      </c>
      <c r="G15712" s="2">
        <v>0</v>
      </c>
      <c r="H15712" s="1" t="s">
        <v>0</v>
      </c>
      <c r="I15712" s="2">
        <v>0</v>
      </c>
      <c r="J15712" s="1">
        <v>45952.377465277779</v>
      </c>
    </row>
    <row r="15713" spans="1:10" x14ac:dyDescent="0.2">
      <c r="A15713" s="4" t="s">
        <v>1</v>
      </c>
      <c r="B15713" s="3" t="str">
        <f>HYPERLINK("https://otsuka-europe-crm.veevavault.com/ui/#object/approved_document__v/V5OZ025E82UW8W9", "LUP - Invitación webinar NL y RCV - reuma")</f>
        <v>LUP - Invitación webinar NL y RCV - reuma</v>
      </c>
      <c r="C15713" s="3" t="str">
        <f>HYPERLINK("https://otsuka-europe-crm.veevavault.com/ui/#object/sent_email__v/VBLZ025E82HQ8VH", "SE-000288993")</f>
        <v>SE-000288993</v>
      </c>
      <c r="D15713" s="1">
        <v>45952.378310185188</v>
      </c>
      <c r="E15713" s="2">
        <v>1</v>
      </c>
      <c r="F15713" s="2">
        <v>1</v>
      </c>
      <c r="G15713" s="2">
        <v>0</v>
      </c>
      <c r="H15713" s="1" t="s">
        <v>0</v>
      </c>
      <c r="I15713" s="2">
        <v>0</v>
      </c>
      <c r="J15713" s="1">
        <v>45952.377453703702</v>
      </c>
    </row>
    <row r="15714" spans="1:10" x14ac:dyDescent="0.2">
      <c r="A15714" s="4" t="s">
        <v>1</v>
      </c>
      <c r="B15714" s="3" t="str">
        <f>HYPERLINK("https://otsuka-europe-crm.veevavault.com/ui/#object/approved_document__v/V5OZ025E82UW8W9", "LUP - Invitación webinar NL y RCV - reuma")</f>
        <v>LUP - Invitación webinar NL y RCV - reuma</v>
      </c>
      <c r="C15714" s="3" t="str">
        <f>HYPERLINK("https://otsuka-europe-crm.veevavault.com/ui/#object/sent_email__v/VBLZ025E82HQ8VI", "SE-000288994")</f>
        <v>SE-000288994</v>
      </c>
      <c r="D15714" s="1" t="s">
        <v>0</v>
      </c>
      <c r="E15714" s="2">
        <v>0</v>
      </c>
      <c r="F15714" s="2">
        <v>0</v>
      </c>
      <c r="G15714" s="2">
        <v>0</v>
      </c>
      <c r="H15714" s="1" t="s">
        <v>0</v>
      </c>
      <c r="I15714" s="2">
        <v>0</v>
      </c>
      <c r="J15714" s="1">
        <v>45952.377453703702</v>
      </c>
    </row>
    <row r="15715" spans="1:10" x14ac:dyDescent="0.2">
      <c r="A15715" s="4" t="s">
        <v>1</v>
      </c>
      <c r="B15715" s="3" t="str">
        <f>HYPERLINK("https://otsuka-europe-crm.veevavault.com/ui/#object/approved_document__v/V5OZ025E82UW8W9", "LUP - Invitación webinar NL y RCV - reuma")</f>
        <v>LUP - Invitación webinar NL y RCV - reuma</v>
      </c>
      <c r="C15715" s="3" t="str">
        <f>HYPERLINK("https://otsuka-europe-crm.veevavault.com/ui/#object/sent_email__v/VBLZ025E82HQ8VJ", "SE-000288995")</f>
        <v>SE-000288995</v>
      </c>
      <c r="D15715" s="1" t="s">
        <v>0</v>
      </c>
      <c r="E15715" s="2">
        <v>0</v>
      </c>
      <c r="F15715" s="2">
        <v>0</v>
      </c>
      <c r="G15715" s="2">
        <v>0</v>
      </c>
      <c r="H15715" s="1" t="s">
        <v>0</v>
      </c>
      <c r="I15715" s="2">
        <v>0</v>
      </c>
      <c r="J15715" s="1">
        <v>45952.377500000002</v>
      </c>
    </row>
    <row r="15716" spans="1:10" x14ac:dyDescent="0.2">
      <c r="A15716" s="4" t="s">
        <v>1</v>
      </c>
      <c r="B15716" s="3" t="str">
        <f>HYPERLINK("https://otsuka-europe-crm.veevavault.com/ui/#object/approved_document__v/V5OZ025E82UW8W9", "LUP - Invitación webinar NL y RCV - reuma")</f>
        <v>LUP - Invitación webinar NL y RCV - reuma</v>
      </c>
      <c r="C15716" s="3" t="str">
        <f>HYPERLINK("https://otsuka-europe-crm.veevavault.com/ui/#object/sent_email__v/VBLZ025E82HQ8VK", "SE-000288996")</f>
        <v>SE-000288996</v>
      </c>
      <c r="D15716" s="1" t="s">
        <v>0</v>
      </c>
      <c r="E15716" s="2">
        <v>0</v>
      </c>
      <c r="F15716" s="2">
        <v>0</v>
      </c>
      <c r="G15716" s="2">
        <v>0</v>
      </c>
      <c r="H15716" s="1" t="s">
        <v>0</v>
      </c>
      <c r="I15716" s="2">
        <v>0</v>
      </c>
      <c r="J15716" s="1">
        <v>45952.377488425926</v>
      </c>
    </row>
    <row r="15717" spans="1:10" x14ac:dyDescent="0.2">
      <c r="A15717" s="4" t="s">
        <v>1</v>
      </c>
      <c r="B15717" s="3" t="str">
        <f>HYPERLINK("https://otsuka-europe-crm.veevavault.com/ui/#object/approved_document__v/V5OZ025E82UW8W9", "LUP - Invitación webinar NL y RCV - reuma")</f>
        <v>LUP - Invitación webinar NL y RCV - reuma</v>
      </c>
      <c r="C15717" s="3" t="str">
        <f>HYPERLINK("https://otsuka-europe-crm.veevavault.com/ui/#object/sent_email__v/VBLZ025E82HQ8VL", "SE-000288997")</f>
        <v>SE-000288997</v>
      </c>
      <c r="D15717" s="1" t="s">
        <v>0</v>
      </c>
      <c r="E15717" s="2">
        <v>0</v>
      </c>
      <c r="F15717" s="2">
        <v>0</v>
      </c>
      <c r="G15717" s="2">
        <v>0</v>
      </c>
      <c r="H15717" s="1" t="s">
        <v>0</v>
      </c>
      <c r="I15717" s="2">
        <v>0</v>
      </c>
      <c r="J15717" s="1">
        <v>45952.377523148149</v>
      </c>
    </row>
    <row r="15718" spans="1:10" x14ac:dyDescent="0.2">
      <c r="A15718" s="4" t="s">
        <v>1</v>
      </c>
      <c r="B15718" s="3" t="str">
        <f>HYPERLINK("https://otsuka-europe-crm.veevavault.com/ui/#object/approved_document__v/V5OZ025E82UW8W9", "LUP - Invitación webinar NL y RCV - reuma")</f>
        <v>LUP - Invitación webinar NL y RCV - reuma</v>
      </c>
      <c r="C15718" s="3" t="str">
        <f>HYPERLINK("https://otsuka-europe-crm.veevavault.com/ui/#object/sent_email__v/VBLZ025E82HQ8VM", "SE-000288998")</f>
        <v>SE-000288998</v>
      </c>
      <c r="D15718" s="1" t="s">
        <v>0</v>
      </c>
      <c r="E15718" s="2">
        <v>0</v>
      </c>
      <c r="F15718" s="2">
        <v>0</v>
      </c>
      <c r="G15718" s="2">
        <v>0</v>
      </c>
      <c r="H15718" s="1" t="s">
        <v>0</v>
      </c>
      <c r="I15718" s="2">
        <v>0</v>
      </c>
      <c r="J15718" s="1">
        <v>45952.377453703702</v>
      </c>
    </row>
    <row r="15719" spans="1:10" x14ac:dyDescent="0.2">
      <c r="A15719" s="4" t="s">
        <v>1</v>
      </c>
      <c r="B15719" s="3" t="str">
        <f>HYPERLINK("https://otsuka-europe-crm.veevavault.com/ui/#object/approved_document__v/V5OZ025E82UW8W9", "LUP - Invitación webinar NL y RCV - reuma")</f>
        <v>LUP - Invitación webinar NL y RCV - reuma</v>
      </c>
      <c r="C15719" s="3" t="str">
        <f>HYPERLINK("https://otsuka-europe-crm.veevavault.com/ui/#object/sent_email__v/VBLZ025E82HQ8VN", "SE-000288999")</f>
        <v>SE-000288999</v>
      </c>
      <c r="D15719" s="1">
        <v>45962.832812499997</v>
      </c>
      <c r="E15719" s="2">
        <v>1</v>
      </c>
      <c r="F15719" s="2">
        <v>2</v>
      </c>
      <c r="G15719" s="2">
        <v>0</v>
      </c>
      <c r="H15719" s="1" t="s">
        <v>0</v>
      </c>
      <c r="I15719" s="2">
        <v>0</v>
      </c>
      <c r="J15719" s="1">
        <v>45952.377453703702</v>
      </c>
    </row>
    <row r="15720" spans="1:10" x14ac:dyDescent="0.2">
      <c r="A15720" s="4" t="s">
        <v>1</v>
      </c>
      <c r="B15720" s="3" t="str">
        <f>HYPERLINK("https://otsuka-europe-crm.veevavault.com/ui/#object/approved_document__v/V5OZ025E82UW8W9", "LUP - Invitación webinar NL y RCV - reuma")</f>
        <v>LUP - Invitación webinar NL y RCV - reuma</v>
      </c>
      <c r="C15720" s="3" t="str">
        <f>HYPERLINK("https://otsuka-europe-crm.veevavault.com/ui/#object/sent_email__v/VBLZ025E82HQ8VO", "SE-000289000")</f>
        <v>SE-000289000</v>
      </c>
      <c r="D15720" s="1">
        <v>46035.925694444442</v>
      </c>
      <c r="E15720" s="2">
        <v>1</v>
      </c>
      <c r="F15720" s="2">
        <v>2</v>
      </c>
      <c r="G15720" s="2">
        <v>1</v>
      </c>
      <c r="H15720" s="1">
        <v>45952.612442129626</v>
      </c>
      <c r="I15720" s="2">
        <v>1</v>
      </c>
      <c r="J15720" s="1">
        <v>45952.377500000002</v>
      </c>
    </row>
    <row r="15721" spans="1:10" x14ac:dyDescent="0.2">
      <c r="A15721" s="4" t="s">
        <v>1</v>
      </c>
      <c r="B15721" s="3" t="str">
        <f>HYPERLINK("https://otsuka-europe-crm.veevavault.com/ui/#object/approved_document__v/V5OZ025E82UW8W9", "LUP - Invitación webinar NL y RCV - reuma")</f>
        <v>LUP - Invitación webinar NL y RCV - reuma</v>
      </c>
      <c r="C15721" s="3" t="str">
        <f>HYPERLINK("https://otsuka-europe-crm.veevavault.com/ui/#object/sent_email__v/VBLZ025E82HQ8VP", "SE-000289001")</f>
        <v>SE-000289001</v>
      </c>
      <c r="D15721" s="1" t="s">
        <v>0</v>
      </c>
      <c r="E15721" s="2">
        <v>0</v>
      </c>
      <c r="F15721" s="2">
        <v>0</v>
      </c>
      <c r="G15721" s="2">
        <v>0</v>
      </c>
      <c r="H15721" s="1" t="s">
        <v>0</v>
      </c>
      <c r="I15721" s="2">
        <v>0</v>
      </c>
      <c r="J15721" s="1">
        <v>45952.377453703702</v>
      </c>
    </row>
    <row r="15722" spans="1:10" x14ac:dyDescent="0.2">
      <c r="A15722" s="4" t="s">
        <v>1</v>
      </c>
      <c r="B15722" s="3" t="str">
        <f>HYPERLINK("https://otsuka-europe-crm.veevavault.com/ui/#object/approved_document__v/V5OZ025E82UW8W9", "LUP - Invitación webinar NL y RCV - reuma")</f>
        <v>LUP - Invitación webinar NL y RCV - reuma</v>
      </c>
      <c r="C15722" s="3" t="str">
        <f>HYPERLINK("https://otsuka-europe-crm.veevavault.com/ui/#object/sent_email__v/VBLZ025E82HQ8VQ", "SE-000289002")</f>
        <v>SE-000289002</v>
      </c>
      <c r="D15722" s="1" t="s">
        <v>0</v>
      </c>
      <c r="E15722" s="2">
        <v>0</v>
      </c>
      <c r="F15722" s="2">
        <v>0</v>
      </c>
      <c r="G15722" s="2">
        <v>0</v>
      </c>
      <c r="H15722" s="1" t="s">
        <v>0</v>
      </c>
      <c r="I15722" s="2">
        <v>0</v>
      </c>
      <c r="J15722" s="1">
        <v>45952.377500000002</v>
      </c>
    </row>
    <row r="15723" spans="1:10" x14ac:dyDescent="0.2">
      <c r="A15723" s="4" t="s">
        <v>1</v>
      </c>
      <c r="B15723" s="3" t="str">
        <f>HYPERLINK("https://otsuka-europe-crm.veevavault.com/ui/#object/approved_document__v/V5OZ025E82UW8W9", "LUP - Invitación webinar NL y RCV - reuma")</f>
        <v>LUP - Invitación webinar NL y RCV - reuma</v>
      </c>
      <c r="C15723" s="3" t="str">
        <f>HYPERLINK("https://otsuka-europe-crm.veevavault.com/ui/#object/sent_email__v/VBLZ025E82HQ8VR", "SE-000289003")</f>
        <v>SE-000289003</v>
      </c>
      <c r="D15723" s="1">
        <v>45952.410578703704</v>
      </c>
      <c r="E15723" s="2">
        <v>1</v>
      </c>
      <c r="F15723" s="2">
        <v>2</v>
      </c>
      <c r="G15723" s="2">
        <v>0</v>
      </c>
      <c r="H15723" s="1" t="s">
        <v>0</v>
      </c>
      <c r="I15723" s="2">
        <v>0</v>
      </c>
      <c r="J15723" s="1">
        <v>45952.377453703702</v>
      </c>
    </row>
    <row r="15724" spans="1:10" x14ac:dyDescent="0.2">
      <c r="A15724" s="4" t="s">
        <v>1</v>
      </c>
      <c r="B15724" s="3" t="str">
        <f>HYPERLINK("https://otsuka-europe-crm.veevavault.com/ui/#object/approved_document__v/V5OZ025E82UW8W9", "LUP - Invitación webinar NL y RCV - reuma")</f>
        <v>LUP - Invitación webinar NL y RCV - reuma</v>
      </c>
      <c r="C15724" s="3" t="str">
        <f>HYPERLINK("https://otsuka-europe-crm.veevavault.com/ui/#object/sent_email__v/VBLZ025E82HQ8VS", "SE-000289004")</f>
        <v>SE-000289004</v>
      </c>
      <c r="D15724" s="1" t="s">
        <v>0</v>
      </c>
      <c r="E15724" s="2">
        <v>0</v>
      </c>
      <c r="F15724" s="2">
        <v>0</v>
      </c>
      <c r="G15724" s="2">
        <v>0</v>
      </c>
      <c r="H15724" s="1" t="s">
        <v>0</v>
      </c>
      <c r="I15724" s="2">
        <v>0</v>
      </c>
      <c r="J15724" s="1">
        <v>45952.377453703702</v>
      </c>
    </row>
    <row r="15725" spans="1:10" x14ac:dyDescent="0.2">
      <c r="A15725" s="4" t="s">
        <v>1</v>
      </c>
      <c r="B15725" s="3" t="str">
        <f>HYPERLINK("https://otsuka-europe-crm.veevavault.com/ui/#object/approved_document__v/V5OZ025E82UW8W9", "LUP - Invitación webinar NL y RCV - reuma")</f>
        <v>LUP - Invitación webinar NL y RCV - reuma</v>
      </c>
      <c r="C15725" s="3" t="str">
        <f>HYPERLINK("https://otsuka-europe-crm.veevavault.com/ui/#object/sent_email__v/VBLZ025E82HQ8VT", "SE-000289005")</f>
        <v>SE-000289005</v>
      </c>
      <c r="D15725" s="1" t="s">
        <v>0</v>
      </c>
      <c r="E15725" s="2">
        <v>0</v>
      </c>
      <c r="F15725" s="2">
        <v>0</v>
      </c>
      <c r="G15725" s="2">
        <v>0</v>
      </c>
      <c r="H15725" s="1" t="s">
        <v>0</v>
      </c>
      <c r="I15725" s="2">
        <v>0</v>
      </c>
      <c r="J15725" s="1">
        <v>45952.377488425926</v>
      </c>
    </row>
    <row r="15726" spans="1:10" x14ac:dyDescent="0.2">
      <c r="A15726" s="4" t="s">
        <v>1</v>
      </c>
      <c r="B15726" s="3" t="str">
        <f>HYPERLINK("https://otsuka-europe-crm.veevavault.com/ui/#object/approved_document__v/V5OZ025E82UW8W9", "LUP - Invitación webinar NL y RCV - reuma")</f>
        <v>LUP - Invitación webinar NL y RCV - reuma</v>
      </c>
      <c r="C15726" s="3" t="str">
        <f>HYPERLINK("https://otsuka-europe-crm.veevavault.com/ui/#object/sent_email__v/VBLZ025E82HQ8VU", "SE-000289006")</f>
        <v>SE-000289006</v>
      </c>
      <c r="D15726" s="1" t="s">
        <v>0</v>
      </c>
      <c r="E15726" s="2">
        <v>0</v>
      </c>
      <c r="F15726" s="2">
        <v>0</v>
      </c>
      <c r="G15726" s="2">
        <v>0</v>
      </c>
      <c r="H15726" s="1" t="s">
        <v>0</v>
      </c>
      <c r="I15726" s="2">
        <v>0</v>
      </c>
      <c r="J15726" s="1">
        <v>45952.377488425926</v>
      </c>
    </row>
    <row r="15727" spans="1:10" x14ac:dyDescent="0.2">
      <c r="A15727" s="4" t="s">
        <v>1</v>
      </c>
      <c r="B15727" s="3" t="str">
        <f>HYPERLINK("https://otsuka-europe-crm.veevavault.com/ui/#object/approved_document__v/V5OZ025E82UW8W9", "LUP - Invitación webinar NL y RCV - reuma")</f>
        <v>LUP - Invitación webinar NL y RCV - reuma</v>
      </c>
      <c r="C15727" s="3" t="str">
        <f>HYPERLINK("https://otsuka-europe-crm.veevavault.com/ui/#object/sent_email__v/VBLZ025E82HQ8VV", "SE-000289007")</f>
        <v>SE-000289007</v>
      </c>
      <c r="D15727" s="1">
        <v>45952.42260416667</v>
      </c>
      <c r="E15727" s="2">
        <v>1</v>
      </c>
      <c r="F15727" s="2">
        <v>1</v>
      </c>
      <c r="G15727" s="2">
        <v>0</v>
      </c>
      <c r="H15727" s="1" t="s">
        <v>0</v>
      </c>
      <c r="I15727" s="2">
        <v>0</v>
      </c>
      <c r="J15727" s="1">
        <v>45952.377488425926</v>
      </c>
    </row>
    <row r="15728" spans="1:10" x14ac:dyDescent="0.2">
      <c r="A15728" s="4" t="s">
        <v>1</v>
      </c>
      <c r="B15728" s="3" t="str">
        <f>HYPERLINK("https://otsuka-europe-crm.veevavault.com/ui/#object/approved_document__v/V5OZ025E82UW8W9", "LUP - Invitación webinar NL y RCV - reuma")</f>
        <v>LUP - Invitación webinar NL y RCV - reuma</v>
      </c>
      <c r="C15728" s="3" t="str">
        <f>HYPERLINK("https://otsuka-europe-crm.veevavault.com/ui/#object/sent_email__v/VBLZ025E82HQ8VW", "SE-000289008")</f>
        <v>SE-000289008</v>
      </c>
      <c r="D15728" s="1">
        <v>45953.219270833331</v>
      </c>
      <c r="E15728" s="2">
        <v>1</v>
      </c>
      <c r="F15728" s="2">
        <v>1</v>
      </c>
      <c r="G15728" s="2">
        <v>0</v>
      </c>
      <c r="H15728" s="1" t="s">
        <v>0</v>
      </c>
      <c r="I15728" s="2">
        <v>0</v>
      </c>
      <c r="J15728" s="1">
        <v>45952.377500000002</v>
      </c>
    </row>
    <row r="15729" spans="1:10" x14ac:dyDescent="0.2">
      <c r="A15729" s="4" t="s">
        <v>1</v>
      </c>
      <c r="B15729" s="3" t="str">
        <f>HYPERLINK("https://otsuka-europe-crm.veevavault.com/ui/#object/approved_document__v/V5OZ025E82UW8W9", "LUP - Invitación webinar NL y RCV - reuma")</f>
        <v>LUP - Invitación webinar NL y RCV - reuma</v>
      </c>
      <c r="C15729" s="3" t="str">
        <f>HYPERLINK("https://otsuka-europe-crm.veevavault.com/ui/#object/sent_email__v/VBLZ025E82HQ8VX", "SE-000289009")</f>
        <v>SE-000289009</v>
      </c>
      <c r="D15729" s="1" t="s">
        <v>0</v>
      </c>
      <c r="E15729" s="2">
        <v>0</v>
      </c>
      <c r="F15729" s="2">
        <v>0</v>
      </c>
      <c r="G15729" s="2">
        <v>0</v>
      </c>
      <c r="H15729" s="1" t="s">
        <v>0</v>
      </c>
      <c r="I15729" s="2">
        <v>0</v>
      </c>
      <c r="J15729" s="1">
        <v>45952.377476851849</v>
      </c>
    </row>
    <row r="15730" spans="1:10" x14ac:dyDescent="0.2">
      <c r="A15730" s="4" t="s">
        <v>1</v>
      </c>
      <c r="B15730" s="3" t="str">
        <f>HYPERLINK("https://otsuka-europe-crm.veevavault.com/ui/#object/approved_document__v/V5OZ025E82UW8W9", "LUP - Invitación webinar NL y RCV - reuma")</f>
        <v>LUP - Invitación webinar NL y RCV - reuma</v>
      </c>
      <c r="C15730" s="3" t="str">
        <f>HYPERLINK("https://otsuka-europe-crm.veevavault.com/ui/#object/sent_email__v/VBLZ025E82HQ8VY", "SE-000289010")</f>
        <v>SE-000289010</v>
      </c>
      <c r="D15730" s="1" t="s">
        <v>0</v>
      </c>
      <c r="E15730" s="2">
        <v>0</v>
      </c>
      <c r="F15730" s="2">
        <v>0</v>
      </c>
      <c r="G15730" s="2">
        <v>0</v>
      </c>
      <c r="H15730" s="1" t="s">
        <v>0</v>
      </c>
      <c r="I15730" s="2">
        <v>0</v>
      </c>
      <c r="J15730" s="1">
        <v>45952.377500000002</v>
      </c>
    </row>
    <row r="15731" spans="1:10" x14ac:dyDescent="0.2">
      <c r="A15731" s="4" t="s">
        <v>1</v>
      </c>
      <c r="B15731" s="3" t="str">
        <f>HYPERLINK("https://otsuka-europe-crm.veevavault.com/ui/#object/approved_document__v/V5OZ025E82UW8W9", "LUP - Invitación webinar NL y RCV - reuma")</f>
        <v>LUP - Invitación webinar NL y RCV - reuma</v>
      </c>
      <c r="C15731" s="3" t="str">
        <f>HYPERLINK("https://otsuka-europe-crm.veevavault.com/ui/#object/sent_email__v/VBLZ025E82HQ8VZ", "SE-000289011")</f>
        <v>SE-000289011</v>
      </c>
      <c r="D15731" s="1" t="s">
        <v>0</v>
      </c>
      <c r="E15731" s="2">
        <v>0</v>
      </c>
      <c r="F15731" s="2">
        <v>0</v>
      </c>
      <c r="G15731" s="2">
        <v>0</v>
      </c>
      <c r="H15731" s="1" t="s">
        <v>0</v>
      </c>
      <c r="I15731" s="2">
        <v>0</v>
      </c>
      <c r="J15731" s="1">
        <v>45952.377500000002</v>
      </c>
    </row>
    <row r="15732" spans="1:10" x14ac:dyDescent="0.2">
      <c r="A15732" s="4" t="s">
        <v>1</v>
      </c>
      <c r="B15732" s="3" t="str">
        <f>HYPERLINK("https://otsuka-europe-crm.veevavault.com/ui/#object/approved_document__v/V5OZ025E82UW8W9", "LUP - Invitación webinar NL y RCV - reuma")</f>
        <v>LUP - Invitación webinar NL y RCV - reuma</v>
      </c>
      <c r="C15732" s="3" t="str">
        <f>HYPERLINK("https://otsuka-europe-crm.veevavault.com/ui/#object/sent_email__v/VBLZ025E82HQ8W0", "SE-000289012")</f>
        <v>SE-000289012</v>
      </c>
      <c r="D15732" s="1" t="s">
        <v>0</v>
      </c>
      <c r="E15732" s="2">
        <v>0</v>
      </c>
      <c r="F15732" s="2">
        <v>0</v>
      </c>
      <c r="G15732" s="2">
        <v>0</v>
      </c>
      <c r="H15732" s="1" t="s">
        <v>0</v>
      </c>
      <c r="I15732" s="2">
        <v>0</v>
      </c>
      <c r="J15732" s="1">
        <v>45952.377453703702</v>
      </c>
    </row>
    <row r="15733" spans="1:10" x14ac:dyDescent="0.2">
      <c r="A15733" s="4" t="s">
        <v>1</v>
      </c>
      <c r="B15733" s="3" t="str">
        <f>HYPERLINK("https://otsuka-europe-crm.veevavault.com/ui/#object/approved_document__v/V5OZ025E82UW8W9", "LUP - Invitación webinar NL y RCV - reuma")</f>
        <v>LUP - Invitación webinar NL y RCV - reuma</v>
      </c>
      <c r="C15733" s="3" t="str">
        <f>HYPERLINK("https://otsuka-europe-crm.veevavault.com/ui/#object/sent_email__v/VBLZ025E82HQ8W1", "SE-000289013")</f>
        <v>SE-000289013</v>
      </c>
      <c r="D15733" s="1" t="s">
        <v>0</v>
      </c>
      <c r="E15733" s="2">
        <v>0</v>
      </c>
      <c r="F15733" s="2">
        <v>0</v>
      </c>
      <c r="G15733" s="2">
        <v>0</v>
      </c>
      <c r="H15733" s="1" t="s">
        <v>0</v>
      </c>
      <c r="I15733" s="2">
        <v>0</v>
      </c>
      <c r="J15733" s="1">
        <v>45952.377453703702</v>
      </c>
    </row>
    <row r="15734" spans="1:10" x14ac:dyDescent="0.2">
      <c r="A15734" s="4" t="s">
        <v>1</v>
      </c>
      <c r="B15734" s="3" t="str">
        <f>HYPERLINK("https://otsuka-europe-crm.veevavault.com/ui/#object/approved_document__v/V5OZ025E82UW8W9", "LUP - Invitación webinar NL y RCV - reuma")</f>
        <v>LUP - Invitación webinar NL y RCV - reuma</v>
      </c>
      <c r="C15734" s="3" t="str">
        <f>HYPERLINK("https://otsuka-europe-crm.veevavault.com/ui/#object/sent_email__v/VBLZ025E82HQ909", "SE-000289014")</f>
        <v>SE-000289014</v>
      </c>
      <c r="D15734" s="1" t="s">
        <v>0</v>
      </c>
      <c r="E15734" s="2">
        <v>0</v>
      </c>
      <c r="F15734" s="2">
        <v>0</v>
      </c>
      <c r="G15734" s="2">
        <v>0</v>
      </c>
      <c r="H15734" s="1" t="s">
        <v>0</v>
      </c>
      <c r="I15734" s="2">
        <v>0</v>
      </c>
      <c r="J15734" s="1">
        <v>45952.377488425926</v>
      </c>
    </row>
    <row r="15735" spans="1:10" x14ac:dyDescent="0.2">
      <c r="A15735" s="4" t="s">
        <v>1</v>
      </c>
      <c r="B15735" s="3" t="str">
        <f>HYPERLINK("https://otsuka-europe-crm.veevavault.com/ui/#object/approved_document__v/V5OZ025E82UW8W9", "LUP - Invitación webinar NL y RCV - reuma")</f>
        <v>LUP - Invitación webinar NL y RCV - reuma</v>
      </c>
      <c r="C15735" s="3" t="str">
        <f>HYPERLINK("https://otsuka-europe-crm.veevavault.com/ui/#object/sent_email__v/VBLZ025E82HQ90A", "SE-000289015")</f>
        <v>SE-000289015</v>
      </c>
      <c r="D15735" s="1" t="s">
        <v>0</v>
      </c>
      <c r="E15735" s="2">
        <v>0</v>
      </c>
      <c r="F15735" s="2">
        <v>0</v>
      </c>
      <c r="G15735" s="2">
        <v>0</v>
      </c>
      <c r="H15735" s="1" t="s">
        <v>0</v>
      </c>
      <c r="I15735" s="2">
        <v>0</v>
      </c>
      <c r="J15735" s="1">
        <v>45952.377453703702</v>
      </c>
    </row>
    <row r="15736" spans="1:10" x14ac:dyDescent="0.2">
      <c r="A15736" s="4" t="s">
        <v>1</v>
      </c>
      <c r="B15736" s="3" t="str">
        <f>HYPERLINK("https://otsuka-europe-crm.veevavault.com/ui/#object/approved_document__v/V5OZ025E82UW8W9", "LUP - Invitación webinar NL y RCV - reuma")</f>
        <v>LUP - Invitación webinar NL y RCV - reuma</v>
      </c>
      <c r="C15736" s="3" t="str">
        <f>HYPERLINK("https://otsuka-europe-crm.veevavault.com/ui/#object/sent_email__v/VBLZ025E82HQ90B", "SE-000289016")</f>
        <v>SE-000289016</v>
      </c>
      <c r="D15736" s="1">
        <v>45952.813414351855</v>
      </c>
      <c r="E15736" s="2">
        <v>1</v>
      </c>
      <c r="F15736" s="2">
        <v>1</v>
      </c>
      <c r="G15736" s="2">
        <v>0</v>
      </c>
      <c r="H15736" s="1" t="s">
        <v>0</v>
      </c>
      <c r="I15736" s="2">
        <v>0</v>
      </c>
      <c r="J15736" s="1">
        <v>45952.377500000002</v>
      </c>
    </row>
    <row r="15737" spans="1:10" x14ac:dyDescent="0.2">
      <c r="A15737" s="4" t="s">
        <v>1</v>
      </c>
      <c r="B15737" s="3" t="str">
        <f>HYPERLINK("https://otsuka-europe-crm.veevavault.com/ui/#object/approved_document__v/V5OZ025E82UW8W9", "LUP - Invitación webinar NL y RCV - reuma")</f>
        <v>LUP - Invitación webinar NL y RCV - reuma</v>
      </c>
      <c r="C15737" s="3" t="str">
        <f>HYPERLINK("https://otsuka-europe-crm.veevavault.com/ui/#object/sent_email__v/VBLZ025E82HQ90C", "SE-000289017")</f>
        <v>SE-000289017</v>
      </c>
      <c r="D15737" s="1">
        <v>45952.481041666666</v>
      </c>
      <c r="E15737" s="2">
        <v>1</v>
      </c>
      <c r="F15737" s="2">
        <v>1</v>
      </c>
      <c r="G15737" s="2">
        <v>0</v>
      </c>
      <c r="H15737" s="1" t="s">
        <v>0</v>
      </c>
      <c r="I15737" s="2">
        <v>0</v>
      </c>
      <c r="J15737" s="1">
        <v>45952.377465277779</v>
      </c>
    </row>
    <row r="15738" spans="1:10" x14ac:dyDescent="0.2">
      <c r="A15738" s="4" t="s">
        <v>1</v>
      </c>
      <c r="B15738" s="3" t="str">
        <f>HYPERLINK("https://otsuka-europe-crm.veevavault.com/ui/#object/approved_document__v/V5OZ025E82UW8W9", "LUP - Invitación webinar NL y RCV - reuma")</f>
        <v>LUP - Invitación webinar NL y RCV - reuma</v>
      </c>
      <c r="C15738" s="3" t="str">
        <f>HYPERLINK("https://otsuka-europe-crm.veevavault.com/ui/#object/sent_email__v/VBLZ025E82HQ90D", "SE-000289018")</f>
        <v>SE-000289018</v>
      </c>
      <c r="D15738" s="1">
        <v>45952.688715277778</v>
      </c>
      <c r="E15738" s="2">
        <v>1</v>
      </c>
      <c r="F15738" s="2">
        <v>1</v>
      </c>
      <c r="G15738" s="2">
        <v>0</v>
      </c>
      <c r="H15738" s="1" t="s">
        <v>0</v>
      </c>
      <c r="I15738" s="2">
        <v>0</v>
      </c>
      <c r="J15738" s="1">
        <v>45952.377500000002</v>
      </c>
    </row>
    <row r="15739" spans="1:10" x14ac:dyDescent="0.2">
      <c r="A15739" s="4" t="s">
        <v>1</v>
      </c>
      <c r="B15739" s="3" t="str">
        <f>HYPERLINK("https://otsuka-europe-crm.veevavault.com/ui/#object/approved_document__v/V5OZ025E82UW8W9", "LUP - Invitación webinar NL y RCV - reuma")</f>
        <v>LUP - Invitación webinar NL y RCV - reuma</v>
      </c>
      <c r="C15739" s="3" t="str">
        <f>HYPERLINK("https://otsuka-europe-crm.veevavault.com/ui/#object/sent_email__v/VBLZ025E82HQ90E", "SE-000289019")</f>
        <v>SE-000289019</v>
      </c>
      <c r="D15739" s="1" t="s">
        <v>0</v>
      </c>
      <c r="E15739" s="2">
        <v>0</v>
      </c>
      <c r="F15739" s="2">
        <v>0</v>
      </c>
      <c r="G15739" s="2">
        <v>0</v>
      </c>
      <c r="H15739" s="1" t="s">
        <v>0</v>
      </c>
      <c r="I15739" s="2">
        <v>0</v>
      </c>
      <c r="J15739" s="1">
        <v>45952.377500000002</v>
      </c>
    </row>
    <row r="15740" spans="1:10" x14ac:dyDescent="0.2">
      <c r="A15740" s="4" t="s">
        <v>1</v>
      </c>
      <c r="B15740" s="3" t="str">
        <f>HYPERLINK("https://otsuka-europe-crm.veevavault.com/ui/#object/approved_document__v/V5OZ025E82UW8W9", "LUP - Invitación webinar NL y RCV - reuma")</f>
        <v>LUP - Invitación webinar NL y RCV - reuma</v>
      </c>
      <c r="C15740" s="3" t="str">
        <f>HYPERLINK("https://otsuka-europe-crm.veevavault.com/ui/#object/sent_email__v/VBLZ025E82HQ90F", "SE-000289020")</f>
        <v>SE-000289020</v>
      </c>
      <c r="D15740" s="1" t="s">
        <v>0</v>
      </c>
      <c r="E15740" s="2">
        <v>0</v>
      </c>
      <c r="F15740" s="2">
        <v>0</v>
      </c>
      <c r="G15740" s="2">
        <v>0</v>
      </c>
      <c r="H15740" s="1" t="s">
        <v>0</v>
      </c>
      <c r="I15740" s="2">
        <v>0</v>
      </c>
      <c r="J15740" s="1">
        <v>45952.377453703702</v>
      </c>
    </row>
    <row r="15741" spans="1:10" x14ac:dyDescent="0.2">
      <c r="A15741" s="4" t="s">
        <v>1</v>
      </c>
      <c r="B15741" s="3" t="str">
        <f>HYPERLINK("https://otsuka-europe-crm.veevavault.com/ui/#object/approved_document__v/V5OZ025E82UW8W9", "LUP - Invitación webinar NL y RCV - reuma")</f>
        <v>LUP - Invitación webinar NL y RCV - reuma</v>
      </c>
      <c r="C15741" s="3" t="str">
        <f>HYPERLINK("https://otsuka-europe-crm.veevavault.com/ui/#object/sent_email__v/VBLZ025E82HQ90G", "SE-000289021")</f>
        <v>SE-000289021</v>
      </c>
      <c r="D15741" s="1" t="s">
        <v>0</v>
      </c>
      <c r="E15741" s="2">
        <v>0</v>
      </c>
      <c r="F15741" s="2">
        <v>0</v>
      </c>
      <c r="G15741" s="2">
        <v>0</v>
      </c>
      <c r="H15741" s="1" t="s">
        <v>0</v>
      </c>
      <c r="I15741" s="2">
        <v>0</v>
      </c>
      <c r="J15741" s="1">
        <v>45952.377500000002</v>
      </c>
    </row>
    <row r="15742" spans="1:10" x14ac:dyDescent="0.2">
      <c r="A15742" s="4" t="s">
        <v>1</v>
      </c>
      <c r="B15742" s="3" t="str">
        <f>HYPERLINK("https://otsuka-europe-crm.veevavault.com/ui/#object/approved_document__v/V5OZ025E82UW8W9", "LUP - Invitación webinar NL y RCV - reuma")</f>
        <v>LUP - Invitación webinar NL y RCV - reuma</v>
      </c>
      <c r="C15742" s="3" t="str">
        <f>HYPERLINK("https://otsuka-europe-crm.veevavault.com/ui/#object/sent_email__v/VBLZ025E82HQ90H", "SE-000289022")</f>
        <v>SE-000289022</v>
      </c>
      <c r="D15742" s="1">
        <v>45952.981064814812</v>
      </c>
      <c r="E15742" s="2">
        <v>1</v>
      </c>
      <c r="F15742" s="2">
        <v>2</v>
      </c>
      <c r="G15742" s="2">
        <v>0</v>
      </c>
      <c r="H15742" s="1" t="s">
        <v>0</v>
      </c>
      <c r="I15742" s="2">
        <v>0</v>
      </c>
      <c r="J15742" s="1">
        <v>45952.377511574072</v>
      </c>
    </row>
    <row r="15743" spans="1:10" x14ac:dyDescent="0.2">
      <c r="A15743" s="4" t="s">
        <v>1</v>
      </c>
      <c r="B15743" s="3" t="str">
        <f>HYPERLINK("https://otsuka-europe-crm.veevavault.com/ui/#object/approved_document__v/V5OZ025E82UW8W9", "LUP - Invitación webinar NL y RCV - reuma")</f>
        <v>LUP - Invitación webinar NL y RCV - reuma</v>
      </c>
      <c r="C15743" s="3" t="str">
        <f>HYPERLINK("https://otsuka-europe-crm.veevavault.com/ui/#object/sent_email__v/VBLZ025E82HQ90I", "SE-000289023")</f>
        <v>SE-000289023</v>
      </c>
      <c r="D15743" s="1">
        <v>45952.422303240739</v>
      </c>
      <c r="E15743" s="2">
        <v>1</v>
      </c>
      <c r="F15743" s="2">
        <v>1</v>
      </c>
      <c r="G15743" s="2">
        <v>0</v>
      </c>
      <c r="H15743" s="1" t="s">
        <v>0</v>
      </c>
      <c r="I15743" s="2">
        <v>0</v>
      </c>
      <c r="J15743" s="1">
        <v>45952.377476851849</v>
      </c>
    </row>
    <row r="15744" spans="1:10" x14ac:dyDescent="0.2">
      <c r="A15744" s="4" t="s">
        <v>1</v>
      </c>
      <c r="B15744" s="3" t="str">
        <f>HYPERLINK("https://otsuka-europe-crm.veevavault.com/ui/#object/approved_document__v/V5OZ025E82UW8W9", "LUP - Invitación webinar NL y RCV - reuma")</f>
        <v>LUP - Invitación webinar NL y RCV - reuma</v>
      </c>
      <c r="C15744" s="3" t="str">
        <f>HYPERLINK("https://otsuka-europe-crm.veevavault.com/ui/#object/sent_email__v/VBLZ025E82HQ90J", "SE-000289024")</f>
        <v>SE-000289024</v>
      </c>
      <c r="D15744" s="1">
        <v>45952.565821759257</v>
      </c>
      <c r="E15744" s="2">
        <v>1</v>
      </c>
      <c r="F15744" s="2">
        <v>1</v>
      </c>
      <c r="G15744" s="2">
        <v>0</v>
      </c>
      <c r="H15744" s="1" t="s">
        <v>0</v>
      </c>
      <c r="I15744" s="2">
        <v>0</v>
      </c>
      <c r="J15744" s="1">
        <v>45952.377442129633</v>
      </c>
    </row>
    <row r="15745" spans="1:10" x14ac:dyDescent="0.2">
      <c r="A15745" s="4" t="s">
        <v>1</v>
      </c>
      <c r="B15745" s="3" t="str">
        <f>HYPERLINK("https://otsuka-europe-crm.veevavault.com/ui/#object/approved_document__v/V5OZ025E82UW8W9", "LUP - Invitación webinar NL y RCV - reuma")</f>
        <v>LUP - Invitación webinar NL y RCV - reuma</v>
      </c>
      <c r="C15745" s="3" t="str">
        <f>HYPERLINK("https://otsuka-europe-crm.veevavault.com/ui/#object/sent_email__v/VBLZ025E82HQ90K", "SE-000289025")</f>
        <v>SE-000289025</v>
      </c>
      <c r="D15745" s="1" t="s">
        <v>0</v>
      </c>
      <c r="E15745" s="2">
        <v>0</v>
      </c>
      <c r="F15745" s="2">
        <v>0</v>
      </c>
      <c r="G15745" s="2">
        <v>0</v>
      </c>
      <c r="H15745" s="1" t="s">
        <v>0</v>
      </c>
      <c r="I15745" s="2">
        <v>0</v>
      </c>
      <c r="J15745" s="1">
        <v>45952.377476851849</v>
      </c>
    </row>
    <row r="15746" spans="1:10" x14ac:dyDescent="0.2">
      <c r="A15746" s="4" t="s">
        <v>1</v>
      </c>
      <c r="B15746" s="3" t="str">
        <f>HYPERLINK("https://otsuka-europe-crm.veevavault.com/ui/#object/approved_document__v/V5OZ025E82UW8W9", "LUP - Invitación webinar NL y RCV - reuma")</f>
        <v>LUP - Invitación webinar NL y RCV - reuma</v>
      </c>
      <c r="C15746" s="3" t="str">
        <f>HYPERLINK("https://otsuka-europe-crm.veevavault.com/ui/#object/sent_email__v/VBLZ025E82HQ90L", "SE-000289026")</f>
        <v>SE-000289026</v>
      </c>
      <c r="D15746" s="1" t="s">
        <v>0</v>
      </c>
      <c r="E15746" s="2">
        <v>0</v>
      </c>
      <c r="F15746" s="2">
        <v>0</v>
      </c>
      <c r="G15746" s="2">
        <v>0</v>
      </c>
      <c r="H15746" s="1" t="s">
        <v>0</v>
      </c>
      <c r="I15746" s="2">
        <v>0</v>
      </c>
      <c r="J15746" s="1">
        <v>45952.377488425926</v>
      </c>
    </row>
    <row r="15747" spans="1:10" x14ac:dyDescent="0.2">
      <c r="A15747" s="4" t="s">
        <v>1</v>
      </c>
      <c r="B15747" s="3" t="str">
        <f>HYPERLINK("https://otsuka-europe-crm.veevavault.com/ui/#object/approved_document__v/V5OZ025E82UW8W9", "LUP - Invitación webinar NL y RCV - reuma")</f>
        <v>LUP - Invitación webinar NL y RCV - reuma</v>
      </c>
      <c r="C15747" s="3" t="str">
        <f>HYPERLINK("https://otsuka-europe-crm.veevavault.com/ui/#object/sent_email__v/VBLZ025E82HQ90M", "SE-000289027")</f>
        <v>SE-000289027</v>
      </c>
      <c r="D15747" s="1">
        <v>45952.541481481479</v>
      </c>
      <c r="E15747" s="2">
        <v>1</v>
      </c>
      <c r="F15747" s="2">
        <v>1</v>
      </c>
      <c r="G15747" s="2">
        <v>0</v>
      </c>
      <c r="H15747" s="1" t="s">
        <v>0</v>
      </c>
      <c r="I15747" s="2">
        <v>0</v>
      </c>
      <c r="J15747" s="1">
        <v>45952.377442129633</v>
      </c>
    </row>
    <row r="15748" spans="1:10" x14ac:dyDescent="0.2">
      <c r="A15748" s="4" t="s">
        <v>1</v>
      </c>
      <c r="B15748" s="3" t="str">
        <f>HYPERLINK("https://otsuka-europe-crm.veevavault.com/ui/#object/approved_document__v/V5OZ025E82UW8W9", "LUP - Invitación webinar NL y RCV - reuma")</f>
        <v>LUP - Invitación webinar NL y RCV - reuma</v>
      </c>
      <c r="C15748" s="3" t="str">
        <f>HYPERLINK("https://otsuka-europe-crm.veevavault.com/ui/#object/sent_email__v/VBLZ025E82HQ90N", "SE-000289028")</f>
        <v>SE-000289028</v>
      </c>
      <c r="D15748" s="1">
        <v>45952.378530092596</v>
      </c>
      <c r="E15748" s="2">
        <v>1</v>
      </c>
      <c r="F15748" s="2">
        <v>1</v>
      </c>
      <c r="G15748" s="2">
        <v>1</v>
      </c>
      <c r="H15748" s="1">
        <v>45952.378993055558</v>
      </c>
      <c r="I15748" s="2">
        <v>1</v>
      </c>
      <c r="J15748" s="1">
        <v>45952.377453703702</v>
      </c>
    </row>
    <row r="15749" spans="1:10" x14ac:dyDescent="0.2">
      <c r="A15749" s="4" t="s">
        <v>1</v>
      </c>
      <c r="B15749" s="3" t="str">
        <f>HYPERLINK("https://otsuka-europe-crm.veevavault.com/ui/#object/approved_document__v/V5OZ025E82UW8W9", "LUP - Invitación webinar NL y RCV - reuma")</f>
        <v>LUP - Invitación webinar NL y RCV - reuma</v>
      </c>
      <c r="C15749" s="3" t="str">
        <f>HYPERLINK("https://otsuka-europe-crm.veevavault.com/ui/#object/sent_email__v/VBLZ025E82HQ90O", "SE-000289029")</f>
        <v>SE-000289029</v>
      </c>
      <c r="D15749" s="1">
        <v>45975.543935185182</v>
      </c>
      <c r="E15749" s="2">
        <v>1</v>
      </c>
      <c r="F15749" s="2">
        <v>4</v>
      </c>
      <c r="G15749" s="2">
        <v>1</v>
      </c>
      <c r="H15749" s="1">
        <v>46001.664895833332</v>
      </c>
      <c r="I15749" s="2">
        <v>2</v>
      </c>
      <c r="J15749" s="1">
        <v>45952.377465277779</v>
      </c>
    </row>
    <row r="15750" spans="1:10" x14ac:dyDescent="0.2">
      <c r="A15750" s="4" t="s">
        <v>1</v>
      </c>
      <c r="B15750" s="3" t="str">
        <f>HYPERLINK("https://otsuka-europe-crm.veevavault.com/ui/#object/approved_document__v/V5OZ025E82UW8W9", "LUP - Invitación webinar NL y RCV - reuma")</f>
        <v>LUP - Invitación webinar NL y RCV - reuma</v>
      </c>
      <c r="C15750" s="3" t="str">
        <f>HYPERLINK("https://otsuka-europe-crm.veevavault.com/ui/#object/sent_email__v/VBLZ025E82HQ90P", "SE-000289030")</f>
        <v>SE-000289030</v>
      </c>
      <c r="D15750" s="1" t="s">
        <v>0</v>
      </c>
      <c r="E15750" s="2">
        <v>0</v>
      </c>
      <c r="F15750" s="2">
        <v>0</v>
      </c>
      <c r="G15750" s="2">
        <v>0</v>
      </c>
      <c r="H15750" s="1" t="s">
        <v>0</v>
      </c>
      <c r="I15750" s="2">
        <v>0</v>
      </c>
      <c r="J15750" s="1">
        <v>45952.377500000002</v>
      </c>
    </row>
    <row r="15751" spans="1:10" x14ac:dyDescent="0.2">
      <c r="A15751" s="4" t="s">
        <v>1</v>
      </c>
      <c r="B15751" s="3" t="str">
        <f>HYPERLINK("https://otsuka-europe-crm.veevavault.com/ui/#object/approved_document__v/V5OZ025E82UW8W9", "LUP - Invitación webinar NL y RCV - reuma")</f>
        <v>LUP - Invitación webinar NL y RCV - reuma</v>
      </c>
      <c r="C15751" s="3" t="str">
        <f>HYPERLINK("https://otsuka-europe-crm.veevavault.com/ui/#object/sent_email__v/VBLZ025E82HQ90Q", "SE-000289031")</f>
        <v>SE-000289031</v>
      </c>
      <c r="D15751" s="1" t="s">
        <v>0</v>
      </c>
      <c r="E15751" s="2">
        <v>0</v>
      </c>
      <c r="F15751" s="2">
        <v>0</v>
      </c>
      <c r="G15751" s="2">
        <v>0</v>
      </c>
      <c r="H15751" s="1" t="s">
        <v>0</v>
      </c>
      <c r="I15751" s="2">
        <v>0</v>
      </c>
      <c r="J15751" s="1">
        <v>45952.377465277779</v>
      </c>
    </row>
    <row r="15752" spans="1:10" x14ac:dyDescent="0.2">
      <c r="A15752" s="4" t="s">
        <v>1</v>
      </c>
      <c r="B15752" s="3" t="str">
        <f>HYPERLINK("https://otsuka-europe-crm.veevavault.com/ui/#object/approved_document__v/V5OZ025E82UW8W9", "LUP - Invitación webinar NL y RCV - reuma")</f>
        <v>LUP - Invitación webinar NL y RCV - reuma</v>
      </c>
      <c r="C15752" s="3" t="str">
        <f>HYPERLINK("https://otsuka-europe-crm.veevavault.com/ui/#object/sent_email__v/VBLZ025E82HQ90R", "SE-000289032")</f>
        <v>SE-000289032</v>
      </c>
      <c r="D15752" s="1" t="s">
        <v>0</v>
      </c>
      <c r="E15752" s="2">
        <v>0</v>
      </c>
      <c r="F15752" s="2">
        <v>0</v>
      </c>
      <c r="G15752" s="2">
        <v>0</v>
      </c>
      <c r="H15752" s="1" t="s">
        <v>0</v>
      </c>
      <c r="I15752" s="2">
        <v>0</v>
      </c>
      <c r="J15752" s="1">
        <v>45952.377476851849</v>
      </c>
    </row>
    <row r="15753" spans="1:10" x14ac:dyDescent="0.2">
      <c r="A15753" s="4" t="s">
        <v>1</v>
      </c>
      <c r="B15753" s="3" t="str">
        <f>HYPERLINK("https://otsuka-europe-crm.veevavault.com/ui/#object/approved_document__v/V5OZ025E82UW8W9", "LUP - Invitación webinar NL y RCV - reuma")</f>
        <v>LUP - Invitación webinar NL y RCV - reuma</v>
      </c>
      <c r="C15753" s="3" t="str">
        <f>HYPERLINK("https://otsuka-europe-crm.veevavault.com/ui/#object/sent_email__v/VBLZ025E82HQ90S", "SE-000289033")</f>
        <v>SE-000289033</v>
      </c>
      <c r="D15753" s="1" t="s">
        <v>0</v>
      </c>
      <c r="E15753" s="2">
        <v>0</v>
      </c>
      <c r="F15753" s="2">
        <v>0</v>
      </c>
      <c r="G15753" s="2">
        <v>0</v>
      </c>
      <c r="H15753" s="1" t="s">
        <v>0</v>
      </c>
      <c r="I15753" s="2">
        <v>0</v>
      </c>
      <c r="J15753" s="1">
        <v>45952.377465277779</v>
      </c>
    </row>
    <row r="15754" spans="1:10" x14ac:dyDescent="0.2">
      <c r="A15754" s="4" t="s">
        <v>1</v>
      </c>
      <c r="B15754" s="3" t="str">
        <f>HYPERLINK("https://otsuka-europe-crm.veevavault.com/ui/#object/approved_document__v/V5OZ025E82UW8W9", "LUP - Invitación webinar NL y RCV - reuma")</f>
        <v>LUP - Invitación webinar NL y RCV - reuma</v>
      </c>
      <c r="C15754" s="3" t="str">
        <f>HYPERLINK("https://otsuka-europe-crm.veevavault.com/ui/#object/sent_email__v/VBLZ025E82HQ90T", "SE-000289034")</f>
        <v>SE-000289034</v>
      </c>
      <c r="D15754" s="1">
        <v>45952.712673611109</v>
      </c>
      <c r="E15754" s="2">
        <v>1</v>
      </c>
      <c r="F15754" s="2">
        <v>1</v>
      </c>
      <c r="G15754" s="2">
        <v>0</v>
      </c>
      <c r="H15754" s="1" t="s">
        <v>0</v>
      </c>
      <c r="I15754" s="2">
        <v>0</v>
      </c>
      <c r="J15754" s="1">
        <v>45952.377511574072</v>
      </c>
    </row>
    <row r="15755" spans="1:10" x14ac:dyDescent="0.2">
      <c r="A15755" s="4" t="s">
        <v>1</v>
      </c>
      <c r="B15755" s="3" t="str">
        <f>HYPERLINK("https://otsuka-europe-crm.veevavault.com/ui/#object/approved_document__v/V5OZ025E82UW8W9", "LUP - Invitación webinar NL y RCV - reuma")</f>
        <v>LUP - Invitación webinar NL y RCV - reuma</v>
      </c>
      <c r="C15755" s="3" t="str">
        <f>HYPERLINK("https://otsuka-europe-crm.veevavault.com/ui/#object/sent_email__v/VBLZ025E82HQ90U", "SE-000289035")</f>
        <v>SE-000289035</v>
      </c>
      <c r="D15755" s="1" t="s">
        <v>0</v>
      </c>
      <c r="E15755" s="2">
        <v>0</v>
      </c>
      <c r="F15755" s="2">
        <v>0</v>
      </c>
      <c r="G15755" s="2">
        <v>0</v>
      </c>
      <c r="H15755" s="1" t="s">
        <v>0</v>
      </c>
      <c r="I15755" s="2">
        <v>0</v>
      </c>
      <c r="J15755" s="1">
        <v>45952.377453703702</v>
      </c>
    </row>
    <row r="15756" spans="1:10" x14ac:dyDescent="0.2">
      <c r="A15756" s="4" t="s">
        <v>1</v>
      </c>
      <c r="B15756" s="3" t="str">
        <f>HYPERLINK("https://otsuka-europe-crm.veevavault.com/ui/#object/approved_document__v/V5OZ025E82UW8W9", "LUP - Invitación webinar NL y RCV - reuma")</f>
        <v>LUP - Invitación webinar NL y RCV - reuma</v>
      </c>
      <c r="C15756" s="3" t="str">
        <f>HYPERLINK("https://otsuka-europe-crm.veevavault.com/ui/#object/sent_email__v/VBLZ025E82HQ90V", "SE-000289036")</f>
        <v>SE-000289036</v>
      </c>
      <c r="D15756" s="1" t="s">
        <v>0</v>
      </c>
      <c r="E15756" s="2">
        <v>0</v>
      </c>
      <c r="F15756" s="2">
        <v>0</v>
      </c>
      <c r="G15756" s="2">
        <v>0</v>
      </c>
      <c r="H15756" s="1" t="s">
        <v>0</v>
      </c>
      <c r="I15756" s="2">
        <v>0</v>
      </c>
      <c r="J15756" s="1">
        <v>45952.377476851849</v>
      </c>
    </row>
    <row r="15757" spans="1:10" x14ac:dyDescent="0.2">
      <c r="A15757" s="4" t="s">
        <v>1</v>
      </c>
      <c r="B15757" s="3" t="str">
        <f>HYPERLINK("https://otsuka-europe-crm.veevavault.com/ui/#object/approved_document__v/V5OZ025E82UW8W9", "LUP - Invitación webinar NL y RCV - reuma")</f>
        <v>LUP - Invitación webinar NL y RCV - reuma</v>
      </c>
      <c r="C15757" s="3" t="str">
        <f>HYPERLINK("https://otsuka-europe-crm.veevavault.com/ui/#object/sent_email__v/VBLZ025E82HQ90W", "SE-000289037")</f>
        <v>SE-000289037</v>
      </c>
      <c r="D15757" s="1">
        <v>45964.075752314813</v>
      </c>
      <c r="E15757" s="2">
        <v>1</v>
      </c>
      <c r="F15757" s="2">
        <v>2</v>
      </c>
      <c r="G15757" s="2">
        <v>0</v>
      </c>
      <c r="H15757" s="1" t="s">
        <v>0</v>
      </c>
      <c r="I15757" s="2">
        <v>0</v>
      </c>
      <c r="J15757" s="1">
        <v>45952.377488425926</v>
      </c>
    </row>
    <row r="15758" spans="1:10" x14ac:dyDescent="0.2">
      <c r="A15758" s="4" t="s">
        <v>1</v>
      </c>
      <c r="B15758" s="3" t="str">
        <f>HYPERLINK("https://otsuka-europe-crm.veevavault.com/ui/#object/approved_document__v/V5OZ025E82UW8W9", "LUP - Invitación webinar NL y RCV - reuma")</f>
        <v>LUP - Invitación webinar NL y RCV - reuma</v>
      </c>
      <c r="C15758" s="3" t="str">
        <f>HYPERLINK("https://otsuka-europe-crm.veevavault.com/ui/#object/sent_email__v/VBLZ025E82HQ90X", "SE-000289038")</f>
        <v>SE-000289038</v>
      </c>
      <c r="D15758" s="1">
        <v>45952.991539351853</v>
      </c>
      <c r="E15758" s="2">
        <v>1</v>
      </c>
      <c r="F15758" s="2">
        <v>1</v>
      </c>
      <c r="G15758" s="2">
        <v>0</v>
      </c>
      <c r="H15758" s="1" t="s">
        <v>0</v>
      </c>
      <c r="I15758" s="2">
        <v>0</v>
      </c>
      <c r="J15758" s="1">
        <v>45952.377453703702</v>
      </c>
    </row>
    <row r="15759" spans="1:10" x14ac:dyDescent="0.2">
      <c r="A15759" s="4" t="s">
        <v>1</v>
      </c>
      <c r="B15759" s="3" t="str">
        <f>HYPERLINK("https://otsuka-europe-crm.veevavault.com/ui/#object/approved_document__v/V5OZ025E82UW8W9", "LUP - Invitación webinar NL y RCV - reuma")</f>
        <v>LUP - Invitación webinar NL y RCV - reuma</v>
      </c>
      <c r="C15759" s="3" t="str">
        <f>HYPERLINK("https://otsuka-europe-crm.veevavault.com/ui/#object/sent_email__v/VBLZ025E82HQ90Y", "SE-000289039")</f>
        <v>SE-000289039</v>
      </c>
      <c r="D15759" s="1" t="s">
        <v>0</v>
      </c>
      <c r="E15759" s="2">
        <v>0</v>
      </c>
      <c r="F15759" s="2">
        <v>0</v>
      </c>
      <c r="G15759" s="2">
        <v>0</v>
      </c>
      <c r="H15759" s="1" t="s">
        <v>0</v>
      </c>
      <c r="I15759" s="2">
        <v>0</v>
      </c>
      <c r="J15759" s="1">
        <v>45952.377442129633</v>
      </c>
    </row>
    <row r="15760" spans="1:10" x14ac:dyDescent="0.2">
      <c r="A15760" s="4" t="s">
        <v>1</v>
      </c>
      <c r="B15760" s="3" t="str">
        <f>HYPERLINK("https://otsuka-europe-crm.veevavault.com/ui/#object/approved_document__v/V5OZ025E82UW8W9", "LUP - Invitación webinar NL y RCV - reuma")</f>
        <v>LUP - Invitación webinar NL y RCV - reuma</v>
      </c>
      <c r="C15760" s="3" t="str">
        <f>HYPERLINK("https://otsuka-europe-crm.veevavault.com/ui/#object/sent_email__v/VBLZ025E82HQ931", "SE-000289040")</f>
        <v>SE-000289040</v>
      </c>
      <c r="D15760" s="1">
        <v>45952.397407407407</v>
      </c>
      <c r="E15760" s="2">
        <v>1</v>
      </c>
      <c r="F15760" s="2">
        <v>1</v>
      </c>
      <c r="G15760" s="2">
        <v>0</v>
      </c>
      <c r="H15760" s="1" t="s">
        <v>0</v>
      </c>
      <c r="I15760" s="2">
        <v>0</v>
      </c>
      <c r="J15760" s="1">
        <v>45952.377511574072</v>
      </c>
    </row>
    <row r="15761" spans="1:10" x14ac:dyDescent="0.2">
      <c r="A15761" s="4" t="s">
        <v>1</v>
      </c>
      <c r="B15761" s="3" t="str">
        <f>HYPERLINK("https://otsuka-europe-crm.veevavault.com/ui/#object/approved_document__v/V5OZ025E82UW8W9", "LUP - Invitación webinar NL y RCV - reuma")</f>
        <v>LUP - Invitación webinar NL y RCV - reuma</v>
      </c>
      <c r="C15761" s="3" t="str">
        <f>HYPERLINK("https://otsuka-europe-crm.veevavault.com/ui/#object/sent_email__v/VBLZ025E82HQ932", "SE-000289041")</f>
        <v>SE-000289041</v>
      </c>
      <c r="D15761" s="1">
        <v>45967.449016203704</v>
      </c>
      <c r="E15761" s="2">
        <v>1</v>
      </c>
      <c r="F15761" s="2">
        <v>2</v>
      </c>
      <c r="G15761" s="2">
        <v>0</v>
      </c>
      <c r="H15761" s="1" t="s">
        <v>0</v>
      </c>
      <c r="I15761" s="2">
        <v>0</v>
      </c>
      <c r="J15761" s="1">
        <v>45952.377500000002</v>
      </c>
    </row>
    <row r="15762" spans="1:10" x14ac:dyDescent="0.2">
      <c r="A15762" s="4" t="s">
        <v>1</v>
      </c>
      <c r="B15762" s="3" t="str">
        <f>HYPERLINK("https://otsuka-europe-crm.veevavault.com/ui/#object/approved_document__v/V5OZ025E82UW8W9", "LUP - Invitación webinar NL y RCV - reuma")</f>
        <v>LUP - Invitación webinar NL y RCV - reuma</v>
      </c>
      <c r="C15762" s="3" t="str">
        <f>HYPERLINK("https://otsuka-europe-crm.veevavault.com/ui/#object/sent_email__v/VBLZ025E82HQ933", "SE-000289042")</f>
        <v>SE-000289042</v>
      </c>
      <c r="D15762" s="1" t="s">
        <v>0</v>
      </c>
      <c r="E15762" s="2">
        <v>0</v>
      </c>
      <c r="F15762" s="2">
        <v>0</v>
      </c>
      <c r="G15762" s="2">
        <v>0</v>
      </c>
      <c r="H15762" s="1" t="s">
        <v>0</v>
      </c>
      <c r="I15762" s="2">
        <v>0</v>
      </c>
      <c r="J15762" s="1">
        <v>45952.377500000002</v>
      </c>
    </row>
    <row r="15763" spans="1:10" x14ac:dyDescent="0.2">
      <c r="A15763" s="4" t="s">
        <v>1</v>
      </c>
      <c r="B15763" s="3" t="str">
        <f>HYPERLINK("https://otsuka-europe-crm.veevavault.com/ui/#object/approved_document__v/V5OZ025E82UW8W9", "LUP - Invitación webinar NL y RCV - reuma")</f>
        <v>LUP - Invitación webinar NL y RCV - reuma</v>
      </c>
      <c r="C15763" s="3" t="str">
        <f>HYPERLINK("https://otsuka-europe-crm.veevavault.com/ui/#object/sent_email__v/VBLZ025E82HQ934", "SE-000289043")</f>
        <v>SE-000289043</v>
      </c>
      <c r="D15763" s="1">
        <v>45952.400069444448</v>
      </c>
      <c r="E15763" s="2">
        <v>1</v>
      </c>
      <c r="F15763" s="2">
        <v>1</v>
      </c>
      <c r="G15763" s="2">
        <v>0</v>
      </c>
      <c r="H15763" s="1" t="s">
        <v>0</v>
      </c>
      <c r="I15763" s="2">
        <v>0</v>
      </c>
      <c r="J15763" s="1">
        <v>45952.377500000002</v>
      </c>
    </row>
    <row r="15764" spans="1:10" x14ac:dyDescent="0.2">
      <c r="A15764" s="4" t="s">
        <v>1</v>
      </c>
      <c r="B15764" s="3" t="str">
        <f>HYPERLINK("https://otsuka-europe-crm.veevavault.com/ui/#object/approved_document__v/V5OZ025E82UW8W9", "LUP - Invitación webinar NL y RCV - reuma")</f>
        <v>LUP - Invitación webinar NL y RCV - reuma</v>
      </c>
      <c r="C15764" s="3" t="str">
        <f>HYPERLINK("https://otsuka-europe-crm.veevavault.com/ui/#object/sent_email__v/VBLZ025E82HQ935", "SE-000289044")</f>
        <v>SE-000289044</v>
      </c>
      <c r="D15764" s="1" t="s">
        <v>0</v>
      </c>
      <c r="E15764" s="2">
        <v>0</v>
      </c>
      <c r="F15764" s="2">
        <v>0</v>
      </c>
      <c r="G15764" s="2">
        <v>0</v>
      </c>
      <c r="H15764" s="1" t="s">
        <v>0</v>
      </c>
      <c r="I15764" s="2">
        <v>0</v>
      </c>
      <c r="J15764" s="1">
        <v>45952.377465277779</v>
      </c>
    </row>
    <row r="15765" spans="1:10" x14ac:dyDescent="0.2">
      <c r="A15765" s="4" t="s">
        <v>1</v>
      </c>
      <c r="B15765" s="3" t="str">
        <f>HYPERLINK("https://otsuka-europe-crm.veevavault.com/ui/#object/approved_document__v/V5OZ025E82UW8W9", "LUP - Invitación webinar NL y RCV - reuma")</f>
        <v>LUP - Invitación webinar NL y RCV - reuma</v>
      </c>
      <c r="C15765" s="3" t="str">
        <f>HYPERLINK("https://otsuka-europe-crm.veevavault.com/ui/#object/sent_email__v/VBLZ025E82HQ936", "SE-000289045")</f>
        <v>SE-000289045</v>
      </c>
      <c r="D15765" s="1">
        <v>45953.264999999999</v>
      </c>
      <c r="E15765" s="2">
        <v>1</v>
      </c>
      <c r="F15765" s="2">
        <v>1</v>
      </c>
      <c r="G15765" s="2">
        <v>0</v>
      </c>
      <c r="H15765" s="1" t="s">
        <v>0</v>
      </c>
      <c r="I15765" s="2">
        <v>0</v>
      </c>
      <c r="J15765" s="1">
        <v>45952.377453703702</v>
      </c>
    </row>
    <row r="15766" spans="1:10" x14ac:dyDescent="0.2">
      <c r="A15766" s="4" t="s">
        <v>1</v>
      </c>
      <c r="B15766" s="3" t="str">
        <f>HYPERLINK("https://otsuka-europe-crm.veevavault.com/ui/#object/approved_document__v/V5OZ025E82UW8W9", "LUP - Invitación webinar NL y RCV - reuma")</f>
        <v>LUP - Invitación webinar NL y RCV - reuma</v>
      </c>
      <c r="C15766" s="3" t="str">
        <f>HYPERLINK("https://otsuka-europe-crm.veevavault.com/ui/#object/sent_email__v/VBLZ025E82HQ937", "SE-000289046")</f>
        <v>SE-000289046</v>
      </c>
      <c r="D15766" s="1">
        <v>45983.012650462966</v>
      </c>
      <c r="E15766" s="2">
        <v>1</v>
      </c>
      <c r="F15766" s="2">
        <v>1</v>
      </c>
      <c r="G15766" s="2">
        <v>0</v>
      </c>
      <c r="H15766" s="1" t="s">
        <v>0</v>
      </c>
      <c r="I15766" s="2">
        <v>0</v>
      </c>
      <c r="J15766" s="1">
        <v>45952.377488425926</v>
      </c>
    </row>
    <row r="15767" spans="1:10" x14ac:dyDescent="0.2">
      <c r="A15767" s="4" t="s">
        <v>1</v>
      </c>
      <c r="B15767" s="3" t="str">
        <f>HYPERLINK("https://otsuka-europe-crm.veevavault.com/ui/#object/approved_document__v/V5OZ025E82UW8W9", "LUP - Invitación webinar NL y RCV - reuma")</f>
        <v>LUP - Invitación webinar NL y RCV - reuma</v>
      </c>
      <c r="C15767" s="3" t="str">
        <f>HYPERLINK("https://otsuka-europe-crm.veevavault.com/ui/#object/sent_email__v/VBLZ025E82HQ98L", "SE-000289047")</f>
        <v>SE-000289047</v>
      </c>
      <c r="D15767" s="1" t="s">
        <v>0</v>
      </c>
      <c r="E15767" s="2">
        <v>0</v>
      </c>
      <c r="F15767" s="2">
        <v>0</v>
      </c>
      <c r="G15767" s="2">
        <v>0</v>
      </c>
      <c r="H15767" s="1" t="s">
        <v>0</v>
      </c>
      <c r="I15767" s="2">
        <v>0</v>
      </c>
      <c r="J15767" s="1">
        <v>45952.377488425926</v>
      </c>
    </row>
    <row r="15768" spans="1:10" x14ac:dyDescent="0.2">
      <c r="A15768" s="4" t="s">
        <v>1</v>
      </c>
      <c r="B15768" s="3" t="str">
        <f>HYPERLINK("https://otsuka-europe-crm.veevavault.com/ui/#object/approved_document__v/V5OZ025E82UW8W9", "LUP - Invitación webinar NL y RCV - reuma")</f>
        <v>LUP - Invitación webinar NL y RCV - reuma</v>
      </c>
      <c r="C15768" s="3" t="str">
        <f>HYPERLINK("https://otsuka-europe-crm.veevavault.com/ui/#object/sent_email__v/VBLZ025E82HQ9BD", "SE-000289048")</f>
        <v>SE-000289048</v>
      </c>
      <c r="D15768" s="1" t="s">
        <v>0</v>
      </c>
      <c r="E15768" s="2">
        <v>0</v>
      </c>
      <c r="F15768" s="2">
        <v>0</v>
      </c>
      <c r="G15768" s="2">
        <v>0</v>
      </c>
      <c r="H15768" s="1" t="s">
        <v>0</v>
      </c>
      <c r="I15768" s="2">
        <v>0</v>
      </c>
      <c r="J15768" s="1">
        <v>45952.377465277779</v>
      </c>
    </row>
    <row r="15769" spans="1:10" x14ac:dyDescent="0.2">
      <c r="A15769" s="4" t="s">
        <v>1</v>
      </c>
      <c r="B15769" s="3" t="str">
        <f>HYPERLINK("https://otsuka-europe-crm.veevavault.com/ui/#object/approved_document__v/V5OZ025E82UW8W9", "LUP - Invitación webinar NL y RCV - reuma")</f>
        <v>LUP - Invitación webinar NL y RCV - reuma</v>
      </c>
      <c r="C15769" s="3" t="str">
        <f>HYPERLINK("https://otsuka-europe-crm.veevavault.com/ui/#object/sent_email__v/VBLZ025E82HQ9BE", "SE-000289049")</f>
        <v>SE-000289049</v>
      </c>
      <c r="D15769" s="1" t="s">
        <v>0</v>
      </c>
      <c r="E15769" s="2">
        <v>0</v>
      </c>
      <c r="F15769" s="2">
        <v>0</v>
      </c>
      <c r="G15769" s="2">
        <v>0</v>
      </c>
      <c r="H15769" s="1" t="s">
        <v>0</v>
      </c>
      <c r="I15769" s="2">
        <v>0</v>
      </c>
      <c r="J15769" s="1">
        <v>45952.377500000002</v>
      </c>
    </row>
    <row r="15770" spans="1:10" x14ac:dyDescent="0.2">
      <c r="A15770" s="4" t="s">
        <v>1</v>
      </c>
      <c r="B15770" s="3" t="str">
        <f>HYPERLINK("https://otsuka-europe-crm.veevavault.com/ui/#object/approved_document__v/V5OZ025E82UW8W9", "LUP - Invitación webinar NL y RCV - reuma")</f>
        <v>LUP - Invitación webinar NL y RCV - reuma</v>
      </c>
      <c r="C15770" s="3" t="str">
        <f>HYPERLINK("https://otsuka-europe-crm.veevavault.com/ui/#object/sent_email__v/VBLZ025E82HQ9BF", "SE-000289050")</f>
        <v>SE-000289050</v>
      </c>
      <c r="D15770" s="1">
        <v>45987.649791666663</v>
      </c>
      <c r="E15770" s="2">
        <v>1</v>
      </c>
      <c r="F15770" s="2">
        <v>3</v>
      </c>
      <c r="G15770" s="2">
        <v>1</v>
      </c>
      <c r="H15770" s="1">
        <v>45953.451620370368</v>
      </c>
      <c r="I15770" s="2">
        <v>2</v>
      </c>
      <c r="J15770" s="1">
        <v>45952.377442129633</v>
      </c>
    </row>
    <row r="15771" spans="1:10" x14ac:dyDescent="0.2">
      <c r="A15771" s="4" t="s">
        <v>1</v>
      </c>
      <c r="B15771" s="3" t="str">
        <f>HYPERLINK("https://otsuka-europe-crm.veevavault.com/ui/#object/approved_document__v/V5OZ025E82UW8W9", "LUP - Invitación webinar NL y RCV - reuma")</f>
        <v>LUP - Invitación webinar NL y RCV - reuma</v>
      </c>
      <c r="C15771" s="3" t="str">
        <f>HYPERLINK("https://otsuka-europe-crm.veevavault.com/ui/#object/sent_email__v/VBLZ025E82HQ9BG", "SE-000289051")</f>
        <v>SE-000289051</v>
      </c>
      <c r="D15771" s="1">
        <v>45977.268206018518</v>
      </c>
      <c r="E15771" s="2">
        <v>1</v>
      </c>
      <c r="F15771" s="2">
        <v>2</v>
      </c>
      <c r="G15771" s="2">
        <v>0</v>
      </c>
      <c r="H15771" s="1" t="s">
        <v>0</v>
      </c>
      <c r="I15771" s="2">
        <v>0</v>
      </c>
      <c r="J15771" s="1">
        <v>45952.377453703702</v>
      </c>
    </row>
    <row r="15772" spans="1:10" x14ac:dyDescent="0.2">
      <c r="A15772" s="4" t="s">
        <v>1</v>
      </c>
      <c r="B15772" s="3" t="str">
        <f>HYPERLINK("https://otsuka-europe-crm.veevavault.com/ui/#object/approved_document__v/V5OZ025E82UW8W9", "LUP - Invitación webinar NL y RCV - reuma")</f>
        <v>LUP - Invitación webinar NL y RCV - reuma</v>
      </c>
      <c r="C15772" s="3" t="str">
        <f>HYPERLINK("https://otsuka-europe-crm.veevavault.com/ui/#object/sent_email__v/VBLZ025E82HQ9BH", "SE-000289052")</f>
        <v>SE-000289052</v>
      </c>
      <c r="D15772" s="1">
        <v>45953.630011574074</v>
      </c>
      <c r="E15772" s="2">
        <v>1</v>
      </c>
      <c r="F15772" s="2">
        <v>3</v>
      </c>
      <c r="G15772" s="2">
        <v>0</v>
      </c>
      <c r="H15772" s="1" t="s">
        <v>0</v>
      </c>
      <c r="I15772" s="2">
        <v>0</v>
      </c>
      <c r="J15772" s="1">
        <v>45952.377500000002</v>
      </c>
    </row>
    <row r="15773" spans="1:10" x14ac:dyDescent="0.2">
      <c r="A15773" s="4" t="s">
        <v>1</v>
      </c>
      <c r="B15773" s="3" t="str">
        <f>HYPERLINK("https://otsuka-europe-crm.veevavault.com/ui/#object/approved_document__v/V5OZ025E82UW8W9", "LUP - Invitación webinar NL y RCV - reuma")</f>
        <v>LUP - Invitación webinar NL y RCV - reuma</v>
      </c>
      <c r="C15773" s="3" t="str">
        <f>HYPERLINK("https://otsuka-europe-crm.veevavault.com/ui/#object/sent_email__v/VBLZ025E82HS37L", "SE-000290267")</f>
        <v>SE-000290267</v>
      </c>
      <c r="D15773" s="1" t="s">
        <v>0</v>
      </c>
      <c r="E15773" s="2">
        <v>0</v>
      </c>
      <c r="F15773" s="2">
        <v>0</v>
      </c>
      <c r="G15773" s="2">
        <v>0</v>
      </c>
      <c r="H15773" s="1" t="s">
        <v>0</v>
      </c>
      <c r="I15773" s="2">
        <v>0</v>
      </c>
      <c r="J15773" s="1">
        <v>45953.382847222223</v>
      </c>
    </row>
    <row r="15774" spans="1:10" x14ac:dyDescent="0.2">
      <c r="A15774" s="4" t="s">
        <v>1</v>
      </c>
      <c r="B15774" s="3" t="str">
        <f>HYPERLINK("https://otsuka-europe-crm.veevavault.com/ui/#object/approved_document__v/V5OZ025E82UW8W9", "LUP - Invitación webinar NL y RCV - reuma")</f>
        <v>LUP - Invitación webinar NL y RCV - reuma</v>
      </c>
      <c r="C15774" s="3" t="str">
        <f>HYPERLINK("https://otsuka-europe-crm.veevavault.com/ui/#object/sent_email__v/VBLZ025E82HS37M", "SE-000290268")</f>
        <v>SE-000290268</v>
      </c>
      <c r="D15774" s="1" t="s">
        <v>0</v>
      </c>
      <c r="E15774" s="2">
        <v>0</v>
      </c>
      <c r="F15774" s="2">
        <v>0</v>
      </c>
      <c r="G15774" s="2">
        <v>0</v>
      </c>
      <c r="H15774" s="1" t="s">
        <v>0</v>
      </c>
      <c r="I15774" s="2">
        <v>0</v>
      </c>
      <c r="J15774" s="1">
        <v>45953.382870370369</v>
      </c>
    </row>
    <row r="15775" spans="1:10" x14ac:dyDescent="0.2">
      <c r="A15775" s="4" t="s">
        <v>1</v>
      </c>
      <c r="B15775" s="3" t="str">
        <f>HYPERLINK("https://otsuka-europe-crm.veevavault.com/ui/#object/approved_document__v/V5OZ025E82UW8W9", "LUP - Invitación webinar NL y RCV - reuma")</f>
        <v>LUP - Invitación webinar NL y RCV - reuma</v>
      </c>
      <c r="C15775" s="3" t="str">
        <f>HYPERLINK("https://otsuka-europe-crm.veevavault.com/ui/#object/sent_email__v/VBLZ025E82HS37N", "SE-000290269")</f>
        <v>SE-000290269</v>
      </c>
      <c r="D15775" s="1" t="s">
        <v>0</v>
      </c>
      <c r="E15775" s="2">
        <v>0</v>
      </c>
      <c r="F15775" s="2">
        <v>0</v>
      </c>
      <c r="G15775" s="2">
        <v>0</v>
      </c>
      <c r="H15775" s="1" t="s">
        <v>0</v>
      </c>
      <c r="I15775" s="2">
        <v>0</v>
      </c>
      <c r="J15775" s="1">
        <v>45953.382905092592</v>
      </c>
    </row>
    <row r="15776" spans="1:10" x14ac:dyDescent="0.2">
      <c r="A15776" s="4" t="s">
        <v>1</v>
      </c>
      <c r="B15776" s="3" t="str">
        <f>HYPERLINK("https://otsuka-europe-crm.veevavault.com/ui/#object/approved_document__v/V5OZ025E82UW8W9", "LUP - Invitación webinar NL y RCV - reuma")</f>
        <v>LUP - Invitación webinar NL y RCV - reuma</v>
      </c>
      <c r="C15776" s="3" t="str">
        <f>HYPERLINK("https://otsuka-europe-crm.veevavault.com/ui/#object/sent_email__v/VBLZ025E82HS37O", "SE-000290270")</f>
        <v>SE-000290270</v>
      </c>
      <c r="D15776" s="1" t="s">
        <v>0</v>
      </c>
      <c r="E15776" s="2">
        <v>0</v>
      </c>
      <c r="F15776" s="2">
        <v>0</v>
      </c>
      <c r="G15776" s="2">
        <v>0</v>
      </c>
      <c r="H15776" s="1" t="s">
        <v>0</v>
      </c>
      <c r="I15776" s="2">
        <v>0</v>
      </c>
      <c r="J15776" s="1">
        <v>45953.382916666669</v>
      </c>
    </row>
    <row r="15777" spans="1:10" x14ac:dyDescent="0.2">
      <c r="A15777" s="4" t="s">
        <v>1</v>
      </c>
      <c r="B15777" s="3" t="str">
        <f>HYPERLINK("https://otsuka-europe-crm.veevavault.com/ui/#object/approved_document__v/V5OZ025E82UW8W9", "LUP - Invitación webinar NL y RCV - reuma")</f>
        <v>LUP - Invitación webinar NL y RCV - reuma</v>
      </c>
      <c r="C15777" s="3" t="str">
        <f>HYPERLINK("https://otsuka-europe-crm.veevavault.com/ui/#object/sent_email__v/VBLZ025E82HS37P", "SE-000290271")</f>
        <v>SE-000290271</v>
      </c>
      <c r="D15777" s="1" t="s">
        <v>0</v>
      </c>
      <c r="E15777" s="2">
        <v>0</v>
      </c>
      <c r="F15777" s="2">
        <v>0</v>
      </c>
      <c r="G15777" s="2">
        <v>0</v>
      </c>
      <c r="H15777" s="1" t="s">
        <v>0</v>
      </c>
      <c r="I15777" s="2">
        <v>0</v>
      </c>
      <c r="J15777" s="1">
        <v>45953.382881944446</v>
      </c>
    </row>
    <row r="15778" spans="1:10" x14ac:dyDescent="0.2">
      <c r="A15778" s="4" t="s">
        <v>1</v>
      </c>
      <c r="B15778" s="3" t="str">
        <f>HYPERLINK("https://otsuka-europe-crm.veevavault.com/ui/#object/approved_document__v/V5OZ025E82UW8W9", "LUP - Invitación webinar NL y RCV - reuma")</f>
        <v>LUP - Invitación webinar NL y RCV - reuma</v>
      </c>
      <c r="C15778" s="3" t="str">
        <f>HYPERLINK("https://otsuka-europe-crm.veevavault.com/ui/#object/sent_email__v/VBLZ025E82HS37Q", "SE-000290272")</f>
        <v>SE-000290272</v>
      </c>
      <c r="D15778" s="1" t="s">
        <v>0</v>
      </c>
      <c r="E15778" s="2">
        <v>0</v>
      </c>
      <c r="F15778" s="2">
        <v>0</v>
      </c>
      <c r="G15778" s="2">
        <v>0</v>
      </c>
      <c r="H15778" s="1" t="s">
        <v>0</v>
      </c>
      <c r="I15778" s="2">
        <v>0</v>
      </c>
      <c r="J15778" s="1">
        <v>45953.382870370369</v>
      </c>
    </row>
    <row r="15779" spans="1:10" x14ac:dyDescent="0.2">
      <c r="A15779" s="4" t="s">
        <v>1</v>
      </c>
      <c r="B15779" s="3" t="str">
        <f>HYPERLINK("https://otsuka-europe-crm.veevavault.com/ui/#object/approved_document__v/V5OZ025E82UW8W9", "LUP - Invitación webinar NL y RCV - reuma")</f>
        <v>LUP - Invitación webinar NL y RCV - reuma</v>
      </c>
      <c r="C15779" s="3" t="str">
        <f>HYPERLINK("https://otsuka-europe-crm.veevavault.com/ui/#object/sent_email__v/VBLZ025E82HS37R", "SE-000290273")</f>
        <v>SE-000290273</v>
      </c>
      <c r="D15779" s="1" t="s">
        <v>0</v>
      </c>
      <c r="E15779" s="2">
        <v>0</v>
      </c>
      <c r="F15779" s="2">
        <v>0</v>
      </c>
      <c r="G15779" s="2">
        <v>0</v>
      </c>
      <c r="H15779" s="1" t="s">
        <v>0</v>
      </c>
      <c r="I15779" s="2">
        <v>0</v>
      </c>
      <c r="J15779" s="1">
        <v>45953.382870370369</v>
      </c>
    </row>
    <row r="15780" spans="1:10" x14ac:dyDescent="0.2">
      <c r="A15780" s="4" t="s">
        <v>1</v>
      </c>
      <c r="B15780" s="3" t="str">
        <f>HYPERLINK("https://otsuka-europe-crm.veevavault.com/ui/#object/approved_document__v/V5OZ025E82UW8W9", "LUP - Invitación webinar NL y RCV - reuma")</f>
        <v>LUP - Invitación webinar NL y RCV - reuma</v>
      </c>
      <c r="C15780" s="3" t="str">
        <f>HYPERLINK("https://otsuka-europe-crm.veevavault.com/ui/#object/sent_email__v/VBLZ025E82HS37S", "SE-000290274")</f>
        <v>SE-000290274</v>
      </c>
      <c r="D15780" s="1" t="s">
        <v>0</v>
      </c>
      <c r="E15780" s="2">
        <v>0</v>
      </c>
      <c r="F15780" s="2">
        <v>0</v>
      </c>
      <c r="G15780" s="2">
        <v>0</v>
      </c>
      <c r="H15780" s="1" t="s">
        <v>0</v>
      </c>
      <c r="I15780" s="2">
        <v>0</v>
      </c>
      <c r="J15780" s="1">
        <v>45953.382916666669</v>
      </c>
    </row>
    <row r="15781" spans="1:10" x14ac:dyDescent="0.2">
      <c r="A15781" s="4" t="s">
        <v>1</v>
      </c>
      <c r="B15781" s="3" t="str">
        <f>HYPERLINK("https://otsuka-europe-crm.veevavault.com/ui/#object/approved_document__v/V5OZ025E82UW8W9", "LUP - Invitación webinar NL y RCV - reuma")</f>
        <v>LUP - Invitación webinar NL y RCV - reuma</v>
      </c>
      <c r="C15781" s="3" t="str">
        <f>HYPERLINK("https://otsuka-europe-crm.veevavault.com/ui/#object/sent_email__v/VBLZ025E82HS37T", "SE-000290275")</f>
        <v>SE-000290275</v>
      </c>
      <c r="D15781" s="1" t="s">
        <v>0</v>
      </c>
      <c r="E15781" s="2">
        <v>0</v>
      </c>
      <c r="F15781" s="2">
        <v>0</v>
      </c>
      <c r="G15781" s="2">
        <v>0</v>
      </c>
      <c r="H15781" s="1" t="s">
        <v>0</v>
      </c>
      <c r="I15781" s="2">
        <v>0</v>
      </c>
      <c r="J15781" s="1">
        <v>45953.382824074077</v>
      </c>
    </row>
    <row r="15782" spans="1:10" x14ac:dyDescent="0.2">
      <c r="A15782" s="4" t="s">
        <v>1</v>
      </c>
      <c r="B15782" s="3" t="str">
        <f>HYPERLINK("https://otsuka-europe-crm.veevavault.com/ui/#object/approved_document__v/V5OZ025E82UW8W9", "LUP - Invitación webinar NL y RCV - reuma")</f>
        <v>LUP - Invitación webinar NL y RCV - reuma</v>
      </c>
      <c r="C15782" s="3" t="str">
        <f>HYPERLINK("https://otsuka-europe-crm.veevavault.com/ui/#object/sent_email__v/VBLZ025E82HS37U", "SE-000290276")</f>
        <v>SE-000290276</v>
      </c>
      <c r="D15782" s="1" t="s">
        <v>0</v>
      </c>
      <c r="E15782" s="2">
        <v>0</v>
      </c>
      <c r="F15782" s="2">
        <v>0</v>
      </c>
      <c r="G15782" s="2">
        <v>0</v>
      </c>
      <c r="H15782" s="1" t="s">
        <v>0</v>
      </c>
      <c r="I15782" s="2">
        <v>0</v>
      </c>
      <c r="J15782" s="1">
        <v>45953.382835648146</v>
      </c>
    </row>
    <row r="15783" spans="1:10" x14ac:dyDescent="0.2">
      <c r="A15783" s="4" t="s">
        <v>1</v>
      </c>
      <c r="B15783" s="3" t="str">
        <f>HYPERLINK("https://otsuka-europe-crm.veevavault.com/ui/#object/approved_document__v/V5OZ025E82UW8W9", "LUP - Invitación webinar NL y RCV - reuma")</f>
        <v>LUP - Invitación webinar NL y RCV - reuma</v>
      </c>
      <c r="C15783" s="3" t="str">
        <f>HYPERLINK("https://otsuka-europe-crm.veevavault.com/ui/#object/sent_email__v/VBLZ025E82HS37V", "SE-000290277")</f>
        <v>SE-000290277</v>
      </c>
      <c r="D15783" s="1">
        <v>45971.01494212963</v>
      </c>
      <c r="E15783" s="2">
        <v>1</v>
      </c>
      <c r="F15783" s="2">
        <v>1</v>
      </c>
      <c r="G15783" s="2">
        <v>0</v>
      </c>
      <c r="H15783" s="1" t="s">
        <v>0</v>
      </c>
      <c r="I15783" s="2">
        <v>0</v>
      </c>
      <c r="J15783" s="1">
        <v>45953.382847222223</v>
      </c>
    </row>
    <row r="15784" spans="1:10" x14ac:dyDescent="0.2">
      <c r="A15784" s="4" t="s">
        <v>1</v>
      </c>
      <c r="B15784" s="3" t="str">
        <f>HYPERLINK("https://otsuka-europe-crm.veevavault.com/ui/#object/approved_document__v/V5OZ025E82UW8W9", "LUP - Invitación webinar NL y RCV - reuma")</f>
        <v>LUP - Invitación webinar NL y RCV - reuma</v>
      </c>
      <c r="C15784" s="3" t="str">
        <f>HYPERLINK("https://otsuka-europe-crm.veevavault.com/ui/#object/sent_email__v/VBLZ025E82HS37W", "SE-000290278")</f>
        <v>SE-000290278</v>
      </c>
      <c r="D15784" s="1">
        <v>45978.666944444441</v>
      </c>
      <c r="E15784" s="2">
        <v>1</v>
      </c>
      <c r="F15784" s="2">
        <v>2</v>
      </c>
      <c r="G15784" s="2">
        <v>0</v>
      </c>
      <c r="H15784" s="1" t="s">
        <v>0</v>
      </c>
      <c r="I15784" s="2">
        <v>0</v>
      </c>
      <c r="J15784" s="1">
        <v>45953.382847222223</v>
      </c>
    </row>
    <row r="15785" spans="1:10" x14ac:dyDescent="0.2">
      <c r="A15785" s="4" t="s">
        <v>1</v>
      </c>
      <c r="B15785" s="3" t="str">
        <f>HYPERLINK("https://otsuka-europe-crm.veevavault.com/ui/#object/approved_document__v/V5OZ025E82UW8W9", "LUP - Invitación webinar NL y RCV - reuma")</f>
        <v>LUP - Invitación webinar NL y RCV - reuma</v>
      </c>
      <c r="C15785" s="3" t="str">
        <f>HYPERLINK("https://otsuka-europe-crm.veevavault.com/ui/#object/sent_email__v/VBLZ025E82HS37X", "SE-000290279")</f>
        <v>SE-000290279</v>
      </c>
      <c r="D15785" s="1" t="s">
        <v>0</v>
      </c>
      <c r="E15785" s="2">
        <v>0</v>
      </c>
      <c r="F15785" s="2">
        <v>0</v>
      </c>
      <c r="G15785" s="2">
        <v>0</v>
      </c>
      <c r="H15785" s="1" t="s">
        <v>0</v>
      </c>
      <c r="I15785" s="2">
        <v>0</v>
      </c>
      <c r="J15785" s="1">
        <v>45953.382800925923</v>
      </c>
    </row>
    <row r="15786" spans="1:10" x14ac:dyDescent="0.2">
      <c r="A15786" s="4" t="s">
        <v>1</v>
      </c>
      <c r="B15786" s="3" t="str">
        <f>HYPERLINK("https://otsuka-europe-crm.veevavault.com/ui/#object/approved_document__v/V5OZ025E82UW8W9", "LUP - Invitación webinar NL y RCV - reuma")</f>
        <v>LUP - Invitación webinar NL y RCV - reuma</v>
      </c>
      <c r="C15786" s="3" t="str">
        <f>HYPERLINK("https://otsuka-europe-crm.veevavault.com/ui/#object/sent_email__v/VBLZ025E82HS37Y", "SE-000290280")</f>
        <v>SE-000290280</v>
      </c>
      <c r="D15786" s="1" t="s">
        <v>0</v>
      </c>
      <c r="E15786" s="2">
        <v>0</v>
      </c>
      <c r="F15786" s="2">
        <v>0</v>
      </c>
      <c r="G15786" s="2">
        <v>0</v>
      </c>
      <c r="H15786" s="1" t="s">
        <v>0</v>
      </c>
      <c r="I15786" s="2">
        <v>0</v>
      </c>
      <c r="J15786" s="1">
        <v>45953.382835648146</v>
      </c>
    </row>
    <row r="15787" spans="1:10" x14ac:dyDescent="0.2">
      <c r="A15787" s="4" t="s">
        <v>1</v>
      </c>
      <c r="B15787" s="3" t="str">
        <f>HYPERLINK("https://otsuka-europe-crm.veevavault.com/ui/#object/approved_document__v/V5OZ025E82UW8W9", "LUP - Invitación webinar NL y RCV - reuma")</f>
        <v>LUP - Invitación webinar NL y RCV - reuma</v>
      </c>
      <c r="C15787" s="3" t="str">
        <f>HYPERLINK("https://otsuka-europe-crm.veevavault.com/ui/#object/sent_email__v/VBLZ025E82HS3D5", "SE-000290281")</f>
        <v>SE-000290281</v>
      </c>
      <c r="D15787" s="1" t="s">
        <v>0</v>
      </c>
      <c r="E15787" s="2">
        <v>0</v>
      </c>
      <c r="F15787" s="2">
        <v>0</v>
      </c>
      <c r="G15787" s="2">
        <v>0</v>
      </c>
      <c r="H15787" s="1" t="s">
        <v>0</v>
      </c>
      <c r="I15787" s="2">
        <v>0</v>
      </c>
      <c r="J15787" s="1">
        <v>45953.383923611109</v>
      </c>
    </row>
    <row r="15788" spans="1:10" x14ac:dyDescent="0.2">
      <c r="A15788" s="4" t="s">
        <v>1</v>
      </c>
      <c r="B15788" s="3" t="str">
        <f>HYPERLINK("https://otsuka-europe-crm.veevavault.com/ui/#object/approved_document__v/V5OZ025E82UW8W9", "LUP - Invitación webinar NL y RCV - reuma")</f>
        <v>LUP - Invitación webinar NL y RCV - reuma</v>
      </c>
      <c r="C15788" s="3" t="str">
        <f>HYPERLINK("https://otsuka-europe-crm.veevavault.com/ui/#object/sent_email__v/VBLZ025E82HS3D6", "SE-000290282")</f>
        <v>SE-000290282</v>
      </c>
      <c r="D15788" s="1" t="s">
        <v>0</v>
      </c>
      <c r="E15788" s="2">
        <v>0</v>
      </c>
      <c r="F15788" s="2">
        <v>0</v>
      </c>
      <c r="G15788" s="2">
        <v>0</v>
      </c>
      <c r="H15788" s="1" t="s">
        <v>0</v>
      </c>
      <c r="I15788" s="2">
        <v>0</v>
      </c>
      <c r="J15788" s="1">
        <v>45953.383912037039</v>
      </c>
    </row>
    <row r="15789" spans="1:10" x14ac:dyDescent="0.2">
      <c r="A15789" s="4" t="s">
        <v>1</v>
      </c>
      <c r="B15789" s="3" t="str">
        <f>HYPERLINK("https://otsuka-europe-crm.veevavault.com/ui/#object/approved_document__v/V5OZ025E82UW8W9", "LUP - Invitación webinar NL y RCV - reuma")</f>
        <v>LUP - Invitación webinar NL y RCV - reuma</v>
      </c>
      <c r="C15789" s="3" t="str">
        <f>HYPERLINK("https://otsuka-europe-crm.veevavault.com/ui/#object/sent_email__v/VBLZ025E82HS3D7", "SE-000290283")</f>
        <v>SE-000290283</v>
      </c>
      <c r="D15789" s="1" t="s">
        <v>0</v>
      </c>
      <c r="E15789" s="2">
        <v>0</v>
      </c>
      <c r="F15789" s="2">
        <v>0</v>
      </c>
      <c r="G15789" s="2">
        <v>0</v>
      </c>
      <c r="H15789" s="1" t="s">
        <v>0</v>
      </c>
      <c r="I15789" s="2">
        <v>0</v>
      </c>
      <c r="J15789" s="1">
        <v>45953.383935185186</v>
      </c>
    </row>
    <row r="15790" spans="1:10" x14ac:dyDescent="0.2">
      <c r="A15790" s="4" t="s">
        <v>1</v>
      </c>
      <c r="B15790" s="3" t="str">
        <f>HYPERLINK("https://otsuka-europe-crm.veevavault.com/ui/#object/approved_document__v/V5OZ025E82UW8W9", "LUP - Invitación webinar NL y RCV - reuma")</f>
        <v>LUP - Invitación webinar NL y RCV - reuma</v>
      </c>
      <c r="C15790" s="3" t="str">
        <f>HYPERLINK("https://otsuka-europe-crm.veevavault.com/ui/#object/sent_email__v/VBLZ025E82HS3D8", "SE-000290284")</f>
        <v>SE-000290284</v>
      </c>
      <c r="D15790" s="1" t="s">
        <v>0</v>
      </c>
      <c r="E15790" s="2">
        <v>0</v>
      </c>
      <c r="F15790" s="2">
        <v>0</v>
      </c>
      <c r="G15790" s="2">
        <v>0</v>
      </c>
      <c r="H15790" s="1" t="s">
        <v>0</v>
      </c>
      <c r="I15790" s="2">
        <v>0</v>
      </c>
      <c r="J15790" s="1">
        <v>45953.383888888886</v>
      </c>
    </row>
    <row r="15791" spans="1:10" x14ac:dyDescent="0.2">
      <c r="A15791" s="4" t="s">
        <v>1</v>
      </c>
      <c r="B15791" s="3" t="str">
        <f>HYPERLINK("https://otsuka-europe-crm.veevavault.com/ui/#object/approved_document__v/V5OZ025E82UW8W9", "LUP - Invitación webinar NL y RCV - reuma")</f>
        <v>LUP - Invitación webinar NL y RCV - reuma</v>
      </c>
      <c r="C15791" s="3" t="str">
        <f>HYPERLINK("https://otsuka-europe-crm.veevavault.com/ui/#object/sent_email__v/VBLZ025E82HS3D9", "SE-000290285")</f>
        <v>SE-000290285</v>
      </c>
      <c r="D15791" s="1" t="s">
        <v>0</v>
      </c>
      <c r="E15791" s="2">
        <v>0</v>
      </c>
      <c r="F15791" s="2">
        <v>0</v>
      </c>
      <c r="G15791" s="2">
        <v>0</v>
      </c>
      <c r="H15791" s="1" t="s">
        <v>0</v>
      </c>
      <c r="I15791" s="2">
        <v>0</v>
      </c>
      <c r="J15791" s="1">
        <v>45953.383888888886</v>
      </c>
    </row>
    <row r="15792" spans="1:10" x14ac:dyDescent="0.2">
      <c r="A15792" s="4" t="s">
        <v>1</v>
      </c>
      <c r="B15792" s="3" t="str">
        <f>HYPERLINK("https://otsuka-europe-crm.veevavault.com/ui/#object/approved_document__v/V5OZ025E82UW8W9", "LUP - Invitación webinar NL y RCV - reuma")</f>
        <v>LUP - Invitación webinar NL y RCV - reuma</v>
      </c>
      <c r="C15792" s="3" t="str">
        <f>HYPERLINK("https://otsuka-europe-crm.veevavault.com/ui/#object/sent_email__v/VBLZ025E82HS3DA", "SE-000290286")</f>
        <v>SE-000290286</v>
      </c>
      <c r="D15792" s="1">
        <v>45972.419814814813</v>
      </c>
      <c r="E15792" s="2">
        <v>1</v>
      </c>
      <c r="F15792" s="2">
        <v>4</v>
      </c>
      <c r="G15792" s="2">
        <v>0</v>
      </c>
      <c r="H15792" s="1" t="s">
        <v>0</v>
      </c>
      <c r="I15792" s="2">
        <v>0</v>
      </c>
      <c r="J15792" s="1">
        <v>45953.383946759262</v>
      </c>
    </row>
    <row r="15793" spans="1:10" x14ac:dyDescent="0.2">
      <c r="A15793" s="4" t="s">
        <v>1</v>
      </c>
      <c r="B15793" s="3" t="str">
        <f>HYPERLINK("https://otsuka-europe-crm.veevavault.com/ui/#object/approved_document__v/V5OZ025E82UW8W9", "LUP - Invitación webinar NL y RCV - reuma")</f>
        <v>LUP - Invitación webinar NL y RCV - reuma</v>
      </c>
      <c r="C15793" s="3" t="str">
        <f>HYPERLINK("https://otsuka-europe-crm.veevavault.com/ui/#object/sent_email__v/VBLZ025E82HS3DB", "SE-000290287")</f>
        <v>SE-000290287</v>
      </c>
      <c r="D15793" s="1" t="s">
        <v>0</v>
      </c>
      <c r="E15793" s="2">
        <v>0</v>
      </c>
      <c r="F15793" s="2">
        <v>0</v>
      </c>
      <c r="G15793" s="2">
        <v>0</v>
      </c>
      <c r="H15793" s="1" t="s">
        <v>0</v>
      </c>
      <c r="I15793" s="2">
        <v>0</v>
      </c>
      <c r="J15793" s="1">
        <v>45953.383958333332</v>
      </c>
    </row>
    <row r="15794" spans="1:10" x14ac:dyDescent="0.2">
      <c r="A15794" s="4" t="s">
        <v>1</v>
      </c>
      <c r="B15794" s="3" t="str">
        <f>HYPERLINK("https://otsuka-europe-crm.veevavault.com/ui/#object/approved_document__v/V5OZ025E82UW8W9", "LUP - Invitación webinar NL y RCV - reuma")</f>
        <v>LUP - Invitación webinar NL y RCV - reuma</v>
      </c>
      <c r="C15794" s="3" t="str">
        <f>HYPERLINK("https://otsuka-europe-crm.veevavault.com/ui/#object/sent_email__v/VBLZ025E82HS3DC", "SE-000290288")</f>
        <v>SE-000290288</v>
      </c>
      <c r="D15794" s="1">
        <v>45953.384016203701</v>
      </c>
      <c r="E15794" s="2">
        <v>1</v>
      </c>
      <c r="F15794" s="2">
        <v>1</v>
      </c>
      <c r="G15794" s="2">
        <v>0</v>
      </c>
      <c r="H15794" s="1" t="s">
        <v>0</v>
      </c>
      <c r="I15794" s="2">
        <v>0</v>
      </c>
      <c r="J15794" s="1">
        <v>45953.383923611109</v>
      </c>
    </row>
    <row r="15795" spans="1:10" x14ac:dyDescent="0.2">
      <c r="A15795" s="4" t="s">
        <v>1</v>
      </c>
      <c r="B15795" s="3" t="str">
        <f>HYPERLINK("https://otsuka-europe-crm.veevavault.com/ui/#object/approved_document__v/V5OZ025E82UW8W9", "LUP - Invitación webinar NL y RCV - reuma")</f>
        <v>LUP - Invitación webinar NL y RCV - reuma</v>
      </c>
      <c r="C15795" s="3" t="str">
        <f>HYPERLINK("https://otsuka-europe-crm.veevavault.com/ui/#object/sent_email__v/VBLZ025E82HS3DD", "SE-000290289")</f>
        <v>SE-000290289</v>
      </c>
      <c r="D15795" s="1" t="s">
        <v>0</v>
      </c>
      <c r="E15795" s="2">
        <v>0</v>
      </c>
      <c r="F15795" s="2">
        <v>0</v>
      </c>
      <c r="G15795" s="2">
        <v>0</v>
      </c>
      <c r="H15795" s="1" t="s">
        <v>0</v>
      </c>
      <c r="I15795" s="2">
        <v>0</v>
      </c>
      <c r="J15795" s="1">
        <v>45953.383958333332</v>
      </c>
    </row>
    <row r="15796" spans="1:10" x14ac:dyDescent="0.2">
      <c r="A15796" s="4" t="s">
        <v>1</v>
      </c>
      <c r="B15796" s="3" t="str">
        <f>HYPERLINK("https://otsuka-europe-crm.veevavault.com/ui/#object/approved_document__v/V5OZ025E82UW8W9", "LUP - Invitación webinar NL y RCV - reuma")</f>
        <v>LUP - Invitación webinar NL y RCV - reuma</v>
      </c>
      <c r="C15796" s="3" t="str">
        <f>HYPERLINK("https://otsuka-europe-crm.veevavault.com/ui/#object/sent_email__v/VBLZ025E82HS3DE", "SE-000290290")</f>
        <v>SE-000290290</v>
      </c>
      <c r="D15796" s="1">
        <v>45980.856736111113</v>
      </c>
      <c r="E15796" s="2">
        <v>1</v>
      </c>
      <c r="F15796" s="2">
        <v>4</v>
      </c>
      <c r="G15796" s="2">
        <v>1</v>
      </c>
      <c r="H15796" s="1">
        <v>45980.856736111113</v>
      </c>
      <c r="I15796" s="2">
        <v>1</v>
      </c>
      <c r="J15796" s="1">
        <v>45953.383900462963</v>
      </c>
    </row>
    <row r="15797" spans="1:10" x14ac:dyDescent="0.2">
      <c r="A15797" s="4" t="s">
        <v>1</v>
      </c>
      <c r="B15797" s="3" t="str">
        <f>HYPERLINK("https://otsuka-europe-crm.veevavault.com/ui/#object/approved_document__v/V5OZ025E82UW8W9", "LUP - Invitación webinar NL y RCV - reuma")</f>
        <v>LUP - Invitación webinar NL y RCV - reuma</v>
      </c>
      <c r="C15797" s="3" t="str">
        <f>HYPERLINK("https://otsuka-europe-crm.veevavault.com/ui/#object/sent_email__v/VBLZ025E82HSKQ5", "SE-000290325")</f>
        <v>SE-000290325</v>
      </c>
      <c r="D15797" s="1" t="s">
        <v>0</v>
      </c>
      <c r="E15797" s="2">
        <v>0</v>
      </c>
      <c r="F15797" s="2">
        <v>0</v>
      </c>
      <c r="G15797" s="2">
        <v>0</v>
      </c>
      <c r="H15797" s="1" t="s">
        <v>0</v>
      </c>
      <c r="I15797" s="2">
        <v>0</v>
      </c>
      <c r="J15797" s="1">
        <v>45953.556400462963</v>
      </c>
    </row>
    <row r="15798" spans="1:10" x14ac:dyDescent="0.2">
      <c r="A15798" s="4" t="s">
        <v>1</v>
      </c>
      <c r="B15798" s="3" t="str">
        <f>HYPERLINK("https://otsuka-europe-crm.veevavault.com/ui/#object/approved_document__v/V5OZ025E82UW8W9", "LUP - Invitación webinar NL y RCV - reuma")</f>
        <v>LUP - Invitación webinar NL y RCV - reuma</v>
      </c>
      <c r="C15798" s="3" t="str">
        <f>HYPERLINK("https://otsuka-europe-crm.veevavault.com/ui/#object/sent_email__v/VBLZ025E82HSKVP", "SE-000290326")</f>
        <v>SE-000290326</v>
      </c>
      <c r="D15798" s="1" t="s">
        <v>0</v>
      </c>
      <c r="E15798" s="2">
        <v>0</v>
      </c>
      <c r="F15798" s="2">
        <v>0</v>
      </c>
      <c r="G15798" s="2">
        <v>0</v>
      </c>
      <c r="H15798" s="1" t="s">
        <v>0</v>
      </c>
      <c r="I15798" s="2">
        <v>0</v>
      </c>
      <c r="J15798" s="1">
        <v>45953.557500000003</v>
      </c>
    </row>
    <row r="15799" spans="1:10" x14ac:dyDescent="0.2">
      <c r="A15799" s="4" t="s">
        <v>1</v>
      </c>
      <c r="B15799" s="3" t="str">
        <f>HYPERLINK("https://otsuka-europe-crm.veevavault.com/ui/#object/approved_document__v/V5OZ025E82UW8W9", "LUP - Invitación webinar NL y RCV - reuma")</f>
        <v>LUP - Invitación webinar NL y RCV - reuma</v>
      </c>
      <c r="C15799" s="3" t="str">
        <f>HYPERLINK("https://otsuka-europe-crm.veevavault.com/ui/#object/sent_email__v/VBLZ025E82HSKVQ", "SE-000290327")</f>
        <v>SE-000290327</v>
      </c>
      <c r="D15799" s="1" t="s">
        <v>0</v>
      </c>
      <c r="E15799" s="2">
        <v>0</v>
      </c>
      <c r="F15799" s="2">
        <v>0</v>
      </c>
      <c r="G15799" s="2">
        <v>0</v>
      </c>
      <c r="H15799" s="1" t="s">
        <v>0</v>
      </c>
      <c r="I15799" s="2">
        <v>0</v>
      </c>
      <c r="J15799" s="1">
        <v>45953.557500000003</v>
      </c>
    </row>
    <row r="15800" spans="1:10" x14ac:dyDescent="0.2">
      <c r="A15800" s="4" t="s">
        <v>1</v>
      </c>
      <c r="B15800" s="3" t="str">
        <f>HYPERLINK("https://otsuka-europe-crm.veevavault.com/ui/#object/approved_document__v/V5OZ025E82UW8W9", "LUP - Invitación webinar NL y RCV - reuma")</f>
        <v>LUP - Invitación webinar NL y RCV - reuma</v>
      </c>
      <c r="C15800" s="3" t="str">
        <f>HYPERLINK("https://otsuka-europe-crm.veevavault.com/ui/#object/sent_email__v/VBLZ025E82HSKVR", "SE-000290328")</f>
        <v>SE-000290328</v>
      </c>
      <c r="D15800" s="1">
        <v>45953.699965277781</v>
      </c>
      <c r="E15800" s="2">
        <v>1</v>
      </c>
      <c r="F15800" s="2">
        <v>2</v>
      </c>
      <c r="G15800" s="2">
        <v>0</v>
      </c>
      <c r="H15800" s="1" t="s">
        <v>0</v>
      </c>
      <c r="I15800" s="2">
        <v>0</v>
      </c>
      <c r="J15800" s="1">
        <v>45953.557511574072</v>
      </c>
    </row>
    <row r="15801" spans="1:10" x14ac:dyDescent="0.2">
      <c r="A15801" s="4" t="s">
        <v>1</v>
      </c>
      <c r="B15801" s="3" t="str">
        <f>HYPERLINK("https://otsuka-europe-crm.veevavault.com/ui/#object/approved_document__v/V5OZ025E82UW8W9", "LUP - Invitación webinar NL y RCV - reuma")</f>
        <v>LUP - Invitación webinar NL y RCV - reuma</v>
      </c>
      <c r="C15801" s="3" t="str">
        <f>HYPERLINK("https://otsuka-europe-crm.veevavault.com/ui/#object/sent_email__v/VBLZ025E82HSKVS", "SE-000290329")</f>
        <v>SE-000290329</v>
      </c>
      <c r="D15801" s="1" t="s">
        <v>0</v>
      </c>
      <c r="E15801" s="2">
        <v>0</v>
      </c>
      <c r="F15801" s="2">
        <v>0</v>
      </c>
      <c r="G15801" s="2">
        <v>0</v>
      </c>
      <c r="H15801" s="1" t="s">
        <v>0</v>
      </c>
      <c r="I15801" s="2">
        <v>0</v>
      </c>
      <c r="J15801" s="1">
        <v>45953.557534722226</v>
      </c>
    </row>
    <row r="15802" spans="1:10" x14ac:dyDescent="0.2">
      <c r="A15802" s="4" t="s">
        <v>1</v>
      </c>
      <c r="B15802" s="3" t="str">
        <f>HYPERLINK("https://otsuka-europe-crm.veevavault.com/ui/#object/approved_document__v/V5OZ025E82UW8W9", "LUP - Invitación webinar NL y RCV - reuma")</f>
        <v>LUP - Invitación webinar NL y RCV - reuma</v>
      </c>
      <c r="C15802" s="3" t="str">
        <f>HYPERLINK("https://otsuka-europe-crm.veevavault.com/ui/#object/sent_email__v/VBLZ025E82HSKVT", "SE-000290330")</f>
        <v>SE-000290330</v>
      </c>
      <c r="D15802" s="1">
        <v>45953.560682870368</v>
      </c>
      <c r="E15802" s="2">
        <v>1</v>
      </c>
      <c r="F15802" s="2">
        <v>1</v>
      </c>
      <c r="G15802" s="2">
        <v>0</v>
      </c>
      <c r="H15802" s="1" t="s">
        <v>0</v>
      </c>
      <c r="I15802" s="2">
        <v>0</v>
      </c>
      <c r="J15802" s="1">
        <v>45953.557546296295</v>
      </c>
    </row>
    <row r="15803" spans="1:10" x14ac:dyDescent="0.2">
      <c r="A15803" s="4" t="s">
        <v>1</v>
      </c>
      <c r="B15803" s="3" t="str">
        <f>HYPERLINK("https://otsuka-europe-crm.veevavault.com/ui/#object/approved_document__v/V5OZ025E82UW8W9", "LUP - Invitación webinar NL y RCV - reuma")</f>
        <v>LUP - Invitación webinar NL y RCV - reuma</v>
      </c>
      <c r="C15803" s="3" t="str">
        <f>HYPERLINK("https://otsuka-europe-crm.veevavault.com/ui/#object/sent_email__v/VBLZ025E82HSKVU", "SE-000290331")</f>
        <v>SE-000290331</v>
      </c>
      <c r="D15803" s="1" t="s">
        <v>0</v>
      </c>
      <c r="E15803" s="2">
        <v>0</v>
      </c>
      <c r="F15803" s="2">
        <v>0</v>
      </c>
      <c r="G15803" s="2">
        <v>0</v>
      </c>
      <c r="H15803" s="1" t="s">
        <v>0</v>
      </c>
      <c r="I15803" s="2">
        <v>0</v>
      </c>
      <c r="J15803" s="1">
        <v>45953.557534722226</v>
      </c>
    </row>
    <row r="15804" spans="1:10" x14ac:dyDescent="0.2">
      <c r="A15804" s="4" t="s">
        <v>1</v>
      </c>
      <c r="B15804" s="3" t="str">
        <f>HYPERLINK("https://otsuka-europe-crm.veevavault.com/ui/#object/approved_document__v/V5OZ025E82UW8W9", "LUP - Invitación webinar NL y RCV - reuma")</f>
        <v>LUP - Invitación webinar NL y RCV - reuma</v>
      </c>
      <c r="C15804" s="3" t="str">
        <f>HYPERLINK("https://otsuka-europe-crm.veevavault.com/ui/#object/sent_email__v/VBLZ025E82HSKVV", "SE-000290332")</f>
        <v>SE-000290332</v>
      </c>
      <c r="D15804" s="1">
        <v>45953.89403935185</v>
      </c>
      <c r="E15804" s="2">
        <v>1</v>
      </c>
      <c r="F15804" s="2">
        <v>1</v>
      </c>
      <c r="G15804" s="2">
        <v>0</v>
      </c>
      <c r="H15804" s="1" t="s">
        <v>0</v>
      </c>
      <c r="I15804" s="2">
        <v>0</v>
      </c>
      <c r="J15804" s="1">
        <v>45953.557546296295</v>
      </c>
    </row>
    <row r="15805" spans="1:10" x14ac:dyDescent="0.2">
      <c r="A15805" s="4" t="s">
        <v>1</v>
      </c>
      <c r="B15805" s="3" t="str">
        <f>HYPERLINK("https://otsuka-europe-crm.veevavault.com/ui/#object/approved_document__v/V5OZ025E82UW8W9", "LUP - Invitación webinar NL y RCV - reuma")</f>
        <v>LUP - Invitación webinar NL y RCV - reuma</v>
      </c>
      <c r="C15805" s="3" t="str">
        <f>HYPERLINK("https://otsuka-europe-crm.veevavault.com/ui/#object/sent_email__v/VBLZ025E82HSKVW", "SE-000290333")</f>
        <v>SE-000290333</v>
      </c>
      <c r="D15805" s="1">
        <v>45953.648888888885</v>
      </c>
      <c r="E15805" s="2">
        <v>1</v>
      </c>
      <c r="F15805" s="2">
        <v>2</v>
      </c>
      <c r="G15805" s="2">
        <v>0</v>
      </c>
      <c r="H15805" s="1" t="s">
        <v>0</v>
      </c>
      <c r="I15805" s="2">
        <v>0</v>
      </c>
      <c r="J15805" s="1">
        <v>45953.557546296295</v>
      </c>
    </row>
    <row r="15806" spans="1:10" x14ac:dyDescent="0.2">
      <c r="A15806" s="4" t="s">
        <v>1</v>
      </c>
      <c r="B15806" s="3" t="str">
        <f>HYPERLINK("https://otsuka-europe-crm.veevavault.com/ui/#object/approved_document__v/V5OZ025E82UW8W9", "LUP - Invitación webinar NL y RCV - reuma")</f>
        <v>LUP - Invitación webinar NL y RCV - reuma</v>
      </c>
      <c r="C15806" s="3" t="str">
        <f>HYPERLINK("https://otsuka-europe-crm.veevavault.com/ui/#object/sent_email__v/VBLZ025E82HSKVX", "SE-000290334")</f>
        <v>SE-000290334</v>
      </c>
      <c r="D15806" s="1" t="s">
        <v>0</v>
      </c>
      <c r="E15806" s="2">
        <v>0</v>
      </c>
      <c r="F15806" s="2">
        <v>0</v>
      </c>
      <c r="G15806" s="2">
        <v>0</v>
      </c>
      <c r="H15806" s="1" t="s">
        <v>0</v>
      </c>
      <c r="I15806" s="2">
        <v>0</v>
      </c>
      <c r="J15806" s="1">
        <v>45953.557557870372</v>
      </c>
    </row>
    <row r="15807" spans="1:10" x14ac:dyDescent="0.2">
      <c r="A15807" s="4" t="s">
        <v>1</v>
      </c>
      <c r="B15807" s="3" t="str">
        <f>HYPERLINK("https://otsuka-europe-crm.veevavault.com/ui/#object/approved_document__v/V5OZ025E82UW8W9", "LUP - Invitación webinar NL y RCV - reuma")</f>
        <v>LUP - Invitación webinar NL y RCV - reuma</v>
      </c>
      <c r="C15807" s="3" t="str">
        <f>HYPERLINK("https://otsuka-europe-crm.veevavault.com/ui/#object/sent_email__v/VBLZ025E82HSKVY", "SE-000290335")</f>
        <v>SE-000290335</v>
      </c>
      <c r="D15807" s="1" t="s">
        <v>0</v>
      </c>
      <c r="E15807" s="2">
        <v>0</v>
      </c>
      <c r="F15807" s="2">
        <v>0</v>
      </c>
      <c r="G15807" s="2">
        <v>0</v>
      </c>
      <c r="H15807" s="1" t="s">
        <v>0</v>
      </c>
      <c r="I15807" s="2">
        <v>0</v>
      </c>
      <c r="J15807" s="1">
        <v>45953.557581018518</v>
      </c>
    </row>
    <row r="15808" spans="1:10" x14ac:dyDescent="0.2">
      <c r="A15808" s="4" t="s">
        <v>1</v>
      </c>
      <c r="B15808" s="3" t="str">
        <f>HYPERLINK("https://otsuka-europe-crm.veevavault.com/ui/#object/approved_document__v/V5OZ025E82UW8W9", "LUP - Invitación webinar NL y RCV - reuma")</f>
        <v>LUP - Invitación webinar NL y RCV - reuma</v>
      </c>
      <c r="C15808" s="3" t="str">
        <f>HYPERLINK("https://otsuka-europe-crm.veevavault.com/ui/#object/sent_email__v/VBLZ025E82HSKVZ", "SE-000290336")</f>
        <v>SE-000290336</v>
      </c>
      <c r="D15808" s="1" t="s">
        <v>0</v>
      </c>
      <c r="E15808" s="2">
        <v>0</v>
      </c>
      <c r="F15808" s="2">
        <v>0</v>
      </c>
      <c r="G15808" s="2">
        <v>0</v>
      </c>
      <c r="H15808" s="1" t="s">
        <v>0</v>
      </c>
      <c r="I15808" s="2">
        <v>0</v>
      </c>
      <c r="J15808" s="1">
        <v>45953.557592592595</v>
      </c>
    </row>
    <row r="15809" spans="1:10" x14ac:dyDescent="0.2">
      <c r="A15809" s="4" t="s">
        <v>1</v>
      </c>
      <c r="B15809" s="3" t="str">
        <f>HYPERLINK("https://otsuka-europe-crm.veevavault.com/ui/#object/approved_document__v/V5OZ025E82UW8W9", "LUP - Invitación webinar NL y RCV - reuma")</f>
        <v>LUP - Invitación webinar NL y RCV - reuma</v>
      </c>
      <c r="C15809" s="3" t="str">
        <f>HYPERLINK("https://otsuka-europe-crm.veevavault.com/ui/#object/sent_email__v/VBLZ025E82HSKW0", "SE-000290337")</f>
        <v>SE-000290337</v>
      </c>
      <c r="D15809" s="1">
        <v>45953.566527777781</v>
      </c>
      <c r="E15809" s="2">
        <v>1</v>
      </c>
      <c r="F15809" s="2">
        <v>1</v>
      </c>
      <c r="G15809" s="2">
        <v>0</v>
      </c>
      <c r="H15809" s="1" t="s">
        <v>0</v>
      </c>
      <c r="I15809" s="2">
        <v>0</v>
      </c>
      <c r="J15809" s="1">
        <v>45953.557604166665</v>
      </c>
    </row>
    <row r="15810" spans="1:10" x14ac:dyDescent="0.2">
      <c r="A15810" s="4" t="s">
        <v>1</v>
      </c>
      <c r="B15810" s="3" t="str">
        <f>HYPERLINK("https://otsuka-europe-crm.veevavault.com/ui/#object/approved_document__v/V5OZ025E82UW8W9", "LUP - Invitación webinar NL y RCV - reuma")</f>
        <v>LUP - Invitación webinar NL y RCV - reuma</v>
      </c>
      <c r="C15810" s="3" t="str">
        <f>HYPERLINK("https://otsuka-europe-crm.veevavault.com/ui/#object/sent_email__v/VBLZ025E82HSKW1", "SE-000290338")</f>
        <v>SE-000290338</v>
      </c>
      <c r="D15810" s="1" t="s">
        <v>0</v>
      </c>
      <c r="E15810" s="2">
        <v>0</v>
      </c>
      <c r="F15810" s="2">
        <v>0</v>
      </c>
      <c r="G15810" s="2">
        <v>0</v>
      </c>
      <c r="H15810" s="1" t="s">
        <v>0</v>
      </c>
      <c r="I15810" s="2">
        <v>0</v>
      </c>
      <c r="J15810" s="1">
        <v>45953.557604166665</v>
      </c>
    </row>
    <row r="15811" spans="1:10" x14ac:dyDescent="0.2">
      <c r="A15811" s="4" t="s">
        <v>1</v>
      </c>
      <c r="B15811" s="3" t="str">
        <f>HYPERLINK("https://otsuka-europe-crm.veevavault.com/ui/#object/approved_document__v/V5OZ025E82UW8W9", "LUP - Invitación webinar NL y RCV - reuma")</f>
        <v>LUP - Invitación webinar NL y RCV - reuma</v>
      </c>
      <c r="C15811" s="3" t="str">
        <f>HYPERLINK("https://otsuka-europe-crm.veevavault.com/ui/#object/sent_email__v/VBLZ025E82HSKW2", "SE-000290339")</f>
        <v>SE-000290339</v>
      </c>
      <c r="D15811" s="1" t="s">
        <v>0</v>
      </c>
      <c r="E15811" s="2">
        <v>0</v>
      </c>
      <c r="F15811" s="2">
        <v>0</v>
      </c>
      <c r="G15811" s="2">
        <v>0</v>
      </c>
      <c r="H15811" s="1" t="s">
        <v>0</v>
      </c>
      <c r="I15811" s="2">
        <v>0</v>
      </c>
      <c r="J15811" s="1">
        <v>45953.557604166665</v>
      </c>
    </row>
    <row r="15812" spans="1:10" x14ac:dyDescent="0.2">
      <c r="A15812" s="4" t="s">
        <v>1</v>
      </c>
      <c r="B15812" s="3" t="str">
        <f>HYPERLINK("https://otsuka-europe-crm.veevavault.com/ui/#object/approved_document__v/V5OZ025E82UW8W9", "LUP - Invitación webinar NL y RCV - reuma")</f>
        <v>LUP - Invitación webinar NL y RCV - reuma</v>
      </c>
      <c r="C15812" s="3" t="str">
        <f>HYPERLINK("https://otsuka-europe-crm.veevavault.com/ui/#object/sent_email__v/VBLZ025E82HSKW3", "SE-000290340")</f>
        <v>SE-000290340</v>
      </c>
      <c r="D15812" s="1" t="s">
        <v>0</v>
      </c>
      <c r="E15812" s="2">
        <v>0</v>
      </c>
      <c r="F15812" s="2">
        <v>0</v>
      </c>
      <c r="G15812" s="2">
        <v>0</v>
      </c>
      <c r="H15812" s="1" t="s">
        <v>0</v>
      </c>
      <c r="I15812" s="2">
        <v>0</v>
      </c>
      <c r="J15812" s="1">
        <v>45953.557615740741</v>
      </c>
    </row>
    <row r="15813" spans="1:10" x14ac:dyDescent="0.2">
      <c r="A15813" s="4" t="s">
        <v>1</v>
      </c>
      <c r="B15813" s="3" t="str">
        <f>HYPERLINK("https://otsuka-europe-crm.veevavault.com/ui/#object/approved_document__v/V5OZ025E82UW8W9", "LUP - Invitación webinar NL y RCV - reuma")</f>
        <v>LUP - Invitación webinar NL y RCV - reuma</v>
      </c>
      <c r="C15813" s="3" t="str">
        <f>HYPERLINK("https://otsuka-europe-crm.veevavault.com/ui/#object/sent_email__v/VBLZ025E82HSKW4", "SE-000290341")</f>
        <v>SE-000290341</v>
      </c>
      <c r="D15813" s="1">
        <v>46001.565474537034</v>
      </c>
      <c r="E15813" s="2">
        <v>1</v>
      </c>
      <c r="F15813" s="2">
        <v>5</v>
      </c>
      <c r="G15813" s="2">
        <v>1</v>
      </c>
      <c r="H15813" s="1">
        <v>45980.852916666663</v>
      </c>
      <c r="I15813" s="2">
        <v>1</v>
      </c>
      <c r="J15813" s="1">
        <v>45953.557627314818</v>
      </c>
    </row>
    <row r="15814" spans="1:10" x14ac:dyDescent="0.2">
      <c r="A15814" s="4" t="s">
        <v>1</v>
      </c>
      <c r="B15814" s="3" t="str">
        <f>HYPERLINK("https://otsuka-europe-crm.veevavault.com/ui/#object/approved_document__v/V5OZ025E82UW8W9", "LUP - Invitación webinar NL y RCV - reuma")</f>
        <v>LUP - Invitación webinar NL y RCV - reuma</v>
      </c>
      <c r="C15814" s="3" t="str">
        <f>HYPERLINK("https://otsuka-europe-crm.veevavault.com/ui/#object/sent_email__v/VBLZ025E82HSKW5", "SE-000290342")</f>
        <v>SE-000290342</v>
      </c>
      <c r="D15814" s="1" t="s">
        <v>0</v>
      </c>
      <c r="E15814" s="2">
        <v>0</v>
      </c>
      <c r="F15814" s="2">
        <v>0</v>
      </c>
      <c r="G15814" s="2">
        <v>0</v>
      </c>
      <c r="H15814" s="1" t="s">
        <v>0</v>
      </c>
      <c r="I15814" s="2">
        <v>0</v>
      </c>
      <c r="J15814" s="1">
        <v>45953.557662037034</v>
      </c>
    </row>
    <row r="15815" spans="1:10" x14ac:dyDescent="0.2">
      <c r="A15815" s="4" t="s">
        <v>1</v>
      </c>
      <c r="B15815" s="3" t="str">
        <f>HYPERLINK("https://otsuka-europe-crm.veevavault.com/ui/#object/approved_document__v/V5OZ025E82UW8W9", "LUP - Invitación webinar NL y RCV - reuma")</f>
        <v>LUP - Invitación webinar NL y RCV - reuma</v>
      </c>
      <c r="C15815" s="3" t="str">
        <f>HYPERLINK("https://otsuka-europe-crm.veevavault.com/ui/#object/sent_email__v/VBLZ025E82HSKW6", "SE-000290343")</f>
        <v>SE-000290343</v>
      </c>
      <c r="D15815" s="1" t="s">
        <v>0</v>
      </c>
      <c r="E15815" s="2">
        <v>0</v>
      </c>
      <c r="F15815" s="2">
        <v>0</v>
      </c>
      <c r="G15815" s="2">
        <v>0</v>
      </c>
      <c r="H15815" s="1" t="s">
        <v>0</v>
      </c>
      <c r="I15815" s="2">
        <v>0</v>
      </c>
      <c r="J15815" s="1">
        <v>45953.557650462964</v>
      </c>
    </row>
    <row r="15816" spans="1:10" x14ac:dyDescent="0.2">
      <c r="A15816" s="4" t="s">
        <v>1</v>
      </c>
      <c r="B15816" s="3" t="str">
        <f>HYPERLINK("https://otsuka-europe-crm.veevavault.com/ui/#object/approved_document__v/V5OZ025E82UW8W9", "LUP - Invitación webinar NL y RCV - reuma")</f>
        <v>LUP - Invitación webinar NL y RCV - reuma</v>
      </c>
      <c r="C15816" s="3" t="str">
        <f>HYPERLINK("https://otsuka-europe-crm.veevavault.com/ui/#object/sent_email__v/VBLZ025E82HSKW7", "SE-000290344")</f>
        <v>SE-000290344</v>
      </c>
      <c r="D15816" s="1" t="s">
        <v>0</v>
      </c>
      <c r="E15816" s="2">
        <v>0</v>
      </c>
      <c r="F15816" s="2">
        <v>0</v>
      </c>
      <c r="G15816" s="2">
        <v>0</v>
      </c>
      <c r="H15816" s="1" t="s">
        <v>0</v>
      </c>
      <c r="I15816" s="2">
        <v>0</v>
      </c>
      <c r="J15816" s="1">
        <v>45953.557662037034</v>
      </c>
    </row>
    <row r="15817" spans="1:10" x14ac:dyDescent="0.2">
      <c r="A15817" s="4" t="s">
        <v>1</v>
      </c>
      <c r="B15817" s="3" t="str">
        <f>HYPERLINK("https://otsuka-europe-crm.veevavault.com/ui/#object/approved_document__v/V5OZ025E82UW8W9", "LUP - Invitación webinar NL y RCV - reuma")</f>
        <v>LUP - Invitación webinar NL y RCV - reuma</v>
      </c>
      <c r="C15817" s="3" t="str">
        <f>HYPERLINK("https://otsuka-europe-crm.veevavault.com/ui/#object/sent_email__v/VBLZ025E82HSKW8", "SE-000290345")</f>
        <v>SE-000290345</v>
      </c>
      <c r="D15817" s="1">
        <v>45953.675902777781</v>
      </c>
      <c r="E15817" s="2">
        <v>1</v>
      </c>
      <c r="F15817" s="2">
        <v>1</v>
      </c>
      <c r="G15817" s="2">
        <v>0</v>
      </c>
      <c r="H15817" s="1" t="s">
        <v>0</v>
      </c>
      <c r="I15817" s="2">
        <v>0</v>
      </c>
      <c r="J15817" s="1">
        <v>45953.557662037034</v>
      </c>
    </row>
    <row r="15818" spans="1:10" x14ac:dyDescent="0.2">
      <c r="A15818" s="4" t="s">
        <v>1</v>
      </c>
      <c r="B15818" s="3" t="str">
        <f>HYPERLINK("https://otsuka-europe-crm.veevavault.com/ui/#object/approved_document__v/V5OZ025E82UW8W9", "LUP - Invitación webinar NL y RCV - reuma")</f>
        <v>LUP - Invitación webinar NL y RCV - reuma</v>
      </c>
      <c r="C15818" s="3" t="str">
        <f>HYPERLINK("https://otsuka-europe-crm.veevavault.com/ui/#object/sent_email__v/VBLZ025E82HSKW9", "SE-000290346")</f>
        <v>SE-000290346</v>
      </c>
      <c r="D15818" s="1">
        <v>45953.670254629629</v>
      </c>
      <c r="E15818" s="2">
        <v>1</v>
      </c>
      <c r="F15818" s="2">
        <v>2</v>
      </c>
      <c r="G15818" s="2">
        <v>0</v>
      </c>
      <c r="H15818" s="1" t="s">
        <v>0</v>
      </c>
      <c r="I15818" s="2">
        <v>0</v>
      </c>
      <c r="J15818" s="1">
        <v>45953.557673611111</v>
      </c>
    </row>
    <row r="15819" spans="1:10" x14ac:dyDescent="0.2">
      <c r="A15819" s="4" t="s">
        <v>1</v>
      </c>
      <c r="B15819" s="3" t="str">
        <f>HYPERLINK("https://otsuka-europe-crm.veevavault.com/ui/#object/approved_document__v/V5OZ025E82UW8W9", "LUP - Invitación webinar NL y RCV - reuma")</f>
        <v>LUP - Invitación webinar NL y RCV - reuma</v>
      </c>
      <c r="C15819" s="3" t="str">
        <f>HYPERLINK("https://otsuka-europe-crm.veevavault.com/ui/#object/sent_email__v/VBLZ025E82HSKWA", "SE-000290347")</f>
        <v>SE-000290347</v>
      </c>
      <c r="D15819" s="1">
        <v>45964.062199074076</v>
      </c>
      <c r="E15819" s="2">
        <v>1</v>
      </c>
      <c r="F15819" s="2">
        <v>1</v>
      </c>
      <c r="G15819" s="2">
        <v>0</v>
      </c>
      <c r="H15819" s="1" t="s">
        <v>0</v>
      </c>
      <c r="I15819" s="2">
        <v>0</v>
      </c>
      <c r="J15819" s="1">
        <v>45953.557685185187</v>
      </c>
    </row>
    <row r="15820" spans="1:10" x14ac:dyDescent="0.2">
      <c r="A15820" s="4" t="s">
        <v>1</v>
      </c>
      <c r="B15820" s="3" t="str">
        <f>HYPERLINK("https://otsuka-europe-crm.veevavault.com/ui/#object/approved_document__v/V5OZ025E82UW8W9", "LUP - Invitación webinar NL y RCV - reuma")</f>
        <v>LUP - Invitación webinar NL y RCV - reuma</v>
      </c>
      <c r="C15820" s="3" t="str">
        <f>HYPERLINK("https://otsuka-europe-crm.veevavault.com/ui/#object/sent_email__v/VBLZ025E82HSKWB", "SE-000290348")</f>
        <v>SE-000290348</v>
      </c>
      <c r="D15820" s="1" t="s">
        <v>0</v>
      </c>
      <c r="E15820" s="2">
        <v>0</v>
      </c>
      <c r="F15820" s="2">
        <v>0</v>
      </c>
      <c r="G15820" s="2">
        <v>0</v>
      </c>
      <c r="H15820" s="1" t="s">
        <v>0</v>
      </c>
      <c r="I15820" s="2">
        <v>0</v>
      </c>
      <c r="J15820" s="1">
        <v>45953.557696759257</v>
      </c>
    </row>
    <row r="15821" spans="1:10" x14ac:dyDescent="0.2">
      <c r="A15821" s="4" t="s">
        <v>1</v>
      </c>
      <c r="B15821" s="3" t="str">
        <f>HYPERLINK("https://otsuka-europe-crm.veevavault.com/ui/#object/approved_document__v/V5OZ025E82UW8W9", "LUP - Invitación webinar NL y RCV - reuma")</f>
        <v>LUP - Invitación webinar NL y RCV - reuma</v>
      </c>
      <c r="C15821" s="3" t="str">
        <f>HYPERLINK("https://otsuka-europe-crm.veevavault.com/ui/#object/sent_email__v/VBLZ025E82HSKWC", "SE-000290349")</f>
        <v>SE-000290349</v>
      </c>
      <c r="D15821" s="1">
        <v>45953.713622685187</v>
      </c>
      <c r="E15821" s="2">
        <v>1</v>
      </c>
      <c r="F15821" s="2">
        <v>1</v>
      </c>
      <c r="G15821" s="2">
        <v>0</v>
      </c>
      <c r="H15821" s="1" t="s">
        <v>0</v>
      </c>
      <c r="I15821" s="2">
        <v>0</v>
      </c>
      <c r="J15821" s="1">
        <v>45953.557708333334</v>
      </c>
    </row>
    <row r="15822" spans="1:10" x14ac:dyDescent="0.2">
      <c r="A15822" s="4" t="s">
        <v>1</v>
      </c>
      <c r="B15822" s="3" t="str">
        <f>HYPERLINK("https://otsuka-europe-crm.veevavault.com/ui/#object/approved_document__v/V5OZ025E82UW8W9", "LUP - Invitación webinar NL y RCV - reuma")</f>
        <v>LUP - Invitación webinar NL y RCV - reuma</v>
      </c>
      <c r="C15822" s="3" t="str">
        <f>HYPERLINK("https://otsuka-europe-crm.veevavault.com/ui/#object/sent_email__v/VBLZ025E82HSKWD", "SE-000290350")</f>
        <v>SE-000290350</v>
      </c>
      <c r="D15822" s="1" t="s">
        <v>0</v>
      </c>
      <c r="E15822" s="2">
        <v>0</v>
      </c>
      <c r="F15822" s="2">
        <v>0</v>
      </c>
      <c r="G15822" s="2">
        <v>0</v>
      </c>
      <c r="H15822" s="1" t="s">
        <v>0</v>
      </c>
      <c r="I15822" s="2">
        <v>0</v>
      </c>
      <c r="J15822" s="1">
        <v>45953.557708333334</v>
      </c>
    </row>
    <row r="15823" spans="1:10" x14ac:dyDescent="0.2">
      <c r="A15823" s="4" t="s">
        <v>1</v>
      </c>
      <c r="B15823" s="3" t="str">
        <f>HYPERLINK("https://otsuka-europe-crm.veevavault.com/ui/#object/approved_document__v/V5OZ025E82UW8W9", "LUP - Invitación webinar NL y RCV - reuma")</f>
        <v>LUP - Invitación webinar NL y RCV - reuma</v>
      </c>
      <c r="C15823" s="3" t="str">
        <f>HYPERLINK("https://otsuka-europe-crm.veevavault.com/ui/#object/sent_email__v/VBLZ025E82HSKWE", "SE-000290351")</f>
        <v>SE-000290351</v>
      </c>
      <c r="D15823" s="1">
        <v>45953.911238425928</v>
      </c>
      <c r="E15823" s="2">
        <v>1</v>
      </c>
      <c r="F15823" s="2">
        <v>1</v>
      </c>
      <c r="G15823" s="2">
        <v>0</v>
      </c>
      <c r="H15823" s="1" t="s">
        <v>0</v>
      </c>
      <c r="I15823" s="2">
        <v>0</v>
      </c>
      <c r="J15823" s="1">
        <v>45953.557719907411</v>
      </c>
    </row>
    <row r="15824" spans="1:10" x14ac:dyDescent="0.2">
      <c r="A15824" s="4" t="s">
        <v>1</v>
      </c>
      <c r="B15824" s="3" t="str">
        <f>HYPERLINK("https://otsuka-europe-crm.veevavault.com/ui/#object/approved_document__v/V5OZ025E82UW8W9", "LUP - Invitación webinar NL y RCV - reuma")</f>
        <v>LUP - Invitación webinar NL y RCV - reuma</v>
      </c>
      <c r="C15824" s="3" t="str">
        <f>HYPERLINK("https://otsuka-europe-crm.veevavault.com/ui/#object/sent_email__v/VBLZ025E82HSKYH", "SE-000290352")</f>
        <v>SE-000290352</v>
      </c>
      <c r="D15824" s="1" t="s">
        <v>0</v>
      </c>
      <c r="E15824" s="2">
        <v>0</v>
      </c>
      <c r="F15824" s="2">
        <v>0</v>
      </c>
      <c r="G15824" s="2">
        <v>0</v>
      </c>
      <c r="H15824" s="1" t="s">
        <v>0</v>
      </c>
      <c r="I15824" s="2">
        <v>0</v>
      </c>
      <c r="J15824" s="1">
        <v>45953.557789351849</v>
      </c>
    </row>
    <row r="15825" spans="1:10" x14ac:dyDescent="0.2">
      <c r="A15825" s="4" t="s">
        <v>1</v>
      </c>
      <c r="B15825" s="3" t="str">
        <f>HYPERLINK("https://otsuka-europe-crm.veevavault.com/ui/#object/approved_document__v/V5OZ025E82UW8W9", "LUP - Invitación webinar NL y RCV - reuma")</f>
        <v>LUP - Invitación webinar NL y RCV - reuma</v>
      </c>
      <c r="C15825" s="3" t="str">
        <f>HYPERLINK("https://otsuka-europe-crm.veevavault.com/ui/#object/sent_email__v/VBLZ025E82HSKYI", "SE-000290353")</f>
        <v>SE-000290353</v>
      </c>
      <c r="D15825" s="1" t="s">
        <v>0</v>
      </c>
      <c r="E15825" s="2">
        <v>0</v>
      </c>
      <c r="F15825" s="2">
        <v>0</v>
      </c>
      <c r="G15825" s="2">
        <v>0</v>
      </c>
      <c r="H15825" s="1" t="s">
        <v>0</v>
      </c>
      <c r="I15825" s="2">
        <v>0</v>
      </c>
      <c r="J15825" s="1">
        <v>45953.557789351849</v>
      </c>
    </row>
    <row r="15826" spans="1:10" x14ac:dyDescent="0.2">
      <c r="A15826" s="4" t="s">
        <v>1</v>
      </c>
      <c r="B15826" s="3" t="str">
        <f>HYPERLINK("https://otsuka-europe-crm.veevavault.com/ui/#object/approved_document__v/V5OZ025E82UW8W9", "LUP - Invitación webinar NL y RCV - reuma")</f>
        <v>LUP - Invitación webinar NL y RCV - reuma</v>
      </c>
      <c r="C15826" s="3" t="str">
        <f>HYPERLINK("https://otsuka-europe-crm.veevavault.com/ui/#object/sent_email__v/VBLZ025E82HSKYJ", "SE-000290354")</f>
        <v>SE-000290354</v>
      </c>
      <c r="D15826" s="1" t="s">
        <v>0</v>
      </c>
      <c r="E15826" s="2">
        <v>0</v>
      </c>
      <c r="F15826" s="2">
        <v>0</v>
      </c>
      <c r="G15826" s="2">
        <v>0</v>
      </c>
      <c r="H15826" s="1" t="s">
        <v>0</v>
      </c>
      <c r="I15826" s="2">
        <v>0</v>
      </c>
      <c r="J15826" s="1">
        <v>45953.557800925926</v>
      </c>
    </row>
    <row r="15827" spans="1:10" x14ac:dyDescent="0.2">
      <c r="A15827" s="4" t="s">
        <v>1</v>
      </c>
      <c r="B15827" s="3" t="str">
        <f>HYPERLINK("https://otsuka-europe-crm.veevavault.com/ui/#object/approved_document__v/V5OZ025E82UW8W9", "LUP - Invitación webinar NL y RCV - reuma")</f>
        <v>LUP - Invitación webinar NL y RCV - reuma</v>
      </c>
      <c r="C15827" s="3" t="str">
        <f>HYPERLINK("https://otsuka-europe-crm.veevavault.com/ui/#object/sent_email__v/VBLZ025E82HSKYK", "SE-000290355")</f>
        <v>SE-000290355</v>
      </c>
      <c r="D15827" s="1">
        <v>45953.562824074077</v>
      </c>
      <c r="E15827" s="2">
        <v>1</v>
      </c>
      <c r="F15827" s="2">
        <v>2</v>
      </c>
      <c r="G15827" s="2">
        <v>0</v>
      </c>
      <c r="H15827" s="1" t="s">
        <v>0</v>
      </c>
      <c r="I15827" s="2">
        <v>0</v>
      </c>
      <c r="J15827" s="1">
        <v>45953.557812500003</v>
      </c>
    </row>
    <row r="15828" spans="1:10" x14ac:dyDescent="0.2">
      <c r="A15828" s="4" t="s">
        <v>1</v>
      </c>
      <c r="B15828" s="3" t="str">
        <f>HYPERLINK("https://otsuka-europe-crm.veevavault.com/ui/#object/approved_document__v/V5OZ025E82UW8W9", "LUP - Invitación webinar NL y RCV - reuma")</f>
        <v>LUP - Invitación webinar NL y RCV - reuma</v>
      </c>
      <c r="C15828" s="3" t="str">
        <f>HYPERLINK("https://otsuka-europe-crm.veevavault.com/ui/#object/sent_email__v/VBLZ025E82HSKYL", "SE-000290356")</f>
        <v>SE-000290356</v>
      </c>
      <c r="D15828" s="1" t="s">
        <v>0</v>
      </c>
      <c r="E15828" s="2">
        <v>0</v>
      </c>
      <c r="F15828" s="2">
        <v>0</v>
      </c>
      <c r="G15828" s="2">
        <v>0</v>
      </c>
      <c r="H15828" s="1" t="s">
        <v>0</v>
      </c>
      <c r="I15828" s="2">
        <v>0</v>
      </c>
      <c r="J15828" s="1">
        <v>45953.557812500003</v>
      </c>
    </row>
    <row r="15829" spans="1:10" x14ac:dyDescent="0.2">
      <c r="A15829" s="4" t="s">
        <v>1</v>
      </c>
      <c r="B15829" s="3" t="str">
        <f>HYPERLINK("https://otsuka-europe-crm.veevavault.com/ui/#object/approved_document__v/V5OZ025E82UW8W9", "LUP - Invitación webinar NL y RCV - reuma")</f>
        <v>LUP - Invitación webinar NL y RCV - reuma</v>
      </c>
      <c r="C15829" s="3" t="str">
        <f>HYPERLINK("https://otsuka-europe-crm.veevavault.com/ui/#object/sent_email__v/VBLZ025E82HSKYM", "SE-000290357")</f>
        <v>SE-000290357</v>
      </c>
      <c r="D15829" s="1" t="s">
        <v>0</v>
      </c>
      <c r="E15829" s="2">
        <v>0</v>
      </c>
      <c r="F15829" s="2">
        <v>0</v>
      </c>
      <c r="G15829" s="2">
        <v>0</v>
      </c>
      <c r="H15829" s="1" t="s">
        <v>0</v>
      </c>
      <c r="I15829" s="2">
        <v>0</v>
      </c>
      <c r="J15829" s="1">
        <v>45953.557824074072</v>
      </c>
    </row>
    <row r="15830" spans="1:10" x14ac:dyDescent="0.2">
      <c r="A15830" s="4" t="s">
        <v>1</v>
      </c>
      <c r="B15830" s="3" t="str">
        <f>HYPERLINK("https://otsuka-europe-crm.veevavault.com/ui/#object/approved_document__v/V5OZ025E82UW8W9", "LUP - Invitación webinar NL y RCV - reuma")</f>
        <v>LUP - Invitación webinar NL y RCV - reuma</v>
      </c>
      <c r="C15830" s="3" t="str">
        <f>HYPERLINK("https://otsuka-europe-crm.veevavault.com/ui/#object/sent_email__v/VBLZ025E82HSKYN", "SE-000290358")</f>
        <v>SE-000290358</v>
      </c>
      <c r="D15830" s="1" t="s">
        <v>0</v>
      </c>
      <c r="E15830" s="2">
        <v>0</v>
      </c>
      <c r="F15830" s="2">
        <v>0</v>
      </c>
      <c r="G15830" s="2">
        <v>0</v>
      </c>
      <c r="H15830" s="1" t="s">
        <v>0</v>
      </c>
      <c r="I15830" s="2">
        <v>0</v>
      </c>
      <c r="J15830" s="1">
        <v>45953.557835648149</v>
      </c>
    </row>
    <row r="15831" spans="1:10" x14ac:dyDescent="0.2">
      <c r="A15831" s="4" t="s">
        <v>1</v>
      </c>
      <c r="B15831" s="3" t="str">
        <f>HYPERLINK("https://otsuka-europe-crm.veevavault.com/ui/#object/approved_document__v/V5OZ025E82UW8W9", "LUP - Invitación webinar NL y RCV - reuma")</f>
        <v>LUP - Invitación webinar NL y RCV - reuma</v>
      </c>
      <c r="C15831" s="3" t="str">
        <f>HYPERLINK("https://otsuka-europe-crm.veevavault.com/ui/#object/sent_email__v/VBLZ025E82HSKYO", "SE-000290359")</f>
        <v>SE-000290359</v>
      </c>
      <c r="D15831" s="1">
        <v>45953.671226851853</v>
      </c>
      <c r="E15831" s="2">
        <v>1</v>
      </c>
      <c r="F15831" s="2">
        <v>1</v>
      </c>
      <c r="G15831" s="2">
        <v>0</v>
      </c>
      <c r="H15831" s="1" t="s">
        <v>0</v>
      </c>
      <c r="I15831" s="2">
        <v>0</v>
      </c>
      <c r="J15831" s="1">
        <v>45953.557847222219</v>
      </c>
    </row>
    <row r="15832" spans="1:10" x14ac:dyDescent="0.2">
      <c r="A15832" s="4" t="s">
        <v>1</v>
      </c>
      <c r="B15832" s="3" t="str">
        <f>HYPERLINK("https://otsuka-europe-crm.veevavault.com/ui/#object/approved_document__v/V5OZ025E82UW8W9", "LUP - Invitación webinar NL y RCV - reuma")</f>
        <v>LUP - Invitación webinar NL y RCV - reuma</v>
      </c>
      <c r="C15832" s="3" t="str">
        <f>HYPERLINK("https://otsuka-europe-crm.veevavault.com/ui/#object/sent_email__v/VBLZ025E82HSKYP", "SE-000290360")</f>
        <v>SE-000290360</v>
      </c>
      <c r="D15832" s="1">
        <v>45968.773402777777</v>
      </c>
      <c r="E15832" s="2">
        <v>1</v>
      </c>
      <c r="F15832" s="2">
        <v>1</v>
      </c>
      <c r="G15832" s="2">
        <v>0</v>
      </c>
      <c r="H15832" s="1" t="s">
        <v>0</v>
      </c>
      <c r="I15832" s="2">
        <v>0</v>
      </c>
      <c r="J15832" s="1">
        <v>45953.557847222219</v>
      </c>
    </row>
    <row r="15833" spans="1:10" x14ac:dyDescent="0.2">
      <c r="A15833" s="4" t="s">
        <v>1</v>
      </c>
      <c r="B15833" s="3" t="str">
        <f>HYPERLINK("https://otsuka-europe-crm.veevavault.com/ui/#object/approved_document__v/V5OZ025E82UW8W9", "LUP - Invitación webinar NL y RCV - reuma")</f>
        <v>LUP - Invitación webinar NL y RCV - reuma</v>
      </c>
      <c r="C15833" s="3" t="str">
        <f>HYPERLINK("https://otsuka-europe-crm.veevavault.com/ui/#object/sent_email__v/VBLZ025E82HSKYQ", "SE-000290361")</f>
        <v>SE-000290361</v>
      </c>
      <c r="D15833" s="1">
        <v>45953.595127314817</v>
      </c>
      <c r="E15833" s="2">
        <v>1</v>
      </c>
      <c r="F15833" s="2">
        <v>1</v>
      </c>
      <c r="G15833" s="2">
        <v>0</v>
      </c>
      <c r="H15833" s="1" t="s">
        <v>0</v>
      </c>
      <c r="I15833" s="2">
        <v>0</v>
      </c>
      <c r="J15833" s="1">
        <v>45953.557858796295</v>
      </c>
    </row>
    <row r="15834" spans="1:10" x14ac:dyDescent="0.2">
      <c r="A15834" s="4" t="s">
        <v>1</v>
      </c>
      <c r="B15834" s="3" t="str">
        <f>HYPERLINK("https://otsuka-europe-crm.veevavault.com/ui/#object/approved_document__v/V5OZ025E82UW8W9", "LUP - Invitación webinar NL y RCV - reuma")</f>
        <v>LUP - Invitación webinar NL y RCV - reuma</v>
      </c>
      <c r="C15834" s="3" t="str">
        <f>HYPERLINK("https://otsuka-europe-crm.veevavault.com/ui/#object/sent_email__v/VBLZ025E82HSKYR", "SE-000290362")</f>
        <v>SE-000290362</v>
      </c>
      <c r="D15834" s="1">
        <v>45958.38521990741</v>
      </c>
      <c r="E15834" s="2">
        <v>1</v>
      </c>
      <c r="F15834" s="2">
        <v>3</v>
      </c>
      <c r="G15834" s="2">
        <v>0</v>
      </c>
      <c r="H15834" s="1" t="s">
        <v>0</v>
      </c>
      <c r="I15834" s="2">
        <v>0</v>
      </c>
      <c r="J15834" s="1">
        <v>45953.557870370372</v>
      </c>
    </row>
    <row r="15835" spans="1:10" x14ac:dyDescent="0.2">
      <c r="A15835" s="4" t="s">
        <v>1</v>
      </c>
      <c r="B15835" s="3" t="str">
        <f>HYPERLINK("https://otsuka-europe-crm.veevavault.com/ui/#object/approved_document__v/V5OZ025E82UW8W9", "LUP - Invitación webinar NL y RCV - reuma")</f>
        <v>LUP - Invitación webinar NL y RCV - reuma</v>
      </c>
      <c r="C15835" s="3" t="str">
        <f>HYPERLINK("https://otsuka-europe-crm.veevavault.com/ui/#object/sent_email__v/VBLZ025E82HSKYS", "SE-000290363")</f>
        <v>SE-000290363</v>
      </c>
      <c r="D15835" s="1" t="s">
        <v>0</v>
      </c>
      <c r="E15835" s="2">
        <v>0</v>
      </c>
      <c r="F15835" s="2">
        <v>0</v>
      </c>
      <c r="G15835" s="2">
        <v>0</v>
      </c>
      <c r="H15835" s="1" t="s">
        <v>0</v>
      </c>
      <c r="I15835" s="2">
        <v>0</v>
      </c>
      <c r="J15835" s="1">
        <v>45953.557881944442</v>
      </c>
    </row>
    <row r="15836" spans="1:10" x14ac:dyDescent="0.2">
      <c r="A15836" s="4" t="s">
        <v>1</v>
      </c>
      <c r="B15836" s="3" t="str">
        <f>HYPERLINK("https://otsuka-europe-crm.veevavault.com/ui/#object/approved_document__v/V5OZ025E82UW8W9", "LUP - Invitación webinar NL y RCV - reuma")</f>
        <v>LUP - Invitación webinar NL y RCV - reuma</v>
      </c>
      <c r="C15836" s="3" t="str">
        <f>HYPERLINK("https://otsuka-europe-crm.veevavault.com/ui/#object/sent_email__v/VBLZ025E82HSKYT", "SE-000290364")</f>
        <v>SE-000290364</v>
      </c>
      <c r="D15836" s="1">
        <v>45953.606724537036</v>
      </c>
      <c r="E15836" s="2">
        <v>1</v>
      </c>
      <c r="F15836" s="2">
        <v>1</v>
      </c>
      <c r="G15836" s="2">
        <v>0</v>
      </c>
      <c r="H15836" s="1" t="s">
        <v>0</v>
      </c>
      <c r="I15836" s="2">
        <v>0</v>
      </c>
      <c r="J15836" s="1">
        <v>45953.557893518519</v>
      </c>
    </row>
    <row r="15837" spans="1:10" x14ac:dyDescent="0.2">
      <c r="A15837" s="4" t="s">
        <v>1</v>
      </c>
      <c r="B15837" s="3" t="str">
        <f>HYPERLINK("https://otsuka-europe-crm.veevavault.com/ui/#object/approved_document__v/V5OZ025E82UW8W9", "LUP - Invitación webinar NL y RCV - reuma")</f>
        <v>LUP - Invitación webinar NL y RCV - reuma</v>
      </c>
      <c r="C15837" s="3" t="str">
        <f>HYPERLINK("https://otsuka-europe-crm.veevavault.com/ui/#object/sent_email__v/VBLZ025E82HSKYU", "SE-000290365")</f>
        <v>SE-000290365</v>
      </c>
      <c r="D15837" s="1" t="s">
        <v>0</v>
      </c>
      <c r="E15837" s="2">
        <v>0</v>
      </c>
      <c r="F15837" s="2">
        <v>0</v>
      </c>
      <c r="G15837" s="2">
        <v>0</v>
      </c>
      <c r="H15837" s="1" t="s">
        <v>0</v>
      </c>
      <c r="I15837" s="2">
        <v>0</v>
      </c>
      <c r="J15837" s="1">
        <v>45953.557893518519</v>
      </c>
    </row>
    <row r="15838" spans="1:10" x14ac:dyDescent="0.2">
      <c r="A15838" s="4" t="s">
        <v>1</v>
      </c>
      <c r="B15838" s="3" t="str">
        <f>HYPERLINK("https://otsuka-europe-crm.veevavault.com/ui/#object/approved_document__v/V5OZ025E82UW8W9", "LUP - Invitación webinar NL y RCV - reuma")</f>
        <v>LUP - Invitación webinar NL y RCV - reuma</v>
      </c>
      <c r="C15838" s="3" t="str">
        <f>HYPERLINK("https://otsuka-europe-crm.veevavault.com/ui/#object/sent_email__v/VBLZ025E82HSKYV", "SE-000290366")</f>
        <v>SE-000290366</v>
      </c>
      <c r="D15838" s="1" t="s">
        <v>0</v>
      </c>
      <c r="E15838" s="2">
        <v>0</v>
      </c>
      <c r="F15838" s="2">
        <v>0</v>
      </c>
      <c r="G15838" s="2">
        <v>0</v>
      </c>
      <c r="H15838" s="1" t="s">
        <v>0</v>
      </c>
      <c r="I15838" s="2">
        <v>0</v>
      </c>
      <c r="J15838" s="1">
        <v>45953.557905092595</v>
      </c>
    </row>
    <row r="15839" spans="1:10" x14ac:dyDescent="0.2">
      <c r="A15839" s="4" t="s">
        <v>1</v>
      </c>
      <c r="B15839" s="3" t="str">
        <f>HYPERLINK("https://otsuka-europe-crm.veevavault.com/ui/#object/approved_document__v/V5OZ025E82UW8W9", "LUP - Invitación webinar NL y RCV - reuma")</f>
        <v>LUP - Invitación webinar NL y RCV - reuma</v>
      </c>
      <c r="C15839" s="3" t="str">
        <f>HYPERLINK("https://otsuka-europe-crm.veevavault.com/ui/#object/sent_email__v/VBLZ025E82HSKYW", "SE-000290367")</f>
        <v>SE-000290367</v>
      </c>
      <c r="D15839" s="1" t="s">
        <v>0</v>
      </c>
      <c r="E15839" s="2">
        <v>0</v>
      </c>
      <c r="F15839" s="2">
        <v>0</v>
      </c>
      <c r="G15839" s="2">
        <v>0</v>
      </c>
      <c r="H15839" s="1" t="s">
        <v>0</v>
      </c>
      <c r="I15839" s="2">
        <v>0</v>
      </c>
      <c r="J15839" s="1">
        <v>45953.557916666665</v>
      </c>
    </row>
    <row r="15840" spans="1:10" x14ac:dyDescent="0.2">
      <c r="A15840" s="4" t="s">
        <v>1</v>
      </c>
      <c r="B15840" s="3" t="str">
        <f>HYPERLINK("https://otsuka-europe-crm.veevavault.com/ui/#object/approved_document__v/V5OZ025E82UW8W9", "LUP - Invitación webinar NL y RCV - reuma")</f>
        <v>LUP - Invitación webinar NL y RCV - reuma</v>
      </c>
      <c r="C15840" s="3" t="str">
        <f>HYPERLINK("https://otsuka-europe-crm.veevavault.com/ui/#object/sent_email__v/VBLZ025E82HSKYX", "SE-000290368")</f>
        <v>SE-000290368</v>
      </c>
      <c r="D15840" s="1" t="s">
        <v>0</v>
      </c>
      <c r="E15840" s="2">
        <v>0</v>
      </c>
      <c r="F15840" s="2">
        <v>0</v>
      </c>
      <c r="G15840" s="2">
        <v>0</v>
      </c>
      <c r="H15840" s="1" t="s">
        <v>0</v>
      </c>
      <c r="I15840" s="2">
        <v>0</v>
      </c>
      <c r="J15840" s="1">
        <v>45953.557928240742</v>
      </c>
    </row>
    <row r="15841" spans="1:10" x14ac:dyDescent="0.2">
      <c r="A15841" s="4" t="s">
        <v>1</v>
      </c>
      <c r="B15841" s="3" t="str">
        <f>HYPERLINK("https://otsuka-europe-crm.veevavault.com/ui/#object/approved_document__v/V5OZ025E82UW8W9", "LUP - Invitación webinar NL y RCV - reuma")</f>
        <v>LUP - Invitación webinar NL y RCV - reuma</v>
      </c>
      <c r="C15841" s="3" t="str">
        <f>HYPERLINK("https://otsuka-europe-crm.veevavault.com/ui/#object/sent_email__v/VBLZ025E82HSKYY", "SE-000290369")</f>
        <v>SE-000290369</v>
      </c>
      <c r="D15841" s="1" t="s">
        <v>0</v>
      </c>
      <c r="E15841" s="2">
        <v>0</v>
      </c>
      <c r="F15841" s="2">
        <v>0</v>
      </c>
      <c r="G15841" s="2">
        <v>0</v>
      </c>
      <c r="H15841" s="1" t="s">
        <v>0</v>
      </c>
      <c r="I15841" s="2">
        <v>0</v>
      </c>
      <c r="J15841" s="1">
        <v>45953.557939814818</v>
      </c>
    </row>
    <row r="15842" spans="1:10" x14ac:dyDescent="0.2">
      <c r="A15842" s="4" t="s">
        <v>1</v>
      </c>
      <c r="B15842" s="3" t="str">
        <f>HYPERLINK("https://otsuka-europe-crm.veevavault.com/ui/#object/approved_document__v/V5OZ025E82UW8W9", "LUP - Invitación webinar NL y RCV - reuma")</f>
        <v>LUP - Invitación webinar NL y RCV - reuma</v>
      </c>
      <c r="C15842" s="3" t="str">
        <f>HYPERLINK("https://otsuka-europe-crm.veevavault.com/ui/#object/sent_email__v/VBLZ025E82HSKYZ", "SE-000290370")</f>
        <v>SE-000290370</v>
      </c>
      <c r="D15842" s="1">
        <v>45965.852314814816</v>
      </c>
      <c r="E15842" s="2">
        <v>1</v>
      </c>
      <c r="F15842" s="2">
        <v>2</v>
      </c>
      <c r="G15842" s="2">
        <v>0</v>
      </c>
      <c r="H15842" s="1" t="s">
        <v>0</v>
      </c>
      <c r="I15842" s="2">
        <v>0</v>
      </c>
      <c r="J15842" s="1">
        <v>45953.557939814818</v>
      </c>
    </row>
    <row r="15843" spans="1:10" x14ac:dyDescent="0.2">
      <c r="A15843" s="4" t="s">
        <v>1</v>
      </c>
      <c r="B15843" s="3" t="str">
        <f>HYPERLINK("https://otsuka-europe-crm.veevavault.com/ui/#object/approved_document__v/V5OZ025E82UW8W9", "LUP - Invitación webinar NL y RCV - reuma")</f>
        <v>LUP - Invitación webinar NL y RCV - reuma</v>
      </c>
      <c r="C15843" s="3" t="str">
        <f>HYPERLINK("https://otsuka-europe-crm.veevavault.com/ui/#object/sent_email__v/VBLZ025E82HSKZ0", "SE-000290371")</f>
        <v>SE-000290371</v>
      </c>
      <c r="D15843" s="1">
        <v>45953.563171296293</v>
      </c>
      <c r="E15843" s="2">
        <v>1</v>
      </c>
      <c r="F15843" s="2">
        <v>2</v>
      </c>
      <c r="G15843" s="2">
        <v>0</v>
      </c>
      <c r="H15843" s="1" t="s">
        <v>0</v>
      </c>
      <c r="I15843" s="2">
        <v>0</v>
      </c>
      <c r="J15843" s="1">
        <v>45953.557951388888</v>
      </c>
    </row>
    <row r="15844" spans="1:10" x14ac:dyDescent="0.2">
      <c r="A15844" s="4" t="s">
        <v>1</v>
      </c>
      <c r="B15844" s="3" t="str">
        <f>HYPERLINK("https://otsuka-europe-crm.veevavault.com/ui/#object/approved_document__v/V5OZ025E82UW8W9", "LUP - Invitación webinar NL y RCV - reuma")</f>
        <v>LUP - Invitación webinar NL y RCV - reuma</v>
      </c>
      <c r="C15844" s="3" t="str">
        <f>HYPERLINK("https://otsuka-europe-crm.veevavault.com/ui/#object/sent_email__v/VBLZ025E82HSKZ1", "SE-000290372")</f>
        <v>SE-000290372</v>
      </c>
      <c r="D15844" s="1">
        <v>45953.561018518521</v>
      </c>
      <c r="E15844" s="2">
        <v>1</v>
      </c>
      <c r="F15844" s="2">
        <v>1</v>
      </c>
      <c r="G15844" s="2">
        <v>0</v>
      </c>
      <c r="H15844" s="1" t="s">
        <v>0</v>
      </c>
      <c r="I15844" s="2">
        <v>0</v>
      </c>
      <c r="J15844" s="1">
        <v>45953.557974537034</v>
      </c>
    </row>
    <row r="15845" spans="1:10" x14ac:dyDescent="0.2">
      <c r="A15845" s="4" t="s">
        <v>1</v>
      </c>
      <c r="B15845" s="3" t="str">
        <f>HYPERLINK("https://otsuka-europe-crm.veevavault.com/ui/#object/approved_document__v/V5OZ025E82UW8W9", "LUP - Invitación webinar NL y RCV - reuma")</f>
        <v>LUP - Invitación webinar NL y RCV - reuma</v>
      </c>
      <c r="C15845" s="3" t="str">
        <f>HYPERLINK("https://otsuka-europe-crm.veevavault.com/ui/#object/sent_email__v/VBLZ025E82HSKZ2", "SE-000290373")</f>
        <v>SE-000290373</v>
      </c>
      <c r="D15845" s="1" t="s">
        <v>0</v>
      </c>
      <c r="E15845" s="2">
        <v>0</v>
      </c>
      <c r="F15845" s="2">
        <v>0</v>
      </c>
      <c r="G15845" s="2">
        <v>0</v>
      </c>
      <c r="H15845" s="1" t="s">
        <v>0</v>
      </c>
      <c r="I15845" s="2">
        <v>0</v>
      </c>
      <c r="J15845" s="1">
        <v>45953.557974537034</v>
      </c>
    </row>
    <row r="15846" spans="1:10" x14ac:dyDescent="0.2">
      <c r="A15846" s="4" t="s">
        <v>1</v>
      </c>
      <c r="B15846" s="3" t="str">
        <f>HYPERLINK("https://otsuka-europe-crm.veevavault.com/ui/#object/approved_document__v/V5OZ025E82UW8W9", "LUP - Invitación webinar NL y RCV - reuma")</f>
        <v>LUP - Invitación webinar NL y RCV - reuma</v>
      </c>
      <c r="C15846" s="3" t="str">
        <f>HYPERLINK("https://otsuka-europe-crm.veevavault.com/ui/#object/sent_email__v/VBLZ025E82HSKZ3", "SE-000290374")</f>
        <v>SE-000290374</v>
      </c>
      <c r="D15846" s="1" t="s">
        <v>0</v>
      </c>
      <c r="E15846" s="2">
        <v>0</v>
      </c>
      <c r="F15846" s="2">
        <v>0</v>
      </c>
      <c r="G15846" s="2">
        <v>0</v>
      </c>
      <c r="H15846" s="1" t="s">
        <v>0</v>
      </c>
      <c r="I15846" s="2">
        <v>0</v>
      </c>
      <c r="J15846" s="1">
        <v>45953.557986111111</v>
      </c>
    </row>
    <row r="15847" spans="1:10" x14ac:dyDescent="0.2">
      <c r="A15847" s="4" t="s">
        <v>1</v>
      </c>
      <c r="B15847" s="3" t="str">
        <f>HYPERLINK("https://otsuka-europe-crm.veevavault.com/ui/#object/approved_document__v/V5OZ025E82UW8W9", "LUP - Invitación webinar NL y RCV - reuma")</f>
        <v>LUP - Invitación webinar NL y RCV - reuma</v>
      </c>
      <c r="C15847" s="3" t="str">
        <f>HYPERLINK("https://otsuka-europe-crm.veevavault.com/ui/#object/sent_email__v/VBLZ025E82HSKZ4", "SE-000290375")</f>
        <v>SE-000290375</v>
      </c>
      <c r="D15847" s="1" t="s">
        <v>0</v>
      </c>
      <c r="E15847" s="2">
        <v>0</v>
      </c>
      <c r="F15847" s="2">
        <v>0</v>
      </c>
      <c r="G15847" s="2">
        <v>0</v>
      </c>
      <c r="H15847" s="1" t="s">
        <v>0</v>
      </c>
      <c r="I15847" s="2">
        <v>0</v>
      </c>
      <c r="J15847" s="1">
        <v>45953.557997685188</v>
      </c>
    </row>
    <row r="15848" spans="1:10" x14ac:dyDescent="0.2">
      <c r="A15848" s="4" t="s">
        <v>1</v>
      </c>
      <c r="B15848" s="3" t="str">
        <f>HYPERLINK("https://otsuka-europe-crm.veevavault.com/ui/#object/approved_document__v/V5OZ025E82UW8W9", "LUP - Invitación webinar NL y RCV - reuma")</f>
        <v>LUP - Invitación webinar NL y RCV - reuma</v>
      </c>
      <c r="C15848" s="3" t="str">
        <f>HYPERLINK("https://otsuka-europe-crm.veevavault.com/ui/#object/sent_email__v/VBLZ025E82HSKZ5", "SE-000290376")</f>
        <v>SE-000290376</v>
      </c>
      <c r="D15848" s="1">
        <v>45969.101597222223</v>
      </c>
      <c r="E15848" s="2">
        <v>1</v>
      </c>
      <c r="F15848" s="2">
        <v>2</v>
      </c>
      <c r="G15848" s="2">
        <v>0</v>
      </c>
      <c r="H15848" s="1" t="s">
        <v>0</v>
      </c>
      <c r="I15848" s="2">
        <v>0</v>
      </c>
      <c r="J15848" s="1">
        <v>45953.557997685188</v>
      </c>
    </row>
    <row r="15849" spans="1:10" x14ac:dyDescent="0.2">
      <c r="A15849" s="4" t="s">
        <v>1</v>
      </c>
      <c r="B15849" s="3" t="str">
        <f>HYPERLINK("https://otsuka-europe-crm.veevavault.com/ui/#object/approved_document__v/V5OZ025E82UW8W9", "LUP - Invitación webinar NL y RCV - reuma")</f>
        <v>LUP - Invitación webinar NL y RCV - reuma</v>
      </c>
      <c r="C15849" s="3" t="str">
        <f>HYPERLINK("https://otsuka-europe-crm.veevavault.com/ui/#object/sent_email__v/VBLZ025E82HSKZ6", "SE-000290377")</f>
        <v>SE-000290377</v>
      </c>
      <c r="D15849" s="1" t="s">
        <v>0</v>
      </c>
      <c r="E15849" s="2">
        <v>0</v>
      </c>
      <c r="F15849" s="2">
        <v>0</v>
      </c>
      <c r="G15849" s="2">
        <v>0</v>
      </c>
      <c r="H15849" s="1" t="s">
        <v>0</v>
      </c>
      <c r="I15849" s="2">
        <v>0</v>
      </c>
      <c r="J15849" s="1">
        <v>45953.558020833334</v>
      </c>
    </row>
    <row r="15850" spans="1:10" x14ac:dyDescent="0.2">
      <c r="A15850" s="4" t="s">
        <v>1</v>
      </c>
      <c r="B15850" s="3" t="str">
        <f>HYPERLINK("https://otsuka-europe-crm.veevavault.com/ui/#object/approved_document__v/V5OZ025E82UW8W9", "LUP - Invitación webinar NL y RCV - reuma")</f>
        <v>LUP - Invitación webinar NL y RCV - reuma</v>
      </c>
      <c r="C15850" s="3" t="str">
        <f>HYPERLINK("https://otsuka-europe-crm.veevavault.com/ui/#object/sent_email__v/VBLZ025E82HSKZ7", "SE-000290378")</f>
        <v>SE-000290378</v>
      </c>
      <c r="D15850" s="1" t="s">
        <v>0</v>
      </c>
      <c r="E15850" s="2">
        <v>0</v>
      </c>
      <c r="F15850" s="2">
        <v>0</v>
      </c>
      <c r="G15850" s="2">
        <v>0</v>
      </c>
      <c r="H15850" s="1" t="s">
        <v>0</v>
      </c>
      <c r="I15850" s="2">
        <v>0</v>
      </c>
      <c r="J15850" s="1">
        <v>45953.558020833334</v>
      </c>
    </row>
    <row r="15851" spans="1:10" x14ac:dyDescent="0.2">
      <c r="A15851" s="4" t="s">
        <v>1</v>
      </c>
      <c r="B15851" s="3" t="str">
        <f>HYPERLINK("https://otsuka-europe-crm.veevavault.com/ui/#object/approved_document__v/V5OZ025E82UW8W9", "LUP - Invitación webinar NL y RCV - reuma")</f>
        <v>LUP - Invitación webinar NL y RCV - reuma</v>
      </c>
      <c r="C15851" s="3" t="str">
        <f>HYPERLINK("https://otsuka-europe-crm.veevavault.com/ui/#object/sent_email__v/VBLZ025E82HSKZ8", "SE-000290379")</f>
        <v>SE-000290379</v>
      </c>
      <c r="D15851" s="1" t="s">
        <v>0</v>
      </c>
      <c r="E15851" s="2">
        <v>0</v>
      </c>
      <c r="F15851" s="2">
        <v>0</v>
      </c>
      <c r="G15851" s="2">
        <v>0</v>
      </c>
      <c r="H15851" s="1" t="s">
        <v>0</v>
      </c>
      <c r="I15851" s="2">
        <v>0</v>
      </c>
      <c r="J15851" s="1">
        <v>45953.558032407411</v>
      </c>
    </row>
    <row r="15852" spans="1:10" x14ac:dyDescent="0.2">
      <c r="A15852" s="4" t="s">
        <v>1</v>
      </c>
      <c r="B15852" s="3" t="str">
        <f>HYPERLINK("https://otsuka-europe-crm.veevavault.com/ui/#object/approved_document__v/V5OZ025E82UW8W9", "LUP - Invitación webinar NL y RCV - reuma")</f>
        <v>LUP - Invitación webinar NL y RCV - reuma</v>
      </c>
      <c r="C15852" s="3" t="str">
        <f>HYPERLINK("https://otsuka-europe-crm.veevavault.com/ui/#object/sent_email__v/VBLZ025E82HSKZ9", "SE-000290380")</f>
        <v>SE-000290380</v>
      </c>
      <c r="D15852" s="1" t="s">
        <v>0</v>
      </c>
      <c r="E15852" s="2">
        <v>0</v>
      </c>
      <c r="F15852" s="2">
        <v>0</v>
      </c>
      <c r="G15852" s="2">
        <v>0</v>
      </c>
      <c r="H15852" s="1" t="s">
        <v>0</v>
      </c>
      <c r="I15852" s="2">
        <v>0</v>
      </c>
      <c r="J15852" s="1">
        <v>45953.55804398148</v>
      </c>
    </row>
    <row r="15853" spans="1:10" x14ac:dyDescent="0.2">
      <c r="A15853" s="4" t="s">
        <v>1</v>
      </c>
      <c r="B15853" s="3" t="str">
        <f>HYPERLINK("https://otsuka-europe-crm.veevavault.com/ui/#object/approved_document__v/V5OZ025E82UW8W9", "LUP - Invitación webinar NL y RCV - reuma")</f>
        <v>LUP - Invitación webinar NL y RCV - reuma</v>
      </c>
      <c r="C15853" s="3" t="str">
        <f>HYPERLINK("https://otsuka-europe-crm.veevavault.com/ui/#object/sent_email__v/VBLZ025E82HSKZA", "SE-000290381")</f>
        <v>SE-000290381</v>
      </c>
      <c r="D15853" s="1" t="s">
        <v>0</v>
      </c>
      <c r="E15853" s="2">
        <v>0</v>
      </c>
      <c r="F15853" s="2">
        <v>0</v>
      </c>
      <c r="G15853" s="2">
        <v>0</v>
      </c>
      <c r="H15853" s="1" t="s">
        <v>0</v>
      </c>
      <c r="I15853" s="2">
        <v>0</v>
      </c>
      <c r="J15853" s="1">
        <v>45953.558055555557</v>
      </c>
    </row>
    <row r="15854" spans="1:10" x14ac:dyDescent="0.2">
      <c r="A15854" s="4" t="s">
        <v>1</v>
      </c>
      <c r="B15854" s="3" t="str">
        <f>HYPERLINK("https://otsuka-europe-crm.veevavault.com/ui/#object/approved_document__v/V5OZ025E82UW8W9", "LUP - Invitación webinar NL y RCV - reuma")</f>
        <v>LUP - Invitación webinar NL y RCV - reuma</v>
      </c>
      <c r="C15854" s="3" t="str">
        <f>HYPERLINK("https://otsuka-europe-crm.veevavault.com/ui/#object/sent_email__v/VBLZ025E82HSKZB", "SE-000290382")</f>
        <v>SE-000290382</v>
      </c>
      <c r="D15854" s="1" t="s">
        <v>0</v>
      </c>
      <c r="E15854" s="2">
        <v>0</v>
      </c>
      <c r="F15854" s="2">
        <v>0</v>
      </c>
      <c r="G15854" s="2">
        <v>0</v>
      </c>
      <c r="H15854" s="1" t="s">
        <v>0</v>
      </c>
      <c r="I15854" s="2">
        <v>0</v>
      </c>
      <c r="J15854" s="1">
        <v>45953.558067129627</v>
      </c>
    </row>
    <row r="15855" spans="1:10" x14ac:dyDescent="0.2">
      <c r="A15855" s="4" t="s">
        <v>1</v>
      </c>
      <c r="B15855" s="3" t="str">
        <f>HYPERLINK("https://otsuka-europe-crm.veevavault.com/ui/#object/approved_document__v/V5OZ025E82UW8W9", "LUP - Invitación webinar NL y RCV - reuma")</f>
        <v>LUP - Invitación webinar NL y RCV - reuma</v>
      </c>
      <c r="C15855" s="3" t="str">
        <f>HYPERLINK("https://otsuka-europe-crm.veevavault.com/ui/#object/sent_email__v/VBLZ025E82HSKZC", "SE-000290383")</f>
        <v>SE-000290383</v>
      </c>
      <c r="D15855" s="1">
        <v>45953.560023148151</v>
      </c>
      <c r="E15855" s="2">
        <v>1</v>
      </c>
      <c r="F15855" s="2">
        <v>1</v>
      </c>
      <c r="G15855" s="2">
        <v>0</v>
      </c>
      <c r="H15855" s="1" t="s">
        <v>0</v>
      </c>
      <c r="I15855" s="2">
        <v>0</v>
      </c>
      <c r="J15855" s="1">
        <v>45953.558078703703</v>
      </c>
    </row>
    <row r="15856" spans="1:10" x14ac:dyDescent="0.2">
      <c r="A15856" s="4" t="s">
        <v>1</v>
      </c>
      <c r="B15856" s="3" t="str">
        <f>HYPERLINK("https://otsuka-europe-crm.veevavault.com/ui/#object/approved_document__v/V5OZ025E82UW8W9", "LUP - Invitación webinar NL y RCV - reuma")</f>
        <v>LUP - Invitación webinar NL y RCV - reuma</v>
      </c>
      <c r="C15856" s="3" t="str">
        <f>HYPERLINK("https://otsuka-europe-crm.veevavault.com/ui/#object/sent_email__v/VBLZ025E82HSKZD", "SE-000290384")</f>
        <v>SE-000290384</v>
      </c>
      <c r="D15856" s="1" t="s">
        <v>0</v>
      </c>
      <c r="E15856" s="2">
        <v>0</v>
      </c>
      <c r="F15856" s="2">
        <v>0</v>
      </c>
      <c r="G15856" s="2">
        <v>0</v>
      </c>
      <c r="H15856" s="1" t="s">
        <v>0</v>
      </c>
      <c r="I15856" s="2">
        <v>0</v>
      </c>
      <c r="J15856" s="1">
        <v>45953.55809027778</v>
      </c>
    </row>
    <row r="15857" spans="1:10" x14ac:dyDescent="0.2">
      <c r="A15857" s="4" t="s">
        <v>1</v>
      </c>
      <c r="B15857" s="3" t="str">
        <f>HYPERLINK("https://otsuka-europe-crm.veevavault.com/ui/#object/approved_document__v/V5OZ025E82UW8W9", "LUP - Invitación webinar NL y RCV - reuma")</f>
        <v>LUP - Invitación webinar NL y RCV - reuma</v>
      </c>
      <c r="C15857" s="3" t="str">
        <f>HYPERLINK("https://otsuka-europe-crm.veevavault.com/ui/#object/sent_email__v/VBLZ025E82HSKZE", "SE-000290385")</f>
        <v>SE-000290385</v>
      </c>
      <c r="D15857" s="1">
        <v>45953.944247685184</v>
      </c>
      <c r="E15857" s="2">
        <v>1</v>
      </c>
      <c r="F15857" s="2">
        <v>2</v>
      </c>
      <c r="G15857" s="2">
        <v>0</v>
      </c>
      <c r="H15857" s="1" t="s">
        <v>0</v>
      </c>
      <c r="I15857" s="2">
        <v>0</v>
      </c>
      <c r="J15857" s="1">
        <v>45953.55810185185</v>
      </c>
    </row>
    <row r="15858" spans="1:10" x14ac:dyDescent="0.2">
      <c r="A15858" s="4" t="s">
        <v>1</v>
      </c>
      <c r="B15858" s="3" t="str">
        <f>HYPERLINK("https://otsuka-europe-crm.veevavault.com/ui/#object/approved_document__v/V5OZ025E82UW8W9", "LUP - Invitación webinar NL y RCV - reuma")</f>
        <v>LUP - Invitación webinar NL y RCV - reuma</v>
      </c>
      <c r="C15858" s="3" t="str">
        <f>HYPERLINK("https://otsuka-europe-crm.veevavault.com/ui/#object/sent_email__v/VBLZ025E82HSKZF", "SE-000290386")</f>
        <v>SE-000290386</v>
      </c>
      <c r="D15858" s="1" t="s">
        <v>0</v>
      </c>
      <c r="E15858" s="2">
        <v>0</v>
      </c>
      <c r="F15858" s="2">
        <v>0</v>
      </c>
      <c r="G15858" s="2">
        <v>0</v>
      </c>
      <c r="H15858" s="1" t="s">
        <v>0</v>
      </c>
      <c r="I15858" s="2">
        <v>0</v>
      </c>
      <c r="J15858" s="1">
        <v>45953.558113425926</v>
      </c>
    </row>
    <row r="15859" spans="1:10" x14ac:dyDescent="0.2">
      <c r="A15859" s="4" t="s">
        <v>1</v>
      </c>
      <c r="B15859" s="3" t="str">
        <f>HYPERLINK("https://otsuka-europe-crm.veevavault.com/ui/#object/approved_document__v/V5OZ025E82UW8W9", "LUP - Invitación webinar NL y RCV - reuma")</f>
        <v>LUP - Invitación webinar NL y RCV - reuma</v>
      </c>
      <c r="C15859" s="3" t="str">
        <f>HYPERLINK("https://otsuka-europe-crm.veevavault.com/ui/#object/sent_email__v/VBLZ025E82HSKZG", "SE-000290387")</f>
        <v>SE-000290387</v>
      </c>
      <c r="D15859" s="1" t="s">
        <v>0</v>
      </c>
      <c r="E15859" s="2">
        <v>0</v>
      </c>
      <c r="F15859" s="2">
        <v>0</v>
      </c>
      <c r="G15859" s="2">
        <v>0</v>
      </c>
      <c r="H15859" s="1" t="s">
        <v>0</v>
      </c>
      <c r="I15859" s="2">
        <v>0</v>
      </c>
      <c r="J15859" s="1">
        <v>45953.558113425926</v>
      </c>
    </row>
    <row r="15860" spans="1:10" x14ac:dyDescent="0.2">
      <c r="A15860" s="4" t="s">
        <v>1</v>
      </c>
      <c r="B15860" s="3" t="str">
        <f>HYPERLINK("https://otsuka-europe-crm.veevavault.com/ui/#object/approved_document__v/V5OZ025E82UW8W9", "LUP - Invitación webinar NL y RCV - reuma")</f>
        <v>LUP - Invitación webinar NL y RCV - reuma</v>
      </c>
      <c r="C15860" s="3" t="str">
        <f>HYPERLINK("https://otsuka-europe-crm.veevavault.com/ui/#object/sent_email__v/VBLZ025E82HSKZH", "SE-000290388")</f>
        <v>SE-000290388</v>
      </c>
      <c r="D15860" s="1" t="s">
        <v>0</v>
      </c>
      <c r="E15860" s="2">
        <v>0</v>
      </c>
      <c r="F15860" s="2">
        <v>0</v>
      </c>
      <c r="G15860" s="2">
        <v>0</v>
      </c>
      <c r="H15860" s="1" t="s">
        <v>0</v>
      </c>
      <c r="I15860" s="2">
        <v>0</v>
      </c>
      <c r="J15860" s="1">
        <v>45953.558125000003</v>
      </c>
    </row>
    <row r="15861" spans="1:10" x14ac:dyDescent="0.2">
      <c r="A15861" s="4" t="s">
        <v>1</v>
      </c>
      <c r="B15861" s="3" t="str">
        <f>HYPERLINK("https://otsuka-europe-crm.veevavault.com/ui/#object/approved_document__v/V5OZ025E82UW8W9", "LUP - Invitación webinar NL y RCV - reuma")</f>
        <v>LUP - Invitación webinar NL y RCV - reuma</v>
      </c>
      <c r="C15861" s="3" t="str">
        <f>HYPERLINK("https://otsuka-europe-crm.veevavault.com/ui/#object/sent_email__v/VBLZ025E82HSKZI", "SE-000290389")</f>
        <v>SE-000290389</v>
      </c>
      <c r="D15861" s="1" t="s">
        <v>0</v>
      </c>
      <c r="E15861" s="2">
        <v>0</v>
      </c>
      <c r="F15861" s="2">
        <v>0</v>
      </c>
      <c r="G15861" s="2">
        <v>0</v>
      </c>
      <c r="H15861" s="1" t="s">
        <v>0</v>
      </c>
      <c r="I15861" s="2">
        <v>0</v>
      </c>
      <c r="J15861" s="1">
        <v>45953.558136574073</v>
      </c>
    </row>
    <row r="15862" spans="1:10" x14ac:dyDescent="0.2">
      <c r="A15862" s="4" t="s">
        <v>1</v>
      </c>
      <c r="B15862" s="3" t="str">
        <f>HYPERLINK("https://otsuka-europe-crm.veevavault.com/ui/#object/approved_document__v/V5OZ025E82UW8W9", "LUP - Invitación webinar NL y RCV - reuma")</f>
        <v>LUP - Invitación webinar NL y RCV - reuma</v>
      </c>
      <c r="C15862" s="3" t="str">
        <f>HYPERLINK("https://otsuka-europe-crm.veevavault.com/ui/#object/sent_email__v/VBLZ025E82HSKZJ", "SE-000290390")</f>
        <v>SE-000290390</v>
      </c>
      <c r="D15862" s="1" t="s">
        <v>0</v>
      </c>
      <c r="E15862" s="2">
        <v>0</v>
      </c>
      <c r="F15862" s="2">
        <v>0</v>
      </c>
      <c r="G15862" s="2">
        <v>0</v>
      </c>
      <c r="H15862" s="1" t="s">
        <v>0</v>
      </c>
      <c r="I15862" s="2">
        <v>0</v>
      </c>
      <c r="J15862" s="1">
        <v>45953.558148148149</v>
      </c>
    </row>
    <row r="15863" spans="1:10" x14ac:dyDescent="0.2">
      <c r="A15863" s="4" t="s">
        <v>1</v>
      </c>
      <c r="B15863" s="3" t="str">
        <f>HYPERLINK("https://otsuka-europe-crm.veevavault.com/ui/#object/approved_document__v/V5OZ025E82UW8W9", "LUP - Invitación webinar NL y RCV - reuma")</f>
        <v>LUP - Invitación webinar NL y RCV - reuma</v>
      </c>
      <c r="C15863" s="3" t="str">
        <f>HYPERLINK("https://otsuka-europe-crm.veevavault.com/ui/#object/sent_email__v/VBLZ025E82HSKZK", "SE-000290391")</f>
        <v>SE-000290391</v>
      </c>
      <c r="D15863" s="1">
        <v>45953.600995370369</v>
      </c>
      <c r="E15863" s="2">
        <v>1</v>
      </c>
      <c r="F15863" s="2">
        <v>2</v>
      </c>
      <c r="G15863" s="2">
        <v>0</v>
      </c>
      <c r="H15863" s="1" t="s">
        <v>0</v>
      </c>
      <c r="I15863" s="2">
        <v>0</v>
      </c>
      <c r="J15863" s="1">
        <v>45953.558159722219</v>
      </c>
    </row>
    <row r="15864" spans="1:10" x14ac:dyDescent="0.2">
      <c r="A15864" s="4" t="s">
        <v>1</v>
      </c>
      <c r="B15864" s="3" t="str">
        <f>HYPERLINK("https://otsuka-europe-crm.veevavault.com/ui/#object/approved_document__v/V5OZ025E82UW8W9", "LUP - Invitación webinar NL y RCV - reuma")</f>
        <v>LUP - Invitación webinar NL y RCV - reuma</v>
      </c>
      <c r="C15864" s="3" t="str">
        <f>HYPERLINK("https://otsuka-europe-crm.veevavault.com/ui/#object/sent_email__v/VBLZ025E82HSKZL", "SE-000290392")</f>
        <v>SE-000290392</v>
      </c>
      <c r="D15864" s="1">
        <v>45953.623796296299</v>
      </c>
      <c r="E15864" s="2">
        <v>1</v>
      </c>
      <c r="F15864" s="2">
        <v>2</v>
      </c>
      <c r="G15864" s="2">
        <v>0</v>
      </c>
      <c r="H15864" s="1" t="s">
        <v>0</v>
      </c>
      <c r="I15864" s="2">
        <v>0</v>
      </c>
      <c r="J15864" s="1">
        <v>45953.558171296296</v>
      </c>
    </row>
    <row r="15865" spans="1:10" x14ac:dyDescent="0.2">
      <c r="A15865" s="4" t="s">
        <v>1</v>
      </c>
      <c r="B15865" s="3" t="str">
        <f>HYPERLINK("https://otsuka-europe-crm.veevavault.com/ui/#object/approved_document__v/V5OZ025E82UW8W9", "LUP - Invitación webinar NL y RCV - reuma")</f>
        <v>LUP - Invitación webinar NL y RCV - reuma</v>
      </c>
      <c r="C15865" s="3" t="str">
        <f>HYPERLINK("https://otsuka-europe-crm.veevavault.com/ui/#object/sent_email__v/VBLZ025E82HSKZM", "SE-000290393")</f>
        <v>SE-000290393</v>
      </c>
      <c r="D15865" s="1" t="s">
        <v>0</v>
      </c>
      <c r="E15865" s="2">
        <v>0</v>
      </c>
      <c r="F15865" s="2">
        <v>0</v>
      </c>
      <c r="G15865" s="2">
        <v>0</v>
      </c>
      <c r="H15865" s="1" t="s">
        <v>0</v>
      </c>
      <c r="I15865" s="2">
        <v>0</v>
      </c>
      <c r="J15865" s="1">
        <v>45953.558182870373</v>
      </c>
    </row>
    <row r="15866" spans="1:10" x14ac:dyDescent="0.2">
      <c r="A15866" s="4" t="s">
        <v>1</v>
      </c>
      <c r="B15866" s="3" t="str">
        <f>HYPERLINK("https://otsuka-europe-crm.veevavault.com/ui/#object/approved_document__v/V5OZ025E82UW8W9", "LUP - Invitación webinar NL y RCV - reuma")</f>
        <v>LUP - Invitación webinar NL y RCV - reuma</v>
      </c>
      <c r="C15866" s="3" t="str">
        <f>HYPERLINK("https://otsuka-europe-crm.veevavault.com/ui/#object/sent_email__v/VBLZ025E82HSKZN", "SE-000290394")</f>
        <v>SE-000290394</v>
      </c>
      <c r="D15866" s="1" t="s">
        <v>0</v>
      </c>
      <c r="E15866" s="2">
        <v>0</v>
      </c>
      <c r="F15866" s="2">
        <v>0</v>
      </c>
      <c r="G15866" s="2">
        <v>0</v>
      </c>
      <c r="H15866" s="1" t="s">
        <v>0</v>
      </c>
      <c r="I15866" s="2">
        <v>0</v>
      </c>
      <c r="J15866" s="1">
        <v>45953.558182870373</v>
      </c>
    </row>
    <row r="15867" spans="1:10" x14ac:dyDescent="0.2">
      <c r="A15867" s="4" t="s">
        <v>1</v>
      </c>
      <c r="B15867" s="3" t="str">
        <f>HYPERLINK("https://otsuka-europe-crm.veevavault.com/ui/#object/approved_document__v/V5OZ025E82UW8W9", "LUP - Invitación webinar NL y RCV - reuma")</f>
        <v>LUP - Invitación webinar NL y RCV - reuma</v>
      </c>
      <c r="C15867" s="3" t="str">
        <f>HYPERLINK("https://otsuka-europe-crm.veevavault.com/ui/#object/sent_email__v/VBLZ025E82HSKZO", "SE-000290395")</f>
        <v>SE-000290395</v>
      </c>
      <c r="D15867" s="1" t="s">
        <v>0</v>
      </c>
      <c r="E15867" s="2">
        <v>0</v>
      </c>
      <c r="F15867" s="2">
        <v>0</v>
      </c>
      <c r="G15867" s="2">
        <v>0</v>
      </c>
      <c r="H15867" s="1" t="s">
        <v>0</v>
      </c>
      <c r="I15867" s="2">
        <v>0</v>
      </c>
      <c r="J15867" s="1">
        <v>45953.558194444442</v>
      </c>
    </row>
    <row r="15868" spans="1:10" x14ac:dyDescent="0.2">
      <c r="A15868" s="4" t="s">
        <v>1</v>
      </c>
      <c r="B15868" s="3" t="str">
        <f>HYPERLINK("https://otsuka-europe-crm.veevavault.com/ui/#object/approved_document__v/V5OZ025E82UW8W9", "LUP - Invitación webinar NL y RCV - reuma")</f>
        <v>LUP - Invitación webinar NL y RCV - reuma</v>
      </c>
      <c r="C15868" s="3" t="str">
        <f>HYPERLINK("https://otsuka-europe-crm.veevavault.com/ui/#object/sent_email__v/VBLZ025E82HSKZP", "SE-000290396")</f>
        <v>SE-000290396</v>
      </c>
      <c r="D15868" s="1">
        <v>45953.996770833335</v>
      </c>
      <c r="E15868" s="2">
        <v>1</v>
      </c>
      <c r="F15868" s="2">
        <v>1</v>
      </c>
      <c r="G15868" s="2">
        <v>0</v>
      </c>
      <c r="H15868" s="1" t="s">
        <v>0</v>
      </c>
      <c r="I15868" s="2">
        <v>0</v>
      </c>
      <c r="J15868" s="1">
        <v>45953.558206018519</v>
      </c>
    </row>
    <row r="15869" spans="1:10" x14ac:dyDescent="0.2">
      <c r="A15869" s="4" t="s">
        <v>1</v>
      </c>
      <c r="B15869" s="3" t="str">
        <f>HYPERLINK("https://otsuka-europe-crm.veevavault.com/ui/#object/approved_document__v/V5OZ025E82UW8W9", "LUP - Invitación webinar NL y RCV - reuma")</f>
        <v>LUP - Invitación webinar NL y RCV - reuma</v>
      </c>
      <c r="C15869" s="3" t="str">
        <f>HYPERLINK("https://otsuka-europe-crm.veevavault.com/ui/#object/sent_email__v/VBLZ025E82HSKZQ", "SE-000290397")</f>
        <v>SE-000290397</v>
      </c>
      <c r="D15869" s="1">
        <v>45953.776030092595</v>
      </c>
      <c r="E15869" s="2">
        <v>1</v>
      </c>
      <c r="F15869" s="2">
        <v>1</v>
      </c>
      <c r="G15869" s="2">
        <v>0</v>
      </c>
      <c r="H15869" s="1" t="s">
        <v>0</v>
      </c>
      <c r="I15869" s="2">
        <v>0</v>
      </c>
      <c r="J15869" s="1">
        <v>45953.558217592596</v>
      </c>
    </row>
    <row r="15870" spans="1:10" x14ac:dyDescent="0.2">
      <c r="A15870" s="4" t="s">
        <v>1</v>
      </c>
      <c r="B15870" s="3" t="str">
        <f>HYPERLINK("https://otsuka-europe-crm.veevavault.com/ui/#object/approved_document__v/V5OZ025E82UW8W9", "LUP - Invitación webinar NL y RCV - reuma")</f>
        <v>LUP - Invitación webinar NL y RCV - reuma</v>
      </c>
      <c r="C15870" s="3" t="str">
        <f>HYPERLINK("https://otsuka-europe-crm.veevavault.com/ui/#object/sent_email__v/VBLZ025E82HSKZR", "SE-000290398")</f>
        <v>SE-000290398</v>
      </c>
      <c r="D15870" s="1">
        <v>45953.673518518517</v>
      </c>
      <c r="E15870" s="2">
        <v>1</v>
      </c>
      <c r="F15870" s="2">
        <v>4</v>
      </c>
      <c r="G15870" s="2">
        <v>0</v>
      </c>
      <c r="H15870" s="1" t="s">
        <v>0</v>
      </c>
      <c r="I15870" s="2">
        <v>0</v>
      </c>
      <c r="J15870" s="1">
        <v>45953.558229166665</v>
      </c>
    </row>
    <row r="15871" spans="1:10" x14ac:dyDescent="0.2">
      <c r="A15871" s="4" t="s">
        <v>1</v>
      </c>
      <c r="B15871" s="3" t="str">
        <f>HYPERLINK("https://otsuka-europe-crm.veevavault.com/ui/#object/approved_document__v/V5OZ025E82UW8W9", "LUP - Invitación webinar NL y RCV - reuma")</f>
        <v>LUP - Invitación webinar NL y RCV - reuma</v>
      </c>
      <c r="C15871" s="3" t="str">
        <f>HYPERLINK("https://otsuka-europe-crm.veevavault.com/ui/#object/sent_email__v/VBLZ025E82HSKZS", "SE-000290399")</f>
        <v>SE-000290399</v>
      </c>
      <c r="D15871" s="1">
        <v>45953.572928240741</v>
      </c>
      <c r="E15871" s="2">
        <v>1</v>
      </c>
      <c r="F15871" s="2">
        <v>1</v>
      </c>
      <c r="G15871" s="2">
        <v>0</v>
      </c>
      <c r="H15871" s="1" t="s">
        <v>0</v>
      </c>
      <c r="I15871" s="2">
        <v>0</v>
      </c>
      <c r="J15871" s="1">
        <v>45953.558229166665</v>
      </c>
    </row>
    <row r="15872" spans="1:10" x14ac:dyDescent="0.2">
      <c r="A15872" s="4" t="s">
        <v>1</v>
      </c>
      <c r="B15872" s="3" t="str">
        <f>HYPERLINK("https://otsuka-europe-crm.veevavault.com/ui/#object/approved_document__v/V5OZ025E82UW8W9", "LUP - Invitación webinar NL y RCV - reuma")</f>
        <v>LUP - Invitación webinar NL y RCV - reuma</v>
      </c>
      <c r="C15872" s="3" t="str">
        <f>HYPERLINK("https://otsuka-europe-crm.veevavault.com/ui/#object/sent_email__v/VBLZ025E82HSKZT", "SE-000290400")</f>
        <v>SE-000290400</v>
      </c>
      <c r="D15872" s="1">
        <v>46025.926099537035</v>
      </c>
      <c r="E15872" s="2">
        <v>1</v>
      </c>
      <c r="F15872" s="2">
        <v>1</v>
      </c>
      <c r="G15872" s="2">
        <v>0</v>
      </c>
      <c r="H15872" s="1" t="s">
        <v>0</v>
      </c>
      <c r="I15872" s="2">
        <v>0</v>
      </c>
      <c r="J15872" s="1">
        <v>45953.558252314811</v>
      </c>
    </row>
    <row r="15873" spans="1:10" x14ac:dyDescent="0.2">
      <c r="A15873" s="4" t="s">
        <v>1</v>
      </c>
      <c r="B15873" s="3" t="str">
        <f>HYPERLINK("https://otsuka-europe-crm.veevavault.com/ui/#object/approved_document__v/V5OZ025E82UW8W9", "LUP - Invitación webinar NL y RCV - reuma")</f>
        <v>LUP - Invitación webinar NL y RCV - reuma</v>
      </c>
      <c r="C15873" s="3" t="str">
        <f>HYPERLINK("https://otsuka-europe-crm.veevavault.com/ui/#object/sent_email__v/VBLZ025E82HSL6T", "SE-000290484")</f>
        <v>SE-000290484</v>
      </c>
      <c r="D15873" s="1">
        <v>45963.776724537034</v>
      </c>
      <c r="E15873" s="2">
        <v>1</v>
      </c>
      <c r="F15873" s="2">
        <v>2</v>
      </c>
      <c r="G15873" s="2">
        <v>0</v>
      </c>
      <c r="H15873" s="1" t="s">
        <v>0</v>
      </c>
      <c r="I15873" s="2">
        <v>0</v>
      </c>
      <c r="J15873" s="1">
        <v>45953.559189814812</v>
      </c>
    </row>
    <row r="15874" spans="1:10" x14ac:dyDescent="0.2">
      <c r="A15874" s="4" t="s">
        <v>1</v>
      </c>
      <c r="B15874" s="3" t="str">
        <f>HYPERLINK("https://otsuka-europe-crm.veevavault.com/ui/#object/approved_document__v/V5OZ025E82UW8W9", "LUP - Invitación webinar NL y RCV - reuma")</f>
        <v>LUP - Invitación webinar NL y RCV - reuma</v>
      </c>
      <c r="C15874" s="3" t="str">
        <f>HYPERLINK("https://otsuka-europe-crm.veevavault.com/ui/#object/sent_email__v/VBLZ025E82HSL6U", "SE-000290485")</f>
        <v>SE-000290485</v>
      </c>
      <c r="D15874" s="1">
        <v>45953.735914351855</v>
      </c>
      <c r="E15874" s="2">
        <v>1</v>
      </c>
      <c r="F15874" s="2">
        <v>1</v>
      </c>
      <c r="G15874" s="2">
        <v>0</v>
      </c>
      <c r="H15874" s="1" t="s">
        <v>0</v>
      </c>
      <c r="I15874" s="2">
        <v>0</v>
      </c>
      <c r="J15874" s="1">
        <v>45953.559212962966</v>
      </c>
    </row>
    <row r="15875" spans="1:10" x14ac:dyDescent="0.2">
      <c r="A15875" s="4" t="s">
        <v>1</v>
      </c>
      <c r="B15875" s="3" t="str">
        <f>HYPERLINK("https://otsuka-europe-crm.veevavault.com/ui/#object/approved_document__v/V5OZ025E82UW8W9", "LUP - Invitación webinar NL y RCV - reuma")</f>
        <v>LUP - Invitación webinar NL y RCV - reuma</v>
      </c>
      <c r="C15875" s="3" t="str">
        <f>HYPERLINK("https://otsuka-europe-crm.veevavault.com/ui/#object/sent_email__v/VBLZ025E82HSL6V", "SE-000290486")</f>
        <v>SE-000290486</v>
      </c>
      <c r="D15875" s="1">
        <v>45983.012650462966</v>
      </c>
      <c r="E15875" s="2">
        <v>1</v>
      </c>
      <c r="F15875" s="2">
        <v>1</v>
      </c>
      <c r="G15875" s="2">
        <v>0</v>
      </c>
      <c r="H15875" s="1" t="s">
        <v>0</v>
      </c>
      <c r="I15875" s="2">
        <v>0</v>
      </c>
      <c r="J15875" s="1">
        <v>45953.559212962966</v>
      </c>
    </row>
    <row r="15876" spans="1:10" x14ac:dyDescent="0.2">
      <c r="A15876" s="4" t="s">
        <v>1</v>
      </c>
      <c r="B15876" s="3" t="str">
        <f>HYPERLINK("https://otsuka-europe-crm.veevavault.com/ui/#object/approved_document__v/V5OZ025E82UW8W9", "LUP - Invitación webinar NL y RCV - reuma")</f>
        <v>LUP - Invitación webinar NL y RCV - reuma</v>
      </c>
      <c r="C15876" s="3" t="str">
        <f>HYPERLINK("https://otsuka-europe-crm.veevavault.com/ui/#object/sent_email__v/VBLZ025E82HSL6W", "SE-000290487")</f>
        <v>SE-000290487</v>
      </c>
      <c r="D15876" s="1" t="s">
        <v>0</v>
      </c>
      <c r="E15876" s="2">
        <v>0</v>
      </c>
      <c r="F15876" s="2">
        <v>0</v>
      </c>
      <c r="G15876" s="2">
        <v>0</v>
      </c>
      <c r="H15876" s="1" t="s">
        <v>0</v>
      </c>
      <c r="I15876" s="2">
        <v>0</v>
      </c>
      <c r="J15876" s="1">
        <v>45953.559224537035</v>
      </c>
    </row>
    <row r="15877" spans="1:10" x14ac:dyDescent="0.2">
      <c r="A15877" s="4" t="s">
        <v>1</v>
      </c>
      <c r="B15877" s="3" t="str">
        <f>HYPERLINK("https://otsuka-europe-crm.veevavault.com/ui/#object/approved_document__v/V5OZ025E82UW8W9", "LUP - Invitación webinar NL y RCV - reuma")</f>
        <v>LUP - Invitación webinar NL y RCV - reuma</v>
      </c>
      <c r="C15877" s="3" t="str">
        <f>HYPERLINK("https://otsuka-europe-crm.veevavault.com/ui/#object/sent_email__v/VBLZ025E82HSL6X", "SE-000290488")</f>
        <v>SE-000290488</v>
      </c>
      <c r="D15877" s="1" t="s">
        <v>0</v>
      </c>
      <c r="E15877" s="2">
        <v>0</v>
      </c>
      <c r="F15877" s="2">
        <v>0</v>
      </c>
      <c r="G15877" s="2">
        <v>0</v>
      </c>
      <c r="H15877" s="1" t="s">
        <v>0</v>
      </c>
      <c r="I15877" s="2">
        <v>0</v>
      </c>
      <c r="J15877" s="1">
        <v>45953.559224537035</v>
      </c>
    </row>
    <row r="15878" spans="1:10" x14ac:dyDescent="0.2">
      <c r="A15878" s="4" t="s">
        <v>1</v>
      </c>
      <c r="B15878" s="3" t="str">
        <f>HYPERLINK("https://otsuka-europe-crm.veevavault.com/ui/#object/approved_document__v/V5OZ025E82UW8W9", "LUP - Invitación webinar NL y RCV - reuma")</f>
        <v>LUP - Invitación webinar NL y RCV - reuma</v>
      </c>
      <c r="C15878" s="3" t="str">
        <f>HYPERLINK("https://otsuka-europe-crm.veevavault.com/ui/#object/sent_email__v/VBLZ025E82HSL6Y", "SE-000290489")</f>
        <v>SE-000290489</v>
      </c>
      <c r="D15878" s="1" t="s">
        <v>0</v>
      </c>
      <c r="E15878" s="2">
        <v>0</v>
      </c>
      <c r="F15878" s="2">
        <v>0</v>
      </c>
      <c r="G15878" s="2">
        <v>0</v>
      </c>
      <c r="H15878" s="1" t="s">
        <v>0</v>
      </c>
      <c r="I15878" s="2">
        <v>0</v>
      </c>
      <c r="J15878" s="1">
        <v>45953.559236111112</v>
      </c>
    </row>
    <row r="15879" spans="1:10" x14ac:dyDescent="0.2">
      <c r="A15879" s="4" t="s">
        <v>1</v>
      </c>
      <c r="B15879" s="3" t="str">
        <f>HYPERLINK("https://otsuka-europe-crm.veevavault.com/ui/#object/approved_document__v/V5OZ025E82UW8W9", "LUP - Invitación webinar NL y RCV - reuma")</f>
        <v>LUP - Invitación webinar NL y RCV - reuma</v>
      </c>
      <c r="C15879" s="3" t="str">
        <f>HYPERLINK("https://otsuka-europe-crm.veevavault.com/ui/#object/sent_email__v/VBLZ025E82HSL6Z", "SE-000290490")</f>
        <v>SE-000290490</v>
      </c>
      <c r="D15879" s="1">
        <v>45953.628969907404</v>
      </c>
      <c r="E15879" s="2">
        <v>1</v>
      </c>
      <c r="F15879" s="2">
        <v>2</v>
      </c>
      <c r="G15879" s="2">
        <v>0</v>
      </c>
      <c r="H15879" s="1" t="s">
        <v>0</v>
      </c>
      <c r="I15879" s="2">
        <v>0</v>
      </c>
      <c r="J15879" s="1">
        <v>45953.559247685182</v>
      </c>
    </row>
    <row r="15880" spans="1:10" x14ac:dyDescent="0.2">
      <c r="A15880" s="4" t="s">
        <v>1</v>
      </c>
      <c r="B15880" s="3" t="str">
        <f>HYPERLINK("https://otsuka-europe-crm.veevavault.com/ui/#object/approved_document__v/V5OZ025E82UW8W9", "LUP - Invitación webinar NL y RCV - reuma")</f>
        <v>LUP - Invitación webinar NL y RCV - reuma</v>
      </c>
      <c r="C15880" s="3" t="str">
        <f>HYPERLINK("https://otsuka-europe-crm.veevavault.com/ui/#object/sent_email__v/VBLZ025E82HSL70", "SE-000290491")</f>
        <v>SE-000290491</v>
      </c>
      <c r="D15880" s="1">
        <v>45953.621817129628</v>
      </c>
      <c r="E15880" s="2">
        <v>1</v>
      </c>
      <c r="F15880" s="2">
        <v>1</v>
      </c>
      <c r="G15880" s="2">
        <v>0</v>
      </c>
      <c r="H15880" s="1" t="s">
        <v>0</v>
      </c>
      <c r="I15880" s="2">
        <v>0</v>
      </c>
      <c r="J15880" s="1">
        <v>45953.559270833335</v>
      </c>
    </row>
    <row r="15881" spans="1:10" x14ac:dyDescent="0.2">
      <c r="A15881" s="4" t="s">
        <v>1</v>
      </c>
      <c r="B15881" s="3" t="str">
        <f>HYPERLINK("https://otsuka-europe-crm.veevavault.com/ui/#object/approved_document__v/V5OZ025E82UW8W9", "LUP - Invitación webinar NL y RCV - reuma")</f>
        <v>LUP - Invitación webinar NL y RCV - reuma</v>
      </c>
      <c r="C15881" s="3" t="str">
        <f>HYPERLINK("https://otsuka-europe-crm.veevavault.com/ui/#object/sent_email__v/VBLZ025E82HSL9L", "SE-000290492")</f>
        <v>SE-000290492</v>
      </c>
      <c r="D15881" s="1">
        <v>45953.630185185182</v>
      </c>
      <c r="E15881" s="2">
        <v>1</v>
      </c>
      <c r="F15881" s="2">
        <v>1</v>
      </c>
      <c r="G15881" s="2">
        <v>0</v>
      </c>
      <c r="H15881" s="1" t="s">
        <v>0</v>
      </c>
      <c r="I15881" s="2">
        <v>0</v>
      </c>
      <c r="J15881" s="1">
        <v>45953.559583333335</v>
      </c>
    </row>
    <row r="15882" spans="1:10" x14ac:dyDescent="0.2">
      <c r="A15882" s="4" t="s">
        <v>1</v>
      </c>
      <c r="B15882" s="3" t="str">
        <f>HYPERLINK("https://otsuka-europe-crm.veevavault.com/ui/#object/approved_document__v/V5OZ025E82UW8W9", "LUP - Invitación webinar NL y RCV - reuma")</f>
        <v>LUP - Invitación webinar NL y RCV - reuma</v>
      </c>
      <c r="C15882" s="3" t="str">
        <f>HYPERLINK("https://otsuka-europe-crm.veevavault.com/ui/#object/sent_email__v/VBLZ025E82HSL9M", "SE-000290493")</f>
        <v>SE-000290493</v>
      </c>
      <c r="D15882" s="1">
        <v>45977.268194444441</v>
      </c>
      <c r="E15882" s="2">
        <v>1</v>
      </c>
      <c r="F15882" s="2">
        <v>1</v>
      </c>
      <c r="G15882" s="2">
        <v>0</v>
      </c>
      <c r="H15882" s="1" t="s">
        <v>0</v>
      </c>
      <c r="I15882" s="2">
        <v>0</v>
      </c>
      <c r="J15882" s="1">
        <v>45953.559583333335</v>
      </c>
    </row>
    <row r="15883" spans="1:10" x14ac:dyDescent="0.2">
      <c r="A15883" s="4" t="s">
        <v>1</v>
      </c>
      <c r="B15883" s="3" t="str">
        <f>HYPERLINK("https://otsuka-europe-crm.veevavault.com/ui/#object/approved_document__v/V5OZ025E82UW8W9", "LUP - Invitación webinar NL y RCV - reuma")</f>
        <v>LUP - Invitación webinar NL y RCV - reuma</v>
      </c>
      <c r="C15883" s="3" t="str">
        <f>HYPERLINK("https://otsuka-europe-crm.veevavault.com/ui/#object/sent_email__v/VBLZ025E82HSL9N", "SE-000290494")</f>
        <v>SE-000290494</v>
      </c>
      <c r="D15883" s="1" t="s">
        <v>0</v>
      </c>
      <c r="E15883" s="2">
        <v>0</v>
      </c>
      <c r="F15883" s="2">
        <v>0</v>
      </c>
      <c r="G15883" s="2">
        <v>0</v>
      </c>
      <c r="H15883" s="1" t="s">
        <v>0</v>
      </c>
      <c r="I15883" s="2">
        <v>0</v>
      </c>
      <c r="J15883" s="1">
        <v>45953.559594907405</v>
      </c>
    </row>
    <row r="15884" spans="1:10" x14ac:dyDescent="0.2">
      <c r="A15884" s="4" t="s">
        <v>1</v>
      </c>
      <c r="B15884" s="3" t="str">
        <f>HYPERLINK("https://otsuka-europe-crm.veevavault.com/ui/#object/approved_document__v/V5OZ025E82UW8W9", "LUP - Invitación webinar NL y RCV - reuma")</f>
        <v>LUP - Invitación webinar NL y RCV - reuma</v>
      </c>
      <c r="C15884" s="3" t="str">
        <f>HYPERLINK("https://otsuka-europe-crm.veevavault.com/ui/#object/sent_email__v/VBLZ025E82HSL9O", "SE-000290495")</f>
        <v>SE-000290495</v>
      </c>
      <c r="D15884" s="1" t="s">
        <v>0</v>
      </c>
      <c r="E15884" s="2">
        <v>0</v>
      </c>
      <c r="F15884" s="2">
        <v>0</v>
      </c>
      <c r="G15884" s="2">
        <v>0</v>
      </c>
      <c r="H15884" s="1" t="s">
        <v>0</v>
      </c>
      <c r="I15884" s="2">
        <v>0</v>
      </c>
      <c r="J15884" s="1">
        <v>45953.559606481482</v>
      </c>
    </row>
    <row r="15885" spans="1:10" x14ac:dyDescent="0.2">
      <c r="A15885" s="4" t="s">
        <v>1</v>
      </c>
      <c r="B15885" s="3" t="str">
        <f>HYPERLINK("https://otsuka-europe-crm.veevavault.com/ui/#object/approved_document__v/V5OZ025E82UW8W9", "LUP - Invitación webinar NL y RCV - reuma")</f>
        <v>LUP - Invitación webinar NL y RCV - reuma</v>
      </c>
      <c r="C15885" s="3" t="str">
        <f>HYPERLINK("https://otsuka-europe-crm.veevavault.com/ui/#object/sent_email__v/VBLZ025E82HSL9P", "SE-000290496")</f>
        <v>SE-000290496</v>
      </c>
      <c r="D15885" s="1">
        <v>45954.002152777779</v>
      </c>
      <c r="E15885" s="2">
        <v>1</v>
      </c>
      <c r="F15885" s="2">
        <v>3</v>
      </c>
      <c r="G15885" s="2">
        <v>0</v>
      </c>
      <c r="H15885" s="1" t="s">
        <v>0</v>
      </c>
      <c r="I15885" s="2">
        <v>0</v>
      </c>
      <c r="J15885" s="1">
        <v>45953.559618055559</v>
      </c>
    </row>
    <row r="15886" spans="1:10" x14ac:dyDescent="0.2">
      <c r="A15886" s="4" t="s">
        <v>1</v>
      </c>
      <c r="B15886" s="3" t="str">
        <f>HYPERLINK("https://otsuka-europe-crm.veevavault.com/ui/#object/approved_document__v/V5OZ025E82U16X1", "LUP - Poster Deep Response - nefro")</f>
        <v>LUP - Poster Deep Response - nefro</v>
      </c>
      <c r="C15886" s="3" t="str">
        <f>HYPERLINK("https://otsuka-europe-crm.veevavault.com/ui/#object/sent_email__v/VBLZ025E82GZXV1", "SE-000280795")</f>
        <v>SE-000280795</v>
      </c>
      <c r="D15886" s="1">
        <v>45930.942002314812</v>
      </c>
      <c r="E15886" s="2">
        <v>1</v>
      </c>
      <c r="F15886" s="2">
        <v>3</v>
      </c>
      <c r="G15886" s="2">
        <v>1</v>
      </c>
      <c r="H15886" s="1">
        <v>45925.469189814816</v>
      </c>
      <c r="I15886" s="2">
        <v>4</v>
      </c>
      <c r="J15886" s="1">
        <v>45925.466122685182</v>
      </c>
    </row>
    <row r="15887" spans="1:10" x14ac:dyDescent="0.2">
      <c r="A15887" s="4" t="s">
        <v>1</v>
      </c>
      <c r="B15887" s="3" t="str">
        <f>HYPERLINK("https://otsuka-europe-crm.veevavault.com/ui/#object/approved_document__v/V5OZ025E82U16X1", "LUP - Poster Deep Response - nefro")</f>
        <v>LUP - Poster Deep Response - nefro</v>
      </c>
      <c r="C15887" s="3" t="str">
        <f>HYPERLINK("https://otsuka-europe-crm.veevavault.com/ui/#object/sent_email__v/VBLZ025E82H0S15", "SE-000280938")</f>
        <v>SE-000280938</v>
      </c>
      <c r="D15887" s="1">
        <v>45926.21670138889</v>
      </c>
      <c r="E15887" s="2">
        <v>1</v>
      </c>
      <c r="F15887" s="2">
        <v>1</v>
      </c>
      <c r="G15887" s="2">
        <v>0</v>
      </c>
      <c r="H15887" s="1" t="s">
        <v>0</v>
      </c>
      <c r="I15887" s="2">
        <v>0</v>
      </c>
      <c r="J15887" s="1">
        <v>45925.685254629629</v>
      </c>
    </row>
    <row r="15888" spans="1:10" x14ac:dyDescent="0.2">
      <c r="A15888" s="4" t="s">
        <v>1</v>
      </c>
      <c r="B15888" s="3" t="str">
        <f>HYPERLINK("https://otsuka-europe-crm.veevavault.com/ui/#object/approved_document__v/V5OZ025E82U16X1", "LUP - Poster Deep Response - nefro")</f>
        <v>LUP - Poster Deep Response - nefro</v>
      </c>
      <c r="C15888" s="3" t="str">
        <f>HYPERLINK("https://otsuka-europe-crm.veevavault.com/ui/#object/sent_email__v/VBLZ025E82H80AL", "SE-000282955")</f>
        <v>SE-000282955</v>
      </c>
      <c r="D15888" s="1">
        <v>45990.54886574074</v>
      </c>
      <c r="E15888" s="2">
        <v>1</v>
      </c>
      <c r="F15888" s="2">
        <v>9</v>
      </c>
      <c r="G15888" s="2">
        <v>0</v>
      </c>
      <c r="H15888" s="1" t="s">
        <v>0</v>
      </c>
      <c r="I15888" s="2">
        <v>0</v>
      </c>
      <c r="J15888" s="1">
        <v>45932.518807870372</v>
      </c>
    </row>
    <row r="15889" spans="1:10" x14ac:dyDescent="0.2">
      <c r="A15889" s="4" t="s">
        <v>1</v>
      </c>
      <c r="B15889" s="3" t="str">
        <f>HYPERLINK("https://otsuka-europe-crm.veevavault.com/ui/#object/approved_document__v/V5OZ025E82U16X1", "LUP - Poster Deep Response - nefro")</f>
        <v>LUP - Poster Deep Response - nefro</v>
      </c>
      <c r="C15889" s="3" t="str">
        <f>HYPERLINK("https://otsuka-europe-crm.veevavault.com/ui/#object/sent_email__v/VBLZ025E82H81DH", "SE-000282972")</f>
        <v>SE-000282972</v>
      </c>
      <c r="D15889" s="1" t="s">
        <v>0</v>
      </c>
      <c r="E15889" s="2">
        <v>0</v>
      </c>
      <c r="F15889" s="2">
        <v>0</v>
      </c>
      <c r="G15889" s="2">
        <v>0</v>
      </c>
      <c r="H15889" s="1" t="s">
        <v>0</v>
      </c>
      <c r="I15889" s="2">
        <v>0</v>
      </c>
      <c r="J15889" s="1">
        <v>45932.526435185187</v>
      </c>
    </row>
    <row r="15890" spans="1:10" x14ac:dyDescent="0.2">
      <c r="A15890" s="4" t="s">
        <v>1</v>
      </c>
      <c r="B15890" s="3" t="str">
        <f>HYPERLINK("https://otsuka-europe-crm.veevavault.com/ui/#object/approved_document__v/V5OZ025E82U16X1", "LUP - Poster Deep Response - nefro")</f>
        <v>LUP - Poster Deep Response - nefro</v>
      </c>
      <c r="C15890" s="3" t="str">
        <f>HYPERLINK("https://otsuka-europe-crm.veevavault.com/ui/#object/sent_email__v/VBLZ025E82H8259", "SE-000282979")</f>
        <v>SE-000282979</v>
      </c>
      <c r="D15890" s="1">
        <v>45932.888067129628</v>
      </c>
      <c r="E15890" s="2">
        <v>1</v>
      </c>
      <c r="F15890" s="2">
        <v>1</v>
      </c>
      <c r="G15890" s="2">
        <v>0</v>
      </c>
      <c r="H15890" s="1" t="s">
        <v>0</v>
      </c>
      <c r="I15890" s="2">
        <v>0</v>
      </c>
      <c r="J15890" s="1">
        <v>45932.52920138889</v>
      </c>
    </row>
    <row r="15891" spans="1:10" x14ac:dyDescent="0.2">
      <c r="A15891" s="4" t="s">
        <v>1</v>
      </c>
      <c r="B15891" s="3" t="str">
        <f>HYPERLINK("https://otsuka-europe-crm.veevavault.com/ui/#object/approved_document__v/V5OZ025E82U16X1", "LUP - Poster Deep Response - nefro")</f>
        <v>LUP - Poster Deep Response - nefro</v>
      </c>
      <c r="C15891" s="3" t="str">
        <f>HYPERLINK("https://otsuka-europe-crm.veevavault.com/ui/#object/sent_email__v/VBLZ025E82H82X1", "SE-000282984")</f>
        <v>SE-000282984</v>
      </c>
      <c r="D15891" s="1">
        <v>45963.685266203705</v>
      </c>
      <c r="E15891" s="2">
        <v>1</v>
      </c>
      <c r="F15891" s="2">
        <v>2</v>
      </c>
      <c r="G15891" s="2">
        <v>1</v>
      </c>
      <c r="H15891" s="1">
        <v>45935.798564814817</v>
      </c>
      <c r="I15891" s="2">
        <v>1</v>
      </c>
      <c r="J15891" s="1">
        <v>45932.533993055556</v>
      </c>
    </row>
    <row r="15892" spans="1:10" x14ac:dyDescent="0.2">
      <c r="A15892" s="4" t="s">
        <v>1</v>
      </c>
      <c r="B15892" s="3" t="str">
        <f>HYPERLINK("https://otsuka-europe-crm.veevavault.com/ui/#object/approved_document__v/V5OZ025E82U16X1", "LUP - Poster Deep Response - nefro")</f>
        <v>LUP - Poster Deep Response - nefro</v>
      </c>
      <c r="C15892" s="3" t="str">
        <f>HYPERLINK("https://otsuka-europe-crm.veevavault.com/ui/#object/sent_email__v/VBLZ025E82H82ZT", "SE-000282985")</f>
        <v>SE-000282985</v>
      </c>
      <c r="D15892" s="1">
        <v>45935.702025462961</v>
      </c>
      <c r="E15892" s="2">
        <v>1</v>
      </c>
      <c r="F15892" s="2">
        <v>2</v>
      </c>
      <c r="G15892" s="2">
        <v>0</v>
      </c>
      <c r="H15892" s="1" t="s">
        <v>0</v>
      </c>
      <c r="I15892" s="2">
        <v>0</v>
      </c>
      <c r="J15892" s="1">
        <v>45932.534768518519</v>
      </c>
    </row>
    <row r="15893" spans="1:10" x14ac:dyDescent="0.2">
      <c r="A15893" s="4" t="s">
        <v>1</v>
      </c>
      <c r="B15893" s="3" t="str">
        <f>HYPERLINK("https://otsuka-europe-crm.veevavault.com/ui/#object/approved_document__v/V5OZ025E82U16X1", "LUP - Poster Deep Response - nefro")</f>
        <v>LUP - Poster Deep Response - nefro</v>
      </c>
      <c r="C15893" s="3" t="str">
        <f>HYPERLINK("https://otsuka-europe-crm.veevavault.com/ui/#object/sent_email__v/VBLZ025E82H835D", "SE-000282987")</f>
        <v>SE-000282987</v>
      </c>
      <c r="D15893" s="1">
        <v>45932.54409722222</v>
      </c>
      <c r="E15893" s="2">
        <v>1</v>
      </c>
      <c r="F15893" s="2">
        <v>1</v>
      </c>
      <c r="G15893" s="2">
        <v>0</v>
      </c>
      <c r="H15893" s="1" t="s">
        <v>0</v>
      </c>
      <c r="I15893" s="2">
        <v>0</v>
      </c>
      <c r="J15893" s="1">
        <v>45932.53528935185</v>
      </c>
    </row>
    <row r="15894" spans="1:10" x14ac:dyDescent="0.2">
      <c r="A15894" s="4" t="s">
        <v>1</v>
      </c>
      <c r="B15894" s="3" t="str">
        <f>HYPERLINK("https://otsuka-europe-crm.veevavault.com/ui/#object/approved_document__v/V5OZ025E82U16X1", "LUP - Poster Deep Response - nefro")</f>
        <v>LUP - Poster Deep Response - nefro</v>
      </c>
      <c r="C15894" s="3" t="str">
        <f>HYPERLINK("https://otsuka-europe-crm.veevavault.com/ui/#object/sent_email__v/VBLZ025E82H83AX", "SE-000282989")</f>
        <v>SE-000282989</v>
      </c>
      <c r="D15894" s="1">
        <v>45932.610347222224</v>
      </c>
      <c r="E15894" s="2">
        <v>1</v>
      </c>
      <c r="F15894" s="2">
        <v>2</v>
      </c>
      <c r="G15894" s="2">
        <v>0</v>
      </c>
      <c r="H15894" s="1" t="s">
        <v>0</v>
      </c>
      <c r="I15894" s="2">
        <v>0</v>
      </c>
      <c r="J15894" s="1">
        <v>45932.535949074074</v>
      </c>
    </row>
    <row r="15895" spans="1:10" x14ac:dyDescent="0.2">
      <c r="A15895" s="4" t="s">
        <v>1</v>
      </c>
      <c r="B15895" s="3" t="str">
        <f>HYPERLINK("https://otsuka-europe-crm.veevavault.com/ui/#object/approved_document__v/V5OZ025E82U16X1", "LUP - Poster Deep Response - nefro")</f>
        <v>LUP - Poster Deep Response - nefro</v>
      </c>
      <c r="C15895" s="3" t="str">
        <f>HYPERLINK("https://otsuka-europe-crm.veevavault.com/ui/#object/sent_email__v/VBL000000004042", "SE-001379946")</f>
        <v>SE-001379946</v>
      </c>
      <c r="D15895" s="1" t="s">
        <v>0</v>
      </c>
      <c r="E15895" s="2">
        <v>0</v>
      </c>
      <c r="F15895" s="2">
        <v>0</v>
      </c>
      <c r="G15895" s="2">
        <v>0</v>
      </c>
      <c r="H15895" s="1" t="s">
        <v>0</v>
      </c>
      <c r="I15895" s="2">
        <v>0</v>
      </c>
      <c r="J15895" s="1">
        <v>45961.403981481482</v>
      </c>
    </row>
    <row r="15896" spans="1:10" x14ac:dyDescent="0.2">
      <c r="A15896" s="4" t="s">
        <v>1</v>
      </c>
      <c r="B15896" s="3" t="str">
        <f>HYPERLINK("https://otsuka-europe-crm.veevavault.com/ui/#object/approved_document__v/V5OZ025E82U16X1", "LUP - Poster Deep Response - nefro")</f>
        <v>LUP - Poster Deep Response - nefro</v>
      </c>
      <c r="C15896" s="3" t="str">
        <f>HYPERLINK("https://otsuka-europe-crm.veevavault.com/ui/#object/sent_email__v/VBL000000004043", "SE-001379947")</f>
        <v>SE-001379947</v>
      </c>
      <c r="D15896" s="1" t="s">
        <v>0</v>
      </c>
      <c r="E15896" s="2">
        <v>0</v>
      </c>
      <c r="F15896" s="2">
        <v>0</v>
      </c>
      <c r="G15896" s="2">
        <v>0</v>
      </c>
      <c r="H15896" s="1" t="s">
        <v>0</v>
      </c>
      <c r="I15896" s="2">
        <v>0</v>
      </c>
      <c r="J15896" s="1">
        <v>45961.403981481482</v>
      </c>
    </row>
    <row r="15897" spans="1:10" x14ac:dyDescent="0.2">
      <c r="A15897" s="4" t="s">
        <v>1</v>
      </c>
      <c r="B15897" s="3" t="str">
        <f>HYPERLINK("https://otsuka-europe-crm.veevavault.com/ui/#object/approved_document__v/V5OZ025E82U16X1", "LUP - Poster Deep Response - nefro")</f>
        <v>LUP - Poster Deep Response - nefro</v>
      </c>
      <c r="C15897" s="3" t="str">
        <f>HYPERLINK("https://otsuka-europe-crm.veevavault.com/ui/#object/sent_email__v/VBL000000004044", "SE-001379948")</f>
        <v>SE-001379948</v>
      </c>
      <c r="D15897" s="1" t="s">
        <v>0</v>
      </c>
      <c r="E15897" s="2">
        <v>0</v>
      </c>
      <c r="F15897" s="2">
        <v>0</v>
      </c>
      <c r="G15897" s="2">
        <v>0</v>
      </c>
      <c r="H15897" s="1" t="s">
        <v>0</v>
      </c>
      <c r="I15897" s="2">
        <v>0</v>
      </c>
      <c r="J15897" s="1">
        <v>45961.403981481482</v>
      </c>
    </row>
    <row r="15898" spans="1:10" x14ac:dyDescent="0.2">
      <c r="A15898" s="4" t="s">
        <v>1</v>
      </c>
      <c r="B15898" s="3" t="str">
        <f>HYPERLINK("https://otsuka-europe-crm.veevavault.com/ui/#object/approved_document__v/V5OZ025E82U16X1", "LUP - Poster Deep Response - nefro")</f>
        <v>LUP - Poster Deep Response - nefro</v>
      </c>
      <c r="C15898" s="3" t="str">
        <f>HYPERLINK("https://otsuka-europe-crm.veevavault.com/ui/#object/sent_email__v/VBL000000004045", "SE-001379949")</f>
        <v>SE-001379949</v>
      </c>
      <c r="D15898" s="1" t="s">
        <v>0</v>
      </c>
      <c r="E15898" s="2">
        <v>0</v>
      </c>
      <c r="F15898" s="2">
        <v>0</v>
      </c>
      <c r="G15898" s="2">
        <v>0</v>
      </c>
      <c r="H15898" s="1" t="s">
        <v>0</v>
      </c>
      <c r="I15898" s="2">
        <v>0</v>
      </c>
      <c r="J15898" s="1">
        <v>45961.403981481482</v>
      </c>
    </row>
    <row r="15899" spans="1:10" x14ac:dyDescent="0.2">
      <c r="A15899" s="4" t="s">
        <v>1</v>
      </c>
      <c r="B15899" s="3" t="str">
        <f>HYPERLINK("https://otsuka-europe-crm.veevavault.com/ui/#object/approved_document__v/V5OZ025E82U16X1", "LUP - Poster Deep Response - nefro")</f>
        <v>LUP - Poster Deep Response - nefro</v>
      </c>
      <c r="C15899" s="3" t="str">
        <f>HYPERLINK("https://otsuka-europe-crm.veevavault.com/ui/#object/sent_email__v/VBL000000004046", "SE-001379950")</f>
        <v>SE-001379950</v>
      </c>
      <c r="D15899" s="1" t="s">
        <v>0</v>
      </c>
      <c r="E15899" s="2">
        <v>0</v>
      </c>
      <c r="F15899" s="2">
        <v>0</v>
      </c>
      <c r="G15899" s="2">
        <v>0</v>
      </c>
      <c r="H15899" s="1" t="s">
        <v>0</v>
      </c>
      <c r="I15899" s="2">
        <v>0</v>
      </c>
      <c r="J15899" s="1">
        <v>45961.403981481482</v>
      </c>
    </row>
    <row r="15900" spans="1:10" x14ac:dyDescent="0.2">
      <c r="A15900" s="4" t="s">
        <v>1</v>
      </c>
      <c r="B15900" s="3" t="str">
        <f>HYPERLINK("https://otsuka-europe-crm.veevavault.com/ui/#object/approved_document__v/V5OZ025E82U16X1", "LUP - Poster Deep Response - nefro")</f>
        <v>LUP - Poster Deep Response - nefro</v>
      </c>
      <c r="C15900" s="3" t="str">
        <f>HYPERLINK("https://otsuka-europe-crm.veevavault.com/ui/#object/sent_email__v/VBL000000004047", "SE-001379951")</f>
        <v>SE-001379951</v>
      </c>
      <c r="D15900" s="1" t="s">
        <v>0</v>
      </c>
      <c r="E15900" s="2">
        <v>0</v>
      </c>
      <c r="F15900" s="2">
        <v>0</v>
      </c>
      <c r="G15900" s="2">
        <v>0</v>
      </c>
      <c r="H15900" s="1" t="s">
        <v>0</v>
      </c>
      <c r="I15900" s="2">
        <v>0</v>
      </c>
      <c r="J15900" s="1">
        <v>45961.403981481482</v>
      </c>
    </row>
    <row r="15901" spans="1:10" x14ac:dyDescent="0.2">
      <c r="A15901" s="4" t="s">
        <v>1</v>
      </c>
      <c r="B15901" s="3" t="str">
        <f>HYPERLINK("https://otsuka-europe-crm.veevavault.com/ui/#object/approved_document__v/V5OZ025E82U16X1", "LUP - Poster Deep Response - nefro")</f>
        <v>LUP - Poster Deep Response - nefro</v>
      </c>
      <c r="C15901" s="3" t="str">
        <f>HYPERLINK("https://otsuka-europe-crm.veevavault.com/ui/#object/sent_email__v/VBL000000004048", "SE-001379952")</f>
        <v>SE-001379952</v>
      </c>
      <c r="D15901" s="1" t="s">
        <v>0</v>
      </c>
      <c r="E15901" s="2">
        <v>0</v>
      </c>
      <c r="F15901" s="2">
        <v>0</v>
      </c>
      <c r="G15901" s="2">
        <v>0</v>
      </c>
      <c r="H15901" s="1" t="s">
        <v>0</v>
      </c>
      <c r="I15901" s="2">
        <v>0</v>
      </c>
      <c r="J15901" s="1">
        <v>45961.403981481482</v>
      </c>
    </row>
    <row r="15902" spans="1:10" x14ac:dyDescent="0.2">
      <c r="A15902" s="4" t="s">
        <v>1</v>
      </c>
      <c r="B15902" s="3" t="str">
        <f>HYPERLINK("https://otsuka-europe-crm.veevavault.com/ui/#object/approved_document__v/V5OZ025E82U16X1", "LUP - Poster Deep Response - nefro")</f>
        <v>LUP - Poster Deep Response - nefro</v>
      </c>
      <c r="C15902" s="3" t="str">
        <f>HYPERLINK("https://otsuka-europe-crm.veevavault.com/ui/#object/sent_email__v/VBL000000004049", "SE-001379953")</f>
        <v>SE-001379953</v>
      </c>
      <c r="D15902" s="1" t="s">
        <v>0</v>
      </c>
      <c r="E15902" s="2">
        <v>0</v>
      </c>
      <c r="F15902" s="2">
        <v>0</v>
      </c>
      <c r="G15902" s="2">
        <v>0</v>
      </c>
      <c r="H15902" s="1" t="s">
        <v>0</v>
      </c>
      <c r="I15902" s="2">
        <v>0</v>
      </c>
      <c r="J15902" s="1">
        <v>45961.403981481482</v>
      </c>
    </row>
    <row r="15903" spans="1:10" x14ac:dyDescent="0.2">
      <c r="A15903" s="4" t="s">
        <v>1</v>
      </c>
      <c r="B15903" s="3" t="str">
        <f>HYPERLINK("https://otsuka-europe-crm.veevavault.com/ui/#object/approved_document__v/V5OZ025E82U16X1", "LUP - Poster Deep Response - nefro")</f>
        <v>LUP - Poster Deep Response - nefro</v>
      </c>
      <c r="C15903" s="3" t="str">
        <f>HYPERLINK("https://otsuka-europe-crm.veevavault.com/ui/#object/sent_email__v/VBL000000004050", "SE-001379954")</f>
        <v>SE-001379954</v>
      </c>
      <c r="D15903" s="1" t="s">
        <v>0</v>
      </c>
      <c r="E15903" s="2">
        <v>0</v>
      </c>
      <c r="F15903" s="2">
        <v>0</v>
      </c>
      <c r="G15903" s="2">
        <v>0</v>
      </c>
      <c r="H15903" s="1" t="s">
        <v>0</v>
      </c>
      <c r="I15903" s="2">
        <v>0</v>
      </c>
      <c r="J15903" s="1">
        <v>45961.403981481482</v>
      </c>
    </row>
    <row r="15904" spans="1:10" x14ac:dyDescent="0.2">
      <c r="A15904" s="4" t="s">
        <v>1</v>
      </c>
      <c r="B15904" s="3" t="str">
        <f>HYPERLINK("https://otsuka-europe-crm.veevavault.com/ui/#object/approved_document__v/V5OZ025E82U16X1", "LUP - Poster Deep Response - nefro")</f>
        <v>LUP - Poster Deep Response - nefro</v>
      </c>
      <c r="C15904" s="3" t="str">
        <f>HYPERLINK("https://otsuka-europe-crm.veevavault.com/ui/#object/sent_email__v/VBL000000004051", "SE-001379955")</f>
        <v>SE-001379955</v>
      </c>
      <c r="D15904" s="1" t="s">
        <v>0</v>
      </c>
      <c r="E15904" s="2">
        <v>0</v>
      </c>
      <c r="F15904" s="2">
        <v>0</v>
      </c>
      <c r="G15904" s="2">
        <v>0</v>
      </c>
      <c r="H15904" s="1" t="s">
        <v>0</v>
      </c>
      <c r="I15904" s="2">
        <v>0</v>
      </c>
      <c r="J15904" s="1">
        <v>45961.403981481482</v>
      </c>
    </row>
    <row r="15905" spans="1:10" x14ac:dyDescent="0.2">
      <c r="A15905" s="4" t="s">
        <v>1</v>
      </c>
      <c r="B15905" s="3" t="str">
        <f>HYPERLINK("https://otsuka-europe-crm.veevavault.com/ui/#object/approved_document__v/V5OZ025E82U16X1", "LUP - Poster Deep Response - nefro")</f>
        <v>LUP - Poster Deep Response - nefro</v>
      </c>
      <c r="C15905" s="3" t="str">
        <f>HYPERLINK("https://otsuka-europe-crm.veevavault.com/ui/#object/sent_email__v/VBL000000004052", "SE-001379956")</f>
        <v>SE-001379956</v>
      </c>
      <c r="D15905" s="1" t="s">
        <v>0</v>
      </c>
      <c r="E15905" s="2">
        <v>0</v>
      </c>
      <c r="F15905" s="2">
        <v>0</v>
      </c>
      <c r="G15905" s="2">
        <v>0</v>
      </c>
      <c r="H15905" s="1" t="s">
        <v>0</v>
      </c>
      <c r="I15905" s="2">
        <v>0</v>
      </c>
      <c r="J15905" s="1">
        <v>45961.403981481482</v>
      </c>
    </row>
    <row r="15906" spans="1:10" x14ac:dyDescent="0.2">
      <c r="A15906" s="4" t="s">
        <v>1</v>
      </c>
      <c r="B15906" s="3" t="str">
        <f>HYPERLINK("https://otsuka-europe-crm.veevavault.com/ui/#object/approved_document__v/V5OZ025E82U16X1", "LUP - Poster Deep Response - nefro")</f>
        <v>LUP - Poster Deep Response - nefro</v>
      </c>
      <c r="C15906" s="3" t="str">
        <f>HYPERLINK("https://otsuka-europe-crm.veevavault.com/ui/#object/sent_email__v/VBL000000004053", "SE-001379957")</f>
        <v>SE-001379957</v>
      </c>
      <c r="D15906" s="1" t="s">
        <v>0</v>
      </c>
      <c r="E15906" s="2">
        <v>0</v>
      </c>
      <c r="F15906" s="2">
        <v>0</v>
      </c>
      <c r="G15906" s="2">
        <v>0</v>
      </c>
      <c r="H15906" s="1" t="s">
        <v>0</v>
      </c>
      <c r="I15906" s="2">
        <v>0</v>
      </c>
      <c r="J15906" s="1">
        <v>45961.403981481482</v>
      </c>
    </row>
    <row r="15907" spans="1:10" x14ac:dyDescent="0.2">
      <c r="A15907" s="4" t="s">
        <v>1</v>
      </c>
      <c r="B15907" s="3" t="str">
        <f>HYPERLINK("https://otsuka-europe-crm.veevavault.com/ui/#object/approved_document__v/V5OZ025E82U16X1", "LUP - Poster Deep Response - nefro")</f>
        <v>LUP - Poster Deep Response - nefro</v>
      </c>
      <c r="C15907" s="3" t="str">
        <f>HYPERLINK("https://otsuka-europe-crm.veevavault.com/ui/#object/sent_email__v/VBL000000004054", "SE-001379958")</f>
        <v>SE-001379958</v>
      </c>
      <c r="D15907" s="1" t="s">
        <v>0</v>
      </c>
      <c r="E15907" s="2">
        <v>0</v>
      </c>
      <c r="F15907" s="2">
        <v>0</v>
      </c>
      <c r="G15907" s="2">
        <v>0</v>
      </c>
      <c r="H15907" s="1" t="s">
        <v>0</v>
      </c>
      <c r="I15907" s="2">
        <v>0</v>
      </c>
      <c r="J15907" s="1">
        <v>45961.403981481482</v>
      </c>
    </row>
    <row r="15908" spans="1:10" x14ac:dyDescent="0.2">
      <c r="A15908" s="4" t="s">
        <v>1</v>
      </c>
      <c r="B15908" s="3" t="str">
        <f>HYPERLINK("https://otsuka-europe-crm.veevavault.com/ui/#object/approved_document__v/V5OZ025E82U16X1", "LUP - Poster Deep Response - nefro")</f>
        <v>LUP - Poster Deep Response - nefro</v>
      </c>
      <c r="C15908" s="3" t="str">
        <f>HYPERLINK("https://otsuka-europe-crm.veevavault.com/ui/#object/sent_email__v/VBL000000004055", "SE-001379959")</f>
        <v>SE-001379959</v>
      </c>
      <c r="D15908" s="1" t="s">
        <v>0</v>
      </c>
      <c r="E15908" s="2">
        <v>0</v>
      </c>
      <c r="F15908" s="2">
        <v>0</v>
      </c>
      <c r="G15908" s="2">
        <v>0</v>
      </c>
      <c r="H15908" s="1" t="s">
        <v>0</v>
      </c>
      <c r="I15908" s="2">
        <v>0</v>
      </c>
      <c r="J15908" s="1">
        <v>45961.403981481482</v>
      </c>
    </row>
    <row r="15909" spans="1:10" x14ac:dyDescent="0.2">
      <c r="A15909" s="4" t="s">
        <v>1</v>
      </c>
      <c r="B15909" s="3" t="str">
        <f>HYPERLINK("https://otsuka-europe-crm.veevavault.com/ui/#object/approved_document__v/V5OZ025E82U16X1", "LUP - Poster Deep Response - nefro")</f>
        <v>LUP - Poster Deep Response - nefro</v>
      </c>
      <c r="C15909" s="3" t="str">
        <f>HYPERLINK("https://otsuka-europe-crm.veevavault.com/ui/#object/sent_email__v/VBL000000004056", "SE-001379960")</f>
        <v>SE-001379960</v>
      </c>
      <c r="D15909" s="1" t="s">
        <v>0</v>
      </c>
      <c r="E15909" s="2">
        <v>0</v>
      </c>
      <c r="F15909" s="2">
        <v>0</v>
      </c>
      <c r="G15909" s="2">
        <v>0</v>
      </c>
      <c r="H15909" s="1" t="s">
        <v>0</v>
      </c>
      <c r="I15909" s="2">
        <v>0</v>
      </c>
      <c r="J15909" s="1">
        <v>45961.403981481482</v>
      </c>
    </row>
    <row r="15910" spans="1:10" x14ac:dyDescent="0.2">
      <c r="A15910" s="4" t="s">
        <v>1</v>
      </c>
      <c r="B15910" s="3" t="str">
        <f>HYPERLINK("https://otsuka-europe-crm.veevavault.com/ui/#object/approved_document__v/V5OZ025E82U16X1", "LUP - Poster Deep Response - nefro")</f>
        <v>LUP - Poster Deep Response - nefro</v>
      </c>
      <c r="C15910" s="3" t="str">
        <f>HYPERLINK("https://otsuka-europe-crm.veevavault.com/ui/#object/sent_email__v/VBL000000004057", "SE-001379961")</f>
        <v>SE-001379961</v>
      </c>
      <c r="D15910" s="1" t="s">
        <v>0</v>
      </c>
      <c r="E15910" s="2">
        <v>0</v>
      </c>
      <c r="F15910" s="2">
        <v>0</v>
      </c>
      <c r="G15910" s="2">
        <v>0</v>
      </c>
      <c r="H15910" s="1" t="s">
        <v>0</v>
      </c>
      <c r="I15910" s="2">
        <v>0</v>
      </c>
      <c r="J15910" s="1">
        <v>45961.403993055559</v>
      </c>
    </row>
    <row r="15911" spans="1:10" x14ac:dyDescent="0.2">
      <c r="A15911" s="4" t="s">
        <v>1</v>
      </c>
      <c r="B15911" s="3" t="str">
        <f>HYPERLINK("https://otsuka-europe-crm.veevavault.com/ui/#object/approved_document__v/V5OZ025E82U16X1", "LUP - Poster Deep Response - nefro")</f>
        <v>LUP - Poster Deep Response - nefro</v>
      </c>
      <c r="C15911" s="3" t="str">
        <f>HYPERLINK("https://otsuka-europe-crm.veevavault.com/ui/#object/sent_email__v/VBL000000004058", "SE-001379962")</f>
        <v>SE-001379962</v>
      </c>
      <c r="D15911" s="1" t="s">
        <v>0</v>
      </c>
      <c r="E15911" s="2">
        <v>0</v>
      </c>
      <c r="F15911" s="2">
        <v>0</v>
      </c>
      <c r="G15911" s="2">
        <v>0</v>
      </c>
      <c r="H15911" s="1" t="s">
        <v>0</v>
      </c>
      <c r="I15911" s="2">
        <v>0</v>
      </c>
      <c r="J15911" s="1">
        <v>45961.403993055559</v>
      </c>
    </row>
    <row r="15912" spans="1:10" x14ac:dyDescent="0.2">
      <c r="A15912" s="4" t="s">
        <v>1</v>
      </c>
      <c r="B15912" s="3" t="str">
        <f>HYPERLINK("https://otsuka-europe-crm.veevavault.com/ui/#object/approved_document__v/V5OZ025E82U16X1", "LUP - Poster Deep Response - nefro")</f>
        <v>LUP - Poster Deep Response - nefro</v>
      </c>
      <c r="C15912" s="3" t="str">
        <f>HYPERLINK("https://otsuka-europe-crm.veevavault.com/ui/#object/sent_email__v/VBL000000004059", "SE-001379963")</f>
        <v>SE-001379963</v>
      </c>
      <c r="D15912" s="1" t="s">
        <v>0</v>
      </c>
      <c r="E15912" s="2">
        <v>0</v>
      </c>
      <c r="F15912" s="2">
        <v>0</v>
      </c>
      <c r="G15912" s="2">
        <v>0</v>
      </c>
      <c r="H15912" s="1" t="s">
        <v>0</v>
      </c>
      <c r="I15912" s="2">
        <v>0</v>
      </c>
      <c r="J15912" s="1">
        <v>45961.403993055559</v>
      </c>
    </row>
    <row r="15913" spans="1:10" x14ac:dyDescent="0.2">
      <c r="A15913" s="4" t="s">
        <v>1</v>
      </c>
      <c r="B15913" s="3" t="str">
        <f>HYPERLINK("https://otsuka-europe-crm.veevavault.com/ui/#object/approved_document__v/V5OZ025E82U16X1", "LUP - Poster Deep Response - nefro")</f>
        <v>LUP - Poster Deep Response - nefro</v>
      </c>
      <c r="C15913" s="3" t="str">
        <f>HYPERLINK("https://otsuka-europe-crm.veevavault.com/ui/#object/sent_email__v/VBL000000004060", "SE-001379964")</f>
        <v>SE-001379964</v>
      </c>
      <c r="D15913" s="1" t="s">
        <v>0</v>
      </c>
      <c r="E15913" s="2">
        <v>0</v>
      </c>
      <c r="F15913" s="2">
        <v>0</v>
      </c>
      <c r="G15913" s="2">
        <v>0</v>
      </c>
      <c r="H15913" s="1" t="s">
        <v>0</v>
      </c>
      <c r="I15913" s="2">
        <v>0</v>
      </c>
      <c r="J15913" s="1">
        <v>45961.403993055559</v>
      </c>
    </row>
    <row r="15914" spans="1:10" x14ac:dyDescent="0.2">
      <c r="A15914" s="4" t="s">
        <v>1</v>
      </c>
      <c r="B15914" s="3" t="str">
        <f>HYPERLINK("https://otsuka-europe-crm.veevavault.com/ui/#object/approved_document__v/V5OZ025E82U16X1", "LUP - Poster Deep Response - nefro")</f>
        <v>LUP - Poster Deep Response - nefro</v>
      </c>
      <c r="C15914" s="3" t="str">
        <f>HYPERLINK("https://otsuka-europe-crm.veevavault.com/ui/#object/sent_email__v/VBL000000004061", "SE-001379965")</f>
        <v>SE-001379965</v>
      </c>
      <c r="D15914" s="1" t="s">
        <v>0</v>
      </c>
      <c r="E15914" s="2">
        <v>0</v>
      </c>
      <c r="F15914" s="2">
        <v>0</v>
      </c>
      <c r="G15914" s="2">
        <v>0</v>
      </c>
      <c r="H15914" s="1" t="s">
        <v>0</v>
      </c>
      <c r="I15914" s="2">
        <v>0</v>
      </c>
      <c r="J15914" s="1">
        <v>45961.403993055559</v>
      </c>
    </row>
    <row r="15915" spans="1:10" x14ac:dyDescent="0.2">
      <c r="A15915" s="4" t="s">
        <v>1</v>
      </c>
      <c r="B15915" s="3" t="str">
        <f>HYPERLINK("https://otsuka-europe-crm.veevavault.com/ui/#object/approved_document__v/V5OZ025E82U16X1", "LUP - Poster Deep Response - nefro")</f>
        <v>LUP - Poster Deep Response - nefro</v>
      </c>
      <c r="C15915" s="3" t="str">
        <f>HYPERLINK("https://otsuka-europe-crm.veevavault.com/ui/#object/sent_email__v/VBL000000004062", "SE-001379966")</f>
        <v>SE-001379966</v>
      </c>
      <c r="D15915" s="1" t="s">
        <v>0</v>
      </c>
      <c r="E15915" s="2">
        <v>0</v>
      </c>
      <c r="F15915" s="2">
        <v>0</v>
      </c>
      <c r="G15915" s="2">
        <v>0</v>
      </c>
      <c r="H15915" s="1" t="s">
        <v>0</v>
      </c>
      <c r="I15915" s="2">
        <v>0</v>
      </c>
      <c r="J15915" s="1">
        <v>45961.403993055559</v>
      </c>
    </row>
    <row r="15916" spans="1:10" x14ac:dyDescent="0.2">
      <c r="A15916" s="4" t="s">
        <v>1</v>
      </c>
      <c r="B15916" s="3" t="str">
        <f>HYPERLINK("https://otsuka-europe-crm.veevavault.com/ui/#object/approved_document__v/V5OZ025E82U16X1", "LUP - Poster Deep Response - nefro")</f>
        <v>LUP - Poster Deep Response - nefro</v>
      </c>
      <c r="C15916" s="3" t="str">
        <f>HYPERLINK("https://otsuka-europe-crm.veevavault.com/ui/#object/sent_email__v/VBL000000004063", "SE-001379967")</f>
        <v>SE-001379967</v>
      </c>
      <c r="D15916" s="1" t="s">
        <v>0</v>
      </c>
      <c r="E15916" s="2">
        <v>0</v>
      </c>
      <c r="F15916" s="2">
        <v>0</v>
      </c>
      <c r="G15916" s="2">
        <v>0</v>
      </c>
      <c r="H15916" s="1" t="s">
        <v>0</v>
      </c>
      <c r="I15916" s="2">
        <v>0</v>
      </c>
      <c r="J15916" s="1">
        <v>45961.403993055559</v>
      </c>
    </row>
    <row r="15917" spans="1:10" x14ac:dyDescent="0.2">
      <c r="A15917" s="4" t="s">
        <v>1</v>
      </c>
      <c r="B15917" s="3" t="str">
        <f>HYPERLINK("https://otsuka-europe-crm.veevavault.com/ui/#object/approved_document__v/V5OZ025E82U16X1", "LUP - Poster Deep Response - nefro")</f>
        <v>LUP - Poster Deep Response - nefro</v>
      </c>
      <c r="C15917" s="3" t="str">
        <f>HYPERLINK("https://otsuka-europe-crm.veevavault.com/ui/#object/sent_email__v/VBL000000004064", "SE-001379968")</f>
        <v>SE-001379968</v>
      </c>
      <c r="D15917" s="1" t="s">
        <v>0</v>
      </c>
      <c r="E15917" s="2">
        <v>0</v>
      </c>
      <c r="F15917" s="2">
        <v>0</v>
      </c>
      <c r="G15917" s="2">
        <v>0</v>
      </c>
      <c r="H15917" s="1" t="s">
        <v>0</v>
      </c>
      <c r="I15917" s="2">
        <v>0</v>
      </c>
      <c r="J15917" s="1">
        <v>45961.403993055559</v>
      </c>
    </row>
    <row r="15918" spans="1:10" x14ac:dyDescent="0.2">
      <c r="A15918" s="4" t="s">
        <v>1</v>
      </c>
      <c r="B15918" s="3" t="str">
        <f>HYPERLINK("https://otsuka-europe-crm.veevavault.com/ui/#object/approved_document__v/V5OZ025E82U16X1", "LUP - Poster Deep Response - nefro")</f>
        <v>LUP - Poster Deep Response - nefro</v>
      </c>
      <c r="C15918" s="3" t="str">
        <f>HYPERLINK("https://otsuka-europe-crm.veevavault.com/ui/#object/sent_email__v/VBL000000004065", "SE-001379969")</f>
        <v>SE-001379969</v>
      </c>
      <c r="D15918" s="1" t="s">
        <v>0</v>
      </c>
      <c r="E15918" s="2">
        <v>0</v>
      </c>
      <c r="F15918" s="2">
        <v>0</v>
      </c>
      <c r="G15918" s="2">
        <v>0</v>
      </c>
      <c r="H15918" s="1" t="s">
        <v>0</v>
      </c>
      <c r="I15918" s="2">
        <v>0</v>
      </c>
      <c r="J15918" s="1">
        <v>45961.403993055559</v>
      </c>
    </row>
    <row r="15919" spans="1:10" x14ac:dyDescent="0.2">
      <c r="A15919" s="4" t="s">
        <v>1</v>
      </c>
      <c r="B15919" s="3" t="str">
        <f>HYPERLINK("https://otsuka-europe-crm.veevavault.com/ui/#object/approved_document__v/V5OZ025E82U16X1", "LUP - Poster Deep Response - nefro")</f>
        <v>LUP - Poster Deep Response - nefro</v>
      </c>
      <c r="C15919" s="3" t="str">
        <f>HYPERLINK("https://otsuka-europe-crm.veevavault.com/ui/#object/sent_email__v/VBL000000004066", "SE-001379970")</f>
        <v>SE-001379970</v>
      </c>
      <c r="D15919" s="1" t="s">
        <v>0</v>
      </c>
      <c r="E15919" s="2">
        <v>0</v>
      </c>
      <c r="F15919" s="2">
        <v>0</v>
      </c>
      <c r="G15919" s="2">
        <v>0</v>
      </c>
      <c r="H15919" s="1" t="s">
        <v>0</v>
      </c>
      <c r="I15919" s="2">
        <v>0</v>
      </c>
      <c r="J15919" s="1">
        <v>45961.403993055559</v>
      </c>
    </row>
    <row r="15920" spans="1:10" x14ac:dyDescent="0.2">
      <c r="A15920" s="4" t="s">
        <v>1</v>
      </c>
      <c r="B15920" s="3" t="str">
        <f>HYPERLINK("https://otsuka-europe-crm.veevavault.com/ui/#object/approved_document__v/V5OZ025E82U16X1", "LUP - Poster Deep Response - nefro")</f>
        <v>LUP - Poster Deep Response - nefro</v>
      </c>
      <c r="C15920" s="3" t="str">
        <f>HYPERLINK("https://otsuka-europe-crm.veevavault.com/ui/#object/sent_email__v/VBL000000004067", "SE-001379971")</f>
        <v>SE-001379971</v>
      </c>
      <c r="D15920" s="1" t="s">
        <v>0</v>
      </c>
      <c r="E15920" s="2">
        <v>0</v>
      </c>
      <c r="F15920" s="2">
        <v>0</v>
      </c>
      <c r="G15920" s="2">
        <v>0</v>
      </c>
      <c r="H15920" s="1" t="s">
        <v>0</v>
      </c>
      <c r="I15920" s="2">
        <v>0</v>
      </c>
      <c r="J15920" s="1">
        <v>45961.403993055559</v>
      </c>
    </row>
    <row r="15921" spans="1:10" x14ac:dyDescent="0.2">
      <c r="A15921" s="4" t="s">
        <v>1</v>
      </c>
      <c r="B15921" s="3" t="str">
        <f>HYPERLINK("https://otsuka-europe-crm.veevavault.com/ui/#object/approved_document__v/V5OZ025E82U16X1", "LUP - Poster Deep Response - nefro")</f>
        <v>LUP - Poster Deep Response - nefro</v>
      </c>
      <c r="C15921" s="3" t="str">
        <f>HYPERLINK("https://otsuka-europe-crm.veevavault.com/ui/#object/sent_email__v/VBL000000004068", "SE-001379972")</f>
        <v>SE-001379972</v>
      </c>
      <c r="D15921" s="1" t="s">
        <v>0</v>
      </c>
      <c r="E15921" s="2">
        <v>0</v>
      </c>
      <c r="F15921" s="2">
        <v>0</v>
      </c>
      <c r="G15921" s="2">
        <v>0</v>
      </c>
      <c r="H15921" s="1" t="s">
        <v>0</v>
      </c>
      <c r="I15921" s="2">
        <v>0</v>
      </c>
      <c r="J15921" s="1">
        <v>45961.403993055559</v>
      </c>
    </row>
    <row r="15922" spans="1:10" x14ac:dyDescent="0.2">
      <c r="A15922" s="4" t="s">
        <v>1</v>
      </c>
      <c r="B15922" s="3" t="str">
        <f>HYPERLINK("https://otsuka-europe-crm.veevavault.com/ui/#object/approved_document__v/V5OZ025E82U16X1", "LUP - Poster Deep Response - nefro")</f>
        <v>LUP - Poster Deep Response - nefro</v>
      </c>
      <c r="C15922" s="3" t="str">
        <f>HYPERLINK("https://otsuka-europe-crm.veevavault.com/ui/#object/sent_email__v/VBL000000004069", "SE-001379973")</f>
        <v>SE-001379973</v>
      </c>
      <c r="D15922" s="1" t="s">
        <v>0</v>
      </c>
      <c r="E15922" s="2">
        <v>0</v>
      </c>
      <c r="F15922" s="2">
        <v>0</v>
      </c>
      <c r="G15922" s="2">
        <v>0</v>
      </c>
      <c r="H15922" s="1" t="s">
        <v>0</v>
      </c>
      <c r="I15922" s="2">
        <v>0</v>
      </c>
      <c r="J15922" s="1">
        <v>45961.403993055559</v>
      </c>
    </row>
    <row r="15923" spans="1:10" x14ac:dyDescent="0.2">
      <c r="A15923" s="4" t="s">
        <v>1</v>
      </c>
      <c r="B15923" s="3" t="str">
        <f>HYPERLINK("https://otsuka-europe-crm.veevavault.com/ui/#object/approved_document__v/V5OZ025E82U16X1", "LUP - Poster Deep Response - nefro")</f>
        <v>LUP - Poster Deep Response - nefro</v>
      </c>
      <c r="C15923" s="3" t="str">
        <f>HYPERLINK("https://otsuka-europe-crm.veevavault.com/ui/#object/sent_email__v/VBL000000004070", "SE-001379974")</f>
        <v>SE-001379974</v>
      </c>
      <c r="D15923" s="1" t="s">
        <v>0</v>
      </c>
      <c r="E15923" s="2">
        <v>0</v>
      </c>
      <c r="F15923" s="2">
        <v>0</v>
      </c>
      <c r="G15923" s="2">
        <v>0</v>
      </c>
      <c r="H15923" s="1" t="s">
        <v>0</v>
      </c>
      <c r="I15923" s="2">
        <v>0</v>
      </c>
      <c r="J15923" s="1">
        <v>45961.404004629629</v>
      </c>
    </row>
    <row r="15924" spans="1:10" x14ac:dyDescent="0.2">
      <c r="A15924" s="4" t="s">
        <v>1</v>
      </c>
      <c r="B15924" s="3" t="str">
        <f>HYPERLINK("https://otsuka-europe-crm.veevavault.com/ui/#object/approved_document__v/V5OZ025E82U16X1", "LUP - Poster Deep Response - nefro")</f>
        <v>LUP - Poster Deep Response - nefro</v>
      </c>
      <c r="C15924" s="3" t="str">
        <f>HYPERLINK("https://otsuka-europe-crm.veevavault.com/ui/#object/sent_email__v/VBL000000005170", "SE-001379980")</f>
        <v>SE-001379980</v>
      </c>
      <c r="D15924" s="1" t="s">
        <v>0</v>
      </c>
      <c r="E15924" s="2">
        <v>0</v>
      </c>
      <c r="F15924" s="2">
        <v>0</v>
      </c>
      <c r="G15924" s="2">
        <v>0</v>
      </c>
      <c r="H15924" s="1" t="s">
        <v>0</v>
      </c>
      <c r="I15924" s="2">
        <v>0</v>
      </c>
      <c r="J15924" s="1">
        <v>45961.405636574076</v>
      </c>
    </row>
    <row r="15925" spans="1:10" x14ac:dyDescent="0.2">
      <c r="A15925" s="4" t="s">
        <v>1</v>
      </c>
      <c r="B15925" s="3" t="str">
        <f>HYPERLINK("https://otsuka-europe-crm.veevavault.com/ui/#object/approved_document__v/V5OZ025E82U16X1", "LUP - Poster Deep Response - nefro")</f>
        <v>LUP - Poster Deep Response - nefro</v>
      </c>
      <c r="C15925" s="3" t="str">
        <f>HYPERLINK("https://otsuka-europe-crm.veevavault.com/ui/#object/sent_email__v/VBL000000005171", "SE-001379981")</f>
        <v>SE-001379981</v>
      </c>
      <c r="D15925" s="1" t="s">
        <v>0</v>
      </c>
      <c r="E15925" s="2">
        <v>0</v>
      </c>
      <c r="F15925" s="2">
        <v>0</v>
      </c>
      <c r="G15925" s="2">
        <v>0</v>
      </c>
      <c r="H15925" s="1" t="s">
        <v>0</v>
      </c>
      <c r="I15925" s="2">
        <v>0</v>
      </c>
      <c r="J15925" s="1">
        <v>45961.405648148146</v>
      </c>
    </row>
    <row r="15926" spans="1:10" x14ac:dyDescent="0.2">
      <c r="A15926" s="4" t="s">
        <v>1</v>
      </c>
      <c r="B15926" s="3" t="str">
        <f>HYPERLINK("https://otsuka-europe-crm.veevavault.com/ui/#object/approved_document__v/V5OZ025E82U16X1", "LUP - Poster Deep Response - nefro")</f>
        <v>LUP - Poster Deep Response - nefro</v>
      </c>
      <c r="C15926" s="3" t="str">
        <f>HYPERLINK("https://otsuka-europe-crm.veevavault.com/ui/#object/sent_email__v/VBL000000005172", "SE-001379982")</f>
        <v>SE-001379982</v>
      </c>
      <c r="D15926" s="1" t="s">
        <v>0</v>
      </c>
      <c r="E15926" s="2">
        <v>0</v>
      </c>
      <c r="F15926" s="2">
        <v>0</v>
      </c>
      <c r="G15926" s="2">
        <v>0</v>
      </c>
      <c r="H15926" s="1" t="s">
        <v>0</v>
      </c>
      <c r="I15926" s="2">
        <v>0</v>
      </c>
      <c r="J15926" s="1">
        <v>45961.405648148146</v>
      </c>
    </row>
    <row r="15927" spans="1:10" x14ac:dyDescent="0.2">
      <c r="A15927" s="4" t="s">
        <v>1</v>
      </c>
      <c r="B15927" s="3" t="str">
        <f>HYPERLINK("https://otsuka-europe-crm.veevavault.com/ui/#object/approved_document__v/V5OZ025E82U16X1", "LUP - Poster Deep Response - nefro")</f>
        <v>LUP - Poster Deep Response - nefro</v>
      </c>
      <c r="C15927" s="3" t="str">
        <f>HYPERLINK("https://otsuka-europe-crm.veevavault.com/ui/#object/sent_email__v/VBL000000005173", "SE-001379983")</f>
        <v>SE-001379983</v>
      </c>
      <c r="D15927" s="1" t="s">
        <v>0</v>
      </c>
      <c r="E15927" s="2">
        <v>0</v>
      </c>
      <c r="F15927" s="2">
        <v>0</v>
      </c>
      <c r="G15927" s="2">
        <v>0</v>
      </c>
      <c r="H15927" s="1" t="s">
        <v>0</v>
      </c>
      <c r="I15927" s="2">
        <v>0</v>
      </c>
      <c r="J15927" s="1">
        <v>45961.405636574076</v>
      </c>
    </row>
    <row r="15928" spans="1:10" x14ac:dyDescent="0.2">
      <c r="A15928" s="4" t="s">
        <v>1</v>
      </c>
      <c r="B15928" s="3" t="str">
        <f>HYPERLINK("https://otsuka-europe-crm.veevavault.com/ui/#object/approved_document__v/V5OZ025E82U16X1", "LUP - Poster Deep Response - nefro")</f>
        <v>LUP - Poster Deep Response - nefro</v>
      </c>
      <c r="C15928" s="3" t="str">
        <f>HYPERLINK("https://otsuka-europe-crm.veevavault.com/ui/#object/sent_email__v/VBL000000005174", "SE-001379984")</f>
        <v>SE-001379984</v>
      </c>
      <c r="D15928" s="1" t="s">
        <v>0</v>
      </c>
      <c r="E15928" s="2">
        <v>0</v>
      </c>
      <c r="F15928" s="2">
        <v>0</v>
      </c>
      <c r="G15928" s="2">
        <v>0</v>
      </c>
      <c r="H15928" s="1" t="s">
        <v>0</v>
      </c>
      <c r="I15928" s="2">
        <v>0</v>
      </c>
      <c r="J15928" s="1">
        <v>45961.405648148146</v>
      </c>
    </row>
    <row r="15929" spans="1:10" x14ac:dyDescent="0.2">
      <c r="A15929" s="4" t="s">
        <v>1</v>
      </c>
      <c r="B15929" s="3" t="str">
        <f>HYPERLINK("https://otsuka-europe-crm.veevavault.com/ui/#object/approved_document__v/V5OZ025E82U16X1", "LUP - Poster Deep Response - nefro")</f>
        <v>LUP - Poster Deep Response - nefro</v>
      </c>
      <c r="C15929" s="3" t="str">
        <f>HYPERLINK("https://otsuka-europe-crm.veevavault.com/ui/#object/sent_email__v/VBL000000005175", "SE-001379985")</f>
        <v>SE-001379985</v>
      </c>
      <c r="D15929" s="1" t="s">
        <v>0</v>
      </c>
      <c r="E15929" s="2">
        <v>0</v>
      </c>
      <c r="F15929" s="2">
        <v>0</v>
      </c>
      <c r="G15929" s="2">
        <v>0</v>
      </c>
      <c r="H15929" s="1" t="s">
        <v>0</v>
      </c>
      <c r="I15929" s="2">
        <v>0</v>
      </c>
      <c r="J15929" s="1">
        <v>45961.405648148146</v>
      </c>
    </row>
    <row r="15930" spans="1:10" x14ac:dyDescent="0.2">
      <c r="A15930" s="4" t="s">
        <v>1</v>
      </c>
      <c r="B15930" s="3" t="str">
        <f>HYPERLINK("https://otsuka-europe-crm.veevavault.com/ui/#object/approved_document__v/V5OZ025E82U16X1", "LUP - Poster Deep Response - nefro")</f>
        <v>LUP - Poster Deep Response - nefro</v>
      </c>
      <c r="C15930" s="3" t="str">
        <f>HYPERLINK("https://otsuka-europe-crm.veevavault.com/ui/#object/sent_email__v/VBL000000005176", "SE-001379986")</f>
        <v>SE-001379986</v>
      </c>
      <c r="D15930" s="1" t="s">
        <v>0</v>
      </c>
      <c r="E15930" s="2">
        <v>0</v>
      </c>
      <c r="F15930" s="2">
        <v>0</v>
      </c>
      <c r="G15930" s="2">
        <v>0</v>
      </c>
      <c r="H15930" s="1" t="s">
        <v>0</v>
      </c>
      <c r="I15930" s="2">
        <v>0</v>
      </c>
      <c r="J15930" s="1">
        <v>45961.405636574076</v>
      </c>
    </row>
    <row r="15931" spans="1:10" x14ac:dyDescent="0.2">
      <c r="A15931" s="4" t="s">
        <v>1</v>
      </c>
      <c r="B15931" s="3" t="str">
        <f>HYPERLINK("https://otsuka-europe-crm.veevavault.com/ui/#object/approved_document__v/V5OZ025E82U16X1", "LUP - Poster Deep Response - nefro")</f>
        <v>LUP - Poster Deep Response - nefro</v>
      </c>
      <c r="C15931" s="3" t="str">
        <f>HYPERLINK("https://otsuka-europe-crm.veevavault.com/ui/#object/sent_email__v/VBL000000005177", "SE-001379987")</f>
        <v>SE-001379987</v>
      </c>
      <c r="D15931" s="1" t="s">
        <v>0</v>
      </c>
      <c r="E15931" s="2">
        <v>0</v>
      </c>
      <c r="F15931" s="2">
        <v>0</v>
      </c>
      <c r="G15931" s="2">
        <v>0</v>
      </c>
      <c r="H15931" s="1" t="s">
        <v>0</v>
      </c>
      <c r="I15931" s="2">
        <v>0</v>
      </c>
      <c r="J15931" s="1">
        <v>45961.405648148146</v>
      </c>
    </row>
    <row r="15932" spans="1:10" x14ac:dyDescent="0.2">
      <c r="A15932" s="4" t="s">
        <v>1</v>
      </c>
      <c r="B15932" s="3" t="str">
        <f>HYPERLINK("https://otsuka-europe-crm.veevavault.com/ui/#object/approved_document__v/V5OZ025E82U16X1", "LUP - Poster Deep Response - nefro")</f>
        <v>LUP - Poster Deep Response - nefro</v>
      </c>
      <c r="C15932" s="3" t="str">
        <f>HYPERLINK("https://otsuka-europe-crm.veevavault.com/ui/#object/sent_email__v/VBL000000005178", "SE-001379988")</f>
        <v>SE-001379988</v>
      </c>
      <c r="D15932" s="1" t="s">
        <v>0</v>
      </c>
      <c r="E15932" s="2">
        <v>0</v>
      </c>
      <c r="F15932" s="2">
        <v>0</v>
      </c>
      <c r="G15932" s="2">
        <v>0</v>
      </c>
      <c r="H15932" s="1" t="s">
        <v>0</v>
      </c>
      <c r="I15932" s="2">
        <v>0</v>
      </c>
      <c r="J15932" s="1">
        <v>45961.405648148146</v>
      </c>
    </row>
    <row r="15933" spans="1:10" x14ac:dyDescent="0.2">
      <c r="A15933" s="4" t="s">
        <v>1</v>
      </c>
      <c r="B15933" s="3" t="str">
        <f>HYPERLINK("https://otsuka-europe-crm.veevavault.com/ui/#object/approved_document__v/V5OZ025E82U16X1", "LUP - Poster Deep Response - nefro")</f>
        <v>LUP - Poster Deep Response - nefro</v>
      </c>
      <c r="C15933" s="3" t="str">
        <f>HYPERLINK("https://otsuka-europe-crm.veevavault.com/ui/#object/sent_email__v/VBL000000005179", "SE-001379989")</f>
        <v>SE-001379989</v>
      </c>
      <c r="D15933" s="1" t="s">
        <v>0</v>
      </c>
      <c r="E15933" s="2">
        <v>0</v>
      </c>
      <c r="F15933" s="2">
        <v>0</v>
      </c>
      <c r="G15933" s="2">
        <v>0</v>
      </c>
      <c r="H15933" s="1" t="s">
        <v>0</v>
      </c>
      <c r="I15933" s="2">
        <v>0</v>
      </c>
      <c r="J15933" s="1">
        <v>45961.405636574076</v>
      </c>
    </row>
    <row r="15934" spans="1:10" x14ac:dyDescent="0.2">
      <c r="A15934" s="4" t="s">
        <v>1</v>
      </c>
      <c r="B15934" s="3" t="str">
        <f>HYPERLINK("https://otsuka-europe-crm.veevavault.com/ui/#object/approved_document__v/V5OZ025E82U16X1", "LUP - Poster Deep Response - nefro")</f>
        <v>LUP - Poster Deep Response - nefro</v>
      </c>
      <c r="C15934" s="3" t="str">
        <f>HYPERLINK("https://otsuka-europe-crm.veevavault.com/ui/#object/sent_email__v/VBL000000005180", "SE-001379990")</f>
        <v>SE-001379990</v>
      </c>
      <c r="D15934" s="1" t="s">
        <v>0</v>
      </c>
      <c r="E15934" s="2">
        <v>0</v>
      </c>
      <c r="F15934" s="2">
        <v>0</v>
      </c>
      <c r="G15934" s="2">
        <v>0</v>
      </c>
      <c r="H15934" s="1" t="s">
        <v>0</v>
      </c>
      <c r="I15934" s="2">
        <v>0</v>
      </c>
      <c r="J15934" s="1">
        <v>45961.405648148146</v>
      </c>
    </row>
    <row r="15935" spans="1:10" x14ac:dyDescent="0.2">
      <c r="A15935" s="4" t="s">
        <v>1</v>
      </c>
      <c r="B15935" s="3" t="str">
        <f>HYPERLINK("https://otsuka-europe-crm.veevavault.com/ui/#object/approved_document__v/V5OZ025E82U16X1", "LUP - Poster Deep Response - nefro")</f>
        <v>LUP - Poster Deep Response - nefro</v>
      </c>
      <c r="C15935" s="3" t="str">
        <f>HYPERLINK("https://otsuka-europe-crm.veevavault.com/ui/#object/sent_email__v/VBL000000005181", "SE-001379991")</f>
        <v>SE-001379991</v>
      </c>
      <c r="D15935" s="1" t="s">
        <v>0</v>
      </c>
      <c r="E15935" s="2">
        <v>0</v>
      </c>
      <c r="F15935" s="2">
        <v>0</v>
      </c>
      <c r="G15935" s="2">
        <v>0</v>
      </c>
      <c r="H15935" s="1" t="s">
        <v>0</v>
      </c>
      <c r="I15935" s="2">
        <v>0</v>
      </c>
      <c r="J15935" s="1">
        <v>45961.405648148146</v>
      </c>
    </row>
    <row r="15936" spans="1:10" x14ac:dyDescent="0.2">
      <c r="A15936" s="4" t="s">
        <v>1</v>
      </c>
      <c r="B15936" s="3" t="str">
        <f>HYPERLINK("https://otsuka-europe-crm.veevavault.com/ui/#object/approved_document__v/V5OZ025E82U16X1", "LUP - Poster Deep Response - nefro")</f>
        <v>LUP - Poster Deep Response - nefro</v>
      </c>
      <c r="C15936" s="3" t="str">
        <f>HYPERLINK("https://otsuka-europe-crm.veevavault.com/ui/#object/sent_email__v/VBL000000005182", "SE-001379992")</f>
        <v>SE-001379992</v>
      </c>
      <c r="D15936" s="1" t="s">
        <v>0</v>
      </c>
      <c r="E15936" s="2">
        <v>0</v>
      </c>
      <c r="F15936" s="2">
        <v>0</v>
      </c>
      <c r="G15936" s="2">
        <v>0</v>
      </c>
      <c r="H15936" s="1" t="s">
        <v>0</v>
      </c>
      <c r="I15936" s="2">
        <v>0</v>
      </c>
      <c r="J15936" s="1">
        <v>45961.405648148146</v>
      </c>
    </row>
    <row r="15937" spans="1:10" x14ac:dyDescent="0.2">
      <c r="A15937" s="4" t="s">
        <v>1</v>
      </c>
      <c r="B15937" s="3" t="str">
        <f>HYPERLINK("https://otsuka-europe-crm.veevavault.com/ui/#object/approved_document__v/V5OZ025E82U16X1", "LUP - Poster Deep Response - nefro")</f>
        <v>LUP - Poster Deep Response - nefro</v>
      </c>
      <c r="C15937" s="3" t="str">
        <f>HYPERLINK("https://otsuka-europe-crm.veevavault.com/ui/#object/sent_email__v/VBL000000005183", "SE-001379993")</f>
        <v>SE-001379993</v>
      </c>
      <c r="D15937" s="1" t="s">
        <v>0</v>
      </c>
      <c r="E15937" s="2">
        <v>0</v>
      </c>
      <c r="F15937" s="2">
        <v>0</v>
      </c>
      <c r="G15937" s="2">
        <v>0</v>
      </c>
      <c r="H15937" s="1" t="s">
        <v>0</v>
      </c>
      <c r="I15937" s="2">
        <v>0</v>
      </c>
      <c r="J15937" s="1">
        <v>45961.405648148146</v>
      </c>
    </row>
    <row r="15938" spans="1:10" x14ac:dyDescent="0.2">
      <c r="A15938" s="4" t="s">
        <v>1</v>
      </c>
      <c r="B15938" s="3" t="str">
        <f>HYPERLINK("https://otsuka-europe-crm.veevavault.com/ui/#object/approved_document__v/V5OZ025E82U16X1", "LUP - Poster Deep Response - nefro")</f>
        <v>LUP - Poster Deep Response - nefro</v>
      </c>
      <c r="C15938" s="3" t="str">
        <f>HYPERLINK("https://otsuka-europe-crm.veevavault.com/ui/#object/sent_email__v/VBL000000005184", "SE-001379994")</f>
        <v>SE-001379994</v>
      </c>
      <c r="D15938" s="1" t="s">
        <v>0</v>
      </c>
      <c r="E15938" s="2">
        <v>0</v>
      </c>
      <c r="F15938" s="2">
        <v>0</v>
      </c>
      <c r="G15938" s="2">
        <v>0</v>
      </c>
      <c r="H15938" s="1" t="s">
        <v>0</v>
      </c>
      <c r="I15938" s="2">
        <v>0</v>
      </c>
      <c r="J15938" s="1">
        <v>45961.405648148146</v>
      </c>
    </row>
    <row r="15939" spans="1:10" x14ac:dyDescent="0.2">
      <c r="A15939" s="4" t="s">
        <v>1</v>
      </c>
      <c r="B15939" s="3" t="str">
        <f>HYPERLINK("https://otsuka-europe-crm.veevavault.com/ui/#object/approved_document__v/V5OZ025E82U16X1", "LUP - Poster Deep Response - nefro")</f>
        <v>LUP - Poster Deep Response - nefro</v>
      </c>
      <c r="C15939" s="3" t="str">
        <f>HYPERLINK("https://otsuka-europe-crm.veevavault.com/ui/#object/sent_email__v/VBL000000005185", "SE-001379995")</f>
        <v>SE-001379995</v>
      </c>
      <c r="D15939" s="1" t="s">
        <v>0</v>
      </c>
      <c r="E15939" s="2">
        <v>0</v>
      </c>
      <c r="F15939" s="2">
        <v>0</v>
      </c>
      <c r="G15939" s="2">
        <v>0</v>
      </c>
      <c r="H15939" s="1" t="s">
        <v>0</v>
      </c>
      <c r="I15939" s="2">
        <v>0</v>
      </c>
      <c r="J15939" s="1">
        <v>45961.405659722222</v>
      </c>
    </row>
    <row r="15940" spans="1:10" x14ac:dyDescent="0.2">
      <c r="A15940" s="4" t="s">
        <v>1</v>
      </c>
      <c r="B15940" s="3" t="str">
        <f>HYPERLINK("https://otsuka-europe-crm.veevavault.com/ui/#object/approved_document__v/V5OZ025E82U16X1", "LUP - Poster Deep Response - nefro")</f>
        <v>LUP - Poster Deep Response - nefro</v>
      </c>
      <c r="C15940" s="3" t="str">
        <f>HYPERLINK("https://otsuka-europe-crm.veevavault.com/ui/#object/sent_email__v/VBL000000005186", "SE-001379996")</f>
        <v>SE-001379996</v>
      </c>
      <c r="D15940" s="1" t="s">
        <v>0</v>
      </c>
      <c r="E15940" s="2">
        <v>0</v>
      </c>
      <c r="F15940" s="2">
        <v>0</v>
      </c>
      <c r="G15940" s="2">
        <v>0</v>
      </c>
      <c r="H15940" s="1" t="s">
        <v>0</v>
      </c>
      <c r="I15940" s="2">
        <v>0</v>
      </c>
      <c r="J15940" s="1">
        <v>45961.405659722222</v>
      </c>
    </row>
    <row r="15941" spans="1:10" x14ac:dyDescent="0.2">
      <c r="A15941" s="4" t="s">
        <v>1</v>
      </c>
      <c r="B15941" s="3" t="str">
        <f>HYPERLINK("https://otsuka-europe-crm.veevavault.com/ui/#object/approved_document__v/V5OZ025E82U16X1", "LUP - Poster Deep Response - nefro")</f>
        <v>LUP - Poster Deep Response - nefro</v>
      </c>
      <c r="C15941" s="3" t="str">
        <f>HYPERLINK("https://otsuka-europe-crm.veevavault.com/ui/#object/sent_email__v/VBL000000005187", "SE-001379997")</f>
        <v>SE-001379997</v>
      </c>
      <c r="D15941" s="1" t="s">
        <v>0</v>
      </c>
      <c r="E15941" s="2">
        <v>0</v>
      </c>
      <c r="F15941" s="2">
        <v>0</v>
      </c>
      <c r="G15941" s="2">
        <v>0</v>
      </c>
      <c r="H15941" s="1" t="s">
        <v>0</v>
      </c>
      <c r="I15941" s="2">
        <v>0</v>
      </c>
      <c r="J15941" s="1">
        <v>45961.405659722222</v>
      </c>
    </row>
    <row r="15942" spans="1:10" x14ac:dyDescent="0.2">
      <c r="A15942" s="4" t="s">
        <v>1</v>
      </c>
      <c r="B15942" s="3" t="str">
        <f>HYPERLINK("https://otsuka-europe-crm.veevavault.com/ui/#object/approved_document__v/V5OZ025E82U16X1", "LUP - Poster Deep Response - nefro")</f>
        <v>LUP - Poster Deep Response - nefro</v>
      </c>
      <c r="C15942" s="3" t="str">
        <f>HYPERLINK("https://otsuka-europe-crm.veevavault.com/ui/#object/sent_email__v/VBL000000005188", "SE-001379998")</f>
        <v>SE-001379998</v>
      </c>
      <c r="D15942" s="1" t="s">
        <v>0</v>
      </c>
      <c r="E15942" s="2">
        <v>0</v>
      </c>
      <c r="F15942" s="2">
        <v>0</v>
      </c>
      <c r="G15942" s="2">
        <v>0</v>
      </c>
      <c r="H15942" s="1" t="s">
        <v>0</v>
      </c>
      <c r="I15942" s="2">
        <v>0</v>
      </c>
      <c r="J15942" s="1">
        <v>45961.405648148146</v>
      </c>
    </row>
    <row r="15943" spans="1:10" x14ac:dyDescent="0.2">
      <c r="A15943" s="4" t="s">
        <v>1</v>
      </c>
      <c r="B15943" s="3" t="str">
        <f>HYPERLINK("https://otsuka-europe-crm.veevavault.com/ui/#object/approved_document__v/V5OZ025E82U16X1", "LUP - Poster Deep Response - nefro")</f>
        <v>LUP - Poster Deep Response - nefro</v>
      </c>
      <c r="C15943" s="3" t="str">
        <f>HYPERLINK("https://otsuka-europe-crm.veevavault.com/ui/#object/sent_email__v/VBL000000005189", "SE-001379999")</f>
        <v>SE-001379999</v>
      </c>
      <c r="D15943" s="1" t="s">
        <v>0</v>
      </c>
      <c r="E15943" s="2">
        <v>0</v>
      </c>
      <c r="F15943" s="2">
        <v>0</v>
      </c>
      <c r="G15943" s="2">
        <v>0</v>
      </c>
      <c r="H15943" s="1" t="s">
        <v>0</v>
      </c>
      <c r="I15943" s="2">
        <v>0</v>
      </c>
      <c r="J15943" s="1">
        <v>45961.405659722222</v>
      </c>
    </row>
    <row r="15944" spans="1:10" x14ac:dyDescent="0.2">
      <c r="A15944" s="4" t="s">
        <v>1</v>
      </c>
      <c r="B15944" s="3" t="str">
        <f>HYPERLINK("https://otsuka-europe-crm.veevavault.com/ui/#object/approved_document__v/V5OZ025E82U16X1", "LUP - Poster Deep Response - nefro")</f>
        <v>LUP - Poster Deep Response - nefro</v>
      </c>
      <c r="C15944" s="3" t="str">
        <f>HYPERLINK("https://otsuka-europe-crm.veevavault.com/ui/#object/sent_email__v/VBL000000005190", "SE-001380000")</f>
        <v>SE-001380000</v>
      </c>
      <c r="D15944" s="1" t="s">
        <v>0</v>
      </c>
      <c r="E15944" s="2">
        <v>0</v>
      </c>
      <c r="F15944" s="2">
        <v>0</v>
      </c>
      <c r="G15944" s="2">
        <v>0</v>
      </c>
      <c r="H15944" s="1" t="s">
        <v>0</v>
      </c>
      <c r="I15944" s="2">
        <v>0</v>
      </c>
      <c r="J15944" s="1">
        <v>45961.405659722222</v>
      </c>
    </row>
    <row r="15945" spans="1:10" x14ac:dyDescent="0.2">
      <c r="A15945" s="4" t="s">
        <v>1</v>
      </c>
      <c r="B15945" s="3" t="str">
        <f>HYPERLINK("https://otsuka-europe-crm.veevavault.com/ui/#object/approved_document__v/V5OZ025E82U16X1", "LUP - Poster Deep Response - nefro")</f>
        <v>LUP - Poster Deep Response - nefro</v>
      </c>
      <c r="C15945" s="3" t="str">
        <f>HYPERLINK("https://otsuka-europe-crm.veevavault.com/ui/#object/sent_email__v/VBL000000005191", "SE-001380001")</f>
        <v>SE-001380001</v>
      </c>
      <c r="D15945" s="1" t="s">
        <v>0</v>
      </c>
      <c r="E15945" s="2">
        <v>0</v>
      </c>
      <c r="F15945" s="2">
        <v>0</v>
      </c>
      <c r="G15945" s="2">
        <v>0</v>
      </c>
      <c r="H15945" s="1" t="s">
        <v>0</v>
      </c>
      <c r="I15945" s="2">
        <v>0</v>
      </c>
      <c r="J15945" s="1">
        <v>45961.405659722222</v>
      </c>
    </row>
    <row r="15946" spans="1:10" x14ac:dyDescent="0.2">
      <c r="A15946" s="4" t="s">
        <v>1</v>
      </c>
      <c r="B15946" s="3" t="str">
        <f>HYPERLINK("https://otsuka-europe-crm.veevavault.com/ui/#object/approved_document__v/V5OZ025E82U16X1", "LUP - Poster Deep Response - nefro")</f>
        <v>LUP - Poster Deep Response - nefro</v>
      </c>
      <c r="C15946" s="3" t="str">
        <f>HYPERLINK("https://otsuka-europe-crm.veevavault.com/ui/#object/sent_email__v/VBL000000005192", "SE-001380002")</f>
        <v>SE-001380002</v>
      </c>
      <c r="D15946" s="1" t="s">
        <v>0</v>
      </c>
      <c r="E15946" s="2">
        <v>0</v>
      </c>
      <c r="F15946" s="2">
        <v>0</v>
      </c>
      <c r="G15946" s="2">
        <v>0</v>
      </c>
      <c r="H15946" s="1" t="s">
        <v>0</v>
      </c>
      <c r="I15946" s="2">
        <v>0</v>
      </c>
      <c r="J15946" s="1">
        <v>45961.405659722222</v>
      </c>
    </row>
    <row r="15947" spans="1:10" x14ac:dyDescent="0.2">
      <c r="A15947" s="4" t="s">
        <v>1</v>
      </c>
      <c r="B15947" s="3" t="str">
        <f>HYPERLINK("https://otsuka-europe-crm.veevavault.com/ui/#object/approved_document__v/V5OZ025E82U16X1", "LUP - Poster Deep Response - nefro")</f>
        <v>LUP - Poster Deep Response - nefro</v>
      </c>
      <c r="C15947" s="3" t="str">
        <f>HYPERLINK("https://otsuka-europe-crm.veevavault.com/ui/#object/sent_email__v/VBL000000005193", "SE-001380003")</f>
        <v>SE-001380003</v>
      </c>
      <c r="D15947" s="1" t="s">
        <v>0</v>
      </c>
      <c r="E15947" s="2">
        <v>0</v>
      </c>
      <c r="F15947" s="2">
        <v>0</v>
      </c>
      <c r="G15947" s="2">
        <v>0</v>
      </c>
      <c r="H15947" s="1" t="s">
        <v>0</v>
      </c>
      <c r="I15947" s="2">
        <v>0</v>
      </c>
      <c r="J15947" s="1">
        <v>45961.405659722222</v>
      </c>
    </row>
    <row r="15948" spans="1:10" x14ac:dyDescent="0.2">
      <c r="A15948" s="4" t="s">
        <v>1</v>
      </c>
      <c r="B15948" s="3" t="str">
        <f>HYPERLINK("https://otsuka-europe-crm.veevavault.com/ui/#object/approved_document__v/V5OZ025E82U16X1", "LUP - Poster Deep Response - nefro")</f>
        <v>LUP - Poster Deep Response - nefro</v>
      </c>
      <c r="C15948" s="3" t="str">
        <f>HYPERLINK("https://otsuka-europe-crm.veevavault.com/ui/#object/sent_email__v/VBL000000005194", "SE-001380004")</f>
        <v>SE-001380004</v>
      </c>
      <c r="D15948" s="1" t="s">
        <v>0</v>
      </c>
      <c r="E15948" s="2">
        <v>0</v>
      </c>
      <c r="F15948" s="2">
        <v>0</v>
      </c>
      <c r="G15948" s="2">
        <v>0</v>
      </c>
      <c r="H15948" s="1" t="s">
        <v>0</v>
      </c>
      <c r="I15948" s="2">
        <v>0</v>
      </c>
      <c r="J15948" s="1">
        <v>45961.405659722222</v>
      </c>
    </row>
    <row r="15949" spans="1:10" x14ac:dyDescent="0.2">
      <c r="A15949" s="4" t="s">
        <v>1</v>
      </c>
      <c r="B15949" s="3" t="str">
        <f>HYPERLINK("https://otsuka-europe-crm.veevavault.com/ui/#object/approved_document__v/V5OZ025E82U16X1", "LUP - Poster Deep Response - nefro")</f>
        <v>LUP - Poster Deep Response - nefro</v>
      </c>
      <c r="C15949" s="3" t="str">
        <f>HYPERLINK("https://otsuka-europe-crm.veevavault.com/ui/#object/sent_email__v/VBL000000005195", "SE-001380005")</f>
        <v>SE-001380005</v>
      </c>
      <c r="D15949" s="1" t="s">
        <v>0</v>
      </c>
      <c r="E15949" s="2">
        <v>0</v>
      </c>
      <c r="F15949" s="2">
        <v>0</v>
      </c>
      <c r="G15949" s="2">
        <v>0</v>
      </c>
      <c r="H15949" s="1" t="s">
        <v>0</v>
      </c>
      <c r="I15949" s="2">
        <v>0</v>
      </c>
      <c r="J15949" s="1">
        <v>45961.405659722222</v>
      </c>
    </row>
    <row r="15950" spans="1:10" x14ac:dyDescent="0.2">
      <c r="A15950" s="4" t="s">
        <v>1</v>
      </c>
      <c r="B15950" s="3" t="str">
        <f>HYPERLINK("https://otsuka-europe-crm.veevavault.com/ui/#object/approved_document__v/V5OZ025E82U16X1", "LUP - Poster Deep Response - nefro")</f>
        <v>LUP - Poster Deep Response - nefro</v>
      </c>
      <c r="C15950" s="3" t="str">
        <f>HYPERLINK("https://otsuka-europe-crm.veevavault.com/ui/#object/sent_email__v/VBL000000005196", "SE-001380006")</f>
        <v>SE-001380006</v>
      </c>
      <c r="D15950" s="1" t="s">
        <v>0</v>
      </c>
      <c r="E15950" s="2">
        <v>0</v>
      </c>
      <c r="F15950" s="2">
        <v>0</v>
      </c>
      <c r="G15950" s="2">
        <v>0</v>
      </c>
      <c r="H15950" s="1" t="s">
        <v>0</v>
      </c>
      <c r="I15950" s="2">
        <v>0</v>
      </c>
      <c r="J15950" s="1">
        <v>45961.405659722222</v>
      </c>
    </row>
    <row r="15951" spans="1:10" x14ac:dyDescent="0.2">
      <c r="A15951" s="4" t="s">
        <v>1</v>
      </c>
      <c r="B15951" s="3" t="str">
        <f>HYPERLINK("https://otsuka-europe-crm.veevavault.com/ui/#object/approved_document__v/V5OZ025E82U16X1", "LUP - Poster Deep Response - nefro")</f>
        <v>LUP - Poster Deep Response - nefro</v>
      </c>
      <c r="C15951" s="3" t="str">
        <f>HYPERLINK("https://otsuka-europe-crm.veevavault.com/ui/#object/sent_email__v/VBL000000005197", "SE-001380007")</f>
        <v>SE-001380007</v>
      </c>
      <c r="D15951" s="1" t="s">
        <v>0</v>
      </c>
      <c r="E15951" s="2">
        <v>0</v>
      </c>
      <c r="F15951" s="2">
        <v>0</v>
      </c>
      <c r="G15951" s="2">
        <v>0</v>
      </c>
      <c r="H15951" s="1" t="s">
        <v>0</v>
      </c>
      <c r="I15951" s="2">
        <v>0</v>
      </c>
      <c r="J15951" s="1">
        <v>45961.405659722222</v>
      </c>
    </row>
    <row r="15952" spans="1:10" x14ac:dyDescent="0.2">
      <c r="A15952" s="4" t="s">
        <v>1</v>
      </c>
      <c r="B15952" s="3" t="str">
        <f>HYPERLINK("https://otsuka-europe-crm.veevavault.com/ui/#object/approved_document__v/V5OZ025E82U16X1", "LUP - Poster Deep Response - nefro")</f>
        <v>LUP - Poster Deep Response - nefro</v>
      </c>
      <c r="C15952" s="3" t="str">
        <f>HYPERLINK("https://otsuka-europe-crm.veevavault.com/ui/#object/sent_email__v/VBL000000005198", "SE-001380008")</f>
        <v>SE-001380008</v>
      </c>
      <c r="D15952" s="1" t="s">
        <v>0</v>
      </c>
      <c r="E15952" s="2">
        <v>0</v>
      </c>
      <c r="F15952" s="2">
        <v>0</v>
      </c>
      <c r="G15952" s="2">
        <v>0</v>
      </c>
      <c r="H15952" s="1" t="s">
        <v>0</v>
      </c>
      <c r="I15952" s="2">
        <v>0</v>
      </c>
      <c r="J15952" s="1">
        <v>45961.405659722222</v>
      </c>
    </row>
    <row r="15953" spans="1:10" x14ac:dyDescent="0.2">
      <c r="A15953" s="4" t="s">
        <v>1</v>
      </c>
      <c r="B15953" s="3" t="str">
        <f>HYPERLINK("https://otsuka-europe-crm.veevavault.com/ui/#object/approved_document__v/V5OZ025E82U16X1", "LUP - Poster Deep Response - nefro")</f>
        <v>LUP - Poster Deep Response - nefro</v>
      </c>
      <c r="C15953" s="3" t="str">
        <f>HYPERLINK("https://otsuka-europe-crm.veevavault.com/ui/#object/sent_email__v/VBL000000005199", "SE-001380009")</f>
        <v>SE-001380009</v>
      </c>
      <c r="D15953" s="1" t="s">
        <v>0</v>
      </c>
      <c r="E15953" s="2">
        <v>0</v>
      </c>
      <c r="F15953" s="2">
        <v>0</v>
      </c>
      <c r="G15953" s="2">
        <v>0</v>
      </c>
      <c r="H15953" s="1" t="s">
        <v>0</v>
      </c>
      <c r="I15953" s="2">
        <v>0</v>
      </c>
      <c r="J15953" s="1">
        <v>45961.405659722222</v>
      </c>
    </row>
    <row r="15954" spans="1:10" x14ac:dyDescent="0.2">
      <c r="A15954" s="4" t="s">
        <v>1</v>
      </c>
      <c r="B15954" s="3" t="str">
        <f>HYPERLINK("https://otsuka-europe-crm.veevavault.com/ui/#object/approved_document__v/V5OZ025E82U16X1", "LUP - Poster Deep Response - nefro")</f>
        <v>LUP - Poster Deep Response - nefro</v>
      </c>
      <c r="C15954" s="3" t="str">
        <f>HYPERLINK("https://otsuka-europe-crm.veevavault.com/ui/#object/sent_email__v/VBL000000005200", "SE-001380010")</f>
        <v>SE-001380010</v>
      </c>
      <c r="D15954" s="1" t="s">
        <v>0</v>
      </c>
      <c r="E15954" s="2">
        <v>0</v>
      </c>
      <c r="F15954" s="2">
        <v>0</v>
      </c>
      <c r="G15954" s="2">
        <v>0</v>
      </c>
      <c r="H15954" s="1" t="s">
        <v>0</v>
      </c>
      <c r="I15954" s="2">
        <v>0</v>
      </c>
      <c r="J15954" s="1">
        <v>45961.405659722222</v>
      </c>
    </row>
    <row r="15955" spans="1:10" x14ac:dyDescent="0.2">
      <c r="A15955" s="4" t="s">
        <v>1</v>
      </c>
      <c r="B15955" s="3" t="str">
        <f>HYPERLINK("https://otsuka-europe-crm.veevavault.com/ui/#object/approved_document__v/V5OZ025E82U16X1", "LUP - Poster Deep Response - nefro")</f>
        <v>LUP - Poster Deep Response - nefro</v>
      </c>
      <c r="C15955" s="3" t="str">
        <f>HYPERLINK("https://otsuka-europe-crm.veevavault.com/ui/#object/sent_email__v/VBL000000005201", "SE-001380011")</f>
        <v>SE-001380011</v>
      </c>
      <c r="D15955" s="1" t="s">
        <v>0</v>
      </c>
      <c r="E15955" s="2">
        <v>0</v>
      </c>
      <c r="F15955" s="2">
        <v>0</v>
      </c>
      <c r="G15955" s="2">
        <v>0</v>
      </c>
      <c r="H15955" s="1" t="s">
        <v>0</v>
      </c>
      <c r="I15955" s="2">
        <v>0</v>
      </c>
      <c r="J15955" s="1">
        <v>45961.405659722222</v>
      </c>
    </row>
    <row r="15956" spans="1:10" x14ac:dyDescent="0.2">
      <c r="A15956" s="4" t="s">
        <v>1</v>
      </c>
      <c r="B15956" s="3" t="str">
        <f>HYPERLINK("https://otsuka-europe-crm.veevavault.com/ui/#object/approved_document__v/V5OZ025E82U16X1", "LUP - Poster Deep Response - nefro")</f>
        <v>LUP - Poster Deep Response - nefro</v>
      </c>
      <c r="C15956" s="3" t="str">
        <f>HYPERLINK("https://otsuka-europe-crm.veevavault.com/ui/#object/sent_email__v/VBL000000005202", "SE-001380012")</f>
        <v>SE-001380012</v>
      </c>
      <c r="D15956" s="1" t="s">
        <v>0</v>
      </c>
      <c r="E15956" s="2">
        <v>0</v>
      </c>
      <c r="F15956" s="2">
        <v>0</v>
      </c>
      <c r="G15956" s="2">
        <v>0</v>
      </c>
      <c r="H15956" s="1" t="s">
        <v>0</v>
      </c>
      <c r="I15956" s="2">
        <v>0</v>
      </c>
      <c r="J15956" s="1">
        <v>45961.405659722222</v>
      </c>
    </row>
    <row r="15957" spans="1:10" x14ac:dyDescent="0.2">
      <c r="A15957" s="4" t="s">
        <v>1</v>
      </c>
      <c r="B15957" s="3" t="str">
        <f>HYPERLINK("https://otsuka-europe-crm.veevavault.com/ui/#object/approved_document__v/V5OZ025E82U16X1", "LUP - Poster Deep Response - nefro")</f>
        <v>LUP - Poster Deep Response - nefro</v>
      </c>
      <c r="C15957" s="3" t="str">
        <f>HYPERLINK("https://otsuka-europe-crm.veevavault.com/ui/#object/sent_email__v/VBL000000005203", "SE-001380013")</f>
        <v>SE-001380013</v>
      </c>
      <c r="D15957" s="1" t="s">
        <v>0</v>
      </c>
      <c r="E15957" s="2">
        <v>0</v>
      </c>
      <c r="F15957" s="2">
        <v>0</v>
      </c>
      <c r="G15957" s="2">
        <v>0</v>
      </c>
      <c r="H15957" s="1" t="s">
        <v>0</v>
      </c>
      <c r="I15957" s="2">
        <v>0</v>
      </c>
      <c r="J15957" s="1">
        <v>45961.405682870369</v>
      </c>
    </row>
    <row r="15958" spans="1:10" x14ac:dyDescent="0.2">
      <c r="A15958" s="4" t="s">
        <v>1</v>
      </c>
      <c r="B15958" s="3" t="str">
        <f>HYPERLINK("https://otsuka-europe-crm.veevavault.com/ui/#object/approved_document__v/V5OZ025E82U16X1", "LUP - Poster Deep Response - nefro")</f>
        <v>LUP - Poster Deep Response - nefro</v>
      </c>
      <c r="C15958" s="3" t="str">
        <f>HYPERLINK("https://otsuka-europe-crm.veevavault.com/ui/#object/sent_email__v/VBL000000005204", "SE-001380014")</f>
        <v>SE-001380014</v>
      </c>
      <c r="D15958" s="1" t="s">
        <v>0</v>
      </c>
      <c r="E15958" s="2">
        <v>0</v>
      </c>
      <c r="F15958" s="2">
        <v>0</v>
      </c>
      <c r="G15958" s="2">
        <v>0</v>
      </c>
      <c r="H15958" s="1" t="s">
        <v>0</v>
      </c>
      <c r="I15958" s="2">
        <v>0</v>
      </c>
      <c r="J15958" s="1">
        <v>45961.405682870369</v>
      </c>
    </row>
    <row r="15959" spans="1:10" x14ac:dyDescent="0.2">
      <c r="A15959" s="4" t="s">
        <v>1</v>
      </c>
      <c r="B15959" s="3" t="str">
        <f>HYPERLINK("https://otsuka-europe-crm.veevavault.com/ui/#object/approved_document__v/V5OZ025E82U16X1", "LUP - Poster Deep Response - nefro")</f>
        <v>LUP - Poster Deep Response - nefro</v>
      </c>
      <c r="C15959" s="3" t="str">
        <f>HYPERLINK("https://otsuka-europe-crm.veevavault.com/ui/#object/sent_email__v/VBL000000005205", "SE-001380015")</f>
        <v>SE-001380015</v>
      </c>
      <c r="D15959" s="1" t="s">
        <v>0</v>
      </c>
      <c r="E15959" s="2">
        <v>0</v>
      </c>
      <c r="F15959" s="2">
        <v>0</v>
      </c>
      <c r="G15959" s="2">
        <v>0</v>
      </c>
      <c r="H15959" s="1" t="s">
        <v>0</v>
      </c>
      <c r="I15959" s="2">
        <v>0</v>
      </c>
      <c r="J15959" s="1">
        <v>45961.405682870369</v>
      </c>
    </row>
    <row r="15960" spans="1:10" x14ac:dyDescent="0.2">
      <c r="A15960" s="4" t="s">
        <v>1</v>
      </c>
      <c r="B15960" s="3" t="str">
        <f>HYPERLINK("https://otsuka-europe-crm.veevavault.com/ui/#object/approved_document__v/V5OZ025E82U16X1", "LUP - Poster Deep Response - nefro")</f>
        <v>LUP - Poster Deep Response - nefro</v>
      </c>
      <c r="C15960" s="3" t="str">
        <f>HYPERLINK("https://otsuka-europe-crm.veevavault.com/ui/#object/sent_email__v/VBL000000005206", "SE-001380016")</f>
        <v>SE-001380016</v>
      </c>
      <c r="D15960" s="1" t="s">
        <v>0</v>
      </c>
      <c r="E15960" s="2">
        <v>0</v>
      </c>
      <c r="F15960" s="2">
        <v>0</v>
      </c>
      <c r="G15960" s="2">
        <v>0</v>
      </c>
      <c r="H15960" s="1" t="s">
        <v>0</v>
      </c>
      <c r="I15960" s="2">
        <v>0</v>
      </c>
      <c r="J15960" s="1">
        <v>45961.405682870369</v>
      </c>
    </row>
    <row r="15961" spans="1:10" x14ac:dyDescent="0.2">
      <c r="A15961" s="4" t="s">
        <v>1</v>
      </c>
      <c r="B15961" s="3" t="str">
        <f>HYPERLINK("https://otsuka-europe-crm.veevavault.com/ui/#object/approved_document__v/V5OZ025E82U16X1", "LUP - Poster Deep Response - nefro")</f>
        <v>LUP - Poster Deep Response - nefro</v>
      </c>
      <c r="C15961" s="3" t="str">
        <f>HYPERLINK("https://otsuka-europe-crm.veevavault.com/ui/#object/sent_email__v/VBL000000005207", "SE-001380017")</f>
        <v>SE-001380017</v>
      </c>
      <c r="D15961" s="1" t="s">
        <v>0</v>
      </c>
      <c r="E15961" s="2">
        <v>0</v>
      </c>
      <c r="F15961" s="2">
        <v>0</v>
      </c>
      <c r="G15961" s="2">
        <v>0</v>
      </c>
      <c r="H15961" s="1" t="s">
        <v>0</v>
      </c>
      <c r="I15961" s="2">
        <v>0</v>
      </c>
      <c r="J15961" s="1">
        <v>45961.405682870369</v>
      </c>
    </row>
    <row r="15962" spans="1:10" x14ac:dyDescent="0.2">
      <c r="A15962" s="4" t="s">
        <v>1</v>
      </c>
      <c r="B15962" s="3" t="str">
        <f>HYPERLINK("https://otsuka-europe-crm.veevavault.com/ui/#object/approved_document__v/V5OZ025E82U16X1", "LUP - Poster Deep Response - nefro")</f>
        <v>LUP - Poster Deep Response - nefro</v>
      </c>
      <c r="C15962" s="3" t="str">
        <f>HYPERLINK("https://otsuka-europe-crm.veevavault.com/ui/#object/sent_email__v/VBL000000005208", "SE-001380018")</f>
        <v>SE-001380018</v>
      </c>
      <c r="D15962" s="1" t="s">
        <v>0</v>
      </c>
      <c r="E15962" s="2">
        <v>0</v>
      </c>
      <c r="F15962" s="2">
        <v>0</v>
      </c>
      <c r="G15962" s="2">
        <v>0</v>
      </c>
      <c r="H15962" s="1" t="s">
        <v>0</v>
      </c>
      <c r="I15962" s="2">
        <v>0</v>
      </c>
      <c r="J15962" s="1">
        <v>45961.405682870369</v>
      </c>
    </row>
    <row r="15963" spans="1:10" x14ac:dyDescent="0.2">
      <c r="A15963" s="4" t="s">
        <v>1</v>
      </c>
      <c r="B15963" s="3" t="str">
        <f>HYPERLINK("https://otsuka-europe-crm.veevavault.com/ui/#object/approved_document__v/V5OZ025E82U16X1", "LUP - Poster Deep Response - nefro")</f>
        <v>LUP - Poster Deep Response - nefro</v>
      </c>
      <c r="C15963" s="3" t="str">
        <f>HYPERLINK("https://otsuka-europe-crm.veevavault.com/ui/#object/sent_email__v/VBL000000005209", "SE-001380019")</f>
        <v>SE-001380019</v>
      </c>
      <c r="D15963" s="1" t="s">
        <v>0</v>
      </c>
      <c r="E15963" s="2">
        <v>0</v>
      </c>
      <c r="F15963" s="2">
        <v>0</v>
      </c>
      <c r="G15963" s="2">
        <v>0</v>
      </c>
      <c r="H15963" s="1" t="s">
        <v>0</v>
      </c>
      <c r="I15963" s="2">
        <v>0</v>
      </c>
      <c r="J15963" s="1">
        <v>45961.405682870369</v>
      </c>
    </row>
    <row r="15964" spans="1:10" x14ac:dyDescent="0.2">
      <c r="A15964" s="4" t="s">
        <v>1</v>
      </c>
      <c r="B15964" s="3" t="str">
        <f>HYPERLINK("https://otsuka-europe-crm.veevavault.com/ui/#object/approved_document__v/V5OZ025E82U16X1", "LUP - Poster Deep Response - nefro")</f>
        <v>LUP - Poster Deep Response - nefro</v>
      </c>
      <c r="C15964" s="3" t="str">
        <f>HYPERLINK("https://otsuka-europe-crm.veevavault.com/ui/#object/sent_email__v/VBL000000005210", "SE-001380020")</f>
        <v>SE-001380020</v>
      </c>
      <c r="D15964" s="1" t="s">
        <v>0</v>
      </c>
      <c r="E15964" s="2">
        <v>0</v>
      </c>
      <c r="F15964" s="2">
        <v>0</v>
      </c>
      <c r="G15964" s="2">
        <v>0</v>
      </c>
      <c r="H15964" s="1" t="s">
        <v>0</v>
      </c>
      <c r="I15964" s="2">
        <v>0</v>
      </c>
      <c r="J15964" s="1">
        <v>45961.405682870369</v>
      </c>
    </row>
    <row r="15965" spans="1:10" x14ac:dyDescent="0.2">
      <c r="A15965" s="4" t="s">
        <v>1</v>
      </c>
      <c r="B15965" s="3" t="str">
        <f>HYPERLINK("https://otsuka-europe-crm.veevavault.com/ui/#object/approved_document__v/V5OZ025E82U16X1", "LUP - Poster Deep Response - nefro")</f>
        <v>LUP - Poster Deep Response - nefro</v>
      </c>
      <c r="C15965" s="3" t="str">
        <f>HYPERLINK("https://otsuka-europe-crm.veevavault.com/ui/#object/sent_email__v/VBL000000005211", "SE-001380021")</f>
        <v>SE-001380021</v>
      </c>
      <c r="D15965" s="1" t="s">
        <v>0</v>
      </c>
      <c r="E15965" s="2">
        <v>0</v>
      </c>
      <c r="F15965" s="2">
        <v>0</v>
      </c>
      <c r="G15965" s="2">
        <v>0</v>
      </c>
      <c r="H15965" s="1" t="s">
        <v>0</v>
      </c>
      <c r="I15965" s="2">
        <v>0</v>
      </c>
      <c r="J15965" s="1">
        <v>45961.405682870369</v>
      </c>
    </row>
    <row r="15966" spans="1:10" x14ac:dyDescent="0.2">
      <c r="A15966" s="4" t="s">
        <v>1</v>
      </c>
      <c r="B15966" s="3" t="str">
        <f>HYPERLINK("https://otsuka-europe-crm.veevavault.com/ui/#object/approved_document__v/V5OZ025E82U16X1", "LUP - Poster Deep Response - nefro")</f>
        <v>LUP - Poster Deep Response - nefro</v>
      </c>
      <c r="C15966" s="3" t="str">
        <f>HYPERLINK("https://otsuka-europe-crm.veevavault.com/ui/#object/sent_email__v/VBL000000005212", "SE-001380022")</f>
        <v>SE-001380022</v>
      </c>
      <c r="D15966" s="1" t="s">
        <v>0</v>
      </c>
      <c r="E15966" s="2">
        <v>0</v>
      </c>
      <c r="F15966" s="2">
        <v>0</v>
      </c>
      <c r="G15966" s="2">
        <v>0</v>
      </c>
      <c r="H15966" s="1" t="s">
        <v>0</v>
      </c>
      <c r="I15966" s="2">
        <v>0</v>
      </c>
      <c r="J15966" s="1">
        <v>45961.405682870369</v>
      </c>
    </row>
    <row r="15967" spans="1:10" x14ac:dyDescent="0.2">
      <c r="A15967" s="4" t="s">
        <v>1</v>
      </c>
      <c r="B15967" s="3" t="str">
        <f>HYPERLINK("https://otsuka-europe-crm.veevavault.com/ui/#object/approved_document__v/V5OZ025E82U16X1", "LUP - Poster Deep Response - nefro")</f>
        <v>LUP - Poster Deep Response - nefro</v>
      </c>
      <c r="C15967" s="3" t="str">
        <f>HYPERLINK("https://otsuka-europe-crm.veevavault.com/ui/#object/sent_email__v/VBL000000005213", "SE-001380023")</f>
        <v>SE-001380023</v>
      </c>
      <c r="D15967" s="1" t="s">
        <v>0</v>
      </c>
      <c r="E15967" s="2">
        <v>0</v>
      </c>
      <c r="F15967" s="2">
        <v>0</v>
      </c>
      <c r="G15967" s="2">
        <v>0</v>
      </c>
      <c r="H15967" s="1" t="s">
        <v>0</v>
      </c>
      <c r="I15967" s="2">
        <v>0</v>
      </c>
      <c r="J15967" s="1">
        <v>45961.405682870369</v>
      </c>
    </row>
    <row r="15968" spans="1:10" x14ac:dyDescent="0.2">
      <c r="A15968" s="4" t="s">
        <v>1</v>
      </c>
      <c r="B15968" s="3" t="str">
        <f>HYPERLINK("https://otsuka-europe-crm.veevavault.com/ui/#object/approved_document__v/V5OZ025E82U16X1", "LUP - Poster Deep Response - nefro")</f>
        <v>LUP - Poster Deep Response - nefro</v>
      </c>
      <c r="C15968" s="3" t="str">
        <f>HYPERLINK("https://otsuka-europe-crm.veevavault.com/ui/#object/sent_email__v/VBL000000005214", "SE-001380024")</f>
        <v>SE-001380024</v>
      </c>
      <c r="D15968" s="1" t="s">
        <v>0</v>
      </c>
      <c r="E15968" s="2">
        <v>0</v>
      </c>
      <c r="F15968" s="2">
        <v>0</v>
      </c>
      <c r="G15968" s="2">
        <v>0</v>
      </c>
      <c r="H15968" s="1" t="s">
        <v>0</v>
      </c>
      <c r="I15968" s="2">
        <v>0</v>
      </c>
      <c r="J15968" s="1">
        <v>45961.405682870369</v>
      </c>
    </row>
    <row r="15969" spans="1:10" x14ac:dyDescent="0.2">
      <c r="A15969" s="4" t="s">
        <v>1</v>
      </c>
      <c r="B15969" s="3" t="str">
        <f>HYPERLINK("https://otsuka-europe-crm.veevavault.com/ui/#object/approved_document__v/V5OZ025E82U16X1", "LUP - Poster Deep Response - nefro")</f>
        <v>LUP - Poster Deep Response - nefro</v>
      </c>
      <c r="C15969" s="3" t="str">
        <f>HYPERLINK("https://otsuka-europe-crm.veevavault.com/ui/#object/sent_email__v/VBL000000005215", "SE-001380025")</f>
        <v>SE-001380025</v>
      </c>
      <c r="D15969" s="1" t="s">
        <v>0</v>
      </c>
      <c r="E15969" s="2">
        <v>0</v>
      </c>
      <c r="F15969" s="2">
        <v>0</v>
      </c>
      <c r="G15969" s="2">
        <v>0</v>
      </c>
      <c r="H15969" s="1" t="s">
        <v>0</v>
      </c>
      <c r="I15969" s="2">
        <v>0</v>
      </c>
      <c r="J15969" s="1">
        <v>45961.405682870369</v>
      </c>
    </row>
    <row r="15970" spans="1:10" x14ac:dyDescent="0.2">
      <c r="A15970" s="4" t="s">
        <v>1</v>
      </c>
      <c r="B15970" s="3" t="str">
        <f>HYPERLINK("https://otsuka-europe-crm.veevavault.com/ui/#object/approved_document__v/V5OZ025E82U16X1", "LUP - Poster Deep Response - nefro")</f>
        <v>LUP - Poster Deep Response - nefro</v>
      </c>
      <c r="C15970" s="3" t="str">
        <f>HYPERLINK("https://otsuka-europe-crm.veevavault.com/ui/#object/sent_email__v/VBL000000005216", "SE-001380026")</f>
        <v>SE-001380026</v>
      </c>
      <c r="D15970" s="1" t="s">
        <v>0</v>
      </c>
      <c r="E15970" s="2">
        <v>0</v>
      </c>
      <c r="F15970" s="2">
        <v>0</v>
      </c>
      <c r="G15970" s="2">
        <v>0</v>
      </c>
      <c r="H15970" s="1" t="s">
        <v>0</v>
      </c>
      <c r="I15970" s="2">
        <v>0</v>
      </c>
      <c r="J15970" s="1">
        <v>45961.405682870369</v>
      </c>
    </row>
    <row r="15971" spans="1:10" x14ac:dyDescent="0.2">
      <c r="A15971" s="4" t="s">
        <v>1</v>
      </c>
      <c r="B15971" s="3" t="str">
        <f>HYPERLINK("https://otsuka-europe-crm.veevavault.com/ui/#object/approved_document__v/V5OZ025E82U16X1", "LUP - Poster Deep Response - nefro")</f>
        <v>LUP - Poster Deep Response - nefro</v>
      </c>
      <c r="C15971" s="3" t="str">
        <f>HYPERLINK("https://otsuka-europe-crm.veevavault.com/ui/#object/sent_email__v/VBL000000005217", "SE-001380027")</f>
        <v>SE-001380027</v>
      </c>
      <c r="D15971" s="1" t="s">
        <v>0</v>
      </c>
      <c r="E15971" s="2">
        <v>0</v>
      </c>
      <c r="F15971" s="2">
        <v>0</v>
      </c>
      <c r="G15971" s="2">
        <v>0</v>
      </c>
      <c r="H15971" s="1" t="s">
        <v>0</v>
      </c>
      <c r="I15971" s="2">
        <v>0</v>
      </c>
      <c r="J15971" s="1">
        <v>45961.405682870369</v>
      </c>
    </row>
    <row r="15972" spans="1:10" x14ac:dyDescent="0.2">
      <c r="A15972" s="4" t="s">
        <v>1</v>
      </c>
      <c r="B15972" s="3" t="str">
        <f>HYPERLINK("https://otsuka-europe-crm.veevavault.com/ui/#object/approved_document__v/V5OZ025E82U16X1", "LUP - Poster Deep Response - nefro")</f>
        <v>LUP - Poster Deep Response - nefro</v>
      </c>
      <c r="C15972" s="3" t="str">
        <f>HYPERLINK("https://otsuka-europe-crm.veevavault.com/ui/#object/sent_email__v/VBL000000005218", "SE-001380028")</f>
        <v>SE-001380028</v>
      </c>
      <c r="D15972" s="1" t="s">
        <v>0</v>
      </c>
      <c r="E15972" s="2">
        <v>0</v>
      </c>
      <c r="F15972" s="2">
        <v>0</v>
      </c>
      <c r="G15972" s="2">
        <v>0</v>
      </c>
      <c r="H15972" s="1" t="s">
        <v>0</v>
      </c>
      <c r="I15972" s="2">
        <v>0</v>
      </c>
      <c r="J15972" s="1">
        <v>45961.405682870369</v>
      </c>
    </row>
    <row r="15973" spans="1:10" x14ac:dyDescent="0.2">
      <c r="A15973" s="4" t="s">
        <v>1</v>
      </c>
      <c r="B15973" s="3" t="str">
        <f>HYPERLINK("https://otsuka-europe-crm.veevavault.com/ui/#object/approved_document__v/V5OZ025E82U16X1", "LUP - Poster Deep Response - nefro")</f>
        <v>LUP - Poster Deep Response - nefro</v>
      </c>
      <c r="C15973" s="3" t="str">
        <f>HYPERLINK("https://otsuka-europe-crm.veevavault.com/ui/#object/sent_email__v/VBL000000005219", "SE-001380029")</f>
        <v>SE-001380029</v>
      </c>
      <c r="D15973" s="1" t="s">
        <v>0</v>
      </c>
      <c r="E15973" s="2">
        <v>0</v>
      </c>
      <c r="F15973" s="2">
        <v>0</v>
      </c>
      <c r="G15973" s="2">
        <v>0</v>
      </c>
      <c r="H15973" s="1" t="s">
        <v>0</v>
      </c>
      <c r="I15973" s="2">
        <v>0</v>
      </c>
      <c r="J15973" s="1">
        <v>45961.405682870369</v>
      </c>
    </row>
    <row r="15974" spans="1:10" x14ac:dyDescent="0.2">
      <c r="A15974" s="4" t="s">
        <v>1</v>
      </c>
      <c r="B15974" s="3" t="str">
        <f>HYPERLINK("https://otsuka-europe-crm.veevavault.com/ui/#object/approved_document__v/V5OZ025E82U16X1", "LUP - Poster Deep Response - nefro")</f>
        <v>LUP - Poster Deep Response - nefro</v>
      </c>
      <c r="C15974" s="3" t="str">
        <f>HYPERLINK("https://otsuka-europe-crm.veevavault.com/ui/#object/sent_email__v/VBL00000001A166", "SE-001402716")</f>
        <v>SE-001402716</v>
      </c>
      <c r="D15974" s="1">
        <v>46057.888726851852</v>
      </c>
      <c r="E15974" s="2">
        <v>1</v>
      </c>
      <c r="F15974" s="2">
        <v>2</v>
      </c>
      <c r="G15974" s="2">
        <v>0</v>
      </c>
      <c r="H15974" s="1" t="s">
        <v>0</v>
      </c>
      <c r="I15974" s="2">
        <v>0</v>
      </c>
      <c r="J15974" s="1">
        <v>46057.745347222219</v>
      </c>
    </row>
    <row r="15975" spans="1:10" x14ac:dyDescent="0.2">
      <c r="A15975" s="4" t="s">
        <v>1</v>
      </c>
      <c r="B15975" s="3" t="str">
        <f>HYPERLINK("https://otsuka-europe-crm.veevavault.com/ui/#object/approved_document__v/V5OZ025E82U1785", "LUP - Poster Deep Response - reuma")</f>
        <v>LUP - Poster Deep Response - reuma</v>
      </c>
      <c r="C15975" s="3" t="str">
        <f>HYPERLINK("https://otsuka-europe-crm.veevavault.com/ui/#object/sent_email__v/VBLZ025E82H0RST", "SE-000280937")</f>
        <v>SE-000280937</v>
      </c>
      <c r="D15975" s="1">
        <v>45926.275127314817</v>
      </c>
      <c r="E15975" s="2">
        <v>1</v>
      </c>
      <c r="F15975" s="2">
        <v>2</v>
      </c>
      <c r="G15975" s="2">
        <v>0</v>
      </c>
      <c r="H15975" s="1" t="s">
        <v>0</v>
      </c>
      <c r="I15975" s="2">
        <v>0</v>
      </c>
      <c r="J15975" s="1">
        <v>45925.683148148149</v>
      </c>
    </row>
    <row r="15976" spans="1:10" x14ac:dyDescent="0.2">
      <c r="A15976" s="4" t="s">
        <v>1</v>
      </c>
      <c r="B15976" s="3" t="str">
        <f>HYPERLINK("https://otsuka-europe-crm.veevavault.com/ui/#object/approved_document__v/V5OZ025E82U1785", "LUP - Poster Deep Response - reuma")</f>
        <v>LUP - Poster Deep Response - reuma</v>
      </c>
      <c r="C15976" s="3" t="str">
        <f>HYPERLINK("https://otsuka-europe-crm.veevavault.com/ui/#object/sent_email__v/VBL000000005224", "SE-001380034")</f>
        <v>SE-001380034</v>
      </c>
      <c r="D15976" s="1" t="s">
        <v>0</v>
      </c>
      <c r="E15976" s="2">
        <v>0</v>
      </c>
      <c r="F15976" s="2">
        <v>0</v>
      </c>
      <c r="G15976" s="2">
        <v>0</v>
      </c>
      <c r="H15976" s="1" t="s">
        <v>0</v>
      </c>
      <c r="I15976" s="2">
        <v>0</v>
      </c>
      <c r="J15976" s="1">
        <v>45961.406111111108</v>
      </c>
    </row>
    <row r="15977" spans="1:10" x14ac:dyDescent="0.2">
      <c r="A15977" s="4" t="s">
        <v>1</v>
      </c>
      <c r="B15977" s="3" t="str">
        <f>HYPERLINK("https://otsuka-europe-crm.veevavault.com/ui/#object/approved_document__v/V5OZ025E82U1785", "LUP - Poster Deep Response - reuma")</f>
        <v>LUP - Poster Deep Response - reuma</v>
      </c>
      <c r="C15977" s="3" t="str">
        <f>HYPERLINK("https://otsuka-europe-crm.veevavault.com/ui/#object/sent_email__v/VBL000000005225", "SE-001380035")</f>
        <v>SE-001380035</v>
      </c>
      <c r="D15977" s="1" t="s">
        <v>0</v>
      </c>
      <c r="E15977" s="2">
        <v>0</v>
      </c>
      <c r="F15977" s="2">
        <v>0</v>
      </c>
      <c r="G15977" s="2">
        <v>0</v>
      </c>
      <c r="H15977" s="1" t="s">
        <v>0</v>
      </c>
      <c r="I15977" s="2">
        <v>0</v>
      </c>
      <c r="J15977" s="1">
        <v>45961.406111111108</v>
      </c>
    </row>
    <row r="15978" spans="1:10" x14ac:dyDescent="0.2">
      <c r="A15978" s="4" t="s">
        <v>1</v>
      </c>
      <c r="B15978" s="3" t="str">
        <f>HYPERLINK("https://otsuka-europe-crm.veevavault.com/ui/#object/approved_document__v/V5OZ025E82U1785", "LUP - Poster Deep Response - reuma")</f>
        <v>LUP - Poster Deep Response - reuma</v>
      </c>
      <c r="C15978" s="3" t="str">
        <f>HYPERLINK("https://otsuka-europe-crm.veevavault.com/ui/#object/sent_email__v/VBL000000005226", "SE-001380036")</f>
        <v>SE-001380036</v>
      </c>
      <c r="D15978" s="1" t="s">
        <v>0</v>
      </c>
      <c r="E15978" s="2">
        <v>0</v>
      </c>
      <c r="F15978" s="2">
        <v>0</v>
      </c>
      <c r="G15978" s="2">
        <v>0</v>
      </c>
      <c r="H15978" s="1" t="s">
        <v>0</v>
      </c>
      <c r="I15978" s="2">
        <v>0</v>
      </c>
      <c r="J15978" s="1">
        <v>45961.406122685185</v>
      </c>
    </row>
    <row r="15979" spans="1:10" x14ac:dyDescent="0.2">
      <c r="A15979" s="4" t="s">
        <v>1</v>
      </c>
      <c r="B15979" s="3" t="str">
        <f>HYPERLINK("https://otsuka-europe-crm.veevavault.com/ui/#object/approved_document__v/V5OZ025E82U1785", "LUP - Poster Deep Response - reuma")</f>
        <v>LUP - Poster Deep Response - reuma</v>
      </c>
      <c r="C15979" s="3" t="str">
        <f>HYPERLINK("https://otsuka-europe-crm.veevavault.com/ui/#object/sent_email__v/VBL000000005227", "SE-001380037")</f>
        <v>SE-001380037</v>
      </c>
      <c r="D15979" s="1" t="s">
        <v>0</v>
      </c>
      <c r="E15979" s="2">
        <v>0</v>
      </c>
      <c r="F15979" s="2">
        <v>0</v>
      </c>
      <c r="G15979" s="2">
        <v>0</v>
      </c>
      <c r="H15979" s="1" t="s">
        <v>0</v>
      </c>
      <c r="I15979" s="2">
        <v>0</v>
      </c>
      <c r="J15979" s="1">
        <v>45961.406122685185</v>
      </c>
    </row>
    <row r="15980" spans="1:10" x14ac:dyDescent="0.2">
      <c r="A15980" s="4" t="s">
        <v>1</v>
      </c>
      <c r="B15980" s="3" t="str">
        <f>HYPERLINK("https://otsuka-europe-crm.veevavault.com/ui/#object/approved_document__v/V5OZ025E82U1785", "LUP - Poster Deep Response - reuma")</f>
        <v>LUP - Poster Deep Response - reuma</v>
      </c>
      <c r="C15980" s="3" t="str">
        <f>HYPERLINK("https://otsuka-europe-crm.veevavault.com/ui/#object/sent_email__v/VBL000000005228", "SE-001380038")</f>
        <v>SE-001380038</v>
      </c>
      <c r="D15980" s="1" t="s">
        <v>0</v>
      </c>
      <c r="E15980" s="2">
        <v>0</v>
      </c>
      <c r="F15980" s="2">
        <v>0</v>
      </c>
      <c r="G15980" s="2">
        <v>0</v>
      </c>
      <c r="H15980" s="1" t="s">
        <v>0</v>
      </c>
      <c r="I15980" s="2">
        <v>0</v>
      </c>
      <c r="J15980" s="1">
        <v>45961.406122685185</v>
      </c>
    </row>
    <row r="15981" spans="1:10" x14ac:dyDescent="0.2">
      <c r="A15981" s="4" t="s">
        <v>1</v>
      </c>
      <c r="B15981" s="3" t="str">
        <f>HYPERLINK("https://otsuka-europe-crm.veevavault.com/ui/#object/approved_document__v/V5OZ025E82U1785", "LUP - Poster Deep Response - reuma")</f>
        <v>LUP - Poster Deep Response - reuma</v>
      </c>
      <c r="C15981" s="3" t="str">
        <f>HYPERLINK("https://otsuka-europe-crm.veevavault.com/ui/#object/sent_email__v/VBL000000005229", "SE-001380039")</f>
        <v>SE-001380039</v>
      </c>
      <c r="D15981" s="1" t="s">
        <v>0</v>
      </c>
      <c r="E15981" s="2">
        <v>0</v>
      </c>
      <c r="F15981" s="2">
        <v>0</v>
      </c>
      <c r="G15981" s="2">
        <v>0</v>
      </c>
      <c r="H15981" s="1" t="s">
        <v>0</v>
      </c>
      <c r="I15981" s="2">
        <v>0</v>
      </c>
      <c r="J15981" s="1">
        <v>45961.406122685185</v>
      </c>
    </row>
    <row r="15982" spans="1:10" x14ac:dyDescent="0.2">
      <c r="A15982" s="4" t="s">
        <v>1</v>
      </c>
      <c r="B15982" s="3" t="str">
        <f>HYPERLINK("https://otsuka-europe-crm.veevavault.com/ui/#object/approved_document__v/V5OZ025E82U1785", "LUP - Poster Deep Response - reuma")</f>
        <v>LUP - Poster Deep Response - reuma</v>
      </c>
      <c r="C15982" s="3" t="str">
        <f>HYPERLINK("https://otsuka-europe-crm.veevavault.com/ui/#object/sent_email__v/VBL000000005230", "SE-001380040")</f>
        <v>SE-001380040</v>
      </c>
      <c r="D15982" s="1" t="s">
        <v>0</v>
      </c>
      <c r="E15982" s="2">
        <v>0</v>
      </c>
      <c r="F15982" s="2">
        <v>0</v>
      </c>
      <c r="G15982" s="2">
        <v>0</v>
      </c>
      <c r="H15982" s="1" t="s">
        <v>0</v>
      </c>
      <c r="I15982" s="2">
        <v>0</v>
      </c>
      <c r="J15982" s="1">
        <v>45961.406122685185</v>
      </c>
    </row>
    <row r="15983" spans="1:10" x14ac:dyDescent="0.2">
      <c r="A15983" s="4" t="s">
        <v>1</v>
      </c>
      <c r="B15983" s="3" t="str">
        <f>HYPERLINK("https://otsuka-europe-crm.veevavault.com/ui/#object/approved_document__v/V5OZ025E82U1785", "LUP - Poster Deep Response - reuma")</f>
        <v>LUP - Poster Deep Response - reuma</v>
      </c>
      <c r="C15983" s="3" t="str">
        <f>HYPERLINK("https://otsuka-europe-crm.veevavault.com/ui/#object/sent_email__v/VBL000000005231", "SE-001380041")</f>
        <v>SE-001380041</v>
      </c>
      <c r="D15983" s="1" t="s">
        <v>0</v>
      </c>
      <c r="E15983" s="2">
        <v>0</v>
      </c>
      <c r="F15983" s="2">
        <v>0</v>
      </c>
      <c r="G15983" s="2">
        <v>0</v>
      </c>
      <c r="H15983" s="1" t="s">
        <v>0</v>
      </c>
      <c r="I15983" s="2">
        <v>0</v>
      </c>
      <c r="J15983" s="1">
        <v>45961.406122685185</v>
      </c>
    </row>
    <row r="15984" spans="1:10" x14ac:dyDescent="0.2">
      <c r="A15984" s="4" t="s">
        <v>1</v>
      </c>
      <c r="B15984" s="3" t="str">
        <f>HYPERLINK("https://otsuka-europe-crm.veevavault.com/ui/#object/approved_document__v/V5OZ025E82U1785", "LUP - Poster Deep Response - reuma")</f>
        <v>LUP - Poster Deep Response - reuma</v>
      </c>
      <c r="C15984" s="3" t="str">
        <f>HYPERLINK("https://otsuka-europe-crm.veevavault.com/ui/#object/sent_email__v/VBL000000005232", "SE-001380042")</f>
        <v>SE-001380042</v>
      </c>
      <c r="D15984" s="1" t="s">
        <v>0</v>
      </c>
      <c r="E15984" s="2">
        <v>0</v>
      </c>
      <c r="F15984" s="2">
        <v>0</v>
      </c>
      <c r="G15984" s="2">
        <v>0</v>
      </c>
      <c r="H15984" s="1" t="s">
        <v>0</v>
      </c>
      <c r="I15984" s="2">
        <v>0</v>
      </c>
      <c r="J15984" s="1">
        <v>45961.406122685185</v>
      </c>
    </row>
    <row r="15985" spans="1:10" x14ac:dyDescent="0.2">
      <c r="A15985" s="4" t="s">
        <v>1</v>
      </c>
      <c r="B15985" s="3" t="str">
        <f>HYPERLINK("https://otsuka-europe-crm.veevavault.com/ui/#object/approved_document__v/V5OZ025E82U1785", "LUP - Poster Deep Response - reuma")</f>
        <v>LUP - Poster Deep Response - reuma</v>
      </c>
      <c r="C15985" s="3" t="str">
        <f>HYPERLINK("https://otsuka-europe-crm.veevavault.com/ui/#object/sent_email__v/VBL000000005233", "SE-001380043")</f>
        <v>SE-001380043</v>
      </c>
      <c r="D15985" s="1" t="s">
        <v>0</v>
      </c>
      <c r="E15985" s="2">
        <v>0</v>
      </c>
      <c r="F15985" s="2">
        <v>0</v>
      </c>
      <c r="G15985" s="2">
        <v>0</v>
      </c>
      <c r="H15985" s="1" t="s">
        <v>0</v>
      </c>
      <c r="I15985" s="2">
        <v>0</v>
      </c>
      <c r="J15985" s="1">
        <v>45961.406122685185</v>
      </c>
    </row>
    <row r="15986" spans="1:10" x14ac:dyDescent="0.2">
      <c r="A15986" s="4" t="s">
        <v>1</v>
      </c>
      <c r="B15986" s="3" t="str">
        <f>HYPERLINK("https://otsuka-europe-crm.veevavault.com/ui/#object/approved_document__v/V5OZ025E82U1785", "LUP - Poster Deep Response - reuma")</f>
        <v>LUP - Poster Deep Response - reuma</v>
      </c>
      <c r="C15986" s="3" t="str">
        <f>HYPERLINK("https://otsuka-europe-crm.veevavault.com/ui/#object/sent_email__v/VBL000000005234", "SE-001380044")</f>
        <v>SE-001380044</v>
      </c>
      <c r="D15986" s="1" t="s">
        <v>0</v>
      </c>
      <c r="E15986" s="2">
        <v>0</v>
      </c>
      <c r="F15986" s="2">
        <v>0</v>
      </c>
      <c r="G15986" s="2">
        <v>0</v>
      </c>
      <c r="H15986" s="1" t="s">
        <v>0</v>
      </c>
      <c r="I15986" s="2">
        <v>0</v>
      </c>
      <c r="J15986" s="1">
        <v>45961.406122685185</v>
      </c>
    </row>
    <row r="15987" spans="1:10" x14ac:dyDescent="0.2">
      <c r="A15987" s="4" t="s">
        <v>1</v>
      </c>
      <c r="B15987" s="3" t="str">
        <f>HYPERLINK("https://otsuka-europe-crm.veevavault.com/ui/#object/approved_document__v/V5OZ025E82U1785", "LUP - Poster Deep Response - reuma")</f>
        <v>LUP - Poster Deep Response - reuma</v>
      </c>
      <c r="C15987" s="3" t="str">
        <f>HYPERLINK("https://otsuka-europe-crm.veevavault.com/ui/#object/sent_email__v/VBL000000005235", "SE-001380045")</f>
        <v>SE-001380045</v>
      </c>
      <c r="D15987" s="1" t="s">
        <v>0</v>
      </c>
      <c r="E15987" s="2">
        <v>0</v>
      </c>
      <c r="F15987" s="2">
        <v>0</v>
      </c>
      <c r="G15987" s="2">
        <v>0</v>
      </c>
      <c r="H15987" s="1" t="s">
        <v>0</v>
      </c>
      <c r="I15987" s="2">
        <v>0</v>
      </c>
      <c r="J15987" s="1">
        <v>45961.406122685185</v>
      </c>
    </row>
    <row r="15988" spans="1:10" x14ac:dyDescent="0.2">
      <c r="A15988" s="4" t="s">
        <v>1</v>
      </c>
      <c r="B15988" s="3" t="str">
        <f>HYPERLINK("https://otsuka-europe-crm.veevavault.com/ui/#object/approved_document__v/V5OZ025E82U1785", "LUP - Poster Deep Response - reuma")</f>
        <v>LUP - Poster Deep Response - reuma</v>
      </c>
      <c r="C15988" s="3" t="str">
        <f>HYPERLINK("https://otsuka-europe-crm.veevavault.com/ui/#object/sent_email__v/VBL000000005236", "SE-001380046")</f>
        <v>SE-001380046</v>
      </c>
      <c r="D15988" s="1" t="s">
        <v>0</v>
      </c>
      <c r="E15988" s="2">
        <v>0</v>
      </c>
      <c r="F15988" s="2">
        <v>0</v>
      </c>
      <c r="G15988" s="2">
        <v>0</v>
      </c>
      <c r="H15988" s="1" t="s">
        <v>0</v>
      </c>
      <c r="I15988" s="2">
        <v>0</v>
      </c>
      <c r="J15988" s="1">
        <v>45961.406134259261</v>
      </c>
    </row>
    <row r="15989" spans="1:10" x14ac:dyDescent="0.2">
      <c r="A15989" s="4" t="s">
        <v>1</v>
      </c>
      <c r="B15989" s="3" t="str">
        <f>HYPERLINK("https://otsuka-europe-crm.veevavault.com/ui/#object/approved_document__v/V5OZ025E82U1785", "LUP - Poster Deep Response - reuma")</f>
        <v>LUP - Poster Deep Response - reuma</v>
      </c>
      <c r="C15989" s="3" t="str">
        <f>HYPERLINK("https://otsuka-europe-crm.veevavault.com/ui/#object/sent_email__v/VBL000000005237", "SE-001380047")</f>
        <v>SE-001380047</v>
      </c>
      <c r="D15989" s="1" t="s">
        <v>0</v>
      </c>
      <c r="E15989" s="2">
        <v>0</v>
      </c>
      <c r="F15989" s="2">
        <v>0</v>
      </c>
      <c r="G15989" s="2">
        <v>0</v>
      </c>
      <c r="H15989" s="1" t="s">
        <v>0</v>
      </c>
      <c r="I15989" s="2">
        <v>0</v>
      </c>
      <c r="J15989" s="1">
        <v>45961.406122685185</v>
      </c>
    </row>
    <row r="15990" spans="1:10" x14ac:dyDescent="0.2">
      <c r="A15990" s="4" t="s">
        <v>1</v>
      </c>
      <c r="B15990" s="3" t="str">
        <f>HYPERLINK("https://otsuka-europe-crm.veevavault.com/ui/#object/approved_document__v/V5OZ025E82U1785", "LUP - Poster Deep Response - reuma")</f>
        <v>LUP - Poster Deep Response - reuma</v>
      </c>
      <c r="C15990" s="3" t="str">
        <f>HYPERLINK("https://otsuka-europe-crm.veevavault.com/ui/#object/sent_email__v/VBL000000005238", "SE-001380048")</f>
        <v>SE-001380048</v>
      </c>
      <c r="D15990" s="1" t="s">
        <v>0</v>
      </c>
      <c r="E15990" s="2">
        <v>0</v>
      </c>
      <c r="F15990" s="2">
        <v>0</v>
      </c>
      <c r="G15990" s="2">
        <v>0</v>
      </c>
      <c r="H15990" s="1" t="s">
        <v>0</v>
      </c>
      <c r="I15990" s="2">
        <v>0</v>
      </c>
      <c r="J15990" s="1">
        <v>45961.406134259261</v>
      </c>
    </row>
    <row r="15991" spans="1:10" x14ac:dyDescent="0.2">
      <c r="A15991" s="4" t="s">
        <v>1</v>
      </c>
      <c r="B15991" s="3" t="str">
        <f>HYPERLINK("https://otsuka-europe-crm.veevavault.com/ui/#object/approved_document__v/V5OZ025E82U1785", "LUP - Poster Deep Response - reuma")</f>
        <v>LUP - Poster Deep Response - reuma</v>
      </c>
      <c r="C15991" s="3" t="str">
        <f>HYPERLINK("https://otsuka-europe-crm.veevavault.com/ui/#object/sent_email__v/VBL000000005239", "SE-001380049")</f>
        <v>SE-001380049</v>
      </c>
      <c r="D15991" s="1" t="s">
        <v>0</v>
      </c>
      <c r="E15991" s="2">
        <v>0</v>
      </c>
      <c r="F15991" s="2">
        <v>0</v>
      </c>
      <c r="G15991" s="2">
        <v>0</v>
      </c>
      <c r="H15991" s="1" t="s">
        <v>0</v>
      </c>
      <c r="I15991" s="2">
        <v>0</v>
      </c>
      <c r="J15991" s="1">
        <v>45961.406134259261</v>
      </c>
    </row>
    <row r="15992" spans="1:10" x14ac:dyDescent="0.2">
      <c r="A15992" s="4" t="s">
        <v>1</v>
      </c>
      <c r="B15992" s="3" t="str">
        <f>HYPERLINK("https://otsuka-europe-crm.veevavault.com/ui/#object/approved_document__v/V5OZ025E82U1785", "LUP - Poster Deep Response - reuma")</f>
        <v>LUP - Poster Deep Response - reuma</v>
      </c>
      <c r="C15992" s="3" t="str">
        <f>HYPERLINK("https://otsuka-europe-crm.veevavault.com/ui/#object/sent_email__v/VBL000000005240", "SE-001380050")</f>
        <v>SE-001380050</v>
      </c>
      <c r="D15992" s="1" t="s">
        <v>0</v>
      </c>
      <c r="E15992" s="2">
        <v>0</v>
      </c>
      <c r="F15992" s="2">
        <v>0</v>
      </c>
      <c r="G15992" s="2">
        <v>0</v>
      </c>
      <c r="H15992" s="1" t="s">
        <v>0</v>
      </c>
      <c r="I15992" s="2">
        <v>0</v>
      </c>
      <c r="J15992" s="1">
        <v>45961.406145833331</v>
      </c>
    </row>
    <row r="15993" spans="1:10" x14ac:dyDescent="0.2">
      <c r="A15993" s="4" t="s">
        <v>1</v>
      </c>
      <c r="B15993" s="3" t="str">
        <f>HYPERLINK("https://otsuka-europe-crm.veevavault.com/ui/#object/approved_document__v/V5OZ025E82U1785", "LUP - Poster Deep Response - reuma")</f>
        <v>LUP - Poster Deep Response - reuma</v>
      </c>
      <c r="C15993" s="3" t="str">
        <f>HYPERLINK("https://otsuka-europe-crm.veevavault.com/ui/#object/sent_email__v/VBL000000005241", "SE-001380051")</f>
        <v>SE-001380051</v>
      </c>
      <c r="D15993" s="1" t="s">
        <v>0</v>
      </c>
      <c r="E15993" s="2">
        <v>0</v>
      </c>
      <c r="F15993" s="2">
        <v>0</v>
      </c>
      <c r="G15993" s="2">
        <v>0</v>
      </c>
      <c r="H15993" s="1" t="s">
        <v>0</v>
      </c>
      <c r="I15993" s="2">
        <v>0</v>
      </c>
      <c r="J15993" s="1">
        <v>45961.406134259261</v>
      </c>
    </row>
    <row r="15994" spans="1:10" x14ac:dyDescent="0.2">
      <c r="A15994" s="4" t="s">
        <v>1</v>
      </c>
      <c r="B15994" s="3" t="str">
        <f>HYPERLINK("https://otsuka-europe-crm.veevavault.com/ui/#object/approved_document__v/V5OZ025E82U1785", "LUP - Poster Deep Response - reuma")</f>
        <v>LUP - Poster Deep Response - reuma</v>
      </c>
      <c r="C15994" s="3" t="str">
        <f>HYPERLINK("https://otsuka-europe-crm.veevavault.com/ui/#object/sent_email__v/VBL000000005242", "SE-001380052")</f>
        <v>SE-001380052</v>
      </c>
      <c r="D15994" s="1" t="s">
        <v>0</v>
      </c>
      <c r="E15994" s="2">
        <v>0</v>
      </c>
      <c r="F15994" s="2">
        <v>0</v>
      </c>
      <c r="G15994" s="2">
        <v>0</v>
      </c>
      <c r="H15994" s="1" t="s">
        <v>0</v>
      </c>
      <c r="I15994" s="2">
        <v>0</v>
      </c>
      <c r="J15994" s="1">
        <v>45961.406134259261</v>
      </c>
    </row>
    <row r="15995" spans="1:10" x14ac:dyDescent="0.2">
      <c r="A15995" s="4" t="s">
        <v>1</v>
      </c>
      <c r="B15995" s="3" t="str">
        <f>HYPERLINK("https://otsuka-europe-crm.veevavault.com/ui/#object/approved_document__v/V5OZ025E82U1785", "LUP - Poster Deep Response - reuma")</f>
        <v>LUP - Poster Deep Response - reuma</v>
      </c>
      <c r="C15995" s="3" t="str">
        <f>HYPERLINK("https://otsuka-europe-crm.veevavault.com/ui/#object/sent_email__v/VBL000000005243", "SE-001380053")</f>
        <v>SE-001380053</v>
      </c>
      <c r="D15995" s="1" t="s">
        <v>0</v>
      </c>
      <c r="E15995" s="2">
        <v>0</v>
      </c>
      <c r="F15995" s="2">
        <v>0</v>
      </c>
      <c r="G15995" s="2">
        <v>0</v>
      </c>
      <c r="H15995" s="1" t="s">
        <v>0</v>
      </c>
      <c r="I15995" s="2">
        <v>0</v>
      </c>
      <c r="J15995" s="1">
        <v>45961.406134259261</v>
      </c>
    </row>
    <row r="15996" spans="1:10" x14ac:dyDescent="0.2">
      <c r="A15996" s="4" t="s">
        <v>1</v>
      </c>
      <c r="B15996" s="3" t="str">
        <f>HYPERLINK("https://otsuka-europe-crm.veevavault.com/ui/#object/approved_document__v/V5OZ025E82U1785", "LUP - Poster Deep Response - reuma")</f>
        <v>LUP - Poster Deep Response - reuma</v>
      </c>
      <c r="C15996" s="3" t="str">
        <f>HYPERLINK("https://otsuka-europe-crm.veevavault.com/ui/#object/sent_email__v/VBL000000005244", "SE-001380054")</f>
        <v>SE-001380054</v>
      </c>
      <c r="D15996" s="1" t="s">
        <v>0</v>
      </c>
      <c r="E15996" s="2">
        <v>0</v>
      </c>
      <c r="F15996" s="2">
        <v>0</v>
      </c>
      <c r="G15996" s="2">
        <v>0</v>
      </c>
      <c r="H15996" s="1" t="s">
        <v>0</v>
      </c>
      <c r="I15996" s="2">
        <v>0</v>
      </c>
      <c r="J15996" s="1">
        <v>45961.406145833331</v>
      </c>
    </row>
    <row r="15997" spans="1:10" x14ac:dyDescent="0.2">
      <c r="A15997" s="4" t="s">
        <v>1</v>
      </c>
      <c r="B15997" s="3" t="str">
        <f>HYPERLINK("https://otsuka-europe-crm.veevavault.com/ui/#object/approved_document__v/V5OZ025E82U1785", "LUP - Poster Deep Response - reuma")</f>
        <v>LUP - Poster Deep Response - reuma</v>
      </c>
      <c r="C15997" s="3" t="str">
        <f>HYPERLINK("https://otsuka-europe-crm.veevavault.com/ui/#object/sent_email__v/VBL000000005245", "SE-001380055")</f>
        <v>SE-001380055</v>
      </c>
      <c r="D15997" s="1" t="s">
        <v>0</v>
      </c>
      <c r="E15997" s="2">
        <v>0</v>
      </c>
      <c r="F15997" s="2">
        <v>0</v>
      </c>
      <c r="G15997" s="2">
        <v>0</v>
      </c>
      <c r="H15997" s="1" t="s">
        <v>0</v>
      </c>
      <c r="I15997" s="2">
        <v>0</v>
      </c>
      <c r="J15997" s="1">
        <v>45961.406134259261</v>
      </c>
    </row>
    <row r="15998" spans="1:10" x14ac:dyDescent="0.2">
      <c r="A15998" s="4" t="s">
        <v>1</v>
      </c>
      <c r="B15998" s="3" t="str">
        <f>HYPERLINK("https://otsuka-europe-crm.veevavault.com/ui/#object/approved_document__v/V5OZ025E82U1785", "LUP - Poster Deep Response - reuma")</f>
        <v>LUP - Poster Deep Response - reuma</v>
      </c>
      <c r="C15998" s="3" t="str">
        <f>HYPERLINK("https://otsuka-europe-crm.veevavault.com/ui/#object/sent_email__v/VBL000000005246", "SE-001380056")</f>
        <v>SE-001380056</v>
      </c>
      <c r="D15998" s="1" t="s">
        <v>0</v>
      </c>
      <c r="E15998" s="2">
        <v>0</v>
      </c>
      <c r="F15998" s="2">
        <v>0</v>
      </c>
      <c r="G15998" s="2">
        <v>0</v>
      </c>
      <c r="H15998" s="1" t="s">
        <v>0</v>
      </c>
      <c r="I15998" s="2">
        <v>0</v>
      </c>
      <c r="J15998" s="1">
        <v>45961.406145833331</v>
      </c>
    </row>
    <row r="15999" spans="1:10" x14ac:dyDescent="0.2">
      <c r="A15999" s="4" t="s">
        <v>1</v>
      </c>
      <c r="B15999" s="3" t="str">
        <f>HYPERLINK("https://otsuka-europe-crm.veevavault.com/ui/#object/approved_document__v/V5OZ025E82U1785", "LUP - Poster Deep Response - reuma")</f>
        <v>LUP - Poster Deep Response - reuma</v>
      </c>
      <c r="C15999" s="3" t="str">
        <f>HYPERLINK("https://otsuka-europe-crm.veevavault.com/ui/#object/sent_email__v/VBL000000005247", "SE-001380057")</f>
        <v>SE-001380057</v>
      </c>
      <c r="D15999" s="1" t="s">
        <v>0</v>
      </c>
      <c r="E15999" s="2">
        <v>0</v>
      </c>
      <c r="F15999" s="2">
        <v>0</v>
      </c>
      <c r="G15999" s="2">
        <v>0</v>
      </c>
      <c r="H15999" s="1" t="s">
        <v>0</v>
      </c>
      <c r="I15999" s="2">
        <v>0</v>
      </c>
      <c r="J15999" s="1">
        <v>45961.406145833331</v>
      </c>
    </row>
    <row r="16000" spans="1:10" x14ac:dyDescent="0.2">
      <c r="A16000" s="4" t="s">
        <v>1</v>
      </c>
      <c r="B16000" s="3" t="str">
        <f>HYPERLINK("https://otsuka-europe-crm.veevavault.com/ui/#object/approved_document__v/V5OZ025E82U1785", "LUP - Poster Deep Response - reuma")</f>
        <v>LUP - Poster Deep Response - reuma</v>
      </c>
      <c r="C16000" s="3" t="str">
        <f>HYPERLINK("https://otsuka-europe-crm.veevavault.com/ui/#object/sent_email__v/VBL000000005248", "SE-001380058")</f>
        <v>SE-001380058</v>
      </c>
      <c r="D16000" s="1" t="s">
        <v>0</v>
      </c>
      <c r="E16000" s="2">
        <v>0</v>
      </c>
      <c r="F16000" s="2">
        <v>0</v>
      </c>
      <c r="G16000" s="2">
        <v>0</v>
      </c>
      <c r="H16000" s="1" t="s">
        <v>0</v>
      </c>
      <c r="I16000" s="2">
        <v>0</v>
      </c>
      <c r="J16000" s="1">
        <v>45961.406145833331</v>
      </c>
    </row>
    <row r="16001" spans="1:10" x14ac:dyDescent="0.2">
      <c r="A16001" s="4" t="s">
        <v>1</v>
      </c>
      <c r="B16001" s="3" t="str">
        <f>HYPERLINK("https://otsuka-europe-crm.veevavault.com/ui/#object/approved_document__v/V5OZ025E82U1785", "LUP - Poster Deep Response - reuma")</f>
        <v>LUP - Poster Deep Response - reuma</v>
      </c>
      <c r="C16001" s="3" t="str">
        <f>HYPERLINK("https://otsuka-europe-crm.veevavault.com/ui/#object/sent_email__v/VBL000000005249", "SE-001380059")</f>
        <v>SE-001380059</v>
      </c>
      <c r="D16001" s="1" t="s">
        <v>0</v>
      </c>
      <c r="E16001" s="2">
        <v>0</v>
      </c>
      <c r="F16001" s="2">
        <v>0</v>
      </c>
      <c r="G16001" s="2">
        <v>0</v>
      </c>
      <c r="H16001" s="1" t="s">
        <v>0</v>
      </c>
      <c r="I16001" s="2">
        <v>0</v>
      </c>
      <c r="J16001" s="1">
        <v>45961.406145833331</v>
      </c>
    </row>
    <row r="16002" spans="1:10" x14ac:dyDescent="0.2">
      <c r="A16002" s="4" t="s">
        <v>1</v>
      </c>
      <c r="B16002" s="3" t="str">
        <f>HYPERLINK("https://otsuka-europe-crm.veevavault.com/ui/#object/approved_document__v/V5OZ025E82U1785", "LUP - Poster Deep Response - reuma")</f>
        <v>LUP - Poster Deep Response - reuma</v>
      </c>
      <c r="C16002" s="3" t="str">
        <f>HYPERLINK("https://otsuka-europe-crm.veevavault.com/ui/#object/sent_email__v/VBL000000005250", "SE-001380060")</f>
        <v>SE-001380060</v>
      </c>
      <c r="D16002" s="1" t="s">
        <v>0</v>
      </c>
      <c r="E16002" s="2">
        <v>0</v>
      </c>
      <c r="F16002" s="2">
        <v>0</v>
      </c>
      <c r="G16002" s="2">
        <v>0</v>
      </c>
      <c r="H16002" s="1" t="s">
        <v>0</v>
      </c>
      <c r="I16002" s="2">
        <v>0</v>
      </c>
      <c r="J16002" s="1">
        <v>45961.406145833331</v>
      </c>
    </row>
    <row r="16003" spans="1:10" x14ac:dyDescent="0.2">
      <c r="A16003" s="4" t="s">
        <v>1</v>
      </c>
      <c r="B16003" s="3" t="str">
        <f>HYPERLINK("https://otsuka-europe-crm.veevavault.com/ui/#object/approved_document__v/V5OZ025E82U1785", "LUP - Poster Deep Response - reuma")</f>
        <v>LUP - Poster Deep Response - reuma</v>
      </c>
      <c r="C16003" s="3" t="str">
        <f>HYPERLINK("https://otsuka-europe-crm.veevavault.com/ui/#object/sent_email__v/VBL000000005251", "SE-001380061")</f>
        <v>SE-001380061</v>
      </c>
      <c r="D16003" s="1" t="s">
        <v>0</v>
      </c>
      <c r="E16003" s="2">
        <v>0</v>
      </c>
      <c r="F16003" s="2">
        <v>0</v>
      </c>
      <c r="G16003" s="2">
        <v>0</v>
      </c>
      <c r="H16003" s="1" t="s">
        <v>0</v>
      </c>
      <c r="I16003" s="2">
        <v>0</v>
      </c>
      <c r="J16003" s="1">
        <v>45961.406145833331</v>
      </c>
    </row>
    <row r="16004" spans="1:10" x14ac:dyDescent="0.2">
      <c r="A16004" s="4" t="s">
        <v>1</v>
      </c>
      <c r="B16004" s="3" t="str">
        <f>HYPERLINK("https://otsuka-europe-crm.veevavault.com/ui/#object/approved_document__v/V5OZ025E82U1785", "LUP - Poster Deep Response - reuma")</f>
        <v>LUP - Poster Deep Response - reuma</v>
      </c>
      <c r="C16004" s="3" t="str">
        <f>HYPERLINK("https://otsuka-europe-crm.veevavault.com/ui/#object/sent_email__v/VBL000000005252", "SE-001380062")</f>
        <v>SE-001380062</v>
      </c>
      <c r="D16004" s="1" t="s">
        <v>0</v>
      </c>
      <c r="E16004" s="2">
        <v>0</v>
      </c>
      <c r="F16004" s="2">
        <v>0</v>
      </c>
      <c r="G16004" s="2">
        <v>0</v>
      </c>
      <c r="H16004" s="1" t="s">
        <v>0</v>
      </c>
      <c r="I16004" s="2">
        <v>0</v>
      </c>
      <c r="J16004" s="1">
        <v>45961.406145833331</v>
      </c>
    </row>
    <row r="16005" spans="1:10" x14ac:dyDescent="0.2">
      <c r="A16005" s="4" t="s">
        <v>1</v>
      </c>
      <c r="B16005" s="3" t="str">
        <f>HYPERLINK("https://otsuka-europe-crm.veevavault.com/ui/#object/approved_document__v/V5OZ025E82U1785", "LUP - Poster Deep Response - reuma")</f>
        <v>LUP - Poster Deep Response - reuma</v>
      </c>
      <c r="C16005" s="3" t="str">
        <f>HYPERLINK("https://otsuka-europe-crm.veevavault.com/ui/#object/sent_email__v/VBL000000005253", "SE-001380063")</f>
        <v>SE-001380063</v>
      </c>
      <c r="D16005" s="1" t="s">
        <v>0</v>
      </c>
      <c r="E16005" s="2">
        <v>0</v>
      </c>
      <c r="F16005" s="2">
        <v>0</v>
      </c>
      <c r="G16005" s="2">
        <v>0</v>
      </c>
      <c r="H16005" s="1" t="s">
        <v>0</v>
      </c>
      <c r="I16005" s="2">
        <v>0</v>
      </c>
      <c r="J16005" s="1">
        <v>45961.406145833331</v>
      </c>
    </row>
    <row r="16006" spans="1:10" x14ac:dyDescent="0.2">
      <c r="A16006" s="4" t="s">
        <v>1</v>
      </c>
      <c r="B16006" s="3" t="str">
        <f>HYPERLINK("https://otsuka-europe-crm.veevavault.com/ui/#object/approved_document__v/V5OZ025E82U1785", "LUP - Poster Deep Response - reuma")</f>
        <v>LUP - Poster Deep Response - reuma</v>
      </c>
      <c r="C16006" s="3" t="str">
        <f>HYPERLINK("https://otsuka-europe-crm.veevavault.com/ui/#object/sent_email__v/VBL000000005254", "SE-001380064")</f>
        <v>SE-001380064</v>
      </c>
      <c r="D16006" s="1" t="s">
        <v>0</v>
      </c>
      <c r="E16006" s="2">
        <v>0</v>
      </c>
      <c r="F16006" s="2">
        <v>0</v>
      </c>
      <c r="G16006" s="2">
        <v>0</v>
      </c>
      <c r="H16006" s="1" t="s">
        <v>0</v>
      </c>
      <c r="I16006" s="2">
        <v>0</v>
      </c>
      <c r="J16006" s="1">
        <v>45961.406145833331</v>
      </c>
    </row>
    <row r="16007" spans="1:10" x14ac:dyDescent="0.2">
      <c r="A16007" s="4" t="s">
        <v>1</v>
      </c>
      <c r="B16007" s="3" t="str">
        <f>HYPERLINK("https://otsuka-europe-crm.veevavault.com/ui/#object/approved_document__v/V5OZ025E82U1785", "LUP - Poster Deep Response - reuma")</f>
        <v>LUP - Poster Deep Response - reuma</v>
      </c>
      <c r="C16007" s="3" t="str">
        <f>HYPERLINK("https://otsuka-europe-crm.veevavault.com/ui/#object/sent_email__v/VBL000000005255", "SE-001380065")</f>
        <v>SE-001380065</v>
      </c>
      <c r="D16007" s="1" t="s">
        <v>0</v>
      </c>
      <c r="E16007" s="2">
        <v>0</v>
      </c>
      <c r="F16007" s="2">
        <v>0</v>
      </c>
      <c r="G16007" s="2">
        <v>0</v>
      </c>
      <c r="H16007" s="1" t="s">
        <v>0</v>
      </c>
      <c r="I16007" s="2">
        <v>0</v>
      </c>
      <c r="J16007" s="1">
        <v>45961.406145833331</v>
      </c>
    </row>
    <row r="16008" spans="1:10" x14ac:dyDescent="0.2">
      <c r="A16008" s="4" t="s">
        <v>1</v>
      </c>
      <c r="B16008" s="3" t="str">
        <f>HYPERLINK("https://otsuka-europe-crm.veevavault.com/ui/#object/approved_document__v/V5OZ025E82U1785", "LUP - Poster Deep Response - reuma")</f>
        <v>LUP - Poster Deep Response - reuma</v>
      </c>
      <c r="C16008" s="3" t="str">
        <f>HYPERLINK("https://otsuka-europe-crm.veevavault.com/ui/#object/sent_email__v/VBL000000005258", "SE-001380068")</f>
        <v>SE-001380068</v>
      </c>
      <c r="D16008" s="1" t="s">
        <v>0</v>
      </c>
      <c r="E16008" s="2">
        <v>0</v>
      </c>
      <c r="F16008" s="2">
        <v>0</v>
      </c>
      <c r="G16008" s="2">
        <v>0</v>
      </c>
      <c r="H16008" s="1" t="s">
        <v>0</v>
      </c>
      <c r="I16008" s="2">
        <v>0</v>
      </c>
      <c r="J16008" s="1">
        <v>45961.406597222223</v>
      </c>
    </row>
    <row r="16009" spans="1:10" x14ac:dyDescent="0.2">
      <c r="A16009" s="4" t="s">
        <v>1</v>
      </c>
      <c r="B16009" s="3" t="str">
        <f>HYPERLINK("https://otsuka-europe-crm.veevavault.com/ui/#object/approved_document__v/V5OZ025E82U1785", "LUP - Poster Deep Response - reuma")</f>
        <v>LUP - Poster Deep Response - reuma</v>
      </c>
      <c r="C16009" s="3" t="str">
        <f>HYPERLINK("https://otsuka-europe-crm.veevavault.com/ui/#object/sent_email__v/VBL000000005259", "SE-001380069")</f>
        <v>SE-001380069</v>
      </c>
      <c r="D16009" s="1" t="s">
        <v>0</v>
      </c>
      <c r="E16009" s="2">
        <v>0</v>
      </c>
      <c r="F16009" s="2">
        <v>0</v>
      </c>
      <c r="G16009" s="2">
        <v>0</v>
      </c>
      <c r="H16009" s="1" t="s">
        <v>0</v>
      </c>
      <c r="I16009" s="2">
        <v>0</v>
      </c>
      <c r="J16009" s="1">
        <v>45961.406597222223</v>
      </c>
    </row>
    <row r="16010" spans="1:10" x14ac:dyDescent="0.2">
      <c r="A16010" s="4" t="s">
        <v>1</v>
      </c>
      <c r="B16010" s="3" t="str">
        <f>HYPERLINK("https://otsuka-europe-crm.veevavault.com/ui/#object/approved_document__v/V5OZ025E82U1785", "LUP - Poster Deep Response - reuma")</f>
        <v>LUP - Poster Deep Response - reuma</v>
      </c>
      <c r="C16010" s="3" t="str">
        <f>HYPERLINK("https://otsuka-europe-crm.veevavault.com/ui/#object/sent_email__v/VBL000000005260", "SE-001380070")</f>
        <v>SE-001380070</v>
      </c>
      <c r="D16010" s="1" t="s">
        <v>0</v>
      </c>
      <c r="E16010" s="2">
        <v>0</v>
      </c>
      <c r="F16010" s="2">
        <v>0</v>
      </c>
      <c r="G16010" s="2">
        <v>0</v>
      </c>
      <c r="H16010" s="1" t="s">
        <v>0</v>
      </c>
      <c r="I16010" s="2">
        <v>0</v>
      </c>
      <c r="J16010" s="1">
        <v>45961.406597222223</v>
      </c>
    </row>
    <row r="16011" spans="1:10" x14ac:dyDescent="0.2">
      <c r="A16011" s="4" t="s">
        <v>1</v>
      </c>
      <c r="B16011" s="3" t="str">
        <f>HYPERLINK("https://otsuka-europe-crm.veevavault.com/ui/#object/approved_document__v/V5OZ025E82U1785", "LUP - Poster Deep Response - reuma")</f>
        <v>LUP - Poster Deep Response - reuma</v>
      </c>
      <c r="C16011" s="3" t="str">
        <f>HYPERLINK("https://otsuka-europe-crm.veevavault.com/ui/#object/sent_email__v/VBL000000005261", "SE-001380071")</f>
        <v>SE-001380071</v>
      </c>
      <c r="D16011" s="1" t="s">
        <v>0</v>
      </c>
      <c r="E16011" s="2">
        <v>0</v>
      </c>
      <c r="F16011" s="2">
        <v>0</v>
      </c>
      <c r="G16011" s="2">
        <v>0</v>
      </c>
      <c r="H16011" s="1" t="s">
        <v>0</v>
      </c>
      <c r="I16011" s="2">
        <v>0</v>
      </c>
      <c r="J16011" s="1">
        <v>45961.406597222223</v>
      </c>
    </row>
    <row r="16012" spans="1:10" x14ac:dyDescent="0.2">
      <c r="A16012" s="4" t="s">
        <v>1</v>
      </c>
      <c r="B16012" s="3" t="str">
        <f>HYPERLINK("https://otsuka-europe-crm.veevavault.com/ui/#object/approved_document__v/V5OZ025E82U1785", "LUP - Poster Deep Response - reuma")</f>
        <v>LUP - Poster Deep Response - reuma</v>
      </c>
      <c r="C16012" s="3" t="str">
        <f>HYPERLINK("https://otsuka-europe-crm.veevavault.com/ui/#object/sent_email__v/VBL000000005262", "SE-001380072")</f>
        <v>SE-001380072</v>
      </c>
      <c r="D16012" s="1" t="s">
        <v>0</v>
      </c>
      <c r="E16012" s="2">
        <v>0</v>
      </c>
      <c r="F16012" s="2">
        <v>0</v>
      </c>
      <c r="G16012" s="2">
        <v>0</v>
      </c>
      <c r="H16012" s="1" t="s">
        <v>0</v>
      </c>
      <c r="I16012" s="2">
        <v>0</v>
      </c>
      <c r="J16012" s="1">
        <v>45961.406608796293</v>
      </c>
    </row>
    <row r="16013" spans="1:10" x14ac:dyDescent="0.2">
      <c r="A16013" s="4" t="s">
        <v>1</v>
      </c>
      <c r="B16013" s="3" t="str">
        <f>HYPERLINK("https://otsuka-europe-crm.veevavault.com/ui/#object/approved_document__v/V5OZ025E82U1785", "LUP - Poster Deep Response - reuma")</f>
        <v>LUP - Poster Deep Response - reuma</v>
      </c>
      <c r="C16013" s="3" t="str">
        <f>HYPERLINK("https://otsuka-europe-crm.veevavault.com/ui/#object/sent_email__v/VBL000000005263", "SE-001380073")</f>
        <v>SE-001380073</v>
      </c>
      <c r="D16013" s="1" t="s">
        <v>0</v>
      </c>
      <c r="E16013" s="2">
        <v>0</v>
      </c>
      <c r="F16013" s="2">
        <v>0</v>
      </c>
      <c r="G16013" s="2">
        <v>0</v>
      </c>
      <c r="H16013" s="1" t="s">
        <v>0</v>
      </c>
      <c r="I16013" s="2">
        <v>0</v>
      </c>
      <c r="J16013" s="1">
        <v>45961.406597222223</v>
      </c>
    </row>
    <row r="16014" spans="1:10" x14ac:dyDescent="0.2">
      <c r="A16014" s="4" t="s">
        <v>1</v>
      </c>
      <c r="B16014" s="3" t="str">
        <f>HYPERLINK("https://otsuka-europe-crm.veevavault.com/ui/#object/approved_document__v/V5OZ025E82U1785", "LUP - Poster Deep Response - reuma")</f>
        <v>LUP - Poster Deep Response - reuma</v>
      </c>
      <c r="C16014" s="3" t="str">
        <f>HYPERLINK("https://otsuka-europe-crm.veevavault.com/ui/#object/sent_email__v/VBL000000005264", "SE-001380074")</f>
        <v>SE-001380074</v>
      </c>
      <c r="D16014" s="1" t="s">
        <v>0</v>
      </c>
      <c r="E16014" s="2">
        <v>0</v>
      </c>
      <c r="F16014" s="2">
        <v>0</v>
      </c>
      <c r="G16014" s="2">
        <v>0</v>
      </c>
      <c r="H16014" s="1" t="s">
        <v>0</v>
      </c>
      <c r="I16014" s="2">
        <v>0</v>
      </c>
      <c r="J16014" s="1">
        <v>45961.406597222223</v>
      </c>
    </row>
    <row r="16015" spans="1:10" x14ac:dyDescent="0.2">
      <c r="A16015" s="4" t="s">
        <v>1</v>
      </c>
      <c r="B16015" s="3" t="str">
        <f>HYPERLINK("https://otsuka-europe-crm.veevavault.com/ui/#object/approved_document__v/V5OZ025E82U1785", "LUP - Poster Deep Response - reuma")</f>
        <v>LUP - Poster Deep Response - reuma</v>
      </c>
      <c r="C16015" s="3" t="str">
        <f>HYPERLINK("https://otsuka-europe-crm.veevavault.com/ui/#object/sent_email__v/VBL000000005265", "SE-001380075")</f>
        <v>SE-001380075</v>
      </c>
      <c r="D16015" s="1" t="s">
        <v>0</v>
      </c>
      <c r="E16015" s="2">
        <v>0</v>
      </c>
      <c r="F16015" s="2">
        <v>0</v>
      </c>
      <c r="G16015" s="2">
        <v>0</v>
      </c>
      <c r="H16015" s="1" t="s">
        <v>0</v>
      </c>
      <c r="I16015" s="2">
        <v>0</v>
      </c>
      <c r="J16015" s="1">
        <v>45961.406608796293</v>
      </c>
    </row>
    <row r="16016" spans="1:10" x14ac:dyDescent="0.2">
      <c r="A16016" s="4" t="s">
        <v>1</v>
      </c>
      <c r="B16016" s="3" t="str">
        <f>HYPERLINK("https://otsuka-europe-crm.veevavault.com/ui/#object/approved_document__v/V5OZ025E82U1785", "LUP - Poster Deep Response - reuma")</f>
        <v>LUP - Poster Deep Response - reuma</v>
      </c>
      <c r="C16016" s="3" t="str">
        <f>HYPERLINK("https://otsuka-europe-crm.veevavault.com/ui/#object/sent_email__v/VBL000000005266", "SE-001380076")</f>
        <v>SE-001380076</v>
      </c>
      <c r="D16016" s="1" t="s">
        <v>0</v>
      </c>
      <c r="E16016" s="2">
        <v>0</v>
      </c>
      <c r="F16016" s="2">
        <v>0</v>
      </c>
      <c r="G16016" s="2">
        <v>0</v>
      </c>
      <c r="H16016" s="1" t="s">
        <v>0</v>
      </c>
      <c r="I16016" s="2">
        <v>0</v>
      </c>
      <c r="J16016" s="1">
        <v>45961.406597222223</v>
      </c>
    </row>
    <row r="16017" spans="1:10" x14ac:dyDescent="0.2">
      <c r="A16017" s="4" t="s">
        <v>1</v>
      </c>
      <c r="B16017" s="3" t="str">
        <f>HYPERLINK("https://otsuka-europe-crm.veevavault.com/ui/#object/approved_document__v/V5OZ025E82U1785", "LUP - Poster Deep Response - reuma")</f>
        <v>LUP - Poster Deep Response - reuma</v>
      </c>
      <c r="C16017" s="3" t="str">
        <f>HYPERLINK("https://otsuka-europe-crm.veevavault.com/ui/#object/sent_email__v/VBL000000005267", "SE-001380077")</f>
        <v>SE-001380077</v>
      </c>
      <c r="D16017" s="1" t="s">
        <v>0</v>
      </c>
      <c r="E16017" s="2">
        <v>0</v>
      </c>
      <c r="F16017" s="2">
        <v>0</v>
      </c>
      <c r="G16017" s="2">
        <v>0</v>
      </c>
      <c r="H16017" s="1" t="s">
        <v>0</v>
      </c>
      <c r="I16017" s="2">
        <v>0</v>
      </c>
      <c r="J16017" s="1">
        <v>45961.406597222223</v>
      </c>
    </row>
    <row r="16018" spans="1:10" x14ac:dyDescent="0.2">
      <c r="A16018" s="4" t="s">
        <v>1</v>
      </c>
      <c r="B16018" s="3" t="str">
        <f>HYPERLINK("https://otsuka-europe-crm.veevavault.com/ui/#object/approved_document__v/V5OZ025E82U1785", "LUP - Poster Deep Response - reuma")</f>
        <v>LUP - Poster Deep Response - reuma</v>
      </c>
      <c r="C16018" s="3" t="str">
        <f>HYPERLINK("https://otsuka-europe-crm.veevavault.com/ui/#object/sent_email__v/VBL000000005268", "SE-001380078")</f>
        <v>SE-001380078</v>
      </c>
      <c r="D16018" s="1" t="s">
        <v>0</v>
      </c>
      <c r="E16018" s="2">
        <v>0</v>
      </c>
      <c r="F16018" s="2">
        <v>0</v>
      </c>
      <c r="G16018" s="2">
        <v>0</v>
      </c>
      <c r="H16018" s="1" t="s">
        <v>0</v>
      </c>
      <c r="I16018" s="2">
        <v>0</v>
      </c>
      <c r="J16018" s="1">
        <v>45961.406608796293</v>
      </c>
    </row>
    <row r="16019" spans="1:10" x14ac:dyDescent="0.2">
      <c r="A16019" s="4" t="s">
        <v>1</v>
      </c>
      <c r="B16019" s="3" t="str">
        <f>HYPERLINK("https://otsuka-europe-crm.veevavault.com/ui/#object/approved_document__v/V5OZ025E82U1785", "LUP - Poster Deep Response - reuma")</f>
        <v>LUP - Poster Deep Response - reuma</v>
      </c>
      <c r="C16019" s="3" t="str">
        <f>HYPERLINK("https://otsuka-europe-crm.veevavault.com/ui/#object/sent_email__v/VBL000000005269", "SE-001380079")</f>
        <v>SE-001380079</v>
      </c>
      <c r="D16019" s="1" t="s">
        <v>0</v>
      </c>
      <c r="E16019" s="2">
        <v>0</v>
      </c>
      <c r="F16019" s="2">
        <v>0</v>
      </c>
      <c r="G16019" s="2">
        <v>0</v>
      </c>
      <c r="H16019" s="1" t="s">
        <v>0</v>
      </c>
      <c r="I16019" s="2">
        <v>0</v>
      </c>
      <c r="J16019" s="1">
        <v>45961.406597222223</v>
      </c>
    </row>
    <row r="16020" spans="1:10" x14ac:dyDescent="0.2">
      <c r="A16020" s="4" t="s">
        <v>1</v>
      </c>
      <c r="B16020" s="3" t="str">
        <f>HYPERLINK("https://otsuka-europe-crm.veevavault.com/ui/#object/approved_document__v/V5OZ025E82U1785", "LUP - Poster Deep Response - reuma")</f>
        <v>LUP - Poster Deep Response - reuma</v>
      </c>
      <c r="C16020" s="3" t="str">
        <f>HYPERLINK("https://otsuka-europe-crm.veevavault.com/ui/#object/sent_email__v/VBL000000005270", "SE-001380080")</f>
        <v>SE-001380080</v>
      </c>
      <c r="D16020" s="1" t="s">
        <v>0</v>
      </c>
      <c r="E16020" s="2">
        <v>0</v>
      </c>
      <c r="F16020" s="2">
        <v>0</v>
      </c>
      <c r="G16020" s="2">
        <v>0</v>
      </c>
      <c r="H16020" s="1" t="s">
        <v>0</v>
      </c>
      <c r="I16020" s="2">
        <v>0</v>
      </c>
      <c r="J16020" s="1">
        <v>45961.406597222223</v>
      </c>
    </row>
    <row r="16021" spans="1:10" x14ac:dyDescent="0.2">
      <c r="A16021" s="4" t="s">
        <v>1</v>
      </c>
      <c r="B16021" s="3" t="str">
        <f>HYPERLINK("https://otsuka-europe-crm.veevavault.com/ui/#object/approved_document__v/V5OZ025E82U1785", "LUP - Poster Deep Response - reuma")</f>
        <v>LUP - Poster Deep Response - reuma</v>
      </c>
      <c r="C16021" s="3" t="str">
        <f>HYPERLINK("https://otsuka-europe-crm.veevavault.com/ui/#object/sent_email__v/VBL000000005271", "SE-001380081")</f>
        <v>SE-001380081</v>
      </c>
      <c r="D16021" s="1" t="s">
        <v>0</v>
      </c>
      <c r="E16021" s="2">
        <v>0</v>
      </c>
      <c r="F16021" s="2">
        <v>0</v>
      </c>
      <c r="G16021" s="2">
        <v>0</v>
      </c>
      <c r="H16021" s="1" t="s">
        <v>0</v>
      </c>
      <c r="I16021" s="2">
        <v>0</v>
      </c>
      <c r="J16021" s="1">
        <v>45961.406597222223</v>
      </c>
    </row>
    <row r="16022" spans="1:10" x14ac:dyDescent="0.2">
      <c r="A16022" s="4" t="s">
        <v>1</v>
      </c>
      <c r="B16022" s="3" t="str">
        <f>HYPERLINK("https://otsuka-europe-crm.veevavault.com/ui/#object/approved_document__v/V5OZ025E82U1785", "LUP - Poster Deep Response - reuma")</f>
        <v>LUP - Poster Deep Response - reuma</v>
      </c>
      <c r="C16022" s="3" t="str">
        <f>HYPERLINK("https://otsuka-europe-crm.veevavault.com/ui/#object/sent_email__v/VBL000000005272", "SE-001380082")</f>
        <v>SE-001380082</v>
      </c>
      <c r="D16022" s="1" t="s">
        <v>0</v>
      </c>
      <c r="E16022" s="2">
        <v>0</v>
      </c>
      <c r="F16022" s="2">
        <v>0</v>
      </c>
      <c r="G16022" s="2">
        <v>0</v>
      </c>
      <c r="H16022" s="1" t="s">
        <v>0</v>
      </c>
      <c r="I16022" s="2">
        <v>0</v>
      </c>
      <c r="J16022" s="1">
        <v>45961.406608796293</v>
      </c>
    </row>
    <row r="16023" spans="1:10" x14ac:dyDescent="0.2">
      <c r="A16023" s="4" t="s">
        <v>1</v>
      </c>
      <c r="B16023" s="3" t="str">
        <f>HYPERLINK("https://otsuka-europe-crm.veevavault.com/ui/#object/approved_document__v/V5OZ025E82U1785", "LUP - Poster Deep Response - reuma")</f>
        <v>LUP - Poster Deep Response - reuma</v>
      </c>
      <c r="C16023" s="3" t="str">
        <f>HYPERLINK("https://otsuka-europe-crm.veevavault.com/ui/#object/sent_email__v/VBL000000005273", "SE-001380083")</f>
        <v>SE-001380083</v>
      </c>
      <c r="D16023" s="1" t="s">
        <v>0</v>
      </c>
      <c r="E16023" s="2">
        <v>0</v>
      </c>
      <c r="F16023" s="2">
        <v>0</v>
      </c>
      <c r="G16023" s="2">
        <v>0</v>
      </c>
      <c r="H16023" s="1" t="s">
        <v>0</v>
      </c>
      <c r="I16023" s="2">
        <v>0</v>
      </c>
      <c r="J16023" s="1">
        <v>45961.406608796293</v>
      </c>
    </row>
    <row r="16024" spans="1:10" x14ac:dyDescent="0.2">
      <c r="A16024" s="4" t="s">
        <v>1</v>
      </c>
      <c r="B16024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24" s="3" t="str">
        <f>HYPERLINK("https://otsuka-europe-crm.veevavault.com/ui/#object/sent_email__v/VBLZ025E82GG8G5", "SE-000255448")</f>
        <v>SE-000255448</v>
      </c>
      <c r="D16024" s="1">
        <v>45913.636631944442</v>
      </c>
      <c r="E16024" s="2">
        <v>1</v>
      </c>
      <c r="F16024" s="2">
        <v>2</v>
      </c>
      <c r="G16024" s="2">
        <v>1</v>
      </c>
      <c r="H16024" s="1">
        <v>45905.795208333337</v>
      </c>
      <c r="I16024" s="2">
        <v>1</v>
      </c>
      <c r="J16024" s="1">
        <v>45905.442372685182</v>
      </c>
    </row>
    <row r="16025" spans="1:10" x14ac:dyDescent="0.2">
      <c r="A16025" s="4" t="s">
        <v>1</v>
      </c>
      <c r="B16025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25" s="3" t="str">
        <f>HYPERLINK("https://otsuka-europe-crm.veevavault.com/ui/#object/sent_email__v/VBLZ025E82GG8IX", "SE-000255449")</f>
        <v>SE-000255449</v>
      </c>
      <c r="D16025" s="1">
        <v>45918.955416666664</v>
      </c>
      <c r="E16025" s="2">
        <v>1</v>
      </c>
      <c r="F16025" s="2">
        <v>11</v>
      </c>
      <c r="G16025" s="2">
        <v>1</v>
      </c>
      <c r="H16025" s="1">
        <v>45918.575219907405</v>
      </c>
      <c r="I16025" s="2">
        <v>3</v>
      </c>
      <c r="J16025" s="1">
        <v>45905.443518518521</v>
      </c>
    </row>
    <row r="16026" spans="1:10" x14ac:dyDescent="0.2">
      <c r="A16026" s="4" t="s">
        <v>1</v>
      </c>
      <c r="B16026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26" s="3" t="str">
        <f>HYPERLINK("https://otsuka-europe-crm.veevavault.com/ui/#object/sent_email__v/VBLZ025E82GG8LP", "SE-000255450")</f>
        <v>SE-000255450</v>
      </c>
      <c r="D16026" s="1">
        <v>45905.443923611114</v>
      </c>
      <c r="E16026" s="2">
        <v>1</v>
      </c>
      <c r="F16026" s="2">
        <v>2</v>
      </c>
      <c r="G16026" s="2">
        <v>1</v>
      </c>
      <c r="H16026" s="1">
        <v>45905.44390046296</v>
      </c>
      <c r="I16026" s="2">
        <v>2</v>
      </c>
      <c r="J16026" s="1">
        <v>45905.443854166668</v>
      </c>
    </row>
    <row r="16027" spans="1:10" x14ac:dyDescent="0.2">
      <c r="A16027" s="4" t="s">
        <v>1</v>
      </c>
      <c r="B16027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27" s="3" t="str">
        <f>HYPERLINK("https://otsuka-europe-crm.veevavault.com/ui/#object/sent_email__v/VBLZ025E82GG8LQ", "SE-000255451")</f>
        <v>SE-000255451</v>
      </c>
      <c r="D16027" s="1">
        <v>45932.708425925928</v>
      </c>
      <c r="E16027" s="2">
        <v>1</v>
      </c>
      <c r="F16027" s="2">
        <v>3</v>
      </c>
      <c r="G16027" s="2">
        <v>1</v>
      </c>
      <c r="H16027" s="1">
        <v>45905.44390046296</v>
      </c>
      <c r="I16027" s="2">
        <v>2</v>
      </c>
      <c r="J16027" s="1">
        <v>45905.443854166668</v>
      </c>
    </row>
    <row r="16028" spans="1:10" x14ac:dyDescent="0.2">
      <c r="A16028" s="4" t="s">
        <v>1</v>
      </c>
      <c r="B16028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28" s="3" t="str">
        <f>HYPERLINK("https://otsuka-europe-crm.veevavault.com/ui/#object/sent_email__v/VBLZ025E82GG8R9", "SE-000255452")</f>
        <v>SE-000255452</v>
      </c>
      <c r="D16028" s="1">
        <v>45906.716527777775</v>
      </c>
      <c r="E16028" s="2">
        <v>1</v>
      </c>
      <c r="F16028" s="2">
        <v>1</v>
      </c>
      <c r="G16028" s="2">
        <v>0</v>
      </c>
      <c r="H16028" s="1" t="s">
        <v>0</v>
      </c>
      <c r="I16028" s="2">
        <v>0</v>
      </c>
      <c r="J16028" s="1">
        <v>45905.445972222224</v>
      </c>
    </row>
    <row r="16029" spans="1:10" x14ac:dyDescent="0.2">
      <c r="A16029" s="4" t="s">
        <v>1</v>
      </c>
      <c r="B16029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29" s="3" t="str">
        <f>HYPERLINK("https://otsuka-europe-crm.veevavault.com/ui/#object/sent_email__v/VBLZ025E82GG9AP", "SE-000255454")</f>
        <v>SE-000255454</v>
      </c>
      <c r="D16029" s="1" t="s">
        <v>0</v>
      </c>
      <c r="E16029" s="2">
        <v>0</v>
      </c>
      <c r="F16029" s="2">
        <v>0</v>
      </c>
      <c r="G16029" s="2">
        <v>0</v>
      </c>
      <c r="H16029" s="1" t="s">
        <v>0</v>
      </c>
      <c r="I16029" s="2">
        <v>0</v>
      </c>
      <c r="J16029" s="1">
        <v>45905.452905092592</v>
      </c>
    </row>
    <row r="16030" spans="1:10" x14ac:dyDescent="0.2">
      <c r="A16030" s="4" t="s">
        <v>1</v>
      </c>
      <c r="B16030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30" s="3" t="str">
        <f>HYPERLINK("https://otsuka-europe-crm.veevavault.com/ui/#object/sent_email__v/VBLZ025E82GG9AQ", "SE-000255455")</f>
        <v>SE-000255455</v>
      </c>
      <c r="D16030" s="1">
        <v>45907.735520833332</v>
      </c>
      <c r="E16030" s="2">
        <v>1</v>
      </c>
      <c r="F16030" s="2">
        <v>3</v>
      </c>
      <c r="G16030" s="2">
        <v>0</v>
      </c>
      <c r="H16030" s="1" t="s">
        <v>0</v>
      </c>
      <c r="I16030" s="2">
        <v>0</v>
      </c>
      <c r="J16030" s="1">
        <v>45905.452905092592</v>
      </c>
    </row>
    <row r="16031" spans="1:10" x14ac:dyDescent="0.2">
      <c r="A16031" s="4" t="s">
        <v>1</v>
      </c>
      <c r="B16031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31" s="3" t="str">
        <f>HYPERLINK("https://otsuka-europe-crm.veevavault.com/ui/#object/sent_email__v/VBLZ025E82GG9AR", "SE-000255456")</f>
        <v>SE-000255456</v>
      </c>
      <c r="D16031" s="1">
        <v>45906.200983796298</v>
      </c>
      <c r="E16031" s="2">
        <v>1</v>
      </c>
      <c r="F16031" s="2">
        <v>1</v>
      </c>
      <c r="G16031" s="2">
        <v>0</v>
      </c>
      <c r="H16031" s="1" t="s">
        <v>0</v>
      </c>
      <c r="I16031" s="2">
        <v>0</v>
      </c>
      <c r="J16031" s="1">
        <v>45905.452916666669</v>
      </c>
    </row>
    <row r="16032" spans="1:10" x14ac:dyDescent="0.2">
      <c r="A16032" s="4" t="s">
        <v>1</v>
      </c>
      <c r="B16032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32" s="3" t="str">
        <f>HYPERLINK("https://otsuka-europe-crm.veevavault.com/ui/#object/sent_email__v/VBLZ025E82GG9AS", "SE-000255457")</f>
        <v>SE-000255457</v>
      </c>
      <c r="D16032" s="1" t="s">
        <v>0</v>
      </c>
      <c r="E16032" s="2">
        <v>0</v>
      </c>
      <c r="F16032" s="2">
        <v>0</v>
      </c>
      <c r="G16032" s="2">
        <v>0</v>
      </c>
      <c r="H16032" s="1" t="s">
        <v>0</v>
      </c>
      <c r="I16032" s="2">
        <v>0</v>
      </c>
      <c r="J16032" s="1">
        <v>45905.452928240738</v>
      </c>
    </row>
    <row r="16033" spans="1:10" x14ac:dyDescent="0.2">
      <c r="A16033" s="4" t="s">
        <v>1</v>
      </c>
      <c r="B16033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33" s="3" t="str">
        <f>HYPERLINK("https://otsuka-europe-crm.veevavault.com/ui/#object/sent_email__v/VBLZ025E82GG9AT", "SE-000255458")</f>
        <v>SE-000255458</v>
      </c>
      <c r="D16033" s="1">
        <v>45905.468263888892</v>
      </c>
      <c r="E16033" s="2">
        <v>1</v>
      </c>
      <c r="F16033" s="2">
        <v>1</v>
      </c>
      <c r="G16033" s="2">
        <v>0</v>
      </c>
      <c r="H16033" s="1" t="s">
        <v>0</v>
      </c>
      <c r="I16033" s="2">
        <v>0</v>
      </c>
      <c r="J16033" s="1">
        <v>45905.452928240738</v>
      </c>
    </row>
    <row r="16034" spans="1:10" x14ac:dyDescent="0.2">
      <c r="A16034" s="4" t="s">
        <v>1</v>
      </c>
      <c r="B16034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34" s="3" t="str">
        <f>HYPERLINK("https://otsuka-europe-crm.veevavault.com/ui/#object/sent_email__v/VBLZ025E82GGW25", "SE-000255515")</f>
        <v>SE-000255515</v>
      </c>
      <c r="D16034" s="1">
        <v>45960.443495370368</v>
      </c>
      <c r="E16034" s="2">
        <v>1</v>
      </c>
      <c r="F16034" s="2">
        <v>12</v>
      </c>
      <c r="G16034" s="2">
        <v>1</v>
      </c>
      <c r="H16034" s="1">
        <v>45908.745208333334</v>
      </c>
      <c r="I16034" s="2">
        <v>3</v>
      </c>
      <c r="J16034" s="1">
        <v>45906.29078703704</v>
      </c>
    </row>
    <row r="16035" spans="1:10" x14ac:dyDescent="0.2">
      <c r="A16035" s="4" t="s">
        <v>1</v>
      </c>
      <c r="B16035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35" s="3" t="str">
        <f>HYPERLINK("https://otsuka-europe-crm.veevavault.com/ui/#object/sent_email__v/VBLZ025E82GKOK1", "SE-000255791")</f>
        <v>SE-000255791</v>
      </c>
      <c r="D16035" s="1">
        <v>45916.701516203706</v>
      </c>
      <c r="E16035" s="2">
        <v>1</v>
      </c>
      <c r="F16035" s="2">
        <v>2</v>
      </c>
      <c r="G16035" s="2">
        <v>0</v>
      </c>
      <c r="H16035" s="1" t="s">
        <v>0</v>
      </c>
      <c r="I16035" s="2">
        <v>0</v>
      </c>
      <c r="J16035" s="1">
        <v>45911.437372685185</v>
      </c>
    </row>
    <row r="16036" spans="1:10" x14ac:dyDescent="0.2">
      <c r="A16036" s="4" t="s">
        <v>1</v>
      </c>
      <c r="B16036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36" s="3" t="str">
        <f>HYPERLINK("https://otsuka-europe-crm.veevavault.com/ui/#object/sent_email__v/VBLZ025E82GKOXX", "SE-000255793")</f>
        <v>SE-000255793</v>
      </c>
      <c r="D16036" s="1">
        <v>45911.480787037035</v>
      </c>
      <c r="E16036" s="2">
        <v>1</v>
      </c>
      <c r="F16036" s="2">
        <v>1</v>
      </c>
      <c r="G16036" s="2">
        <v>0</v>
      </c>
      <c r="H16036" s="1" t="s">
        <v>0</v>
      </c>
      <c r="I16036" s="2">
        <v>0</v>
      </c>
      <c r="J16036" s="1">
        <v>45911.43986111111</v>
      </c>
    </row>
    <row r="16037" spans="1:10" x14ac:dyDescent="0.2">
      <c r="A16037" s="4" t="s">
        <v>1</v>
      </c>
      <c r="B16037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37" s="3" t="str">
        <f>HYPERLINK("https://otsuka-europe-crm.veevavault.com/ui/#object/sent_email__v/VBLZ025E82GKP3H", "SE-000255794")</f>
        <v>SE-000255794</v>
      </c>
      <c r="D16037" s="1">
        <v>45911.52138888889</v>
      </c>
      <c r="E16037" s="2">
        <v>1</v>
      </c>
      <c r="F16037" s="2">
        <v>1</v>
      </c>
      <c r="G16037" s="2">
        <v>0</v>
      </c>
      <c r="H16037" s="1" t="s">
        <v>0</v>
      </c>
      <c r="I16037" s="2">
        <v>0</v>
      </c>
      <c r="J16037" s="1">
        <v>45911.440567129626</v>
      </c>
    </row>
    <row r="16038" spans="1:10" x14ac:dyDescent="0.2">
      <c r="A16038" s="4" t="s">
        <v>1</v>
      </c>
      <c r="B16038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38" s="3" t="str">
        <f>HYPERLINK("https://otsuka-europe-crm.veevavault.com/ui/#object/sent_email__v/VBLZ025E82GKPK5", "SE-000255796")</f>
        <v>SE-000255796</v>
      </c>
      <c r="D16038" s="1">
        <v>45911.48</v>
      </c>
      <c r="E16038" s="2">
        <v>1</v>
      </c>
      <c r="F16038" s="2">
        <v>1</v>
      </c>
      <c r="G16038" s="2">
        <v>0</v>
      </c>
      <c r="H16038" s="1" t="s">
        <v>0</v>
      </c>
      <c r="I16038" s="2">
        <v>0</v>
      </c>
      <c r="J16038" s="1">
        <v>45911.44190972222</v>
      </c>
    </row>
    <row r="16039" spans="1:10" x14ac:dyDescent="0.2">
      <c r="A16039" s="4" t="s">
        <v>1</v>
      </c>
      <c r="B16039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39" s="3" t="str">
        <f>HYPERLINK("https://otsuka-europe-crm.veevavault.com/ui/#object/sent_email__v/VBLZ025E82GKPV9", "SE-000255799")</f>
        <v>SE-000255799</v>
      </c>
      <c r="D16039" s="1" t="s">
        <v>0</v>
      </c>
      <c r="E16039" s="2">
        <v>0</v>
      </c>
      <c r="F16039" s="2">
        <v>0</v>
      </c>
      <c r="G16039" s="2">
        <v>0</v>
      </c>
      <c r="H16039" s="1" t="s">
        <v>0</v>
      </c>
      <c r="I16039" s="2">
        <v>0</v>
      </c>
      <c r="J16039" s="1">
        <v>45911.442766203705</v>
      </c>
    </row>
    <row r="16040" spans="1:10" x14ac:dyDescent="0.2">
      <c r="A16040" s="4" t="s">
        <v>1</v>
      </c>
      <c r="B16040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40" s="3" t="str">
        <f>HYPERLINK("https://otsuka-europe-crm.veevavault.com/ui/#object/sent_email__v/VBLZ025E82GKSQ1", "SE-000255809")</f>
        <v>SE-000255809</v>
      </c>
      <c r="D16040" s="1">
        <v>45957.88003472222</v>
      </c>
      <c r="E16040" s="2">
        <v>1</v>
      </c>
      <c r="F16040" s="2">
        <v>7</v>
      </c>
      <c r="G16040" s="2">
        <v>0</v>
      </c>
      <c r="H16040" s="1" t="s">
        <v>0</v>
      </c>
      <c r="I16040" s="2">
        <v>0</v>
      </c>
      <c r="J16040" s="1">
        <v>45911.460613425923</v>
      </c>
    </row>
    <row r="16041" spans="1:10" x14ac:dyDescent="0.2">
      <c r="A16041" s="4" t="s">
        <v>1</v>
      </c>
      <c r="B16041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41" s="3" t="str">
        <f>HYPERLINK("https://otsuka-europe-crm.veevavault.com/ui/#object/sent_email__v/VBLZ025E82GKSVL", "SE-000255810")</f>
        <v>SE-000255810</v>
      </c>
      <c r="D16041" s="1" t="s">
        <v>0</v>
      </c>
      <c r="E16041" s="2">
        <v>0</v>
      </c>
      <c r="F16041" s="2">
        <v>0</v>
      </c>
      <c r="G16041" s="2">
        <v>0</v>
      </c>
      <c r="H16041" s="1" t="s">
        <v>0</v>
      </c>
      <c r="I16041" s="2">
        <v>0</v>
      </c>
      <c r="J16041" s="1">
        <v>45911.462824074071</v>
      </c>
    </row>
    <row r="16042" spans="1:10" x14ac:dyDescent="0.2">
      <c r="A16042" s="4" t="s">
        <v>1</v>
      </c>
      <c r="B16042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42" s="3" t="str">
        <f>HYPERLINK("https://otsuka-europe-crm.veevavault.com/ui/#object/sent_email__v/VBLZ025E82GKV9P", "SE-000255832")</f>
        <v>SE-000255832</v>
      </c>
      <c r="D16042" s="1">
        <v>45912.322905092595</v>
      </c>
      <c r="E16042" s="2">
        <v>1</v>
      </c>
      <c r="F16042" s="2">
        <v>2</v>
      </c>
      <c r="G16042" s="2">
        <v>0</v>
      </c>
      <c r="H16042" s="1" t="s">
        <v>0</v>
      </c>
      <c r="I16042" s="2">
        <v>0</v>
      </c>
      <c r="J16042" s="1">
        <v>45911.473611111112</v>
      </c>
    </row>
    <row r="16043" spans="1:10" x14ac:dyDescent="0.2">
      <c r="A16043" s="4" t="s">
        <v>1</v>
      </c>
      <c r="B16043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43" s="3" t="str">
        <f>HYPERLINK("https://otsuka-europe-crm.veevavault.com/ui/#object/sent_email__v/VBLZ025E82GPFGT", "SE-000275658")</f>
        <v>SE-000275658</v>
      </c>
      <c r="D16043" s="1" t="s">
        <v>0</v>
      </c>
      <c r="E16043" s="2">
        <v>0</v>
      </c>
      <c r="F16043" s="2">
        <v>0</v>
      </c>
      <c r="G16043" s="2">
        <v>0</v>
      </c>
      <c r="H16043" s="1" t="s">
        <v>0</v>
      </c>
      <c r="I16043" s="2">
        <v>0</v>
      </c>
      <c r="J16043" s="1">
        <v>45916.473634259259</v>
      </c>
    </row>
    <row r="16044" spans="1:10" x14ac:dyDescent="0.2">
      <c r="A16044" s="4" t="s">
        <v>1</v>
      </c>
      <c r="B16044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44" s="3" t="str">
        <f>HYPERLINK("https://otsuka-europe-crm.veevavault.com/ui/#object/sent_email__v/VBLZ025E82GQV0D", "SE-000275788")</f>
        <v>SE-000275788</v>
      </c>
      <c r="D16044" s="1">
        <v>45959.292210648149</v>
      </c>
      <c r="E16044" s="2">
        <v>1</v>
      </c>
      <c r="F16044" s="2">
        <v>15</v>
      </c>
      <c r="G16044" s="2">
        <v>1</v>
      </c>
      <c r="H16044" s="1">
        <v>45951.480833333335</v>
      </c>
      <c r="I16044" s="2">
        <v>3</v>
      </c>
      <c r="J16044" s="1">
        <v>45917.395231481481</v>
      </c>
    </row>
    <row r="16045" spans="1:10" x14ac:dyDescent="0.2">
      <c r="A16045" s="4" t="s">
        <v>1</v>
      </c>
      <c r="B16045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45" s="3" t="str">
        <f>HYPERLINK("https://otsuka-europe-crm.veevavault.com/ui/#object/sent_email__v/VBLZ025E82GSZJY", "SE-000276148")</f>
        <v>SE-000276148</v>
      </c>
      <c r="D16045" s="1">
        <v>45918.564953703702</v>
      </c>
      <c r="E16045" s="2">
        <v>1</v>
      </c>
      <c r="F16045" s="2">
        <v>1</v>
      </c>
      <c r="G16045" s="2">
        <v>0</v>
      </c>
      <c r="H16045" s="1" t="s">
        <v>0</v>
      </c>
      <c r="I16045" s="2">
        <v>0</v>
      </c>
      <c r="J16045" s="1">
        <v>45918.518796296295</v>
      </c>
    </row>
    <row r="16046" spans="1:10" x14ac:dyDescent="0.2">
      <c r="A16046" s="4" t="s">
        <v>1</v>
      </c>
      <c r="B16046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46" s="3" t="str">
        <f>HYPERLINK("https://otsuka-europe-crm.veevavault.com/ui/#object/sent_email__v/VBLZ025E82GSZJZ", "SE-000276149")</f>
        <v>SE-000276149</v>
      </c>
      <c r="D16046" s="1">
        <v>45918.653356481482</v>
      </c>
      <c r="E16046" s="2">
        <v>1</v>
      </c>
      <c r="F16046" s="2">
        <v>1</v>
      </c>
      <c r="G16046" s="2">
        <v>0</v>
      </c>
      <c r="H16046" s="1" t="s">
        <v>0</v>
      </c>
      <c r="I16046" s="2">
        <v>0</v>
      </c>
      <c r="J16046" s="1">
        <v>45918.518796296295</v>
      </c>
    </row>
    <row r="16047" spans="1:10" x14ac:dyDescent="0.2">
      <c r="A16047" s="4" t="s">
        <v>1</v>
      </c>
      <c r="B16047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47" s="3" t="str">
        <f>HYPERLINK("https://otsuka-europe-crm.veevavault.com/ui/#object/sent_email__v/VBLZ025E82GT0K1", "SE-000276152")</f>
        <v>SE-000276152</v>
      </c>
      <c r="D16047" s="1">
        <v>46038.932442129626</v>
      </c>
      <c r="E16047" s="2">
        <v>1</v>
      </c>
      <c r="F16047" s="2">
        <v>10</v>
      </c>
      <c r="G16047" s="2">
        <v>1</v>
      </c>
      <c r="H16047" s="1">
        <v>45928.297534722224</v>
      </c>
      <c r="I16047" s="2">
        <v>2</v>
      </c>
      <c r="J16047" s="1">
        <v>45918.519803240742</v>
      </c>
    </row>
    <row r="16048" spans="1:10" x14ac:dyDescent="0.2">
      <c r="A16048" s="4" t="s">
        <v>1</v>
      </c>
      <c r="B16048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48" s="3" t="str">
        <f>HYPERLINK("https://otsuka-europe-crm.veevavault.com/ui/#object/sent_email__v/VBLZ025E82GVORX", "SE-000279480")</f>
        <v>SE-000279480</v>
      </c>
      <c r="D16048" s="1" t="s">
        <v>0</v>
      </c>
      <c r="E16048" s="2">
        <v>0</v>
      </c>
      <c r="F16048" s="2">
        <v>0</v>
      </c>
      <c r="G16048" s="2">
        <v>0</v>
      </c>
      <c r="H16048" s="1" t="s">
        <v>0</v>
      </c>
      <c r="I16048" s="2">
        <v>0</v>
      </c>
      <c r="J16048" s="1">
        <v>45922.415833333333</v>
      </c>
    </row>
    <row r="16049" spans="1:10" x14ac:dyDescent="0.2">
      <c r="A16049" s="4" t="s">
        <v>1</v>
      </c>
      <c r="B16049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49" s="3" t="str">
        <f>HYPERLINK("https://otsuka-europe-crm.veevavault.com/ui/#object/sent_email__v/VBLZ025E82GVOUP", "SE-000279481")</f>
        <v>SE-000279481</v>
      </c>
      <c r="D16049" s="1">
        <v>45922.979814814818</v>
      </c>
      <c r="E16049" s="2">
        <v>1</v>
      </c>
      <c r="F16049" s="2">
        <v>3</v>
      </c>
      <c r="G16049" s="2">
        <v>0</v>
      </c>
      <c r="H16049" s="1" t="s">
        <v>0</v>
      </c>
      <c r="I16049" s="2">
        <v>0</v>
      </c>
      <c r="J16049" s="1">
        <v>45922.415925925925</v>
      </c>
    </row>
    <row r="16050" spans="1:10" x14ac:dyDescent="0.2">
      <c r="A16050" s="4" t="s">
        <v>1</v>
      </c>
      <c r="B16050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50" s="3" t="str">
        <f>HYPERLINK("https://otsuka-europe-crm.veevavault.com/ui/#object/sent_email__v/VBLZ025E82GX3BD", "SE-000280127")</f>
        <v>SE-000280127</v>
      </c>
      <c r="D16050" s="1">
        <v>45923.467233796298</v>
      </c>
      <c r="E16050" s="2">
        <v>1</v>
      </c>
      <c r="F16050" s="2">
        <v>1</v>
      </c>
      <c r="G16050" s="2">
        <v>1</v>
      </c>
      <c r="H16050" s="1">
        <v>45927.380601851852</v>
      </c>
      <c r="I16050" s="2">
        <v>2</v>
      </c>
      <c r="J16050" s="1">
        <v>45923.428437499999</v>
      </c>
    </row>
    <row r="16051" spans="1:10" x14ac:dyDescent="0.2">
      <c r="A16051" s="4" t="s">
        <v>1</v>
      </c>
      <c r="B16051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51" s="3" t="str">
        <f>HYPERLINK("https://otsuka-europe-crm.veevavault.com/ui/#object/sent_email__v/VBLZ025E82GX4S5", "SE-000280129")</f>
        <v>SE-000280129</v>
      </c>
      <c r="D16051" s="1" t="s">
        <v>0</v>
      </c>
      <c r="E16051" s="2">
        <v>0</v>
      </c>
      <c r="F16051" s="2">
        <v>0</v>
      </c>
      <c r="G16051" s="2">
        <v>0</v>
      </c>
      <c r="H16051" s="1" t="s">
        <v>0</v>
      </c>
      <c r="I16051" s="2">
        <v>0</v>
      </c>
      <c r="J16051" s="1">
        <v>45923.44263888889</v>
      </c>
    </row>
    <row r="16052" spans="1:10" x14ac:dyDescent="0.2">
      <c r="A16052" s="4" t="s">
        <v>1</v>
      </c>
      <c r="B16052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52" s="3" t="str">
        <f>HYPERLINK("https://otsuka-europe-crm.veevavault.com/ui/#object/sent_email__v/VBLZ025E82GYKV5", "SE-000280440")</f>
        <v>SE-000280440</v>
      </c>
      <c r="D16052" s="1">
        <v>45929.641423611109</v>
      </c>
      <c r="E16052" s="2">
        <v>1</v>
      </c>
      <c r="F16052" s="2">
        <v>8</v>
      </c>
      <c r="G16052" s="2">
        <v>1</v>
      </c>
      <c r="H16052" s="1">
        <v>45929.64166666667</v>
      </c>
      <c r="I16052" s="2">
        <v>1</v>
      </c>
      <c r="J16052" s="1">
        <v>45924.519224537034</v>
      </c>
    </row>
    <row r="16053" spans="1:10" x14ac:dyDescent="0.2">
      <c r="A16053" s="4" t="s">
        <v>1</v>
      </c>
      <c r="B16053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53" s="3" t="str">
        <f>HYPERLINK("https://otsuka-europe-crm.veevavault.com/ui/#object/sent_email__v/VBLZ025E82H0QVH", "SE-000280934")</f>
        <v>SE-000280934</v>
      </c>
      <c r="D16053" s="1">
        <v>45925.720324074071</v>
      </c>
      <c r="E16053" s="2">
        <v>1</v>
      </c>
      <c r="F16053" s="2">
        <v>1</v>
      </c>
      <c r="G16053" s="2">
        <v>0</v>
      </c>
      <c r="H16053" s="1" t="s">
        <v>0</v>
      </c>
      <c r="I16053" s="2">
        <v>0</v>
      </c>
      <c r="J16053" s="1">
        <v>45925.675694444442</v>
      </c>
    </row>
    <row r="16054" spans="1:10" x14ac:dyDescent="0.2">
      <c r="A16054" s="4" t="s">
        <v>1</v>
      </c>
      <c r="B16054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54" s="3" t="str">
        <f>HYPERLINK("https://otsuka-europe-crm.veevavault.com/ui/#object/sent_email__v/VBLZ025E82H0S3X", "SE-000280939")</f>
        <v>SE-000280939</v>
      </c>
      <c r="D16054" s="1">
        <v>45944.298888888887</v>
      </c>
      <c r="E16054" s="2">
        <v>1</v>
      </c>
      <c r="F16054" s="2">
        <v>2</v>
      </c>
      <c r="G16054" s="2">
        <v>1</v>
      </c>
      <c r="H16054" s="1">
        <v>45932.329444444447</v>
      </c>
      <c r="I16054" s="2">
        <v>1</v>
      </c>
      <c r="J16054" s="1">
        <v>45925.685532407406</v>
      </c>
    </row>
    <row r="16055" spans="1:10" x14ac:dyDescent="0.2">
      <c r="A16055" s="4" t="s">
        <v>1</v>
      </c>
      <c r="B16055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55" s="3" t="str">
        <f>HYPERLINK("https://otsuka-europe-crm.veevavault.com/ui/#object/sent_email__v/VBLZ025E82H2QK1", "SE-000281524")</f>
        <v>SE-000281524</v>
      </c>
      <c r="D16055" s="1">
        <v>45929.463425925926</v>
      </c>
      <c r="E16055" s="2">
        <v>1</v>
      </c>
      <c r="F16055" s="2">
        <v>1</v>
      </c>
      <c r="G16055" s="2">
        <v>1</v>
      </c>
      <c r="H16055" s="1">
        <v>45929.463460648149</v>
      </c>
      <c r="I16055" s="2">
        <v>1</v>
      </c>
      <c r="J16055" s="1">
        <v>45929.363344907404</v>
      </c>
    </row>
    <row r="16056" spans="1:10" x14ac:dyDescent="0.2">
      <c r="A16056" s="4" t="s">
        <v>1</v>
      </c>
      <c r="B16056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56" s="3" t="str">
        <f>HYPERLINK("https://otsuka-europe-crm.veevavault.com/ui/#object/sent_email__v/VBLZ025E82H4Z6T", "SE-000282089")</f>
        <v>SE-000282089</v>
      </c>
      <c r="D16056" s="1" t="s">
        <v>0</v>
      </c>
      <c r="E16056" s="2">
        <v>0</v>
      </c>
      <c r="F16056" s="2">
        <v>0</v>
      </c>
      <c r="G16056" s="2">
        <v>0</v>
      </c>
      <c r="H16056" s="1" t="s">
        <v>0</v>
      </c>
      <c r="I16056" s="2">
        <v>0</v>
      </c>
      <c r="J16056" s="1">
        <v>45930.503518518519</v>
      </c>
    </row>
    <row r="16057" spans="1:10" x14ac:dyDescent="0.2">
      <c r="A16057" s="4" t="s">
        <v>1</v>
      </c>
      <c r="B16057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57" s="3" t="str">
        <f>HYPERLINK("https://otsuka-europe-crm.veevavault.com/ui/#object/sent_email__v/VBLZ025E82H99ID", "SE-000283151")</f>
        <v>SE-000283151</v>
      </c>
      <c r="D16057" s="1">
        <v>45935.536689814813</v>
      </c>
      <c r="E16057" s="2">
        <v>1</v>
      </c>
      <c r="F16057" s="2">
        <v>2</v>
      </c>
      <c r="G16057" s="2">
        <v>1</v>
      </c>
      <c r="H16057" s="1">
        <v>45945.246782407405</v>
      </c>
      <c r="I16057" s="2">
        <v>1</v>
      </c>
      <c r="J16057" s="1">
        <v>45933.39340277778</v>
      </c>
    </row>
    <row r="16058" spans="1:10" x14ac:dyDescent="0.2">
      <c r="A16058" s="4" t="s">
        <v>1</v>
      </c>
      <c r="B16058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58" s="3" t="str">
        <f>HYPERLINK("https://otsuka-europe-crm.veevavault.com/ui/#object/sent_email__v/VBLZ025E82H99IE", "SE-000283152")</f>
        <v>SE-000283152</v>
      </c>
      <c r="D16058" s="1">
        <v>45933.816365740742</v>
      </c>
      <c r="E16058" s="2">
        <v>1</v>
      </c>
      <c r="F16058" s="2">
        <v>3</v>
      </c>
      <c r="G16058" s="2">
        <v>0</v>
      </c>
      <c r="H16058" s="1" t="s">
        <v>0</v>
      </c>
      <c r="I16058" s="2">
        <v>0</v>
      </c>
      <c r="J16058" s="1">
        <v>45933.393460648149</v>
      </c>
    </row>
    <row r="16059" spans="1:10" x14ac:dyDescent="0.2">
      <c r="A16059" s="4" t="s">
        <v>1</v>
      </c>
      <c r="B16059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59" s="3" t="str">
        <f>HYPERLINK("https://otsuka-europe-crm.veevavault.com/ui/#object/sent_email__v/VBLZ025E82H99IF", "SE-000283153")</f>
        <v>SE-000283153</v>
      </c>
      <c r="D16059" s="1">
        <v>45937.657453703701</v>
      </c>
      <c r="E16059" s="2">
        <v>1</v>
      </c>
      <c r="F16059" s="2">
        <v>1</v>
      </c>
      <c r="G16059" s="2">
        <v>1</v>
      </c>
      <c r="H16059" s="1">
        <v>45937.657453703701</v>
      </c>
      <c r="I16059" s="2">
        <v>1</v>
      </c>
      <c r="J16059" s="1">
        <v>45933.393449074072</v>
      </c>
    </row>
    <row r="16060" spans="1:10" x14ac:dyDescent="0.2">
      <c r="A16060" s="4" t="s">
        <v>1</v>
      </c>
      <c r="B16060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60" s="3" t="str">
        <f>HYPERLINK("https://otsuka-europe-crm.veevavault.com/ui/#object/sent_email__v/VBLZ025E82H99IG", "SE-000283154")</f>
        <v>SE-000283154</v>
      </c>
      <c r="D16060" s="1">
        <v>45933.645752314813</v>
      </c>
      <c r="E16060" s="2">
        <v>1</v>
      </c>
      <c r="F16060" s="2">
        <v>1</v>
      </c>
      <c r="G16060" s="2">
        <v>1</v>
      </c>
      <c r="H16060" s="1">
        <v>45939.527245370373</v>
      </c>
      <c r="I16060" s="2">
        <v>2</v>
      </c>
      <c r="J16060" s="1">
        <v>45933.393425925926</v>
      </c>
    </row>
    <row r="16061" spans="1:10" x14ac:dyDescent="0.2">
      <c r="A16061" s="4" t="s">
        <v>1</v>
      </c>
      <c r="B16061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61" s="3" t="str">
        <f>HYPERLINK("https://otsuka-europe-crm.veevavault.com/ui/#object/sent_email__v/VBLZ025E82H99IH", "SE-000283155")</f>
        <v>SE-000283155</v>
      </c>
      <c r="D16061" s="1">
        <v>45933.394733796296</v>
      </c>
      <c r="E16061" s="2">
        <v>1</v>
      </c>
      <c r="F16061" s="2">
        <v>1</v>
      </c>
      <c r="G16061" s="2">
        <v>0</v>
      </c>
      <c r="H16061" s="1" t="s">
        <v>0</v>
      </c>
      <c r="I16061" s="2">
        <v>0</v>
      </c>
      <c r="J16061" s="1">
        <v>45933.393425925926</v>
      </c>
    </row>
    <row r="16062" spans="1:10" x14ac:dyDescent="0.2">
      <c r="A16062" s="4" t="s">
        <v>1</v>
      </c>
      <c r="B16062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62" s="3" t="str">
        <f>HYPERLINK("https://otsuka-europe-crm.veevavault.com/ui/#object/sent_email__v/VBLZ025E82H99II", "SE-000283156")</f>
        <v>SE-000283156</v>
      </c>
      <c r="D16062" s="1">
        <v>45934.841990740744</v>
      </c>
      <c r="E16062" s="2">
        <v>1</v>
      </c>
      <c r="F16062" s="2">
        <v>3</v>
      </c>
      <c r="G16062" s="2">
        <v>1</v>
      </c>
      <c r="H16062" s="1">
        <v>45934.842037037037</v>
      </c>
      <c r="I16062" s="2">
        <v>1</v>
      </c>
      <c r="J16062" s="1">
        <v>45933.393437500003</v>
      </c>
    </row>
    <row r="16063" spans="1:10" x14ac:dyDescent="0.2">
      <c r="A16063" s="4" t="s">
        <v>1</v>
      </c>
      <c r="B16063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63" s="3" t="str">
        <f>HYPERLINK("https://otsuka-europe-crm.veevavault.com/ui/#object/sent_email__v/VBLZ025E82H99IJ", "SE-000283157")</f>
        <v>SE-000283157</v>
      </c>
      <c r="D16063" s="1">
        <v>45940.937581018516</v>
      </c>
      <c r="E16063" s="2">
        <v>1</v>
      </c>
      <c r="F16063" s="2">
        <v>4</v>
      </c>
      <c r="G16063" s="2">
        <v>0</v>
      </c>
      <c r="H16063" s="1" t="s">
        <v>0</v>
      </c>
      <c r="I16063" s="2">
        <v>0</v>
      </c>
      <c r="J16063" s="1">
        <v>45933.393425925926</v>
      </c>
    </row>
    <row r="16064" spans="1:10" x14ac:dyDescent="0.2">
      <c r="A16064" s="4" t="s">
        <v>1</v>
      </c>
      <c r="B16064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64" s="3" t="str">
        <f>HYPERLINK("https://otsuka-europe-crm.veevavault.com/ui/#object/sent_email__v/VBLZ025E82H99IK", "SE-000283158")</f>
        <v>SE-000283158</v>
      </c>
      <c r="D16064" s="1" t="s">
        <v>0</v>
      </c>
      <c r="E16064" s="2">
        <v>0</v>
      </c>
      <c r="F16064" s="2">
        <v>0</v>
      </c>
      <c r="G16064" s="2">
        <v>0</v>
      </c>
      <c r="H16064" s="1" t="s">
        <v>0</v>
      </c>
      <c r="I16064" s="2">
        <v>0</v>
      </c>
      <c r="J16064" s="1">
        <v>45933.393449074072</v>
      </c>
    </row>
    <row r="16065" spans="1:10" x14ac:dyDescent="0.2">
      <c r="A16065" s="4" t="s">
        <v>1</v>
      </c>
      <c r="B16065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65" s="3" t="str">
        <f>HYPERLINK("https://otsuka-europe-crm.veevavault.com/ui/#object/sent_email__v/VBLZ025E82H99IL", "SE-000283159")</f>
        <v>SE-000283159</v>
      </c>
      <c r="D16065" s="1">
        <v>45978.674942129626</v>
      </c>
      <c r="E16065" s="2">
        <v>1</v>
      </c>
      <c r="F16065" s="2">
        <v>7</v>
      </c>
      <c r="G16065" s="2">
        <v>0</v>
      </c>
      <c r="H16065" s="1" t="s">
        <v>0</v>
      </c>
      <c r="I16065" s="2">
        <v>0</v>
      </c>
      <c r="J16065" s="1">
        <v>45933.393472222226</v>
      </c>
    </row>
    <row r="16066" spans="1:10" x14ac:dyDescent="0.2">
      <c r="A16066" s="4" t="s">
        <v>1</v>
      </c>
      <c r="B16066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66" s="3" t="str">
        <f>HYPERLINK("https://otsuka-europe-crm.veevavault.com/ui/#object/sent_email__v/VBLZ025E82H99IM", "SE-000283160")</f>
        <v>SE-000283160</v>
      </c>
      <c r="D16066" s="1" t="s">
        <v>0</v>
      </c>
      <c r="E16066" s="2">
        <v>0</v>
      </c>
      <c r="F16066" s="2">
        <v>0</v>
      </c>
      <c r="G16066" s="2">
        <v>0</v>
      </c>
      <c r="H16066" s="1" t="s">
        <v>0</v>
      </c>
      <c r="I16066" s="2">
        <v>0</v>
      </c>
      <c r="J16066" s="1">
        <v>45933.39340277778</v>
      </c>
    </row>
    <row r="16067" spans="1:10" x14ac:dyDescent="0.2">
      <c r="A16067" s="4" t="s">
        <v>1</v>
      </c>
      <c r="B16067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67" s="3" t="str">
        <f>HYPERLINK("https://otsuka-europe-crm.veevavault.com/ui/#object/sent_email__v/VBLZ025E82H99IN", "SE-000283161")</f>
        <v>SE-000283161</v>
      </c>
      <c r="D16067" s="1" t="s">
        <v>0</v>
      </c>
      <c r="E16067" s="2">
        <v>0</v>
      </c>
      <c r="F16067" s="2">
        <v>0</v>
      </c>
      <c r="G16067" s="2">
        <v>0</v>
      </c>
      <c r="H16067" s="1" t="s">
        <v>0</v>
      </c>
      <c r="I16067" s="2">
        <v>0</v>
      </c>
      <c r="J16067" s="1">
        <v>45933.393391203703</v>
      </c>
    </row>
    <row r="16068" spans="1:10" x14ac:dyDescent="0.2">
      <c r="A16068" s="4" t="s">
        <v>1</v>
      </c>
      <c r="B16068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68" s="3" t="str">
        <f>HYPERLINK("https://otsuka-europe-crm.veevavault.com/ui/#object/sent_email__v/VBLZ025E82H99IO", "SE-000283162")</f>
        <v>SE-000283162</v>
      </c>
      <c r="D16068" s="1">
        <v>45935.435011574074</v>
      </c>
      <c r="E16068" s="2">
        <v>1</v>
      </c>
      <c r="F16068" s="2">
        <v>1</v>
      </c>
      <c r="G16068" s="2">
        <v>0</v>
      </c>
      <c r="H16068" s="1" t="s">
        <v>0</v>
      </c>
      <c r="I16068" s="2">
        <v>0</v>
      </c>
      <c r="J16068" s="1">
        <v>45933.393379629626</v>
      </c>
    </row>
    <row r="16069" spans="1:10" x14ac:dyDescent="0.2">
      <c r="A16069" s="4" t="s">
        <v>1</v>
      </c>
      <c r="B16069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69" s="3" t="str">
        <f>HYPERLINK("https://otsuka-europe-crm.veevavault.com/ui/#object/sent_email__v/VBLZ025E82H99IP", "SE-000283163")</f>
        <v>SE-000283163</v>
      </c>
      <c r="D16069" s="1">
        <v>46034.3437037037</v>
      </c>
      <c r="E16069" s="2">
        <v>1</v>
      </c>
      <c r="F16069" s="2">
        <v>2</v>
      </c>
      <c r="G16069" s="2">
        <v>0</v>
      </c>
      <c r="H16069" s="1" t="s">
        <v>0</v>
      </c>
      <c r="I16069" s="2">
        <v>0</v>
      </c>
      <c r="J16069" s="1">
        <v>45933.393379629626</v>
      </c>
    </row>
    <row r="16070" spans="1:10" x14ac:dyDescent="0.2">
      <c r="A16070" s="4" t="s">
        <v>1</v>
      </c>
      <c r="B16070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70" s="3" t="str">
        <f>HYPERLINK("https://otsuka-europe-crm.veevavault.com/ui/#object/sent_email__v/VBLZ025E82H99IQ", "SE-000283164")</f>
        <v>SE-000283164</v>
      </c>
      <c r="D16070" s="1">
        <v>45933.399328703701</v>
      </c>
      <c r="E16070" s="2">
        <v>1</v>
      </c>
      <c r="F16070" s="2">
        <v>1</v>
      </c>
      <c r="G16070" s="2">
        <v>0</v>
      </c>
      <c r="H16070" s="1" t="s">
        <v>0</v>
      </c>
      <c r="I16070" s="2">
        <v>0</v>
      </c>
      <c r="J16070" s="1">
        <v>45933.39334490741</v>
      </c>
    </row>
    <row r="16071" spans="1:10" x14ac:dyDescent="0.2">
      <c r="A16071" s="4" t="s">
        <v>1</v>
      </c>
      <c r="B16071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71" s="3" t="str">
        <f>HYPERLINK("https://otsuka-europe-crm.veevavault.com/ui/#object/sent_email__v/VBLZ025E82H99IR", "SE-000283165")</f>
        <v>SE-000283165</v>
      </c>
      <c r="D16071" s="1">
        <v>45933.434537037036</v>
      </c>
      <c r="E16071" s="2">
        <v>1</v>
      </c>
      <c r="F16071" s="2">
        <v>1</v>
      </c>
      <c r="G16071" s="2">
        <v>0</v>
      </c>
      <c r="H16071" s="1" t="s">
        <v>0</v>
      </c>
      <c r="I16071" s="2">
        <v>0</v>
      </c>
      <c r="J16071" s="1">
        <v>45933.39335648148</v>
      </c>
    </row>
    <row r="16072" spans="1:10" x14ac:dyDescent="0.2">
      <c r="A16072" s="4" t="s">
        <v>1</v>
      </c>
      <c r="B16072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72" s="3" t="str">
        <f>HYPERLINK("https://otsuka-europe-crm.veevavault.com/ui/#object/sent_email__v/VBLZ025E82H99IS", "SE-000283166")</f>
        <v>SE-000283166</v>
      </c>
      <c r="D16072" s="1">
        <v>45933.76153935185</v>
      </c>
      <c r="E16072" s="2">
        <v>1</v>
      </c>
      <c r="F16072" s="2">
        <v>2</v>
      </c>
      <c r="G16072" s="2">
        <v>1</v>
      </c>
      <c r="H16072" s="1">
        <v>45933.761678240742</v>
      </c>
      <c r="I16072" s="2">
        <v>1</v>
      </c>
      <c r="J16072" s="1">
        <v>45933.39334490741</v>
      </c>
    </row>
    <row r="16073" spans="1:10" x14ac:dyDescent="0.2">
      <c r="A16073" s="4" t="s">
        <v>1</v>
      </c>
      <c r="B16073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73" s="3" t="str">
        <f>HYPERLINK("https://otsuka-europe-crm.veevavault.com/ui/#object/sent_email__v/VBLZ025E82H99IT", "SE-000283167")</f>
        <v>SE-000283167</v>
      </c>
      <c r="D16073" s="1">
        <v>45939.525277777779</v>
      </c>
      <c r="E16073" s="2">
        <v>1</v>
      </c>
      <c r="F16073" s="2">
        <v>14</v>
      </c>
      <c r="G16073" s="2">
        <v>1</v>
      </c>
      <c r="H16073" s="1">
        <v>45934.482488425929</v>
      </c>
      <c r="I16073" s="2">
        <v>1</v>
      </c>
      <c r="J16073" s="1">
        <v>45933.393379629626</v>
      </c>
    </row>
    <row r="16074" spans="1:10" x14ac:dyDescent="0.2">
      <c r="A16074" s="4" t="s">
        <v>1</v>
      </c>
      <c r="B16074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74" s="3" t="str">
        <f>HYPERLINK("https://otsuka-europe-crm.veevavault.com/ui/#object/sent_email__v/VBLZ025E82H99IU", "SE-000283168")</f>
        <v>SE-000283168</v>
      </c>
      <c r="D16074" s="1" t="s">
        <v>0</v>
      </c>
      <c r="E16074" s="2">
        <v>0</v>
      </c>
      <c r="F16074" s="2">
        <v>0</v>
      </c>
      <c r="G16074" s="2">
        <v>0</v>
      </c>
      <c r="H16074" s="1" t="s">
        <v>0</v>
      </c>
      <c r="I16074" s="2">
        <v>0</v>
      </c>
      <c r="J16074" s="1">
        <v>45933.393483796295</v>
      </c>
    </row>
    <row r="16075" spans="1:10" x14ac:dyDescent="0.2">
      <c r="A16075" s="4" t="s">
        <v>1</v>
      </c>
      <c r="B16075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75" s="3" t="str">
        <f>HYPERLINK("https://otsuka-europe-crm.veevavault.com/ui/#object/sent_email__v/VBLZ025E82H99IV", "SE-000283169")</f>
        <v>SE-000283169</v>
      </c>
      <c r="D16075" s="1">
        <v>45933.904074074075</v>
      </c>
      <c r="E16075" s="2">
        <v>1</v>
      </c>
      <c r="F16075" s="2">
        <v>1</v>
      </c>
      <c r="G16075" s="2">
        <v>0</v>
      </c>
      <c r="H16075" s="1" t="s">
        <v>0</v>
      </c>
      <c r="I16075" s="2">
        <v>0</v>
      </c>
      <c r="J16075" s="1">
        <v>45933.393483796295</v>
      </c>
    </row>
    <row r="16076" spans="1:10" x14ac:dyDescent="0.2">
      <c r="A16076" s="4" t="s">
        <v>1</v>
      </c>
      <c r="B16076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76" s="3" t="str">
        <f>HYPERLINK("https://otsuka-europe-crm.veevavault.com/ui/#object/sent_email__v/VBLZ025E82HICQX", "SE-000286768")</f>
        <v>SE-000286768</v>
      </c>
      <c r="D16076" s="1" t="s">
        <v>0</v>
      </c>
      <c r="E16076" s="2">
        <v>0</v>
      </c>
      <c r="F16076" s="2">
        <v>0</v>
      </c>
      <c r="G16076" s="2">
        <v>0</v>
      </c>
      <c r="H16076" s="1" t="s">
        <v>0</v>
      </c>
      <c r="I16076" s="2">
        <v>0</v>
      </c>
      <c r="J16076" s="1">
        <v>45943.35429398148</v>
      </c>
    </row>
    <row r="16077" spans="1:10" x14ac:dyDescent="0.2">
      <c r="A16077" s="4" t="s">
        <v>1</v>
      </c>
      <c r="B16077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77" s="3" t="str">
        <f>HYPERLINK("https://otsuka-europe-crm.veevavault.com/ui/#object/sent_email__v/VBLZ025E82HICQY", "SE-000286769")</f>
        <v>SE-000286769</v>
      </c>
      <c r="D16077" s="1" t="s">
        <v>0</v>
      </c>
      <c r="E16077" s="2">
        <v>0</v>
      </c>
      <c r="F16077" s="2">
        <v>0</v>
      </c>
      <c r="G16077" s="2">
        <v>0</v>
      </c>
      <c r="H16077" s="1" t="s">
        <v>0</v>
      </c>
      <c r="I16077" s="2">
        <v>0</v>
      </c>
      <c r="J16077" s="1">
        <v>45943.354317129626</v>
      </c>
    </row>
    <row r="16078" spans="1:10" x14ac:dyDescent="0.2">
      <c r="A16078" s="4" t="s">
        <v>1</v>
      </c>
      <c r="B16078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78" s="3" t="str">
        <f>HYPERLINK("https://otsuka-europe-crm.veevavault.com/ui/#object/sent_email__v/VBLZ025E82HICQZ", "SE-000286770")</f>
        <v>SE-000286770</v>
      </c>
      <c r="D16078" s="1">
        <v>45943.577291666668</v>
      </c>
      <c r="E16078" s="2">
        <v>1</v>
      </c>
      <c r="F16078" s="2">
        <v>1</v>
      </c>
      <c r="G16078" s="2">
        <v>0</v>
      </c>
      <c r="H16078" s="1" t="s">
        <v>0</v>
      </c>
      <c r="I16078" s="2">
        <v>0</v>
      </c>
      <c r="J16078" s="1">
        <v>45943.35434027778</v>
      </c>
    </row>
    <row r="16079" spans="1:10" x14ac:dyDescent="0.2">
      <c r="A16079" s="4" t="s">
        <v>1</v>
      </c>
      <c r="B16079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79" s="3" t="str">
        <f>HYPERLINK("https://otsuka-europe-crm.veevavault.com/ui/#object/sent_email__v/VBLZ025E82HICR0", "SE-000286771")</f>
        <v>SE-000286771</v>
      </c>
      <c r="D16079" s="1" t="s">
        <v>0</v>
      </c>
      <c r="E16079" s="2">
        <v>0</v>
      </c>
      <c r="F16079" s="2">
        <v>0</v>
      </c>
      <c r="G16079" s="2">
        <v>0</v>
      </c>
      <c r="H16079" s="1" t="s">
        <v>0</v>
      </c>
      <c r="I16079" s="2">
        <v>0</v>
      </c>
      <c r="J16079" s="1">
        <v>45943.354317129626</v>
      </c>
    </row>
    <row r="16080" spans="1:10" x14ac:dyDescent="0.2">
      <c r="A16080" s="4" t="s">
        <v>1</v>
      </c>
      <c r="B16080" s="3" t="str">
        <f>HYPERLINK("https://otsuka-europe-crm.veevavault.com/ui/#object/approved_document__v/V5OZ025E82RGSDH", "LUP – Programa e invitación LUPSTARS 2025 - nefro")</f>
        <v>LUP – Programa e invitación LUPSTARS 2025 - nefro</v>
      </c>
      <c r="C16080" s="3" t="str">
        <f>HYPERLINK("https://otsuka-europe-crm.veevavault.com/ui/#object/sent_email__v/VBLZ025E82HICR1", "SE-000286772")</f>
        <v>SE-000286772</v>
      </c>
      <c r="D16080" s="1" t="s">
        <v>0</v>
      </c>
      <c r="E16080" s="2">
        <v>0</v>
      </c>
      <c r="F16080" s="2">
        <v>0</v>
      </c>
      <c r="G16080" s="2">
        <v>0</v>
      </c>
      <c r="H16080" s="1" t="s">
        <v>0</v>
      </c>
      <c r="I16080" s="2">
        <v>0</v>
      </c>
      <c r="J16080" s="1">
        <v>45943.35429398148</v>
      </c>
    </row>
    <row r="16081" spans="1:10" x14ac:dyDescent="0.2">
      <c r="A16081" s="4" t="s">
        <v>1</v>
      </c>
      <c r="B16081" s="3" t="str">
        <f>HYPERLINK("https://otsuka-europe-crm.veevavault.com/ui/#object/approved_document__v/V5OZ025E82UOESQ", "LUP – Programa e invitación LUPSTARS 2025 - nefro")</f>
        <v>LUP – Programa e invitación LUPSTARS 2025 - nefro</v>
      </c>
      <c r="C16081" s="3" t="str">
        <f>HYPERLINK("https://otsuka-europe-crm.veevavault.com/ui/#object/sent_email__v/VBLZ025E82HOEVP", "SE-000288059")</f>
        <v>SE-000288059</v>
      </c>
      <c r="D16081" s="1">
        <v>45977.794618055559</v>
      </c>
      <c r="E16081" s="2">
        <v>1</v>
      </c>
      <c r="F16081" s="2">
        <v>4</v>
      </c>
      <c r="G16081" s="2">
        <v>0</v>
      </c>
      <c r="H16081" s="1" t="s">
        <v>0</v>
      </c>
      <c r="I16081" s="2">
        <v>0</v>
      </c>
      <c r="J16081" s="1">
        <v>45950.326469907406</v>
      </c>
    </row>
    <row r="16082" spans="1:10" x14ac:dyDescent="0.2">
      <c r="A16082" s="4" t="s">
        <v>1</v>
      </c>
      <c r="B16082" s="3" t="str">
        <f>HYPERLINK("https://otsuka-europe-crm.veevavault.com/ui/#object/approved_document__v/V5OZ025E82UOESQ", "LUP – Programa e invitación LUPSTARS 2025 - nefro")</f>
        <v>LUP – Programa e invitación LUPSTARS 2025 - nefro</v>
      </c>
      <c r="C16082" s="3" t="str">
        <f>HYPERLINK("https://otsuka-europe-crm.veevavault.com/ui/#object/sent_email__v/VBLZ025E82HOMD5", "SE-000288320")</f>
        <v>SE-000288320</v>
      </c>
      <c r="D16082" s="1">
        <v>45951.913148148145</v>
      </c>
      <c r="E16082" s="2">
        <v>1</v>
      </c>
      <c r="F16082" s="2">
        <v>2</v>
      </c>
      <c r="G16082" s="2">
        <v>0</v>
      </c>
      <c r="H16082" s="1" t="s">
        <v>0</v>
      </c>
      <c r="I16082" s="2">
        <v>0</v>
      </c>
      <c r="J16082" s="1">
        <v>45950.400034722225</v>
      </c>
    </row>
    <row r="16083" spans="1:10" x14ac:dyDescent="0.2">
      <c r="A16083" s="4" t="s">
        <v>1</v>
      </c>
      <c r="B16083" s="3" t="str">
        <f>HYPERLINK("https://otsuka-europe-crm.veevavault.com/ui/#object/approved_document__v/V5OZ025E82UOESQ", "LUP – Programa e invitación LUPSTARS 2025 - nefro")</f>
        <v>LUP – Programa e invitación LUPSTARS 2025 - nefro</v>
      </c>
      <c r="C16083" s="3" t="str">
        <f>HYPERLINK("https://otsuka-europe-crm.veevavault.com/ui/#object/sent_email__v/VBLZ025E82HOMLH", "SE-000288322")</f>
        <v>SE-000288322</v>
      </c>
      <c r="D16083" s="1">
        <v>45975.712465277778</v>
      </c>
      <c r="E16083" s="2">
        <v>1</v>
      </c>
      <c r="F16083" s="2">
        <v>4</v>
      </c>
      <c r="G16083" s="2">
        <v>0</v>
      </c>
      <c r="H16083" s="1" t="s">
        <v>0</v>
      </c>
      <c r="I16083" s="2">
        <v>0</v>
      </c>
      <c r="J16083" s="1">
        <v>45950.400659722225</v>
      </c>
    </row>
    <row r="16084" spans="1:10" x14ac:dyDescent="0.2">
      <c r="A16084" s="4" t="s">
        <v>1</v>
      </c>
      <c r="B16084" s="3" t="str">
        <f>HYPERLINK("https://otsuka-europe-crm.veevavault.com/ui/#object/approved_document__v/V5OZ025E82UOESQ", "LUP – Programa e invitación LUPSTARS 2025 - nefro")</f>
        <v>LUP – Programa e invitación LUPSTARS 2025 - nefro</v>
      </c>
      <c r="C16084" s="3" t="str">
        <f>HYPERLINK("https://otsuka-europe-crm.veevavault.com/ui/#object/sent_email__v/VBLZ025E82HOMTT", "SE-000288350")</f>
        <v>SE-000288350</v>
      </c>
      <c r="D16084" s="1">
        <v>45950.453182870369</v>
      </c>
      <c r="E16084" s="2">
        <v>1</v>
      </c>
      <c r="F16084" s="2">
        <v>1</v>
      </c>
      <c r="G16084" s="2">
        <v>1</v>
      </c>
      <c r="H16084" s="1">
        <v>45950.453182870369</v>
      </c>
      <c r="I16084" s="2">
        <v>1</v>
      </c>
      <c r="J16084" s="1">
        <v>45950.401377314818</v>
      </c>
    </row>
    <row r="16085" spans="1:10" x14ac:dyDescent="0.2">
      <c r="A16085" s="4" t="s">
        <v>1</v>
      </c>
      <c r="B16085" s="3" t="str">
        <f>HYPERLINK("https://otsuka-europe-crm.veevavault.com/ui/#object/approved_document__v/V5OZ025E82UOESQ", "LUP – Programa e invitación LUPSTARS 2025 - nefro")</f>
        <v>LUP – Programa e invitación LUPSTARS 2025 - nefro</v>
      </c>
      <c r="C16085" s="3" t="str">
        <f>HYPERLINK("https://otsuka-europe-crm.veevavault.com/ui/#object/sent_email__v/VBLZ025E82HP9Z5", "SE-000288565")</f>
        <v>SE-000288565</v>
      </c>
      <c r="D16085" s="1">
        <v>45957.673437500001</v>
      </c>
      <c r="E16085" s="2">
        <v>1</v>
      </c>
      <c r="F16085" s="2">
        <v>15</v>
      </c>
      <c r="G16085" s="2">
        <v>1</v>
      </c>
      <c r="H16085" s="1">
        <v>45957.673483796294</v>
      </c>
      <c r="I16085" s="2">
        <v>1</v>
      </c>
      <c r="J16085" s="1">
        <v>45950.592291666668</v>
      </c>
    </row>
    <row r="16086" spans="1:10" x14ac:dyDescent="0.2">
      <c r="A16086" s="4" t="s">
        <v>1</v>
      </c>
      <c r="B16086" s="3" t="str">
        <f>HYPERLINK("https://otsuka-europe-crm.veevavault.com/ui/#object/approved_document__v/V5OZ025E82UUUNY", "LUP – Programa e invitación LUPSTARS 2025 - nefro")</f>
        <v>LUP – Programa e invitación LUPSTARS 2025 - nefro</v>
      </c>
      <c r="C16086" s="3" t="str">
        <f>HYPERLINK("https://otsuka-europe-crm.veevavault.com/ui/#object/sent_email__v/VBLZ025E82HQ4OP", "SE-000288875")</f>
        <v>SE-000288875</v>
      </c>
      <c r="D16086" s="1">
        <v>45951.909895833334</v>
      </c>
      <c r="E16086" s="2">
        <v>1</v>
      </c>
      <c r="F16086" s="2">
        <v>1</v>
      </c>
      <c r="G16086" s="2">
        <v>0</v>
      </c>
      <c r="H16086" s="1" t="s">
        <v>0</v>
      </c>
      <c r="I16086" s="2">
        <v>0</v>
      </c>
      <c r="J16086" s="1">
        <v>45951.428194444445</v>
      </c>
    </row>
    <row r="16087" spans="1:10" x14ac:dyDescent="0.2">
      <c r="A16087" s="4" t="s">
        <v>1</v>
      </c>
      <c r="B16087" s="3" t="str">
        <f>HYPERLINK("https://otsuka-europe-crm.veevavault.com/ui/#object/approved_document__v/V5OZ025E82UUUNY", "LUP – Programa e invitación LUPSTARS 2025 - nefro")</f>
        <v>LUP – Programa e invitación LUPSTARS 2025 - nefro</v>
      </c>
      <c r="C16087" s="3" t="str">
        <f>HYPERLINK("https://otsuka-europe-crm.veevavault.com/ui/#object/sent_email__v/VBLZ025E82HR9I5", "SE-000290033")</f>
        <v>SE-000290033</v>
      </c>
      <c r="D16087" s="1">
        <v>45952.619953703703</v>
      </c>
      <c r="E16087" s="2">
        <v>1</v>
      </c>
      <c r="F16087" s="2">
        <v>1</v>
      </c>
      <c r="G16087" s="2">
        <v>1</v>
      </c>
      <c r="H16087" s="1">
        <v>45952.620069444441</v>
      </c>
      <c r="I16087" s="2">
        <v>1</v>
      </c>
      <c r="J16087" s="1">
        <v>45952.47515046296</v>
      </c>
    </row>
    <row r="16088" spans="1:10" x14ac:dyDescent="0.2">
      <c r="A16088" s="4" t="s">
        <v>1</v>
      </c>
      <c r="B16088" s="3" t="str">
        <f>HYPERLINK("https://otsuka-europe-crm.veevavault.com/ui/#object/approved_document__v/V5OZ025E82UUUNY", "LUP – Programa e invitación LUPSTARS 2025 - nefro")</f>
        <v>LUP – Programa e invitación LUPSTARS 2025 - nefro</v>
      </c>
      <c r="C16088" s="3" t="str">
        <f>HYPERLINK("https://otsuka-europe-crm.veevavault.com/ui/#object/sent_email__v/VBLZ025E82HRUKH", "SE-000290125")</f>
        <v>SE-000290125</v>
      </c>
      <c r="D16088" s="1" t="s">
        <v>0</v>
      </c>
      <c r="E16088" s="2">
        <v>0</v>
      </c>
      <c r="F16088" s="2">
        <v>0</v>
      </c>
      <c r="G16088" s="2">
        <v>0</v>
      </c>
      <c r="H16088" s="1" t="s">
        <v>0</v>
      </c>
      <c r="I16088" s="2">
        <v>0</v>
      </c>
      <c r="J16088" s="1">
        <v>45952.739421296297</v>
      </c>
    </row>
    <row r="16089" spans="1:10" x14ac:dyDescent="0.2">
      <c r="A16089" s="4" t="s">
        <v>1</v>
      </c>
      <c r="B16089" s="3" t="str">
        <f>HYPERLINK("https://otsuka-europe-crm.veevavault.com/ui/#object/approved_document__v/V5OZ025E82UUUNY", "LUP – Programa e invitación LUPSTARS 2025 - nefro")</f>
        <v>LUP – Programa e invitación LUPSTARS 2025 - nefro</v>
      </c>
      <c r="C16089" s="3" t="str">
        <f>HYPERLINK("https://otsuka-europe-crm.veevavault.com/ui/#object/sent_email__v/VBL000000002008", "SE-001377891")</f>
        <v>SE-001377891</v>
      </c>
      <c r="D16089" s="1" t="s">
        <v>0</v>
      </c>
      <c r="E16089" s="2">
        <v>0</v>
      </c>
      <c r="F16089" s="2">
        <v>0</v>
      </c>
      <c r="G16089" s="2">
        <v>0</v>
      </c>
      <c r="H16089" s="1" t="s">
        <v>0</v>
      </c>
      <c r="I16089" s="2">
        <v>0</v>
      </c>
      <c r="J16089" s="1">
        <v>45957.529143518521</v>
      </c>
    </row>
    <row r="16090" spans="1:10" x14ac:dyDescent="0.2">
      <c r="A16090" s="4" t="s">
        <v>1</v>
      </c>
      <c r="B16090" s="3" t="str">
        <f>HYPERLINK("https://otsuka-europe-crm.veevavault.com/ui/#object/approved_document__v/V5OZ025E82UUUNY", "LUP – Programa e invitación LUPSTARS 2025 - nefro")</f>
        <v>LUP – Programa e invitación LUPSTARS 2025 - nefro</v>
      </c>
      <c r="C16090" s="3" t="str">
        <f>HYPERLINK("https://otsuka-europe-crm.veevavault.com/ui/#object/sent_email__v/VBL000000002009", "SE-001378227")</f>
        <v>SE-001378227</v>
      </c>
      <c r="D16090" s="1" t="s">
        <v>0</v>
      </c>
      <c r="E16090" s="2">
        <v>0</v>
      </c>
      <c r="F16090" s="2">
        <v>0</v>
      </c>
      <c r="G16090" s="2">
        <v>0</v>
      </c>
      <c r="H16090" s="1" t="s">
        <v>0</v>
      </c>
      <c r="I16090" s="2">
        <v>0</v>
      </c>
      <c r="J16090" s="1">
        <v>45957.533460648148</v>
      </c>
    </row>
    <row r="16091" spans="1:10" x14ac:dyDescent="0.2">
      <c r="A16091" s="4" t="s">
        <v>1</v>
      </c>
      <c r="B16091" s="3" t="str">
        <f>HYPERLINK("https://otsuka-europe-crm.veevavault.com/ui/#object/approved_document__v/V5OZ025E82UUUNY", "LUP – Programa e invitación LUPSTARS 2025 - nefro")</f>
        <v>LUP – Programa e invitación LUPSTARS 2025 - nefro</v>
      </c>
      <c r="C16091" s="3" t="str">
        <f>HYPERLINK("https://otsuka-europe-crm.veevavault.com/ui/#object/sent_email__v/VBL000000001878", "SE-001378666")</f>
        <v>SE-001378666</v>
      </c>
      <c r="D16091" s="1" t="s">
        <v>0</v>
      </c>
      <c r="E16091" s="2">
        <v>0</v>
      </c>
      <c r="F16091" s="2">
        <v>0</v>
      </c>
      <c r="G16091" s="2">
        <v>0</v>
      </c>
      <c r="H16091" s="1" t="s">
        <v>0</v>
      </c>
      <c r="I16091" s="2">
        <v>0</v>
      </c>
      <c r="J16091" s="1">
        <v>45957.642384259256</v>
      </c>
    </row>
    <row r="16092" spans="1:10" x14ac:dyDescent="0.2">
      <c r="A16092" s="4" t="s">
        <v>1</v>
      </c>
      <c r="B16092" s="3" t="str">
        <f>HYPERLINK("https://otsuka-europe-crm.veevavault.com/ui/#object/approved_document__v/V5OZ025E82UUUNY", "LUP – Programa e invitación LUPSTARS 2025 - nefro")</f>
        <v>LUP – Programa e invitación LUPSTARS 2025 - nefro</v>
      </c>
      <c r="C16092" s="3" t="str">
        <f>HYPERLINK("https://otsuka-europe-crm.veevavault.com/ui/#object/sent_email__v/VBL000000001879", "SE-001378667")</f>
        <v>SE-001378667</v>
      </c>
      <c r="D16092" s="1" t="s">
        <v>0</v>
      </c>
      <c r="E16092" s="2">
        <v>0</v>
      </c>
      <c r="F16092" s="2">
        <v>0</v>
      </c>
      <c r="G16092" s="2">
        <v>0</v>
      </c>
      <c r="H16092" s="1" t="s">
        <v>0</v>
      </c>
      <c r="I16092" s="2">
        <v>0</v>
      </c>
      <c r="J16092" s="1">
        <v>45957.644363425927</v>
      </c>
    </row>
    <row r="16093" spans="1:10" x14ac:dyDescent="0.2">
      <c r="A16093" s="4" t="s">
        <v>1</v>
      </c>
      <c r="B16093" s="3" t="str">
        <f>HYPERLINK("https://otsuka-europe-crm.veevavault.com/ui/#object/approved_document__v/V5OZ025E82UUUNY", "LUP – Programa e invitación LUPSTARS 2025 - nefro")</f>
        <v>LUP – Programa e invitación LUPSTARS 2025 - nefro</v>
      </c>
      <c r="C16093" s="3" t="str">
        <f>HYPERLINK("https://otsuka-europe-crm.veevavault.com/ui/#object/sent_email__v/VBL000000002111", "SE-001378669")</f>
        <v>SE-001378669</v>
      </c>
      <c r="D16093" s="1" t="s">
        <v>0</v>
      </c>
      <c r="E16093" s="2">
        <v>0</v>
      </c>
      <c r="F16093" s="2">
        <v>0</v>
      </c>
      <c r="G16093" s="2">
        <v>0</v>
      </c>
      <c r="H16093" s="1" t="s">
        <v>0</v>
      </c>
      <c r="I16093" s="2">
        <v>0</v>
      </c>
      <c r="J16093" s="1">
        <v>45957.651412037034</v>
      </c>
    </row>
    <row r="16094" spans="1:10" x14ac:dyDescent="0.2">
      <c r="A16094" s="4" t="s">
        <v>1</v>
      </c>
      <c r="B16094" s="3" t="str">
        <f>HYPERLINK("https://otsuka-europe-crm.veevavault.com/ui/#object/approved_document__v/V5OZ025E82UUUNY", "LUP – Programa e invitación LUPSTARS 2025 - nefro")</f>
        <v>LUP – Programa e invitación LUPSTARS 2025 - nefro</v>
      </c>
      <c r="C16094" s="3" t="str">
        <f>HYPERLINK("https://otsuka-europe-crm.veevavault.com/ui/#object/sent_email__v/VBL000000001880", "SE-001378670")</f>
        <v>SE-001378670</v>
      </c>
      <c r="D16094" s="1" t="s">
        <v>0</v>
      </c>
      <c r="E16094" s="2">
        <v>0</v>
      </c>
      <c r="F16094" s="2">
        <v>0</v>
      </c>
      <c r="G16094" s="2">
        <v>0</v>
      </c>
      <c r="H16094" s="1" t="s">
        <v>0</v>
      </c>
      <c r="I16094" s="2">
        <v>0</v>
      </c>
      <c r="J16094" s="1">
        <v>45957.657442129632</v>
      </c>
    </row>
    <row r="16095" spans="1:10" x14ac:dyDescent="0.2">
      <c r="A16095" s="4" t="s">
        <v>1</v>
      </c>
      <c r="B16095" s="3" t="str">
        <f>HYPERLINK("https://otsuka-europe-crm.veevavault.com/ui/#object/approved_document__v/V5O000000001004", "LUP – Programa e invitación LUPSTARS 2025 - nefro")</f>
        <v>LUP – Programa e invitación LUPSTARS 2025 - nefro</v>
      </c>
      <c r="C16095" s="3" t="str">
        <f>HYPERLINK("https://otsuka-europe-crm.veevavault.com/ui/#object/sent_email__v/VBL000000001910", "SE-001378906")</f>
        <v>SE-001378906</v>
      </c>
      <c r="D16095" s="1" t="s">
        <v>0</v>
      </c>
      <c r="E16095" s="2">
        <v>0</v>
      </c>
      <c r="F16095" s="2">
        <v>0</v>
      </c>
      <c r="G16095" s="2">
        <v>0</v>
      </c>
      <c r="H16095" s="1" t="s">
        <v>0</v>
      </c>
      <c r="I16095" s="2">
        <v>0</v>
      </c>
      <c r="J16095" s="1">
        <v>45958.389756944445</v>
      </c>
    </row>
    <row r="16096" spans="1:10" x14ac:dyDescent="0.2">
      <c r="A16096" s="4" t="s">
        <v>1</v>
      </c>
      <c r="B16096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096" s="3" t="str">
        <f>HYPERLINK("https://otsuka-europe-crm.veevavault.com/ui/#object/sent_email__v/VBL000000002379", "SE-001378924")</f>
        <v>SE-001378924</v>
      </c>
      <c r="D16096" s="1">
        <v>45959.557476851849</v>
      </c>
      <c r="E16096" s="2">
        <v>1</v>
      </c>
      <c r="F16096" s="2">
        <v>1</v>
      </c>
      <c r="G16096" s="2">
        <v>1</v>
      </c>
      <c r="H16096" s="1">
        <v>45959.557812500003</v>
      </c>
      <c r="I16096" s="2">
        <v>1</v>
      </c>
      <c r="J16096" s="1">
        <v>45958.493148148147</v>
      </c>
    </row>
    <row r="16097" spans="1:10" x14ac:dyDescent="0.2">
      <c r="A16097" s="4" t="s">
        <v>1</v>
      </c>
      <c r="B16097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097" s="3" t="str">
        <f>HYPERLINK("https://otsuka-europe-crm.veevavault.com/ui/#object/sent_email__v/VBL000000004208", "SE-001380267")</f>
        <v>SE-001380267</v>
      </c>
      <c r="D16097" s="1" t="s">
        <v>0</v>
      </c>
      <c r="E16097" s="2">
        <v>0</v>
      </c>
      <c r="F16097" s="2">
        <v>0</v>
      </c>
      <c r="G16097" s="2">
        <v>0</v>
      </c>
      <c r="H16097" s="1" t="s">
        <v>0</v>
      </c>
      <c r="I16097" s="2">
        <v>0</v>
      </c>
      <c r="J16097" s="1">
        <v>45964.396828703706</v>
      </c>
    </row>
    <row r="16098" spans="1:10" x14ac:dyDescent="0.2">
      <c r="A16098" s="4" t="s">
        <v>1</v>
      </c>
      <c r="B16098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098" s="3" t="str">
        <f>HYPERLINK("https://otsuka-europe-crm.veevavault.com/ui/#object/sent_email__v/VBL000000004268", "SE-001380503")</f>
        <v>SE-001380503</v>
      </c>
      <c r="D16098" s="1" t="s">
        <v>0</v>
      </c>
      <c r="E16098" s="2">
        <v>0</v>
      </c>
      <c r="F16098" s="2">
        <v>0</v>
      </c>
      <c r="G16098" s="2">
        <v>0</v>
      </c>
      <c r="H16098" s="1" t="s">
        <v>0</v>
      </c>
      <c r="I16098" s="2">
        <v>0</v>
      </c>
      <c r="J16098" s="1">
        <v>45964.702835648146</v>
      </c>
    </row>
    <row r="16099" spans="1:10" x14ac:dyDescent="0.2">
      <c r="A16099" s="4" t="s">
        <v>1</v>
      </c>
      <c r="B16099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099" s="3" t="str">
        <f>HYPERLINK("https://otsuka-europe-crm.veevavault.com/ui/#object/sent_email__v/VBL000000004270", "SE-001380505")</f>
        <v>SE-001380505</v>
      </c>
      <c r="D16099" s="1">
        <v>45964.981006944443</v>
      </c>
      <c r="E16099" s="2">
        <v>1</v>
      </c>
      <c r="F16099" s="2">
        <v>2</v>
      </c>
      <c r="G16099" s="2">
        <v>0</v>
      </c>
      <c r="H16099" s="1" t="s">
        <v>0</v>
      </c>
      <c r="I16099" s="2">
        <v>0</v>
      </c>
      <c r="J16099" s="1">
        <v>45964.713541666664</v>
      </c>
    </row>
    <row r="16100" spans="1:10" x14ac:dyDescent="0.2">
      <c r="A16100" s="4" t="s">
        <v>1</v>
      </c>
      <c r="B16100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00" s="3" t="str">
        <f>HYPERLINK("https://otsuka-europe-crm.veevavault.com/ui/#object/sent_email__v/VBL000000004271", "SE-001380506")</f>
        <v>SE-001380506</v>
      </c>
      <c r="D16100" s="1" t="s">
        <v>0</v>
      </c>
      <c r="E16100" s="2">
        <v>0</v>
      </c>
      <c r="F16100" s="2">
        <v>0</v>
      </c>
      <c r="G16100" s="2">
        <v>0</v>
      </c>
      <c r="H16100" s="1" t="s">
        <v>0</v>
      </c>
      <c r="I16100" s="2">
        <v>0</v>
      </c>
      <c r="J16100" s="1">
        <v>45964.713888888888</v>
      </c>
    </row>
    <row r="16101" spans="1:10" x14ac:dyDescent="0.2">
      <c r="A16101" s="4" t="s">
        <v>1</v>
      </c>
      <c r="B16101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01" s="3" t="str">
        <f>HYPERLINK("https://otsuka-europe-crm.veevavault.com/ui/#object/sent_email__v/VBL000000004272", "SE-001380507")</f>
        <v>SE-001380507</v>
      </c>
      <c r="D16101" s="1" t="s">
        <v>0</v>
      </c>
      <c r="E16101" s="2">
        <v>0</v>
      </c>
      <c r="F16101" s="2">
        <v>0</v>
      </c>
      <c r="G16101" s="2">
        <v>0</v>
      </c>
      <c r="H16101" s="1" t="s">
        <v>0</v>
      </c>
      <c r="I16101" s="2">
        <v>0</v>
      </c>
      <c r="J16101" s="1">
        <v>45964.714409722219</v>
      </c>
    </row>
    <row r="16102" spans="1:10" x14ac:dyDescent="0.2">
      <c r="A16102" s="4" t="s">
        <v>1</v>
      </c>
      <c r="B16102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02" s="3" t="str">
        <f>HYPERLINK("https://otsuka-europe-crm.veevavault.com/ui/#object/sent_email__v/VBL000000004273", "SE-001380508")</f>
        <v>SE-001380508</v>
      </c>
      <c r="D16102" s="1" t="s">
        <v>0</v>
      </c>
      <c r="E16102" s="2">
        <v>0</v>
      </c>
      <c r="F16102" s="2">
        <v>0</v>
      </c>
      <c r="G16102" s="2">
        <v>0</v>
      </c>
      <c r="H16102" s="1" t="s">
        <v>0</v>
      </c>
      <c r="I16102" s="2">
        <v>0</v>
      </c>
      <c r="J16102" s="1">
        <v>45964.714571759258</v>
      </c>
    </row>
    <row r="16103" spans="1:10" x14ac:dyDescent="0.2">
      <c r="A16103" s="4" t="s">
        <v>1</v>
      </c>
      <c r="B16103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03" s="3" t="str">
        <f>HYPERLINK("https://otsuka-europe-crm.veevavault.com/ui/#object/sent_email__v/VBL000000005626", "SE-001380509")</f>
        <v>SE-001380509</v>
      </c>
      <c r="D16103" s="1" t="s">
        <v>0</v>
      </c>
      <c r="E16103" s="2">
        <v>0</v>
      </c>
      <c r="F16103" s="2">
        <v>0</v>
      </c>
      <c r="G16103" s="2">
        <v>0</v>
      </c>
      <c r="H16103" s="1" t="s">
        <v>0</v>
      </c>
      <c r="I16103" s="2">
        <v>0</v>
      </c>
      <c r="J16103" s="1">
        <v>45964.715451388889</v>
      </c>
    </row>
    <row r="16104" spans="1:10" x14ac:dyDescent="0.2">
      <c r="A16104" s="4" t="s">
        <v>1</v>
      </c>
      <c r="B16104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04" s="3" t="str">
        <f>HYPERLINK("https://otsuka-europe-crm.veevavault.com/ui/#object/sent_email__v/VBL000000004274", "SE-001380510")</f>
        <v>SE-001380510</v>
      </c>
      <c r="D16104" s="1" t="s">
        <v>0</v>
      </c>
      <c r="E16104" s="2">
        <v>0</v>
      </c>
      <c r="F16104" s="2">
        <v>0</v>
      </c>
      <c r="G16104" s="2">
        <v>0</v>
      </c>
      <c r="H16104" s="1" t="s">
        <v>0</v>
      </c>
      <c r="I16104" s="2">
        <v>0</v>
      </c>
      <c r="J16104" s="1">
        <v>45964.715648148151</v>
      </c>
    </row>
    <row r="16105" spans="1:10" x14ac:dyDescent="0.2">
      <c r="A16105" s="4" t="s">
        <v>1</v>
      </c>
      <c r="B16105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05" s="3" t="str">
        <f>HYPERLINK("https://otsuka-europe-crm.veevavault.com/ui/#object/sent_email__v/VBL000000005627", "SE-001380511")</f>
        <v>SE-001380511</v>
      </c>
      <c r="D16105" s="1" t="s">
        <v>0</v>
      </c>
      <c r="E16105" s="2">
        <v>0</v>
      </c>
      <c r="F16105" s="2">
        <v>0</v>
      </c>
      <c r="G16105" s="2">
        <v>0</v>
      </c>
      <c r="H16105" s="1" t="s">
        <v>0</v>
      </c>
      <c r="I16105" s="2">
        <v>0</v>
      </c>
      <c r="J16105" s="1">
        <v>45964.715983796297</v>
      </c>
    </row>
    <row r="16106" spans="1:10" x14ac:dyDescent="0.2">
      <c r="A16106" s="4" t="s">
        <v>1</v>
      </c>
      <c r="B16106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06" s="3" t="str">
        <f>HYPERLINK("https://otsuka-europe-crm.veevavault.com/ui/#object/sent_email__v/VBL000000005628", "SE-001380512")</f>
        <v>SE-001380512</v>
      </c>
      <c r="D16106" s="1">
        <v>45969.410092592596</v>
      </c>
      <c r="E16106" s="2">
        <v>1</v>
      </c>
      <c r="F16106" s="2">
        <v>2</v>
      </c>
      <c r="G16106" s="2">
        <v>0</v>
      </c>
      <c r="H16106" s="1" t="s">
        <v>0</v>
      </c>
      <c r="I16106" s="2">
        <v>0</v>
      </c>
      <c r="J16106" s="1">
        <v>45964.716157407405</v>
      </c>
    </row>
    <row r="16107" spans="1:10" x14ac:dyDescent="0.2">
      <c r="A16107" s="4" t="s">
        <v>1</v>
      </c>
      <c r="B16107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07" s="3" t="str">
        <f>HYPERLINK("https://otsuka-europe-crm.veevavault.com/ui/#object/sent_email__v/VBL000000004275", "SE-001380513")</f>
        <v>SE-001380513</v>
      </c>
      <c r="D16107" s="1">
        <v>45964.968842592592</v>
      </c>
      <c r="E16107" s="2">
        <v>1</v>
      </c>
      <c r="F16107" s="2">
        <v>1</v>
      </c>
      <c r="G16107" s="2">
        <v>0</v>
      </c>
      <c r="H16107" s="1" t="s">
        <v>0</v>
      </c>
      <c r="I16107" s="2">
        <v>0</v>
      </c>
      <c r="J16107" s="1">
        <v>45964.716319444444</v>
      </c>
    </row>
    <row r="16108" spans="1:10" x14ac:dyDescent="0.2">
      <c r="A16108" s="4" t="s">
        <v>1</v>
      </c>
      <c r="B16108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08" s="3" t="str">
        <f>HYPERLINK("https://otsuka-europe-crm.veevavault.com/ui/#object/sent_email__v/VBL000000004276", "SE-001380515")</f>
        <v>SE-001380515</v>
      </c>
      <c r="D16108" s="1" t="s">
        <v>0</v>
      </c>
      <c r="E16108" s="2">
        <v>0</v>
      </c>
      <c r="F16108" s="2">
        <v>0</v>
      </c>
      <c r="G16108" s="2">
        <v>0</v>
      </c>
      <c r="H16108" s="1" t="s">
        <v>0</v>
      </c>
      <c r="I16108" s="2">
        <v>0</v>
      </c>
      <c r="J16108" s="1">
        <v>45964.717835648145</v>
      </c>
    </row>
    <row r="16109" spans="1:10" x14ac:dyDescent="0.2">
      <c r="A16109" s="4" t="s">
        <v>1</v>
      </c>
      <c r="B16109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09" s="3" t="str">
        <f>HYPERLINK("https://otsuka-europe-crm.veevavault.com/ui/#object/sent_email__v/VBL000000004282", "SE-001380538")</f>
        <v>SE-001380538</v>
      </c>
      <c r="D16109" s="1" t="s">
        <v>0</v>
      </c>
      <c r="E16109" s="2">
        <v>0</v>
      </c>
      <c r="F16109" s="2">
        <v>0</v>
      </c>
      <c r="G16109" s="2">
        <v>0</v>
      </c>
      <c r="H16109" s="1" t="s">
        <v>0</v>
      </c>
      <c r="I16109" s="2">
        <v>0</v>
      </c>
      <c r="J16109" s="1">
        <v>45965.33394675926</v>
      </c>
    </row>
    <row r="16110" spans="1:10" x14ac:dyDescent="0.2">
      <c r="A16110" s="4" t="s">
        <v>1</v>
      </c>
      <c r="B16110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10" s="3" t="str">
        <f>HYPERLINK("https://otsuka-europe-crm.veevavault.com/ui/#object/sent_email__v/VBL000000005648", "SE-001380542")</f>
        <v>SE-001380542</v>
      </c>
      <c r="D16110" s="1" t="s">
        <v>0</v>
      </c>
      <c r="E16110" s="2">
        <v>0</v>
      </c>
      <c r="F16110" s="2">
        <v>0</v>
      </c>
      <c r="G16110" s="2">
        <v>0</v>
      </c>
      <c r="H16110" s="1" t="s">
        <v>0</v>
      </c>
      <c r="I16110" s="2">
        <v>0</v>
      </c>
      <c r="J16110" s="1">
        <v>45965.376493055555</v>
      </c>
    </row>
    <row r="16111" spans="1:10" x14ac:dyDescent="0.2">
      <c r="A16111" s="4" t="s">
        <v>1</v>
      </c>
      <c r="B16111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11" s="3" t="str">
        <f>HYPERLINK("https://otsuka-europe-crm.veevavault.com/ui/#object/sent_email__v/VBL000000004415", "SE-001380662")</f>
        <v>SE-001380662</v>
      </c>
      <c r="D16111" s="1" t="s">
        <v>0</v>
      </c>
      <c r="E16111" s="2">
        <v>0</v>
      </c>
      <c r="F16111" s="2">
        <v>0</v>
      </c>
      <c r="G16111" s="2">
        <v>0</v>
      </c>
      <c r="H16111" s="1" t="s">
        <v>0</v>
      </c>
      <c r="I16111" s="2">
        <v>0</v>
      </c>
      <c r="J16111" s="1">
        <v>45965.451319444444</v>
      </c>
    </row>
    <row r="16112" spans="1:10" x14ac:dyDescent="0.2">
      <c r="A16112" s="4" t="s">
        <v>1</v>
      </c>
      <c r="B16112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12" s="3" t="str">
        <f>HYPERLINK("https://otsuka-europe-crm.veevavault.com/ui/#object/sent_email__v/VBL000000004771", "SE-001381326")</f>
        <v>SE-001381326</v>
      </c>
      <c r="D16112" s="1" t="s">
        <v>0</v>
      </c>
      <c r="E16112" s="2">
        <v>0</v>
      </c>
      <c r="F16112" s="2">
        <v>0</v>
      </c>
      <c r="G16112" s="2">
        <v>0</v>
      </c>
      <c r="H16112" s="1" t="s">
        <v>0</v>
      </c>
      <c r="I16112" s="2">
        <v>0</v>
      </c>
      <c r="J16112" s="1">
        <v>45967.551724537036</v>
      </c>
    </row>
    <row r="16113" spans="1:10" x14ac:dyDescent="0.2">
      <c r="A16113" s="4" t="s">
        <v>1</v>
      </c>
      <c r="B16113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13" s="3" t="str">
        <f>HYPERLINK("https://otsuka-europe-crm.veevavault.com/ui/#object/sent_email__v/VBL000000008488", "SE-001381687")</f>
        <v>SE-001381687</v>
      </c>
      <c r="D16113" s="1" t="s">
        <v>0</v>
      </c>
      <c r="E16113" s="2">
        <v>0</v>
      </c>
      <c r="F16113" s="2">
        <v>0</v>
      </c>
      <c r="G16113" s="2">
        <v>0</v>
      </c>
      <c r="H16113" s="1" t="s">
        <v>0</v>
      </c>
      <c r="I16113" s="2">
        <v>0</v>
      </c>
      <c r="J16113" s="1">
        <v>45968.373414351852</v>
      </c>
    </row>
    <row r="16114" spans="1:10" x14ac:dyDescent="0.2">
      <c r="A16114" s="4" t="s">
        <v>1</v>
      </c>
      <c r="B16114" s="3" t="str">
        <f>HYPERLINK("https://otsuka-europe-crm.veevavault.com/ui/#object/approved_document__v/V5O000000001009", "LUP – Programa e invitación LUPSTARS 2025 - nefro")</f>
        <v>LUP – Programa e invitación LUPSTARS 2025 - nefro</v>
      </c>
      <c r="C16114" s="3" t="str">
        <f>HYPERLINK("https://otsuka-europe-crm.veevavault.com/ui/#object/sent_email__v/VBL000000008603", "SE-001381885")</f>
        <v>SE-001381885</v>
      </c>
      <c r="D16114" s="1" t="s">
        <v>0</v>
      </c>
      <c r="E16114" s="2">
        <v>0</v>
      </c>
      <c r="F16114" s="2">
        <v>0</v>
      </c>
      <c r="G16114" s="2">
        <v>0</v>
      </c>
      <c r="H16114" s="1" t="s">
        <v>0</v>
      </c>
      <c r="I16114" s="2">
        <v>0</v>
      </c>
      <c r="J16114" s="1">
        <v>45968.503437500003</v>
      </c>
    </row>
    <row r="16115" spans="1:10" x14ac:dyDescent="0.2">
      <c r="A16115" s="4" t="s">
        <v>1</v>
      </c>
      <c r="B16115" s="3" t="str">
        <f>HYPERLINK("https://otsuka-europe-crm.veevavault.com/ui/#object/approved_document__v/V5OZ025E82UOESP", "LUP – Programa e invitación LUPSTARS 2025 - reuma/mi")</f>
        <v>LUP – Programa e invitación LUPSTARS 2025 - reuma/mi</v>
      </c>
      <c r="C16115" s="3" t="str">
        <f>HYPERLINK("https://otsuka-europe-crm.veevavault.com/ui/#object/sent_email__v/VBLZ025E82HOESX", "SE-000288058")</f>
        <v>SE-000288058</v>
      </c>
      <c r="D16115" s="1">
        <v>45950.732546296298</v>
      </c>
      <c r="E16115" s="2">
        <v>1</v>
      </c>
      <c r="F16115" s="2">
        <v>2</v>
      </c>
      <c r="G16115" s="2">
        <v>0</v>
      </c>
      <c r="H16115" s="1" t="s">
        <v>0</v>
      </c>
      <c r="I16115" s="2">
        <v>0</v>
      </c>
      <c r="J16115" s="1">
        <v>45950.325648148151</v>
      </c>
    </row>
    <row r="16116" spans="1:10" x14ac:dyDescent="0.2">
      <c r="A16116" s="4" t="s">
        <v>1</v>
      </c>
      <c r="B16116" s="3" t="str">
        <f>HYPERLINK("https://otsuka-europe-crm.veevavault.com/ui/#object/approved_document__v/V5OZ025E82UOESP", "LUP – Programa e invitación LUPSTARS 2025 - reuma/mi")</f>
        <v>LUP – Programa e invitación LUPSTARS 2025 - reuma/mi</v>
      </c>
      <c r="C16116" s="3" t="str">
        <f>HYPERLINK("https://otsuka-europe-crm.veevavault.com/ui/#object/sent_email__v/VBLZ025E82HPA1X", "SE-000288566")</f>
        <v>SE-000288566</v>
      </c>
      <c r="D16116" s="1">
        <v>45951.71671296296</v>
      </c>
      <c r="E16116" s="2">
        <v>1</v>
      </c>
      <c r="F16116" s="2">
        <v>5</v>
      </c>
      <c r="G16116" s="2">
        <v>1</v>
      </c>
      <c r="H16116" s="1">
        <v>45950.5934375</v>
      </c>
      <c r="I16116" s="2">
        <v>3</v>
      </c>
      <c r="J16116" s="1">
        <v>45950.592291666668</v>
      </c>
    </row>
    <row r="16117" spans="1:10" x14ac:dyDescent="0.2">
      <c r="A16117" s="4" t="s">
        <v>1</v>
      </c>
      <c r="B16117" s="3" t="str">
        <f>HYPERLINK("https://otsuka-europe-crm.veevavault.com/ui/#object/approved_document__v/V5OZ025E82UUUNX", "LUP – Programa e invitación LUPSTARS 2025 - reuma/mi")</f>
        <v>LUP – Programa e invitación LUPSTARS 2025 - reuma/mi</v>
      </c>
      <c r="C16117" s="3" t="str">
        <f>HYPERLINK("https://otsuka-europe-crm.veevavault.com/ui/#object/sent_email__v/VBL000000002007", "SE-001377890")</f>
        <v>SE-001377890</v>
      </c>
      <c r="D16117" s="1" t="s">
        <v>0</v>
      </c>
      <c r="E16117" s="2">
        <v>0</v>
      </c>
      <c r="F16117" s="2">
        <v>0</v>
      </c>
      <c r="G16117" s="2">
        <v>0</v>
      </c>
      <c r="H16117" s="1" t="s">
        <v>0</v>
      </c>
      <c r="I16117" s="2">
        <v>0</v>
      </c>
      <c r="J16117" s="1">
        <v>45957.526284722226</v>
      </c>
    </row>
    <row r="16118" spans="1:10" x14ac:dyDescent="0.2">
      <c r="A16118" s="4" t="s">
        <v>1</v>
      </c>
      <c r="B16118" s="3" t="str">
        <f>HYPERLINK("https://otsuka-europe-crm.veevavault.com/ui/#object/approved_document__v/V5OZ025E82UUUNX", "LUP – Programa e invitación LUPSTARS 2025 - reuma/mi")</f>
        <v>LUP – Programa e invitación LUPSTARS 2025 - reuma/mi</v>
      </c>
      <c r="C16118" s="3" t="str">
        <f>HYPERLINK("https://otsuka-europe-crm.veevavault.com/ui/#object/sent_email__v/VBL000000002109", "SE-001378659")</f>
        <v>SE-001378659</v>
      </c>
      <c r="D16118" s="1" t="s">
        <v>0</v>
      </c>
      <c r="E16118" s="2">
        <v>0</v>
      </c>
      <c r="F16118" s="2">
        <v>0</v>
      </c>
      <c r="G16118" s="2">
        <v>0</v>
      </c>
      <c r="H16118" s="1" t="s">
        <v>0</v>
      </c>
      <c r="I16118" s="2">
        <v>0</v>
      </c>
      <c r="J16118" s="1">
        <v>45957.619895833333</v>
      </c>
    </row>
    <row r="16119" spans="1:10" x14ac:dyDescent="0.2">
      <c r="A16119" s="4" t="s">
        <v>1</v>
      </c>
      <c r="B16119" s="3" t="str">
        <f>HYPERLINK("https://otsuka-europe-crm.veevavault.com/ui/#object/approved_document__v/V5OZ025E82UUUNX", "LUP – Programa e invitación LUPSTARS 2025 - reuma/mi")</f>
        <v>LUP – Programa e invitación LUPSTARS 2025 - reuma/mi</v>
      </c>
      <c r="C16119" s="3" t="str">
        <f>HYPERLINK("https://otsuka-europe-crm.veevavault.com/ui/#object/sent_email__v/VBL000000001874", "SE-001378662")</f>
        <v>SE-001378662</v>
      </c>
      <c r="D16119" s="1" t="s">
        <v>0</v>
      </c>
      <c r="E16119" s="2">
        <v>0</v>
      </c>
      <c r="F16119" s="2">
        <v>0</v>
      </c>
      <c r="G16119" s="2">
        <v>0</v>
      </c>
      <c r="H16119" s="1" t="s">
        <v>0</v>
      </c>
      <c r="I16119" s="2">
        <v>0</v>
      </c>
      <c r="J16119" s="1">
        <v>45957.624074074076</v>
      </c>
    </row>
    <row r="16120" spans="1:10" x14ac:dyDescent="0.2">
      <c r="A16120" s="4" t="s">
        <v>1</v>
      </c>
      <c r="B16120" s="3" t="str">
        <f>HYPERLINK("https://otsuka-europe-crm.veevavault.com/ui/#object/approved_document__v/V5OZ025E82UUUNX", "LUP – Programa e invitación LUPSTARS 2025 - reuma/mi")</f>
        <v>LUP – Programa e invitación LUPSTARS 2025 - reuma/mi</v>
      </c>
      <c r="C16120" s="3" t="str">
        <f>HYPERLINK("https://otsuka-europe-crm.veevavault.com/ui/#object/sent_email__v/VBL000000002110", "SE-001378668")</f>
        <v>SE-001378668</v>
      </c>
      <c r="D16120" s="1" t="s">
        <v>0</v>
      </c>
      <c r="E16120" s="2">
        <v>0</v>
      </c>
      <c r="F16120" s="2">
        <v>0</v>
      </c>
      <c r="G16120" s="2">
        <v>0</v>
      </c>
      <c r="H16120" s="1" t="s">
        <v>0</v>
      </c>
      <c r="I16120" s="2">
        <v>0</v>
      </c>
      <c r="J16120" s="1">
        <v>45957.648587962962</v>
      </c>
    </row>
    <row r="16121" spans="1:10" x14ac:dyDescent="0.2">
      <c r="A16121" s="4" t="s">
        <v>1</v>
      </c>
      <c r="B16121" s="3" t="str">
        <f>HYPERLINK("https://otsuka-europe-crm.veevavault.com/ui/#object/approved_document__v/V5OZ025E82UUUNX", "LUP – Programa e invitación LUPSTARS 2025 - reuma/mi")</f>
        <v>LUP – Programa e invitación LUPSTARS 2025 - reuma/mi</v>
      </c>
      <c r="C16121" s="3" t="str">
        <f>HYPERLINK("https://otsuka-europe-crm.veevavault.com/ui/#object/sent_email__v/VBL000000002112", "SE-001378673")</f>
        <v>SE-001378673</v>
      </c>
      <c r="D16121" s="1" t="s">
        <v>0</v>
      </c>
      <c r="E16121" s="2">
        <v>0</v>
      </c>
      <c r="F16121" s="2">
        <v>0</v>
      </c>
      <c r="G16121" s="2">
        <v>0</v>
      </c>
      <c r="H16121" s="1" t="s">
        <v>0</v>
      </c>
      <c r="I16121" s="2">
        <v>0</v>
      </c>
      <c r="J16121" s="1">
        <v>45957.674166666664</v>
      </c>
    </row>
    <row r="16122" spans="1:10" x14ac:dyDescent="0.2">
      <c r="A16122" s="4" t="s">
        <v>1</v>
      </c>
      <c r="B16122" s="3" t="str">
        <f>HYPERLINK("https://otsuka-europe-crm.veevavault.com/ui/#object/approved_document__v/V5O000000001008", "LUP – Programa e invitación LUPSTARS 2025 - reuma/mi")</f>
        <v>LUP – Programa e invitación LUPSTARS 2025 - reuma/mi</v>
      </c>
      <c r="C16122" s="3" t="str">
        <f>HYPERLINK("https://otsuka-europe-crm.veevavault.com/ui/#object/sent_email__v/VBL000000002320", "SE-001378910")</f>
        <v>SE-001378910</v>
      </c>
      <c r="D16122" s="1" t="s">
        <v>0</v>
      </c>
      <c r="E16122" s="2">
        <v>0</v>
      </c>
      <c r="F16122" s="2">
        <v>0</v>
      </c>
      <c r="G16122" s="2">
        <v>0</v>
      </c>
      <c r="H16122" s="1" t="s">
        <v>0</v>
      </c>
      <c r="I16122" s="2">
        <v>0</v>
      </c>
      <c r="J16122" s="1">
        <v>45958.444733796299</v>
      </c>
    </row>
    <row r="16123" spans="1:10" x14ac:dyDescent="0.2">
      <c r="A16123" s="4" t="s">
        <v>1</v>
      </c>
      <c r="B16123" s="3" t="str">
        <f>HYPERLINK("https://otsuka-europe-crm.veevavault.com/ui/#object/approved_document__v/V5O000000001008", "LUP – Programa e invitación LUPSTARS 2025 - reuma/mi")</f>
        <v>LUP – Programa e invitación LUPSTARS 2025 - reuma/mi</v>
      </c>
      <c r="C16123" s="3" t="str">
        <f>HYPERLINK("https://otsuka-europe-crm.veevavault.com/ui/#object/sent_email__v/VBL000000001920", "SE-001378923")</f>
        <v>SE-001378923</v>
      </c>
      <c r="D16123" s="1">
        <v>45959.448946759258</v>
      </c>
      <c r="E16123" s="2">
        <v>1</v>
      </c>
      <c r="F16123" s="2">
        <v>1</v>
      </c>
      <c r="G16123" s="2">
        <v>0</v>
      </c>
      <c r="H16123" s="1" t="s">
        <v>0</v>
      </c>
      <c r="I16123" s="2">
        <v>0</v>
      </c>
      <c r="J16123" s="1">
        <v>45958.487870370373</v>
      </c>
    </row>
    <row r="16124" spans="1:10" x14ac:dyDescent="0.2">
      <c r="A16124" s="4" t="s">
        <v>1</v>
      </c>
      <c r="B16124" s="3" t="str">
        <f>HYPERLINK("https://otsuka-europe-crm.veevavault.com/ui/#object/approved_document__v/V5O000000001008", "LUP – Programa e invitación LUPSTARS 2025 - reuma/mi")</f>
        <v>LUP – Programa e invitación LUPSTARS 2025 - reuma/mi</v>
      </c>
      <c r="C16124" s="3" t="str">
        <f>HYPERLINK("https://otsuka-europe-crm.veevavault.com/ui/#object/sent_email__v/VBL000000002380", "SE-001378925")</f>
        <v>SE-001378925</v>
      </c>
      <c r="D16124" s="1" t="s">
        <v>0</v>
      </c>
      <c r="E16124" s="2">
        <v>0</v>
      </c>
      <c r="F16124" s="2">
        <v>0</v>
      </c>
      <c r="G16124" s="2">
        <v>0</v>
      </c>
      <c r="H16124" s="1" t="s">
        <v>0</v>
      </c>
      <c r="I16124" s="2">
        <v>0</v>
      </c>
      <c r="J16124" s="1">
        <v>45958.49355324074</v>
      </c>
    </row>
    <row r="16125" spans="1:10" x14ac:dyDescent="0.2">
      <c r="A16125" s="4" t="s">
        <v>1</v>
      </c>
      <c r="B16125" s="3" t="str">
        <f>HYPERLINK("https://otsuka-europe-crm.veevavault.com/ui/#object/approved_document__v/V5O000000001008", "LUP – Programa e invitación LUPSTARS 2025 - reuma/mi")</f>
        <v>LUP – Programa e invitación LUPSTARS 2025 - reuma/mi</v>
      </c>
      <c r="C16125" s="3" t="str">
        <f>HYPERLINK("https://otsuka-europe-crm.veevavault.com/ui/#object/sent_email__v/VBL000000002381", "SE-001378926")</f>
        <v>SE-001378926</v>
      </c>
      <c r="D16125" s="1">
        <v>45959.72247685185</v>
      </c>
      <c r="E16125" s="2">
        <v>1</v>
      </c>
      <c r="F16125" s="2">
        <v>2</v>
      </c>
      <c r="G16125" s="2">
        <v>1</v>
      </c>
      <c r="H16125" s="1">
        <v>45959.723483796297</v>
      </c>
      <c r="I16125" s="2">
        <v>1</v>
      </c>
      <c r="J16125" s="1">
        <v>45958.493576388886</v>
      </c>
    </row>
    <row r="16126" spans="1:10" x14ac:dyDescent="0.2">
      <c r="A16126" s="4" t="s">
        <v>1</v>
      </c>
      <c r="B16126" s="3" t="str">
        <f>HYPERLINK("https://otsuka-europe-crm.veevavault.com/ui/#object/approved_document__v/V5O000000001008", "LUP – Programa e invitación LUPSTARS 2025 - reuma/mi")</f>
        <v>LUP – Programa e invitación LUPSTARS 2025 - reuma/mi</v>
      </c>
      <c r="C16126" s="3" t="str">
        <f>HYPERLINK("https://otsuka-europe-crm.veevavault.com/ui/#object/sent_email__v/VBL000000002606", "SE-001379679")</f>
        <v>SE-001379679</v>
      </c>
      <c r="D16126" s="1" t="s">
        <v>0</v>
      </c>
      <c r="E16126" s="2">
        <v>0</v>
      </c>
      <c r="F16126" s="2">
        <v>0</v>
      </c>
      <c r="G16126" s="2">
        <v>0</v>
      </c>
      <c r="H16126" s="1" t="s">
        <v>0</v>
      </c>
      <c r="I16126" s="2">
        <v>0</v>
      </c>
      <c r="J16126" s="1">
        <v>45960.464456018519</v>
      </c>
    </row>
    <row r="16127" spans="1:10" x14ac:dyDescent="0.2">
      <c r="A16127" s="4" t="s">
        <v>1</v>
      </c>
      <c r="B16127" s="3" t="str">
        <f>HYPERLINK("https://otsuka-europe-crm.veevavault.com/ui/#object/approved_document__v/V5O000000001008", "LUP – Programa e invitación LUPSTARS 2025 - reuma/mi")</f>
        <v>LUP – Programa e invitación LUPSTARS 2025 - reuma/mi</v>
      </c>
      <c r="C16127" s="3" t="str">
        <f>HYPERLINK("https://otsuka-europe-crm.veevavault.com/ui/#object/sent_email__v/VBL000000004096", "SE-001380168")</f>
        <v>SE-001380168</v>
      </c>
      <c r="D16127" s="1" t="s">
        <v>0</v>
      </c>
      <c r="E16127" s="2">
        <v>0</v>
      </c>
      <c r="F16127" s="2">
        <v>0</v>
      </c>
      <c r="G16127" s="2">
        <v>0</v>
      </c>
      <c r="H16127" s="1" t="s">
        <v>0</v>
      </c>
      <c r="I16127" s="2">
        <v>0</v>
      </c>
      <c r="J16127" s="1">
        <v>45961.500555555554</v>
      </c>
    </row>
    <row r="16128" spans="1:10" x14ac:dyDescent="0.2">
      <c r="A16128" s="4" t="s">
        <v>1</v>
      </c>
      <c r="B16128" s="3" t="str">
        <f>HYPERLINK("https://otsuka-europe-crm.veevavault.com/ui/#object/approved_document__v/V5O000000001008", "LUP – Programa e invitación LUPSTARS 2025 - reuma/mi")</f>
        <v>LUP – Programa e invitación LUPSTARS 2025 - reuma/mi</v>
      </c>
      <c r="C16128" s="3" t="str">
        <f>HYPERLINK("https://otsuka-europe-crm.veevavault.com/ui/#object/sent_email__v/VBL000000004269", "SE-001380504")</f>
        <v>SE-001380504</v>
      </c>
      <c r="D16128" s="1" t="s">
        <v>0</v>
      </c>
      <c r="E16128" s="2">
        <v>0</v>
      </c>
      <c r="F16128" s="2">
        <v>0</v>
      </c>
      <c r="G16128" s="2">
        <v>0</v>
      </c>
      <c r="H16128" s="1" t="s">
        <v>0</v>
      </c>
      <c r="I16128" s="2">
        <v>0</v>
      </c>
      <c r="J16128" s="1">
        <v>45964.703240740739</v>
      </c>
    </row>
    <row r="16129" spans="1:10" x14ac:dyDescent="0.2">
      <c r="A16129" s="4" t="s">
        <v>1</v>
      </c>
      <c r="B16129" s="3" t="str">
        <f>HYPERLINK("https://otsuka-europe-crm.veevavault.com/ui/#object/approved_document__v/V5O000000001008", "LUP – Programa e invitación LUPSTARS 2025 - reuma/mi")</f>
        <v>LUP – Programa e invitación LUPSTARS 2025 - reuma/mi</v>
      </c>
      <c r="C16129" s="3" t="str">
        <f>HYPERLINK("https://otsuka-europe-crm.veevavault.com/ui/#object/sent_email__v/VBL000000005629", "SE-001380514")</f>
        <v>SE-001380514</v>
      </c>
      <c r="D16129" s="1" t="s">
        <v>0</v>
      </c>
      <c r="E16129" s="2">
        <v>0</v>
      </c>
      <c r="F16129" s="2">
        <v>0</v>
      </c>
      <c r="G16129" s="2">
        <v>0</v>
      </c>
      <c r="H16129" s="1" t="s">
        <v>0</v>
      </c>
      <c r="I16129" s="2">
        <v>0</v>
      </c>
      <c r="J16129" s="1">
        <v>45964.716770833336</v>
      </c>
    </row>
    <row r="16130" spans="1:10" x14ac:dyDescent="0.2">
      <c r="A16130" s="4" t="s">
        <v>1</v>
      </c>
      <c r="B16130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30" s="3" t="str">
        <f>HYPERLINK("https://otsuka-europe-crm.veevavault.com/ui/#object/sent_email__v/VBLZ025E82GG7ZH", "SE-000255445")</f>
        <v>SE-000255445</v>
      </c>
      <c r="D16130" s="1">
        <v>45905.458078703705</v>
      </c>
      <c r="E16130" s="2">
        <v>1</v>
      </c>
      <c r="F16130" s="2">
        <v>4</v>
      </c>
      <c r="G16130" s="2">
        <v>1</v>
      </c>
      <c r="H16130" s="1">
        <v>45905.458194444444</v>
      </c>
      <c r="I16130" s="2">
        <v>5</v>
      </c>
      <c r="J16130" s="1">
        <v>45905.439421296294</v>
      </c>
    </row>
    <row r="16131" spans="1:10" x14ac:dyDescent="0.2">
      <c r="A16131" s="4" t="s">
        <v>1</v>
      </c>
      <c r="B16131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31" s="3" t="str">
        <f>HYPERLINK("https://otsuka-europe-crm.veevavault.com/ui/#object/sent_email__v/VBLZ025E82GG851", "SE-000255446")</f>
        <v>SE-000255446</v>
      </c>
      <c r="D16131" s="1">
        <v>45905.439872685187</v>
      </c>
      <c r="E16131" s="2">
        <v>1</v>
      </c>
      <c r="F16131" s="2">
        <v>2</v>
      </c>
      <c r="G16131" s="2">
        <v>1</v>
      </c>
      <c r="H16131" s="1">
        <v>45905.439849537041</v>
      </c>
      <c r="I16131" s="2">
        <v>2</v>
      </c>
      <c r="J16131" s="1">
        <v>45905.439791666664</v>
      </c>
    </row>
    <row r="16132" spans="1:10" x14ac:dyDescent="0.2">
      <c r="A16132" s="4" t="s">
        <v>1</v>
      </c>
      <c r="B16132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32" s="3" t="str">
        <f>HYPERLINK("https://otsuka-europe-crm.veevavault.com/ui/#object/sent_email__v/VBLZ025E82GG87T", "SE-000255447")</f>
        <v>SE-000255447</v>
      </c>
      <c r="D16132" s="1">
        <v>45905.659537037034</v>
      </c>
      <c r="E16132" s="2">
        <v>1</v>
      </c>
      <c r="F16132" s="2">
        <v>7</v>
      </c>
      <c r="G16132" s="2">
        <v>1</v>
      </c>
      <c r="H16132" s="1">
        <v>45905.441689814812</v>
      </c>
      <c r="I16132" s="2">
        <v>2</v>
      </c>
      <c r="J16132" s="1">
        <v>45905.441620370373</v>
      </c>
    </row>
    <row r="16133" spans="1:10" x14ac:dyDescent="0.2">
      <c r="A16133" s="4" t="s">
        <v>1</v>
      </c>
      <c r="B16133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33" s="3" t="str">
        <f>HYPERLINK("https://otsuka-europe-crm.veevavault.com/ui/#object/sent_email__v/VBLZ025E82GG8U1", "SE-000255453")</f>
        <v>SE-000255453</v>
      </c>
      <c r="D16133" s="1">
        <v>45905.446828703702</v>
      </c>
      <c r="E16133" s="2">
        <v>1</v>
      </c>
      <c r="F16133" s="2">
        <v>2</v>
      </c>
      <c r="G16133" s="2">
        <v>1</v>
      </c>
      <c r="H16133" s="1">
        <v>45905.446817129632</v>
      </c>
      <c r="I16133" s="2">
        <v>2</v>
      </c>
      <c r="J16133" s="1">
        <v>45905.446712962963</v>
      </c>
    </row>
    <row r="16134" spans="1:10" x14ac:dyDescent="0.2">
      <c r="A16134" s="4" t="s">
        <v>1</v>
      </c>
      <c r="B16134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34" s="3" t="str">
        <f>HYPERLINK("https://otsuka-europe-crm.veevavault.com/ui/#object/sent_email__v/VBLZ025E82GKO8X", "SE-000255790")</f>
        <v>SE-000255790</v>
      </c>
      <c r="D16134" s="1" t="s">
        <v>0</v>
      </c>
      <c r="E16134" s="2">
        <v>0</v>
      </c>
      <c r="F16134" s="2">
        <v>0</v>
      </c>
      <c r="G16134" s="2">
        <v>0</v>
      </c>
      <c r="H16134" s="1" t="s">
        <v>0</v>
      </c>
      <c r="I16134" s="2">
        <v>0</v>
      </c>
      <c r="J16134" s="1">
        <v>45911.435046296298</v>
      </c>
    </row>
    <row r="16135" spans="1:10" x14ac:dyDescent="0.2">
      <c r="A16135" s="4" t="s">
        <v>1</v>
      </c>
      <c r="B16135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35" s="3" t="str">
        <f>HYPERLINK("https://otsuka-europe-crm.veevavault.com/ui/#object/sent_email__v/VBLZ025E82GKOSD", "SE-000255792")</f>
        <v>SE-000255792</v>
      </c>
      <c r="D16135" s="1">
        <v>45911.47278935185</v>
      </c>
      <c r="E16135" s="2">
        <v>1</v>
      </c>
      <c r="F16135" s="2">
        <v>1</v>
      </c>
      <c r="G16135" s="2">
        <v>0</v>
      </c>
      <c r="H16135" s="1" t="s">
        <v>0</v>
      </c>
      <c r="I16135" s="2">
        <v>0</v>
      </c>
      <c r="J16135" s="1">
        <v>45911.439259259256</v>
      </c>
    </row>
    <row r="16136" spans="1:10" x14ac:dyDescent="0.2">
      <c r="A16136" s="4" t="s">
        <v>1</v>
      </c>
      <c r="B16136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36" s="3" t="str">
        <f>HYPERLINK("https://otsuka-europe-crm.veevavault.com/ui/#object/sent_email__v/VBLZ025E82GKP69", "SE-000255795")</f>
        <v>SE-000255795</v>
      </c>
      <c r="D16136" s="1" t="s">
        <v>0</v>
      </c>
      <c r="E16136" s="2">
        <v>0</v>
      </c>
      <c r="F16136" s="2">
        <v>0</v>
      </c>
      <c r="G16136" s="2">
        <v>0</v>
      </c>
      <c r="H16136" s="1" t="s">
        <v>0</v>
      </c>
      <c r="I16136" s="2">
        <v>0</v>
      </c>
      <c r="J16136" s="1">
        <v>45911.440960648149</v>
      </c>
    </row>
    <row r="16137" spans="1:10" x14ac:dyDescent="0.2">
      <c r="A16137" s="4" t="s">
        <v>1</v>
      </c>
      <c r="B16137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37" s="3" t="str">
        <f>HYPERLINK("https://otsuka-europe-crm.veevavault.com/ui/#object/sent_email__v/VBLZ025E82GKPPP", "SE-000255797")</f>
        <v>SE-000255797</v>
      </c>
      <c r="D16137" s="1" t="s">
        <v>0</v>
      </c>
      <c r="E16137" s="2">
        <v>0</v>
      </c>
      <c r="F16137" s="2">
        <v>0</v>
      </c>
      <c r="G16137" s="2">
        <v>0</v>
      </c>
      <c r="H16137" s="1" t="s">
        <v>0</v>
      </c>
      <c r="I16137" s="2">
        <v>0</v>
      </c>
      <c r="J16137" s="1">
        <v>45911.442291666666</v>
      </c>
    </row>
    <row r="16138" spans="1:10" x14ac:dyDescent="0.2">
      <c r="A16138" s="4" t="s">
        <v>1</v>
      </c>
      <c r="B16138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38" s="3" t="str">
        <f>HYPERLINK("https://otsuka-europe-crm.veevavault.com/ui/#object/sent_email__v/VBLZ025E82GKPSH", "SE-000255798")</f>
        <v>SE-000255798</v>
      </c>
      <c r="D16138" s="1" t="s">
        <v>0</v>
      </c>
      <c r="E16138" s="2">
        <v>0</v>
      </c>
      <c r="F16138" s="2">
        <v>0</v>
      </c>
      <c r="G16138" s="2">
        <v>0</v>
      </c>
      <c r="H16138" s="1" t="s">
        <v>0</v>
      </c>
      <c r="I16138" s="2">
        <v>0</v>
      </c>
      <c r="J16138" s="1">
        <v>45911.442476851851</v>
      </c>
    </row>
    <row r="16139" spans="1:10" x14ac:dyDescent="0.2">
      <c r="A16139" s="4" t="s">
        <v>1</v>
      </c>
      <c r="B16139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39" s="3" t="str">
        <f>HYPERLINK("https://otsuka-europe-crm.veevavault.com/ui/#object/sent_email__v/VBLZ025E82GKPY1", "SE-000255800")</f>
        <v>SE-000255800</v>
      </c>
      <c r="D16139" s="1">
        <v>45912.662719907406</v>
      </c>
      <c r="E16139" s="2">
        <v>1</v>
      </c>
      <c r="F16139" s="2">
        <v>2</v>
      </c>
      <c r="G16139" s="2">
        <v>0</v>
      </c>
      <c r="H16139" s="1" t="s">
        <v>0</v>
      </c>
      <c r="I16139" s="2">
        <v>0</v>
      </c>
      <c r="J16139" s="1">
        <v>45911.44667824074</v>
      </c>
    </row>
    <row r="16140" spans="1:10" x14ac:dyDescent="0.2">
      <c r="A16140" s="4" t="s">
        <v>1</v>
      </c>
      <c r="B16140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40" s="3" t="str">
        <f>HYPERLINK("https://otsuka-europe-crm.veevavault.com/ui/#object/sent_email__v/VBLZ025E82H0R6L", "SE-000280935")</f>
        <v>SE-000280935</v>
      </c>
      <c r="D16140" s="1">
        <v>45929.447754629633</v>
      </c>
      <c r="E16140" s="2">
        <v>1</v>
      </c>
      <c r="F16140" s="2">
        <v>2</v>
      </c>
      <c r="G16140" s="2">
        <v>1</v>
      </c>
      <c r="H16140" s="1">
        <v>45925.745405092595</v>
      </c>
      <c r="I16140" s="2">
        <v>2</v>
      </c>
      <c r="J16140" s="1">
        <v>45925.677384259259</v>
      </c>
    </row>
    <row r="16141" spans="1:10" x14ac:dyDescent="0.2">
      <c r="A16141" s="4" t="s">
        <v>1</v>
      </c>
      <c r="B16141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41" s="3" t="str">
        <f>HYPERLINK("https://otsuka-europe-crm.veevavault.com/ui/#object/sent_email__v/VBLZ025E82H0RQ1", "SE-000280936")</f>
        <v>SE-000280936</v>
      </c>
      <c r="D16141" s="1" t="s">
        <v>0</v>
      </c>
      <c r="E16141" s="2">
        <v>0</v>
      </c>
      <c r="F16141" s="2">
        <v>0</v>
      </c>
      <c r="G16141" s="2">
        <v>0</v>
      </c>
      <c r="H16141" s="1" t="s">
        <v>0</v>
      </c>
      <c r="I16141" s="2">
        <v>0</v>
      </c>
      <c r="J16141" s="1">
        <v>45925.683136574073</v>
      </c>
    </row>
    <row r="16142" spans="1:10" x14ac:dyDescent="0.2">
      <c r="A16142" s="4" t="s">
        <v>1</v>
      </c>
      <c r="B16142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42" s="3" t="str">
        <f>HYPERLINK("https://otsuka-europe-crm.veevavault.com/ui/#object/sent_email__v/VBLZ025E82H99NX", "SE-000283170")</f>
        <v>SE-000283170</v>
      </c>
      <c r="D16142" s="1" t="s">
        <v>0</v>
      </c>
      <c r="E16142" s="2">
        <v>0</v>
      </c>
      <c r="F16142" s="2">
        <v>0</v>
      </c>
      <c r="G16142" s="2">
        <v>0</v>
      </c>
      <c r="H16142" s="1" t="s">
        <v>0</v>
      </c>
      <c r="I16142" s="2">
        <v>0</v>
      </c>
      <c r="J16142" s="1">
        <v>45933.393472222226</v>
      </c>
    </row>
    <row r="16143" spans="1:10" x14ac:dyDescent="0.2">
      <c r="A16143" s="4" t="s">
        <v>1</v>
      </c>
      <c r="B16143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43" s="3" t="str">
        <f>HYPERLINK("https://otsuka-europe-crm.veevavault.com/ui/#object/sent_email__v/VBLZ025E82H99NY", "SE-000283171")</f>
        <v>SE-000283171</v>
      </c>
      <c r="D16143" s="1" t="s">
        <v>0</v>
      </c>
      <c r="E16143" s="2">
        <v>0</v>
      </c>
      <c r="F16143" s="2">
        <v>0</v>
      </c>
      <c r="G16143" s="2">
        <v>0</v>
      </c>
      <c r="H16143" s="1" t="s">
        <v>0</v>
      </c>
      <c r="I16143" s="2">
        <v>0</v>
      </c>
      <c r="J16143" s="1">
        <v>45933.393472222226</v>
      </c>
    </row>
    <row r="16144" spans="1:10" x14ac:dyDescent="0.2">
      <c r="A16144" s="4" t="s">
        <v>1</v>
      </c>
      <c r="B16144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44" s="3" t="str">
        <f>HYPERLINK("https://otsuka-europe-crm.veevavault.com/ui/#object/sent_email__v/VBLZ025E82H99NZ", "SE-000283172")</f>
        <v>SE-000283172</v>
      </c>
      <c r="D16144" s="1">
        <v>45943.887129629627</v>
      </c>
      <c r="E16144" s="2">
        <v>1</v>
      </c>
      <c r="F16144" s="2">
        <v>1</v>
      </c>
      <c r="G16144" s="2">
        <v>1</v>
      </c>
      <c r="H16144" s="1">
        <v>45943.887754629628</v>
      </c>
      <c r="I16144" s="2">
        <v>1</v>
      </c>
      <c r="J16144" s="1">
        <v>45933.393449074072</v>
      </c>
    </row>
    <row r="16145" spans="1:10" x14ac:dyDescent="0.2">
      <c r="A16145" s="4" t="s">
        <v>1</v>
      </c>
      <c r="B16145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45" s="3" t="str">
        <f>HYPERLINK("https://otsuka-europe-crm.veevavault.com/ui/#object/sent_email__v/VBLZ025E82H99O0", "SE-000283173")</f>
        <v>SE-000283173</v>
      </c>
      <c r="D16145" s="1">
        <v>45940.937071759261</v>
      </c>
      <c r="E16145" s="2">
        <v>1</v>
      </c>
      <c r="F16145" s="2">
        <v>4</v>
      </c>
      <c r="G16145" s="2">
        <v>0</v>
      </c>
      <c r="H16145" s="1" t="s">
        <v>0</v>
      </c>
      <c r="I16145" s="2">
        <v>0</v>
      </c>
      <c r="J16145" s="1">
        <v>45933.393449074072</v>
      </c>
    </row>
    <row r="16146" spans="1:10" x14ac:dyDescent="0.2">
      <c r="A16146" s="4" t="s">
        <v>1</v>
      </c>
      <c r="B16146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46" s="3" t="str">
        <f>HYPERLINK("https://otsuka-europe-crm.veevavault.com/ui/#object/sent_email__v/VBLZ025E82H99O1", "SE-000283174")</f>
        <v>SE-000283174</v>
      </c>
      <c r="D16146" s="1">
        <v>45933.935081018521</v>
      </c>
      <c r="E16146" s="2">
        <v>1</v>
      </c>
      <c r="F16146" s="2">
        <v>1</v>
      </c>
      <c r="G16146" s="2">
        <v>0</v>
      </c>
      <c r="H16146" s="1" t="s">
        <v>0</v>
      </c>
      <c r="I16146" s="2">
        <v>0</v>
      </c>
      <c r="J16146" s="1">
        <v>45933.393425925926</v>
      </c>
    </row>
    <row r="16147" spans="1:10" x14ac:dyDescent="0.2">
      <c r="A16147" s="4" t="s">
        <v>1</v>
      </c>
      <c r="B16147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47" s="3" t="str">
        <f>HYPERLINK("https://otsuka-europe-crm.veevavault.com/ui/#object/sent_email__v/VBLZ025E82H99O2", "SE-000283175")</f>
        <v>SE-000283175</v>
      </c>
      <c r="D16147" s="1">
        <v>45933.817962962959</v>
      </c>
      <c r="E16147" s="2">
        <v>1</v>
      </c>
      <c r="F16147" s="2">
        <v>1</v>
      </c>
      <c r="G16147" s="2">
        <v>1</v>
      </c>
      <c r="H16147" s="1">
        <v>45933.817962962959</v>
      </c>
      <c r="I16147" s="2">
        <v>1</v>
      </c>
      <c r="J16147" s="1">
        <v>45933.393437500003</v>
      </c>
    </row>
    <row r="16148" spans="1:10" x14ac:dyDescent="0.2">
      <c r="A16148" s="4" t="s">
        <v>1</v>
      </c>
      <c r="B16148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48" s="3" t="str">
        <f>HYPERLINK("https://otsuka-europe-crm.veevavault.com/ui/#object/sent_email__v/VBLZ025E82H99O3", "SE-000283176")</f>
        <v>SE-000283176</v>
      </c>
      <c r="D16148" s="1">
        <v>45939.775011574071</v>
      </c>
      <c r="E16148" s="2">
        <v>1</v>
      </c>
      <c r="F16148" s="2">
        <v>3</v>
      </c>
      <c r="G16148" s="2">
        <v>0</v>
      </c>
      <c r="H16148" s="1" t="s">
        <v>0</v>
      </c>
      <c r="I16148" s="2">
        <v>0</v>
      </c>
      <c r="J16148" s="1">
        <v>45933.393483796295</v>
      </c>
    </row>
    <row r="16149" spans="1:10" x14ac:dyDescent="0.2">
      <c r="A16149" s="4" t="s">
        <v>1</v>
      </c>
      <c r="B16149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49" s="3" t="str">
        <f>HYPERLINK("https://otsuka-europe-crm.veevavault.com/ui/#object/sent_email__v/VBLZ025E82H99O4", "SE-000283177")</f>
        <v>SE-000283177</v>
      </c>
      <c r="D16149" s="1">
        <v>45973.610439814816</v>
      </c>
      <c r="E16149" s="2">
        <v>1</v>
      </c>
      <c r="F16149" s="2">
        <v>14</v>
      </c>
      <c r="G16149" s="2">
        <v>0</v>
      </c>
      <c r="H16149" s="1" t="s">
        <v>0</v>
      </c>
      <c r="I16149" s="2">
        <v>0</v>
      </c>
      <c r="J16149" s="1">
        <v>45933.393495370372</v>
      </c>
    </row>
    <row r="16150" spans="1:10" x14ac:dyDescent="0.2">
      <c r="A16150" s="4" t="s">
        <v>1</v>
      </c>
      <c r="B16150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50" s="3" t="str">
        <f>HYPERLINK("https://otsuka-europe-crm.veevavault.com/ui/#object/sent_email__v/VBLZ025E82H99O5", "SE-000283178")</f>
        <v>SE-000283178</v>
      </c>
      <c r="D16150" s="1" t="s">
        <v>0</v>
      </c>
      <c r="E16150" s="2">
        <v>0</v>
      </c>
      <c r="F16150" s="2">
        <v>0</v>
      </c>
      <c r="G16150" s="2">
        <v>0</v>
      </c>
      <c r="H16150" s="1" t="s">
        <v>0</v>
      </c>
      <c r="I16150" s="2">
        <v>0</v>
      </c>
      <c r="J16150" s="1">
        <v>45933.393495370372</v>
      </c>
    </row>
    <row r="16151" spans="1:10" x14ac:dyDescent="0.2">
      <c r="A16151" s="4" t="s">
        <v>1</v>
      </c>
      <c r="B16151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51" s="3" t="str">
        <f>HYPERLINK("https://otsuka-europe-crm.veevavault.com/ui/#object/sent_email__v/VBLZ025E82H99O6", "SE-000283179")</f>
        <v>SE-000283179</v>
      </c>
      <c r="D16151" s="1">
        <v>45933.397141203706</v>
      </c>
      <c r="E16151" s="2">
        <v>1</v>
      </c>
      <c r="F16151" s="2">
        <v>1</v>
      </c>
      <c r="G16151" s="2">
        <v>1</v>
      </c>
      <c r="H16151" s="1">
        <v>45933.397141203706</v>
      </c>
      <c r="I16151" s="2">
        <v>1</v>
      </c>
      <c r="J16151" s="1">
        <v>45933.393506944441</v>
      </c>
    </row>
    <row r="16152" spans="1:10" x14ac:dyDescent="0.2">
      <c r="A16152" s="4" t="s">
        <v>1</v>
      </c>
      <c r="B16152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52" s="3" t="str">
        <f>HYPERLINK("https://otsuka-europe-crm.veevavault.com/ui/#object/sent_email__v/VBLZ025E82H99O7", "SE-000283180")</f>
        <v>SE-000283180</v>
      </c>
      <c r="D16152" s="1">
        <v>45933.924363425926</v>
      </c>
      <c r="E16152" s="2">
        <v>1</v>
      </c>
      <c r="F16152" s="2">
        <v>1</v>
      </c>
      <c r="G16152" s="2">
        <v>0</v>
      </c>
      <c r="H16152" s="1" t="s">
        <v>0</v>
      </c>
      <c r="I16152" s="2">
        <v>0</v>
      </c>
      <c r="J16152" s="1">
        <v>45933.393518518518</v>
      </c>
    </row>
    <row r="16153" spans="1:10" x14ac:dyDescent="0.2">
      <c r="A16153" s="4" t="s">
        <v>1</v>
      </c>
      <c r="B16153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53" s="3" t="str">
        <f>HYPERLINK("https://otsuka-europe-crm.veevavault.com/ui/#object/sent_email__v/VBLZ025E82H99O8", "SE-000283181")</f>
        <v>SE-000283181</v>
      </c>
      <c r="D16153" s="1">
        <v>45933.480300925927</v>
      </c>
      <c r="E16153" s="2">
        <v>1</v>
      </c>
      <c r="F16153" s="2">
        <v>1</v>
      </c>
      <c r="G16153" s="2">
        <v>0</v>
      </c>
      <c r="H16153" s="1" t="s">
        <v>0</v>
      </c>
      <c r="I16153" s="2">
        <v>0</v>
      </c>
      <c r="J16153" s="1">
        <v>45933.393506944441</v>
      </c>
    </row>
    <row r="16154" spans="1:10" x14ac:dyDescent="0.2">
      <c r="A16154" s="4" t="s">
        <v>1</v>
      </c>
      <c r="B16154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54" s="3" t="str">
        <f>HYPERLINK("https://otsuka-europe-crm.veevavault.com/ui/#object/sent_email__v/VBLZ025E82HE0Q9", "SE-000284521")</f>
        <v>SE-000284521</v>
      </c>
      <c r="D16154" s="1" t="s">
        <v>0</v>
      </c>
      <c r="E16154" s="2">
        <v>0</v>
      </c>
      <c r="F16154" s="2">
        <v>0</v>
      </c>
      <c r="G16154" s="2">
        <v>0</v>
      </c>
      <c r="H16154" s="1" t="s">
        <v>0</v>
      </c>
      <c r="I16154" s="2">
        <v>0</v>
      </c>
      <c r="J16154" s="1">
        <v>45937.679930555554</v>
      </c>
    </row>
    <row r="16155" spans="1:10" x14ac:dyDescent="0.2">
      <c r="A16155" s="4" t="s">
        <v>1</v>
      </c>
      <c r="B16155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55" s="3" t="str">
        <f>HYPERLINK("https://otsuka-europe-crm.veevavault.com/ui/#object/sent_email__v/VBLZ025E82HFZPU", "SE-000285369")</f>
        <v>SE-000285369</v>
      </c>
      <c r="D16155" s="1" t="s">
        <v>0</v>
      </c>
      <c r="E16155" s="2">
        <v>0</v>
      </c>
      <c r="F16155" s="2">
        <v>0</v>
      </c>
      <c r="G16155" s="2">
        <v>0</v>
      </c>
      <c r="H16155" s="1" t="s">
        <v>0</v>
      </c>
      <c r="I16155" s="2">
        <v>0</v>
      </c>
      <c r="J16155" s="1">
        <v>45939.475324074076</v>
      </c>
    </row>
    <row r="16156" spans="1:10" x14ac:dyDescent="0.2">
      <c r="A16156" s="4" t="s">
        <v>1</v>
      </c>
      <c r="B16156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56" s="3" t="str">
        <f>HYPERLINK("https://otsuka-europe-crm.veevavault.com/ui/#object/sent_email__v/VBLZ025E82HIAW9", "SE-000286632")</f>
        <v>SE-000286632</v>
      </c>
      <c r="D16156" s="1" t="s">
        <v>0</v>
      </c>
      <c r="E16156" s="2">
        <v>0</v>
      </c>
      <c r="F16156" s="2">
        <v>0</v>
      </c>
      <c r="G16156" s="2">
        <v>0</v>
      </c>
      <c r="H16156" s="1" t="s">
        <v>0</v>
      </c>
      <c r="I16156" s="2">
        <v>0</v>
      </c>
      <c r="J16156" s="1">
        <v>45943.335694444446</v>
      </c>
    </row>
    <row r="16157" spans="1:10" x14ac:dyDescent="0.2">
      <c r="A16157" s="4" t="s">
        <v>1</v>
      </c>
      <c r="B16157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57" s="3" t="str">
        <f>HYPERLINK("https://otsuka-europe-crm.veevavault.com/ui/#object/sent_email__v/VBLZ025E82HIAWA", "SE-000286633")</f>
        <v>SE-000286633</v>
      </c>
      <c r="D16157" s="1" t="s">
        <v>0</v>
      </c>
      <c r="E16157" s="2">
        <v>0</v>
      </c>
      <c r="F16157" s="2">
        <v>0</v>
      </c>
      <c r="G16157" s="2">
        <v>0</v>
      </c>
      <c r="H16157" s="1" t="s">
        <v>0</v>
      </c>
      <c r="I16157" s="2">
        <v>0</v>
      </c>
      <c r="J16157" s="1">
        <v>45943.335625</v>
      </c>
    </row>
    <row r="16158" spans="1:10" x14ac:dyDescent="0.2">
      <c r="A16158" s="4" t="s">
        <v>1</v>
      </c>
      <c r="B16158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58" s="3" t="str">
        <f>HYPERLINK("https://otsuka-europe-crm.veevavault.com/ui/#object/sent_email__v/VBLZ025E82HIAWB", "SE-000286634")</f>
        <v>SE-000286634</v>
      </c>
      <c r="D16158" s="1" t="s">
        <v>0</v>
      </c>
      <c r="E16158" s="2">
        <v>0</v>
      </c>
      <c r="F16158" s="2">
        <v>0</v>
      </c>
      <c r="G16158" s="2">
        <v>0</v>
      </c>
      <c r="H16158" s="1" t="s">
        <v>0</v>
      </c>
      <c r="I16158" s="2">
        <v>0</v>
      </c>
      <c r="J16158" s="1">
        <v>45943.3356712963</v>
      </c>
    </row>
    <row r="16159" spans="1:10" x14ac:dyDescent="0.2">
      <c r="A16159" s="4" t="s">
        <v>1</v>
      </c>
      <c r="B16159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59" s="3" t="str">
        <f>HYPERLINK("https://otsuka-europe-crm.veevavault.com/ui/#object/sent_email__v/VBLZ025E82HIAWC", "SE-000286635")</f>
        <v>SE-000286635</v>
      </c>
      <c r="D16159" s="1">
        <v>45971.014953703707</v>
      </c>
      <c r="E16159" s="2">
        <v>1</v>
      </c>
      <c r="F16159" s="2">
        <v>2</v>
      </c>
      <c r="G16159" s="2">
        <v>0</v>
      </c>
      <c r="H16159" s="1" t="s">
        <v>0</v>
      </c>
      <c r="I16159" s="2">
        <v>0</v>
      </c>
      <c r="J16159" s="1">
        <v>45943.335625</v>
      </c>
    </row>
    <row r="16160" spans="1:10" x14ac:dyDescent="0.2">
      <c r="A16160" s="4" t="s">
        <v>1</v>
      </c>
      <c r="B16160" s="3" t="str">
        <f>HYPERLINK("https://otsuka-europe-crm.veevavault.com/ui/#object/approved_document__v/V5OZ025E82RGSDI", "LUP – Programa e invitación LUPSTARS 2025 – reuma/mi")</f>
        <v>LUP – Programa e invitación LUPSTARS 2025 – reuma/mi</v>
      </c>
      <c r="C16160" s="3" t="str">
        <f>HYPERLINK("https://otsuka-europe-crm.veevavault.com/ui/#object/sent_email__v/VBLZ025E82HIAWD", "SE-000286636")</f>
        <v>SE-000286636</v>
      </c>
      <c r="D16160" s="1" t="s">
        <v>0</v>
      </c>
      <c r="E16160" s="2">
        <v>0</v>
      </c>
      <c r="F16160" s="2">
        <v>0</v>
      </c>
      <c r="G16160" s="2">
        <v>0</v>
      </c>
      <c r="H16160" s="1" t="s">
        <v>0</v>
      </c>
      <c r="I16160" s="2">
        <v>0</v>
      </c>
      <c r="J16160" s="1">
        <v>45943.3356712963</v>
      </c>
    </row>
    <row r="16161" spans="1:10" x14ac:dyDescent="0.2">
      <c r="A16161" s="4" t="s">
        <v>1</v>
      </c>
      <c r="B16161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61" s="3" t="str">
        <f>HYPERLINK("https://otsuka-europe-crm.veevavault.com/ui/#object/sent_email__v/VBLZ025E82GD0S9", "SE-000255028")</f>
        <v>SE-000255028</v>
      </c>
      <c r="D16161" s="1" t="s">
        <v>0</v>
      </c>
      <c r="E16161" s="2">
        <v>0</v>
      </c>
      <c r="F16161" s="2">
        <v>0</v>
      </c>
      <c r="G16161" s="2">
        <v>0</v>
      </c>
      <c r="H16161" s="1" t="s">
        <v>0</v>
      </c>
      <c r="I16161" s="2">
        <v>0</v>
      </c>
      <c r="J16161" s="1">
        <v>45902.523159722223</v>
      </c>
    </row>
    <row r="16162" spans="1:10" x14ac:dyDescent="0.2">
      <c r="A16162" s="4" t="s">
        <v>1</v>
      </c>
      <c r="B16162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62" s="3" t="str">
        <f>HYPERLINK("https://otsuka-europe-crm.veevavault.com/ui/#object/sent_email__v/VBLZ025E82GD0SA", "SE-000255029")</f>
        <v>SE-000255029</v>
      </c>
      <c r="D16162" s="1" t="s">
        <v>0</v>
      </c>
      <c r="E16162" s="2">
        <v>0</v>
      </c>
      <c r="F16162" s="2">
        <v>0</v>
      </c>
      <c r="G16162" s="2">
        <v>0</v>
      </c>
      <c r="H16162" s="1" t="s">
        <v>0</v>
      </c>
      <c r="I16162" s="2">
        <v>0</v>
      </c>
      <c r="J16162" s="1">
        <v>45902.523182870369</v>
      </c>
    </row>
    <row r="16163" spans="1:10" x14ac:dyDescent="0.2">
      <c r="A16163" s="4" t="s">
        <v>1</v>
      </c>
      <c r="B16163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63" s="3" t="str">
        <f>HYPERLINK("https://otsuka-europe-crm.veevavault.com/ui/#object/sent_email__v/VBLZ025E82GD0SB", "SE-000255030")</f>
        <v>SE-000255030</v>
      </c>
      <c r="D16163" s="1">
        <v>45909.439432870371</v>
      </c>
      <c r="E16163" s="2">
        <v>1</v>
      </c>
      <c r="F16163" s="2">
        <v>1</v>
      </c>
      <c r="G16163" s="2">
        <v>0</v>
      </c>
      <c r="H16163" s="1" t="s">
        <v>0</v>
      </c>
      <c r="I16163" s="2">
        <v>0</v>
      </c>
      <c r="J16163" s="1">
        <v>45902.523182870369</v>
      </c>
    </row>
    <row r="16164" spans="1:10" x14ac:dyDescent="0.2">
      <c r="A16164" s="4" t="s">
        <v>1</v>
      </c>
      <c r="B16164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64" s="3" t="str">
        <f>HYPERLINK("https://otsuka-europe-crm.veevavault.com/ui/#object/sent_email__v/VBLZ025E82GD0SC", "SE-000255031")</f>
        <v>SE-000255031</v>
      </c>
      <c r="D16164" s="1" t="s">
        <v>0</v>
      </c>
      <c r="E16164" s="2">
        <v>0</v>
      </c>
      <c r="F16164" s="2">
        <v>0</v>
      </c>
      <c r="G16164" s="2">
        <v>0</v>
      </c>
      <c r="H16164" s="1" t="s">
        <v>0</v>
      </c>
      <c r="I16164" s="2">
        <v>0</v>
      </c>
      <c r="J16164" s="1">
        <v>45902.523182870369</v>
      </c>
    </row>
    <row r="16165" spans="1:10" x14ac:dyDescent="0.2">
      <c r="A16165" s="4" t="s">
        <v>1</v>
      </c>
      <c r="B16165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65" s="3" t="str">
        <f>HYPERLINK("https://otsuka-europe-crm.veevavault.com/ui/#object/sent_email__v/VBLZ025E82GD0SD", "SE-000255032")</f>
        <v>SE-000255032</v>
      </c>
      <c r="D16165" s="1">
        <v>45921.937164351853</v>
      </c>
      <c r="E16165" s="2">
        <v>1</v>
      </c>
      <c r="F16165" s="2">
        <v>2</v>
      </c>
      <c r="G16165" s="2">
        <v>1</v>
      </c>
      <c r="H16165" s="1">
        <v>45903.329224537039</v>
      </c>
      <c r="I16165" s="2">
        <v>1</v>
      </c>
      <c r="J16165" s="1">
        <v>45902.523194444446</v>
      </c>
    </row>
    <row r="16166" spans="1:10" x14ac:dyDescent="0.2">
      <c r="A16166" s="4" t="s">
        <v>1</v>
      </c>
      <c r="B16166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66" s="3" t="str">
        <f>HYPERLINK("https://otsuka-europe-crm.veevavault.com/ui/#object/sent_email__v/VBLZ025E82GD0SE", "SE-000255033")</f>
        <v>SE-000255033</v>
      </c>
      <c r="D16166" s="1" t="s">
        <v>0</v>
      </c>
      <c r="E16166" s="2">
        <v>0</v>
      </c>
      <c r="F16166" s="2">
        <v>0</v>
      </c>
      <c r="G16166" s="2">
        <v>0</v>
      </c>
      <c r="H16166" s="1" t="s">
        <v>0</v>
      </c>
      <c r="I16166" s="2">
        <v>0</v>
      </c>
      <c r="J16166" s="1">
        <v>45902.523206018515</v>
      </c>
    </row>
    <row r="16167" spans="1:10" x14ac:dyDescent="0.2">
      <c r="A16167" s="4" t="s">
        <v>1</v>
      </c>
      <c r="B16167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67" s="3" t="str">
        <f>HYPERLINK("https://otsuka-europe-crm.veevavault.com/ui/#object/sent_email__v/VBLZ025E82GD0SF", "SE-000255034")</f>
        <v>SE-000255034</v>
      </c>
      <c r="D16167" s="1">
        <v>45902.818252314813</v>
      </c>
      <c r="E16167" s="2">
        <v>1</v>
      </c>
      <c r="F16167" s="2">
        <v>3</v>
      </c>
      <c r="G16167" s="2">
        <v>0</v>
      </c>
      <c r="H16167" s="1" t="s">
        <v>0</v>
      </c>
      <c r="I16167" s="2">
        <v>0</v>
      </c>
      <c r="J16167" s="1">
        <v>45902.523206018515</v>
      </c>
    </row>
    <row r="16168" spans="1:10" x14ac:dyDescent="0.2">
      <c r="A16168" s="4" t="s">
        <v>1</v>
      </c>
      <c r="B16168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68" s="3" t="str">
        <f>HYPERLINK("https://otsuka-europe-crm.veevavault.com/ui/#object/sent_email__v/VBLZ025E82GD0SG", "SE-000255035")</f>
        <v>SE-000255035</v>
      </c>
      <c r="D16168" s="1" t="s">
        <v>0</v>
      </c>
      <c r="E16168" s="2">
        <v>0</v>
      </c>
      <c r="F16168" s="2">
        <v>0</v>
      </c>
      <c r="G16168" s="2">
        <v>0</v>
      </c>
      <c r="H16168" s="1" t="s">
        <v>0</v>
      </c>
      <c r="I16168" s="2">
        <v>0</v>
      </c>
      <c r="J16168" s="1">
        <v>45902.523217592592</v>
      </c>
    </row>
    <row r="16169" spans="1:10" x14ac:dyDescent="0.2">
      <c r="A16169" s="4" t="s">
        <v>1</v>
      </c>
      <c r="B16169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69" s="3" t="str">
        <f>HYPERLINK("https://otsuka-europe-crm.veevavault.com/ui/#object/sent_email__v/VBLZ025E82GD0SH", "SE-000255036")</f>
        <v>SE-000255036</v>
      </c>
      <c r="D16169" s="1" t="s">
        <v>0</v>
      </c>
      <c r="E16169" s="2">
        <v>0</v>
      </c>
      <c r="F16169" s="2">
        <v>0</v>
      </c>
      <c r="G16169" s="2">
        <v>0</v>
      </c>
      <c r="H16169" s="1" t="s">
        <v>0</v>
      </c>
      <c r="I16169" s="2">
        <v>0</v>
      </c>
      <c r="J16169" s="1">
        <v>45902.523229166669</v>
      </c>
    </row>
    <row r="16170" spans="1:10" x14ac:dyDescent="0.2">
      <c r="A16170" s="4" t="s">
        <v>1</v>
      </c>
      <c r="B16170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70" s="3" t="str">
        <f>HYPERLINK("https://otsuka-europe-crm.veevavault.com/ui/#object/sent_email__v/VBLZ025E82GD0SI", "SE-000255037")</f>
        <v>SE-000255037</v>
      </c>
      <c r="D16170" s="1">
        <v>45902.590509259258</v>
      </c>
      <c r="E16170" s="2">
        <v>1</v>
      </c>
      <c r="F16170" s="2">
        <v>2</v>
      </c>
      <c r="G16170" s="2">
        <v>0</v>
      </c>
      <c r="H16170" s="1" t="s">
        <v>0</v>
      </c>
      <c r="I16170" s="2">
        <v>0</v>
      </c>
      <c r="J16170" s="1">
        <v>45902.523240740738</v>
      </c>
    </row>
    <row r="16171" spans="1:10" x14ac:dyDescent="0.2">
      <c r="A16171" s="4" t="s">
        <v>1</v>
      </c>
      <c r="B16171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71" s="3" t="str">
        <f>HYPERLINK("https://otsuka-europe-crm.veevavault.com/ui/#object/sent_email__v/VBLZ025E82GD0SJ", "SE-000255038")</f>
        <v>SE-000255038</v>
      </c>
      <c r="D16171" s="1">
        <v>45902.985613425924</v>
      </c>
      <c r="E16171" s="2">
        <v>1</v>
      </c>
      <c r="F16171" s="2">
        <v>1</v>
      </c>
      <c r="G16171" s="2">
        <v>0</v>
      </c>
      <c r="H16171" s="1" t="s">
        <v>0</v>
      </c>
      <c r="I16171" s="2">
        <v>0</v>
      </c>
      <c r="J16171" s="1">
        <v>45902.523252314815</v>
      </c>
    </row>
    <row r="16172" spans="1:10" x14ac:dyDescent="0.2">
      <c r="A16172" s="4" t="s">
        <v>1</v>
      </c>
      <c r="B16172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72" s="3" t="str">
        <f>HYPERLINK("https://otsuka-europe-crm.veevavault.com/ui/#object/sent_email__v/VBLZ025E82GD0SK", "SE-000255039")</f>
        <v>SE-000255039</v>
      </c>
      <c r="D16172" s="1" t="s">
        <v>0</v>
      </c>
      <c r="E16172" s="2">
        <v>0</v>
      </c>
      <c r="F16172" s="2">
        <v>0</v>
      </c>
      <c r="G16172" s="2">
        <v>0</v>
      </c>
      <c r="H16172" s="1" t="s">
        <v>0</v>
      </c>
      <c r="I16172" s="2">
        <v>0</v>
      </c>
      <c r="J16172" s="1">
        <v>45902.523263888892</v>
      </c>
    </row>
    <row r="16173" spans="1:10" x14ac:dyDescent="0.2">
      <c r="A16173" s="4" t="s">
        <v>1</v>
      </c>
      <c r="B16173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73" s="3" t="str">
        <f>HYPERLINK("https://otsuka-europe-crm.veevavault.com/ui/#object/sent_email__v/VBLZ025E82GD0SL", "SE-000255040")</f>
        <v>SE-000255040</v>
      </c>
      <c r="D16173" s="1" t="s">
        <v>0</v>
      </c>
      <c r="E16173" s="2">
        <v>0</v>
      </c>
      <c r="F16173" s="2">
        <v>0</v>
      </c>
      <c r="G16173" s="2">
        <v>0</v>
      </c>
      <c r="H16173" s="1" t="s">
        <v>0</v>
      </c>
      <c r="I16173" s="2">
        <v>0</v>
      </c>
      <c r="J16173" s="1">
        <v>45902.523263888892</v>
      </c>
    </row>
    <row r="16174" spans="1:10" x14ac:dyDescent="0.2">
      <c r="A16174" s="4" t="s">
        <v>1</v>
      </c>
      <c r="B16174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74" s="3" t="str">
        <f>HYPERLINK("https://otsuka-europe-crm.veevavault.com/ui/#object/sent_email__v/VBLZ025E82GD0SM", "SE-000255041")</f>
        <v>SE-000255041</v>
      </c>
      <c r="D16174" s="1">
        <v>45902.647453703707</v>
      </c>
      <c r="E16174" s="2">
        <v>1</v>
      </c>
      <c r="F16174" s="2">
        <v>1</v>
      </c>
      <c r="G16174" s="2">
        <v>0</v>
      </c>
      <c r="H16174" s="1" t="s">
        <v>0</v>
      </c>
      <c r="I16174" s="2">
        <v>0</v>
      </c>
      <c r="J16174" s="1">
        <v>45902.523287037038</v>
      </c>
    </row>
    <row r="16175" spans="1:10" x14ac:dyDescent="0.2">
      <c r="A16175" s="4" t="s">
        <v>1</v>
      </c>
      <c r="B16175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75" s="3" t="str">
        <f>HYPERLINK("https://otsuka-europe-crm.veevavault.com/ui/#object/sent_email__v/VBLZ025E82GD0SN", "SE-000255042")</f>
        <v>SE-000255042</v>
      </c>
      <c r="D16175" s="1">
        <v>45953.877083333333</v>
      </c>
      <c r="E16175" s="2">
        <v>1</v>
      </c>
      <c r="F16175" s="2">
        <v>8</v>
      </c>
      <c r="G16175" s="2">
        <v>1</v>
      </c>
      <c r="H16175" s="1">
        <v>45902.560127314813</v>
      </c>
      <c r="I16175" s="2">
        <v>1</v>
      </c>
      <c r="J16175" s="1">
        <v>45902.523287037038</v>
      </c>
    </row>
    <row r="16176" spans="1:10" x14ac:dyDescent="0.2">
      <c r="A16176" s="4" t="s">
        <v>1</v>
      </c>
      <c r="B16176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76" s="3" t="str">
        <f>HYPERLINK("https://otsuka-europe-crm.veevavault.com/ui/#object/sent_email__v/VBLZ025E82GD0SO", "SE-000255043")</f>
        <v>SE-000255043</v>
      </c>
      <c r="D16176" s="1" t="s">
        <v>0</v>
      </c>
      <c r="E16176" s="2">
        <v>0</v>
      </c>
      <c r="F16176" s="2">
        <v>0</v>
      </c>
      <c r="G16176" s="2">
        <v>0</v>
      </c>
      <c r="H16176" s="1" t="s">
        <v>0</v>
      </c>
      <c r="I16176" s="2">
        <v>0</v>
      </c>
      <c r="J16176" s="1">
        <v>45902.523310185185</v>
      </c>
    </row>
    <row r="16177" spans="1:10" x14ac:dyDescent="0.2">
      <c r="A16177" s="4" t="s">
        <v>1</v>
      </c>
      <c r="B16177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77" s="3" t="str">
        <f>HYPERLINK("https://otsuka-europe-crm.veevavault.com/ui/#object/sent_email__v/VBLZ025E82GD0SP", "SE-000255044")</f>
        <v>SE-000255044</v>
      </c>
      <c r="D16177" s="1">
        <v>45945.990115740744</v>
      </c>
      <c r="E16177" s="2">
        <v>1</v>
      </c>
      <c r="F16177" s="2">
        <v>2</v>
      </c>
      <c r="G16177" s="2">
        <v>0</v>
      </c>
      <c r="H16177" s="1" t="s">
        <v>0</v>
      </c>
      <c r="I16177" s="2">
        <v>0</v>
      </c>
      <c r="J16177" s="1">
        <v>45902.523321759261</v>
      </c>
    </row>
    <row r="16178" spans="1:10" x14ac:dyDescent="0.2">
      <c r="A16178" s="4" t="s">
        <v>1</v>
      </c>
      <c r="B16178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78" s="3" t="str">
        <f>HYPERLINK("https://otsuka-europe-crm.veevavault.com/ui/#object/sent_email__v/VBLZ025E82GD0SQ", "SE-000255045")</f>
        <v>SE-000255045</v>
      </c>
      <c r="D16178" s="1" t="s">
        <v>0</v>
      </c>
      <c r="E16178" s="2">
        <v>0</v>
      </c>
      <c r="F16178" s="2">
        <v>0</v>
      </c>
      <c r="G16178" s="2">
        <v>0</v>
      </c>
      <c r="H16178" s="1" t="s">
        <v>0</v>
      </c>
      <c r="I16178" s="2">
        <v>0</v>
      </c>
      <c r="J16178" s="1">
        <v>45902.523344907408</v>
      </c>
    </row>
    <row r="16179" spans="1:10" x14ac:dyDescent="0.2">
      <c r="A16179" s="4" t="s">
        <v>1</v>
      </c>
      <c r="B16179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79" s="3" t="str">
        <f>HYPERLINK("https://otsuka-europe-crm.veevavault.com/ui/#object/sent_email__v/VBLZ025E82GD0SR", "SE-000255046")</f>
        <v>SE-000255046</v>
      </c>
      <c r="D16179" s="1">
        <v>45902.55395833333</v>
      </c>
      <c r="E16179" s="2">
        <v>1</v>
      </c>
      <c r="F16179" s="2">
        <v>1</v>
      </c>
      <c r="G16179" s="2">
        <v>0</v>
      </c>
      <c r="H16179" s="1" t="s">
        <v>0</v>
      </c>
      <c r="I16179" s="2">
        <v>0</v>
      </c>
      <c r="J16179" s="1">
        <v>45902.523344907408</v>
      </c>
    </row>
    <row r="16180" spans="1:10" x14ac:dyDescent="0.2">
      <c r="A16180" s="4" t="s">
        <v>1</v>
      </c>
      <c r="B16180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80" s="3" t="str">
        <f>HYPERLINK("https://otsuka-europe-crm.veevavault.com/ui/#object/sent_email__v/VBLZ025E82GD0SS", "SE-000255047")</f>
        <v>SE-000255047</v>
      </c>
      <c r="D16180" s="1" t="s">
        <v>0</v>
      </c>
      <c r="E16180" s="2">
        <v>0</v>
      </c>
      <c r="F16180" s="2">
        <v>0</v>
      </c>
      <c r="G16180" s="2">
        <v>0</v>
      </c>
      <c r="H16180" s="1" t="s">
        <v>0</v>
      </c>
      <c r="I16180" s="2">
        <v>0</v>
      </c>
      <c r="J16180" s="1">
        <v>45902.523344907408</v>
      </c>
    </row>
    <row r="16181" spans="1:10" x14ac:dyDescent="0.2">
      <c r="A16181" s="4" t="s">
        <v>1</v>
      </c>
      <c r="B16181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81" s="3" t="str">
        <f>HYPERLINK("https://otsuka-europe-crm.veevavault.com/ui/#object/sent_email__v/VBLZ025E82GD0ST", "SE-000255048")</f>
        <v>SE-000255048</v>
      </c>
      <c r="D16181" s="1" t="s">
        <v>0</v>
      </c>
      <c r="E16181" s="2">
        <v>0</v>
      </c>
      <c r="F16181" s="2">
        <v>0</v>
      </c>
      <c r="G16181" s="2">
        <v>0</v>
      </c>
      <c r="H16181" s="1" t="s">
        <v>0</v>
      </c>
      <c r="I16181" s="2">
        <v>0</v>
      </c>
      <c r="J16181" s="1">
        <v>45902.523356481484</v>
      </c>
    </row>
    <row r="16182" spans="1:10" x14ac:dyDescent="0.2">
      <c r="A16182" s="4" t="s">
        <v>1</v>
      </c>
      <c r="B16182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82" s="3" t="str">
        <f>HYPERLINK("https://otsuka-europe-crm.veevavault.com/ui/#object/sent_email__v/VBLZ025E82GD0SU", "SE-000255049")</f>
        <v>SE-000255049</v>
      </c>
      <c r="D16182" s="1">
        <v>45908.396747685183</v>
      </c>
      <c r="E16182" s="2">
        <v>1</v>
      </c>
      <c r="F16182" s="2">
        <v>4</v>
      </c>
      <c r="G16182" s="2">
        <v>0</v>
      </c>
      <c r="H16182" s="1" t="s">
        <v>0</v>
      </c>
      <c r="I16182" s="2">
        <v>0</v>
      </c>
      <c r="J16182" s="1">
        <v>45902.523379629631</v>
      </c>
    </row>
    <row r="16183" spans="1:10" x14ac:dyDescent="0.2">
      <c r="A16183" s="4" t="s">
        <v>1</v>
      </c>
      <c r="B16183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83" s="3" t="str">
        <f>HYPERLINK("https://otsuka-europe-crm.veevavault.com/ui/#object/sent_email__v/VBLZ025E82GD0SV", "SE-000255050")</f>
        <v>SE-000255050</v>
      </c>
      <c r="D16183" s="1">
        <v>45974.675127314818</v>
      </c>
      <c r="E16183" s="2">
        <v>1</v>
      </c>
      <c r="F16183" s="2">
        <v>4</v>
      </c>
      <c r="G16183" s="2">
        <v>0</v>
      </c>
      <c r="H16183" s="1" t="s">
        <v>0</v>
      </c>
      <c r="I16183" s="2">
        <v>0</v>
      </c>
      <c r="J16183" s="1">
        <v>45902.523379629631</v>
      </c>
    </row>
    <row r="16184" spans="1:10" x14ac:dyDescent="0.2">
      <c r="A16184" s="4" t="s">
        <v>1</v>
      </c>
      <c r="B16184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84" s="3" t="str">
        <f>HYPERLINK("https://otsuka-europe-crm.veevavault.com/ui/#object/sent_email__v/VBLZ025E82GD0SW", "SE-000255051")</f>
        <v>SE-000255051</v>
      </c>
      <c r="D16184" s="1" t="s">
        <v>0</v>
      </c>
      <c r="E16184" s="2">
        <v>0</v>
      </c>
      <c r="F16184" s="2">
        <v>0</v>
      </c>
      <c r="G16184" s="2">
        <v>0</v>
      </c>
      <c r="H16184" s="1" t="s">
        <v>0</v>
      </c>
      <c r="I16184" s="2">
        <v>0</v>
      </c>
      <c r="J16184" s="1">
        <v>45902.5233912037</v>
      </c>
    </row>
    <row r="16185" spans="1:10" x14ac:dyDescent="0.2">
      <c r="A16185" s="4" t="s">
        <v>1</v>
      </c>
      <c r="B16185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85" s="3" t="str">
        <f>HYPERLINK("https://otsuka-europe-crm.veevavault.com/ui/#object/sent_email__v/VBLZ025E82GD0SX", "SE-000255052")</f>
        <v>SE-000255052</v>
      </c>
      <c r="D16185" s="1" t="s">
        <v>0</v>
      </c>
      <c r="E16185" s="2">
        <v>0</v>
      </c>
      <c r="F16185" s="2">
        <v>0</v>
      </c>
      <c r="G16185" s="2">
        <v>0</v>
      </c>
      <c r="H16185" s="1" t="s">
        <v>0</v>
      </c>
      <c r="I16185" s="2">
        <v>0</v>
      </c>
      <c r="J16185" s="1">
        <v>45902.523402777777</v>
      </c>
    </row>
    <row r="16186" spans="1:10" x14ac:dyDescent="0.2">
      <c r="A16186" s="4" t="s">
        <v>1</v>
      </c>
      <c r="B16186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86" s="3" t="str">
        <f>HYPERLINK("https://otsuka-europe-crm.veevavault.com/ui/#object/sent_email__v/VBLZ025E82GD0SY", "SE-000255053")</f>
        <v>SE-000255053</v>
      </c>
      <c r="D16186" s="1" t="s">
        <v>0</v>
      </c>
      <c r="E16186" s="2">
        <v>0</v>
      </c>
      <c r="F16186" s="2">
        <v>0</v>
      </c>
      <c r="G16186" s="2">
        <v>0</v>
      </c>
      <c r="H16186" s="1" t="s">
        <v>0</v>
      </c>
      <c r="I16186" s="2">
        <v>0</v>
      </c>
      <c r="J16186" s="1">
        <v>45902.523402777777</v>
      </c>
    </row>
    <row r="16187" spans="1:10" x14ac:dyDescent="0.2">
      <c r="A16187" s="4" t="s">
        <v>1</v>
      </c>
      <c r="B16187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87" s="3" t="str">
        <f>HYPERLINK("https://otsuka-europe-crm.veevavault.com/ui/#object/sent_email__v/VBLZ025E82GD0SZ", "SE-000255054")</f>
        <v>SE-000255054</v>
      </c>
      <c r="D16187" s="1">
        <v>45906.640138888892</v>
      </c>
      <c r="E16187" s="2">
        <v>1</v>
      </c>
      <c r="F16187" s="2">
        <v>2</v>
      </c>
      <c r="G16187" s="2">
        <v>0</v>
      </c>
      <c r="H16187" s="1" t="s">
        <v>0</v>
      </c>
      <c r="I16187" s="2">
        <v>0</v>
      </c>
      <c r="J16187" s="1">
        <v>45902.523414351854</v>
      </c>
    </row>
    <row r="16188" spans="1:10" x14ac:dyDescent="0.2">
      <c r="A16188" s="4" t="s">
        <v>1</v>
      </c>
      <c r="B16188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88" s="3" t="str">
        <f>HYPERLINK("https://otsuka-europe-crm.veevavault.com/ui/#object/sent_email__v/VBLZ025E82GD0T0", "SE-000255055")</f>
        <v>SE-000255055</v>
      </c>
      <c r="D16188" s="1" t="s">
        <v>0</v>
      </c>
      <c r="E16188" s="2">
        <v>0</v>
      </c>
      <c r="F16188" s="2">
        <v>0</v>
      </c>
      <c r="G16188" s="2">
        <v>0</v>
      </c>
      <c r="H16188" s="1" t="s">
        <v>0</v>
      </c>
      <c r="I16188" s="2">
        <v>0</v>
      </c>
      <c r="J16188" s="1">
        <v>45902.523425925923</v>
      </c>
    </row>
    <row r="16189" spans="1:10" x14ac:dyDescent="0.2">
      <c r="A16189" s="4" t="s">
        <v>1</v>
      </c>
      <c r="B16189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89" s="3" t="str">
        <f>HYPERLINK("https://otsuka-europe-crm.veevavault.com/ui/#object/sent_email__v/VBLZ025E82GD0T1", "SE-000255056")</f>
        <v>SE-000255056</v>
      </c>
      <c r="D16189" s="1" t="s">
        <v>0</v>
      </c>
      <c r="E16189" s="2">
        <v>0</v>
      </c>
      <c r="F16189" s="2">
        <v>0</v>
      </c>
      <c r="G16189" s="2">
        <v>0</v>
      </c>
      <c r="H16189" s="1" t="s">
        <v>0</v>
      </c>
      <c r="I16189" s="2">
        <v>0</v>
      </c>
      <c r="J16189" s="1">
        <v>45902.5234375</v>
      </c>
    </row>
    <row r="16190" spans="1:10" x14ac:dyDescent="0.2">
      <c r="A16190" s="4" t="s">
        <v>1</v>
      </c>
      <c r="B16190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90" s="3" t="str">
        <f>HYPERLINK("https://otsuka-europe-crm.veevavault.com/ui/#object/sent_email__v/VBLZ025E82GD0T2", "SE-000255057")</f>
        <v>SE-000255057</v>
      </c>
      <c r="D16190" s="1" t="s">
        <v>0</v>
      </c>
      <c r="E16190" s="2">
        <v>0</v>
      </c>
      <c r="F16190" s="2">
        <v>0</v>
      </c>
      <c r="G16190" s="2">
        <v>0</v>
      </c>
      <c r="H16190" s="1" t="s">
        <v>0</v>
      </c>
      <c r="I16190" s="2">
        <v>0</v>
      </c>
      <c r="J16190" s="1">
        <v>45902.523449074077</v>
      </c>
    </row>
    <row r="16191" spans="1:10" x14ac:dyDescent="0.2">
      <c r="A16191" s="4" t="s">
        <v>1</v>
      </c>
      <c r="B16191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91" s="3" t="str">
        <f>HYPERLINK("https://otsuka-europe-crm.veevavault.com/ui/#object/sent_email__v/VBLZ025E82GD0T3", "SE-000255058")</f>
        <v>SE-000255058</v>
      </c>
      <c r="D16191" s="1">
        <v>45929.840173611112</v>
      </c>
      <c r="E16191" s="2">
        <v>1</v>
      </c>
      <c r="F16191" s="2">
        <v>3</v>
      </c>
      <c r="G16191" s="2">
        <v>0</v>
      </c>
      <c r="H16191" s="1" t="s">
        <v>0</v>
      </c>
      <c r="I16191" s="2">
        <v>0</v>
      </c>
      <c r="J16191" s="1">
        <v>45902.523449074077</v>
      </c>
    </row>
    <row r="16192" spans="1:10" x14ac:dyDescent="0.2">
      <c r="A16192" s="4" t="s">
        <v>1</v>
      </c>
      <c r="B16192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92" s="3" t="str">
        <f>HYPERLINK("https://otsuka-europe-crm.veevavault.com/ui/#object/sent_email__v/VBLZ025E82GD0T4", "SE-000255059")</f>
        <v>SE-000255059</v>
      </c>
      <c r="D16192" s="1" t="s">
        <v>0</v>
      </c>
      <c r="E16192" s="2">
        <v>0</v>
      </c>
      <c r="F16192" s="2">
        <v>0</v>
      </c>
      <c r="G16192" s="2">
        <v>0</v>
      </c>
      <c r="H16192" s="1" t="s">
        <v>0</v>
      </c>
      <c r="I16192" s="2">
        <v>0</v>
      </c>
      <c r="J16192" s="1">
        <v>45902.523460648146</v>
      </c>
    </row>
    <row r="16193" spans="1:10" x14ac:dyDescent="0.2">
      <c r="A16193" s="4" t="s">
        <v>1</v>
      </c>
      <c r="B16193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93" s="3" t="str">
        <f>HYPERLINK("https://otsuka-europe-crm.veevavault.com/ui/#object/sent_email__v/VBLZ025E82GD0T5", "SE-000255060")</f>
        <v>SE-000255060</v>
      </c>
      <c r="D16193" s="1">
        <v>45903.234097222223</v>
      </c>
      <c r="E16193" s="2">
        <v>1</v>
      </c>
      <c r="F16193" s="2">
        <v>1</v>
      </c>
      <c r="G16193" s="2">
        <v>0</v>
      </c>
      <c r="H16193" s="1" t="s">
        <v>0</v>
      </c>
      <c r="I16193" s="2">
        <v>0</v>
      </c>
      <c r="J16193" s="1">
        <v>45902.523472222223</v>
      </c>
    </row>
    <row r="16194" spans="1:10" x14ac:dyDescent="0.2">
      <c r="A16194" s="4" t="s">
        <v>1</v>
      </c>
      <c r="B16194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94" s="3" t="str">
        <f>HYPERLINK("https://otsuka-europe-crm.veevavault.com/ui/#object/sent_email__v/VBLZ025E82GD0T6", "SE-000255061")</f>
        <v>SE-000255061</v>
      </c>
      <c r="D16194" s="1" t="s">
        <v>0</v>
      </c>
      <c r="E16194" s="2">
        <v>0</v>
      </c>
      <c r="F16194" s="2">
        <v>0</v>
      </c>
      <c r="G16194" s="2">
        <v>0</v>
      </c>
      <c r="H16194" s="1" t="s">
        <v>0</v>
      </c>
      <c r="I16194" s="2">
        <v>0</v>
      </c>
      <c r="J16194" s="1">
        <v>45902.5234837963</v>
      </c>
    </row>
    <row r="16195" spans="1:10" x14ac:dyDescent="0.2">
      <c r="A16195" s="4" t="s">
        <v>1</v>
      </c>
      <c r="B16195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95" s="3" t="str">
        <f>HYPERLINK("https://otsuka-europe-crm.veevavault.com/ui/#object/sent_email__v/VBLZ025E82GD0T7", "SE-000255062")</f>
        <v>SE-000255062</v>
      </c>
      <c r="D16195" s="1" t="s">
        <v>0</v>
      </c>
      <c r="E16195" s="2">
        <v>0</v>
      </c>
      <c r="F16195" s="2">
        <v>0</v>
      </c>
      <c r="G16195" s="2">
        <v>0</v>
      </c>
      <c r="H16195" s="1" t="s">
        <v>0</v>
      </c>
      <c r="I16195" s="2">
        <v>0</v>
      </c>
      <c r="J16195" s="1">
        <v>45902.523495370369</v>
      </c>
    </row>
    <row r="16196" spans="1:10" x14ac:dyDescent="0.2">
      <c r="A16196" s="4" t="s">
        <v>1</v>
      </c>
      <c r="B16196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96" s="3" t="str">
        <f>HYPERLINK("https://otsuka-europe-crm.veevavault.com/ui/#object/sent_email__v/VBLZ025E82GD0T8", "SE-000255063")</f>
        <v>SE-000255063</v>
      </c>
      <c r="D16196" s="1" t="s">
        <v>0</v>
      </c>
      <c r="E16196" s="2">
        <v>0</v>
      </c>
      <c r="F16196" s="2">
        <v>0</v>
      </c>
      <c r="G16196" s="2">
        <v>0</v>
      </c>
      <c r="H16196" s="1" t="s">
        <v>0</v>
      </c>
      <c r="I16196" s="2">
        <v>0</v>
      </c>
      <c r="J16196" s="1">
        <v>45902.523506944446</v>
      </c>
    </row>
    <row r="16197" spans="1:10" x14ac:dyDescent="0.2">
      <c r="A16197" s="4" t="s">
        <v>1</v>
      </c>
      <c r="B16197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97" s="3" t="str">
        <f>HYPERLINK("https://otsuka-europe-crm.veevavault.com/ui/#object/sent_email__v/VBLZ025E82GD0T9", "SE-000255064")</f>
        <v>SE-000255064</v>
      </c>
      <c r="D16197" s="1" t="s">
        <v>0</v>
      </c>
      <c r="E16197" s="2">
        <v>0</v>
      </c>
      <c r="F16197" s="2">
        <v>0</v>
      </c>
      <c r="G16197" s="2">
        <v>0</v>
      </c>
      <c r="H16197" s="1" t="s">
        <v>0</v>
      </c>
      <c r="I16197" s="2">
        <v>0</v>
      </c>
      <c r="J16197" s="1">
        <v>45902.523506944446</v>
      </c>
    </row>
    <row r="16198" spans="1:10" x14ac:dyDescent="0.2">
      <c r="A16198" s="4" t="s">
        <v>1</v>
      </c>
      <c r="B16198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98" s="3" t="str">
        <f>HYPERLINK("https://otsuka-europe-crm.veevavault.com/ui/#object/sent_email__v/VBLZ025E82GD0TA", "SE-000255065")</f>
        <v>SE-000255065</v>
      </c>
      <c r="D16198" s="1" t="s">
        <v>0</v>
      </c>
      <c r="E16198" s="2">
        <v>0</v>
      </c>
      <c r="F16198" s="2">
        <v>0</v>
      </c>
      <c r="G16198" s="2">
        <v>0</v>
      </c>
      <c r="H16198" s="1" t="s">
        <v>0</v>
      </c>
      <c r="I16198" s="2">
        <v>0</v>
      </c>
      <c r="J16198" s="1">
        <v>45902.523518518516</v>
      </c>
    </row>
    <row r="16199" spans="1:10" x14ac:dyDescent="0.2">
      <c r="A16199" s="4" t="s">
        <v>1</v>
      </c>
      <c r="B16199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199" s="3" t="str">
        <f>HYPERLINK("https://otsuka-europe-crm.veevavault.com/ui/#object/sent_email__v/VBLZ025E82GD0TB", "SE-000255066")</f>
        <v>SE-000255066</v>
      </c>
      <c r="D16199" s="1" t="s">
        <v>0</v>
      </c>
      <c r="E16199" s="2">
        <v>0</v>
      </c>
      <c r="F16199" s="2">
        <v>0</v>
      </c>
      <c r="G16199" s="2">
        <v>0</v>
      </c>
      <c r="H16199" s="1" t="s">
        <v>0</v>
      </c>
      <c r="I16199" s="2">
        <v>0</v>
      </c>
      <c r="J16199" s="1">
        <v>45902.523530092592</v>
      </c>
    </row>
    <row r="16200" spans="1:10" x14ac:dyDescent="0.2">
      <c r="A16200" s="4" t="s">
        <v>1</v>
      </c>
      <c r="B16200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00" s="3" t="str">
        <f>HYPERLINK("https://otsuka-europe-crm.veevavault.com/ui/#object/sent_email__v/VBLZ025E82GD0TC", "SE-000255067")</f>
        <v>SE-000255067</v>
      </c>
      <c r="D16200" s="1">
        <v>45902.533935185187</v>
      </c>
      <c r="E16200" s="2">
        <v>1</v>
      </c>
      <c r="F16200" s="2">
        <v>1</v>
      </c>
      <c r="G16200" s="2">
        <v>0</v>
      </c>
      <c r="H16200" s="1" t="s">
        <v>0</v>
      </c>
      <c r="I16200" s="2">
        <v>0</v>
      </c>
      <c r="J16200" s="1">
        <v>45902.523541666669</v>
      </c>
    </row>
    <row r="16201" spans="1:10" x14ac:dyDescent="0.2">
      <c r="A16201" s="4" t="s">
        <v>1</v>
      </c>
      <c r="B16201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01" s="3" t="str">
        <f>HYPERLINK("https://otsuka-europe-crm.veevavault.com/ui/#object/sent_email__v/VBLZ025E82GD0TD", "SE-000255068")</f>
        <v>SE-000255068</v>
      </c>
      <c r="D16201" s="1">
        <v>45902.564525462964</v>
      </c>
      <c r="E16201" s="2">
        <v>1</v>
      </c>
      <c r="F16201" s="2">
        <v>1</v>
      </c>
      <c r="G16201" s="2">
        <v>0</v>
      </c>
      <c r="H16201" s="1" t="s">
        <v>0</v>
      </c>
      <c r="I16201" s="2">
        <v>0</v>
      </c>
      <c r="J16201" s="1">
        <v>45902.523553240739</v>
      </c>
    </row>
    <row r="16202" spans="1:10" x14ac:dyDescent="0.2">
      <c r="A16202" s="4" t="s">
        <v>1</v>
      </c>
      <c r="B16202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02" s="3" t="str">
        <f>HYPERLINK("https://otsuka-europe-crm.veevavault.com/ui/#object/sent_email__v/VBLZ025E82GD0TE", "SE-000255069")</f>
        <v>SE-000255069</v>
      </c>
      <c r="D16202" s="1" t="s">
        <v>0</v>
      </c>
      <c r="E16202" s="2">
        <v>0</v>
      </c>
      <c r="F16202" s="2">
        <v>0</v>
      </c>
      <c r="G16202" s="2">
        <v>0</v>
      </c>
      <c r="H16202" s="1" t="s">
        <v>0</v>
      </c>
      <c r="I16202" s="2">
        <v>0</v>
      </c>
      <c r="J16202" s="1">
        <v>45902.523553240739</v>
      </c>
    </row>
    <row r="16203" spans="1:10" x14ac:dyDescent="0.2">
      <c r="A16203" s="4" t="s">
        <v>1</v>
      </c>
      <c r="B16203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03" s="3" t="str">
        <f>HYPERLINK("https://otsuka-europe-crm.veevavault.com/ui/#object/sent_email__v/VBLZ025E82GD0TF", "SE-000255070")</f>
        <v>SE-000255070</v>
      </c>
      <c r="D16203" s="1" t="s">
        <v>0</v>
      </c>
      <c r="E16203" s="2">
        <v>0</v>
      </c>
      <c r="F16203" s="2">
        <v>0</v>
      </c>
      <c r="G16203" s="2">
        <v>0</v>
      </c>
      <c r="H16203" s="1" t="s">
        <v>0</v>
      </c>
      <c r="I16203" s="2">
        <v>0</v>
      </c>
      <c r="J16203" s="1">
        <v>45902.523576388892</v>
      </c>
    </row>
    <row r="16204" spans="1:10" x14ac:dyDescent="0.2">
      <c r="A16204" s="4" t="s">
        <v>1</v>
      </c>
      <c r="B16204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04" s="3" t="str">
        <f>HYPERLINK("https://otsuka-europe-crm.veevavault.com/ui/#object/sent_email__v/VBLZ025E82GD0TG", "SE-000255071")</f>
        <v>SE-000255071</v>
      </c>
      <c r="D16204" s="1" t="s">
        <v>0</v>
      </c>
      <c r="E16204" s="2">
        <v>0</v>
      </c>
      <c r="F16204" s="2">
        <v>0</v>
      </c>
      <c r="G16204" s="2">
        <v>0</v>
      </c>
      <c r="H16204" s="1" t="s">
        <v>0</v>
      </c>
      <c r="I16204" s="2">
        <v>0</v>
      </c>
      <c r="J16204" s="1">
        <v>45902.523587962962</v>
      </c>
    </row>
    <row r="16205" spans="1:10" x14ac:dyDescent="0.2">
      <c r="A16205" s="4" t="s">
        <v>1</v>
      </c>
      <c r="B16205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05" s="3" t="str">
        <f>HYPERLINK("https://otsuka-europe-crm.veevavault.com/ui/#object/sent_email__v/VBLZ025E82GD0TH", "SE-000255072")</f>
        <v>SE-000255072</v>
      </c>
      <c r="D16205" s="1">
        <v>45902.574814814812</v>
      </c>
      <c r="E16205" s="2">
        <v>1</v>
      </c>
      <c r="F16205" s="2">
        <v>2</v>
      </c>
      <c r="G16205" s="2">
        <v>0</v>
      </c>
      <c r="H16205" s="1" t="s">
        <v>0</v>
      </c>
      <c r="I16205" s="2">
        <v>0</v>
      </c>
      <c r="J16205" s="1">
        <v>45902.523587962962</v>
      </c>
    </row>
    <row r="16206" spans="1:10" x14ac:dyDescent="0.2">
      <c r="A16206" s="4" t="s">
        <v>1</v>
      </c>
      <c r="B16206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06" s="3" t="str">
        <f>HYPERLINK("https://otsuka-europe-crm.veevavault.com/ui/#object/sent_email__v/VBLZ025E82GD0TI", "SE-000255073")</f>
        <v>SE-000255073</v>
      </c>
      <c r="D16206" s="1">
        <v>45913.740162037036</v>
      </c>
      <c r="E16206" s="2">
        <v>1</v>
      </c>
      <c r="F16206" s="2">
        <v>1</v>
      </c>
      <c r="G16206" s="2">
        <v>0</v>
      </c>
      <c r="H16206" s="1" t="s">
        <v>0</v>
      </c>
      <c r="I16206" s="2">
        <v>0</v>
      </c>
      <c r="J16206" s="1">
        <v>45902.523599537039</v>
      </c>
    </row>
    <row r="16207" spans="1:10" x14ac:dyDescent="0.2">
      <c r="A16207" s="4" t="s">
        <v>1</v>
      </c>
      <c r="B16207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07" s="3" t="str">
        <f>HYPERLINK("https://otsuka-europe-crm.veevavault.com/ui/#object/sent_email__v/VBLZ025E82GD0TJ", "SE-000255074")</f>
        <v>SE-000255074</v>
      </c>
      <c r="D16207" s="1" t="s">
        <v>0</v>
      </c>
      <c r="E16207" s="2">
        <v>0</v>
      </c>
      <c r="F16207" s="2">
        <v>0</v>
      </c>
      <c r="G16207" s="2">
        <v>0</v>
      </c>
      <c r="H16207" s="1" t="s">
        <v>0</v>
      </c>
      <c r="I16207" s="2">
        <v>0</v>
      </c>
      <c r="J16207" s="1">
        <v>45902.523611111108</v>
      </c>
    </row>
    <row r="16208" spans="1:10" x14ac:dyDescent="0.2">
      <c r="A16208" s="4" t="s">
        <v>1</v>
      </c>
      <c r="B16208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08" s="3" t="str">
        <f>HYPERLINK("https://otsuka-europe-crm.veevavault.com/ui/#object/sent_email__v/VBLZ025E82GD0TK", "SE-000255075")</f>
        <v>SE-000255075</v>
      </c>
      <c r="D16208" s="1" t="s">
        <v>0</v>
      </c>
      <c r="E16208" s="2">
        <v>0</v>
      </c>
      <c r="F16208" s="2">
        <v>0</v>
      </c>
      <c r="G16208" s="2">
        <v>0</v>
      </c>
      <c r="H16208" s="1" t="s">
        <v>0</v>
      </c>
      <c r="I16208" s="2">
        <v>0</v>
      </c>
      <c r="J16208" s="1">
        <v>45902.523622685185</v>
      </c>
    </row>
    <row r="16209" spans="1:10" x14ac:dyDescent="0.2">
      <c r="A16209" s="4" t="s">
        <v>1</v>
      </c>
      <c r="B16209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09" s="3" t="str">
        <f>HYPERLINK("https://otsuka-europe-crm.veevavault.com/ui/#object/sent_email__v/VBLZ025E82GD0TL", "SE-000255076")</f>
        <v>SE-000255076</v>
      </c>
      <c r="D16209" s="1" t="s">
        <v>0</v>
      </c>
      <c r="E16209" s="2">
        <v>0</v>
      </c>
      <c r="F16209" s="2">
        <v>0</v>
      </c>
      <c r="G16209" s="2">
        <v>0</v>
      </c>
      <c r="H16209" s="1" t="s">
        <v>0</v>
      </c>
      <c r="I16209" s="2">
        <v>0</v>
      </c>
      <c r="J16209" s="1">
        <v>45902.523622685185</v>
      </c>
    </row>
    <row r="16210" spans="1:10" x14ac:dyDescent="0.2">
      <c r="A16210" s="4" t="s">
        <v>1</v>
      </c>
      <c r="B16210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10" s="3" t="str">
        <f>HYPERLINK("https://otsuka-europe-crm.veevavault.com/ui/#object/sent_email__v/VBLZ025E82GD0TM", "SE-000255077")</f>
        <v>SE-000255077</v>
      </c>
      <c r="D16210" s="1">
        <v>45903.484444444446</v>
      </c>
      <c r="E16210" s="2">
        <v>1</v>
      </c>
      <c r="F16210" s="2">
        <v>2</v>
      </c>
      <c r="G16210" s="2">
        <v>1</v>
      </c>
      <c r="H16210" s="1">
        <v>45903.596134259256</v>
      </c>
      <c r="I16210" s="2">
        <v>6</v>
      </c>
      <c r="J16210" s="1">
        <v>45902.523634259262</v>
      </c>
    </row>
    <row r="16211" spans="1:10" x14ac:dyDescent="0.2">
      <c r="A16211" s="4" t="s">
        <v>1</v>
      </c>
      <c r="B16211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11" s="3" t="str">
        <f>HYPERLINK("https://otsuka-europe-crm.veevavault.com/ui/#object/sent_email__v/VBLZ025E82GD0TN", "SE-000255078")</f>
        <v>SE-000255078</v>
      </c>
      <c r="D16211" s="1" t="s">
        <v>0</v>
      </c>
      <c r="E16211" s="2">
        <v>0</v>
      </c>
      <c r="F16211" s="2">
        <v>0</v>
      </c>
      <c r="G16211" s="2">
        <v>0</v>
      </c>
      <c r="H16211" s="1" t="s">
        <v>0</v>
      </c>
      <c r="I16211" s="2">
        <v>0</v>
      </c>
      <c r="J16211" s="1">
        <v>45902.523645833331</v>
      </c>
    </row>
    <row r="16212" spans="1:10" x14ac:dyDescent="0.2">
      <c r="A16212" s="4" t="s">
        <v>1</v>
      </c>
      <c r="B16212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12" s="3" t="str">
        <f>HYPERLINK("https://otsuka-europe-crm.veevavault.com/ui/#object/sent_email__v/VBLZ025E82GD0TO", "SE-000255079")</f>
        <v>SE-000255079</v>
      </c>
      <c r="D16212" s="1">
        <v>45902.526030092595</v>
      </c>
      <c r="E16212" s="2">
        <v>1</v>
      </c>
      <c r="F16212" s="2">
        <v>1</v>
      </c>
      <c r="G16212" s="2">
        <v>0</v>
      </c>
      <c r="H16212" s="1" t="s">
        <v>0</v>
      </c>
      <c r="I16212" s="2">
        <v>0</v>
      </c>
      <c r="J16212" s="1">
        <v>45902.523657407408</v>
      </c>
    </row>
    <row r="16213" spans="1:10" x14ac:dyDescent="0.2">
      <c r="A16213" s="4" t="s">
        <v>1</v>
      </c>
      <c r="B16213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13" s="3" t="str">
        <f>HYPERLINK("https://otsuka-europe-crm.veevavault.com/ui/#object/sent_email__v/VBLZ025E82GD0TP", "SE-000255080")</f>
        <v>SE-000255080</v>
      </c>
      <c r="D16213" s="1" t="s">
        <v>0</v>
      </c>
      <c r="E16213" s="2">
        <v>0</v>
      </c>
      <c r="F16213" s="2">
        <v>0</v>
      </c>
      <c r="G16213" s="2">
        <v>0</v>
      </c>
      <c r="H16213" s="1" t="s">
        <v>0</v>
      </c>
      <c r="I16213" s="2">
        <v>0</v>
      </c>
      <c r="J16213" s="1">
        <v>45902.523657407408</v>
      </c>
    </row>
    <row r="16214" spans="1:10" x14ac:dyDescent="0.2">
      <c r="A16214" s="4" t="s">
        <v>1</v>
      </c>
      <c r="B16214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14" s="3" t="str">
        <f>HYPERLINK("https://otsuka-europe-crm.veevavault.com/ui/#object/sent_email__v/VBLZ025E82GD0TQ", "SE-000255081")</f>
        <v>SE-000255081</v>
      </c>
      <c r="D16214" s="1" t="s">
        <v>0</v>
      </c>
      <c r="E16214" s="2">
        <v>0</v>
      </c>
      <c r="F16214" s="2">
        <v>0</v>
      </c>
      <c r="G16214" s="2">
        <v>0</v>
      </c>
      <c r="H16214" s="1" t="s">
        <v>0</v>
      </c>
      <c r="I16214" s="2">
        <v>0</v>
      </c>
      <c r="J16214" s="1">
        <v>45902.523668981485</v>
      </c>
    </row>
    <row r="16215" spans="1:10" x14ac:dyDescent="0.2">
      <c r="A16215" s="4" t="s">
        <v>1</v>
      </c>
      <c r="B16215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15" s="3" t="str">
        <f>HYPERLINK("https://otsuka-europe-crm.veevavault.com/ui/#object/sent_email__v/VBLZ025E82GD0TR", "SE-000255082")</f>
        <v>SE-000255082</v>
      </c>
      <c r="D16215" s="1" t="s">
        <v>0</v>
      </c>
      <c r="E16215" s="2">
        <v>0</v>
      </c>
      <c r="F16215" s="2">
        <v>0</v>
      </c>
      <c r="G16215" s="2">
        <v>0</v>
      </c>
      <c r="H16215" s="1" t="s">
        <v>0</v>
      </c>
      <c r="I16215" s="2">
        <v>0</v>
      </c>
      <c r="J16215" s="1">
        <v>45902.523680555554</v>
      </c>
    </row>
    <row r="16216" spans="1:10" x14ac:dyDescent="0.2">
      <c r="A16216" s="4" t="s">
        <v>1</v>
      </c>
      <c r="B16216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16" s="3" t="str">
        <f>HYPERLINK("https://otsuka-europe-crm.veevavault.com/ui/#object/sent_email__v/VBLZ025E82GD0TS", "SE-000255083")</f>
        <v>SE-000255083</v>
      </c>
      <c r="D16216" s="1">
        <v>45907.452303240738</v>
      </c>
      <c r="E16216" s="2">
        <v>1</v>
      </c>
      <c r="F16216" s="2">
        <v>1</v>
      </c>
      <c r="G16216" s="2">
        <v>0</v>
      </c>
      <c r="H16216" s="1" t="s">
        <v>0</v>
      </c>
      <c r="I16216" s="2">
        <v>0</v>
      </c>
      <c r="J16216" s="1">
        <v>45902.523692129631</v>
      </c>
    </row>
    <row r="16217" spans="1:10" x14ac:dyDescent="0.2">
      <c r="A16217" s="4" t="s">
        <v>1</v>
      </c>
      <c r="B16217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17" s="3" t="str">
        <f>HYPERLINK("https://otsuka-europe-crm.veevavault.com/ui/#object/sent_email__v/VBLZ025E82GD0TT", "SE-000255084")</f>
        <v>SE-000255084</v>
      </c>
      <c r="D16217" s="1">
        <v>45902.524305555555</v>
      </c>
      <c r="E16217" s="2">
        <v>1</v>
      </c>
      <c r="F16217" s="2">
        <v>1</v>
      </c>
      <c r="G16217" s="2">
        <v>0</v>
      </c>
      <c r="H16217" s="1" t="s">
        <v>0</v>
      </c>
      <c r="I16217" s="2">
        <v>0</v>
      </c>
      <c r="J16217" s="1">
        <v>45902.5237037037</v>
      </c>
    </row>
    <row r="16218" spans="1:10" x14ac:dyDescent="0.2">
      <c r="A16218" s="4" t="s">
        <v>1</v>
      </c>
      <c r="B16218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18" s="3" t="str">
        <f>HYPERLINK("https://otsuka-europe-crm.veevavault.com/ui/#object/sent_email__v/VBLZ025E82GD0TU", "SE-000255085")</f>
        <v>SE-000255085</v>
      </c>
      <c r="D16218" s="1" t="s">
        <v>0</v>
      </c>
      <c r="E16218" s="2">
        <v>0</v>
      </c>
      <c r="F16218" s="2">
        <v>0</v>
      </c>
      <c r="G16218" s="2">
        <v>0</v>
      </c>
      <c r="H16218" s="1" t="s">
        <v>0</v>
      </c>
      <c r="I16218" s="2">
        <v>0</v>
      </c>
      <c r="J16218" s="1">
        <v>45902.523715277777</v>
      </c>
    </row>
    <row r="16219" spans="1:10" x14ac:dyDescent="0.2">
      <c r="A16219" s="4" t="s">
        <v>1</v>
      </c>
      <c r="B16219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19" s="3" t="str">
        <f>HYPERLINK("https://otsuka-europe-crm.veevavault.com/ui/#object/sent_email__v/VBLZ025E82GD0TV", "SE-000255086")</f>
        <v>SE-000255086</v>
      </c>
      <c r="D16219" s="1" t="s">
        <v>0</v>
      </c>
      <c r="E16219" s="2">
        <v>0</v>
      </c>
      <c r="F16219" s="2">
        <v>0</v>
      </c>
      <c r="G16219" s="2">
        <v>0</v>
      </c>
      <c r="H16219" s="1" t="s">
        <v>0</v>
      </c>
      <c r="I16219" s="2">
        <v>0</v>
      </c>
      <c r="J16219" s="1">
        <v>45902.523726851854</v>
      </c>
    </row>
    <row r="16220" spans="1:10" x14ac:dyDescent="0.2">
      <c r="A16220" s="4" t="s">
        <v>1</v>
      </c>
      <c r="B16220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20" s="3" t="str">
        <f>HYPERLINK("https://otsuka-europe-crm.veevavault.com/ui/#object/sent_email__v/VBLZ025E82GD0TW", "SE-000255087")</f>
        <v>SE-000255087</v>
      </c>
      <c r="D16220" s="1">
        <v>45911.300011574072</v>
      </c>
      <c r="E16220" s="2">
        <v>1</v>
      </c>
      <c r="F16220" s="2">
        <v>1</v>
      </c>
      <c r="G16220" s="2">
        <v>0</v>
      </c>
      <c r="H16220" s="1" t="s">
        <v>0</v>
      </c>
      <c r="I16220" s="2">
        <v>0</v>
      </c>
      <c r="J16220" s="1">
        <v>45902.523738425924</v>
      </c>
    </row>
    <row r="16221" spans="1:10" x14ac:dyDescent="0.2">
      <c r="A16221" s="4" t="s">
        <v>1</v>
      </c>
      <c r="B16221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21" s="3" t="str">
        <f>HYPERLINK("https://otsuka-europe-crm.veevavault.com/ui/#object/sent_email__v/VBLZ025E82GD0TX", "SE-000255088")</f>
        <v>SE-000255088</v>
      </c>
      <c r="D16221" s="1" t="s">
        <v>0</v>
      </c>
      <c r="E16221" s="2">
        <v>0</v>
      </c>
      <c r="F16221" s="2">
        <v>0</v>
      </c>
      <c r="G16221" s="2">
        <v>0</v>
      </c>
      <c r="H16221" s="1" t="s">
        <v>0</v>
      </c>
      <c r="I16221" s="2">
        <v>0</v>
      </c>
      <c r="J16221" s="1">
        <v>45902.523761574077</v>
      </c>
    </row>
    <row r="16222" spans="1:10" x14ac:dyDescent="0.2">
      <c r="A16222" s="4" t="s">
        <v>1</v>
      </c>
      <c r="B16222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22" s="3" t="str">
        <f>HYPERLINK("https://otsuka-europe-crm.veevavault.com/ui/#object/sent_email__v/VBLZ025E82GD0TY", "SE-000255089")</f>
        <v>SE-000255089</v>
      </c>
      <c r="D16222" s="1">
        <v>45902.573368055557</v>
      </c>
      <c r="E16222" s="2">
        <v>1</v>
      </c>
      <c r="F16222" s="2">
        <v>4</v>
      </c>
      <c r="G16222" s="2">
        <v>0</v>
      </c>
      <c r="H16222" s="1" t="s">
        <v>0</v>
      </c>
      <c r="I16222" s="2">
        <v>0</v>
      </c>
      <c r="J16222" s="1">
        <v>45902.523761574077</v>
      </c>
    </row>
    <row r="16223" spans="1:10" x14ac:dyDescent="0.2">
      <c r="A16223" s="4" t="s">
        <v>1</v>
      </c>
      <c r="B16223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23" s="3" t="str">
        <f>HYPERLINK("https://otsuka-europe-crm.veevavault.com/ui/#object/sent_email__v/VBLZ025E82GD0TZ", "SE-000255090")</f>
        <v>SE-000255090</v>
      </c>
      <c r="D16223" s="1" t="s">
        <v>0</v>
      </c>
      <c r="E16223" s="2">
        <v>0</v>
      </c>
      <c r="F16223" s="2">
        <v>0</v>
      </c>
      <c r="G16223" s="2">
        <v>0</v>
      </c>
      <c r="H16223" s="1" t="s">
        <v>0</v>
      </c>
      <c r="I16223" s="2">
        <v>0</v>
      </c>
      <c r="J16223" s="1">
        <v>45902.523761574077</v>
      </c>
    </row>
    <row r="16224" spans="1:10" x14ac:dyDescent="0.2">
      <c r="A16224" s="4" t="s">
        <v>1</v>
      </c>
      <c r="B16224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24" s="3" t="str">
        <f>HYPERLINK("https://otsuka-europe-crm.veevavault.com/ui/#object/sent_email__v/VBLZ025E82GD0U0", "SE-000255091")</f>
        <v>SE-000255091</v>
      </c>
      <c r="D16224" s="1" t="s">
        <v>0</v>
      </c>
      <c r="E16224" s="2">
        <v>0</v>
      </c>
      <c r="F16224" s="2">
        <v>0</v>
      </c>
      <c r="G16224" s="2">
        <v>0</v>
      </c>
      <c r="H16224" s="1" t="s">
        <v>0</v>
      </c>
      <c r="I16224" s="2">
        <v>0</v>
      </c>
      <c r="J16224" s="1">
        <v>45902.523773148147</v>
      </c>
    </row>
    <row r="16225" spans="1:10" x14ac:dyDescent="0.2">
      <c r="A16225" s="4" t="s">
        <v>1</v>
      </c>
      <c r="B16225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25" s="3" t="str">
        <f>HYPERLINK("https://otsuka-europe-crm.veevavault.com/ui/#object/sent_email__v/VBLZ025E82GD0U1", "SE-000255092")</f>
        <v>SE-000255092</v>
      </c>
      <c r="D16225" s="1">
        <v>45902.93650462963</v>
      </c>
      <c r="E16225" s="2">
        <v>1</v>
      </c>
      <c r="F16225" s="2">
        <v>1</v>
      </c>
      <c r="G16225" s="2">
        <v>1</v>
      </c>
      <c r="H16225" s="1">
        <v>45926.540532407409</v>
      </c>
      <c r="I16225" s="2">
        <v>2</v>
      </c>
      <c r="J16225" s="1">
        <v>45902.523773148147</v>
      </c>
    </row>
    <row r="16226" spans="1:10" x14ac:dyDescent="0.2">
      <c r="A16226" s="4" t="s">
        <v>1</v>
      </c>
      <c r="B16226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26" s="3" t="str">
        <f>HYPERLINK("https://otsuka-europe-crm.veevavault.com/ui/#object/sent_email__v/VBLZ025E82GD0U2", "SE-000255093")</f>
        <v>SE-000255093</v>
      </c>
      <c r="D16226" s="1" t="s">
        <v>0</v>
      </c>
      <c r="E16226" s="2">
        <v>0</v>
      </c>
      <c r="F16226" s="2">
        <v>0</v>
      </c>
      <c r="G16226" s="2">
        <v>0</v>
      </c>
      <c r="H16226" s="1" t="s">
        <v>0</v>
      </c>
      <c r="I16226" s="2">
        <v>0</v>
      </c>
      <c r="J16226" s="1">
        <v>45902.523796296293</v>
      </c>
    </row>
    <row r="16227" spans="1:10" x14ac:dyDescent="0.2">
      <c r="A16227" s="4" t="s">
        <v>1</v>
      </c>
      <c r="B16227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27" s="3" t="str">
        <f>HYPERLINK("https://otsuka-europe-crm.veevavault.com/ui/#object/sent_email__v/VBLZ025E82GD0U3", "SE-000255094")</f>
        <v>SE-000255094</v>
      </c>
      <c r="D16227" s="1" t="s">
        <v>0</v>
      </c>
      <c r="E16227" s="2">
        <v>0</v>
      </c>
      <c r="F16227" s="2">
        <v>0</v>
      </c>
      <c r="G16227" s="2">
        <v>0</v>
      </c>
      <c r="H16227" s="1" t="s">
        <v>0</v>
      </c>
      <c r="I16227" s="2">
        <v>0</v>
      </c>
      <c r="J16227" s="1">
        <v>45902.523819444446</v>
      </c>
    </row>
    <row r="16228" spans="1:10" x14ac:dyDescent="0.2">
      <c r="A16228" s="4" t="s">
        <v>1</v>
      </c>
      <c r="B16228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28" s="3" t="str">
        <f>HYPERLINK("https://otsuka-europe-crm.veevavault.com/ui/#object/sent_email__v/VBLZ025E82GD0U4", "SE-000255095")</f>
        <v>SE-000255095</v>
      </c>
      <c r="D16228" s="1" t="s">
        <v>0</v>
      </c>
      <c r="E16228" s="2">
        <v>0</v>
      </c>
      <c r="F16228" s="2">
        <v>0</v>
      </c>
      <c r="G16228" s="2">
        <v>0</v>
      </c>
      <c r="H16228" s="1" t="s">
        <v>0</v>
      </c>
      <c r="I16228" s="2">
        <v>0</v>
      </c>
      <c r="J16228" s="1">
        <v>45902.52380787037</v>
      </c>
    </row>
    <row r="16229" spans="1:10" x14ac:dyDescent="0.2">
      <c r="A16229" s="4" t="s">
        <v>1</v>
      </c>
      <c r="B16229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29" s="3" t="str">
        <f>HYPERLINK("https://otsuka-europe-crm.veevavault.com/ui/#object/sent_email__v/VBLZ025E82GD0U5", "SE-000255096")</f>
        <v>SE-000255096</v>
      </c>
      <c r="D16229" s="1" t="s">
        <v>0</v>
      </c>
      <c r="E16229" s="2">
        <v>0</v>
      </c>
      <c r="F16229" s="2">
        <v>0</v>
      </c>
      <c r="G16229" s="2">
        <v>0</v>
      </c>
      <c r="H16229" s="1" t="s">
        <v>0</v>
      </c>
      <c r="I16229" s="2">
        <v>0</v>
      </c>
      <c r="J16229" s="1">
        <v>45902.523819444446</v>
      </c>
    </row>
    <row r="16230" spans="1:10" x14ac:dyDescent="0.2">
      <c r="A16230" s="4" t="s">
        <v>1</v>
      </c>
      <c r="B16230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30" s="3" t="str">
        <f>HYPERLINK("https://otsuka-europe-crm.veevavault.com/ui/#object/sent_email__v/VBLZ025E82GD0U6", "SE-000255097")</f>
        <v>SE-000255097</v>
      </c>
      <c r="D16230" s="1" t="s">
        <v>0</v>
      </c>
      <c r="E16230" s="2">
        <v>0</v>
      </c>
      <c r="F16230" s="2">
        <v>0</v>
      </c>
      <c r="G16230" s="2">
        <v>0</v>
      </c>
      <c r="H16230" s="1" t="s">
        <v>0</v>
      </c>
      <c r="I16230" s="2">
        <v>0</v>
      </c>
      <c r="J16230" s="1">
        <v>45902.523819444446</v>
      </c>
    </row>
    <row r="16231" spans="1:10" x14ac:dyDescent="0.2">
      <c r="A16231" s="4" t="s">
        <v>1</v>
      </c>
      <c r="B16231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31" s="3" t="str">
        <f>HYPERLINK("https://otsuka-europe-crm.veevavault.com/ui/#object/sent_email__v/VBLZ025E82GD0U7", "SE-000255098")</f>
        <v>SE-000255098</v>
      </c>
      <c r="D16231" s="1">
        <v>45902.745324074072</v>
      </c>
      <c r="E16231" s="2">
        <v>1</v>
      </c>
      <c r="F16231" s="2">
        <v>2</v>
      </c>
      <c r="G16231" s="2">
        <v>0</v>
      </c>
      <c r="H16231" s="1" t="s">
        <v>0</v>
      </c>
      <c r="I16231" s="2">
        <v>0</v>
      </c>
      <c r="J16231" s="1">
        <v>45902.523842592593</v>
      </c>
    </row>
    <row r="16232" spans="1:10" x14ac:dyDescent="0.2">
      <c r="A16232" s="4" t="s">
        <v>1</v>
      </c>
      <c r="B16232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32" s="3" t="str">
        <f>HYPERLINK("https://otsuka-europe-crm.veevavault.com/ui/#object/sent_email__v/VBLZ025E82GD0U8", "SE-000255099")</f>
        <v>SE-000255099</v>
      </c>
      <c r="D16232" s="1" t="s">
        <v>0</v>
      </c>
      <c r="E16232" s="2">
        <v>0</v>
      </c>
      <c r="F16232" s="2">
        <v>0</v>
      </c>
      <c r="G16232" s="2">
        <v>0</v>
      </c>
      <c r="H16232" s="1" t="s">
        <v>0</v>
      </c>
      <c r="I16232" s="2">
        <v>0</v>
      </c>
      <c r="J16232" s="1">
        <v>45902.523854166669</v>
      </c>
    </row>
    <row r="16233" spans="1:10" x14ac:dyDescent="0.2">
      <c r="A16233" s="4" t="s">
        <v>1</v>
      </c>
      <c r="B16233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33" s="3" t="str">
        <f>HYPERLINK("https://otsuka-europe-crm.veevavault.com/ui/#object/sent_email__v/VBLZ025E82GD0U9", "SE-000255100")</f>
        <v>SE-000255100</v>
      </c>
      <c r="D16233" s="1" t="s">
        <v>0</v>
      </c>
      <c r="E16233" s="2">
        <v>0</v>
      </c>
      <c r="F16233" s="2">
        <v>0</v>
      </c>
      <c r="G16233" s="2">
        <v>0</v>
      </c>
      <c r="H16233" s="1" t="s">
        <v>0</v>
      </c>
      <c r="I16233" s="2">
        <v>0</v>
      </c>
      <c r="J16233" s="1">
        <v>45902.523854166669</v>
      </c>
    </row>
    <row r="16234" spans="1:10" x14ac:dyDescent="0.2">
      <c r="A16234" s="4" t="s">
        <v>1</v>
      </c>
      <c r="B16234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34" s="3" t="str">
        <f>HYPERLINK("https://otsuka-europe-crm.veevavault.com/ui/#object/sent_email__v/VBLZ025E82GD0UA", "SE-000255101")</f>
        <v>SE-000255101</v>
      </c>
      <c r="D16234" s="1">
        <v>45902.661921296298</v>
      </c>
      <c r="E16234" s="2">
        <v>1</v>
      </c>
      <c r="F16234" s="2">
        <v>2</v>
      </c>
      <c r="G16234" s="2">
        <v>0</v>
      </c>
      <c r="H16234" s="1" t="s">
        <v>0</v>
      </c>
      <c r="I16234" s="2">
        <v>0</v>
      </c>
      <c r="J16234" s="1">
        <v>45902.523877314816</v>
      </c>
    </row>
    <row r="16235" spans="1:10" x14ac:dyDescent="0.2">
      <c r="A16235" s="4" t="s">
        <v>1</v>
      </c>
      <c r="B16235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35" s="3" t="str">
        <f>HYPERLINK("https://otsuka-europe-crm.veevavault.com/ui/#object/sent_email__v/VBLZ025E82GD0UB", "SE-000255102")</f>
        <v>SE-000255102</v>
      </c>
      <c r="D16235" s="1">
        <v>45909.531458333331</v>
      </c>
      <c r="E16235" s="2">
        <v>1</v>
      </c>
      <c r="F16235" s="2">
        <v>2</v>
      </c>
      <c r="G16235" s="2">
        <v>0</v>
      </c>
      <c r="H16235" s="1" t="s">
        <v>0</v>
      </c>
      <c r="I16235" s="2">
        <v>0</v>
      </c>
      <c r="J16235" s="1">
        <v>45902.523877314816</v>
      </c>
    </row>
    <row r="16236" spans="1:10" x14ac:dyDescent="0.2">
      <c r="A16236" s="4" t="s">
        <v>1</v>
      </c>
      <c r="B16236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36" s="3" t="str">
        <f>HYPERLINK("https://otsuka-europe-crm.veevavault.com/ui/#object/sent_email__v/VBLZ025E82GD0UC", "SE-000255103")</f>
        <v>SE-000255103</v>
      </c>
      <c r="D16236" s="1" t="s">
        <v>0</v>
      </c>
      <c r="E16236" s="2">
        <v>0</v>
      </c>
      <c r="F16236" s="2">
        <v>0</v>
      </c>
      <c r="G16236" s="2">
        <v>0</v>
      </c>
      <c r="H16236" s="1" t="s">
        <v>0</v>
      </c>
      <c r="I16236" s="2">
        <v>0</v>
      </c>
      <c r="J16236" s="1">
        <v>45902.523888888885</v>
      </c>
    </row>
    <row r="16237" spans="1:10" x14ac:dyDescent="0.2">
      <c r="A16237" s="4" t="s">
        <v>1</v>
      </c>
      <c r="B16237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37" s="3" t="str">
        <f>HYPERLINK("https://otsuka-europe-crm.veevavault.com/ui/#object/sent_email__v/VBLZ025E82GD0UD", "SE-000255104")</f>
        <v>SE-000255104</v>
      </c>
      <c r="D16237" s="1" t="s">
        <v>0</v>
      </c>
      <c r="E16237" s="2">
        <v>0</v>
      </c>
      <c r="F16237" s="2">
        <v>0</v>
      </c>
      <c r="G16237" s="2">
        <v>0</v>
      </c>
      <c r="H16237" s="1" t="s">
        <v>0</v>
      </c>
      <c r="I16237" s="2">
        <v>0</v>
      </c>
      <c r="J16237" s="1">
        <v>45902.523900462962</v>
      </c>
    </row>
    <row r="16238" spans="1:10" x14ac:dyDescent="0.2">
      <c r="A16238" s="4" t="s">
        <v>1</v>
      </c>
      <c r="B16238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38" s="3" t="str">
        <f>HYPERLINK("https://otsuka-europe-crm.veevavault.com/ui/#object/sent_email__v/VBLZ025E82GD0UE", "SE-000255105")</f>
        <v>SE-000255105</v>
      </c>
      <c r="D16238" s="1" t="s">
        <v>0</v>
      </c>
      <c r="E16238" s="2">
        <v>0</v>
      </c>
      <c r="F16238" s="2">
        <v>0</v>
      </c>
      <c r="G16238" s="2">
        <v>0</v>
      </c>
      <c r="H16238" s="1" t="s">
        <v>0</v>
      </c>
      <c r="I16238" s="2">
        <v>0</v>
      </c>
      <c r="J16238" s="1">
        <v>45902.523912037039</v>
      </c>
    </row>
    <row r="16239" spans="1:10" x14ac:dyDescent="0.2">
      <c r="A16239" s="4" t="s">
        <v>1</v>
      </c>
      <c r="B16239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39" s="3" t="str">
        <f>HYPERLINK("https://otsuka-europe-crm.veevavault.com/ui/#object/sent_email__v/VBLZ025E82GD0UF", "SE-000255106")</f>
        <v>SE-000255106</v>
      </c>
      <c r="D16239" s="1">
        <v>45903.751076388886</v>
      </c>
      <c r="E16239" s="2">
        <v>1</v>
      </c>
      <c r="F16239" s="2">
        <v>1</v>
      </c>
      <c r="G16239" s="2">
        <v>0</v>
      </c>
      <c r="H16239" s="1" t="s">
        <v>0</v>
      </c>
      <c r="I16239" s="2">
        <v>0</v>
      </c>
      <c r="J16239" s="1">
        <v>45902.523923611108</v>
      </c>
    </row>
    <row r="16240" spans="1:10" x14ac:dyDescent="0.2">
      <c r="A16240" s="4" t="s">
        <v>1</v>
      </c>
      <c r="B16240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40" s="3" t="str">
        <f>HYPERLINK("https://otsuka-europe-crm.veevavault.com/ui/#object/sent_email__v/VBLZ025E82GD0UG", "SE-000255107")</f>
        <v>SE-000255107</v>
      </c>
      <c r="D16240" s="1" t="s">
        <v>0</v>
      </c>
      <c r="E16240" s="2">
        <v>0</v>
      </c>
      <c r="F16240" s="2">
        <v>0</v>
      </c>
      <c r="G16240" s="2">
        <v>0</v>
      </c>
      <c r="H16240" s="1" t="s">
        <v>0</v>
      </c>
      <c r="I16240" s="2">
        <v>0</v>
      </c>
      <c r="J16240" s="1">
        <v>45902.523935185185</v>
      </c>
    </row>
    <row r="16241" spans="1:10" x14ac:dyDescent="0.2">
      <c r="A16241" s="4" t="s">
        <v>1</v>
      </c>
      <c r="B16241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41" s="3" t="str">
        <f>HYPERLINK("https://otsuka-europe-crm.veevavault.com/ui/#object/sent_email__v/VBLZ025E82GD0UH", "SE-000255108")</f>
        <v>SE-000255108</v>
      </c>
      <c r="D16241" s="1" t="s">
        <v>0</v>
      </c>
      <c r="E16241" s="2">
        <v>0</v>
      </c>
      <c r="F16241" s="2">
        <v>0</v>
      </c>
      <c r="G16241" s="2">
        <v>0</v>
      </c>
      <c r="H16241" s="1" t="s">
        <v>0</v>
      </c>
      <c r="I16241" s="2">
        <v>0</v>
      </c>
      <c r="J16241" s="1">
        <v>45902.523946759262</v>
      </c>
    </row>
    <row r="16242" spans="1:10" x14ac:dyDescent="0.2">
      <c r="A16242" s="4" t="s">
        <v>1</v>
      </c>
      <c r="B16242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42" s="3" t="str">
        <f>HYPERLINK("https://otsuka-europe-crm.veevavault.com/ui/#object/sent_email__v/VBLZ025E82GD0UI", "SE-000255109")</f>
        <v>SE-000255109</v>
      </c>
      <c r="D16242" s="1" t="s">
        <v>0</v>
      </c>
      <c r="E16242" s="2">
        <v>0</v>
      </c>
      <c r="F16242" s="2">
        <v>0</v>
      </c>
      <c r="G16242" s="2">
        <v>0</v>
      </c>
      <c r="H16242" s="1" t="s">
        <v>0</v>
      </c>
      <c r="I16242" s="2">
        <v>0</v>
      </c>
      <c r="J16242" s="1">
        <v>45902.523946759262</v>
      </c>
    </row>
    <row r="16243" spans="1:10" x14ac:dyDescent="0.2">
      <c r="A16243" s="4" t="s">
        <v>1</v>
      </c>
      <c r="B16243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43" s="3" t="str">
        <f>HYPERLINK("https://otsuka-europe-crm.veevavault.com/ui/#object/sent_email__v/VBLZ025E82GD0UJ", "SE-000255110")</f>
        <v>SE-000255110</v>
      </c>
      <c r="D16243" s="1" t="s">
        <v>0</v>
      </c>
      <c r="E16243" s="2">
        <v>0</v>
      </c>
      <c r="F16243" s="2">
        <v>0</v>
      </c>
      <c r="G16243" s="2">
        <v>0</v>
      </c>
      <c r="H16243" s="1" t="s">
        <v>0</v>
      </c>
      <c r="I16243" s="2">
        <v>0</v>
      </c>
      <c r="J16243" s="1">
        <v>45902.523958333331</v>
      </c>
    </row>
    <row r="16244" spans="1:10" x14ac:dyDescent="0.2">
      <c r="A16244" s="4" t="s">
        <v>1</v>
      </c>
      <c r="B16244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44" s="3" t="str">
        <f>HYPERLINK("https://otsuka-europe-crm.veevavault.com/ui/#object/sent_email__v/VBLZ025E82GD0UK", "SE-000255111")</f>
        <v>SE-000255111</v>
      </c>
      <c r="D16244" s="1" t="s">
        <v>0</v>
      </c>
      <c r="E16244" s="2">
        <v>0</v>
      </c>
      <c r="F16244" s="2">
        <v>0</v>
      </c>
      <c r="G16244" s="2">
        <v>0</v>
      </c>
      <c r="H16244" s="1" t="s">
        <v>0</v>
      </c>
      <c r="I16244" s="2">
        <v>0</v>
      </c>
      <c r="J16244" s="1">
        <v>45902.523969907408</v>
      </c>
    </row>
    <row r="16245" spans="1:10" x14ac:dyDescent="0.2">
      <c r="A16245" s="4" t="s">
        <v>1</v>
      </c>
      <c r="B16245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45" s="3" t="str">
        <f>HYPERLINK("https://otsuka-europe-crm.veevavault.com/ui/#object/sent_email__v/VBLZ025E82GD0UL", "SE-000255112")</f>
        <v>SE-000255112</v>
      </c>
      <c r="D16245" s="1" t="s">
        <v>0</v>
      </c>
      <c r="E16245" s="2">
        <v>0</v>
      </c>
      <c r="F16245" s="2">
        <v>0</v>
      </c>
      <c r="G16245" s="2">
        <v>0</v>
      </c>
      <c r="H16245" s="1" t="s">
        <v>0</v>
      </c>
      <c r="I16245" s="2">
        <v>0</v>
      </c>
      <c r="J16245" s="1">
        <v>45902.523981481485</v>
      </c>
    </row>
    <row r="16246" spans="1:10" x14ac:dyDescent="0.2">
      <c r="A16246" s="4" t="s">
        <v>1</v>
      </c>
      <c r="B16246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46" s="3" t="str">
        <f>HYPERLINK("https://otsuka-europe-crm.veevavault.com/ui/#object/sent_email__v/VBLZ025E82GD0UM", "SE-000255113")</f>
        <v>SE-000255113</v>
      </c>
      <c r="D16246" s="1" t="s">
        <v>0</v>
      </c>
      <c r="E16246" s="2">
        <v>0</v>
      </c>
      <c r="F16246" s="2">
        <v>0</v>
      </c>
      <c r="G16246" s="2">
        <v>0</v>
      </c>
      <c r="H16246" s="1" t="s">
        <v>0</v>
      </c>
      <c r="I16246" s="2">
        <v>0</v>
      </c>
      <c r="J16246" s="1">
        <v>45902.523993055554</v>
      </c>
    </row>
    <row r="16247" spans="1:10" x14ac:dyDescent="0.2">
      <c r="A16247" s="4" t="s">
        <v>1</v>
      </c>
      <c r="B16247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47" s="3" t="str">
        <f>HYPERLINK("https://otsuka-europe-crm.veevavault.com/ui/#object/sent_email__v/VBLZ025E82GD0UN", "SE-000255114")</f>
        <v>SE-000255114</v>
      </c>
      <c r="D16247" s="1" t="s">
        <v>0</v>
      </c>
      <c r="E16247" s="2">
        <v>0</v>
      </c>
      <c r="F16247" s="2">
        <v>0</v>
      </c>
      <c r="G16247" s="2">
        <v>0</v>
      </c>
      <c r="H16247" s="1" t="s">
        <v>0</v>
      </c>
      <c r="I16247" s="2">
        <v>0</v>
      </c>
      <c r="J16247" s="1">
        <v>45902.524004629631</v>
      </c>
    </row>
    <row r="16248" spans="1:10" x14ac:dyDescent="0.2">
      <c r="A16248" s="4" t="s">
        <v>1</v>
      </c>
      <c r="B16248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48" s="3" t="str">
        <f>HYPERLINK("https://otsuka-europe-crm.veevavault.com/ui/#object/sent_email__v/VBLZ025E82GD0UO", "SE-000255115")</f>
        <v>SE-000255115</v>
      </c>
      <c r="D16248" s="1">
        <v>45902.887256944443</v>
      </c>
      <c r="E16248" s="2">
        <v>1</v>
      </c>
      <c r="F16248" s="2">
        <v>1</v>
      </c>
      <c r="G16248" s="2">
        <v>0</v>
      </c>
      <c r="H16248" s="1" t="s">
        <v>0</v>
      </c>
      <c r="I16248" s="2">
        <v>0</v>
      </c>
      <c r="J16248" s="1">
        <v>45902.524016203701</v>
      </c>
    </row>
    <row r="16249" spans="1:10" x14ac:dyDescent="0.2">
      <c r="A16249" s="4" t="s">
        <v>1</v>
      </c>
      <c r="B16249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49" s="3" t="str">
        <f>HYPERLINK("https://otsuka-europe-crm.veevavault.com/ui/#object/sent_email__v/VBLZ025E82GD0UP", "SE-000255116")</f>
        <v>SE-000255116</v>
      </c>
      <c r="D16249" s="1">
        <v>45905.726724537039</v>
      </c>
      <c r="E16249" s="2">
        <v>1</v>
      </c>
      <c r="F16249" s="2">
        <v>1</v>
      </c>
      <c r="G16249" s="2">
        <v>1</v>
      </c>
      <c r="H16249" s="1">
        <v>45905.726990740739</v>
      </c>
      <c r="I16249" s="2">
        <v>1</v>
      </c>
      <c r="J16249" s="1">
        <v>45902.524016203701</v>
      </c>
    </row>
    <row r="16250" spans="1:10" x14ac:dyDescent="0.2">
      <c r="A16250" s="4" t="s">
        <v>1</v>
      </c>
      <c r="B16250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50" s="3" t="str">
        <f>HYPERLINK("https://otsuka-europe-crm.veevavault.com/ui/#object/sent_email__v/VBLZ025E82GD0UQ", "SE-000255117")</f>
        <v>SE-000255117</v>
      </c>
      <c r="D16250" s="1">
        <v>45902.56795138889</v>
      </c>
      <c r="E16250" s="2">
        <v>1</v>
      </c>
      <c r="F16250" s="2">
        <v>1</v>
      </c>
      <c r="G16250" s="2">
        <v>0</v>
      </c>
      <c r="H16250" s="1" t="s">
        <v>0</v>
      </c>
      <c r="I16250" s="2">
        <v>0</v>
      </c>
      <c r="J16250" s="1">
        <v>45902.524027777778</v>
      </c>
    </row>
    <row r="16251" spans="1:10" x14ac:dyDescent="0.2">
      <c r="A16251" s="4" t="s">
        <v>1</v>
      </c>
      <c r="B16251" s="3" t="str">
        <f>HYPERLINK("https://otsuka-europe-crm.veevavault.com/ui/#object/approved_document__v/V5OZ025E82R4ALT", "LUP - Video 3 _10 cuestiones para pensar: Enfermedad Renal Cronica - nefro")</f>
        <v>LUP - Video 3 _10 cuestiones para pensar: Enfermedad Renal Cronica - nefro</v>
      </c>
      <c r="C16251" s="3" t="str">
        <f>HYPERLINK("https://otsuka-europe-crm.veevavault.com/ui/#object/sent_email__v/VBLZ025E82GD0UR", "SE-000255118")</f>
        <v>SE-000255118</v>
      </c>
      <c r="D16251" s="1">
        <v>45903.503460648149</v>
      </c>
      <c r="E16251" s="2">
        <v>1</v>
      </c>
      <c r="F16251" s="2">
        <v>4</v>
      </c>
      <c r="G16251" s="2">
        <v>0</v>
      </c>
      <c r="H16251" s="1" t="s">
        <v>0</v>
      </c>
      <c r="I16251" s="2">
        <v>0</v>
      </c>
      <c r="J16251" s="1">
        <v>45902.524039351854</v>
      </c>
    </row>
    <row r="16252" spans="1:10" x14ac:dyDescent="0.2">
      <c r="A16252" s="4" t="s">
        <v>1</v>
      </c>
      <c r="B16252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52" s="3" t="str">
        <f>HYPERLINK("https://otsuka-europe-crm.veevavault.com/ui/#object/sent_email__v/VBLZ025E82GD0PH", "SE-000254976")</f>
        <v>SE-000254976</v>
      </c>
      <c r="D16252" s="1" t="s">
        <v>0</v>
      </c>
      <c r="E16252" s="2">
        <v>0</v>
      </c>
      <c r="F16252" s="2">
        <v>0</v>
      </c>
      <c r="G16252" s="2">
        <v>0</v>
      </c>
      <c r="H16252" s="1" t="s">
        <v>0</v>
      </c>
      <c r="I16252" s="2">
        <v>0</v>
      </c>
      <c r="J16252" s="1">
        <v>45902.522314814814</v>
      </c>
    </row>
    <row r="16253" spans="1:10" x14ac:dyDescent="0.2">
      <c r="A16253" s="4" t="s">
        <v>1</v>
      </c>
      <c r="B16253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53" s="3" t="str">
        <f>HYPERLINK("https://otsuka-europe-crm.veevavault.com/ui/#object/sent_email__v/VBLZ025E82GD0PI", "SE-000254977")</f>
        <v>SE-000254977</v>
      </c>
      <c r="D16253" s="1">
        <v>45905.325277777774</v>
      </c>
      <c r="E16253" s="2">
        <v>1</v>
      </c>
      <c r="F16253" s="2">
        <v>3</v>
      </c>
      <c r="G16253" s="2">
        <v>0</v>
      </c>
      <c r="H16253" s="1" t="s">
        <v>0</v>
      </c>
      <c r="I16253" s="2">
        <v>0</v>
      </c>
      <c r="J16253" s="1">
        <v>45902.522349537037</v>
      </c>
    </row>
    <row r="16254" spans="1:10" x14ac:dyDescent="0.2">
      <c r="A16254" s="4" t="s">
        <v>1</v>
      </c>
      <c r="B16254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54" s="3" t="str">
        <f>HYPERLINK("https://otsuka-europe-crm.veevavault.com/ui/#object/sent_email__v/VBLZ025E82GD0PJ", "SE-000254978")</f>
        <v>SE-000254978</v>
      </c>
      <c r="D16254" s="1" t="s">
        <v>0</v>
      </c>
      <c r="E16254" s="2">
        <v>0</v>
      </c>
      <c r="F16254" s="2">
        <v>0</v>
      </c>
      <c r="G16254" s="2">
        <v>0</v>
      </c>
      <c r="H16254" s="1" t="s">
        <v>0</v>
      </c>
      <c r="I16254" s="2">
        <v>0</v>
      </c>
      <c r="J16254" s="1">
        <v>45902.522337962961</v>
      </c>
    </row>
    <row r="16255" spans="1:10" x14ac:dyDescent="0.2">
      <c r="A16255" s="4" t="s">
        <v>1</v>
      </c>
      <c r="B16255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55" s="3" t="str">
        <f>HYPERLINK("https://otsuka-europe-crm.veevavault.com/ui/#object/sent_email__v/VBLZ025E82GD0PK", "SE-000254979")</f>
        <v>SE-000254979</v>
      </c>
      <c r="D16255" s="1">
        <v>45902.874016203707</v>
      </c>
      <c r="E16255" s="2">
        <v>1</v>
      </c>
      <c r="F16255" s="2">
        <v>2</v>
      </c>
      <c r="G16255" s="2">
        <v>0</v>
      </c>
      <c r="H16255" s="1" t="s">
        <v>0</v>
      </c>
      <c r="I16255" s="2">
        <v>0</v>
      </c>
      <c r="J16255" s="1">
        <v>45902.522372685184</v>
      </c>
    </row>
    <row r="16256" spans="1:10" x14ac:dyDescent="0.2">
      <c r="A16256" s="4" t="s">
        <v>1</v>
      </c>
      <c r="B16256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56" s="3" t="str">
        <f>HYPERLINK("https://otsuka-europe-crm.veevavault.com/ui/#object/sent_email__v/VBLZ025E82GD0PL", "SE-000254980")</f>
        <v>SE-000254980</v>
      </c>
      <c r="D16256" s="1">
        <v>45903.340439814812</v>
      </c>
      <c r="E16256" s="2">
        <v>1</v>
      </c>
      <c r="F16256" s="2">
        <v>1</v>
      </c>
      <c r="G16256" s="2">
        <v>0</v>
      </c>
      <c r="H16256" s="1" t="s">
        <v>0</v>
      </c>
      <c r="I16256" s="2">
        <v>0</v>
      </c>
      <c r="J16256" s="1">
        <v>45902.522349537037</v>
      </c>
    </row>
    <row r="16257" spans="1:10" x14ac:dyDescent="0.2">
      <c r="A16257" s="4" t="s">
        <v>1</v>
      </c>
      <c r="B16257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57" s="3" t="str">
        <f>HYPERLINK("https://otsuka-europe-crm.veevavault.com/ui/#object/sent_email__v/VBLZ025E82GD0PM", "SE-000254981")</f>
        <v>SE-000254981</v>
      </c>
      <c r="D16257" s="1" t="s">
        <v>0</v>
      </c>
      <c r="E16257" s="2">
        <v>0</v>
      </c>
      <c r="F16257" s="2">
        <v>0</v>
      </c>
      <c r="G16257" s="2">
        <v>0</v>
      </c>
      <c r="H16257" s="1" t="s">
        <v>0</v>
      </c>
      <c r="I16257" s="2">
        <v>0</v>
      </c>
      <c r="J16257" s="1">
        <v>45902.522349537037</v>
      </c>
    </row>
    <row r="16258" spans="1:10" x14ac:dyDescent="0.2">
      <c r="A16258" s="4" t="s">
        <v>1</v>
      </c>
      <c r="B16258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58" s="3" t="str">
        <f>HYPERLINK("https://otsuka-europe-crm.veevavault.com/ui/#object/sent_email__v/VBLZ025E82GD0PN", "SE-000254982")</f>
        <v>SE-000254982</v>
      </c>
      <c r="D16258" s="1" t="s">
        <v>0</v>
      </c>
      <c r="E16258" s="2">
        <v>0</v>
      </c>
      <c r="F16258" s="2">
        <v>0</v>
      </c>
      <c r="G16258" s="2">
        <v>0</v>
      </c>
      <c r="H16258" s="1" t="s">
        <v>0</v>
      </c>
      <c r="I16258" s="2">
        <v>0</v>
      </c>
      <c r="J16258" s="1">
        <v>45902.522361111114</v>
      </c>
    </row>
    <row r="16259" spans="1:10" x14ac:dyDescent="0.2">
      <c r="A16259" s="4" t="s">
        <v>1</v>
      </c>
      <c r="B16259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59" s="3" t="str">
        <f>HYPERLINK("https://otsuka-europe-crm.veevavault.com/ui/#object/sent_email__v/VBLZ025E82GD0PO", "SE-000254983")</f>
        <v>SE-000254983</v>
      </c>
      <c r="D16259" s="1" t="s">
        <v>0</v>
      </c>
      <c r="E16259" s="2">
        <v>0</v>
      </c>
      <c r="F16259" s="2">
        <v>0</v>
      </c>
      <c r="G16259" s="2">
        <v>0</v>
      </c>
      <c r="H16259" s="1" t="s">
        <v>0</v>
      </c>
      <c r="I16259" s="2">
        <v>0</v>
      </c>
      <c r="J16259" s="1">
        <v>45902.522361111114</v>
      </c>
    </row>
    <row r="16260" spans="1:10" x14ac:dyDescent="0.2">
      <c r="A16260" s="4" t="s">
        <v>1</v>
      </c>
      <c r="B16260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60" s="3" t="str">
        <f>HYPERLINK("https://otsuka-europe-crm.veevavault.com/ui/#object/sent_email__v/VBLZ025E82GD0PP", "SE-000254984")</f>
        <v>SE-000254984</v>
      </c>
      <c r="D16260" s="1" t="s">
        <v>0</v>
      </c>
      <c r="E16260" s="2">
        <v>0</v>
      </c>
      <c r="F16260" s="2">
        <v>0</v>
      </c>
      <c r="G16260" s="2">
        <v>0</v>
      </c>
      <c r="H16260" s="1" t="s">
        <v>0</v>
      </c>
      <c r="I16260" s="2">
        <v>0</v>
      </c>
      <c r="J16260" s="1">
        <v>45902.522418981483</v>
      </c>
    </row>
    <row r="16261" spans="1:10" x14ac:dyDescent="0.2">
      <c r="A16261" s="4" t="s">
        <v>1</v>
      </c>
      <c r="B16261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61" s="3" t="str">
        <f>HYPERLINK("https://otsuka-europe-crm.veevavault.com/ui/#object/sent_email__v/VBLZ025E82GD0PQ", "SE-000254985")</f>
        <v>SE-000254985</v>
      </c>
      <c r="D16261" s="1">
        <v>45902.799456018518</v>
      </c>
      <c r="E16261" s="2">
        <v>1</v>
      </c>
      <c r="F16261" s="2">
        <v>2</v>
      </c>
      <c r="G16261" s="2">
        <v>0</v>
      </c>
      <c r="H16261" s="1" t="s">
        <v>0</v>
      </c>
      <c r="I16261" s="2">
        <v>0</v>
      </c>
      <c r="J16261" s="1">
        <v>45902.522407407407</v>
      </c>
    </row>
    <row r="16262" spans="1:10" x14ac:dyDescent="0.2">
      <c r="A16262" s="4" t="s">
        <v>1</v>
      </c>
      <c r="B16262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62" s="3" t="str">
        <f>HYPERLINK("https://otsuka-europe-crm.veevavault.com/ui/#object/sent_email__v/VBLZ025E82GD0PR", "SE-000254986")</f>
        <v>SE-000254986</v>
      </c>
      <c r="D16262" s="1" t="s">
        <v>0</v>
      </c>
      <c r="E16262" s="2">
        <v>0</v>
      </c>
      <c r="F16262" s="2">
        <v>0</v>
      </c>
      <c r="G16262" s="2">
        <v>0</v>
      </c>
      <c r="H16262" s="1" t="s">
        <v>0</v>
      </c>
      <c r="I16262" s="2">
        <v>0</v>
      </c>
      <c r="J16262" s="1">
        <v>45902.522407407407</v>
      </c>
    </row>
    <row r="16263" spans="1:10" x14ac:dyDescent="0.2">
      <c r="A16263" s="4" t="s">
        <v>1</v>
      </c>
      <c r="B16263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63" s="3" t="str">
        <f>HYPERLINK("https://otsuka-europe-crm.veevavault.com/ui/#object/sent_email__v/VBLZ025E82GD0PS", "SE-000254987")</f>
        <v>SE-000254987</v>
      </c>
      <c r="D16263" s="1">
        <v>45902.548842592594</v>
      </c>
      <c r="E16263" s="2">
        <v>1</v>
      </c>
      <c r="F16263" s="2">
        <v>1</v>
      </c>
      <c r="G16263" s="2">
        <v>0</v>
      </c>
      <c r="H16263" s="1" t="s">
        <v>0</v>
      </c>
      <c r="I16263" s="2">
        <v>0</v>
      </c>
      <c r="J16263" s="1">
        <v>45902.522418981483</v>
      </c>
    </row>
    <row r="16264" spans="1:10" x14ac:dyDescent="0.2">
      <c r="A16264" s="4" t="s">
        <v>1</v>
      </c>
      <c r="B16264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64" s="3" t="str">
        <f>HYPERLINK("https://otsuka-europe-crm.veevavault.com/ui/#object/sent_email__v/VBLZ025E82GD0PT", "SE-000254988")</f>
        <v>SE-000254988</v>
      </c>
      <c r="D16264" s="1">
        <v>45902.671446759261</v>
      </c>
      <c r="E16264" s="2">
        <v>1</v>
      </c>
      <c r="F16264" s="2">
        <v>3</v>
      </c>
      <c r="G16264" s="2">
        <v>0</v>
      </c>
      <c r="H16264" s="1" t="s">
        <v>0</v>
      </c>
      <c r="I16264" s="2">
        <v>0</v>
      </c>
      <c r="J16264" s="1">
        <v>45902.522418981483</v>
      </c>
    </row>
    <row r="16265" spans="1:10" x14ac:dyDescent="0.2">
      <c r="A16265" s="4" t="s">
        <v>1</v>
      </c>
      <c r="B16265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65" s="3" t="str">
        <f>HYPERLINK("https://otsuka-europe-crm.veevavault.com/ui/#object/sent_email__v/VBLZ025E82GD0PU", "SE-000254989")</f>
        <v>SE-000254989</v>
      </c>
      <c r="D16265" s="1">
        <v>45902.731226851851</v>
      </c>
      <c r="E16265" s="2">
        <v>1</v>
      </c>
      <c r="F16265" s="2">
        <v>1</v>
      </c>
      <c r="G16265" s="2">
        <v>0</v>
      </c>
      <c r="H16265" s="1" t="s">
        <v>0</v>
      </c>
      <c r="I16265" s="2">
        <v>0</v>
      </c>
      <c r="J16265" s="1">
        <v>45902.522430555553</v>
      </c>
    </row>
    <row r="16266" spans="1:10" x14ac:dyDescent="0.2">
      <c r="A16266" s="4" t="s">
        <v>1</v>
      </c>
      <c r="B16266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66" s="3" t="str">
        <f>HYPERLINK("https://otsuka-europe-crm.veevavault.com/ui/#object/sent_email__v/VBLZ025E82GD0PV", "SE-000254990")</f>
        <v>SE-000254990</v>
      </c>
      <c r="D16266" s="1" t="s">
        <v>0</v>
      </c>
      <c r="E16266" s="2">
        <v>0</v>
      </c>
      <c r="F16266" s="2">
        <v>0</v>
      </c>
      <c r="G16266" s="2">
        <v>0</v>
      </c>
      <c r="H16266" s="1" t="s">
        <v>0</v>
      </c>
      <c r="I16266" s="2">
        <v>0</v>
      </c>
      <c r="J16266" s="1">
        <v>45902.522430555553</v>
      </c>
    </row>
    <row r="16267" spans="1:10" x14ac:dyDescent="0.2">
      <c r="A16267" s="4" t="s">
        <v>1</v>
      </c>
      <c r="B16267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67" s="3" t="str">
        <f>HYPERLINK("https://otsuka-europe-crm.veevavault.com/ui/#object/sent_email__v/VBLZ025E82GD0PW", "SE-000254991")</f>
        <v>SE-000254991</v>
      </c>
      <c r="D16267" s="1">
        <v>45903.912268518521</v>
      </c>
      <c r="E16267" s="2">
        <v>1</v>
      </c>
      <c r="F16267" s="2">
        <v>2</v>
      </c>
      <c r="G16267" s="2">
        <v>0</v>
      </c>
      <c r="H16267" s="1" t="s">
        <v>0</v>
      </c>
      <c r="I16267" s="2">
        <v>0</v>
      </c>
      <c r="J16267" s="1">
        <v>45902.52244212963</v>
      </c>
    </row>
    <row r="16268" spans="1:10" x14ac:dyDescent="0.2">
      <c r="A16268" s="4" t="s">
        <v>1</v>
      </c>
      <c r="B16268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68" s="3" t="str">
        <f>HYPERLINK("https://otsuka-europe-crm.veevavault.com/ui/#object/sent_email__v/VBLZ025E82GD0PX", "SE-000254992")</f>
        <v>SE-000254992</v>
      </c>
      <c r="D16268" s="1" t="s">
        <v>0</v>
      </c>
      <c r="E16268" s="2">
        <v>0</v>
      </c>
      <c r="F16268" s="2">
        <v>0</v>
      </c>
      <c r="G16268" s="2">
        <v>0</v>
      </c>
      <c r="H16268" s="1" t="s">
        <v>0</v>
      </c>
      <c r="I16268" s="2">
        <v>0</v>
      </c>
      <c r="J16268" s="1">
        <v>45902.522453703707</v>
      </c>
    </row>
    <row r="16269" spans="1:10" x14ac:dyDescent="0.2">
      <c r="A16269" s="4" t="s">
        <v>1</v>
      </c>
      <c r="B16269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69" s="3" t="str">
        <f>HYPERLINK("https://otsuka-europe-crm.veevavault.com/ui/#object/sent_email__v/VBLZ025E82GD0PY", "SE-000254993")</f>
        <v>SE-000254993</v>
      </c>
      <c r="D16269" s="1" t="s">
        <v>0</v>
      </c>
      <c r="E16269" s="2">
        <v>0</v>
      </c>
      <c r="F16269" s="2">
        <v>0</v>
      </c>
      <c r="G16269" s="2">
        <v>0</v>
      </c>
      <c r="H16269" s="1" t="s">
        <v>0</v>
      </c>
      <c r="I16269" s="2">
        <v>0</v>
      </c>
      <c r="J16269" s="1">
        <v>45902.522488425922</v>
      </c>
    </row>
    <row r="16270" spans="1:10" x14ac:dyDescent="0.2">
      <c r="A16270" s="4" t="s">
        <v>1</v>
      </c>
      <c r="B16270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70" s="3" t="str">
        <f>HYPERLINK("https://otsuka-europe-crm.veevavault.com/ui/#object/sent_email__v/VBLZ025E82GD0PZ", "SE-000254994")</f>
        <v>SE-000254994</v>
      </c>
      <c r="D16270" s="1" t="s">
        <v>0</v>
      </c>
      <c r="E16270" s="2">
        <v>0</v>
      </c>
      <c r="F16270" s="2">
        <v>0</v>
      </c>
      <c r="G16270" s="2">
        <v>0</v>
      </c>
      <c r="H16270" s="1" t="s">
        <v>0</v>
      </c>
      <c r="I16270" s="2">
        <v>0</v>
      </c>
      <c r="J16270" s="1">
        <v>45902.522488425922</v>
      </c>
    </row>
    <row r="16271" spans="1:10" x14ac:dyDescent="0.2">
      <c r="A16271" s="4" t="s">
        <v>1</v>
      </c>
      <c r="B16271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71" s="3" t="str">
        <f>HYPERLINK("https://otsuka-europe-crm.veevavault.com/ui/#object/sent_email__v/VBLZ025E82GD0Q0", "SE-000254995")</f>
        <v>SE-000254995</v>
      </c>
      <c r="D16271" s="1">
        <v>45933.724282407406</v>
      </c>
      <c r="E16271" s="2">
        <v>1</v>
      </c>
      <c r="F16271" s="2">
        <v>1</v>
      </c>
      <c r="G16271" s="2">
        <v>0</v>
      </c>
      <c r="H16271" s="1" t="s">
        <v>0</v>
      </c>
      <c r="I16271" s="2">
        <v>0</v>
      </c>
      <c r="J16271" s="1">
        <v>45902.522511574076</v>
      </c>
    </row>
    <row r="16272" spans="1:10" x14ac:dyDescent="0.2">
      <c r="A16272" s="4" t="s">
        <v>1</v>
      </c>
      <c r="B16272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72" s="3" t="str">
        <f>HYPERLINK("https://otsuka-europe-crm.veevavault.com/ui/#object/sent_email__v/VBLZ025E82GD0Q1", "SE-000254996")</f>
        <v>SE-000254996</v>
      </c>
      <c r="D16272" s="1" t="s">
        <v>0</v>
      </c>
      <c r="E16272" s="2">
        <v>0</v>
      </c>
      <c r="F16272" s="2">
        <v>0</v>
      </c>
      <c r="G16272" s="2">
        <v>0</v>
      </c>
      <c r="H16272" s="1" t="s">
        <v>0</v>
      </c>
      <c r="I16272" s="2">
        <v>0</v>
      </c>
      <c r="J16272" s="1">
        <v>45902.522488425922</v>
      </c>
    </row>
    <row r="16273" spans="1:10" x14ac:dyDescent="0.2">
      <c r="A16273" s="4" t="s">
        <v>1</v>
      </c>
      <c r="B16273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73" s="3" t="str">
        <f>HYPERLINK("https://otsuka-europe-crm.veevavault.com/ui/#object/sent_email__v/VBLZ025E82GD0Q2", "SE-000254997")</f>
        <v>SE-000254997</v>
      </c>
      <c r="D16273" s="1" t="s">
        <v>0</v>
      </c>
      <c r="E16273" s="2">
        <v>0</v>
      </c>
      <c r="F16273" s="2">
        <v>0</v>
      </c>
      <c r="G16273" s="2">
        <v>0</v>
      </c>
      <c r="H16273" s="1" t="s">
        <v>0</v>
      </c>
      <c r="I16273" s="2">
        <v>0</v>
      </c>
      <c r="J16273" s="1">
        <v>45902.522499999999</v>
      </c>
    </row>
    <row r="16274" spans="1:10" x14ac:dyDescent="0.2">
      <c r="A16274" s="4" t="s">
        <v>1</v>
      </c>
      <c r="B16274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74" s="3" t="str">
        <f>HYPERLINK("https://otsuka-europe-crm.veevavault.com/ui/#object/sent_email__v/VBLZ025E82GD0Q3", "SE-000254998")</f>
        <v>SE-000254998</v>
      </c>
      <c r="D16274" s="1" t="s">
        <v>0</v>
      </c>
      <c r="E16274" s="2">
        <v>0</v>
      </c>
      <c r="F16274" s="2">
        <v>0</v>
      </c>
      <c r="G16274" s="2">
        <v>0</v>
      </c>
      <c r="H16274" s="1" t="s">
        <v>0</v>
      </c>
      <c r="I16274" s="2">
        <v>0</v>
      </c>
      <c r="J16274" s="1">
        <v>45902.522511574076</v>
      </c>
    </row>
    <row r="16275" spans="1:10" x14ac:dyDescent="0.2">
      <c r="A16275" s="4" t="s">
        <v>1</v>
      </c>
      <c r="B16275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75" s="3" t="str">
        <f>HYPERLINK("https://otsuka-europe-crm.veevavault.com/ui/#object/sent_email__v/VBLZ025E82GD0Q4", "SE-000254999")</f>
        <v>SE-000254999</v>
      </c>
      <c r="D16275" s="1" t="s">
        <v>0</v>
      </c>
      <c r="E16275" s="2">
        <v>0</v>
      </c>
      <c r="F16275" s="2">
        <v>0</v>
      </c>
      <c r="G16275" s="2">
        <v>0</v>
      </c>
      <c r="H16275" s="1" t="s">
        <v>0</v>
      </c>
      <c r="I16275" s="2">
        <v>0</v>
      </c>
      <c r="J16275" s="1">
        <v>45902.522523148145</v>
      </c>
    </row>
    <row r="16276" spans="1:10" x14ac:dyDescent="0.2">
      <c r="A16276" s="4" t="s">
        <v>1</v>
      </c>
      <c r="B16276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76" s="3" t="str">
        <f>HYPERLINK("https://otsuka-europe-crm.veevavault.com/ui/#object/sent_email__v/VBLZ025E82GD0Q5", "SE-000255000")</f>
        <v>SE-000255000</v>
      </c>
      <c r="D16276" s="1" t="s">
        <v>0</v>
      </c>
      <c r="E16276" s="2">
        <v>0</v>
      </c>
      <c r="F16276" s="2">
        <v>0</v>
      </c>
      <c r="G16276" s="2">
        <v>0</v>
      </c>
      <c r="H16276" s="1" t="s">
        <v>0</v>
      </c>
      <c r="I16276" s="2">
        <v>0</v>
      </c>
      <c r="J16276" s="1">
        <v>45902.522534722222</v>
      </c>
    </row>
    <row r="16277" spans="1:10" x14ac:dyDescent="0.2">
      <c r="A16277" s="4" t="s">
        <v>1</v>
      </c>
      <c r="B16277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77" s="3" t="str">
        <f>HYPERLINK("https://otsuka-europe-crm.veevavault.com/ui/#object/sent_email__v/VBLZ025E82GD0Q6", "SE-000255001")</f>
        <v>SE-000255001</v>
      </c>
      <c r="D16277" s="1" t="s">
        <v>0</v>
      </c>
      <c r="E16277" s="2">
        <v>0</v>
      </c>
      <c r="F16277" s="2">
        <v>0</v>
      </c>
      <c r="G16277" s="2">
        <v>0</v>
      </c>
      <c r="H16277" s="1" t="s">
        <v>0</v>
      </c>
      <c r="I16277" s="2">
        <v>0</v>
      </c>
      <c r="J16277" s="1">
        <v>45902.522534722222</v>
      </c>
    </row>
    <row r="16278" spans="1:10" x14ac:dyDescent="0.2">
      <c r="A16278" s="4" t="s">
        <v>1</v>
      </c>
      <c r="B16278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78" s="3" t="str">
        <f>HYPERLINK("https://otsuka-europe-crm.veevavault.com/ui/#object/sent_email__v/VBLZ025E82GD0Q7", "SE-000255002")</f>
        <v>SE-000255002</v>
      </c>
      <c r="D16278" s="1" t="s">
        <v>0</v>
      </c>
      <c r="E16278" s="2">
        <v>0</v>
      </c>
      <c r="F16278" s="2">
        <v>0</v>
      </c>
      <c r="G16278" s="2">
        <v>0</v>
      </c>
      <c r="H16278" s="1" t="s">
        <v>0</v>
      </c>
      <c r="I16278" s="2">
        <v>0</v>
      </c>
      <c r="J16278" s="1">
        <v>45902.522546296299</v>
      </c>
    </row>
    <row r="16279" spans="1:10" x14ac:dyDescent="0.2">
      <c r="A16279" s="4" t="s">
        <v>1</v>
      </c>
      <c r="B16279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79" s="3" t="str">
        <f>HYPERLINK("https://otsuka-europe-crm.veevavault.com/ui/#object/sent_email__v/VBLZ025E82GD0Q8", "SE-000255003")</f>
        <v>SE-000255003</v>
      </c>
      <c r="D16279" s="1" t="s">
        <v>0</v>
      </c>
      <c r="E16279" s="2">
        <v>0</v>
      </c>
      <c r="F16279" s="2">
        <v>0</v>
      </c>
      <c r="G16279" s="2">
        <v>0</v>
      </c>
      <c r="H16279" s="1" t="s">
        <v>0</v>
      </c>
      <c r="I16279" s="2">
        <v>0</v>
      </c>
      <c r="J16279" s="1">
        <v>45902.522557870368</v>
      </c>
    </row>
    <row r="16280" spans="1:10" x14ac:dyDescent="0.2">
      <c r="A16280" s="4" t="s">
        <v>1</v>
      </c>
      <c r="B16280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80" s="3" t="str">
        <f>HYPERLINK("https://otsuka-europe-crm.veevavault.com/ui/#object/sent_email__v/VBLZ025E82GD0Q9", "SE-000255004")</f>
        <v>SE-000255004</v>
      </c>
      <c r="D16280" s="1">
        <v>45903.658668981479</v>
      </c>
      <c r="E16280" s="2">
        <v>1</v>
      </c>
      <c r="F16280" s="2">
        <v>2</v>
      </c>
      <c r="G16280" s="2">
        <v>0</v>
      </c>
      <c r="H16280" s="1" t="s">
        <v>0</v>
      </c>
      <c r="I16280" s="2">
        <v>0</v>
      </c>
      <c r="J16280" s="1">
        <v>45902.522569444445</v>
      </c>
    </row>
    <row r="16281" spans="1:10" x14ac:dyDescent="0.2">
      <c r="A16281" s="4" t="s">
        <v>1</v>
      </c>
      <c r="B16281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81" s="3" t="str">
        <f>HYPERLINK("https://otsuka-europe-crm.veevavault.com/ui/#object/sent_email__v/VBLZ025E82GD0QA", "SE-000255005")</f>
        <v>SE-000255005</v>
      </c>
      <c r="D16281" s="1" t="s">
        <v>0</v>
      </c>
      <c r="E16281" s="2">
        <v>0</v>
      </c>
      <c r="F16281" s="2">
        <v>0</v>
      </c>
      <c r="G16281" s="2">
        <v>0</v>
      </c>
      <c r="H16281" s="1" t="s">
        <v>0</v>
      </c>
      <c r="I16281" s="2">
        <v>0</v>
      </c>
      <c r="J16281" s="1">
        <v>45902.522581018522</v>
      </c>
    </row>
    <row r="16282" spans="1:10" x14ac:dyDescent="0.2">
      <c r="A16282" s="4" t="s">
        <v>1</v>
      </c>
      <c r="B16282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82" s="3" t="str">
        <f>HYPERLINK("https://otsuka-europe-crm.veevavault.com/ui/#object/sent_email__v/VBLZ025E82GD0QB", "SE-000255006")</f>
        <v>SE-000255006</v>
      </c>
      <c r="D16282" s="1">
        <v>45902.850868055553</v>
      </c>
      <c r="E16282" s="2">
        <v>1</v>
      </c>
      <c r="F16282" s="2">
        <v>2</v>
      </c>
      <c r="G16282" s="2">
        <v>0</v>
      </c>
      <c r="H16282" s="1" t="s">
        <v>0</v>
      </c>
      <c r="I16282" s="2">
        <v>0</v>
      </c>
      <c r="J16282" s="1">
        <v>45902.522592592592</v>
      </c>
    </row>
    <row r="16283" spans="1:10" x14ac:dyDescent="0.2">
      <c r="A16283" s="4" t="s">
        <v>1</v>
      </c>
      <c r="B16283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83" s="3" t="str">
        <f>HYPERLINK("https://otsuka-europe-crm.veevavault.com/ui/#object/sent_email__v/VBLZ025E82GD0QC", "SE-000255007")</f>
        <v>SE-000255007</v>
      </c>
      <c r="D16283" s="1" t="s">
        <v>0</v>
      </c>
      <c r="E16283" s="2">
        <v>0</v>
      </c>
      <c r="F16283" s="2">
        <v>0</v>
      </c>
      <c r="G16283" s="2">
        <v>0</v>
      </c>
      <c r="H16283" s="1" t="s">
        <v>0</v>
      </c>
      <c r="I16283" s="2">
        <v>0</v>
      </c>
      <c r="J16283" s="1">
        <v>45902.522592592592</v>
      </c>
    </row>
    <row r="16284" spans="1:10" x14ac:dyDescent="0.2">
      <c r="A16284" s="4" t="s">
        <v>1</v>
      </c>
      <c r="B16284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84" s="3" t="str">
        <f>HYPERLINK("https://otsuka-europe-crm.veevavault.com/ui/#object/sent_email__v/VBLZ025E82GD0QD", "SE-000255008")</f>
        <v>SE-000255008</v>
      </c>
      <c r="D16284" s="1">
        <v>45902.936932870369</v>
      </c>
      <c r="E16284" s="2">
        <v>1</v>
      </c>
      <c r="F16284" s="2">
        <v>1</v>
      </c>
      <c r="G16284" s="2">
        <v>0</v>
      </c>
      <c r="H16284" s="1" t="s">
        <v>0</v>
      </c>
      <c r="I16284" s="2">
        <v>0</v>
      </c>
      <c r="J16284" s="1">
        <v>45902.522604166668</v>
      </c>
    </row>
    <row r="16285" spans="1:10" x14ac:dyDescent="0.2">
      <c r="A16285" s="4" t="s">
        <v>1</v>
      </c>
      <c r="B16285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85" s="3" t="str">
        <f>HYPERLINK("https://otsuka-europe-crm.veevavault.com/ui/#object/sent_email__v/VBLZ025E82GD0QE", "SE-000255009")</f>
        <v>SE-000255009</v>
      </c>
      <c r="D16285" s="1">
        <v>45902.524050925924</v>
      </c>
      <c r="E16285" s="2">
        <v>1</v>
      </c>
      <c r="F16285" s="2">
        <v>1</v>
      </c>
      <c r="G16285" s="2">
        <v>0</v>
      </c>
      <c r="H16285" s="1" t="s">
        <v>0</v>
      </c>
      <c r="I16285" s="2">
        <v>0</v>
      </c>
      <c r="J16285" s="1">
        <v>45902.522615740738</v>
      </c>
    </row>
    <row r="16286" spans="1:10" x14ac:dyDescent="0.2">
      <c r="A16286" s="4" t="s">
        <v>1</v>
      </c>
      <c r="B16286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86" s="3" t="str">
        <f>HYPERLINK("https://otsuka-europe-crm.veevavault.com/ui/#object/sent_email__v/VBLZ025E82GD0QF", "SE-000255010")</f>
        <v>SE-000255010</v>
      </c>
      <c r="D16286" s="1" t="s">
        <v>0</v>
      </c>
      <c r="E16286" s="2">
        <v>0</v>
      </c>
      <c r="F16286" s="2">
        <v>0</v>
      </c>
      <c r="G16286" s="2">
        <v>0</v>
      </c>
      <c r="H16286" s="1" t="s">
        <v>0</v>
      </c>
      <c r="I16286" s="2">
        <v>0</v>
      </c>
      <c r="J16286" s="1">
        <v>45902.522627314815</v>
      </c>
    </row>
    <row r="16287" spans="1:10" x14ac:dyDescent="0.2">
      <c r="A16287" s="4" t="s">
        <v>1</v>
      </c>
      <c r="B16287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87" s="3" t="str">
        <f>HYPERLINK("https://otsuka-europe-crm.veevavault.com/ui/#object/sent_email__v/VBLZ025E82GD0QG", "SE-000255011")</f>
        <v>SE-000255011</v>
      </c>
      <c r="D16287" s="1">
        <v>45929.990972222222</v>
      </c>
      <c r="E16287" s="2">
        <v>1</v>
      </c>
      <c r="F16287" s="2">
        <v>2</v>
      </c>
      <c r="G16287" s="2">
        <v>0</v>
      </c>
      <c r="H16287" s="1" t="s">
        <v>0</v>
      </c>
      <c r="I16287" s="2">
        <v>0</v>
      </c>
      <c r="J16287" s="1">
        <v>45902.522638888891</v>
      </c>
    </row>
    <row r="16288" spans="1:10" x14ac:dyDescent="0.2">
      <c r="A16288" s="4" t="s">
        <v>1</v>
      </c>
      <c r="B16288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88" s="3" t="str">
        <f>HYPERLINK("https://otsuka-europe-crm.veevavault.com/ui/#object/sent_email__v/VBLZ025E82GD0QH", "SE-000255012")</f>
        <v>SE-000255012</v>
      </c>
      <c r="D16288" s="1" t="s">
        <v>0</v>
      </c>
      <c r="E16288" s="2">
        <v>0</v>
      </c>
      <c r="F16288" s="2">
        <v>0</v>
      </c>
      <c r="G16288" s="2">
        <v>0</v>
      </c>
      <c r="H16288" s="1" t="s">
        <v>0</v>
      </c>
      <c r="I16288" s="2">
        <v>0</v>
      </c>
      <c r="J16288" s="1">
        <v>45902.522650462961</v>
      </c>
    </row>
    <row r="16289" spans="1:10" x14ac:dyDescent="0.2">
      <c r="A16289" s="4" t="s">
        <v>1</v>
      </c>
      <c r="B16289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89" s="3" t="str">
        <f>HYPERLINK("https://otsuka-europe-crm.veevavault.com/ui/#object/sent_email__v/VBLZ025E82GD0QI", "SE-000255013")</f>
        <v>SE-000255013</v>
      </c>
      <c r="D16289" s="1">
        <v>45903.962210648147</v>
      </c>
      <c r="E16289" s="2">
        <v>1</v>
      </c>
      <c r="F16289" s="2">
        <v>1</v>
      </c>
      <c r="G16289" s="2">
        <v>0</v>
      </c>
      <c r="H16289" s="1" t="s">
        <v>0</v>
      </c>
      <c r="I16289" s="2">
        <v>0</v>
      </c>
      <c r="J16289" s="1">
        <v>45902.522650462961</v>
      </c>
    </row>
    <row r="16290" spans="1:10" x14ac:dyDescent="0.2">
      <c r="A16290" s="4" t="s">
        <v>1</v>
      </c>
      <c r="B16290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90" s="3" t="str">
        <f>HYPERLINK("https://otsuka-europe-crm.veevavault.com/ui/#object/sent_email__v/VBLZ025E82GD0QJ", "SE-000255014")</f>
        <v>SE-000255014</v>
      </c>
      <c r="D16290" s="1">
        <v>45902.523020833331</v>
      </c>
      <c r="E16290" s="2">
        <v>1</v>
      </c>
      <c r="F16290" s="2">
        <v>1</v>
      </c>
      <c r="G16290" s="2">
        <v>0</v>
      </c>
      <c r="H16290" s="1" t="s">
        <v>0</v>
      </c>
      <c r="I16290" s="2">
        <v>0</v>
      </c>
      <c r="J16290" s="1">
        <v>45902.522662037038</v>
      </c>
    </row>
    <row r="16291" spans="1:10" x14ac:dyDescent="0.2">
      <c r="A16291" s="4" t="s">
        <v>1</v>
      </c>
      <c r="B16291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91" s="3" t="str">
        <f>HYPERLINK("https://otsuka-europe-crm.veevavault.com/ui/#object/sent_email__v/VBLZ025E82GD0QK", "SE-000255015")</f>
        <v>SE-000255015</v>
      </c>
      <c r="D16291" s="1">
        <v>45907.956736111111</v>
      </c>
      <c r="E16291" s="2">
        <v>1</v>
      </c>
      <c r="F16291" s="2">
        <v>2</v>
      </c>
      <c r="G16291" s="2">
        <v>0</v>
      </c>
      <c r="H16291" s="1" t="s">
        <v>0</v>
      </c>
      <c r="I16291" s="2">
        <v>0</v>
      </c>
      <c r="J16291" s="1">
        <v>45902.522662037038</v>
      </c>
    </row>
    <row r="16292" spans="1:10" x14ac:dyDescent="0.2">
      <c r="A16292" s="4" t="s">
        <v>1</v>
      </c>
      <c r="B16292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92" s="3" t="str">
        <f>HYPERLINK("https://otsuka-europe-crm.veevavault.com/ui/#object/sent_email__v/VBLZ025E82GD0QL", "SE-000255016")</f>
        <v>SE-000255016</v>
      </c>
      <c r="D16292" s="1" t="s">
        <v>0</v>
      </c>
      <c r="E16292" s="2">
        <v>0</v>
      </c>
      <c r="F16292" s="2">
        <v>0</v>
      </c>
      <c r="G16292" s="2">
        <v>0</v>
      </c>
      <c r="H16292" s="1" t="s">
        <v>0</v>
      </c>
      <c r="I16292" s="2">
        <v>0</v>
      </c>
      <c r="J16292" s="1">
        <v>45902.522696759261</v>
      </c>
    </row>
    <row r="16293" spans="1:10" x14ac:dyDescent="0.2">
      <c r="A16293" s="4" t="s">
        <v>1</v>
      </c>
      <c r="B16293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93" s="3" t="str">
        <f>HYPERLINK("https://otsuka-europe-crm.veevavault.com/ui/#object/sent_email__v/VBLZ025E82GD0QM", "SE-000255017")</f>
        <v>SE-000255017</v>
      </c>
      <c r="D16293" s="1" t="s">
        <v>0</v>
      </c>
      <c r="E16293" s="2">
        <v>0</v>
      </c>
      <c r="F16293" s="2">
        <v>0</v>
      </c>
      <c r="G16293" s="2">
        <v>0</v>
      </c>
      <c r="H16293" s="1" t="s">
        <v>0</v>
      </c>
      <c r="I16293" s="2">
        <v>0</v>
      </c>
      <c r="J16293" s="1">
        <v>45902.522685185184</v>
      </c>
    </row>
    <row r="16294" spans="1:10" x14ac:dyDescent="0.2">
      <c r="A16294" s="4" t="s">
        <v>1</v>
      </c>
      <c r="B16294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94" s="3" t="str">
        <f>HYPERLINK("https://otsuka-europe-crm.veevavault.com/ui/#object/sent_email__v/VBLZ025E82GD0QN", "SE-000255018")</f>
        <v>SE-000255018</v>
      </c>
      <c r="D16294" s="1">
        <v>45916.4840625</v>
      </c>
      <c r="E16294" s="2">
        <v>1</v>
      </c>
      <c r="F16294" s="2">
        <v>2</v>
      </c>
      <c r="G16294" s="2">
        <v>1</v>
      </c>
      <c r="H16294" s="1">
        <v>45916.484409722223</v>
      </c>
      <c r="I16294" s="2">
        <v>1</v>
      </c>
      <c r="J16294" s="1">
        <v>45902.522696759261</v>
      </c>
    </row>
    <row r="16295" spans="1:10" x14ac:dyDescent="0.2">
      <c r="A16295" s="4" t="s">
        <v>1</v>
      </c>
      <c r="B16295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95" s="3" t="str">
        <f>HYPERLINK("https://otsuka-europe-crm.veevavault.com/ui/#object/sent_email__v/VBLZ025E82GD0QO", "SE-000255019")</f>
        <v>SE-000255019</v>
      </c>
      <c r="D16295" s="1" t="s">
        <v>0</v>
      </c>
      <c r="E16295" s="2">
        <v>0</v>
      </c>
      <c r="F16295" s="2">
        <v>0</v>
      </c>
      <c r="G16295" s="2">
        <v>0</v>
      </c>
      <c r="H16295" s="1" t="s">
        <v>0</v>
      </c>
      <c r="I16295" s="2">
        <v>0</v>
      </c>
      <c r="J16295" s="1">
        <v>45902.52270833333</v>
      </c>
    </row>
    <row r="16296" spans="1:10" x14ac:dyDescent="0.2">
      <c r="A16296" s="4" t="s">
        <v>1</v>
      </c>
      <c r="B16296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96" s="3" t="str">
        <f>HYPERLINK("https://otsuka-europe-crm.veevavault.com/ui/#object/sent_email__v/VBLZ025E82GD0QP", "SE-000255020")</f>
        <v>SE-000255020</v>
      </c>
      <c r="D16296" s="1">
        <v>45922.807719907411</v>
      </c>
      <c r="E16296" s="2">
        <v>1</v>
      </c>
      <c r="F16296" s="2">
        <v>5</v>
      </c>
      <c r="G16296" s="2">
        <v>0</v>
      </c>
      <c r="H16296" s="1" t="s">
        <v>0</v>
      </c>
      <c r="I16296" s="2">
        <v>0</v>
      </c>
      <c r="J16296" s="1">
        <v>45902.52270833333</v>
      </c>
    </row>
    <row r="16297" spans="1:10" x14ac:dyDescent="0.2">
      <c r="A16297" s="4" t="s">
        <v>1</v>
      </c>
      <c r="B16297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97" s="3" t="str">
        <f>HYPERLINK("https://otsuka-europe-crm.veevavault.com/ui/#object/sent_email__v/VBLZ025E82GD0QQ", "SE-000255021")</f>
        <v>SE-000255021</v>
      </c>
      <c r="D16297" s="1" t="s">
        <v>0</v>
      </c>
      <c r="E16297" s="2">
        <v>0</v>
      </c>
      <c r="F16297" s="2">
        <v>0</v>
      </c>
      <c r="G16297" s="2">
        <v>0</v>
      </c>
      <c r="H16297" s="1" t="s">
        <v>0</v>
      </c>
      <c r="I16297" s="2">
        <v>0</v>
      </c>
      <c r="J16297" s="1">
        <v>45902.522719907407</v>
      </c>
    </row>
    <row r="16298" spans="1:10" x14ac:dyDescent="0.2">
      <c r="A16298" s="4" t="s">
        <v>1</v>
      </c>
      <c r="B16298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98" s="3" t="str">
        <f>HYPERLINK("https://otsuka-europe-crm.veevavault.com/ui/#object/sent_email__v/VBLZ025E82GD0QR", "SE-000255022")</f>
        <v>SE-000255022</v>
      </c>
      <c r="D16298" s="1" t="s">
        <v>0</v>
      </c>
      <c r="E16298" s="2">
        <v>0</v>
      </c>
      <c r="F16298" s="2">
        <v>0</v>
      </c>
      <c r="G16298" s="2">
        <v>0</v>
      </c>
      <c r="H16298" s="1" t="s">
        <v>0</v>
      </c>
      <c r="I16298" s="2">
        <v>0</v>
      </c>
      <c r="J16298" s="1">
        <v>45902.522731481484</v>
      </c>
    </row>
    <row r="16299" spans="1:10" x14ac:dyDescent="0.2">
      <c r="A16299" s="4" t="s">
        <v>1</v>
      </c>
      <c r="B16299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299" s="3" t="str">
        <f>HYPERLINK("https://otsuka-europe-crm.veevavault.com/ui/#object/sent_email__v/VBLZ025E82GD0QS", "SE-000255023")</f>
        <v>SE-000255023</v>
      </c>
      <c r="D16299" s="1" t="s">
        <v>0</v>
      </c>
      <c r="E16299" s="2">
        <v>0</v>
      </c>
      <c r="F16299" s="2">
        <v>0</v>
      </c>
      <c r="G16299" s="2">
        <v>0</v>
      </c>
      <c r="H16299" s="1" t="s">
        <v>0</v>
      </c>
      <c r="I16299" s="2">
        <v>0</v>
      </c>
      <c r="J16299" s="1">
        <v>45902.522743055553</v>
      </c>
    </row>
    <row r="16300" spans="1:10" x14ac:dyDescent="0.2">
      <c r="A16300" s="4" t="s">
        <v>1</v>
      </c>
      <c r="B16300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300" s="3" t="str">
        <f>HYPERLINK("https://otsuka-europe-crm.veevavault.com/ui/#object/sent_email__v/VBLZ025E82GD0QT", "SE-000255024")</f>
        <v>SE-000255024</v>
      </c>
      <c r="D16300" s="1" t="s">
        <v>0</v>
      </c>
      <c r="E16300" s="2">
        <v>0</v>
      </c>
      <c r="F16300" s="2">
        <v>0</v>
      </c>
      <c r="G16300" s="2">
        <v>0</v>
      </c>
      <c r="H16300" s="1" t="s">
        <v>0</v>
      </c>
      <c r="I16300" s="2">
        <v>0</v>
      </c>
      <c r="J16300" s="1">
        <v>45902.52275462963</v>
      </c>
    </row>
    <row r="16301" spans="1:10" x14ac:dyDescent="0.2">
      <c r="A16301" s="4" t="s">
        <v>1</v>
      </c>
      <c r="B16301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301" s="3" t="str">
        <f>HYPERLINK("https://otsuka-europe-crm.veevavault.com/ui/#object/sent_email__v/VBLZ025E82GD0QU", "SE-000255025")</f>
        <v>SE-000255025</v>
      </c>
      <c r="D16301" s="1">
        <v>45902.539178240739</v>
      </c>
      <c r="E16301" s="2">
        <v>1</v>
      </c>
      <c r="F16301" s="2">
        <v>1</v>
      </c>
      <c r="G16301" s="2">
        <v>0</v>
      </c>
      <c r="H16301" s="1" t="s">
        <v>0</v>
      </c>
      <c r="I16301" s="2">
        <v>0</v>
      </c>
      <c r="J16301" s="1">
        <v>45902.522766203707</v>
      </c>
    </row>
    <row r="16302" spans="1:10" x14ac:dyDescent="0.2">
      <c r="A16302" s="4" t="s">
        <v>1</v>
      </c>
      <c r="B16302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302" s="3" t="str">
        <f>HYPERLINK("https://otsuka-europe-crm.veevavault.com/ui/#object/sent_email__v/VBLZ025E82GD0QV", "SE-000255026")</f>
        <v>SE-000255026</v>
      </c>
      <c r="D16302" s="1" t="s">
        <v>0</v>
      </c>
      <c r="E16302" s="2">
        <v>0</v>
      </c>
      <c r="F16302" s="2">
        <v>0</v>
      </c>
      <c r="G16302" s="2">
        <v>0</v>
      </c>
      <c r="H16302" s="1" t="s">
        <v>0</v>
      </c>
      <c r="I16302" s="2">
        <v>0</v>
      </c>
      <c r="J16302" s="1">
        <v>45902.522777777776</v>
      </c>
    </row>
    <row r="16303" spans="1:10" x14ac:dyDescent="0.2">
      <c r="A16303" s="4" t="s">
        <v>1</v>
      </c>
      <c r="B16303" s="3" t="str">
        <f>HYPERLINK("https://otsuka-europe-crm.veevavault.com/ui/#object/approved_document__v/V5OZ025E82R4BLX", "LUP - Video 3 _10 cuestiones para pensar: Enfermedad Renal Cronica - reuma")</f>
        <v>LUP - Video 3 _10 cuestiones para pensar: Enfermedad Renal Cronica - reuma</v>
      </c>
      <c r="C16303" s="3" t="str">
        <f>HYPERLINK("https://otsuka-europe-crm.veevavault.com/ui/#object/sent_email__v/VBLZ025E82GD0QW", "SE-000255027")</f>
        <v>SE-000255027</v>
      </c>
      <c r="D16303" s="1">
        <v>45902.878506944442</v>
      </c>
      <c r="E16303" s="2">
        <v>1</v>
      </c>
      <c r="F16303" s="2">
        <v>1</v>
      </c>
      <c r="G16303" s="2">
        <v>0</v>
      </c>
      <c r="H16303" s="1" t="s">
        <v>0</v>
      </c>
      <c r="I16303" s="2">
        <v>0</v>
      </c>
      <c r="J16303" s="1">
        <v>45902.522789351853</v>
      </c>
    </row>
    <row r="16304" spans="1:10" x14ac:dyDescent="0.2">
      <c r="A16304" s="4" t="s">
        <v>1</v>
      </c>
      <c r="B16304" s="3" t="str">
        <f>HYPERLINK("https://otsuka-europe-crm.veevavault.com/ui/#object/approved_document__v/V5O00000000J011", "LUP - Video 8 10 cuestiones - Glucocorticoides_nefro")</f>
        <v>LUP - Video 8 10 cuestiones - Glucocorticoides_nefro</v>
      </c>
      <c r="C16304" s="3" t="str">
        <f>HYPERLINK("https://otsuka-europe-crm.veevavault.com/ui/#object/sent_email__v/VBL000000012963", "SE-001399948")</f>
        <v>SE-001399948</v>
      </c>
      <c r="D16304" s="1" t="s">
        <v>0</v>
      </c>
      <c r="E16304" s="2">
        <v>0</v>
      </c>
      <c r="F16304" s="2">
        <v>0</v>
      </c>
      <c r="G16304" s="2">
        <v>0</v>
      </c>
      <c r="H16304" s="1" t="s">
        <v>0</v>
      </c>
      <c r="I16304" s="2">
        <v>0</v>
      </c>
      <c r="J16304" s="1">
        <v>46037.579571759263</v>
      </c>
    </row>
    <row r="16305" spans="1:10" x14ac:dyDescent="0.2">
      <c r="A16305" s="4" t="s">
        <v>1</v>
      </c>
      <c r="B1630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05" s="3" t="str">
        <f>HYPERLINK("https://otsuka-europe-crm.veevavault.com/ui/#object/sent_email__v/VBL000000014185", "SE-001399965")</f>
        <v>SE-001399965</v>
      </c>
      <c r="D16305" s="1" t="s">
        <v>0</v>
      </c>
      <c r="E16305" s="2">
        <v>0</v>
      </c>
      <c r="F16305" s="2">
        <v>0</v>
      </c>
      <c r="G16305" s="2">
        <v>0</v>
      </c>
      <c r="H16305" s="1" t="s">
        <v>0</v>
      </c>
      <c r="I16305" s="2">
        <v>0</v>
      </c>
      <c r="J16305" s="1">
        <v>46037.583518518521</v>
      </c>
    </row>
    <row r="16306" spans="1:10" x14ac:dyDescent="0.2">
      <c r="A16306" s="4" t="s">
        <v>1</v>
      </c>
      <c r="B1630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06" s="3" t="str">
        <f>HYPERLINK("https://otsuka-europe-crm.veevavault.com/ui/#object/sent_email__v/VBL000000015142", "SE-001400284")</f>
        <v>SE-001400284</v>
      </c>
      <c r="D16306" s="1" t="s">
        <v>0</v>
      </c>
      <c r="E16306" s="2">
        <v>0</v>
      </c>
      <c r="F16306" s="2">
        <v>0</v>
      </c>
      <c r="G16306" s="2">
        <v>0</v>
      </c>
      <c r="H16306" s="1" t="s">
        <v>0</v>
      </c>
      <c r="I16306" s="2">
        <v>0</v>
      </c>
      <c r="J16306" s="1">
        <v>46043.429270833331</v>
      </c>
    </row>
    <row r="16307" spans="1:10" x14ac:dyDescent="0.2">
      <c r="A16307" s="4" t="s">
        <v>1</v>
      </c>
      <c r="B1630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07" s="3" t="str">
        <f>HYPERLINK("https://otsuka-europe-crm.veevavault.com/ui/#object/sent_email__v/VBL000000015143", "SE-001400285")</f>
        <v>SE-001400285</v>
      </c>
      <c r="D16307" s="1" t="s">
        <v>0</v>
      </c>
      <c r="E16307" s="2">
        <v>0</v>
      </c>
      <c r="F16307" s="2">
        <v>0</v>
      </c>
      <c r="G16307" s="2">
        <v>0</v>
      </c>
      <c r="H16307" s="1" t="s">
        <v>0</v>
      </c>
      <c r="I16307" s="2">
        <v>0</v>
      </c>
      <c r="J16307" s="1">
        <v>46043.429305555554</v>
      </c>
    </row>
    <row r="16308" spans="1:10" x14ac:dyDescent="0.2">
      <c r="A16308" s="4" t="s">
        <v>1</v>
      </c>
      <c r="B1630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08" s="3" t="str">
        <f>HYPERLINK("https://otsuka-europe-crm.veevavault.com/ui/#object/sent_email__v/VBL000000015144", "SE-001400286")</f>
        <v>SE-001400286</v>
      </c>
      <c r="D16308" s="1">
        <v>46050.890868055554</v>
      </c>
      <c r="E16308" s="2">
        <v>1</v>
      </c>
      <c r="F16308" s="2">
        <v>1</v>
      </c>
      <c r="G16308" s="2">
        <v>0</v>
      </c>
      <c r="H16308" s="1" t="s">
        <v>0</v>
      </c>
      <c r="I16308" s="2">
        <v>0</v>
      </c>
      <c r="J16308" s="1">
        <v>46043.429282407407</v>
      </c>
    </row>
    <row r="16309" spans="1:10" x14ac:dyDescent="0.2">
      <c r="A16309" s="4" t="s">
        <v>1</v>
      </c>
      <c r="B1630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09" s="3" t="str">
        <f>HYPERLINK("https://otsuka-europe-crm.veevavault.com/ui/#object/sent_email__v/VBL000000015145", "SE-001400287")</f>
        <v>SE-001400287</v>
      </c>
      <c r="D16309" s="1">
        <v>46043.437349537038</v>
      </c>
      <c r="E16309" s="2">
        <v>1</v>
      </c>
      <c r="F16309" s="2">
        <v>1</v>
      </c>
      <c r="G16309" s="2">
        <v>0</v>
      </c>
      <c r="H16309" s="1" t="s">
        <v>0</v>
      </c>
      <c r="I16309" s="2">
        <v>0</v>
      </c>
      <c r="J16309" s="1">
        <v>46043.429247685184</v>
      </c>
    </row>
    <row r="16310" spans="1:10" x14ac:dyDescent="0.2">
      <c r="A16310" s="4" t="s">
        <v>1</v>
      </c>
      <c r="B1631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10" s="3" t="str">
        <f>HYPERLINK("https://otsuka-europe-crm.veevavault.com/ui/#object/sent_email__v/VBL000000015146", "SE-001400288")</f>
        <v>SE-001400288</v>
      </c>
      <c r="D16310" s="1" t="s">
        <v>0</v>
      </c>
      <c r="E16310" s="2">
        <v>0</v>
      </c>
      <c r="F16310" s="2">
        <v>0</v>
      </c>
      <c r="G16310" s="2">
        <v>0</v>
      </c>
      <c r="H16310" s="1" t="s">
        <v>0</v>
      </c>
      <c r="I16310" s="2">
        <v>0</v>
      </c>
      <c r="J16310" s="1">
        <v>46043.42931712963</v>
      </c>
    </row>
    <row r="16311" spans="1:10" x14ac:dyDescent="0.2">
      <c r="A16311" s="4" t="s">
        <v>1</v>
      </c>
      <c r="B1631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11" s="3" t="str">
        <f>HYPERLINK("https://otsuka-europe-crm.veevavault.com/ui/#object/sent_email__v/VBL000000015147", "SE-001400289")</f>
        <v>SE-001400289</v>
      </c>
      <c r="D16311" s="1" t="s">
        <v>0</v>
      </c>
      <c r="E16311" s="2">
        <v>0</v>
      </c>
      <c r="F16311" s="2">
        <v>0</v>
      </c>
      <c r="G16311" s="2">
        <v>0</v>
      </c>
      <c r="H16311" s="1" t="s">
        <v>0</v>
      </c>
      <c r="I16311" s="2">
        <v>0</v>
      </c>
      <c r="J16311" s="1">
        <v>46043.429351851853</v>
      </c>
    </row>
    <row r="16312" spans="1:10" x14ac:dyDescent="0.2">
      <c r="A16312" s="4" t="s">
        <v>1</v>
      </c>
      <c r="B1631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12" s="3" t="str">
        <f>HYPERLINK("https://otsuka-europe-crm.veevavault.com/ui/#object/sent_email__v/VBL000000015148", "SE-001400290")</f>
        <v>SE-001400290</v>
      </c>
      <c r="D16312" s="1" t="s">
        <v>0</v>
      </c>
      <c r="E16312" s="2">
        <v>0</v>
      </c>
      <c r="F16312" s="2">
        <v>0</v>
      </c>
      <c r="G16312" s="2">
        <v>0</v>
      </c>
      <c r="H16312" s="1" t="s">
        <v>0</v>
      </c>
      <c r="I16312" s="2">
        <v>0</v>
      </c>
      <c r="J16312" s="1">
        <v>46043.429270833331</v>
      </c>
    </row>
    <row r="16313" spans="1:10" x14ac:dyDescent="0.2">
      <c r="A16313" s="4" t="s">
        <v>1</v>
      </c>
      <c r="B1631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13" s="3" t="str">
        <f>HYPERLINK("https://otsuka-europe-crm.veevavault.com/ui/#object/sent_email__v/VBL000000015149", "SE-001400291")</f>
        <v>SE-001400291</v>
      </c>
      <c r="D16313" s="1">
        <v>46043.896423611113</v>
      </c>
      <c r="E16313" s="2">
        <v>1</v>
      </c>
      <c r="F16313" s="2">
        <v>1</v>
      </c>
      <c r="G16313" s="2">
        <v>0</v>
      </c>
      <c r="H16313" s="1" t="s">
        <v>0</v>
      </c>
      <c r="I16313" s="2">
        <v>0</v>
      </c>
      <c r="J16313" s="1">
        <v>46043.429247685184</v>
      </c>
    </row>
    <row r="16314" spans="1:10" x14ac:dyDescent="0.2">
      <c r="A16314" s="4" t="s">
        <v>1</v>
      </c>
      <c r="B1631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14" s="3" t="str">
        <f>HYPERLINK("https://otsuka-europe-crm.veevavault.com/ui/#object/sent_email__v/VBL000000015150", "SE-001400292")</f>
        <v>SE-001400292</v>
      </c>
      <c r="D16314" s="1" t="s">
        <v>0</v>
      </c>
      <c r="E16314" s="2">
        <v>0</v>
      </c>
      <c r="F16314" s="2">
        <v>0</v>
      </c>
      <c r="G16314" s="2">
        <v>0</v>
      </c>
      <c r="H16314" s="1" t="s">
        <v>0</v>
      </c>
      <c r="I16314" s="2">
        <v>0</v>
      </c>
      <c r="J16314" s="1">
        <v>46043.429120370369</v>
      </c>
    </row>
    <row r="16315" spans="1:10" x14ac:dyDescent="0.2">
      <c r="A16315" s="4" t="s">
        <v>1</v>
      </c>
      <c r="B1631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15" s="3" t="str">
        <f>HYPERLINK("https://otsuka-europe-crm.veevavault.com/ui/#object/sent_email__v/VBL000000015151", "SE-001400293")</f>
        <v>SE-001400293</v>
      </c>
      <c r="D16315" s="1" t="s">
        <v>0</v>
      </c>
      <c r="E16315" s="2">
        <v>0</v>
      </c>
      <c r="F16315" s="2">
        <v>0</v>
      </c>
      <c r="G16315" s="2">
        <v>0</v>
      </c>
      <c r="H16315" s="1" t="s">
        <v>0</v>
      </c>
      <c r="I16315" s="2">
        <v>0</v>
      </c>
      <c r="J16315" s="1">
        <v>46043.428842592592</v>
      </c>
    </row>
    <row r="16316" spans="1:10" x14ac:dyDescent="0.2">
      <c r="A16316" s="4" t="s">
        <v>1</v>
      </c>
      <c r="B1631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16" s="3" t="str">
        <f>HYPERLINK("https://otsuka-europe-crm.veevavault.com/ui/#object/sent_email__v/VBL000000015152", "SE-001400294")</f>
        <v>SE-001400294</v>
      </c>
      <c r="D16316" s="1" t="s">
        <v>0</v>
      </c>
      <c r="E16316" s="2">
        <v>0</v>
      </c>
      <c r="F16316" s="2">
        <v>0</v>
      </c>
      <c r="G16316" s="2">
        <v>0</v>
      </c>
      <c r="H16316" s="1" t="s">
        <v>0</v>
      </c>
      <c r="I16316" s="2">
        <v>0</v>
      </c>
      <c r="J16316" s="1">
        <v>46043.428819444445</v>
      </c>
    </row>
    <row r="16317" spans="1:10" x14ac:dyDescent="0.2">
      <c r="A16317" s="4" t="s">
        <v>1</v>
      </c>
      <c r="B1631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17" s="3" t="str">
        <f>HYPERLINK("https://otsuka-europe-crm.veevavault.com/ui/#object/sent_email__v/VBL000000015153", "SE-001400295")</f>
        <v>SE-001400295</v>
      </c>
      <c r="D16317" s="1" t="s">
        <v>0</v>
      </c>
      <c r="E16317" s="2">
        <v>0</v>
      </c>
      <c r="F16317" s="2">
        <v>0</v>
      </c>
      <c r="G16317" s="2">
        <v>0</v>
      </c>
      <c r="H16317" s="1" t="s">
        <v>0</v>
      </c>
      <c r="I16317" s="2">
        <v>0</v>
      </c>
      <c r="J16317" s="1">
        <v>46043.428842592592</v>
      </c>
    </row>
    <row r="16318" spans="1:10" x14ac:dyDescent="0.2">
      <c r="A16318" s="4" t="s">
        <v>1</v>
      </c>
      <c r="B1631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18" s="3" t="str">
        <f>HYPERLINK("https://otsuka-europe-crm.veevavault.com/ui/#object/sent_email__v/VBL000000015154", "SE-001400296")</f>
        <v>SE-001400296</v>
      </c>
      <c r="D16318" s="1" t="s">
        <v>0</v>
      </c>
      <c r="E16318" s="2">
        <v>0</v>
      </c>
      <c r="F16318" s="2">
        <v>0</v>
      </c>
      <c r="G16318" s="2">
        <v>0</v>
      </c>
      <c r="H16318" s="1" t="s">
        <v>0</v>
      </c>
      <c r="I16318" s="2">
        <v>0</v>
      </c>
      <c r="J16318" s="1">
        <v>46043.428831018522</v>
      </c>
    </row>
    <row r="16319" spans="1:10" x14ac:dyDescent="0.2">
      <c r="A16319" s="4" t="s">
        <v>1</v>
      </c>
      <c r="B1631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19" s="3" t="str">
        <f>HYPERLINK("https://otsuka-europe-crm.veevavault.com/ui/#object/sent_email__v/VBL000000015155", "SE-001400297")</f>
        <v>SE-001400297</v>
      </c>
      <c r="D16319" s="1" t="s">
        <v>0</v>
      </c>
      <c r="E16319" s="2">
        <v>0</v>
      </c>
      <c r="F16319" s="2">
        <v>0</v>
      </c>
      <c r="G16319" s="2">
        <v>0</v>
      </c>
      <c r="H16319" s="1" t="s">
        <v>0</v>
      </c>
      <c r="I16319" s="2">
        <v>0</v>
      </c>
      <c r="J16319" s="1">
        <v>46043.429201388892</v>
      </c>
    </row>
    <row r="16320" spans="1:10" x14ac:dyDescent="0.2">
      <c r="A16320" s="4" t="s">
        <v>1</v>
      </c>
      <c r="B1632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20" s="3" t="str">
        <f>HYPERLINK("https://otsuka-europe-crm.veevavault.com/ui/#object/sent_email__v/VBL000000015156", "SE-001400298")</f>
        <v>SE-001400298</v>
      </c>
      <c r="D16320" s="1" t="s">
        <v>0</v>
      </c>
      <c r="E16320" s="2">
        <v>0</v>
      </c>
      <c r="F16320" s="2">
        <v>0</v>
      </c>
      <c r="G16320" s="2">
        <v>0</v>
      </c>
      <c r="H16320" s="1" t="s">
        <v>0</v>
      </c>
      <c r="I16320" s="2">
        <v>0</v>
      </c>
      <c r="J16320" s="1">
        <v>46043.428854166668</v>
      </c>
    </row>
    <row r="16321" spans="1:10" x14ac:dyDescent="0.2">
      <c r="A16321" s="4" t="s">
        <v>1</v>
      </c>
      <c r="B1632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21" s="3" t="str">
        <f>HYPERLINK("https://otsuka-europe-crm.veevavault.com/ui/#object/sent_email__v/VBL000000015157", "SE-001400299")</f>
        <v>SE-001400299</v>
      </c>
      <c r="D16321" s="1" t="s">
        <v>0</v>
      </c>
      <c r="E16321" s="2">
        <v>0</v>
      </c>
      <c r="F16321" s="2">
        <v>0</v>
      </c>
      <c r="G16321" s="2">
        <v>0</v>
      </c>
      <c r="H16321" s="1" t="s">
        <v>0</v>
      </c>
      <c r="I16321" s="2">
        <v>0</v>
      </c>
      <c r="J16321" s="1">
        <v>46043.428842592592</v>
      </c>
    </row>
    <row r="16322" spans="1:10" x14ac:dyDescent="0.2">
      <c r="A16322" s="4" t="s">
        <v>1</v>
      </c>
      <c r="B1632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22" s="3" t="str">
        <f>HYPERLINK("https://otsuka-europe-crm.veevavault.com/ui/#object/sent_email__v/VBL000000015158", "SE-001400300")</f>
        <v>SE-001400300</v>
      </c>
      <c r="D16322" s="1" t="s">
        <v>0</v>
      </c>
      <c r="E16322" s="2">
        <v>0</v>
      </c>
      <c r="F16322" s="2">
        <v>0</v>
      </c>
      <c r="G16322" s="2">
        <v>0</v>
      </c>
      <c r="H16322" s="1" t="s">
        <v>0</v>
      </c>
      <c r="I16322" s="2">
        <v>0</v>
      </c>
      <c r="J16322" s="1">
        <v>46043.428831018522</v>
      </c>
    </row>
    <row r="16323" spans="1:10" x14ac:dyDescent="0.2">
      <c r="A16323" s="4" t="s">
        <v>1</v>
      </c>
      <c r="B1632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23" s="3" t="str">
        <f>HYPERLINK("https://otsuka-europe-crm.veevavault.com/ui/#object/sent_email__v/VBL000000015159", "SE-001400301")</f>
        <v>SE-001400301</v>
      </c>
      <c r="D16323" s="1" t="s">
        <v>0</v>
      </c>
      <c r="E16323" s="2">
        <v>0</v>
      </c>
      <c r="F16323" s="2">
        <v>0</v>
      </c>
      <c r="G16323" s="2">
        <v>0</v>
      </c>
      <c r="H16323" s="1" t="s">
        <v>0</v>
      </c>
      <c r="I16323" s="2">
        <v>0</v>
      </c>
      <c r="J16323" s="1">
        <v>46043.429155092592</v>
      </c>
    </row>
    <row r="16324" spans="1:10" x14ac:dyDescent="0.2">
      <c r="A16324" s="4" t="s">
        <v>1</v>
      </c>
      <c r="B1632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24" s="3" t="str">
        <f>HYPERLINK("https://otsuka-europe-crm.veevavault.com/ui/#object/sent_email__v/VBL000000015160", "SE-001400302")</f>
        <v>SE-001400302</v>
      </c>
      <c r="D16324" s="1" t="s">
        <v>0</v>
      </c>
      <c r="E16324" s="2">
        <v>0</v>
      </c>
      <c r="F16324" s="2">
        <v>0</v>
      </c>
      <c r="G16324" s="2">
        <v>0</v>
      </c>
      <c r="H16324" s="1" t="s">
        <v>0</v>
      </c>
      <c r="I16324" s="2">
        <v>0</v>
      </c>
      <c r="J16324" s="1">
        <v>46043.428854166668</v>
      </c>
    </row>
    <row r="16325" spans="1:10" x14ac:dyDescent="0.2">
      <c r="A16325" s="4" t="s">
        <v>1</v>
      </c>
      <c r="B1632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25" s="3" t="str">
        <f>HYPERLINK("https://otsuka-europe-crm.veevavault.com/ui/#object/sent_email__v/VBL000000015161", "SE-001400303")</f>
        <v>SE-001400303</v>
      </c>
      <c r="D16325" s="1" t="s">
        <v>0</v>
      </c>
      <c r="E16325" s="2">
        <v>0</v>
      </c>
      <c r="F16325" s="2">
        <v>0</v>
      </c>
      <c r="G16325" s="2">
        <v>0</v>
      </c>
      <c r="H16325" s="1" t="s">
        <v>0</v>
      </c>
      <c r="I16325" s="2">
        <v>0</v>
      </c>
      <c r="J16325" s="1">
        <v>46043.429131944446</v>
      </c>
    </row>
    <row r="16326" spans="1:10" x14ac:dyDescent="0.2">
      <c r="A16326" s="4" t="s">
        <v>1</v>
      </c>
      <c r="B1632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26" s="3" t="str">
        <f>HYPERLINK("https://otsuka-europe-crm.veevavault.com/ui/#object/sent_email__v/VBL000000015162", "SE-001400304")</f>
        <v>SE-001400304</v>
      </c>
      <c r="D16326" s="1" t="s">
        <v>0</v>
      </c>
      <c r="E16326" s="2">
        <v>0</v>
      </c>
      <c r="F16326" s="2">
        <v>0</v>
      </c>
      <c r="G16326" s="2">
        <v>0</v>
      </c>
      <c r="H16326" s="1" t="s">
        <v>0</v>
      </c>
      <c r="I16326" s="2">
        <v>0</v>
      </c>
      <c r="J16326" s="1">
        <v>46043.428831018522</v>
      </c>
    </row>
    <row r="16327" spans="1:10" x14ac:dyDescent="0.2">
      <c r="A16327" s="4" t="s">
        <v>1</v>
      </c>
      <c r="B1632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27" s="3" t="str">
        <f>HYPERLINK("https://otsuka-europe-crm.veevavault.com/ui/#object/sent_email__v/VBL000000015163", "SE-001400305")</f>
        <v>SE-001400305</v>
      </c>
      <c r="D16327" s="1" t="s">
        <v>0</v>
      </c>
      <c r="E16327" s="2">
        <v>0</v>
      </c>
      <c r="F16327" s="2">
        <v>0</v>
      </c>
      <c r="G16327" s="2">
        <v>0</v>
      </c>
      <c r="H16327" s="1" t="s">
        <v>0</v>
      </c>
      <c r="I16327" s="2">
        <v>0</v>
      </c>
      <c r="J16327" s="1">
        <v>46043.428831018522</v>
      </c>
    </row>
    <row r="16328" spans="1:10" x14ac:dyDescent="0.2">
      <c r="A16328" s="4" t="s">
        <v>1</v>
      </c>
      <c r="B1632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28" s="3" t="str">
        <f>HYPERLINK("https://otsuka-europe-crm.veevavault.com/ui/#object/sent_email__v/VBL000000015164", "SE-001400306")</f>
        <v>SE-001400306</v>
      </c>
      <c r="D16328" s="1" t="s">
        <v>0</v>
      </c>
      <c r="E16328" s="2">
        <v>0</v>
      </c>
      <c r="F16328" s="2">
        <v>0</v>
      </c>
      <c r="G16328" s="2">
        <v>0</v>
      </c>
      <c r="H16328" s="1" t="s">
        <v>0</v>
      </c>
      <c r="I16328" s="2">
        <v>0</v>
      </c>
      <c r="J16328" s="1">
        <v>46043.428854166668</v>
      </c>
    </row>
    <row r="16329" spans="1:10" x14ac:dyDescent="0.2">
      <c r="A16329" s="4" t="s">
        <v>1</v>
      </c>
      <c r="B1632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29" s="3" t="str">
        <f>HYPERLINK("https://otsuka-europe-crm.veevavault.com/ui/#object/sent_email__v/VBL000000015165", "SE-001400307")</f>
        <v>SE-001400307</v>
      </c>
      <c r="D16329" s="1" t="s">
        <v>0</v>
      </c>
      <c r="E16329" s="2">
        <v>0</v>
      </c>
      <c r="F16329" s="2">
        <v>0</v>
      </c>
      <c r="G16329" s="2">
        <v>0</v>
      </c>
      <c r="H16329" s="1" t="s">
        <v>0</v>
      </c>
      <c r="I16329" s="2">
        <v>0</v>
      </c>
      <c r="J16329" s="1">
        <v>46043.428935185184</v>
      </c>
    </row>
    <row r="16330" spans="1:10" x14ac:dyDescent="0.2">
      <c r="A16330" s="4" t="s">
        <v>1</v>
      </c>
      <c r="B1633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30" s="3" t="str">
        <f>HYPERLINK("https://otsuka-europe-crm.veevavault.com/ui/#object/sent_email__v/VBL000000015166", "SE-001400308")</f>
        <v>SE-001400308</v>
      </c>
      <c r="D16330" s="1" t="s">
        <v>0</v>
      </c>
      <c r="E16330" s="2">
        <v>0</v>
      </c>
      <c r="F16330" s="2">
        <v>0</v>
      </c>
      <c r="G16330" s="2">
        <v>0</v>
      </c>
      <c r="H16330" s="1" t="s">
        <v>0</v>
      </c>
      <c r="I16330" s="2">
        <v>0</v>
      </c>
      <c r="J16330" s="1">
        <v>46043.428854166668</v>
      </c>
    </row>
    <row r="16331" spans="1:10" x14ac:dyDescent="0.2">
      <c r="A16331" s="4" t="s">
        <v>1</v>
      </c>
      <c r="B1633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31" s="3" t="str">
        <f>HYPERLINK("https://otsuka-europe-crm.veevavault.com/ui/#object/sent_email__v/VBL000000015167", "SE-001400309")</f>
        <v>SE-001400309</v>
      </c>
      <c r="D16331" s="1" t="s">
        <v>0</v>
      </c>
      <c r="E16331" s="2">
        <v>0</v>
      </c>
      <c r="F16331" s="2">
        <v>0</v>
      </c>
      <c r="G16331" s="2">
        <v>0</v>
      </c>
      <c r="H16331" s="1" t="s">
        <v>0</v>
      </c>
      <c r="I16331" s="2">
        <v>0</v>
      </c>
      <c r="J16331" s="1">
        <v>46043.428842592592</v>
      </c>
    </row>
    <row r="16332" spans="1:10" x14ac:dyDescent="0.2">
      <c r="A16332" s="4" t="s">
        <v>1</v>
      </c>
      <c r="B1633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32" s="3" t="str">
        <f>HYPERLINK("https://otsuka-europe-crm.veevavault.com/ui/#object/sent_email__v/VBL000000015168", "SE-001400310")</f>
        <v>SE-001400310</v>
      </c>
      <c r="D16332" s="1" t="s">
        <v>0</v>
      </c>
      <c r="E16332" s="2">
        <v>0</v>
      </c>
      <c r="F16332" s="2">
        <v>0</v>
      </c>
      <c r="G16332" s="2">
        <v>0</v>
      </c>
      <c r="H16332" s="1" t="s">
        <v>0</v>
      </c>
      <c r="I16332" s="2">
        <v>0</v>
      </c>
      <c r="J16332" s="1">
        <v>46043.428831018522</v>
      </c>
    </row>
    <row r="16333" spans="1:10" x14ac:dyDescent="0.2">
      <c r="A16333" s="4" t="s">
        <v>1</v>
      </c>
      <c r="B1633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33" s="3" t="str">
        <f>HYPERLINK("https://otsuka-europe-crm.veevavault.com/ui/#object/sent_email__v/VBL000000015169", "SE-001400311")</f>
        <v>SE-001400311</v>
      </c>
      <c r="D16333" s="1" t="s">
        <v>0</v>
      </c>
      <c r="E16333" s="2">
        <v>0</v>
      </c>
      <c r="F16333" s="2">
        <v>0</v>
      </c>
      <c r="G16333" s="2">
        <v>0</v>
      </c>
      <c r="H16333" s="1" t="s">
        <v>0</v>
      </c>
      <c r="I16333" s="2">
        <v>0</v>
      </c>
      <c r="J16333" s="1">
        <v>46043.428831018522</v>
      </c>
    </row>
    <row r="16334" spans="1:10" x14ac:dyDescent="0.2">
      <c r="A16334" s="4" t="s">
        <v>1</v>
      </c>
      <c r="B1633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34" s="3" t="str">
        <f>HYPERLINK("https://otsuka-europe-crm.veevavault.com/ui/#object/sent_email__v/VBL000000015170", "SE-001400312")</f>
        <v>SE-001400312</v>
      </c>
      <c r="D16334" s="1" t="s">
        <v>0</v>
      </c>
      <c r="E16334" s="2">
        <v>0</v>
      </c>
      <c r="F16334" s="2">
        <v>0</v>
      </c>
      <c r="G16334" s="2">
        <v>0</v>
      </c>
      <c r="H16334" s="1" t="s">
        <v>0</v>
      </c>
      <c r="I16334" s="2">
        <v>0</v>
      </c>
      <c r="J16334" s="1">
        <v>46043.428854166668</v>
      </c>
    </row>
    <row r="16335" spans="1:10" x14ac:dyDescent="0.2">
      <c r="A16335" s="4" t="s">
        <v>1</v>
      </c>
      <c r="B1633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35" s="3" t="str">
        <f>HYPERLINK("https://otsuka-europe-crm.veevavault.com/ui/#object/sent_email__v/VBL000000015171", "SE-001400313")</f>
        <v>SE-001400313</v>
      </c>
      <c r="D16335" s="1" t="s">
        <v>0</v>
      </c>
      <c r="E16335" s="2">
        <v>0</v>
      </c>
      <c r="F16335" s="2">
        <v>0</v>
      </c>
      <c r="G16335" s="2">
        <v>0</v>
      </c>
      <c r="H16335" s="1" t="s">
        <v>0</v>
      </c>
      <c r="I16335" s="2">
        <v>0</v>
      </c>
      <c r="J16335" s="1">
        <v>46043.428946759261</v>
      </c>
    </row>
    <row r="16336" spans="1:10" x14ac:dyDescent="0.2">
      <c r="A16336" s="4" t="s">
        <v>1</v>
      </c>
      <c r="B1633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36" s="3" t="str">
        <f>HYPERLINK("https://otsuka-europe-crm.veevavault.com/ui/#object/sent_email__v/VBL000000015172", "SE-001400314")</f>
        <v>SE-001400314</v>
      </c>
      <c r="D16336" s="1">
        <v>46049.989328703705</v>
      </c>
      <c r="E16336" s="2">
        <v>1</v>
      </c>
      <c r="F16336" s="2">
        <v>1</v>
      </c>
      <c r="G16336" s="2">
        <v>0</v>
      </c>
      <c r="H16336" s="1" t="s">
        <v>0</v>
      </c>
      <c r="I16336" s="2">
        <v>0</v>
      </c>
      <c r="J16336" s="1">
        <v>46043.428946759261</v>
      </c>
    </row>
    <row r="16337" spans="1:10" x14ac:dyDescent="0.2">
      <c r="A16337" s="4" t="s">
        <v>1</v>
      </c>
      <c r="B1633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37" s="3" t="str">
        <f>HYPERLINK("https://otsuka-europe-crm.veevavault.com/ui/#object/sent_email__v/VBL000000015173", "SE-001400315")</f>
        <v>SE-001400315</v>
      </c>
      <c r="D16337" s="1" t="s">
        <v>0</v>
      </c>
      <c r="E16337" s="2">
        <v>0</v>
      </c>
      <c r="F16337" s="2">
        <v>0</v>
      </c>
      <c r="G16337" s="2">
        <v>0</v>
      </c>
      <c r="H16337" s="1" t="s">
        <v>0</v>
      </c>
      <c r="I16337" s="2">
        <v>0</v>
      </c>
      <c r="J16337" s="1">
        <v>46043.42895833333</v>
      </c>
    </row>
    <row r="16338" spans="1:10" x14ac:dyDescent="0.2">
      <c r="A16338" s="4" t="s">
        <v>1</v>
      </c>
      <c r="B1633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38" s="3" t="str">
        <f>HYPERLINK("https://otsuka-europe-crm.veevavault.com/ui/#object/sent_email__v/VBL000000015174", "SE-001400316")</f>
        <v>SE-001400316</v>
      </c>
      <c r="D16338" s="1" t="s">
        <v>0</v>
      </c>
      <c r="E16338" s="2">
        <v>0</v>
      </c>
      <c r="F16338" s="2">
        <v>0</v>
      </c>
      <c r="G16338" s="2">
        <v>0</v>
      </c>
      <c r="H16338" s="1" t="s">
        <v>0</v>
      </c>
      <c r="I16338" s="2">
        <v>0</v>
      </c>
      <c r="J16338" s="1">
        <v>46043.428923611114</v>
      </c>
    </row>
    <row r="16339" spans="1:10" x14ac:dyDescent="0.2">
      <c r="A16339" s="4" t="s">
        <v>1</v>
      </c>
      <c r="B1633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39" s="3" t="str">
        <f>HYPERLINK("https://otsuka-europe-crm.veevavault.com/ui/#object/sent_email__v/VBL000000015175", "SE-001400317")</f>
        <v>SE-001400317</v>
      </c>
      <c r="D16339" s="1" t="s">
        <v>0</v>
      </c>
      <c r="E16339" s="2">
        <v>0</v>
      </c>
      <c r="F16339" s="2">
        <v>0</v>
      </c>
      <c r="G16339" s="2">
        <v>0</v>
      </c>
      <c r="H16339" s="1" t="s">
        <v>0</v>
      </c>
      <c r="I16339" s="2">
        <v>0</v>
      </c>
      <c r="J16339" s="1">
        <v>46043.428854166668</v>
      </c>
    </row>
    <row r="16340" spans="1:10" x14ac:dyDescent="0.2">
      <c r="A16340" s="4" t="s">
        <v>1</v>
      </c>
      <c r="B1634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40" s="3" t="str">
        <f>HYPERLINK("https://otsuka-europe-crm.veevavault.com/ui/#object/sent_email__v/VBL000000015176", "SE-001400318")</f>
        <v>SE-001400318</v>
      </c>
      <c r="D16340" s="1" t="s">
        <v>0</v>
      </c>
      <c r="E16340" s="2">
        <v>0</v>
      </c>
      <c r="F16340" s="2">
        <v>0</v>
      </c>
      <c r="G16340" s="2">
        <v>0</v>
      </c>
      <c r="H16340" s="1" t="s">
        <v>0</v>
      </c>
      <c r="I16340" s="2">
        <v>0</v>
      </c>
      <c r="J16340" s="1">
        <v>46043.429305555554</v>
      </c>
    </row>
    <row r="16341" spans="1:10" x14ac:dyDescent="0.2">
      <c r="A16341" s="4" t="s">
        <v>1</v>
      </c>
      <c r="B1634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41" s="3" t="str">
        <f>HYPERLINK("https://otsuka-europe-crm.veevavault.com/ui/#object/sent_email__v/VBL000000015177", "SE-001400319")</f>
        <v>SE-001400319</v>
      </c>
      <c r="D16341" s="1" t="s">
        <v>0</v>
      </c>
      <c r="E16341" s="2">
        <v>0</v>
      </c>
      <c r="F16341" s="2">
        <v>0</v>
      </c>
      <c r="G16341" s="2">
        <v>0</v>
      </c>
      <c r="H16341" s="1" t="s">
        <v>0</v>
      </c>
      <c r="I16341" s="2">
        <v>0</v>
      </c>
      <c r="J16341" s="1">
        <v>46043.428923611114</v>
      </c>
    </row>
    <row r="16342" spans="1:10" x14ac:dyDescent="0.2">
      <c r="A16342" s="4" t="s">
        <v>1</v>
      </c>
      <c r="B1634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42" s="3" t="str">
        <f>HYPERLINK("https://otsuka-europe-crm.veevavault.com/ui/#object/sent_email__v/VBL000000015178", "SE-001400320")</f>
        <v>SE-001400320</v>
      </c>
      <c r="D16342" s="1" t="s">
        <v>0</v>
      </c>
      <c r="E16342" s="2">
        <v>0</v>
      </c>
      <c r="F16342" s="2">
        <v>0</v>
      </c>
      <c r="G16342" s="2">
        <v>0</v>
      </c>
      <c r="H16342" s="1" t="s">
        <v>0</v>
      </c>
      <c r="I16342" s="2">
        <v>0</v>
      </c>
      <c r="J16342" s="1">
        <v>46043.428946759261</v>
      </c>
    </row>
    <row r="16343" spans="1:10" x14ac:dyDescent="0.2">
      <c r="A16343" s="4" t="s">
        <v>1</v>
      </c>
      <c r="B1634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43" s="3" t="str">
        <f>HYPERLINK("https://otsuka-europe-crm.veevavault.com/ui/#object/sent_email__v/VBL000000015179", "SE-001400321")</f>
        <v>SE-001400321</v>
      </c>
      <c r="D16343" s="1" t="s">
        <v>0</v>
      </c>
      <c r="E16343" s="2">
        <v>0</v>
      </c>
      <c r="F16343" s="2">
        <v>0</v>
      </c>
      <c r="G16343" s="2">
        <v>0</v>
      </c>
      <c r="H16343" s="1" t="s">
        <v>0</v>
      </c>
      <c r="I16343" s="2">
        <v>0</v>
      </c>
      <c r="J16343" s="1">
        <v>46043.428946759261</v>
      </c>
    </row>
    <row r="16344" spans="1:10" x14ac:dyDescent="0.2">
      <c r="A16344" s="4" t="s">
        <v>1</v>
      </c>
      <c r="B1634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44" s="3" t="str">
        <f>HYPERLINK("https://otsuka-europe-crm.veevavault.com/ui/#object/sent_email__v/VBL000000015180", "SE-001400322")</f>
        <v>SE-001400322</v>
      </c>
      <c r="D16344" s="1">
        <v>46045.083541666667</v>
      </c>
      <c r="E16344" s="2">
        <v>1</v>
      </c>
      <c r="F16344" s="2">
        <v>1</v>
      </c>
      <c r="G16344" s="2">
        <v>0</v>
      </c>
      <c r="H16344" s="1" t="s">
        <v>0</v>
      </c>
      <c r="I16344" s="2">
        <v>0</v>
      </c>
      <c r="J16344" s="1">
        <v>46043.428923611114</v>
      </c>
    </row>
    <row r="16345" spans="1:10" x14ac:dyDescent="0.2">
      <c r="A16345" s="4" t="s">
        <v>1</v>
      </c>
      <c r="B1634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45" s="3" t="str">
        <f>HYPERLINK("https://otsuka-europe-crm.veevavault.com/ui/#object/sent_email__v/VBL000000015181", "SE-001400323")</f>
        <v>SE-001400323</v>
      </c>
      <c r="D16345" s="1">
        <v>46043.470821759256</v>
      </c>
      <c r="E16345" s="2">
        <v>1</v>
      </c>
      <c r="F16345" s="2">
        <v>1</v>
      </c>
      <c r="G16345" s="2">
        <v>1</v>
      </c>
      <c r="H16345" s="1">
        <v>46043.471180555556</v>
      </c>
      <c r="I16345" s="2">
        <v>1</v>
      </c>
      <c r="J16345" s="1">
        <v>46043.428935185184</v>
      </c>
    </row>
    <row r="16346" spans="1:10" x14ac:dyDescent="0.2">
      <c r="A16346" s="4" t="s">
        <v>1</v>
      </c>
      <c r="B1634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46" s="3" t="str">
        <f>HYPERLINK("https://otsuka-europe-crm.veevavault.com/ui/#object/sent_email__v/VBL000000015182", "SE-001400324")</f>
        <v>SE-001400324</v>
      </c>
      <c r="D16346" s="1" t="s">
        <v>0</v>
      </c>
      <c r="E16346" s="2">
        <v>0</v>
      </c>
      <c r="F16346" s="2">
        <v>0</v>
      </c>
      <c r="G16346" s="2">
        <v>0</v>
      </c>
      <c r="H16346" s="1" t="s">
        <v>0</v>
      </c>
      <c r="I16346" s="2">
        <v>0</v>
      </c>
      <c r="J16346" s="1">
        <v>46043.429166666669</v>
      </c>
    </row>
    <row r="16347" spans="1:10" x14ac:dyDescent="0.2">
      <c r="A16347" s="4" t="s">
        <v>1</v>
      </c>
      <c r="B1634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47" s="3" t="str">
        <f>HYPERLINK("https://otsuka-europe-crm.veevavault.com/ui/#object/sent_email__v/VBL000000015183", "SE-001400325")</f>
        <v>SE-001400325</v>
      </c>
      <c r="D16347" s="1" t="s">
        <v>0</v>
      </c>
      <c r="E16347" s="2">
        <v>0</v>
      </c>
      <c r="F16347" s="2">
        <v>0</v>
      </c>
      <c r="G16347" s="2">
        <v>0</v>
      </c>
      <c r="H16347" s="1" t="s">
        <v>0</v>
      </c>
      <c r="I16347" s="2">
        <v>0</v>
      </c>
      <c r="J16347" s="1">
        <v>46043.428842592592</v>
      </c>
    </row>
    <row r="16348" spans="1:10" x14ac:dyDescent="0.2">
      <c r="A16348" s="4" t="s">
        <v>1</v>
      </c>
      <c r="B1634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48" s="3" t="str">
        <f>HYPERLINK("https://otsuka-europe-crm.veevavault.com/ui/#object/sent_email__v/VBL000000015184", "SE-001400326")</f>
        <v>SE-001400326</v>
      </c>
      <c r="D16348" s="1" t="s">
        <v>0</v>
      </c>
      <c r="E16348" s="2">
        <v>0</v>
      </c>
      <c r="F16348" s="2">
        <v>0</v>
      </c>
      <c r="G16348" s="2">
        <v>0</v>
      </c>
      <c r="H16348" s="1" t="s">
        <v>0</v>
      </c>
      <c r="I16348" s="2">
        <v>0</v>
      </c>
      <c r="J16348" s="1">
        <v>46043.429131944446</v>
      </c>
    </row>
    <row r="16349" spans="1:10" x14ac:dyDescent="0.2">
      <c r="A16349" s="4" t="s">
        <v>1</v>
      </c>
      <c r="B1634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49" s="3" t="str">
        <f>HYPERLINK("https://otsuka-europe-crm.veevavault.com/ui/#object/sent_email__v/VBL000000015185", "SE-001400327")</f>
        <v>SE-001400327</v>
      </c>
      <c r="D16349" s="1">
        <v>46044.703252314815</v>
      </c>
      <c r="E16349" s="2">
        <v>1</v>
      </c>
      <c r="F16349" s="2">
        <v>1</v>
      </c>
      <c r="G16349" s="2">
        <v>0</v>
      </c>
      <c r="H16349" s="1" t="s">
        <v>0</v>
      </c>
      <c r="I16349" s="2">
        <v>0</v>
      </c>
      <c r="J16349" s="1">
        <v>46043.429131944446</v>
      </c>
    </row>
    <row r="16350" spans="1:10" x14ac:dyDescent="0.2">
      <c r="A16350" s="4" t="s">
        <v>1</v>
      </c>
      <c r="B1635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50" s="3" t="str">
        <f>HYPERLINK("https://otsuka-europe-crm.veevavault.com/ui/#object/sent_email__v/VBL000000015186", "SE-001400328")</f>
        <v>SE-001400328</v>
      </c>
      <c r="D16350" s="1" t="s">
        <v>0</v>
      </c>
      <c r="E16350" s="2">
        <v>0</v>
      </c>
      <c r="F16350" s="2">
        <v>0</v>
      </c>
      <c r="G16350" s="2">
        <v>0</v>
      </c>
      <c r="H16350" s="1" t="s">
        <v>0</v>
      </c>
      <c r="I16350" s="2">
        <v>0</v>
      </c>
      <c r="J16350" s="1">
        <v>46043.428854166668</v>
      </c>
    </row>
    <row r="16351" spans="1:10" x14ac:dyDescent="0.2">
      <c r="A16351" s="4" t="s">
        <v>1</v>
      </c>
      <c r="B1635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51" s="3" t="str">
        <f>HYPERLINK("https://otsuka-europe-crm.veevavault.com/ui/#object/sent_email__v/VBL000000015187", "SE-001400329")</f>
        <v>SE-001400329</v>
      </c>
      <c r="D16351" s="1" t="s">
        <v>0</v>
      </c>
      <c r="E16351" s="2">
        <v>0</v>
      </c>
      <c r="F16351" s="2">
        <v>0</v>
      </c>
      <c r="G16351" s="2">
        <v>0</v>
      </c>
      <c r="H16351" s="1" t="s">
        <v>0</v>
      </c>
      <c r="I16351" s="2">
        <v>0</v>
      </c>
      <c r="J16351" s="1">
        <v>46043.429166666669</v>
      </c>
    </row>
    <row r="16352" spans="1:10" x14ac:dyDescent="0.2">
      <c r="A16352" s="4" t="s">
        <v>1</v>
      </c>
      <c r="B1635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52" s="3" t="str">
        <f>HYPERLINK("https://otsuka-europe-crm.veevavault.com/ui/#object/sent_email__v/VBL000000015188", "SE-001400330")</f>
        <v>SE-001400330</v>
      </c>
      <c r="D16352" s="1">
        <v>46058.999675925923</v>
      </c>
      <c r="E16352" s="2">
        <v>1</v>
      </c>
      <c r="F16352" s="2">
        <v>2</v>
      </c>
      <c r="G16352" s="2">
        <v>0</v>
      </c>
      <c r="H16352" s="1" t="s">
        <v>0</v>
      </c>
      <c r="I16352" s="2">
        <v>0</v>
      </c>
      <c r="J16352" s="1">
        <v>46043.429178240738</v>
      </c>
    </row>
    <row r="16353" spans="1:10" x14ac:dyDescent="0.2">
      <c r="A16353" s="4" t="s">
        <v>1</v>
      </c>
      <c r="B1635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53" s="3" t="str">
        <f>HYPERLINK("https://otsuka-europe-crm.veevavault.com/ui/#object/sent_email__v/VBL000000015189", "SE-001400331")</f>
        <v>SE-001400331</v>
      </c>
      <c r="D16353" s="1" t="s">
        <v>0</v>
      </c>
      <c r="E16353" s="2">
        <v>0</v>
      </c>
      <c r="F16353" s="2">
        <v>0</v>
      </c>
      <c r="G16353" s="2">
        <v>0</v>
      </c>
      <c r="H16353" s="1" t="s">
        <v>0</v>
      </c>
      <c r="I16353" s="2">
        <v>0</v>
      </c>
      <c r="J16353" s="1">
        <v>46043.428842592592</v>
      </c>
    </row>
    <row r="16354" spans="1:10" x14ac:dyDescent="0.2">
      <c r="A16354" s="4" t="s">
        <v>1</v>
      </c>
      <c r="B1635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54" s="3" t="str">
        <f>HYPERLINK("https://otsuka-europe-crm.veevavault.com/ui/#object/sent_email__v/VBL000000015190", "SE-001400332")</f>
        <v>SE-001400332</v>
      </c>
      <c r="D16354" s="1" t="s">
        <v>0</v>
      </c>
      <c r="E16354" s="2">
        <v>0</v>
      </c>
      <c r="F16354" s="2">
        <v>0</v>
      </c>
      <c r="G16354" s="2">
        <v>0</v>
      </c>
      <c r="H16354" s="1" t="s">
        <v>0</v>
      </c>
      <c r="I16354" s="2">
        <v>0</v>
      </c>
      <c r="J16354" s="1">
        <v>46043.429166666669</v>
      </c>
    </row>
    <row r="16355" spans="1:10" x14ac:dyDescent="0.2">
      <c r="A16355" s="4" t="s">
        <v>1</v>
      </c>
      <c r="B1635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55" s="3" t="str">
        <f>HYPERLINK("https://otsuka-europe-crm.veevavault.com/ui/#object/sent_email__v/VBL000000015191", "SE-001400333")</f>
        <v>SE-001400333</v>
      </c>
      <c r="D16355" s="1" t="s">
        <v>0</v>
      </c>
      <c r="E16355" s="2">
        <v>0</v>
      </c>
      <c r="F16355" s="2">
        <v>0</v>
      </c>
      <c r="G16355" s="2">
        <v>0</v>
      </c>
      <c r="H16355" s="1" t="s">
        <v>0</v>
      </c>
      <c r="I16355" s="2">
        <v>0</v>
      </c>
      <c r="J16355" s="1">
        <v>46043.428923611114</v>
      </c>
    </row>
    <row r="16356" spans="1:10" x14ac:dyDescent="0.2">
      <c r="A16356" s="4" t="s">
        <v>1</v>
      </c>
      <c r="B1635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56" s="3" t="str">
        <f>HYPERLINK("https://otsuka-europe-crm.veevavault.com/ui/#object/sent_email__v/VBL000000015192", "SE-001400334")</f>
        <v>SE-001400334</v>
      </c>
      <c r="D16356" s="1" t="s">
        <v>0</v>
      </c>
      <c r="E16356" s="2">
        <v>0</v>
      </c>
      <c r="F16356" s="2">
        <v>0</v>
      </c>
      <c r="G16356" s="2">
        <v>0</v>
      </c>
      <c r="H16356" s="1" t="s">
        <v>0</v>
      </c>
      <c r="I16356" s="2">
        <v>0</v>
      </c>
      <c r="J16356" s="1">
        <v>46043.428842592592</v>
      </c>
    </row>
    <row r="16357" spans="1:10" x14ac:dyDescent="0.2">
      <c r="A16357" s="4" t="s">
        <v>1</v>
      </c>
      <c r="B1635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57" s="3" t="str">
        <f>HYPERLINK("https://otsuka-europe-crm.veevavault.com/ui/#object/sent_email__v/VBL000000015193", "SE-001400335")</f>
        <v>SE-001400335</v>
      </c>
      <c r="D16357" s="1" t="s">
        <v>0</v>
      </c>
      <c r="E16357" s="2">
        <v>0</v>
      </c>
      <c r="F16357" s="2">
        <v>0</v>
      </c>
      <c r="G16357" s="2">
        <v>0</v>
      </c>
      <c r="H16357" s="1" t="s">
        <v>0</v>
      </c>
      <c r="I16357" s="2">
        <v>0</v>
      </c>
      <c r="J16357" s="1">
        <v>46043.429247685184</v>
      </c>
    </row>
    <row r="16358" spans="1:10" x14ac:dyDescent="0.2">
      <c r="A16358" s="4" t="s">
        <v>1</v>
      </c>
      <c r="B1635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58" s="3" t="str">
        <f>HYPERLINK("https://otsuka-europe-crm.veevavault.com/ui/#object/sent_email__v/VBL000000015194", "SE-001400336")</f>
        <v>SE-001400336</v>
      </c>
      <c r="D16358" s="1">
        <v>46050.991585648146</v>
      </c>
      <c r="E16358" s="2">
        <v>1</v>
      </c>
      <c r="F16358" s="2">
        <v>2</v>
      </c>
      <c r="G16358" s="2">
        <v>0</v>
      </c>
      <c r="H16358" s="1" t="s">
        <v>0</v>
      </c>
      <c r="I16358" s="2">
        <v>0</v>
      </c>
      <c r="J16358" s="1">
        <v>46043.428923611114</v>
      </c>
    </row>
    <row r="16359" spans="1:10" x14ac:dyDescent="0.2">
      <c r="A16359" s="4" t="s">
        <v>1</v>
      </c>
      <c r="B1635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59" s="3" t="str">
        <f>HYPERLINK("https://otsuka-europe-crm.veevavault.com/ui/#object/sent_email__v/VBL000000015195", "SE-001400337")</f>
        <v>SE-001400337</v>
      </c>
      <c r="D16359" s="1">
        <v>46043.473182870373</v>
      </c>
      <c r="E16359" s="2">
        <v>1</v>
      </c>
      <c r="F16359" s="2">
        <v>1</v>
      </c>
      <c r="G16359" s="2">
        <v>0</v>
      </c>
      <c r="H16359" s="1" t="s">
        <v>0</v>
      </c>
      <c r="I16359" s="2">
        <v>0</v>
      </c>
      <c r="J16359" s="1">
        <v>46043.428923611114</v>
      </c>
    </row>
    <row r="16360" spans="1:10" x14ac:dyDescent="0.2">
      <c r="A16360" s="4" t="s">
        <v>1</v>
      </c>
      <c r="B1636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60" s="3" t="str">
        <f>HYPERLINK("https://otsuka-europe-crm.veevavault.com/ui/#object/sent_email__v/VBL000000015196", "SE-001400338")</f>
        <v>SE-001400338</v>
      </c>
      <c r="D16360" s="1" t="s">
        <v>0</v>
      </c>
      <c r="E16360" s="2">
        <v>0</v>
      </c>
      <c r="F16360" s="2">
        <v>0</v>
      </c>
      <c r="G16360" s="2">
        <v>0</v>
      </c>
      <c r="H16360" s="1" t="s">
        <v>0</v>
      </c>
      <c r="I16360" s="2">
        <v>0</v>
      </c>
      <c r="J16360" s="1">
        <v>46043.428923611114</v>
      </c>
    </row>
    <row r="16361" spans="1:10" x14ac:dyDescent="0.2">
      <c r="A16361" s="4" t="s">
        <v>1</v>
      </c>
      <c r="B1636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61" s="3" t="str">
        <f>HYPERLINK("https://otsuka-europe-crm.veevavault.com/ui/#object/sent_email__v/VBL000000015197", "SE-001400339")</f>
        <v>SE-001400339</v>
      </c>
      <c r="D16361" s="1" t="s">
        <v>0</v>
      </c>
      <c r="E16361" s="2">
        <v>0</v>
      </c>
      <c r="F16361" s="2">
        <v>0</v>
      </c>
      <c r="G16361" s="2">
        <v>0</v>
      </c>
      <c r="H16361" s="1" t="s">
        <v>0</v>
      </c>
      <c r="I16361" s="2">
        <v>0</v>
      </c>
      <c r="J16361" s="1">
        <v>46043.428923611114</v>
      </c>
    </row>
    <row r="16362" spans="1:10" x14ac:dyDescent="0.2">
      <c r="A16362" s="4" t="s">
        <v>1</v>
      </c>
      <c r="B1636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62" s="3" t="str">
        <f>HYPERLINK("https://otsuka-europe-crm.veevavault.com/ui/#object/sent_email__v/VBL000000015198", "SE-001400340")</f>
        <v>SE-001400340</v>
      </c>
      <c r="D16362" s="1" t="s">
        <v>0</v>
      </c>
      <c r="E16362" s="2">
        <v>0</v>
      </c>
      <c r="F16362" s="2">
        <v>0</v>
      </c>
      <c r="G16362" s="2">
        <v>0</v>
      </c>
      <c r="H16362" s="1" t="s">
        <v>0</v>
      </c>
      <c r="I16362" s="2">
        <v>0</v>
      </c>
      <c r="J16362" s="1">
        <v>46043.429247685184</v>
      </c>
    </row>
    <row r="16363" spans="1:10" x14ac:dyDescent="0.2">
      <c r="A16363" s="4" t="s">
        <v>1</v>
      </c>
      <c r="B1636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63" s="3" t="str">
        <f>HYPERLINK("https://otsuka-europe-crm.veevavault.com/ui/#object/sent_email__v/VBL000000015199", "SE-001400341")</f>
        <v>SE-001400341</v>
      </c>
      <c r="D16363" s="1" t="s">
        <v>0</v>
      </c>
      <c r="E16363" s="2">
        <v>0</v>
      </c>
      <c r="F16363" s="2">
        <v>0</v>
      </c>
      <c r="G16363" s="2">
        <v>0</v>
      </c>
      <c r="H16363" s="1" t="s">
        <v>0</v>
      </c>
      <c r="I16363" s="2">
        <v>0</v>
      </c>
      <c r="J16363" s="1">
        <v>46043.428946759261</v>
      </c>
    </row>
    <row r="16364" spans="1:10" x14ac:dyDescent="0.2">
      <c r="A16364" s="4" t="s">
        <v>1</v>
      </c>
      <c r="B1636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64" s="3" t="str">
        <f>HYPERLINK("https://otsuka-europe-crm.veevavault.com/ui/#object/sent_email__v/VBL000000015200", "SE-001400342")</f>
        <v>SE-001400342</v>
      </c>
      <c r="D16364" s="1">
        <v>46046.833506944444</v>
      </c>
      <c r="E16364" s="2">
        <v>1</v>
      </c>
      <c r="F16364" s="2">
        <v>2</v>
      </c>
      <c r="G16364" s="2">
        <v>1</v>
      </c>
      <c r="H16364" s="1">
        <v>46045.446597222224</v>
      </c>
      <c r="I16364" s="2">
        <v>1</v>
      </c>
      <c r="J16364" s="1">
        <v>46043.429155092592</v>
      </c>
    </row>
    <row r="16365" spans="1:10" x14ac:dyDescent="0.2">
      <c r="A16365" s="4" t="s">
        <v>1</v>
      </c>
      <c r="B1636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65" s="3" t="str">
        <f>HYPERLINK("https://otsuka-europe-crm.veevavault.com/ui/#object/sent_email__v/VBL000000015201", "SE-001400343")</f>
        <v>SE-001400343</v>
      </c>
      <c r="D16365" s="1" t="s">
        <v>0</v>
      </c>
      <c r="E16365" s="2">
        <v>0</v>
      </c>
      <c r="F16365" s="2">
        <v>0</v>
      </c>
      <c r="G16365" s="2">
        <v>0</v>
      </c>
      <c r="H16365" s="1" t="s">
        <v>0</v>
      </c>
      <c r="I16365" s="2">
        <v>0</v>
      </c>
      <c r="J16365" s="1">
        <v>46043.429097222222</v>
      </c>
    </row>
    <row r="16366" spans="1:10" x14ac:dyDescent="0.2">
      <c r="A16366" s="4" t="s">
        <v>1</v>
      </c>
      <c r="B1636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66" s="3" t="str">
        <f>HYPERLINK("https://otsuka-europe-crm.veevavault.com/ui/#object/sent_email__v/VBL000000015202", "SE-001400344")</f>
        <v>SE-001400344</v>
      </c>
      <c r="D16366" s="1" t="s">
        <v>0</v>
      </c>
      <c r="E16366" s="2">
        <v>0</v>
      </c>
      <c r="F16366" s="2">
        <v>0</v>
      </c>
      <c r="G16366" s="2">
        <v>0</v>
      </c>
      <c r="H16366" s="1" t="s">
        <v>0</v>
      </c>
      <c r="I16366" s="2">
        <v>0</v>
      </c>
      <c r="J16366" s="1">
        <v>46043.429062499999</v>
      </c>
    </row>
    <row r="16367" spans="1:10" x14ac:dyDescent="0.2">
      <c r="A16367" s="4" t="s">
        <v>1</v>
      </c>
      <c r="B1636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67" s="3" t="str">
        <f>HYPERLINK("https://otsuka-europe-crm.veevavault.com/ui/#object/sent_email__v/VBL000000015203", "SE-001400345")</f>
        <v>SE-001400345</v>
      </c>
      <c r="D16367" s="1" t="s">
        <v>0</v>
      </c>
      <c r="E16367" s="2">
        <v>0</v>
      </c>
      <c r="F16367" s="2">
        <v>0</v>
      </c>
      <c r="G16367" s="2">
        <v>0</v>
      </c>
      <c r="H16367" s="1" t="s">
        <v>0</v>
      </c>
      <c r="I16367" s="2">
        <v>0</v>
      </c>
      <c r="J16367" s="1">
        <v>46043.429085648146</v>
      </c>
    </row>
    <row r="16368" spans="1:10" x14ac:dyDescent="0.2">
      <c r="A16368" s="4" t="s">
        <v>1</v>
      </c>
      <c r="B1636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68" s="3" t="str">
        <f>HYPERLINK("https://otsuka-europe-crm.veevavault.com/ui/#object/sent_email__v/VBL000000015204", "SE-001400346")</f>
        <v>SE-001400346</v>
      </c>
      <c r="D16368" s="1" t="s">
        <v>0</v>
      </c>
      <c r="E16368" s="2">
        <v>0</v>
      </c>
      <c r="F16368" s="2">
        <v>0</v>
      </c>
      <c r="G16368" s="2">
        <v>0</v>
      </c>
      <c r="H16368" s="1" t="s">
        <v>0</v>
      </c>
      <c r="I16368" s="2">
        <v>0</v>
      </c>
      <c r="J16368" s="1">
        <v>46043.42900462963</v>
      </c>
    </row>
    <row r="16369" spans="1:10" x14ac:dyDescent="0.2">
      <c r="A16369" s="4" t="s">
        <v>1</v>
      </c>
      <c r="B1636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69" s="3" t="str">
        <f>HYPERLINK("https://otsuka-europe-crm.veevavault.com/ui/#object/sent_email__v/VBL000000015205", "SE-001400347")</f>
        <v>SE-001400347</v>
      </c>
      <c r="D16369" s="1" t="s">
        <v>0</v>
      </c>
      <c r="E16369" s="2">
        <v>0</v>
      </c>
      <c r="F16369" s="2">
        <v>0</v>
      </c>
      <c r="G16369" s="2">
        <v>0</v>
      </c>
      <c r="H16369" s="1" t="s">
        <v>0</v>
      </c>
      <c r="I16369" s="2">
        <v>0</v>
      </c>
      <c r="J16369" s="1">
        <v>46043.429062499999</v>
      </c>
    </row>
    <row r="16370" spans="1:10" x14ac:dyDescent="0.2">
      <c r="A16370" s="4" t="s">
        <v>1</v>
      </c>
      <c r="B1637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70" s="3" t="str">
        <f>HYPERLINK("https://otsuka-europe-crm.veevavault.com/ui/#object/sent_email__v/VBL000000015206", "SE-001400348")</f>
        <v>SE-001400348</v>
      </c>
      <c r="D16370" s="1">
        <v>46045.423194444447</v>
      </c>
      <c r="E16370" s="2">
        <v>1</v>
      </c>
      <c r="F16370" s="2">
        <v>1</v>
      </c>
      <c r="G16370" s="2">
        <v>0</v>
      </c>
      <c r="H16370" s="1" t="s">
        <v>0</v>
      </c>
      <c r="I16370" s="2">
        <v>0</v>
      </c>
      <c r="J16370" s="1">
        <v>46043.429027777776</v>
      </c>
    </row>
    <row r="16371" spans="1:10" x14ac:dyDescent="0.2">
      <c r="A16371" s="4" t="s">
        <v>1</v>
      </c>
      <c r="B1637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71" s="3" t="str">
        <f>HYPERLINK("https://otsuka-europe-crm.veevavault.com/ui/#object/sent_email__v/VBL000000015207", "SE-001400349")</f>
        <v>SE-001400349</v>
      </c>
      <c r="D16371" s="1" t="s">
        <v>0</v>
      </c>
      <c r="E16371" s="2">
        <v>0</v>
      </c>
      <c r="F16371" s="2">
        <v>0</v>
      </c>
      <c r="G16371" s="2">
        <v>0</v>
      </c>
      <c r="H16371" s="1" t="s">
        <v>0</v>
      </c>
      <c r="I16371" s="2">
        <v>0</v>
      </c>
      <c r="J16371" s="1">
        <v>46043.429131944446</v>
      </c>
    </row>
    <row r="16372" spans="1:10" x14ac:dyDescent="0.2">
      <c r="A16372" s="4" t="s">
        <v>1</v>
      </c>
      <c r="B1637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72" s="3" t="str">
        <f>HYPERLINK("https://otsuka-europe-crm.veevavault.com/ui/#object/sent_email__v/VBL000000015208", "SE-001400350")</f>
        <v>SE-001400350</v>
      </c>
      <c r="D16372" s="1" t="s">
        <v>0</v>
      </c>
      <c r="E16372" s="2">
        <v>0</v>
      </c>
      <c r="F16372" s="2">
        <v>0</v>
      </c>
      <c r="G16372" s="2">
        <v>0</v>
      </c>
      <c r="H16372" s="1" t="s">
        <v>0</v>
      </c>
      <c r="I16372" s="2">
        <v>0</v>
      </c>
      <c r="J16372" s="1">
        <v>46043.429062499999</v>
      </c>
    </row>
    <row r="16373" spans="1:10" x14ac:dyDescent="0.2">
      <c r="A16373" s="4" t="s">
        <v>1</v>
      </c>
      <c r="B1637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73" s="3" t="str">
        <f>HYPERLINK("https://otsuka-europe-crm.veevavault.com/ui/#object/sent_email__v/VBL000000015209", "SE-001400351")</f>
        <v>SE-001400351</v>
      </c>
      <c r="D16373" s="1" t="s">
        <v>0</v>
      </c>
      <c r="E16373" s="2">
        <v>0</v>
      </c>
      <c r="F16373" s="2">
        <v>0</v>
      </c>
      <c r="G16373" s="2">
        <v>0</v>
      </c>
      <c r="H16373" s="1" t="s">
        <v>0</v>
      </c>
      <c r="I16373" s="2">
        <v>0</v>
      </c>
      <c r="J16373" s="1">
        <v>46043.429108796299</v>
      </c>
    </row>
    <row r="16374" spans="1:10" x14ac:dyDescent="0.2">
      <c r="A16374" s="4" t="s">
        <v>1</v>
      </c>
      <c r="B1637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74" s="3" t="str">
        <f>HYPERLINK("https://otsuka-europe-crm.veevavault.com/ui/#object/sent_email__v/VBL000000015210", "SE-001400352")</f>
        <v>SE-001400352</v>
      </c>
      <c r="D16374" s="1" t="s">
        <v>0</v>
      </c>
      <c r="E16374" s="2">
        <v>0</v>
      </c>
      <c r="F16374" s="2">
        <v>0</v>
      </c>
      <c r="G16374" s="2">
        <v>0</v>
      </c>
      <c r="H16374" s="1" t="s">
        <v>0</v>
      </c>
      <c r="I16374" s="2">
        <v>0</v>
      </c>
      <c r="J16374" s="1">
        <v>46043.429166666669</v>
      </c>
    </row>
    <row r="16375" spans="1:10" x14ac:dyDescent="0.2">
      <c r="A16375" s="4" t="s">
        <v>1</v>
      </c>
      <c r="B1637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75" s="3" t="str">
        <f>HYPERLINK("https://otsuka-europe-crm.veevavault.com/ui/#object/sent_email__v/VBL000000015211", "SE-001400353")</f>
        <v>SE-001400353</v>
      </c>
      <c r="D16375" s="1">
        <v>46050.1721875</v>
      </c>
      <c r="E16375" s="2">
        <v>1</v>
      </c>
      <c r="F16375" s="2">
        <v>2</v>
      </c>
      <c r="G16375" s="2">
        <v>1</v>
      </c>
      <c r="H16375" s="1">
        <v>46050.712210648147</v>
      </c>
      <c r="I16375" s="2">
        <v>19</v>
      </c>
      <c r="J16375" s="1">
        <v>46043.429062499999</v>
      </c>
    </row>
    <row r="16376" spans="1:10" x14ac:dyDescent="0.2">
      <c r="A16376" s="4" t="s">
        <v>1</v>
      </c>
      <c r="B1637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76" s="3" t="str">
        <f>HYPERLINK("https://otsuka-europe-crm.veevavault.com/ui/#object/sent_email__v/VBL000000016145", "SE-001400355")</f>
        <v>SE-001400355</v>
      </c>
      <c r="D16376" s="1" t="s">
        <v>0</v>
      </c>
      <c r="E16376" s="2">
        <v>0</v>
      </c>
      <c r="F16376" s="2">
        <v>0</v>
      </c>
      <c r="G16376" s="2">
        <v>0</v>
      </c>
      <c r="H16376" s="1" t="s">
        <v>0</v>
      </c>
      <c r="I16376" s="2">
        <v>0</v>
      </c>
      <c r="J16376" s="1">
        <v>46043.429143518515</v>
      </c>
    </row>
    <row r="16377" spans="1:10" x14ac:dyDescent="0.2">
      <c r="A16377" s="4" t="s">
        <v>1</v>
      </c>
      <c r="B1637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77" s="3" t="str">
        <f>HYPERLINK("https://otsuka-europe-crm.veevavault.com/ui/#object/sent_email__v/VBL000000016146", "SE-001400356")</f>
        <v>SE-001400356</v>
      </c>
      <c r="D16377" s="1" t="s">
        <v>0</v>
      </c>
      <c r="E16377" s="2">
        <v>0</v>
      </c>
      <c r="F16377" s="2">
        <v>0</v>
      </c>
      <c r="G16377" s="2">
        <v>0</v>
      </c>
      <c r="H16377" s="1" t="s">
        <v>0</v>
      </c>
      <c r="I16377" s="2">
        <v>0</v>
      </c>
      <c r="J16377" s="1">
        <v>46043.428923611114</v>
      </c>
    </row>
    <row r="16378" spans="1:10" x14ac:dyDescent="0.2">
      <c r="A16378" s="4" t="s">
        <v>1</v>
      </c>
      <c r="B1637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78" s="3" t="str">
        <f>HYPERLINK("https://otsuka-europe-crm.veevavault.com/ui/#object/sent_email__v/VBL000000016147", "SE-001400357")</f>
        <v>SE-001400357</v>
      </c>
      <c r="D16378" s="1" t="s">
        <v>0</v>
      </c>
      <c r="E16378" s="2">
        <v>0</v>
      </c>
      <c r="F16378" s="2">
        <v>0</v>
      </c>
      <c r="G16378" s="2">
        <v>0</v>
      </c>
      <c r="H16378" s="1" t="s">
        <v>0</v>
      </c>
      <c r="I16378" s="2">
        <v>0</v>
      </c>
      <c r="J16378" s="1">
        <v>46043.428946759261</v>
      </c>
    </row>
    <row r="16379" spans="1:10" x14ac:dyDescent="0.2">
      <c r="A16379" s="4" t="s">
        <v>1</v>
      </c>
      <c r="B1637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79" s="3" t="str">
        <f>HYPERLINK("https://otsuka-europe-crm.veevavault.com/ui/#object/sent_email__v/VBL000000016148", "SE-001400358")</f>
        <v>SE-001400358</v>
      </c>
      <c r="D16379" s="1" t="s">
        <v>0</v>
      </c>
      <c r="E16379" s="2">
        <v>0</v>
      </c>
      <c r="F16379" s="2">
        <v>0</v>
      </c>
      <c r="G16379" s="2">
        <v>0</v>
      </c>
      <c r="H16379" s="1" t="s">
        <v>0</v>
      </c>
      <c r="I16379" s="2">
        <v>0</v>
      </c>
      <c r="J16379" s="1">
        <v>46043.429328703707</v>
      </c>
    </row>
    <row r="16380" spans="1:10" x14ac:dyDescent="0.2">
      <c r="A16380" s="4" t="s">
        <v>1</v>
      </c>
      <c r="B1638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80" s="3" t="str">
        <f>HYPERLINK("https://otsuka-europe-crm.veevavault.com/ui/#object/sent_email__v/VBL000000016149", "SE-001400359")</f>
        <v>SE-001400359</v>
      </c>
      <c r="D16380" s="1" t="s">
        <v>0</v>
      </c>
      <c r="E16380" s="2">
        <v>0</v>
      </c>
      <c r="F16380" s="2">
        <v>0</v>
      </c>
      <c r="G16380" s="2">
        <v>0</v>
      </c>
      <c r="H16380" s="1" t="s">
        <v>0</v>
      </c>
      <c r="I16380" s="2">
        <v>0</v>
      </c>
      <c r="J16380" s="1">
        <v>46043.429201388892</v>
      </c>
    </row>
    <row r="16381" spans="1:10" x14ac:dyDescent="0.2">
      <c r="A16381" s="4" t="s">
        <v>1</v>
      </c>
      <c r="B1638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81" s="3" t="str">
        <f>HYPERLINK("https://otsuka-europe-crm.veevavault.com/ui/#object/sent_email__v/VBL000000016150", "SE-001400360")</f>
        <v>SE-001400360</v>
      </c>
      <c r="D16381" s="1" t="s">
        <v>0</v>
      </c>
      <c r="E16381" s="2">
        <v>0</v>
      </c>
      <c r="F16381" s="2">
        <v>0</v>
      </c>
      <c r="G16381" s="2">
        <v>0</v>
      </c>
      <c r="H16381" s="1" t="s">
        <v>0</v>
      </c>
      <c r="I16381" s="2">
        <v>0</v>
      </c>
      <c r="J16381" s="1">
        <v>46043.428842592592</v>
      </c>
    </row>
    <row r="16382" spans="1:10" x14ac:dyDescent="0.2">
      <c r="A16382" s="4" t="s">
        <v>1</v>
      </c>
      <c r="B1638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82" s="3" t="str">
        <f>HYPERLINK("https://otsuka-europe-crm.veevavault.com/ui/#object/sent_email__v/VBL000000016151", "SE-001400361")</f>
        <v>SE-001400361</v>
      </c>
      <c r="D16382" s="1" t="s">
        <v>0</v>
      </c>
      <c r="E16382" s="2">
        <v>0</v>
      </c>
      <c r="F16382" s="2">
        <v>0</v>
      </c>
      <c r="G16382" s="2">
        <v>0</v>
      </c>
      <c r="H16382" s="1" t="s">
        <v>0</v>
      </c>
      <c r="I16382" s="2">
        <v>0</v>
      </c>
      <c r="J16382" s="1">
        <v>46043.428842592592</v>
      </c>
    </row>
    <row r="16383" spans="1:10" x14ac:dyDescent="0.2">
      <c r="A16383" s="4" t="s">
        <v>1</v>
      </c>
      <c r="B1638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83" s="3" t="str">
        <f>HYPERLINK("https://otsuka-europe-crm.veevavault.com/ui/#object/sent_email__v/VBL000000016152", "SE-001400362")</f>
        <v>SE-001400362</v>
      </c>
      <c r="D16383" s="1" t="s">
        <v>0</v>
      </c>
      <c r="E16383" s="2">
        <v>0</v>
      </c>
      <c r="F16383" s="2">
        <v>0</v>
      </c>
      <c r="G16383" s="2">
        <v>0</v>
      </c>
      <c r="H16383" s="1" t="s">
        <v>0</v>
      </c>
      <c r="I16383" s="2">
        <v>0</v>
      </c>
      <c r="J16383" s="1">
        <v>46043.429097222222</v>
      </c>
    </row>
    <row r="16384" spans="1:10" x14ac:dyDescent="0.2">
      <c r="A16384" s="4" t="s">
        <v>1</v>
      </c>
      <c r="B1638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84" s="3" t="str">
        <f>HYPERLINK("https://otsuka-europe-crm.veevavault.com/ui/#object/sent_email__v/VBL000000016153", "SE-001400363")</f>
        <v>SE-001400363</v>
      </c>
      <c r="D16384" s="1" t="s">
        <v>0</v>
      </c>
      <c r="E16384" s="2">
        <v>0</v>
      </c>
      <c r="F16384" s="2">
        <v>0</v>
      </c>
      <c r="G16384" s="2">
        <v>0</v>
      </c>
      <c r="H16384" s="1" t="s">
        <v>0</v>
      </c>
      <c r="I16384" s="2">
        <v>0</v>
      </c>
      <c r="J16384" s="1">
        <v>46043.428842592592</v>
      </c>
    </row>
    <row r="16385" spans="1:10" x14ac:dyDescent="0.2">
      <c r="A16385" s="4" t="s">
        <v>1</v>
      </c>
      <c r="B1638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85" s="3" t="str">
        <f>HYPERLINK("https://otsuka-europe-crm.veevavault.com/ui/#object/sent_email__v/VBL000000016154", "SE-001400364")</f>
        <v>SE-001400364</v>
      </c>
      <c r="D16385" s="1">
        <v>46046.344340277778</v>
      </c>
      <c r="E16385" s="2">
        <v>1</v>
      </c>
      <c r="F16385" s="2">
        <v>1</v>
      </c>
      <c r="G16385" s="2">
        <v>0</v>
      </c>
      <c r="H16385" s="1" t="s">
        <v>0</v>
      </c>
      <c r="I16385" s="2">
        <v>0</v>
      </c>
      <c r="J16385" s="1">
        <v>46043.428854166668</v>
      </c>
    </row>
    <row r="16386" spans="1:10" x14ac:dyDescent="0.2">
      <c r="A16386" s="4" t="s">
        <v>1</v>
      </c>
      <c r="B1638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86" s="3" t="str">
        <f>HYPERLINK("https://otsuka-europe-crm.veevavault.com/ui/#object/sent_email__v/VBL000000016155", "SE-001400365")</f>
        <v>SE-001400365</v>
      </c>
      <c r="D16386" s="1">
        <v>46047.968101851853</v>
      </c>
      <c r="E16386" s="2">
        <v>1</v>
      </c>
      <c r="F16386" s="2">
        <v>2</v>
      </c>
      <c r="G16386" s="2">
        <v>0</v>
      </c>
      <c r="H16386" s="1" t="s">
        <v>0</v>
      </c>
      <c r="I16386" s="2">
        <v>0</v>
      </c>
      <c r="J16386" s="1">
        <v>46043.428831018522</v>
      </c>
    </row>
    <row r="16387" spans="1:10" x14ac:dyDescent="0.2">
      <c r="A16387" s="4" t="s">
        <v>1</v>
      </c>
      <c r="B1638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87" s="3" t="str">
        <f>HYPERLINK("https://otsuka-europe-crm.veevavault.com/ui/#object/sent_email__v/VBL000000016156", "SE-001400366")</f>
        <v>SE-001400366</v>
      </c>
      <c r="D16387" s="1" t="s">
        <v>0</v>
      </c>
      <c r="E16387" s="2">
        <v>0</v>
      </c>
      <c r="F16387" s="2">
        <v>0</v>
      </c>
      <c r="G16387" s="2">
        <v>0</v>
      </c>
      <c r="H16387" s="1" t="s">
        <v>0</v>
      </c>
      <c r="I16387" s="2">
        <v>0</v>
      </c>
      <c r="J16387" s="1">
        <v>46043.429062499999</v>
      </c>
    </row>
    <row r="16388" spans="1:10" x14ac:dyDescent="0.2">
      <c r="A16388" s="4" t="s">
        <v>1</v>
      </c>
      <c r="B1638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88" s="3" t="str">
        <f>HYPERLINK("https://otsuka-europe-crm.veevavault.com/ui/#object/sent_email__v/VBL000000016157", "SE-001400367")</f>
        <v>SE-001400367</v>
      </c>
      <c r="D16388" s="1" t="s">
        <v>0</v>
      </c>
      <c r="E16388" s="2">
        <v>0</v>
      </c>
      <c r="F16388" s="2">
        <v>0</v>
      </c>
      <c r="G16388" s="2">
        <v>0</v>
      </c>
      <c r="H16388" s="1" t="s">
        <v>0</v>
      </c>
      <c r="I16388" s="2">
        <v>0</v>
      </c>
      <c r="J16388" s="1">
        <v>46043.429166666669</v>
      </c>
    </row>
    <row r="16389" spans="1:10" x14ac:dyDescent="0.2">
      <c r="A16389" s="4" t="s">
        <v>1</v>
      </c>
      <c r="B1638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89" s="3" t="str">
        <f>HYPERLINK("https://otsuka-europe-crm.veevavault.com/ui/#object/sent_email__v/VBL000000016158", "SE-001400368")</f>
        <v>SE-001400368</v>
      </c>
      <c r="D16389" s="1" t="s">
        <v>0</v>
      </c>
      <c r="E16389" s="2">
        <v>0</v>
      </c>
      <c r="F16389" s="2">
        <v>0</v>
      </c>
      <c r="G16389" s="2">
        <v>0</v>
      </c>
      <c r="H16389" s="1" t="s">
        <v>0</v>
      </c>
      <c r="I16389" s="2">
        <v>0</v>
      </c>
      <c r="J16389" s="1">
        <v>46043.428912037038</v>
      </c>
    </row>
    <row r="16390" spans="1:10" x14ac:dyDescent="0.2">
      <c r="A16390" s="4" t="s">
        <v>1</v>
      </c>
      <c r="B1639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90" s="3" t="str">
        <f>HYPERLINK("https://otsuka-europe-crm.veevavault.com/ui/#object/sent_email__v/VBL000000016159", "SE-001400369")</f>
        <v>SE-001400369</v>
      </c>
      <c r="D16390" s="1" t="s">
        <v>0</v>
      </c>
      <c r="E16390" s="2">
        <v>0</v>
      </c>
      <c r="F16390" s="2">
        <v>0</v>
      </c>
      <c r="G16390" s="2">
        <v>0</v>
      </c>
      <c r="H16390" s="1" t="s">
        <v>0</v>
      </c>
      <c r="I16390" s="2">
        <v>0</v>
      </c>
      <c r="J16390" s="1">
        <v>46043.428842592592</v>
      </c>
    </row>
    <row r="16391" spans="1:10" x14ac:dyDescent="0.2">
      <c r="A16391" s="4" t="s">
        <v>1</v>
      </c>
      <c r="B1639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91" s="3" t="str">
        <f>HYPERLINK("https://otsuka-europe-crm.veevavault.com/ui/#object/sent_email__v/VBL000000016160", "SE-001400370")</f>
        <v>SE-001400370</v>
      </c>
      <c r="D16391" s="1">
        <v>46049.977430555555</v>
      </c>
      <c r="E16391" s="2">
        <v>1</v>
      </c>
      <c r="F16391" s="2">
        <v>1</v>
      </c>
      <c r="G16391" s="2">
        <v>0</v>
      </c>
      <c r="H16391" s="1" t="s">
        <v>0</v>
      </c>
      <c r="I16391" s="2">
        <v>0</v>
      </c>
      <c r="J16391" s="1">
        <v>46043.429189814815</v>
      </c>
    </row>
    <row r="16392" spans="1:10" x14ac:dyDescent="0.2">
      <c r="A16392" s="4" t="s">
        <v>1</v>
      </c>
      <c r="B1639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92" s="3" t="str">
        <f>HYPERLINK("https://otsuka-europe-crm.veevavault.com/ui/#object/sent_email__v/VBL000000016161", "SE-001400371")</f>
        <v>SE-001400371</v>
      </c>
      <c r="D16392" s="1" t="s">
        <v>0</v>
      </c>
      <c r="E16392" s="2">
        <v>0</v>
      </c>
      <c r="F16392" s="2">
        <v>0</v>
      </c>
      <c r="G16392" s="2">
        <v>0</v>
      </c>
      <c r="H16392" s="1" t="s">
        <v>0</v>
      </c>
      <c r="I16392" s="2">
        <v>0</v>
      </c>
      <c r="J16392" s="1">
        <v>46043.429224537038</v>
      </c>
    </row>
    <row r="16393" spans="1:10" x14ac:dyDescent="0.2">
      <c r="A16393" s="4" t="s">
        <v>1</v>
      </c>
      <c r="B1639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93" s="3" t="str">
        <f>HYPERLINK("https://otsuka-europe-crm.veevavault.com/ui/#object/sent_email__v/VBL000000016162", "SE-001400372")</f>
        <v>SE-001400372</v>
      </c>
      <c r="D16393" s="1" t="s">
        <v>0</v>
      </c>
      <c r="E16393" s="2">
        <v>0</v>
      </c>
      <c r="F16393" s="2">
        <v>0</v>
      </c>
      <c r="G16393" s="2">
        <v>0</v>
      </c>
      <c r="H16393" s="1" t="s">
        <v>0</v>
      </c>
      <c r="I16393" s="2">
        <v>0</v>
      </c>
      <c r="J16393" s="1">
        <v>46043.429178240738</v>
      </c>
    </row>
    <row r="16394" spans="1:10" x14ac:dyDescent="0.2">
      <c r="A16394" s="4" t="s">
        <v>1</v>
      </c>
      <c r="B1639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94" s="3" t="str">
        <f>HYPERLINK("https://otsuka-europe-crm.veevavault.com/ui/#object/sent_email__v/VBL000000016163", "SE-001400373")</f>
        <v>SE-001400373</v>
      </c>
      <c r="D16394" s="1" t="s">
        <v>0</v>
      </c>
      <c r="E16394" s="2">
        <v>0</v>
      </c>
      <c r="F16394" s="2">
        <v>0</v>
      </c>
      <c r="G16394" s="2">
        <v>0</v>
      </c>
      <c r="H16394" s="1" t="s">
        <v>0</v>
      </c>
      <c r="I16394" s="2">
        <v>0</v>
      </c>
      <c r="J16394" s="1">
        <v>46043.428923611114</v>
      </c>
    </row>
    <row r="16395" spans="1:10" x14ac:dyDescent="0.2">
      <c r="A16395" s="4" t="s">
        <v>1</v>
      </c>
      <c r="B1639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95" s="3" t="str">
        <f>HYPERLINK("https://otsuka-europe-crm.veevavault.com/ui/#object/sent_email__v/VBL000000016164", "SE-001400374")</f>
        <v>SE-001400374</v>
      </c>
      <c r="D16395" s="1" t="s">
        <v>0</v>
      </c>
      <c r="E16395" s="2">
        <v>0</v>
      </c>
      <c r="F16395" s="2">
        <v>0</v>
      </c>
      <c r="G16395" s="2">
        <v>0</v>
      </c>
      <c r="H16395" s="1" t="s">
        <v>0</v>
      </c>
      <c r="I16395" s="2">
        <v>0</v>
      </c>
      <c r="J16395" s="1">
        <v>46043.428923611114</v>
      </c>
    </row>
    <row r="16396" spans="1:10" x14ac:dyDescent="0.2">
      <c r="A16396" s="4" t="s">
        <v>1</v>
      </c>
      <c r="B1639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96" s="3" t="str">
        <f>HYPERLINK("https://otsuka-europe-crm.veevavault.com/ui/#object/sent_email__v/VBL000000016165", "SE-001400375")</f>
        <v>SE-001400375</v>
      </c>
      <c r="D16396" s="1" t="s">
        <v>0</v>
      </c>
      <c r="E16396" s="2">
        <v>0</v>
      </c>
      <c r="F16396" s="2">
        <v>0</v>
      </c>
      <c r="G16396" s="2">
        <v>0</v>
      </c>
      <c r="H16396" s="1" t="s">
        <v>0</v>
      </c>
      <c r="I16396" s="2">
        <v>0</v>
      </c>
      <c r="J16396" s="1">
        <v>46043.428946759261</v>
      </c>
    </row>
    <row r="16397" spans="1:10" x14ac:dyDescent="0.2">
      <c r="A16397" s="4" t="s">
        <v>1</v>
      </c>
      <c r="B1639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97" s="3" t="str">
        <f>HYPERLINK("https://otsuka-europe-crm.veevavault.com/ui/#object/sent_email__v/VBL000000016166", "SE-001400376")</f>
        <v>SE-001400376</v>
      </c>
      <c r="D16397" s="1" t="s">
        <v>0</v>
      </c>
      <c r="E16397" s="2">
        <v>0</v>
      </c>
      <c r="F16397" s="2">
        <v>0</v>
      </c>
      <c r="G16397" s="2">
        <v>0</v>
      </c>
      <c r="H16397" s="1" t="s">
        <v>0</v>
      </c>
      <c r="I16397" s="2">
        <v>0</v>
      </c>
      <c r="J16397" s="1">
        <v>46043.428923611114</v>
      </c>
    </row>
    <row r="16398" spans="1:10" x14ac:dyDescent="0.2">
      <c r="A16398" s="4" t="s">
        <v>1</v>
      </c>
      <c r="B1639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98" s="3" t="str">
        <f>HYPERLINK("https://otsuka-europe-crm.veevavault.com/ui/#object/sent_email__v/VBL000000016167", "SE-001400377")</f>
        <v>SE-001400377</v>
      </c>
      <c r="D16398" s="1" t="s">
        <v>0</v>
      </c>
      <c r="E16398" s="2">
        <v>0</v>
      </c>
      <c r="F16398" s="2">
        <v>0</v>
      </c>
      <c r="G16398" s="2">
        <v>0</v>
      </c>
      <c r="H16398" s="1" t="s">
        <v>0</v>
      </c>
      <c r="I16398" s="2">
        <v>0</v>
      </c>
      <c r="J16398" s="1">
        <v>46043.429236111115</v>
      </c>
    </row>
    <row r="16399" spans="1:10" x14ac:dyDescent="0.2">
      <c r="A16399" s="4" t="s">
        <v>1</v>
      </c>
      <c r="B1639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399" s="3" t="str">
        <f>HYPERLINK("https://otsuka-europe-crm.veevavault.com/ui/#object/sent_email__v/VBL000000016168", "SE-001400378")</f>
        <v>SE-001400378</v>
      </c>
      <c r="D16399" s="1" t="s">
        <v>0</v>
      </c>
      <c r="E16399" s="2">
        <v>0</v>
      </c>
      <c r="F16399" s="2">
        <v>0</v>
      </c>
      <c r="G16399" s="2">
        <v>0</v>
      </c>
      <c r="H16399" s="1" t="s">
        <v>0</v>
      </c>
      <c r="I16399" s="2">
        <v>0</v>
      </c>
      <c r="J16399" s="1">
        <v>46043.428946759261</v>
      </c>
    </row>
    <row r="16400" spans="1:10" x14ac:dyDescent="0.2">
      <c r="A16400" s="4" t="s">
        <v>1</v>
      </c>
      <c r="B1640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00" s="3" t="str">
        <f>HYPERLINK("https://otsuka-europe-crm.veevavault.com/ui/#object/sent_email__v/VBL000000016169", "SE-001400379")</f>
        <v>SE-001400379</v>
      </c>
      <c r="D16400" s="1" t="s">
        <v>0</v>
      </c>
      <c r="E16400" s="2">
        <v>0</v>
      </c>
      <c r="F16400" s="2">
        <v>0</v>
      </c>
      <c r="G16400" s="2">
        <v>0</v>
      </c>
      <c r="H16400" s="1" t="s">
        <v>0</v>
      </c>
      <c r="I16400" s="2">
        <v>0</v>
      </c>
      <c r="J16400" s="1">
        <v>46043.429305555554</v>
      </c>
    </row>
    <row r="16401" spans="1:10" x14ac:dyDescent="0.2">
      <c r="A16401" s="4" t="s">
        <v>1</v>
      </c>
      <c r="B1640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01" s="3" t="str">
        <f>HYPERLINK("https://otsuka-europe-crm.veevavault.com/ui/#object/sent_email__v/VBL000000016170", "SE-001400380")</f>
        <v>SE-001400380</v>
      </c>
      <c r="D16401" s="1" t="s">
        <v>0</v>
      </c>
      <c r="E16401" s="2">
        <v>0</v>
      </c>
      <c r="F16401" s="2">
        <v>0</v>
      </c>
      <c r="G16401" s="2">
        <v>0</v>
      </c>
      <c r="H16401" s="1" t="s">
        <v>0</v>
      </c>
      <c r="I16401" s="2">
        <v>0</v>
      </c>
      <c r="J16401" s="1">
        <v>46043.428923611114</v>
      </c>
    </row>
    <row r="16402" spans="1:10" x14ac:dyDescent="0.2">
      <c r="A16402" s="4" t="s">
        <v>1</v>
      </c>
      <c r="B1640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02" s="3" t="str">
        <f>HYPERLINK("https://otsuka-europe-crm.veevavault.com/ui/#object/sent_email__v/VBL000000016171", "SE-001400381")</f>
        <v>SE-001400381</v>
      </c>
      <c r="D16402" s="1" t="s">
        <v>0</v>
      </c>
      <c r="E16402" s="2">
        <v>0</v>
      </c>
      <c r="F16402" s="2">
        <v>0</v>
      </c>
      <c r="G16402" s="2">
        <v>0</v>
      </c>
      <c r="H16402" s="1" t="s">
        <v>0</v>
      </c>
      <c r="I16402" s="2">
        <v>0</v>
      </c>
      <c r="J16402" s="1">
        <v>46043.428923611114</v>
      </c>
    </row>
    <row r="16403" spans="1:10" x14ac:dyDescent="0.2">
      <c r="A16403" s="4" t="s">
        <v>1</v>
      </c>
      <c r="B1640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03" s="3" t="str">
        <f>HYPERLINK("https://otsuka-europe-crm.veevavault.com/ui/#object/sent_email__v/VBL000000016172", "SE-001400382")</f>
        <v>SE-001400382</v>
      </c>
      <c r="D16403" s="1" t="s">
        <v>0</v>
      </c>
      <c r="E16403" s="2">
        <v>0</v>
      </c>
      <c r="F16403" s="2">
        <v>0</v>
      </c>
      <c r="G16403" s="2">
        <v>0</v>
      </c>
      <c r="H16403" s="1" t="s">
        <v>0</v>
      </c>
      <c r="I16403" s="2">
        <v>0</v>
      </c>
      <c r="J16403" s="1">
        <v>46043.42900462963</v>
      </c>
    </row>
    <row r="16404" spans="1:10" x14ac:dyDescent="0.2">
      <c r="A16404" s="4" t="s">
        <v>1</v>
      </c>
      <c r="B1640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04" s="3" t="str">
        <f>HYPERLINK("https://otsuka-europe-crm.veevavault.com/ui/#object/sent_email__v/VBL000000016173", "SE-001400383")</f>
        <v>SE-001400383</v>
      </c>
      <c r="D16404" s="1" t="s">
        <v>0</v>
      </c>
      <c r="E16404" s="2">
        <v>0</v>
      </c>
      <c r="F16404" s="2">
        <v>0</v>
      </c>
      <c r="G16404" s="2">
        <v>0</v>
      </c>
      <c r="H16404" s="1" t="s">
        <v>0</v>
      </c>
      <c r="I16404" s="2">
        <v>0</v>
      </c>
      <c r="J16404" s="1">
        <v>46043.429016203707</v>
      </c>
    </row>
    <row r="16405" spans="1:10" x14ac:dyDescent="0.2">
      <c r="A16405" s="4" t="s">
        <v>1</v>
      </c>
      <c r="B1640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05" s="3" t="str">
        <f>HYPERLINK("https://otsuka-europe-crm.veevavault.com/ui/#object/sent_email__v/VBL000000016174", "SE-001400384")</f>
        <v>SE-001400384</v>
      </c>
      <c r="D16405" s="1" t="s">
        <v>0</v>
      </c>
      <c r="E16405" s="2">
        <v>0</v>
      </c>
      <c r="F16405" s="2">
        <v>0</v>
      </c>
      <c r="G16405" s="2">
        <v>0</v>
      </c>
      <c r="H16405" s="1" t="s">
        <v>0</v>
      </c>
      <c r="I16405" s="2">
        <v>0</v>
      </c>
      <c r="J16405" s="1">
        <v>46043.428923611114</v>
      </c>
    </row>
    <row r="16406" spans="1:10" x14ac:dyDescent="0.2">
      <c r="A16406" s="4" t="s">
        <v>1</v>
      </c>
      <c r="B1640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06" s="3" t="str">
        <f>HYPERLINK("https://otsuka-europe-crm.veevavault.com/ui/#object/sent_email__v/VBL000000016175", "SE-001400385")</f>
        <v>SE-001400385</v>
      </c>
      <c r="D16406" s="1" t="s">
        <v>0</v>
      </c>
      <c r="E16406" s="2">
        <v>0</v>
      </c>
      <c r="F16406" s="2">
        <v>0</v>
      </c>
      <c r="G16406" s="2">
        <v>0</v>
      </c>
      <c r="H16406" s="1" t="s">
        <v>0</v>
      </c>
      <c r="I16406" s="2">
        <v>0</v>
      </c>
      <c r="J16406" s="1">
        <v>46043.429236111115</v>
      </c>
    </row>
    <row r="16407" spans="1:10" x14ac:dyDescent="0.2">
      <c r="A16407" s="4" t="s">
        <v>1</v>
      </c>
      <c r="B1640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07" s="3" t="str">
        <f>HYPERLINK("https://otsuka-europe-crm.veevavault.com/ui/#object/sent_email__v/VBL000000016176", "SE-001400386")</f>
        <v>SE-001400386</v>
      </c>
      <c r="D16407" s="1">
        <v>46044.042222222219</v>
      </c>
      <c r="E16407" s="2">
        <v>1</v>
      </c>
      <c r="F16407" s="2">
        <v>1</v>
      </c>
      <c r="G16407" s="2">
        <v>0</v>
      </c>
      <c r="H16407" s="1" t="s">
        <v>0</v>
      </c>
      <c r="I16407" s="2">
        <v>0</v>
      </c>
      <c r="J16407" s="1">
        <v>46043.428981481484</v>
      </c>
    </row>
    <row r="16408" spans="1:10" x14ac:dyDescent="0.2">
      <c r="A16408" s="4" t="s">
        <v>1</v>
      </c>
      <c r="B1640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08" s="3" t="str">
        <f>HYPERLINK("https://otsuka-europe-crm.veevavault.com/ui/#object/sent_email__v/VBL000000016177", "SE-001400387")</f>
        <v>SE-001400387</v>
      </c>
      <c r="D16408" s="1" t="s">
        <v>0</v>
      </c>
      <c r="E16408" s="2">
        <v>0</v>
      </c>
      <c r="F16408" s="2">
        <v>0</v>
      </c>
      <c r="G16408" s="2">
        <v>0</v>
      </c>
      <c r="H16408" s="1" t="s">
        <v>0</v>
      </c>
      <c r="I16408" s="2">
        <v>0</v>
      </c>
      <c r="J16408" s="1">
        <v>46043.429189814815</v>
      </c>
    </row>
    <row r="16409" spans="1:10" x14ac:dyDescent="0.2">
      <c r="A16409" s="4" t="s">
        <v>1</v>
      </c>
      <c r="B1640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09" s="3" t="str">
        <f>HYPERLINK("https://otsuka-europe-crm.veevavault.com/ui/#object/sent_email__v/VBL000000016178", "SE-001400388")</f>
        <v>SE-001400388</v>
      </c>
      <c r="D16409" s="1" t="s">
        <v>0</v>
      </c>
      <c r="E16409" s="2">
        <v>0</v>
      </c>
      <c r="F16409" s="2">
        <v>0</v>
      </c>
      <c r="G16409" s="2">
        <v>0</v>
      </c>
      <c r="H16409" s="1" t="s">
        <v>0</v>
      </c>
      <c r="I16409" s="2">
        <v>0</v>
      </c>
      <c r="J16409" s="1">
        <v>46043.428993055553</v>
      </c>
    </row>
    <row r="16410" spans="1:10" x14ac:dyDescent="0.2">
      <c r="A16410" s="4" t="s">
        <v>1</v>
      </c>
      <c r="B1641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10" s="3" t="str">
        <f>HYPERLINK("https://otsuka-europe-crm.veevavault.com/ui/#object/sent_email__v/VBL000000016179", "SE-001400389")</f>
        <v>SE-001400389</v>
      </c>
      <c r="D16410" s="1" t="s">
        <v>0</v>
      </c>
      <c r="E16410" s="2">
        <v>0</v>
      </c>
      <c r="F16410" s="2">
        <v>0</v>
      </c>
      <c r="G16410" s="2">
        <v>0</v>
      </c>
      <c r="H16410" s="1" t="s">
        <v>0</v>
      </c>
      <c r="I16410" s="2">
        <v>0</v>
      </c>
      <c r="J16410" s="1">
        <v>46043.429166666669</v>
      </c>
    </row>
    <row r="16411" spans="1:10" x14ac:dyDescent="0.2">
      <c r="A16411" s="4" t="s">
        <v>1</v>
      </c>
      <c r="B1641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11" s="3" t="str">
        <f>HYPERLINK("https://otsuka-europe-crm.veevavault.com/ui/#object/sent_email__v/VBL000000016180", "SE-001400390")</f>
        <v>SE-001400390</v>
      </c>
      <c r="D16411" s="1" t="s">
        <v>0</v>
      </c>
      <c r="E16411" s="2">
        <v>0</v>
      </c>
      <c r="F16411" s="2">
        <v>0</v>
      </c>
      <c r="G16411" s="2">
        <v>0</v>
      </c>
      <c r="H16411" s="1" t="s">
        <v>0</v>
      </c>
      <c r="I16411" s="2">
        <v>0</v>
      </c>
      <c r="J16411" s="1">
        <v>46043.42895833333</v>
      </c>
    </row>
    <row r="16412" spans="1:10" x14ac:dyDescent="0.2">
      <c r="A16412" s="4" t="s">
        <v>1</v>
      </c>
      <c r="B1641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12" s="3" t="str">
        <f>HYPERLINK("https://otsuka-europe-crm.veevavault.com/ui/#object/sent_email__v/VBL000000016181", "SE-001400391")</f>
        <v>SE-001400391</v>
      </c>
      <c r="D16412" s="1" t="s">
        <v>0</v>
      </c>
      <c r="E16412" s="2">
        <v>0</v>
      </c>
      <c r="F16412" s="2">
        <v>0</v>
      </c>
      <c r="G16412" s="2">
        <v>0</v>
      </c>
      <c r="H16412" s="1" t="s">
        <v>0</v>
      </c>
      <c r="I16412" s="2">
        <v>0</v>
      </c>
      <c r="J16412" s="1">
        <v>46043.429027777776</v>
      </c>
    </row>
    <row r="16413" spans="1:10" x14ac:dyDescent="0.2">
      <c r="A16413" s="4" t="s">
        <v>1</v>
      </c>
      <c r="B1641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13" s="3" t="str">
        <f>HYPERLINK("https://otsuka-europe-crm.veevavault.com/ui/#object/sent_email__v/VBL000000016182", "SE-001400392")</f>
        <v>SE-001400392</v>
      </c>
      <c r="D16413" s="1" t="s">
        <v>0</v>
      </c>
      <c r="E16413" s="2">
        <v>0</v>
      </c>
      <c r="F16413" s="2">
        <v>0</v>
      </c>
      <c r="G16413" s="2">
        <v>0</v>
      </c>
      <c r="H16413" s="1" t="s">
        <v>0</v>
      </c>
      <c r="I16413" s="2">
        <v>0</v>
      </c>
      <c r="J16413" s="1">
        <v>46043.428946759261</v>
      </c>
    </row>
    <row r="16414" spans="1:10" x14ac:dyDescent="0.2">
      <c r="A16414" s="4" t="s">
        <v>1</v>
      </c>
      <c r="B1641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14" s="3" t="str">
        <f>HYPERLINK("https://otsuka-europe-crm.veevavault.com/ui/#object/sent_email__v/VBL000000016183", "SE-001400393")</f>
        <v>SE-001400393</v>
      </c>
      <c r="D16414" s="1" t="s">
        <v>0</v>
      </c>
      <c r="E16414" s="2">
        <v>0</v>
      </c>
      <c r="F16414" s="2">
        <v>0</v>
      </c>
      <c r="G16414" s="2">
        <v>0</v>
      </c>
      <c r="H16414" s="1" t="s">
        <v>0</v>
      </c>
      <c r="I16414" s="2">
        <v>0</v>
      </c>
      <c r="J16414" s="1">
        <v>46043.428946759261</v>
      </c>
    </row>
    <row r="16415" spans="1:10" x14ac:dyDescent="0.2">
      <c r="A16415" s="4" t="s">
        <v>1</v>
      </c>
      <c r="B1641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15" s="3" t="str">
        <f>HYPERLINK("https://otsuka-europe-crm.veevavault.com/ui/#object/sent_email__v/VBL000000016184", "SE-001400394")</f>
        <v>SE-001400394</v>
      </c>
      <c r="D16415" s="1" t="s">
        <v>0</v>
      </c>
      <c r="E16415" s="2">
        <v>0</v>
      </c>
      <c r="F16415" s="2">
        <v>0</v>
      </c>
      <c r="G16415" s="2">
        <v>0</v>
      </c>
      <c r="H16415" s="1" t="s">
        <v>0</v>
      </c>
      <c r="I16415" s="2">
        <v>0</v>
      </c>
      <c r="J16415" s="1">
        <v>46043.42895833333</v>
      </c>
    </row>
    <row r="16416" spans="1:10" x14ac:dyDescent="0.2">
      <c r="A16416" s="4" t="s">
        <v>1</v>
      </c>
      <c r="B1641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16" s="3" t="str">
        <f>HYPERLINK("https://otsuka-europe-crm.veevavault.com/ui/#object/sent_email__v/VBL000000016185", "SE-001400395")</f>
        <v>SE-001400395</v>
      </c>
      <c r="D16416" s="1">
        <v>46045.024629629632</v>
      </c>
      <c r="E16416" s="2">
        <v>1</v>
      </c>
      <c r="F16416" s="2">
        <v>1</v>
      </c>
      <c r="G16416" s="2">
        <v>0</v>
      </c>
      <c r="H16416" s="1" t="s">
        <v>0</v>
      </c>
      <c r="I16416" s="2">
        <v>0</v>
      </c>
      <c r="J16416" s="1">
        <v>46043.428946759261</v>
      </c>
    </row>
    <row r="16417" spans="1:10" x14ac:dyDescent="0.2">
      <c r="A16417" s="4" t="s">
        <v>1</v>
      </c>
      <c r="B1641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17" s="3" t="str">
        <f>HYPERLINK("https://otsuka-europe-crm.veevavault.com/ui/#object/sent_email__v/VBL000000016220", "SE-001400446")</f>
        <v>SE-001400446</v>
      </c>
      <c r="D16417" s="1" t="s">
        <v>0</v>
      </c>
      <c r="E16417" s="2">
        <v>0</v>
      </c>
      <c r="F16417" s="2">
        <v>0</v>
      </c>
      <c r="G16417" s="2">
        <v>0</v>
      </c>
      <c r="H16417" s="1" t="s">
        <v>0</v>
      </c>
      <c r="I16417" s="2">
        <v>0</v>
      </c>
      <c r="J16417" s="1">
        <v>46043.429236111115</v>
      </c>
    </row>
    <row r="16418" spans="1:10" x14ac:dyDescent="0.2">
      <c r="A16418" s="4" t="s">
        <v>1</v>
      </c>
      <c r="B1641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18" s="3" t="str">
        <f>HYPERLINK("https://otsuka-europe-crm.veevavault.com/ui/#object/sent_email__v/VBL000000016221", "SE-001400447")</f>
        <v>SE-001400447</v>
      </c>
      <c r="D16418" s="1" t="s">
        <v>0</v>
      </c>
      <c r="E16418" s="2">
        <v>0</v>
      </c>
      <c r="F16418" s="2">
        <v>0</v>
      </c>
      <c r="G16418" s="2">
        <v>0</v>
      </c>
      <c r="H16418" s="1" t="s">
        <v>0</v>
      </c>
      <c r="I16418" s="2">
        <v>0</v>
      </c>
      <c r="J16418" s="1">
        <v>46043.429282407407</v>
      </c>
    </row>
    <row r="16419" spans="1:10" x14ac:dyDescent="0.2">
      <c r="A16419" s="4" t="s">
        <v>1</v>
      </c>
      <c r="B1641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19" s="3" t="str">
        <f>HYPERLINK("https://otsuka-europe-crm.veevavault.com/ui/#object/sent_email__v/VBL000000016222", "SE-001400448")</f>
        <v>SE-001400448</v>
      </c>
      <c r="D16419" s="1" t="s">
        <v>0</v>
      </c>
      <c r="E16419" s="2">
        <v>0</v>
      </c>
      <c r="F16419" s="2">
        <v>0</v>
      </c>
      <c r="G16419" s="2">
        <v>0</v>
      </c>
      <c r="H16419" s="1" t="s">
        <v>0</v>
      </c>
      <c r="I16419" s="2">
        <v>0</v>
      </c>
      <c r="J16419" s="1">
        <v>46043.429189814815</v>
      </c>
    </row>
    <row r="16420" spans="1:10" x14ac:dyDescent="0.2">
      <c r="A16420" s="4" t="s">
        <v>1</v>
      </c>
      <c r="B1642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20" s="3" t="str">
        <f>HYPERLINK("https://otsuka-europe-crm.veevavault.com/ui/#object/sent_email__v/VBL000000016223", "SE-001400449")</f>
        <v>SE-001400449</v>
      </c>
      <c r="D16420" s="1" t="s">
        <v>0</v>
      </c>
      <c r="E16420" s="2">
        <v>0</v>
      </c>
      <c r="F16420" s="2">
        <v>0</v>
      </c>
      <c r="G16420" s="2">
        <v>0</v>
      </c>
      <c r="H16420" s="1" t="s">
        <v>0</v>
      </c>
      <c r="I16420" s="2">
        <v>0</v>
      </c>
      <c r="J16420" s="1">
        <v>46043.429166666669</v>
      </c>
    </row>
    <row r="16421" spans="1:10" x14ac:dyDescent="0.2">
      <c r="A16421" s="4" t="s">
        <v>1</v>
      </c>
      <c r="B1642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21" s="3" t="str">
        <f>HYPERLINK("https://otsuka-europe-crm.veevavault.com/ui/#object/sent_email__v/VBL000000016224", "SE-001400450")</f>
        <v>SE-001400450</v>
      </c>
      <c r="D16421" s="1" t="s">
        <v>0</v>
      </c>
      <c r="E16421" s="2">
        <v>0</v>
      </c>
      <c r="F16421" s="2">
        <v>0</v>
      </c>
      <c r="G16421" s="2">
        <v>0</v>
      </c>
      <c r="H16421" s="1" t="s">
        <v>0</v>
      </c>
      <c r="I16421" s="2">
        <v>0</v>
      </c>
      <c r="J16421" s="1">
        <v>46043.429224537038</v>
      </c>
    </row>
    <row r="16422" spans="1:10" x14ac:dyDescent="0.2">
      <c r="A16422" s="4" t="s">
        <v>1</v>
      </c>
      <c r="B1642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22" s="3" t="str">
        <f>HYPERLINK("https://otsuka-europe-crm.veevavault.com/ui/#object/sent_email__v/VBL000000016225", "SE-001400451")</f>
        <v>SE-001400451</v>
      </c>
      <c r="D16422" s="1" t="s">
        <v>0</v>
      </c>
      <c r="E16422" s="2">
        <v>0</v>
      </c>
      <c r="F16422" s="2">
        <v>0</v>
      </c>
      <c r="G16422" s="2">
        <v>0</v>
      </c>
      <c r="H16422" s="1" t="s">
        <v>0</v>
      </c>
      <c r="I16422" s="2">
        <v>0</v>
      </c>
      <c r="J16422" s="1">
        <v>46043.429212962961</v>
      </c>
    </row>
    <row r="16423" spans="1:10" x14ac:dyDescent="0.2">
      <c r="A16423" s="4" t="s">
        <v>1</v>
      </c>
      <c r="B1642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23" s="3" t="str">
        <f>HYPERLINK("https://otsuka-europe-crm.veevavault.com/ui/#object/sent_email__v/VBL000000016226", "SE-001400452")</f>
        <v>SE-001400452</v>
      </c>
      <c r="D16423" s="1">
        <v>46043.976331018515</v>
      </c>
      <c r="E16423" s="2">
        <v>1</v>
      </c>
      <c r="F16423" s="2">
        <v>1</v>
      </c>
      <c r="G16423" s="2">
        <v>0</v>
      </c>
      <c r="H16423" s="1" t="s">
        <v>0</v>
      </c>
      <c r="I16423" s="2">
        <v>0</v>
      </c>
      <c r="J16423" s="1">
        <v>46043.429143518515</v>
      </c>
    </row>
    <row r="16424" spans="1:10" x14ac:dyDescent="0.2">
      <c r="A16424" s="4" t="s">
        <v>1</v>
      </c>
      <c r="B1642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24" s="3" t="str">
        <f>HYPERLINK("https://otsuka-europe-crm.veevavault.com/ui/#object/sent_email__v/VBL000000016227", "SE-001400453")</f>
        <v>SE-001400453</v>
      </c>
      <c r="D16424" s="1">
        <v>46048.772777777776</v>
      </c>
      <c r="E16424" s="2">
        <v>1</v>
      </c>
      <c r="F16424" s="2">
        <v>2</v>
      </c>
      <c r="G16424" s="2">
        <v>0</v>
      </c>
      <c r="H16424" s="1" t="s">
        <v>0</v>
      </c>
      <c r="I16424" s="2">
        <v>0</v>
      </c>
      <c r="J16424" s="1">
        <v>46043.429270833331</v>
      </c>
    </row>
    <row r="16425" spans="1:10" x14ac:dyDescent="0.2">
      <c r="A16425" s="4" t="s">
        <v>1</v>
      </c>
      <c r="B1642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25" s="3" t="str">
        <f>HYPERLINK("https://otsuka-europe-crm.veevavault.com/ui/#object/sent_email__v/VBL000000016228", "SE-001400454")</f>
        <v>SE-001400454</v>
      </c>
      <c r="D16425" s="1" t="s">
        <v>0</v>
      </c>
      <c r="E16425" s="2">
        <v>0</v>
      </c>
      <c r="F16425" s="2">
        <v>0</v>
      </c>
      <c r="G16425" s="2">
        <v>0</v>
      </c>
      <c r="H16425" s="1" t="s">
        <v>0</v>
      </c>
      <c r="I16425" s="2">
        <v>0</v>
      </c>
      <c r="J16425" s="1">
        <v>46043.429236111115</v>
      </c>
    </row>
    <row r="16426" spans="1:10" x14ac:dyDescent="0.2">
      <c r="A16426" s="4" t="s">
        <v>1</v>
      </c>
      <c r="B1642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26" s="3" t="str">
        <f>HYPERLINK("https://otsuka-europe-crm.veevavault.com/ui/#object/sent_email__v/VBL000000016229", "SE-001400455")</f>
        <v>SE-001400455</v>
      </c>
      <c r="D16426" s="1" t="s">
        <v>0</v>
      </c>
      <c r="E16426" s="2">
        <v>0</v>
      </c>
      <c r="F16426" s="2">
        <v>0</v>
      </c>
      <c r="G16426" s="2">
        <v>0</v>
      </c>
      <c r="H16426" s="1" t="s">
        <v>0</v>
      </c>
      <c r="I16426" s="2">
        <v>0</v>
      </c>
      <c r="J16426" s="1">
        <v>46043.429247685184</v>
      </c>
    </row>
    <row r="16427" spans="1:10" x14ac:dyDescent="0.2">
      <c r="A16427" s="4" t="s">
        <v>1</v>
      </c>
      <c r="B1642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27" s="3" t="str">
        <f>HYPERLINK("https://otsuka-europe-crm.veevavault.com/ui/#object/sent_email__v/VBL000000016230", "SE-001400456")</f>
        <v>SE-001400456</v>
      </c>
      <c r="D16427" s="1" t="s">
        <v>0</v>
      </c>
      <c r="E16427" s="2">
        <v>0</v>
      </c>
      <c r="F16427" s="2">
        <v>0</v>
      </c>
      <c r="G16427" s="2">
        <v>0</v>
      </c>
      <c r="H16427" s="1" t="s">
        <v>0</v>
      </c>
      <c r="I16427" s="2">
        <v>0</v>
      </c>
      <c r="J16427" s="1">
        <v>46043.429270833331</v>
      </c>
    </row>
    <row r="16428" spans="1:10" x14ac:dyDescent="0.2">
      <c r="A16428" s="4" t="s">
        <v>1</v>
      </c>
      <c r="B1642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28" s="3" t="str">
        <f>HYPERLINK("https://otsuka-europe-crm.veevavault.com/ui/#object/sent_email__v/VBL000000016231", "SE-001400457")</f>
        <v>SE-001400457</v>
      </c>
      <c r="D16428" s="1" t="s">
        <v>0</v>
      </c>
      <c r="E16428" s="2">
        <v>0</v>
      </c>
      <c r="F16428" s="2">
        <v>0</v>
      </c>
      <c r="G16428" s="2">
        <v>0</v>
      </c>
      <c r="H16428" s="1" t="s">
        <v>0</v>
      </c>
      <c r="I16428" s="2">
        <v>0</v>
      </c>
      <c r="J16428" s="1">
        <v>46043.429293981484</v>
      </c>
    </row>
    <row r="16429" spans="1:10" x14ac:dyDescent="0.2">
      <c r="A16429" s="4" t="s">
        <v>1</v>
      </c>
      <c r="B1642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29" s="3" t="str">
        <f>HYPERLINK("https://otsuka-europe-crm.veevavault.com/ui/#object/sent_email__v/VBL000000016232", "SE-001400458")</f>
        <v>SE-001400458</v>
      </c>
      <c r="D16429" s="1" t="s">
        <v>0</v>
      </c>
      <c r="E16429" s="2">
        <v>0</v>
      </c>
      <c r="F16429" s="2">
        <v>0</v>
      </c>
      <c r="G16429" s="2">
        <v>0</v>
      </c>
      <c r="H16429" s="1" t="s">
        <v>0</v>
      </c>
      <c r="I16429" s="2">
        <v>0</v>
      </c>
      <c r="J16429" s="1">
        <v>46043.429293981484</v>
      </c>
    </row>
    <row r="16430" spans="1:10" x14ac:dyDescent="0.2">
      <c r="A16430" s="4" t="s">
        <v>1</v>
      </c>
      <c r="B1643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30" s="3" t="str">
        <f>HYPERLINK("https://otsuka-europe-crm.veevavault.com/ui/#object/sent_email__v/VBL000000016233", "SE-001400459")</f>
        <v>SE-001400459</v>
      </c>
      <c r="D16430" s="1" t="s">
        <v>0</v>
      </c>
      <c r="E16430" s="2">
        <v>0</v>
      </c>
      <c r="F16430" s="2">
        <v>0</v>
      </c>
      <c r="G16430" s="2">
        <v>0</v>
      </c>
      <c r="H16430" s="1" t="s">
        <v>0</v>
      </c>
      <c r="I16430" s="2">
        <v>0</v>
      </c>
      <c r="J16430" s="1">
        <v>46043.429293981484</v>
      </c>
    </row>
    <row r="16431" spans="1:10" x14ac:dyDescent="0.2">
      <c r="A16431" s="4" t="s">
        <v>1</v>
      </c>
      <c r="B1643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31" s="3" t="str">
        <f>HYPERLINK("https://otsuka-europe-crm.veevavault.com/ui/#object/sent_email__v/VBL000000016234", "SE-001400460")</f>
        <v>SE-001400460</v>
      </c>
      <c r="D16431" s="1" t="s">
        <v>0</v>
      </c>
      <c r="E16431" s="2">
        <v>0</v>
      </c>
      <c r="F16431" s="2">
        <v>0</v>
      </c>
      <c r="G16431" s="2">
        <v>0</v>
      </c>
      <c r="H16431" s="1" t="s">
        <v>0</v>
      </c>
      <c r="I16431" s="2">
        <v>0</v>
      </c>
      <c r="J16431" s="1">
        <v>46043.429212962961</v>
      </c>
    </row>
    <row r="16432" spans="1:10" x14ac:dyDescent="0.2">
      <c r="A16432" s="4" t="s">
        <v>1</v>
      </c>
      <c r="B1643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32" s="3" t="str">
        <f>HYPERLINK("https://otsuka-europe-crm.veevavault.com/ui/#object/sent_email__v/VBL000000016235", "SE-001400461")</f>
        <v>SE-001400461</v>
      </c>
      <c r="D16432" s="1" t="s">
        <v>0</v>
      </c>
      <c r="E16432" s="2">
        <v>0</v>
      </c>
      <c r="F16432" s="2">
        <v>0</v>
      </c>
      <c r="G16432" s="2">
        <v>0</v>
      </c>
      <c r="H16432" s="1" t="s">
        <v>0</v>
      </c>
      <c r="I16432" s="2">
        <v>0</v>
      </c>
      <c r="J16432" s="1">
        <v>46043.429305555554</v>
      </c>
    </row>
    <row r="16433" spans="1:10" x14ac:dyDescent="0.2">
      <c r="A16433" s="4" t="s">
        <v>1</v>
      </c>
      <c r="B1643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33" s="3" t="str">
        <f>HYPERLINK("https://otsuka-europe-crm.veevavault.com/ui/#object/sent_email__v/VBL000000016236", "SE-001400462")</f>
        <v>SE-001400462</v>
      </c>
      <c r="D16433" s="1" t="s">
        <v>0</v>
      </c>
      <c r="E16433" s="2">
        <v>0</v>
      </c>
      <c r="F16433" s="2">
        <v>0</v>
      </c>
      <c r="G16433" s="2">
        <v>0</v>
      </c>
      <c r="H16433" s="1" t="s">
        <v>0</v>
      </c>
      <c r="I16433" s="2">
        <v>0</v>
      </c>
      <c r="J16433" s="1">
        <v>46043.429305555554</v>
      </c>
    </row>
    <row r="16434" spans="1:10" x14ac:dyDescent="0.2">
      <c r="A16434" s="4" t="s">
        <v>1</v>
      </c>
      <c r="B1643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34" s="3" t="str">
        <f>HYPERLINK("https://otsuka-europe-crm.veevavault.com/ui/#object/sent_email__v/VBL000000016237", "SE-001400463")</f>
        <v>SE-001400463</v>
      </c>
      <c r="D16434" s="1" t="s">
        <v>0</v>
      </c>
      <c r="E16434" s="2">
        <v>0</v>
      </c>
      <c r="F16434" s="2">
        <v>0</v>
      </c>
      <c r="G16434" s="2">
        <v>0</v>
      </c>
      <c r="H16434" s="1" t="s">
        <v>0</v>
      </c>
      <c r="I16434" s="2">
        <v>0</v>
      </c>
      <c r="J16434" s="1">
        <v>46043.429351851853</v>
      </c>
    </row>
    <row r="16435" spans="1:10" x14ac:dyDescent="0.2">
      <c r="A16435" s="4" t="s">
        <v>1</v>
      </c>
      <c r="B1643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35" s="3" t="str">
        <f>HYPERLINK("https://otsuka-europe-crm.veevavault.com/ui/#object/sent_email__v/VBL000000016238", "SE-001400464")</f>
        <v>SE-001400464</v>
      </c>
      <c r="D16435" s="1" t="s">
        <v>0</v>
      </c>
      <c r="E16435" s="2">
        <v>0</v>
      </c>
      <c r="F16435" s="2">
        <v>0</v>
      </c>
      <c r="G16435" s="2">
        <v>0</v>
      </c>
      <c r="H16435" s="1" t="s">
        <v>0</v>
      </c>
      <c r="I16435" s="2">
        <v>0</v>
      </c>
      <c r="J16435" s="1">
        <v>46043.429293981484</v>
      </c>
    </row>
    <row r="16436" spans="1:10" x14ac:dyDescent="0.2">
      <c r="A16436" s="4" t="s">
        <v>1</v>
      </c>
      <c r="B1643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36" s="3" t="str">
        <f>HYPERLINK("https://otsuka-europe-crm.veevavault.com/ui/#object/sent_email__v/VBL000000016239", "SE-001400465")</f>
        <v>SE-001400465</v>
      </c>
      <c r="D16436" s="1" t="s">
        <v>0</v>
      </c>
      <c r="E16436" s="2">
        <v>0</v>
      </c>
      <c r="F16436" s="2">
        <v>0</v>
      </c>
      <c r="G16436" s="2">
        <v>0</v>
      </c>
      <c r="H16436" s="1" t="s">
        <v>0</v>
      </c>
      <c r="I16436" s="2">
        <v>0</v>
      </c>
      <c r="J16436" s="1">
        <v>46043.429270833331</v>
      </c>
    </row>
    <row r="16437" spans="1:10" x14ac:dyDescent="0.2">
      <c r="A16437" s="4" t="s">
        <v>1</v>
      </c>
      <c r="B1643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37" s="3" t="str">
        <f>HYPERLINK("https://otsuka-europe-crm.veevavault.com/ui/#object/sent_email__v/VBL000000016240", "SE-001400466")</f>
        <v>SE-001400466</v>
      </c>
      <c r="D16437" s="1">
        <v>46043.525763888887</v>
      </c>
      <c r="E16437" s="2">
        <v>1</v>
      </c>
      <c r="F16437" s="2">
        <v>1</v>
      </c>
      <c r="G16437" s="2">
        <v>0</v>
      </c>
      <c r="H16437" s="1" t="s">
        <v>0</v>
      </c>
      <c r="I16437" s="2">
        <v>0</v>
      </c>
      <c r="J16437" s="1">
        <v>46043.428831018522</v>
      </c>
    </row>
    <row r="16438" spans="1:10" x14ac:dyDescent="0.2">
      <c r="A16438" s="4" t="s">
        <v>1</v>
      </c>
      <c r="B1643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38" s="3" t="str">
        <f>HYPERLINK("https://otsuka-europe-crm.veevavault.com/ui/#object/sent_email__v/VBL000000016241", "SE-001400467")</f>
        <v>SE-001400467</v>
      </c>
      <c r="D16438" s="1" t="s">
        <v>0</v>
      </c>
      <c r="E16438" s="2">
        <v>0</v>
      </c>
      <c r="F16438" s="2">
        <v>0</v>
      </c>
      <c r="G16438" s="2">
        <v>0</v>
      </c>
      <c r="H16438" s="1" t="s">
        <v>0</v>
      </c>
      <c r="I16438" s="2">
        <v>0</v>
      </c>
      <c r="J16438" s="1">
        <v>46043.428831018522</v>
      </c>
    </row>
    <row r="16439" spans="1:10" x14ac:dyDescent="0.2">
      <c r="A16439" s="4" t="s">
        <v>1</v>
      </c>
      <c r="B1643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39" s="3" t="str">
        <f>HYPERLINK("https://otsuka-europe-crm.veevavault.com/ui/#object/sent_email__v/VBL000000016242", "SE-001400468")</f>
        <v>SE-001400468</v>
      </c>
      <c r="D16439" s="1" t="s">
        <v>0</v>
      </c>
      <c r="E16439" s="2">
        <v>0</v>
      </c>
      <c r="F16439" s="2">
        <v>0</v>
      </c>
      <c r="G16439" s="2">
        <v>0</v>
      </c>
      <c r="H16439" s="1" t="s">
        <v>0</v>
      </c>
      <c r="I16439" s="2">
        <v>0</v>
      </c>
      <c r="J16439" s="1">
        <v>46043.428842592592</v>
      </c>
    </row>
    <row r="16440" spans="1:10" x14ac:dyDescent="0.2">
      <c r="A16440" s="4" t="s">
        <v>1</v>
      </c>
      <c r="B1644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40" s="3" t="str">
        <f>HYPERLINK("https://otsuka-europe-crm.veevavault.com/ui/#object/sent_email__v/VBL000000016243", "SE-001400469")</f>
        <v>SE-001400469</v>
      </c>
      <c r="D16440" s="1" t="s">
        <v>0</v>
      </c>
      <c r="E16440" s="2">
        <v>0</v>
      </c>
      <c r="F16440" s="2">
        <v>0</v>
      </c>
      <c r="G16440" s="2">
        <v>0</v>
      </c>
      <c r="H16440" s="1" t="s">
        <v>0</v>
      </c>
      <c r="I16440" s="2">
        <v>0</v>
      </c>
      <c r="J16440" s="1">
        <v>46043.428854166668</v>
      </c>
    </row>
    <row r="16441" spans="1:10" x14ac:dyDescent="0.2">
      <c r="A16441" s="4" t="s">
        <v>1</v>
      </c>
      <c r="B1644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41" s="3" t="str">
        <f>HYPERLINK("https://otsuka-europe-crm.veevavault.com/ui/#object/sent_email__v/VBL000000016244", "SE-001400470")</f>
        <v>SE-001400470</v>
      </c>
      <c r="D16441" s="1" t="s">
        <v>0</v>
      </c>
      <c r="E16441" s="2">
        <v>0</v>
      </c>
      <c r="F16441" s="2">
        <v>0</v>
      </c>
      <c r="G16441" s="2">
        <v>0</v>
      </c>
      <c r="H16441" s="1" t="s">
        <v>0</v>
      </c>
      <c r="I16441" s="2">
        <v>0</v>
      </c>
      <c r="J16441" s="1">
        <v>46043.428831018522</v>
      </c>
    </row>
    <row r="16442" spans="1:10" x14ac:dyDescent="0.2">
      <c r="A16442" s="4" t="s">
        <v>1</v>
      </c>
      <c r="B1644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42" s="3" t="str">
        <f>HYPERLINK("https://otsuka-europe-crm.veevavault.com/ui/#object/sent_email__v/VBL000000016245", "SE-001400471")</f>
        <v>SE-001400471</v>
      </c>
      <c r="D16442" s="1" t="s">
        <v>0</v>
      </c>
      <c r="E16442" s="2">
        <v>0</v>
      </c>
      <c r="F16442" s="2">
        <v>0</v>
      </c>
      <c r="G16442" s="2">
        <v>0</v>
      </c>
      <c r="H16442" s="1" t="s">
        <v>0</v>
      </c>
      <c r="I16442" s="2">
        <v>0</v>
      </c>
      <c r="J16442" s="1">
        <v>46043.428854166668</v>
      </c>
    </row>
    <row r="16443" spans="1:10" x14ac:dyDescent="0.2">
      <c r="A16443" s="4" t="s">
        <v>1</v>
      </c>
      <c r="B1644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43" s="3" t="str">
        <f>HYPERLINK("https://otsuka-europe-crm.veevavault.com/ui/#object/sent_email__v/VBL000000016246", "SE-001400472")</f>
        <v>SE-001400472</v>
      </c>
      <c r="D16443" s="1" t="s">
        <v>0</v>
      </c>
      <c r="E16443" s="2">
        <v>0</v>
      </c>
      <c r="F16443" s="2">
        <v>0</v>
      </c>
      <c r="G16443" s="2">
        <v>0</v>
      </c>
      <c r="H16443" s="1" t="s">
        <v>0</v>
      </c>
      <c r="I16443" s="2">
        <v>0</v>
      </c>
      <c r="J16443" s="1">
        <v>46043.428854166668</v>
      </c>
    </row>
    <row r="16444" spans="1:10" x14ac:dyDescent="0.2">
      <c r="A16444" s="4" t="s">
        <v>1</v>
      </c>
      <c r="B1644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44" s="3" t="str">
        <f>HYPERLINK("https://otsuka-europe-crm.veevavault.com/ui/#object/sent_email__v/VBL000000016247", "SE-001400473")</f>
        <v>SE-001400473</v>
      </c>
      <c r="D16444" s="1" t="s">
        <v>0</v>
      </c>
      <c r="E16444" s="2">
        <v>0</v>
      </c>
      <c r="F16444" s="2">
        <v>0</v>
      </c>
      <c r="G16444" s="2">
        <v>0</v>
      </c>
      <c r="H16444" s="1" t="s">
        <v>0</v>
      </c>
      <c r="I16444" s="2">
        <v>0</v>
      </c>
      <c r="J16444" s="1">
        <v>46043.428854166668</v>
      </c>
    </row>
    <row r="16445" spans="1:10" x14ac:dyDescent="0.2">
      <c r="A16445" s="4" t="s">
        <v>1</v>
      </c>
      <c r="B1644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45" s="3" t="str">
        <f>HYPERLINK("https://otsuka-europe-crm.veevavault.com/ui/#object/sent_email__v/VBL000000016248", "SE-001400474")</f>
        <v>SE-001400474</v>
      </c>
      <c r="D16445" s="1" t="s">
        <v>0</v>
      </c>
      <c r="E16445" s="2">
        <v>0</v>
      </c>
      <c r="F16445" s="2">
        <v>0</v>
      </c>
      <c r="G16445" s="2">
        <v>0</v>
      </c>
      <c r="H16445" s="1" t="s">
        <v>0</v>
      </c>
      <c r="I16445" s="2">
        <v>0</v>
      </c>
      <c r="J16445" s="1">
        <v>46043.429131944446</v>
      </c>
    </row>
    <row r="16446" spans="1:10" x14ac:dyDescent="0.2">
      <c r="A16446" s="4" t="s">
        <v>1</v>
      </c>
      <c r="B1644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46" s="3" t="str">
        <f>HYPERLINK("https://otsuka-europe-crm.veevavault.com/ui/#object/sent_email__v/VBL000000016249", "SE-001400475")</f>
        <v>SE-001400475</v>
      </c>
      <c r="D16446" s="1" t="s">
        <v>0</v>
      </c>
      <c r="E16446" s="2">
        <v>0</v>
      </c>
      <c r="F16446" s="2">
        <v>0</v>
      </c>
      <c r="G16446" s="2">
        <v>0</v>
      </c>
      <c r="H16446" s="1" t="s">
        <v>0</v>
      </c>
      <c r="I16446" s="2">
        <v>0</v>
      </c>
      <c r="J16446" s="1">
        <v>46043.428854166668</v>
      </c>
    </row>
    <row r="16447" spans="1:10" x14ac:dyDescent="0.2">
      <c r="A16447" s="4" t="s">
        <v>1</v>
      </c>
      <c r="B1644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47" s="3" t="str">
        <f>HYPERLINK("https://otsuka-europe-crm.veevavault.com/ui/#object/sent_email__v/VBL000000016250", "SE-001400476")</f>
        <v>SE-001400476</v>
      </c>
      <c r="D16447" s="1" t="s">
        <v>0</v>
      </c>
      <c r="E16447" s="2">
        <v>0</v>
      </c>
      <c r="F16447" s="2">
        <v>0</v>
      </c>
      <c r="G16447" s="2">
        <v>0</v>
      </c>
      <c r="H16447" s="1" t="s">
        <v>0</v>
      </c>
      <c r="I16447" s="2">
        <v>0</v>
      </c>
      <c r="J16447" s="1">
        <v>46043.428842592592</v>
      </c>
    </row>
    <row r="16448" spans="1:10" x14ac:dyDescent="0.2">
      <c r="A16448" s="4" t="s">
        <v>1</v>
      </c>
      <c r="B1644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48" s="3" t="str">
        <f>HYPERLINK("https://otsuka-europe-crm.veevavault.com/ui/#object/sent_email__v/VBL000000016251", "SE-001400477")</f>
        <v>SE-001400477</v>
      </c>
      <c r="D16448" s="1" t="s">
        <v>0</v>
      </c>
      <c r="E16448" s="2">
        <v>0</v>
      </c>
      <c r="F16448" s="2">
        <v>0</v>
      </c>
      <c r="G16448" s="2">
        <v>0</v>
      </c>
      <c r="H16448" s="1" t="s">
        <v>0</v>
      </c>
      <c r="I16448" s="2">
        <v>0</v>
      </c>
      <c r="J16448" s="1">
        <v>46043.428854166668</v>
      </c>
    </row>
    <row r="16449" spans="1:10" x14ac:dyDescent="0.2">
      <c r="A16449" s="4" t="s">
        <v>1</v>
      </c>
      <c r="B1644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49" s="3" t="str">
        <f>HYPERLINK("https://otsuka-europe-crm.veevavault.com/ui/#object/sent_email__v/VBL000000016252", "SE-001400478")</f>
        <v>SE-001400478</v>
      </c>
      <c r="D16449" s="1" t="s">
        <v>0</v>
      </c>
      <c r="E16449" s="2">
        <v>0</v>
      </c>
      <c r="F16449" s="2">
        <v>0</v>
      </c>
      <c r="G16449" s="2">
        <v>0</v>
      </c>
      <c r="H16449" s="1" t="s">
        <v>0</v>
      </c>
      <c r="I16449" s="2">
        <v>0</v>
      </c>
      <c r="J16449" s="1">
        <v>46043.429016203707</v>
      </c>
    </row>
    <row r="16450" spans="1:10" x14ac:dyDescent="0.2">
      <c r="A16450" s="4" t="s">
        <v>1</v>
      </c>
      <c r="B1645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50" s="3" t="str">
        <f>HYPERLINK("https://otsuka-europe-crm.veevavault.com/ui/#object/sent_email__v/VBL000000016253", "SE-001400479")</f>
        <v>SE-001400479</v>
      </c>
      <c r="D16450" s="1" t="s">
        <v>0</v>
      </c>
      <c r="E16450" s="2">
        <v>0</v>
      </c>
      <c r="F16450" s="2">
        <v>0</v>
      </c>
      <c r="G16450" s="2">
        <v>0</v>
      </c>
      <c r="H16450" s="1" t="s">
        <v>0</v>
      </c>
      <c r="I16450" s="2">
        <v>0</v>
      </c>
      <c r="J16450" s="1">
        <v>46043.428923611114</v>
      </c>
    </row>
    <row r="16451" spans="1:10" x14ac:dyDescent="0.2">
      <c r="A16451" s="4" t="s">
        <v>1</v>
      </c>
      <c r="B1645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51" s="3" t="str">
        <f>HYPERLINK("https://otsuka-europe-crm.veevavault.com/ui/#object/sent_email__v/VBL000000016254", "SE-001400480")</f>
        <v>SE-001400480</v>
      </c>
      <c r="D16451" s="1" t="s">
        <v>0</v>
      </c>
      <c r="E16451" s="2">
        <v>0</v>
      </c>
      <c r="F16451" s="2">
        <v>0</v>
      </c>
      <c r="G16451" s="2">
        <v>0</v>
      </c>
      <c r="H16451" s="1" t="s">
        <v>0</v>
      </c>
      <c r="I16451" s="2">
        <v>0</v>
      </c>
      <c r="J16451" s="1">
        <v>46043.428842592592</v>
      </c>
    </row>
    <row r="16452" spans="1:10" x14ac:dyDescent="0.2">
      <c r="A16452" s="4" t="s">
        <v>1</v>
      </c>
      <c r="B1645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52" s="3" t="str">
        <f>HYPERLINK("https://otsuka-europe-crm.veevavault.com/ui/#object/sent_email__v/VBL000000016255", "SE-001400481")</f>
        <v>SE-001400481</v>
      </c>
      <c r="D16452" s="1">
        <v>46043.970416666663</v>
      </c>
      <c r="E16452" s="2">
        <v>1</v>
      </c>
      <c r="F16452" s="2">
        <v>1</v>
      </c>
      <c r="G16452" s="2">
        <v>0</v>
      </c>
      <c r="H16452" s="1" t="s">
        <v>0</v>
      </c>
      <c r="I16452" s="2">
        <v>0</v>
      </c>
      <c r="J16452" s="1">
        <v>46043.428854166668</v>
      </c>
    </row>
    <row r="16453" spans="1:10" x14ac:dyDescent="0.2">
      <c r="A16453" s="4" t="s">
        <v>1</v>
      </c>
      <c r="B1645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53" s="3" t="str">
        <f>HYPERLINK("https://otsuka-europe-crm.veevavault.com/ui/#object/sent_email__v/VBL000000016256", "SE-001400482")</f>
        <v>SE-001400482</v>
      </c>
      <c r="D16453" s="1">
        <v>46045.344872685186</v>
      </c>
      <c r="E16453" s="2">
        <v>1</v>
      </c>
      <c r="F16453" s="2">
        <v>1</v>
      </c>
      <c r="G16453" s="2">
        <v>0</v>
      </c>
      <c r="H16453" s="1" t="s">
        <v>0</v>
      </c>
      <c r="I16453" s="2">
        <v>0</v>
      </c>
      <c r="J16453" s="1">
        <v>46043.429178240738</v>
      </c>
    </row>
    <row r="16454" spans="1:10" x14ac:dyDescent="0.2">
      <c r="A16454" s="4" t="s">
        <v>1</v>
      </c>
      <c r="B1645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54" s="3" t="str">
        <f>HYPERLINK("https://otsuka-europe-crm.veevavault.com/ui/#object/sent_email__v/VBL000000016257", "SE-001400483")</f>
        <v>SE-001400483</v>
      </c>
      <c r="D16454" s="1" t="s">
        <v>0</v>
      </c>
      <c r="E16454" s="2">
        <v>0</v>
      </c>
      <c r="F16454" s="2">
        <v>0</v>
      </c>
      <c r="G16454" s="2">
        <v>0</v>
      </c>
      <c r="H16454" s="1" t="s">
        <v>0</v>
      </c>
      <c r="I16454" s="2">
        <v>0</v>
      </c>
      <c r="J16454" s="1">
        <v>46043.429074074076</v>
      </c>
    </row>
    <row r="16455" spans="1:10" x14ac:dyDescent="0.2">
      <c r="A16455" s="4" t="s">
        <v>1</v>
      </c>
      <c r="B1645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55" s="3" t="str">
        <f>HYPERLINK("https://otsuka-europe-crm.veevavault.com/ui/#object/sent_email__v/VBL000000016258", "SE-001400484")</f>
        <v>SE-001400484</v>
      </c>
      <c r="D16455" s="1" t="s">
        <v>0</v>
      </c>
      <c r="E16455" s="2">
        <v>0</v>
      </c>
      <c r="F16455" s="2">
        <v>0</v>
      </c>
      <c r="G16455" s="2">
        <v>0</v>
      </c>
      <c r="H16455" s="1" t="s">
        <v>0</v>
      </c>
      <c r="I16455" s="2">
        <v>0</v>
      </c>
      <c r="J16455" s="1">
        <v>46043.428854166668</v>
      </c>
    </row>
    <row r="16456" spans="1:10" x14ac:dyDescent="0.2">
      <c r="A16456" s="4" t="s">
        <v>1</v>
      </c>
      <c r="B1645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56" s="3" t="str">
        <f>HYPERLINK("https://otsuka-europe-crm.veevavault.com/ui/#object/sent_email__v/VBL000000016259", "SE-001400485")</f>
        <v>SE-001400485</v>
      </c>
      <c r="D16456" s="1" t="s">
        <v>0</v>
      </c>
      <c r="E16456" s="2">
        <v>0</v>
      </c>
      <c r="F16456" s="2">
        <v>0</v>
      </c>
      <c r="G16456" s="2">
        <v>0</v>
      </c>
      <c r="H16456" s="1" t="s">
        <v>0</v>
      </c>
      <c r="I16456" s="2">
        <v>0</v>
      </c>
      <c r="J16456" s="1">
        <v>46043.429131944446</v>
      </c>
    </row>
    <row r="16457" spans="1:10" x14ac:dyDescent="0.2">
      <c r="A16457" s="4" t="s">
        <v>1</v>
      </c>
      <c r="B1645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57" s="3" t="str">
        <f>HYPERLINK("https://otsuka-europe-crm.veevavault.com/ui/#object/sent_email__v/VBL000000016260", "SE-001400486")</f>
        <v>SE-001400486</v>
      </c>
      <c r="D16457" s="1" t="s">
        <v>0</v>
      </c>
      <c r="E16457" s="2">
        <v>0</v>
      </c>
      <c r="F16457" s="2">
        <v>0</v>
      </c>
      <c r="G16457" s="2">
        <v>0</v>
      </c>
      <c r="H16457" s="1" t="s">
        <v>0</v>
      </c>
      <c r="I16457" s="2">
        <v>0</v>
      </c>
      <c r="J16457" s="1">
        <v>46043.429259259261</v>
      </c>
    </row>
    <row r="16458" spans="1:10" x14ac:dyDescent="0.2">
      <c r="A16458" s="4" t="s">
        <v>1</v>
      </c>
      <c r="B1645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58" s="3" t="str">
        <f>HYPERLINK("https://otsuka-europe-crm.veevavault.com/ui/#object/sent_email__v/VBL000000016261", "SE-001400487")</f>
        <v>SE-001400487</v>
      </c>
      <c r="D16458" s="1" t="s">
        <v>0</v>
      </c>
      <c r="E16458" s="2">
        <v>0</v>
      </c>
      <c r="F16458" s="2">
        <v>0</v>
      </c>
      <c r="G16458" s="2">
        <v>0</v>
      </c>
      <c r="H16458" s="1" t="s">
        <v>0</v>
      </c>
      <c r="I16458" s="2">
        <v>0</v>
      </c>
      <c r="J16458" s="1">
        <v>46043.428854166668</v>
      </c>
    </row>
    <row r="16459" spans="1:10" x14ac:dyDescent="0.2">
      <c r="A16459" s="4" t="s">
        <v>1</v>
      </c>
      <c r="B1645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59" s="3" t="str">
        <f>HYPERLINK("https://otsuka-europe-crm.veevavault.com/ui/#object/sent_email__v/VBL000000016262", "SE-001400488")</f>
        <v>SE-001400488</v>
      </c>
      <c r="D16459" s="1" t="s">
        <v>0</v>
      </c>
      <c r="E16459" s="2">
        <v>0</v>
      </c>
      <c r="F16459" s="2">
        <v>0</v>
      </c>
      <c r="G16459" s="2">
        <v>0</v>
      </c>
      <c r="H16459" s="1" t="s">
        <v>0</v>
      </c>
      <c r="I16459" s="2">
        <v>0</v>
      </c>
      <c r="J16459" s="1">
        <v>46043.429085648146</v>
      </c>
    </row>
    <row r="16460" spans="1:10" x14ac:dyDescent="0.2">
      <c r="A16460" s="4" t="s">
        <v>1</v>
      </c>
      <c r="B1646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60" s="3" t="str">
        <f>HYPERLINK("https://otsuka-europe-crm.veevavault.com/ui/#object/sent_email__v/VBL000000016263", "SE-001400489")</f>
        <v>SE-001400489</v>
      </c>
      <c r="D16460" s="1" t="s">
        <v>0</v>
      </c>
      <c r="E16460" s="2">
        <v>0</v>
      </c>
      <c r="F16460" s="2">
        <v>0</v>
      </c>
      <c r="G16460" s="2">
        <v>0</v>
      </c>
      <c r="H16460" s="1" t="s">
        <v>0</v>
      </c>
      <c r="I16460" s="2">
        <v>0</v>
      </c>
      <c r="J16460" s="1">
        <v>46043.429178240738</v>
      </c>
    </row>
    <row r="16461" spans="1:10" x14ac:dyDescent="0.2">
      <c r="A16461" s="4" t="s">
        <v>1</v>
      </c>
      <c r="B1646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61" s="3" t="str">
        <f>HYPERLINK("https://otsuka-europe-crm.veevavault.com/ui/#object/sent_email__v/VBL000000016264", "SE-001400490")</f>
        <v>SE-001400490</v>
      </c>
      <c r="D16461" s="1" t="s">
        <v>0</v>
      </c>
      <c r="E16461" s="2">
        <v>0</v>
      </c>
      <c r="F16461" s="2">
        <v>0</v>
      </c>
      <c r="G16461" s="2">
        <v>0</v>
      </c>
      <c r="H16461" s="1" t="s">
        <v>0</v>
      </c>
      <c r="I16461" s="2">
        <v>0</v>
      </c>
      <c r="J16461" s="1">
        <v>46043.428854166668</v>
      </c>
    </row>
    <row r="16462" spans="1:10" x14ac:dyDescent="0.2">
      <c r="A16462" s="4" t="s">
        <v>1</v>
      </c>
      <c r="B1646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62" s="3" t="str">
        <f>HYPERLINK("https://otsuka-europe-crm.veevavault.com/ui/#object/sent_email__v/VBL000000016265", "SE-001400491")</f>
        <v>SE-001400491</v>
      </c>
      <c r="D16462" s="1" t="s">
        <v>0</v>
      </c>
      <c r="E16462" s="2">
        <v>0</v>
      </c>
      <c r="F16462" s="2">
        <v>0</v>
      </c>
      <c r="G16462" s="2">
        <v>0</v>
      </c>
      <c r="H16462" s="1" t="s">
        <v>0</v>
      </c>
      <c r="I16462" s="2">
        <v>0</v>
      </c>
      <c r="J16462" s="1">
        <v>46043.428935185184</v>
      </c>
    </row>
    <row r="16463" spans="1:10" x14ac:dyDescent="0.2">
      <c r="A16463" s="4" t="s">
        <v>1</v>
      </c>
      <c r="B1646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63" s="3" t="str">
        <f>HYPERLINK("https://otsuka-europe-crm.veevavault.com/ui/#object/sent_email__v/VBL000000016266", "SE-001400492")</f>
        <v>SE-001400492</v>
      </c>
      <c r="D16463" s="1" t="s">
        <v>0</v>
      </c>
      <c r="E16463" s="2">
        <v>0</v>
      </c>
      <c r="F16463" s="2">
        <v>0</v>
      </c>
      <c r="G16463" s="2">
        <v>0</v>
      </c>
      <c r="H16463" s="1" t="s">
        <v>0</v>
      </c>
      <c r="I16463" s="2">
        <v>0</v>
      </c>
      <c r="J16463" s="1">
        <v>46043.428923611114</v>
      </c>
    </row>
    <row r="16464" spans="1:10" x14ac:dyDescent="0.2">
      <c r="A16464" s="4" t="s">
        <v>1</v>
      </c>
      <c r="B1646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64" s="3" t="str">
        <f>HYPERLINK("https://otsuka-europe-crm.veevavault.com/ui/#object/sent_email__v/VBL000000016267", "SE-001400493")</f>
        <v>SE-001400493</v>
      </c>
      <c r="D16464" s="1" t="s">
        <v>0</v>
      </c>
      <c r="E16464" s="2">
        <v>0</v>
      </c>
      <c r="F16464" s="2">
        <v>0</v>
      </c>
      <c r="G16464" s="2">
        <v>0</v>
      </c>
      <c r="H16464" s="1" t="s">
        <v>0</v>
      </c>
      <c r="I16464" s="2">
        <v>0</v>
      </c>
      <c r="J16464" s="1">
        <v>46043.429212962961</v>
      </c>
    </row>
    <row r="16465" spans="1:10" x14ac:dyDescent="0.2">
      <c r="A16465" s="4" t="s">
        <v>1</v>
      </c>
      <c r="B1646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65" s="3" t="str">
        <f>HYPERLINK("https://otsuka-europe-crm.veevavault.com/ui/#object/sent_email__v/VBL000000016268", "SE-001400494")</f>
        <v>SE-001400494</v>
      </c>
      <c r="D16465" s="1" t="s">
        <v>0</v>
      </c>
      <c r="E16465" s="2">
        <v>0</v>
      </c>
      <c r="F16465" s="2">
        <v>0</v>
      </c>
      <c r="G16465" s="2">
        <v>0</v>
      </c>
      <c r="H16465" s="1" t="s">
        <v>0</v>
      </c>
      <c r="I16465" s="2">
        <v>0</v>
      </c>
      <c r="J16465" s="1">
        <v>46043.428923611114</v>
      </c>
    </row>
    <row r="16466" spans="1:10" x14ac:dyDescent="0.2">
      <c r="A16466" s="4" t="s">
        <v>1</v>
      </c>
      <c r="B1646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66" s="3" t="str">
        <f>HYPERLINK("https://otsuka-europe-crm.veevavault.com/ui/#object/sent_email__v/VBL000000016269", "SE-001400495")</f>
        <v>SE-001400495</v>
      </c>
      <c r="D16466" s="1" t="s">
        <v>0</v>
      </c>
      <c r="E16466" s="2">
        <v>0</v>
      </c>
      <c r="F16466" s="2">
        <v>0</v>
      </c>
      <c r="G16466" s="2">
        <v>0</v>
      </c>
      <c r="H16466" s="1" t="s">
        <v>0</v>
      </c>
      <c r="I16466" s="2">
        <v>0</v>
      </c>
      <c r="J16466" s="1">
        <v>46043.429143518515</v>
      </c>
    </row>
    <row r="16467" spans="1:10" x14ac:dyDescent="0.2">
      <c r="A16467" s="4" t="s">
        <v>1</v>
      </c>
      <c r="B1646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67" s="3" t="str">
        <f>HYPERLINK("https://otsuka-europe-crm.veevavault.com/ui/#object/sent_email__v/VBL000000016270", "SE-001400496")</f>
        <v>SE-001400496</v>
      </c>
      <c r="D16467" s="1" t="s">
        <v>0</v>
      </c>
      <c r="E16467" s="2">
        <v>0</v>
      </c>
      <c r="F16467" s="2">
        <v>0</v>
      </c>
      <c r="G16467" s="2">
        <v>0</v>
      </c>
      <c r="H16467" s="1" t="s">
        <v>0</v>
      </c>
      <c r="I16467" s="2">
        <v>0</v>
      </c>
      <c r="J16467" s="1">
        <v>46043.428946759261</v>
      </c>
    </row>
    <row r="16468" spans="1:10" x14ac:dyDescent="0.2">
      <c r="A16468" s="4" t="s">
        <v>1</v>
      </c>
      <c r="B1646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68" s="3" t="str">
        <f>HYPERLINK("https://otsuka-europe-crm.veevavault.com/ui/#object/sent_email__v/VBL000000016271", "SE-001400497")</f>
        <v>SE-001400497</v>
      </c>
      <c r="D16468" s="1" t="s">
        <v>0</v>
      </c>
      <c r="E16468" s="2">
        <v>0</v>
      </c>
      <c r="F16468" s="2">
        <v>0</v>
      </c>
      <c r="G16468" s="2">
        <v>0</v>
      </c>
      <c r="H16468" s="1" t="s">
        <v>0</v>
      </c>
      <c r="I16468" s="2">
        <v>0</v>
      </c>
      <c r="J16468" s="1">
        <v>46043.428842592592</v>
      </c>
    </row>
    <row r="16469" spans="1:10" x14ac:dyDescent="0.2">
      <c r="A16469" s="4" t="s">
        <v>1</v>
      </c>
      <c r="B1646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69" s="3" t="str">
        <f>HYPERLINK("https://otsuka-europe-crm.veevavault.com/ui/#object/sent_email__v/VBL000000016272", "SE-001400498")</f>
        <v>SE-001400498</v>
      </c>
      <c r="D16469" s="1" t="s">
        <v>0</v>
      </c>
      <c r="E16469" s="2">
        <v>0</v>
      </c>
      <c r="F16469" s="2">
        <v>0</v>
      </c>
      <c r="G16469" s="2">
        <v>0</v>
      </c>
      <c r="H16469" s="1" t="s">
        <v>0</v>
      </c>
      <c r="I16469" s="2">
        <v>0</v>
      </c>
      <c r="J16469" s="1">
        <v>46043.428842592592</v>
      </c>
    </row>
    <row r="16470" spans="1:10" x14ac:dyDescent="0.2">
      <c r="A16470" s="4" t="s">
        <v>1</v>
      </c>
      <c r="B1647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70" s="3" t="str">
        <f>HYPERLINK("https://otsuka-europe-crm.veevavault.com/ui/#object/sent_email__v/VBL000000016273", "SE-001400499")</f>
        <v>SE-001400499</v>
      </c>
      <c r="D16470" s="1" t="s">
        <v>0</v>
      </c>
      <c r="E16470" s="2">
        <v>0</v>
      </c>
      <c r="F16470" s="2">
        <v>0</v>
      </c>
      <c r="G16470" s="2">
        <v>0</v>
      </c>
      <c r="H16470" s="1" t="s">
        <v>0</v>
      </c>
      <c r="I16470" s="2">
        <v>0</v>
      </c>
      <c r="J16470" s="1">
        <v>46043.428831018522</v>
      </c>
    </row>
    <row r="16471" spans="1:10" x14ac:dyDescent="0.2">
      <c r="A16471" s="4" t="s">
        <v>1</v>
      </c>
      <c r="B1647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71" s="3" t="str">
        <f>HYPERLINK("https://otsuka-europe-crm.veevavault.com/ui/#object/sent_email__v/VBL000000016274", "SE-001400500")</f>
        <v>SE-001400500</v>
      </c>
      <c r="D16471" s="1" t="s">
        <v>0</v>
      </c>
      <c r="E16471" s="2">
        <v>0</v>
      </c>
      <c r="F16471" s="2">
        <v>0</v>
      </c>
      <c r="G16471" s="2">
        <v>0</v>
      </c>
      <c r="H16471" s="1" t="s">
        <v>0</v>
      </c>
      <c r="I16471" s="2">
        <v>0</v>
      </c>
      <c r="J16471" s="1">
        <v>46043.428923611114</v>
      </c>
    </row>
    <row r="16472" spans="1:10" x14ac:dyDescent="0.2">
      <c r="A16472" s="4" t="s">
        <v>1</v>
      </c>
      <c r="B1647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72" s="3" t="str">
        <f>HYPERLINK("https://otsuka-europe-crm.veevavault.com/ui/#object/sent_email__v/VBL000000016275", "SE-001400501")</f>
        <v>SE-001400501</v>
      </c>
      <c r="D16472" s="1">
        <v>46043.911898148152</v>
      </c>
      <c r="E16472" s="2">
        <v>1</v>
      </c>
      <c r="F16472" s="2">
        <v>1</v>
      </c>
      <c r="G16472" s="2">
        <v>0</v>
      </c>
      <c r="H16472" s="1" t="s">
        <v>0</v>
      </c>
      <c r="I16472" s="2">
        <v>0</v>
      </c>
      <c r="J16472" s="1">
        <v>46043.428842592592</v>
      </c>
    </row>
    <row r="16473" spans="1:10" x14ac:dyDescent="0.2">
      <c r="A16473" s="4" t="s">
        <v>1</v>
      </c>
      <c r="B1647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73" s="3" t="str">
        <f>HYPERLINK("https://otsuka-europe-crm.veevavault.com/ui/#object/sent_email__v/VBL000000015394", "SE-001401098")</f>
        <v>SE-001401098</v>
      </c>
      <c r="D16473" s="1" t="s">
        <v>0</v>
      </c>
      <c r="E16473" s="2">
        <v>0</v>
      </c>
      <c r="F16473" s="2">
        <v>0</v>
      </c>
      <c r="G16473" s="2">
        <v>0</v>
      </c>
      <c r="H16473" s="1" t="s">
        <v>0</v>
      </c>
      <c r="I16473" s="2">
        <v>0</v>
      </c>
      <c r="J16473" s="1">
        <v>46048.675775462965</v>
      </c>
    </row>
    <row r="16474" spans="1:10" x14ac:dyDescent="0.2">
      <c r="A16474" s="4" t="s">
        <v>1</v>
      </c>
      <c r="B1647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74" s="3" t="str">
        <f>HYPERLINK("https://otsuka-europe-crm.veevavault.com/ui/#object/sent_email__v/VBL000000015395", "SE-001401099")</f>
        <v>SE-001401099</v>
      </c>
      <c r="D16474" s="1" t="s">
        <v>0</v>
      </c>
      <c r="E16474" s="2">
        <v>0</v>
      </c>
      <c r="F16474" s="2">
        <v>0</v>
      </c>
      <c r="G16474" s="2">
        <v>0</v>
      </c>
      <c r="H16474" s="1" t="s">
        <v>0</v>
      </c>
      <c r="I16474" s="2">
        <v>0</v>
      </c>
      <c r="J16474" s="1">
        <v>46048.675821759258</v>
      </c>
    </row>
    <row r="16475" spans="1:10" x14ac:dyDescent="0.2">
      <c r="A16475" s="4" t="s">
        <v>1</v>
      </c>
      <c r="B1647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75" s="3" t="str">
        <f>HYPERLINK("https://otsuka-europe-crm.veevavault.com/ui/#object/sent_email__v/VBL000000015396", "SE-001401100")</f>
        <v>SE-001401100</v>
      </c>
      <c r="D16475" s="1" t="s">
        <v>0</v>
      </c>
      <c r="E16475" s="2">
        <v>0</v>
      </c>
      <c r="F16475" s="2">
        <v>0</v>
      </c>
      <c r="G16475" s="2">
        <v>0</v>
      </c>
      <c r="H16475" s="1" t="s">
        <v>0</v>
      </c>
      <c r="I16475" s="2">
        <v>0</v>
      </c>
      <c r="J16475" s="1">
        <v>46048.675868055558</v>
      </c>
    </row>
    <row r="16476" spans="1:10" x14ac:dyDescent="0.2">
      <c r="A16476" s="4" t="s">
        <v>1</v>
      </c>
      <c r="B1647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76" s="3" t="str">
        <f>HYPERLINK("https://otsuka-europe-crm.veevavault.com/ui/#object/sent_email__v/VBL000000015397", "SE-001401101")</f>
        <v>SE-001401101</v>
      </c>
      <c r="D16476" s="1" t="s">
        <v>0</v>
      </c>
      <c r="E16476" s="2">
        <v>0</v>
      </c>
      <c r="F16476" s="2">
        <v>0</v>
      </c>
      <c r="G16476" s="2">
        <v>0</v>
      </c>
      <c r="H16476" s="1" t="s">
        <v>0</v>
      </c>
      <c r="I16476" s="2">
        <v>0</v>
      </c>
      <c r="J16476" s="1">
        <v>46048.67591435185</v>
      </c>
    </row>
    <row r="16477" spans="1:10" x14ac:dyDescent="0.2">
      <c r="A16477" s="4" t="s">
        <v>1</v>
      </c>
      <c r="B1647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77" s="3" t="str">
        <f>HYPERLINK("https://otsuka-europe-crm.veevavault.com/ui/#object/sent_email__v/VBL000000015398", "SE-001401102")</f>
        <v>SE-001401102</v>
      </c>
      <c r="D16477" s="1" t="s">
        <v>0</v>
      </c>
      <c r="E16477" s="2">
        <v>0</v>
      </c>
      <c r="F16477" s="2">
        <v>0</v>
      </c>
      <c r="G16477" s="2">
        <v>0</v>
      </c>
      <c r="H16477" s="1" t="s">
        <v>0</v>
      </c>
      <c r="I16477" s="2">
        <v>0</v>
      </c>
      <c r="J16477" s="1">
        <v>46048.67596064815</v>
      </c>
    </row>
    <row r="16478" spans="1:10" x14ac:dyDescent="0.2">
      <c r="A16478" s="4" t="s">
        <v>1</v>
      </c>
      <c r="B1647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78" s="3" t="str">
        <f>HYPERLINK("https://otsuka-europe-crm.veevavault.com/ui/#object/sent_email__v/VBL000000015399", "SE-001401103")</f>
        <v>SE-001401103</v>
      </c>
      <c r="D16478" s="1" t="s">
        <v>0</v>
      </c>
      <c r="E16478" s="2">
        <v>0</v>
      </c>
      <c r="F16478" s="2">
        <v>0</v>
      </c>
      <c r="G16478" s="2">
        <v>0</v>
      </c>
      <c r="H16478" s="1" t="s">
        <v>0</v>
      </c>
      <c r="I16478" s="2">
        <v>0</v>
      </c>
      <c r="J16478" s="1">
        <v>46048.675995370373</v>
      </c>
    </row>
    <row r="16479" spans="1:10" x14ac:dyDescent="0.2">
      <c r="A16479" s="4" t="s">
        <v>1</v>
      </c>
      <c r="B1647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79" s="3" t="str">
        <f>HYPERLINK("https://otsuka-europe-crm.veevavault.com/ui/#object/sent_email__v/VBL000000015400", "SE-001401104")</f>
        <v>SE-001401104</v>
      </c>
      <c r="D16479" s="1" t="s">
        <v>0</v>
      </c>
      <c r="E16479" s="2">
        <v>0</v>
      </c>
      <c r="F16479" s="2">
        <v>0</v>
      </c>
      <c r="G16479" s="2">
        <v>0</v>
      </c>
      <c r="H16479" s="1" t="s">
        <v>0</v>
      </c>
      <c r="I16479" s="2">
        <v>0</v>
      </c>
      <c r="J16479" s="1">
        <v>46048.676041666666</v>
      </c>
    </row>
    <row r="16480" spans="1:10" x14ac:dyDescent="0.2">
      <c r="A16480" s="4" t="s">
        <v>1</v>
      </c>
      <c r="B1648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80" s="3" t="str">
        <f>HYPERLINK("https://otsuka-europe-crm.veevavault.com/ui/#object/sent_email__v/VBL000000015401", "SE-001401105")</f>
        <v>SE-001401105</v>
      </c>
      <c r="D16480" s="1" t="s">
        <v>0</v>
      </c>
      <c r="E16480" s="2">
        <v>0</v>
      </c>
      <c r="F16480" s="2">
        <v>0</v>
      </c>
      <c r="G16480" s="2">
        <v>0</v>
      </c>
      <c r="H16480" s="1" t="s">
        <v>0</v>
      </c>
      <c r="I16480" s="2">
        <v>0</v>
      </c>
      <c r="J16480" s="1">
        <v>46048.676076388889</v>
      </c>
    </row>
    <row r="16481" spans="1:10" x14ac:dyDescent="0.2">
      <c r="A16481" s="4" t="s">
        <v>1</v>
      </c>
      <c r="B1648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81" s="3" t="str">
        <f>HYPERLINK("https://otsuka-europe-crm.veevavault.com/ui/#object/sent_email__v/VBL000000015402", "SE-001401106")</f>
        <v>SE-001401106</v>
      </c>
      <c r="D16481" s="1" t="s">
        <v>0</v>
      </c>
      <c r="E16481" s="2">
        <v>0</v>
      </c>
      <c r="F16481" s="2">
        <v>0</v>
      </c>
      <c r="G16481" s="2">
        <v>0</v>
      </c>
      <c r="H16481" s="1" t="s">
        <v>0</v>
      </c>
      <c r="I16481" s="2">
        <v>0</v>
      </c>
      <c r="J16481" s="1">
        <v>46048.676122685189</v>
      </c>
    </row>
    <row r="16482" spans="1:10" x14ac:dyDescent="0.2">
      <c r="A16482" s="4" t="s">
        <v>1</v>
      </c>
      <c r="B1648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82" s="3" t="str">
        <f>HYPERLINK("https://otsuka-europe-crm.veevavault.com/ui/#object/sent_email__v/VBL000000015403", "SE-001401107")</f>
        <v>SE-001401107</v>
      </c>
      <c r="D16482" s="1" t="s">
        <v>0</v>
      </c>
      <c r="E16482" s="2">
        <v>0</v>
      </c>
      <c r="F16482" s="2">
        <v>0</v>
      </c>
      <c r="G16482" s="2">
        <v>0</v>
      </c>
      <c r="H16482" s="1" t="s">
        <v>0</v>
      </c>
      <c r="I16482" s="2">
        <v>0</v>
      </c>
      <c r="J16482" s="1">
        <v>46048.676168981481</v>
      </c>
    </row>
    <row r="16483" spans="1:10" x14ac:dyDescent="0.2">
      <c r="A16483" s="4" t="s">
        <v>1</v>
      </c>
      <c r="B1648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83" s="3" t="str">
        <f>HYPERLINK("https://otsuka-europe-crm.veevavault.com/ui/#object/sent_email__v/VBL000000015404", "SE-001401108")</f>
        <v>SE-001401108</v>
      </c>
      <c r="D16483" s="1" t="s">
        <v>0</v>
      </c>
      <c r="E16483" s="2">
        <v>0</v>
      </c>
      <c r="F16483" s="2">
        <v>0</v>
      </c>
      <c r="G16483" s="2">
        <v>0</v>
      </c>
      <c r="H16483" s="1" t="s">
        <v>0</v>
      </c>
      <c r="I16483" s="2">
        <v>0</v>
      </c>
      <c r="J16483" s="1">
        <v>46048.676215277781</v>
      </c>
    </row>
    <row r="16484" spans="1:10" x14ac:dyDescent="0.2">
      <c r="A16484" s="4" t="s">
        <v>1</v>
      </c>
      <c r="B1648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84" s="3" t="str">
        <f>HYPERLINK("https://otsuka-europe-crm.veevavault.com/ui/#object/sent_email__v/VBL000000015405", "SE-001401109")</f>
        <v>SE-001401109</v>
      </c>
      <c r="D16484" s="1" t="s">
        <v>0</v>
      </c>
      <c r="E16484" s="2">
        <v>0</v>
      </c>
      <c r="F16484" s="2">
        <v>0</v>
      </c>
      <c r="G16484" s="2">
        <v>0</v>
      </c>
      <c r="H16484" s="1" t="s">
        <v>0</v>
      </c>
      <c r="I16484" s="2">
        <v>0</v>
      </c>
      <c r="J16484" s="1">
        <v>46048.676261574074</v>
      </c>
    </row>
    <row r="16485" spans="1:10" x14ac:dyDescent="0.2">
      <c r="A16485" s="4" t="s">
        <v>1</v>
      </c>
      <c r="B1648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85" s="3" t="str">
        <f>HYPERLINK("https://otsuka-europe-crm.veevavault.com/ui/#object/sent_email__v/VBL000000015406", "SE-001401110")</f>
        <v>SE-001401110</v>
      </c>
      <c r="D16485" s="1" t="s">
        <v>0</v>
      </c>
      <c r="E16485" s="2">
        <v>0</v>
      </c>
      <c r="F16485" s="2">
        <v>0</v>
      </c>
      <c r="G16485" s="2">
        <v>0</v>
      </c>
      <c r="H16485" s="1" t="s">
        <v>0</v>
      </c>
      <c r="I16485" s="2">
        <v>0</v>
      </c>
      <c r="J16485" s="1">
        <v>46048.676307870373</v>
      </c>
    </row>
    <row r="16486" spans="1:10" x14ac:dyDescent="0.2">
      <c r="A16486" s="4" t="s">
        <v>1</v>
      </c>
      <c r="B1648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86" s="3" t="str">
        <f>HYPERLINK("https://otsuka-europe-crm.veevavault.com/ui/#object/sent_email__v/VBL000000015407", "SE-001401111")</f>
        <v>SE-001401111</v>
      </c>
      <c r="D16486" s="1" t="s">
        <v>0</v>
      </c>
      <c r="E16486" s="2">
        <v>0</v>
      </c>
      <c r="F16486" s="2">
        <v>0</v>
      </c>
      <c r="G16486" s="2">
        <v>0</v>
      </c>
      <c r="H16486" s="1" t="s">
        <v>0</v>
      </c>
      <c r="I16486" s="2">
        <v>0</v>
      </c>
      <c r="J16486" s="1">
        <v>46048.676354166666</v>
      </c>
    </row>
    <row r="16487" spans="1:10" x14ac:dyDescent="0.2">
      <c r="A16487" s="4" t="s">
        <v>1</v>
      </c>
      <c r="B1648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87" s="3" t="str">
        <f>HYPERLINK("https://otsuka-europe-crm.veevavault.com/ui/#object/sent_email__v/VBL000000015408", "SE-001401112")</f>
        <v>SE-001401112</v>
      </c>
      <c r="D16487" s="1" t="s">
        <v>0</v>
      </c>
      <c r="E16487" s="2">
        <v>0</v>
      </c>
      <c r="F16487" s="2">
        <v>0</v>
      </c>
      <c r="G16487" s="2">
        <v>0</v>
      </c>
      <c r="H16487" s="1" t="s">
        <v>0</v>
      </c>
      <c r="I16487" s="2">
        <v>0</v>
      </c>
      <c r="J16487" s="1">
        <v>46048.676388888889</v>
      </c>
    </row>
    <row r="16488" spans="1:10" x14ac:dyDescent="0.2">
      <c r="A16488" s="4" t="s">
        <v>1</v>
      </c>
      <c r="B1648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88" s="3" t="str">
        <f>HYPERLINK("https://otsuka-europe-crm.veevavault.com/ui/#object/sent_email__v/VBL000000015409", "SE-001401113")</f>
        <v>SE-001401113</v>
      </c>
      <c r="D16488" s="1" t="s">
        <v>0</v>
      </c>
      <c r="E16488" s="2">
        <v>0</v>
      </c>
      <c r="F16488" s="2">
        <v>0</v>
      </c>
      <c r="G16488" s="2">
        <v>0</v>
      </c>
      <c r="H16488" s="1" t="s">
        <v>0</v>
      </c>
      <c r="I16488" s="2">
        <v>0</v>
      </c>
      <c r="J16488" s="1">
        <v>46048.676435185182</v>
      </c>
    </row>
    <row r="16489" spans="1:10" x14ac:dyDescent="0.2">
      <c r="A16489" s="4" t="s">
        <v>1</v>
      </c>
      <c r="B1648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89" s="3" t="str">
        <f>HYPERLINK("https://otsuka-europe-crm.veevavault.com/ui/#object/sent_email__v/VBL000000015410", "SE-001401114")</f>
        <v>SE-001401114</v>
      </c>
      <c r="D16489" s="1">
        <v>46048.920567129629</v>
      </c>
      <c r="E16489" s="2">
        <v>1</v>
      </c>
      <c r="F16489" s="2">
        <v>1</v>
      </c>
      <c r="G16489" s="2">
        <v>0</v>
      </c>
      <c r="H16489" s="1" t="s">
        <v>0</v>
      </c>
      <c r="I16489" s="2">
        <v>0</v>
      </c>
      <c r="J16489" s="1">
        <v>46048.676469907405</v>
      </c>
    </row>
    <row r="16490" spans="1:10" x14ac:dyDescent="0.2">
      <c r="A16490" s="4" t="s">
        <v>1</v>
      </c>
      <c r="B1649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90" s="3" t="str">
        <f>HYPERLINK("https://otsuka-europe-crm.veevavault.com/ui/#object/sent_email__v/VBL000000015411", "SE-001401115")</f>
        <v>SE-001401115</v>
      </c>
      <c r="D16490" s="1" t="s">
        <v>0</v>
      </c>
      <c r="E16490" s="2">
        <v>0</v>
      </c>
      <c r="F16490" s="2">
        <v>0</v>
      </c>
      <c r="G16490" s="2">
        <v>0</v>
      </c>
      <c r="H16490" s="1" t="s">
        <v>0</v>
      </c>
      <c r="I16490" s="2">
        <v>0</v>
      </c>
      <c r="J16490" s="1">
        <v>46048.676516203705</v>
      </c>
    </row>
    <row r="16491" spans="1:10" x14ac:dyDescent="0.2">
      <c r="A16491" s="4" t="s">
        <v>1</v>
      </c>
      <c r="B1649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91" s="3" t="str">
        <f>HYPERLINK("https://otsuka-europe-crm.veevavault.com/ui/#object/sent_email__v/VBL000000015412", "SE-001401116")</f>
        <v>SE-001401116</v>
      </c>
      <c r="D16491" s="1" t="s">
        <v>0</v>
      </c>
      <c r="E16491" s="2">
        <v>0</v>
      </c>
      <c r="F16491" s="2">
        <v>0</v>
      </c>
      <c r="G16491" s="2">
        <v>0</v>
      </c>
      <c r="H16491" s="1" t="s">
        <v>0</v>
      </c>
      <c r="I16491" s="2">
        <v>0</v>
      </c>
      <c r="J16491" s="1">
        <v>46048.676562499997</v>
      </c>
    </row>
    <row r="16492" spans="1:10" x14ac:dyDescent="0.2">
      <c r="A16492" s="4" t="s">
        <v>1</v>
      </c>
      <c r="B1649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92" s="3" t="str">
        <f>HYPERLINK("https://otsuka-europe-crm.veevavault.com/ui/#object/sent_email__v/VBL000000015413", "SE-001401117")</f>
        <v>SE-001401117</v>
      </c>
      <c r="D16492" s="1" t="s">
        <v>0</v>
      </c>
      <c r="E16492" s="2">
        <v>0</v>
      </c>
      <c r="F16492" s="2">
        <v>0</v>
      </c>
      <c r="G16492" s="2">
        <v>0</v>
      </c>
      <c r="H16492" s="1" t="s">
        <v>0</v>
      </c>
      <c r="I16492" s="2">
        <v>0</v>
      </c>
      <c r="J16492" s="1">
        <v>46048.67659722222</v>
      </c>
    </row>
    <row r="16493" spans="1:10" x14ac:dyDescent="0.2">
      <c r="A16493" s="4" t="s">
        <v>1</v>
      </c>
      <c r="B1649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93" s="3" t="str">
        <f>HYPERLINK("https://otsuka-europe-crm.veevavault.com/ui/#object/sent_email__v/VBL000000015414", "SE-001401118")</f>
        <v>SE-001401118</v>
      </c>
      <c r="D16493" s="1" t="s">
        <v>0</v>
      </c>
      <c r="E16493" s="2">
        <v>0</v>
      </c>
      <c r="F16493" s="2">
        <v>0</v>
      </c>
      <c r="G16493" s="2">
        <v>0</v>
      </c>
      <c r="H16493" s="1" t="s">
        <v>0</v>
      </c>
      <c r="I16493" s="2">
        <v>0</v>
      </c>
      <c r="J16493" s="1">
        <v>46048.67664351852</v>
      </c>
    </row>
    <row r="16494" spans="1:10" x14ac:dyDescent="0.2">
      <c r="A16494" s="4" t="s">
        <v>1</v>
      </c>
      <c r="B1649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94" s="3" t="str">
        <f>HYPERLINK("https://otsuka-europe-crm.veevavault.com/ui/#object/sent_email__v/VBL000000015415", "SE-001401119")</f>
        <v>SE-001401119</v>
      </c>
      <c r="D16494" s="1" t="s">
        <v>0</v>
      </c>
      <c r="E16494" s="2">
        <v>0</v>
      </c>
      <c r="F16494" s="2">
        <v>0</v>
      </c>
      <c r="G16494" s="2">
        <v>0</v>
      </c>
      <c r="H16494" s="1" t="s">
        <v>0</v>
      </c>
      <c r="I16494" s="2">
        <v>0</v>
      </c>
      <c r="J16494" s="1">
        <v>46048.676689814813</v>
      </c>
    </row>
    <row r="16495" spans="1:10" x14ac:dyDescent="0.2">
      <c r="A16495" s="4" t="s">
        <v>1</v>
      </c>
      <c r="B1649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95" s="3" t="str">
        <f>HYPERLINK("https://otsuka-europe-crm.veevavault.com/ui/#object/sent_email__v/VBL000000015416", "SE-001401120")</f>
        <v>SE-001401120</v>
      </c>
      <c r="D16495" s="1" t="s">
        <v>0</v>
      </c>
      <c r="E16495" s="2">
        <v>0</v>
      </c>
      <c r="F16495" s="2">
        <v>0</v>
      </c>
      <c r="G16495" s="2">
        <v>0</v>
      </c>
      <c r="H16495" s="1" t="s">
        <v>0</v>
      </c>
      <c r="I16495" s="2">
        <v>0</v>
      </c>
      <c r="J16495" s="1">
        <v>46048.676736111112</v>
      </c>
    </row>
    <row r="16496" spans="1:10" x14ac:dyDescent="0.2">
      <c r="A16496" s="4" t="s">
        <v>1</v>
      </c>
      <c r="B1649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96" s="3" t="str">
        <f>HYPERLINK("https://otsuka-europe-crm.veevavault.com/ui/#object/sent_email__v/VBL000000015417", "SE-001401121")</f>
        <v>SE-001401121</v>
      </c>
      <c r="D16496" s="1" t="s">
        <v>0</v>
      </c>
      <c r="E16496" s="2">
        <v>0</v>
      </c>
      <c r="F16496" s="2">
        <v>0</v>
      </c>
      <c r="G16496" s="2">
        <v>0</v>
      </c>
      <c r="H16496" s="1" t="s">
        <v>0</v>
      </c>
      <c r="I16496" s="2">
        <v>0</v>
      </c>
      <c r="J16496" s="1">
        <v>46048.676782407405</v>
      </c>
    </row>
    <row r="16497" spans="1:10" x14ac:dyDescent="0.2">
      <c r="A16497" s="4" t="s">
        <v>1</v>
      </c>
      <c r="B1649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97" s="3" t="str">
        <f>HYPERLINK("https://otsuka-europe-crm.veevavault.com/ui/#object/sent_email__v/VBL000000015418", "SE-001401122")</f>
        <v>SE-001401122</v>
      </c>
      <c r="D16497" s="1" t="s">
        <v>0</v>
      </c>
      <c r="E16497" s="2">
        <v>0</v>
      </c>
      <c r="F16497" s="2">
        <v>0</v>
      </c>
      <c r="G16497" s="2">
        <v>0</v>
      </c>
      <c r="H16497" s="1" t="s">
        <v>0</v>
      </c>
      <c r="I16497" s="2">
        <v>0</v>
      </c>
      <c r="J16497" s="1">
        <v>46048.676874999997</v>
      </c>
    </row>
    <row r="16498" spans="1:10" x14ac:dyDescent="0.2">
      <c r="A16498" s="4" t="s">
        <v>1</v>
      </c>
      <c r="B1649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98" s="3" t="str">
        <f>HYPERLINK("https://otsuka-europe-crm.veevavault.com/ui/#object/sent_email__v/VBL000000015419", "SE-001401123")</f>
        <v>SE-001401123</v>
      </c>
      <c r="D16498" s="1" t="s">
        <v>0</v>
      </c>
      <c r="E16498" s="2">
        <v>0</v>
      </c>
      <c r="F16498" s="2">
        <v>0</v>
      </c>
      <c r="G16498" s="2">
        <v>0</v>
      </c>
      <c r="H16498" s="1" t="s">
        <v>0</v>
      </c>
      <c r="I16498" s="2">
        <v>0</v>
      </c>
      <c r="J16498" s="1">
        <v>46048.676932870374</v>
      </c>
    </row>
    <row r="16499" spans="1:10" x14ac:dyDescent="0.2">
      <c r="A16499" s="4" t="s">
        <v>1</v>
      </c>
      <c r="B1649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499" s="3" t="str">
        <f>HYPERLINK("https://otsuka-europe-crm.veevavault.com/ui/#object/sent_email__v/VBL000000015420", "SE-001401124")</f>
        <v>SE-001401124</v>
      </c>
      <c r="D16499" s="1" t="s">
        <v>0</v>
      </c>
      <c r="E16499" s="2">
        <v>0</v>
      </c>
      <c r="F16499" s="2">
        <v>0</v>
      </c>
      <c r="G16499" s="2">
        <v>0</v>
      </c>
      <c r="H16499" s="1" t="s">
        <v>0</v>
      </c>
      <c r="I16499" s="2">
        <v>0</v>
      </c>
      <c r="J16499" s="1">
        <v>46048.677002314813</v>
      </c>
    </row>
    <row r="16500" spans="1:10" x14ac:dyDescent="0.2">
      <c r="A16500" s="4" t="s">
        <v>1</v>
      </c>
      <c r="B1650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00" s="3" t="str">
        <f>HYPERLINK("https://otsuka-europe-crm.veevavault.com/ui/#object/sent_email__v/VBL000000015421", "SE-001401125")</f>
        <v>SE-001401125</v>
      </c>
      <c r="D16500" s="1" t="s">
        <v>0</v>
      </c>
      <c r="E16500" s="2">
        <v>0</v>
      </c>
      <c r="F16500" s="2">
        <v>0</v>
      </c>
      <c r="G16500" s="2">
        <v>0</v>
      </c>
      <c r="H16500" s="1" t="s">
        <v>0</v>
      </c>
      <c r="I16500" s="2">
        <v>0</v>
      </c>
      <c r="J16500" s="1">
        <v>46048.677083333336</v>
      </c>
    </row>
    <row r="16501" spans="1:10" x14ac:dyDescent="0.2">
      <c r="A16501" s="4" t="s">
        <v>1</v>
      </c>
      <c r="B1650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01" s="3" t="str">
        <f>HYPERLINK("https://otsuka-europe-crm.veevavault.com/ui/#object/sent_email__v/VBL000000015422", "SE-001401126")</f>
        <v>SE-001401126</v>
      </c>
      <c r="D16501" s="1">
        <v>46048.765555555554</v>
      </c>
      <c r="E16501" s="2">
        <v>1</v>
      </c>
      <c r="F16501" s="2">
        <v>2</v>
      </c>
      <c r="G16501" s="2">
        <v>0</v>
      </c>
      <c r="H16501" s="1" t="s">
        <v>0</v>
      </c>
      <c r="I16501" s="2">
        <v>0</v>
      </c>
      <c r="J16501" s="1">
        <v>46048.677152777775</v>
      </c>
    </row>
    <row r="16502" spans="1:10" x14ac:dyDescent="0.2">
      <c r="A16502" s="4" t="s">
        <v>1</v>
      </c>
      <c r="B1650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02" s="3" t="str">
        <f>HYPERLINK("https://otsuka-europe-crm.veevavault.com/ui/#object/sent_email__v/VBL000000015423", "SE-001401127")</f>
        <v>SE-001401127</v>
      </c>
      <c r="D16502" s="1" t="s">
        <v>0</v>
      </c>
      <c r="E16502" s="2">
        <v>0</v>
      </c>
      <c r="F16502" s="2">
        <v>0</v>
      </c>
      <c r="G16502" s="2">
        <v>0</v>
      </c>
      <c r="H16502" s="1" t="s">
        <v>0</v>
      </c>
      <c r="I16502" s="2">
        <v>0</v>
      </c>
      <c r="J16502" s="1">
        <v>46048.677187499998</v>
      </c>
    </row>
    <row r="16503" spans="1:10" x14ac:dyDescent="0.2">
      <c r="A16503" s="4" t="s">
        <v>1</v>
      </c>
      <c r="B1650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03" s="3" t="str">
        <f>HYPERLINK("https://otsuka-europe-crm.veevavault.com/ui/#object/sent_email__v/VBL000000015424", "SE-001401128")</f>
        <v>SE-001401128</v>
      </c>
      <c r="D16503" s="1">
        <v>46050.890601851854</v>
      </c>
      <c r="E16503" s="2">
        <v>1</v>
      </c>
      <c r="F16503" s="2">
        <v>1</v>
      </c>
      <c r="G16503" s="2">
        <v>0</v>
      </c>
      <c r="H16503" s="1" t="s">
        <v>0</v>
      </c>
      <c r="I16503" s="2">
        <v>0</v>
      </c>
      <c r="J16503" s="1">
        <v>46048.677233796298</v>
      </c>
    </row>
    <row r="16504" spans="1:10" x14ac:dyDescent="0.2">
      <c r="A16504" s="4" t="s">
        <v>1</v>
      </c>
      <c r="B1650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04" s="3" t="str">
        <f>HYPERLINK("https://otsuka-europe-crm.veevavault.com/ui/#object/sent_email__v/VBL000000015425", "SE-001401129")</f>
        <v>SE-001401129</v>
      </c>
      <c r="D16504" s="1" t="s">
        <v>0</v>
      </c>
      <c r="E16504" s="2">
        <v>0</v>
      </c>
      <c r="F16504" s="2">
        <v>0</v>
      </c>
      <c r="G16504" s="2">
        <v>0</v>
      </c>
      <c r="H16504" s="1" t="s">
        <v>0</v>
      </c>
      <c r="I16504" s="2">
        <v>0</v>
      </c>
      <c r="J16504" s="1">
        <v>46048.67728009259</v>
      </c>
    </row>
    <row r="16505" spans="1:10" x14ac:dyDescent="0.2">
      <c r="A16505" s="4" t="s">
        <v>1</v>
      </c>
      <c r="B1650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05" s="3" t="str">
        <f>HYPERLINK("https://otsuka-europe-crm.veevavault.com/ui/#object/sent_email__v/VBL000000015426", "SE-001401130")</f>
        <v>SE-001401130</v>
      </c>
      <c r="D16505" s="1" t="s">
        <v>0</v>
      </c>
      <c r="E16505" s="2">
        <v>0</v>
      </c>
      <c r="F16505" s="2">
        <v>0</v>
      </c>
      <c r="G16505" s="2">
        <v>0</v>
      </c>
      <c r="H16505" s="1" t="s">
        <v>0</v>
      </c>
      <c r="I16505" s="2">
        <v>0</v>
      </c>
      <c r="J16505" s="1">
        <v>46048.677314814813</v>
      </c>
    </row>
    <row r="16506" spans="1:10" x14ac:dyDescent="0.2">
      <c r="A16506" s="4" t="s">
        <v>1</v>
      </c>
      <c r="B1650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06" s="3" t="str">
        <f>HYPERLINK("https://otsuka-europe-crm.veevavault.com/ui/#object/sent_email__v/VBL000000015427", "SE-001401131")</f>
        <v>SE-001401131</v>
      </c>
      <c r="D16506" s="1" t="s">
        <v>0</v>
      </c>
      <c r="E16506" s="2">
        <v>0</v>
      </c>
      <c r="F16506" s="2">
        <v>0</v>
      </c>
      <c r="G16506" s="2">
        <v>0</v>
      </c>
      <c r="H16506" s="1" t="s">
        <v>0</v>
      </c>
      <c r="I16506" s="2">
        <v>0</v>
      </c>
      <c r="J16506" s="1">
        <v>46048.677361111113</v>
      </c>
    </row>
    <row r="16507" spans="1:10" x14ac:dyDescent="0.2">
      <c r="A16507" s="4" t="s">
        <v>1</v>
      </c>
      <c r="B1650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07" s="3" t="str">
        <f>HYPERLINK("https://otsuka-europe-crm.veevavault.com/ui/#object/sent_email__v/VBL000000015428", "SE-001401132")</f>
        <v>SE-001401132</v>
      </c>
      <c r="D16507" s="1" t="s">
        <v>0</v>
      </c>
      <c r="E16507" s="2">
        <v>0</v>
      </c>
      <c r="F16507" s="2">
        <v>0</v>
      </c>
      <c r="G16507" s="2">
        <v>0</v>
      </c>
      <c r="H16507" s="1" t="s">
        <v>0</v>
      </c>
      <c r="I16507" s="2">
        <v>0</v>
      </c>
      <c r="J16507" s="1">
        <v>46048.677395833336</v>
      </c>
    </row>
    <row r="16508" spans="1:10" x14ac:dyDescent="0.2">
      <c r="A16508" s="4" t="s">
        <v>1</v>
      </c>
      <c r="B1650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08" s="3" t="str">
        <f>HYPERLINK("https://otsuka-europe-crm.veevavault.com/ui/#object/sent_email__v/VBL000000015429", "SE-001401133")</f>
        <v>SE-001401133</v>
      </c>
      <c r="D16508" s="1" t="s">
        <v>0</v>
      </c>
      <c r="E16508" s="2">
        <v>0</v>
      </c>
      <c r="F16508" s="2">
        <v>0</v>
      </c>
      <c r="G16508" s="2">
        <v>0</v>
      </c>
      <c r="H16508" s="1" t="s">
        <v>0</v>
      </c>
      <c r="I16508" s="2">
        <v>0</v>
      </c>
      <c r="J16508" s="1">
        <v>46048.677442129629</v>
      </c>
    </row>
    <row r="16509" spans="1:10" x14ac:dyDescent="0.2">
      <c r="A16509" s="4" t="s">
        <v>1</v>
      </c>
      <c r="B1650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09" s="3" t="str">
        <f>HYPERLINK("https://otsuka-europe-crm.veevavault.com/ui/#object/sent_email__v/VBL000000015430", "SE-001401134")</f>
        <v>SE-001401134</v>
      </c>
      <c r="D16509" s="1" t="s">
        <v>0</v>
      </c>
      <c r="E16509" s="2">
        <v>0</v>
      </c>
      <c r="F16509" s="2">
        <v>0</v>
      </c>
      <c r="G16509" s="2">
        <v>0</v>
      </c>
      <c r="H16509" s="1" t="s">
        <v>0</v>
      </c>
      <c r="I16509" s="2">
        <v>0</v>
      </c>
      <c r="J16509" s="1">
        <v>46048.677488425928</v>
      </c>
    </row>
    <row r="16510" spans="1:10" x14ac:dyDescent="0.2">
      <c r="A16510" s="4" t="s">
        <v>1</v>
      </c>
      <c r="B1651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10" s="3" t="str">
        <f>HYPERLINK("https://otsuka-europe-crm.veevavault.com/ui/#object/sent_email__v/VBL000000015431", "SE-001401135")</f>
        <v>SE-001401135</v>
      </c>
      <c r="D16510" s="1" t="s">
        <v>0</v>
      </c>
      <c r="E16510" s="2">
        <v>0</v>
      </c>
      <c r="F16510" s="2">
        <v>0</v>
      </c>
      <c r="G16510" s="2">
        <v>0</v>
      </c>
      <c r="H16510" s="1" t="s">
        <v>0</v>
      </c>
      <c r="I16510" s="2">
        <v>0</v>
      </c>
      <c r="J16510" s="1">
        <v>46048.677534722221</v>
      </c>
    </row>
    <row r="16511" spans="1:10" x14ac:dyDescent="0.2">
      <c r="A16511" s="4" t="s">
        <v>1</v>
      </c>
      <c r="B1651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11" s="3" t="str">
        <f>HYPERLINK("https://otsuka-europe-crm.veevavault.com/ui/#object/sent_email__v/VBL000000015432", "SE-001401136")</f>
        <v>SE-001401136</v>
      </c>
      <c r="D16511" s="1">
        <v>46074.172002314815</v>
      </c>
      <c r="E16511" s="2">
        <v>1</v>
      </c>
      <c r="F16511" s="2">
        <v>2</v>
      </c>
      <c r="G16511" s="2">
        <v>0</v>
      </c>
      <c r="H16511" s="1" t="s">
        <v>0</v>
      </c>
      <c r="I16511" s="2">
        <v>0</v>
      </c>
      <c r="J16511" s="1">
        <v>46048.677569444444</v>
      </c>
    </row>
    <row r="16512" spans="1:10" x14ac:dyDescent="0.2">
      <c r="A16512" s="4" t="s">
        <v>1</v>
      </c>
      <c r="B1651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12" s="3" t="str">
        <f>HYPERLINK("https://otsuka-europe-crm.veevavault.com/ui/#object/sent_email__v/VBL000000015433", "SE-001401137")</f>
        <v>SE-001401137</v>
      </c>
      <c r="D16512" s="1" t="s">
        <v>0</v>
      </c>
      <c r="E16512" s="2">
        <v>0</v>
      </c>
      <c r="F16512" s="2">
        <v>0</v>
      </c>
      <c r="G16512" s="2">
        <v>0</v>
      </c>
      <c r="H16512" s="1" t="s">
        <v>0</v>
      </c>
      <c r="I16512" s="2">
        <v>0</v>
      </c>
      <c r="J16512" s="1">
        <v>46048.677615740744</v>
      </c>
    </row>
    <row r="16513" spans="1:10" x14ac:dyDescent="0.2">
      <c r="A16513" s="4" t="s">
        <v>1</v>
      </c>
      <c r="B1651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13" s="3" t="str">
        <f>HYPERLINK("https://otsuka-europe-crm.veevavault.com/ui/#object/sent_email__v/VBL000000015434", "SE-001401138")</f>
        <v>SE-001401138</v>
      </c>
      <c r="D16513" s="1" t="s">
        <v>0</v>
      </c>
      <c r="E16513" s="2">
        <v>0</v>
      </c>
      <c r="F16513" s="2">
        <v>0</v>
      </c>
      <c r="G16513" s="2">
        <v>0</v>
      </c>
      <c r="H16513" s="1" t="s">
        <v>0</v>
      </c>
      <c r="I16513" s="2">
        <v>0</v>
      </c>
      <c r="J16513" s="1">
        <v>46048.67765046296</v>
      </c>
    </row>
    <row r="16514" spans="1:10" x14ac:dyDescent="0.2">
      <c r="A16514" s="4" t="s">
        <v>1</v>
      </c>
      <c r="B1651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14" s="3" t="str">
        <f>HYPERLINK("https://otsuka-europe-crm.veevavault.com/ui/#object/sent_email__v/VBL000000015435", "SE-001401139")</f>
        <v>SE-001401139</v>
      </c>
      <c r="D16514" s="1" t="s">
        <v>0</v>
      </c>
      <c r="E16514" s="2">
        <v>0</v>
      </c>
      <c r="F16514" s="2">
        <v>0</v>
      </c>
      <c r="G16514" s="2">
        <v>0</v>
      </c>
      <c r="H16514" s="1" t="s">
        <v>0</v>
      </c>
      <c r="I16514" s="2">
        <v>0</v>
      </c>
      <c r="J16514" s="1">
        <v>46048.67769675926</v>
      </c>
    </row>
    <row r="16515" spans="1:10" x14ac:dyDescent="0.2">
      <c r="A16515" s="4" t="s">
        <v>1</v>
      </c>
      <c r="B1651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15" s="3" t="str">
        <f>HYPERLINK("https://otsuka-europe-crm.veevavault.com/ui/#object/sent_email__v/VBL000000015436", "SE-001401140")</f>
        <v>SE-001401140</v>
      </c>
      <c r="D16515" s="1" t="s">
        <v>0</v>
      </c>
      <c r="E16515" s="2">
        <v>0</v>
      </c>
      <c r="F16515" s="2">
        <v>0</v>
      </c>
      <c r="G16515" s="2">
        <v>0</v>
      </c>
      <c r="H16515" s="1" t="s">
        <v>0</v>
      </c>
      <c r="I16515" s="2">
        <v>0</v>
      </c>
      <c r="J16515" s="1">
        <v>46048.677754629629</v>
      </c>
    </row>
    <row r="16516" spans="1:10" x14ac:dyDescent="0.2">
      <c r="A16516" s="4" t="s">
        <v>1</v>
      </c>
      <c r="B1651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16" s="3" t="str">
        <f>HYPERLINK("https://otsuka-europe-crm.veevavault.com/ui/#object/sent_email__v/VBL000000015437", "SE-001401141")</f>
        <v>SE-001401141</v>
      </c>
      <c r="D16516" s="1" t="s">
        <v>0</v>
      </c>
      <c r="E16516" s="2">
        <v>0</v>
      </c>
      <c r="F16516" s="2">
        <v>0</v>
      </c>
      <c r="G16516" s="2">
        <v>0</v>
      </c>
      <c r="H16516" s="1" t="s">
        <v>0</v>
      </c>
      <c r="I16516" s="2">
        <v>0</v>
      </c>
      <c r="J16516" s="1">
        <v>46048.677789351852</v>
      </c>
    </row>
    <row r="16517" spans="1:10" x14ac:dyDescent="0.2">
      <c r="A16517" s="4" t="s">
        <v>1</v>
      </c>
      <c r="B1651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17" s="3" t="str">
        <f>HYPERLINK("https://otsuka-europe-crm.veevavault.com/ui/#object/sent_email__v/VBL000000015438", "SE-001401142")</f>
        <v>SE-001401142</v>
      </c>
      <c r="D16517" s="1" t="s">
        <v>0</v>
      </c>
      <c r="E16517" s="2">
        <v>0</v>
      </c>
      <c r="F16517" s="2">
        <v>0</v>
      </c>
      <c r="G16517" s="2">
        <v>0</v>
      </c>
      <c r="H16517" s="1" t="s">
        <v>0</v>
      </c>
      <c r="I16517" s="2">
        <v>0</v>
      </c>
      <c r="J16517" s="1">
        <v>46048.677847222221</v>
      </c>
    </row>
    <row r="16518" spans="1:10" x14ac:dyDescent="0.2">
      <c r="A16518" s="4" t="s">
        <v>1</v>
      </c>
      <c r="B1651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18" s="3" t="str">
        <f>HYPERLINK("https://otsuka-europe-crm.veevavault.com/ui/#object/sent_email__v/VBL000000015439", "SE-001401143")</f>
        <v>SE-001401143</v>
      </c>
      <c r="D16518" s="1" t="s">
        <v>0</v>
      </c>
      <c r="E16518" s="2">
        <v>0</v>
      </c>
      <c r="F16518" s="2">
        <v>0</v>
      </c>
      <c r="G16518" s="2">
        <v>0</v>
      </c>
      <c r="H16518" s="1" t="s">
        <v>0</v>
      </c>
      <c r="I16518" s="2">
        <v>0</v>
      </c>
      <c r="J16518" s="1">
        <v>46048.677881944444</v>
      </c>
    </row>
    <row r="16519" spans="1:10" x14ac:dyDescent="0.2">
      <c r="A16519" s="4" t="s">
        <v>1</v>
      </c>
      <c r="B1651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19" s="3" t="str">
        <f>HYPERLINK("https://otsuka-europe-crm.veevavault.com/ui/#object/sent_email__v/VBL000000015440", "SE-001401144")</f>
        <v>SE-001401144</v>
      </c>
      <c r="D16519" s="1" t="s">
        <v>0</v>
      </c>
      <c r="E16519" s="2">
        <v>0</v>
      </c>
      <c r="F16519" s="2">
        <v>0</v>
      </c>
      <c r="G16519" s="2">
        <v>0</v>
      </c>
      <c r="H16519" s="1" t="s">
        <v>0</v>
      </c>
      <c r="I16519" s="2">
        <v>0</v>
      </c>
      <c r="J16519" s="1">
        <v>46048.677928240744</v>
      </c>
    </row>
    <row r="16520" spans="1:10" x14ac:dyDescent="0.2">
      <c r="A16520" s="4" t="s">
        <v>1</v>
      </c>
      <c r="B1652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20" s="3" t="str">
        <f>HYPERLINK("https://otsuka-europe-crm.veevavault.com/ui/#object/sent_email__v/VBL000000015441", "SE-001401145")</f>
        <v>SE-001401145</v>
      </c>
      <c r="D16520" s="1" t="s">
        <v>0</v>
      </c>
      <c r="E16520" s="2">
        <v>0</v>
      </c>
      <c r="F16520" s="2">
        <v>0</v>
      </c>
      <c r="G16520" s="2">
        <v>0</v>
      </c>
      <c r="H16520" s="1" t="s">
        <v>0</v>
      </c>
      <c r="I16520" s="2">
        <v>0</v>
      </c>
      <c r="J16520" s="1">
        <v>46048.677974537037</v>
      </c>
    </row>
    <row r="16521" spans="1:10" x14ac:dyDescent="0.2">
      <c r="A16521" s="4" t="s">
        <v>1</v>
      </c>
      <c r="B1652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21" s="3" t="str">
        <f>HYPERLINK("https://otsuka-europe-crm.veevavault.com/ui/#object/sent_email__v/VBL000000015442", "SE-001401146")</f>
        <v>SE-001401146</v>
      </c>
      <c r="D16521" s="1" t="s">
        <v>0</v>
      </c>
      <c r="E16521" s="2">
        <v>0</v>
      </c>
      <c r="F16521" s="2">
        <v>0</v>
      </c>
      <c r="G16521" s="2">
        <v>0</v>
      </c>
      <c r="H16521" s="1" t="s">
        <v>0</v>
      </c>
      <c r="I16521" s="2">
        <v>0</v>
      </c>
      <c r="J16521" s="1">
        <v>46048.678020833337</v>
      </c>
    </row>
    <row r="16522" spans="1:10" x14ac:dyDescent="0.2">
      <c r="A16522" s="4" t="s">
        <v>1</v>
      </c>
      <c r="B1652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22" s="3" t="str">
        <f>HYPERLINK("https://otsuka-europe-crm.veevavault.com/ui/#object/sent_email__v/VBL000000015443", "SE-001401147")</f>
        <v>SE-001401147</v>
      </c>
      <c r="D16522" s="1" t="s">
        <v>0</v>
      </c>
      <c r="E16522" s="2">
        <v>0</v>
      </c>
      <c r="F16522" s="2">
        <v>0</v>
      </c>
      <c r="G16522" s="2">
        <v>0</v>
      </c>
      <c r="H16522" s="1" t="s">
        <v>0</v>
      </c>
      <c r="I16522" s="2">
        <v>0</v>
      </c>
      <c r="J16522" s="1">
        <v>46048.678055555552</v>
      </c>
    </row>
    <row r="16523" spans="1:10" x14ac:dyDescent="0.2">
      <c r="A16523" s="4" t="s">
        <v>1</v>
      </c>
      <c r="B1652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23" s="3" t="str">
        <f>HYPERLINK("https://otsuka-europe-crm.veevavault.com/ui/#object/sent_email__v/VBL000000015444", "SE-001401148")</f>
        <v>SE-001401148</v>
      </c>
      <c r="D16523" s="1" t="s">
        <v>0</v>
      </c>
      <c r="E16523" s="2">
        <v>0</v>
      </c>
      <c r="F16523" s="2">
        <v>0</v>
      </c>
      <c r="G16523" s="2">
        <v>0</v>
      </c>
      <c r="H16523" s="1" t="s">
        <v>0</v>
      </c>
      <c r="I16523" s="2">
        <v>0</v>
      </c>
      <c r="J16523" s="1">
        <v>46048.678090277775</v>
      </c>
    </row>
    <row r="16524" spans="1:10" x14ac:dyDescent="0.2">
      <c r="A16524" s="4" t="s">
        <v>1</v>
      </c>
      <c r="B1652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24" s="3" t="str">
        <f>HYPERLINK("https://otsuka-europe-crm.veevavault.com/ui/#object/sent_email__v/VBL000000015445", "SE-001401149")</f>
        <v>SE-001401149</v>
      </c>
      <c r="D16524" s="1" t="s">
        <v>0</v>
      </c>
      <c r="E16524" s="2">
        <v>0</v>
      </c>
      <c r="F16524" s="2">
        <v>0</v>
      </c>
      <c r="G16524" s="2">
        <v>0</v>
      </c>
      <c r="H16524" s="1" t="s">
        <v>0</v>
      </c>
      <c r="I16524" s="2">
        <v>0</v>
      </c>
      <c r="J16524" s="1">
        <v>46048.678136574075</v>
      </c>
    </row>
    <row r="16525" spans="1:10" x14ac:dyDescent="0.2">
      <c r="A16525" s="4" t="s">
        <v>1</v>
      </c>
      <c r="B1652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25" s="3" t="str">
        <f>HYPERLINK("https://otsuka-europe-crm.veevavault.com/ui/#object/sent_email__v/VBL000000015446", "SE-001401150")</f>
        <v>SE-001401150</v>
      </c>
      <c r="D16525" s="1" t="s">
        <v>0</v>
      </c>
      <c r="E16525" s="2">
        <v>0</v>
      </c>
      <c r="F16525" s="2">
        <v>0</v>
      </c>
      <c r="G16525" s="2">
        <v>0</v>
      </c>
      <c r="H16525" s="1" t="s">
        <v>0</v>
      </c>
      <c r="I16525" s="2">
        <v>0</v>
      </c>
      <c r="J16525" s="1">
        <v>46048.678182870368</v>
      </c>
    </row>
    <row r="16526" spans="1:10" x14ac:dyDescent="0.2">
      <c r="A16526" s="4" t="s">
        <v>1</v>
      </c>
      <c r="B1652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26" s="3" t="str">
        <f>HYPERLINK("https://otsuka-europe-crm.veevavault.com/ui/#object/sent_email__v/VBL000000015447", "SE-001401151")</f>
        <v>SE-001401151</v>
      </c>
      <c r="D16526" s="1" t="s">
        <v>0</v>
      </c>
      <c r="E16526" s="2">
        <v>0</v>
      </c>
      <c r="F16526" s="2">
        <v>0</v>
      </c>
      <c r="G16526" s="2">
        <v>0</v>
      </c>
      <c r="H16526" s="1" t="s">
        <v>0</v>
      </c>
      <c r="I16526" s="2">
        <v>0</v>
      </c>
      <c r="J16526" s="1">
        <v>46048.678217592591</v>
      </c>
    </row>
    <row r="16527" spans="1:10" x14ac:dyDescent="0.2">
      <c r="A16527" s="4" t="s">
        <v>1</v>
      </c>
      <c r="B1652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27" s="3" t="str">
        <f>HYPERLINK("https://otsuka-europe-crm.veevavault.com/ui/#object/sent_email__v/VBL000000015448", "SE-001401152")</f>
        <v>SE-001401152</v>
      </c>
      <c r="D16527" s="1" t="s">
        <v>0</v>
      </c>
      <c r="E16527" s="2">
        <v>0</v>
      </c>
      <c r="F16527" s="2">
        <v>0</v>
      </c>
      <c r="G16527" s="2">
        <v>0</v>
      </c>
      <c r="H16527" s="1" t="s">
        <v>0</v>
      </c>
      <c r="I16527" s="2">
        <v>0</v>
      </c>
      <c r="J16527" s="1">
        <v>46048.678263888891</v>
      </c>
    </row>
    <row r="16528" spans="1:10" x14ac:dyDescent="0.2">
      <c r="A16528" s="4" t="s">
        <v>1</v>
      </c>
      <c r="B1652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28" s="3" t="str">
        <f>HYPERLINK("https://otsuka-europe-crm.veevavault.com/ui/#object/sent_email__v/VBL000000015449", "SE-001401153")</f>
        <v>SE-001401153</v>
      </c>
      <c r="D16528" s="1" t="s">
        <v>0</v>
      </c>
      <c r="E16528" s="2">
        <v>0</v>
      </c>
      <c r="F16528" s="2">
        <v>0</v>
      </c>
      <c r="G16528" s="2">
        <v>0</v>
      </c>
      <c r="H16528" s="1" t="s">
        <v>0</v>
      </c>
      <c r="I16528" s="2">
        <v>0</v>
      </c>
      <c r="J16528" s="1">
        <v>46048.678310185183</v>
      </c>
    </row>
    <row r="16529" spans="1:10" x14ac:dyDescent="0.2">
      <c r="A16529" s="4" t="s">
        <v>1</v>
      </c>
      <c r="B1652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29" s="3" t="str">
        <f>HYPERLINK("https://otsuka-europe-crm.veevavault.com/ui/#object/sent_email__v/VBL000000015450", "SE-001401154")</f>
        <v>SE-001401154</v>
      </c>
      <c r="D16529" s="1" t="s">
        <v>0</v>
      </c>
      <c r="E16529" s="2">
        <v>0</v>
      </c>
      <c r="F16529" s="2">
        <v>0</v>
      </c>
      <c r="G16529" s="2">
        <v>0</v>
      </c>
      <c r="H16529" s="1" t="s">
        <v>0</v>
      </c>
      <c r="I16529" s="2">
        <v>0</v>
      </c>
      <c r="J16529" s="1">
        <v>46048.678356481483</v>
      </c>
    </row>
    <row r="16530" spans="1:10" x14ac:dyDescent="0.2">
      <c r="A16530" s="4" t="s">
        <v>1</v>
      </c>
      <c r="B1653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30" s="3" t="str">
        <f>HYPERLINK("https://otsuka-europe-crm.veevavault.com/ui/#object/sent_email__v/VBL000000015451", "SE-001401155")</f>
        <v>SE-001401155</v>
      </c>
      <c r="D16530" s="1">
        <v>46049.959976851853</v>
      </c>
      <c r="E16530" s="2">
        <v>1</v>
      </c>
      <c r="F16530" s="2">
        <v>2</v>
      </c>
      <c r="G16530" s="2">
        <v>0</v>
      </c>
      <c r="H16530" s="1" t="s">
        <v>0</v>
      </c>
      <c r="I16530" s="2">
        <v>0</v>
      </c>
      <c r="J16530" s="1">
        <v>46048.678402777776</v>
      </c>
    </row>
    <row r="16531" spans="1:10" x14ac:dyDescent="0.2">
      <c r="A16531" s="4" t="s">
        <v>1</v>
      </c>
      <c r="B1653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31" s="3" t="str">
        <f>HYPERLINK("https://otsuka-europe-crm.veevavault.com/ui/#object/sent_email__v/VBL000000015452", "SE-001401156")</f>
        <v>SE-001401156</v>
      </c>
      <c r="D16531" s="1">
        <v>46050.286249999997</v>
      </c>
      <c r="E16531" s="2">
        <v>1</v>
      </c>
      <c r="F16531" s="2">
        <v>2</v>
      </c>
      <c r="G16531" s="2">
        <v>0</v>
      </c>
      <c r="H16531" s="1" t="s">
        <v>0</v>
      </c>
      <c r="I16531" s="2">
        <v>0</v>
      </c>
      <c r="J16531" s="1">
        <v>46048.678449074076</v>
      </c>
    </row>
    <row r="16532" spans="1:10" x14ac:dyDescent="0.2">
      <c r="A16532" s="4" t="s">
        <v>1</v>
      </c>
      <c r="B1653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32" s="3" t="str">
        <f>HYPERLINK("https://otsuka-europe-crm.veevavault.com/ui/#object/sent_email__v/VBL000000015453", "SE-001401157")</f>
        <v>SE-001401157</v>
      </c>
      <c r="D16532" s="1" t="s">
        <v>0</v>
      </c>
      <c r="E16532" s="2">
        <v>0</v>
      </c>
      <c r="F16532" s="2">
        <v>0</v>
      </c>
      <c r="G16532" s="2">
        <v>0</v>
      </c>
      <c r="H16532" s="1" t="s">
        <v>0</v>
      </c>
      <c r="I16532" s="2">
        <v>0</v>
      </c>
      <c r="J16532" s="1">
        <v>46048.678495370368</v>
      </c>
    </row>
    <row r="16533" spans="1:10" x14ac:dyDescent="0.2">
      <c r="A16533" s="4" t="s">
        <v>1</v>
      </c>
      <c r="B1653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33" s="3" t="str">
        <f>HYPERLINK("https://otsuka-europe-crm.veevavault.com/ui/#object/sent_email__v/VBL000000015454", "SE-001401158")</f>
        <v>SE-001401158</v>
      </c>
      <c r="D16533" s="1" t="s">
        <v>0</v>
      </c>
      <c r="E16533" s="2">
        <v>0</v>
      </c>
      <c r="F16533" s="2">
        <v>0</v>
      </c>
      <c r="G16533" s="2">
        <v>0</v>
      </c>
      <c r="H16533" s="1" t="s">
        <v>0</v>
      </c>
      <c r="I16533" s="2">
        <v>0</v>
      </c>
      <c r="J16533" s="1">
        <v>46048.678553240738</v>
      </c>
    </row>
    <row r="16534" spans="1:10" x14ac:dyDescent="0.2">
      <c r="A16534" s="4" t="s">
        <v>1</v>
      </c>
      <c r="B1653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34" s="3" t="str">
        <f>HYPERLINK("https://otsuka-europe-crm.veevavault.com/ui/#object/sent_email__v/VBL000000015455", "SE-001401159")</f>
        <v>SE-001401159</v>
      </c>
      <c r="D16534" s="1" t="s">
        <v>0</v>
      </c>
      <c r="E16534" s="2">
        <v>0</v>
      </c>
      <c r="F16534" s="2">
        <v>0</v>
      </c>
      <c r="G16534" s="2">
        <v>0</v>
      </c>
      <c r="H16534" s="1" t="s">
        <v>0</v>
      </c>
      <c r="I16534" s="2">
        <v>0</v>
      </c>
      <c r="J16534" s="1">
        <v>46048.678611111114</v>
      </c>
    </row>
    <row r="16535" spans="1:10" x14ac:dyDescent="0.2">
      <c r="A16535" s="4" t="s">
        <v>1</v>
      </c>
      <c r="B1653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35" s="3" t="str">
        <f>HYPERLINK("https://otsuka-europe-crm.veevavault.com/ui/#object/sent_email__v/VBL000000015456", "SE-001401160")</f>
        <v>SE-001401160</v>
      </c>
      <c r="D16535" s="1" t="s">
        <v>0</v>
      </c>
      <c r="E16535" s="2">
        <v>0</v>
      </c>
      <c r="F16535" s="2">
        <v>0</v>
      </c>
      <c r="G16535" s="2">
        <v>0</v>
      </c>
      <c r="H16535" s="1" t="s">
        <v>0</v>
      </c>
      <c r="I16535" s="2">
        <v>0</v>
      </c>
      <c r="J16535" s="1">
        <v>46048.67863425926</v>
      </c>
    </row>
    <row r="16536" spans="1:10" x14ac:dyDescent="0.2">
      <c r="A16536" s="4" t="s">
        <v>1</v>
      </c>
      <c r="B1653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36" s="3" t="str">
        <f>HYPERLINK("https://otsuka-europe-crm.veevavault.com/ui/#object/sent_email__v/VBL000000015457", "SE-001401161")</f>
        <v>SE-001401161</v>
      </c>
      <c r="D16536" s="1" t="s">
        <v>0</v>
      </c>
      <c r="E16536" s="2">
        <v>0</v>
      </c>
      <c r="F16536" s="2">
        <v>0</v>
      </c>
      <c r="G16536" s="2">
        <v>0</v>
      </c>
      <c r="H16536" s="1" t="s">
        <v>0</v>
      </c>
      <c r="I16536" s="2">
        <v>0</v>
      </c>
      <c r="J16536" s="1">
        <v>46048.67869212963</v>
      </c>
    </row>
    <row r="16537" spans="1:10" x14ac:dyDescent="0.2">
      <c r="A16537" s="4" t="s">
        <v>1</v>
      </c>
      <c r="B1653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37" s="3" t="str">
        <f>HYPERLINK("https://otsuka-europe-crm.veevavault.com/ui/#object/sent_email__v/VBL000000015458", "SE-001401162")</f>
        <v>SE-001401162</v>
      </c>
      <c r="D16537" s="1" t="s">
        <v>0</v>
      </c>
      <c r="E16537" s="2">
        <v>0</v>
      </c>
      <c r="F16537" s="2">
        <v>0</v>
      </c>
      <c r="G16537" s="2">
        <v>0</v>
      </c>
      <c r="H16537" s="1" t="s">
        <v>0</v>
      </c>
      <c r="I16537" s="2">
        <v>0</v>
      </c>
      <c r="J16537" s="1">
        <v>46048.678726851853</v>
      </c>
    </row>
    <row r="16538" spans="1:10" x14ac:dyDescent="0.2">
      <c r="A16538" s="4" t="s">
        <v>1</v>
      </c>
      <c r="B1653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38" s="3" t="str">
        <f>HYPERLINK("https://otsuka-europe-crm.veevavault.com/ui/#object/sent_email__v/VBL000000015459", "SE-001401163")</f>
        <v>SE-001401163</v>
      </c>
      <c r="D16538" s="1" t="s">
        <v>0</v>
      </c>
      <c r="E16538" s="2">
        <v>0</v>
      </c>
      <c r="F16538" s="2">
        <v>0</v>
      </c>
      <c r="G16538" s="2">
        <v>0</v>
      </c>
      <c r="H16538" s="1" t="s">
        <v>0</v>
      </c>
      <c r="I16538" s="2">
        <v>0</v>
      </c>
      <c r="J16538" s="1">
        <v>46048.678773148145</v>
      </c>
    </row>
    <row r="16539" spans="1:10" x14ac:dyDescent="0.2">
      <c r="A16539" s="4" t="s">
        <v>1</v>
      </c>
      <c r="B1653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39" s="3" t="str">
        <f>HYPERLINK("https://otsuka-europe-crm.veevavault.com/ui/#object/sent_email__v/VBL000000015460", "SE-001401164")</f>
        <v>SE-001401164</v>
      </c>
      <c r="D16539" s="1">
        <v>46048.907812500001</v>
      </c>
      <c r="E16539" s="2">
        <v>1</v>
      </c>
      <c r="F16539" s="2">
        <v>1</v>
      </c>
      <c r="G16539" s="2">
        <v>0</v>
      </c>
      <c r="H16539" s="1" t="s">
        <v>0</v>
      </c>
      <c r="I16539" s="2">
        <v>0</v>
      </c>
      <c r="J16539" s="1">
        <v>46048.678819444445</v>
      </c>
    </row>
    <row r="16540" spans="1:10" x14ac:dyDescent="0.2">
      <c r="A16540" s="4" t="s">
        <v>1</v>
      </c>
      <c r="B1654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40" s="3" t="str">
        <f>HYPERLINK("https://otsuka-europe-crm.veevavault.com/ui/#object/sent_email__v/VBL000000015461", "SE-001401165")</f>
        <v>SE-001401165</v>
      </c>
      <c r="D16540" s="1" t="s">
        <v>0</v>
      </c>
      <c r="E16540" s="2">
        <v>0</v>
      </c>
      <c r="F16540" s="2">
        <v>0</v>
      </c>
      <c r="G16540" s="2">
        <v>0</v>
      </c>
      <c r="H16540" s="1" t="s">
        <v>0</v>
      </c>
      <c r="I16540" s="2">
        <v>0</v>
      </c>
      <c r="J16540" s="1">
        <v>46048.678865740738</v>
      </c>
    </row>
    <row r="16541" spans="1:10" x14ac:dyDescent="0.2">
      <c r="A16541" s="4" t="s">
        <v>1</v>
      </c>
      <c r="B1654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41" s="3" t="str">
        <f>HYPERLINK("https://otsuka-europe-crm.veevavault.com/ui/#object/sent_email__v/VBL000000015462", "SE-001401166")</f>
        <v>SE-001401166</v>
      </c>
      <c r="D16541" s="1" t="s">
        <v>0</v>
      </c>
      <c r="E16541" s="2">
        <v>0</v>
      </c>
      <c r="F16541" s="2">
        <v>0</v>
      </c>
      <c r="G16541" s="2">
        <v>0</v>
      </c>
      <c r="H16541" s="1" t="s">
        <v>0</v>
      </c>
      <c r="I16541" s="2">
        <v>0</v>
      </c>
      <c r="J16541" s="1">
        <v>46048.678912037038</v>
      </c>
    </row>
    <row r="16542" spans="1:10" x14ac:dyDescent="0.2">
      <c r="A16542" s="4" t="s">
        <v>1</v>
      </c>
      <c r="B1654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42" s="3" t="str">
        <f>HYPERLINK("https://otsuka-europe-crm.veevavault.com/ui/#object/sent_email__v/VBL000000015463", "SE-001401167")</f>
        <v>SE-001401167</v>
      </c>
      <c r="D16542" s="1" t="s">
        <v>0</v>
      </c>
      <c r="E16542" s="2">
        <v>0</v>
      </c>
      <c r="F16542" s="2">
        <v>0</v>
      </c>
      <c r="G16542" s="2">
        <v>0</v>
      </c>
      <c r="H16542" s="1" t="s">
        <v>0</v>
      </c>
      <c r="I16542" s="2">
        <v>0</v>
      </c>
      <c r="J16542" s="1">
        <v>46048.67895833333</v>
      </c>
    </row>
    <row r="16543" spans="1:10" x14ac:dyDescent="0.2">
      <c r="A16543" s="4" t="s">
        <v>1</v>
      </c>
      <c r="B1654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43" s="3" t="str">
        <f>HYPERLINK("https://otsuka-europe-crm.veevavault.com/ui/#object/sent_email__v/VBL000000015464", "SE-001401168")</f>
        <v>SE-001401168</v>
      </c>
      <c r="D16543" s="1" t="s">
        <v>0</v>
      </c>
      <c r="E16543" s="2">
        <v>0</v>
      </c>
      <c r="F16543" s="2">
        <v>0</v>
      </c>
      <c r="G16543" s="2">
        <v>0</v>
      </c>
      <c r="H16543" s="1" t="s">
        <v>0</v>
      </c>
      <c r="I16543" s="2">
        <v>0</v>
      </c>
      <c r="J16543" s="1">
        <v>46048.67900462963</v>
      </c>
    </row>
    <row r="16544" spans="1:10" x14ac:dyDescent="0.2">
      <c r="A16544" s="4" t="s">
        <v>1</v>
      </c>
      <c r="B1654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44" s="3" t="str">
        <f>HYPERLINK("https://otsuka-europe-crm.veevavault.com/ui/#object/sent_email__v/VBL000000015465", "SE-001401169")</f>
        <v>SE-001401169</v>
      </c>
      <c r="D16544" s="1">
        <v>46063.953877314816</v>
      </c>
      <c r="E16544" s="2">
        <v>1</v>
      </c>
      <c r="F16544" s="2">
        <v>2</v>
      </c>
      <c r="G16544" s="2">
        <v>0</v>
      </c>
      <c r="H16544" s="1" t="s">
        <v>0</v>
      </c>
      <c r="I16544" s="2">
        <v>0</v>
      </c>
      <c r="J16544" s="1">
        <v>46048.679050925923</v>
      </c>
    </row>
    <row r="16545" spans="1:10" x14ac:dyDescent="0.2">
      <c r="A16545" s="4" t="s">
        <v>1</v>
      </c>
      <c r="B1654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45" s="3" t="str">
        <f>HYPERLINK("https://otsuka-europe-crm.veevavault.com/ui/#object/sent_email__v/VBL000000015466", "SE-001401170")</f>
        <v>SE-001401170</v>
      </c>
      <c r="D16545" s="1" t="s">
        <v>0</v>
      </c>
      <c r="E16545" s="2">
        <v>0</v>
      </c>
      <c r="F16545" s="2">
        <v>0</v>
      </c>
      <c r="G16545" s="2">
        <v>0</v>
      </c>
      <c r="H16545" s="1" t="s">
        <v>0</v>
      </c>
      <c r="I16545" s="2">
        <v>0</v>
      </c>
      <c r="J16545" s="1">
        <v>46048.679085648146</v>
      </c>
    </row>
    <row r="16546" spans="1:10" x14ac:dyDescent="0.2">
      <c r="A16546" s="4" t="s">
        <v>1</v>
      </c>
      <c r="B1654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46" s="3" t="str">
        <f>HYPERLINK("https://otsuka-europe-crm.veevavault.com/ui/#object/sent_email__v/VBL000000015467", "SE-001401171")</f>
        <v>SE-001401171</v>
      </c>
      <c r="D16546" s="1" t="s">
        <v>0</v>
      </c>
      <c r="E16546" s="2">
        <v>0</v>
      </c>
      <c r="F16546" s="2">
        <v>0</v>
      </c>
      <c r="G16546" s="2">
        <v>0</v>
      </c>
      <c r="H16546" s="1" t="s">
        <v>0</v>
      </c>
      <c r="I16546" s="2">
        <v>0</v>
      </c>
      <c r="J16546" s="1">
        <v>46048.679143518515</v>
      </c>
    </row>
    <row r="16547" spans="1:10" x14ac:dyDescent="0.2">
      <c r="A16547" s="4" t="s">
        <v>1</v>
      </c>
      <c r="B1654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47" s="3" t="str">
        <f>HYPERLINK("https://otsuka-europe-crm.veevavault.com/ui/#object/sent_email__v/VBL000000015468", "SE-001401172")</f>
        <v>SE-001401172</v>
      </c>
      <c r="D16547" s="1" t="s">
        <v>0</v>
      </c>
      <c r="E16547" s="2">
        <v>0</v>
      </c>
      <c r="F16547" s="2">
        <v>0</v>
      </c>
      <c r="G16547" s="2">
        <v>0</v>
      </c>
      <c r="H16547" s="1" t="s">
        <v>0</v>
      </c>
      <c r="I16547" s="2">
        <v>0</v>
      </c>
      <c r="J16547" s="1">
        <v>46048.679178240738</v>
      </c>
    </row>
    <row r="16548" spans="1:10" x14ac:dyDescent="0.2">
      <c r="A16548" s="4" t="s">
        <v>1</v>
      </c>
      <c r="B1654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48" s="3" t="str">
        <f>HYPERLINK("https://otsuka-europe-crm.veevavault.com/ui/#object/sent_email__v/VBL000000015469", "SE-001401173")</f>
        <v>SE-001401173</v>
      </c>
      <c r="D16548" s="1" t="s">
        <v>0</v>
      </c>
      <c r="E16548" s="2">
        <v>0</v>
      </c>
      <c r="F16548" s="2">
        <v>0</v>
      </c>
      <c r="G16548" s="2">
        <v>0</v>
      </c>
      <c r="H16548" s="1" t="s">
        <v>0</v>
      </c>
      <c r="I16548" s="2">
        <v>0</v>
      </c>
      <c r="J16548" s="1">
        <v>46048.679212962961</v>
      </c>
    </row>
    <row r="16549" spans="1:10" x14ac:dyDescent="0.2">
      <c r="A16549" s="4" t="s">
        <v>1</v>
      </c>
      <c r="B1654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49" s="3" t="str">
        <f>HYPERLINK("https://otsuka-europe-crm.veevavault.com/ui/#object/sent_email__v/VBL000000015470", "SE-001401174")</f>
        <v>SE-001401174</v>
      </c>
      <c r="D16549" s="1" t="s">
        <v>0</v>
      </c>
      <c r="E16549" s="2">
        <v>0</v>
      </c>
      <c r="F16549" s="2">
        <v>0</v>
      </c>
      <c r="G16549" s="2">
        <v>0</v>
      </c>
      <c r="H16549" s="1" t="s">
        <v>0</v>
      </c>
      <c r="I16549" s="2">
        <v>0</v>
      </c>
      <c r="J16549" s="1">
        <v>46048.679270833331</v>
      </c>
    </row>
    <row r="16550" spans="1:10" x14ac:dyDescent="0.2">
      <c r="A16550" s="4" t="s">
        <v>1</v>
      </c>
      <c r="B1655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50" s="3" t="str">
        <f>HYPERLINK("https://otsuka-europe-crm.veevavault.com/ui/#object/sent_email__v/VBL000000015471", "SE-001401175")</f>
        <v>SE-001401175</v>
      </c>
      <c r="D16550" s="1" t="s">
        <v>0</v>
      </c>
      <c r="E16550" s="2">
        <v>0</v>
      </c>
      <c r="F16550" s="2">
        <v>0</v>
      </c>
      <c r="G16550" s="2">
        <v>0</v>
      </c>
      <c r="H16550" s="1" t="s">
        <v>0</v>
      </c>
      <c r="I16550" s="2">
        <v>0</v>
      </c>
      <c r="J16550" s="1">
        <v>46048.679305555554</v>
      </c>
    </row>
    <row r="16551" spans="1:10" x14ac:dyDescent="0.2">
      <c r="A16551" s="4" t="s">
        <v>1</v>
      </c>
      <c r="B1655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51" s="3" t="str">
        <f>HYPERLINK("https://otsuka-europe-crm.veevavault.com/ui/#object/sent_email__v/VBL000000015472", "SE-001401176")</f>
        <v>SE-001401176</v>
      </c>
      <c r="D16551" s="1">
        <v>46068.761203703703</v>
      </c>
      <c r="E16551" s="2">
        <v>1</v>
      </c>
      <c r="F16551" s="2">
        <v>1</v>
      </c>
      <c r="G16551" s="2">
        <v>0</v>
      </c>
      <c r="H16551" s="1" t="s">
        <v>0</v>
      </c>
      <c r="I16551" s="2">
        <v>0</v>
      </c>
      <c r="J16551" s="1">
        <v>46048.679351851853</v>
      </c>
    </row>
    <row r="16552" spans="1:10" x14ac:dyDescent="0.2">
      <c r="A16552" s="4" t="s">
        <v>1</v>
      </c>
      <c r="B1655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52" s="3" t="str">
        <f>HYPERLINK("https://otsuka-europe-crm.veevavault.com/ui/#object/sent_email__v/VBL000000015473", "SE-001401177")</f>
        <v>SE-001401177</v>
      </c>
      <c r="D16552" s="1">
        <v>46051.945567129631</v>
      </c>
      <c r="E16552" s="2">
        <v>1</v>
      </c>
      <c r="F16552" s="2">
        <v>2</v>
      </c>
      <c r="G16552" s="2">
        <v>0</v>
      </c>
      <c r="H16552" s="1" t="s">
        <v>0</v>
      </c>
      <c r="I16552" s="2">
        <v>0</v>
      </c>
      <c r="J16552" s="1">
        <v>46048.679398148146</v>
      </c>
    </row>
    <row r="16553" spans="1:10" x14ac:dyDescent="0.2">
      <c r="A16553" s="4" t="s">
        <v>1</v>
      </c>
      <c r="B1655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53" s="3" t="str">
        <f>HYPERLINK("https://otsuka-europe-crm.veevavault.com/ui/#object/sent_email__v/VBL000000015474", "SE-001401178")</f>
        <v>SE-001401178</v>
      </c>
      <c r="D16553" s="1" t="s">
        <v>0</v>
      </c>
      <c r="E16553" s="2">
        <v>0</v>
      </c>
      <c r="F16553" s="2">
        <v>0</v>
      </c>
      <c r="G16553" s="2">
        <v>0</v>
      </c>
      <c r="H16553" s="1" t="s">
        <v>0</v>
      </c>
      <c r="I16553" s="2">
        <v>0</v>
      </c>
      <c r="J16553" s="1">
        <v>46048.679432870369</v>
      </c>
    </row>
    <row r="16554" spans="1:10" x14ac:dyDescent="0.2">
      <c r="A16554" s="4" t="s">
        <v>1</v>
      </c>
      <c r="B1655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54" s="3" t="str">
        <f>HYPERLINK("https://otsuka-europe-crm.veevavault.com/ui/#object/sent_email__v/VBL000000015475", "SE-001401179")</f>
        <v>SE-001401179</v>
      </c>
      <c r="D16554" s="1" t="s">
        <v>0</v>
      </c>
      <c r="E16554" s="2">
        <v>0</v>
      </c>
      <c r="F16554" s="2">
        <v>0</v>
      </c>
      <c r="G16554" s="2">
        <v>0</v>
      </c>
      <c r="H16554" s="1" t="s">
        <v>0</v>
      </c>
      <c r="I16554" s="2">
        <v>0</v>
      </c>
      <c r="J16554" s="1">
        <v>46048.679479166669</v>
      </c>
    </row>
    <row r="16555" spans="1:10" x14ac:dyDescent="0.2">
      <c r="A16555" s="4" t="s">
        <v>1</v>
      </c>
      <c r="B1655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55" s="3" t="str">
        <f>HYPERLINK("https://otsuka-europe-crm.veevavault.com/ui/#object/sent_email__v/VBL000000015476", "SE-001401180")</f>
        <v>SE-001401180</v>
      </c>
      <c r="D16555" s="1" t="s">
        <v>0</v>
      </c>
      <c r="E16555" s="2">
        <v>0</v>
      </c>
      <c r="F16555" s="2">
        <v>0</v>
      </c>
      <c r="G16555" s="2">
        <v>0</v>
      </c>
      <c r="H16555" s="1" t="s">
        <v>0</v>
      </c>
      <c r="I16555" s="2">
        <v>0</v>
      </c>
      <c r="J16555" s="1">
        <v>46048.679525462961</v>
      </c>
    </row>
    <row r="16556" spans="1:10" x14ac:dyDescent="0.2">
      <c r="A16556" s="4" t="s">
        <v>1</v>
      </c>
      <c r="B1655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56" s="3" t="str">
        <f>HYPERLINK("https://otsuka-europe-crm.veevavault.com/ui/#object/sent_email__v/VBL000000015477", "SE-001401181")</f>
        <v>SE-001401181</v>
      </c>
      <c r="D16556" s="1" t="s">
        <v>0</v>
      </c>
      <c r="E16556" s="2">
        <v>0</v>
      </c>
      <c r="F16556" s="2">
        <v>0</v>
      </c>
      <c r="G16556" s="2">
        <v>0</v>
      </c>
      <c r="H16556" s="1" t="s">
        <v>0</v>
      </c>
      <c r="I16556" s="2">
        <v>0</v>
      </c>
      <c r="J16556" s="1">
        <v>46048.679560185185</v>
      </c>
    </row>
    <row r="16557" spans="1:10" x14ac:dyDescent="0.2">
      <c r="A16557" s="4" t="s">
        <v>1</v>
      </c>
      <c r="B1655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57" s="3" t="str">
        <f>HYPERLINK("https://otsuka-europe-crm.veevavault.com/ui/#object/sent_email__v/VBL000000015478", "SE-001401182")</f>
        <v>SE-001401182</v>
      </c>
      <c r="D16557" s="1" t="s">
        <v>0</v>
      </c>
      <c r="E16557" s="2">
        <v>0</v>
      </c>
      <c r="F16557" s="2">
        <v>0</v>
      </c>
      <c r="G16557" s="2">
        <v>0</v>
      </c>
      <c r="H16557" s="1" t="s">
        <v>0</v>
      </c>
      <c r="I16557" s="2">
        <v>0</v>
      </c>
      <c r="J16557" s="1">
        <v>46048.679606481484</v>
      </c>
    </row>
    <row r="16558" spans="1:10" x14ac:dyDescent="0.2">
      <c r="A16558" s="4" t="s">
        <v>1</v>
      </c>
      <c r="B1655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58" s="3" t="str">
        <f>HYPERLINK("https://otsuka-europe-crm.veevavault.com/ui/#object/sent_email__v/VBL000000015479", "SE-001401183")</f>
        <v>SE-001401183</v>
      </c>
      <c r="D16558" s="1" t="s">
        <v>0</v>
      </c>
      <c r="E16558" s="2">
        <v>0</v>
      </c>
      <c r="F16558" s="2">
        <v>0</v>
      </c>
      <c r="G16558" s="2">
        <v>0</v>
      </c>
      <c r="H16558" s="1" t="s">
        <v>0</v>
      </c>
      <c r="I16558" s="2">
        <v>0</v>
      </c>
      <c r="J16558" s="1">
        <v>46048.679652777777</v>
      </c>
    </row>
    <row r="16559" spans="1:10" x14ac:dyDescent="0.2">
      <c r="A16559" s="4" t="s">
        <v>1</v>
      </c>
      <c r="B1655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59" s="3" t="str">
        <f>HYPERLINK("https://otsuka-europe-crm.veevavault.com/ui/#object/sent_email__v/VBL000000015480", "SE-001401184")</f>
        <v>SE-001401184</v>
      </c>
      <c r="D16559" s="1">
        <v>46048.697951388887</v>
      </c>
      <c r="E16559" s="2">
        <v>1</v>
      </c>
      <c r="F16559" s="2">
        <v>1</v>
      </c>
      <c r="G16559" s="2">
        <v>0</v>
      </c>
      <c r="H16559" s="1" t="s">
        <v>0</v>
      </c>
      <c r="I16559" s="2">
        <v>0</v>
      </c>
      <c r="J16559" s="1">
        <v>46048.679699074077</v>
      </c>
    </row>
    <row r="16560" spans="1:10" x14ac:dyDescent="0.2">
      <c r="A16560" s="4" t="s">
        <v>1</v>
      </c>
      <c r="B1656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60" s="3" t="str">
        <f>HYPERLINK("https://otsuka-europe-crm.veevavault.com/ui/#object/sent_email__v/VBL000000015481", "SE-001401185")</f>
        <v>SE-001401185</v>
      </c>
      <c r="D16560" s="1" t="s">
        <v>0</v>
      </c>
      <c r="E16560" s="2">
        <v>0</v>
      </c>
      <c r="F16560" s="2">
        <v>0</v>
      </c>
      <c r="G16560" s="2">
        <v>0</v>
      </c>
      <c r="H16560" s="1" t="s">
        <v>0</v>
      </c>
      <c r="I16560" s="2">
        <v>0</v>
      </c>
      <c r="J16560" s="1">
        <v>46048.6797337963</v>
      </c>
    </row>
    <row r="16561" spans="1:10" x14ac:dyDescent="0.2">
      <c r="A16561" s="4" t="s">
        <v>1</v>
      </c>
      <c r="B1656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61" s="3" t="str">
        <f>HYPERLINK("https://otsuka-europe-crm.veevavault.com/ui/#object/sent_email__v/VBL000000015482", "SE-001401186")</f>
        <v>SE-001401186</v>
      </c>
      <c r="D16561" s="1" t="s">
        <v>0</v>
      </c>
      <c r="E16561" s="2">
        <v>0</v>
      </c>
      <c r="F16561" s="2">
        <v>0</v>
      </c>
      <c r="G16561" s="2">
        <v>0</v>
      </c>
      <c r="H16561" s="1" t="s">
        <v>0</v>
      </c>
      <c r="I16561" s="2">
        <v>0</v>
      </c>
      <c r="J16561" s="1">
        <v>46048.679780092592</v>
      </c>
    </row>
    <row r="16562" spans="1:10" x14ac:dyDescent="0.2">
      <c r="A16562" s="4" t="s">
        <v>1</v>
      </c>
      <c r="B1656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62" s="3" t="str">
        <f>HYPERLINK("https://otsuka-europe-crm.veevavault.com/ui/#object/sent_email__v/VBL000000015483", "SE-001401187")</f>
        <v>SE-001401187</v>
      </c>
      <c r="D16562" s="1" t="s">
        <v>0</v>
      </c>
      <c r="E16562" s="2">
        <v>0</v>
      </c>
      <c r="F16562" s="2">
        <v>0</v>
      </c>
      <c r="G16562" s="2">
        <v>0</v>
      </c>
      <c r="H16562" s="1" t="s">
        <v>0</v>
      </c>
      <c r="I16562" s="2">
        <v>0</v>
      </c>
      <c r="J16562" s="1">
        <v>46048.679826388892</v>
      </c>
    </row>
    <row r="16563" spans="1:10" x14ac:dyDescent="0.2">
      <c r="A16563" s="4" t="s">
        <v>1</v>
      </c>
      <c r="B1656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63" s="3" t="str">
        <f>HYPERLINK("https://otsuka-europe-crm.veevavault.com/ui/#object/sent_email__v/VBL000000015484", "SE-001401188")</f>
        <v>SE-001401188</v>
      </c>
      <c r="D16563" s="1" t="s">
        <v>0</v>
      </c>
      <c r="E16563" s="2">
        <v>0</v>
      </c>
      <c r="F16563" s="2">
        <v>0</v>
      </c>
      <c r="G16563" s="2">
        <v>0</v>
      </c>
      <c r="H16563" s="1" t="s">
        <v>0</v>
      </c>
      <c r="I16563" s="2">
        <v>0</v>
      </c>
      <c r="J16563" s="1">
        <v>46048.679861111108</v>
      </c>
    </row>
    <row r="16564" spans="1:10" x14ac:dyDescent="0.2">
      <c r="A16564" s="4" t="s">
        <v>1</v>
      </c>
      <c r="B1656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64" s="3" t="str">
        <f>HYPERLINK("https://otsuka-europe-crm.veevavault.com/ui/#object/sent_email__v/VBL000000015485", "SE-001401189")</f>
        <v>SE-001401189</v>
      </c>
      <c r="D16564" s="1" t="s">
        <v>0</v>
      </c>
      <c r="E16564" s="2">
        <v>0</v>
      </c>
      <c r="F16564" s="2">
        <v>0</v>
      </c>
      <c r="G16564" s="2">
        <v>0</v>
      </c>
      <c r="H16564" s="1" t="s">
        <v>0</v>
      </c>
      <c r="I16564" s="2">
        <v>0</v>
      </c>
      <c r="J16564" s="1">
        <v>46048.679907407408</v>
      </c>
    </row>
    <row r="16565" spans="1:10" x14ac:dyDescent="0.2">
      <c r="A16565" s="4" t="s">
        <v>1</v>
      </c>
      <c r="B1656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65" s="3" t="str">
        <f>HYPERLINK("https://otsuka-europe-crm.veevavault.com/ui/#object/sent_email__v/VBL000000015486", "SE-001401190")</f>
        <v>SE-001401190</v>
      </c>
      <c r="D16565" s="1" t="s">
        <v>0</v>
      </c>
      <c r="E16565" s="2">
        <v>0</v>
      </c>
      <c r="F16565" s="2">
        <v>0</v>
      </c>
      <c r="G16565" s="2">
        <v>0</v>
      </c>
      <c r="H16565" s="1" t="s">
        <v>0</v>
      </c>
      <c r="I16565" s="2">
        <v>0</v>
      </c>
      <c r="J16565" s="1">
        <v>46048.6799537037</v>
      </c>
    </row>
    <row r="16566" spans="1:10" x14ac:dyDescent="0.2">
      <c r="A16566" s="4" t="s">
        <v>1</v>
      </c>
      <c r="B1656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66" s="3" t="str">
        <f>HYPERLINK("https://otsuka-europe-crm.veevavault.com/ui/#object/sent_email__v/VBL000000015487", "SE-001401191")</f>
        <v>SE-001401191</v>
      </c>
      <c r="D16566" s="1">
        <v>46054.592499999999</v>
      </c>
      <c r="E16566" s="2">
        <v>1</v>
      </c>
      <c r="F16566" s="2">
        <v>4</v>
      </c>
      <c r="G16566" s="2">
        <v>0</v>
      </c>
      <c r="H16566" s="1" t="s">
        <v>0</v>
      </c>
      <c r="I16566" s="2">
        <v>0</v>
      </c>
      <c r="J16566" s="1">
        <v>46048.679988425924</v>
      </c>
    </row>
    <row r="16567" spans="1:10" x14ac:dyDescent="0.2">
      <c r="A16567" s="4" t="s">
        <v>1</v>
      </c>
      <c r="B1656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67" s="3" t="str">
        <f>HYPERLINK("https://otsuka-europe-crm.veevavault.com/ui/#object/sent_email__v/VBL000000015488", "SE-001401192")</f>
        <v>SE-001401192</v>
      </c>
      <c r="D16567" s="1">
        <v>46048.948854166665</v>
      </c>
      <c r="E16567" s="2">
        <v>1</v>
      </c>
      <c r="F16567" s="2">
        <v>1</v>
      </c>
      <c r="G16567" s="2">
        <v>0</v>
      </c>
      <c r="H16567" s="1" t="s">
        <v>0</v>
      </c>
      <c r="I16567" s="2">
        <v>0</v>
      </c>
      <c r="J16567" s="1">
        <v>46048.680046296293</v>
      </c>
    </row>
    <row r="16568" spans="1:10" x14ac:dyDescent="0.2">
      <c r="A16568" s="4" t="s">
        <v>1</v>
      </c>
      <c r="B1656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68" s="3" t="str">
        <f>HYPERLINK("https://otsuka-europe-crm.veevavault.com/ui/#object/sent_email__v/VBL000000015489", "SE-001401193")</f>
        <v>SE-001401193</v>
      </c>
      <c r="D16568" s="1" t="s">
        <v>0</v>
      </c>
      <c r="E16568" s="2">
        <v>0</v>
      </c>
      <c r="F16568" s="2">
        <v>0</v>
      </c>
      <c r="G16568" s="2">
        <v>0</v>
      </c>
      <c r="H16568" s="1" t="s">
        <v>0</v>
      </c>
      <c r="I16568" s="2">
        <v>0</v>
      </c>
      <c r="J16568" s="1">
        <v>46048.680081018516</v>
      </c>
    </row>
    <row r="16569" spans="1:10" x14ac:dyDescent="0.2">
      <c r="A16569" s="4" t="s">
        <v>1</v>
      </c>
      <c r="B1656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69" s="3" t="str">
        <f>HYPERLINK("https://otsuka-europe-crm.veevavault.com/ui/#object/sent_email__v/VBL000000015490", "SE-001401194")</f>
        <v>SE-001401194</v>
      </c>
      <c r="D16569" s="1" t="s">
        <v>0</v>
      </c>
      <c r="E16569" s="2">
        <v>0</v>
      </c>
      <c r="F16569" s="2">
        <v>0</v>
      </c>
      <c r="G16569" s="2">
        <v>0</v>
      </c>
      <c r="H16569" s="1" t="s">
        <v>0</v>
      </c>
      <c r="I16569" s="2">
        <v>0</v>
      </c>
      <c r="J16569" s="1">
        <v>46048.680115740739</v>
      </c>
    </row>
    <row r="16570" spans="1:10" x14ac:dyDescent="0.2">
      <c r="A16570" s="4" t="s">
        <v>1</v>
      </c>
      <c r="B1657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70" s="3" t="str">
        <f>HYPERLINK("https://otsuka-europe-crm.veevavault.com/ui/#object/sent_email__v/VBL000000016771", "SE-001401227")</f>
        <v>SE-001401227</v>
      </c>
      <c r="D16570" s="1" t="s">
        <v>0</v>
      </c>
      <c r="E16570" s="2">
        <v>0</v>
      </c>
      <c r="F16570" s="2">
        <v>0</v>
      </c>
      <c r="G16570" s="2">
        <v>0</v>
      </c>
      <c r="H16570" s="1" t="s">
        <v>0</v>
      </c>
      <c r="I16570" s="2">
        <v>0</v>
      </c>
      <c r="J16570" s="1">
        <v>46048.694421296299</v>
      </c>
    </row>
    <row r="16571" spans="1:10" x14ac:dyDescent="0.2">
      <c r="A16571" s="4" t="s">
        <v>1</v>
      </c>
      <c r="B1657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71" s="3" t="str">
        <f>HYPERLINK("https://otsuka-europe-crm.veevavault.com/ui/#object/sent_email__v/VBL000000016772", "SE-001401228")</f>
        <v>SE-001401228</v>
      </c>
      <c r="D16571" s="1" t="s">
        <v>0</v>
      </c>
      <c r="E16571" s="2">
        <v>0</v>
      </c>
      <c r="F16571" s="2">
        <v>0</v>
      </c>
      <c r="G16571" s="2">
        <v>0</v>
      </c>
      <c r="H16571" s="1" t="s">
        <v>0</v>
      </c>
      <c r="I16571" s="2">
        <v>0</v>
      </c>
      <c r="J16571" s="1">
        <v>46048.694421296299</v>
      </c>
    </row>
    <row r="16572" spans="1:10" x14ac:dyDescent="0.2">
      <c r="A16572" s="4" t="s">
        <v>1</v>
      </c>
      <c r="B1657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72" s="3" t="str">
        <f>HYPERLINK("https://otsuka-europe-crm.veevavault.com/ui/#object/sent_email__v/VBL000000016773", "SE-001401229")</f>
        <v>SE-001401229</v>
      </c>
      <c r="D16572" s="1" t="s">
        <v>0</v>
      </c>
      <c r="E16572" s="2">
        <v>0</v>
      </c>
      <c r="F16572" s="2">
        <v>0</v>
      </c>
      <c r="G16572" s="2">
        <v>0</v>
      </c>
      <c r="H16572" s="1" t="s">
        <v>0</v>
      </c>
      <c r="I16572" s="2">
        <v>0</v>
      </c>
      <c r="J16572" s="1">
        <v>46048.694421296299</v>
      </c>
    </row>
    <row r="16573" spans="1:10" x14ac:dyDescent="0.2">
      <c r="A16573" s="4" t="s">
        <v>1</v>
      </c>
      <c r="B1657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73" s="3" t="str">
        <f>HYPERLINK("https://otsuka-europe-crm.veevavault.com/ui/#object/sent_email__v/VBL000000016774", "SE-001401230")</f>
        <v>SE-001401230</v>
      </c>
      <c r="D16573" s="1" t="s">
        <v>0</v>
      </c>
      <c r="E16573" s="2">
        <v>0</v>
      </c>
      <c r="F16573" s="2">
        <v>0</v>
      </c>
      <c r="G16573" s="2">
        <v>0</v>
      </c>
      <c r="H16573" s="1" t="s">
        <v>0</v>
      </c>
      <c r="I16573" s="2">
        <v>0</v>
      </c>
      <c r="J16573" s="1">
        <v>46048.694421296299</v>
      </c>
    </row>
    <row r="16574" spans="1:10" x14ac:dyDescent="0.2">
      <c r="A16574" s="4" t="s">
        <v>1</v>
      </c>
      <c r="B1657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74" s="3" t="str">
        <f>HYPERLINK("https://otsuka-europe-crm.veevavault.com/ui/#object/sent_email__v/VBL000000016775", "SE-001401231")</f>
        <v>SE-001401231</v>
      </c>
      <c r="D16574" s="1" t="s">
        <v>0</v>
      </c>
      <c r="E16574" s="2">
        <v>0</v>
      </c>
      <c r="F16574" s="2">
        <v>0</v>
      </c>
      <c r="G16574" s="2">
        <v>0</v>
      </c>
      <c r="H16574" s="1" t="s">
        <v>0</v>
      </c>
      <c r="I16574" s="2">
        <v>0</v>
      </c>
      <c r="J16574" s="1">
        <v>46048.694421296299</v>
      </c>
    </row>
    <row r="16575" spans="1:10" x14ac:dyDescent="0.2">
      <c r="A16575" s="4" t="s">
        <v>1</v>
      </c>
      <c r="B1657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75" s="3" t="str">
        <f>HYPERLINK("https://otsuka-europe-crm.veevavault.com/ui/#object/sent_email__v/VBL000000016776", "SE-001401232")</f>
        <v>SE-001401232</v>
      </c>
      <c r="D16575" s="1" t="s">
        <v>0</v>
      </c>
      <c r="E16575" s="2">
        <v>0</v>
      </c>
      <c r="F16575" s="2">
        <v>0</v>
      </c>
      <c r="G16575" s="2">
        <v>0</v>
      </c>
      <c r="H16575" s="1" t="s">
        <v>0</v>
      </c>
      <c r="I16575" s="2">
        <v>0</v>
      </c>
      <c r="J16575" s="1">
        <v>46048.694432870368</v>
      </c>
    </row>
    <row r="16576" spans="1:10" x14ac:dyDescent="0.2">
      <c r="A16576" s="4" t="s">
        <v>1</v>
      </c>
      <c r="B1657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76" s="3" t="str">
        <f>HYPERLINK("https://otsuka-europe-crm.veevavault.com/ui/#object/sent_email__v/VBL000000016777", "SE-001401233")</f>
        <v>SE-001401233</v>
      </c>
      <c r="D16576" s="1" t="s">
        <v>0</v>
      </c>
      <c r="E16576" s="2">
        <v>0</v>
      </c>
      <c r="F16576" s="2">
        <v>0</v>
      </c>
      <c r="G16576" s="2">
        <v>0</v>
      </c>
      <c r="H16576" s="1" t="s">
        <v>0</v>
      </c>
      <c r="I16576" s="2">
        <v>0</v>
      </c>
      <c r="J16576" s="1">
        <v>46048.694421296299</v>
      </c>
    </row>
    <row r="16577" spans="1:10" x14ac:dyDescent="0.2">
      <c r="A16577" s="4" t="s">
        <v>1</v>
      </c>
      <c r="B1657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77" s="3" t="str">
        <f>HYPERLINK("https://otsuka-europe-crm.veevavault.com/ui/#object/sent_email__v/VBL000000016778", "SE-001401234")</f>
        <v>SE-001401234</v>
      </c>
      <c r="D16577" s="1" t="s">
        <v>0</v>
      </c>
      <c r="E16577" s="2">
        <v>0</v>
      </c>
      <c r="F16577" s="2">
        <v>0</v>
      </c>
      <c r="G16577" s="2">
        <v>0</v>
      </c>
      <c r="H16577" s="1" t="s">
        <v>0</v>
      </c>
      <c r="I16577" s="2">
        <v>0</v>
      </c>
      <c r="J16577" s="1">
        <v>46048.694432870368</v>
      </c>
    </row>
    <row r="16578" spans="1:10" x14ac:dyDescent="0.2">
      <c r="A16578" s="4" t="s">
        <v>1</v>
      </c>
      <c r="B1657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78" s="3" t="str">
        <f>HYPERLINK("https://otsuka-europe-crm.veevavault.com/ui/#object/sent_email__v/VBL000000016779", "SE-001401235")</f>
        <v>SE-001401235</v>
      </c>
      <c r="D16578" s="1" t="s">
        <v>0</v>
      </c>
      <c r="E16578" s="2">
        <v>0</v>
      </c>
      <c r="F16578" s="2">
        <v>0</v>
      </c>
      <c r="G16578" s="2">
        <v>0</v>
      </c>
      <c r="H16578" s="1" t="s">
        <v>0</v>
      </c>
      <c r="I16578" s="2">
        <v>0</v>
      </c>
      <c r="J16578" s="1">
        <v>46048.694432870368</v>
      </c>
    </row>
    <row r="16579" spans="1:10" x14ac:dyDescent="0.2">
      <c r="A16579" s="4" t="s">
        <v>1</v>
      </c>
      <c r="B1657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79" s="3" t="str">
        <f>HYPERLINK("https://otsuka-europe-crm.veevavault.com/ui/#object/sent_email__v/VBL000000016780", "SE-001401236")</f>
        <v>SE-001401236</v>
      </c>
      <c r="D16579" s="1" t="s">
        <v>0</v>
      </c>
      <c r="E16579" s="2">
        <v>0</v>
      </c>
      <c r="F16579" s="2">
        <v>0</v>
      </c>
      <c r="G16579" s="2">
        <v>0</v>
      </c>
      <c r="H16579" s="1" t="s">
        <v>0</v>
      </c>
      <c r="I16579" s="2">
        <v>0</v>
      </c>
      <c r="J16579" s="1">
        <v>46048.694432870368</v>
      </c>
    </row>
    <row r="16580" spans="1:10" x14ac:dyDescent="0.2">
      <c r="A16580" s="4" t="s">
        <v>1</v>
      </c>
      <c r="B1658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80" s="3" t="str">
        <f>HYPERLINK("https://otsuka-europe-crm.veevavault.com/ui/#object/sent_email__v/VBL000000016781", "SE-001401237")</f>
        <v>SE-001401237</v>
      </c>
      <c r="D16580" s="1" t="s">
        <v>0</v>
      </c>
      <c r="E16580" s="2">
        <v>0</v>
      </c>
      <c r="F16580" s="2">
        <v>0</v>
      </c>
      <c r="G16580" s="2">
        <v>0</v>
      </c>
      <c r="H16580" s="1" t="s">
        <v>0</v>
      </c>
      <c r="I16580" s="2">
        <v>0</v>
      </c>
      <c r="J16580" s="1">
        <v>46048.694432870368</v>
      </c>
    </row>
    <row r="16581" spans="1:10" x14ac:dyDescent="0.2">
      <c r="A16581" s="4" t="s">
        <v>1</v>
      </c>
      <c r="B1658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81" s="3" t="str">
        <f>HYPERLINK("https://otsuka-europe-crm.veevavault.com/ui/#object/sent_email__v/VBL000000016782", "SE-001401238")</f>
        <v>SE-001401238</v>
      </c>
      <c r="D16581" s="1" t="s">
        <v>0</v>
      </c>
      <c r="E16581" s="2">
        <v>0</v>
      </c>
      <c r="F16581" s="2">
        <v>0</v>
      </c>
      <c r="G16581" s="2">
        <v>0</v>
      </c>
      <c r="H16581" s="1" t="s">
        <v>0</v>
      </c>
      <c r="I16581" s="2">
        <v>0</v>
      </c>
      <c r="J16581" s="1">
        <v>46048.694432870368</v>
      </c>
    </row>
    <row r="16582" spans="1:10" x14ac:dyDescent="0.2">
      <c r="A16582" s="4" t="s">
        <v>1</v>
      </c>
      <c r="B1658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82" s="3" t="str">
        <f>HYPERLINK("https://otsuka-europe-crm.veevavault.com/ui/#object/sent_email__v/VBL000000016783", "SE-001401239")</f>
        <v>SE-001401239</v>
      </c>
      <c r="D16582" s="1" t="s">
        <v>0</v>
      </c>
      <c r="E16582" s="2">
        <v>0</v>
      </c>
      <c r="F16582" s="2">
        <v>0</v>
      </c>
      <c r="G16582" s="2">
        <v>0</v>
      </c>
      <c r="H16582" s="1" t="s">
        <v>0</v>
      </c>
      <c r="I16582" s="2">
        <v>0</v>
      </c>
      <c r="J16582" s="1">
        <v>46048.694432870368</v>
      </c>
    </row>
    <row r="16583" spans="1:10" x14ac:dyDescent="0.2">
      <c r="A16583" s="4" t="s">
        <v>1</v>
      </c>
      <c r="B1658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83" s="3" t="str">
        <f>HYPERLINK("https://otsuka-europe-crm.veevavault.com/ui/#object/sent_email__v/VBL000000016784", "SE-001401240")</f>
        <v>SE-001401240</v>
      </c>
      <c r="D16583" s="1" t="s">
        <v>0</v>
      </c>
      <c r="E16583" s="2">
        <v>0</v>
      </c>
      <c r="F16583" s="2">
        <v>0</v>
      </c>
      <c r="G16583" s="2">
        <v>0</v>
      </c>
      <c r="H16583" s="1" t="s">
        <v>0</v>
      </c>
      <c r="I16583" s="2">
        <v>0</v>
      </c>
      <c r="J16583" s="1">
        <v>46048.694432870368</v>
      </c>
    </row>
    <row r="16584" spans="1:10" x14ac:dyDescent="0.2">
      <c r="A16584" s="4" t="s">
        <v>1</v>
      </c>
      <c r="B1658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84" s="3" t="str">
        <f>HYPERLINK("https://otsuka-europe-crm.veevavault.com/ui/#object/sent_email__v/VBL000000016785", "SE-001401241")</f>
        <v>SE-001401241</v>
      </c>
      <c r="D16584" s="1" t="s">
        <v>0</v>
      </c>
      <c r="E16584" s="2">
        <v>0</v>
      </c>
      <c r="F16584" s="2">
        <v>0</v>
      </c>
      <c r="G16584" s="2">
        <v>0</v>
      </c>
      <c r="H16584" s="1" t="s">
        <v>0</v>
      </c>
      <c r="I16584" s="2">
        <v>0</v>
      </c>
      <c r="J16584" s="1">
        <v>46048.694432870368</v>
      </c>
    </row>
    <row r="16585" spans="1:10" x14ac:dyDescent="0.2">
      <c r="A16585" s="4" t="s">
        <v>1</v>
      </c>
      <c r="B1658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85" s="3" t="str">
        <f>HYPERLINK("https://otsuka-europe-crm.veevavault.com/ui/#object/sent_email__v/VBL000000016786", "SE-001401242")</f>
        <v>SE-001401242</v>
      </c>
      <c r="D16585" s="1" t="s">
        <v>0</v>
      </c>
      <c r="E16585" s="2">
        <v>0</v>
      </c>
      <c r="F16585" s="2">
        <v>0</v>
      </c>
      <c r="G16585" s="2">
        <v>0</v>
      </c>
      <c r="H16585" s="1" t="s">
        <v>0</v>
      </c>
      <c r="I16585" s="2">
        <v>0</v>
      </c>
      <c r="J16585" s="1">
        <v>46048.694432870368</v>
      </c>
    </row>
    <row r="16586" spans="1:10" x14ac:dyDescent="0.2">
      <c r="A16586" s="4" t="s">
        <v>1</v>
      </c>
      <c r="B1658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86" s="3" t="str">
        <f>HYPERLINK("https://otsuka-europe-crm.veevavault.com/ui/#object/sent_email__v/VBL000000016787", "SE-001401243")</f>
        <v>SE-001401243</v>
      </c>
      <c r="D16586" s="1" t="s">
        <v>0</v>
      </c>
      <c r="E16586" s="2">
        <v>0</v>
      </c>
      <c r="F16586" s="2">
        <v>0</v>
      </c>
      <c r="G16586" s="2">
        <v>0</v>
      </c>
      <c r="H16586" s="1" t="s">
        <v>0</v>
      </c>
      <c r="I16586" s="2">
        <v>0</v>
      </c>
      <c r="J16586" s="1">
        <v>46048.694444444445</v>
      </c>
    </row>
    <row r="16587" spans="1:10" x14ac:dyDescent="0.2">
      <c r="A16587" s="4" t="s">
        <v>1</v>
      </c>
      <c r="B1658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87" s="3" t="str">
        <f>HYPERLINK("https://otsuka-europe-crm.veevavault.com/ui/#object/sent_email__v/VBL000000016788", "SE-001401244")</f>
        <v>SE-001401244</v>
      </c>
      <c r="D16587" s="1" t="s">
        <v>0</v>
      </c>
      <c r="E16587" s="2">
        <v>0</v>
      </c>
      <c r="F16587" s="2">
        <v>0</v>
      </c>
      <c r="G16587" s="2">
        <v>0</v>
      </c>
      <c r="H16587" s="1" t="s">
        <v>0</v>
      </c>
      <c r="I16587" s="2">
        <v>0</v>
      </c>
      <c r="J16587" s="1">
        <v>46048.694444444445</v>
      </c>
    </row>
    <row r="16588" spans="1:10" x14ac:dyDescent="0.2">
      <c r="A16588" s="4" t="s">
        <v>1</v>
      </c>
      <c r="B1658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88" s="3" t="str">
        <f>HYPERLINK("https://otsuka-europe-crm.veevavault.com/ui/#object/sent_email__v/VBL000000016789", "SE-001401245")</f>
        <v>SE-001401245</v>
      </c>
      <c r="D16588" s="1" t="s">
        <v>0</v>
      </c>
      <c r="E16588" s="2">
        <v>0</v>
      </c>
      <c r="F16588" s="2">
        <v>0</v>
      </c>
      <c r="G16588" s="2">
        <v>0</v>
      </c>
      <c r="H16588" s="1" t="s">
        <v>0</v>
      </c>
      <c r="I16588" s="2">
        <v>0</v>
      </c>
      <c r="J16588" s="1">
        <v>46048.694444444445</v>
      </c>
    </row>
    <row r="16589" spans="1:10" x14ac:dyDescent="0.2">
      <c r="A16589" s="4" t="s">
        <v>1</v>
      </c>
      <c r="B1658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89" s="3" t="str">
        <f>HYPERLINK("https://otsuka-europe-crm.veevavault.com/ui/#object/sent_email__v/VBL000000016790", "SE-001401246")</f>
        <v>SE-001401246</v>
      </c>
      <c r="D16589" s="1" t="s">
        <v>0</v>
      </c>
      <c r="E16589" s="2">
        <v>0</v>
      </c>
      <c r="F16589" s="2">
        <v>0</v>
      </c>
      <c r="G16589" s="2">
        <v>0</v>
      </c>
      <c r="H16589" s="1" t="s">
        <v>0</v>
      </c>
      <c r="I16589" s="2">
        <v>0</v>
      </c>
      <c r="J16589" s="1">
        <v>46048.694432870368</v>
      </c>
    </row>
    <row r="16590" spans="1:10" x14ac:dyDescent="0.2">
      <c r="A16590" s="4" t="s">
        <v>1</v>
      </c>
      <c r="B1659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90" s="3" t="str">
        <f>HYPERLINK("https://otsuka-europe-crm.veevavault.com/ui/#object/sent_email__v/VBL000000016791", "SE-001401247")</f>
        <v>SE-001401247</v>
      </c>
      <c r="D16590" s="1" t="s">
        <v>0</v>
      </c>
      <c r="E16590" s="2">
        <v>0</v>
      </c>
      <c r="F16590" s="2">
        <v>0</v>
      </c>
      <c r="G16590" s="2">
        <v>0</v>
      </c>
      <c r="H16590" s="1" t="s">
        <v>0</v>
      </c>
      <c r="I16590" s="2">
        <v>0</v>
      </c>
      <c r="J16590" s="1">
        <v>46048.694444444445</v>
      </c>
    </row>
    <row r="16591" spans="1:10" x14ac:dyDescent="0.2">
      <c r="A16591" s="4" t="s">
        <v>1</v>
      </c>
      <c r="B1659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91" s="3" t="str">
        <f>HYPERLINK("https://otsuka-europe-crm.veevavault.com/ui/#object/sent_email__v/VBL000000016792", "SE-001401248")</f>
        <v>SE-001401248</v>
      </c>
      <c r="D16591" s="1" t="s">
        <v>0</v>
      </c>
      <c r="E16591" s="2">
        <v>0</v>
      </c>
      <c r="F16591" s="2">
        <v>0</v>
      </c>
      <c r="G16591" s="2">
        <v>0</v>
      </c>
      <c r="H16591" s="1" t="s">
        <v>0</v>
      </c>
      <c r="I16591" s="2">
        <v>0</v>
      </c>
      <c r="J16591" s="1">
        <v>46048.694444444445</v>
      </c>
    </row>
    <row r="16592" spans="1:10" x14ac:dyDescent="0.2">
      <c r="A16592" s="4" t="s">
        <v>1</v>
      </c>
      <c r="B1659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92" s="3" t="str">
        <f>HYPERLINK("https://otsuka-europe-crm.veevavault.com/ui/#object/sent_email__v/VBL000000016793", "SE-001401249")</f>
        <v>SE-001401249</v>
      </c>
      <c r="D16592" s="1" t="s">
        <v>0</v>
      </c>
      <c r="E16592" s="2">
        <v>0</v>
      </c>
      <c r="F16592" s="2">
        <v>0</v>
      </c>
      <c r="G16592" s="2">
        <v>0</v>
      </c>
      <c r="H16592" s="1" t="s">
        <v>0</v>
      </c>
      <c r="I16592" s="2">
        <v>0</v>
      </c>
      <c r="J16592" s="1">
        <v>46048.694444444445</v>
      </c>
    </row>
    <row r="16593" spans="1:10" x14ac:dyDescent="0.2">
      <c r="A16593" s="4" t="s">
        <v>1</v>
      </c>
      <c r="B1659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93" s="3" t="str">
        <f>HYPERLINK("https://otsuka-europe-crm.veevavault.com/ui/#object/sent_email__v/VBL000000016794", "SE-001401250")</f>
        <v>SE-001401250</v>
      </c>
      <c r="D16593" s="1" t="s">
        <v>0</v>
      </c>
      <c r="E16593" s="2">
        <v>0</v>
      </c>
      <c r="F16593" s="2">
        <v>0</v>
      </c>
      <c r="G16593" s="2">
        <v>0</v>
      </c>
      <c r="H16593" s="1" t="s">
        <v>0</v>
      </c>
      <c r="I16593" s="2">
        <v>0</v>
      </c>
      <c r="J16593" s="1">
        <v>46048.694444444445</v>
      </c>
    </row>
    <row r="16594" spans="1:10" x14ac:dyDescent="0.2">
      <c r="A16594" s="4" t="s">
        <v>1</v>
      </c>
      <c r="B1659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94" s="3" t="str">
        <f>HYPERLINK("https://otsuka-europe-crm.veevavault.com/ui/#object/sent_email__v/VBL000000016795", "SE-001401251")</f>
        <v>SE-001401251</v>
      </c>
      <c r="D16594" s="1" t="s">
        <v>0</v>
      </c>
      <c r="E16594" s="2">
        <v>0</v>
      </c>
      <c r="F16594" s="2">
        <v>0</v>
      </c>
      <c r="G16594" s="2">
        <v>0</v>
      </c>
      <c r="H16594" s="1" t="s">
        <v>0</v>
      </c>
      <c r="I16594" s="2">
        <v>0</v>
      </c>
      <c r="J16594" s="1">
        <v>46048.694444444445</v>
      </c>
    </row>
    <row r="16595" spans="1:10" x14ac:dyDescent="0.2">
      <c r="A16595" s="4" t="s">
        <v>1</v>
      </c>
      <c r="B1659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95" s="3" t="str">
        <f>HYPERLINK("https://otsuka-europe-crm.veevavault.com/ui/#object/sent_email__v/VBL000000016796", "SE-001401252")</f>
        <v>SE-001401252</v>
      </c>
      <c r="D16595" s="1" t="s">
        <v>0</v>
      </c>
      <c r="E16595" s="2">
        <v>0</v>
      </c>
      <c r="F16595" s="2">
        <v>0</v>
      </c>
      <c r="G16595" s="2">
        <v>0</v>
      </c>
      <c r="H16595" s="1" t="s">
        <v>0</v>
      </c>
      <c r="I16595" s="2">
        <v>0</v>
      </c>
      <c r="J16595" s="1">
        <v>46048.694444444445</v>
      </c>
    </row>
    <row r="16596" spans="1:10" x14ac:dyDescent="0.2">
      <c r="A16596" s="4" t="s">
        <v>1</v>
      </c>
      <c r="B1659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96" s="3" t="str">
        <f>HYPERLINK("https://otsuka-europe-crm.veevavault.com/ui/#object/sent_email__v/VBL000000015492", "SE-001401267")</f>
        <v>SE-001401267</v>
      </c>
      <c r="D16596" s="1" t="s">
        <v>0</v>
      </c>
      <c r="E16596" s="2">
        <v>0</v>
      </c>
      <c r="F16596" s="2">
        <v>0</v>
      </c>
      <c r="G16596" s="2">
        <v>0</v>
      </c>
      <c r="H16596" s="1" t="s">
        <v>0</v>
      </c>
      <c r="I16596" s="2">
        <v>0</v>
      </c>
      <c r="J16596" s="1">
        <v>46048.700196759259</v>
      </c>
    </row>
    <row r="16597" spans="1:10" x14ac:dyDescent="0.2">
      <c r="A16597" s="4" t="s">
        <v>1</v>
      </c>
      <c r="B1659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97" s="3" t="str">
        <f>HYPERLINK("https://otsuka-europe-crm.veevavault.com/ui/#object/sent_email__v/VBL000000015493", "SE-001401268")</f>
        <v>SE-001401268</v>
      </c>
      <c r="D16597" s="1" t="s">
        <v>0</v>
      </c>
      <c r="E16597" s="2">
        <v>0</v>
      </c>
      <c r="F16597" s="2">
        <v>0</v>
      </c>
      <c r="G16597" s="2">
        <v>0</v>
      </c>
      <c r="H16597" s="1" t="s">
        <v>0</v>
      </c>
      <c r="I16597" s="2">
        <v>0</v>
      </c>
      <c r="J16597" s="1">
        <v>46048.700208333335</v>
      </c>
    </row>
    <row r="16598" spans="1:10" x14ac:dyDescent="0.2">
      <c r="A16598" s="4" t="s">
        <v>1</v>
      </c>
      <c r="B1659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98" s="3" t="str">
        <f>HYPERLINK("https://otsuka-europe-crm.veevavault.com/ui/#object/sent_email__v/VBL000000015494", "SE-001401269")</f>
        <v>SE-001401269</v>
      </c>
      <c r="D16598" s="1" t="s">
        <v>0</v>
      </c>
      <c r="E16598" s="2">
        <v>0</v>
      </c>
      <c r="F16598" s="2">
        <v>0</v>
      </c>
      <c r="G16598" s="2">
        <v>0</v>
      </c>
      <c r="H16598" s="1" t="s">
        <v>0</v>
      </c>
      <c r="I16598" s="2">
        <v>0</v>
      </c>
      <c r="J16598" s="1">
        <v>46048.700208333335</v>
      </c>
    </row>
    <row r="16599" spans="1:10" x14ac:dyDescent="0.2">
      <c r="A16599" s="4" t="s">
        <v>1</v>
      </c>
      <c r="B1659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599" s="3" t="str">
        <f>HYPERLINK("https://otsuka-europe-crm.veevavault.com/ui/#object/sent_email__v/VBL000000015495", "SE-001401270")</f>
        <v>SE-001401270</v>
      </c>
      <c r="D16599" s="1" t="s">
        <v>0</v>
      </c>
      <c r="E16599" s="2">
        <v>0</v>
      </c>
      <c r="F16599" s="2">
        <v>0</v>
      </c>
      <c r="G16599" s="2">
        <v>0</v>
      </c>
      <c r="H16599" s="1" t="s">
        <v>0</v>
      </c>
      <c r="I16599" s="2">
        <v>0</v>
      </c>
      <c r="J16599" s="1">
        <v>46048.700208333335</v>
      </c>
    </row>
    <row r="16600" spans="1:10" x14ac:dyDescent="0.2">
      <c r="A16600" s="4" t="s">
        <v>1</v>
      </c>
      <c r="B1660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00" s="3" t="str">
        <f>HYPERLINK("https://otsuka-europe-crm.veevavault.com/ui/#object/sent_email__v/VBL000000015496", "SE-001401271")</f>
        <v>SE-001401271</v>
      </c>
      <c r="D16600" s="1" t="s">
        <v>0</v>
      </c>
      <c r="E16600" s="2">
        <v>0</v>
      </c>
      <c r="F16600" s="2">
        <v>0</v>
      </c>
      <c r="G16600" s="2">
        <v>0</v>
      </c>
      <c r="H16600" s="1" t="s">
        <v>0</v>
      </c>
      <c r="I16600" s="2">
        <v>0</v>
      </c>
      <c r="J16600" s="1">
        <v>46048.700208333335</v>
      </c>
    </row>
    <row r="16601" spans="1:10" x14ac:dyDescent="0.2">
      <c r="A16601" s="4" t="s">
        <v>1</v>
      </c>
      <c r="B1660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01" s="3" t="str">
        <f>HYPERLINK("https://otsuka-europe-crm.veevavault.com/ui/#object/sent_email__v/VBL000000015497", "SE-001401272")</f>
        <v>SE-001401272</v>
      </c>
      <c r="D16601" s="1" t="s">
        <v>0</v>
      </c>
      <c r="E16601" s="2">
        <v>0</v>
      </c>
      <c r="F16601" s="2">
        <v>0</v>
      </c>
      <c r="G16601" s="2">
        <v>0</v>
      </c>
      <c r="H16601" s="1" t="s">
        <v>0</v>
      </c>
      <c r="I16601" s="2">
        <v>0</v>
      </c>
      <c r="J16601" s="1">
        <v>46048.700208333335</v>
      </c>
    </row>
    <row r="16602" spans="1:10" x14ac:dyDescent="0.2">
      <c r="A16602" s="4" t="s">
        <v>1</v>
      </c>
      <c r="B1660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02" s="3" t="str">
        <f>HYPERLINK("https://otsuka-europe-crm.veevavault.com/ui/#object/sent_email__v/VBL000000015498", "SE-001401273")</f>
        <v>SE-001401273</v>
      </c>
      <c r="D16602" s="1" t="s">
        <v>0</v>
      </c>
      <c r="E16602" s="2">
        <v>0</v>
      </c>
      <c r="F16602" s="2">
        <v>0</v>
      </c>
      <c r="G16602" s="2">
        <v>0</v>
      </c>
      <c r="H16602" s="1" t="s">
        <v>0</v>
      </c>
      <c r="I16602" s="2">
        <v>0</v>
      </c>
      <c r="J16602" s="1">
        <v>46048.700208333335</v>
      </c>
    </row>
    <row r="16603" spans="1:10" x14ac:dyDescent="0.2">
      <c r="A16603" s="4" t="s">
        <v>1</v>
      </c>
      <c r="B1660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03" s="3" t="str">
        <f>HYPERLINK("https://otsuka-europe-crm.veevavault.com/ui/#object/sent_email__v/VBL000000015499", "SE-001401274")</f>
        <v>SE-001401274</v>
      </c>
      <c r="D16603" s="1" t="s">
        <v>0</v>
      </c>
      <c r="E16603" s="2">
        <v>0</v>
      </c>
      <c r="F16603" s="2">
        <v>0</v>
      </c>
      <c r="G16603" s="2">
        <v>0</v>
      </c>
      <c r="H16603" s="1" t="s">
        <v>0</v>
      </c>
      <c r="I16603" s="2">
        <v>0</v>
      </c>
      <c r="J16603" s="1">
        <v>46048.700208333335</v>
      </c>
    </row>
    <row r="16604" spans="1:10" x14ac:dyDescent="0.2">
      <c r="A16604" s="4" t="s">
        <v>1</v>
      </c>
      <c r="B1660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04" s="3" t="str">
        <f>HYPERLINK("https://otsuka-europe-crm.veevavault.com/ui/#object/sent_email__v/VBL000000015500", "SE-001401275")</f>
        <v>SE-001401275</v>
      </c>
      <c r="D16604" s="1" t="s">
        <v>0</v>
      </c>
      <c r="E16604" s="2">
        <v>0</v>
      </c>
      <c r="F16604" s="2">
        <v>0</v>
      </c>
      <c r="G16604" s="2">
        <v>0</v>
      </c>
      <c r="H16604" s="1" t="s">
        <v>0</v>
      </c>
      <c r="I16604" s="2">
        <v>0</v>
      </c>
      <c r="J16604" s="1">
        <v>46048.700208333335</v>
      </c>
    </row>
    <row r="16605" spans="1:10" x14ac:dyDescent="0.2">
      <c r="A16605" s="4" t="s">
        <v>1</v>
      </c>
      <c r="B1660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05" s="3" t="str">
        <f>HYPERLINK("https://otsuka-europe-crm.veevavault.com/ui/#object/sent_email__v/VBL000000015501", "SE-001401276")</f>
        <v>SE-001401276</v>
      </c>
      <c r="D16605" s="1" t="s">
        <v>0</v>
      </c>
      <c r="E16605" s="2">
        <v>0</v>
      </c>
      <c r="F16605" s="2">
        <v>0</v>
      </c>
      <c r="G16605" s="2">
        <v>0</v>
      </c>
      <c r="H16605" s="1" t="s">
        <v>0</v>
      </c>
      <c r="I16605" s="2">
        <v>0</v>
      </c>
      <c r="J16605" s="1">
        <v>46048.700208333335</v>
      </c>
    </row>
    <row r="16606" spans="1:10" x14ac:dyDescent="0.2">
      <c r="A16606" s="4" t="s">
        <v>1</v>
      </c>
      <c r="B1660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06" s="3" t="str">
        <f>HYPERLINK("https://otsuka-europe-crm.veevavault.com/ui/#object/sent_email__v/VBL000000015502", "SE-001401277")</f>
        <v>SE-001401277</v>
      </c>
      <c r="D16606" s="1" t="s">
        <v>0</v>
      </c>
      <c r="E16606" s="2">
        <v>0</v>
      </c>
      <c r="F16606" s="2">
        <v>0</v>
      </c>
      <c r="G16606" s="2">
        <v>0</v>
      </c>
      <c r="H16606" s="1" t="s">
        <v>0</v>
      </c>
      <c r="I16606" s="2">
        <v>0</v>
      </c>
      <c r="J16606" s="1">
        <v>46048.700208333335</v>
      </c>
    </row>
    <row r="16607" spans="1:10" x14ac:dyDescent="0.2">
      <c r="A16607" s="4" t="s">
        <v>1</v>
      </c>
      <c r="B1660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07" s="3" t="str">
        <f>HYPERLINK("https://otsuka-europe-crm.veevavault.com/ui/#object/sent_email__v/VBL000000015503", "SE-001401278")</f>
        <v>SE-001401278</v>
      </c>
      <c r="D16607" s="1" t="s">
        <v>0</v>
      </c>
      <c r="E16607" s="2">
        <v>0</v>
      </c>
      <c r="F16607" s="2">
        <v>0</v>
      </c>
      <c r="G16607" s="2">
        <v>0</v>
      </c>
      <c r="H16607" s="1" t="s">
        <v>0</v>
      </c>
      <c r="I16607" s="2">
        <v>0</v>
      </c>
      <c r="J16607" s="1">
        <v>46048.700208333335</v>
      </c>
    </row>
    <row r="16608" spans="1:10" x14ac:dyDescent="0.2">
      <c r="A16608" s="4" t="s">
        <v>1</v>
      </c>
      <c r="B1660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08" s="3" t="str">
        <f>HYPERLINK("https://otsuka-europe-crm.veevavault.com/ui/#object/sent_email__v/VBL000000015504", "SE-001401279")</f>
        <v>SE-001401279</v>
      </c>
      <c r="D16608" s="1" t="s">
        <v>0</v>
      </c>
      <c r="E16608" s="2">
        <v>0</v>
      </c>
      <c r="F16608" s="2">
        <v>0</v>
      </c>
      <c r="G16608" s="2">
        <v>0</v>
      </c>
      <c r="H16608" s="1" t="s">
        <v>0</v>
      </c>
      <c r="I16608" s="2">
        <v>0</v>
      </c>
      <c r="J16608" s="1">
        <v>46048.700208333335</v>
      </c>
    </row>
    <row r="16609" spans="1:10" x14ac:dyDescent="0.2">
      <c r="A16609" s="4" t="s">
        <v>1</v>
      </c>
      <c r="B1660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09" s="3" t="str">
        <f>HYPERLINK("https://otsuka-europe-crm.veevavault.com/ui/#object/sent_email__v/VBL000000015505", "SE-001401280")</f>
        <v>SE-001401280</v>
      </c>
      <c r="D16609" s="1" t="s">
        <v>0</v>
      </c>
      <c r="E16609" s="2">
        <v>0</v>
      </c>
      <c r="F16609" s="2">
        <v>0</v>
      </c>
      <c r="G16609" s="2">
        <v>0</v>
      </c>
      <c r="H16609" s="1" t="s">
        <v>0</v>
      </c>
      <c r="I16609" s="2">
        <v>0</v>
      </c>
      <c r="J16609" s="1">
        <v>46048.700208333335</v>
      </c>
    </row>
    <row r="16610" spans="1:10" x14ac:dyDescent="0.2">
      <c r="A16610" s="4" t="s">
        <v>1</v>
      </c>
      <c r="B1661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10" s="3" t="str">
        <f>HYPERLINK("https://otsuka-europe-crm.veevavault.com/ui/#object/sent_email__v/VBL000000015506", "SE-001401281")</f>
        <v>SE-001401281</v>
      </c>
      <c r="D16610" s="1" t="s">
        <v>0</v>
      </c>
      <c r="E16610" s="2">
        <v>0</v>
      </c>
      <c r="F16610" s="2">
        <v>0</v>
      </c>
      <c r="G16610" s="2">
        <v>0</v>
      </c>
      <c r="H16610" s="1" t="s">
        <v>0</v>
      </c>
      <c r="I16610" s="2">
        <v>0</v>
      </c>
      <c r="J16610" s="1">
        <v>46048.700208333335</v>
      </c>
    </row>
    <row r="16611" spans="1:10" x14ac:dyDescent="0.2">
      <c r="A16611" s="4" t="s">
        <v>1</v>
      </c>
      <c r="B1661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11" s="3" t="str">
        <f>HYPERLINK("https://otsuka-europe-crm.veevavault.com/ui/#object/sent_email__v/VBL000000015507", "SE-001401282")</f>
        <v>SE-001401282</v>
      </c>
      <c r="D16611" s="1" t="s">
        <v>0</v>
      </c>
      <c r="E16611" s="2">
        <v>0</v>
      </c>
      <c r="F16611" s="2">
        <v>0</v>
      </c>
      <c r="G16611" s="2">
        <v>0</v>
      </c>
      <c r="H16611" s="1" t="s">
        <v>0</v>
      </c>
      <c r="I16611" s="2">
        <v>0</v>
      </c>
      <c r="J16611" s="1">
        <v>46048.700219907405</v>
      </c>
    </row>
    <row r="16612" spans="1:10" x14ac:dyDescent="0.2">
      <c r="A16612" s="4" t="s">
        <v>1</v>
      </c>
      <c r="B1661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12" s="3" t="str">
        <f>HYPERLINK("https://otsuka-europe-crm.veevavault.com/ui/#object/sent_email__v/VBL000000015508", "SE-001401283")</f>
        <v>SE-001401283</v>
      </c>
      <c r="D16612" s="1" t="s">
        <v>0</v>
      </c>
      <c r="E16612" s="2">
        <v>0</v>
      </c>
      <c r="F16612" s="2">
        <v>0</v>
      </c>
      <c r="G16612" s="2">
        <v>0</v>
      </c>
      <c r="H16612" s="1" t="s">
        <v>0</v>
      </c>
      <c r="I16612" s="2">
        <v>0</v>
      </c>
      <c r="J16612" s="1">
        <v>46048.700208333335</v>
      </c>
    </row>
    <row r="16613" spans="1:10" x14ac:dyDescent="0.2">
      <c r="A16613" s="4" t="s">
        <v>1</v>
      </c>
      <c r="B1661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13" s="3" t="str">
        <f>HYPERLINK("https://otsuka-europe-crm.veevavault.com/ui/#object/sent_email__v/VBL000000015509", "SE-001401284")</f>
        <v>SE-001401284</v>
      </c>
      <c r="D16613" s="1" t="s">
        <v>0</v>
      </c>
      <c r="E16613" s="2">
        <v>0</v>
      </c>
      <c r="F16613" s="2">
        <v>0</v>
      </c>
      <c r="G16613" s="2">
        <v>0</v>
      </c>
      <c r="H16613" s="1" t="s">
        <v>0</v>
      </c>
      <c r="I16613" s="2">
        <v>0</v>
      </c>
      <c r="J16613" s="1">
        <v>46048.700208333335</v>
      </c>
    </row>
    <row r="16614" spans="1:10" x14ac:dyDescent="0.2">
      <c r="A16614" s="4" t="s">
        <v>1</v>
      </c>
      <c r="B1661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14" s="3" t="str">
        <f>HYPERLINK("https://otsuka-europe-crm.veevavault.com/ui/#object/sent_email__v/VBL000000015510", "SE-001401285")</f>
        <v>SE-001401285</v>
      </c>
      <c r="D16614" s="1" t="s">
        <v>0</v>
      </c>
      <c r="E16614" s="2">
        <v>0</v>
      </c>
      <c r="F16614" s="2">
        <v>0</v>
      </c>
      <c r="G16614" s="2">
        <v>0</v>
      </c>
      <c r="H16614" s="1" t="s">
        <v>0</v>
      </c>
      <c r="I16614" s="2">
        <v>0</v>
      </c>
      <c r="J16614" s="1">
        <v>46048.700219907405</v>
      </c>
    </row>
    <row r="16615" spans="1:10" x14ac:dyDescent="0.2">
      <c r="A16615" s="4" t="s">
        <v>1</v>
      </c>
      <c r="B1661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15" s="3" t="str">
        <f>HYPERLINK("https://otsuka-europe-crm.veevavault.com/ui/#object/sent_email__v/VBL000000015511", "SE-001401286")</f>
        <v>SE-001401286</v>
      </c>
      <c r="D16615" s="1" t="s">
        <v>0</v>
      </c>
      <c r="E16615" s="2">
        <v>0</v>
      </c>
      <c r="F16615" s="2">
        <v>0</v>
      </c>
      <c r="G16615" s="2">
        <v>0</v>
      </c>
      <c r="H16615" s="1" t="s">
        <v>0</v>
      </c>
      <c r="I16615" s="2">
        <v>0</v>
      </c>
      <c r="J16615" s="1">
        <v>46048.700219907405</v>
      </c>
    </row>
    <row r="16616" spans="1:10" x14ac:dyDescent="0.2">
      <c r="A16616" s="4" t="s">
        <v>1</v>
      </c>
      <c r="B1661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16" s="3" t="str">
        <f>HYPERLINK("https://otsuka-europe-crm.veevavault.com/ui/#object/sent_email__v/VBL000000015512", "SE-001401287")</f>
        <v>SE-001401287</v>
      </c>
      <c r="D16616" s="1" t="s">
        <v>0</v>
      </c>
      <c r="E16616" s="2">
        <v>0</v>
      </c>
      <c r="F16616" s="2">
        <v>0</v>
      </c>
      <c r="G16616" s="2">
        <v>0</v>
      </c>
      <c r="H16616" s="1" t="s">
        <v>0</v>
      </c>
      <c r="I16616" s="2">
        <v>0</v>
      </c>
      <c r="J16616" s="1">
        <v>46048.700219907405</v>
      </c>
    </row>
    <row r="16617" spans="1:10" x14ac:dyDescent="0.2">
      <c r="A16617" s="4" t="s">
        <v>1</v>
      </c>
      <c r="B1661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17" s="3" t="str">
        <f>HYPERLINK("https://otsuka-europe-crm.veevavault.com/ui/#object/sent_email__v/VBL000000015513", "SE-001401288")</f>
        <v>SE-001401288</v>
      </c>
      <c r="D16617" s="1" t="s">
        <v>0</v>
      </c>
      <c r="E16617" s="2">
        <v>0</v>
      </c>
      <c r="F16617" s="2">
        <v>0</v>
      </c>
      <c r="G16617" s="2">
        <v>0</v>
      </c>
      <c r="H16617" s="1" t="s">
        <v>0</v>
      </c>
      <c r="I16617" s="2">
        <v>0</v>
      </c>
      <c r="J16617" s="1">
        <v>46048.700219907405</v>
      </c>
    </row>
    <row r="16618" spans="1:10" x14ac:dyDescent="0.2">
      <c r="A16618" s="4" t="s">
        <v>1</v>
      </c>
      <c r="B1661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18" s="3" t="str">
        <f>HYPERLINK("https://otsuka-europe-crm.veevavault.com/ui/#object/sent_email__v/VBL000000015514", "SE-001401289")</f>
        <v>SE-001401289</v>
      </c>
      <c r="D16618" s="1" t="s">
        <v>0</v>
      </c>
      <c r="E16618" s="2">
        <v>0</v>
      </c>
      <c r="F16618" s="2">
        <v>0</v>
      </c>
      <c r="G16618" s="2">
        <v>0</v>
      </c>
      <c r="H16618" s="1" t="s">
        <v>0</v>
      </c>
      <c r="I16618" s="2">
        <v>0</v>
      </c>
      <c r="J16618" s="1">
        <v>46048.700219907405</v>
      </c>
    </row>
    <row r="16619" spans="1:10" x14ac:dyDescent="0.2">
      <c r="A16619" s="4" t="s">
        <v>1</v>
      </c>
      <c r="B1661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19" s="3" t="str">
        <f>HYPERLINK("https://otsuka-europe-crm.veevavault.com/ui/#object/sent_email__v/VBL000000015515", "SE-001401290")</f>
        <v>SE-001401290</v>
      </c>
      <c r="D16619" s="1" t="s">
        <v>0</v>
      </c>
      <c r="E16619" s="2">
        <v>0</v>
      </c>
      <c r="F16619" s="2">
        <v>0</v>
      </c>
      <c r="G16619" s="2">
        <v>0</v>
      </c>
      <c r="H16619" s="1" t="s">
        <v>0</v>
      </c>
      <c r="I16619" s="2">
        <v>0</v>
      </c>
      <c r="J16619" s="1">
        <v>46048.700219907405</v>
      </c>
    </row>
    <row r="16620" spans="1:10" x14ac:dyDescent="0.2">
      <c r="A16620" s="4" t="s">
        <v>1</v>
      </c>
      <c r="B1662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20" s="3" t="str">
        <f>HYPERLINK("https://otsuka-europe-crm.veevavault.com/ui/#object/sent_email__v/VBL000000015516", "SE-001401291")</f>
        <v>SE-001401291</v>
      </c>
      <c r="D16620" s="1" t="s">
        <v>0</v>
      </c>
      <c r="E16620" s="2">
        <v>0</v>
      </c>
      <c r="F16620" s="2">
        <v>0</v>
      </c>
      <c r="G16620" s="2">
        <v>0</v>
      </c>
      <c r="H16620" s="1" t="s">
        <v>0</v>
      </c>
      <c r="I16620" s="2">
        <v>0</v>
      </c>
      <c r="J16620" s="1">
        <v>46048.700219907405</v>
      </c>
    </row>
    <row r="16621" spans="1:10" x14ac:dyDescent="0.2">
      <c r="A16621" s="4" t="s">
        <v>1</v>
      </c>
      <c r="B1662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21" s="3" t="str">
        <f>HYPERLINK("https://otsuka-europe-crm.veevavault.com/ui/#object/sent_email__v/VBL000000015517", "SE-001401292")</f>
        <v>SE-001401292</v>
      </c>
      <c r="D16621" s="1" t="s">
        <v>0</v>
      </c>
      <c r="E16621" s="2">
        <v>0</v>
      </c>
      <c r="F16621" s="2">
        <v>0</v>
      </c>
      <c r="G16621" s="2">
        <v>0</v>
      </c>
      <c r="H16621" s="1" t="s">
        <v>0</v>
      </c>
      <c r="I16621" s="2">
        <v>0</v>
      </c>
      <c r="J16621" s="1">
        <v>46048.700219907405</v>
      </c>
    </row>
    <row r="16622" spans="1:10" x14ac:dyDescent="0.2">
      <c r="A16622" s="4" t="s">
        <v>1</v>
      </c>
      <c r="B1662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22" s="3" t="str">
        <f>HYPERLINK("https://otsuka-europe-crm.veevavault.com/ui/#object/sent_email__v/VBL000000015518", "SE-001401293")</f>
        <v>SE-001401293</v>
      </c>
      <c r="D16622" s="1" t="s">
        <v>0</v>
      </c>
      <c r="E16622" s="2">
        <v>0</v>
      </c>
      <c r="F16622" s="2">
        <v>0</v>
      </c>
      <c r="G16622" s="2">
        <v>0</v>
      </c>
      <c r="H16622" s="1" t="s">
        <v>0</v>
      </c>
      <c r="I16622" s="2">
        <v>0</v>
      </c>
      <c r="J16622" s="1">
        <v>46048.700231481482</v>
      </c>
    </row>
    <row r="16623" spans="1:10" x14ac:dyDescent="0.2">
      <c r="A16623" s="4" t="s">
        <v>1</v>
      </c>
      <c r="B1662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23" s="3" t="str">
        <f>HYPERLINK("https://otsuka-europe-crm.veevavault.com/ui/#object/sent_email__v/VBL000000015519", "SE-001401294")</f>
        <v>SE-001401294</v>
      </c>
      <c r="D16623" s="1" t="s">
        <v>0</v>
      </c>
      <c r="E16623" s="2">
        <v>0</v>
      </c>
      <c r="F16623" s="2">
        <v>0</v>
      </c>
      <c r="G16623" s="2">
        <v>0</v>
      </c>
      <c r="H16623" s="1" t="s">
        <v>0</v>
      </c>
      <c r="I16623" s="2">
        <v>0</v>
      </c>
      <c r="J16623" s="1">
        <v>46048.700231481482</v>
      </c>
    </row>
    <row r="16624" spans="1:10" x14ac:dyDescent="0.2">
      <c r="A16624" s="4" t="s">
        <v>1</v>
      </c>
      <c r="B1662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24" s="3" t="str">
        <f>HYPERLINK("https://otsuka-europe-crm.veevavault.com/ui/#object/sent_email__v/VBL000000015523", "SE-001401323")</f>
        <v>SE-001401323</v>
      </c>
      <c r="D16624" s="1" t="s">
        <v>0</v>
      </c>
      <c r="E16624" s="2">
        <v>0</v>
      </c>
      <c r="F16624" s="2">
        <v>0</v>
      </c>
      <c r="G16624" s="2">
        <v>0</v>
      </c>
      <c r="H16624" s="1" t="s">
        <v>0</v>
      </c>
      <c r="I16624" s="2">
        <v>0</v>
      </c>
      <c r="J16624" s="1">
        <v>46048.732835648145</v>
      </c>
    </row>
    <row r="16625" spans="1:10" x14ac:dyDescent="0.2">
      <c r="A16625" s="4" t="s">
        <v>1</v>
      </c>
      <c r="B1662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25" s="3" t="str">
        <f>HYPERLINK("https://otsuka-europe-crm.veevavault.com/ui/#object/sent_email__v/VBL000000015524", "SE-001401324")</f>
        <v>SE-001401324</v>
      </c>
      <c r="D16625" s="1" t="s">
        <v>0</v>
      </c>
      <c r="E16625" s="2">
        <v>0</v>
      </c>
      <c r="F16625" s="2">
        <v>0</v>
      </c>
      <c r="G16625" s="2">
        <v>0</v>
      </c>
      <c r="H16625" s="1" t="s">
        <v>0</v>
      </c>
      <c r="I16625" s="2">
        <v>0</v>
      </c>
      <c r="J16625" s="1">
        <v>46048.732835648145</v>
      </c>
    </row>
    <row r="16626" spans="1:10" x14ac:dyDescent="0.2">
      <c r="A16626" s="4" t="s">
        <v>1</v>
      </c>
      <c r="B1662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26" s="3" t="str">
        <f>HYPERLINK("https://otsuka-europe-crm.veevavault.com/ui/#object/sent_email__v/VBL000000015525", "SE-001401325")</f>
        <v>SE-001401325</v>
      </c>
      <c r="D16626" s="1" t="s">
        <v>0</v>
      </c>
      <c r="E16626" s="2">
        <v>0</v>
      </c>
      <c r="F16626" s="2">
        <v>0</v>
      </c>
      <c r="G16626" s="2">
        <v>0</v>
      </c>
      <c r="H16626" s="1" t="s">
        <v>0</v>
      </c>
      <c r="I16626" s="2">
        <v>0</v>
      </c>
      <c r="J16626" s="1">
        <v>46048.732835648145</v>
      </c>
    </row>
    <row r="16627" spans="1:10" x14ac:dyDescent="0.2">
      <c r="A16627" s="4" t="s">
        <v>1</v>
      </c>
      <c r="B1662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27" s="3" t="str">
        <f>HYPERLINK("https://otsuka-europe-crm.veevavault.com/ui/#object/sent_email__v/VBL000000015526", "SE-001401326")</f>
        <v>SE-001401326</v>
      </c>
      <c r="D16627" s="1" t="s">
        <v>0</v>
      </c>
      <c r="E16627" s="2">
        <v>0</v>
      </c>
      <c r="F16627" s="2">
        <v>0</v>
      </c>
      <c r="G16627" s="2">
        <v>0</v>
      </c>
      <c r="H16627" s="1" t="s">
        <v>0</v>
      </c>
      <c r="I16627" s="2">
        <v>0</v>
      </c>
      <c r="J16627" s="1">
        <v>46048.732847222222</v>
      </c>
    </row>
    <row r="16628" spans="1:10" x14ac:dyDescent="0.2">
      <c r="A16628" s="4" t="s">
        <v>1</v>
      </c>
      <c r="B1662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28" s="3" t="str">
        <f>HYPERLINK("https://otsuka-europe-crm.veevavault.com/ui/#object/sent_email__v/VBL000000015527", "SE-001401327")</f>
        <v>SE-001401327</v>
      </c>
      <c r="D16628" s="1" t="s">
        <v>0</v>
      </c>
      <c r="E16628" s="2">
        <v>0</v>
      </c>
      <c r="F16628" s="2">
        <v>0</v>
      </c>
      <c r="G16628" s="2">
        <v>0</v>
      </c>
      <c r="H16628" s="1" t="s">
        <v>0</v>
      </c>
      <c r="I16628" s="2">
        <v>0</v>
      </c>
      <c r="J16628" s="1">
        <v>46048.732835648145</v>
      </c>
    </row>
    <row r="16629" spans="1:10" x14ac:dyDescent="0.2">
      <c r="A16629" s="4" t="s">
        <v>1</v>
      </c>
      <c r="B1662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29" s="3" t="str">
        <f>HYPERLINK("https://otsuka-europe-crm.veevavault.com/ui/#object/sent_email__v/VBL000000015528", "SE-001401328")</f>
        <v>SE-001401328</v>
      </c>
      <c r="D16629" s="1" t="s">
        <v>0</v>
      </c>
      <c r="E16629" s="2">
        <v>0</v>
      </c>
      <c r="F16629" s="2">
        <v>0</v>
      </c>
      <c r="G16629" s="2">
        <v>0</v>
      </c>
      <c r="H16629" s="1" t="s">
        <v>0</v>
      </c>
      <c r="I16629" s="2">
        <v>0</v>
      </c>
      <c r="J16629" s="1">
        <v>46048.732835648145</v>
      </c>
    </row>
    <row r="16630" spans="1:10" x14ac:dyDescent="0.2">
      <c r="A16630" s="4" t="s">
        <v>1</v>
      </c>
      <c r="B1663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30" s="3" t="str">
        <f>HYPERLINK("https://otsuka-europe-crm.veevavault.com/ui/#object/sent_email__v/VBL000000015529", "SE-001401329")</f>
        <v>SE-001401329</v>
      </c>
      <c r="D16630" s="1" t="s">
        <v>0</v>
      </c>
      <c r="E16630" s="2">
        <v>0</v>
      </c>
      <c r="F16630" s="2">
        <v>0</v>
      </c>
      <c r="G16630" s="2">
        <v>0</v>
      </c>
      <c r="H16630" s="1" t="s">
        <v>0</v>
      </c>
      <c r="I16630" s="2">
        <v>0</v>
      </c>
      <c r="J16630" s="1">
        <v>46048.732847222222</v>
      </c>
    </row>
    <row r="16631" spans="1:10" x14ac:dyDescent="0.2">
      <c r="A16631" s="4" t="s">
        <v>1</v>
      </c>
      <c r="B1663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31" s="3" t="str">
        <f>HYPERLINK("https://otsuka-europe-crm.veevavault.com/ui/#object/sent_email__v/VBL000000015530", "SE-001401330")</f>
        <v>SE-001401330</v>
      </c>
      <c r="D16631" s="1" t="s">
        <v>0</v>
      </c>
      <c r="E16631" s="2">
        <v>0</v>
      </c>
      <c r="F16631" s="2">
        <v>0</v>
      </c>
      <c r="G16631" s="2">
        <v>0</v>
      </c>
      <c r="H16631" s="1" t="s">
        <v>0</v>
      </c>
      <c r="I16631" s="2">
        <v>0</v>
      </c>
      <c r="J16631" s="1">
        <v>46048.732847222222</v>
      </c>
    </row>
    <row r="16632" spans="1:10" x14ac:dyDescent="0.2">
      <c r="A16632" s="4" t="s">
        <v>1</v>
      </c>
      <c r="B1663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32" s="3" t="str">
        <f>HYPERLINK("https://otsuka-europe-crm.veevavault.com/ui/#object/sent_email__v/VBL000000015531", "SE-001401331")</f>
        <v>SE-001401331</v>
      </c>
      <c r="D16632" s="1" t="s">
        <v>0</v>
      </c>
      <c r="E16632" s="2">
        <v>0</v>
      </c>
      <c r="F16632" s="2">
        <v>0</v>
      </c>
      <c r="G16632" s="2">
        <v>0</v>
      </c>
      <c r="H16632" s="1" t="s">
        <v>0</v>
      </c>
      <c r="I16632" s="2">
        <v>0</v>
      </c>
      <c r="J16632" s="1">
        <v>46048.732847222222</v>
      </c>
    </row>
    <row r="16633" spans="1:10" x14ac:dyDescent="0.2">
      <c r="A16633" s="4" t="s">
        <v>1</v>
      </c>
      <c r="B1663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33" s="3" t="str">
        <f>HYPERLINK("https://otsuka-europe-crm.veevavault.com/ui/#object/sent_email__v/VBL000000015532", "SE-001401332")</f>
        <v>SE-001401332</v>
      </c>
      <c r="D16633" s="1" t="s">
        <v>0</v>
      </c>
      <c r="E16633" s="2">
        <v>0</v>
      </c>
      <c r="F16633" s="2">
        <v>0</v>
      </c>
      <c r="G16633" s="2">
        <v>0</v>
      </c>
      <c r="H16633" s="1" t="s">
        <v>0</v>
      </c>
      <c r="I16633" s="2">
        <v>0</v>
      </c>
      <c r="J16633" s="1">
        <v>46048.732835648145</v>
      </c>
    </row>
    <row r="16634" spans="1:10" x14ac:dyDescent="0.2">
      <c r="A16634" s="4" t="s">
        <v>1</v>
      </c>
      <c r="B1663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34" s="3" t="str">
        <f>HYPERLINK("https://otsuka-europe-crm.veevavault.com/ui/#object/sent_email__v/VBL000000015533", "SE-001401333")</f>
        <v>SE-001401333</v>
      </c>
      <c r="D16634" s="1" t="s">
        <v>0</v>
      </c>
      <c r="E16634" s="2">
        <v>0</v>
      </c>
      <c r="F16634" s="2">
        <v>0</v>
      </c>
      <c r="G16634" s="2">
        <v>0</v>
      </c>
      <c r="H16634" s="1" t="s">
        <v>0</v>
      </c>
      <c r="I16634" s="2">
        <v>0</v>
      </c>
      <c r="J16634" s="1">
        <v>46048.732835648145</v>
      </c>
    </row>
    <row r="16635" spans="1:10" x14ac:dyDescent="0.2">
      <c r="A16635" s="4" t="s">
        <v>1</v>
      </c>
      <c r="B1663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35" s="3" t="str">
        <f>HYPERLINK("https://otsuka-europe-crm.veevavault.com/ui/#object/sent_email__v/VBL000000015534", "SE-001401334")</f>
        <v>SE-001401334</v>
      </c>
      <c r="D16635" s="1" t="s">
        <v>0</v>
      </c>
      <c r="E16635" s="2">
        <v>0</v>
      </c>
      <c r="F16635" s="2">
        <v>0</v>
      </c>
      <c r="G16635" s="2">
        <v>0</v>
      </c>
      <c r="H16635" s="1" t="s">
        <v>0</v>
      </c>
      <c r="I16635" s="2">
        <v>0</v>
      </c>
      <c r="J16635" s="1">
        <v>46048.732847222222</v>
      </c>
    </row>
    <row r="16636" spans="1:10" x14ac:dyDescent="0.2">
      <c r="A16636" s="4" t="s">
        <v>1</v>
      </c>
      <c r="B1663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36" s="3" t="str">
        <f>HYPERLINK("https://otsuka-europe-crm.veevavault.com/ui/#object/sent_email__v/VBL000000015535", "SE-001401335")</f>
        <v>SE-001401335</v>
      </c>
      <c r="D16636" s="1" t="s">
        <v>0</v>
      </c>
      <c r="E16636" s="2">
        <v>0</v>
      </c>
      <c r="F16636" s="2">
        <v>0</v>
      </c>
      <c r="G16636" s="2">
        <v>0</v>
      </c>
      <c r="H16636" s="1" t="s">
        <v>0</v>
      </c>
      <c r="I16636" s="2">
        <v>0</v>
      </c>
      <c r="J16636" s="1">
        <v>46048.732847222222</v>
      </c>
    </row>
    <row r="16637" spans="1:10" x14ac:dyDescent="0.2">
      <c r="A16637" s="4" t="s">
        <v>1</v>
      </c>
      <c r="B1663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37" s="3" t="str">
        <f>HYPERLINK("https://otsuka-europe-crm.veevavault.com/ui/#object/sent_email__v/VBL000000015536", "SE-001401336")</f>
        <v>SE-001401336</v>
      </c>
      <c r="D16637" s="1" t="s">
        <v>0</v>
      </c>
      <c r="E16637" s="2">
        <v>0</v>
      </c>
      <c r="F16637" s="2">
        <v>0</v>
      </c>
      <c r="G16637" s="2">
        <v>0</v>
      </c>
      <c r="H16637" s="1" t="s">
        <v>0</v>
      </c>
      <c r="I16637" s="2">
        <v>0</v>
      </c>
      <c r="J16637" s="1">
        <v>46048.732847222222</v>
      </c>
    </row>
    <row r="16638" spans="1:10" x14ac:dyDescent="0.2">
      <c r="A16638" s="4" t="s">
        <v>1</v>
      </c>
      <c r="B1663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38" s="3" t="str">
        <f>HYPERLINK("https://otsuka-europe-crm.veevavault.com/ui/#object/sent_email__v/VBL000000015537", "SE-001401337")</f>
        <v>SE-001401337</v>
      </c>
      <c r="D16638" s="1" t="s">
        <v>0</v>
      </c>
      <c r="E16638" s="2">
        <v>0</v>
      </c>
      <c r="F16638" s="2">
        <v>0</v>
      </c>
      <c r="G16638" s="2">
        <v>0</v>
      </c>
      <c r="H16638" s="1" t="s">
        <v>0</v>
      </c>
      <c r="I16638" s="2">
        <v>0</v>
      </c>
      <c r="J16638" s="1">
        <v>46048.732847222222</v>
      </c>
    </row>
    <row r="16639" spans="1:10" x14ac:dyDescent="0.2">
      <c r="A16639" s="4" t="s">
        <v>1</v>
      </c>
      <c r="B1663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39" s="3" t="str">
        <f>HYPERLINK("https://otsuka-europe-crm.veevavault.com/ui/#object/sent_email__v/VBL000000015538", "SE-001401338")</f>
        <v>SE-001401338</v>
      </c>
      <c r="D16639" s="1" t="s">
        <v>0</v>
      </c>
      <c r="E16639" s="2">
        <v>0</v>
      </c>
      <c r="F16639" s="2">
        <v>0</v>
      </c>
      <c r="G16639" s="2">
        <v>0</v>
      </c>
      <c r="H16639" s="1" t="s">
        <v>0</v>
      </c>
      <c r="I16639" s="2">
        <v>0</v>
      </c>
      <c r="J16639" s="1">
        <v>46048.732847222222</v>
      </c>
    </row>
    <row r="16640" spans="1:10" x14ac:dyDescent="0.2">
      <c r="A16640" s="4" t="s">
        <v>1</v>
      </c>
      <c r="B1664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40" s="3" t="str">
        <f>HYPERLINK("https://otsuka-europe-crm.veevavault.com/ui/#object/sent_email__v/VBL000000015539", "SE-001401339")</f>
        <v>SE-001401339</v>
      </c>
      <c r="D16640" s="1" t="s">
        <v>0</v>
      </c>
      <c r="E16640" s="2">
        <v>0</v>
      </c>
      <c r="F16640" s="2">
        <v>0</v>
      </c>
      <c r="G16640" s="2">
        <v>0</v>
      </c>
      <c r="H16640" s="1" t="s">
        <v>0</v>
      </c>
      <c r="I16640" s="2">
        <v>0</v>
      </c>
      <c r="J16640" s="1">
        <v>46048.732847222222</v>
      </c>
    </row>
    <row r="16641" spans="1:10" x14ac:dyDescent="0.2">
      <c r="A16641" s="4" t="s">
        <v>1</v>
      </c>
      <c r="B1664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41" s="3" t="str">
        <f>HYPERLINK("https://otsuka-europe-crm.veevavault.com/ui/#object/sent_email__v/VBL000000015540", "SE-001401340")</f>
        <v>SE-001401340</v>
      </c>
      <c r="D16641" s="1" t="s">
        <v>0</v>
      </c>
      <c r="E16641" s="2">
        <v>0</v>
      </c>
      <c r="F16641" s="2">
        <v>0</v>
      </c>
      <c r="G16641" s="2">
        <v>0</v>
      </c>
      <c r="H16641" s="1" t="s">
        <v>0</v>
      </c>
      <c r="I16641" s="2">
        <v>0</v>
      </c>
      <c r="J16641" s="1">
        <v>46048.732858796298</v>
      </c>
    </row>
    <row r="16642" spans="1:10" x14ac:dyDescent="0.2">
      <c r="A16642" s="4" t="s">
        <v>1</v>
      </c>
      <c r="B1664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42" s="3" t="str">
        <f>HYPERLINK("https://otsuka-europe-crm.veevavault.com/ui/#object/sent_email__v/VBL000000015541", "SE-001401341")</f>
        <v>SE-001401341</v>
      </c>
      <c r="D16642" s="1" t="s">
        <v>0</v>
      </c>
      <c r="E16642" s="2">
        <v>0</v>
      </c>
      <c r="F16642" s="2">
        <v>0</v>
      </c>
      <c r="G16642" s="2">
        <v>0</v>
      </c>
      <c r="H16642" s="1" t="s">
        <v>0</v>
      </c>
      <c r="I16642" s="2">
        <v>0</v>
      </c>
      <c r="J16642" s="1">
        <v>46048.732858796298</v>
      </c>
    </row>
    <row r="16643" spans="1:10" x14ac:dyDescent="0.2">
      <c r="A16643" s="4" t="s">
        <v>1</v>
      </c>
      <c r="B1664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43" s="3" t="str">
        <f>HYPERLINK("https://otsuka-europe-crm.veevavault.com/ui/#object/sent_email__v/VBL000000015542", "SE-001401342")</f>
        <v>SE-001401342</v>
      </c>
      <c r="D16643" s="1" t="s">
        <v>0</v>
      </c>
      <c r="E16643" s="2">
        <v>0</v>
      </c>
      <c r="F16643" s="2">
        <v>0</v>
      </c>
      <c r="G16643" s="2">
        <v>0</v>
      </c>
      <c r="H16643" s="1" t="s">
        <v>0</v>
      </c>
      <c r="I16643" s="2">
        <v>0</v>
      </c>
      <c r="J16643" s="1">
        <v>46048.732847222222</v>
      </c>
    </row>
    <row r="16644" spans="1:10" x14ac:dyDescent="0.2">
      <c r="A16644" s="4" t="s">
        <v>1</v>
      </c>
      <c r="B1664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44" s="3" t="str">
        <f>HYPERLINK("https://otsuka-europe-crm.veevavault.com/ui/#object/sent_email__v/VBL000000015543", "SE-001401343")</f>
        <v>SE-001401343</v>
      </c>
      <c r="D16644" s="1" t="s">
        <v>0</v>
      </c>
      <c r="E16644" s="2">
        <v>0</v>
      </c>
      <c r="F16644" s="2">
        <v>0</v>
      </c>
      <c r="G16644" s="2">
        <v>0</v>
      </c>
      <c r="H16644" s="1" t="s">
        <v>0</v>
      </c>
      <c r="I16644" s="2">
        <v>0</v>
      </c>
      <c r="J16644" s="1">
        <v>46048.732858796298</v>
      </c>
    </row>
    <row r="16645" spans="1:10" x14ac:dyDescent="0.2">
      <c r="A16645" s="4" t="s">
        <v>1</v>
      </c>
      <c r="B1664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45" s="3" t="str">
        <f>HYPERLINK("https://otsuka-europe-crm.veevavault.com/ui/#object/sent_email__v/VBL000000015544", "SE-001401344")</f>
        <v>SE-001401344</v>
      </c>
      <c r="D16645" s="1">
        <v>46048.762361111112</v>
      </c>
      <c r="E16645" s="2">
        <v>1</v>
      </c>
      <c r="F16645" s="2">
        <v>1</v>
      </c>
      <c r="G16645" s="2">
        <v>0</v>
      </c>
      <c r="H16645" s="1" t="s">
        <v>0</v>
      </c>
      <c r="I16645" s="2">
        <v>0</v>
      </c>
      <c r="J16645" s="1">
        <v>46048.732858796298</v>
      </c>
    </row>
    <row r="16646" spans="1:10" x14ac:dyDescent="0.2">
      <c r="A16646" s="4" t="s">
        <v>1</v>
      </c>
      <c r="B1664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46" s="3" t="str">
        <f>HYPERLINK("https://otsuka-europe-crm.veevavault.com/ui/#object/sent_email__v/VBL000000015545", "SE-001401345")</f>
        <v>SE-001401345</v>
      </c>
      <c r="D16646" s="1" t="s">
        <v>0</v>
      </c>
      <c r="E16646" s="2">
        <v>0</v>
      </c>
      <c r="F16646" s="2">
        <v>0</v>
      </c>
      <c r="G16646" s="2">
        <v>0</v>
      </c>
      <c r="H16646" s="1" t="s">
        <v>0</v>
      </c>
      <c r="I16646" s="2">
        <v>0</v>
      </c>
      <c r="J16646" s="1">
        <v>46048.732858796298</v>
      </c>
    </row>
    <row r="16647" spans="1:10" x14ac:dyDescent="0.2">
      <c r="A16647" s="4" t="s">
        <v>1</v>
      </c>
      <c r="B1664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47" s="3" t="str">
        <f>HYPERLINK("https://otsuka-europe-crm.veevavault.com/ui/#object/sent_email__v/VBL000000015546", "SE-001401346")</f>
        <v>SE-001401346</v>
      </c>
      <c r="D16647" s="1" t="s">
        <v>0</v>
      </c>
      <c r="E16647" s="2">
        <v>0</v>
      </c>
      <c r="F16647" s="2">
        <v>0</v>
      </c>
      <c r="G16647" s="2">
        <v>0</v>
      </c>
      <c r="H16647" s="1" t="s">
        <v>0</v>
      </c>
      <c r="I16647" s="2">
        <v>0</v>
      </c>
      <c r="J16647" s="1">
        <v>46048.732858796298</v>
      </c>
    </row>
    <row r="16648" spans="1:10" x14ac:dyDescent="0.2">
      <c r="A16648" s="4" t="s">
        <v>1</v>
      </c>
      <c r="B1664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48" s="3" t="str">
        <f>HYPERLINK("https://otsuka-europe-crm.veevavault.com/ui/#object/sent_email__v/VBL000000015547", "SE-001401347")</f>
        <v>SE-001401347</v>
      </c>
      <c r="D16648" s="1" t="s">
        <v>0</v>
      </c>
      <c r="E16648" s="2">
        <v>0</v>
      </c>
      <c r="F16648" s="2">
        <v>0</v>
      </c>
      <c r="G16648" s="2">
        <v>0</v>
      </c>
      <c r="H16648" s="1" t="s">
        <v>0</v>
      </c>
      <c r="I16648" s="2">
        <v>0</v>
      </c>
      <c r="J16648" s="1">
        <v>46048.732858796298</v>
      </c>
    </row>
    <row r="16649" spans="1:10" x14ac:dyDescent="0.2">
      <c r="A16649" s="4" t="s">
        <v>1</v>
      </c>
      <c r="B1664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49" s="3" t="str">
        <f>HYPERLINK("https://otsuka-europe-crm.veevavault.com/ui/#object/sent_email__v/VBL000000015548", "SE-001401348")</f>
        <v>SE-001401348</v>
      </c>
      <c r="D16649" s="1" t="s">
        <v>0</v>
      </c>
      <c r="E16649" s="2">
        <v>0</v>
      </c>
      <c r="F16649" s="2">
        <v>0</v>
      </c>
      <c r="G16649" s="2">
        <v>0</v>
      </c>
      <c r="H16649" s="1" t="s">
        <v>0</v>
      </c>
      <c r="I16649" s="2">
        <v>0</v>
      </c>
      <c r="J16649" s="1">
        <v>46048.732858796298</v>
      </c>
    </row>
    <row r="16650" spans="1:10" x14ac:dyDescent="0.2">
      <c r="A16650" s="4" t="s">
        <v>1</v>
      </c>
      <c r="B1665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50" s="3" t="str">
        <f>HYPERLINK("https://otsuka-europe-crm.veevavault.com/ui/#object/sent_email__v/VBL000000015549", "SE-001401349")</f>
        <v>SE-001401349</v>
      </c>
      <c r="D16650" s="1" t="s">
        <v>0</v>
      </c>
      <c r="E16650" s="2">
        <v>0</v>
      </c>
      <c r="F16650" s="2">
        <v>0</v>
      </c>
      <c r="G16650" s="2">
        <v>0</v>
      </c>
      <c r="H16650" s="1" t="s">
        <v>0</v>
      </c>
      <c r="I16650" s="2">
        <v>0</v>
      </c>
      <c r="J16650" s="1">
        <v>46048.732858796298</v>
      </c>
    </row>
    <row r="16651" spans="1:10" x14ac:dyDescent="0.2">
      <c r="A16651" s="4" t="s">
        <v>1</v>
      </c>
      <c r="B1665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51" s="3" t="str">
        <f>HYPERLINK("https://otsuka-europe-crm.veevavault.com/ui/#object/sent_email__v/VBL000000015550", "SE-001401350")</f>
        <v>SE-001401350</v>
      </c>
      <c r="D16651" s="1" t="s">
        <v>0</v>
      </c>
      <c r="E16651" s="2">
        <v>0</v>
      </c>
      <c r="F16651" s="2">
        <v>0</v>
      </c>
      <c r="G16651" s="2">
        <v>0</v>
      </c>
      <c r="H16651" s="1" t="s">
        <v>0</v>
      </c>
      <c r="I16651" s="2">
        <v>0</v>
      </c>
      <c r="J16651" s="1">
        <v>46048.732858796298</v>
      </c>
    </row>
    <row r="16652" spans="1:10" x14ac:dyDescent="0.2">
      <c r="A16652" s="4" t="s">
        <v>1</v>
      </c>
      <c r="B1665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52" s="3" t="str">
        <f>HYPERLINK("https://otsuka-europe-crm.veevavault.com/ui/#object/sent_email__v/VBL000000015551", "SE-001401351")</f>
        <v>SE-001401351</v>
      </c>
      <c r="D16652" s="1">
        <v>46048.824513888889</v>
      </c>
      <c r="E16652" s="2">
        <v>1</v>
      </c>
      <c r="F16652" s="2">
        <v>1</v>
      </c>
      <c r="G16652" s="2">
        <v>0</v>
      </c>
      <c r="H16652" s="1" t="s">
        <v>0</v>
      </c>
      <c r="I16652" s="2">
        <v>0</v>
      </c>
      <c r="J16652" s="1">
        <v>46048.732858796298</v>
      </c>
    </row>
    <row r="16653" spans="1:10" x14ac:dyDescent="0.2">
      <c r="A16653" s="4" t="s">
        <v>1</v>
      </c>
      <c r="B1665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53" s="3" t="str">
        <f>HYPERLINK("https://otsuka-europe-crm.veevavault.com/ui/#object/sent_email__v/VBL000000015552", "SE-001401352")</f>
        <v>SE-001401352</v>
      </c>
      <c r="D16653" s="1" t="s">
        <v>0</v>
      </c>
      <c r="E16653" s="2">
        <v>0</v>
      </c>
      <c r="F16653" s="2">
        <v>0</v>
      </c>
      <c r="G16653" s="2">
        <v>0</v>
      </c>
      <c r="H16653" s="1" t="s">
        <v>0</v>
      </c>
      <c r="I16653" s="2">
        <v>0</v>
      </c>
      <c r="J16653" s="1">
        <v>46048.732858796298</v>
      </c>
    </row>
    <row r="16654" spans="1:10" x14ac:dyDescent="0.2">
      <c r="A16654" s="4" t="s">
        <v>1</v>
      </c>
      <c r="B1665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54" s="3" t="str">
        <f>HYPERLINK("https://otsuka-europe-crm.veevavault.com/ui/#object/sent_email__v/VBL000000015569", "SE-001401370")</f>
        <v>SE-001401370</v>
      </c>
      <c r="D16654" s="1" t="s">
        <v>0</v>
      </c>
      <c r="E16654" s="2">
        <v>0</v>
      </c>
      <c r="F16654" s="2">
        <v>0</v>
      </c>
      <c r="G16654" s="2">
        <v>0</v>
      </c>
      <c r="H16654" s="1" t="s">
        <v>0</v>
      </c>
      <c r="I16654" s="2">
        <v>0</v>
      </c>
      <c r="J16654" s="1">
        <v>46048.738298611112</v>
      </c>
    </row>
    <row r="16655" spans="1:10" x14ac:dyDescent="0.2">
      <c r="A16655" s="4" t="s">
        <v>1</v>
      </c>
      <c r="B1665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55" s="3" t="str">
        <f>HYPERLINK("https://otsuka-europe-crm.veevavault.com/ui/#object/sent_email__v/VBL000000015570", "SE-001401371")</f>
        <v>SE-001401371</v>
      </c>
      <c r="D16655" s="1" t="s">
        <v>0</v>
      </c>
      <c r="E16655" s="2">
        <v>0</v>
      </c>
      <c r="F16655" s="2">
        <v>0</v>
      </c>
      <c r="G16655" s="2">
        <v>0</v>
      </c>
      <c r="H16655" s="1" t="s">
        <v>0</v>
      </c>
      <c r="I16655" s="2">
        <v>0</v>
      </c>
      <c r="J16655" s="1">
        <v>46048.738298611112</v>
      </c>
    </row>
    <row r="16656" spans="1:10" x14ac:dyDescent="0.2">
      <c r="A16656" s="4" t="s">
        <v>1</v>
      </c>
      <c r="B1665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56" s="3" t="str">
        <f>HYPERLINK("https://otsuka-europe-crm.veevavault.com/ui/#object/sent_email__v/VBL000000015571", "SE-001401372")</f>
        <v>SE-001401372</v>
      </c>
      <c r="D16656" s="1" t="s">
        <v>0</v>
      </c>
      <c r="E16656" s="2">
        <v>0</v>
      </c>
      <c r="F16656" s="2">
        <v>0</v>
      </c>
      <c r="G16656" s="2">
        <v>0</v>
      </c>
      <c r="H16656" s="1" t="s">
        <v>0</v>
      </c>
      <c r="I16656" s="2">
        <v>0</v>
      </c>
      <c r="J16656" s="1">
        <v>46048.738298611112</v>
      </c>
    </row>
    <row r="16657" spans="1:10" x14ac:dyDescent="0.2">
      <c r="A16657" s="4" t="s">
        <v>1</v>
      </c>
      <c r="B1665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57" s="3" t="str">
        <f>HYPERLINK("https://otsuka-europe-crm.veevavault.com/ui/#object/sent_email__v/VBL000000015572", "SE-001401373")</f>
        <v>SE-001401373</v>
      </c>
      <c r="D16657" s="1" t="s">
        <v>0</v>
      </c>
      <c r="E16657" s="2">
        <v>0</v>
      </c>
      <c r="F16657" s="2">
        <v>0</v>
      </c>
      <c r="G16657" s="2">
        <v>0</v>
      </c>
      <c r="H16657" s="1" t="s">
        <v>0</v>
      </c>
      <c r="I16657" s="2">
        <v>0</v>
      </c>
      <c r="J16657" s="1">
        <v>46048.738298611112</v>
      </c>
    </row>
    <row r="16658" spans="1:10" x14ac:dyDescent="0.2">
      <c r="A16658" s="4" t="s">
        <v>1</v>
      </c>
      <c r="B1665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58" s="3" t="str">
        <f>HYPERLINK("https://otsuka-europe-crm.veevavault.com/ui/#object/sent_email__v/VBL000000015573", "SE-001401374")</f>
        <v>SE-001401374</v>
      </c>
      <c r="D16658" s="1" t="s">
        <v>0</v>
      </c>
      <c r="E16658" s="2">
        <v>0</v>
      </c>
      <c r="F16658" s="2">
        <v>0</v>
      </c>
      <c r="G16658" s="2">
        <v>0</v>
      </c>
      <c r="H16658" s="1" t="s">
        <v>0</v>
      </c>
      <c r="I16658" s="2">
        <v>0</v>
      </c>
      <c r="J16658" s="1">
        <v>46048.738298611112</v>
      </c>
    </row>
    <row r="16659" spans="1:10" x14ac:dyDescent="0.2">
      <c r="A16659" s="4" t="s">
        <v>1</v>
      </c>
      <c r="B1665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59" s="3" t="str">
        <f>HYPERLINK("https://otsuka-europe-crm.veevavault.com/ui/#object/sent_email__v/VBL000000015574", "SE-001401375")</f>
        <v>SE-001401375</v>
      </c>
      <c r="D16659" s="1" t="s">
        <v>0</v>
      </c>
      <c r="E16659" s="2">
        <v>0</v>
      </c>
      <c r="F16659" s="2">
        <v>0</v>
      </c>
      <c r="G16659" s="2">
        <v>0</v>
      </c>
      <c r="H16659" s="1" t="s">
        <v>0</v>
      </c>
      <c r="I16659" s="2">
        <v>0</v>
      </c>
      <c r="J16659" s="1">
        <v>46048.738298611112</v>
      </c>
    </row>
    <row r="16660" spans="1:10" x14ac:dyDescent="0.2">
      <c r="A16660" s="4" t="s">
        <v>1</v>
      </c>
      <c r="B1666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60" s="3" t="str">
        <f>HYPERLINK("https://otsuka-europe-crm.veevavault.com/ui/#object/sent_email__v/VBL000000015575", "SE-001401376")</f>
        <v>SE-001401376</v>
      </c>
      <c r="D16660" s="1" t="s">
        <v>0</v>
      </c>
      <c r="E16660" s="2">
        <v>0</v>
      </c>
      <c r="F16660" s="2">
        <v>0</v>
      </c>
      <c r="G16660" s="2">
        <v>0</v>
      </c>
      <c r="H16660" s="1" t="s">
        <v>0</v>
      </c>
      <c r="I16660" s="2">
        <v>0</v>
      </c>
      <c r="J16660" s="1">
        <v>46048.738298611112</v>
      </c>
    </row>
    <row r="16661" spans="1:10" x14ac:dyDescent="0.2">
      <c r="A16661" s="4" t="s">
        <v>1</v>
      </c>
      <c r="B1666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61" s="3" t="str">
        <f>HYPERLINK("https://otsuka-europe-crm.veevavault.com/ui/#object/sent_email__v/VBL000000015576", "SE-001401377")</f>
        <v>SE-001401377</v>
      </c>
      <c r="D16661" s="1" t="s">
        <v>0</v>
      </c>
      <c r="E16661" s="2">
        <v>0</v>
      </c>
      <c r="F16661" s="2">
        <v>0</v>
      </c>
      <c r="G16661" s="2">
        <v>0</v>
      </c>
      <c r="H16661" s="1" t="s">
        <v>0</v>
      </c>
      <c r="I16661" s="2">
        <v>0</v>
      </c>
      <c r="J16661" s="1">
        <v>46048.738298611112</v>
      </c>
    </row>
    <row r="16662" spans="1:10" x14ac:dyDescent="0.2">
      <c r="A16662" s="4" t="s">
        <v>1</v>
      </c>
      <c r="B1666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62" s="3" t="str">
        <f>HYPERLINK("https://otsuka-europe-crm.veevavault.com/ui/#object/sent_email__v/VBL000000015577", "SE-001401378")</f>
        <v>SE-001401378</v>
      </c>
      <c r="D16662" s="1" t="s">
        <v>0</v>
      </c>
      <c r="E16662" s="2">
        <v>0</v>
      </c>
      <c r="F16662" s="2">
        <v>0</v>
      </c>
      <c r="G16662" s="2">
        <v>0</v>
      </c>
      <c r="H16662" s="1" t="s">
        <v>0</v>
      </c>
      <c r="I16662" s="2">
        <v>0</v>
      </c>
      <c r="J16662" s="1">
        <v>46048.738298611112</v>
      </c>
    </row>
    <row r="16663" spans="1:10" x14ac:dyDescent="0.2">
      <c r="A16663" s="4" t="s">
        <v>1</v>
      </c>
      <c r="B1666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63" s="3" t="str">
        <f>HYPERLINK("https://otsuka-europe-crm.veevavault.com/ui/#object/sent_email__v/VBL000000015578", "SE-001401379")</f>
        <v>SE-001401379</v>
      </c>
      <c r="D16663" s="1" t="s">
        <v>0</v>
      </c>
      <c r="E16663" s="2">
        <v>0</v>
      </c>
      <c r="F16663" s="2">
        <v>0</v>
      </c>
      <c r="G16663" s="2">
        <v>0</v>
      </c>
      <c r="H16663" s="1" t="s">
        <v>0</v>
      </c>
      <c r="I16663" s="2">
        <v>0</v>
      </c>
      <c r="J16663" s="1">
        <v>46048.738298611112</v>
      </c>
    </row>
    <row r="16664" spans="1:10" x14ac:dyDescent="0.2">
      <c r="A16664" s="4" t="s">
        <v>1</v>
      </c>
      <c r="B1666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64" s="3" t="str">
        <f>HYPERLINK("https://otsuka-europe-crm.veevavault.com/ui/#object/sent_email__v/VBL000000015851", "SE-001401753")</f>
        <v>SE-001401753</v>
      </c>
      <c r="D16664" s="1" t="s">
        <v>0</v>
      </c>
      <c r="E16664" s="2">
        <v>0</v>
      </c>
      <c r="F16664" s="2">
        <v>0</v>
      </c>
      <c r="G16664" s="2">
        <v>0</v>
      </c>
      <c r="H16664" s="1" t="s">
        <v>0</v>
      </c>
      <c r="I16664" s="2">
        <v>0</v>
      </c>
      <c r="J16664" s="1">
        <v>46049.442372685182</v>
      </c>
    </row>
    <row r="16665" spans="1:10" x14ac:dyDescent="0.2">
      <c r="A16665" s="4" t="s">
        <v>1</v>
      </c>
      <c r="B1666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65" s="3" t="str">
        <f>HYPERLINK("https://otsuka-europe-crm.veevavault.com/ui/#object/sent_email__v/VBL000000015984", "SE-001401969")</f>
        <v>SE-001401969</v>
      </c>
      <c r="D16665" s="1" t="s">
        <v>0</v>
      </c>
      <c r="E16665" s="2">
        <v>0</v>
      </c>
      <c r="F16665" s="2">
        <v>0</v>
      </c>
      <c r="G16665" s="2">
        <v>0</v>
      </c>
      <c r="H16665" s="1" t="s">
        <v>0</v>
      </c>
      <c r="I16665" s="2">
        <v>0</v>
      </c>
      <c r="J16665" s="1">
        <v>46049.550034722219</v>
      </c>
    </row>
    <row r="16666" spans="1:10" x14ac:dyDescent="0.2">
      <c r="A16666" s="4" t="s">
        <v>1</v>
      </c>
      <c r="B1666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66" s="3" t="str">
        <f>HYPERLINK("https://otsuka-europe-crm.veevavault.com/ui/#object/sent_email__v/VBL000000015985", "SE-001401970")</f>
        <v>SE-001401970</v>
      </c>
      <c r="D16666" s="1" t="s">
        <v>0</v>
      </c>
      <c r="E16666" s="2">
        <v>0</v>
      </c>
      <c r="F16666" s="2">
        <v>0</v>
      </c>
      <c r="G16666" s="2">
        <v>0</v>
      </c>
      <c r="H16666" s="1" t="s">
        <v>0</v>
      </c>
      <c r="I16666" s="2">
        <v>0</v>
      </c>
      <c r="J16666" s="1">
        <v>46049.550069444442</v>
      </c>
    </row>
    <row r="16667" spans="1:10" x14ac:dyDescent="0.2">
      <c r="A16667" s="4" t="s">
        <v>1</v>
      </c>
      <c r="B1666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67" s="3" t="str">
        <f>HYPERLINK("https://otsuka-europe-crm.veevavault.com/ui/#object/sent_email__v/VBL000000015986", "SE-001401971")</f>
        <v>SE-001401971</v>
      </c>
      <c r="D16667" s="1">
        <v>46051.714571759258</v>
      </c>
      <c r="E16667" s="2">
        <v>1</v>
      </c>
      <c r="F16667" s="2">
        <v>3</v>
      </c>
      <c r="G16667" s="2">
        <v>0</v>
      </c>
      <c r="H16667" s="1" t="s">
        <v>0</v>
      </c>
      <c r="I16667" s="2">
        <v>0</v>
      </c>
      <c r="J16667" s="1">
        <v>46049.550150462965</v>
      </c>
    </row>
    <row r="16668" spans="1:10" x14ac:dyDescent="0.2">
      <c r="A16668" s="4" t="s">
        <v>1</v>
      </c>
      <c r="B1666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68" s="3" t="str">
        <f>HYPERLINK("https://otsuka-europe-crm.veevavault.com/ui/#object/sent_email__v/VBL000000015987", "SE-001401972")</f>
        <v>SE-001401972</v>
      </c>
      <c r="D16668" s="1">
        <v>46049.554918981485</v>
      </c>
      <c r="E16668" s="2">
        <v>1</v>
      </c>
      <c r="F16668" s="2">
        <v>1</v>
      </c>
      <c r="G16668" s="2">
        <v>0</v>
      </c>
      <c r="H16668" s="1" t="s">
        <v>0</v>
      </c>
      <c r="I16668" s="2">
        <v>0</v>
      </c>
      <c r="J16668" s="1">
        <v>46049.550173611111</v>
      </c>
    </row>
    <row r="16669" spans="1:10" x14ac:dyDescent="0.2">
      <c r="A16669" s="4" t="s">
        <v>1</v>
      </c>
      <c r="B1666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69" s="3" t="str">
        <f>HYPERLINK("https://otsuka-europe-crm.veevavault.com/ui/#object/sent_email__v/VBL000000015988", "SE-001401973")</f>
        <v>SE-001401973</v>
      </c>
      <c r="D16669" s="1">
        <v>46049.630555555559</v>
      </c>
      <c r="E16669" s="2">
        <v>1</v>
      </c>
      <c r="F16669" s="2">
        <v>1</v>
      </c>
      <c r="G16669" s="2">
        <v>0</v>
      </c>
      <c r="H16669" s="1" t="s">
        <v>0</v>
      </c>
      <c r="I16669" s="2">
        <v>0</v>
      </c>
      <c r="J16669" s="1">
        <v>46049.55023148148</v>
      </c>
    </row>
    <row r="16670" spans="1:10" x14ac:dyDescent="0.2">
      <c r="A16670" s="4" t="s">
        <v>1</v>
      </c>
      <c r="B1667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70" s="3" t="str">
        <f>HYPERLINK("https://otsuka-europe-crm.veevavault.com/ui/#object/sent_email__v/VBL000000015989", "SE-001401974")</f>
        <v>SE-001401974</v>
      </c>
      <c r="D16670" s="1">
        <v>46049.881701388891</v>
      </c>
      <c r="E16670" s="2">
        <v>1</v>
      </c>
      <c r="F16670" s="2">
        <v>2</v>
      </c>
      <c r="G16670" s="2">
        <v>0</v>
      </c>
      <c r="H16670" s="1" t="s">
        <v>0</v>
      </c>
      <c r="I16670" s="2">
        <v>0</v>
      </c>
      <c r="J16670" s="1">
        <v>46049.550266203703</v>
      </c>
    </row>
    <row r="16671" spans="1:10" x14ac:dyDescent="0.2">
      <c r="A16671" s="4" t="s">
        <v>1</v>
      </c>
      <c r="B1667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71" s="3" t="str">
        <f>HYPERLINK("https://otsuka-europe-crm.veevavault.com/ui/#object/sent_email__v/VBL000000015990", "SE-001401975")</f>
        <v>SE-001401975</v>
      </c>
      <c r="D16671" s="1">
        <v>46049.60229166667</v>
      </c>
      <c r="E16671" s="2">
        <v>1</v>
      </c>
      <c r="F16671" s="2">
        <v>2</v>
      </c>
      <c r="G16671" s="2">
        <v>0</v>
      </c>
      <c r="H16671" s="1" t="s">
        <v>0</v>
      </c>
      <c r="I16671" s="2">
        <v>0</v>
      </c>
      <c r="J16671" s="1">
        <v>46049.550312500003</v>
      </c>
    </row>
    <row r="16672" spans="1:10" x14ac:dyDescent="0.2">
      <c r="A16672" s="4" t="s">
        <v>1</v>
      </c>
      <c r="B1667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72" s="3" t="str">
        <f>HYPERLINK("https://otsuka-europe-crm.veevavault.com/ui/#object/sent_email__v/VBL000000015991", "SE-001401976")</f>
        <v>SE-001401976</v>
      </c>
      <c r="D16672" s="1" t="s">
        <v>0</v>
      </c>
      <c r="E16672" s="2">
        <v>0</v>
      </c>
      <c r="F16672" s="2">
        <v>0</v>
      </c>
      <c r="G16672" s="2">
        <v>0</v>
      </c>
      <c r="H16672" s="1" t="s">
        <v>0</v>
      </c>
      <c r="I16672" s="2">
        <v>0</v>
      </c>
      <c r="J16672" s="1">
        <v>46049.550370370373</v>
      </c>
    </row>
    <row r="16673" spans="1:10" x14ac:dyDescent="0.2">
      <c r="A16673" s="4" t="s">
        <v>1</v>
      </c>
      <c r="B1667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73" s="3" t="str">
        <f>HYPERLINK("https://otsuka-europe-crm.veevavault.com/ui/#object/sent_email__v/VBL000000015992", "SE-001401977")</f>
        <v>SE-001401977</v>
      </c>
      <c r="D16673" s="1">
        <v>46049.604351851849</v>
      </c>
      <c r="E16673" s="2">
        <v>1</v>
      </c>
      <c r="F16673" s="2">
        <v>1</v>
      </c>
      <c r="G16673" s="2">
        <v>0</v>
      </c>
      <c r="H16673" s="1" t="s">
        <v>0</v>
      </c>
      <c r="I16673" s="2">
        <v>0</v>
      </c>
      <c r="J16673" s="1">
        <v>46049.550416666665</v>
      </c>
    </row>
    <row r="16674" spans="1:10" x14ac:dyDescent="0.2">
      <c r="A16674" s="4" t="s">
        <v>1</v>
      </c>
      <c r="B1667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74" s="3" t="str">
        <f>HYPERLINK("https://otsuka-europe-crm.veevavault.com/ui/#object/sent_email__v/VBL000000017030", "SE-001401978")</f>
        <v>SE-001401978</v>
      </c>
      <c r="D16674" s="1" t="s">
        <v>0</v>
      </c>
      <c r="E16674" s="2">
        <v>0</v>
      </c>
      <c r="F16674" s="2">
        <v>0</v>
      </c>
      <c r="G16674" s="2">
        <v>0</v>
      </c>
      <c r="H16674" s="1" t="s">
        <v>0</v>
      </c>
      <c r="I16674" s="2">
        <v>0</v>
      </c>
      <c r="J16674" s="1">
        <v>46049.55128472222</v>
      </c>
    </row>
    <row r="16675" spans="1:10" x14ac:dyDescent="0.2">
      <c r="A16675" s="4" t="s">
        <v>1</v>
      </c>
      <c r="B1667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75" s="3" t="str">
        <f>HYPERLINK("https://otsuka-europe-crm.veevavault.com/ui/#object/sent_email__v/VBL000000017031", "SE-001401979")</f>
        <v>SE-001401979</v>
      </c>
      <c r="D16675" s="1" t="s">
        <v>0</v>
      </c>
      <c r="E16675" s="2">
        <v>0</v>
      </c>
      <c r="F16675" s="2">
        <v>0</v>
      </c>
      <c r="G16675" s="2">
        <v>0</v>
      </c>
      <c r="H16675" s="1" t="s">
        <v>0</v>
      </c>
      <c r="I16675" s="2">
        <v>0</v>
      </c>
      <c r="J16675" s="1">
        <v>46049.55133101852</v>
      </c>
    </row>
    <row r="16676" spans="1:10" x14ac:dyDescent="0.2">
      <c r="A16676" s="4" t="s">
        <v>1</v>
      </c>
      <c r="B1667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76" s="3" t="str">
        <f>HYPERLINK("https://otsuka-europe-crm.veevavault.com/ui/#object/sent_email__v/VBL000000017032", "SE-001401980")</f>
        <v>SE-001401980</v>
      </c>
      <c r="D16676" s="1" t="s">
        <v>0</v>
      </c>
      <c r="E16676" s="2">
        <v>0</v>
      </c>
      <c r="F16676" s="2">
        <v>0</v>
      </c>
      <c r="G16676" s="2">
        <v>0</v>
      </c>
      <c r="H16676" s="1" t="s">
        <v>0</v>
      </c>
      <c r="I16676" s="2">
        <v>0</v>
      </c>
      <c r="J16676" s="1">
        <v>46049.551354166666</v>
      </c>
    </row>
    <row r="16677" spans="1:10" x14ac:dyDescent="0.2">
      <c r="A16677" s="4" t="s">
        <v>1</v>
      </c>
      <c r="B1667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77" s="3" t="str">
        <f>HYPERLINK("https://otsuka-europe-crm.veevavault.com/ui/#object/sent_email__v/VBL000000017033", "SE-001401981")</f>
        <v>SE-001401981</v>
      </c>
      <c r="D16677" s="1" t="s">
        <v>0</v>
      </c>
      <c r="E16677" s="2">
        <v>0</v>
      </c>
      <c r="F16677" s="2">
        <v>0</v>
      </c>
      <c r="G16677" s="2">
        <v>0</v>
      </c>
      <c r="H16677" s="1" t="s">
        <v>0</v>
      </c>
      <c r="I16677" s="2">
        <v>0</v>
      </c>
      <c r="J16677" s="1">
        <v>46049.551412037035</v>
      </c>
    </row>
    <row r="16678" spans="1:10" x14ac:dyDescent="0.2">
      <c r="A16678" s="4" t="s">
        <v>1</v>
      </c>
      <c r="B1667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78" s="3" t="str">
        <f>HYPERLINK("https://otsuka-europe-crm.veevavault.com/ui/#object/sent_email__v/VBL000000017034", "SE-001401982")</f>
        <v>SE-001401982</v>
      </c>
      <c r="D16678" s="1">
        <v>46049.554340277777</v>
      </c>
      <c r="E16678" s="2">
        <v>1</v>
      </c>
      <c r="F16678" s="2">
        <v>1</v>
      </c>
      <c r="G16678" s="2">
        <v>0</v>
      </c>
      <c r="H16678" s="1" t="s">
        <v>0</v>
      </c>
      <c r="I16678" s="2">
        <v>0</v>
      </c>
      <c r="J16678" s="1">
        <v>46049.552881944444</v>
      </c>
    </row>
    <row r="16679" spans="1:10" x14ac:dyDescent="0.2">
      <c r="A16679" s="4" t="s">
        <v>1</v>
      </c>
      <c r="B1667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79" s="3" t="str">
        <f>HYPERLINK("https://otsuka-europe-crm.veevavault.com/ui/#object/sent_email__v/VBL000000017035", "SE-001401983")</f>
        <v>SE-001401983</v>
      </c>
      <c r="D16679" s="1">
        <v>46050.350243055553</v>
      </c>
      <c r="E16679" s="2">
        <v>1</v>
      </c>
      <c r="F16679" s="2">
        <v>8</v>
      </c>
      <c r="G16679" s="2">
        <v>0</v>
      </c>
      <c r="H16679" s="1" t="s">
        <v>0</v>
      </c>
      <c r="I16679" s="2">
        <v>0</v>
      </c>
      <c r="J16679" s="1">
        <v>46049.553344907406</v>
      </c>
    </row>
    <row r="16680" spans="1:10" x14ac:dyDescent="0.2">
      <c r="A16680" s="4" t="s">
        <v>1</v>
      </c>
      <c r="B1668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80" s="3" t="str">
        <f>HYPERLINK("https://otsuka-europe-crm.veevavault.com/ui/#object/sent_email__v/VBL000000017036", "SE-001401984")</f>
        <v>SE-001401984</v>
      </c>
      <c r="D16680" s="1" t="s">
        <v>0</v>
      </c>
      <c r="E16680" s="2">
        <v>0</v>
      </c>
      <c r="F16680" s="2">
        <v>0</v>
      </c>
      <c r="G16680" s="2">
        <v>0</v>
      </c>
      <c r="H16680" s="1" t="s">
        <v>0</v>
      </c>
      <c r="I16680" s="2">
        <v>0</v>
      </c>
      <c r="J16680" s="1">
        <v>46049.553391203706</v>
      </c>
    </row>
    <row r="16681" spans="1:10" x14ac:dyDescent="0.2">
      <c r="A16681" s="4" t="s">
        <v>1</v>
      </c>
      <c r="B1668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81" s="3" t="str">
        <f>HYPERLINK("https://otsuka-europe-crm.veevavault.com/ui/#object/sent_email__v/VBL000000015993", "SE-001401985")</f>
        <v>SE-001401985</v>
      </c>
      <c r="D16681" s="1">
        <v>46050.932627314818</v>
      </c>
      <c r="E16681" s="2">
        <v>1</v>
      </c>
      <c r="F16681" s="2">
        <v>1</v>
      </c>
      <c r="G16681" s="2">
        <v>0</v>
      </c>
      <c r="H16681" s="1" t="s">
        <v>0</v>
      </c>
      <c r="I16681" s="2">
        <v>0</v>
      </c>
      <c r="J16681" s="1">
        <v>46049.554872685185</v>
      </c>
    </row>
    <row r="16682" spans="1:10" x14ac:dyDescent="0.2">
      <c r="A16682" s="4" t="s">
        <v>1</v>
      </c>
      <c r="B1668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82" s="3" t="str">
        <f>HYPERLINK("https://otsuka-europe-crm.veevavault.com/ui/#object/sent_email__v/VBL000000015994", "SE-001401986")</f>
        <v>SE-001401986</v>
      </c>
      <c r="D16682" s="1">
        <v>46070.791689814818</v>
      </c>
      <c r="E16682" s="2">
        <v>1</v>
      </c>
      <c r="F16682" s="2">
        <v>2</v>
      </c>
      <c r="G16682" s="2">
        <v>0</v>
      </c>
      <c r="H16682" s="1" t="s">
        <v>0</v>
      </c>
      <c r="I16682" s="2">
        <v>0</v>
      </c>
      <c r="J16682" s="1">
        <v>46049.555509259262</v>
      </c>
    </row>
    <row r="16683" spans="1:10" x14ac:dyDescent="0.2">
      <c r="A16683" s="4" t="s">
        <v>1</v>
      </c>
      <c r="B1668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83" s="3" t="str">
        <f>HYPERLINK("https://otsuka-europe-crm.veevavault.com/ui/#object/sent_email__v/VBL000000015995", "SE-001401987")</f>
        <v>SE-001401987</v>
      </c>
      <c r="D16683" s="1" t="s">
        <v>0</v>
      </c>
      <c r="E16683" s="2">
        <v>0</v>
      </c>
      <c r="F16683" s="2">
        <v>0</v>
      </c>
      <c r="G16683" s="2">
        <v>0</v>
      </c>
      <c r="H16683" s="1" t="s">
        <v>0</v>
      </c>
      <c r="I16683" s="2">
        <v>0</v>
      </c>
      <c r="J16683" s="1">
        <v>46049.555532407408</v>
      </c>
    </row>
    <row r="16684" spans="1:10" x14ac:dyDescent="0.2">
      <c r="A16684" s="4" t="s">
        <v>1</v>
      </c>
      <c r="B1668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84" s="3" t="str">
        <f>HYPERLINK("https://otsuka-europe-crm.veevavault.com/ui/#object/sent_email__v/VBL000000015996", "SE-001401988")</f>
        <v>SE-001401988</v>
      </c>
      <c r="D16684" s="1">
        <v>46050.448981481481</v>
      </c>
      <c r="E16684" s="2">
        <v>1</v>
      </c>
      <c r="F16684" s="2">
        <v>2</v>
      </c>
      <c r="G16684" s="2">
        <v>0</v>
      </c>
      <c r="H16684" s="1" t="s">
        <v>0</v>
      </c>
      <c r="I16684" s="2">
        <v>0</v>
      </c>
      <c r="J16684" s="1">
        <v>46049.556979166664</v>
      </c>
    </row>
    <row r="16685" spans="1:10" x14ac:dyDescent="0.2">
      <c r="A16685" s="4" t="s">
        <v>1</v>
      </c>
      <c r="B1668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85" s="3" t="str">
        <f>HYPERLINK("https://otsuka-europe-crm.veevavault.com/ui/#object/sent_email__v/VBL000000015997", "SE-001401989")</f>
        <v>SE-001401989</v>
      </c>
      <c r="D16685" s="1" t="s">
        <v>0</v>
      </c>
      <c r="E16685" s="2">
        <v>0</v>
      </c>
      <c r="F16685" s="2">
        <v>0</v>
      </c>
      <c r="G16685" s="2">
        <v>0</v>
      </c>
      <c r="H16685" s="1" t="s">
        <v>0</v>
      </c>
      <c r="I16685" s="2">
        <v>0</v>
      </c>
      <c r="J16685" s="1">
        <v>46049.557013888887</v>
      </c>
    </row>
    <row r="16686" spans="1:10" x14ac:dyDescent="0.2">
      <c r="A16686" s="4" t="s">
        <v>1</v>
      </c>
      <c r="B1668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86" s="3" t="str">
        <f>HYPERLINK("https://otsuka-europe-crm.veevavault.com/ui/#object/sent_email__v/VBL000000015998", "SE-001401990")</f>
        <v>SE-001401990</v>
      </c>
      <c r="D16686" s="1" t="s">
        <v>0</v>
      </c>
      <c r="E16686" s="2">
        <v>0</v>
      </c>
      <c r="F16686" s="2">
        <v>0</v>
      </c>
      <c r="G16686" s="2">
        <v>0</v>
      </c>
      <c r="H16686" s="1" t="s">
        <v>0</v>
      </c>
      <c r="I16686" s="2">
        <v>0</v>
      </c>
      <c r="J16686" s="1">
        <v>46049.557060185187</v>
      </c>
    </row>
    <row r="16687" spans="1:10" x14ac:dyDescent="0.2">
      <c r="A16687" s="4" t="s">
        <v>1</v>
      </c>
      <c r="B1668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87" s="3" t="str">
        <f>HYPERLINK("https://otsuka-europe-crm.veevavault.com/ui/#object/sent_email__v/VBL000000015999", "SE-001401991")</f>
        <v>SE-001401991</v>
      </c>
      <c r="D16687" s="1">
        <v>46049.578530092593</v>
      </c>
      <c r="E16687" s="2">
        <v>1</v>
      </c>
      <c r="F16687" s="2">
        <v>1</v>
      </c>
      <c r="G16687" s="2">
        <v>1</v>
      </c>
      <c r="H16687" s="1">
        <v>46049.722569444442</v>
      </c>
      <c r="I16687" s="2">
        <v>1</v>
      </c>
      <c r="J16687" s="1">
        <v>46049.557106481479</v>
      </c>
    </row>
    <row r="16688" spans="1:10" x14ac:dyDescent="0.2">
      <c r="A16688" s="4" t="s">
        <v>1</v>
      </c>
      <c r="B1668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88" s="3" t="str">
        <f>HYPERLINK("https://otsuka-europe-crm.veevavault.com/ui/#object/sent_email__v/VBL000000018001", "SE-001401992")</f>
        <v>SE-001401992</v>
      </c>
      <c r="D16688" s="1" t="s">
        <v>0</v>
      </c>
      <c r="E16688" s="2">
        <v>0</v>
      </c>
      <c r="F16688" s="2">
        <v>0</v>
      </c>
      <c r="G16688" s="2">
        <v>0</v>
      </c>
      <c r="H16688" s="1" t="s">
        <v>0</v>
      </c>
      <c r="I16688" s="2">
        <v>0</v>
      </c>
      <c r="J16688" s="1">
        <v>46049.557164351849</v>
      </c>
    </row>
    <row r="16689" spans="1:10" x14ac:dyDescent="0.2">
      <c r="A16689" s="4" t="s">
        <v>1</v>
      </c>
      <c r="B1668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89" s="3" t="str">
        <f>HYPERLINK("https://otsuka-europe-crm.veevavault.com/ui/#object/sent_email__v/VBL000000018002", "SE-001401993")</f>
        <v>SE-001401993</v>
      </c>
      <c r="D16689" s="1" t="s">
        <v>0</v>
      </c>
      <c r="E16689" s="2">
        <v>0</v>
      </c>
      <c r="F16689" s="2">
        <v>0</v>
      </c>
      <c r="G16689" s="2">
        <v>0</v>
      </c>
      <c r="H16689" s="1" t="s">
        <v>0</v>
      </c>
      <c r="I16689" s="2">
        <v>0</v>
      </c>
      <c r="J16689" s="1">
        <v>46049.557210648149</v>
      </c>
    </row>
    <row r="16690" spans="1:10" x14ac:dyDescent="0.2">
      <c r="A16690" s="4" t="s">
        <v>1</v>
      </c>
      <c r="B1669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90" s="3" t="str">
        <f>HYPERLINK("https://otsuka-europe-crm.veevavault.com/ui/#object/sent_email__v/VBL000000017037", "SE-001401994")</f>
        <v>SE-001401994</v>
      </c>
      <c r="D16690" s="1">
        <v>46050.217129629629</v>
      </c>
      <c r="E16690" s="2">
        <v>1</v>
      </c>
      <c r="F16690" s="2">
        <v>2</v>
      </c>
      <c r="G16690" s="2">
        <v>0</v>
      </c>
      <c r="H16690" s="1" t="s">
        <v>0</v>
      </c>
      <c r="I16690" s="2">
        <v>0</v>
      </c>
      <c r="J16690" s="1">
        <v>46049.558125000003</v>
      </c>
    </row>
    <row r="16691" spans="1:10" x14ac:dyDescent="0.2">
      <c r="A16691" s="4" t="s">
        <v>1</v>
      </c>
      <c r="B16691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91" s="3" t="str">
        <f>HYPERLINK("https://otsuka-europe-crm.veevavault.com/ui/#object/sent_email__v/VBL000000017038", "SE-001401995")</f>
        <v>SE-001401995</v>
      </c>
      <c r="D16691" s="1" t="s">
        <v>0</v>
      </c>
      <c r="E16691" s="2">
        <v>0</v>
      </c>
      <c r="F16691" s="2">
        <v>0</v>
      </c>
      <c r="G16691" s="2">
        <v>0</v>
      </c>
      <c r="H16691" s="1" t="s">
        <v>0</v>
      </c>
      <c r="I16691" s="2">
        <v>0</v>
      </c>
      <c r="J16691" s="1">
        <v>46049.558171296296</v>
      </c>
    </row>
    <row r="16692" spans="1:10" x14ac:dyDescent="0.2">
      <c r="A16692" s="4" t="s">
        <v>1</v>
      </c>
      <c r="B16692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92" s="3" t="str">
        <f>HYPERLINK("https://otsuka-europe-crm.veevavault.com/ui/#object/sent_email__v/VBL000000017039", "SE-001401996")</f>
        <v>SE-001401996</v>
      </c>
      <c r="D16692" s="1">
        <v>46049.893564814818</v>
      </c>
      <c r="E16692" s="2">
        <v>1</v>
      </c>
      <c r="F16692" s="2">
        <v>2</v>
      </c>
      <c r="G16692" s="2">
        <v>0</v>
      </c>
      <c r="H16692" s="1" t="s">
        <v>0</v>
      </c>
      <c r="I16692" s="2">
        <v>0</v>
      </c>
      <c r="J16692" s="1">
        <v>46049.558217592596</v>
      </c>
    </row>
    <row r="16693" spans="1:10" x14ac:dyDescent="0.2">
      <c r="A16693" s="4" t="s">
        <v>1</v>
      </c>
      <c r="B16693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93" s="3" t="str">
        <f>HYPERLINK("https://otsuka-europe-crm.veevavault.com/ui/#object/sent_email__v/VBL000000017040", "SE-001401997")</f>
        <v>SE-001401997</v>
      </c>
      <c r="D16693" s="1" t="s">
        <v>0</v>
      </c>
      <c r="E16693" s="2">
        <v>0</v>
      </c>
      <c r="F16693" s="2">
        <v>0</v>
      </c>
      <c r="G16693" s="2">
        <v>0</v>
      </c>
      <c r="H16693" s="1" t="s">
        <v>0</v>
      </c>
      <c r="I16693" s="2">
        <v>0</v>
      </c>
      <c r="J16693" s="1">
        <v>46049.558263888888</v>
      </c>
    </row>
    <row r="16694" spans="1:10" x14ac:dyDescent="0.2">
      <c r="A16694" s="4" t="s">
        <v>1</v>
      </c>
      <c r="B16694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94" s="3" t="str">
        <f>HYPERLINK("https://otsuka-europe-crm.veevavault.com/ui/#object/sent_email__v/VBL000000017041", "SE-001401998")</f>
        <v>SE-001401998</v>
      </c>
      <c r="D16694" s="1">
        <v>46050.635162037041</v>
      </c>
      <c r="E16694" s="2">
        <v>1</v>
      </c>
      <c r="F16694" s="2">
        <v>3</v>
      </c>
      <c r="G16694" s="2">
        <v>0</v>
      </c>
      <c r="H16694" s="1" t="s">
        <v>0</v>
      </c>
      <c r="I16694" s="2">
        <v>0</v>
      </c>
      <c r="J16694" s="1">
        <v>46049.558298611111</v>
      </c>
    </row>
    <row r="16695" spans="1:10" x14ac:dyDescent="0.2">
      <c r="A16695" s="4" t="s">
        <v>1</v>
      </c>
      <c r="B16695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95" s="3" t="str">
        <f>HYPERLINK("https://otsuka-europe-crm.veevavault.com/ui/#object/sent_email__v/VBL00000001A066", "SE-001402394")</f>
        <v>SE-001402394</v>
      </c>
      <c r="D16695" s="1" t="s">
        <v>0</v>
      </c>
      <c r="E16695" s="2">
        <v>0</v>
      </c>
      <c r="F16695" s="2">
        <v>0</v>
      </c>
      <c r="G16695" s="2">
        <v>0</v>
      </c>
      <c r="H16695" s="1" t="s">
        <v>0</v>
      </c>
      <c r="I16695" s="2">
        <v>0</v>
      </c>
      <c r="J16695" s="1">
        <v>46055.730393518519</v>
      </c>
    </row>
    <row r="16696" spans="1:10" x14ac:dyDescent="0.2">
      <c r="A16696" s="4" t="s">
        <v>1</v>
      </c>
      <c r="B16696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96" s="3" t="str">
        <f>HYPERLINK("https://otsuka-europe-crm.veevavault.com/ui/#object/sent_email__v/VBL00000001A067", "SE-001402395")</f>
        <v>SE-001402395</v>
      </c>
      <c r="D16696" s="1" t="s">
        <v>0</v>
      </c>
      <c r="E16696" s="2">
        <v>0</v>
      </c>
      <c r="F16696" s="2">
        <v>0</v>
      </c>
      <c r="G16696" s="2">
        <v>0</v>
      </c>
      <c r="H16696" s="1" t="s">
        <v>0</v>
      </c>
      <c r="I16696" s="2">
        <v>0</v>
      </c>
      <c r="J16696" s="1">
        <v>46055.730729166666</v>
      </c>
    </row>
    <row r="16697" spans="1:10" x14ac:dyDescent="0.2">
      <c r="A16697" s="4" t="s">
        <v>1</v>
      </c>
      <c r="B16697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97" s="3" t="str">
        <f>HYPERLINK("https://otsuka-europe-crm.veevavault.com/ui/#object/sent_email__v/VBL000000019090", "SE-001402396")</f>
        <v>SE-001402396</v>
      </c>
      <c r="D16697" s="1" t="s">
        <v>0</v>
      </c>
      <c r="E16697" s="2">
        <v>0</v>
      </c>
      <c r="F16697" s="2">
        <v>0</v>
      </c>
      <c r="G16697" s="2">
        <v>0</v>
      </c>
      <c r="H16697" s="1" t="s">
        <v>0</v>
      </c>
      <c r="I16697" s="2">
        <v>0</v>
      </c>
      <c r="J16697" s="1">
        <v>46055.73096064815</v>
      </c>
    </row>
    <row r="16698" spans="1:10" x14ac:dyDescent="0.2">
      <c r="A16698" s="4" t="s">
        <v>1</v>
      </c>
      <c r="B16698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98" s="3" t="str">
        <f>HYPERLINK("https://otsuka-europe-crm.veevavault.com/ui/#object/sent_email__v/VBL00000001A068", "SE-001402397")</f>
        <v>SE-001402397</v>
      </c>
      <c r="D16698" s="1" t="s">
        <v>0</v>
      </c>
      <c r="E16698" s="2">
        <v>0</v>
      </c>
      <c r="F16698" s="2">
        <v>0</v>
      </c>
      <c r="G16698" s="2">
        <v>0</v>
      </c>
      <c r="H16698" s="1" t="s">
        <v>0</v>
      </c>
      <c r="I16698" s="2">
        <v>0</v>
      </c>
      <c r="J16698" s="1">
        <v>46055.731712962966</v>
      </c>
    </row>
    <row r="16699" spans="1:10" x14ac:dyDescent="0.2">
      <c r="A16699" s="4" t="s">
        <v>1</v>
      </c>
      <c r="B16699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699" s="3" t="str">
        <f>HYPERLINK("https://otsuka-europe-crm.veevavault.com/ui/#object/sent_email__v/VBL000000019091", "SE-001402399")</f>
        <v>SE-001402399</v>
      </c>
      <c r="D16699" s="1" t="s">
        <v>0</v>
      </c>
      <c r="E16699" s="2">
        <v>0</v>
      </c>
      <c r="F16699" s="2">
        <v>0</v>
      </c>
      <c r="G16699" s="2">
        <v>0</v>
      </c>
      <c r="H16699" s="1" t="s">
        <v>0</v>
      </c>
      <c r="I16699" s="2">
        <v>0</v>
      </c>
      <c r="J16699" s="1">
        <v>46055.735289351855</v>
      </c>
    </row>
    <row r="16700" spans="1:10" x14ac:dyDescent="0.2">
      <c r="A16700" s="4" t="s">
        <v>1</v>
      </c>
      <c r="B16700" s="3" t="str">
        <f>HYPERLINK("https://otsuka-europe-crm.veevavault.com/ui/#object/approved_document__v/V5O00000000J012", "LUP - Video 8 10 cuestiones - Glucocorticoides_nefro")</f>
        <v>LUP - Video 8 10 cuestiones - Glucocorticoides_nefro</v>
      </c>
      <c r="C16700" s="3" t="str">
        <f>HYPERLINK("https://otsuka-europe-crm.veevavault.com/ui/#object/sent_email__v/VBL00000001A070", "SE-001402400")</f>
        <v>SE-001402400</v>
      </c>
      <c r="D16700" s="1" t="s">
        <v>0</v>
      </c>
      <c r="E16700" s="2">
        <v>0</v>
      </c>
      <c r="F16700" s="2">
        <v>0</v>
      </c>
      <c r="G16700" s="2">
        <v>0</v>
      </c>
      <c r="H16700" s="1" t="s">
        <v>0</v>
      </c>
      <c r="I16700" s="2">
        <v>0</v>
      </c>
      <c r="J16700" s="1">
        <v>46055.735856481479</v>
      </c>
    </row>
    <row r="16701" spans="1:10" x14ac:dyDescent="0.2">
      <c r="A16701" s="4" t="s">
        <v>1</v>
      </c>
      <c r="B16701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01" s="3" t="str">
        <f>HYPERLINK("https://otsuka-europe-crm.veevavault.com/ui/#object/sent_email__v/VBL000000016141", "SE-001400281")</f>
        <v>SE-001400281</v>
      </c>
      <c r="D16701" s="1" t="s">
        <v>0</v>
      </c>
      <c r="E16701" s="2">
        <v>0</v>
      </c>
      <c r="F16701" s="2">
        <v>0</v>
      </c>
      <c r="G16701" s="2">
        <v>0</v>
      </c>
      <c r="H16701" s="1" t="s">
        <v>0</v>
      </c>
      <c r="I16701" s="2">
        <v>0</v>
      </c>
      <c r="J16701" s="1">
        <v>46043.429120370369</v>
      </c>
    </row>
    <row r="16702" spans="1:10" x14ac:dyDescent="0.2">
      <c r="A16702" s="4" t="s">
        <v>1</v>
      </c>
      <c r="B16702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02" s="3" t="str">
        <f>HYPERLINK("https://otsuka-europe-crm.veevavault.com/ui/#object/sent_email__v/VBL000000016142", "SE-001400282")</f>
        <v>SE-001400282</v>
      </c>
      <c r="D16702" s="1" t="s">
        <v>0</v>
      </c>
      <c r="E16702" s="2">
        <v>0</v>
      </c>
      <c r="F16702" s="2">
        <v>0</v>
      </c>
      <c r="G16702" s="2">
        <v>0</v>
      </c>
      <c r="H16702" s="1" t="s">
        <v>0</v>
      </c>
      <c r="I16702" s="2">
        <v>0</v>
      </c>
      <c r="J16702" s="1">
        <v>46043.428831018522</v>
      </c>
    </row>
    <row r="16703" spans="1:10" x14ac:dyDescent="0.2">
      <c r="A16703" s="4" t="s">
        <v>1</v>
      </c>
      <c r="B16703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03" s="3" t="str">
        <f>HYPERLINK("https://otsuka-europe-crm.veevavault.com/ui/#object/sent_email__v/VBL000000016143", "SE-001400283")</f>
        <v>SE-001400283</v>
      </c>
      <c r="D16703" s="1" t="s">
        <v>0</v>
      </c>
      <c r="E16703" s="2">
        <v>0</v>
      </c>
      <c r="F16703" s="2">
        <v>0</v>
      </c>
      <c r="G16703" s="2">
        <v>0</v>
      </c>
      <c r="H16703" s="1" t="s">
        <v>0</v>
      </c>
      <c r="I16703" s="2">
        <v>0</v>
      </c>
      <c r="J16703" s="1">
        <v>46043.429224537038</v>
      </c>
    </row>
    <row r="16704" spans="1:10" x14ac:dyDescent="0.2">
      <c r="A16704" s="4" t="s">
        <v>1</v>
      </c>
      <c r="B16704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04" s="3" t="str">
        <f>HYPERLINK("https://otsuka-europe-crm.veevavault.com/ui/#object/sent_email__v/VBL000000016186", "SE-001400396")</f>
        <v>SE-001400396</v>
      </c>
      <c r="D16704" s="1" t="s">
        <v>0</v>
      </c>
      <c r="E16704" s="2">
        <v>0</v>
      </c>
      <c r="F16704" s="2">
        <v>0</v>
      </c>
      <c r="G16704" s="2">
        <v>0</v>
      </c>
      <c r="H16704" s="1" t="s">
        <v>0</v>
      </c>
      <c r="I16704" s="2">
        <v>0</v>
      </c>
      <c r="J16704" s="1">
        <v>46043.429143518515</v>
      </c>
    </row>
    <row r="16705" spans="1:10" x14ac:dyDescent="0.2">
      <c r="A16705" s="4" t="s">
        <v>1</v>
      </c>
      <c r="B16705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05" s="3" t="str">
        <f>HYPERLINK("https://otsuka-europe-crm.veevavault.com/ui/#object/sent_email__v/VBL000000016187", "SE-001400397")</f>
        <v>SE-001400397</v>
      </c>
      <c r="D16705" s="1" t="s">
        <v>0</v>
      </c>
      <c r="E16705" s="2">
        <v>0</v>
      </c>
      <c r="F16705" s="2">
        <v>0</v>
      </c>
      <c r="G16705" s="2">
        <v>0</v>
      </c>
      <c r="H16705" s="1" t="s">
        <v>0</v>
      </c>
      <c r="I16705" s="2">
        <v>0</v>
      </c>
      <c r="J16705" s="1">
        <v>46043.428935185184</v>
      </c>
    </row>
    <row r="16706" spans="1:10" x14ac:dyDescent="0.2">
      <c r="A16706" s="4" t="s">
        <v>1</v>
      </c>
      <c r="B16706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06" s="3" t="str">
        <f>HYPERLINK("https://otsuka-europe-crm.veevavault.com/ui/#object/sent_email__v/VBL000000016188", "SE-001400398")</f>
        <v>SE-001400398</v>
      </c>
      <c r="D16706" s="1" t="s">
        <v>0</v>
      </c>
      <c r="E16706" s="2">
        <v>0</v>
      </c>
      <c r="F16706" s="2">
        <v>0</v>
      </c>
      <c r="G16706" s="2">
        <v>0</v>
      </c>
      <c r="H16706" s="1" t="s">
        <v>0</v>
      </c>
      <c r="I16706" s="2">
        <v>0</v>
      </c>
      <c r="J16706" s="1">
        <v>46043.428993055553</v>
      </c>
    </row>
    <row r="16707" spans="1:10" x14ac:dyDescent="0.2">
      <c r="A16707" s="4" t="s">
        <v>1</v>
      </c>
      <c r="B16707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07" s="3" t="str">
        <f>HYPERLINK("https://otsuka-europe-crm.veevavault.com/ui/#object/sent_email__v/VBL000000016189", "SE-001400399")</f>
        <v>SE-001400399</v>
      </c>
      <c r="D16707" s="1" t="s">
        <v>0</v>
      </c>
      <c r="E16707" s="2">
        <v>0</v>
      </c>
      <c r="F16707" s="2">
        <v>0</v>
      </c>
      <c r="G16707" s="2">
        <v>0</v>
      </c>
      <c r="H16707" s="1" t="s">
        <v>0</v>
      </c>
      <c r="I16707" s="2">
        <v>0</v>
      </c>
      <c r="J16707" s="1">
        <v>46043.42900462963</v>
      </c>
    </row>
    <row r="16708" spans="1:10" x14ac:dyDescent="0.2">
      <c r="A16708" s="4" t="s">
        <v>1</v>
      </c>
      <c r="B16708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08" s="3" t="str">
        <f>HYPERLINK("https://otsuka-europe-crm.veevavault.com/ui/#object/sent_email__v/VBL000000016190", "SE-001400400")</f>
        <v>SE-001400400</v>
      </c>
      <c r="D16708" s="1">
        <v>46044.007210648146</v>
      </c>
      <c r="E16708" s="2">
        <v>1</v>
      </c>
      <c r="F16708" s="2">
        <v>1</v>
      </c>
      <c r="G16708" s="2">
        <v>0</v>
      </c>
      <c r="H16708" s="1" t="s">
        <v>0</v>
      </c>
      <c r="I16708" s="2">
        <v>0</v>
      </c>
      <c r="J16708" s="1">
        <v>46043.428946759261</v>
      </c>
    </row>
    <row r="16709" spans="1:10" x14ac:dyDescent="0.2">
      <c r="A16709" s="4" t="s">
        <v>1</v>
      </c>
      <c r="B16709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09" s="3" t="str">
        <f>HYPERLINK("https://otsuka-europe-crm.veevavault.com/ui/#object/sent_email__v/VBL000000016191", "SE-001400401")</f>
        <v>SE-001400401</v>
      </c>
      <c r="D16709" s="1" t="s">
        <v>0</v>
      </c>
      <c r="E16709" s="2">
        <v>0</v>
      </c>
      <c r="F16709" s="2">
        <v>0</v>
      </c>
      <c r="G16709" s="2">
        <v>0</v>
      </c>
      <c r="H16709" s="1" t="s">
        <v>0</v>
      </c>
      <c r="I16709" s="2">
        <v>0</v>
      </c>
      <c r="J16709" s="1">
        <v>46043.429085648146</v>
      </c>
    </row>
    <row r="16710" spans="1:10" x14ac:dyDescent="0.2">
      <c r="A16710" s="4" t="s">
        <v>1</v>
      </c>
      <c r="B16710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10" s="3" t="str">
        <f>HYPERLINK("https://otsuka-europe-crm.veevavault.com/ui/#object/sent_email__v/VBL000000016192", "SE-001400402")</f>
        <v>SE-001400402</v>
      </c>
      <c r="D16710" s="1" t="s">
        <v>0</v>
      </c>
      <c r="E16710" s="2">
        <v>0</v>
      </c>
      <c r="F16710" s="2">
        <v>0</v>
      </c>
      <c r="G16710" s="2">
        <v>0</v>
      </c>
      <c r="H16710" s="1" t="s">
        <v>0</v>
      </c>
      <c r="I16710" s="2">
        <v>0</v>
      </c>
      <c r="J16710" s="1">
        <v>46043.428923611114</v>
      </c>
    </row>
    <row r="16711" spans="1:10" x14ac:dyDescent="0.2">
      <c r="A16711" s="4" t="s">
        <v>1</v>
      </c>
      <c r="B16711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11" s="3" t="str">
        <f>HYPERLINK("https://otsuka-europe-crm.veevavault.com/ui/#object/sent_email__v/VBL000000016193", "SE-001400403")</f>
        <v>SE-001400403</v>
      </c>
      <c r="D16711" s="1" t="s">
        <v>0</v>
      </c>
      <c r="E16711" s="2">
        <v>0</v>
      </c>
      <c r="F16711" s="2">
        <v>0</v>
      </c>
      <c r="G16711" s="2">
        <v>0</v>
      </c>
      <c r="H16711" s="1" t="s">
        <v>0</v>
      </c>
      <c r="I16711" s="2">
        <v>0</v>
      </c>
      <c r="J16711" s="1">
        <v>46043.428935185184</v>
      </c>
    </row>
    <row r="16712" spans="1:10" x14ac:dyDescent="0.2">
      <c r="A16712" s="4" t="s">
        <v>1</v>
      </c>
      <c r="B16712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12" s="3" t="str">
        <f>HYPERLINK("https://otsuka-europe-crm.veevavault.com/ui/#object/sent_email__v/VBL000000016194", "SE-001400404")</f>
        <v>SE-001400404</v>
      </c>
      <c r="D16712" s="1" t="s">
        <v>0</v>
      </c>
      <c r="E16712" s="2">
        <v>0</v>
      </c>
      <c r="F16712" s="2">
        <v>0</v>
      </c>
      <c r="G16712" s="2">
        <v>0</v>
      </c>
      <c r="H16712" s="1" t="s">
        <v>0</v>
      </c>
      <c r="I16712" s="2">
        <v>0</v>
      </c>
      <c r="J16712" s="1">
        <v>46043.428923611114</v>
      </c>
    </row>
    <row r="16713" spans="1:10" x14ac:dyDescent="0.2">
      <c r="A16713" s="4" t="s">
        <v>1</v>
      </c>
      <c r="B16713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13" s="3" t="str">
        <f>HYPERLINK("https://otsuka-europe-crm.veevavault.com/ui/#object/sent_email__v/VBL000000016195", "SE-001400405")</f>
        <v>SE-001400405</v>
      </c>
      <c r="D16713" s="1" t="s">
        <v>0</v>
      </c>
      <c r="E16713" s="2">
        <v>0</v>
      </c>
      <c r="F16713" s="2">
        <v>0</v>
      </c>
      <c r="G16713" s="2">
        <v>0</v>
      </c>
      <c r="H16713" s="1" t="s">
        <v>0</v>
      </c>
      <c r="I16713" s="2">
        <v>0</v>
      </c>
      <c r="J16713" s="1">
        <v>46043.429178240738</v>
      </c>
    </row>
    <row r="16714" spans="1:10" x14ac:dyDescent="0.2">
      <c r="A16714" s="4" t="s">
        <v>1</v>
      </c>
      <c r="B16714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14" s="3" t="str">
        <f>HYPERLINK("https://otsuka-europe-crm.veevavault.com/ui/#object/sent_email__v/VBL000000016196", "SE-001400406")</f>
        <v>SE-001400406</v>
      </c>
      <c r="D16714" s="1">
        <v>46078.847118055557</v>
      </c>
      <c r="E16714" s="2">
        <v>1</v>
      </c>
      <c r="F16714" s="2">
        <v>6</v>
      </c>
      <c r="G16714" s="2">
        <v>0</v>
      </c>
      <c r="H16714" s="1" t="s">
        <v>0</v>
      </c>
      <c r="I16714" s="2">
        <v>0</v>
      </c>
      <c r="J16714" s="1">
        <v>46043.428935185184</v>
      </c>
    </row>
    <row r="16715" spans="1:10" x14ac:dyDescent="0.2">
      <c r="A16715" s="4" t="s">
        <v>1</v>
      </c>
      <c r="B16715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15" s="3" t="str">
        <f>HYPERLINK("https://otsuka-europe-crm.veevavault.com/ui/#object/sent_email__v/VBL000000016197", "SE-001400407")</f>
        <v>SE-001400407</v>
      </c>
      <c r="D16715" s="1" t="s">
        <v>0</v>
      </c>
      <c r="E16715" s="2">
        <v>0</v>
      </c>
      <c r="F16715" s="2">
        <v>0</v>
      </c>
      <c r="G16715" s="2">
        <v>0</v>
      </c>
      <c r="H16715" s="1" t="s">
        <v>0</v>
      </c>
      <c r="I16715" s="2">
        <v>0</v>
      </c>
      <c r="J16715" s="1">
        <v>46043.428946759261</v>
      </c>
    </row>
    <row r="16716" spans="1:10" x14ac:dyDescent="0.2">
      <c r="A16716" s="4" t="s">
        <v>1</v>
      </c>
      <c r="B16716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16" s="3" t="str">
        <f>HYPERLINK("https://otsuka-europe-crm.veevavault.com/ui/#object/sent_email__v/VBL000000016198", "SE-001400408")</f>
        <v>SE-001400408</v>
      </c>
      <c r="D16716" s="1" t="s">
        <v>0</v>
      </c>
      <c r="E16716" s="2">
        <v>0</v>
      </c>
      <c r="F16716" s="2">
        <v>0</v>
      </c>
      <c r="G16716" s="2">
        <v>0</v>
      </c>
      <c r="H16716" s="1" t="s">
        <v>0</v>
      </c>
      <c r="I16716" s="2">
        <v>0</v>
      </c>
      <c r="J16716" s="1">
        <v>46043.429224537038</v>
      </c>
    </row>
    <row r="16717" spans="1:10" x14ac:dyDescent="0.2">
      <c r="A16717" s="4" t="s">
        <v>1</v>
      </c>
      <c r="B16717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17" s="3" t="str">
        <f>HYPERLINK("https://otsuka-europe-crm.veevavault.com/ui/#object/sent_email__v/VBL000000016199", "SE-001400409")</f>
        <v>SE-001400409</v>
      </c>
      <c r="D16717" s="1" t="s">
        <v>0</v>
      </c>
      <c r="E16717" s="2">
        <v>0</v>
      </c>
      <c r="F16717" s="2">
        <v>0</v>
      </c>
      <c r="G16717" s="2">
        <v>0</v>
      </c>
      <c r="H16717" s="1" t="s">
        <v>0</v>
      </c>
      <c r="I16717" s="2">
        <v>0</v>
      </c>
      <c r="J16717" s="1">
        <v>46043.428923611114</v>
      </c>
    </row>
    <row r="16718" spans="1:10" x14ac:dyDescent="0.2">
      <c r="A16718" s="4" t="s">
        <v>1</v>
      </c>
      <c r="B16718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18" s="3" t="str">
        <f>HYPERLINK("https://otsuka-europe-crm.veevavault.com/ui/#object/sent_email__v/VBL000000016200", "SE-001400410")</f>
        <v>SE-001400410</v>
      </c>
      <c r="D16718" s="1">
        <v>46044.741793981484</v>
      </c>
      <c r="E16718" s="2">
        <v>1</v>
      </c>
      <c r="F16718" s="2">
        <v>4</v>
      </c>
      <c r="G16718" s="2">
        <v>1</v>
      </c>
      <c r="H16718" s="1">
        <v>46051.886886574073</v>
      </c>
      <c r="I16718" s="2">
        <v>2</v>
      </c>
      <c r="J16718" s="1">
        <v>46043.429074074076</v>
      </c>
    </row>
    <row r="16719" spans="1:10" x14ac:dyDescent="0.2">
      <c r="A16719" s="4" t="s">
        <v>1</v>
      </c>
      <c r="B16719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19" s="3" t="str">
        <f>HYPERLINK("https://otsuka-europe-crm.veevavault.com/ui/#object/sent_email__v/VBL000000016201", "SE-001400411")</f>
        <v>SE-001400411</v>
      </c>
      <c r="D16719" s="1" t="s">
        <v>0</v>
      </c>
      <c r="E16719" s="2">
        <v>0</v>
      </c>
      <c r="F16719" s="2">
        <v>0</v>
      </c>
      <c r="G16719" s="2">
        <v>0</v>
      </c>
      <c r="H16719" s="1" t="s">
        <v>0</v>
      </c>
      <c r="I16719" s="2">
        <v>0</v>
      </c>
      <c r="J16719" s="1">
        <v>46043.429016203707</v>
      </c>
    </row>
    <row r="16720" spans="1:10" x14ac:dyDescent="0.2">
      <c r="A16720" s="4" t="s">
        <v>1</v>
      </c>
      <c r="B16720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20" s="3" t="str">
        <f>HYPERLINK("https://otsuka-europe-crm.veevavault.com/ui/#object/sent_email__v/VBL000000016202", "SE-001400412")</f>
        <v>SE-001400412</v>
      </c>
      <c r="D16720" s="1" t="s">
        <v>0</v>
      </c>
      <c r="E16720" s="2">
        <v>0</v>
      </c>
      <c r="F16720" s="2">
        <v>0</v>
      </c>
      <c r="G16720" s="2">
        <v>0</v>
      </c>
      <c r="H16720" s="1" t="s">
        <v>0</v>
      </c>
      <c r="I16720" s="2">
        <v>0</v>
      </c>
      <c r="J16720" s="1">
        <v>46043.429259259261</v>
      </c>
    </row>
    <row r="16721" spans="1:10" x14ac:dyDescent="0.2">
      <c r="A16721" s="4" t="s">
        <v>1</v>
      </c>
      <c r="B16721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21" s="3" t="str">
        <f>HYPERLINK("https://otsuka-europe-crm.veevavault.com/ui/#object/sent_email__v/VBL000000016203", "SE-001400413")</f>
        <v>SE-001400413</v>
      </c>
      <c r="D16721" s="1" t="s">
        <v>0</v>
      </c>
      <c r="E16721" s="2">
        <v>0</v>
      </c>
      <c r="F16721" s="2">
        <v>0</v>
      </c>
      <c r="G16721" s="2">
        <v>0</v>
      </c>
      <c r="H16721" s="1" t="s">
        <v>0</v>
      </c>
      <c r="I16721" s="2">
        <v>0</v>
      </c>
      <c r="J16721" s="1">
        <v>46043.429074074076</v>
      </c>
    </row>
    <row r="16722" spans="1:10" x14ac:dyDescent="0.2">
      <c r="A16722" s="4" t="s">
        <v>1</v>
      </c>
      <c r="B16722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22" s="3" t="str">
        <f>HYPERLINK("https://otsuka-europe-crm.veevavault.com/ui/#object/sent_email__v/VBL000000016204", "SE-001400414")</f>
        <v>SE-001400414</v>
      </c>
      <c r="D16722" s="1" t="s">
        <v>0</v>
      </c>
      <c r="E16722" s="2">
        <v>0</v>
      </c>
      <c r="F16722" s="2">
        <v>0</v>
      </c>
      <c r="G16722" s="2">
        <v>0</v>
      </c>
      <c r="H16722" s="1" t="s">
        <v>0</v>
      </c>
      <c r="I16722" s="2">
        <v>0</v>
      </c>
      <c r="J16722" s="1">
        <v>46043.429039351853</v>
      </c>
    </row>
    <row r="16723" spans="1:10" x14ac:dyDescent="0.2">
      <c r="A16723" s="4" t="s">
        <v>1</v>
      </c>
      <c r="B16723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23" s="3" t="str">
        <f>HYPERLINK("https://otsuka-europe-crm.veevavault.com/ui/#object/sent_email__v/VBL000000016205", "SE-001400415")</f>
        <v>SE-001400415</v>
      </c>
      <c r="D16723" s="1" t="s">
        <v>0</v>
      </c>
      <c r="E16723" s="2">
        <v>0</v>
      </c>
      <c r="F16723" s="2">
        <v>0</v>
      </c>
      <c r="G16723" s="2">
        <v>0</v>
      </c>
      <c r="H16723" s="1" t="s">
        <v>0</v>
      </c>
      <c r="I16723" s="2">
        <v>0</v>
      </c>
      <c r="J16723" s="1">
        <v>46043.428993055553</v>
      </c>
    </row>
    <row r="16724" spans="1:10" x14ac:dyDescent="0.2">
      <c r="A16724" s="4" t="s">
        <v>1</v>
      </c>
      <c r="B16724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24" s="3" t="str">
        <f>HYPERLINK("https://otsuka-europe-crm.veevavault.com/ui/#object/sent_email__v/VBL000000016206", "SE-001400416")</f>
        <v>SE-001400416</v>
      </c>
      <c r="D16724" s="1">
        <v>46043.478263888886</v>
      </c>
      <c r="E16724" s="2">
        <v>1</v>
      </c>
      <c r="F16724" s="2">
        <v>1</v>
      </c>
      <c r="G16724" s="2">
        <v>0</v>
      </c>
      <c r="H16724" s="1" t="s">
        <v>0</v>
      </c>
      <c r="I16724" s="2">
        <v>0</v>
      </c>
      <c r="J16724" s="1">
        <v>46043.429375</v>
      </c>
    </row>
    <row r="16725" spans="1:10" x14ac:dyDescent="0.2">
      <c r="A16725" s="4" t="s">
        <v>1</v>
      </c>
      <c r="B16725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25" s="3" t="str">
        <f>HYPERLINK("https://otsuka-europe-crm.veevavault.com/ui/#object/sent_email__v/VBL000000016207", "SE-001400417")</f>
        <v>SE-001400417</v>
      </c>
      <c r="D16725" s="1" t="s">
        <v>0</v>
      </c>
      <c r="E16725" s="2">
        <v>0</v>
      </c>
      <c r="F16725" s="2">
        <v>0</v>
      </c>
      <c r="G16725" s="2">
        <v>0</v>
      </c>
      <c r="H16725" s="1" t="s">
        <v>0</v>
      </c>
      <c r="I16725" s="2">
        <v>0</v>
      </c>
      <c r="J16725" s="1">
        <v>46043.429085648146</v>
      </c>
    </row>
    <row r="16726" spans="1:10" x14ac:dyDescent="0.2">
      <c r="A16726" s="4" t="s">
        <v>1</v>
      </c>
      <c r="B16726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26" s="3" t="str">
        <f>HYPERLINK("https://otsuka-europe-crm.veevavault.com/ui/#object/sent_email__v/VBL000000016208", "SE-001400418")</f>
        <v>SE-001400418</v>
      </c>
      <c r="D16726" s="1" t="s">
        <v>0</v>
      </c>
      <c r="E16726" s="2">
        <v>0</v>
      </c>
      <c r="F16726" s="2">
        <v>0</v>
      </c>
      <c r="G16726" s="2">
        <v>0</v>
      </c>
      <c r="H16726" s="1" t="s">
        <v>0</v>
      </c>
      <c r="I16726" s="2">
        <v>0</v>
      </c>
      <c r="J16726" s="1">
        <v>46043.429328703707</v>
      </c>
    </row>
    <row r="16727" spans="1:10" x14ac:dyDescent="0.2">
      <c r="A16727" s="4" t="s">
        <v>1</v>
      </c>
      <c r="B16727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27" s="3" t="str">
        <f>HYPERLINK("https://otsuka-europe-crm.veevavault.com/ui/#object/sent_email__v/VBL000000016276", "SE-001400502")</f>
        <v>SE-001400502</v>
      </c>
      <c r="D16727" s="1" t="s">
        <v>0</v>
      </c>
      <c r="E16727" s="2">
        <v>0</v>
      </c>
      <c r="F16727" s="2">
        <v>0</v>
      </c>
      <c r="G16727" s="2">
        <v>0</v>
      </c>
      <c r="H16727" s="1" t="s">
        <v>0</v>
      </c>
      <c r="I16727" s="2">
        <v>0</v>
      </c>
      <c r="J16727" s="1">
        <v>46043.428854166668</v>
      </c>
    </row>
    <row r="16728" spans="1:10" x14ac:dyDescent="0.2">
      <c r="A16728" s="4" t="s">
        <v>1</v>
      </c>
      <c r="B16728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28" s="3" t="str">
        <f>HYPERLINK("https://otsuka-europe-crm.veevavault.com/ui/#object/sent_email__v/VBL000000016277", "SE-001400503")</f>
        <v>SE-001400503</v>
      </c>
      <c r="D16728" s="1" t="s">
        <v>0</v>
      </c>
      <c r="E16728" s="2">
        <v>0</v>
      </c>
      <c r="F16728" s="2">
        <v>0</v>
      </c>
      <c r="G16728" s="2">
        <v>0</v>
      </c>
      <c r="H16728" s="1" t="s">
        <v>0</v>
      </c>
      <c r="I16728" s="2">
        <v>0</v>
      </c>
      <c r="J16728" s="1">
        <v>46043.429155092592</v>
      </c>
    </row>
    <row r="16729" spans="1:10" x14ac:dyDescent="0.2">
      <c r="A16729" s="4" t="s">
        <v>1</v>
      </c>
      <c r="B16729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29" s="3" t="str">
        <f>HYPERLINK("https://otsuka-europe-crm.veevavault.com/ui/#object/sent_email__v/VBL000000016278", "SE-001400504")</f>
        <v>SE-001400504</v>
      </c>
      <c r="D16729" s="1">
        <v>46043.557974537034</v>
      </c>
      <c r="E16729" s="2">
        <v>1</v>
      </c>
      <c r="F16729" s="2">
        <v>2</v>
      </c>
      <c r="G16729" s="2">
        <v>0</v>
      </c>
      <c r="H16729" s="1" t="s">
        <v>0</v>
      </c>
      <c r="I16729" s="2">
        <v>0</v>
      </c>
      <c r="J16729" s="1">
        <v>46043.428831018522</v>
      </c>
    </row>
    <row r="16730" spans="1:10" x14ac:dyDescent="0.2">
      <c r="A16730" s="4" t="s">
        <v>1</v>
      </c>
      <c r="B16730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30" s="3" t="str">
        <f>HYPERLINK("https://otsuka-europe-crm.veevavault.com/ui/#object/sent_email__v/VBL000000016279", "SE-001400505")</f>
        <v>SE-001400505</v>
      </c>
      <c r="D16730" s="1" t="s">
        <v>0</v>
      </c>
      <c r="E16730" s="2">
        <v>0</v>
      </c>
      <c r="F16730" s="2">
        <v>0</v>
      </c>
      <c r="G16730" s="2">
        <v>0</v>
      </c>
      <c r="H16730" s="1" t="s">
        <v>0</v>
      </c>
      <c r="I16730" s="2">
        <v>0</v>
      </c>
      <c r="J16730" s="1">
        <v>46043.428842592592</v>
      </c>
    </row>
    <row r="16731" spans="1:10" x14ac:dyDescent="0.2">
      <c r="A16731" s="4" t="s">
        <v>1</v>
      </c>
      <c r="B16731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31" s="3" t="str">
        <f>HYPERLINK("https://otsuka-europe-crm.veevavault.com/ui/#object/sent_email__v/VBL000000016280", "SE-001400506")</f>
        <v>SE-001400506</v>
      </c>
      <c r="D16731" s="1">
        <v>46047.526643518519</v>
      </c>
      <c r="E16731" s="2">
        <v>1</v>
      </c>
      <c r="F16731" s="2">
        <v>2</v>
      </c>
      <c r="G16731" s="2">
        <v>0</v>
      </c>
      <c r="H16731" s="1" t="s">
        <v>0</v>
      </c>
      <c r="I16731" s="2">
        <v>0</v>
      </c>
      <c r="J16731" s="1">
        <v>46043.428854166668</v>
      </c>
    </row>
    <row r="16732" spans="1:10" x14ac:dyDescent="0.2">
      <c r="A16732" s="4" t="s">
        <v>1</v>
      </c>
      <c r="B16732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32" s="3" t="str">
        <f>HYPERLINK("https://otsuka-europe-crm.veevavault.com/ui/#object/sent_email__v/VBL000000016281", "SE-001400507")</f>
        <v>SE-001400507</v>
      </c>
      <c r="D16732" s="1" t="s">
        <v>0</v>
      </c>
      <c r="E16732" s="2">
        <v>0</v>
      </c>
      <c r="F16732" s="2">
        <v>0</v>
      </c>
      <c r="G16732" s="2">
        <v>0</v>
      </c>
      <c r="H16732" s="1" t="s">
        <v>0</v>
      </c>
      <c r="I16732" s="2">
        <v>0</v>
      </c>
      <c r="J16732" s="1">
        <v>46043.428935185184</v>
      </c>
    </row>
    <row r="16733" spans="1:10" x14ac:dyDescent="0.2">
      <c r="A16733" s="4" t="s">
        <v>1</v>
      </c>
      <c r="B16733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33" s="3" t="str">
        <f>HYPERLINK("https://otsuka-europe-crm.veevavault.com/ui/#object/sent_email__v/VBL000000016282", "SE-001400508")</f>
        <v>SE-001400508</v>
      </c>
      <c r="D16733" s="1" t="s">
        <v>0</v>
      </c>
      <c r="E16733" s="2">
        <v>0</v>
      </c>
      <c r="F16733" s="2">
        <v>0</v>
      </c>
      <c r="G16733" s="2">
        <v>0</v>
      </c>
      <c r="H16733" s="1" t="s">
        <v>0</v>
      </c>
      <c r="I16733" s="2">
        <v>0</v>
      </c>
      <c r="J16733" s="1">
        <v>46043.428923611114</v>
      </c>
    </row>
    <row r="16734" spans="1:10" x14ac:dyDescent="0.2">
      <c r="A16734" s="4" t="s">
        <v>1</v>
      </c>
      <c r="B16734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34" s="3" t="str">
        <f>HYPERLINK("https://otsuka-europe-crm.veevavault.com/ui/#object/sent_email__v/VBL000000016283", "SE-001400509")</f>
        <v>SE-001400509</v>
      </c>
      <c r="D16734" s="1" t="s">
        <v>0</v>
      </c>
      <c r="E16734" s="2">
        <v>0</v>
      </c>
      <c r="F16734" s="2">
        <v>0</v>
      </c>
      <c r="G16734" s="2">
        <v>0</v>
      </c>
      <c r="H16734" s="1" t="s">
        <v>0</v>
      </c>
      <c r="I16734" s="2">
        <v>0</v>
      </c>
      <c r="J16734" s="1">
        <v>46043.428946759261</v>
      </c>
    </row>
    <row r="16735" spans="1:10" x14ac:dyDescent="0.2">
      <c r="A16735" s="4" t="s">
        <v>1</v>
      </c>
      <c r="B16735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35" s="3" t="str">
        <f>HYPERLINK("https://otsuka-europe-crm.veevavault.com/ui/#object/sent_email__v/VBL000000016284", "SE-001400510")</f>
        <v>SE-001400510</v>
      </c>
      <c r="D16735" s="1">
        <v>46043.715833333335</v>
      </c>
      <c r="E16735" s="2">
        <v>1</v>
      </c>
      <c r="F16735" s="2">
        <v>1</v>
      </c>
      <c r="G16735" s="2">
        <v>0</v>
      </c>
      <c r="H16735" s="1" t="s">
        <v>0</v>
      </c>
      <c r="I16735" s="2">
        <v>0</v>
      </c>
      <c r="J16735" s="1">
        <v>46043.428935185184</v>
      </c>
    </row>
    <row r="16736" spans="1:10" x14ac:dyDescent="0.2">
      <c r="A16736" s="4" t="s">
        <v>1</v>
      </c>
      <c r="B16736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36" s="3" t="str">
        <f>HYPERLINK("https://otsuka-europe-crm.veevavault.com/ui/#object/sent_email__v/VBL000000016285", "SE-001400511")</f>
        <v>SE-001400511</v>
      </c>
      <c r="D16736" s="1">
        <v>46057.299872685187</v>
      </c>
      <c r="E16736" s="2">
        <v>1</v>
      </c>
      <c r="F16736" s="2">
        <v>2</v>
      </c>
      <c r="G16736" s="2">
        <v>0</v>
      </c>
      <c r="H16736" s="1" t="s">
        <v>0</v>
      </c>
      <c r="I16736" s="2">
        <v>0</v>
      </c>
      <c r="J16736" s="1">
        <v>46043.429155092592</v>
      </c>
    </row>
    <row r="16737" spans="1:10" x14ac:dyDescent="0.2">
      <c r="A16737" s="4" t="s">
        <v>1</v>
      </c>
      <c r="B16737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37" s="3" t="str">
        <f>HYPERLINK("https://otsuka-europe-crm.veevavault.com/ui/#object/sent_email__v/VBL000000016797", "SE-001401254")</f>
        <v>SE-001401254</v>
      </c>
      <c r="D16737" s="1" t="s">
        <v>0</v>
      </c>
      <c r="E16737" s="2">
        <v>0</v>
      </c>
      <c r="F16737" s="2">
        <v>0</v>
      </c>
      <c r="G16737" s="2">
        <v>0</v>
      </c>
      <c r="H16737" s="1" t="s">
        <v>0</v>
      </c>
      <c r="I16737" s="2">
        <v>0</v>
      </c>
      <c r="J16737" s="1">
        <v>46048.697523148148</v>
      </c>
    </row>
    <row r="16738" spans="1:10" x14ac:dyDescent="0.2">
      <c r="A16738" s="4" t="s">
        <v>1</v>
      </c>
      <c r="B16738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38" s="3" t="str">
        <f>HYPERLINK("https://otsuka-europe-crm.veevavault.com/ui/#object/sent_email__v/VBL000000016798", "SE-001401255")</f>
        <v>SE-001401255</v>
      </c>
      <c r="D16738" s="1" t="s">
        <v>0</v>
      </c>
      <c r="E16738" s="2">
        <v>0</v>
      </c>
      <c r="F16738" s="2">
        <v>0</v>
      </c>
      <c r="G16738" s="2">
        <v>0</v>
      </c>
      <c r="H16738" s="1" t="s">
        <v>0</v>
      </c>
      <c r="I16738" s="2">
        <v>0</v>
      </c>
      <c r="J16738" s="1">
        <v>46048.697523148148</v>
      </c>
    </row>
    <row r="16739" spans="1:10" x14ac:dyDescent="0.2">
      <c r="A16739" s="4" t="s">
        <v>1</v>
      </c>
      <c r="B16739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39" s="3" t="str">
        <f>HYPERLINK("https://otsuka-europe-crm.veevavault.com/ui/#object/sent_email__v/VBL000000016799", "SE-001401256")</f>
        <v>SE-001401256</v>
      </c>
      <c r="D16739" s="1" t="s">
        <v>0</v>
      </c>
      <c r="E16739" s="2">
        <v>0</v>
      </c>
      <c r="F16739" s="2">
        <v>0</v>
      </c>
      <c r="G16739" s="2">
        <v>0</v>
      </c>
      <c r="H16739" s="1" t="s">
        <v>0</v>
      </c>
      <c r="I16739" s="2">
        <v>0</v>
      </c>
      <c r="J16739" s="1">
        <v>46048.697523148148</v>
      </c>
    </row>
    <row r="16740" spans="1:10" x14ac:dyDescent="0.2">
      <c r="A16740" s="4" t="s">
        <v>1</v>
      </c>
      <c r="B16740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40" s="3" t="str">
        <f>HYPERLINK("https://otsuka-europe-crm.veevavault.com/ui/#object/sent_email__v/VBL000000016800", "SE-001401257")</f>
        <v>SE-001401257</v>
      </c>
      <c r="D16740" s="1" t="s">
        <v>0</v>
      </c>
      <c r="E16740" s="2">
        <v>0</v>
      </c>
      <c r="F16740" s="2">
        <v>0</v>
      </c>
      <c r="G16740" s="2">
        <v>0</v>
      </c>
      <c r="H16740" s="1" t="s">
        <v>0</v>
      </c>
      <c r="I16740" s="2">
        <v>0</v>
      </c>
      <c r="J16740" s="1">
        <v>46048.697523148148</v>
      </c>
    </row>
    <row r="16741" spans="1:10" x14ac:dyDescent="0.2">
      <c r="A16741" s="4" t="s">
        <v>1</v>
      </c>
      <c r="B16741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41" s="3" t="str">
        <f>HYPERLINK("https://otsuka-europe-crm.veevavault.com/ui/#object/sent_email__v/VBL000000016801", "SE-001401258")</f>
        <v>SE-001401258</v>
      </c>
      <c r="D16741" s="1" t="s">
        <v>0</v>
      </c>
      <c r="E16741" s="2">
        <v>0</v>
      </c>
      <c r="F16741" s="2">
        <v>0</v>
      </c>
      <c r="G16741" s="2">
        <v>0</v>
      </c>
      <c r="H16741" s="1" t="s">
        <v>0</v>
      </c>
      <c r="I16741" s="2">
        <v>0</v>
      </c>
      <c r="J16741" s="1">
        <v>46048.697523148148</v>
      </c>
    </row>
    <row r="16742" spans="1:10" x14ac:dyDescent="0.2">
      <c r="A16742" s="4" t="s">
        <v>1</v>
      </c>
      <c r="B16742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42" s="3" t="str">
        <f>HYPERLINK("https://otsuka-europe-crm.veevavault.com/ui/#object/sent_email__v/VBL000000016802", "SE-001401259")</f>
        <v>SE-001401259</v>
      </c>
      <c r="D16742" s="1" t="s">
        <v>0</v>
      </c>
      <c r="E16742" s="2">
        <v>0</v>
      </c>
      <c r="F16742" s="2">
        <v>0</v>
      </c>
      <c r="G16742" s="2">
        <v>0</v>
      </c>
      <c r="H16742" s="1" t="s">
        <v>0</v>
      </c>
      <c r="I16742" s="2">
        <v>0</v>
      </c>
      <c r="J16742" s="1">
        <v>46048.697523148148</v>
      </c>
    </row>
    <row r="16743" spans="1:10" x14ac:dyDescent="0.2">
      <c r="A16743" s="4" t="s">
        <v>1</v>
      </c>
      <c r="B16743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43" s="3" t="str">
        <f>HYPERLINK("https://otsuka-europe-crm.veevavault.com/ui/#object/sent_email__v/VBL000000016803", "SE-001401260")</f>
        <v>SE-001401260</v>
      </c>
      <c r="D16743" s="1" t="s">
        <v>0</v>
      </c>
      <c r="E16743" s="2">
        <v>0</v>
      </c>
      <c r="F16743" s="2">
        <v>0</v>
      </c>
      <c r="G16743" s="2">
        <v>0</v>
      </c>
      <c r="H16743" s="1" t="s">
        <v>0</v>
      </c>
      <c r="I16743" s="2">
        <v>0</v>
      </c>
      <c r="J16743" s="1">
        <v>46048.697523148148</v>
      </c>
    </row>
    <row r="16744" spans="1:10" x14ac:dyDescent="0.2">
      <c r="A16744" s="4" t="s">
        <v>1</v>
      </c>
      <c r="B16744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44" s="3" t="str">
        <f>HYPERLINK("https://otsuka-europe-crm.veevavault.com/ui/#object/sent_email__v/VBL000000016804", "SE-001401261")</f>
        <v>SE-001401261</v>
      </c>
      <c r="D16744" s="1" t="s">
        <v>0</v>
      </c>
      <c r="E16744" s="2">
        <v>0</v>
      </c>
      <c r="F16744" s="2">
        <v>0</v>
      </c>
      <c r="G16744" s="2">
        <v>0</v>
      </c>
      <c r="H16744" s="1" t="s">
        <v>0</v>
      </c>
      <c r="I16744" s="2">
        <v>0</v>
      </c>
      <c r="J16744" s="1">
        <v>46048.697523148148</v>
      </c>
    </row>
    <row r="16745" spans="1:10" x14ac:dyDescent="0.2">
      <c r="A16745" s="4" t="s">
        <v>1</v>
      </c>
      <c r="B16745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45" s="3" t="str">
        <f>HYPERLINK("https://otsuka-europe-crm.veevavault.com/ui/#object/sent_email__v/VBL000000016805", "SE-001401262")</f>
        <v>SE-001401262</v>
      </c>
      <c r="D16745" s="1" t="s">
        <v>0</v>
      </c>
      <c r="E16745" s="2">
        <v>0</v>
      </c>
      <c r="F16745" s="2">
        <v>0</v>
      </c>
      <c r="G16745" s="2">
        <v>0</v>
      </c>
      <c r="H16745" s="1" t="s">
        <v>0</v>
      </c>
      <c r="I16745" s="2">
        <v>0</v>
      </c>
      <c r="J16745" s="1">
        <v>46048.697523148148</v>
      </c>
    </row>
    <row r="16746" spans="1:10" x14ac:dyDescent="0.2">
      <c r="A16746" s="4" t="s">
        <v>1</v>
      </c>
      <c r="B16746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46" s="3" t="str">
        <f>HYPERLINK("https://otsuka-europe-crm.veevavault.com/ui/#object/sent_email__v/VBL000000016806", "SE-001401263")</f>
        <v>SE-001401263</v>
      </c>
      <c r="D16746" s="1" t="s">
        <v>0</v>
      </c>
      <c r="E16746" s="2">
        <v>0</v>
      </c>
      <c r="F16746" s="2">
        <v>0</v>
      </c>
      <c r="G16746" s="2">
        <v>0</v>
      </c>
      <c r="H16746" s="1" t="s">
        <v>0</v>
      </c>
      <c r="I16746" s="2">
        <v>0</v>
      </c>
      <c r="J16746" s="1">
        <v>46048.697523148148</v>
      </c>
    </row>
    <row r="16747" spans="1:10" x14ac:dyDescent="0.2">
      <c r="A16747" s="4" t="s">
        <v>1</v>
      </c>
      <c r="B16747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47" s="3" t="str">
        <f>HYPERLINK("https://otsuka-europe-crm.veevavault.com/ui/#object/sent_email__v/VBL000000016807", "SE-001401264")</f>
        <v>SE-001401264</v>
      </c>
      <c r="D16747" s="1" t="s">
        <v>0</v>
      </c>
      <c r="E16747" s="2">
        <v>0</v>
      </c>
      <c r="F16747" s="2">
        <v>0</v>
      </c>
      <c r="G16747" s="2">
        <v>0</v>
      </c>
      <c r="H16747" s="1" t="s">
        <v>0</v>
      </c>
      <c r="I16747" s="2">
        <v>0</v>
      </c>
      <c r="J16747" s="1">
        <v>46048.697523148148</v>
      </c>
    </row>
    <row r="16748" spans="1:10" x14ac:dyDescent="0.2">
      <c r="A16748" s="4" t="s">
        <v>1</v>
      </c>
      <c r="B16748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48" s="3" t="str">
        <f>HYPERLINK("https://otsuka-europe-crm.veevavault.com/ui/#object/sent_email__v/VBL000000016808", "SE-001401265")</f>
        <v>SE-001401265</v>
      </c>
      <c r="D16748" s="1" t="s">
        <v>0</v>
      </c>
      <c r="E16748" s="2">
        <v>0</v>
      </c>
      <c r="F16748" s="2">
        <v>0</v>
      </c>
      <c r="G16748" s="2">
        <v>0</v>
      </c>
      <c r="H16748" s="1" t="s">
        <v>0</v>
      </c>
      <c r="I16748" s="2">
        <v>0</v>
      </c>
      <c r="J16748" s="1">
        <v>46048.697523148148</v>
      </c>
    </row>
    <row r="16749" spans="1:10" x14ac:dyDescent="0.2">
      <c r="A16749" s="4" t="s">
        <v>1</v>
      </c>
      <c r="B16749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49" s="3" t="str">
        <f>HYPERLINK("https://otsuka-europe-crm.veevavault.com/ui/#object/sent_email__v/VBL000000016809", "SE-001401266")</f>
        <v>SE-001401266</v>
      </c>
      <c r="D16749" s="1" t="s">
        <v>0</v>
      </c>
      <c r="E16749" s="2">
        <v>0</v>
      </c>
      <c r="F16749" s="2">
        <v>0</v>
      </c>
      <c r="G16749" s="2">
        <v>0</v>
      </c>
      <c r="H16749" s="1" t="s">
        <v>0</v>
      </c>
      <c r="I16749" s="2">
        <v>0</v>
      </c>
      <c r="J16749" s="1">
        <v>46048.697523148148</v>
      </c>
    </row>
    <row r="16750" spans="1:10" x14ac:dyDescent="0.2">
      <c r="A16750" s="4" t="s">
        <v>1</v>
      </c>
      <c r="B16750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50" s="3" t="str">
        <f>HYPERLINK("https://otsuka-europe-crm.veevavault.com/ui/#object/sent_email__v/VBL000000016821", "SE-001401309")</f>
        <v>SE-001401309</v>
      </c>
      <c r="D16750" s="1" t="s">
        <v>0</v>
      </c>
      <c r="E16750" s="2">
        <v>0</v>
      </c>
      <c r="F16750" s="2">
        <v>0</v>
      </c>
      <c r="G16750" s="2">
        <v>0</v>
      </c>
      <c r="H16750" s="1" t="s">
        <v>0</v>
      </c>
      <c r="I16750" s="2">
        <v>0</v>
      </c>
      <c r="J16750" s="1">
        <v>46048.729849537034</v>
      </c>
    </row>
    <row r="16751" spans="1:10" x14ac:dyDescent="0.2">
      <c r="A16751" s="4" t="s">
        <v>1</v>
      </c>
      <c r="B16751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51" s="3" t="str">
        <f>HYPERLINK("https://otsuka-europe-crm.veevavault.com/ui/#object/sent_email__v/VBL000000016822", "SE-001401310")</f>
        <v>SE-001401310</v>
      </c>
      <c r="D16751" s="1">
        <v>46048.732199074075</v>
      </c>
      <c r="E16751" s="2">
        <v>1</v>
      </c>
      <c r="F16751" s="2">
        <v>1</v>
      </c>
      <c r="G16751" s="2">
        <v>0</v>
      </c>
      <c r="H16751" s="1" t="s">
        <v>0</v>
      </c>
      <c r="I16751" s="2">
        <v>0</v>
      </c>
      <c r="J16751" s="1">
        <v>46048.729826388888</v>
      </c>
    </row>
    <row r="16752" spans="1:10" x14ac:dyDescent="0.2">
      <c r="A16752" s="4" t="s">
        <v>1</v>
      </c>
      <c r="B16752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52" s="3" t="str">
        <f>HYPERLINK("https://otsuka-europe-crm.veevavault.com/ui/#object/sent_email__v/VBL000000016823", "SE-001401311")</f>
        <v>SE-001401311</v>
      </c>
      <c r="D16752" s="1" t="s">
        <v>0</v>
      </c>
      <c r="E16752" s="2">
        <v>0</v>
      </c>
      <c r="F16752" s="2">
        <v>0</v>
      </c>
      <c r="G16752" s="2">
        <v>0</v>
      </c>
      <c r="H16752" s="1" t="s">
        <v>0</v>
      </c>
      <c r="I16752" s="2">
        <v>0</v>
      </c>
      <c r="J16752" s="1">
        <v>46048.729849537034</v>
      </c>
    </row>
    <row r="16753" spans="1:10" x14ac:dyDescent="0.2">
      <c r="A16753" s="4" t="s">
        <v>1</v>
      </c>
      <c r="B16753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53" s="3" t="str">
        <f>HYPERLINK("https://otsuka-europe-crm.veevavault.com/ui/#object/sent_email__v/VBL000000016824", "SE-001401312")</f>
        <v>SE-001401312</v>
      </c>
      <c r="D16753" s="1" t="s">
        <v>0</v>
      </c>
      <c r="E16753" s="2">
        <v>0</v>
      </c>
      <c r="F16753" s="2">
        <v>0</v>
      </c>
      <c r="G16753" s="2">
        <v>0</v>
      </c>
      <c r="H16753" s="1" t="s">
        <v>0</v>
      </c>
      <c r="I16753" s="2">
        <v>0</v>
      </c>
      <c r="J16753" s="1">
        <v>46048.729826388888</v>
      </c>
    </row>
    <row r="16754" spans="1:10" x14ac:dyDescent="0.2">
      <c r="A16754" s="4" t="s">
        <v>1</v>
      </c>
      <c r="B16754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54" s="3" t="str">
        <f>HYPERLINK("https://otsuka-europe-crm.veevavault.com/ui/#object/sent_email__v/VBL000000016825", "SE-001401313")</f>
        <v>SE-001401313</v>
      </c>
      <c r="D16754" s="1" t="s">
        <v>0</v>
      </c>
      <c r="E16754" s="2">
        <v>0</v>
      </c>
      <c r="F16754" s="2">
        <v>0</v>
      </c>
      <c r="G16754" s="2">
        <v>0</v>
      </c>
      <c r="H16754" s="1" t="s">
        <v>0</v>
      </c>
      <c r="I16754" s="2">
        <v>0</v>
      </c>
      <c r="J16754" s="1">
        <v>46048.729849537034</v>
      </c>
    </row>
    <row r="16755" spans="1:10" x14ac:dyDescent="0.2">
      <c r="A16755" s="4" t="s">
        <v>1</v>
      </c>
      <c r="B16755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55" s="3" t="str">
        <f>HYPERLINK("https://otsuka-europe-crm.veevavault.com/ui/#object/sent_email__v/VBL000000016826", "SE-001401314")</f>
        <v>SE-001401314</v>
      </c>
      <c r="D16755" s="1" t="s">
        <v>0</v>
      </c>
      <c r="E16755" s="2">
        <v>0</v>
      </c>
      <c r="F16755" s="2">
        <v>0</v>
      </c>
      <c r="G16755" s="2">
        <v>0</v>
      </c>
      <c r="H16755" s="1" t="s">
        <v>0</v>
      </c>
      <c r="I16755" s="2">
        <v>0</v>
      </c>
      <c r="J16755" s="1">
        <v>46048.729826388888</v>
      </c>
    </row>
    <row r="16756" spans="1:10" x14ac:dyDescent="0.2">
      <c r="A16756" s="4" t="s">
        <v>1</v>
      </c>
      <c r="B16756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56" s="3" t="str">
        <f>HYPERLINK("https://otsuka-europe-crm.veevavault.com/ui/#object/sent_email__v/VBL000000016827", "SE-001401315")</f>
        <v>SE-001401315</v>
      </c>
      <c r="D16756" s="1" t="s">
        <v>0</v>
      </c>
      <c r="E16756" s="2">
        <v>0</v>
      </c>
      <c r="F16756" s="2">
        <v>0</v>
      </c>
      <c r="G16756" s="2">
        <v>0</v>
      </c>
      <c r="H16756" s="1" t="s">
        <v>0</v>
      </c>
      <c r="I16756" s="2">
        <v>0</v>
      </c>
      <c r="J16756" s="1">
        <v>46048.729849537034</v>
      </c>
    </row>
    <row r="16757" spans="1:10" x14ac:dyDescent="0.2">
      <c r="A16757" s="4" t="s">
        <v>1</v>
      </c>
      <c r="B16757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57" s="3" t="str">
        <f>HYPERLINK("https://otsuka-europe-crm.veevavault.com/ui/#object/sent_email__v/VBL000000016828", "SE-001401316")</f>
        <v>SE-001401316</v>
      </c>
      <c r="D16757" s="1" t="s">
        <v>0</v>
      </c>
      <c r="E16757" s="2">
        <v>0</v>
      </c>
      <c r="F16757" s="2">
        <v>0</v>
      </c>
      <c r="G16757" s="2">
        <v>0</v>
      </c>
      <c r="H16757" s="1" t="s">
        <v>0</v>
      </c>
      <c r="I16757" s="2">
        <v>0</v>
      </c>
      <c r="J16757" s="1">
        <v>46048.729849537034</v>
      </c>
    </row>
    <row r="16758" spans="1:10" x14ac:dyDescent="0.2">
      <c r="A16758" s="4" t="s">
        <v>1</v>
      </c>
      <c r="B16758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58" s="3" t="str">
        <f>HYPERLINK("https://otsuka-europe-crm.veevavault.com/ui/#object/sent_email__v/VBL000000016829", "SE-001401317")</f>
        <v>SE-001401317</v>
      </c>
      <c r="D16758" s="1" t="s">
        <v>0</v>
      </c>
      <c r="E16758" s="2">
        <v>0</v>
      </c>
      <c r="F16758" s="2">
        <v>0</v>
      </c>
      <c r="G16758" s="2">
        <v>0</v>
      </c>
      <c r="H16758" s="1" t="s">
        <v>0</v>
      </c>
      <c r="I16758" s="2">
        <v>0</v>
      </c>
      <c r="J16758" s="1">
        <v>46048.729849537034</v>
      </c>
    </row>
    <row r="16759" spans="1:10" x14ac:dyDescent="0.2">
      <c r="A16759" s="4" t="s">
        <v>1</v>
      </c>
      <c r="B16759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59" s="3" t="str">
        <f>HYPERLINK("https://otsuka-europe-crm.veevavault.com/ui/#object/sent_email__v/VBL000000016830", "SE-001401318")</f>
        <v>SE-001401318</v>
      </c>
      <c r="D16759" s="1" t="s">
        <v>0</v>
      </c>
      <c r="E16759" s="2">
        <v>0</v>
      </c>
      <c r="F16759" s="2">
        <v>0</v>
      </c>
      <c r="G16759" s="2">
        <v>0</v>
      </c>
      <c r="H16759" s="1" t="s">
        <v>0</v>
      </c>
      <c r="I16759" s="2">
        <v>0</v>
      </c>
      <c r="J16759" s="1">
        <v>46048.729826388888</v>
      </c>
    </row>
    <row r="16760" spans="1:10" x14ac:dyDescent="0.2">
      <c r="A16760" s="4" t="s">
        <v>1</v>
      </c>
      <c r="B16760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60" s="3" t="str">
        <f>HYPERLINK("https://otsuka-europe-crm.veevavault.com/ui/#object/sent_email__v/VBL000000016831", "SE-001401319")</f>
        <v>SE-001401319</v>
      </c>
      <c r="D16760" s="1" t="s">
        <v>0</v>
      </c>
      <c r="E16760" s="2">
        <v>0</v>
      </c>
      <c r="F16760" s="2">
        <v>0</v>
      </c>
      <c r="G16760" s="2">
        <v>0</v>
      </c>
      <c r="H16760" s="1" t="s">
        <v>0</v>
      </c>
      <c r="I16760" s="2">
        <v>0</v>
      </c>
      <c r="J16760" s="1">
        <v>46048.729837962965</v>
      </c>
    </row>
    <row r="16761" spans="1:10" x14ac:dyDescent="0.2">
      <c r="A16761" s="4" t="s">
        <v>1</v>
      </c>
      <c r="B16761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61" s="3" t="str">
        <f>HYPERLINK("https://otsuka-europe-crm.veevavault.com/ui/#object/sent_email__v/VBL000000016832", "SE-001401320")</f>
        <v>SE-001401320</v>
      </c>
      <c r="D16761" s="1" t="s">
        <v>0</v>
      </c>
      <c r="E16761" s="2">
        <v>0</v>
      </c>
      <c r="F16761" s="2">
        <v>0</v>
      </c>
      <c r="G16761" s="2">
        <v>0</v>
      </c>
      <c r="H16761" s="1" t="s">
        <v>0</v>
      </c>
      <c r="I16761" s="2">
        <v>0</v>
      </c>
      <c r="J16761" s="1">
        <v>46048.729826388888</v>
      </c>
    </row>
    <row r="16762" spans="1:10" x14ac:dyDescent="0.2">
      <c r="A16762" s="4" t="s">
        <v>1</v>
      </c>
      <c r="B16762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62" s="3" t="str">
        <f>HYPERLINK("https://otsuka-europe-crm.veevavault.com/ui/#object/sent_email__v/VBL000000015554", "SE-001401355")</f>
        <v>SE-001401355</v>
      </c>
      <c r="D16762" s="1" t="s">
        <v>0</v>
      </c>
      <c r="E16762" s="2">
        <v>0</v>
      </c>
      <c r="F16762" s="2">
        <v>0</v>
      </c>
      <c r="G16762" s="2">
        <v>0</v>
      </c>
      <c r="H16762" s="1" t="s">
        <v>0</v>
      </c>
      <c r="I16762" s="2">
        <v>0</v>
      </c>
      <c r="J16762" s="1">
        <v>46048.737037037034</v>
      </c>
    </row>
    <row r="16763" spans="1:10" x14ac:dyDescent="0.2">
      <c r="A16763" s="4" t="s">
        <v>1</v>
      </c>
      <c r="B16763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63" s="3" t="str">
        <f>HYPERLINK("https://otsuka-europe-crm.veevavault.com/ui/#object/sent_email__v/VBL000000015555", "SE-001401356")</f>
        <v>SE-001401356</v>
      </c>
      <c r="D16763" s="1" t="s">
        <v>0</v>
      </c>
      <c r="E16763" s="2">
        <v>0</v>
      </c>
      <c r="F16763" s="2">
        <v>0</v>
      </c>
      <c r="G16763" s="2">
        <v>0</v>
      </c>
      <c r="H16763" s="1" t="s">
        <v>0</v>
      </c>
      <c r="I16763" s="2">
        <v>0</v>
      </c>
      <c r="J16763" s="1">
        <v>46048.737037037034</v>
      </c>
    </row>
    <row r="16764" spans="1:10" x14ac:dyDescent="0.2">
      <c r="A16764" s="4" t="s">
        <v>1</v>
      </c>
      <c r="B16764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64" s="3" t="str">
        <f>HYPERLINK("https://otsuka-europe-crm.veevavault.com/ui/#object/sent_email__v/VBL000000015556", "SE-001401357")</f>
        <v>SE-001401357</v>
      </c>
      <c r="D16764" s="1" t="s">
        <v>0</v>
      </c>
      <c r="E16764" s="2">
        <v>0</v>
      </c>
      <c r="F16764" s="2">
        <v>0</v>
      </c>
      <c r="G16764" s="2">
        <v>0</v>
      </c>
      <c r="H16764" s="1" t="s">
        <v>0</v>
      </c>
      <c r="I16764" s="2">
        <v>0</v>
      </c>
      <c r="J16764" s="1">
        <v>46048.737060185187</v>
      </c>
    </row>
    <row r="16765" spans="1:10" x14ac:dyDescent="0.2">
      <c r="A16765" s="4" t="s">
        <v>1</v>
      </c>
      <c r="B16765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65" s="3" t="str">
        <f>HYPERLINK("https://otsuka-europe-crm.veevavault.com/ui/#object/sent_email__v/VBL000000015557", "SE-001401358")</f>
        <v>SE-001401358</v>
      </c>
      <c r="D16765" s="1" t="s">
        <v>0</v>
      </c>
      <c r="E16765" s="2">
        <v>0</v>
      </c>
      <c r="F16765" s="2">
        <v>0</v>
      </c>
      <c r="G16765" s="2">
        <v>0</v>
      </c>
      <c r="H16765" s="1" t="s">
        <v>0</v>
      </c>
      <c r="I16765" s="2">
        <v>0</v>
      </c>
      <c r="J16765" s="1">
        <v>46048.737037037034</v>
      </c>
    </row>
    <row r="16766" spans="1:10" x14ac:dyDescent="0.2">
      <c r="A16766" s="4" t="s">
        <v>1</v>
      </c>
      <c r="B16766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66" s="3" t="str">
        <f>HYPERLINK("https://otsuka-europe-crm.veevavault.com/ui/#object/sent_email__v/VBL000000015558", "SE-001401359")</f>
        <v>SE-001401359</v>
      </c>
      <c r="D16766" s="1" t="s">
        <v>0</v>
      </c>
      <c r="E16766" s="2">
        <v>0</v>
      </c>
      <c r="F16766" s="2">
        <v>0</v>
      </c>
      <c r="G16766" s="2">
        <v>0</v>
      </c>
      <c r="H16766" s="1" t="s">
        <v>0</v>
      </c>
      <c r="I16766" s="2">
        <v>0</v>
      </c>
      <c r="J16766" s="1">
        <v>46048.737060185187</v>
      </c>
    </row>
    <row r="16767" spans="1:10" x14ac:dyDescent="0.2">
      <c r="A16767" s="4" t="s">
        <v>1</v>
      </c>
      <c r="B16767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67" s="3" t="str">
        <f>HYPERLINK("https://otsuka-europe-crm.veevavault.com/ui/#object/sent_email__v/VBL000000015559", "SE-001401360")</f>
        <v>SE-001401360</v>
      </c>
      <c r="D16767" s="1" t="s">
        <v>0</v>
      </c>
      <c r="E16767" s="2">
        <v>0</v>
      </c>
      <c r="F16767" s="2">
        <v>0</v>
      </c>
      <c r="G16767" s="2">
        <v>0</v>
      </c>
      <c r="H16767" s="1" t="s">
        <v>0</v>
      </c>
      <c r="I16767" s="2">
        <v>0</v>
      </c>
      <c r="J16767" s="1">
        <v>46048.737060185187</v>
      </c>
    </row>
    <row r="16768" spans="1:10" x14ac:dyDescent="0.2">
      <c r="A16768" s="4" t="s">
        <v>1</v>
      </c>
      <c r="B16768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68" s="3" t="str">
        <f>HYPERLINK("https://otsuka-europe-crm.veevavault.com/ui/#object/sent_email__v/VBL000000015560", "SE-001401361")</f>
        <v>SE-001401361</v>
      </c>
      <c r="D16768" s="1" t="s">
        <v>0</v>
      </c>
      <c r="E16768" s="2">
        <v>0</v>
      </c>
      <c r="F16768" s="2">
        <v>0</v>
      </c>
      <c r="G16768" s="2">
        <v>0</v>
      </c>
      <c r="H16768" s="1" t="s">
        <v>0</v>
      </c>
      <c r="I16768" s="2">
        <v>0</v>
      </c>
      <c r="J16768" s="1">
        <v>46048.737060185187</v>
      </c>
    </row>
    <row r="16769" spans="1:10" x14ac:dyDescent="0.2">
      <c r="A16769" s="4" t="s">
        <v>1</v>
      </c>
      <c r="B16769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69" s="3" t="str">
        <f>HYPERLINK("https://otsuka-europe-crm.veevavault.com/ui/#object/sent_email__v/VBL000000015561", "SE-001401362")</f>
        <v>SE-001401362</v>
      </c>
      <c r="D16769" s="1" t="s">
        <v>0</v>
      </c>
      <c r="E16769" s="2">
        <v>0</v>
      </c>
      <c r="F16769" s="2">
        <v>0</v>
      </c>
      <c r="G16769" s="2">
        <v>0</v>
      </c>
      <c r="H16769" s="1" t="s">
        <v>0</v>
      </c>
      <c r="I16769" s="2">
        <v>0</v>
      </c>
      <c r="J16769" s="1">
        <v>46048.737060185187</v>
      </c>
    </row>
    <row r="16770" spans="1:10" x14ac:dyDescent="0.2">
      <c r="A16770" s="4" t="s">
        <v>1</v>
      </c>
      <c r="B16770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70" s="3" t="str">
        <f>HYPERLINK("https://otsuka-europe-crm.veevavault.com/ui/#object/sent_email__v/VBL000000015562", "SE-001401363")</f>
        <v>SE-001401363</v>
      </c>
      <c r="D16770" s="1" t="s">
        <v>0</v>
      </c>
      <c r="E16770" s="2">
        <v>0</v>
      </c>
      <c r="F16770" s="2">
        <v>0</v>
      </c>
      <c r="G16770" s="2">
        <v>0</v>
      </c>
      <c r="H16770" s="1" t="s">
        <v>0</v>
      </c>
      <c r="I16770" s="2">
        <v>0</v>
      </c>
      <c r="J16770" s="1">
        <v>46048.737060185187</v>
      </c>
    </row>
    <row r="16771" spans="1:10" x14ac:dyDescent="0.2">
      <c r="A16771" s="4" t="s">
        <v>1</v>
      </c>
      <c r="B16771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71" s="3" t="str">
        <f>HYPERLINK("https://otsuka-europe-crm.veevavault.com/ui/#object/sent_email__v/VBL000000015563", "SE-001401364")</f>
        <v>SE-001401364</v>
      </c>
      <c r="D16771" s="1" t="s">
        <v>0</v>
      </c>
      <c r="E16771" s="2">
        <v>0</v>
      </c>
      <c r="F16771" s="2">
        <v>0</v>
      </c>
      <c r="G16771" s="2">
        <v>0</v>
      </c>
      <c r="H16771" s="1" t="s">
        <v>0</v>
      </c>
      <c r="I16771" s="2">
        <v>0</v>
      </c>
      <c r="J16771" s="1">
        <v>46048.737060185187</v>
      </c>
    </row>
    <row r="16772" spans="1:10" x14ac:dyDescent="0.2">
      <c r="A16772" s="4" t="s">
        <v>1</v>
      </c>
      <c r="B16772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72" s="3" t="str">
        <f>HYPERLINK("https://otsuka-europe-crm.veevavault.com/ui/#object/sent_email__v/VBL000000015564", "SE-001401365")</f>
        <v>SE-001401365</v>
      </c>
      <c r="D16772" s="1" t="s">
        <v>0</v>
      </c>
      <c r="E16772" s="2">
        <v>0</v>
      </c>
      <c r="F16772" s="2">
        <v>0</v>
      </c>
      <c r="G16772" s="2">
        <v>0</v>
      </c>
      <c r="H16772" s="1" t="s">
        <v>0</v>
      </c>
      <c r="I16772" s="2">
        <v>0</v>
      </c>
      <c r="J16772" s="1">
        <v>46048.737060185187</v>
      </c>
    </row>
    <row r="16773" spans="1:10" x14ac:dyDescent="0.2">
      <c r="A16773" s="4" t="s">
        <v>1</v>
      </c>
      <c r="B16773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73" s="3" t="str">
        <f>HYPERLINK("https://otsuka-europe-crm.veevavault.com/ui/#object/sent_email__v/VBL000000015565", "SE-001401366")</f>
        <v>SE-001401366</v>
      </c>
      <c r="D16773" s="1" t="s">
        <v>0</v>
      </c>
      <c r="E16773" s="2">
        <v>0</v>
      </c>
      <c r="F16773" s="2">
        <v>0</v>
      </c>
      <c r="G16773" s="2">
        <v>0</v>
      </c>
      <c r="H16773" s="1" t="s">
        <v>0</v>
      </c>
      <c r="I16773" s="2">
        <v>0</v>
      </c>
      <c r="J16773" s="1">
        <v>46048.737060185187</v>
      </c>
    </row>
    <row r="16774" spans="1:10" x14ac:dyDescent="0.2">
      <c r="A16774" s="4" t="s">
        <v>1</v>
      </c>
      <c r="B16774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74" s="3" t="str">
        <f>HYPERLINK("https://otsuka-europe-crm.veevavault.com/ui/#object/sent_email__v/VBL000000015580", "SE-001401381")</f>
        <v>SE-001401381</v>
      </c>
      <c r="D16774" s="1" t="s">
        <v>0</v>
      </c>
      <c r="E16774" s="2">
        <v>0</v>
      </c>
      <c r="F16774" s="2">
        <v>0</v>
      </c>
      <c r="G16774" s="2">
        <v>0</v>
      </c>
      <c r="H16774" s="1" t="s">
        <v>0</v>
      </c>
      <c r="I16774" s="2">
        <v>0</v>
      </c>
      <c r="J16774" s="1">
        <v>46048.741932870369</v>
      </c>
    </row>
    <row r="16775" spans="1:10" x14ac:dyDescent="0.2">
      <c r="A16775" s="4" t="s">
        <v>1</v>
      </c>
      <c r="B16775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75" s="3" t="str">
        <f>HYPERLINK("https://otsuka-europe-crm.veevavault.com/ui/#object/sent_email__v/VBL000000015581", "SE-001401382")</f>
        <v>SE-001401382</v>
      </c>
      <c r="D16775" s="1" t="s">
        <v>0</v>
      </c>
      <c r="E16775" s="2">
        <v>0</v>
      </c>
      <c r="F16775" s="2">
        <v>0</v>
      </c>
      <c r="G16775" s="2">
        <v>0</v>
      </c>
      <c r="H16775" s="1" t="s">
        <v>0</v>
      </c>
      <c r="I16775" s="2">
        <v>0</v>
      </c>
      <c r="J16775" s="1">
        <v>46048.741944444446</v>
      </c>
    </row>
    <row r="16776" spans="1:10" x14ac:dyDescent="0.2">
      <c r="A16776" s="4" t="s">
        <v>1</v>
      </c>
      <c r="B16776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76" s="3" t="str">
        <f>HYPERLINK("https://otsuka-europe-crm.veevavault.com/ui/#object/sent_email__v/VBL000000015811", "SE-001401685")</f>
        <v>SE-001401685</v>
      </c>
      <c r="D16776" s="1">
        <v>46049.969988425924</v>
      </c>
      <c r="E16776" s="2">
        <v>1</v>
      </c>
      <c r="F16776" s="2">
        <v>1</v>
      </c>
      <c r="G16776" s="2">
        <v>0</v>
      </c>
      <c r="H16776" s="1" t="s">
        <v>0</v>
      </c>
      <c r="I16776" s="2">
        <v>0</v>
      </c>
      <c r="J16776" s="1">
        <v>46049.374328703707</v>
      </c>
    </row>
    <row r="16777" spans="1:10" x14ac:dyDescent="0.2">
      <c r="A16777" s="4" t="s">
        <v>1</v>
      </c>
      <c r="B16777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77" s="3" t="str">
        <f>HYPERLINK("https://otsuka-europe-crm.veevavault.com/ui/#object/sent_email__v/VBL000000015812", "SE-001401686")</f>
        <v>SE-001401686</v>
      </c>
      <c r="D16777" s="1">
        <v>46051.399814814817</v>
      </c>
      <c r="E16777" s="2">
        <v>1</v>
      </c>
      <c r="F16777" s="2">
        <v>2</v>
      </c>
      <c r="G16777" s="2">
        <v>0</v>
      </c>
      <c r="H16777" s="1" t="s">
        <v>0</v>
      </c>
      <c r="I16777" s="2">
        <v>0</v>
      </c>
      <c r="J16777" s="1">
        <v>46049.374374999999</v>
      </c>
    </row>
    <row r="16778" spans="1:10" x14ac:dyDescent="0.2">
      <c r="A16778" s="4" t="s">
        <v>1</v>
      </c>
      <c r="B16778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78" s="3" t="str">
        <f>HYPERLINK("https://otsuka-europe-crm.veevavault.com/ui/#object/sent_email__v/VBL000000015813", "SE-001401687")</f>
        <v>SE-001401687</v>
      </c>
      <c r="D16778" s="1">
        <v>46050.95103009259</v>
      </c>
      <c r="E16778" s="2">
        <v>1</v>
      </c>
      <c r="F16778" s="2">
        <v>2</v>
      </c>
      <c r="G16778" s="2">
        <v>0</v>
      </c>
      <c r="H16778" s="1" t="s">
        <v>0</v>
      </c>
      <c r="I16778" s="2">
        <v>0</v>
      </c>
      <c r="J16778" s="1">
        <v>46049.374386574076</v>
      </c>
    </row>
    <row r="16779" spans="1:10" x14ac:dyDescent="0.2">
      <c r="A16779" s="4" t="s">
        <v>1</v>
      </c>
      <c r="B16779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79" s="3" t="str">
        <f>HYPERLINK("https://otsuka-europe-crm.veevavault.com/ui/#object/sent_email__v/VBL000000015814", "SE-001401688")</f>
        <v>SE-001401688</v>
      </c>
      <c r="D16779" s="1">
        <v>46066.229895833334</v>
      </c>
      <c r="E16779" s="2">
        <v>1</v>
      </c>
      <c r="F16779" s="2">
        <v>3</v>
      </c>
      <c r="G16779" s="2">
        <v>1</v>
      </c>
      <c r="H16779" s="1">
        <v>46049.58902777778</v>
      </c>
      <c r="I16779" s="2">
        <v>1</v>
      </c>
      <c r="J16779" s="1">
        <v>46049.374432870369</v>
      </c>
    </row>
    <row r="16780" spans="1:10" x14ac:dyDescent="0.2">
      <c r="A16780" s="4" t="s">
        <v>1</v>
      </c>
      <c r="B16780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80" s="3" t="str">
        <f>HYPERLINK("https://otsuka-europe-crm.veevavault.com/ui/#object/sent_email__v/VBL000000015815", "SE-001401689")</f>
        <v>SE-001401689</v>
      </c>
      <c r="D16780" s="1">
        <v>46049.934270833335</v>
      </c>
      <c r="E16780" s="2">
        <v>1</v>
      </c>
      <c r="F16780" s="2">
        <v>1</v>
      </c>
      <c r="G16780" s="2">
        <v>0</v>
      </c>
      <c r="H16780" s="1" t="s">
        <v>0</v>
      </c>
      <c r="I16780" s="2">
        <v>0</v>
      </c>
      <c r="J16780" s="1">
        <v>46049.374479166669</v>
      </c>
    </row>
    <row r="16781" spans="1:10" x14ac:dyDescent="0.2">
      <c r="A16781" s="4" t="s">
        <v>1</v>
      </c>
      <c r="B16781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81" s="3" t="str">
        <f>HYPERLINK("https://otsuka-europe-crm.veevavault.com/ui/#object/sent_email__v/VBL000000015816", "SE-001401690")</f>
        <v>SE-001401690</v>
      </c>
      <c r="D16781" s="1" t="s">
        <v>0</v>
      </c>
      <c r="E16781" s="2">
        <v>0</v>
      </c>
      <c r="F16781" s="2">
        <v>0</v>
      </c>
      <c r="G16781" s="2">
        <v>0</v>
      </c>
      <c r="H16781" s="1" t="s">
        <v>0</v>
      </c>
      <c r="I16781" s="2">
        <v>0</v>
      </c>
      <c r="J16781" s="1">
        <v>46049.374525462961</v>
      </c>
    </row>
    <row r="16782" spans="1:10" x14ac:dyDescent="0.2">
      <c r="A16782" s="4" t="s">
        <v>1</v>
      </c>
      <c r="B16782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82" s="3" t="str">
        <f>HYPERLINK("https://otsuka-europe-crm.veevavault.com/ui/#object/sent_email__v/VBL000000015817", "SE-001401691")</f>
        <v>SE-001401691</v>
      </c>
      <c r="D16782" s="1">
        <v>46056.44222222222</v>
      </c>
      <c r="E16782" s="2">
        <v>1</v>
      </c>
      <c r="F16782" s="2">
        <v>2</v>
      </c>
      <c r="G16782" s="2">
        <v>0</v>
      </c>
      <c r="H16782" s="1" t="s">
        <v>0</v>
      </c>
      <c r="I16782" s="2">
        <v>0</v>
      </c>
      <c r="J16782" s="1">
        <v>46049.374560185184</v>
      </c>
    </row>
    <row r="16783" spans="1:10" x14ac:dyDescent="0.2">
      <c r="A16783" s="4" t="s">
        <v>1</v>
      </c>
      <c r="B16783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83" s="3" t="str">
        <f>HYPERLINK("https://otsuka-europe-crm.veevavault.com/ui/#object/sent_email__v/VBL000000015818", "SE-001401692")</f>
        <v>SE-001401692</v>
      </c>
      <c r="D16783" s="1">
        <v>46049.392743055556</v>
      </c>
      <c r="E16783" s="2">
        <v>1</v>
      </c>
      <c r="F16783" s="2">
        <v>1</v>
      </c>
      <c r="G16783" s="2">
        <v>0</v>
      </c>
      <c r="H16783" s="1" t="s">
        <v>0</v>
      </c>
      <c r="I16783" s="2">
        <v>0</v>
      </c>
      <c r="J16783" s="1">
        <v>46049.374606481484</v>
      </c>
    </row>
    <row r="16784" spans="1:10" x14ac:dyDescent="0.2">
      <c r="A16784" s="4" t="s">
        <v>1</v>
      </c>
      <c r="B16784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84" s="3" t="str">
        <f>HYPERLINK("https://otsuka-europe-crm.veevavault.com/ui/#object/sent_email__v/VBL000000015819", "SE-001401693")</f>
        <v>SE-001401693</v>
      </c>
      <c r="D16784" s="1" t="s">
        <v>0</v>
      </c>
      <c r="E16784" s="2">
        <v>0</v>
      </c>
      <c r="F16784" s="2">
        <v>0</v>
      </c>
      <c r="G16784" s="2">
        <v>0</v>
      </c>
      <c r="H16784" s="1" t="s">
        <v>0</v>
      </c>
      <c r="I16784" s="2">
        <v>0</v>
      </c>
      <c r="J16784" s="1">
        <v>46049.374652777777</v>
      </c>
    </row>
    <row r="16785" spans="1:10" x14ac:dyDescent="0.2">
      <c r="A16785" s="4" t="s">
        <v>1</v>
      </c>
      <c r="B16785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85" s="3" t="str">
        <f>HYPERLINK("https://otsuka-europe-crm.veevavault.com/ui/#object/sent_email__v/VBL000000015820", "SE-001401694")</f>
        <v>SE-001401694</v>
      </c>
      <c r="D16785" s="1" t="s">
        <v>0</v>
      </c>
      <c r="E16785" s="2">
        <v>0</v>
      </c>
      <c r="F16785" s="2">
        <v>0</v>
      </c>
      <c r="G16785" s="2">
        <v>0</v>
      </c>
      <c r="H16785" s="1" t="s">
        <v>0</v>
      </c>
      <c r="I16785" s="2">
        <v>0</v>
      </c>
      <c r="J16785" s="1">
        <v>46049.374710648146</v>
      </c>
    </row>
    <row r="16786" spans="1:10" x14ac:dyDescent="0.2">
      <c r="A16786" s="4" t="s">
        <v>1</v>
      </c>
      <c r="B16786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86" s="3" t="str">
        <f>HYPERLINK("https://otsuka-europe-crm.veevavault.com/ui/#object/sent_email__v/VBL000000015821", "SE-001401695")</f>
        <v>SE-001401695</v>
      </c>
      <c r="D16786" s="1">
        <v>46049.93304398148</v>
      </c>
      <c r="E16786" s="2">
        <v>1</v>
      </c>
      <c r="F16786" s="2">
        <v>2</v>
      </c>
      <c r="G16786" s="2">
        <v>0</v>
      </c>
      <c r="H16786" s="1" t="s">
        <v>0</v>
      </c>
      <c r="I16786" s="2">
        <v>0</v>
      </c>
      <c r="J16786" s="1">
        <v>46049.374756944446</v>
      </c>
    </row>
    <row r="16787" spans="1:10" x14ac:dyDescent="0.2">
      <c r="A16787" s="4" t="s">
        <v>1</v>
      </c>
      <c r="B16787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87" s="3" t="str">
        <f>HYPERLINK("https://otsuka-europe-crm.veevavault.com/ui/#object/sent_email__v/VBL000000015822", "SE-001401696")</f>
        <v>SE-001401696</v>
      </c>
      <c r="D16787" s="1">
        <v>46049.375405092593</v>
      </c>
      <c r="E16787" s="2">
        <v>1</v>
      </c>
      <c r="F16787" s="2">
        <v>1</v>
      </c>
      <c r="G16787" s="2">
        <v>0</v>
      </c>
      <c r="H16787" s="1" t="s">
        <v>0</v>
      </c>
      <c r="I16787" s="2">
        <v>0</v>
      </c>
      <c r="J16787" s="1">
        <v>46049.374814814815</v>
      </c>
    </row>
    <row r="16788" spans="1:10" x14ac:dyDescent="0.2">
      <c r="A16788" s="4" t="s">
        <v>1</v>
      </c>
      <c r="B16788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88" s="3" t="str">
        <f>HYPERLINK("https://otsuka-europe-crm.veevavault.com/ui/#object/sent_email__v/VBL000000015823", "SE-001401697")</f>
        <v>SE-001401697</v>
      </c>
      <c r="D16788" s="1" t="s">
        <v>0</v>
      </c>
      <c r="E16788" s="2">
        <v>0</v>
      </c>
      <c r="F16788" s="2">
        <v>0</v>
      </c>
      <c r="G16788" s="2">
        <v>0</v>
      </c>
      <c r="H16788" s="1" t="s">
        <v>0</v>
      </c>
      <c r="I16788" s="2">
        <v>0</v>
      </c>
      <c r="J16788" s="1">
        <v>46049.374849537038</v>
      </c>
    </row>
    <row r="16789" spans="1:10" x14ac:dyDescent="0.2">
      <c r="A16789" s="4" t="s">
        <v>1</v>
      </c>
      <c r="B16789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89" s="3" t="str">
        <f>HYPERLINK("https://otsuka-europe-crm.veevavault.com/ui/#object/sent_email__v/VBL000000015824", "SE-001401698")</f>
        <v>SE-001401698</v>
      </c>
      <c r="D16789" s="1" t="s">
        <v>0</v>
      </c>
      <c r="E16789" s="2">
        <v>0</v>
      </c>
      <c r="F16789" s="2">
        <v>0</v>
      </c>
      <c r="G16789" s="2">
        <v>0</v>
      </c>
      <c r="H16789" s="1" t="s">
        <v>0</v>
      </c>
      <c r="I16789" s="2">
        <v>0</v>
      </c>
      <c r="J16789" s="1">
        <v>46049.374895833331</v>
      </c>
    </row>
    <row r="16790" spans="1:10" x14ac:dyDescent="0.2">
      <c r="A16790" s="4" t="s">
        <v>1</v>
      </c>
      <c r="B16790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90" s="3" t="str">
        <f>HYPERLINK("https://otsuka-europe-crm.veevavault.com/ui/#object/sent_email__v/VBL000000015825", "SE-001401699")</f>
        <v>SE-001401699</v>
      </c>
      <c r="D16790" s="1">
        <v>46052.225023148145</v>
      </c>
      <c r="E16790" s="2">
        <v>1</v>
      </c>
      <c r="F16790" s="2">
        <v>2</v>
      </c>
      <c r="G16790" s="2">
        <v>0</v>
      </c>
      <c r="H16790" s="1" t="s">
        <v>0</v>
      </c>
      <c r="I16790" s="2">
        <v>0</v>
      </c>
      <c r="J16790" s="1">
        <v>46049.374942129631</v>
      </c>
    </row>
    <row r="16791" spans="1:10" x14ac:dyDescent="0.2">
      <c r="A16791" s="4" t="s">
        <v>1</v>
      </c>
      <c r="B16791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91" s="3" t="str">
        <f>HYPERLINK("https://otsuka-europe-crm.veevavault.com/ui/#object/sent_email__v/VBL000000015826", "SE-001401700")</f>
        <v>SE-001401700</v>
      </c>
      <c r="D16791" s="1">
        <v>46049.684664351851</v>
      </c>
      <c r="E16791" s="2">
        <v>1</v>
      </c>
      <c r="F16791" s="2">
        <v>1</v>
      </c>
      <c r="G16791" s="2">
        <v>0</v>
      </c>
      <c r="H16791" s="1" t="s">
        <v>0</v>
      </c>
      <c r="I16791" s="2">
        <v>0</v>
      </c>
      <c r="J16791" s="1">
        <v>46049.374976851854</v>
      </c>
    </row>
    <row r="16792" spans="1:10" x14ac:dyDescent="0.2">
      <c r="A16792" s="4" t="s">
        <v>1</v>
      </c>
      <c r="B16792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92" s="3" t="str">
        <f>HYPERLINK("https://otsuka-europe-crm.veevavault.com/ui/#object/sent_email__v/VBL000000015827", "SE-001401701")</f>
        <v>SE-001401701</v>
      </c>
      <c r="D16792" s="1">
        <v>46050.390115740738</v>
      </c>
      <c r="E16792" s="2">
        <v>1</v>
      </c>
      <c r="F16792" s="2">
        <v>2</v>
      </c>
      <c r="G16792" s="2">
        <v>0</v>
      </c>
      <c r="H16792" s="1" t="s">
        <v>0</v>
      </c>
      <c r="I16792" s="2">
        <v>0</v>
      </c>
      <c r="J16792" s="1">
        <v>46049.375023148146</v>
      </c>
    </row>
    <row r="16793" spans="1:10" x14ac:dyDescent="0.2">
      <c r="A16793" s="4" t="s">
        <v>1</v>
      </c>
      <c r="B16793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93" s="3" t="str">
        <f>HYPERLINK("https://otsuka-europe-crm.veevavault.com/ui/#object/sent_email__v/VBL000000015828", "SE-001401702")</f>
        <v>SE-001401702</v>
      </c>
      <c r="D16793" s="1">
        <v>46049.649444444447</v>
      </c>
      <c r="E16793" s="2">
        <v>1</v>
      </c>
      <c r="F16793" s="2">
        <v>4</v>
      </c>
      <c r="G16793" s="2">
        <v>0</v>
      </c>
      <c r="H16793" s="1" t="s">
        <v>0</v>
      </c>
      <c r="I16793" s="2">
        <v>0</v>
      </c>
      <c r="J16793" s="1">
        <v>46049.375081018516</v>
      </c>
    </row>
    <row r="16794" spans="1:10" x14ac:dyDescent="0.2">
      <c r="A16794" s="4" t="s">
        <v>1</v>
      </c>
      <c r="B16794" s="3" t="str">
        <f>HYPERLINK("https://otsuka-europe-crm.veevavault.com/ui/#object/approved_document__v/V5O00000000J013", "LUP - Video 8 10 cuestiones - Glucocorticoides_reuma")</f>
        <v>LUP - Video 8 10 cuestiones - Glucocorticoides_reuma</v>
      </c>
      <c r="C16794" s="3" t="str">
        <f>HYPERLINK("https://otsuka-europe-crm.veevavault.com/ui/#object/sent_email__v/VBL000000015829", "SE-001401703")</f>
        <v>SE-001401703</v>
      </c>
      <c r="D16794" s="1">
        <v>46049.447870370372</v>
      </c>
      <c r="E16794" s="2">
        <v>1</v>
      </c>
      <c r="F16794" s="2">
        <v>1</v>
      </c>
      <c r="G16794" s="2">
        <v>0</v>
      </c>
      <c r="H16794" s="1" t="s">
        <v>0</v>
      </c>
      <c r="I16794" s="2">
        <v>0</v>
      </c>
      <c r="J16794" s="1">
        <v>46049.375127314815</v>
      </c>
    </row>
    <row r="16795" spans="1:10" x14ac:dyDescent="0.2">
      <c r="A16795" s="4" t="s">
        <v>1</v>
      </c>
      <c r="B1679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795" s="3" t="str">
        <f>HYPERLINK("https://otsuka-europe-crm.veevavault.com/ui/#object/sent_email__v/VBLZ025E82GU5ZP", "SE-000276831")</f>
        <v>SE-000276831</v>
      </c>
      <c r="D16795" s="1" t="s">
        <v>0</v>
      </c>
      <c r="E16795" s="2">
        <v>0</v>
      </c>
      <c r="F16795" s="2">
        <v>0</v>
      </c>
      <c r="G16795" s="2">
        <v>0</v>
      </c>
      <c r="H16795" s="1" t="s">
        <v>0</v>
      </c>
      <c r="I16795" s="2">
        <v>0</v>
      </c>
      <c r="J16795" s="1">
        <v>45919.426747685182</v>
      </c>
    </row>
    <row r="16796" spans="1:10" x14ac:dyDescent="0.2">
      <c r="A16796" s="4" t="s">
        <v>1</v>
      </c>
      <c r="B1679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796" s="3" t="str">
        <f>HYPERLINK("https://otsuka-europe-crm.veevavault.com/ui/#object/sent_email__v/VBLZ025E82GU5ZQ", "SE-000276832")</f>
        <v>SE-000276832</v>
      </c>
      <c r="D16796" s="1" t="s">
        <v>0</v>
      </c>
      <c r="E16796" s="2">
        <v>0</v>
      </c>
      <c r="F16796" s="2">
        <v>0</v>
      </c>
      <c r="G16796" s="2">
        <v>0</v>
      </c>
      <c r="H16796" s="1" t="s">
        <v>0</v>
      </c>
      <c r="I16796" s="2">
        <v>0</v>
      </c>
      <c r="J16796" s="1">
        <v>45919.426620370374</v>
      </c>
    </row>
    <row r="16797" spans="1:10" x14ac:dyDescent="0.2">
      <c r="A16797" s="4" t="s">
        <v>1</v>
      </c>
      <c r="B1679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797" s="3" t="str">
        <f>HYPERLINK("https://otsuka-europe-crm.veevavault.com/ui/#object/sent_email__v/VBLZ025E82GU5ZR", "SE-000276833")</f>
        <v>SE-000276833</v>
      </c>
      <c r="D16797" s="1" t="s">
        <v>0</v>
      </c>
      <c r="E16797" s="2">
        <v>0</v>
      </c>
      <c r="F16797" s="2">
        <v>0</v>
      </c>
      <c r="G16797" s="2">
        <v>0</v>
      </c>
      <c r="H16797" s="1" t="s">
        <v>0</v>
      </c>
      <c r="I16797" s="2">
        <v>0</v>
      </c>
      <c r="J16797" s="1">
        <v>45919.426759259259</v>
      </c>
    </row>
    <row r="16798" spans="1:10" x14ac:dyDescent="0.2">
      <c r="A16798" s="4" t="s">
        <v>1</v>
      </c>
      <c r="B1679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798" s="3" t="str">
        <f>HYPERLINK("https://otsuka-europe-crm.veevavault.com/ui/#object/sent_email__v/VBLZ025E82GU5ZS", "SE-000276834")</f>
        <v>SE-000276834</v>
      </c>
      <c r="D16798" s="1">
        <v>45920.471909722219</v>
      </c>
      <c r="E16798" s="2">
        <v>1</v>
      </c>
      <c r="F16798" s="2">
        <v>1</v>
      </c>
      <c r="G16798" s="2">
        <v>0</v>
      </c>
      <c r="H16798" s="1" t="s">
        <v>0</v>
      </c>
      <c r="I16798" s="2">
        <v>0</v>
      </c>
      <c r="J16798" s="1">
        <v>45919.42664351852</v>
      </c>
    </row>
    <row r="16799" spans="1:10" x14ac:dyDescent="0.2">
      <c r="A16799" s="4" t="s">
        <v>1</v>
      </c>
      <c r="B1679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799" s="3" t="str">
        <f>HYPERLINK("https://otsuka-europe-crm.veevavault.com/ui/#object/sent_email__v/VBLZ025E82GU5ZT", "SE-000276835")</f>
        <v>SE-000276835</v>
      </c>
      <c r="D16799" s="1" t="s">
        <v>0</v>
      </c>
      <c r="E16799" s="2">
        <v>0</v>
      </c>
      <c r="F16799" s="2">
        <v>0</v>
      </c>
      <c r="G16799" s="2">
        <v>0</v>
      </c>
      <c r="H16799" s="1" t="s">
        <v>0</v>
      </c>
      <c r="I16799" s="2">
        <v>0</v>
      </c>
      <c r="J16799" s="1">
        <v>45919.426782407405</v>
      </c>
    </row>
    <row r="16800" spans="1:10" x14ac:dyDescent="0.2">
      <c r="A16800" s="4" t="s">
        <v>1</v>
      </c>
      <c r="B1680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00" s="3" t="str">
        <f>HYPERLINK("https://otsuka-europe-crm.veevavault.com/ui/#object/sent_email__v/VBLZ025E82GU5ZU", "SE-000276836")</f>
        <v>SE-000276836</v>
      </c>
      <c r="D16800" s="1" t="s">
        <v>0</v>
      </c>
      <c r="E16800" s="2">
        <v>0</v>
      </c>
      <c r="F16800" s="2">
        <v>0</v>
      </c>
      <c r="G16800" s="2">
        <v>0</v>
      </c>
      <c r="H16800" s="1" t="s">
        <v>0</v>
      </c>
      <c r="I16800" s="2">
        <v>0</v>
      </c>
      <c r="J16800" s="1">
        <v>45919.426793981482</v>
      </c>
    </row>
    <row r="16801" spans="1:10" x14ac:dyDescent="0.2">
      <c r="A16801" s="4" t="s">
        <v>1</v>
      </c>
      <c r="B1680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01" s="3" t="str">
        <f>HYPERLINK("https://otsuka-europe-crm.veevavault.com/ui/#object/sent_email__v/VBLZ025E82GU5ZV", "SE-000276837")</f>
        <v>SE-000276837</v>
      </c>
      <c r="D16801" s="1" t="s">
        <v>0</v>
      </c>
      <c r="E16801" s="2">
        <v>0</v>
      </c>
      <c r="F16801" s="2">
        <v>0</v>
      </c>
      <c r="G16801" s="2">
        <v>0</v>
      </c>
      <c r="H16801" s="1" t="s">
        <v>0</v>
      </c>
      <c r="I16801" s="2">
        <v>0</v>
      </c>
      <c r="J16801" s="1">
        <v>45919.42664351852</v>
      </c>
    </row>
    <row r="16802" spans="1:10" x14ac:dyDescent="0.2">
      <c r="A16802" s="4" t="s">
        <v>1</v>
      </c>
      <c r="B1680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02" s="3" t="str">
        <f>HYPERLINK("https://otsuka-europe-crm.veevavault.com/ui/#object/sent_email__v/VBLZ025E82GU5ZW", "SE-000276838")</f>
        <v>SE-000276838</v>
      </c>
      <c r="D16802" s="1" t="s">
        <v>0</v>
      </c>
      <c r="E16802" s="2">
        <v>0</v>
      </c>
      <c r="F16802" s="2">
        <v>0</v>
      </c>
      <c r="G16802" s="2">
        <v>0</v>
      </c>
      <c r="H16802" s="1" t="s">
        <v>0</v>
      </c>
      <c r="I16802" s="2">
        <v>0</v>
      </c>
      <c r="J16802" s="1">
        <v>45919.426793981482</v>
      </c>
    </row>
    <row r="16803" spans="1:10" x14ac:dyDescent="0.2">
      <c r="A16803" s="4" t="s">
        <v>1</v>
      </c>
      <c r="B1680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03" s="3" t="str">
        <f>HYPERLINK("https://otsuka-europe-crm.veevavault.com/ui/#object/sent_email__v/VBLZ025E82GU5ZX", "SE-000276839")</f>
        <v>SE-000276839</v>
      </c>
      <c r="D16803" s="1" t="s">
        <v>0</v>
      </c>
      <c r="E16803" s="2">
        <v>0</v>
      </c>
      <c r="F16803" s="2">
        <v>0</v>
      </c>
      <c r="G16803" s="2">
        <v>0</v>
      </c>
      <c r="H16803" s="1" t="s">
        <v>0</v>
      </c>
      <c r="I16803" s="2">
        <v>0</v>
      </c>
      <c r="J16803" s="1">
        <v>45919.426631944443</v>
      </c>
    </row>
    <row r="16804" spans="1:10" x14ac:dyDescent="0.2">
      <c r="A16804" s="4" t="s">
        <v>1</v>
      </c>
      <c r="B1680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04" s="3" t="str">
        <f>HYPERLINK("https://otsuka-europe-crm.veevavault.com/ui/#object/sent_email__v/VBLZ025E82GU5ZY", "SE-000276840")</f>
        <v>SE-000276840</v>
      </c>
      <c r="D16804" s="1" t="s">
        <v>0</v>
      </c>
      <c r="E16804" s="2">
        <v>0</v>
      </c>
      <c r="F16804" s="2">
        <v>0</v>
      </c>
      <c r="G16804" s="2">
        <v>0</v>
      </c>
      <c r="H16804" s="1" t="s">
        <v>0</v>
      </c>
      <c r="I16804" s="2">
        <v>0</v>
      </c>
      <c r="J16804" s="1">
        <v>45919.426747685182</v>
      </c>
    </row>
    <row r="16805" spans="1:10" x14ac:dyDescent="0.2">
      <c r="A16805" s="4" t="s">
        <v>1</v>
      </c>
      <c r="B1680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05" s="3" t="str">
        <f>HYPERLINK("https://otsuka-europe-crm.veevavault.com/ui/#object/sent_email__v/VBLZ025E82GU5ZZ", "SE-000276841")</f>
        <v>SE-000276841</v>
      </c>
      <c r="D16805" s="1" t="s">
        <v>0</v>
      </c>
      <c r="E16805" s="2">
        <v>0</v>
      </c>
      <c r="F16805" s="2">
        <v>0</v>
      </c>
      <c r="G16805" s="2">
        <v>0</v>
      </c>
      <c r="H16805" s="1" t="s">
        <v>0</v>
      </c>
      <c r="I16805" s="2">
        <v>0</v>
      </c>
      <c r="J16805" s="1">
        <v>45919.426608796297</v>
      </c>
    </row>
    <row r="16806" spans="1:10" x14ac:dyDescent="0.2">
      <c r="A16806" s="4" t="s">
        <v>1</v>
      </c>
      <c r="B1680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06" s="3" t="str">
        <f>HYPERLINK("https://otsuka-europe-crm.veevavault.com/ui/#object/sent_email__v/VBLZ025E82GU600", "SE-000276842")</f>
        <v>SE-000276842</v>
      </c>
      <c r="D16806" s="1" t="s">
        <v>0</v>
      </c>
      <c r="E16806" s="2">
        <v>0</v>
      </c>
      <c r="F16806" s="2">
        <v>0</v>
      </c>
      <c r="G16806" s="2">
        <v>0</v>
      </c>
      <c r="H16806" s="1" t="s">
        <v>0</v>
      </c>
      <c r="I16806" s="2">
        <v>0</v>
      </c>
      <c r="J16806" s="1">
        <v>45919.426759259259</v>
      </c>
    </row>
    <row r="16807" spans="1:10" x14ac:dyDescent="0.2">
      <c r="A16807" s="4" t="s">
        <v>1</v>
      </c>
      <c r="B1680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07" s="3" t="str">
        <f>HYPERLINK("https://otsuka-europe-crm.veevavault.com/ui/#object/sent_email__v/VBLZ025E82GU601", "SE-000276843")</f>
        <v>SE-000276843</v>
      </c>
      <c r="D16807" s="1" t="s">
        <v>0</v>
      </c>
      <c r="E16807" s="2">
        <v>0</v>
      </c>
      <c r="F16807" s="2">
        <v>0</v>
      </c>
      <c r="G16807" s="2">
        <v>0</v>
      </c>
      <c r="H16807" s="1" t="s">
        <v>0</v>
      </c>
      <c r="I16807" s="2">
        <v>0</v>
      </c>
      <c r="J16807" s="1">
        <v>45919.426620370374</v>
      </c>
    </row>
    <row r="16808" spans="1:10" x14ac:dyDescent="0.2">
      <c r="A16808" s="4" t="s">
        <v>1</v>
      </c>
      <c r="B1680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08" s="3" t="str">
        <f>HYPERLINK("https://otsuka-europe-crm.veevavault.com/ui/#object/sent_email__v/VBLZ025E82GU602", "SE-000276844")</f>
        <v>SE-000276844</v>
      </c>
      <c r="D16808" s="1" t="s">
        <v>0</v>
      </c>
      <c r="E16808" s="2">
        <v>0</v>
      </c>
      <c r="F16808" s="2">
        <v>0</v>
      </c>
      <c r="G16808" s="2">
        <v>0</v>
      </c>
      <c r="H16808" s="1" t="s">
        <v>0</v>
      </c>
      <c r="I16808" s="2">
        <v>0</v>
      </c>
      <c r="J16808" s="1">
        <v>45919.426724537036</v>
      </c>
    </row>
    <row r="16809" spans="1:10" x14ac:dyDescent="0.2">
      <c r="A16809" s="4" t="s">
        <v>1</v>
      </c>
      <c r="B1680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09" s="3" t="str">
        <f>HYPERLINK("https://otsuka-europe-crm.veevavault.com/ui/#object/sent_email__v/VBLZ025E82GU603", "SE-000276845")</f>
        <v>SE-000276845</v>
      </c>
      <c r="D16809" s="1" t="s">
        <v>0</v>
      </c>
      <c r="E16809" s="2">
        <v>0</v>
      </c>
      <c r="F16809" s="2">
        <v>0</v>
      </c>
      <c r="G16809" s="2">
        <v>0</v>
      </c>
      <c r="H16809" s="1" t="s">
        <v>0</v>
      </c>
      <c r="I16809" s="2">
        <v>0</v>
      </c>
      <c r="J16809" s="1">
        <v>45919.426585648151</v>
      </c>
    </row>
    <row r="16810" spans="1:10" x14ac:dyDescent="0.2">
      <c r="A16810" s="4" t="s">
        <v>1</v>
      </c>
      <c r="B1681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10" s="3" t="str">
        <f>HYPERLINK("https://otsuka-europe-crm.veevavault.com/ui/#object/sent_email__v/VBLZ025E82GU604", "SE-000276846")</f>
        <v>SE-000276846</v>
      </c>
      <c r="D16810" s="1" t="s">
        <v>0</v>
      </c>
      <c r="E16810" s="2">
        <v>0</v>
      </c>
      <c r="F16810" s="2">
        <v>0</v>
      </c>
      <c r="G16810" s="2">
        <v>0</v>
      </c>
      <c r="H16810" s="1" t="s">
        <v>0</v>
      </c>
      <c r="I16810" s="2">
        <v>0</v>
      </c>
      <c r="J16810" s="1">
        <v>45919.426712962966</v>
      </c>
    </row>
    <row r="16811" spans="1:10" x14ac:dyDescent="0.2">
      <c r="A16811" s="4" t="s">
        <v>1</v>
      </c>
      <c r="B1681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11" s="3" t="str">
        <f>HYPERLINK("https://otsuka-europe-crm.veevavault.com/ui/#object/sent_email__v/VBLZ025E82GU605", "SE-000276847")</f>
        <v>SE-000276847</v>
      </c>
      <c r="D16811" s="1">
        <v>45924.89943287037</v>
      </c>
      <c r="E16811" s="2">
        <v>1</v>
      </c>
      <c r="F16811" s="2">
        <v>1</v>
      </c>
      <c r="G16811" s="2">
        <v>0</v>
      </c>
      <c r="H16811" s="1" t="s">
        <v>0</v>
      </c>
      <c r="I16811" s="2">
        <v>0</v>
      </c>
      <c r="J16811" s="1">
        <v>45919.426574074074</v>
      </c>
    </row>
    <row r="16812" spans="1:10" x14ac:dyDescent="0.2">
      <c r="A16812" s="4" t="s">
        <v>1</v>
      </c>
      <c r="B1681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12" s="3" t="str">
        <f>HYPERLINK("https://otsuka-europe-crm.veevavault.com/ui/#object/sent_email__v/VBLZ025E82GU606", "SE-000276848")</f>
        <v>SE-000276848</v>
      </c>
      <c r="D16812" s="1" t="s">
        <v>0</v>
      </c>
      <c r="E16812" s="2">
        <v>0</v>
      </c>
      <c r="F16812" s="2">
        <v>0</v>
      </c>
      <c r="G16812" s="2">
        <v>0</v>
      </c>
      <c r="H16812" s="1" t="s">
        <v>0</v>
      </c>
      <c r="I16812" s="2">
        <v>0</v>
      </c>
      <c r="J16812" s="1">
        <v>45919.426724537036</v>
      </c>
    </row>
    <row r="16813" spans="1:10" x14ac:dyDescent="0.2">
      <c r="A16813" s="4" t="s">
        <v>1</v>
      </c>
      <c r="B1681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13" s="3" t="str">
        <f>HYPERLINK("https://otsuka-europe-crm.veevavault.com/ui/#object/sent_email__v/VBLZ025E82GU607", "SE-000276849")</f>
        <v>SE-000276849</v>
      </c>
      <c r="D16813" s="1" t="s">
        <v>0</v>
      </c>
      <c r="E16813" s="2">
        <v>0</v>
      </c>
      <c r="F16813" s="2">
        <v>0</v>
      </c>
      <c r="G16813" s="2">
        <v>0</v>
      </c>
      <c r="H16813" s="1" t="s">
        <v>0</v>
      </c>
      <c r="I16813" s="2">
        <v>0</v>
      </c>
      <c r="J16813" s="1">
        <v>45919.426608796297</v>
      </c>
    </row>
    <row r="16814" spans="1:10" x14ac:dyDescent="0.2">
      <c r="A16814" s="4" t="s">
        <v>1</v>
      </c>
      <c r="B1681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14" s="3" t="str">
        <f>HYPERLINK("https://otsuka-europe-crm.veevavault.com/ui/#object/sent_email__v/VBLZ025E82GU608", "SE-000276850")</f>
        <v>SE-000276850</v>
      </c>
      <c r="D16814" s="1" t="s">
        <v>0</v>
      </c>
      <c r="E16814" s="2">
        <v>0</v>
      </c>
      <c r="F16814" s="2">
        <v>0</v>
      </c>
      <c r="G16814" s="2">
        <v>0</v>
      </c>
      <c r="H16814" s="1" t="s">
        <v>0</v>
      </c>
      <c r="I16814" s="2">
        <v>0</v>
      </c>
      <c r="J16814" s="1">
        <v>45919.426736111112</v>
      </c>
    </row>
    <row r="16815" spans="1:10" x14ac:dyDescent="0.2">
      <c r="A16815" s="4" t="s">
        <v>1</v>
      </c>
      <c r="B1681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15" s="3" t="str">
        <f>HYPERLINK("https://otsuka-europe-crm.veevavault.com/ui/#object/sent_email__v/VBLZ025E82GU609", "SE-000276851")</f>
        <v>SE-000276851</v>
      </c>
      <c r="D16815" s="1" t="s">
        <v>0</v>
      </c>
      <c r="E16815" s="2">
        <v>0</v>
      </c>
      <c r="F16815" s="2">
        <v>0</v>
      </c>
      <c r="G16815" s="2">
        <v>0</v>
      </c>
      <c r="H16815" s="1" t="s">
        <v>0</v>
      </c>
      <c r="I16815" s="2">
        <v>0</v>
      </c>
      <c r="J16815" s="1">
        <v>45919.426585648151</v>
      </c>
    </row>
    <row r="16816" spans="1:10" x14ac:dyDescent="0.2">
      <c r="A16816" s="4" t="s">
        <v>1</v>
      </c>
      <c r="B1681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16" s="3" t="str">
        <f>HYPERLINK("https://otsuka-europe-crm.veevavault.com/ui/#object/sent_email__v/VBLZ025E82GU60A", "SE-000276852")</f>
        <v>SE-000276852</v>
      </c>
      <c r="D16816" s="1">
        <v>45924.93378472222</v>
      </c>
      <c r="E16816" s="2">
        <v>1</v>
      </c>
      <c r="F16816" s="2">
        <v>2</v>
      </c>
      <c r="G16816" s="2">
        <v>0</v>
      </c>
      <c r="H16816" s="1" t="s">
        <v>0</v>
      </c>
      <c r="I16816" s="2">
        <v>0</v>
      </c>
      <c r="J16816" s="1">
        <v>45919.426828703705</v>
      </c>
    </row>
    <row r="16817" spans="1:10" x14ac:dyDescent="0.2">
      <c r="A16817" s="4" t="s">
        <v>1</v>
      </c>
      <c r="B1681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17" s="3" t="str">
        <f>HYPERLINK("https://otsuka-europe-crm.veevavault.com/ui/#object/sent_email__v/VBLZ025E82GU60B", "SE-000276853")</f>
        <v>SE-000276853</v>
      </c>
      <c r="D16817" s="1" t="s">
        <v>0</v>
      </c>
      <c r="E16817" s="2">
        <v>0</v>
      </c>
      <c r="F16817" s="2">
        <v>0</v>
      </c>
      <c r="G16817" s="2">
        <v>0</v>
      </c>
      <c r="H16817" s="1" t="s">
        <v>0</v>
      </c>
      <c r="I16817" s="2">
        <v>0</v>
      </c>
      <c r="J16817" s="1">
        <v>45919.426689814813</v>
      </c>
    </row>
    <row r="16818" spans="1:10" x14ac:dyDescent="0.2">
      <c r="A16818" s="4" t="s">
        <v>1</v>
      </c>
      <c r="B1681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18" s="3" t="str">
        <f>HYPERLINK("https://otsuka-europe-crm.veevavault.com/ui/#object/sent_email__v/VBLZ025E82GU60C", "SE-000276854")</f>
        <v>SE-000276854</v>
      </c>
      <c r="D16818" s="1" t="s">
        <v>0</v>
      </c>
      <c r="E16818" s="2">
        <v>0</v>
      </c>
      <c r="F16818" s="2">
        <v>0</v>
      </c>
      <c r="G16818" s="2">
        <v>0</v>
      </c>
      <c r="H16818" s="1" t="s">
        <v>0</v>
      </c>
      <c r="I16818" s="2">
        <v>0</v>
      </c>
      <c r="J16818" s="1">
        <v>45919.426701388889</v>
      </c>
    </row>
    <row r="16819" spans="1:10" x14ac:dyDescent="0.2">
      <c r="A16819" s="4" t="s">
        <v>1</v>
      </c>
      <c r="B1681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19" s="3" t="str">
        <f>HYPERLINK("https://otsuka-europe-crm.veevavault.com/ui/#object/sent_email__v/VBLZ025E82GU60D", "SE-000276855")</f>
        <v>SE-000276855</v>
      </c>
      <c r="D16819" s="1" t="s">
        <v>0</v>
      </c>
      <c r="E16819" s="2">
        <v>0</v>
      </c>
      <c r="F16819" s="2">
        <v>0</v>
      </c>
      <c r="G16819" s="2">
        <v>0</v>
      </c>
      <c r="H16819" s="1" t="s">
        <v>0</v>
      </c>
      <c r="I16819" s="2">
        <v>0</v>
      </c>
      <c r="J16819" s="1">
        <v>45919.426840277774</v>
      </c>
    </row>
    <row r="16820" spans="1:10" x14ac:dyDescent="0.2">
      <c r="A16820" s="4" t="s">
        <v>1</v>
      </c>
      <c r="B1682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20" s="3" t="str">
        <f>HYPERLINK("https://otsuka-europe-crm.veevavault.com/ui/#object/sent_email__v/VBLZ025E82GU60E", "SE-000276856")</f>
        <v>SE-000276856</v>
      </c>
      <c r="D16820" s="1" t="s">
        <v>0</v>
      </c>
      <c r="E16820" s="2">
        <v>0</v>
      </c>
      <c r="F16820" s="2">
        <v>0</v>
      </c>
      <c r="G16820" s="2">
        <v>0</v>
      </c>
      <c r="H16820" s="1" t="s">
        <v>0</v>
      </c>
      <c r="I16820" s="2">
        <v>0</v>
      </c>
      <c r="J16820" s="1">
        <v>45919.426666666666</v>
      </c>
    </row>
    <row r="16821" spans="1:10" x14ac:dyDescent="0.2">
      <c r="A16821" s="4" t="s">
        <v>1</v>
      </c>
      <c r="B1682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21" s="3" t="str">
        <f>HYPERLINK("https://otsuka-europe-crm.veevavault.com/ui/#object/sent_email__v/VBLZ025E82GU60F", "SE-000276857")</f>
        <v>SE-000276857</v>
      </c>
      <c r="D16821" s="1">
        <v>45921.381388888891</v>
      </c>
      <c r="E16821" s="2">
        <v>1</v>
      </c>
      <c r="F16821" s="2">
        <v>1</v>
      </c>
      <c r="G16821" s="2">
        <v>0</v>
      </c>
      <c r="H16821" s="1" t="s">
        <v>0</v>
      </c>
      <c r="I16821" s="2">
        <v>0</v>
      </c>
      <c r="J16821" s="1">
        <v>45919.426805555559</v>
      </c>
    </row>
    <row r="16822" spans="1:10" x14ac:dyDescent="0.2">
      <c r="A16822" s="4" t="s">
        <v>1</v>
      </c>
      <c r="B1682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22" s="3" t="str">
        <f>HYPERLINK("https://otsuka-europe-crm.veevavault.com/ui/#object/sent_email__v/VBLZ025E82GU60G", "SE-000276858")</f>
        <v>SE-000276858</v>
      </c>
      <c r="D16822" s="1" t="s">
        <v>0</v>
      </c>
      <c r="E16822" s="2">
        <v>0</v>
      </c>
      <c r="F16822" s="2">
        <v>0</v>
      </c>
      <c r="G16822" s="2">
        <v>0</v>
      </c>
      <c r="H16822" s="1" t="s">
        <v>0</v>
      </c>
      <c r="I16822" s="2">
        <v>0</v>
      </c>
      <c r="J16822" s="1">
        <v>45919.426655092589</v>
      </c>
    </row>
    <row r="16823" spans="1:10" x14ac:dyDescent="0.2">
      <c r="A16823" s="4" t="s">
        <v>1</v>
      </c>
      <c r="B1682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23" s="3" t="str">
        <f>HYPERLINK("https://otsuka-europe-crm.veevavault.com/ui/#object/sent_email__v/VBLZ025E82GU60H", "SE-000276859")</f>
        <v>SE-000276859</v>
      </c>
      <c r="D16823" s="1" t="s">
        <v>0</v>
      </c>
      <c r="E16823" s="2">
        <v>0</v>
      </c>
      <c r="F16823" s="2">
        <v>0</v>
      </c>
      <c r="G16823" s="2">
        <v>0</v>
      </c>
      <c r="H16823" s="1" t="s">
        <v>0</v>
      </c>
      <c r="I16823" s="2">
        <v>0</v>
      </c>
      <c r="J16823" s="1">
        <v>45919.426805555559</v>
      </c>
    </row>
    <row r="16824" spans="1:10" x14ac:dyDescent="0.2">
      <c r="A16824" s="4" t="s">
        <v>1</v>
      </c>
      <c r="B1682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24" s="3" t="str">
        <f>HYPERLINK("https://otsuka-europe-crm.veevavault.com/ui/#object/sent_email__v/VBLZ025E82GU60I", "SE-000276860")</f>
        <v>SE-000276860</v>
      </c>
      <c r="D16824" s="1" t="s">
        <v>0</v>
      </c>
      <c r="E16824" s="2">
        <v>0</v>
      </c>
      <c r="F16824" s="2">
        <v>0</v>
      </c>
      <c r="G16824" s="2">
        <v>0</v>
      </c>
      <c r="H16824" s="1" t="s">
        <v>0</v>
      </c>
      <c r="I16824" s="2">
        <v>0</v>
      </c>
      <c r="J16824" s="1">
        <v>45919.426666666666</v>
      </c>
    </row>
    <row r="16825" spans="1:10" x14ac:dyDescent="0.2">
      <c r="A16825" s="4" t="s">
        <v>1</v>
      </c>
      <c r="B1682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25" s="3" t="str">
        <f>HYPERLINK("https://otsuka-europe-crm.veevavault.com/ui/#object/sent_email__v/VBLZ025E82GU60J", "SE-000276861")</f>
        <v>SE-000276861</v>
      </c>
      <c r="D16825" s="1" t="s">
        <v>0</v>
      </c>
      <c r="E16825" s="2">
        <v>0</v>
      </c>
      <c r="F16825" s="2">
        <v>0</v>
      </c>
      <c r="G16825" s="2">
        <v>0</v>
      </c>
      <c r="H16825" s="1" t="s">
        <v>0</v>
      </c>
      <c r="I16825" s="2">
        <v>0</v>
      </c>
      <c r="J16825" s="1">
        <v>45919.426817129628</v>
      </c>
    </row>
    <row r="16826" spans="1:10" x14ac:dyDescent="0.2">
      <c r="A16826" s="4" t="s">
        <v>1</v>
      </c>
      <c r="B1682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26" s="3" t="str">
        <f>HYPERLINK("https://otsuka-europe-crm.veevavault.com/ui/#object/sent_email__v/VBLZ025E82GU60K", "SE-000276862")</f>
        <v>SE-000276862</v>
      </c>
      <c r="D16826" s="1">
        <v>45919.725127314814</v>
      </c>
      <c r="E16826" s="2">
        <v>1</v>
      </c>
      <c r="F16826" s="2">
        <v>1</v>
      </c>
      <c r="G16826" s="2">
        <v>0</v>
      </c>
      <c r="H16826" s="1" t="s">
        <v>0</v>
      </c>
      <c r="I16826" s="2">
        <v>0</v>
      </c>
      <c r="J16826" s="1">
        <v>45919.426701388889</v>
      </c>
    </row>
    <row r="16827" spans="1:10" x14ac:dyDescent="0.2">
      <c r="A16827" s="4" t="s">
        <v>1</v>
      </c>
      <c r="B1682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27" s="3" t="str">
        <f>HYPERLINK("https://otsuka-europe-crm.veevavault.com/ui/#object/sent_email__v/VBL000000016641", "SE-001400997")</f>
        <v>SE-001400997</v>
      </c>
      <c r="D16827" s="1">
        <v>46049.959976851853</v>
      </c>
      <c r="E16827" s="2">
        <v>1</v>
      </c>
      <c r="F16827" s="2">
        <v>2</v>
      </c>
      <c r="G16827" s="2">
        <v>0</v>
      </c>
      <c r="H16827" s="1" t="s">
        <v>0</v>
      </c>
      <c r="I16827" s="2">
        <v>0</v>
      </c>
      <c r="J16827" s="1">
        <v>46048.671527777777</v>
      </c>
    </row>
    <row r="16828" spans="1:10" x14ac:dyDescent="0.2">
      <c r="A16828" s="4" t="s">
        <v>1</v>
      </c>
      <c r="B1682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28" s="3" t="str">
        <f>HYPERLINK("https://otsuka-europe-crm.veevavault.com/ui/#object/sent_email__v/VBL000000016642", "SE-001400998")</f>
        <v>SE-001400998</v>
      </c>
      <c r="D16828" s="1" t="s">
        <v>0</v>
      </c>
      <c r="E16828" s="2">
        <v>0</v>
      </c>
      <c r="F16828" s="2">
        <v>0</v>
      </c>
      <c r="G16828" s="2">
        <v>0</v>
      </c>
      <c r="H16828" s="1" t="s">
        <v>0</v>
      </c>
      <c r="I16828" s="2">
        <v>0</v>
      </c>
      <c r="J16828" s="1">
        <v>46048.671574074076</v>
      </c>
    </row>
    <row r="16829" spans="1:10" x14ac:dyDescent="0.2">
      <c r="A16829" s="4" t="s">
        <v>1</v>
      </c>
      <c r="B1682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29" s="3" t="str">
        <f>HYPERLINK("https://otsuka-europe-crm.veevavault.com/ui/#object/sent_email__v/VBL000000016643", "SE-001400999")</f>
        <v>SE-001400999</v>
      </c>
      <c r="D16829" s="1" t="s">
        <v>0</v>
      </c>
      <c r="E16829" s="2">
        <v>0</v>
      </c>
      <c r="F16829" s="2">
        <v>0</v>
      </c>
      <c r="G16829" s="2">
        <v>0</v>
      </c>
      <c r="H16829" s="1" t="s">
        <v>0</v>
      </c>
      <c r="I16829" s="2">
        <v>0</v>
      </c>
      <c r="J16829" s="1">
        <v>46048.671620370369</v>
      </c>
    </row>
    <row r="16830" spans="1:10" x14ac:dyDescent="0.2">
      <c r="A16830" s="4" t="s">
        <v>1</v>
      </c>
      <c r="B1683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30" s="3" t="str">
        <f>HYPERLINK("https://otsuka-europe-crm.veevavault.com/ui/#object/sent_email__v/VBL000000016644", "SE-001401000")</f>
        <v>SE-001401000</v>
      </c>
      <c r="D16830" s="1" t="s">
        <v>0</v>
      </c>
      <c r="E16830" s="2">
        <v>0</v>
      </c>
      <c r="F16830" s="2">
        <v>0</v>
      </c>
      <c r="G16830" s="2">
        <v>0</v>
      </c>
      <c r="H16830" s="1" t="s">
        <v>0</v>
      </c>
      <c r="I16830" s="2">
        <v>0</v>
      </c>
      <c r="J16830" s="1">
        <v>46048.671655092592</v>
      </c>
    </row>
    <row r="16831" spans="1:10" x14ac:dyDescent="0.2">
      <c r="A16831" s="4" t="s">
        <v>1</v>
      </c>
      <c r="B1683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31" s="3" t="str">
        <f>HYPERLINK("https://otsuka-europe-crm.veevavault.com/ui/#object/sent_email__v/VBL000000016645", "SE-001401001")</f>
        <v>SE-001401001</v>
      </c>
      <c r="D16831" s="1" t="s">
        <v>0</v>
      </c>
      <c r="E16831" s="2">
        <v>0</v>
      </c>
      <c r="F16831" s="2">
        <v>0</v>
      </c>
      <c r="G16831" s="2">
        <v>0</v>
      </c>
      <c r="H16831" s="1" t="s">
        <v>0</v>
      </c>
      <c r="I16831" s="2">
        <v>0</v>
      </c>
      <c r="J16831" s="1">
        <v>46048.671689814815</v>
      </c>
    </row>
    <row r="16832" spans="1:10" x14ac:dyDescent="0.2">
      <c r="A16832" s="4" t="s">
        <v>1</v>
      </c>
      <c r="B1683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32" s="3" t="str">
        <f>HYPERLINK("https://otsuka-europe-crm.veevavault.com/ui/#object/sent_email__v/VBL000000016646", "SE-001401002")</f>
        <v>SE-001401002</v>
      </c>
      <c r="D16832" s="1" t="s">
        <v>0</v>
      </c>
      <c r="E16832" s="2">
        <v>0</v>
      </c>
      <c r="F16832" s="2">
        <v>0</v>
      </c>
      <c r="G16832" s="2">
        <v>0</v>
      </c>
      <c r="H16832" s="1" t="s">
        <v>0</v>
      </c>
      <c r="I16832" s="2">
        <v>0</v>
      </c>
      <c r="J16832" s="1">
        <v>46048.671736111108</v>
      </c>
    </row>
    <row r="16833" spans="1:10" x14ac:dyDescent="0.2">
      <c r="A16833" s="4" t="s">
        <v>1</v>
      </c>
      <c r="B1683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33" s="3" t="str">
        <f>HYPERLINK("https://otsuka-europe-crm.veevavault.com/ui/#object/sent_email__v/VBL000000016647", "SE-001401003")</f>
        <v>SE-001401003</v>
      </c>
      <c r="D16833" s="1" t="s">
        <v>0</v>
      </c>
      <c r="E16833" s="2">
        <v>0</v>
      </c>
      <c r="F16833" s="2">
        <v>0</v>
      </c>
      <c r="G16833" s="2">
        <v>0</v>
      </c>
      <c r="H16833" s="1" t="s">
        <v>0</v>
      </c>
      <c r="I16833" s="2">
        <v>0</v>
      </c>
      <c r="J16833" s="1">
        <v>46048.671770833331</v>
      </c>
    </row>
    <row r="16834" spans="1:10" x14ac:dyDescent="0.2">
      <c r="A16834" s="4" t="s">
        <v>1</v>
      </c>
      <c r="B1683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34" s="3" t="str">
        <f>HYPERLINK("https://otsuka-europe-crm.veevavault.com/ui/#object/sent_email__v/VBL000000016648", "SE-001401004")</f>
        <v>SE-001401004</v>
      </c>
      <c r="D16834" s="1">
        <v>46063.477881944447</v>
      </c>
      <c r="E16834" s="2">
        <v>1</v>
      </c>
      <c r="F16834" s="2">
        <v>1</v>
      </c>
      <c r="G16834" s="2">
        <v>0</v>
      </c>
      <c r="H16834" s="1" t="s">
        <v>0</v>
      </c>
      <c r="I16834" s="2">
        <v>0</v>
      </c>
      <c r="J16834" s="1">
        <v>46048.6718287037</v>
      </c>
    </row>
    <row r="16835" spans="1:10" x14ac:dyDescent="0.2">
      <c r="A16835" s="4" t="s">
        <v>1</v>
      </c>
      <c r="B1683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35" s="3" t="str">
        <f>HYPERLINK("https://otsuka-europe-crm.veevavault.com/ui/#object/sent_email__v/VBL000000016649", "SE-001401005")</f>
        <v>SE-001401005</v>
      </c>
      <c r="D16835" s="1">
        <v>46054.592499999999</v>
      </c>
      <c r="E16835" s="2">
        <v>1</v>
      </c>
      <c r="F16835" s="2">
        <v>3</v>
      </c>
      <c r="G16835" s="2">
        <v>0</v>
      </c>
      <c r="H16835" s="1" t="s">
        <v>0</v>
      </c>
      <c r="I16835" s="2">
        <v>0</v>
      </c>
      <c r="J16835" s="1">
        <v>46048.671863425923</v>
      </c>
    </row>
    <row r="16836" spans="1:10" x14ac:dyDescent="0.2">
      <c r="A16836" s="4" t="s">
        <v>1</v>
      </c>
      <c r="B1683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36" s="3" t="str">
        <f>HYPERLINK("https://otsuka-europe-crm.veevavault.com/ui/#object/sent_email__v/VBL000000016650", "SE-001401006")</f>
        <v>SE-001401006</v>
      </c>
      <c r="D16836" s="1" t="s">
        <v>0</v>
      </c>
      <c r="E16836" s="2">
        <v>0</v>
      </c>
      <c r="F16836" s="2">
        <v>0</v>
      </c>
      <c r="G16836" s="2">
        <v>0</v>
      </c>
      <c r="H16836" s="1" t="s">
        <v>0</v>
      </c>
      <c r="I16836" s="2">
        <v>0</v>
      </c>
      <c r="J16836" s="1">
        <v>46048.671909722223</v>
      </c>
    </row>
    <row r="16837" spans="1:10" x14ac:dyDescent="0.2">
      <c r="A16837" s="4" t="s">
        <v>1</v>
      </c>
      <c r="B1683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37" s="3" t="str">
        <f>HYPERLINK("https://otsuka-europe-crm.veevavault.com/ui/#object/sent_email__v/VBL000000016651", "SE-001401007")</f>
        <v>SE-001401007</v>
      </c>
      <c r="D16837" s="1" t="s">
        <v>0</v>
      </c>
      <c r="E16837" s="2">
        <v>0</v>
      </c>
      <c r="F16837" s="2">
        <v>0</v>
      </c>
      <c r="G16837" s="2">
        <v>0</v>
      </c>
      <c r="H16837" s="1" t="s">
        <v>0</v>
      </c>
      <c r="I16837" s="2">
        <v>0</v>
      </c>
      <c r="J16837" s="1">
        <v>46048.671956018516</v>
      </c>
    </row>
    <row r="16838" spans="1:10" x14ac:dyDescent="0.2">
      <c r="A16838" s="4" t="s">
        <v>1</v>
      </c>
      <c r="B1683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38" s="3" t="str">
        <f>HYPERLINK("https://otsuka-europe-crm.veevavault.com/ui/#object/sent_email__v/VBL000000016652", "SE-001401008")</f>
        <v>SE-001401008</v>
      </c>
      <c r="D16838" s="1" t="s">
        <v>0</v>
      </c>
      <c r="E16838" s="2">
        <v>0</v>
      </c>
      <c r="F16838" s="2">
        <v>0</v>
      </c>
      <c r="G16838" s="2">
        <v>0</v>
      </c>
      <c r="H16838" s="1" t="s">
        <v>0</v>
      </c>
      <c r="I16838" s="2">
        <v>0</v>
      </c>
      <c r="J16838" s="1">
        <v>46048.671990740739</v>
      </c>
    </row>
    <row r="16839" spans="1:10" x14ac:dyDescent="0.2">
      <c r="A16839" s="4" t="s">
        <v>1</v>
      </c>
      <c r="B1683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39" s="3" t="str">
        <f>HYPERLINK("https://otsuka-europe-crm.veevavault.com/ui/#object/sent_email__v/VBL000000016653", "SE-001401009")</f>
        <v>SE-001401009</v>
      </c>
      <c r="D16839" s="1" t="s">
        <v>0</v>
      </c>
      <c r="E16839" s="2">
        <v>0</v>
      </c>
      <c r="F16839" s="2">
        <v>0</v>
      </c>
      <c r="G16839" s="2">
        <v>0</v>
      </c>
      <c r="H16839" s="1" t="s">
        <v>0</v>
      </c>
      <c r="I16839" s="2">
        <v>0</v>
      </c>
      <c r="J16839" s="1">
        <v>46048.672037037039</v>
      </c>
    </row>
    <row r="16840" spans="1:10" x14ac:dyDescent="0.2">
      <c r="A16840" s="4" t="s">
        <v>1</v>
      </c>
      <c r="B1684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40" s="3" t="str">
        <f>HYPERLINK("https://otsuka-europe-crm.veevavault.com/ui/#object/sent_email__v/VBL000000016654", "SE-001401010")</f>
        <v>SE-001401010</v>
      </c>
      <c r="D16840" s="1" t="s">
        <v>0</v>
      </c>
      <c r="E16840" s="2">
        <v>0</v>
      </c>
      <c r="F16840" s="2">
        <v>0</v>
      </c>
      <c r="G16840" s="2">
        <v>0</v>
      </c>
      <c r="H16840" s="1" t="s">
        <v>0</v>
      </c>
      <c r="I16840" s="2">
        <v>0</v>
      </c>
      <c r="J16840" s="1">
        <v>46048.672083333331</v>
      </c>
    </row>
    <row r="16841" spans="1:10" x14ac:dyDescent="0.2">
      <c r="A16841" s="4" t="s">
        <v>1</v>
      </c>
      <c r="B1684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41" s="3" t="str">
        <f>HYPERLINK("https://otsuka-europe-crm.veevavault.com/ui/#object/sent_email__v/VBL000000016655", "SE-001401011")</f>
        <v>SE-001401011</v>
      </c>
      <c r="D16841" s="1" t="s">
        <v>0</v>
      </c>
      <c r="E16841" s="2">
        <v>0</v>
      </c>
      <c r="F16841" s="2">
        <v>0</v>
      </c>
      <c r="G16841" s="2">
        <v>0</v>
      </c>
      <c r="H16841" s="1" t="s">
        <v>0</v>
      </c>
      <c r="I16841" s="2">
        <v>0</v>
      </c>
      <c r="J16841" s="1">
        <v>46048.672129629631</v>
      </c>
    </row>
    <row r="16842" spans="1:10" x14ac:dyDescent="0.2">
      <c r="A16842" s="4" t="s">
        <v>1</v>
      </c>
      <c r="B1684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42" s="3" t="str">
        <f>HYPERLINK("https://otsuka-europe-crm.veevavault.com/ui/#object/sent_email__v/VBL000000016656", "SE-001401012")</f>
        <v>SE-001401012</v>
      </c>
      <c r="D16842" s="1" t="s">
        <v>0</v>
      </c>
      <c r="E16842" s="2">
        <v>0</v>
      </c>
      <c r="F16842" s="2">
        <v>0</v>
      </c>
      <c r="G16842" s="2">
        <v>0</v>
      </c>
      <c r="H16842" s="1" t="s">
        <v>0</v>
      </c>
      <c r="I16842" s="2">
        <v>0</v>
      </c>
      <c r="J16842" s="1">
        <v>46048.672175925924</v>
      </c>
    </row>
    <row r="16843" spans="1:10" x14ac:dyDescent="0.2">
      <c r="A16843" s="4" t="s">
        <v>1</v>
      </c>
      <c r="B1684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43" s="3" t="str">
        <f>HYPERLINK("https://otsuka-europe-crm.veevavault.com/ui/#object/sent_email__v/VBL000000016657", "SE-001401013")</f>
        <v>SE-001401013</v>
      </c>
      <c r="D16843" s="1" t="s">
        <v>0</v>
      </c>
      <c r="E16843" s="2">
        <v>0</v>
      </c>
      <c r="F16843" s="2">
        <v>0</v>
      </c>
      <c r="G16843" s="2">
        <v>0</v>
      </c>
      <c r="H16843" s="1" t="s">
        <v>0</v>
      </c>
      <c r="I16843" s="2">
        <v>0</v>
      </c>
      <c r="J16843" s="1">
        <v>46048.672222222223</v>
      </c>
    </row>
    <row r="16844" spans="1:10" x14ac:dyDescent="0.2">
      <c r="A16844" s="4" t="s">
        <v>1</v>
      </c>
      <c r="B1684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44" s="3" t="str">
        <f>HYPERLINK("https://otsuka-europe-crm.veevavault.com/ui/#object/sent_email__v/VBL000000016658", "SE-001401014")</f>
        <v>SE-001401014</v>
      </c>
      <c r="D16844" s="1" t="s">
        <v>0</v>
      </c>
      <c r="E16844" s="2">
        <v>0</v>
      </c>
      <c r="F16844" s="2">
        <v>0</v>
      </c>
      <c r="G16844" s="2">
        <v>0</v>
      </c>
      <c r="H16844" s="1" t="s">
        <v>0</v>
      </c>
      <c r="I16844" s="2">
        <v>0</v>
      </c>
      <c r="J16844" s="1">
        <v>46048.672268518516</v>
      </c>
    </row>
    <row r="16845" spans="1:10" x14ac:dyDescent="0.2">
      <c r="A16845" s="4" t="s">
        <v>1</v>
      </c>
      <c r="B1684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45" s="3" t="str">
        <f>HYPERLINK("https://otsuka-europe-crm.veevavault.com/ui/#object/sent_email__v/VBL000000016659", "SE-001401015")</f>
        <v>SE-001401015</v>
      </c>
      <c r="D16845" s="1" t="s">
        <v>0</v>
      </c>
      <c r="E16845" s="2">
        <v>0</v>
      </c>
      <c r="F16845" s="2">
        <v>0</v>
      </c>
      <c r="G16845" s="2">
        <v>0</v>
      </c>
      <c r="H16845" s="1" t="s">
        <v>0</v>
      </c>
      <c r="I16845" s="2">
        <v>0</v>
      </c>
      <c r="J16845" s="1">
        <v>46048.672314814816</v>
      </c>
    </row>
    <row r="16846" spans="1:10" x14ac:dyDescent="0.2">
      <c r="A16846" s="4" t="s">
        <v>1</v>
      </c>
      <c r="B1684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46" s="3" t="str">
        <f>HYPERLINK("https://otsuka-europe-crm.veevavault.com/ui/#object/sent_email__v/VBL000000016660", "SE-001401016")</f>
        <v>SE-001401016</v>
      </c>
      <c r="D16846" s="1" t="s">
        <v>0</v>
      </c>
      <c r="E16846" s="2">
        <v>0</v>
      </c>
      <c r="F16846" s="2">
        <v>0</v>
      </c>
      <c r="G16846" s="2">
        <v>0</v>
      </c>
      <c r="H16846" s="1" t="s">
        <v>0</v>
      </c>
      <c r="I16846" s="2">
        <v>0</v>
      </c>
      <c r="J16846" s="1">
        <v>46048.672361111108</v>
      </c>
    </row>
    <row r="16847" spans="1:10" x14ac:dyDescent="0.2">
      <c r="A16847" s="4" t="s">
        <v>1</v>
      </c>
      <c r="B1684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47" s="3" t="str">
        <f>HYPERLINK("https://otsuka-europe-crm.veevavault.com/ui/#object/sent_email__v/VBL000000016661", "SE-001401017")</f>
        <v>SE-001401017</v>
      </c>
      <c r="D16847" s="1" t="s">
        <v>0</v>
      </c>
      <c r="E16847" s="2">
        <v>0</v>
      </c>
      <c r="F16847" s="2">
        <v>0</v>
      </c>
      <c r="G16847" s="2">
        <v>0</v>
      </c>
      <c r="H16847" s="1" t="s">
        <v>0</v>
      </c>
      <c r="I16847" s="2">
        <v>0</v>
      </c>
      <c r="J16847" s="1">
        <v>46048.672407407408</v>
      </c>
    </row>
    <row r="16848" spans="1:10" x14ac:dyDescent="0.2">
      <c r="A16848" s="4" t="s">
        <v>1</v>
      </c>
      <c r="B1684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48" s="3" t="str">
        <f>HYPERLINK("https://otsuka-europe-crm.veevavault.com/ui/#object/sent_email__v/VBL000000016662", "SE-001401018")</f>
        <v>SE-001401018</v>
      </c>
      <c r="D16848" s="1" t="s">
        <v>0</v>
      </c>
      <c r="E16848" s="2">
        <v>0</v>
      </c>
      <c r="F16848" s="2">
        <v>0</v>
      </c>
      <c r="G16848" s="2">
        <v>0</v>
      </c>
      <c r="H16848" s="1" t="s">
        <v>0</v>
      </c>
      <c r="I16848" s="2">
        <v>0</v>
      </c>
      <c r="J16848" s="1">
        <v>46048.672453703701</v>
      </c>
    </row>
    <row r="16849" spans="1:10" x14ac:dyDescent="0.2">
      <c r="A16849" s="4" t="s">
        <v>1</v>
      </c>
      <c r="B1684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49" s="3" t="str">
        <f>HYPERLINK("https://otsuka-europe-crm.veevavault.com/ui/#object/sent_email__v/VBL000000016663", "SE-001401019")</f>
        <v>SE-001401019</v>
      </c>
      <c r="D16849" s="1" t="s">
        <v>0</v>
      </c>
      <c r="E16849" s="2">
        <v>0</v>
      </c>
      <c r="F16849" s="2">
        <v>0</v>
      </c>
      <c r="G16849" s="2">
        <v>0</v>
      </c>
      <c r="H16849" s="1" t="s">
        <v>0</v>
      </c>
      <c r="I16849" s="2">
        <v>0</v>
      </c>
      <c r="J16849" s="1">
        <v>46048.672488425924</v>
      </c>
    </row>
    <row r="16850" spans="1:10" x14ac:dyDescent="0.2">
      <c r="A16850" s="4" t="s">
        <v>1</v>
      </c>
      <c r="B1685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50" s="3" t="str">
        <f>HYPERLINK("https://otsuka-europe-crm.veevavault.com/ui/#object/sent_email__v/VBL000000016664", "SE-001401020")</f>
        <v>SE-001401020</v>
      </c>
      <c r="D16850" s="1" t="s">
        <v>0</v>
      </c>
      <c r="E16850" s="2">
        <v>0</v>
      </c>
      <c r="F16850" s="2">
        <v>0</v>
      </c>
      <c r="G16850" s="2">
        <v>0</v>
      </c>
      <c r="H16850" s="1" t="s">
        <v>0</v>
      </c>
      <c r="I16850" s="2">
        <v>0</v>
      </c>
      <c r="J16850" s="1">
        <v>46048.672534722224</v>
      </c>
    </row>
    <row r="16851" spans="1:10" x14ac:dyDescent="0.2">
      <c r="A16851" s="4" t="s">
        <v>1</v>
      </c>
      <c r="B1685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51" s="3" t="str">
        <f>HYPERLINK("https://otsuka-europe-crm.veevavault.com/ui/#object/sent_email__v/VBL000000016665", "SE-001401021")</f>
        <v>SE-001401021</v>
      </c>
      <c r="D16851" s="1" t="s">
        <v>0</v>
      </c>
      <c r="E16851" s="2">
        <v>0</v>
      </c>
      <c r="F16851" s="2">
        <v>0</v>
      </c>
      <c r="G16851" s="2">
        <v>0</v>
      </c>
      <c r="H16851" s="1" t="s">
        <v>0</v>
      </c>
      <c r="I16851" s="2">
        <v>0</v>
      </c>
      <c r="J16851" s="1">
        <v>46048.672581018516</v>
      </c>
    </row>
    <row r="16852" spans="1:10" x14ac:dyDescent="0.2">
      <c r="A16852" s="4" t="s">
        <v>1</v>
      </c>
      <c r="B1685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52" s="3" t="str">
        <f>HYPERLINK("https://otsuka-europe-crm.veevavault.com/ui/#object/sent_email__v/VBL000000016666", "SE-001401022")</f>
        <v>SE-001401022</v>
      </c>
      <c r="D16852" s="1" t="s">
        <v>0</v>
      </c>
      <c r="E16852" s="2">
        <v>0</v>
      </c>
      <c r="F16852" s="2">
        <v>0</v>
      </c>
      <c r="G16852" s="2">
        <v>0</v>
      </c>
      <c r="H16852" s="1" t="s">
        <v>0</v>
      </c>
      <c r="I16852" s="2">
        <v>0</v>
      </c>
      <c r="J16852" s="1">
        <v>46048.672627314816</v>
      </c>
    </row>
    <row r="16853" spans="1:10" x14ac:dyDescent="0.2">
      <c r="A16853" s="4" t="s">
        <v>1</v>
      </c>
      <c r="B1685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53" s="3" t="str">
        <f>HYPERLINK("https://otsuka-europe-crm.veevavault.com/ui/#object/sent_email__v/VBL000000016667", "SE-001401023")</f>
        <v>SE-001401023</v>
      </c>
      <c r="D16853" s="1" t="s">
        <v>0</v>
      </c>
      <c r="E16853" s="2">
        <v>0</v>
      </c>
      <c r="F16853" s="2">
        <v>0</v>
      </c>
      <c r="G16853" s="2">
        <v>0</v>
      </c>
      <c r="H16853" s="1" t="s">
        <v>0</v>
      </c>
      <c r="I16853" s="2">
        <v>0</v>
      </c>
      <c r="J16853" s="1">
        <v>46048.672673611109</v>
      </c>
    </row>
    <row r="16854" spans="1:10" x14ac:dyDescent="0.2">
      <c r="A16854" s="4" t="s">
        <v>1</v>
      </c>
      <c r="B1685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54" s="3" t="str">
        <f>HYPERLINK("https://otsuka-europe-crm.veevavault.com/ui/#object/sent_email__v/VBL000000016668", "SE-001401024")</f>
        <v>SE-001401024</v>
      </c>
      <c r="D16854" s="1" t="s">
        <v>0</v>
      </c>
      <c r="E16854" s="2">
        <v>0</v>
      </c>
      <c r="F16854" s="2">
        <v>0</v>
      </c>
      <c r="G16854" s="2">
        <v>0</v>
      </c>
      <c r="H16854" s="1" t="s">
        <v>0</v>
      </c>
      <c r="I16854" s="2">
        <v>0</v>
      </c>
      <c r="J16854" s="1">
        <v>46048.672708333332</v>
      </c>
    </row>
    <row r="16855" spans="1:10" x14ac:dyDescent="0.2">
      <c r="A16855" s="4" t="s">
        <v>1</v>
      </c>
      <c r="B1685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55" s="3" t="str">
        <f>HYPERLINK("https://otsuka-europe-crm.veevavault.com/ui/#object/sent_email__v/VBL000000016669", "SE-001401025")</f>
        <v>SE-001401025</v>
      </c>
      <c r="D16855" s="1">
        <v>46050.890694444446</v>
      </c>
      <c r="E16855" s="2">
        <v>1</v>
      </c>
      <c r="F16855" s="2">
        <v>1</v>
      </c>
      <c r="G16855" s="2">
        <v>0</v>
      </c>
      <c r="H16855" s="1" t="s">
        <v>0</v>
      </c>
      <c r="I16855" s="2">
        <v>0</v>
      </c>
      <c r="J16855" s="1">
        <v>46048.672754629632</v>
      </c>
    </row>
    <row r="16856" spans="1:10" x14ac:dyDescent="0.2">
      <c r="A16856" s="4" t="s">
        <v>1</v>
      </c>
      <c r="B1685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56" s="3" t="str">
        <f>HYPERLINK("https://otsuka-europe-crm.veevavault.com/ui/#object/sent_email__v/VBL000000016670", "SE-001401026")</f>
        <v>SE-001401026</v>
      </c>
      <c r="D16856" s="1" t="s">
        <v>0</v>
      </c>
      <c r="E16856" s="2">
        <v>0</v>
      </c>
      <c r="F16856" s="2">
        <v>0</v>
      </c>
      <c r="G16856" s="2">
        <v>0</v>
      </c>
      <c r="H16856" s="1" t="s">
        <v>0</v>
      </c>
      <c r="I16856" s="2">
        <v>0</v>
      </c>
      <c r="J16856" s="1">
        <v>46048.672789351855</v>
      </c>
    </row>
    <row r="16857" spans="1:10" x14ac:dyDescent="0.2">
      <c r="A16857" s="4" t="s">
        <v>1</v>
      </c>
      <c r="B1685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57" s="3" t="str">
        <f>HYPERLINK("https://otsuka-europe-crm.veevavault.com/ui/#object/sent_email__v/VBL000000016671", "SE-001401027")</f>
        <v>SE-001401027</v>
      </c>
      <c r="D16857" s="1">
        <v>46074.172002314815</v>
      </c>
      <c r="E16857" s="2">
        <v>1</v>
      </c>
      <c r="F16857" s="2">
        <v>2</v>
      </c>
      <c r="G16857" s="2">
        <v>0</v>
      </c>
      <c r="H16857" s="1" t="s">
        <v>0</v>
      </c>
      <c r="I16857" s="2">
        <v>0</v>
      </c>
      <c r="J16857" s="1">
        <v>46048.672835648147</v>
      </c>
    </row>
    <row r="16858" spans="1:10" x14ac:dyDescent="0.2">
      <c r="A16858" s="4" t="s">
        <v>1</v>
      </c>
      <c r="B1685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58" s="3" t="str">
        <f>HYPERLINK("https://otsuka-europe-crm.veevavault.com/ui/#object/sent_email__v/VBL000000016672", "SE-001401028")</f>
        <v>SE-001401028</v>
      </c>
      <c r="D16858" s="1" t="s">
        <v>0</v>
      </c>
      <c r="E16858" s="2">
        <v>0</v>
      </c>
      <c r="F16858" s="2">
        <v>0</v>
      </c>
      <c r="G16858" s="2">
        <v>0</v>
      </c>
      <c r="H16858" s="1" t="s">
        <v>0</v>
      </c>
      <c r="I16858" s="2">
        <v>0</v>
      </c>
      <c r="J16858" s="1">
        <v>46048.672881944447</v>
      </c>
    </row>
    <row r="16859" spans="1:10" x14ac:dyDescent="0.2">
      <c r="A16859" s="4" t="s">
        <v>1</v>
      </c>
      <c r="B1685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59" s="3" t="str">
        <f>HYPERLINK("https://otsuka-europe-crm.veevavault.com/ui/#object/sent_email__v/VBL000000016673", "SE-001401029")</f>
        <v>SE-001401029</v>
      </c>
      <c r="D16859" s="1" t="s">
        <v>0</v>
      </c>
      <c r="E16859" s="2">
        <v>0</v>
      </c>
      <c r="F16859" s="2">
        <v>0</v>
      </c>
      <c r="G16859" s="2">
        <v>0</v>
      </c>
      <c r="H16859" s="1" t="s">
        <v>0</v>
      </c>
      <c r="I16859" s="2">
        <v>0</v>
      </c>
      <c r="J16859" s="1">
        <v>46048.67292824074</v>
      </c>
    </row>
    <row r="16860" spans="1:10" x14ac:dyDescent="0.2">
      <c r="A16860" s="4" t="s">
        <v>1</v>
      </c>
      <c r="B1686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60" s="3" t="str">
        <f>HYPERLINK("https://otsuka-europe-crm.veevavault.com/ui/#object/sent_email__v/VBL000000016674", "SE-001401030")</f>
        <v>SE-001401030</v>
      </c>
      <c r="D16860" s="1">
        <v>46048.69803240741</v>
      </c>
      <c r="E16860" s="2">
        <v>1</v>
      </c>
      <c r="F16860" s="2">
        <v>1</v>
      </c>
      <c r="G16860" s="2">
        <v>0</v>
      </c>
      <c r="H16860" s="1" t="s">
        <v>0</v>
      </c>
      <c r="I16860" s="2">
        <v>0</v>
      </c>
      <c r="J16860" s="1">
        <v>46048.672974537039</v>
      </c>
    </row>
    <row r="16861" spans="1:10" x14ac:dyDescent="0.2">
      <c r="A16861" s="4" t="s">
        <v>1</v>
      </c>
      <c r="B1686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61" s="3" t="str">
        <f>HYPERLINK("https://otsuka-europe-crm.veevavault.com/ui/#object/sent_email__v/VBL000000016675", "SE-001401031")</f>
        <v>SE-001401031</v>
      </c>
      <c r="D16861" s="1" t="s">
        <v>0</v>
      </c>
      <c r="E16861" s="2">
        <v>0</v>
      </c>
      <c r="F16861" s="2">
        <v>0</v>
      </c>
      <c r="G16861" s="2">
        <v>0</v>
      </c>
      <c r="H16861" s="1" t="s">
        <v>0</v>
      </c>
      <c r="I16861" s="2">
        <v>0</v>
      </c>
      <c r="J16861" s="1">
        <v>46048.673020833332</v>
      </c>
    </row>
    <row r="16862" spans="1:10" x14ac:dyDescent="0.2">
      <c r="A16862" s="4" t="s">
        <v>1</v>
      </c>
      <c r="B1686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62" s="3" t="str">
        <f>HYPERLINK("https://otsuka-europe-crm.veevavault.com/ui/#object/sent_email__v/VBL000000016676", "SE-001401032")</f>
        <v>SE-001401032</v>
      </c>
      <c r="D16862" s="1">
        <v>46068.761296296296</v>
      </c>
      <c r="E16862" s="2">
        <v>1</v>
      </c>
      <c r="F16862" s="2">
        <v>1</v>
      </c>
      <c r="G16862" s="2">
        <v>0</v>
      </c>
      <c r="H16862" s="1" t="s">
        <v>0</v>
      </c>
      <c r="I16862" s="2">
        <v>0</v>
      </c>
      <c r="J16862" s="1">
        <v>46048.673067129632</v>
      </c>
    </row>
    <row r="16863" spans="1:10" x14ac:dyDescent="0.2">
      <c r="A16863" s="4" t="s">
        <v>1</v>
      </c>
      <c r="B1686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63" s="3" t="str">
        <f>HYPERLINK("https://otsuka-europe-crm.veevavault.com/ui/#object/sent_email__v/VBL000000016677", "SE-001401033")</f>
        <v>SE-001401033</v>
      </c>
      <c r="D16863" s="1" t="s">
        <v>0</v>
      </c>
      <c r="E16863" s="2">
        <v>0</v>
      </c>
      <c r="F16863" s="2">
        <v>0</v>
      </c>
      <c r="G16863" s="2">
        <v>0</v>
      </c>
      <c r="H16863" s="1" t="s">
        <v>0</v>
      </c>
      <c r="I16863" s="2">
        <v>0</v>
      </c>
      <c r="J16863" s="1">
        <v>46048.673101851855</v>
      </c>
    </row>
    <row r="16864" spans="1:10" x14ac:dyDescent="0.2">
      <c r="A16864" s="4" t="s">
        <v>1</v>
      </c>
      <c r="B1686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64" s="3" t="str">
        <f>HYPERLINK("https://otsuka-europe-crm.veevavault.com/ui/#object/sent_email__v/VBL000000016678", "SE-001401034")</f>
        <v>SE-001401034</v>
      </c>
      <c r="D16864" s="1" t="s">
        <v>0</v>
      </c>
      <c r="E16864" s="2">
        <v>0</v>
      </c>
      <c r="F16864" s="2">
        <v>0</v>
      </c>
      <c r="G16864" s="2">
        <v>0</v>
      </c>
      <c r="H16864" s="1" t="s">
        <v>0</v>
      </c>
      <c r="I16864" s="2">
        <v>0</v>
      </c>
      <c r="J16864" s="1">
        <v>46048.673148148147</v>
      </c>
    </row>
    <row r="16865" spans="1:10" x14ac:dyDescent="0.2">
      <c r="A16865" s="4" t="s">
        <v>1</v>
      </c>
      <c r="B1686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65" s="3" t="str">
        <f>HYPERLINK("https://otsuka-europe-crm.veevavault.com/ui/#object/sent_email__v/VBL000000016679", "SE-001401035")</f>
        <v>SE-001401035</v>
      </c>
      <c r="D16865" s="1" t="s">
        <v>0</v>
      </c>
      <c r="E16865" s="2">
        <v>0</v>
      </c>
      <c r="F16865" s="2">
        <v>0</v>
      </c>
      <c r="G16865" s="2">
        <v>0</v>
      </c>
      <c r="H16865" s="1" t="s">
        <v>0</v>
      </c>
      <c r="I16865" s="2">
        <v>0</v>
      </c>
      <c r="J16865" s="1">
        <v>46048.673194444447</v>
      </c>
    </row>
    <row r="16866" spans="1:10" x14ac:dyDescent="0.2">
      <c r="A16866" s="4" t="s">
        <v>1</v>
      </c>
      <c r="B1686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66" s="3" t="str">
        <f>HYPERLINK("https://otsuka-europe-crm.veevavault.com/ui/#object/sent_email__v/VBL000000016680", "SE-001401036")</f>
        <v>SE-001401036</v>
      </c>
      <c r="D16866" s="1" t="s">
        <v>0</v>
      </c>
      <c r="E16866" s="2">
        <v>0</v>
      </c>
      <c r="F16866" s="2">
        <v>0</v>
      </c>
      <c r="G16866" s="2">
        <v>0</v>
      </c>
      <c r="H16866" s="1" t="s">
        <v>0</v>
      </c>
      <c r="I16866" s="2">
        <v>0</v>
      </c>
      <c r="J16866" s="1">
        <v>46048.673229166663</v>
      </c>
    </row>
    <row r="16867" spans="1:10" x14ac:dyDescent="0.2">
      <c r="A16867" s="4" t="s">
        <v>1</v>
      </c>
      <c r="B1686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67" s="3" t="str">
        <f>HYPERLINK("https://otsuka-europe-crm.veevavault.com/ui/#object/sent_email__v/VBL000000016681", "SE-001401037")</f>
        <v>SE-001401037</v>
      </c>
      <c r="D16867" s="1" t="s">
        <v>0</v>
      </c>
      <c r="E16867" s="2">
        <v>0</v>
      </c>
      <c r="F16867" s="2">
        <v>0</v>
      </c>
      <c r="G16867" s="2">
        <v>0</v>
      </c>
      <c r="H16867" s="1" t="s">
        <v>0</v>
      </c>
      <c r="I16867" s="2">
        <v>0</v>
      </c>
      <c r="J16867" s="1">
        <v>46048.673275462963</v>
      </c>
    </row>
    <row r="16868" spans="1:10" x14ac:dyDescent="0.2">
      <c r="A16868" s="4" t="s">
        <v>1</v>
      </c>
      <c r="B1686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68" s="3" t="str">
        <f>HYPERLINK("https://otsuka-europe-crm.veevavault.com/ui/#object/sent_email__v/VBL000000016682", "SE-001401038")</f>
        <v>SE-001401038</v>
      </c>
      <c r="D16868" s="1" t="s">
        <v>0</v>
      </c>
      <c r="E16868" s="2">
        <v>0</v>
      </c>
      <c r="F16868" s="2">
        <v>0</v>
      </c>
      <c r="G16868" s="2">
        <v>0</v>
      </c>
      <c r="H16868" s="1" t="s">
        <v>0</v>
      </c>
      <c r="I16868" s="2">
        <v>0</v>
      </c>
      <c r="J16868" s="1">
        <v>46048.673321759263</v>
      </c>
    </row>
    <row r="16869" spans="1:10" x14ac:dyDescent="0.2">
      <c r="A16869" s="4" t="s">
        <v>1</v>
      </c>
      <c r="B1686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69" s="3" t="str">
        <f>HYPERLINK("https://otsuka-europe-crm.veevavault.com/ui/#object/sent_email__v/VBL000000016683", "SE-001401039")</f>
        <v>SE-001401039</v>
      </c>
      <c r="D16869" s="1" t="s">
        <v>0</v>
      </c>
      <c r="E16869" s="2">
        <v>0</v>
      </c>
      <c r="F16869" s="2">
        <v>0</v>
      </c>
      <c r="G16869" s="2">
        <v>0</v>
      </c>
      <c r="H16869" s="1" t="s">
        <v>0</v>
      </c>
      <c r="I16869" s="2">
        <v>0</v>
      </c>
      <c r="J16869" s="1">
        <v>46048.673368055555</v>
      </c>
    </row>
    <row r="16870" spans="1:10" x14ac:dyDescent="0.2">
      <c r="A16870" s="4" t="s">
        <v>1</v>
      </c>
      <c r="B1687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70" s="3" t="str">
        <f>HYPERLINK("https://otsuka-europe-crm.veevavault.com/ui/#object/sent_email__v/VBL000000016684", "SE-001401040")</f>
        <v>SE-001401040</v>
      </c>
      <c r="D16870" s="1" t="s">
        <v>0</v>
      </c>
      <c r="E16870" s="2">
        <v>0</v>
      </c>
      <c r="F16870" s="2">
        <v>0</v>
      </c>
      <c r="G16870" s="2">
        <v>0</v>
      </c>
      <c r="H16870" s="1" t="s">
        <v>0</v>
      </c>
      <c r="I16870" s="2">
        <v>0</v>
      </c>
      <c r="J16870" s="1">
        <v>46048.673402777778</v>
      </c>
    </row>
    <row r="16871" spans="1:10" x14ac:dyDescent="0.2">
      <c r="A16871" s="4" t="s">
        <v>1</v>
      </c>
      <c r="B1687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71" s="3" t="str">
        <f>HYPERLINK("https://otsuka-europe-crm.veevavault.com/ui/#object/sent_email__v/VBL000000016685", "SE-001401041")</f>
        <v>SE-001401041</v>
      </c>
      <c r="D16871" s="1" t="s">
        <v>0</v>
      </c>
      <c r="E16871" s="2">
        <v>0</v>
      </c>
      <c r="F16871" s="2">
        <v>0</v>
      </c>
      <c r="G16871" s="2">
        <v>0</v>
      </c>
      <c r="H16871" s="1" t="s">
        <v>0</v>
      </c>
      <c r="I16871" s="2">
        <v>0</v>
      </c>
      <c r="J16871" s="1">
        <v>46048.673449074071</v>
      </c>
    </row>
    <row r="16872" spans="1:10" x14ac:dyDescent="0.2">
      <c r="A16872" s="4" t="s">
        <v>1</v>
      </c>
      <c r="B1687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72" s="3" t="str">
        <f>HYPERLINK("https://otsuka-europe-crm.veevavault.com/ui/#object/sent_email__v/VBL000000016686", "SE-001401042")</f>
        <v>SE-001401042</v>
      </c>
      <c r="D16872" s="1" t="s">
        <v>0</v>
      </c>
      <c r="E16872" s="2">
        <v>0</v>
      </c>
      <c r="F16872" s="2">
        <v>0</v>
      </c>
      <c r="G16872" s="2">
        <v>0</v>
      </c>
      <c r="H16872" s="1" t="s">
        <v>0</v>
      </c>
      <c r="I16872" s="2">
        <v>0</v>
      </c>
      <c r="J16872" s="1">
        <v>46048.673495370371</v>
      </c>
    </row>
    <row r="16873" spans="1:10" x14ac:dyDescent="0.2">
      <c r="A16873" s="4" t="s">
        <v>1</v>
      </c>
      <c r="B1687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73" s="3" t="str">
        <f>HYPERLINK("https://otsuka-europe-crm.veevavault.com/ui/#object/sent_email__v/VBL000000016687", "SE-001401043")</f>
        <v>SE-001401043</v>
      </c>
      <c r="D16873" s="1" t="s">
        <v>0</v>
      </c>
      <c r="E16873" s="2">
        <v>0</v>
      </c>
      <c r="F16873" s="2">
        <v>0</v>
      </c>
      <c r="G16873" s="2">
        <v>0</v>
      </c>
      <c r="H16873" s="1" t="s">
        <v>0</v>
      </c>
      <c r="I16873" s="2">
        <v>0</v>
      </c>
      <c r="J16873" s="1">
        <v>46048.673541666663</v>
      </c>
    </row>
    <row r="16874" spans="1:10" x14ac:dyDescent="0.2">
      <c r="A16874" s="4" t="s">
        <v>1</v>
      </c>
      <c r="B1687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74" s="3" t="str">
        <f>HYPERLINK("https://otsuka-europe-crm.veevavault.com/ui/#object/sent_email__v/VBL000000016688", "SE-001401044")</f>
        <v>SE-001401044</v>
      </c>
      <c r="D16874" s="1" t="s">
        <v>0</v>
      </c>
      <c r="E16874" s="2">
        <v>0</v>
      </c>
      <c r="F16874" s="2">
        <v>0</v>
      </c>
      <c r="G16874" s="2">
        <v>0</v>
      </c>
      <c r="H16874" s="1" t="s">
        <v>0</v>
      </c>
      <c r="I16874" s="2">
        <v>0</v>
      </c>
      <c r="J16874" s="1">
        <v>46048.673576388886</v>
      </c>
    </row>
    <row r="16875" spans="1:10" x14ac:dyDescent="0.2">
      <c r="A16875" s="4" t="s">
        <v>1</v>
      </c>
      <c r="B1687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75" s="3" t="str">
        <f>HYPERLINK("https://otsuka-europe-crm.veevavault.com/ui/#object/sent_email__v/VBL000000016689", "SE-001401045")</f>
        <v>SE-001401045</v>
      </c>
      <c r="D16875" s="1" t="s">
        <v>0</v>
      </c>
      <c r="E16875" s="2">
        <v>0</v>
      </c>
      <c r="F16875" s="2">
        <v>0</v>
      </c>
      <c r="G16875" s="2">
        <v>0</v>
      </c>
      <c r="H16875" s="1" t="s">
        <v>0</v>
      </c>
      <c r="I16875" s="2">
        <v>0</v>
      </c>
      <c r="J16875" s="1">
        <v>46048.673634259256</v>
      </c>
    </row>
    <row r="16876" spans="1:10" x14ac:dyDescent="0.2">
      <c r="A16876" s="4" t="s">
        <v>1</v>
      </c>
      <c r="B1687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76" s="3" t="str">
        <f>HYPERLINK("https://otsuka-europe-crm.veevavault.com/ui/#object/sent_email__v/VBL000000016690", "SE-001401046")</f>
        <v>SE-001401046</v>
      </c>
      <c r="D16876" s="1" t="s">
        <v>0</v>
      </c>
      <c r="E16876" s="2">
        <v>0</v>
      </c>
      <c r="F16876" s="2">
        <v>0</v>
      </c>
      <c r="G16876" s="2">
        <v>0</v>
      </c>
      <c r="H16876" s="1" t="s">
        <v>0</v>
      </c>
      <c r="I16876" s="2">
        <v>0</v>
      </c>
      <c r="J16876" s="1">
        <v>46048.673668981479</v>
      </c>
    </row>
    <row r="16877" spans="1:10" x14ac:dyDescent="0.2">
      <c r="A16877" s="4" t="s">
        <v>1</v>
      </c>
      <c r="B1687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77" s="3" t="str">
        <f>HYPERLINK("https://otsuka-europe-crm.veevavault.com/ui/#object/sent_email__v/VBL000000016691", "SE-001401047")</f>
        <v>SE-001401047</v>
      </c>
      <c r="D16877" s="1" t="s">
        <v>0</v>
      </c>
      <c r="E16877" s="2">
        <v>0</v>
      </c>
      <c r="F16877" s="2">
        <v>0</v>
      </c>
      <c r="G16877" s="2">
        <v>0</v>
      </c>
      <c r="H16877" s="1" t="s">
        <v>0</v>
      </c>
      <c r="I16877" s="2">
        <v>0</v>
      </c>
      <c r="J16877" s="1">
        <v>46048.673715277779</v>
      </c>
    </row>
    <row r="16878" spans="1:10" x14ac:dyDescent="0.2">
      <c r="A16878" s="4" t="s">
        <v>1</v>
      </c>
      <c r="B1687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78" s="3" t="str">
        <f>HYPERLINK("https://otsuka-europe-crm.veevavault.com/ui/#object/sent_email__v/VBL000000016692", "SE-001401048")</f>
        <v>SE-001401048</v>
      </c>
      <c r="D16878" s="1" t="s">
        <v>0</v>
      </c>
      <c r="E16878" s="2">
        <v>0</v>
      </c>
      <c r="F16878" s="2">
        <v>0</v>
      </c>
      <c r="G16878" s="2">
        <v>0</v>
      </c>
      <c r="H16878" s="1" t="s">
        <v>0</v>
      </c>
      <c r="I16878" s="2">
        <v>0</v>
      </c>
      <c r="J16878" s="1">
        <v>46048.673761574071</v>
      </c>
    </row>
    <row r="16879" spans="1:10" x14ac:dyDescent="0.2">
      <c r="A16879" s="4" t="s">
        <v>1</v>
      </c>
      <c r="B1687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79" s="3" t="str">
        <f>HYPERLINK("https://otsuka-europe-crm.veevavault.com/ui/#object/sent_email__v/VBL000000016693", "SE-001401049")</f>
        <v>SE-001401049</v>
      </c>
      <c r="D16879" s="1" t="s">
        <v>0</v>
      </c>
      <c r="E16879" s="2">
        <v>0</v>
      </c>
      <c r="F16879" s="2">
        <v>0</v>
      </c>
      <c r="G16879" s="2">
        <v>0</v>
      </c>
      <c r="H16879" s="1" t="s">
        <v>0</v>
      </c>
      <c r="I16879" s="2">
        <v>0</v>
      </c>
      <c r="J16879" s="1">
        <v>46048.673807870371</v>
      </c>
    </row>
    <row r="16880" spans="1:10" x14ac:dyDescent="0.2">
      <c r="A16880" s="4" t="s">
        <v>1</v>
      </c>
      <c r="B1688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80" s="3" t="str">
        <f>HYPERLINK("https://otsuka-europe-crm.veevavault.com/ui/#object/sent_email__v/VBL000000016694", "SE-001401050")</f>
        <v>SE-001401050</v>
      </c>
      <c r="D16880" s="1" t="s">
        <v>0</v>
      </c>
      <c r="E16880" s="2">
        <v>0</v>
      </c>
      <c r="F16880" s="2">
        <v>0</v>
      </c>
      <c r="G16880" s="2">
        <v>0</v>
      </c>
      <c r="H16880" s="1" t="s">
        <v>0</v>
      </c>
      <c r="I16880" s="2">
        <v>0</v>
      </c>
      <c r="J16880" s="1">
        <v>46048.673854166664</v>
      </c>
    </row>
    <row r="16881" spans="1:10" x14ac:dyDescent="0.2">
      <c r="A16881" s="4" t="s">
        <v>1</v>
      </c>
      <c r="B1688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81" s="3" t="str">
        <f>HYPERLINK("https://otsuka-europe-crm.veevavault.com/ui/#object/sent_email__v/VBL000000016695", "SE-001401051")</f>
        <v>SE-001401051</v>
      </c>
      <c r="D16881" s="1">
        <v>46051.945567129631</v>
      </c>
      <c r="E16881" s="2">
        <v>1</v>
      </c>
      <c r="F16881" s="2">
        <v>2</v>
      </c>
      <c r="G16881" s="2">
        <v>0</v>
      </c>
      <c r="H16881" s="1" t="s">
        <v>0</v>
      </c>
      <c r="I16881" s="2">
        <v>0</v>
      </c>
      <c r="J16881" s="1">
        <v>46048.673900462964</v>
      </c>
    </row>
    <row r="16882" spans="1:10" x14ac:dyDescent="0.2">
      <c r="A16882" s="4" t="s">
        <v>1</v>
      </c>
      <c r="B1688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82" s="3" t="str">
        <f>HYPERLINK("https://otsuka-europe-crm.veevavault.com/ui/#object/sent_email__v/VBL000000016696", "SE-001401052")</f>
        <v>SE-001401052</v>
      </c>
      <c r="D16882" s="1" t="s">
        <v>0</v>
      </c>
      <c r="E16882" s="2">
        <v>0</v>
      </c>
      <c r="F16882" s="2">
        <v>0</v>
      </c>
      <c r="G16882" s="2">
        <v>0</v>
      </c>
      <c r="H16882" s="1" t="s">
        <v>0</v>
      </c>
      <c r="I16882" s="2">
        <v>0</v>
      </c>
      <c r="J16882" s="1">
        <v>46048.673958333333</v>
      </c>
    </row>
    <row r="16883" spans="1:10" x14ac:dyDescent="0.2">
      <c r="A16883" s="4" t="s">
        <v>1</v>
      </c>
      <c r="B1688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83" s="3" t="str">
        <f>HYPERLINK("https://otsuka-europe-crm.veevavault.com/ui/#object/sent_email__v/VBL000000016697", "SE-001401053")</f>
        <v>SE-001401053</v>
      </c>
      <c r="D16883" s="1" t="s">
        <v>0</v>
      </c>
      <c r="E16883" s="2">
        <v>0</v>
      </c>
      <c r="F16883" s="2">
        <v>0</v>
      </c>
      <c r="G16883" s="2">
        <v>0</v>
      </c>
      <c r="H16883" s="1" t="s">
        <v>0</v>
      </c>
      <c r="I16883" s="2">
        <v>0</v>
      </c>
      <c r="J16883" s="1">
        <v>46048.673993055556</v>
      </c>
    </row>
    <row r="16884" spans="1:10" x14ac:dyDescent="0.2">
      <c r="A16884" s="4" t="s">
        <v>1</v>
      </c>
      <c r="B1688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84" s="3" t="str">
        <f>HYPERLINK("https://otsuka-europe-crm.veevavault.com/ui/#object/sent_email__v/VBL000000016698", "SE-001401054")</f>
        <v>SE-001401054</v>
      </c>
      <c r="D16884" s="1" t="s">
        <v>0</v>
      </c>
      <c r="E16884" s="2">
        <v>0</v>
      </c>
      <c r="F16884" s="2">
        <v>0</v>
      </c>
      <c r="G16884" s="2">
        <v>0</v>
      </c>
      <c r="H16884" s="1" t="s">
        <v>0</v>
      </c>
      <c r="I16884" s="2">
        <v>0</v>
      </c>
      <c r="J16884" s="1">
        <v>46048.674039351848</v>
      </c>
    </row>
    <row r="16885" spans="1:10" x14ac:dyDescent="0.2">
      <c r="A16885" s="4" t="s">
        <v>1</v>
      </c>
      <c r="B1688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85" s="3" t="str">
        <f>HYPERLINK("https://otsuka-europe-crm.veevavault.com/ui/#object/sent_email__v/VBL000000016699", "SE-001401055")</f>
        <v>SE-001401055</v>
      </c>
      <c r="D16885" s="1" t="s">
        <v>0</v>
      </c>
      <c r="E16885" s="2">
        <v>0</v>
      </c>
      <c r="F16885" s="2">
        <v>0</v>
      </c>
      <c r="G16885" s="2">
        <v>0</v>
      </c>
      <c r="H16885" s="1" t="s">
        <v>0</v>
      </c>
      <c r="I16885" s="2">
        <v>0</v>
      </c>
      <c r="J16885" s="1">
        <v>46048.674097222225</v>
      </c>
    </row>
    <row r="16886" spans="1:10" x14ac:dyDescent="0.2">
      <c r="A16886" s="4" t="s">
        <v>1</v>
      </c>
      <c r="B1688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86" s="3" t="str">
        <f>HYPERLINK("https://otsuka-europe-crm.veevavault.com/ui/#object/sent_email__v/VBL000000016700", "SE-001401056")</f>
        <v>SE-001401056</v>
      </c>
      <c r="D16886" s="1" t="s">
        <v>0</v>
      </c>
      <c r="E16886" s="2">
        <v>0</v>
      </c>
      <c r="F16886" s="2">
        <v>0</v>
      </c>
      <c r="G16886" s="2">
        <v>0</v>
      </c>
      <c r="H16886" s="1" t="s">
        <v>0</v>
      </c>
      <c r="I16886" s="2">
        <v>0</v>
      </c>
      <c r="J16886" s="1">
        <v>46048.674143518518</v>
      </c>
    </row>
    <row r="16887" spans="1:10" x14ac:dyDescent="0.2">
      <c r="A16887" s="4" t="s">
        <v>1</v>
      </c>
      <c r="B1688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87" s="3" t="str">
        <f>HYPERLINK("https://otsuka-europe-crm.veevavault.com/ui/#object/sent_email__v/VBL000000016701", "SE-001401057")</f>
        <v>SE-001401057</v>
      </c>
      <c r="D16887" s="1">
        <v>46048.948842592596</v>
      </c>
      <c r="E16887" s="2">
        <v>1</v>
      </c>
      <c r="F16887" s="2">
        <v>1</v>
      </c>
      <c r="G16887" s="2">
        <v>0</v>
      </c>
      <c r="H16887" s="1" t="s">
        <v>0</v>
      </c>
      <c r="I16887" s="2">
        <v>0</v>
      </c>
      <c r="J16887" s="1">
        <v>46048.674178240741</v>
      </c>
    </row>
    <row r="16888" spans="1:10" x14ac:dyDescent="0.2">
      <c r="A16888" s="4" t="s">
        <v>1</v>
      </c>
      <c r="B1688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88" s="3" t="str">
        <f>HYPERLINK("https://otsuka-europe-crm.veevavault.com/ui/#object/sent_email__v/VBL000000016702", "SE-001401058")</f>
        <v>SE-001401058</v>
      </c>
      <c r="D16888" s="1" t="s">
        <v>0</v>
      </c>
      <c r="E16888" s="2">
        <v>0</v>
      </c>
      <c r="F16888" s="2">
        <v>0</v>
      </c>
      <c r="G16888" s="2">
        <v>0</v>
      </c>
      <c r="H16888" s="1" t="s">
        <v>0</v>
      </c>
      <c r="I16888" s="2">
        <v>0</v>
      </c>
      <c r="J16888" s="1">
        <v>46048.674224537041</v>
      </c>
    </row>
    <row r="16889" spans="1:10" x14ac:dyDescent="0.2">
      <c r="A16889" s="4" t="s">
        <v>1</v>
      </c>
      <c r="B1688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89" s="3" t="str">
        <f>HYPERLINK("https://otsuka-europe-crm.veevavault.com/ui/#object/sent_email__v/VBL000000016703", "SE-001401059")</f>
        <v>SE-001401059</v>
      </c>
      <c r="D16889" s="1">
        <v>46048.920567129629</v>
      </c>
      <c r="E16889" s="2">
        <v>1</v>
      </c>
      <c r="F16889" s="2">
        <v>1</v>
      </c>
      <c r="G16889" s="2">
        <v>0</v>
      </c>
      <c r="H16889" s="1" t="s">
        <v>0</v>
      </c>
      <c r="I16889" s="2">
        <v>0</v>
      </c>
      <c r="J16889" s="1">
        <v>46048.674270833333</v>
      </c>
    </row>
    <row r="16890" spans="1:10" x14ac:dyDescent="0.2">
      <c r="A16890" s="4" t="s">
        <v>1</v>
      </c>
      <c r="B1689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90" s="3" t="str">
        <f>HYPERLINK("https://otsuka-europe-crm.veevavault.com/ui/#object/sent_email__v/VBL000000016704", "SE-001401060")</f>
        <v>SE-001401060</v>
      </c>
      <c r="D16890" s="1" t="s">
        <v>0</v>
      </c>
      <c r="E16890" s="2">
        <v>0</v>
      </c>
      <c r="F16890" s="2">
        <v>0</v>
      </c>
      <c r="G16890" s="2">
        <v>0</v>
      </c>
      <c r="H16890" s="1" t="s">
        <v>0</v>
      </c>
      <c r="I16890" s="2">
        <v>0</v>
      </c>
      <c r="J16890" s="1">
        <v>46048.674305555556</v>
      </c>
    </row>
    <row r="16891" spans="1:10" x14ac:dyDescent="0.2">
      <c r="A16891" s="4" t="s">
        <v>1</v>
      </c>
      <c r="B1689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91" s="3" t="str">
        <f>HYPERLINK("https://otsuka-europe-crm.veevavault.com/ui/#object/sent_email__v/VBL000000016705", "SE-001401061")</f>
        <v>SE-001401061</v>
      </c>
      <c r="D16891" s="1" t="s">
        <v>0</v>
      </c>
      <c r="E16891" s="2">
        <v>0</v>
      </c>
      <c r="F16891" s="2">
        <v>0</v>
      </c>
      <c r="G16891" s="2">
        <v>0</v>
      </c>
      <c r="H16891" s="1" t="s">
        <v>0</v>
      </c>
      <c r="I16891" s="2">
        <v>0</v>
      </c>
      <c r="J16891" s="1">
        <v>46048.674351851849</v>
      </c>
    </row>
    <row r="16892" spans="1:10" x14ac:dyDescent="0.2">
      <c r="A16892" s="4" t="s">
        <v>1</v>
      </c>
      <c r="B1689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92" s="3" t="str">
        <f>HYPERLINK("https://otsuka-europe-crm.veevavault.com/ui/#object/sent_email__v/VBL000000016706", "SE-001401062")</f>
        <v>SE-001401062</v>
      </c>
      <c r="D16892" s="1" t="s">
        <v>0</v>
      </c>
      <c r="E16892" s="2">
        <v>0</v>
      </c>
      <c r="F16892" s="2">
        <v>0</v>
      </c>
      <c r="G16892" s="2">
        <v>0</v>
      </c>
      <c r="H16892" s="1" t="s">
        <v>0</v>
      </c>
      <c r="I16892" s="2">
        <v>0</v>
      </c>
      <c r="J16892" s="1">
        <v>46048.674398148149</v>
      </c>
    </row>
    <row r="16893" spans="1:10" x14ac:dyDescent="0.2">
      <c r="A16893" s="4" t="s">
        <v>1</v>
      </c>
      <c r="B1689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93" s="3" t="str">
        <f>HYPERLINK("https://otsuka-europe-crm.veevavault.com/ui/#object/sent_email__v/VBL000000016707", "SE-001401063")</f>
        <v>SE-001401063</v>
      </c>
      <c r="D16893" s="1" t="s">
        <v>0</v>
      </c>
      <c r="E16893" s="2">
        <v>0</v>
      </c>
      <c r="F16893" s="2">
        <v>0</v>
      </c>
      <c r="G16893" s="2">
        <v>0</v>
      </c>
      <c r="H16893" s="1" t="s">
        <v>0</v>
      </c>
      <c r="I16893" s="2">
        <v>0</v>
      </c>
      <c r="J16893" s="1">
        <v>46048.674444444441</v>
      </c>
    </row>
    <row r="16894" spans="1:10" x14ac:dyDescent="0.2">
      <c r="A16894" s="4" t="s">
        <v>1</v>
      </c>
      <c r="B1689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94" s="3" t="str">
        <f>HYPERLINK("https://otsuka-europe-crm.veevavault.com/ui/#object/sent_email__v/VBL000000016708", "SE-001401064")</f>
        <v>SE-001401064</v>
      </c>
      <c r="D16894" s="1" t="s">
        <v>0</v>
      </c>
      <c r="E16894" s="2">
        <v>0</v>
      </c>
      <c r="F16894" s="2">
        <v>0</v>
      </c>
      <c r="G16894" s="2">
        <v>0</v>
      </c>
      <c r="H16894" s="1" t="s">
        <v>0</v>
      </c>
      <c r="I16894" s="2">
        <v>0</v>
      </c>
      <c r="J16894" s="1">
        <v>46048.674502314818</v>
      </c>
    </row>
    <row r="16895" spans="1:10" x14ac:dyDescent="0.2">
      <c r="A16895" s="4" t="s">
        <v>1</v>
      </c>
      <c r="B1689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95" s="3" t="str">
        <f>HYPERLINK("https://otsuka-europe-crm.veevavault.com/ui/#object/sent_email__v/VBL000000016709", "SE-001401065")</f>
        <v>SE-001401065</v>
      </c>
      <c r="D16895" s="1" t="s">
        <v>0</v>
      </c>
      <c r="E16895" s="2">
        <v>0</v>
      </c>
      <c r="F16895" s="2">
        <v>0</v>
      </c>
      <c r="G16895" s="2">
        <v>0</v>
      </c>
      <c r="H16895" s="1" t="s">
        <v>0</v>
      </c>
      <c r="I16895" s="2">
        <v>0</v>
      </c>
      <c r="J16895" s="1">
        <v>46048.67454861111</v>
      </c>
    </row>
    <row r="16896" spans="1:10" x14ac:dyDescent="0.2">
      <c r="A16896" s="4" t="s">
        <v>1</v>
      </c>
      <c r="B1689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96" s="3" t="str">
        <f>HYPERLINK("https://otsuka-europe-crm.veevavault.com/ui/#object/sent_email__v/VBL000000016710", "SE-001401066")</f>
        <v>SE-001401066</v>
      </c>
      <c r="D16896" s="1" t="s">
        <v>0</v>
      </c>
      <c r="E16896" s="2">
        <v>0</v>
      </c>
      <c r="F16896" s="2">
        <v>0</v>
      </c>
      <c r="G16896" s="2">
        <v>0</v>
      </c>
      <c r="H16896" s="1" t="s">
        <v>0</v>
      </c>
      <c r="I16896" s="2">
        <v>0</v>
      </c>
      <c r="J16896" s="1">
        <v>46048.67460648148</v>
      </c>
    </row>
    <row r="16897" spans="1:10" x14ac:dyDescent="0.2">
      <c r="A16897" s="4" t="s">
        <v>1</v>
      </c>
      <c r="B1689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97" s="3" t="str">
        <f>HYPERLINK("https://otsuka-europe-crm.veevavault.com/ui/#object/sent_email__v/VBL000000016711", "SE-001401067")</f>
        <v>SE-001401067</v>
      </c>
      <c r="D16897" s="1" t="s">
        <v>0</v>
      </c>
      <c r="E16897" s="2">
        <v>0</v>
      </c>
      <c r="F16897" s="2">
        <v>0</v>
      </c>
      <c r="G16897" s="2">
        <v>0</v>
      </c>
      <c r="H16897" s="1" t="s">
        <v>0</v>
      </c>
      <c r="I16897" s="2">
        <v>0</v>
      </c>
      <c r="J16897" s="1">
        <v>46048.67465277778</v>
      </c>
    </row>
    <row r="16898" spans="1:10" x14ac:dyDescent="0.2">
      <c r="A16898" s="4" t="s">
        <v>1</v>
      </c>
      <c r="B1689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98" s="3" t="str">
        <f>HYPERLINK("https://otsuka-europe-crm.veevavault.com/ui/#object/sent_email__v/VBL000000016712", "SE-001401068")</f>
        <v>SE-001401068</v>
      </c>
      <c r="D16898" s="1">
        <v>46063.953877314816</v>
      </c>
      <c r="E16898" s="2">
        <v>1</v>
      </c>
      <c r="F16898" s="2">
        <v>2</v>
      </c>
      <c r="G16898" s="2">
        <v>0</v>
      </c>
      <c r="H16898" s="1" t="s">
        <v>0</v>
      </c>
      <c r="I16898" s="2">
        <v>0</v>
      </c>
      <c r="J16898" s="1">
        <v>46048.674699074072</v>
      </c>
    </row>
    <row r="16899" spans="1:10" x14ac:dyDescent="0.2">
      <c r="A16899" s="4" t="s">
        <v>1</v>
      </c>
      <c r="B1689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899" s="3" t="str">
        <f>HYPERLINK("https://otsuka-europe-crm.veevavault.com/ui/#object/sent_email__v/VBL000000016713", "SE-001401069")</f>
        <v>SE-001401069</v>
      </c>
      <c r="D16899" s="1" t="s">
        <v>0</v>
      </c>
      <c r="E16899" s="2">
        <v>0</v>
      </c>
      <c r="F16899" s="2">
        <v>0</v>
      </c>
      <c r="G16899" s="2">
        <v>0</v>
      </c>
      <c r="H16899" s="1" t="s">
        <v>0</v>
      </c>
      <c r="I16899" s="2">
        <v>0</v>
      </c>
      <c r="J16899" s="1">
        <v>46048.674733796295</v>
      </c>
    </row>
    <row r="16900" spans="1:10" x14ac:dyDescent="0.2">
      <c r="A16900" s="4" t="s">
        <v>1</v>
      </c>
      <c r="B1690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00" s="3" t="str">
        <f>HYPERLINK("https://otsuka-europe-crm.veevavault.com/ui/#object/sent_email__v/VBL000000016714", "SE-001401070")</f>
        <v>SE-001401070</v>
      </c>
      <c r="D16900" s="1">
        <v>46048.765694444446</v>
      </c>
      <c r="E16900" s="2">
        <v>1</v>
      </c>
      <c r="F16900" s="2">
        <v>2</v>
      </c>
      <c r="G16900" s="2">
        <v>0</v>
      </c>
      <c r="H16900" s="1" t="s">
        <v>0</v>
      </c>
      <c r="I16900" s="2">
        <v>0</v>
      </c>
      <c r="J16900" s="1">
        <v>46048.674780092595</v>
      </c>
    </row>
    <row r="16901" spans="1:10" x14ac:dyDescent="0.2">
      <c r="A16901" s="4" t="s">
        <v>1</v>
      </c>
      <c r="B1690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01" s="3" t="str">
        <f>HYPERLINK("https://otsuka-europe-crm.veevavault.com/ui/#object/sent_email__v/VBL000000016715", "SE-001401071")</f>
        <v>SE-001401071</v>
      </c>
      <c r="D16901" s="1" t="s">
        <v>0</v>
      </c>
      <c r="E16901" s="2">
        <v>0</v>
      </c>
      <c r="F16901" s="2">
        <v>0</v>
      </c>
      <c r="G16901" s="2">
        <v>0</v>
      </c>
      <c r="H16901" s="1" t="s">
        <v>0</v>
      </c>
      <c r="I16901" s="2">
        <v>0</v>
      </c>
      <c r="J16901" s="1">
        <v>46048.674826388888</v>
      </c>
    </row>
    <row r="16902" spans="1:10" x14ac:dyDescent="0.2">
      <c r="A16902" s="4" t="s">
        <v>1</v>
      </c>
      <c r="B1690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02" s="3" t="str">
        <f>HYPERLINK("https://otsuka-europe-crm.veevavault.com/ui/#object/sent_email__v/VBL000000016716", "SE-001401072")</f>
        <v>SE-001401072</v>
      </c>
      <c r="D16902" s="1" t="s">
        <v>0</v>
      </c>
      <c r="E16902" s="2">
        <v>0</v>
      </c>
      <c r="F16902" s="2">
        <v>0</v>
      </c>
      <c r="G16902" s="2">
        <v>0</v>
      </c>
      <c r="H16902" s="1" t="s">
        <v>0</v>
      </c>
      <c r="I16902" s="2">
        <v>0</v>
      </c>
      <c r="J16902" s="1">
        <v>46048.674872685187</v>
      </c>
    </row>
    <row r="16903" spans="1:10" x14ac:dyDescent="0.2">
      <c r="A16903" s="4" t="s">
        <v>1</v>
      </c>
      <c r="B1690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03" s="3" t="str">
        <f>HYPERLINK("https://otsuka-europe-crm.veevavault.com/ui/#object/sent_email__v/VBL000000016717", "SE-001401073")</f>
        <v>SE-001401073</v>
      </c>
      <c r="D16903" s="1" t="s">
        <v>0</v>
      </c>
      <c r="E16903" s="2">
        <v>0</v>
      </c>
      <c r="F16903" s="2">
        <v>0</v>
      </c>
      <c r="G16903" s="2">
        <v>0</v>
      </c>
      <c r="H16903" s="1" t="s">
        <v>0</v>
      </c>
      <c r="I16903" s="2">
        <v>0</v>
      </c>
      <c r="J16903" s="1">
        <v>46048.674907407411</v>
      </c>
    </row>
    <row r="16904" spans="1:10" x14ac:dyDescent="0.2">
      <c r="A16904" s="4" t="s">
        <v>1</v>
      </c>
      <c r="B1690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04" s="3" t="str">
        <f>HYPERLINK("https://otsuka-europe-crm.veevavault.com/ui/#object/sent_email__v/VBL000000016718", "SE-001401074")</f>
        <v>SE-001401074</v>
      </c>
      <c r="D16904" s="1" t="s">
        <v>0</v>
      </c>
      <c r="E16904" s="2">
        <v>0</v>
      </c>
      <c r="F16904" s="2">
        <v>0</v>
      </c>
      <c r="G16904" s="2">
        <v>0</v>
      </c>
      <c r="H16904" s="1" t="s">
        <v>0</v>
      </c>
      <c r="I16904" s="2">
        <v>0</v>
      </c>
      <c r="J16904" s="1">
        <v>46048.67496527778</v>
      </c>
    </row>
    <row r="16905" spans="1:10" x14ac:dyDescent="0.2">
      <c r="A16905" s="4" t="s">
        <v>1</v>
      </c>
      <c r="B1690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05" s="3" t="str">
        <f>HYPERLINK("https://otsuka-europe-crm.veevavault.com/ui/#object/sent_email__v/VBL000000016719", "SE-001401075")</f>
        <v>SE-001401075</v>
      </c>
      <c r="D16905" s="1" t="s">
        <v>0</v>
      </c>
      <c r="E16905" s="2">
        <v>0</v>
      </c>
      <c r="F16905" s="2">
        <v>0</v>
      </c>
      <c r="G16905" s="2">
        <v>0</v>
      </c>
      <c r="H16905" s="1" t="s">
        <v>0</v>
      </c>
      <c r="I16905" s="2">
        <v>0</v>
      </c>
      <c r="J16905" s="1">
        <v>46048.675034722219</v>
      </c>
    </row>
    <row r="16906" spans="1:10" x14ac:dyDescent="0.2">
      <c r="A16906" s="4" t="s">
        <v>1</v>
      </c>
      <c r="B1690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06" s="3" t="str">
        <f>HYPERLINK("https://otsuka-europe-crm.veevavault.com/ui/#object/sent_email__v/VBL000000016720", "SE-001401076")</f>
        <v>SE-001401076</v>
      </c>
      <c r="D16906" s="1" t="s">
        <v>0</v>
      </c>
      <c r="E16906" s="2">
        <v>0</v>
      </c>
      <c r="F16906" s="2">
        <v>0</v>
      </c>
      <c r="G16906" s="2">
        <v>0</v>
      </c>
      <c r="H16906" s="1" t="s">
        <v>0</v>
      </c>
      <c r="I16906" s="2">
        <v>0</v>
      </c>
      <c r="J16906" s="1">
        <v>46048.675081018519</v>
      </c>
    </row>
    <row r="16907" spans="1:10" x14ac:dyDescent="0.2">
      <c r="A16907" s="4" t="s">
        <v>1</v>
      </c>
      <c r="B1690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07" s="3" t="str">
        <f>HYPERLINK("https://otsuka-europe-crm.veevavault.com/ui/#object/sent_email__v/VBL000000016721", "SE-001401077")</f>
        <v>SE-001401077</v>
      </c>
      <c r="D16907" s="1" t="s">
        <v>0</v>
      </c>
      <c r="E16907" s="2">
        <v>0</v>
      </c>
      <c r="F16907" s="2">
        <v>0</v>
      </c>
      <c r="G16907" s="2">
        <v>0</v>
      </c>
      <c r="H16907" s="1" t="s">
        <v>0</v>
      </c>
      <c r="I16907" s="2">
        <v>0</v>
      </c>
      <c r="J16907" s="1">
        <v>46048.675115740742</v>
      </c>
    </row>
    <row r="16908" spans="1:10" x14ac:dyDescent="0.2">
      <c r="A16908" s="4" t="s">
        <v>1</v>
      </c>
      <c r="B1690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08" s="3" t="str">
        <f>HYPERLINK("https://otsuka-europe-crm.veevavault.com/ui/#object/sent_email__v/VBL000000016722", "SE-001401078")</f>
        <v>SE-001401078</v>
      </c>
      <c r="D16908" s="1" t="s">
        <v>0</v>
      </c>
      <c r="E16908" s="2">
        <v>0</v>
      </c>
      <c r="F16908" s="2">
        <v>0</v>
      </c>
      <c r="G16908" s="2">
        <v>0</v>
      </c>
      <c r="H16908" s="1" t="s">
        <v>0</v>
      </c>
      <c r="I16908" s="2">
        <v>0</v>
      </c>
      <c r="J16908" s="1">
        <v>46048.675173611111</v>
      </c>
    </row>
    <row r="16909" spans="1:10" x14ac:dyDescent="0.2">
      <c r="A16909" s="4" t="s">
        <v>1</v>
      </c>
      <c r="B1690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09" s="3" t="str">
        <f>HYPERLINK("https://otsuka-europe-crm.veevavault.com/ui/#object/sent_email__v/VBL000000016723", "SE-001401079")</f>
        <v>SE-001401079</v>
      </c>
      <c r="D16909" s="1" t="s">
        <v>0</v>
      </c>
      <c r="E16909" s="2">
        <v>0</v>
      </c>
      <c r="F16909" s="2">
        <v>0</v>
      </c>
      <c r="G16909" s="2">
        <v>0</v>
      </c>
      <c r="H16909" s="1" t="s">
        <v>0</v>
      </c>
      <c r="I16909" s="2">
        <v>0</v>
      </c>
      <c r="J16909" s="1">
        <v>46048.675219907411</v>
      </c>
    </row>
    <row r="16910" spans="1:10" x14ac:dyDescent="0.2">
      <c r="A16910" s="4" t="s">
        <v>1</v>
      </c>
      <c r="B1691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10" s="3" t="str">
        <f>HYPERLINK("https://otsuka-europe-crm.veevavault.com/ui/#object/sent_email__v/VBL000000016724", "SE-001401080")</f>
        <v>SE-001401080</v>
      </c>
      <c r="D16910" s="1" t="s">
        <v>0</v>
      </c>
      <c r="E16910" s="2">
        <v>0</v>
      </c>
      <c r="F16910" s="2">
        <v>0</v>
      </c>
      <c r="G16910" s="2">
        <v>0</v>
      </c>
      <c r="H16910" s="1" t="s">
        <v>0</v>
      </c>
      <c r="I16910" s="2">
        <v>0</v>
      </c>
      <c r="J16910" s="1">
        <v>46048.675266203703</v>
      </c>
    </row>
    <row r="16911" spans="1:10" x14ac:dyDescent="0.2">
      <c r="A16911" s="4" t="s">
        <v>1</v>
      </c>
      <c r="B1691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11" s="3" t="str">
        <f>HYPERLINK("https://otsuka-europe-crm.veevavault.com/ui/#object/sent_email__v/VBL000000016725", "SE-001401081")</f>
        <v>SE-001401081</v>
      </c>
      <c r="D16911" s="1" t="s">
        <v>0</v>
      </c>
      <c r="E16911" s="2">
        <v>0</v>
      </c>
      <c r="F16911" s="2">
        <v>0</v>
      </c>
      <c r="G16911" s="2">
        <v>0</v>
      </c>
      <c r="H16911" s="1" t="s">
        <v>0</v>
      </c>
      <c r="I16911" s="2">
        <v>0</v>
      </c>
      <c r="J16911" s="1">
        <v>46048.675300925926</v>
      </c>
    </row>
    <row r="16912" spans="1:10" x14ac:dyDescent="0.2">
      <c r="A16912" s="4" t="s">
        <v>1</v>
      </c>
      <c r="B1691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12" s="3" t="str">
        <f>HYPERLINK("https://otsuka-europe-crm.veevavault.com/ui/#object/sent_email__v/VBL000000016726", "SE-001401082")</f>
        <v>SE-001401082</v>
      </c>
      <c r="D16912" s="1" t="s">
        <v>0</v>
      </c>
      <c r="E16912" s="2">
        <v>0</v>
      </c>
      <c r="F16912" s="2">
        <v>0</v>
      </c>
      <c r="G16912" s="2">
        <v>0</v>
      </c>
      <c r="H16912" s="1" t="s">
        <v>0</v>
      </c>
      <c r="I16912" s="2">
        <v>0</v>
      </c>
      <c r="J16912" s="1">
        <v>46048.675347222219</v>
      </c>
    </row>
    <row r="16913" spans="1:10" x14ac:dyDescent="0.2">
      <c r="A16913" s="4" t="s">
        <v>1</v>
      </c>
      <c r="B1691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13" s="3" t="str">
        <f>HYPERLINK("https://otsuka-europe-crm.veevavault.com/ui/#object/sent_email__v/VBL000000016727", "SE-001401083")</f>
        <v>SE-001401083</v>
      </c>
      <c r="D16913" s="1">
        <v>46050.286249999997</v>
      </c>
      <c r="E16913" s="2">
        <v>1</v>
      </c>
      <c r="F16913" s="2">
        <v>2</v>
      </c>
      <c r="G16913" s="2">
        <v>0</v>
      </c>
      <c r="H16913" s="1" t="s">
        <v>0</v>
      </c>
      <c r="I16913" s="2">
        <v>0</v>
      </c>
      <c r="J16913" s="1">
        <v>46048.675393518519</v>
      </c>
    </row>
    <row r="16914" spans="1:10" x14ac:dyDescent="0.2">
      <c r="A16914" s="4" t="s">
        <v>1</v>
      </c>
      <c r="B16914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14" s="3" t="str">
        <f>HYPERLINK("https://otsuka-europe-crm.veevavault.com/ui/#object/sent_email__v/VBL000000016728", "SE-001401084")</f>
        <v>SE-001401084</v>
      </c>
      <c r="D16914" s="1" t="s">
        <v>0</v>
      </c>
      <c r="E16914" s="2">
        <v>0</v>
      </c>
      <c r="F16914" s="2">
        <v>0</v>
      </c>
      <c r="G16914" s="2">
        <v>0</v>
      </c>
      <c r="H16914" s="1" t="s">
        <v>0</v>
      </c>
      <c r="I16914" s="2">
        <v>0</v>
      </c>
      <c r="J16914" s="1">
        <v>46048.675439814811</v>
      </c>
    </row>
    <row r="16915" spans="1:10" x14ac:dyDescent="0.2">
      <c r="A16915" s="4" t="s">
        <v>1</v>
      </c>
      <c r="B16915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15" s="3" t="str">
        <f>HYPERLINK("https://otsuka-europe-crm.veevavault.com/ui/#object/sent_email__v/VBL000000016729", "SE-001401085")</f>
        <v>SE-001401085</v>
      </c>
      <c r="D16915" s="1" t="s">
        <v>0</v>
      </c>
      <c r="E16915" s="2">
        <v>0</v>
      </c>
      <c r="F16915" s="2">
        <v>0</v>
      </c>
      <c r="G16915" s="2">
        <v>0</v>
      </c>
      <c r="H16915" s="1" t="s">
        <v>0</v>
      </c>
      <c r="I16915" s="2">
        <v>0</v>
      </c>
      <c r="J16915" s="1">
        <v>46048.675486111111</v>
      </c>
    </row>
    <row r="16916" spans="1:10" x14ac:dyDescent="0.2">
      <c r="A16916" s="4" t="s">
        <v>1</v>
      </c>
      <c r="B16916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16" s="3" t="str">
        <f>HYPERLINK("https://otsuka-europe-crm.veevavault.com/ui/#object/sent_email__v/VBL000000016730", "SE-001401086")</f>
        <v>SE-001401086</v>
      </c>
      <c r="D16916" s="1" t="s">
        <v>0</v>
      </c>
      <c r="E16916" s="2">
        <v>0</v>
      </c>
      <c r="F16916" s="2">
        <v>0</v>
      </c>
      <c r="G16916" s="2">
        <v>0</v>
      </c>
      <c r="H16916" s="1" t="s">
        <v>0</v>
      </c>
      <c r="I16916" s="2">
        <v>0</v>
      </c>
      <c r="J16916" s="1">
        <v>46048.675520833334</v>
      </c>
    </row>
    <row r="16917" spans="1:10" x14ac:dyDescent="0.2">
      <c r="A16917" s="4" t="s">
        <v>1</v>
      </c>
      <c r="B16917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17" s="3" t="str">
        <f>HYPERLINK("https://otsuka-europe-crm.veevavault.com/ui/#object/sent_email__v/VBL000000016731", "SE-001401087")</f>
        <v>SE-001401087</v>
      </c>
      <c r="D16917" s="1" t="s">
        <v>0</v>
      </c>
      <c r="E16917" s="2">
        <v>0</v>
      </c>
      <c r="F16917" s="2">
        <v>0</v>
      </c>
      <c r="G16917" s="2">
        <v>0</v>
      </c>
      <c r="H16917" s="1" t="s">
        <v>0</v>
      </c>
      <c r="I16917" s="2">
        <v>0</v>
      </c>
      <c r="J16917" s="1">
        <v>46048.675567129627</v>
      </c>
    </row>
    <row r="16918" spans="1:10" x14ac:dyDescent="0.2">
      <c r="A16918" s="4" t="s">
        <v>1</v>
      </c>
      <c r="B16918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18" s="3" t="str">
        <f>HYPERLINK("https://otsuka-europe-crm.veevavault.com/ui/#object/sent_email__v/VBL000000016732", "SE-001401088")</f>
        <v>SE-001401088</v>
      </c>
      <c r="D16918" s="1" t="s">
        <v>0</v>
      </c>
      <c r="E16918" s="2">
        <v>0</v>
      </c>
      <c r="F16918" s="2">
        <v>0</v>
      </c>
      <c r="G16918" s="2">
        <v>0</v>
      </c>
      <c r="H16918" s="1" t="s">
        <v>0</v>
      </c>
      <c r="I16918" s="2">
        <v>0</v>
      </c>
      <c r="J16918" s="1">
        <v>46048.675613425927</v>
      </c>
    </row>
    <row r="16919" spans="1:10" x14ac:dyDescent="0.2">
      <c r="A16919" s="4" t="s">
        <v>1</v>
      </c>
      <c r="B16919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19" s="3" t="str">
        <f>HYPERLINK("https://otsuka-europe-crm.veevavault.com/ui/#object/sent_email__v/VBL000000016733", "SE-001401089")</f>
        <v>SE-001401089</v>
      </c>
      <c r="D16919" s="1" t="s">
        <v>0</v>
      </c>
      <c r="E16919" s="2">
        <v>0</v>
      </c>
      <c r="F16919" s="2">
        <v>0</v>
      </c>
      <c r="G16919" s="2">
        <v>0</v>
      </c>
      <c r="H16919" s="1" t="s">
        <v>0</v>
      </c>
      <c r="I16919" s="2">
        <v>0</v>
      </c>
      <c r="J16919" s="1">
        <v>46048.67564814815</v>
      </c>
    </row>
    <row r="16920" spans="1:10" x14ac:dyDescent="0.2">
      <c r="A16920" s="4" t="s">
        <v>1</v>
      </c>
      <c r="B16920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20" s="3" t="str">
        <f>HYPERLINK("https://otsuka-europe-crm.veevavault.com/ui/#object/sent_email__v/VBL000000016734", "SE-001401090")</f>
        <v>SE-001401090</v>
      </c>
      <c r="D16920" s="1" t="s">
        <v>0</v>
      </c>
      <c r="E16920" s="2">
        <v>0</v>
      </c>
      <c r="F16920" s="2">
        <v>0</v>
      </c>
      <c r="G16920" s="2">
        <v>0</v>
      </c>
      <c r="H16920" s="1" t="s">
        <v>0</v>
      </c>
      <c r="I16920" s="2">
        <v>0</v>
      </c>
      <c r="J16920" s="1">
        <v>46048.675694444442</v>
      </c>
    </row>
    <row r="16921" spans="1:10" x14ac:dyDescent="0.2">
      <c r="A16921" s="4" t="s">
        <v>1</v>
      </c>
      <c r="B16921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21" s="3" t="str">
        <f>HYPERLINK("https://otsuka-europe-crm.veevavault.com/ui/#object/sent_email__v/VBL000000016735", "SE-001401091")</f>
        <v>SE-001401091</v>
      </c>
      <c r="D16921" s="1" t="s">
        <v>0</v>
      </c>
      <c r="E16921" s="2">
        <v>0</v>
      </c>
      <c r="F16921" s="2">
        <v>0</v>
      </c>
      <c r="G16921" s="2">
        <v>0</v>
      </c>
      <c r="H16921" s="1" t="s">
        <v>0</v>
      </c>
      <c r="I16921" s="2">
        <v>0</v>
      </c>
      <c r="J16921" s="1">
        <v>46048.675740740742</v>
      </c>
    </row>
    <row r="16922" spans="1:10" x14ac:dyDescent="0.2">
      <c r="A16922" s="4" t="s">
        <v>1</v>
      </c>
      <c r="B16922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22" s="3" t="str">
        <f>HYPERLINK("https://otsuka-europe-crm.veevavault.com/ui/#object/sent_email__v/VBL000000016736", "SE-001401092")</f>
        <v>SE-001401092</v>
      </c>
      <c r="D16922" s="1" t="s">
        <v>0</v>
      </c>
      <c r="E16922" s="2">
        <v>0</v>
      </c>
      <c r="F16922" s="2">
        <v>0</v>
      </c>
      <c r="G16922" s="2">
        <v>0</v>
      </c>
      <c r="H16922" s="1" t="s">
        <v>0</v>
      </c>
      <c r="I16922" s="2">
        <v>0</v>
      </c>
      <c r="J16922" s="1">
        <v>46048.675775462965</v>
      </c>
    </row>
    <row r="16923" spans="1:10" x14ac:dyDescent="0.2">
      <c r="A16923" s="4" t="s">
        <v>1</v>
      </c>
      <c r="B16923" s="3" t="str">
        <f>HYPERLINK("https://otsuka-europe-crm.veevavault.com/ui/#object/approved_document__v/V5OZ025E82M2JH1", "LUP - videos cc experiencias en vida real con voclosporina - nefro")</f>
        <v>LUP - videos cc experiencias en vida real con voclosporina - nefro</v>
      </c>
      <c r="C16923" s="3" t="str">
        <f>HYPERLINK("https://otsuka-europe-crm.veevavault.com/ui/#object/sent_email__v/VBL000000016737", "SE-001401093")</f>
        <v>SE-001401093</v>
      </c>
      <c r="D16923" s="1">
        <v>46048.907881944448</v>
      </c>
      <c r="E16923" s="2">
        <v>1</v>
      </c>
      <c r="F16923" s="2">
        <v>1</v>
      </c>
      <c r="G16923" s="2">
        <v>0</v>
      </c>
      <c r="H16923" s="1" t="s">
        <v>0</v>
      </c>
      <c r="I16923" s="2">
        <v>0</v>
      </c>
      <c r="J16923" s="1">
        <v>46048.675821759258</v>
      </c>
    </row>
    <row r="16924" spans="1:10" x14ac:dyDescent="0.2">
      <c r="A16924" s="4" t="s">
        <v>1</v>
      </c>
      <c r="B16924" s="3" t="str">
        <f>HYPERLINK("https://otsuka-europe-crm.veevavault.com/ui/#object/approved_document__v/V5O000000007006", "LUP-Invitación webinar 16 de diciembre - Nefro")</f>
        <v>LUP-Invitación webinar 16 de diciembre - Nefro</v>
      </c>
      <c r="C16924" s="3" t="str">
        <f>HYPERLINK("https://otsuka-europe-crm.veevavault.com/ui/#object/sent_email__v/VBL00000000N472", "SE-001390798")</f>
        <v>SE-001390798</v>
      </c>
      <c r="D16924" s="1" t="s">
        <v>0</v>
      </c>
      <c r="E16924" s="2">
        <v>0</v>
      </c>
      <c r="F16924" s="2">
        <v>0</v>
      </c>
      <c r="G16924" s="2">
        <v>0</v>
      </c>
      <c r="H16924" s="1" t="s">
        <v>0</v>
      </c>
      <c r="I16924" s="2">
        <v>0</v>
      </c>
      <c r="J16924" s="1">
        <v>45979.338414351849</v>
      </c>
    </row>
    <row r="16925" spans="1:10" x14ac:dyDescent="0.2">
      <c r="A16925" s="4" t="s">
        <v>1</v>
      </c>
      <c r="B16925" s="3" t="str">
        <f>HYPERLINK("https://otsuka-europe-crm.veevavault.com/ui/#object/approved_document__v/V5O000000007006", "LUP-Invitación webinar 16 de diciembre - Nefro")</f>
        <v>LUP-Invitación webinar 16 de diciembre - Nefro</v>
      </c>
      <c r="C16925" s="3" t="str">
        <f>HYPERLINK("https://otsuka-europe-crm.veevavault.com/ui/#object/sent_email__v/VBL00000000U131", "SE-001394518")</f>
        <v>SE-001394518</v>
      </c>
      <c r="D16925" s="1" t="s">
        <v>0</v>
      </c>
      <c r="E16925" s="2">
        <v>0</v>
      </c>
      <c r="F16925" s="2">
        <v>0</v>
      </c>
      <c r="G16925" s="2">
        <v>0</v>
      </c>
      <c r="H16925" s="1" t="s">
        <v>0</v>
      </c>
      <c r="I16925" s="2">
        <v>0</v>
      </c>
      <c r="J16925" s="1">
        <v>45993.302800925929</v>
      </c>
    </row>
    <row r="16926" spans="1:10" x14ac:dyDescent="0.2">
      <c r="A16926" s="4" t="s">
        <v>1</v>
      </c>
      <c r="B16926" s="3" t="str">
        <f>HYPERLINK("https://otsuka-europe-crm.veevavault.com/ui/#object/approved_document__v/V5O000000007006", "LUP-Invitación webinar 16 de diciembre - Nefro")</f>
        <v>LUP-Invitación webinar 16 de diciembre - Nefro</v>
      </c>
      <c r="C16926" s="3" t="str">
        <f>HYPERLINK("https://otsuka-europe-crm.veevavault.com/ui/#object/sent_email__v/VBL00000000W246", "SE-001396026")</f>
        <v>SE-001396026</v>
      </c>
      <c r="D16926" s="1" t="s">
        <v>0</v>
      </c>
      <c r="E16926" s="2">
        <v>0</v>
      </c>
      <c r="F16926" s="2">
        <v>0</v>
      </c>
      <c r="G16926" s="2">
        <v>0</v>
      </c>
      <c r="H16926" s="1" t="s">
        <v>0</v>
      </c>
      <c r="I16926" s="2">
        <v>0</v>
      </c>
      <c r="J16926" s="1">
        <v>46000.700925925928</v>
      </c>
    </row>
    <row r="16927" spans="1:10" x14ac:dyDescent="0.2">
      <c r="A16927" s="4" t="s">
        <v>1</v>
      </c>
      <c r="B16927" s="3" t="str">
        <f>HYPERLINK("https://otsuka-europe-crm.veevavault.com/ui/#object/approved_document__v/V5O000000007006", "LUP-Invitación webinar 16 de diciembre - Nefro")</f>
        <v>LUP-Invitación webinar 16 de diciembre - Nefro</v>
      </c>
      <c r="C16927" s="3" t="str">
        <f>HYPERLINK("https://otsuka-europe-crm.veevavault.com/ui/#object/sent_email__v/VBL00000000W247", "SE-001396027")</f>
        <v>SE-001396027</v>
      </c>
      <c r="D16927" s="1" t="s">
        <v>0</v>
      </c>
      <c r="E16927" s="2">
        <v>0</v>
      </c>
      <c r="F16927" s="2">
        <v>0</v>
      </c>
      <c r="G16927" s="2">
        <v>0</v>
      </c>
      <c r="H16927" s="1" t="s">
        <v>0</v>
      </c>
      <c r="I16927" s="2">
        <v>0</v>
      </c>
      <c r="J16927" s="1">
        <v>46000.700937499998</v>
      </c>
    </row>
    <row r="16928" spans="1:10" x14ac:dyDescent="0.2">
      <c r="A16928" s="4" t="s">
        <v>1</v>
      </c>
      <c r="B16928" s="3" t="str">
        <f>HYPERLINK("https://otsuka-europe-crm.veevavault.com/ui/#object/approved_document__v/V5O000000007006", "LUP-Invitación webinar 16 de diciembre - Nefro")</f>
        <v>LUP-Invitación webinar 16 de diciembre - Nefro</v>
      </c>
      <c r="C16928" s="3" t="str">
        <f>HYPERLINK("https://otsuka-europe-crm.veevavault.com/ui/#object/sent_email__v/VBL00000000W248", "SE-001396028")</f>
        <v>SE-001396028</v>
      </c>
      <c r="D16928" s="1" t="s">
        <v>0</v>
      </c>
      <c r="E16928" s="2">
        <v>0</v>
      </c>
      <c r="F16928" s="2">
        <v>0</v>
      </c>
      <c r="G16928" s="2">
        <v>0</v>
      </c>
      <c r="H16928" s="1" t="s">
        <v>0</v>
      </c>
      <c r="I16928" s="2">
        <v>0</v>
      </c>
      <c r="J16928" s="1">
        <v>46000.700937499998</v>
      </c>
    </row>
    <row r="16929" spans="1:10" x14ac:dyDescent="0.2">
      <c r="A16929" s="4" t="s">
        <v>1</v>
      </c>
      <c r="B16929" s="3" t="str">
        <f>HYPERLINK("https://otsuka-europe-crm.veevavault.com/ui/#object/approved_document__v/V5O000000007006", "LUP-Invitación webinar 16 de diciembre - Nefro")</f>
        <v>LUP-Invitación webinar 16 de diciembre - Nefro</v>
      </c>
      <c r="C16929" s="3" t="str">
        <f>HYPERLINK("https://otsuka-europe-crm.veevavault.com/ui/#object/sent_email__v/VBL00000000W249", "SE-001396029")</f>
        <v>SE-001396029</v>
      </c>
      <c r="D16929" s="1" t="s">
        <v>0</v>
      </c>
      <c r="E16929" s="2">
        <v>0</v>
      </c>
      <c r="F16929" s="2">
        <v>0</v>
      </c>
      <c r="G16929" s="2">
        <v>0</v>
      </c>
      <c r="H16929" s="1" t="s">
        <v>0</v>
      </c>
      <c r="I16929" s="2">
        <v>0</v>
      </c>
      <c r="J16929" s="1">
        <v>46000.700937499998</v>
      </c>
    </row>
    <row r="16930" spans="1:10" x14ac:dyDescent="0.2">
      <c r="A16930" s="4" t="s">
        <v>1</v>
      </c>
      <c r="B16930" s="3" t="str">
        <f>HYPERLINK("https://otsuka-europe-crm.veevavault.com/ui/#object/approved_document__v/V5O000000007006", "LUP-Invitación webinar 16 de diciembre - Nefro")</f>
        <v>LUP-Invitación webinar 16 de diciembre - Nefro</v>
      </c>
      <c r="C16930" s="3" t="str">
        <f>HYPERLINK("https://otsuka-europe-crm.veevavault.com/ui/#object/sent_email__v/VBL00000000W250", "SE-001396030")</f>
        <v>SE-001396030</v>
      </c>
      <c r="D16930" s="1" t="s">
        <v>0</v>
      </c>
      <c r="E16930" s="2">
        <v>0</v>
      </c>
      <c r="F16930" s="2">
        <v>0</v>
      </c>
      <c r="G16930" s="2">
        <v>0</v>
      </c>
      <c r="H16930" s="1" t="s">
        <v>0</v>
      </c>
      <c r="I16930" s="2">
        <v>0</v>
      </c>
      <c r="J16930" s="1">
        <v>46000.700937499998</v>
      </c>
    </row>
    <row r="16931" spans="1:10" x14ac:dyDescent="0.2">
      <c r="A16931" s="4" t="s">
        <v>1</v>
      </c>
      <c r="B16931" s="3" t="str">
        <f>HYPERLINK("https://otsuka-europe-crm.veevavault.com/ui/#object/approved_document__v/V5O000000007006", "LUP-Invitación webinar 16 de diciembre - Nefro")</f>
        <v>LUP-Invitación webinar 16 de diciembre - Nefro</v>
      </c>
      <c r="C16931" s="3" t="str">
        <f>HYPERLINK("https://otsuka-europe-crm.veevavault.com/ui/#object/sent_email__v/VBL00000000W251", "SE-001396031")</f>
        <v>SE-001396031</v>
      </c>
      <c r="D16931" s="1" t="s">
        <v>0</v>
      </c>
      <c r="E16931" s="2">
        <v>0</v>
      </c>
      <c r="F16931" s="2">
        <v>0</v>
      </c>
      <c r="G16931" s="2">
        <v>0</v>
      </c>
      <c r="H16931" s="1" t="s">
        <v>0</v>
      </c>
      <c r="I16931" s="2">
        <v>0</v>
      </c>
      <c r="J16931" s="1">
        <v>46000.700925925928</v>
      </c>
    </row>
    <row r="16932" spans="1:10" x14ac:dyDescent="0.2">
      <c r="A16932" s="4" t="s">
        <v>1</v>
      </c>
      <c r="B16932" s="3" t="str">
        <f>HYPERLINK("https://otsuka-europe-crm.veevavault.com/ui/#object/approved_document__v/V5O000000007006", "LUP-Invitación webinar 16 de diciembre - Nefro")</f>
        <v>LUP-Invitación webinar 16 de diciembre - Nefro</v>
      </c>
      <c r="C16932" s="3" t="str">
        <f>HYPERLINK("https://otsuka-europe-crm.veevavault.com/ui/#object/sent_email__v/VBL00000000W252", "SE-001396032")</f>
        <v>SE-001396032</v>
      </c>
      <c r="D16932" s="1" t="s">
        <v>0</v>
      </c>
      <c r="E16932" s="2">
        <v>0</v>
      </c>
      <c r="F16932" s="2">
        <v>0</v>
      </c>
      <c r="G16932" s="2">
        <v>0</v>
      </c>
      <c r="H16932" s="1" t="s">
        <v>0</v>
      </c>
      <c r="I16932" s="2">
        <v>0</v>
      </c>
      <c r="J16932" s="1">
        <v>46000.700937499998</v>
      </c>
    </row>
    <row r="16933" spans="1:10" x14ac:dyDescent="0.2">
      <c r="A16933" s="4" t="s">
        <v>1</v>
      </c>
      <c r="B16933" s="3" t="str">
        <f>HYPERLINK("https://otsuka-europe-crm.veevavault.com/ui/#object/approved_document__v/V5O000000007006", "LUP-Invitación webinar 16 de diciembre - Nefro")</f>
        <v>LUP-Invitación webinar 16 de diciembre - Nefro</v>
      </c>
      <c r="C16933" s="3" t="str">
        <f>HYPERLINK("https://otsuka-europe-crm.veevavault.com/ui/#object/sent_email__v/VBL00000000W253", "SE-001396033")</f>
        <v>SE-001396033</v>
      </c>
      <c r="D16933" s="1" t="s">
        <v>0</v>
      </c>
      <c r="E16933" s="2">
        <v>0</v>
      </c>
      <c r="F16933" s="2">
        <v>0</v>
      </c>
      <c r="G16933" s="2">
        <v>0</v>
      </c>
      <c r="H16933" s="1" t="s">
        <v>0</v>
      </c>
      <c r="I16933" s="2">
        <v>0</v>
      </c>
      <c r="J16933" s="1">
        <v>46000.700937499998</v>
      </c>
    </row>
    <row r="16934" spans="1:10" x14ac:dyDescent="0.2">
      <c r="A16934" s="4" t="s">
        <v>1</v>
      </c>
      <c r="B16934" s="3" t="str">
        <f>HYPERLINK("https://otsuka-europe-crm.veevavault.com/ui/#object/approved_document__v/V5O000000007006", "LUP-Invitación webinar 16 de diciembre - Nefro")</f>
        <v>LUP-Invitación webinar 16 de diciembre - Nefro</v>
      </c>
      <c r="C16934" s="3" t="str">
        <f>HYPERLINK("https://otsuka-europe-crm.veevavault.com/ui/#object/sent_email__v/VBL00000000W254", "SE-001396034")</f>
        <v>SE-001396034</v>
      </c>
      <c r="D16934" s="1" t="s">
        <v>0</v>
      </c>
      <c r="E16934" s="2">
        <v>0</v>
      </c>
      <c r="F16934" s="2">
        <v>0</v>
      </c>
      <c r="G16934" s="2">
        <v>0</v>
      </c>
      <c r="H16934" s="1" t="s">
        <v>0</v>
      </c>
      <c r="I16934" s="2">
        <v>0</v>
      </c>
      <c r="J16934" s="1">
        <v>46000.700937499998</v>
      </c>
    </row>
    <row r="16935" spans="1:10" x14ac:dyDescent="0.2">
      <c r="A16935" s="4" t="s">
        <v>1</v>
      </c>
      <c r="B16935" s="3" t="str">
        <f>HYPERLINK("https://otsuka-europe-crm.veevavault.com/ui/#object/approved_document__v/V5O000000007006", "LUP-Invitación webinar 16 de diciembre - Nefro")</f>
        <v>LUP-Invitación webinar 16 de diciembre - Nefro</v>
      </c>
      <c r="C16935" s="3" t="str">
        <f>HYPERLINK("https://otsuka-europe-crm.veevavault.com/ui/#object/sent_email__v/VBL00000000W255", "SE-001396035")</f>
        <v>SE-001396035</v>
      </c>
      <c r="D16935" s="1" t="s">
        <v>0</v>
      </c>
      <c r="E16935" s="2">
        <v>0</v>
      </c>
      <c r="F16935" s="2">
        <v>0</v>
      </c>
      <c r="G16935" s="2">
        <v>0</v>
      </c>
      <c r="H16935" s="1" t="s">
        <v>0</v>
      </c>
      <c r="I16935" s="2">
        <v>0</v>
      </c>
      <c r="J16935" s="1">
        <v>46000.700937499998</v>
      </c>
    </row>
    <row r="16936" spans="1:10" x14ac:dyDescent="0.2">
      <c r="A16936" s="4" t="s">
        <v>1</v>
      </c>
      <c r="B16936" s="3" t="str">
        <f>HYPERLINK("https://otsuka-europe-crm.veevavault.com/ui/#object/approved_document__v/V5O000000007006", "LUP-Invitación webinar 16 de diciembre - Nefro")</f>
        <v>LUP-Invitación webinar 16 de diciembre - Nefro</v>
      </c>
      <c r="C16936" s="3" t="str">
        <f>HYPERLINK("https://otsuka-europe-crm.veevavault.com/ui/#object/sent_email__v/VBL00000000W256", "SE-001396036")</f>
        <v>SE-001396036</v>
      </c>
      <c r="D16936" s="1" t="s">
        <v>0</v>
      </c>
      <c r="E16936" s="2">
        <v>0</v>
      </c>
      <c r="F16936" s="2">
        <v>0</v>
      </c>
      <c r="G16936" s="2">
        <v>0</v>
      </c>
      <c r="H16936" s="1" t="s">
        <v>0</v>
      </c>
      <c r="I16936" s="2">
        <v>0</v>
      </c>
      <c r="J16936" s="1">
        <v>46000.700937499998</v>
      </c>
    </row>
    <row r="16937" spans="1:10" x14ac:dyDescent="0.2">
      <c r="A16937" s="4" t="s">
        <v>1</v>
      </c>
      <c r="B16937" s="3" t="str">
        <f>HYPERLINK("https://otsuka-europe-crm.veevavault.com/ui/#object/approved_document__v/V5O000000007006", "LUP-Invitación webinar 16 de diciembre - Nefro")</f>
        <v>LUP-Invitación webinar 16 de diciembre - Nefro</v>
      </c>
      <c r="C16937" s="3" t="str">
        <f>HYPERLINK("https://otsuka-europe-crm.veevavault.com/ui/#object/sent_email__v/VBL00000000W257", "SE-001396037")</f>
        <v>SE-001396037</v>
      </c>
      <c r="D16937" s="1" t="s">
        <v>0</v>
      </c>
      <c r="E16937" s="2">
        <v>0</v>
      </c>
      <c r="F16937" s="2">
        <v>0</v>
      </c>
      <c r="G16937" s="2">
        <v>0</v>
      </c>
      <c r="H16937" s="1" t="s">
        <v>0</v>
      </c>
      <c r="I16937" s="2">
        <v>0</v>
      </c>
      <c r="J16937" s="1">
        <v>46000.700937499998</v>
      </c>
    </row>
    <row r="16938" spans="1:10" x14ac:dyDescent="0.2">
      <c r="A16938" s="4" t="s">
        <v>1</v>
      </c>
      <c r="B16938" s="3" t="str">
        <f>HYPERLINK("https://otsuka-europe-crm.veevavault.com/ui/#object/approved_document__v/V5O000000007006", "LUP-Invitación webinar 16 de diciembre - Nefro")</f>
        <v>LUP-Invitación webinar 16 de diciembre - Nefro</v>
      </c>
      <c r="C16938" s="3" t="str">
        <f>HYPERLINK("https://otsuka-europe-crm.veevavault.com/ui/#object/sent_email__v/VBL00000000W258", "SE-001396038")</f>
        <v>SE-001396038</v>
      </c>
      <c r="D16938" s="1" t="s">
        <v>0</v>
      </c>
      <c r="E16938" s="2">
        <v>0</v>
      </c>
      <c r="F16938" s="2">
        <v>0</v>
      </c>
      <c r="G16938" s="2">
        <v>0</v>
      </c>
      <c r="H16938" s="1" t="s">
        <v>0</v>
      </c>
      <c r="I16938" s="2">
        <v>0</v>
      </c>
      <c r="J16938" s="1">
        <v>46000.700937499998</v>
      </c>
    </row>
    <row r="16939" spans="1:10" x14ac:dyDescent="0.2">
      <c r="A16939" s="4" t="s">
        <v>1</v>
      </c>
      <c r="B16939" s="3" t="str">
        <f>HYPERLINK("https://otsuka-europe-crm.veevavault.com/ui/#object/approved_document__v/V5O000000007006", "LUP-Invitación webinar 16 de diciembre - Nefro")</f>
        <v>LUP-Invitación webinar 16 de diciembre - Nefro</v>
      </c>
      <c r="C16939" s="3" t="str">
        <f>HYPERLINK("https://otsuka-europe-crm.veevavault.com/ui/#object/sent_email__v/VBL00000000W259", "SE-001396039")</f>
        <v>SE-001396039</v>
      </c>
      <c r="D16939" s="1" t="s">
        <v>0</v>
      </c>
      <c r="E16939" s="2">
        <v>0</v>
      </c>
      <c r="F16939" s="2">
        <v>0</v>
      </c>
      <c r="G16939" s="2">
        <v>0</v>
      </c>
      <c r="H16939" s="1" t="s">
        <v>0</v>
      </c>
      <c r="I16939" s="2">
        <v>0</v>
      </c>
      <c r="J16939" s="1">
        <v>46000.700937499998</v>
      </c>
    </row>
    <row r="16940" spans="1:10" x14ac:dyDescent="0.2">
      <c r="A16940" s="4" t="s">
        <v>1</v>
      </c>
      <c r="B16940" s="3" t="str">
        <f>HYPERLINK("https://otsuka-europe-crm.veevavault.com/ui/#object/approved_document__v/V5O000000007006", "LUP-Invitación webinar 16 de diciembre - Nefro")</f>
        <v>LUP-Invitación webinar 16 de diciembre - Nefro</v>
      </c>
      <c r="C16940" s="3" t="str">
        <f>HYPERLINK("https://otsuka-europe-crm.veevavault.com/ui/#object/sent_email__v/VBL00000000W260", "SE-001396040")</f>
        <v>SE-001396040</v>
      </c>
      <c r="D16940" s="1" t="s">
        <v>0</v>
      </c>
      <c r="E16940" s="2">
        <v>0</v>
      </c>
      <c r="F16940" s="2">
        <v>0</v>
      </c>
      <c r="G16940" s="2">
        <v>0</v>
      </c>
      <c r="H16940" s="1" t="s">
        <v>0</v>
      </c>
      <c r="I16940" s="2">
        <v>0</v>
      </c>
      <c r="J16940" s="1">
        <v>46000.700949074075</v>
      </c>
    </row>
    <row r="16941" spans="1:10" x14ac:dyDescent="0.2">
      <c r="A16941" s="4" t="s">
        <v>1</v>
      </c>
      <c r="B16941" s="3" t="str">
        <f>HYPERLINK("https://otsuka-europe-crm.veevavault.com/ui/#object/approved_document__v/V5O000000007006", "LUP-Invitación webinar 16 de diciembre - Nefro")</f>
        <v>LUP-Invitación webinar 16 de diciembre - Nefro</v>
      </c>
      <c r="C16941" s="3" t="str">
        <f>HYPERLINK("https://otsuka-europe-crm.veevavault.com/ui/#object/sent_email__v/VBL00000000W261", "SE-001396041")</f>
        <v>SE-001396041</v>
      </c>
      <c r="D16941" s="1" t="s">
        <v>0</v>
      </c>
      <c r="E16941" s="2">
        <v>0</v>
      </c>
      <c r="F16941" s="2">
        <v>0</v>
      </c>
      <c r="G16941" s="2">
        <v>0</v>
      </c>
      <c r="H16941" s="1" t="s">
        <v>0</v>
      </c>
      <c r="I16941" s="2">
        <v>0</v>
      </c>
      <c r="J16941" s="1">
        <v>46000.700949074075</v>
      </c>
    </row>
    <row r="16942" spans="1:10" x14ac:dyDescent="0.2">
      <c r="A16942" s="4" t="s">
        <v>1</v>
      </c>
      <c r="B16942" s="3" t="str">
        <f>HYPERLINK("https://otsuka-europe-crm.veevavault.com/ui/#object/approved_document__v/V5O000000007006", "LUP-Invitación webinar 16 de diciembre - Nefro")</f>
        <v>LUP-Invitación webinar 16 de diciembre - Nefro</v>
      </c>
      <c r="C16942" s="3" t="str">
        <f>HYPERLINK("https://otsuka-europe-crm.veevavault.com/ui/#object/sent_email__v/VBL00000000W262", "SE-001396042")</f>
        <v>SE-001396042</v>
      </c>
      <c r="D16942" s="1" t="s">
        <v>0</v>
      </c>
      <c r="E16942" s="2">
        <v>0</v>
      </c>
      <c r="F16942" s="2">
        <v>0</v>
      </c>
      <c r="G16942" s="2">
        <v>0</v>
      </c>
      <c r="H16942" s="1" t="s">
        <v>0</v>
      </c>
      <c r="I16942" s="2">
        <v>0</v>
      </c>
      <c r="J16942" s="1">
        <v>46000.700937499998</v>
      </c>
    </row>
    <row r="16943" spans="1:10" x14ac:dyDescent="0.2">
      <c r="A16943" s="4" t="s">
        <v>1</v>
      </c>
      <c r="B16943" s="3" t="str">
        <f>HYPERLINK("https://otsuka-europe-crm.veevavault.com/ui/#object/approved_document__v/V5O000000007006", "LUP-Invitación webinar 16 de diciembre - Nefro")</f>
        <v>LUP-Invitación webinar 16 de diciembre - Nefro</v>
      </c>
      <c r="C16943" s="3" t="str">
        <f>HYPERLINK("https://otsuka-europe-crm.veevavault.com/ui/#object/sent_email__v/VBL00000000W263", "SE-001396043")</f>
        <v>SE-001396043</v>
      </c>
      <c r="D16943" s="1" t="s">
        <v>0</v>
      </c>
      <c r="E16943" s="2">
        <v>0</v>
      </c>
      <c r="F16943" s="2">
        <v>0</v>
      </c>
      <c r="G16943" s="2">
        <v>0</v>
      </c>
      <c r="H16943" s="1" t="s">
        <v>0</v>
      </c>
      <c r="I16943" s="2">
        <v>0</v>
      </c>
      <c r="J16943" s="1">
        <v>46000.700949074075</v>
      </c>
    </row>
    <row r="16944" spans="1:10" x14ac:dyDescent="0.2">
      <c r="A16944" s="4" t="s">
        <v>1</v>
      </c>
      <c r="B16944" s="3" t="str">
        <f>HYPERLINK("https://otsuka-europe-crm.veevavault.com/ui/#object/approved_document__v/V5O000000007006", "LUP-Invitación webinar 16 de diciembre - Nefro")</f>
        <v>LUP-Invitación webinar 16 de diciembre - Nefro</v>
      </c>
      <c r="C16944" s="3" t="str">
        <f>HYPERLINK("https://otsuka-europe-crm.veevavault.com/ui/#object/sent_email__v/VBL00000000W264", "SE-001396044")</f>
        <v>SE-001396044</v>
      </c>
      <c r="D16944" s="1" t="s">
        <v>0</v>
      </c>
      <c r="E16944" s="2">
        <v>0</v>
      </c>
      <c r="F16944" s="2">
        <v>0</v>
      </c>
      <c r="G16944" s="2">
        <v>0</v>
      </c>
      <c r="H16944" s="1" t="s">
        <v>0</v>
      </c>
      <c r="I16944" s="2">
        <v>0</v>
      </c>
      <c r="J16944" s="1">
        <v>46000.700949074075</v>
      </c>
    </row>
    <row r="16945" spans="1:10" x14ac:dyDescent="0.2">
      <c r="A16945" s="4" t="s">
        <v>1</v>
      </c>
      <c r="B16945" s="3" t="str">
        <f>HYPERLINK("https://otsuka-europe-crm.veevavault.com/ui/#object/approved_document__v/V5O000000007006", "LUP-Invitación webinar 16 de diciembre - Nefro")</f>
        <v>LUP-Invitación webinar 16 de diciembre - Nefro</v>
      </c>
      <c r="C16945" s="3" t="str">
        <f>HYPERLINK("https://otsuka-europe-crm.veevavault.com/ui/#object/sent_email__v/VBL00000000W265", "SE-001396045")</f>
        <v>SE-001396045</v>
      </c>
      <c r="D16945" s="1" t="s">
        <v>0</v>
      </c>
      <c r="E16945" s="2">
        <v>0</v>
      </c>
      <c r="F16945" s="2">
        <v>0</v>
      </c>
      <c r="G16945" s="2">
        <v>0</v>
      </c>
      <c r="H16945" s="1" t="s">
        <v>0</v>
      </c>
      <c r="I16945" s="2">
        <v>0</v>
      </c>
      <c r="J16945" s="1">
        <v>46000.700949074075</v>
      </c>
    </row>
    <row r="16946" spans="1:10" x14ac:dyDescent="0.2">
      <c r="A16946" s="4" t="s">
        <v>1</v>
      </c>
      <c r="B16946" s="3" t="str">
        <f>HYPERLINK("https://otsuka-europe-crm.veevavault.com/ui/#object/approved_document__v/V5O000000007006", "LUP-Invitación webinar 16 de diciembre - Nefro")</f>
        <v>LUP-Invitación webinar 16 de diciembre - Nefro</v>
      </c>
      <c r="C16946" s="3" t="str">
        <f>HYPERLINK("https://otsuka-europe-crm.veevavault.com/ui/#object/sent_email__v/VBL00000000W266", "SE-001396046")</f>
        <v>SE-001396046</v>
      </c>
      <c r="D16946" s="1" t="s">
        <v>0</v>
      </c>
      <c r="E16946" s="2">
        <v>0</v>
      </c>
      <c r="F16946" s="2">
        <v>0</v>
      </c>
      <c r="G16946" s="2">
        <v>0</v>
      </c>
      <c r="H16946" s="1" t="s">
        <v>0</v>
      </c>
      <c r="I16946" s="2">
        <v>0</v>
      </c>
      <c r="J16946" s="1">
        <v>46000.700949074075</v>
      </c>
    </row>
    <row r="16947" spans="1:10" x14ac:dyDescent="0.2">
      <c r="A16947" s="4" t="s">
        <v>1</v>
      </c>
      <c r="B16947" s="3" t="str">
        <f>HYPERLINK("https://otsuka-europe-crm.veevavault.com/ui/#object/approved_document__v/V5O000000007006", "LUP-Invitación webinar 16 de diciembre - Nefro")</f>
        <v>LUP-Invitación webinar 16 de diciembre - Nefro</v>
      </c>
      <c r="C16947" s="3" t="str">
        <f>HYPERLINK("https://otsuka-europe-crm.veevavault.com/ui/#object/sent_email__v/VBL00000000W267", "SE-001396047")</f>
        <v>SE-001396047</v>
      </c>
      <c r="D16947" s="1" t="s">
        <v>0</v>
      </c>
      <c r="E16947" s="2">
        <v>0</v>
      </c>
      <c r="F16947" s="2">
        <v>0</v>
      </c>
      <c r="G16947" s="2">
        <v>0</v>
      </c>
      <c r="H16947" s="1" t="s">
        <v>0</v>
      </c>
      <c r="I16947" s="2">
        <v>0</v>
      </c>
      <c r="J16947" s="1">
        <v>46000.700949074075</v>
      </c>
    </row>
    <row r="16948" spans="1:10" x14ac:dyDescent="0.2">
      <c r="A16948" s="4" t="s">
        <v>1</v>
      </c>
      <c r="B16948" s="3" t="str">
        <f>HYPERLINK("https://otsuka-europe-crm.veevavault.com/ui/#object/approved_document__v/V5O000000007006", "LUP-Invitación webinar 16 de diciembre - Nefro")</f>
        <v>LUP-Invitación webinar 16 de diciembre - Nefro</v>
      </c>
      <c r="C16948" s="3" t="str">
        <f>HYPERLINK("https://otsuka-europe-crm.veevavault.com/ui/#object/sent_email__v/VBL00000000W268", "SE-001396048")</f>
        <v>SE-001396048</v>
      </c>
      <c r="D16948" s="1" t="s">
        <v>0</v>
      </c>
      <c r="E16948" s="2">
        <v>0</v>
      </c>
      <c r="F16948" s="2">
        <v>0</v>
      </c>
      <c r="G16948" s="2">
        <v>0</v>
      </c>
      <c r="H16948" s="1" t="s">
        <v>0</v>
      </c>
      <c r="I16948" s="2">
        <v>0</v>
      </c>
      <c r="J16948" s="1">
        <v>46000.700949074075</v>
      </c>
    </row>
    <row r="16949" spans="1:10" x14ac:dyDescent="0.2">
      <c r="A16949" s="4" t="s">
        <v>1</v>
      </c>
      <c r="B16949" s="3" t="str">
        <f>HYPERLINK("https://otsuka-europe-crm.veevavault.com/ui/#object/approved_document__v/V5O000000007006", "LUP-Invitación webinar 16 de diciembre - Nefro")</f>
        <v>LUP-Invitación webinar 16 de diciembre - Nefro</v>
      </c>
      <c r="C16949" s="3" t="str">
        <f>HYPERLINK("https://otsuka-europe-crm.veevavault.com/ui/#object/sent_email__v/VBL000000011067", "SE-001396732")</f>
        <v>SE-001396732</v>
      </c>
      <c r="D16949" s="1" t="s">
        <v>0</v>
      </c>
      <c r="E16949" s="2">
        <v>0</v>
      </c>
      <c r="F16949" s="2">
        <v>0</v>
      </c>
      <c r="G16949" s="2">
        <v>0</v>
      </c>
      <c r="H16949" s="1" t="s">
        <v>0</v>
      </c>
      <c r="I16949" s="2">
        <v>0</v>
      </c>
      <c r="J16949" s="1">
        <v>46006.59888888889</v>
      </c>
    </row>
    <row r="16950" spans="1:10" x14ac:dyDescent="0.2">
      <c r="A16950" s="4" t="s">
        <v>1</v>
      </c>
      <c r="B16950" s="3" t="str">
        <f>HYPERLINK("https://otsuka-europe-crm.veevavault.com/ui/#object/approved_document__v/V5O000000007006", "LUP-Invitación webinar 16 de diciembre - Nefro")</f>
        <v>LUP-Invitación webinar 16 de diciembre - Nefro</v>
      </c>
      <c r="C16950" s="3" t="str">
        <f>HYPERLINK("https://otsuka-europe-crm.veevavault.com/ui/#object/sent_email__v/VBL000000011068", "SE-001396733")</f>
        <v>SE-001396733</v>
      </c>
      <c r="D16950" s="1" t="s">
        <v>0</v>
      </c>
      <c r="E16950" s="2">
        <v>0</v>
      </c>
      <c r="F16950" s="2">
        <v>0</v>
      </c>
      <c r="G16950" s="2">
        <v>0</v>
      </c>
      <c r="H16950" s="1" t="s">
        <v>0</v>
      </c>
      <c r="I16950" s="2">
        <v>0</v>
      </c>
      <c r="J16950" s="1">
        <v>46006.59888888889</v>
      </c>
    </row>
    <row r="16951" spans="1:10" x14ac:dyDescent="0.2">
      <c r="A16951" s="4" t="s">
        <v>1</v>
      </c>
      <c r="B16951" s="3" t="str">
        <f>HYPERLINK("https://otsuka-europe-crm.veevavault.com/ui/#object/approved_document__v/V5O000000007006", "LUP-Invitación webinar 16 de diciembre - Nefro")</f>
        <v>LUP-Invitación webinar 16 de diciembre - Nefro</v>
      </c>
      <c r="C16951" s="3" t="str">
        <f>HYPERLINK("https://otsuka-europe-crm.veevavault.com/ui/#object/sent_email__v/VBL000000011069", "SE-001396734")</f>
        <v>SE-001396734</v>
      </c>
      <c r="D16951" s="1" t="s">
        <v>0</v>
      </c>
      <c r="E16951" s="2">
        <v>0</v>
      </c>
      <c r="F16951" s="2">
        <v>0</v>
      </c>
      <c r="G16951" s="2">
        <v>0</v>
      </c>
      <c r="H16951" s="1" t="s">
        <v>0</v>
      </c>
      <c r="I16951" s="2">
        <v>0</v>
      </c>
      <c r="J16951" s="1">
        <v>46006.598900462966</v>
      </c>
    </row>
    <row r="16952" spans="1:10" x14ac:dyDescent="0.2">
      <c r="A16952" s="4" t="s">
        <v>1</v>
      </c>
      <c r="B16952" s="3" t="str">
        <f>HYPERLINK("https://otsuka-europe-crm.veevavault.com/ui/#object/approved_document__v/V5O000000007006", "LUP-Invitación webinar 16 de diciembre - Nefro")</f>
        <v>LUP-Invitación webinar 16 de diciembre - Nefro</v>
      </c>
      <c r="C16952" s="3" t="str">
        <f>HYPERLINK("https://otsuka-europe-crm.veevavault.com/ui/#object/sent_email__v/VBL000000011070", "SE-001396735")</f>
        <v>SE-001396735</v>
      </c>
      <c r="D16952" s="1" t="s">
        <v>0</v>
      </c>
      <c r="E16952" s="2">
        <v>0</v>
      </c>
      <c r="F16952" s="2">
        <v>0</v>
      </c>
      <c r="G16952" s="2">
        <v>0</v>
      </c>
      <c r="H16952" s="1" t="s">
        <v>0</v>
      </c>
      <c r="I16952" s="2">
        <v>0</v>
      </c>
      <c r="J16952" s="1">
        <v>46006.598900462966</v>
      </c>
    </row>
    <row r="16953" spans="1:10" x14ac:dyDescent="0.2">
      <c r="A16953" s="4" t="s">
        <v>1</v>
      </c>
      <c r="B16953" s="3" t="str">
        <f>HYPERLINK("https://otsuka-europe-crm.veevavault.com/ui/#object/approved_document__v/V5O000000007006", "LUP-Invitación webinar 16 de diciembre - Nefro")</f>
        <v>LUP-Invitación webinar 16 de diciembre - Nefro</v>
      </c>
      <c r="C16953" s="3" t="str">
        <f>HYPERLINK("https://otsuka-europe-crm.veevavault.com/ui/#object/sent_email__v/VBL000000011071", "SE-001396736")</f>
        <v>SE-001396736</v>
      </c>
      <c r="D16953" s="1" t="s">
        <v>0</v>
      </c>
      <c r="E16953" s="2">
        <v>0</v>
      </c>
      <c r="F16953" s="2">
        <v>0</v>
      </c>
      <c r="G16953" s="2">
        <v>0</v>
      </c>
      <c r="H16953" s="1" t="s">
        <v>0</v>
      </c>
      <c r="I16953" s="2">
        <v>0</v>
      </c>
      <c r="J16953" s="1">
        <v>46006.59888888889</v>
      </c>
    </row>
    <row r="16954" spans="1:10" x14ac:dyDescent="0.2">
      <c r="A16954" s="4" t="s">
        <v>1</v>
      </c>
      <c r="B16954" s="3" t="str">
        <f>HYPERLINK("https://otsuka-europe-crm.veevavault.com/ui/#object/approved_document__v/V5O000000007006", "LUP-Invitación webinar 16 de diciembre - Nefro")</f>
        <v>LUP-Invitación webinar 16 de diciembre - Nefro</v>
      </c>
      <c r="C16954" s="3" t="str">
        <f>HYPERLINK("https://otsuka-europe-crm.veevavault.com/ui/#object/sent_email__v/VBL000000011072", "SE-001396737")</f>
        <v>SE-001396737</v>
      </c>
      <c r="D16954" s="1" t="s">
        <v>0</v>
      </c>
      <c r="E16954" s="2">
        <v>0</v>
      </c>
      <c r="F16954" s="2">
        <v>0</v>
      </c>
      <c r="G16954" s="2">
        <v>0</v>
      </c>
      <c r="H16954" s="1" t="s">
        <v>0</v>
      </c>
      <c r="I16954" s="2">
        <v>0</v>
      </c>
      <c r="J16954" s="1">
        <v>46006.598900462966</v>
      </c>
    </row>
    <row r="16955" spans="1:10" x14ac:dyDescent="0.2">
      <c r="A16955" s="4" t="s">
        <v>1</v>
      </c>
      <c r="B16955" s="3" t="str">
        <f>HYPERLINK("https://otsuka-europe-crm.veevavault.com/ui/#object/approved_document__v/V5O000000007006", "LUP-Invitación webinar 16 de diciembre - Nefro")</f>
        <v>LUP-Invitación webinar 16 de diciembre - Nefro</v>
      </c>
      <c r="C16955" s="3" t="str">
        <f>HYPERLINK("https://otsuka-europe-crm.veevavault.com/ui/#object/sent_email__v/VBL000000011073", "SE-001396738")</f>
        <v>SE-001396738</v>
      </c>
      <c r="D16955" s="1" t="s">
        <v>0</v>
      </c>
      <c r="E16955" s="2">
        <v>0</v>
      </c>
      <c r="F16955" s="2">
        <v>0</v>
      </c>
      <c r="G16955" s="2">
        <v>0</v>
      </c>
      <c r="H16955" s="1" t="s">
        <v>0</v>
      </c>
      <c r="I16955" s="2">
        <v>0</v>
      </c>
      <c r="J16955" s="1">
        <v>46006.598900462966</v>
      </c>
    </row>
    <row r="16956" spans="1:10" x14ac:dyDescent="0.2">
      <c r="A16956" s="4" t="s">
        <v>1</v>
      </c>
      <c r="B16956" s="3" t="str">
        <f>HYPERLINK("https://otsuka-europe-crm.veevavault.com/ui/#object/approved_document__v/V5O000000007006", "LUP-Invitación webinar 16 de diciembre - Nefro")</f>
        <v>LUP-Invitación webinar 16 de diciembre - Nefro</v>
      </c>
      <c r="C16956" s="3" t="str">
        <f>HYPERLINK("https://otsuka-europe-crm.veevavault.com/ui/#object/sent_email__v/VBL000000011074", "SE-001396739")</f>
        <v>SE-001396739</v>
      </c>
      <c r="D16956" s="1" t="s">
        <v>0</v>
      </c>
      <c r="E16956" s="2">
        <v>0</v>
      </c>
      <c r="F16956" s="2">
        <v>0</v>
      </c>
      <c r="G16956" s="2">
        <v>0</v>
      </c>
      <c r="H16956" s="1" t="s">
        <v>0</v>
      </c>
      <c r="I16956" s="2">
        <v>0</v>
      </c>
      <c r="J16956" s="1">
        <v>46006.59888888889</v>
      </c>
    </row>
    <row r="16957" spans="1:10" x14ac:dyDescent="0.2">
      <c r="A16957" s="4" t="s">
        <v>1</v>
      </c>
      <c r="B16957" s="3" t="str">
        <f>HYPERLINK("https://otsuka-europe-crm.veevavault.com/ui/#object/approved_document__v/V5O000000007006", "LUP-Invitación webinar 16 de diciembre - Nefro")</f>
        <v>LUP-Invitación webinar 16 de diciembre - Nefro</v>
      </c>
      <c r="C16957" s="3" t="str">
        <f>HYPERLINK("https://otsuka-europe-crm.veevavault.com/ui/#object/sent_email__v/VBL000000011075", "SE-001396740")</f>
        <v>SE-001396740</v>
      </c>
      <c r="D16957" s="1" t="s">
        <v>0</v>
      </c>
      <c r="E16957" s="2">
        <v>0</v>
      </c>
      <c r="F16957" s="2">
        <v>0</v>
      </c>
      <c r="G16957" s="2">
        <v>0</v>
      </c>
      <c r="H16957" s="1" t="s">
        <v>0</v>
      </c>
      <c r="I16957" s="2">
        <v>0</v>
      </c>
      <c r="J16957" s="1">
        <v>46006.598900462966</v>
      </c>
    </row>
    <row r="16958" spans="1:10" x14ac:dyDescent="0.2">
      <c r="A16958" s="4" t="s">
        <v>1</v>
      </c>
      <c r="B16958" s="3" t="str">
        <f>HYPERLINK("https://otsuka-europe-crm.veevavault.com/ui/#object/approved_document__v/V5O000000007006", "LUP-Invitación webinar 16 de diciembre - Nefro")</f>
        <v>LUP-Invitación webinar 16 de diciembre - Nefro</v>
      </c>
      <c r="C16958" s="3" t="str">
        <f>HYPERLINK("https://otsuka-europe-crm.veevavault.com/ui/#object/sent_email__v/VBL000000011076", "SE-001396741")</f>
        <v>SE-001396741</v>
      </c>
      <c r="D16958" s="1" t="s">
        <v>0</v>
      </c>
      <c r="E16958" s="2">
        <v>0</v>
      </c>
      <c r="F16958" s="2">
        <v>0</v>
      </c>
      <c r="G16958" s="2">
        <v>0</v>
      </c>
      <c r="H16958" s="1" t="s">
        <v>0</v>
      </c>
      <c r="I16958" s="2">
        <v>0</v>
      </c>
      <c r="J16958" s="1">
        <v>46006.59888888889</v>
      </c>
    </row>
    <row r="16959" spans="1:10" x14ac:dyDescent="0.2">
      <c r="A16959" s="4" t="s">
        <v>1</v>
      </c>
      <c r="B16959" s="3" t="str">
        <f>HYPERLINK("https://otsuka-europe-crm.veevavault.com/ui/#object/approved_document__v/V5O000000007006", "LUP-Invitación webinar 16 de diciembre - Nefro")</f>
        <v>LUP-Invitación webinar 16 de diciembre - Nefro</v>
      </c>
      <c r="C16959" s="3" t="str">
        <f>HYPERLINK("https://otsuka-europe-crm.veevavault.com/ui/#object/sent_email__v/VBL000000011077", "SE-001396742")</f>
        <v>SE-001396742</v>
      </c>
      <c r="D16959" s="1" t="s">
        <v>0</v>
      </c>
      <c r="E16959" s="2">
        <v>0</v>
      </c>
      <c r="F16959" s="2">
        <v>0</v>
      </c>
      <c r="G16959" s="2">
        <v>0</v>
      </c>
      <c r="H16959" s="1" t="s">
        <v>0</v>
      </c>
      <c r="I16959" s="2">
        <v>0</v>
      </c>
      <c r="J16959" s="1">
        <v>46006.598900462966</v>
      </c>
    </row>
    <row r="16960" spans="1:10" x14ac:dyDescent="0.2">
      <c r="A16960" s="4" t="s">
        <v>1</v>
      </c>
      <c r="B16960" s="3" t="str">
        <f>HYPERLINK("https://otsuka-europe-crm.veevavault.com/ui/#object/approved_document__v/V5O000000007006", "LUP-Invitación webinar 16 de diciembre - Nefro")</f>
        <v>LUP-Invitación webinar 16 de diciembre - Nefro</v>
      </c>
      <c r="C16960" s="3" t="str">
        <f>HYPERLINK("https://otsuka-europe-crm.veevavault.com/ui/#object/sent_email__v/VBL000000011078", "SE-001396743")</f>
        <v>SE-001396743</v>
      </c>
      <c r="D16960" s="1" t="s">
        <v>0</v>
      </c>
      <c r="E16960" s="2">
        <v>0</v>
      </c>
      <c r="F16960" s="2">
        <v>0</v>
      </c>
      <c r="G16960" s="2">
        <v>0</v>
      </c>
      <c r="H16960" s="1" t="s">
        <v>0</v>
      </c>
      <c r="I16960" s="2">
        <v>0</v>
      </c>
      <c r="J16960" s="1">
        <v>46006.598900462966</v>
      </c>
    </row>
    <row r="16961" spans="1:10" x14ac:dyDescent="0.2">
      <c r="A16961" s="4" t="s">
        <v>1</v>
      </c>
      <c r="B16961" s="3" t="str">
        <f>HYPERLINK("https://otsuka-europe-crm.veevavault.com/ui/#object/approved_document__v/V5O000000007006", "LUP-Invitación webinar 16 de diciembre - Nefro")</f>
        <v>LUP-Invitación webinar 16 de diciembre - Nefro</v>
      </c>
      <c r="C16961" s="3" t="str">
        <f>HYPERLINK("https://otsuka-europe-crm.veevavault.com/ui/#object/sent_email__v/VBL000000011079", "SE-001396744")</f>
        <v>SE-001396744</v>
      </c>
      <c r="D16961" s="1" t="s">
        <v>0</v>
      </c>
      <c r="E16961" s="2">
        <v>0</v>
      </c>
      <c r="F16961" s="2">
        <v>0</v>
      </c>
      <c r="G16961" s="2">
        <v>0</v>
      </c>
      <c r="H16961" s="1" t="s">
        <v>0</v>
      </c>
      <c r="I16961" s="2">
        <v>0</v>
      </c>
      <c r="J16961" s="1">
        <v>46006.59888888889</v>
      </c>
    </row>
    <row r="16962" spans="1:10" x14ac:dyDescent="0.2">
      <c r="A16962" s="4" t="s">
        <v>1</v>
      </c>
      <c r="B16962" s="3" t="str">
        <f>HYPERLINK("https://otsuka-europe-crm.veevavault.com/ui/#object/approved_document__v/V5O000000007006", "LUP-Invitación webinar 16 de diciembre - Nefro")</f>
        <v>LUP-Invitación webinar 16 de diciembre - Nefro</v>
      </c>
      <c r="C16962" s="3" t="str">
        <f>HYPERLINK("https://otsuka-europe-crm.veevavault.com/ui/#object/sent_email__v/VBL000000011080", "SE-001396745")</f>
        <v>SE-001396745</v>
      </c>
      <c r="D16962" s="1" t="s">
        <v>0</v>
      </c>
      <c r="E16962" s="2">
        <v>0</v>
      </c>
      <c r="F16962" s="2">
        <v>0</v>
      </c>
      <c r="G16962" s="2">
        <v>0</v>
      </c>
      <c r="H16962" s="1" t="s">
        <v>0</v>
      </c>
      <c r="I16962" s="2">
        <v>0</v>
      </c>
      <c r="J16962" s="1">
        <v>46006.598900462966</v>
      </c>
    </row>
    <row r="16963" spans="1:10" x14ac:dyDescent="0.2">
      <c r="A16963" s="4" t="s">
        <v>1</v>
      </c>
      <c r="B16963" s="3" t="str">
        <f>HYPERLINK("https://otsuka-europe-crm.veevavault.com/ui/#object/approved_document__v/V5O000000007006", "LUP-Invitación webinar 16 de diciembre - Nefro")</f>
        <v>LUP-Invitación webinar 16 de diciembre - Nefro</v>
      </c>
      <c r="C16963" s="3" t="str">
        <f>HYPERLINK("https://otsuka-europe-crm.veevavault.com/ui/#object/sent_email__v/VBL000000011081", "SE-001396746")</f>
        <v>SE-001396746</v>
      </c>
      <c r="D16963" s="1" t="s">
        <v>0</v>
      </c>
      <c r="E16963" s="2">
        <v>0</v>
      </c>
      <c r="F16963" s="2">
        <v>0</v>
      </c>
      <c r="G16963" s="2">
        <v>0</v>
      </c>
      <c r="H16963" s="1" t="s">
        <v>0</v>
      </c>
      <c r="I16963" s="2">
        <v>0</v>
      </c>
      <c r="J16963" s="1">
        <v>46006.598900462966</v>
      </c>
    </row>
    <row r="16964" spans="1:10" x14ac:dyDescent="0.2">
      <c r="A16964" s="4" t="s">
        <v>1</v>
      </c>
      <c r="B16964" s="3" t="str">
        <f>HYPERLINK("https://otsuka-europe-crm.veevavault.com/ui/#object/approved_document__v/V5O000000007006", "LUP-Invitación webinar 16 de diciembre - Nefro")</f>
        <v>LUP-Invitación webinar 16 de diciembre - Nefro</v>
      </c>
      <c r="C16964" s="3" t="str">
        <f>HYPERLINK("https://otsuka-europe-crm.veevavault.com/ui/#object/sent_email__v/VBL000000011082", "SE-001396747")</f>
        <v>SE-001396747</v>
      </c>
      <c r="D16964" s="1" t="s">
        <v>0</v>
      </c>
      <c r="E16964" s="2">
        <v>0</v>
      </c>
      <c r="F16964" s="2">
        <v>0</v>
      </c>
      <c r="G16964" s="2">
        <v>0</v>
      </c>
      <c r="H16964" s="1" t="s">
        <v>0</v>
      </c>
      <c r="I16964" s="2">
        <v>0</v>
      </c>
      <c r="J16964" s="1">
        <v>46006.598900462966</v>
      </c>
    </row>
    <row r="16965" spans="1:10" x14ac:dyDescent="0.2">
      <c r="A16965" s="4" t="s">
        <v>1</v>
      </c>
      <c r="B16965" s="3" t="str">
        <f>HYPERLINK("https://otsuka-europe-crm.veevavault.com/ui/#object/approved_document__v/V5O000000007006", "LUP-Invitación webinar 16 de diciembre - Nefro")</f>
        <v>LUP-Invitación webinar 16 de diciembre - Nefro</v>
      </c>
      <c r="C16965" s="3" t="str">
        <f>HYPERLINK("https://otsuka-europe-crm.veevavault.com/ui/#object/sent_email__v/VBL000000011083", "SE-001396748")</f>
        <v>SE-001396748</v>
      </c>
      <c r="D16965" s="1" t="s">
        <v>0</v>
      </c>
      <c r="E16965" s="2">
        <v>0</v>
      </c>
      <c r="F16965" s="2">
        <v>0</v>
      </c>
      <c r="G16965" s="2">
        <v>0</v>
      </c>
      <c r="H16965" s="1" t="s">
        <v>0</v>
      </c>
      <c r="I16965" s="2">
        <v>0</v>
      </c>
      <c r="J16965" s="1">
        <v>46006.598900462966</v>
      </c>
    </row>
    <row r="16966" spans="1:10" x14ac:dyDescent="0.2">
      <c r="A16966" s="4" t="s">
        <v>1</v>
      </c>
      <c r="B16966" s="3" t="str">
        <f>HYPERLINK("https://otsuka-europe-crm.veevavault.com/ui/#object/approved_document__v/V5O000000007006", "LUP-Invitación webinar 16 de diciembre - Nefro")</f>
        <v>LUP-Invitación webinar 16 de diciembre - Nefro</v>
      </c>
      <c r="C16966" s="3" t="str">
        <f>HYPERLINK("https://otsuka-europe-crm.veevavault.com/ui/#object/sent_email__v/VBL000000011084", "SE-001396749")</f>
        <v>SE-001396749</v>
      </c>
      <c r="D16966" s="1" t="s">
        <v>0</v>
      </c>
      <c r="E16966" s="2">
        <v>0</v>
      </c>
      <c r="F16966" s="2">
        <v>0</v>
      </c>
      <c r="G16966" s="2">
        <v>0</v>
      </c>
      <c r="H16966" s="1" t="s">
        <v>0</v>
      </c>
      <c r="I16966" s="2">
        <v>0</v>
      </c>
      <c r="J16966" s="1">
        <v>46006.598900462966</v>
      </c>
    </row>
    <row r="16967" spans="1:10" x14ac:dyDescent="0.2">
      <c r="A16967" s="4" t="s">
        <v>1</v>
      </c>
      <c r="B16967" s="3" t="str">
        <f>HYPERLINK("https://otsuka-europe-crm.veevavault.com/ui/#object/approved_document__v/V5O000000007006", "LUP-Invitación webinar 16 de diciembre - Nefro")</f>
        <v>LUP-Invitación webinar 16 de diciembre - Nefro</v>
      </c>
      <c r="C16967" s="3" t="str">
        <f>HYPERLINK("https://otsuka-europe-crm.veevavault.com/ui/#object/sent_email__v/VBL000000011085", "SE-001396750")</f>
        <v>SE-001396750</v>
      </c>
      <c r="D16967" s="1" t="s">
        <v>0</v>
      </c>
      <c r="E16967" s="2">
        <v>0</v>
      </c>
      <c r="F16967" s="2">
        <v>0</v>
      </c>
      <c r="G16967" s="2">
        <v>0</v>
      </c>
      <c r="H16967" s="1" t="s">
        <v>0</v>
      </c>
      <c r="I16967" s="2">
        <v>0</v>
      </c>
      <c r="J16967" s="1">
        <v>46006.598900462966</v>
      </c>
    </row>
    <row r="16968" spans="1:10" x14ac:dyDescent="0.2">
      <c r="A16968" s="4" t="s">
        <v>1</v>
      </c>
      <c r="B16968" s="3" t="str">
        <f>HYPERLINK("https://otsuka-europe-crm.veevavault.com/ui/#object/approved_document__v/V5O000000007006", "LUP-Invitación webinar 16 de diciembre - Nefro")</f>
        <v>LUP-Invitación webinar 16 de diciembre - Nefro</v>
      </c>
      <c r="C16968" s="3" t="str">
        <f>HYPERLINK("https://otsuka-europe-crm.veevavault.com/ui/#object/sent_email__v/VBL000000011086", "SE-001396751")</f>
        <v>SE-001396751</v>
      </c>
      <c r="D16968" s="1" t="s">
        <v>0</v>
      </c>
      <c r="E16968" s="2">
        <v>0</v>
      </c>
      <c r="F16968" s="2">
        <v>0</v>
      </c>
      <c r="G16968" s="2">
        <v>0</v>
      </c>
      <c r="H16968" s="1" t="s">
        <v>0</v>
      </c>
      <c r="I16968" s="2">
        <v>0</v>
      </c>
      <c r="J16968" s="1">
        <v>46006.598900462966</v>
      </c>
    </row>
    <row r="16969" spans="1:10" x14ac:dyDescent="0.2">
      <c r="A16969" s="4" t="s">
        <v>1</v>
      </c>
      <c r="B16969" s="3" t="str">
        <f>HYPERLINK("https://otsuka-europe-crm.veevavault.com/ui/#object/approved_document__v/V5O000000007006", "LUP-Invitación webinar 16 de diciembre - Nefro")</f>
        <v>LUP-Invitación webinar 16 de diciembre - Nefro</v>
      </c>
      <c r="C16969" s="3" t="str">
        <f>HYPERLINK("https://otsuka-europe-crm.veevavault.com/ui/#object/sent_email__v/VBL000000011087", "SE-001396752")</f>
        <v>SE-001396752</v>
      </c>
      <c r="D16969" s="1" t="s">
        <v>0</v>
      </c>
      <c r="E16969" s="2">
        <v>0</v>
      </c>
      <c r="F16969" s="2">
        <v>0</v>
      </c>
      <c r="G16969" s="2">
        <v>0</v>
      </c>
      <c r="H16969" s="1" t="s">
        <v>0</v>
      </c>
      <c r="I16969" s="2">
        <v>0</v>
      </c>
      <c r="J16969" s="1">
        <v>46006.598912037036</v>
      </c>
    </row>
    <row r="16970" spans="1:10" x14ac:dyDescent="0.2">
      <c r="A16970" s="4" t="s">
        <v>1</v>
      </c>
      <c r="B16970" s="3" t="str">
        <f>HYPERLINK("https://otsuka-europe-crm.veevavault.com/ui/#object/approved_document__v/V5O000000007007", "LUP-Invitación webinar 16 de diciembre - Reuma")</f>
        <v>LUP-Invitación webinar 16 de diciembre - Reuma</v>
      </c>
      <c r="C16970" s="3" t="str">
        <f>HYPERLINK("https://otsuka-europe-crm.veevavault.com/ui/#object/sent_email__v/VBL00000000V073", "SE-001394847")</f>
        <v>SE-001394847</v>
      </c>
      <c r="D16970" s="1" t="s">
        <v>0</v>
      </c>
      <c r="E16970" s="2">
        <v>0</v>
      </c>
      <c r="F16970" s="2">
        <v>0</v>
      </c>
      <c r="G16970" s="2">
        <v>0</v>
      </c>
      <c r="H16970" s="1" t="s">
        <v>0</v>
      </c>
      <c r="I16970" s="2">
        <v>0</v>
      </c>
      <c r="J16970" s="1">
        <v>45994.582719907405</v>
      </c>
    </row>
    <row r="16971" spans="1:10" x14ac:dyDescent="0.2">
      <c r="A16971" s="4" t="s">
        <v>1</v>
      </c>
      <c r="B16971" s="3" t="str">
        <f>HYPERLINK("https://otsuka-europe-crm.veevavault.com/ui/#object/approved_document__v/V5O000000007007", "LUP-Invitación webinar 16 de diciembre - Reuma")</f>
        <v>LUP-Invitación webinar 16 de diciembre - Reuma</v>
      </c>
      <c r="C16971" s="3" t="str">
        <f>HYPERLINK("https://otsuka-europe-crm.veevavault.com/ui/#object/sent_email__v/VBL00000000W236", "SE-001396009")</f>
        <v>SE-001396009</v>
      </c>
      <c r="D16971" s="1" t="s">
        <v>0</v>
      </c>
      <c r="E16971" s="2">
        <v>0</v>
      </c>
      <c r="F16971" s="2">
        <v>0</v>
      </c>
      <c r="G16971" s="2">
        <v>0</v>
      </c>
      <c r="H16971" s="1" t="s">
        <v>0</v>
      </c>
      <c r="I16971" s="2">
        <v>0</v>
      </c>
      <c r="J16971" s="1">
        <v>46000.692719907405</v>
      </c>
    </row>
    <row r="16972" spans="1:10" x14ac:dyDescent="0.2">
      <c r="A16972" s="4" t="s">
        <v>1</v>
      </c>
      <c r="B16972" s="3" t="str">
        <f>HYPERLINK("https://otsuka-europe-crm.veevavault.com/ui/#object/approved_document__v/V5O000000007007", "LUP-Invitación webinar 16 de diciembre - Reuma")</f>
        <v>LUP-Invitación webinar 16 de diciembre - Reuma</v>
      </c>
      <c r="C16972" s="3" t="str">
        <f>HYPERLINK("https://otsuka-europe-crm.veevavault.com/ui/#object/sent_email__v/VBL00000000W237", "SE-001396010")</f>
        <v>SE-001396010</v>
      </c>
      <c r="D16972" s="1" t="s">
        <v>0</v>
      </c>
      <c r="E16972" s="2">
        <v>0</v>
      </c>
      <c r="F16972" s="2">
        <v>0</v>
      </c>
      <c r="G16972" s="2">
        <v>0</v>
      </c>
      <c r="H16972" s="1" t="s">
        <v>0</v>
      </c>
      <c r="I16972" s="2">
        <v>0</v>
      </c>
      <c r="J16972" s="1">
        <v>46000.692719907405</v>
      </c>
    </row>
    <row r="16973" spans="1:10" x14ac:dyDescent="0.2">
      <c r="A16973" s="4" t="s">
        <v>1</v>
      </c>
      <c r="B16973" s="3" t="str">
        <f>HYPERLINK("https://otsuka-europe-crm.veevavault.com/ui/#object/approved_document__v/V5O000000007007", "LUP-Invitación webinar 16 de diciembre - Reuma")</f>
        <v>LUP-Invitación webinar 16 de diciembre - Reuma</v>
      </c>
      <c r="C16973" s="3" t="str">
        <f>HYPERLINK("https://otsuka-europe-crm.veevavault.com/ui/#object/sent_email__v/VBL00000000W238", "SE-001396011")</f>
        <v>SE-001396011</v>
      </c>
      <c r="D16973" s="1" t="s">
        <v>0</v>
      </c>
      <c r="E16973" s="2">
        <v>0</v>
      </c>
      <c r="F16973" s="2">
        <v>0</v>
      </c>
      <c r="G16973" s="2">
        <v>0</v>
      </c>
      <c r="H16973" s="1" t="s">
        <v>0</v>
      </c>
      <c r="I16973" s="2">
        <v>0</v>
      </c>
      <c r="J16973" s="1">
        <v>46000.692719907405</v>
      </c>
    </row>
    <row r="16974" spans="1:10" x14ac:dyDescent="0.2">
      <c r="A16974" s="4" t="s">
        <v>1</v>
      </c>
      <c r="B16974" s="3" t="str">
        <f>HYPERLINK("https://otsuka-europe-crm.veevavault.com/ui/#object/approved_document__v/V5O000000007007", "LUP-Invitación webinar 16 de diciembre - Reuma")</f>
        <v>LUP-Invitación webinar 16 de diciembre - Reuma</v>
      </c>
      <c r="C16974" s="3" t="str">
        <f>HYPERLINK("https://otsuka-europe-crm.veevavault.com/ui/#object/sent_email__v/VBL00000000W239", "SE-001396012")</f>
        <v>SE-001396012</v>
      </c>
      <c r="D16974" s="1" t="s">
        <v>0</v>
      </c>
      <c r="E16974" s="2">
        <v>0</v>
      </c>
      <c r="F16974" s="2">
        <v>0</v>
      </c>
      <c r="G16974" s="2">
        <v>0</v>
      </c>
      <c r="H16974" s="1" t="s">
        <v>0</v>
      </c>
      <c r="I16974" s="2">
        <v>0</v>
      </c>
      <c r="J16974" s="1">
        <v>46000.692719907405</v>
      </c>
    </row>
    <row r="16975" spans="1:10" x14ac:dyDescent="0.2">
      <c r="A16975" s="4" t="s">
        <v>1</v>
      </c>
      <c r="B16975" s="3" t="str">
        <f>HYPERLINK("https://otsuka-europe-crm.veevavault.com/ui/#object/approved_document__v/V5O000000007007", "LUP-Invitación webinar 16 de diciembre - Reuma")</f>
        <v>LUP-Invitación webinar 16 de diciembre - Reuma</v>
      </c>
      <c r="C16975" s="3" t="str">
        <f>HYPERLINK("https://otsuka-europe-crm.veevavault.com/ui/#object/sent_email__v/VBL00000000W240", "SE-001396013")</f>
        <v>SE-001396013</v>
      </c>
      <c r="D16975" s="1" t="s">
        <v>0</v>
      </c>
      <c r="E16975" s="2">
        <v>0</v>
      </c>
      <c r="F16975" s="2">
        <v>0</v>
      </c>
      <c r="G16975" s="2">
        <v>0</v>
      </c>
      <c r="H16975" s="1" t="s">
        <v>0</v>
      </c>
      <c r="I16975" s="2">
        <v>0</v>
      </c>
      <c r="J16975" s="1">
        <v>46000.692719907405</v>
      </c>
    </row>
    <row r="16976" spans="1:10" x14ac:dyDescent="0.2">
      <c r="A16976" s="4" t="s">
        <v>1</v>
      </c>
      <c r="B16976" s="3" t="str">
        <f>HYPERLINK("https://otsuka-europe-crm.veevavault.com/ui/#object/approved_document__v/V5O000000007007", "LUP-Invitación webinar 16 de diciembre - Reuma")</f>
        <v>LUP-Invitación webinar 16 de diciembre - Reuma</v>
      </c>
      <c r="C16976" s="3" t="str">
        <f>HYPERLINK("https://otsuka-europe-crm.veevavault.com/ui/#object/sent_email__v/VBL00000000W241", "SE-001396014")</f>
        <v>SE-001396014</v>
      </c>
      <c r="D16976" s="1" t="s">
        <v>0</v>
      </c>
      <c r="E16976" s="2">
        <v>0</v>
      </c>
      <c r="F16976" s="2">
        <v>0</v>
      </c>
      <c r="G16976" s="2">
        <v>0</v>
      </c>
      <c r="H16976" s="1" t="s">
        <v>0</v>
      </c>
      <c r="I16976" s="2">
        <v>0</v>
      </c>
      <c r="J16976" s="1">
        <v>46000.692731481482</v>
      </c>
    </row>
    <row r="16977" spans="1:10" x14ac:dyDescent="0.2">
      <c r="A16977" s="4" t="s">
        <v>1</v>
      </c>
      <c r="B16977" s="3" t="str">
        <f>HYPERLINK("https://otsuka-europe-crm.veevavault.com/ui/#object/approved_document__v/V5O000000007007", "LUP-Invitación webinar 16 de diciembre - Reuma")</f>
        <v>LUP-Invitación webinar 16 de diciembre - Reuma</v>
      </c>
      <c r="C16977" s="3" t="str">
        <f>HYPERLINK("https://otsuka-europe-crm.veevavault.com/ui/#object/sent_email__v/VBL00000000W242", "SE-001396015")</f>
        <v>SE-001396015</v>
      </c>
      <c r="D16977" s="1" t="s">
        <v>0</v>
      </c>
      <c r="E16977" s="2">
        <v>0</v>
      </c>
      <c r="F16977" s="2">
        <v>0</v>
      </c>
      <c r="G16977" s="2">
        <v>0</v>
      </c>
      <c r="H16977" s="1" t="s">
        <v>0</v>
      </c>
      <c r="I16977" s="2">
        <v>0</v>
      </c>
      <c r="J16977" s="1">
        <v>46000.692719907405</v>
      </c>
    </row>
    <row r="16978" spans="1:10" x14ac:dyDescent="0.2">
      <c r="A16978" s="4" t="s">
        <v>1</v>
      </c>
      <c r="B16978" s="3" t="str">
        <f>HYPERLINK("https://otsuka-europe-crm.veevavault.com/ui/#object/approved_document__v/V5O000000007007", "LUP-Invitación webinar 16 de diciembre - Reuma")</f>
        <v>LUP-Invitación webinar 16 de diciembre - Reuma</v>
      </c>
      <c r="C16978" s="3" t="str">
        <f>HYPERLINK("https://otsuka-europe-crm.veevavault.com/ui/#object/sent_email__v/VBL00000000W243", "SE-001396016")</f>
        <v>SE-001396016</v>
      </c>
      <c r="D16978" s="1" t="s">
        <v>0</v>
      </c>
      <c r="E16978" s="2">
        <v>0</v>
      </c>
      <c r="F16978" s="2">
        <v>0</v>
      </c>
      <c r="G16978" s="2">
        <v>0</v>
      </c>
      <c r="H16978" s="1" t="s">
        <v>0</v>
      </c>
      <c r="I16978" s="2">
        <v>0</v>
      </c>
      <c r="J16978" s="1">
        <v>46000.692719907405</v>
      </c>
    </row>
    <row r="16979" spans="1:10" x14ac:dyDescent="0.2">
      <c r="A16979" s="4" t="s">
        <v>1</v>
      </c>
      <c r="B16979" s="3" t="str">
        <f>HYPERLINK("https://otsuka-europe-crm.veevavault.com/ui/#object/approved_document__v/V5O000000007007", "LUP-Invitación webinar 16 de diciembre - Reuma")</f>
        <v>LUP-Invitación webinar 16 de diciembre - Reuma</v>
      </c>
      <c r="C16979" s="3" t="str">
        <f>HYPERLINK("https://otsuka-europe-crm.veevavault.com/ui/#object/sent_email__v/VBL00000000W244", "SE-001396017")</f>
        <v>SE-001396017</v>
      </c>
      <c r="D16979" s="1" t="s">
        <v>0</v>
      </c>
      <c r="E16979" s="2">
        <v>0</v>
      </c>
      <c r="F16979" s="2">
        <v>0</v>
      </c>
      <c r="G16979" s="2">
        <v>0</v>
      </c>
      <c r="H16979" s="1" t="s">
        <v>0</v>
      </c>
      <c r="I16979" s="2">
        <v>0</v>
      </c>
      <c r="J16979" s="1">
        <v>46000.692731481482</v>
      </c>
    </row>
    <row r="16980" spans="1:10" x14ac:dyDescent="0.2">
      <c r="A16980" s="4" t="s">
        <v>1</v>
      </c>
      <c r="B16980" s="3" t="str">
        <f>HYPERLINK("https://otsuka-europe-crm.veevavault.com/ui/#object/approved_document__v/V5O000000007007", "LUP-Invitación webinar 16 de diciembre - Reuma")</f>
        <v>LUP-Invitación webinar 16 de diciembre - Reuma</v>
      </c>
      <c r="C16980" s="3" t="str">
        <f>HYPERLINK("https://otsuka-europe-crm.veevavault.com/ui/#object/sent_email__v/VBL00000000W245", "SE-001396018")</f>
        <v>SE-001396018</v>
      </c>
      <c r="D16980" s="1" t="s">
        <v>0</v>
      </c>
      <c r="E16980" s="2">
        <v>0</v>
      </c>
      <c r="F16980" s="2">
        <v>0</v>
      </c>
      <c r="G16980" s="2">
        <v>0</v>
      </c>
      <c r="H16980" s="1" t="s">
        <v>0</v>
      </c>
      <c r="I16980" s="2">
        <v>0</v>
      </c>
      <c r="J16980" s="1">
        <v>46000.692719907405</v>
      </c>
    </row>
    <row r="16981" spans="1:10" x14ac:dyDescent="0.2">
      <c r="A16981" s="4" t="s">
        <v>1</v>
      </c>
      <c r="B16981" s="3" t="str">
        <f>HYPERLINK("https://otsuka-europe-crm.veevavault.com/ui/#object/approved_document__v/V5O000000007007", "LUP-Invitación webinar 16 de diciembre - Reuma")</f>
        <v>LUP-Invitación webinar 16 de diciembre - Reuma</v>
      </c>
      <c r="C16981" s="3" t="str">
        <f>HYPERLINK("https://otsuka-europe-crm.veevavault.com/ui/#object/sent_email__v/VBL00000000X308", "SE-001396019")</f>
        <v>SE-001396019</v>
      </c>
      <c r="D16981" s="1" t="s">
        <v>0</v>
      </c>
      <c r="E16981" s="2">
        <v>0</v>
      </c>
      <c r="F16981" s="2">
        <v>0</v>
      </c>
      <c r="G16981" s="2">
        <v>0</v>
      </c>
      <c r="H16981" s="1" t="s">
        <v>0</v>
      </c>
      <c r="I16981" s="2">
        <v>0</v>
      </c>
      <c r="J16981" s="1">
        <v>46000.696516203701</v>
      </c>
    </row>
    <row r="16982" spans="1:10" x14ac:dyDescent="0.2">
      <c r="A16982" s="4" t="s">
        <v>1</v>
      </c>
      <c r="B16982" s="3" t="str">
        <f>HYPERLINK("https://otsuka-europe-crm.veevavault.com/ui/#object/approved_document__v/V5O000000007007", "LUP-Invitación webinar 16 de diciembre - Reuma")</f>
        <v>LUP-Invitación webinar 16 de diciembre - Reuma</v>
      </c>
      <c r="C16982" s="3" t="str">
        <f>HYPERLINK("https://otsuka-europe-crm.veevavault.com/ui/#object/sent_email__v/VBL00000000X309", "SE-001396020")</f>
        <v>SE-001396020</v>
      </c>
      <c r="D16982" s="1" t="s">
        <v>0</v>
      </c>
      <c r="E16982" s="2">
        <v>0</v>
      </c>
      <c r="F16982" s="2">
        <v>0</v>
      </c>
      <c r="G16982" s="2">
        <v>0</v>
      </c>
      <c r="H16982" s="1" t="s">
        <v>0</v>
      </c>
      <c r="I16982" s="2">
        <v>0</v>
      </c>
      <c r="J16982" s="1">
        <v>46000.696516203701</v>
      </c>
    </row>
    <row r="16983" spans="1:10" x14ac:dyDescent="0.2">
      <c r="A16983" s="4" t="s">
        <v>1</v>
      </c>
      <c r="B16983" s="3" t="str">
        <f>HYPERLINK("https://otsuka-europe-crm.veevavault.com/ui/#object/approved_document__v/V5O000000007007", "LUP-Invitación webinar 16 de diciembre - Reuma")</f>
        <v>LUP-Invitación webinar 16 de diciembre - Reuma</v>
      </c>
      <c r="C16983" s="3" t="str">
        <f>HYPERLINK("https://otsuka-europe-crm.veevavault.com/ui/#object/sent_email__v/VBL00000000X310", "SE-001396021")</f>
        <v>SE-001396021</v>
      </c>
      <c r="D16983" s="1" t="s">
        <v>0</v>
      </c>
      <c r="E16983" s="2">
        <v>0</v>
      </c>
      <c r="F16983" s="2">
        <v>0</v>
      </c>
      <c r="G16983" s="2">
        <v>0</v>
      </c>
      <c r="H16983" s="1" t="s">
        <v>0</v>
      </c>
      <c r="I16983" s="2">
        <v>0</v>
      </c>
      <c r="J16983" s="1">
        <v>46000.696516203701</v>
      </c>
    </row>
    <row r="16984" spans="1:10" x14ac:dyDescent="0.2">
      <c r="A16984" s="4" t="s">
        <v>1</v>
      </c>
      <c r="B16984" s="3" t="str">
        <f>HYPERLINK("https://otsuka-europe-crm.veevavault.com/ui/#object/approved_document__v/V5O000000007007", "LUP-Invitación webinar 16 de diciembre - Reuma")</f>
        <v>LUP-Invitación webinar 16 de diciembre - Reuma</v>
      </c>
      <c r="C16984" s="3" t="str">
        <f>HYPERLINK("https://otsuka-europe-crm.veevavault.com/ui/#object/sent_email__v/VBL00000000X311", "SE-001396022")</f>
        <v>SE-001396022</v>
      </c>
      <c r="D16984" s="1" t="s">
        <v>0</v>
      </c>
      <c r="E16984" s="2">
        <v>0</v>
      </c>
      <c r="F16984" s="2">
        <v>0</v>
      </c>
      <c r="G16984" s="2">
        <v>0</v>
      </c>
      <c r="H16984" s="1" t="s">
        <v>0</v>
      </c>
      <c r="I16984" s="2">
        <v>0</v>
      </c>
      <c r="J16984" s="1">
        <v>46000.696516203701</v>
      </c>
    </row>
    <row r="16985" spans="1:10" x14ac:dyDescent="0.2">
      <c r="A16985" s="4" t="s">
        <v>1</v>
      </c>
      <c r="B16985" s="3" t="str">
        <f>HYPERLINK("https://otsuka-europe-crm.veevavault.com/ui/#object/approved_document__v/V5O000000007007", "LUP-Invitación webinar 16 de diciembre - Reuma")</f>
        <v>LUP-Invitación webinar 16 de diciembre - Reuma</v>
      </c>
      <c r="C16985" s="3" t="str">
        <f>HYPERLINK("https://otsuka-europe-crm.veevavault.com/ui/#object/sent_email__v/VBL00000000X312", "SE-001396023")</f>
        <v>SE-001396023</v>
      </c>
      <c r="D16985" s="1" t="s">
        <v>0</v>
      </c>
      <c r="E16985" s="2">
        <v>0</v>
      </c>
      <c r="F16985" s="2">
        <v>0</v>
      </c>
      <c r="G16985" s="2">
        <v>0</v>
      </c>
      <c r="H16985" s="1" t="s">
        <v>0</v>
      </c>
      <c r="I16985" s="2">
        <v>0</v>
      </c>
      <c r="J16985" s="1">
        <v>46000.696516203701</v>
      </c>
    </row>
    <row r="16986" spans="1:10" x14ac:dyDescent="0.2">
      <c r="A16986" s="4" t="s">
        <v>1</v>
      </c>
      <c r="B16986" s="3" t="str">
        <f>HYPERLINK("https://otsuka-europe-crm.veevavault.com/ui/#object/approved_document__v/V5O000000007007", "LUP-Invitación webinar 16 de diciembre - Reuma")</f>
        <v>LUP-Invitación webinar 16 de diciembre - Reuma</v>
      </c>
      <c r="C16986" s="3" t="str">
        <f>HYPERLINK("https://otsuka-europe-crm.veevavault.com/ui/#object/sent_email__v/VBL00000000X313", "SE-001396024")</f>
        <v>SE-001396024</v>
      </c>
      <c r="D16986" s="1" t="s">
        <v>0</v>
      </c>
      <c r="E16986" s="2">
        <v>0</v>
      </c>
      <c r="F16986" s="2">
        <v>0</v>
      </c>
      <c r="G16986" s="2">
        <v>0</v>
      </c>
      <c r="H16986" s="1" t="s">
        <v>0</v>
      </c>
      <c r="I16986" s="2">
        <v>0</v>
      </c>
      <c r="J16986" s="1">
        <v>46000.696516203701</v>
      </c>
    </row>
    <row r="16987" spans="1:10" x14ac:dyDescent="0.2">
      <c r="A16987" s="4" t="s">
        <v>1</v>
      </c>
      <c r="B16987" s="3" t="str">
        <f>HYPERLINK("https://otsuka-europe-crm.veevavault.com/ui/#object/approved_document__v/V5O000000007007", "LUP-Invitación webinar 16 de diciembre - Reuma")</f>
        <v>LUP-Invitación webinar 16 de diciembre - Reuma</v>
      </c>
      <c r="C16987" s="3" t="str">
        <f>HYPERLINK("https://otsuka-europe-crm.veevavault.com/ui/#object/sent_email__v/VBL00000000X314", "SE-001396025")</f>
        <v>SE-001396025</v>
      </c>
      <c r="D16987" s="1" t="s">
        <v>0</v>
      </c>
      <c r="E16987" s="2">
        <v>0</v>
      </c>
      <c r="F16987" s="2">
        <v>0</v>
      </c>
      <c r="G16987" s="2">
        <v>0</v>
      </c>
      <c r="H16987" s="1" t="s">
        <v>0</v>
      </c>
      <c r="I16987" s="2">
        <v>0</v>
      </c>
      <c r="J16987" s="1">
        <v>46000.696516203701</v>
      </c>
    </row>
    <row r="16988" spans="1:10" x14ac:dyDescent="0.2">
      <c r="A16988" s="4" t="s">
        <v>1</v>
      </c>
      <c r="B16988" s="3" t="str">
        <f>HYPERLINK("https://otsuka-europe-crm.veevavault.com/ui/#object/approved_document__v/V5O000000007007", "LUP-Invitación webinar 16 de diciembre - Reuma")</f>
        <v>LUP-Invitación webinar 16 de diciembre - Reuma</v>
      </c>
      <c r="C16988" s="3" t="str">
        <f>HYPERLINK("https://otsuka-europe-crm.veevavault.com/ui/#object/sent_email__v/VBL000000011089", "SE-001396756")</f>
        <v>SE-001396756</v>
      </c>
      <c r="D16988" s="1" t="s">
        <v>0</v>
      </c>
      <c r="E16988" s="2">
        <v>0</v>
      </c>
      <c r="F16988" s="2">
        <v>0</v>
      </c>
      <c r="G16988" s="2">
        <v>0</v>
      </c>
      <c r="H16988" s="1" t="s">
        <v>0</v>
      </c>
      <c r="I16988" s="2">
        <v>0</v>
      </c>
      <c r="J16988" s="1">
        <v>46006.634930555556</v>
      </c>
    </row>
    <row r="16989" spans="1:10" x14ac:dyDescent="0.2">
      <c r="A16989" s="4" t="s">
        <v>1</v>
      </c>
      <c r="B16989" s="3" t="str">
        <f>HYPERLINK("https://otsuka-europe-crm.veevavault.com/ui/#object/approved_document__v/V5O000000007007", "LUP-Invitación webinar 16 de diciembre - Reuma")</f>
        <v>LUP-Invitación webinar 16 de diciembre - Reuma</v>
      </c>
      <c r="C16989" s="3" t="str">
        <f>HYPERLINK("https://otsuka-europe-crm.veevavault.com/ui/#object/sent_email__v/VBL000000011090", "SE-001396757")</f>
        <v>SE-001396757</v>
      </c>
      <c r="D16989" s="1" t="s">
        <v>0</v>
      </c>
      <c r="E16989" s="2">
        <v>0</v>
      </c>
      <c r="F16989" s="2">
        <v>0</v>
      </c>
      <c r="G16989" s="2">
        <v>0</v>
      </c>
      <c r="H16989" s="1" t="s">
        <v>0</v>
      </c>
      <c r="I16989" s="2">
        <v>0</v>
      </c>
      <c r="J16989" s="1">
        <v>46006.634942129633</v>
      </c>
    </row>
    <row r="16990" spans="1:10" x14ac:dyDescent="0.2">
      <c r="A16990" s="4" t="s">
        <v>1</v>
      </c>
      <c r="B16990" s="3" t="str">
        <f>HYPERLINK("https://otsuka-europe-crm.veevavault.com/ui/#object/approved_document__v/V5O000000007007", "LUP-Invitación webinar 16 de diciembre - Reuma")</f>
        <v>LUP-Invitación webinar 16 de diciembre - Reuma</v>
      </c>
      <c r="C16990" s="3" t="str">
        <f>HYPERLINK("https://otsuka-europe-crm.veevavault.com/ui/#object/sent_email__v/VBL000000011091", "SE-001396758")</f>
        <v>SE-001396758</v>
      </c>
      <c r="D16990" s="1" t="s">
        <v>0</v>
      </c>
      <c r="E16990" s="2">
        <v>0</v>
      </c>
      <c r="F16990" s="2">
        <v>0</v>
      </c>
      <c r="G16990" s="2">
        <v>0</v>
      </c>
      <c r="H16990" s="1" t="s">
        <v>0</v>
      </c>
      <c r="I16990" s="2">
        <v>0</v>
      </c>
      <c r="J16990" s="1">
        <v>46006.634953703702</v>
      </c>
    </row>
    <row r="16991" spans="1:10" x14ac:dyDescent="0.2">
      <c r="A16991" s="4" t="s">
        <v>1</v>
      </c>
      <c r="B16991" s="3" t="str">
        <f>HYPERLINK("https://otsuka-europe-crm.veevavault.com/ui/#object/approved_document__v/V5O000000007007", "LUP-Invitación webinar 16 de diciembre - Reuma")</f>
        <v>LUP-Invitación webinar 16 de diciembre - Reuma</v>
      </c>
      <c r="C16991" s="3" t="str">
        <f>HYPERLINK("https://otsuka-europe-crm.veevavault.com/ui/#object/sent_email__v/VBL000000011092", "SE-001396759")</f>
        <v>SE-001396759</v>
      </c>
      <c r="D16991" s="1" t="s">
        <v>0</v>
      </c>
      <c r="E16991" s="2">
        <v>0</v>
      </c>
      <c r="F16991" s="2">
        <v>0</v>
      </c>
      <c r="G16991" s="2">
        <v>0</v>
      </c>
      <c r="H16991" s="1" t="s">
        <v>0</v>
      </c>
      <c r="I16991" s="2">
        <v>0</v>
      </c>
      <c r="J16991" s="1">
        <v>46006.634953703702</v>
      </c>
    </row>
    <row r="16992" spans="1:10" x14ac:dyDescent="0.2">
      <c r="A16992" s="4" t="s">
        <v>1</v>
      </c>
      <c r="B16992" s="3" t="str">
        <f>HYPERLINK("https://otsuka-europe-crm.veevavault.com/ui/#object/approved_document__v/V5O000000007007", "LUP-Invitación webinar 16 de diciembre - Reuma")</f>
        <v>LUP-Invitación webinar 16 de diciembre - Reuma</v>
      </c>
      <c r="C16992" s="3" t="str">
        <f>HYPERLINK("https://otsuka-europe-crm.veevavault.com/ui/#object/sent_email__v/VBL000000011093", "SE-001396760")</f>
        <v>SE-001396760</v>
      </c>
      <c r="D16992" s="1" t="s">
        <v>0</v>
      </c>
      <c r="E16992" s="2">
        <v>0</v>
      </c>
      <c r="F16992" s="2">
        <v>0</v>
      </c>
      <c r="G16992" s="2">
        <v>0</v>
      </c>
      <c r="H16992" s="1" t="s">
        <v>0</v>
      </c>
      <c r="I16992" s="2">
        <v>0</v>
      </c>
      <c r="J16992" s="1">
        <v>46006.634965277779</v>
      </c>
    </row>
    <row r="16993" spans="1:10" x14ac:dyDescent="0.2">
      <c r="A16993" s="4" t="s">
        <v>1</v>
      </c>
      <c r="B16993" s="3" t="str">
        <f>HYPERLINK("https://otsuka-europe-crm.veevavault.com/ui/#object/approved_document__v/V5O000000007007", "LUP-Invitación webinar 16 de diciembre - Reuma")</f>
        <v>LUP-Invitación webinar 16 de diciembre - Reuma</v>
      </c>
      <c r="C16993" s="3" t="str">
        <f>HYPERLINK("https://otsuka-europe-crm.veevavault.com/ui/#object/sent_email__v/VBL000000011094", "SE-001396761")</f>
        <v>SE-001396761</v>
      </c>
      <c r="D16993" s="1" t="s">
        <v>0</v>
      </c>
      <c r="E16993" s="2">
        <v>0</v>
      </c>
      <c r="F16993" s="2">
        <v>0</v>
      </c>
      <c r="G16993" s="2">
        <v>0</v>
      </c>
      <c r="H16993" s="1" t="s">
        <v>0</v>
      </c>
      <c r="I16993" s="2">
        <v>0</v>
      </c>
      <c r="J16993" s="1">
        <v>46006.634965277779</v>
      </c>
    </row>
    <row r="16994" spans="1:10" x14ac:dyDescent="0.2">
      <c r="A16994" s="4" t="s">
        <v>1</v>
      </c>
      <c r="B16994" s="3" t="str">
        <f>HYPERLINK("https://otsuka-europe-crm.veevavault.com/ui/#object/approved_document__v/V5O000000007007", "LUP-Invitación webinar 16 de diciembre - Reuma")</f>
        <v>LUP-Invitación webinar 16 de diciembre - Reuma</v>
      </c>
      <c r="C16994" s="3" t="str">
        <f>HYPERLINK("https://otsuka-europe-crm.veevavault.com/ui/#object/sent_email__v/VBL000000011095", "SE-001396762")</f>
        <v>SE-001396762</v>
      </c>
      <c r="D16994" s="1" t="s">
        <v>0</v>
      </c>
      <c r="E16994" s="2">
        <v>0</v>
      </c>
      <c r="F16994" s="2">
        <v>0</v>
      </c>
      <c r="G16994" s="2">
        <v>0</v>
      </c>
      <c r="H16994" s="1" t="s">
        <v>0</v>
      </c>
      <c r="I16994" s="2">
        <v>0</v>
      </c>
      <c r="J16994" s="1">
        <v>46006.634953703702</v>
      </c>
    </row>
    <row r="16995" spans="1:10" x14ac:dyDescent="0.2">
      <c r="A16995" s="4" t="s">
        <v>1</v>
      </c>
      <c r="B16995" s="3" t="str">
        <f>HYPERLINK("https://otsuka-europe-crm.veevavault.com/ui/#object/approved_document__v/V5O000000007007", "LUP-Invitación webinar 16 de diciembre - Reuma")</f>
        <v>LUP-Invitación webinar 16 de diciembre - Reuma</v>
      </c>
      <c r="C16995" s="3" t="str">
        <f>HYPERLINK("https://otsuka-europe-crm.veevavault.com/ui/#object/sent_email__v/VBL000000011096", "SE-001396763")</f>
        <v>SE-001396763</v>
      </c>
      <c r="D16995" s="1" t="s">
        <v>0</v>
      </c>
      <c r="E16995" s="2">
        <v>0</v>
      </c>
      <c r="F16995" s="2">
        <v>0</v>
      </c>
      <c r="G16995" s="2">
        <v>0</v>
      </c>
      <c r="H16995" s="1" t="s">
        <v>0</v>
      </c>
      <c r="I16995" s="2">
        <v>0</v>
      </c>
      <c r="J16995" s="1">
        <v>46006.634965277779</v>
      </c>
    </row>
    <row r="16996" spans="1:10" x14ac:dyDescent="0.2">
      <c r="A16996" s="4" t="s">
        <v>1</v>
      </c>
      <c r="B16996" s="3" t="str">
        <f>HYPERLINK("https://otsuka-europe-crm.veevavault.com/ui/#object/approved_document__v/V5O000000007007", "LUP-Invitación webinar 16 de diciembre - Reuma")</f>
        <v>LUP-Invitación webinar 16 de diciembre - Reuma</v>
      </c>
      <c r="C16996" s="3" t="str">
        <f>HYPERLINK("https://otsuka-europe-crm.veevavault.com/ui/#object/sent_email__v/VBL000000011097", "SE-001396764")</f>
        <v>SE-001396764</v>
      </c>
      <c r="D16996" s="1" t="s">
        <v>0</v>
      </c>
      <c r="E16996" s="2">
        <v>0</v>
      </c>
      <c r="F16996" s="2">
        <v>0</v>
      </c>
      <c r="G16996" s="2">
        <v>0</v>
      </c>
      <c r="H16996" s="1" t="s">
        <v>0</v>
      </c>
      <c r="I16996" s="2">
        <v>0</v>
      </c>
      <c r="J16996" s="1">
        <v>46006.634976851848</v>
      </c>
    </row>
    <row r="16997" spans="1:10" x14ac:dyDescent="0.2">
      <c r="A16997" s="4" t="s">
        <v>1</v>
      </c>
      <c r="B16997" s="3" t="str">
        <f>HYPERLINK("https://otsuka-europe-crm.veevavault.com/ui/#object/approved_document__v/V5O000000007007", "LUP-Invitación webinar 16 de diciembre - Reuma")</f>
        <v>LUP-Invitación webinar 16 de diciembre - Reuma</v>
      </c>
      <c r="C16997" s="3" t="str">
        <f>HYPERLINK("https://otsuka-europe-crm.veevavault.com/ui/#object/sent_email__v/VBL000000011098", "SE-001396765")</f>
        <v>SE-001396765</v>
      </c>
      <c r="D16997" s="1" t="s">
        <v>0</v>
      </c>
      <c r="E16997" s="2">
        <v>0</v>
      </c>
      <c r="F16997" s="2">
        <v>0</v>
      </c>
      <c r="G16997" s="2">
        <v>0</v>
      </c>
      <c r="H16997" s="1" t="s">
        <v>0</v>
      </c>
      <c r="I16997" s="2">
        <v>0</v>
      </c>
      <c r="J16997" s="1">
        <v>46006.638287037036</v>
      </c>
    </row>
    <row r="16998" spans="1:10" x14ac:dyDescent="0.2">
      <c r="A16998" s="4" t="s">
        <v>1</v>
      </c>
      <c r="B16998" s="3" t="str">
        <f>HYPERLINK("https://otsuka-europe-crm.veevavault.com/ui/#object/approved_document__v/V5O000000007007", "LUP-Invitación webinar 16 de diciembre - Reuma")</f>
        <v>LUP-Invitación webinar 16 de diciembre - Reuma</v>
      </c>
      <c r="C16998" s="3" t="str">
        <f>HYPERLINK("https://otsuka-europe-crm.veevavault.com/ui/#object/sent_email__v/VBL000000011099", "SE-001396766")</f>
        <v>SE-001396766</v>
      </c>
      <c r="D16998" s="1" t="s">
        <v>0</v>
      </c>
      <c r="E16998" s="2">
        <v>0</v>
      </c>
      <c r="F16998" s="2">
        <v>0</v>
      </c>
      <c r="G16998" s="2">
        <v>0</v>
      </c>
      <c r="H16998" s="1" t="s">
        <v>0</v>
      </c>
      <c r="I16998" s="2">
        <v>0</v>
      </c>
      <c r="J16998" s="1">
        <v>46006.638310185182</v>
      </c>
    </row>
    <row r="16999" spans="1:10" x14ac:dyDescent="0.2">
      <c r="A16999" s="4" t="s">
        <v>1</v>
      </c>
      <c r="B16999" s="3" t="str">
        <f>HYPERLINK("https://otsuka-europe-crm.veevavault.com/ui/#object/approved_document__v/V5O000000007007", "LUP-Invitación webinar 16 de diciembre - Reuma")</f>
        <v>LUP-Invitación webinar 16 de diciembre - Reuma</v>
      </c>
      <c r="C16999" s="3" t="str">
        <f>HYPERLINK("https://otsuka-europe-crm.veevavault.com/ui/#object/sent_email__v/VBL000000011100", "SE-001396767")</f>
        <v>SE-001396767</v>
      </c>
      <c r="D16999" s="1" t="s">
        <v>0</v>
      </c>
      <c r="E16999" s="2">
        <v>0</v>
      </c>
      <c r="F16999" s="2">
        <v>0</v>
      </c>
      <c r="G16999" s="2">
        <v>0</v>
      </c>
      <c r="H16999" s="1" t="s">
        <v>0</v>
      </c>
      <c r="I16999" s="2">
        <v>0</v>
      </c>
      <c r="J16999" s="1">
        <v>46006.638298611113</v>
      </c>
    </row>
    <row r="17000" spans="1:10" x14ac:dyDescent="0.2">
      <c r="A17000" s="4" t="s">
        <v>1</v>
      </c>
      <c r="B17000" s="3" t="str">
        <f>HYPERLINK("https://otsuka-europe-crm.veevavault.com/ui/#object/approved_document__v/V5O000000007007", "LUP-Invitación webinar 16 de diciembre - Reuma")</f>
        <v>LUP-Invitación webinar 16 de diciembre - Reuma</v>
      </c>
      <c r="C17000" s="3" t="str">
        <f>HYPERLINK("https://otsuka-europe-crm.veevavault.com/ui/#object/sent_email__v/VBL000000011101", "SE-001396768")</f>
        <v>SE-001396768</v>
      </c>
      <c r="D17000" s="1" t="s">
        <v>0</v>
      </c>
      <c r="E17000" s="2">
        <v>0</v>
      </c>
      <c r="F17000" s="2">
        <v>0</v>
      </c>
      <c r="G17000" s="2">
        <v>0</v>
      </c>
      <c r="H17000" s="1" t="s">
        <v>0</v>
      </c>
      <c r="I17000" s="2">
        <v>0</v>
      </c>
      <c r="J17000" s="1">
        <v>46006.638321759259</v>
      </c>
    </row>
    <row r="17001" spans="1:10" x14ac:dyDescent="0.2">
      <c r="A17001" s="4" t="s">
        <v>1</v>
      </c>
      <c r="B17001" s="3" t="str">
        <f>HYPERLINK("https://otsuka-europe-crm.veevavault.com/ui/#object/approved_document__v/V5O000000007007", "LUP-Invitación webinar 16 de diciembre - Reuma")</f>
        <v>LUP-Invitación webinar 16 de diciembre - Reuma</v>
      </c>
      <c r="C17001" s="3" t="str">
        <f>HYPERLINK("https://otsuka-europe-crm.veevavault.com/ui/#object/sent_email__v/VBL000000011102", "SE-001396769")</f>
        <v>SE-001396769</v>
      </c>
      <c r="D17001" s="1" t="s">
        <v>0</v>
      </c>
      <c r="E17001" s="2">
        <v>0</v>
      </c>
      <c r="F17001" s="2">
        <v>0</v>
      </c>
      <c r="G17001" s="2">
        <v>0</v>
      </c>
      <c r="H17001" s="1" t="s">
        <v>0</v>
      </c>
      <c r="I17001" s="2">
        <v>0</v>
      </c>
      <c r="J17001" s="1">
        <v>46006.638310185182</v>
      </c>
    </row>
    <row r="17002" spans="1:10" x14ac:dyDescent="0.2">
      <c r="A17002" s="4" t="s">
        <v>1</v>
      </c>
      <c r="B17002" s="3" t="str">
        <f>HYPERLINK("https://otsuka-europe-crm.veevavault.com/ui/#object/approved_document__v/V5O000000007007", "LUP-Invitación webinar 16 de diciembre - Reuma")</f>
        <v>LUP-Invitación webinar 16 de diciembre - Reuma</v>
      </c>
      <c r="C17002" s="3" t="str">
        <f>HYPERLINK("https://otsuka-europe-crm.veevavault.com/ui/#object/sent_email__v/VBL000000011103", "SE-001396770")</f>
        <v>SE-001396770</v>
      </c>
      <c r="D17002" s="1" t="s">
        <v>0</v>
      </c>
      <c r="E17002" s="2">
        <v>0</v>
      </c>
      <c r="F17002" s="2">
        <v>0</v>
      </c>
      <c r="G17002" s="2">
        <v>0</v>
      </c>
      <c r="H17002" s="1" t="s">
        <v>0</v>
      </c>
      <c r="I17002" s="2">
        <v>0</v>
      </c>
      <c r="J17002" s="1">
        <v>46006.638298611113</v>
      </c>
    </row>
    <row r="17003" spans="1:10" x14ac:dyDescent="0.2">
      <c r="A17003" s="4" t="s">
        <v>1</v>
      </c>
      <c r="B17003" s="3" t="str">
        <f>HYPERLINK("https://otsuka-europe-crm.veevavault.com/ui/#object/approved_document__v/V5O000000007007", "LUP-Invitación webinar 16 de diciembre - Reuma")</f>
        <v>LUP-Invitación webinar 16 de diciembre - Reuma</v>
      </c>
      <c r="C17003" s="3" t="str">
        <f>HYPERLINK("https://otsuka-europe-crm.veevavault.com/ui/#object/sent_email__v/VBL000000011104", "SE-001396771")</f>
        <v>SE-001396771</v>
      </c>
      <c r="D17003" s="1" t="s">
        <v>0</v>
      </c>
      <c r="E17003" s="2">
        <v>0</v>
      </c>
      <c r="F17003" s="2">
        <v>0</v>
      </c>
      <c r="G17003" s="2">
        <v>0</v>
      </c>
      <c r="H17003" s="1" t="s">
        <v>0</v>
      </c>
      <c r="I17003" s="2">
        <v>0</v>
      </c>
      <c r="J17003" s="1">
        <v>46006.638321759259</v>
      </c>
    </row>
    <row r="17004" spans="1:10" x14ac:dyDescent="0.2">
      <c r="A17004" s="4" t="s">
        <v>1</v>
      </c>
      <c r="B17004" s="3" t="str">
        <f>HYPERLINK("https://otsuka-europe-crm.veevavault.com/ui/#object/approved_document__v/V5O00000000Q003", "LUP-Material riñones CLM")</f>
        <v>LUP-Material riñones CLM</v>
      </c>
      <c r="C17004" s="3" t="str">
        <f>HYPERLINK("https://otsuka-europe-crm.veevavault.com/ui/#object/sent_email__v/VBL00000001E178", "SE-001404234")</f>
        <v>SE-001404234</v>
      </c>
      <c r="D17004" s="1" t="s">
        <v>0</v>
      </c>
      <c r="E17004" s="2">
        <v>0</v>
      </c>
      <c r="F17004" s="2">
        <v>0</v>
      </c>
      <c r="G17004" s="2">
        <v>0</v>
      </c>
      <c r="H17004" s="1" t="s">
        <v>0</v>
      </c>
      <c r="I17004" s="2">
        <v>0</v>
      </c>
      <c r="J17004" s="1">
        <v>46070.494571759256</v>
      </c>
    </row>
    <row r="17005" spans="1:10" x14ac:dyDescent="0.2">
      <c r="A17005" s="4" t="s">
        <v>1</v>
      </c>
      <c r="B17005" s="3" t="str">
        <f>HYPERLINK("https://otsuka-europe-crm.veevavault.com/ui/#object/approved_document__v/V5O00000000Q003", "LUP-Material riñones CLM")</f>
        <v>LUP-Material riñones CLM</v>
      </c>
      <c r="C17005" s="3" t="str">
        <f>HYPERLINK("https://otsuka-europe-crm.veevavault.com/ui/#object/sent_email__v/VBL00000001E179", "SE-001404235")</f>
        <v>SE-001404235</v>
      </c>
      <c r="D17005" s="1" t="s">
        <v>0</v>
      </c>
      <c r="E17005" s="2">
        <v>0</v>
      </c>
      <c r="F17005" s="2">
        <v>0</v>
      </c>
      <c r="G17005" s="2">
        <v>0</v>
      </c>
      <c r="H17005" s="1" t="s">
        <v>0</v>
      </c>
      <c r="I17005" s="2">
        <v>0</v>
      </c>
      <c r="J17005" s="1">
        <v>46070.494571759256</v>
      </c>
    </row>
    <row r="17006" spans="1:10" x14ac:dyDescent="0.2">
      <c r="A17006" s="4" t="s">
        <v>1</v>
      </c>
      <c r="B17006" s="3" t="str">
        <f>HYPERLINK("https://otsuka-europe-crm.veevavault.com/ui/#object/approved_document__v/V5O00000000Q003", "LUP-Material riñones CLM")</f>
        <v>LUP-Material riñones CLM</v>
      </c>
      <c r="C17006" s="3" t="str">
        <f>HYPERLINK("https://otsuka-europe-crm.veevavault.com/ui/#object/sent_email__v/VBL00000001E180", "SE-001404236")</f>
        <v>SE-001404236</v>
      </c>
      <c r="D17006" s="1" t="s">
        <v>0</v>
      </c>
      <c r="E17006" s="2">
        <v>0</v>
      </c>
      <c r="F17006" s="2">
        <v>0</v>
      </c>
      <c r="G17006" s="2">
        <v>0</v>
      </c>
      <c r="H17006" s="1" t="s">
        <v>0</v>
      </c>
      <c r="I17006" s="2">
        <v>0</v>
      </c>
      <c r="J17006" s="1">
        <v>46070.494571759256</v>
      </c>
    </row>
    <row r="17007" spans="1:10" x14ac:dyDescent="0.2">
      <c r="A17007" s="4" t="s">
        <v>1</v>
      </c>
      <c r="B17007" s="3" t="str">
        <f>HYPERLINK("https://otsuka-europe-crm.veevavault.com/ui/#object/approved_document__v/V5O00000000Q003", "LUP-Material riñones CLM")</f>
        <v>LUP-Material riñones CLM</v>
      </c>
      <c r="C17007" s="3" t="str">
        <f>HYPERLINK("https://otsuka-europe-crm.veevavault.com/ui/#object/sent_email__v/VBL00000001E181", "SE-001404237")</f>
        <v>SE-001404237</v>
      </c>
      <c r="D17007" s="1" t="s">
        <v>0</v>
      </c>
      <c r="E17007" s="2">
        <v>0</v>
      </c>
      <c r="F17007" s="2">
        <v>0</v>
      </c>
      <c r="G17007" s="2">
        <v>0</v>
      </c>
      <c r="H17007" s="1" t="s">
        <v>0</v>
      </c>
      <c r="I17007" s="2">
        <v>0</v>
      </c>
      <c r="J17007" s="1">
        <v>46070.494571759256</v>
      </c>
    </row>
    <row r="17008" spans="1:10" x14ac:dyDescent="0.2">
      <c r="A17008" s="4" t="s">
        <v>1</v>
      </c>
      <c r="B17008" s="3" t="str">
        <f>HYPERLINK("https://otsuka-europe-crm.veevavault.com/ui/#object/approved_document__v/V5O00000000Q003", "LUP-Material riñones CLM")</f>
        <v>LUP-Material riñones CLM</v>
      </c>
      <c r="C17008" s="3" t="str">
        <f>HYPERLINK("https://otsuka-europe-crm.veevavault.com/ui/#object/sent_email__v/VBL00000001E182", "SE-001404238")</f>
        <v>SE-001404238</v>
      </c>
      <c r="D17008" s="1" t="s">
        <v>0</v>
      </c>
      <c r="E17008" s="2">
        <v>0</v>
      </c>
      <c r="F17008" s="2">
        <v>0</v>
      </c>
      <c r="G17008" s="2">
        <v>0</v>
      </c>
      <c r="H17008" s="1" t="s">
        <v>0</v>
      </c>
      <c r="I17008" s="2">
        <v>0</v>
      </c>
      <c r="J17008" s="1">
        <v>46070.494571759256</v>
      </c>
    </row>
    <row r="17009" spans="1:10" x14ac:dyDescent="0.2">
      <c r="A17009" s="4" t="s">
        <v>1</v>
      </c>
      <c r="B17009" s="3" t="str">
        <f>HYPERLINK("https://otsuka-europe-crm.veevavault.com/ui/#object/approved_document__v/V5O00000000Q003", "LUP-Material riñones CLM")</f>
        <v>LUP-Material riñones CLM</v>
      </c>
      <c r="C17009" s="3" t="str">
        <f>HYPERLINK("https://otsuka-europe-crm.veevavault.com/ui/#object/sent_email__v/VBL00000001E183", "SE-001404239")</f>
        <v>SE-001404239</v>
      </c>
      <c r="D17009" s="1" t="s">
        <v>0</v>
      </c>
      <c r="E17009" s="2">
        <v>0</v>
      </c>
      <c r="F17009" s="2">
        <v>0</v>
      </c>
      <c r="G17009" s="2">
        <v>0</v>
      </c>
      <c r="H17009" s="1" t="s">
        <v>0</v>
      </c>
      <c r="I17009" s="2">
        <v>0</v>
      </c>
      <c r="J17009" s="1">
        <v>46070.494571759256</v>
      </c>
    </row>
    <row r="17010" spans="1:10" x14ac:dyDescent="0.2">
      <c r="A17010" s="4" t="s">
        <v>1</v>
      </c>
      <c r="B17010" s="3" t="str">
        <f>HYPERLINK("https://otsuka-europe-crm.veevavault.com/ui/#object/approved_document__v/V5O00000000Q003", "LUP-Material riñones CLM")</f>
        <v>LUP-Material riñones CLM</v>
      </c>
      <c r="C17010" s="3" t="str">
        <f>HYPERLINK("https://otsuka-europe-crm.veevavault.com/ui/#object/sent_email__v/VBL00000001E184", "SE-001404240")</f>
        <v>SE-001404240</v>
      </c>
      <c r="D17010" s="1" t="s">
        <v>0</v>
      </c>
      <c r="E17010" s="2">
        <v>0</v>
      </c>
      <c r="F17010" s="2">
        <v>0</v>
      </c>
      <c r="G17010" s="2">
        <v>0</v>
      </c>
      <c r="H17010" s="1" t="s">
        <v>0</v>
      </c>
      <c r="I17010" s="2">
        <v>0</v>
      </c>
      <c r="J17010" s="1">
        <v>46070.494583333333</v>
      </c>
    </row>
    <row r="17011" spans="1:10" x14ac:dyDescent="0.2">
      <c r="A17011" s="4" t="s">
        <v>1</v>
      </c>
      <c r="B17011" s="3" t="str">
        <f>HYPERLINK("https://otsuka-europe-crm.veevavault.com/ui/#object/approved_document__v/V5O00000000Q003", "LUP-Material riñones CLM")</f>
        <v>LUP-Material riñones CLM</v>
      </c>
      <c r="C17011" s="3" t="str">
        <f>HYPERLINK("https://otsuka-europe-crm.veevavault.com/ui/#object/sent_email__v/VBL00000001E185", "SE-001404241")</f>
        <v>SE-001404241</v>
      </c>
      <c r="D17011" s="1" t="s">
        <v>0</v>
      </c>
      <c r="E17011" s="2">
        <v>0</v>
      </c>
      <c r="F17011" s="2">
        <v>0</v>
      </c>
      <c r="G17011" s="2">
        <v>0</v>
      </c>
      <c r="H17011" s="1" t="s">
        <v>0</v>
      </c>
      <c r="I17011" s="2">
        <v>0</v>
      </c>
      <c r="J17011" s="1">
        <v>46070.494571759256</v>
      </c>
    </row>
    <row r="17012" spans="1:10" x14ac:dyDescent="0.2">
      <c r="A17012" s="4" t="s">
        <v>1</v>
      </c>
      <c r="B17012" s="3" t="str">
        <f>HYPERLINK("https://otsuka-europe-crm.veevavault.com/ui/#object/approved_document__v/V5O00000000Q003", "LUP-Material riñones CLM")</f>
        <v>LUP-Material riñones CLM</v>
      </c>
      <c r="C17012" s="3" t="str">
        <f>HYPERLINK("https://otsuka-europe-crm.veevavault.com/ui/#object/sent_email__v/VBL00000001E186", "SE-001404242")</f>
        <v>SE-001404242</v>
      </c>
      <c r="D17012" s="1" t="s">
        <v>0</v>
      </c>
      <c r="E17012" s="2">
        <v>0</v>
      </c>
      <c r="F17012" s="2">
        <v>0</v>
      </c>
      <c r="G17012" s="2">
        <v>0</v>
      </c>
      <c r="H17012" s="1" t="s">
        <v>0</v>
      </c>
      <c r="I17012" s="2">
        <v>0</v>
      </c>
      <c r="J17012" s="1">
        <v>46070.494571759256</v>
      </c>
    </row>
    <row r="17013" spans="1:10" x14ac:dyDescent="0.2">
      <c r="A17013" s="4" t="s">
        <v>1</v>
      </c>
      <c r="B17013" s="3" t="str">
        <f>HYPERLINK("https://otsuka-europe-crm.veevavault.com/ui/#object/approved_document__v/V5O00000000Q003", "LUP-Material riñones CLM")</f>
        <v>LUP-Material riñones CLM</v>
      </c>
      <c r="C17013" s="3" t="str">
        <f>HYPERLINK("https://otsuka-europe-crm.veevavault.com/ui/#object/sent_email__v/VBL00000001E187", "SE-001404243")</f>
        <v>SE-001404243</v>
      </c>
      <c r="D17013" s="1" t="s">
        <v>0</v>
      </c>
      <c r="E17013" s="2">
        <v>0</v>
      </c>
      <c r="F17013" s="2">
        <v>0</v>
      </c>
      <c r="G17013" s="2">
        <v>0</v>
      </c>
      <c r="H17013" s="1" t="s">
        <v>0</v>
      </c>
      <c r="I17013" s="2">
        <v>0</v>
      </c>
      <c r="J17013" s="1">
        <v>46070.494571759256</v>
      </c>
    </row>
    <row r="17014" spans="1:10" x14ac:dyDescent="0.2">
      <c r="A17014" s="4" t="s">
        <v>1</v>
      </c>
      <c r="B17014" s="3" t="str">
        <f>HYPERLINK("https://otsuka-europe-crm.veevavault.com/ui/#object/approved_document__v/V5O00000000Q003", "LUP-Material riñones CLM")</f>
        <v>LUP-Material riñones CLM</v>
      </c>
      <c r="C17014" s="3" t="str">
        <f>HYPERLINK("https://otsuka-europe-crm.veevavault.com/ui/#object/sent_email__v/VBL00000001E188", "SE-001404244")</f>
        <v>SE-001404244</v>
      </c>
      <c r="D17014" s="1" t="s">
        <v>0</v>
      </c>
      <c r="E17014" s="2">
        <v>0</v>
      </c>
      <c r="F17014" s="2">
        <v>0</v>
      </c>
      <c r="G17014" s="2">
        <v>0</v>
      </c>
      <c r="H17014" s="1" t="s">
        <v>0</v>
      </c>
      <c r="I17014" s="2">
        <v>0</v>
      </c>
      <c r="J17014" s="1">
        <v>46070.494571759256</v>
      </c>
    </row>
    <row r="17015" spans="1:10" x14ac:dyDescent="0.2">
      <c r="A17015" s="4" t="s">
        <v>1</v>
      </c>
      <c r="B17015" s="3" t="str">
        <f>HYPERLINK("https://otsuka-europe-crm.veevavault.com/ui/#object/approved_document__v/V5O00000000Q003", "LUP-Material riñones CLM")</f>
        <v>LUP-Material riñones CLM</v>
      </c>
      <c r="C17015" s="3" t="str">
        <f>HYPERLINK("https://otsuka-europe-crm.veevavault.com/ui/#object/sent_email__v/VBL00000001E189", "SE-001404245")</f>
        <v>SE-001404245</v>
      </c>
      <c r="D17015" s="1" t="s">
        <v>0</v>
      </c>
      <c r="E17015" s="2">
        <v>0</v>
      </c>
      <c r="F17015" s="2">
        <v>0</v>
      </c>
      <c r="G17015" s="2">
        <v>0</v>
      </c>
      <c r="H17015" s="1" t="s">
        <v>0</v>
      </c>
      <c r="I17015" s="2">
        <v>0</v>
      </c>
      <c r="J17015" s="1">
        <v>46070.494571759256</v>
      </c>
    </row>
    <row r="17016" spans="1:10" x14ac:dyDescent="0.2">
      <c r="A17016" s="4" t="s">
        <v>1</v>
      </c>
      <c r="B17016" s="3" t="str">
        <f>HYPERLINK("https://otsuka-europe-crm.veevavault.com/ui/#object/approved_document__v/V5O00000000Q003", "LUP-Material riñones CLM")</f>
        <v>LUP-Material riñones CLM</v>
      </c>
      <c r="C17016" s="3" t="str">
        <f>HYPERLINK("https://otsuka-europe-crm.veevavault.com/ui/#object/sent_email__v/VBL00000001E190", "SE-001404246")</f>
        <v>SE-001404246</v>
      </c>
      <c r="D17016" s="1" t="s">
        <v>0</v>
      </c>
      <c r="E17016" s="2">
        <v>0</v>
      </c>
      <c r="F17016" s="2">
        <v>0</v>
      </c>
      <c r="G17016" s="2">
        <v>0</v>
      </c>
      <c r="H17016" s="1" t="s">
        <v>0</v>
      </c>
      <c r="I17016" s="2">
        <v>0</v>
      </c>
      <c r="J17016" s="1">
        <v>46070.494571759256</v>
      </c>
    </row>
    <row r="17017" spans="1:10" x14ac:dyDescent="0.2">
      <c r="A17017" s="4" t="s">
        <v>1</v>
      </c>
      <c r="B17017" s="3" t="str">
        <f>HYPERLINK("https://otsuka-europe-crm.veevavault.com/ui/#object/approved_document__v/V5O00000000Q003", "LUP-Material riñones CLM")</f>
        <v>LUP-Material riñones CLM</v>
      </c>
      <c r="C17017" s="3" t="str">
        <f>HYPERLINK("https://otsuka-europe-crm.veevavault.com/ui/#object/sent_email__v/VBL00000001E191", "SE-001404247")</f>
        <v>SE-001404247</v>
      </c>
      <c r="D17017" s="1" t="s">
        <v>0</v>
      </c>
      <c r="E17017" s="2">
        <v>0</v>
      </c>
      <c r="F17017" s="2">
        <v>0</v>
      </c>
      <c r="G17017" s="2">
        <v>0</v>
      </c>
      <c r="H17017" s="1" t="s">
        <v>0</v>
      </c>
      <c r="I17017" s="2">
        <v>0</v>
      </c>
      <c r="J17017" s="1">
        <v>46070.494571759256</v>
      </c>
    </row>
    <row r="17018" spans="1:10" x14ac:dyDescent="0.2">
      <c r="A17018" s="4" t="s">
        <v>1</v>
      </c>
      <c r="B17018" s="3" t="str">
        <f>HYPERLINK("https://otsuka-europe-crm.veevavault.com/ui/#object/approved_document__v/V5O00000000Q003", "LUP-Material riñones CLM")</f>
        <v>LUP-Material riñones CLM</v>
      </c>
      <c r="C17018" s="3" t="str">
        <f>HYPERLINK("https://otsuka-europe-crm.veevavault.com/ui/#object/sent_email__v/VBL00000001E192", "SE-001404248")</f>
        <v>SE-001404248</v>
      </c>
      <c r="D17018" s="1" t="s">
        <v>0</v>
      </c>
      <c r="E17018" s="2">
        <v>0</v>
      </c>
      <c r="F17018" s="2">
        <v>0</v>
      </c>
      <c r="G17018" s="2">
        <v>0</v>
      </c>
      <c r="H17018" s="1" t="s">
        <v>0</v>
      </c>
      <c r="I17018" s="2">
        <v>0</v>
      </c>
      <c r="J17018" s="1">
        <v>46070.494583333333</v>
      </c>
    </row>
    <row r="17019" spans="1:10" x14ac:dyDescent="0.2">
      <c r="A17019" s="4" t="s">
        <v>1</v>
      </c>
      <c r="B17019" s="3" t="str">
        <f>HYPERLINK("https://otsuka-europe-crm.veevavault.com/ui/#object/approved_document__v/V5O00000000Q003", "LUP-Material riñones CLM")</f>
        <v>LUP-Material riñones CLM</v>
      </c>
      <c r="C17019" s="3" t="str">
        <f>HYPERLINK("https://otsuka-europe-crm.veevavault.com/ui/#object/sent_email__v/VBL00000001E193", "SE-001404249")</f>
        <v>SE-001404249</v>
      </c>
      <c r="D17019" s="1" t="s">
        <v>0</v>
      </c>
      <c r="E17019" s="2">
        <v>0</v>
      </c>
      <c r="F17019" s="2">
        <v>0</v>
      </c>
      <c r="G17019" s="2">
        <v>0</v>
      </c>
      <c r="H17019" s="1" t="s">
        <v>0</v>
      </c>
      <c r="I17019" s="2">
        <v>0</v>
      </c>
      <c r="J17019" s="1">
        <v>46070.494583333333</v>
      </c>
    </row>
    <row r="17020" spans="1:10" x14ac:dyDescent="0.2">
      <c r="A17020" s="4" t="s">
        <v>1</v>
      </c>
      <c r="B17020" s="3" t="str">
        <f>HYPERLINK("https://otsuka-europe-crm.veevavault.com/ui/#object/approved_document__v/V5O00000000Q003", "LUP-Material riñones CLM")</f>
        <v>LUP-Material riñones CLM</v>
      </c>
      <c r="C17020" s="3" t="str">
        <f>HYPERLINK("https://otsuka-europe-crm.veevavault.com/ui/#object/sent_email__v/VBL00000001E194", "SE-001404250")</f>
        <v>SE-001404250</v>
      </c>
      <c r="D17020" s="1" t="s">
        <v>0</v>
      </c>
      <c r="E17020" s="2">
        <v>0</v>
      </c>
      <c r="F17020" s="2">
        <v>0</v>
      </c>
      <c r="G17020" s="2">
        <v>0</v>
      </c>
      <c r="H17020" s="1" t="s">
        <v>0</v>
      </c>
      <c r="I17020" s="2">
        <v>0</v>
      </c>
      <c r="J17020" s="1">
        <v>46070.494583333333</v>
      </c>
    </row>
    <row r="17021" spans="1:10" x14ac:dyDescent="0.2">
      <c r="A17021" s="4" t="s">
        <v>1</v>
      </c>
      <c r="B17021" s="3" t="str">
        <f>HYPERLINK("https://otsuka-europe-crm.veevavault.com/ui/#object/approved_document__v/V5O00000000Q003", "LUP-Material riñones CLM")</f>
        <v>LUP-Material riñones CLM</v>
      </c>
      <c r="C17021" s="3" t="str">
        <f>HYPERLINK("https://otsuka-europe-crm.veevavault.com/ui/#object/sent_email__v/VBL00000001E195", "SE-001404251")</f>
        <v>SE-001404251</v>
      </c>
      <c r="D17021" s="1" t="s">
        <v>0</v>
      </c>
      <c r="E17021" s="2">
        <v>0</v>
      </c>
      <c r="F17021" s="2">
        <v>0</v>
      </c>
      <c r="G17021" s="2">
        <v>0</v>
      </c>
      <c r="H17021" s="1" t="s">
        <v>0</v>
      </c>
      <c r="I17021" s="2">
        <v>0</v>
      </c>
      <c r="J17021" s="1">
        <v>46070.494583333333</v>
      </c>
    </row>
    <row r="17022" spans="1:10" x14ac:dyDescent="0.2">
      <c r="A17022" s="4" t="s">
        <v>1</v>
      </c>
      <c r="B17022" s="3" t="str">
        <f>HYPERLINK("https://otsuka-europe-crm.veevavault.com/ui/#object/approved_document__v/V5O00000000Q003", "LUP-Material riñones CLM")</f>
        <v>LUP-Material riñones CLM</v>
      </c>
      <c r="C17022" s="3" t="str">
        <f>HYPERLINK("https://otsuka-europe-crm.veevavault.com/ui/#object/sent_email__v/VBL00000001E196", "SE-001404252")</f>
        <v>SE-001404252</v>
      </c>
      <c r="D17022" s="1" t="s">
        <v>0</v>
      </c>
      <c r="E17022" s="2">
        <v>0</v>
      </c>
      <c r="F17022" s="2">
        <v>0</v>
      </c>
      <c r="G17022" s="2">
        <v>0</v>
      </c>
      <c r="H17022" s="1" t="s">
        <v>0</v>
      </c>
      <c r="I17022" s="2">
        <v>0</v>
      </c>
      <c r="J17022" s="1">
        <v>46070.494583333333</v>
      </c>
    </row>
    <row r="17023" spans="1:10" x14ac:dyDescent="0.2">
      <c r="A17023" s="4" t="s">
        <v>1</v>
      </c>
      <c r="B17023" s="3" t="str">
        <f>HYPERLINK("https://otsuka-europe-crm.veevavault.com/ui/#object/approved_document__v/V5O00000000Q003", "LUP-Material riñones CLM")</f>
        <v>LUP-Material riñones CLM</v>
      </c>
      <c r="C17023" s="3" t="str">
        <f>HYPERLINK("https://otsuka-europe-crm.veevavault.com/ui/#object/sent_email__v/VBL00000001E197", "SE-001404253")</f>
        <v>SE-001404253</v>
      </c>
      <c r="D17023" s="1" t="s">
        <v>0</v>
      </c>
      <c r="E17023" s="2">
        <v>0</v>
      </c>
      <c r="F17023" s="2">
        <v>0</v>
      </c>
      <c r="G17023" s="2">
        <v>0</v>
      </c>
      <c r="H17023" s="1" t="s">
        <v>0</v>
      </c>
      <c r="I17023" s="2">
        <v>0</v>
      </c>
      <c r="J17023" s="1">
        <v>46070.494583333333</v>
      </c>
    </row>
    <row r="17024" spans="1:10" x14ac:dyDescent="0.2">
      <c r="A17024" s="4" t="s">
        <v>1</v>
      </c>
      <c r="B17024" s="3" t="str">
        <f>HYPERLINK("https://otsuka-europe-crm.veevavault.com/ui/#object/approved_document__v/V5O00000000Q003", "LUP-Material riñones CLM")</f>
        <v>LUP-Material riñones CLM</v>
      </c>
      <c r="C17024" s="3" t="str">
        <f>HYPERLINK("https://otsuka-europe-crm.veevavault.com/ui/#object/sent_email__v/VBL00000001E198", "SE-001404254")</f>
        <v>SE-001404254</v>
      </c>
      <c r="D17024" s="1" t="s">
        <v>0</v>
      </c>
      <c r="E17024" s="2">
        <v>0</v>
      </c>
      <c r="F17024" s="2">
        <v>0</v>
      </c>
      <c r="G17024" s="2">
        <v>0</v>
      </c>
      <c r="H17024" s="1" t="s">
        <v>0</v>
      </c>
      <c r="I17024" s="2">
        <v>0</v>
      </c>
      <c r="J17024" s="1">
        <v>46070.494583333333</v>
      </c>
    </row>
    <row r="17025" spans="1:10" x14ac:dyDescent="0.2">
      <c r="A17025" s="4" t="s">
        <v>1</v>
      </c>
      <c r="B17025" s="3" t="str">
        <f>HYPERLINK("https://otsuka-europe-crm.veevavault.com/ui/#object/approved_document__v/V5O00000000Q003", "LUP-Material riñones CLM")</f>
        <v>LUP-Material riñones CLM</v>
      </c>
      <c r="C17025" s="3" t="str">
        <f>HYPERLINK("https://otsuka-europe-crm.veevavault.com/ui/#object/sent_email__v/VBL00000001E199", "SE-001404255")</f>
        <v>SE-001404255</v>
      </c>
      <c r="D17025" s="1" t="s">
        <v>0</v>
      </c>
      <c r="E17025" s="2">
        <v>0</v>
      </c>
      <c r="F17025" s="2">
        <v>0</v>
      </c>
      <c r="G17025" s="2">
        <v>0</v>
      </c>
      <c r="H17025" s="1" t="s">
        <v>0</v>
      </c>
      <c r="I17025" s="2">
        <v>0</v>
      </c>
      <c r="J17025" s="1">
        <v>46070.494583333333</v>
      </c>
    </row>
    <row r="17026" spans="1:10" x14ac:dyDescent="0.2">
      <c r="A17026" s="4" t="s">
        <v>1</v>
      </c>
      <c r="B17026" s="3" t="str">
        <f>HYPERLINK("https://otsuka-europe-crm.veevavault.com/ui/#object/approved_document__v/V5O00000000Q003", "LUP-Material riñones CLM")</f>
        <v>LUP-Material riñones CLM</v>
      </c>
      <c r="C17026" s="3" t="str">
        <f>HYPERLINK("https://otsuka-europe-crm.veevavault.com/ui/#object/sent_email__v/VBL00000001E200", "SE-001404256")</f>
        <v>SE-001404256</v>
      </c>
      <c r="D17026" s="1" t="s">
        <v>0</v>
      </c>
      <c r="E17026" s="2">
        <v>0</v>
      </c>
      <c r="F17026" s="2">
        <v>0</v>
      </c>
      <c r="G17026" s="2">
        <v>0</v>
      </c>
      <c r="H17026" s="1" t="s">
        <v>0</v>
      </c>
      <c r="I17026" s="2">
        <v>0</v>
      </c>
      <c r="J17026" s="1">
        <v>46070.494583333333</v>
      </c>
    </row>
    <row r="17027" spans="1:10" x14ac:dyDescent="0.2">
      <c r="A17027" s="4" t="s">
        <v>1</v>
      </c>
      <c r="B17027" s="3" t="str">
        <f>HYPERLINK("https://otsuka-europe-crm.veevavault.com/ui/#object/approved_document__v/V5O00000000Q003", "LUP-Material riñones CLM")</f>
        <v>LUP-Material riñones CLM</v>
      </c>
      <c r="C17027" s="3" t="str">
        <f>HYPERLINK("https://otsuka-europe-crm.veevavault.com/ui/#object/sent_email__v/VBL00000001E201", "SE-001404257")</f>
        <v>SE-001404257</v>
      </c>
      <c r="D17027" s="1" t="s">
        <v>0</v>
      </c>
      <c r="E17027" s="2">
        <v>0</v>
      </c>
      <c r="F17027" s="2">
        <v>0</v>
      </c>
      <c r="G17027" s="2">
        <v>0</v>
      </c>
      <c r="H17027" s="1" t="s">
        <v>0</v>
      </c>
      <c r="I17027" s="2">
        <v>0</v>
      </c>
      <c r="J17027" s="1">
        <v>46070.49459490741</v>
      </c>
    </row>
    <row r="17028" spans="1:10" x14ac:dyDescent="0.2">
      <c r="A17028" s="4" t="s">
        <v>1</v>
      </c>
      <c r="B17028" s="3" t="str">
        <f>HYPERLINK("https://otsuka-europe-crm.veevavault.com/ui/#object/approved_document__v/V5O00000000Q003", "LUP-Material riñones CLM")</f>
        <v>LUP-Material riñones CLM</v>
      </c>
      <c r="C17028" s="3" t="str">
        <f>HYPERLINK("https://otsuka-europe-crm.veevavault.com/ui/#object/sent_email__v/VBL00000001E202", "SE-001404258")</f>
        <v>SE-001404258</v>
      </c>
      <c r="D17028" s="1" t="s">
        <v>0</v>
      </c>
      <c r="E17028" s="2">
        <v>0</v>
      </c>
      <c r="F17028" s="2">
        <v>0</v>
      </c>
      <c r="G17028" s="2">
        <v>0</v>
      </c>
      <c r="H17028" s="1" t="s">
        <v>0</v>
      </c>
      <c r="I17028" s="2">
        <v>0</v>
      </c>
      <c r="J17028" s="1">
        <v>46070.49459490741</v>
      </c>
    </row>
    <row r="17029" spans="1:10" x14ac:dyDescent="0.2">
      <c r="A17029" s="4" t="s">
        <v>1</v>
      </c>
      <c r="B17029" s="3" t="str">
        <f>HYPERLINK("https://otsuka-europe-crm.veevavault.com/ui/#object/approved_document__v/V5O00000000Q003", "LUP-Material riñones CLM")</f>
        <v>LUP-Material riñones CLM</v>
      </c>
      <c r="C17029" s="3" t="str">
        <f>HYPERLINK("https://otsuka-europe-crm.veevavault.com/ui/#object/sent_email__v/VBL00000001E203", "SE-001404259")</f>
        <v>SE-001404259</v>
      </c>
      <c r="D17029" s="1" t="s">
        <v>0</v>
      </c>
      <c r="E17029" s="2">
        <v>0</v>
      </c>
      <c r="F17029" s="2">
        <v>0</v>
      </c>
      <c r="G17029" s="2">
        <v>0</v>
      </c>
      <c r="H17029" s="1" t="s">
        <v>0</v>
      </c>
      <c r="I17029" s="2">
        <v>0</v>
      </c>
      <c r="J17029" s="1">
        <v>46070.49459490741</v>
      </c>
    </row>
    <row r="17030" spans="1:10" x14ac:dyDescent="0.2">
      <c r="A17030" s="4" t="s">
        <v>1</v>
      </c>
      <c r="B17030" s="3" t="str">
        <f>HYPERLINK("https://otsuka-europe-crm.veevavault.com/ui/#object/approved_document__v/V5O00000000Q003", "LUP-Material riñones CLM")</f>
        <v>LUP-Material riñones CLM</v>
      </c>
      <c r="C17030" s="3" t="str">
        <f>HYPERLINK("https://otsuka-europe-crm.veevavault.com/ui/#object/sent_email__v/VBL00000001E204", "SE-001404260")</f>
        <v>SE-001404260</v>
      </c>
      <c r="D17030" s="1" t="s">
        <v>0</v>
      </c>
      <c r="E17030" s="2">
        <v>0</v>
      </c>
      <c r="F17030" s="2">
        <v>0</v>
      </c>
      <c r="G17030" s="2">
        <v>0</v>
      </c>
      <c r="H17030" s="1" t="s">
        <v>0</v>
      </c>
      <c r="I17030" s="2">
        <v>0</v>
      </c>
      <c r="J17030" s="1">
        <v>46070.49459490741</v>
      </c>
    </row>
    <row r="17031" spans="1:10" x14ac:dyDescent="0.2">
      <c r="A17031" s="4" t="s">
        <v>1</v>
      </c>
      <c r="B17031" s="3" t="str">
        <f>HYPERLINK("https://otsuka-europe-crm.veevavault.com/ui/#object/approved_document__v/V5O00000000Q003", "LUP-Material riñones CLM")</f>
        <v>LUP-Material riñones CLM</v>
      </c>
      <c r="C17031" s="3" t="str">
        <f>HYPERLINK("https://otsuka-europe-crm.veevavault.com/ui/#object/sent_email__v/VBL00000001E205", "SE-001404261")</f>
        <v>SE-001404261</v>
      </c>
      <c r="D17031" s="1" t="s">
        <v>0</v>
      </c>
      <c r="E17031" s="2">
        <v>0</v>
      </c>
      <c r="F17031" s="2">
        <v>0</v>
      </c>
      <c r="G17031" s="2">
        <v>0</v>
      </c>
      <c r="H17031" s="1" t="s">
        <v>0</v>
      </c>
      <c r="I17031" s="2">
        <v>0</v>
      </c>
      <c r="J17031" s="1">
        <v>46070.49459490741</v>
      </c>
    </row>
    <row r="17032" spans="1:10" x14ac:dyDescent="0.2">
      <c r="A17032" s="4" t="s">
        <v>1</v>
      </c>
      <c r="B17032" s="3" t="str">
        <f>HYPERLINK("https://otsuka-europe-crm.veevavault.com/ui/#object/approved_document__v/V5O00000000Q003", "LUP-Material riñones CLM")</f>
        <v>LUP-Material riñones CLM</v>
      </c>
      <c r="C17032" s="3" t="str">
        <f>HYPERLINK("https://otsuka-europe-crm.veevavault.com/ui/#object/sent_email__v/VBL00000001E206", "SE-001404262")</f>
        <v>SE-001404262</v>
      </c>
      <c r="D17032" s="1" t="s">
        <v>0</v>
      </c>
      <c r="E17032" s="2">
        <v>0</v>
      </c>
      <c r="F17032" s="2">
        <v>0</v>
      </c>
      <c r="G17032" s="2">
        <v>0</v>
      </c>
      <c r="H17032" s="1" t="s">
        <v>0</v>
      </c>
      <c r="I17032" s="2">
        <v>0</v>
      </c>
      <c r="J17032" s="1">
        <v>46070.49459490741</v>
      </c>
    </row>
    <row r="17033" spans="1:10" x14ac:dyDescent="0.2">
      <c r="A17033" s="4" t="s">
        <v>1</v>
      </c>
      <c r="B17033" s="3" t="str">
        <f>HYPERLINK("https://otsuka-europe-crm.veevavault.com/ui/#object/approved_document__v/V5O00000000Q003", "LUP-Material riñones CLM")</f>
        <v>LUP-Material riñones CLM</v>
      </c>
      <c r="C17033" s="3" t="str">
        <f>HYPERLINK("https://otsuka-europe-crm.veevavault.com/ui/#object/sent_email__v/VBL00000001E207", "SE-001404263")</f>
        <v>SE-001404263</v>
      </c>
      <c r="D17033" s="1" t="s">
        <v>0</v>
      </c>
      <c r="E17033" s="2">
        <v>0</v>
      </c>
      <c r="F17033" s="2">
        <v>0</v>
      </c>
      <c r="G17033" s="2">
        <v>0</v>
      </c>
      <c r="H17033" s="1" t="s">
        <v>0</v>
      </c>
      <c r="I17033" s="2">
        <v>0</v>
      </c>
      <c r="J17033" s="1">
        <v>46070.49459490741</v>
      </c>
    </row>
    <row r="17034" spans="1:10" x14ac:dyDescent="0.2">
      <c r="A17034" s="4" t="s">
        <v>1</v>
      </c>
      <c r="B17034" s="3" t="str">
        <f>HYPERLINK("https://otsuka-europe-crm.veevavault.com/ui/#object/approved_document__v/V5O00000000Q003", "LUP-Material riñones CLM")</f>
        <v>LUP-Material riñones CLM</v>
      </c>
      <c r="C17034" s="3" t="str">
        <f>HYPERLINK("https://otsuka-europe-crm.veevavault.com/ui/#object/sent_email__v/VBL00000001E208", "SE-001404264")</f>
        <v>SE-001404264</v>
      </c>
      <c r="D17034" s="1" t="s">
        <v>0</v>
      </c>
      <c r="E17034" s="2">
        <v>0</v>
      </c>
      <c r="F17034" s="2">
        <v>0</v>
      </c>
      <c r="G17034" s="2">
        <v>0</v>
      </c>
      <c r="H17034" s="1" t="s">
        <v>0</v>
      </c>
      <c r="I17034" s="2">
        <v>0</v>
      </c>
      <c r="J17034" s="1">
        <v>46070.49459490741</v>
      </c>
    </row>
    <row r="17035" spans="1:10" x14ac:dyDescent="0.2">
      <c r="A17035" s="4" t="s">
        <v>1</v>
      </c>
      <c r="B17035" s="3" t="str">
        <f>HYPERLINK("https://otsuka-europe-crm.veevavault.com/ui/#object/approved_document__v/V5O00000000Q003", "LUP-Material riñones CLM")</f>
        <v>LUP-Material riñones CLM</v>
      </c>
      <c r="C17035" s="3" t="str">
        <f>HYPERLINK("https://otsuka-europe-crm.veevavault.com/ui/#object/sent_email__v/VBL00000001E209", "SE-001404265")</f>
        <v>SE-001404265</v>
      </c>
      <c r="D17035" s="1" t="s">
        <v>0</v>
      </c>
      <c r="E17035" s="2">
        <v>0</v>
      </c>
      <c r="F17035" s="2">
        <v>0</v>
      </c>
      <c r="G17035" s="2">
        <v>0</v>
      </c>
      <c r="H17035" s="1" t="s">
        <v>0</v>
      </c>
      <c r="I17035" s="2">
        <v>0</v>
      </c>
      <c r="J17035" s="1">
        <v>46070.49459490741</v>
      </c>
    </row>
    <row r="17036" spans="1:10" x14ac:dyDescent="0.2">
      <c r="A17036" s="4" t="s">
        <v>1</v>
      </c>
      <c r="B17036" s="3" t="str">
        <f>HYPERLINK("https://otsuka-europe-crm.veevavault.com/ui/#object/approved_document__v/V5O00000000Q003", "LUP-Material riñones CLM")</f>
        <v>LUP-Material riñones CLM</v>
      </c>
      <c r="C17036" s="3" t="str">
        <f>HYPERLINK("https://otsuka-europe-crm.veevavault.com/ui/#object/sent_email__v/VBL00000001E210", "SE-001404266")</f>
        <v>SE-001404266</v>
      </c>
      <c r="D17036" s="1" t="s">
        <v>0</v>
      </c>
      <c r="E17036" s="2">
        <v>0</v>
      </c>
      <c r="F17036" s="2">
        <v>0</v>
      </c>
      <c r="G17036" s="2">
        <v>0</v>
      </c>
      <c r="H17036" s="1" t="s">
        <v>0</v>
      </c>
      <c r="I17036" s="2">
        <v>0</v>
      </c>
      <c r="J17036" s="1">
        <v>46070.494606481479</v>
      </c>
    </row>
    <row r="17037" spans="1:10" x14ac:dyDescent="0.2">
      <c r="A17037" s="4" t="s">
        <v>1</v>
      </c>
      <c r="B17037" s="3" t="str">
        <f>HYPERLINK("https://otsuka-europe-crm.veevavault.com/ui/#object/approved_document__v/V5O00000000Q003", "LUP-Material riñones CLM")</f>
        <v>LUP-Material riñones CLM</v>
      </c>
      <c r="C17037" s="3" t="str">
        <f>HYPERLINK("https://otsuka-europe-crm.veevavault.com/ui/#object/sent_email__v/VBL00000001E211", "SE-001404267")</f>
        <v>SE-001404267</v>
      </c>
      <c r="D17037" s="1" t="s">
        <v>0</v>
      </c>
      <c r="E17037" s="2">
        <v>0</v>
      </c>
      <c r="F17037" s="2">
        <v>0</v>
      </c>
      <c r="G17037" s="2">
        <v>0</v>
      </c>
      <c r="H17037" s="1" t="s">
        <v>0</v>
      </c>
      <c r="I17037" s="2">
        <v>0</v>
      </c>
      <c r="J17037" s="1">
        <v>46070.495659722219</v>
      </c>
    </row>
    <row r="17038" spans="1:10" x14ac:dyDescent="0.2">
      <c r="A17038" s="4" t="s">
        <v>1</v>
      </c>
      <c r="B17038" s="3" t="str">
        <f>HYPERLINK("https://otsuka-europe-crm.veevavault.com/ui/#object/approved_document__v/V5O00000000Q003", "LUP-Material riñones CLM")</f>
        <v>LUP-Material riñones CLM</v>
      </c>
      <c r="C17038" s="3" t="str">
        <f>HYPERLINK("https://otsuka-europe-crm.veevavault.com/ui/#object/sent_email__v/VBL00000001E212", "SE-001404268")</f>
        <v>SE-001404268</v>
      </c>
      <c r="D17038" s="1" t="s">
        <v>0</v>
      </c>
      <c r="E17038" s="2">
        <v>0</v>
      </c>
      <c r="F17038" s="2">
        <v>0</v>
      </c>
      <c r="G17038" s="2">
        <v>0</v>
      </c>
      <c r="H17038" s="1" t="s">
        <v>0</v>
      </c>
      <c r="I17038" s="2">
        <v>0</v>
      </c>
      <c r="J17038" s="1">
        <v>46070.495682870373</v>
      </c>
    </row>
    <row r="17039" spans="1:10" x14ac:dyDescent="0.2">
      <c r="A17039" s="4" t="s">
        <v>1</v>
      </c>
      <c r="B17039" s="3" t="str">
        <f>HYPERLINK("https://otsuka-europe-crm.veevavault.com/ui/#object/approved_document__v/V5O00000000Q003", "LUP-Material riñones CLM")</f>
        <v>LUP-Material riñones CLM</v>
      </c>
      <c r="C17039" s="3" t="str">
        <f>HYPERLINK("https://otsuka-europe-crm.veevavault.com/ui/#object/sent_email__v/VBL00000001E213", "SE-001404269")</f>
        <v>SE-001404269</v>
      </c>
      <c r="D17039" s="1" t="s">
        <v>0</v>
      </c>
      <c r="E17039" s="2">
        <v>0</v>
      </c>
      <c r="F17039" s="2">
        <v>0</v>
      </c>
      <c r="G17039" s="2">
        <v>0</v>
      </c>
      <c r="H17039" s="1" t="s">
        <v>0</v>
      </c>
      <c r="I17039" s="2">
        <v>0</v>
      </c>
      <c r="J17039" s="1">
        <v>46070.495682870373</v>
      </c>
    </row>
    <row r="17040" spans="1:10" x14ac:dyDescent="0.2">
      <c r="A17040" s="4" t="s">
        <v>1</v>
      </c>
      <c r="B17040" s="3" t="str">
        <f>HYPERLINK("https://otsuka-europe-crm.veevavault.com/ui/#object/approved_document__v/V5O00000000Q003", "LUP-Material riñones CLM")</f>
        <v>LUP-Material riñones CLM</v>
      </c>
      <c r="C17040" s="3" t="str">
        <f>HYPERLINK("https://otsuka-europe-crm.veevavault.com/ui/#object/sent_email__v/VBL00000001E214", "SE-001404270")</f>
        <v>SE-001404270</v>
      </c>
      <c r="D17040" s="1" t="s">
        <v>0</v>
      </c>
      <c r="E17040" s="2">
        <v>0</v>
      </c>
      <c r="F17040" s="2">
        <v>0</v>
      </c>
      <c r="G17040" s="2">
        <v>0</v>
      </c>
      <c r="H17040" s="1" t="s">
        <v>0</v>
      </c>
      <c r="I17040" s="2">
        <v>0</v>
      </c>
      <c r="J17040" s="1">
        <v>46070.495671296296</v>
      </c>
    </row>
    <row r="17041" spans="1:10" x14ac:dyDescent="0.2">
      <c r="A17041" s="4" t="s">
        <v>1</v>
      </c>
      <c r="B17041" s="3" t="str">
        <f>HYPERLINK("https://otsuka-europe-crm.veevavault.com/ui/#object/approved_document__v/V5O00000000Q003", "LUP-Material riñones CLM")</f>
        <v>LUP-Material riñones CLM</v>
      </c>
      <c r="C17041" s="3" t="str">
        <f>HYPERLINK("https://otsuka-europe-crm.veevavault.com/ui/#object/sent_email__v/VBL00000001E215", "SE-001404271")</f>
        <v>SE-001404271</v>
      </c>
      <c r="D17041" s="1" t="s">
        <v>0</v>
      </c>
      <c r="E17041" s="2">
        <v>0</v>
      </c>
      <c r="F17041" s="2">
        <v>0</v>
      </c>
      <c r="G17041" s="2">
        <v>0</v>
      </c>
      <c r="H17041" s="1" t="s">
        <v>0</v>
      </c>
      <c r="I17041" s="2">
        <v>0</v>
      </c>
      <c r="J17041" s="1">
        <v>46070.495682870373</v>
      </c>
    </row>
    <row r="17042" spans="1:10" x14ac:dyDescent="0.2">
      <c r="A17042" s="4" t="s">
        <v>1</v>
      </c>
      <c r="B17042" s="3" t="str">
        <f>HYPERLINK("https://otsuka-europe-crm.veevavault.com/ui/#object/approved_document__v/V5O00000000Q003", "LUP-Material riñones CLM")</f>
        <v>LUP-Material riñones CLM</v>
      </c>
      <c r="C17042" s="3" t="str">
        <f>HYPERLINK("https://otsuka-europe-crm.veevavault.com/ui/#object/sent_email__v/VBL00000001E216", "SE-001404272")</f>
        <v>SE-001404272</v>
      </c>
      <c r="D17042" s="1" t="s">
        <v>0</v>
      </c>
      <c r="E17042" s="2">
        <v>0</v>
      </c>
      <c r="F17042" s="2">
        <v>0</v>
      </c>
      <c r="G17042" s="2">
        <v>0</v>
      </c>
      <c r="H17042" s="1" t="s">
        <v>0</v>
      </c>
      <c r="I17042" s="2">
        <v>0</v>
      </c>
      <c r="J17042" s="1">
        <v>46070.495682870373</v>
      </c>
    </row>
    <row r="17043" spans="1:10" x14ac:dyDescent="0.2">
      <c r="A17043" s="4" t="s">
        <v>1</v>
      </c>
      <c r="B17043" s="3" t="str">
        <f>HYPERLINK("https://otsuka-europe-crm.veevavault.com/ui/#object/approved_document__v/V5O00000000Q003", "LUP-Material riñones CLM")</f>
        <v>LUP-Material riñones CLM</v>
      </c>
      <c r="C17043" s="3" t="str">
        <f>HYPERLINK("https://otsuka-europe-crm.veevavault.com/ui/#object/sent_email__v/VBL00000001E217", "SE-001404273")</f>
        <v>SE-001404273</v>
      </c>
      <c r="D17043" s="1" t="s">
        <v>0</v>
      </c>
      <c r="E17043" s="2">
        <v>0</v>
      </c>
      <c r="F17043" s="2">
        <v>0</v>
      </c>
      <c r="G17043" s="2">
        <v>0</v>
      </c>
      <c r="H17043" s="1" t="s">
        <v>0</v>
      </c>
      <c r="I17043" s="2">
        <v>0</v>
      </c>
      <c r="J17043" s="1">
        <v>46070.495682870373</v>
      </c>
    </row>
    <row r="17044" spans="1:10" x14ac:dyDescent="0.2">
      <c r="A17044" s="4" t="s">
        <v>1</v>
      </c>
      <c r="B17044" s="3" t="str">
        <f>HYPERLINK("https://otsuka-europe-crm.veevavault.com/ui/#object/approved_document__v/V5O00000000Q003", "LUP-Material riñones CLM")</f>
        <v>LUP-Material riñones CLM</v>
      </c>
      <c r="C17044" s="3" t="str">
        <f>HYPERLINK("https://otsuka-europe-crm.veevavault.com/ui/#object/sent_email__v/VBL00000001E218", "SE-001404274")</f>
        <v>SE-001404274</v>
      </c>
      <c r="D17044" s="1" t="s">
        <v>0</v>
      </c>
      <c r="E17044" s="2">
        <v>0</v>
      </c>
      <c r="F17044" s="2">
        <v>0</v>
      </c>
      <c r="G17044" s="2">
        <v>0</v>
      </c>
      <c r="H17044" s="1" t="s">
        <v>0</v>
      </c>
      <c r="I17044" s="2">
        <v>0</v>
      </c>
      <c r="J17044" s="1">
        <v>46070.495682870373</v>
      </c>
    </row>
    <row r="17045" spans="1:10" x14ac:dyDescent="0.2">
      <c r="A17045" s="4" t="s">
        <v>1</v>
      </c>
      <c r="B17045" s="3" t="str">
        <f>HYPERLINK("https://otsuka-europe-crm.veevavault.com/ui/#object/approved_document__v/V5O00000000Q003", "LUP-Material riñones CLM")</f>
        <v>LUP-Material riñones CLM</v>
      </c>
      <c r="C17045" s="3" t="str">
        <f>HYPERLINK("https://otsuka-europe-crm.veevavault.com/ui/#object/sent_email__v/VBL00000001E219", "SE-001404275")</f>
        <v>SE-001404275</v>
      </c>
      <c r="D17045" s="1" t="s">
        <v>0</v>
      </c>
      <c r="E17045" s="2">
        <v>0</v>
      </c>
      <c r="F17045" s="2">
        <v>0</v>
      </c>
      <c r="G17045" s="2">
        <v>0</v>
      </c>
      <c r="H17045" s="1" t="s">
        <v>0</v>
      </c>
      <c r="I17045" s="2">
        <v>0</v>
      </c>
      <c r="J17045" s="1">
        <v>46070.495682870373</v>
      </c>
    </row>
    <row r="17046" spans="1:10" x14ac:dyDescent="0.2">
      <c r="A17046" s="4" t="s">
        <v>1</v>
      </c>
      <c r="B17046" s="3" t="str">
        <f>HYPERLINK("https://otsuka-europe-crm.veevavault.com/ui/#object/approved_document__v/V5O00000000Q003", "LUP-Material riñones CLM")</f>
        <v>LUP-Material riñones CLM</v>
      </c>
      <c r="C17046" s="3" t="str">
        <f>HYPERLINK("https://otsuka-europe-crm.veevavault.com/ui/#object/sent_email__v/VBL00000001E220", "SE-001404276")</f>
        <v>SE-001404276</v>
      </c>
      <c r="D17046" s="1" t="s">
        <v>0</v>
      </c>
      <c r="E17046" s="2">
        <v>0</v>
      </c>
      <c r="F17046" s="2">
        <v>0</v>
      </c>
      <c r="G17046" s="2">
        <v>0</v>
      </c>
      <c r="H17046" s="1" t="s">
        <v>0</v>
      </c>
      <c r="I17046" s="2">
        <v>0</v>
      </c>
      <c r="J17046" s="1">
        <v>46070.495682870373</v>
      </c>
    </row>
    <row r="17047" spans="1:10" x14ac:dyDescent="0.2">
      <c r="A17047" s="4" t="s">
        <v>1</v>
      </c>
      <c r="B17047" s="3" t="str">
        <f>HYPERLINK("https://otsuka-europe-crm.veevavault.com/ui/#object/approved_document__v/V5O00000000Q003", "LUP-Material riñones CLM")</f>
        <v>LUP-Material riñones CLM</v>
      </c>
      <c r="C17047" s="3" t="str">
        <f>HYPERLINK("https://otsuka-europe-crm.veevavault.com/ui/#object/sent_email__v/VBL00000001E221", "SE-001404277")</f>
        <v>SE-001404277</v>
      </c>
      <c r="D17047" s="1" t="s">
        <v>0</v>
      </c>
      <c r="E17047" s="2">
        <v>0</v>
      </c>
      <c r="F17047" s="2">
        <v>0</v>
      </c>
      <c r="G17047" s="2">
        <v>0</v>
      </c>
      <c r="H17047" s="1" t="s">
        <v>0</v>
      </c>
      <c r="I17047" s="2">
        <v>0</v>
      </c>
      <c r="J17047" s="1">
        <v>46070.495682870373</v>
      </c>
    </row>
    <row r="17048" spans="1:10" x14ac:dyDescent="0.2">
      <c r="A17048" s="4" t="s">
        <v>1</v>
      </c>
      <c r="B17048" s="3" t="str">
        <f>HYPERLINK("https://otsuka-europe-crm.veevavault.com/ui/#object/approved_document__v/V5O00000000Q003", "LUP-Material riñones CLM")</f>
        <v>LUP-Material riñones CLM</v>
      </c>
      <c r="C17048" s="3" t="str">
        <f>HYPERLINK("https://otsuka-europe-crm.veevavault.com/ui/#object/sent_email__v/VBL00000001E222", "SE-001404278")</f>
        <v>SE-001404278</v>
      </c>
      <c r="D17048" s="1" t="s">
        <v>0</v>
      </c>
      <c r="E17048" s="2">
        <v>0</v>
      </c>
      <c r="F17048" s="2">
        <v>0</v>
      </c>
      <c r="G17048" s="2">
        <v>0</v>
      </c>
      <c r="H17048" s="1" t="s">
        <v>0</v>
      </c>
      <c r="I17048" s="2">
        <v>0</v>
      </c>
      <c r="J17048" s="1">
        <v>46070.495682870373</v>
      </c>
    </row>
    <row r="17049" spans="1:10" x14ac:dyDescent="0.2">
      <c r="A17049" s="4" t="s">
        <v>1</v>
      </c>
      <c r="B17049" s="3" t="str">
        <f>HYPERLINK("https://otsuka-europe-crm.veevavault.com/ui/#object/approved_document__v/V5O00000000Q003", "LUP-Material riñones CLM")</f>
        <v>LUP-Material riñones CLM</v>
      </c>
      <c r="C17049" s="3" t="str">
        <f>HYPERLINK("https://otsuka-europe-crm.veevavault.com/ui/#object/sent_email__v/VBL00000001E223", "SE-001404279")</f>
        <v>SE-001404279</v>
      </c>
      <c r="D17049" s="1" t="s">
        <v>0</v>
      </c>
      <c r="E17049" s="2">
        <v>0</v>
      </c>
      <c r="F17049" s="2">
        <v>0</v>
      </c>
      <c r="G17049" s="2">
        <v>0</v>
      </c>
      <c r="H17049" s="1" t="s">
        <v>0</v>
      </c>
      <c r="I17049" s="2">
        <v>0</v>
      </c>
      <c r="J17049" s="1">
        <v>46070.495682870373</v>
      </c>
    </row>
    <row r="17050" spans="1:10" x14ac:dyDescent="0.2">
      <c r="A17050" s="4" t="s">
        <v>1</v>
      </c>
      <c r="B17050" s="3" t="str">
        <f>HYPERLINK("https://otsuka-europe-crm.veevavault.com/ui/#object/approved_document__v/V5O00000000Q003", "LUP-Material riñones CLM")</f>
        <v>LUP-Material riñones CLM</v>
      </c>
      <c r="C17050" s="3" t="str">
        <f>HYPERLINK("https://otsuka-europe-crm.veevavault.com/ui/#object/sent_email__v/VBL00000001E224", "SE-001404280")</f>
        <v>SE-001404280</v>
      </c>
      <c r="D17050" s="1" t="s">
        <v>0</v>
      </c>
      <c r="E17050" s="2">
        <v>0</v>
      </c>
      <c r="F17050" s="2">
        <v>0</v>
      </c>
      <c r="G17050" s="2">
        <v>0</v>
      </c>
      <c r="H17050" s="1" t="s">
        <v>0</v>
      </c>
      <c r="I17050" s="2">
        <v>0</v>
      </c>
      <c r="J17050" s="1">
        <v>46070.495682870373</v>
      </c>
    </row>
    <row r="17051" spans="1:10" x14ac:dyDescent="0.2">
      <c r="A17051" s="4" t="s">
        <v>1</v>
      </c>
      <c r="B17051" s="3" t="str">
        <f>HYPERLINK("https://otsuka-europe-crm.veevavault.com/ui/#object/approved_document__v/V5O00000000Q003", "LUP-Material riñones CLM")</f>
        <v>LUP-Material riñones CLM</v>
      </c>
      <c r="C17051" s="3" t="str">
        <f>HYPERLINK("https://otsuka-europe-crm.veevavault.com/ui/#object/sent_email__v/VBL00000001E225", "SE-001404281")</f>
        <v>SE-001404281</v>
      </c>
      <c r="D17051" s="1" t="s">
        <v>0</v>
      </c>
      <c r="E17051" s="2">
        <v>0</v>
      </c>
      <c r="F17051" s="2">
        <v>0</v>
      </c>
      <c r="G17051" s="2">
        <v>0</v>
      </c>
      <c r="H17051" s="1" t="s">
        <v>0</v>
      </c>
      <c r="I17051" s="2">
        <v>0</v>
      </c>
      <c r="J17051" s="1">
        <v>46070.495682870373</v>
      </c>
    </row>
    <row r="17052" spans="1:10" x14ac:dyDescent="0.2">
      <c r="A17052" s="4" t="s">
        <v>1</v>
      </c>
      <c r="B17052" s="3" t="str">
        <f>HYPERLINK("https://otsuka-europe-crm.veevavault.com/ui/#object/approved_document__v/V5O00000000Q003", "LUP-Material riñones CLM")</f>
        <v>LUP-Material riñones CLM</v>
      </c>
      <c r="C17052" s="3" t="str">
        <f>HYPERLINK("https://otsuka-europe-crm.veevavault.com/ui/#object/sent_email__v/VBL00000001E226", "SE-001404282")</f>
        <v>SE-001404282</v>
      </c>
      <c r="D17052" s="1" t="s">
        <v>0</v>
      </c>
      <c r="E17052" s="2">
        <v>0</v>
      </c>
      <c r="F17052" s="2">
        <v>0</v>
      </c>
      <c r="G17052" s="2">
        <v>0</v>
      </c>
      <c r="H17052" s="1" t="s">
        <v>0</v>
      </c>
      <c r="I17052" s="2">
        <v>0</v>
      </c>
      <c r="J17052" s="1">
        <v>46070.495682870373</v>
      </c>
    </row>
    <row r="17053" spans="1:10" x14ac:dyDescent="0.2">
      <c r="A17053" s="4" t="s">
        <v>1</v>
      </c>
      <c r="B17053" s="3" t="str">
        <f>HYPERLINK("https://otsuka-europe-crm.veevavault.com/ui/#object/approved_document__v/V5O00000000Q003", "LUP-Material riñones CLM")</f>
        <v>LUP-Material riñones CLM</v>
      </c>
      <c r="C17053" s="3" t="str">
        <f>HYPERLINK("https://otsuka-europe-crm.veevavault.com/ui/#object/sent_email__v/VBL00000001E227", "SE-001404283")</f>
        <v>SE-001404283</v>
      </c>
      <c r="D17053" s="1" t="s">
        <v>0</v>
      </c>
      <c r="E17053" s="2">
        <v>0</v>
      </c>
      <c r="F17053" s="2">
        <v>0</v>
      </c>
      <c r="G17053" s="2">
        <v>0</v>
      </c>
      <c r="H17053" s="1" t="s">
        <v>0</v>
      </c>
      <c r="I17053" s="2">
        <v>0</v>
      </c>
      <c r="J17053" s="1">
        <v>46070.495682870373</v>
      </c>
    </row>
    <row r="17054" spans="1:10" x14ac:dyDescent="0.2">
      <c r="A17054" s="4" t="s">
        <v>1</v>
      </c>
      <c r="B17054" s="3" t="str">
        <f>HYPERLINK("https://otsuka-europe-crm.veevavault.com/ui/#object/approved_document__v/V5O00000000Q003", "LUP-Material riñones CLM")</f>
        <v>LUP-Material riñones CLM</v>
      </c>
      <c r="C17054" s="3" t="str">
        <f>HYPERLINK("https://otsuka-europe-crm.veevavault.com/ui/#object/sent_email__v/VBL00000001E228", "SE-001404284")</f>
        <v>SE-001404284</v>
      </c>
      <c r="D17054" s="1" t="s">
        <v>0</v>
      </c>
      <c r="E17054" s="2">
        <v>0</v>
      </c>
      <c r="F17054" s="2">
        <v>0</v>
      </c>
      <c r="G17054" s="2">
        <v>0</v>
      </c>
      <c r="H17054" s="1" t="s">
        <v>0</v>
      </c>
      <c r="I17054" s="2">
        <v>0</v>
      </c>
      <c r="J17054" s="1">
        <v>46070.495694444442</v>
      </c>
    </row>
    <row r="17055" spans="1:10" x14ac:dyDescent="0.2">
      <c r="A17055" s="4" t="s">
        <v>1</v>
      </c>
      <c r="B17055" s="3" t="str">
        <f>HYPERLINK("https://otsuka-europe-crm.veevavault.com/ui/#object/approved_document__v/V5O00000000Q003", "LUP-Material riñones CLM")</f>
        <v>LUP-Material riñones CLM</v>
      </c>
      <c r="C17055" s="3" t="str">
        <f>HYPERLINK("https://otsuka-europe-crm.veevavault.com/ui/#object/sent_email__v/VBL00000001E229", "SE-001404285")</f>
        <v>SE-001404285</v>
      </c>
      <c r="D17055" s="1" t="s">
        <v>0</v>
      </c>
      <c r="E17055" s="2">
        <v>0</v>
      </c>
      <c r="F17055" s="2">
        <v>0</v>
      </c>
      <c r="G17055" s="2">
        <v>0</v>
      </c>
      <c r="H17055" s="1" t="s">
        <v>0</v>
      </c>
      <c r="I17055" s="2">
        <v>0</v>
      </c>
      <c r="J17055" s="1">
        <v>46070.495694444442</v>
      </c>
    </row>
    <row r="17056" spans="1:10" x14ac:dyDescent="0.2">
      <c r="A17056" s="4" t="s">
        <v>1</v>
      </c>
      <c r="B17056" s="3" t="str">
        <f>HYPERLINK("https://otsuka-europe-crm.veevavault.com/ui/#object/approved_document__v/V5O00000000Q003", "LUP-Material riñones CLM")</f>
        <v>LUP-Material riñones CLM</v>
      </c>
      <c r="C17056" s="3" t="str">
        <f>HYPERLINK("https://otsuka-europe-crm.veevavault.com/ui/#object/sent_email__v/VBL00000001E230", "SE-001404286")</f>
        <v>SE-001404286</v>
      </c>
      <c r="D17056" s="1" t="s">
        <v>0</v>
      </c>
      <c r="E17056" s="2">
        <v>0</v>
      </c>
      <c r="F17056" s="2">
        <v>0</v>
      </c>
      <c r="G17056" s="2">
        <v>0</v>
      </c>
      <c r="H17056" s="1" t="s">
        <v>0</v>
      </c>
      <c r="I17056" s="2">
        <v>0</v>
      </c>
      <c r="J17056" s="1">
        <v>46070.495694444442</v>
      </c>
    </row>
    <row r="17057" spans="1:10" x14ac:dyDescent="0.2">
      <c r="A17057" s="4" t="s">
        <v>1</v>
      </c>
      <c r="B17057" s="3" t="str">
        <f>HYPERLINK("https://otsuka-europe-crm.veevavault.com/ui/#object/approved_document__v/V5O00000000Q003", "LUP-Material riñones CLM")</f>
        <v>LUP-Material riñones CLM</v>
      </c>
      <c r="C17057" s="3" t="str">
        <f>HYPERLINK("https://otsuka-europe-crm.veevavault.com/ui/#object/sent_email__v/VBL00000001E231", "SE-001404287")</f>
        <v>SE-001404287</v>
      </c>
      <c r="D17057" s="1" t="s">
        <v>0</v>
      </c>
      <c r="E17057" s="2">
        <v>0</v>
      </c>
      <c r="F17057" s="2">
        <v>0</v>
      </c>
      <c r="G17057" s="2">
        <v>0</v>
      </c>
      <c r="H17057" s="1" t="s">
        <v>0</v>
      </c>
      <c r="I17057" s="2">
        <v>0</v>
      </c>
      <c r="J17057" s="1">
        <v>46070.495694444442</v>
      </c>
    </row>
    <row r="17058" spans="1:10" x14ac:dyDescent="0.2">
      <c r="A17058" s="4" t="s">
        <v>1</v>
      </c>
      <c r="B17058" s="3" t="str">
        <f>HYPERLINK("https://otsuka-europe-crm.veevavault.com/ui/#object/approved_document__v/V5O00000000Q003", "LUP-Material riñones CLM")</f>
        <v>LUP-Material riñones CLM</v>
      </c>
      <c r="C17058" s="3" t="str">
        <f>HYPERLINK("https://otsuka-europe-crm.veevavault.com/ui/#object/sent_email__v/VBL00000001E232", "SE-001404288")</f>
        <v>SE-001404288</v>
      </c>
      <c r="D17058" s="1" t="s">
        <v>0</v>
      </c>
      <c r="E17058" s="2">
        <v>0</v>
      </c>
      <c r="F17058" s="2">
        <v>0</v>
      </c>
      <c r="G17058" s="2">
        <v>0</v>
      </c>
      <c r="H17058" s="1" t="s">
        <v>0</v>
      </c>
      <c r="I17058" s="2">
        <v>0</v>
      </c>
      <c r="J17058" s="1">
        <v>46070.495694444442</v>
      </c>
    </row>
    <row r="17059" spans="1:10" x14ac:dyDescent="0.2">
      <c r="A17059" s="4" t="s">
        <v>1</v>
      </c>
      <c r="B17059" s="3" t="str">
        <f>HYPERLINK("https://otsuka-europe-crm.veevavault.com/ui/#object/approved_document__v/V5O00000000Q003", "LUP-Material riñones CLM")</f>
        <v>LUP-Material riñones CLM</v>
      </c>
      <c r="C17059" s="3" t="str">
        <f>HYPERLINK("https://otsuka-europe-crm.veevavault.com/ui/#object/sent_email__v/VBL00000001E233", "SE-001404289")</f>
        <v>SE-001404289</v>
      </c>
      <c r="D17059" s="1" t="s">
        <v>0</v>
      </c>
      <c r="E17059" s="2">
        <v>0</v>
      </c>
      <c r="F17059" s="2">
        <v>0</v>
      </c>
      <c r="G17059" s="2">
        <v>0</v>
      </c>
      <c r="H17059" s="1" t="s">
        <v>0</v>
      </c>
      <c r="I17059" s="2">
        <v>0</v>
      </c>
      <c r="J17059" s="1">
        <v>46070.495694444442</v>
      </c>
    </row>
    <row r="17060" spans="1:10" x14ac:dyDescent="0.2">
      <c r="A17060" s="4" t="s">
        <v>1</v>
      </c>
      <c r="B17060" s="3" t="str">
        <f>HYPERLINK("https://otsuka-europe-crm.veevavault.com/ui/#object/approved_document__v/V5O00000000Q003", "LUP-Material riñones CLM")</f>
        <v>LUP-Material riñones CLM</v>
      </c>
      <c r="C17060" s="3" t="str">
        <f>HYPERLINK("https://otsuka-europe-crm.veevavault.com/ui/#object/sent_email__v/VBL00000001E234", "SE-001404290")</f>
        <v>SE-001404290</v>
      </c>
      <c r="D17060" s="1" t="s">
        <v>0</v>
      </c>
      <c r="E17060" s="2">
        <v>0</v>
      </c>
      <c r="F17060" s="2">
        <v>0</v>
      </c>
      <c r="G17060" s="2">
        <v>0</v>
      </c>
      <c r="H17060" s="1" t="s">
        <v>0</v>
      </c>
      <c r="I17060" s="2">
        <v>0</v>
      </c>
      <c r="J17060" s="1">
        <v>46070.495694444442</v>
      </c>
    </row>
    <row r="17061" spans="1:10" x14ac:dyDescent="0.2">
      <c r="A17061" s="4" t="s">
        <v>1</v>
      </c>
      <c r="B17061" s="3" t="str">
        <f>HYPERLINK("https://otsuka-europe-crm.veevavault.com/ui/#object/approved_document__v/V5O00000000Q003", "LUP-Material riñones CLM")</f>
        <v>LUP-Material riñones CLM</v>
      </c>
      <c r="C17061" s="3" t="str">
        <f>HYPERLINK("https://otsuka-europe-crm.veevavault.com/ui/#object/sent_email__v/VBL00000001E235", "SE-001404291")</f>
        <v>SE-001404291</v>
      </c>
      <c r="D17061" s="1" t="s">
        <v>0</v>
      </c>
      <c r="E17061" s="2">
        <v>0</v>
      </c>
      <c r="F17061" s="2">
        <v>0</v>
      </c>
      <c r="G17061" s="2">
        <v>0</v>
      </c>
      <c r="H17061" s="1" t="s">
        <v>0</v>
      </c>
      <c r="I17061" s="2">
        <v>0</v>
      </c>
      <c r="J17061" s="1">
        <v>46070.495694444442</v>
      </c>
    </row>
    <row r="17062" spans="1:10" x14ac:dyDescent="0.2">
      <c r="A17062" s="4" t="s">
        <v>1</v>
      </c>
      <c r="B17062" s="3" t="str">
        <f>HYPERLINK("https://otsuka-europe-crm.veevavault.com/ui/#object/approved_document__v/V5O00000000Q003", "LUP-Material riñones CLM")</f>
        <v>LUP-Material riñones CLM</v>
      </c>
      <c r="C17062" s="3" t="str">
        <f>HYPERLINK("https://otsuka-europe-crm.veevavault.com/ui/#object/sent_email__v/VBL00000001E236", "SE-001404292")</f>
        <v>SE-001404292</v>
      </c>
      <c r="D17062" s="1" t="s">
        <v>0</v>
      </c>
      <c r="E17062" s="2">
        <v>0</v>
      </c>
      <c r="F17062" s="2">
        <v>0</v>
      </c>
      <c r="G17062" s="2">
        <v>0</v>
      </c>
      <c r="H17062" s="1" t="s">
        <v>0</v>
      </c>
      <c r="I17062" s="2">
        <v>0</v>
      </c>
      <c r="J17062" s="1">
        <v>46070.495694444442</v>
      </c>
    </row>
    <row r="17063" spans="1:10" x14ac:dyDescent="0.2">
      <c r="A17063" s="4" t="s">
        <v>1</v>
      </c>
      <c r="B17063" s="3" t="str">
        <f>HYPERLINK("https://otsuka-europe-crm.veevavault.com/ui/#object/approved_document__v/V5O00000000Q003", "LUP-Material riñones CLM")</f>
        <v>LUP-Material riñones CLM</v>
      </c>
      <c r="C17063" s="3" t="str">
        <f>HYPERLINK("https://otsuka-europe-crm.veevavault.com/ui/#object/sent_email__v/VBL00000001E237", "SE-001404293")</f>
        <v>SE-001404293</v>
      </c>
      <c r="D17063" s="1" t="s">
        <v>0</v>
      </c>
      <c r="E17063" s="2">
        <v>0</v>
      </c>
      <c r="F17063" s="2">
        <v>0</v>
      </c>
      <c r="G17063" s="2">
        <v>0</v>
      </c>
      <c r="H17063" s="1" t="s">
        <v>0</v>
      </c>
      <c r="I17063" s="2">
        <v>0</v>
      </c>
      <c r="J17063" s="1">
        <v>46070.495706018519</v>
      </c>
    </row>
    <row r="17064" spans="1:10" x14ac:dyDescent="0.2">
      <c r="A17064" s="4" t="s">
        <v>1</v>
      </c>
      <c r="B17064" s="3" t="str">
        <f>HYPERLINK("https://otsuka-europe-crm.veevavault.com/ui/#object/approved_document__v/V5O00000000Q003", "LUP-Material riñones CLM")</f>
        <v>LUP-Material riñones CLM</v>
      </c>
      <c r="C17064" s="3" t="str">
        <f>HYPERLINK("https://otsuka-europe-crm.veevavault.com/ui/#object/sent_email__v/VBL00000001E238", "SE-001404294")</f>
        <v>SE-001404294</v>
      </c>
      <c r="D17064" s="1" t="s">
        <v>0</v>
      </c>
      <c r="E17064" s="2">
        <v>0</v>
      </c>
      <c r="F17064" s="2">
        <v>0</v>
      </c>
      <c r="G17064" s="2">
        <v>0</v>
      </c>
      <c r="H17064" s="1" t="s">
        <v>0</v>
      </c>
      <c r="I17064" s="2">
        <v>0</v>
      </c>
      <c r="J17064" s="1">
        <v>46070.495706018519</v>
      </c>
    </row>
    <row r="17065" spans="1:10" x14ac:dyDescent="0.2">
      <c r="A17065" s="4" t="s">
        <v>1</v>
      </c>
      <c r="B17065" s="3" t="str">
        <f>HYPERLINK("https://otsuka-europe-crm.veevavault.com/ui/#object/approved_document__v/V5O00000000Q003", "LUP-Material riñones CLM")</f>
        <v>LUP-Material riñones CLM</v>
      </c>
      <c r="C17065" s="3" t="str">
        <f>HYPERLINK("https://otsuka-europe-crm.veevavault.com/ui/#object/sent_email__v/VBL00000001E239", "SE-001404295")</f>
        <v>SE-001404295</v>
      </c>
      <c r="D17065" s="1" t="s">
        <v>0</v>
      </c>
      <c r="E17065" s="2">
        <v>0</v>
      </c>
      <c r="F17065" s="2">
        <v>0</v>
      </c>
      <c r="G17065" s="2">
        <v>0</v>
      </c>
      <c r="H17065" s="1" t="s">
        <v>0</v>
      </c>
      <c r="I17065" s="2">
        <v>0</v>
      </c>
      <c r="J17065" s="1">
        <v>46070.495706018519</v>
      </c>
    </row>
    <row r="17066" spans="1:10" x14ac:dyDescent="0.2">
      <c r="A17066" s="4" t="s">
        <v>1</v>
      </c>
      <c r="B17066" s="3" t="str">
        <f>HYPERLINK("https://otsuka-europe-crm.veevavault.com/ui/#object/approved_document__v/V5O00000000Q003", "LUP-Material riñones CLM")</f>
        <v>LUP-Material riñones CLM</v>
      </c>
      <c r="C17066" s="3" t="str">
        <f>HYPERLINK("https://otsuka-europe-crm.veevavault.com/ui/#object/sent_email__v/VBL00000001E240", "SE-001404296")</f>
        <v>SE-001404296</v>
      </c>
      <c r="D17066" s="1" t="s">
        <v>0</v>
      </c>
      <c r="E17066" s="2">
        <v>0</v>
      </c>
      <c r="F17066" s="2">
        <v>0</v>
      </c>
      <c r="G17066" s="2">
        <v>0</v>
      </c>
      <c r="H17066" s="1" t="s">
        <v>0</v>
      </c>
      <c r="I17066" s="2">
        <v>0</v>
      </c>
      <c r="J17066" s="1">
        <v>46070.495706018519</v>
      </c>
    </row>
    <row r="17067" spans="1:10" x14ac:dyDescent="0.2">
      <c r="A17067" s="4" t="s">
        <v>1</v>
      </c>
      <c r="B17067" s="3" t="str">
        <f>HYPERLINK("https://otsuka-europe-crm.veevavault.com/ui/#object/approved_document__v/V5O00000000Q003", "LUP-Material riñones CLM")</f>
        <v>LUP-Material riñones CLM</v>
      </c>
      <c r="C17067" s="3" t="str">
        <f>HYPERLINK("https://otsuka-europe-crm.veevavault.com/ui/#object/sent_email__v/VBL00000001E241", "SE-001404297")</f>
        <v>SE-001404297</v>
      </c>
      <c r="D17067" s="1" t="s">
        <v>0</v>
      </c>
      <c r="E17067" s="2">
        <v>0</v>
      </c>
      <c r="F17067" s="2">
        <v>0</v>
      </c>
      <c r="G17067" s="2">
        <v>0</v>
      </c>
      <c r="H17067" s="1" t="s">
        <v>0</v>
      </c>
      <c r="I17067" s="2">
        <v>0</v>
      </c>
      <c r="J17067" s="1">
        <v>46070.495706018519</v>
      </c>
    </row>
    <row r="17068" spans="1:10" x14ac:dyDescent="0.2">
      <c r="A17068" s="4" t="s">
        <v>1</v>
      </c>
      <c r="B17068" s="3" t="str">
        <f>HYPERLINK("https://otsuka-europe-crm.veevavault.com/ui/#object/approved_document__v/V5O00000000Q003", "LUP-Material riñones CLM")</f>
        <v>LUP-Material riñones CLM</v>
      </c>
      <c r="C17068" s="3" t="str">
        <f>HYPERLINK("https://otsuka-europe-crm.veevavault.com/ui/#object/sent_email__v/VBL00000001E242", "SE-001404298")</f>
        <v>SE-001404298</v>
      </c>
      <c r="D17068" s="1" t="s">
        <v>0</v>
      </c>
      <c r="E17068" s="2">
        <v>0</v>
      </c>
      <c r="F17068" s="2">
        <v>0</v>
      </c>
      <c r="G17068" s="2">
        <v>0</v>
      </c>
      <c r="H17068" s="1" t="s">
        <v>0</v>
      </c>
      <c r="I17068" s="2">
        <v>0</v>
      </c>
      <c r="J17068" s="1">
        <v>46070.495706018519</v>
      </c>
    </row>
    <row r="17069" spans="1:10" x14ac:dyDescent="0.2">
      <c r="A17069" s="4" t="s">
        <v>1</v>
      </c>
      <c r="B17069" s="3" t="str">
        <f>HYPERLINK("https://otsuka-europe-crm.veevavault.com/ui/#object/approved_document__v/V5O00000000Q003", "LUP-Material riñones CLM")</f>
        <v>LUP-Material riñones CLM</v>
      </c>
      <c r="C17069" s="3" t="str">
        <f>HYPERLINK("https://otsuka-europe-crm.veevavault.com/ui/#object/sent_email__v/VBL00000001E243", "SE-001404299")</f>
        <v>SE-001404299</v>
      </c>
      <c r="D17069" s="1" t="s">
        <v>0</v>
      </c>
      <c r="E17069" s="2">
        <v>0</v>
      </c>
      <c r="F17069" s="2">
        <v>0</v>
      </c>
      <c r="G17069" s="2">
        <v>0</v>
      </c>
      <c r="H17069" s="1" t="s">
        <v>0</v>
      </c>
      <c r="I17069" s="2">
        <v>0</v>
      </c>
      <c r="J17069" s="1">
        <v>46070.495706018519</v>
      </c>
    </row>
    <row r="17070" spans="1:10" x14ac:dyDescent="0.2">
      <c r="A17070" s="4" t="s">
        <v>1</v>
      </c>
      <c r="B17070" s="3" t="str">
        <f>HYPERLINK("https://otsuka-europe-crm.veevavault.com/ui/#object/approved_document__v/V5O00000000Q003", "LUP-Material riñones CLM")</f>
        <v>LUP-Material riñones CLM</v>
      </c>
      <c r="C17070" s="3" t="str">
        <f>HYPERLINK("https://otsuka-europe-crm.veevavault.com/ui/#object/sent_email__v/VBL00000001E244", "SE-001404300")</f>
        <v>SE-001404300</v>
      </c>
      <c r="D17070" s="1" t="s">
        <v>0</v>
      </c>
      <c r="E17070" s="2">
        <v>0</v>
      </c>
      <c r="F17070" s="2">
        <v>0</v>
      </c>
      <c r="G17070" s="2">
        <v>0</v>
      </c>
      <c r="H17070" s="1" t="s">
        <v>0</v>
      </c>
      <c r="I17070" s="2">
        <v>0</v>
      </c>
      <c r="J17070" s="1">
        <v>46070.495706018519</v>
      </c>
    </row>
    <row r="17071" spans="1:10" x14ac:dyDescent="0.2">
      <c r="A17071" s="4" t="s">
        <v>1</v>
      </c>
      <c r="B17071" s="3" t="str">
        <f>HYPERLINK("https://otsuka-europe-crm.veevavault.com/ui/#object/approved_document__v/V5O00000000Q003", "LUP-Material riñones CLM")</f>
        <v>LUP-Material riñones CLM</v>
      </c>
      <c r="C17071" s="3" t="str">
        <f>HYPERLINK("https://otsuka-europe-crm.veevavault.com/ui/#object/sent_email__v/VBL00000001E245", "SE-001404301")</f>
        <v>SE-001404301</v>
      </c>
      <c r="D17071" s="1" t="s">
        <v>0</v>
      </c>
      <c r="E17071" s="2">
        <v>0</v>
      </c>
      <c r="F17071" s="2">
        <v>0</v>
      </c>
      <c r="G17071" s="2">
        <v>0</v>
      </c>
      <c r="H17071" s="1" t="s">
        <v>0</v>
      </c>
      <c r="I17071" s="2">
        <v>0</v>
      </c>
      <c r="J17071" s="1">
        <v>46070.495706018519</v>
      </c>
    </row>
    <row r="17072" spans="1:10" x14ac:dyDescent="0.2">
      <c r="A17072" s="4" t="s">
        <v>1</v>
      </c>
      <c r="B17072" s="3" t="str">
        <f>HYPERLINK("https://otsuka-europe-crm.veevavault.com/ui/#object/approved_document__v/V5O00000000Q003", "LUP-Material riñones CLM")</f>
        <v>LUP-Material riñones CLM</v>
      </c>
      <c r="C17072" s="3" t="str">
        <f>HYPERLINK("https://otsuka-europe-crm.veevavault.com/ui/#object/sent_email__v/VBL00000001E246", "SE-001404302")</f>
        <v>SE-001404302</v>
      </c>
      <c r="D17072" s="1" t="s">
        <v>0</v>
      </c>
      <c r="E17072" s="2">
        <v>0</v>
      </c>
      <c r="F17072" s="2">
        <v>0</v>
      </c>
      <c r="G17072" s="2">
        <v>0</v>
      </c>
      <c r="H17072" s="1" t="s">
        <v>0</v>
      </c>
      <c r="I17072" s="2">
        <v>0</v>
      </c>
      <c r="J17072" s="1">
        <v>46070.495706018519</v>
      </c>
    </row>
    <row r="17073" spans="1:10" x14ac:dyDescent="0.2">
      <c r="A17073" s="4" t="s">
        <v>1</v>
      </c>
      <c r="B17073" s="3" t="str">
        <f>HYPERLINK("https://otsuka-europe-crm.veevavault.com/ui/#object/approved_document__v/V5O00000000Q003", "LUP-Material riñones CLM")</f>
        <v>LUP-Material riñones CLM</v>
      </c>
      <c r="C17073" s="3" t="str">
        <f>HYPERLINK("https://otsuka-europe-crm.veevavault.com/ui/#object/sent_email__v/VBL00000001E247", "SE-001404303")</f>
        <v>SE-001404303</v>
      </c>
      <c r="D17073" s="1" t="s">
        <v>0</v>
      </c>
      <c r="E17073" s="2">
        <v>0</v>
      </c>
      <c r="F17073" s="2">
        <v>0</v>
      </c>
      <c r="G17073" s="2">
        <v>0</v>
      </c>
      <c r="H17073" s="1" t="s">
        <v>0</v>
      </c>
      <c r="I17073" s="2">
        <v>0</v>
      </c>
      <c r="J17073" s="1">
        <v>46070.495717592596</v>
      </c>
    </row>
    <row r="17074" spans="1:10" x14ac:dyDescent="0.2">
      <c r="A17074" s="4" t="s">
        <v>1</v>
      </c>
      <c r="B17074" s="3" t="str">
        <f>HYPERLINK("https://otsuka-europe-crm.veevavault.com/ui/#object/approved_document__v/V5O00000000Q003", "LUP-Material riñones CLM")</f>
        <v>LUP-Material riñones CLM</v>
      </c>
      <c r="C17074" s="3" t="str">
        <f>HYPERLINK("https://otsuka-europe-crm.veevavault.com/ui/#object/sent_email__v/VBL00000001E248", "SE-001404304")</f>
        <v>SE-001404304</v>
      </c>
      <c r="D17074" s="1" t="s">
        <v>0</v>
      </c>
      <c r="E17074" s="2">
        <v>0</v>
      </c>
      <c r="F17074" s="2">
        <v>0</v>
      </c>
      <c r="G17074" s="2">
        <v>0</v>
      </c>
      <c r="H17074" s="1" t="s">
        <v>0</v>
      </c>
      <c r="I17074" s="2">
        <v>0</v>
      </c>
      <c r="J17074" s="1">
        <v>46070.495717592596</v>
      </c>
    </row>
    <row r="17075" spans="1:10" x14ac:dyDescent="0.2">
      <c r="A17075" s="4" t="s">
        <v>1</v>
      </c>
      <c r="B17075" s="3" t="str">
        <f>HYPERLINK("https://otsuka-europe-crm.veevavault.com/ui/#object/approved_document__v/V5O00000000Q003", "LUP-Material riñones CLM")</f>
        <v>LUP-Material riñones CLM</v>
      </c>
      <c r="C17075" s="3" t="str">
        <f>HYPERLINK("https://otsuka-europe-crm.veevavault.com/ui/#object/sent_email__v/VBL00000001E249", "SE-001404305")</f>
        <v>SE-001404305</v>
      </c>
      <c r="D17075" s="1" t="s">
        <v>0</v>
      </c>
      <c r="E17075" s="2">
        <v>0</v>
      </c>
      <c r="F17075" s="2">
        <v>0</v>
      </c>
      <c r="G17075" s="2">
        <v>0</v>
      </c>
      <c r="H17075" s="1" t="s">
        <v>0</v>
      </c>
      <c r="I17075" s="2">
        <v>0</v>
      </c>
      <c r="J17075" s="1">
        <v>46070.495717592596</v>
      </c>
    </row>
    <row r="17076" spans="1:10" x14ac:dyDescent="0.2">
      <c r="A17076" s="4" t="s">
        <v>1</v>
      </c>
      <c r="B17076" s="3" t="str">
        <f>HYPERLINK("https://otsuka-europe-crm.veevavault.com/ui/#object/approved_document__v/V5O00000000Q003", "LUP-Material riñones CLM")</f>
        <v>LUP-Material riñones CLM</v>
      </c>
      <c r="C17076" s="3" t="str">
        <f>HYPERLINK("https://otsuka-europe-crm.veevavault.com/ui/#object/sent_email__v/VBL00000001E250", "SE-001404306")</f>
        <v>SE-001404306</v>
      </c>
      <c r="D17076" s="1" t="s">
        <v>0</v>
      </c>
      <c r="E17076" s="2">
        <v>0</v>
      </c>
      <c r="F17076" s="2">
        <v>0</v>
      </c>
      <c r="G17076" s="2">
        <v>0</v>
      </c>
      <c r="H17076" s="1" t="s">
        <v>0</v>
      </c>
      <c r="I17076" s="2">
        <v>0</v>
      </c>
      <c r="J17076" s="1">
        <v>46070.495717592596</v>
      </c>
    </row>
    <row r="17077" spans="1:10" x14ac:dyDescent="0.2">
      <c r="A17077" s="4" t="s">
        <v>1</v>
      </c>
      <c r="B17077" s="3" t="str">
        <f>HYPERLINK("https://otsuka-europe-crm.veevavault.com/ui/#object/approved_document__v/V5O00000000Q003", "LUP-Material riñones CLM")</f>
        <v>LUP-Material riñones CLM</v>
      </c>
      <c r="C17077" s="3" t="str">
        <f>HYPERLINK("https://otsuka-europe-crm.veevavault.com/ui/#object/sent_email__v/VBL00000001E251", "SE-001404307")</f>
        <v>SE-001404307</v>
      </c>
      <c r="D17077" s="1" t="s">
        <v>0</v>
      </c>
      <c r="E17077" s="2">
        <v>0</v>
      </c>
      <c r="F17077" s="2">
        <v>0</v>
      </c>
      <c r="G17077" s="2">
        <v>0</v>
      </c>
      <c r="H17077" s="1" t="s">
        <v>0</v>
      </c>
      <c r="I17077" s="2">
        <v>0</v>
      </c>
      <c r="J17077" s="1">
        <v>46070.495717592596</v>
      </c>
    </row>
    <row r="17078" spans="1:10" x14ac:dyDescent="0.2">
      <c r="A17078" s="4" t="s">
        <v>1</v>
      </c>
      <c r="B17078" s="3" t="str">
        <f>HYPERLINK("https://otsuka-europe-crm.veevavault.com/ui/#object/approved_document__v/V5O00000000Q003", "LUP-Material riñones CLM")</f>
        <v>LUP-Material riñones CLM</v>
      </c>
      <c r="C17078" s="3" t="str">
        <f>HYPERLINK("https://otsuka-europe-crm.veevavault.com/ui/#object/sent_email__v/VBL00000001E252", "SE-001404308")</f>
        <v>SE-001404308</v>
      </c>
      <c r="D17078" s="1" t="s">
        <v>0</v>
      </c>
      <c r="E17078" s="2">
        <v>0</v>
      </c>
      <c r="F17078" s="2">
        <v>0</v>
      </c>
      <c r="G17078" s="2">
        <v>0</v>
      </c>
      <c r="H17078" s="1" t="s">
        <v>0</v>
      </c>
      <c r="I17078" s="2">
        <v>0</v>
      </c>
      <c r="J17078" s="1">
        <v>46070.495717592596</v>
      </c>
    </row>
    <row r="17079" spans="1:10" x14ac:dyDescent="0.2">
      <c r="A17079" s="4" t="s">
        <v>1</v>
      </c>
      <c r="B17079" s="3" t="str">
        <f>HYPERLINK("https://otsuka-europe-crm.veevavault.com/ui/#object/approved_document__v/V5O00000000Q003", "LUP-Material riñones CLM")</f>
        <v>LUP-Material riñones CLM</v>
      </c>
      <c r="C17079" s="3" t="str">
        <f>HYPERLINK("https://otsuka-europe-crm.veevavault.com/ui/#object/sent_email__v/VBL00000001E253", "SE-001404309")</f>
        <v>SE-001404309</v>
      </c>
      <c r="D17079" s="1" t="s">
        <v>0</v>
      </c>
      <c r="E17079" s="2">
        <v>0</v>
      </c>
      <c r="F17079" s="2">
        <v>0</v>
      </c>
      <c r="G17079" s="2">
        <v>0</v>
      </c>
      <c r="H17079" s="1" t="s">
        <v>0</v>
      </c>
      <c r="I17079" s="2">
        <v>0</v>
      </c>
      <c r="J17079" s="1">
        <v>46070.495717592596</v>
      </c>
    </row>
    <row r="17080" spans="1:10" x14ac:dyDescent="0.2">
      <c r="A17080" s="4" t="s">
        <v>1</v>
      </c>
      <c r="B17080" s="3" t="str">
        <f>HYPERLINK("https://otsuka-europe-crm.veevavault.com/ui/#object/approved_document__v/V5O00000000Q003", "LUP-Material riñones CLM")</f>
        <v>LUP-Material riñones CLM</v>
      </c>
      <c r="C17080" s="3" t="str">
        <f>HYPERLINK("https://otsuka-europe-crm.veevavault.com/ui/#object/sent_email__v/VBL00000001E254", "SE-001404310")</f>
        <v>SE-001404310</v>
      </c>
      <c r="D17080" s="1" t="s">
        <v>0</v>
      </c>
      <c r="E17080" s="2">
        <v>0</v>
      </c>
      <c r="F17080" s="2">
        <v>0</v>
      </c>
      <c r="G17080" s="2">
        <v>0</v>
      </c>
      <c r="H17080" s="1" t="s">
        <v>0</v>
      </c>
      <c r="I17080" s="2">
        <v>0</v>
      </c>
      <c r="J17080" s="1">
        <v>46070.495717592596</v>
      </c>
    </row>
    <row r="17081" spans="1:10" x14ac:dyDescent="0.2">
      <c r="A17081" s="4" t="s">
        <v>1</v>
      </c>
      <c r="B17081" s="3" t="str">
        <f>HYPERLINK("https://otsuka-europe-crm.veevavault.com/ui/#object/approved_document__v/V5O00000000Q003", "LUP-Material riñones CLM")</f>
        <v>LUP-Material riñones CLM</v>
      </c>
      <c r="C17081" s="3" t="str">
        <f>HYPERLINK("https://otsuka-europe-crm.veevavault.com/ui/#object/sent_email__v/VBL00000001E255", "SE-001404311")</f>
        <v>SE-001404311</v>
      </c>
      <c r="D17081" s="1" t="s">
        <v>0</v>
      </c>
      <c r="E17081" s="2">
        <v>0</v>
      </c>
      <c r="F17081" s="2">
        <v>0</v>
      </c>
      <c r="G17081" s="2">
        <v>0</v>
      </c>
      <c r="H17081" s="1" t="s">
        <v>0</v>
      </c>
      <c r="I17081" s="2">
        <v>0</v>
      </c>
      <c r="J17081" s="1">
        <v>46070.495717592596</v>
      </c>
    </row>
    <row r="17082" spans="1:10" x14ac:dyDescent="0.2">
      <c r="A17082" s="4" t="s">
        <v>1</v>
      </c>
      <c r="B17082" s="3" t="str">
        <f>HYPERLINK("https://otsuka-europe-crm.veevavault.com/ui/#object/approved_document__v/V5O00000000Q003", "LUP-Material riñones CLM")</f>
        <v>LUP-Material riñones CLM</v>
      </c>
      <c r="C17082" s="3" t="str">
        <f>HYPERLINK("https://otsuka-europe-crm.veevavault.com/ui/#object/sent_email__v/VBL00000001E256", "SE-001404312")</f>
        <v>SE-001404312</v>
      </c>
      <c r="D17082" s="1" t="s">
        <v>0</v>
      </c>
      <c r="E17082" s="2">
        <v>0</v>
      </c>
      <c r="F17082" s="2">
        <v>0</v>
      </c>
      <c r="G17082" s="2">
        <v>0</v>
      </c>
      <c r="H17082" s="1" t="s">
        <v>0</v>
      </c>
      <c r="I17082" s="2">
        <v>0</v>
      </c>
      <c r="J17082" s="1">
        <v>46070.495729166665</v>
      </c>
    </row>
    <row r="17083" spans="1:10" x14ac:dyDescent="0.2">
      <c r="A17083" s="4" t="s">
        <v>1</v>
      </c>
      <c r="B17083" s="3" t="str">
        <f>HYPERLINK("https://otsuka-europe-crm.veevavault.com/ui/#object/approved_document__v/V5O00000000Q003", "LUP-Material riñones CLM")</f>
        <v>LUP-Material riñones CLM</v>
      </c>
      <c r="C17083" s="3" t="str">
        <f>HYPERLINK("https://otsuka-europe-crm.veevavault.com/ui/#object/sent_email__v/VBL00000001E257", "SE-001404313")</f>
        <v>SE-001404313</v>
      </c>
      <c r="D17083" s="1" t="s">
        <v>0</v>
      </c>
      <c r="E17083" s="2">
        <v>0</v>
      </c>
      <c r="F17083" s="2">
        <v>0</v>
      </c>
      <c r="G17083" s="2">
        <v>0</v>
      </c>
      <c r="H17083" s="1" t="s">
        <v>0</v>
      </c>
      <c r="I17083" s="2">
        <v>0</v>
      </c>
      <c r="J17083" s="1">
        <v>46070.495729166665</v>
      </c>
    </row>
    <row r="17084" spans="1:10" x14ac:dyDescent="0.2">
      <c r="A17084" s="4" t="s">
        <v>1</v>
      </c>
      <c r="B17084" s="3" t="str">
        <f>HYPERLINK("https://otsuka-europe-crm.veevavault.com/ui/#object/approved_document__v/V5O00000000Q003", "LUP-Material riñones CLM")</f>
        <v>LUP-Material riñones CLM</v>
      </c>
      <c r="C17084" s="3" t="str">
        <f>HYPERLINK("https://otsuka-europe-crm.veevavault.com/ui/#object/sent_email__v/VBL00000001E258", "SE-001404314")</f>
        <v>SE-001404314</v>
      </c>
      <c r="D17084" s="1" t="s">
        <v>0</v>
      </c>
      <c r="E17084" s="2">
        <v>0</v>
      </c>
      <c r="F17084" s="2">
        <v>0</v>
      </c>
      <c r="G17084" s="2">
        <v>0</v>
      </c>
      <c r="H17084" s="1" t="s">
        <v>0</v>
      </c>
      <c r="I17084" s="2">
        <v>0</v>
      </c>
      <c r="J17084" s="1">
        <v>46070.495729166665</v>
      </c>
    </row>
    <row r="17085" spans="1:10" x14ac:dyDescent="0.2">
      <c r="A17085" s="4" t="s">
        <v>1</v>
      </c>
      <c r="B17085" s="3" t="str">
        <f>HYPERLINK("https://otsuka-europe-crm.veevavault.com/ui/#object/approved_document__v/V5O00000000Q003", "LUP-Material riñones CLM")</f>
        <v>LUP-Material riñones CLM</v>
      </c>
      <c r="C17085" s="3" t="str">
        <f>HYPERLINK("https://otsuka-europe-crm.veevavault.com/ui/#object/sent_email__v/VBL00000001E259", "SE-001404315")</f>
        <v>SE-001404315</v>
      </c>
      <c r="D17085" s="1" t="s">
        <v>0</v>
      </c>
      <c r="E17085" s="2">
        <v>0</v>
      </c>
      <c r="F17085" s="2">
        <v>0</v>
      </c>
      <c r="G17085" s="2">
        <v>0</v>
      </c>
      <c r="H17085" s="1" t="s">
        <v>0</v>
      </c>
      <c r="I17085" s="2">
        <v>0</v>
      </c>
      <c r="J17085" s="1">
        <v>46070.495729166665</v>
      </c>
    </row>
    <row r="17086" spans="1:10" x14ac:dyDescent="0.2">
      <c r="A17086" s="4" t="s">
        <v>1</v>
      </c>
      <c r="B17086" s="3" t="str">
        <f>HYPERLINK("https://otsuka-europe-crm.veevavault.com/ui/#object/approved_document__v/V5O00000000Q003", "LUP-Material riñones CLM")</f>
        <v>LUP-Material riñones CLM</v>
      </c>
      <c r="C17086" s="3" t="str">
        <f>HYPERLINK("https://otsuka-europe-crm.veevavault.com/ui/#object/sent_email__v/VBL00000001E260", "SE-001404316")</f>
        <v>SE-001404316</v>
      </c>
      <c r="D17086" s="1" t="s">
        <v>0</v>
      </c>
      <c r="E17086" s="2">
        <v>0</v>
      </c>
      <c r="F17086" s="2">
        <v>0</v>
      </c>
      <c r="G17086" s="2">
        <v>0</v>
      </c>
      <c r="H17086" s="1" t="s">
        <v>0</v>
      </c>
      <c r="I17086" s="2">
        <v>0</v>
      </c>
      <c r="J17086" s="1">
        <v>46070.495729166665</v>
      </c>
    </row>
    <row r="17087" spans="1:10" x14ac:dyDescent="0.2">
      <c r="A17087" s="4" t="s">
        <v>1</v>
      </c>
      <c r="B17087" s="3" t="str">
        <f>HYPERLINK("https://otsuka-europe-crm.veevavault.com/ui/#object/approved_document__v/V5O00000000Q003", "LUP-Material riñones CLM")</f>
        <v>LUP-Material riñones CLM</v>
      </c>
      <c r="C17087" s="3" t="str">
        <f>HYPERLINK("https://otsuka-europe-crm.veevavault.com/ui/#object/sent_email__v/VBL00000001E261", "SE-001404317")</f>
        <v>SE-001404317</v>
      </c>
      <c r="D17087" s="1" t="s">
        <v>0</v>
      </c>
      <c r="E17087" s="2">
        <v>0</v>
      </c>
      <c r="F17087" s="2">
        <v>0</v>
      </c>
      <c r="G17087" s="2">
        <v>0</v>
      </c>
      <c r="H17087" s="1" t="s">
        <v>0</v>
      </c>
      <c r="I17087" s="2">
        <v>0</v>
      </c>
      <c r="J17087" s="1">
        <v>46070.495729166665</v>
      </c>
    </row>
    <row r="17088" spans="1:10" x14ac:dyDescent="0.2">
      <c r="A17088" s="4" t="s">
        <v>1</v>
      </c>
      <c r="B17088" s="3" t="str">
        <f>HYPERLINK("https://otsuka-europe-crm.veevavault.com/ui/#object/approved_document__v/V5O00000000Q003", "LUP-Material riñones CLM")</f>
        <v>LUP-Material riñones CLM</v>
      </c>
      <c r="C17088" s="3" t="str">
        <f>HYPERLINK("https://otsuka-europe-crm.veevavault.com/ui/#object/sent_email__v/VBL00000001E262", "SE-001404318")</f>
        <v>SE-001404318</v>
      </c>
      <c r="D17088" s="1" t="s">
        <v>0</v>
      </c>
      <c r="E17088" s="2">
        <v>0</v>
      </c>
      <c r="F17088" s="2">
        <v>0</v>
      </c>
      <c r="G17088" s="2">
        <v>0</v>
      </c>
      <c r="H17088" s="1" t="s">
        <v>0</v>
      </c>
      <c r="I17088" s="2">
        <v>0</v>
      </c>
      <c r="J17088" s="1">
        <v>46070.495729166665</v>
      </c>
    </row>
    <row r="17089" spans="1:10" x14ac:dyDescent="0.2">
      <c r="A17089" s="4" t="s">
        <v>1</v>
      </c>
      <c r="B17089" s="3" t="str">
        <f>HYPERLINK("https://otsuka-europe-crm.veevavault.com/ui/#object/approved_document__v/V5O00000000Q003", "LUP-Material riñones CLM")</f>
        <v>LUP-Material riñones CLM</v>
      </c>
      <c r="C17089" s="3" t="str">
        <f>HYPERLINK("https://otsuka-europe-crm.veevavault.com/ui/#object/sent_email__v/VBL00000001E263", "SE-001404319")</f>
        <v>SE-001404319</v>
      </c>
      <c r="D17089" s="1" t="s">
        <v>0</v>
      </c>
      <c r="E17089" s="2">
        <v>0</v>
      </c>
      <c r="F17089" s="2">
        <v>0</v>
      </c>
      <c r="G17089" s="2">
        <v>0</v>
      </c>
      <c r="H17089" s="1" t="s">
        <v>0</v>
      </c>
      <c r="I17089" s="2">
        <v>0</v>
      </c>
      <c r="J17089" s="1">
        <v>46070.495729166665</v>
      </c>
    </row>
    <row r="17090" spans="1:10" x14ac:dyDescent="0.2">
      <c r="A17090" s="4" t="s">
        <v>1</v>
      </c>
      <c r="B17090" s="3" t="str">
        <f>HYPERLINK("https://otsuka-europe-crm.veevavault.com/ui/#object/approved_document__v/V5O00000000Q003", "LUP-Material riñones CLM")</f>
        <v>LUP-Material riñones CLM</v>
      </c>
      <c r="C17090" s="3" t="str">
        <f>HYPERLINK("https://otsuka-europe-crm.veevavault.com/ui/#object/sent_email__v/VBL00000001E264", "SE-001404320")</f>
        <v>SE-001404320</v>
      </c>
      <c r="D17090" s="1">
        <v>46071.384884259256</v>
      </c>
      <c r="E17090" s="2">
        <v>1</v>
      </c>
      <c r="F17090" s="2">
        <v>1</v>
      </c>
      <c r="G17090" s="2">
        <v>0</v>
      </c>
      <c r="H17090" s="1" t="s">
        <v>0</v>
      </c>
      <c r="I17090" s="2">
        <v>0</v>
      </c>
      <c r="J17090" s="1">
        <v>46070.495729166665</v>
      </c>
    </row>
    <row r="17091" spans="1:10" x14ac:dyDescent="0.2">
      <c r="A17091" s="4" t="s">
        <v>1</v>
      </c>
      <c r="B17091" s="3" t="str">
        <f>HYPERLINK("https://otsuka-europe-crm.veevavault.com/ui/#object/approved_document__v/V5O00000000Q003", "LUP-Material riñones CLM")</f>
        <v>LUP-Material riñones CLM</v>
      </c>
      <c r="C17091" s="3" t="str">
        <f>HYPERLINK("https://otsuka-europe-crm.veevavault.com/ui/#object/sent_email__v/VBL00000001E265", "SE-001404321")</f>
        <v>SE-001404321</v>
      </c>
      <c r="D17091" s="1" t="s">
        <v>0</v>
      </c>
      <c r="E17091" s="2">
        <v>0</v>
      </c>
      <c r="F17091" s="2">
        <v>0</v>
      </c>
      <c r="G17091" s="2">
        <v>0</v>
      </c>
      <c r="H17091" s="1" t="s">
        <v>0</v>
      </c>
      <c r="I17091" s="2">
        <v>0</v>
      </c>
      <c r="J17091" s="1">
        <v>46070.495729166665</v>
      </c>
    </row>
    <row r="17092" spans="1:10" x14ac:dyDescent="0.2">
      <c r="A17092" s="4" t="s">
        <v>1</v>
      </c>
      <c r="B17092" s="3" t="str">
        <f>HYPERLINK("https://otsuka-europe-crm.veevavault.com/ui/#object/approved_document__v/V5O00000000Q003", "LUP-Material riñones CLM")</f>
        <v>LUP-Material riñones CLM</v>
      </c>
      <c r="C17092" s="3" t="str">
        <f>HYPERLINK("https://otsuka-europe-crm.veevavault.com/ui/#object/sent_email__v/VBL00000001E266", "SE-001404322")</f>
        <v>SE-001404322</v>
      </c>
      <c r="D17092" s="1" t="s">
        <v>0</v>
      </c>
      <c r="E17092" s="2">
        <v>0</v>
      </c>
      <c r="F17092" s="2">
        <v>0</v>
      </c>
      <c r="G17092" s="2">
        <v>0</v>
      </c>
      <c r="H17092" s="1" t="s">
        <v>0</v>
      </c>
      <c r="I17092" s="2">
        <v>0</v>
      </c>
      <c r="J17092" s="1">
        <v>46070.495740740742</v>
      </c>
    </row>
    <row r="17093" spans="1:10" x14ac:dyDescent="0.2">
      <c r="A17093" s="4" t="s">
        <v>1</v>
      </c>
      <c r="B17093" s="3" t="str">
        <f>HYPERLINK("https://otsuka-europe-crm.veevavault.com/ui/#object/approved_document__v/V5O00000000Q003", "LUP-Material riñones CLM")</f>
        <v>LUP-Material riñones CLM</v>
      </c>
      <c r="C17093" s="3" t="str">
        <f>HYPERLINK("https://otsuka-europe-crm.veevavault.com/ui/#object/sent_email__v/VBL00000001E267", "SE-001404323")</f>
        <v>SE-001404323</v>
      </c>
      <c r="D17093" s="1" t="s">
        <v>0</v>
      </c>
      <c r="E17093" s="2">
        <v>0</v>
      </c>
      <c r="F17093" s="2">
        <v>0</v>
      </c>
      <c r="G17093" s="2">
        <v>0</v>
      </c>
      <c r="H17093" s="1" t="s">
        <v>0</v>
      </c>
      <c r="I17093" s="2">
        <v>0</v>
      </c>
      <c r="J17093" s="1">
        <v>46070.495740740742</v>
      </c>
    </row>
    <row r="17094" spans="1:10" x14ac:dyDescent="0.2">
      <c r="A17094" s="4" t="s">
        <v>1</v>
      </c>
      <c r="B17094" s="3" t="str">
        <f>HYPERLINK("https://otsuka-europe-crm.veevavault.com/ui/#object/approved_document__v/V5O00000000Q003", "LUP-Material riñones CLM")</f>
        <v>LUP-Material riñones CLM</v>
      </c>
      <c r="C17094" s="3" t="str">
        <f>HYPERLINK("https://otsuka-europe-crm.veevavault.com/ui/#object/sent_email__v/VBL00000001E268", "SE-001404324")</f>
        <v>SE-001404324</v>
      </c>
      <c r="D17094" s="1" t="s">
        <v>0</v>
      </c>
      <c r="E17094" s="2">
        <v>0</v>
      </c>
      <c r="F17094" s="2">
        <v>0</v>
      </c>
      <c r="G17094" s="2">
        <v>0</v>
      </c>
      <c r="H17094" s="1" t="s">
        <v>0</v>
      </c>
      <c r="I17094" s="2">
        <v>0</v>
      </c>
      <c r="J17094" s="1">
        <v>46070.495740740742</v>
      </c>
    </row>
    <row r="17095" spans="1:10" x14ac:dyDescent="0.2">
      <c r="A17095" s="4" t="s">
        <v>1</v>
      </c>
      <c r="B17095" s="3" t="str">
        <f>HYPERLINK("https://otsuka-europe-crm.veevavault.com/ui/#object/approved_document__v/V5O00000000Q003", "LUP-Material riñones CLM")</f>
        <v>LUP-Material riñones CLM</v>
      </c>
      <c r="C17095" s="3" t="str">
        <f>HYPERLINK("https://otsuka-europe-crm.veevavault.com/ui/#object/sent_email__v/VBL00000001E269", "SE-001404325")</f>
        <v>SE-001404325</v>
      </c>
      <c r="D17095" s="1" t="s">
        <v>0</v>
      </c>
      <c r="E17095" s="2">
        <v>0</v>
      </c>
      <c r="F17095" s="2">
        <v>0</v>
      </c>
      <c r="G17095" s="2">
        <v>0</v>
      </c>
      <c r="H17095" s="1" t="s">
        <v>0</v>
      </c>
      <c r="I17095" s="2">
        <v>0</v>
      </c>
      <c r="J17095" s="1">
        <v>46070.495740740742</v>
      </c>
    </row>
    <row r="17096" spans="1:10" x14ac:dyDescent="0.2">
      <c r="A17096" s="4" t="s">
        <v>1</v>
      </c>
      <c r="B17096" s="3" t="str">
        <f>HYPERLINK("https://otsuka-europe-crm.veevavault.com/ui/#object/approved_document__v/V5O00000000Q003", "LUP-Material riñones CLM")</f>
        <v>LUP-Material riñones CLM</v>
      </c>
      <c r="C17096" s="3" t="str">
        <f>HYPERLINK("https://otsuka-europe-crm.veevavault.com/ui/#object/sent_email__v/VBL00000001D114", "SE-001404330")</f>
        <v>SE-001404330</v>
      </c>
      <c r="D17096" s="1" t="s">
        <v>0</v>
      </c>
      <c r="E17096" s="2">
        <v>0</v>
      </c>
      <c r="F17096" s="2">
        <v>0</v>
      </c>
      <c r="G17096" s="2">
        <v>0</v>
      </c>
      <c r="H17096" s="1" t="s">
        <v>0</v>
      </c>
      <c r="I17096" s="2">
        <v>0</v>
      </c>
      <c r="J17096" s="1">
        <v>46070.496620370373</v>
      </c>
    </row>
    <row r="17097" spans="1:10" x14ac:dyDescent="0.2">
      <c r="A17097" s="4" t="s">
        <v>1</v>
      </c>
      <c r="B17097" s="3" t="str">
        <f>HYPERLINK("https://otsuka-europe-crm.veevavault.com/ui/#object/approved_document__v/V5O00000000Q003", "LUP-Material riñones CLM")</f>
        <v>LUP-Material riñones CLM</v>
      </c>
      <c r="C17097" s="3" t="str">
        <f>HYPERLINK("https://otsuka-europe-crm.veevavault.com/ui/#object/sent_email__v/VBL00000001D115", "SE-001404331")</f>
        <v>SE-001404331</v>
      </c>
      <c r="D17097" s="1" t="s">
        <v>0</v>
      </c>
      <c r="E17097" s="2">
        <v>0</v>
      </c>
      <c r="F17097" s="2">
        <v>0</v>
      </c>
      <c r="G17097" s="2">
        <v>0</v>
      </c>
      <c r="H17097" s="1" t="s">
        <v>0</v>
      </c>
      <c r="I17097" s="2">
        <v>0</v>
      </c>
      <c r="J17097" s="1">
        <v>46070.496620370373</v>
      </c>
    </row>
    <row r="17098" spans="1:10" x14ac:dyDescent="0.2">
      <c r="A17098" s="4" t="s">
        <v>1</v>
      </c>
      <c r="B17098" s="3" t="str">
        <f>HYPERLINK("https://otsuka-europe-crm.veevavault.com/ui/#object/approved_document__v/V5O00000000Q003", "LUP-Material riñones CLM")</f>
        <v>LUP-Material riñones CLM</v>
      </c>
      <c r="C17098" s="3" t="str">
        <f>HYPERLINK("https://otsuka-europe-crm.veevavault.com/ui/#object/sent_email__v/VBL00000001D116", "SE-001404332")</f>
        <v>SE-001404332</v>
      </c>
      <c r="D17098" s="1" t="s">
        <v>0</v>
      </c>
      <c r="E17098" s="2">
        <v>0</v>
      </c>
      <c r="F17098" s="2">
        <v>0</v>
      </c>
      <c r="G17098" s="2">
        <v>0</v>
      </c>
      <c r="H17098" s="1" t="s">
        <v>0</v>
      </c>
      <c r="I17098" s="2">
        <v>0</v>
      </c>
      <c r="J17098" s="1">
        <v>46070.496620370373</v>
      </c>
    </row>
    <row r="17099" spans="1:10" x14ac:dyDescent="0.2">
      <c r="A17099" s="4" t="s">
        <v>1</v>
      </c>
      <c r="B17099" s="3" t="str">
        <f>HYPERLINK("https://otsuka-europe-crm.veevavault.com/ui/#object/approved_document__v/V5O00000000Q003", "LUP-Material riñones CLM")</f>
        <v>LUP-Material riñones CLM</v>
      </c>
      <c r="C17099" s="3" t="str">
        <f>HYPERLINK("https://otsuka-europe-crm.veevavault.com/ui/#object/sent_email__v/VBL00000001D117", "SE-001404333")</f>
        <v>SE-001404333</v>
      </c>
      <c r="D17099" s="1" t="s">
        <v>0</v>
      </c>
      <c r="E17099" s="2">
        <v>0</v>
      </c>
      <c r="F17099" s="2">
        <v>0</v>
      </c>
      <c r="G17099" s="2">
        <v>0</v>
      </c>
      <c r="H17099" s="1" t="s">
        <v>0</v>
      </c>
      <c r="I17099" s="2">
        <v>0</v>
      </c>
      <c r="J17099" s="1">
        <v>46070.496631944443</v>
      </c>
    </row>
    <row r="17100" spans="1:10" x14ac:dyDescent="0.2">
      <c r="A17100" s="4" t="s">
        <v>1</v>
      </c>
      <c r="B17100" s="3" t="str">
        <f>HYPERLINK("https://otsuka-europe-crm.veevavault.com/ui/#object/approved_document__v/V5O00000000Q003", "LUP-Material riñones CLM")</f>
        <v>LUP-Material riñones CLM</v>
      </c>
      <c r="C17100" s="3" t="str">
        <f>HYPERLINK("https://otsuka-europe-crm.veevavault.com/ui/#object/sent_email__v/VBL00000001D118", "SE-001404334")</f>
        <v>SE-001404334</v>
      </c>
      <c r="D17100" s="1" t="s">
        <v>0</v>
      </c>
      <c r="E17100" s="2">
        <v>0</v>
      </c>
      <c r="F17100" s="2">
        <v>0</v>
      </c>
      <c r="G17100" s="2">
        <v>0</v>
      </c>
      <c r="H17100" s="1" t="s">
        <v>0</v>
      </c>
      <c r="I17100" s="2">
        <v>0</v>
      </c>
      <c r="J17100" s="1">
        <v>46070.496631944443</v>
      </c>
    </row>
    <row r="17101" spans="1:10" x14ac:dyDescent="0.2">
      <c r="A17101" s="4" t="s">
        <v>1</v>
      </c>
      <c r="B17101" s="3" t="str">
        <f>HYPERLINK("https://otsuka-europe-crm.veevavault.com/ui/#object/approved_document__v/V5O00000000Q003", "LUP-Material riñones CLM")</f>
        <v>LUP-Material riñones CLM</v>
      </c>
      <c r="C17101" s="3" t="str">
        <f>HYPERLINK("https://otsuka-europe-crm.veevavault.com/ui/#object/sent_email__v/VBL00000001D119", "SE-001404335")</f>
        <v>SE-001404335</v>
      </c>
      <c r="D17101" s="1" t="s">
        <v>0</v>
      </c>
      <c r="E17101" s="2">
        <v>0</v>
      </c>
      <c r="F17101" s="2">
        <v>0</v>
      </c>
      <c r="G17101" s="2">
        <v>0</v>
      </c>
      <c r="H17101" s="1" t="s">
        <v>0</v>
      </c>
      <c r="I17101" s="2">
        <v>0</v>
      </c>
      <c r="J17101" s="1">
        <v>46070.496631944443</v>
      </c>
    </row>
    <row r="17102" spans="1:10" x14ac:dyDescent="0.2">
      <c r="A17102" s="4" t="s">
        <v>1</v>
      </c>
      <c r="B17102" s="3" t="str">
        <f>HYPERLINK("https://otsuka-europe-crm.veevavault.com/ui/#object/approved_document__v/V5O00000000Q003", "LUP-Material riñones CLM")</f>
        <v>LUP-Material riñones CLM</v>
      </c>
      <c r="C17102" s="3" t="str">
        <f>HYPERLINK("https://otsuka-europe-crm.veevavault.com/ui/#object/sent_email__v/VBL00000001D120", "SE-001404336")</f>
        <v>SE-001404336</v>
      </c>
      <c r="D17102" s="1" t="s">
        <v>0</v>
      </c>
      <c r="E17102" s="2">
        <v>0</v>
      </c>
      <c r="F17102" s="2">
        <v>0</v>
      </c>
      <c r="G17102" s="2">
        <v>0</v>
      </c>
      <c r="H17102" s="1" t="s">
        <v>0</v>
      </c>
      <c r="I17102" s="2">
        <v>0</v>
      </c>
      <c r="J17102" s="1">
        <v>46070.496631944443</v>
      </c>
    </row>
    <row r="17103" spans="1:10" x14ac:dyDescent="0.2">
      <c r="A17103" s="4" t="s">
        <v>1</v>
      </c>
      <c r="B17103" s="3" t="str">
        <f>HYPERLINK("https://otsuka-europe-crm.veevavault.com/ui/#object/approved_document__v/V5O00000000Q003", "LUP-Material riñones CLM")</f>
        <v>LUP-Material riñones CLM</v>
      </c>
      <c r="C17103" s="3" t="str">
        <f>HYPERLINK("https://otsuka-europe-crm.veevavault.com/ui/#object/sent_email__v/VBL00000001D121", "SE-001404337")</f>
        <v>SE-001404337</v>
      </c>
      <c r="D17103" s="1" t="s">
        <v>0</v>
      </c>
      <c r="E17103" s="2">
        <v>0</v>
      </c>
      <c r="F17103" s="2">
        <v>0</v>
      </c>
      <c r="G17103" s="2">
        <v>0</v>
      </c>
      <c r="H17103" s="1" t="s">
        <v>0</v>
      </c>
      <c r="I17103" s="2">
        <v>0</v>
      </c>
      <c r="J17103" s="1">
        <v>46070.496631944443</v>
      </c>
    </row>
    <row r="17104" spans="1:10" x14ac:dyDescent="0.2">
      <c r="A17104" s="4" t="s">
        <v>1</v>
      </c>
      <c r="B17104" s="3" t="str">
        <f>HYPERLINK("https://otsuka-europe-crm.veevavault.com/ui/#object/approved_document__v/V5O00000000Q003", "LUP-Material riñones CLM")</f>
        <v>LUP-Material riñones CLM</v>
      </c>
      <c r="C17104" s="3" t="str">
        <f>HYPERLINK("https://otsuka-europe-crm.veevavault.com/ui/#object/sent_email__v/VBL00000001D122", "SE-001404338")</f>
        <v>SE-001404338</v>
      </c>
      <c r="D17104" s="1" t="s">
        <v>0</v>
      </c>
      <c r="E17104" s="2">
        <v>0</v>
      </c>
      <c r="F17104" s="2">
        <v>0</v>
      </c>
      <c r="G17104" s="2">
        <v>0</v>
      </c>
      <c r="H17104" s="1" t="s">
        <v>0</v>
      </c>
      <c r="I17104" s="2">
        <v>0</v>
      </c>
      <c r="J17104" s="1">
        <v>46070.496631944443</v>
      </c>
    </row>
    <row r="17105" spans="1:10" x14ac:dyDescent="0.2">
      <c r="A17105" s="4" t="s">
        <v>1</v>
      </c>
      <c r="B17105" s="3" t="str">
        <f>HYPERLINK("https://otsuka-europe-crm.veevavault.com/ui/#object/approved_document__v/V5O00000000Q003", "LUP-Material riñones CLM")</f>
        <v>LUP-Material riñones CLM</v>
      </c>
      <c r="C17105" s="3" t="str">
        <f>HYPERLINK("https://otsuka-europe-crm.veevavault.com/ui/#object/sent_email__v/VBL00000001D123", "SE-001404339")</f>
        <v>SE-001404339</v>
      </c>
      <c r="D17105" s="1" t="s">
        <v>0</v>
      </c>
      <c r="E17105" s="2">
        <v>0</v>
      </c>
      <c r="F17105" s="2">
        <v>0</v>
      </c>
      <c r="G17105" s="2">
        <v>0</v>
      </c>
      <c r="H17105" s="1" t="s">
        <v>0</v>
      </c>
      <c r="I17105" s="2">
        <v>0</v>
      </c>
      <c r="J17105" s="1">
        <v>46070.496631944443</v>
      </c>
    </row>
    <row r="17106" spans="1:10" x14ac:dyDescent="0.2">
      <c r="A17106" s="4" t="s">
        <v>1</v>
      </c>
      <c r="B17106" s="3" t="str">
        <f>HYPERLINK("https://otsuka-europe-crm.veevavault.com/ui/#object/approved_document__v/V5O00000000Q003", "LUP-Material riñones CLM")</f>
        <v>LUP-Material riñones CLM</v>
      </c>
      <c r="C17106" s="3" t="str">
        <f>HYPERLINK("https://otsuka-europe-crm.veevavault.com/ui/#object/sent_email__v/VBL00000001D124", "SE-001404340")</f>
        <v>SE-001404340</v>
      </c>
      <c r="D17106" s="1" t="s">
        <v>0</v>
      </c>
      <c r="E17106" s="2">
        <v>0</v>
      </c>
      <c r="F17106" s="2">
        <v>0</v>
      </c>
      <c r="G17106" s="2">
        <v>0</v>
      </c>
      <c r="H17106" s="1" t="s">
        <v>0</v>
      </c>
      <c r="I17106" s="2">
        <v>0</v>
      </c>
      <c r="J17106" s="1">
        <v>46070.496631944443</v>
      </c>
    </row>
    <row r="17107" spans="1:10" x14ac:dyDescent="0.2">
      <c r="A17107" s="4" t="s">
        <v>1</v>
      </c>
      <c r="B17107" s="3" t="str">
        <f>HYPERLINK("https://otsuka-europe-crm.veevavault.com/ui/#object/approved_document__v/V5O00000000Q003", "LUP-Material riñones CLM")</f>
        <v>LUP-Material riñones CLM</v>
      </c>
      <c r="C17107" s="3" t="str">
        <f>HYPERLINK("https://otsuka-europe-crm.veevavault.com/ui/#object/sent_email__v/VBL00000001D125", "SE-001404341")</f>
        <v>SE-001404341</v>
      </c>
      <c r="D17107" s="1" t="s">
        <v>0</v>
      </c>
      <c r="E17107" s="2">
        <v>0</v>
      </c>
      <c r="F17107" s="2">
        <v>0</v>
      </c>
      <c r="G17107" s="2">
        <v>0</v>
      </c>
      <c r="H17107" s="1" t="s">
        <v>0</v>
      </c>
      <c r="I17107" s="2">
        <v>0</v>
      </c>
      <c r="J17107" s="1">
        <v>46070.496631944443</v>
      </c>
    </row>
    <row r="17108" spans="1:10" x14ac:dyDescent="0.2">
      <c r="A17108" s="4" t="s">
        <v>1</v>
      </c>
      <c r="B17108" s="3" t="str">
        <f>HYPERLINK("https://otsuka-europe-crm.veevavault.com/ui/#object/approved_document__v/V5O00000000Q003", "LUP-Material riñones CLM")</f>
        <v>LUP-Material riñones CLM</v>
      </c>
      <c r="C17108" s="3" t="str">
        <f>HYPERLINK("https://otsuka-europe-crm.veevavault.com/ui/#object/sent_email__v/VBL00000001D126", "SE-001404342")</f>
        <v>SE-001404342</v>
      </c>
      <c r="D17108" s="1" t="s">
        <v>0</v>
      </c>
      <c r="E17108" s="2">
        <v>0</v>
      </c>
      <c r="F17108" s="2">
        <v>0</v>
      </c>
      <c r="G17108" s="2">
        <v>0</v>
      </c>
      <c r="H17108" s="1" t="s">
        <v>0</v>
      </c>
      <c r="I17108" s="2">
        <v>0</v>
      </c>
      <c r="J17108" s="1">
        <v>46070.49664351852</v>
      </c>
    </row>
    <row r="17109" spans="1:10" x14ac:dyDescent="0.2">
      <c r="A17109" s="4" t="s">
        <v>1</v>
      </c>
      <c r="B17109" s="3" t="str">
        <f>HYPERLINK("https://otsuka-europe-crm.veevavault.com/ui/#object/approved_document__v/V5O00000000Q003", "LUP-Material riñones CLM")</f>
        <v>LUP-Material riñones CLM</v>
      </c>
      <c r="C17109" s="3" t="str">
        <f>HYPERLINK("https://otsuka-europe-crm.veevavault.com/ui/#object/sent_email__v/VBL00000001D127", "SE-001404343")</f>
        <v>SE-001404343</v>
      </c>
      <c r="D17109" s="1" t="s">
        <v>0</v>
      </c>
      <c r="E17109" s="2">
        <v>0</v>
      </c>
      <c r="F17109" s="2">
        <v>0</v>
      </c>
      <c r="G17109" s="2">
        <v>0</v>
      </c>
      <c r="H17109" s="1" t="s">
        <v>0</v>
      </c>
      <c r="I17109" s="2">
        <v>0</v>
      </c>
      <c r="J17109" s="1">
        <v>46070.49664351852</v>
      </c>
    </row>
    <row r="17110" spans="1:10" x14ac:dyDescent="0.2">
      <c r="A17110" s="4" t="s">
        <v>1</v>
      </c>
      <c r="B17110" s="3" t="str">
        <f>HYPERLINK("https://otsuka-europe-crm.veevavault.com/ui/#object/approved_document__v/V5O00000000Q003", "LUP-Material riñones CLM")</f>
        <v>LUP-Material riñones CLM</v>
      </c>
      <c r="C17110" s="3" t="str">
        <f>HYPERLINK("https://otsuka-europe-crm.veevavault.com/ui/#object/sent_email__v/VBL00000001D128", "SE-001404344")</f>
        <v>SE-001404344</v>
      </c>
      <c r="D17110" s="1" t="s">
        <v>0</v>
      </c>
      <c r="E17110" s="2">
        <v>0</v>
      </c>
      <c r="F17110" s="2">
        <v>0</v>
      </c>
      <c r="G17110" s="2">
        <v>0</v>
      </c>
      <c r="H17110" s="1" t="s">
        <v>0</v>
      </c>
      <c r="I17110" s="2">
        <v>0</v>
      </c>
      <c r="J17110" s="1">
        <v>46070.49664351852</v>
      </c>
    </row>
    <row r="17111" spans="1:10" x14ac:dyDescent="0.2">
      <c r="A17111" s="4" t="s">
        <v>1</v>
      </c>
      <c r="B17111" s="3" t="str">
        <f>HYPERLINK("https://otsuka-europe-crm.veevavault.com/ui/#object/approved_document__v/V5O00000000Q003", "LUP-Material riñones CLM")</f>
        <v>LUP-Material riñones CLM</v>
      </c>
      <c r="C17111" s="3" t="str">
        <f>HYPERLINK("https://otsuka-europe-crm.veevavault.com/ui/#object/sent_email__v/VBL00000001D129", "SE-001404345")</f>
        <v>SE-001404345</v>
      </c>
      <c r="D17111" s="1" t="s">
        <v>0</v>
      </c>
      <c r="E17111" s="2">
        <v>0</v>
      </c>
      <c r="F17111" s="2">
        <v>0</v>
      </c>
      <c r="G17111" s="2">
        <v>0</v>
      </c>
      <c r="H17111" s="1" t="s">
        <v>0</v>
      </c>
      <c r="I17111" s="2">
        <v>0</v>
      </c>
      <c r="J17111" s="1">
        <v>46070.49664351852</v>
      </c>
    </row>
    <row r="17112" spans="1:10" x14ac:dyDescent="0.2">
      <c r="A17112" s="4" t="s">
        <v>1</v>
      </c>
      <c r="B17112" s="3" t="str">
        <f>HYPERLINK("https://otsuka-europe-crm.veevavault.com/ui/#object/approved_document__v/V5O00000000Q003", "LUP-Material riñones CLM")</f>
        <v>LUP-Material riñones CLM</v>
      </c>
      <c r="C17112" s="3" t="str">
        <f>HYPERLINK("https://otsuka-europe-crm.veevavault.com/ui/#object/sent_email__v/VBL00000001D130", "SE-001404346")</f>
        <v>SE-001404346</v>
      </c>
      <c r="D17112" s="1" t="s">
        <v>0</v>
      </c>
      <c r="E17112" s="2">
        <v>0</v>
      </c>
      <c r="F17112" s="2">
        <v>0</v>
      </c>
      <c r="G17112" s="2">
        <v>0</v>
      </c>
      <c r="H17112" s="1" t="s">
        <v>0</v>
      </c>
      <c r="I17112" s="2">
        <v>0</v>
      </c>
      <c r="J17112" s="1">
        <v>46070.49664351852</v>
      </c>
    </row>
    <row r="17113" spans="1:10" x14ac:dyDescent="0.2">
      <c r="A17113" s="4" t="s">
        <v>1</v>
      </c>
      <c r="B17113" s="3" t="str">
        <f>HYPERLINK("https://otsuka-europe-crm.veevavault.com/ui/#object/approved_document__v/V5O00000000Q003", "LUP-Material riñones CLM")</f>
        <v>LUP-Material riñones CLM</v>
      </c>
      <c r="C17113" s="3" t="str">
        <f>HYPERLINK("https://otsuka-europe-crm.veevavault.com/ui/#object/sent_email__v/VBL00000001D131", "SE-001404347")</f>
        <v>SE-001404347</v>
      </c>
      <c r="D17113" s="1" t="s">
        <v>0</v>
      </c>
      <c r="E17113" s="2">
        <v>0</v>
      </c>
      <c r="F17113" s="2">
        <v>0</v>
      </c>
      <c r="G17113" s="2">
        <v>0</v>
      </c>
      <c r="H17113" s="1" t="s">
        <v>0</v>
      </c>
      <c r="I17113" s="2">
        <v>0</v>
      </c>
      <c r="J17113" s="1">
        <v>46070.49664351852</v>
      </c>
    </row>
    <row r="17114" spans="1:10" x14ac:dyDescent="0.2">
      <c r="A17114" s="4" t="s">
        <v>1</v>
      </c>
      <c r="B17114" s="3" t="str">
        <f>HYPERLINK("https://otsuka-europe-crm.veevavault.com/ui/#object/approved_document__v/V5O00000000Q003", "LUP-Material riñones CLM")</f>
        <v>LUP-Material riñones CLM</v>
      </c>
      <c r="C17114" s="3" t="str">
        <f>HYPERLINK("https://otsuka-europe-crm.veevavault.com/ui/#object/sent_email__v/VBL00000001D132", "SE-001404348")</f>
        <v>SE-001404348</v>
      </c>
      <c r="D17114" s="1" t="s">
        <v>0</v>
      </c>
      <c r="E17114" s="2">
        <v>0</v>
      </c>
      <c r="F17114" s="2">
        <v>0</v>
      </c>
      <c r="G17114" s="2">
        <v>0</v>
      </c>
      <c r="H17114" s="1" t="s">
        <v>0</v>
      </c>
      <c r="I17114" s="2">
        <v>0</v>
      </c>
      <c r="J17114" s="1">
        <v>46070.49664351852</v>
      </c>
    </row>
    <row r="17115" spans="1:10" x14ac:dyDescent="0.2">
      <c r="A17115" s="4" t="s">
        <v>1</v>
      </c>
      <c r="B17115" s="3" t="str">
        <f>HYPERLINK("https://otsuka-europe-crm.veevavault.com/ui/#object/approved_document__v/V5O00000000Q003", "LUP-Material riñones CLM")</f>
        <v>LUP-Material riñones CLM</v>
      </c>
      <c r="C17115" s="3" t="str">
        <f>HYPERLINK("https://otsuka-europe-crm.veevavault.com/ui/#object/sent_email__v/VBL00000001D133", "SE-001404349")</f>
        <v>SE-001404349</v>
      </c>
      <c r="D17115" s="1" t="s">
        <v>0</v>
      </c>
      <c r="E17115" s="2">
        <v>0</v>
      </c>
      <c r="F17115" s="2">
        <v>0</v>
      </c>
      <c r="G17115" s="2">
        <v>0</v>
      </c>
      <c r="H17115" s="1" t="s">
        <v>0</v>
      </c>
      <c r="I17115" s="2">
        <v>0</v>
      </c>
      <c r="J17115" s="1">
        <v>46070.49664351852</v>
      </c>
    </row>
    <row r="17116" spans="1:10" x14ac:dyDescent="0.2">
      <c r="A17116" s="4" t="s">
        <v>1</v>
      </c>
      <c r="B17116" s="3" t="str">
        <f>HYPERLINK("https://otsuka-europe-crm.veevavault.com/ui/#object/approved_document__v/V5O00000000Q003", "LUP-Material riñones CLM")</f>
        <v>LUP-Material riñones CLM</v>
      </c>
      <c r="C17116" s="3" t="str">
        <f>HYPERLINK("https://otsuka-europe-crm.veevavault.com/ui/#object/sent_email__v/VBL00000001D134", "SE-001404350")</f>
        <v>SE-001404350</v>
      </c>
      <c r="D17116" s="1" t="s">
        <v>0</v>
      </c>
      <c r="E17116" s="2">
        <v>0</v>
      </c>
      <c r="F17116" s="2">
        <v>0</v>
      </c>
      <c r="G17116" s="2">
        <v>0</v>
      </c>
      <c r="H17116" s="1" t="s">
        <v>0</v>
      </c>
      <c r="I17116" s="2">
        <v>0</v>
      </c>
      <c r="J17116" s="1">
        <v>46070.49664351852</v>
      </c>
    </row>
    <row r="17117" spans="1:10" x14ac:dyDescent="0.2">
      <c r="A17117" s="4" t="s">
        <v>1</v>
      </c>
      <c r="B17117" s="3" t="str">
        <f>HYPERLINK("https://otsuka-europe-crm.veevavault.com/ui/#object/approved_document__v/V5O00000000Q003", "LUP-Material riñones CLM")</f>
        <v>LUP-Material riñones CLM</v>
      </c>
      <c r="C17117" s="3" t="str">
        <f>HYPERLINK("https://otsuka-europe-crm.veevavault.com/ui/#object/sent_email__v/VBL00000001D135", "SE-001404351")</f>
        <v>SE-001404351</v>
      </c>
      <c r="D17117" s="1" t="s">
        <v>0</v>
      </c>
      <c r="E17117" s="2">
        <v>0</v>
      </c>
      <c r="F17117" s="2">
        <v>0</v>
      </c>
      <c r="G17117" s="2">
        <v>0</v>
      </c>
      <c r="H17117" s="1" t="s">
        <v>0</v>
      </c>
      <c r="I17117" s="2">
        <v>0</v>
      </c>
      <c r="J17117" s="1">
        <v>46070.49664351852</v>
      </c>
    </row>
    <row r="17118" spans="1:10" x14ac:dyDescent="0.2">
      <c r="A17118" s="4" t="s">
        <v>1</v>
      </c>
      <c r="B17118" s="3" t="str">
        <f>HYPERLINK("https://otsuka-europe-crm.veevavault.com/ui/#object/approved_document__v/V5O00000000Q003", "LUP-Material riñones CLM")</f>
        <v>LUP-Material riñones CLM</v>
      </c>
      <c r="C17118" s="3" t="str">
        <f>HYPERLINK("https://otsuka-europe-crm.veevavault.com/ui/#object/sent_email__v/VBL00000001D136", "SE-001404352")</f>
        <v>SE-001404352</v>
      </c>
      <c r="D17118" s="1" t="s">
        <v>0</v>
      </c>
      <c r="E17118" s="2">
        <v>0</v>
      </c>
      <c r="F17118" s="2">
        <v>0</v>
      </c>
      <c r="G17118" s="2">
        <v>0</v>
      </c>
      <c r="H17118" s="1" t="s">
        <v>0</v>
      </c>
      <c r="I17118" s="2">
        <v>0</v>
      </c>
      <c r="J17118" s="1">
        <v>46070.49664351852</v>
      </c>
    </row>
    <row r="17119" spans="1:10" x14ac:dyDescent="0.2">
      <c r="A17119" s="4" t="s">
        <v>1</v>
      </c>
      <c r="B17119" s="3" t="str">
        <f>HYPERLINK("https://otsuka-europe-crm.veevavault.com/ui/#object/approved_document__v/V5O00000000Q003", "LUP-Material riñones CLM")</f>
        <v>LUP-Material riñones CLM</v>
      </c>
      <c r="C17119" s="3" t="str">
        <f>HYPERLINK("https://otsuka-europe-crm.veevavault.com/ui/#object/sent_email__v/VBL00000001D137", "SE-001404353")</f>
        <v>SE-001404353</v>
      </c>
      <c r="D17119" s="1" t="s">
        <v>0</v>
      </c>
      <c r="E17119" s="2">
        <v>0</v>
      </c>
      <c r="F17119" s="2">
        <v>0</v>
      </c>
      <c r="G17119" s="2">
        <v>0</v>
      </c>
      <c r="H17119" s="1" t="s">
        <v>0</v>
      </c>
      <c r="I17119" s="2">
        <v>0</v>
      </c>
      <c r="J17119" s="1">
        <v>46070.49664351852</v>
      </c>
    </row>
    <row r="17120" spans="1:10" x14ac:dyDescent="0.2">
      <c r="A17120" s="4" t="s">
        <v>1</v>
      </c>
      <c r="B17120" s="3" t="str">
        <f>HYPERLINK("https://otsuka-europe-crm.veevavault.com/ui/#object/approved_document__v/V5O00000000Q003", "LUP-Material riñones CLM")</f>
        <v>LUP-Material riñones CLM</v>
      </c>
      <c r="C17120" s="3" t="str">
        <f>HYPERLINK("https://otsuka-europe-crm.veevavault.com/ui/#object/sent_email__v/VBL00000001D138", "SE-001404354")</f>
        <v>SE-001404354</v>
      </c>
      <c r="D17120" s="1" t="s">
        <v>0</v>
      </c>
      <c r="E17120" s="2">
        <v>0</v>
      </c>
      <c r="F17120" s="2">
        <v>0</v>
      </c>
      <c r="G17120" s="2">
        <v>0</v>
      </c>
      <c r="H17120" s="1" t="s">
        <v>0</v>
      </c>
      <c r="I17120" s="2">
        <v>0</v>
      </c>
      <c r="J17120" s="1">
        <v>46070.496655092589</v>
      </c>
    </row>
    <row r="17121" spans="1:10" x14ac:dyDescent="0.2">
      <c r="A17121" s="4" t="s">
        <v>1</v>
      </c>
      <c r="B17121" s="3" t="str">
        <f>HYPERLINK("https://otsuka-europe-crm.veevavault.com/ui/#object/approved_document__v/V5O00000000Q003", "LUP-Material riñones CLM")</f>
        <v>LUP-Material riñones CLM</v>
      </c>
      <c r="C17121" s="3" t="str">
        <f>HYPERLINK("https://otsuka-europe-crm.veevavault.com/ui/#object/sent_email__v/VBL00000001D139", "SE-001404355")</f>
        <v>SE-001404355</v>
      </c>
      <c r="D17121" s="1" t="s">
        <v>0</v>
      </c>
      <c r="E17121" s="2">
        <v>0</v>
      </c>
      <c r="F17121" s="2">
        <v>0</v>
      </c>
      <c r="G17121" s="2">
        <v>0</v>
      </c>
      <c r="H17121" s="1" t="s">
        <v>0</v>
      </c>
      <c r="I17121" s="2">
        <v>0</v>
      </c>
      <c r="J17121" s="1">
        <v>46070.496655092589</v>
      </c>
    </row>
    <row r="17122" spans="1:10" x14ac:dyDescent="0.2">
      <c r="A17122" s="4" t="s">
        <v>1</v>
      </c>
      <c r="B17122" s="3" t="str">
        <f>HYPERLINK("https://otsuka-europe-crm.veevavault.com/ui/#object/approved_document__v/V5O00000000Q003", "LUP-Material riñones CLM")</f>
        <v>LUP-Material riñones CLM</v>
      </c>
      <c r="C17122" s="3" t="str">
        <f>HYPERLINK("https://otsuka-europe-crm.veevavault.com/ui/#object/sent_email__v/VBL00000001D140", "SE-001404356")</f>
        <v>SE-001404356</v>
      </c>
      <c r="D17122" s="1" t="s">
        <v>0</v>
      </c>
      <c r="E17122" s="2">
        <v>0</v>
      </c>
      <c r="F17122" s="2">
        <v>0</v>
      </c>
      <c r="G17122" s="2">
        <v>0</v>
      </c>
      <c r="H17122" s="1" t="s">
        <v>0</v>
      </c>
      <c r="I17122" s="2">
        <v>0</v>
      </c>
      <c r="J17122" s="1">
        <v>46070.496655092589</v>
      </c>
    </row>
    <row r="17123" spans="1:10" x14ac:dyDescent="0.2">
      <c r="A17123" s="4" t="s">
        <v>1</v>
      </c>
      <c r="B17123" s="3" t="str">
        <f>HYPERLINK("https://otsuka-europe-crm.veevavault.com/ui/#object/approved_document__v/V5O00000000Q003", "LUP-Material riñones CLM")</f>
        <v>LUP-Material riñones CLM</v>
      </c>
      <c r="C17123" s="3" t="str">
        <f>HYPERLINK("https://otsuka-europe-crm.veevavault.com/ui/#object/sent_email__v/VBL00000001D141", "SE-001404357")</f>
        <v>SE-001404357</v>
      </c>
      <c r="D17123" s="1" t="s">
        <v>0</v>
      </c>
      <c r="E17123" s="2">
        <v>0</v>
      </c>
      <c r="F17123" s="2">
        <v>0</v>
      </c>
      <c r="G17123" s="2">
        <v>0</v>
      </c>
      <c r="H17123" s="1" t="s">
        <v>0</v>
      </c>
      <c r="I17123" s="2">
        <v>0</v>
      </c>
      <c r="J17123" s="1">
        <v>46070.496655092589</v>
      </c>
    </row>
    <row r="17124" spans="1:10" x14ac:dyDescent="0.2">
      <c r="A17124" s="4" t="s">
        <v>1</v>
      </c>
      <c r="B17124" s="3" t="str">
        <f>HYPERLINK("https://otsuka-europe-crm.veevavault.com/ui/#object/approved_document__v/V5O00000000Q003", "LUP-Material riñones CLM")</f>
        <v>LUP-Material riñones CLM</v>
      </c>
      <c r="C17124" s="3" t="str">
        <f>HYPERLINK("https://otsuka-europe-crm.veevavault.com/ui/#object/sent_email__v/VBL00000001D142", "SE-001404358")</f>
        <v>SE-001404358</v>
      </c>
      <c r="D17124" s="1" t="s">
        <v>0</v>
      </c>
      <c r="E17124" s="2">
        <v>0</v>
      </c>
      <c r="F17124" s="2">
        <v>0</v>
      </c>
      <c r="G17124" s="2">
        <v>0</v>
      </c>
      <c r="H17124" s="1" t="s">
        <v>0</v>
      </c>
      <c r="I17124" s="2">
        <v>0</v>
      </c>
      <c r="J17124" s="1">
        <v>46070.496655092589</v>
      </c>
    </row>
    <row r="17125" spans="1:10" x14ac:dyDescent="0.2">
      <c r="A17125" s="4" t="s">
        <v>1</v>
      </c>
      <c r="B17125" s="3" t="str">
        <f>HYPERLINK("https://otsuka-europe-crm.veevavault.com/ui/#object/approved_document__v/V5O00000000Q003", "LUP-Material riñones CLM")</f>
        <v>LUP-Material riñones CLM</v>
      </c>
      <c r="C17125" s="3" t="str">
        <f>HYPERLINK("https://otsuka-europe-crm.veevavault.com/ui/#object/sent_email__v/VBL00000001D143", "SE-001404359")</f>
        <v>SE-001404359</v>
      </c>
      <c r="D17125" s="1" t="s">
        <v>0</v>
      </c>
      <c r="E17125" s="2">
        <v>0</v>
      </c>
      <c r="F17125" s="2">
        <v>0</v>
      </c>
      <c r="G17125" s="2">
        <v>0</v>
      </c>
      <c r="H17125" s="1" t="s">
        <v>0</v>
      </c>
      <c r="I17125" s="2">
        <v>0</v>
      </c>
      <c r="J17125" s="1">
        <v>46070.496655092589</v>
      </c>
    </row>
    <row r="17126" spans="1:10" x14ac:dyDescent="0.2">
      <c r="A17126" s="4" t="s">
        <v>1</v>
      </c>
      <c r="B17126" s="3" t="str">
        <f>HYPERLINK("https://otsuka-europe-crm.veevavault.com/ui/#object/approved_document__v/V5O00000000Q003", "LUP-Material riñones CLM")</f>
        <v>LUP-Material riñones CLM</v>
      </c>
      <c r="C17126" s="3" t="str">
        <f>HYPERLINK("https://otsuka-europe-crm.veevavault.com/ui/#object/sent_email__v/VBL00000001D144", "SE-001404360")</f>
        <v>SE-001404360</v>
      </c>
      <c r="D17126" s="1" t="s">
        <v>0</v>
      </c>
      <c r="E17126" s="2">
        <v>0</v>
      </c>
      <c r="F17126" s="2">
        <v>0</v>
      </c>
      <c r="G17126" s="2">
        <v>0</v>
      </c>
      <c r="H17126" s="1" t="s">
        <v>0</v>
      </c>
      <c r="I17126" s="2">
        <v>0</v>
      </c>
      <c r="J17126" s="1">
        <v>46070.496655092589</v>
      </c>
    </row>
    <row r="17127" spans="1:10" x14ac:dyDescent="0.2">
      <c r="A17127" s="4" t="s">
        <v>1</v>
      </c>
      <c r="B17127" s="3" t="str">
        <f>HYPERLINK("https://otsuka-europe-crm.veevavault.com/ui/#object/approved_document__v/V5O00000000Q003", "LUP-Material riñones CLM")</f>
        <v>LUP-Material riñones CLM</v>
      </c>
      <c r="C17127" s="3" t="str">
        <f>HYPERLINK("https://otsuka-europe-crm.veevavault.com/ui/#object/sent_email__v/VBL00000001D145", "SE-001404361")</f>
        <v>SE-001404361</v>
      </c>
      <c r="D17127" s="1" t="s">
        <v>0</v>
      </c>
      <c r="E17127" s="2">
        <v>0</v>
      </c>
      <c r="F17127" s="2">
        <v>0</v>
      </c>
      <c r="G17127" s="2">
        <v>0</v>
      </c>
      <c r="H17127" s="1" t="s">
        <v>0</v>
      </c>
      <c r="I17127" s="2">
        <v>0</v>
      </c>
      <c r="J17127" s="1">
        <v>46070.496655092589</v>
      </c>
    </row>
    <row r="17128" spans="1:10" x14ac:dyDescent="0.2">
      <c r="A17128" s="4" t="s">
        <v>1</v>
      </c>
      <c r="B17128" s="3" t="str">
        <f>HYPERLINK("https://otsuka-europe-crm.veevavault.com/ui/#object/approved_document__v/V5O00000000Q003", "LUP-Material riñones CLM")</f>
        <v>LUP-Material riñones CLM</v>
      </c>
      <c r="C17128" s="3" t="str">
        <f>HYPERLINK("https://otsuka-europe-crm.veevavault.com/ui/#object/sent_email__v/VBL00000001D146", "SE-001404362")</f>
        <v>SE-001404362</v>
      </c>
      <c r="D17128" s="1" t="s">
        <v>0</v>
      </c>
      <c r="E17128" s="2">
        <v>0</v>
      </c>
      <c r="F17128" s="2">
        <v>0</v>
      </c>
      <c r="G17128" s="2">
        <v>0</v>
      </c>
      <c r="H17128" s="1" t="s">
        <v>0</v>
      </c>
      <c r="I17128" s="2">
        <v>0</v>
      </c>
      <c r="J17128" s="1">
        <v>46070.496655092589</v>
      </c>
    </row>
    <row r="17129" spans="1:10" x14ac:dyDescent="0.2">
      <c r="A17129" s="4" t="s">
        <v>1</v>
      </c>
      <c r="B17129" s="3" t="str">
        <f>HYPERLINK("https://otsuka-europe-crm.veevavault.com/ui/#object/approved_document__v/V5O00000000Q003", "LUP-Material riñones CLM")</f>
        <v>LUP-Material riñones CLM</v>
      </c>
      <c r="C17129" s="3" t="str">
        <f>HYPERLINK("https://otsuka-europe-crm.veevavault.com/ui/#object/sent_email__v/VBL00000001D147", "SE-001404363")</f>
        <v>SE-001404363</v>
      </c>
      <c r="D17129" s="1" t="s">
        <v>0</v>
      </c>
      <c r="E17129" s="2">
        <v>0</v>
      </c>
      <c r="F17129" s="2">
        <v>0</v>
      </c>
      <c r="G17129" s="2">
        <v>0</v>
      </c>
      <c r="H17129" s="1" t="s">
        <v>0</v>
      </c>
      <c r="I17129" s="2">
        <v>0</v>
      </c>
      <c r="J17129" s="1">
        <v>46070.496666666666</v>
      </c>
    </row>
    <row r="17130" spans="1:10" x14ac:dyDescent="0.2">
      <c r="A17130" s="4" t="s">
        <v>1</v>
      </c>
      <c r="B17130" s="3" t="str">
        <f>HYPERLINK("https://otsuka-europe-crm.veevavault.com/ui/#object/approved_document__v/V5O00000000Q003", "LUP-Material riñones CLM")</f>
        <v>LUP-Material riñones CLM</v>
      </c>
      <c r="C17130" s="3" t="str">
        <f>HYPERLINK("https://otsuka-europe-crm.veevavault.com/ui/#object/sent_email__v/VBL00000001D148", "SE-001404364")</f>
        <v>SE-001404364</v>
      </c>
      <c r="D17130" s="1" t="s">
        <v>0</v>
      </c>
      <c r="E17130" s="2">
        <v>0</v>
      </c>
      <c r="F17130" s="2">
        <v>0</v>
      </c>
      <c r="G17130" s="2">
        <v>0</v>
      </c>
      <c r="H17130" s="1" t="s">
        <v>0</v>
      </c>
      <c r="I17130" s="2">
        <v>0</v>
      </c>
      <c r="J17130" s="1">
        <v>46070.496666666666</v>
      </c>
    </row>
    <row r="17131" spans="1:10" x14ac:dyDescent="0.2">
      <c r="A17131" s="4" t="s">
        <v>1</v>
      </c>
      <c r="B17131" s="3" t="str">
        <f>HYPERLINK("https://otsuka-europe-crm.veevavault.com/ui/#object/approved_document__v/V5O00000000Q003", "LUP-Material riñones CLM")</f>
        <v>LUP-Material riñones CLM</v>
      </c>
      <c r="C17131" s="3" t="str">
        <f>HYPERLINK("https://otsuka-europe-crm.veevavault.com/ui/#object/sent_email__v/VBL00000001D149", "SE-001404365")</f>
        <v>SE-001404365</v>
      </c>
      <c r="D17131" s="1" t="s">
        <v>0</v>
      </c>
      <c r="E17131" s="2">
        <v>0</v>
      </c>
      <c r="F17131" s="2">
        <v>0</v>
      </c>
      <c r="G17131" s="2">
        <v>0</v>
      </c>
      <c r="H17131" s="1" t="s">
        <v>0</v>
      </c>
      <c r="I17131" s="2">
        <v>0</v>
      </c>
      <c r="J17131" s="1">
        <v>46070.496666666666</v>
      </c>
    </row>
    <row r="17132" spans="1:10" x14ac:dyDescent="0.2">
      <c r="A17132" s="4" t="s">
        <v>1</v>
      </c>
      <c r="B17132" s="3" t="str">
        <f>HYPERLINK("https://otsuka-europe-crm.veevavault.com/ui/#object/approved_document__v/V5O00000000Q003", "LUP-Material riñones CLM")</f>
        <v>LUP-Material riñones CLM</v>
      </c>
      <c r="C17132" s="3" t="str">
        <f>HYPERLINK("https://otsuka-europe-crm.veevavault.com/ui/#object/sent_email__v/VBL00000001D150", "SE-001404366")</f>
        <v>SE-001404366</v>
      </c>
      <c r="D17132" s="1" t="s">
        <v>0</v>
      </c>
      <c r="E17132" s="2">
        <v>0</v>
      </c>
      <c r="F17132" s="2">
        <v>0</v>
      </c>
      <c r="G17132" s="2">
        <v>0</v>
      </c>
      <c r="H17132" s="1" t="s">
        <v>0</v>
      </c>
      <c r="I17132" s="2">
        <v>0</v>
      </c>
      <c r="J17132" s="1">
        <v>46070.496666666666</v>
      </c>
    </row>
    <row r="17133" spans="1:10" x14ac:dyDescent="0.2">
      <c r="A17133" s="4" t="s">
        <v>1</v>
      </c>
      <c r="B17133" s="3" t="str">
        <f>HYPERLINK("https://otsuka-europe-crm.veevavault.com/ui/#object/approved_document__v/V5O00000000Q003", "LUP-Material riñones CLM")</f>
        <v>LUP-Material riñones CLM</v>
      </c>
      <c r="C17133" s="3" t="str">
        <f>HYPERLINK("https://otsuka-europe-crm.veevavault.com/ui/#object/sent_email__v/VBL00000001D151", "SE-001404367")</f>
        <v>SE-001404367</v>
      </c>
      <c r="D17133" s="1" t="s">
        <v>0</v>
      </c>
      <c r="E17133" s="2">
        <v>0</v>
      </c>
      <c r="F17133" s="2">
        <v>0</v>
      </c>
      <c r="G17133" s="2">
        <v>0</v>
      </c>
      <c r="H17133" s="1" t="s">
        <v>0</v>
      </c>
      <c r="I17133" s="2">
        <v>0</v>
      </c>
      <c r="J17133" s="1">
        <v>46070.496666666666</v>
      </c>
    </row>
    <row r="17134" spans="1:10" x14ac:dyDescent="0.2">
      <c r="A17134" s="4" t="s">
        <v>1</v>
      </c>
      <c r="B17134" s="3" t="str">
        <f>HYPERLINK("https://otsuka-europe-crm.veevavault.com/ui/#object/approved_document__v/V5O00000000Q003", "LUP-Material riñones CLM")</f>
        <v>LUP-Material riñones CLM</v>
      </c>
      <c r="C17134" s="3" t="str">
        <f>HYPERLINK("https://otsuka-europe-crm.veevavault.com/ui/#object/sent_email__v/VBL00000001D152", "SE-001404368")</f>
        <v>SE-001404368</v>
      </c>
      <c r="D17134" s="1" t="s">
        <v>0</v>
      </c>
      <c r="E17134" s="2">
        <v>0</v>
      </c>
      <c r="F17134" s="2">
        <v>0</v>
      </c>
      <c r="G17134" s="2">
        <v>0</v>
      </c>
      <c r="H17134" s="1" t="s">
        <v>0</v>
      </c>
      <c r="I17134" s="2">
        <v>0</v>
      </c>
      <c r="J17134" s="1">
        <v>46070.496666666666</v>
      </c>
    </row>
    <row r="17135" spans="1:10" x14ac:dyDescent="0.2">
      <c r="A17135" s="4" t="s">
        <v>1</v>
      </c>
      <c r="B17135" s="3" t="str">
        <f>HYPERLINK("https://otsuka-europe-crm.veevavault.com/ui/#object/approved_document__v/V5O00000000Q003", "LUP-Material riñones CLM")</f>
        <v>LUP-Material riñones CLM</v>
      </c>
      <c r="C17135" s="3" t="str">
        <f>HYPERLINK("https://otsuka-europe-crm.veevavault.com/ui/#object/sent_email__v/VBL00000001D220", "SE-001404525")</f>
        <v>SE-001404525</v>
      </c>
      <c r="D17135" s="1">
        <v>46071.605254629627</v>
      </c>
      <c r="E17135" s="2">
        <v>1</v>
      </c>
      <c r="F17135" s="2">
        <v>1</v>
      </c>
      <c r="G17135" s="2">
        <v>1</v>
      </c>
      <c r="H17135" s="1">
        <v>46071.605254629627</v>
      </c>
      <c r="I17135" s="2">
        <v>1</v>
      </c>
      <c r="J17135" s="1">
        <v>46071.600023148145</v>
      </c>
    </row>
    <row r="17136" spans="1:10" x14ac:dyDescent="0.2">
      <c r="A17136" s="4" t="s">
        <v>1</v>
      </c>
      <c r="B17136" s="3" t="str">
        <f>HYPERLINK("https://otsuka-europe-crm.veevavault.com/ui/#object/approved_document__v/V5O00000000Q003", "LUP-Material riñones CLM")</f>
        <v>LUP-Material riñones CLM</v>
      </c>
      <c r="C17136" s="3" t="str">
        <f>HYPERLINK("https://otsuka-europe-crm.veevavault.com/ui/#object/sent_email__v/VBL00000001D221", "SE-001404526")</f>
        <v>SE-001404526</v>
      </c>
      <c r="D17136" s="1">
        <v>46071.600405092591</v>
      </c>
      <c r="E17136" s="2">
        <v>1</v>
      </c>
      <c r="F17136" s="2">
        <v>3</v>
      </c>
      <c r="G17136" s="2">
        <v>1</v>
      </c>
      <c r="H17136" s="1">
        <v>46071.601053240738</v>
      </c>
      <c r="I17136" s="2">
        <v>10</v>
      </c>
      <c r="J17136" s="1">
        <v>46071.600266203706</v>
      </c>
    </row>
    <row r="17137" spans="1:10" x14ac:dyDescent="0.2">
      <c r="A17137" s="4" t="s">
        <v>1</v>
      </c>
      <c r="B17137" s="3" t="str">
        <f>HYPERLINK("https://otsuka-europe-crm.veevavault.com/ui/#object/approved_document__v/V5O00000000Q003", "LUP-Material riñones CLM")</f>
        <v>LUP-Material riñones CLM</v>
      </c>
      <c r="C17137" s="3" t="str">
        <f>HYPERLINK("https://otsuka-europe-crm.veevavault.com/ui/#object/sent_email__v/VBL00000001D222", "SE-001404527")</f>
        <v>SE-001404527</v>
      </c>
      <c r="D17137" s="1">
        <v>46072.75608796296</v>
      </c>
      <c r="E17137" s="2">
        <v>1</v>
      </c>
      <c r="F17137" s="2">
        <v>2</v>
      </c>
      <c r="G17137" s="2">
        <v>1</v>
      </c>
      <c r="H17137" s="1">
        <v>46072.756157407406</v>
      </c>
      <c r="I17137" s="2">
        <v>1</v>
      </c>
      <c r="J17137" s="1">
        <v>46071.60052083333</v>
      </c>
    </row>
    <row r="17138" spans="1:10" x14ac:dyDescent="0.2">
      <c r="A17138" s="4" t="s">
        <v>1</v>
      </c>
      <c r="B17138" s="3" t="str">
        <f>HYPERLINK("https://otsuka-europe-crm.veevavault.com/ui/#object/approved_document__v/V5O00000000Q003", "LUP-Material riñones CLM")</f>
        <v>LUP-Material riñones CLM</v>
      </c>
      <c r="C17138" s="3" t="str">
        <f>HYPERLINK("https://otsuka-europe-crm.veevavault.com/ui/#object/sent_email__v/VBL00000001D223", "SE-001404528")</f>
        <v>SE-001404528</v>
      </c>
      <c r="D17138" s="1" t="s">
        <v>0</v>
      </c>
      <c r="E17138" s="2">
        <v>0</v>
      </c>
      <c r="F17138" s="2">
        <v>0</v>
      </c>
      <c r="G17138" s="2">
        <v>0</v>
      </c>
      <c r="H17138" s="1" t="s">
        <v>0</v>
      </c>
      <c r="I17138" s="2">
        <v>0</v>
      </c>
      <c r="J17138" s="1">
        <v>46071.600717592592</v>
      </c>
    </row>
    <row r="17139" spans="1:10" x14ac:dyDescent="0.2">
      <c r="A17139" s="4" t="s">
        <v>1</v>
      </c>
      <c r="B17139" s="3" t="str">
        <f>HYPERLINK("https://otsuka-europe-crm.veevavault.com/ui/#object/approved_document__v/V5O00000000Q003", "LUP-Material riñones CLM")</f>
        <v>LUP-Material riñones CLM</v>
      </c>
      <c r="C17139" s="3" t="str">
        <f>HYPERLINK("https://otsuka-europe-crm.veevavault.com/ui/#object/sent_email__v/VBL00000001D224", "SE-001404529")</f>
        <v>SE-001404529</v>
      </c>
      <c r="D17139" s="1">
        <v>46072.365520833337</v>
      </c>
      <c r="E17139" s="2">
        <v>1</v>
      </c>
      <c r="F17139" s="2">
        <v>5</v>
      </c>
      <c r="G17139" s="2">
        <v>1</v>
      </c>
      <c r="H17139" s="1">
        <v>46072.36519675926</v>
      </c>
      <c r="I17139" s="2">
        <v>1</v>
      </c>
      <c r="J17139" s="1">
        <v>46071.600914351853</v>
      </c>
    </row>
    <row r="17140" spans="1:10" x14ac:dyDescent="0.2">
      <c r="A17140" s="4" t="s">
        <v>1</v>
      </c>
      <c r="B17140" s="3" t="str">
        <f>HYPERLINK("https://otsuka-europe-crm.veevavault.com/ui/#object/approved_document__v/V5O00000000Q003", "LUP-Material riñones CLM")</f>
        <v>LUP-Material riñones CLM</v>
      </c>
      <c r="C17140" s="3" t="str">
        <f>HYPERLINK("https://otsuka-europe-crm.veevavault.com/ui/#object/sent_email__v/VBL00000001D225", "SE-001404530")</f>
        <v>SE-001404530</v>
      </c>
      <c r="D17140" s="1">
        <v>46076.681469907409</v>
      </c>
      <c r="E17140" s="2">
        <v>1</v>
      </c>
      <c r="F17140" s="2">
        <v>1</v>
      </c>
      <c r="G17140" s="2">
        <v>1</v>
      </c>
      <c r="H17140" s="1">
        <v>46076.681562500002</v>
      </c>
      <c r="I17140" s="2">
        <v>1</v>
      </c>
      <c r="J17140" s="1">
        <v>46071.601076388892</v>
      </c>
    </row>
    <row r="17141" spans="1:10" x14ac:dyDescent="0.2">
      <c r="A17141" s="4" t="s">
        <v>1</v>
      </c>
      <c r="B17141" s="3" t="str">
        <f>HYPERLINK("https://otsuka-europe-crm.veevavault.com/ui/#object/approved_document__v/V5O00000000Q003", "LUP-Material riñones CLM")</f>
        <v>LUP-Material riñones CLM</v>
      </c>
      <c r="C17141" s="3" t="str">
        <f>HYPERLINK("https://otsuka-europe-crm.veevavault.com/ui/#object/sent_email__v/VBL00000001D226", "SE-001404531")</f>
        <v>SE-001404531</v>
      </c>
      <c r="D17141" s="1">
        <v>46071.601469907408</v>
      </c>
      <c r="E17141" s="2">
        <v>1</v>
      </c>
      <c r="F17141" s="2">
        <v>4</v>
      </c>
      <c r="G17141" s="2">
        <v>1</v>
      </c>
      <c r="H17141" s="1">
        <v>46071.602418981478</v>
      </c>
      <c r="I17141" s="2">
        <v>8</v>
      </c>
      <c r="J17141" s="1">
        <v>46071.601354166669</v>
      </c>
    </row>
    <row r="17142" spans="1:10" x14ac:dyDescent="0.2">
      <c r="A17142" s="4" t="s">
        <v>1</v>
      </c>
      <c r="B17142" s="3" t="str">
        <f>HYPERLINK("https://otsuka-europe-crm.veevavault.com/ui/#object/approved_document__v/V5O00000000Q003", "LUP-Material riñones CLM")</f>
        <v>LUP-Material riñones CLM</v>
      </c>
      <c r="C17142" s="3" t="str">
        <f>HYPERLINK("https://otsuka-europe-crm.veevavault.com/ui/#object/sent_email__v/VBL00000001D227", "SE-001404532")</f>
        <v>SE-001404532</v>
      </c>
      <c r="D17142" s="1">
        <v>46071.635555555556</v>
      </c>
      <c r="E17142" s="2">
        <v>1</v>
      </c>
      <c r="F17142" s="2">
        <v>1</v>
      </c>
      <c r="G17142" s="2">
        <v>0</v>
      </c>
      <c r="H17142" s="1" t="s">
        <v>0</v>
      </c>
      <c r="I17142" s="2">
        <v>0</v>
      </c>
      <c r="J17142" s="1">
        <v>46071.6016087963</v>
      </c>
    </row>
    <row r="17143" spans="1:10" x14ac:dyDescent="0.2">
      <c r="A17143" s="4" t="s">
        <v>1</v>
      </c>
      <c r="B17143" s="3" t="str">
        <f>HYPERLINK("https://otsuka-europe-crm.veevavault.com/ui/#object/approved_document__v/V5O00000000Q003", "LUP-Material riñones CLM")</f>
        <v>LUP-Material riñones CLM</v>
      </c>
      <c r="C17143" s="3" t="str">
        <f>HYPERLINK("https://otsuka-europe-crm.veevavault.com/ui/#object/sent_email__v/VBL00000001D228", "SE-001404533")</f>
        <v>SE-001404533</v>
      </c>
      <c r="D17143" s="1">
        <v>46071.611527777779</v>
      </c>
      <c r="E17143" s="2">
        <v>1</v>
      </c>
      <c r="F17143" s="2">
        <v>1</v>
      </c>
      <c r="G17143" s="2">
        <v>0</v>
      </c>
      <c r="H17143" s="1" t="s">
        <v>0</v>
      </c>
      <c r="I17143" s="2">
        <v>0</v>
      </c>
      <c r="J17143" s="1">
        <v>46071.601863425924</v>
      </c>
    </row>
    <row r="17144" spans="1:10" x14ac:dyDescent="0.2">
      <c r="A17144" s="4" t="s">
        <v>1</v>
      </c>
      <c r="B17144" s="3" t="str">
        <f>HYPERLINK("https://otsuka-europe-crm.veevavault.com/ui/#object/approved_document__v/V5O00000000Q003", "LUP-Material riñones CLM")</f>
        <v>LUP-Material riñones CLM</v>
      </c>
      <c r="C17144" s="3" t="str">
        <f>HYPERLINK("https://otsuka-europe-crm.veevavault.com/ui/#object/sent_email__v/VBL00000001D229", "SE-001404534")</f>
        <v>SE-001404534</v>
      </c>
      <c r="D17144" s="1">
        <v>46071.882557870369</v>
      </c>
      <c r="E17144" s="2">
        <v>1</v>
      </c>
      <c r="F17144" s="2">
        <v>1</v>
      </c>
      <c r="G17144" s="2">
        <v>0</v>
      </c>
      <c r="H17144" s="1" t="s">
        <v>0</v>
      </c>
      <c r="I17144" s="2">
        <v>0</v>
      </c>
      <c r="J17144" s="1">
        <v>46071.602118055554</v>
      </c>
    </row>
    <row r="17145" spans="1:10" x14ac:dyDescent="0.2">
      <c r="A17145" s="4" t="s">
        <v>1</v>
      </c>
      <c r="B17145" s="3" t="str">
        <f>HYPERLINK("https://otsuka-europe-crm.veevavault.com/ui/#object/approved_document__v/V5O00000000Q003", "LUP-Material riñones CLM")</f>
        <v>LUP-Material riñones CLM</v>
      </c>
      <c r="C17145" s="3" t="str">
        <f>HYPERLINK("https://otsuka-europe-crm.veevavault.com/ui/#object/sent_email__v/VBL00000001D230", "SE-001404535")</f>
        <v>SE-001404535</v>
      </c>
      <c r="D17145" s="1" t="s">
        <v>0</v>
      </c>
      <c r="E17145" s="2">
        <v>0</v>
      </c>
      <c r="F17145" s="2">
        <v>0</v>
      </c>
      <c r="G17145" s="2">
        <v>0</v>
      </c>
      <c r="H17145" s="1" t="s">
        <v>0</v>
      </c>
      <c r="I17145" s="2">
        <v>0</v>
      </c>
      <c r="J17145" s="1">
        <v>46071.602372685185</v>
      </c>
    </row>
    <row r="17146" spans="1:10" x14ac:dyDescent="0.2">
      <c r="A17146" s="4" t="s">
        <v>1</v>
      </c>
      <c r="B17146" s="3" t="str">
        <f>HYPERLINK("https://otsuka-europe-crm.veevavault.com/ui/#object/approved_document__v/V5O00000000Q003", "LUP-Material riñones CLM")</f>
        <v>LUP-Material riñones CLM</v>
      </c>
      <c r="C17146" s="3" t="str">
        <f>HYPERLINK("https://otsuka-europe-crm.veevavault.com/ui/#object/sent_email__v/VBL00000001D231", "SE-001404536")</f>
        <v>SE-001404536</v>
      </c>
      <c r="D17146" s="1">
        <v>46071.947453703702</v>
      </c>
      <c r="E17146" s="2">
        <v>1</v>
      </c>
      <c r="F17146" s="2">
        <v>1</v>
      </c>
      <c r="G17146" s="2">
        <v>1</v>
      </c>
      <c r="H17146" s="1">
        <v>46071.947615740741</v>
      </c>
      <c r="I17146" s="2">
        <v>1</v>
      </c>
      <c r="J17146" s="1">
        <v>46071.602638888886</v>
      </c>
    </row>
    <row r="17147" spans="1:10" x14ac:dyDescent="0.2">
      <c r="A17147" s="4" t="s">
        <v>1</v>
      </c>
      <c r="B17147" s="3" t="str">
        <f>HYPERLINK("https://otsuka-europe-crm.veevavault.com/ui/#object/approved_document__v/V5O00000000Q003", "LUP-Material riñones CLM")</f>
        <v>LUP-Material riñones CLM</v>
      </c>
      <c r="C17147" s="3" t="str">
        <f>HYPERLINK("https://otsuka-europe-crm.veevavault.com/ui/#object/sent_email__v/VBL00000001D232", "SE-001404537")</f>
        <v>SE-001404537</v>
      </c>
      <c r="D17147" s="1" t="s">
        <v>0</v>
      </c>
      <c r="E17147" s="2">
        <v>0</v>
      </c>
      <c r="F17147" s="2">
        <v>0</v>
      </c>
      <c r="G17147" s="2">
        <v>0</v>
      </c>
      <c r="H17147" s="1" t="s">
        <v>0</v>
      </c>
      <c r="I17147" s="2">
        <v>0</v>
      </c>
      <c r="J17147" s="1">
        <v>46071.602881944447</v>
      </c>
    </row>
    <row r="17148" spans="1:10" x14ac:dyDescent="0.2">
      <c r="A17148" s="4" t="s">
        <v>1</v>
      </c>
      <c r="B17148" s="3" t="str">
        <f>HYPERLINK("https://otsuka-europe-crm.veevavault.com/ui/#object/approved_document__v/V5O00000000Q003", "LUP-Material riñones CLM")</f>
        <v>LUP-Material riñones CLM</v>
      </c>
      <c r="C17148" s="3" t="str">
        <f>HYPERLINK("https://otsuka-europe-crm.veevavault.com/ui/#object/sent_email__v/VBL00000001D233", "SE-001404538")</f>
        <v>SE-001404538</v>
      </c>
      <c r="D17148" s="1" t="s">
        <v>0</v>
      </c>
      <c r="E17148" s="2">
        <v>0</v>
      </c>
      <c r="F17148" s="2">
        <v>0</v>
      </c>
      <c r="G17148" s="2">
        <v>0</v>
      </c>
      <c r="H17148" s="1" t="s">
        <v>0</v>
      </c>
      <c r="I17148" s="2">
        <v>0</v>
      </c>
      <c r="J17148" s="1">
        <v>46071.603148148148</v>
      </c>
    </row>
    <row r="17149" spans="1:10" x14ac:dyDescent="0.2">
      <c r="A17149" s="4" t="s">
        <v>1</v>
      </c>
      <c r="B17149" s="3" t="str">
        <f>HYPERLINK("https://otsuka-europe-crm.veevavault.com/ui/#object/approved_document__v/V5O00000000Q003", "LUP-Material riñones CLM")</f>
        <v>LUP-Material riñones CLM</v>
      </c>
      <c r="C17149" s="3" t="str">
        <f>HYPERLINK("https://otsuka-europe-crm.veevavault.com/ui/#object/sent_email__v/VBL00000001D234", "SE-001404539")</f>
        <v>SE-001404539</v>
      </c>
      <c r="D17149" s="1">
        <v>46074.456932870373</v>
      </c>
      <c r="E17149" s="2">
        <v>1</v>
      </c>
      <c r="F17149" s="2">
        <v>2</v>
      </c>
      <c r="G17149" s="2">
        <v>0</v>
      </c>
      <c r="H17149" s="1" t="s">
        <v>0</v>
      </c>
      <c r="I17149" s="2">
        <v>0</v>
      </c>
      <c r="J17149" s="1">
        <v>46071.603402777779</v>
      </c>
    </row>
    <row r="17150" spans="1:10" x14ac:dyDescent="0.2">
      <c r="A17150" s="4" t="s">
        <v>1</v>
      </c>
      <c r="B17150" s="3" t="str">
        <f>HYPERLINK("https://otsuka-europe-crm.veevavault.com/ui/#object/approved_document__v/V5O00000000Q003", "LUP-Material riñones CLM")</f>
        <v>LUP-Material riñones CLM</v>
      </c>
      <c r="C17150" s="3" t="str">
        <f>HYPERLINK("https://otsuka-europe-crm.veevavault.com/ui/#object/sent_email__v/VBL00000001D235", "SE-001404540")</f>
        <v>SE-001404540</v>
      </c>
      <c r="D17150" s="1" t="s">
        <v>0</v>
      </c>
      <c r="E17150" s="2">
        <v>0</v>
      </c>
      <c r="F17150" s="2">
        <v>0</v>
      </c>
      <c r="G17150" s="2">
        <v>0</v>
      </c>
      <c r="H17150" s="1" t="s">
        <v>0</v>
      </c>
      <c r="I17150" s="2">
        <v>0</v>
      </c>
      <c r="J17150" s="1">
        <v>46071.603645833333</v>
      </c>
    </row>
    <row r="17151" spans="1:10" x14ac:dyDescent="0.2">
      <c r="A17151" s="4" t="s">
        <v>1</v>
      </c>
      <c r="B17151" s="3" t="str">
        <f>HYPERLINK("https://otsuka-europe-crm.veevavault.com/ui/#object/approved_document__v/V5O00000000Q003", "LUP-Material riñones CLM")</f>
        <v>LUP-Material riñones CLM</v>
      </c>
      <c r="C17151" s="3" t="str">
        <f>HYPERLINK("https://otsuka-europe-crm.veevavault.com/ui/#object/sent_email__v/VBL00000001D236", "SE-001404541")</f>
        <v>SE-001404541</v>
      </c>
      <c r="D17151" s="1">
        <v>46071.942916666667</v>
      </c>
      <c r="E17151" s="2">
        <v>1</v>
      </c>
      <c r="F17151" s="2">
        <v>1</v>
      </c>
      <c r="G17151" s="2">
        <v>0</v>
      </c>
      <c r="H17151" s="1" t="s">
        <v>0</v>
      </c>
      <c r="I17151" s="2">
        <v>0</v>
      </c>
      <c r="J17151" s="1">
        <v>46071.603912037041</v>
      </c>
    </row>
    <row r="17152" spans="1:10" x14ac:dyDescent="0.2">
      <c r="A17152" s="4" t="s">
        <v>1</v>
      </c>
      <c r="B17152" s="3" t="str">
        <f>HYPERLINK("https://otsuka-europe-crm.veevavault.com/ui/#object/approved_document__v/V5O00000000Q003", "LUP-Material riñones CLM")</f>
        <v>LUP-Material riñones CLM</v>
      </c>
      <c r="C17152" s="3" t="str">
        <f>HYPERLINK("https://otsuka-europe-crm.veevavault.com/ui/#object/sent_email__v/VBL00000001D237", "SE-001404542")</f>
        <v>SE-001404542</v>
      </c>
      <c r="D17152" s="1" t="s">
        <v>0</v>
      </c>
      <c r="E17152" s="2">
        <v>0</v>
      </c>
      <c r="F17152" s="2">
        <v>0</v>
      </c>
      <c r="G17152" s="2">
        <v>0</v>
      </c>
      <c r="H17152" s="1" t="s">
        <v>0</v>
      </c>
      <c r="I17152" s="2">
        <v>0</v>
      </c>
      <c r="J17152" s="1">
        <v>46071.604166666664</v>
      </c>
    </row>
    <row r="17153" spans="1:10" x14ac:dyDescent="0.2">
      <c r="A17153" s="4" t="s">
        <v>1</v>
      </c>
      <c r="B17153" s="3" t="str">
        <f>HYPERLINK("https://otsuka-europe-crm.veevavault.com/ui/#object/approved_document__v/V5O00000000Q003", "LUP-Material riñones CLM")</f>
        <v>LUP-Material riñones CLM</v>
      </c>
      <c r="C17153" s="3" t="str">
        <f>HYPERLINK("https://otsuka-europe-crm.veevavault.com/ui/#object/sent_email__v/VBL00000001D238", "SE-001404543")</f>
        <v>SE-001404543</v>
      </c>
      <c r="D17153" s="1" t="s">
        <v>0</v>
      </c>
      <c r="E17153" s="2">
        <v>0</v>
      </c>
      <c r="F17153" s="2">
        <v>0</v>
      </c>
      <c r="G17153" s="2">
        <v>0</v>
      </c>
      <c r="H17153" s="1" t="s">
        <v>0</v>
      </c>
      <c r="I17153" s="2">
        <v>0</v>
      </c>
      <c r="J17153" s="1">
        <v>46071.604351851849</v>
      </c>
    </row>
    <row r="17154" spans="1:10" x14ac:dyDescent="0.2">
      <c r="A17154" s="4" t="s">
        <v>1</v>
      </c>
      <c r="B17154" s="3" t="str">
        <f>HYPERLINK("https://otsuka-europe-crm.veevavault.com/ui/#object/approved_document__v/V5O00000000Q003", "LUP-Material riñones CLM")</f>
        <v>LUP-Material riñones CLM</v>
      </c>
      <c r="C17154" s="3" t="str">
        <f>HYPERLINK("https://otsuka-europe-crm.veevavault.com/ui/#object/sent_email__v/VBL00000001D239", "SE-001404544")</f>
        <v>SE-001404544</v>
      </c>
      <c r="D17154" s="1">
        <v>46071.604733796295</v>
      </c>
      <c r="E17154" s="2">
        <v>1</v>
      </c>
      <c r="F17154" s="2">
        <v>3</v>
      </c>
      <c r="G17154" s="2">
        <v>1</v>
      </c>
      <c r="H17154" s="1">
        <v>46072.389641203707</v>
      </c>
      <c r="I17154" s="2">
        <v>11</v>
      </c>
      <c r="J17154" s="1">
        <v>46071.604537037034</v>
      </c>
    </row>
    <row r="17155" spans="1:10" x14ac:dyDescent="0.2">
      <c r="A17155" s="4" t="s">
        <v>1</v>
      </c>
      <c r="B17155" s="3" t="str">
        <f>HYPERLINK("https://otsuka-europe-crm.veevavault.com/ui/#object/approved_document__v/V5O00000000Q003", "LUP-Material riñones CLM")</f>
        <v>LUP-Material riñones CLM</v>
      </c>
      <c r="C17155" s="3" t="str">
        <f>HYPERLINK("https://otsuka-europe-crm.veevavault.com/ui/#object/sent_email__v/VBL00000001D240", "SE-001404545")</f>
        <v>SE-001404545</v>
      </c>
      <c r="D17155" s="1">
        <v>46071.604861111111</v>
      </c>
      <c r="E17155" s="2">
        <v>1</v>
      </c>
      <c r="F17155" s="2">
        <v>1</v>
      </c>
      <c r="G17155" s="2">
        <v>1</v>
      </c>
      <c r="H17155" s="1">
        <v>46071.605081018519</v>
      </c>
      <c r="I17155" s="2">
        <v>2</v>
      </c>
      <c r="J17155" s="1">
        <v>46071.604733796295</v>
      </c>
    </row>
    <row r="17156" spans="1:10" x14ac:dyDescent="0.2">
      <c r="A17156" s="4" t="s">
        <v>1</v>
      </c>
      <c r="B17156" s="3" t="str">
        <f>HYPERLINK("https://otsuka-europe-crm.veevavault.com/ui/#object/approved_document__v/V5O00000000Q003", "LUP-Material riñones CLM")</f>
        <v>LUP-Material riñones CLM</v>
      </c>
      <c r="C17156" s="3" t="str">
        <f>HYPERLINK("https://otsuka-europe-crm.veevavault.com/ui/#object/sent_email__v/VBL00000001D241", "SE-001404546")</f>
        <v>SE-001404546</v>
      </c>
      <c r="D17156" s="1" t="s">
        <v>0</v>
      </c>
      <c r="E17156" s="2">
        <v>0</v>
      </c>
      <c r="F17156" s="2">
        <v>0</v>
      </c>
      <c r="G17156" s="2">
        <v>0</v>
      </c>
      <c r="H17156" s="1" t="s">
        <v>0</v>
      </c>
      <c r="I17156" s="2">
        <v>0</v>
      </c>
      <c r="J17156" s="1">
        <v>46071.604953703703</v>
      </c>
    </row>
    <row r="17157" spans="1:10" x14ac:dyDescent="0.2">
      <c r="A17157" s="4" t="s">
        <v>1</v>
      </c>
      <c r="B17157" s="3" t="str">
        <f>HYPERLINK("https://otsuka-europe-crm.veevavault.com/ui/#object/approved_document__v/V5O00000000Q003", "LUP-Material riñones CLM")</f>
        <v>LUP-Material riñones CLM</v>
      </c>
      <c r="C17157" s="3" t="str">
        <f>HYPERLINK("https://otsuka-europe-crm.veevavault.com/ui/#object/sent_email__v/VBL00000001D242", "SE-001404547")</f>
        <v>SE-001404547</v>
      </c>
      <c r="D17157" s="1">
        <v>46077.337013888886</v>
      </c>
      <c r="E17157" s="2">
        <v>1</v>
      </c>
      <c r="F17157" s="2">
        <v>16</v>
      </c>
      <c r="G17157" s="2">
        <v>0</v>
      </c>
      <c r="H17157" s="1" t="s">
        <v>0</v>
      </c>
      <c r="I17157" s="2">
        <v>0</v>
      </c>
      <c r="J17157" s="1">
        <v>46071.605208333334</v>
      </c>
    </row>
    <row r="17158" spans="1:10" x14ac:dyDescent="0.2">
      <c r="A17158" s="4" t="s">
        <v>1</v>
      </c>
      <c r="B17158" s="3" t="str">
        <f>HYPERLINK("https://otsuka-europe-crm.veevavault.com/ui/#object/approved_document__v/V5O00000000Q003", "LUP-Material riñones CLM")</f>
        <v>LUP-Material riñones CLM</v>
      </c>
      <c r="C17158" s="3" t="str">
        <f>HYPERLINK("https://otsuka-europe-crm.veevavault.com/ui/#object/sent_email__v/VBL00000001D243", "SE-001404548")</f>
        <v>SE-001404548</v>
      </c>
      <c r="D17158" s="1">
        <v>46071.687789351854</v>
      </c>
      <c r="E17158" s="2">
        <v>1</v>
      </c>
      <c r="F17158" s="2">
        <v>1</v>
      </c>
      <c r="G17158" s="2">
        <v>0</v>
      </c>
      <c r="H17158" s="1" t="s">
        <v>0</v>
      </c>
      <c r="I17158" s="2">
        <v>0</v>
      </c>
      <c r="J17158" s="1">
        <v>46071.605451388888</v>
      </c>
    </row>
    <row r="17159" spans="1:10" x14ac:dyDescent="0.2">
      <c r="A17159" s="4" t="s">
        <v>1</v>
      </c>
      <c r="B17159" s="3" t="str">
        <f>HYPERLINK("https://otsuka-europe-crm.veevavault.com/ui/#object/approved_document__v/V5O00000000Q003", "LUP-Material riñones CLM")</f>
        <v>LUP-Material riñones CLM</v>
      </c>
      <c r="C17159" s="3" t="str">
        <f>HYPERLINK("https://otsuka-europe-crm.veevavault.com/ui/#object/sent_email__v/VBL00000001D244", "SE-001404549")</f>
        <v>SE-001404549</v>
      </c>
      <c r="D17159" s="1">
        <v>46072.199895833335</v>
      </c>
      <c r="E17159" s="2">
        <v>1</v>
      </c>
      <c r="F17159" s="2">
        <v>2</v>
      </c>
      <c r="G17159" s="2">
        <v>1</v>
      </c>
      <c r="H17159" s="1">
        <v>46072.200057870374</v>
      </c>
      <c r="I17159" s="2">
        <v>1</v>
      </c>
      <c r="J17159" s="1">
        <v>46071.605706018519</v>
      </c>
    </row>
    <row r="17160" spans="1:10" x14ac:dyDescent="0.2">
      <c r="A17160" s="4" t="s">
        <v>1</v>
      </c>
      <c r="B17160" s="3" t="str">
        <f>HYPERLINK("https://otsuka-europe-crm.veevavault.com/ui/#object/approved_document__v/V5O00000000Q003", "LUP-Material riñones CLM")</f>
        <v>LUP-Material riñones CLM</v>
      </c>
      <c r="C17160" s="3" t="str">
        <f>HYPERLINK("https://otsuka-europe-crm.veevavault.com/ui/#object/sent_email__v/VBL00000001D245", "SE-001404550")</f>
        <v>SE-001404550</v>
      </c>
      <c r="D17160" s="1" t="s">
        <v>0</v>
      </c>
      <c r="E17160" s="2">
        <v>0</v>
      </c>
      <c r="F17160" s="2">
        <v>0</v>
      </c>
      <c r="G17160" s="2">
        <v>0</v>
      </c>
      <c r="H17160" s="1" t="s">
        <v>0</v>
      </c>
      <c r="I17160" s="2">
        <v>0</v>
      </c>
      <c r="J17160" s="1">
        <v>46071.605949074074</v>
      </c>
    </row>
    <row r="17161" spans="1:10" x14ac:dyDescent="0.2">
      <c r="A17161" s="4" t="s">
        <v>1</v>
      </c>
      <c r="B17161" s="3" t="str">
        <f>HYPERLINK("https://otsuka-europe-crm.veevavault.com/ui/#object/approved_document__v/V5O00000000Q003", "LUP-Material riñones CLM")</f>
        <v>LUP-Material riñones CLM</v>
      </c>
      <c r="C17161" s="3" t="str">
        <f>HYPERLINK("https://otsuka-europe-crm.veevavault.com/ui/#object/sent_email__v/VBL00000001D246", "SE-001404551")</f>
        <v>SE-001404551</v>
      </c>
      <c r="D17161" s="1">
        <v>46071.607870370368</v>
      </c>
      <c r="E17161" s="2">
        <v>1</v>
      </c>
      <c r="F17161" s="2">
        <v>1</v>
      </c>
      <c r="G17161" s="2">
        <v>0</v>
      </c>
      <c r="H17161" s="1" t="s">
        <v>0</v>
      </c>
      <c r="I17161" s="2">
        <v>0</v>
      </c>
      <c r="J17161" s="1">
        <v>46071.606203703705</v>
      </c>
    </row>
    <row r="17162" spans="1:10" x14ac:dyDescent="0.2">
      <c r="A17162" s="4" t="s">
        <v>1</v>
      </c>
      <c r="B17162" s="3" t="str">
        <f>HYPERLINK("https://otsuka-europe-crm.veevavault.com/ui/#object/approved_document__v/V5O00000000Q003", "LUP-Material riñones CLM")</f>
        <v>LUP-Material riñones CLM</v>
      </c>
      <c r="C17162" s="3" t="str">
        <f>HYPERLINK("https://otsuka-europe-crm.veevavault.com/ui/#object/sent_email__v/VBL00000001D247", "SE-001404552")</f>
        <v>SE-001404552</v>
      </c>
      <c r="D17162" s="1" t="s">
        <v>0</v>
      </c>
      <c r="E17162" s="2">
        <v>0</v>
      </c>
      <c r="F17162" s="2">
        <v>0</v>
      </c>
      <c r="G17162" s="2">
        <v>0</v>
      </c>
      <c r="H17162" s="1" t="s">
        <v>0</v>
      </c>
      <c r="I17162" s="2">
        <v>0</v>
      </c>
      <c r="J17162" s="1">
        <v>46071.606458333335</v>
      </c>
    </row>
    <row r="17163" spans="1:10" x14ac:dyDescent="0.2">
      <c r="A17163" s="4" t="s">
        <v>1</v>
      </c>
      <c r="B17163" s="3" t="str">
        <f>HYPERLINK("https://otsuka-europe-crm.veevavault.com/ui/#object/approved_document__v/V5O00000000Q003", "LUP-Material riñones CLM")</f>
        <v>LUP-Material riñones CLM</v>
      </c>
      <c r="C17163" s="3" t="str">
        <f>HYPERLINK("https://otsuka-europe-crm.veevavault.com/ui/#object/sent_email__v/VBL00000001D248", "SE-001404553")</f>
        <v>SE-001404553</v>
      </c>
      <c r="D17163" s="1" t="s">
        <v>0</v>
      </c>
      <c r="E17163" s="2">
        <v>0</v>
      </c>
      <c r="F17163" s="2">
        <v>0</v>
      </c>
      <c r="G17163" s="2">
        <v>0</v>
      </c>
      <c r="H17163" s="1" t="s">
        <v>0</v>
      </c>
      <c r="I17163" s="2">
        <v>0</v>
      </c>
      <c r="J17163" s="1">
        <v>46071.606712962966</v>
      </c>
    </row>
    <row r="17164" spans="1:10" x14ac:dyDescent="0.2">
      <c r="A17164" s="4" t="s">
        <v>1</v>
      </c>
      <c r="B17164" s="3" t="str">
        <f>HYPERLINK("https://otsuka-europe-crm.veevavault.com/ui/#object/approved_document__v/V5O00000000Q003", "LUP-Material riñones CLM")</f>
        <v>LUP-Material riñones CLM</v>
      </c>
      <c r="C17164" s="3" t="str">
        <f>HYPERLINK("https://otsuka-europe-crm.veevavault.com/ui/#object/sent_email__v/VBL00000001D249", "SE-001404554")</f>
        <v>SE-001404554</v>
      </c>
      <c r="D17164" s="1">
        <v>46072.353807870371</v>
      </c>
      <c r="E17164" s="2">
        <v>1</v>
      </c>
      <c r="F17164" s="2">
        <v>2</v>
      </c>
      <c r="G17164" s="2">
        <v>0</v>
      </c>
      <c r="H17164" s="1" t="s">
        <v>0</v>
      </c>
      <c r="I17164" s="2">
        <v>0</v>
      </c>
      <c r="J17164" s="1">
        <v>46071.60696759259</v>
      </c>
    </row>
    <row r="17165" spans="1:10" x14ac:dyDescent="0.2">
      <c r="A17165" s="4" t="s">
        <v>1</v>
      </c>
      <c r="B17165" s="3" t="str">
        <f>HYPERLINK("https://otsuka-europe-crm.veevavault.com/ui/#object/approved_document__v/V5O00000000Q003", "LUP-Material riñones CLM")</f>
        <v>LUP-Material riñones CLM</v>
      </c>
      <c r="C17165" s="3" t="str">
        <f>HYPERLINK("https://otsuka-europe-crm.veevavault.com/ui/#object/sent_email__v/VBL00000001D250", "SE-001404555")</f>
        <v>SE-001404555</v>
      </c>
      <c r="D17165" s="1" t="s">
        <v>0</v>
      </c>
      <c r="E17165" s="2">
        <v>0</v>
      </c>
      <c r="F17165" s="2">
        <v>0</v>
      </c>
      <c r="G17165" s="2">
        <v>0</v>
      </c>
      <c r="H17165" s="1" t="s">
        <v>0</v>
      </c>
      <c r="I17165" s="2">
        <v>0</v>
      </c>
      <c r="J17165" s="1">
        <v>46071.607222222221</v>
      </c>
    </row>
    <row r="17166" spans="1:10" x14ac:dyDescent="0.2">
      <c r="A17166" s="4" t="s">
        <v>1</v>
      </c>
      <c r="B17166" s="3" t="str">
        <f>HYPERLINK("https://otsuka-europe-crm.veevavault.com/ui/#object/approved_document__v/V5O00000000Q003", "LUP-Material riñones CLM")</f>
        <v>LUP-Material riñones CLM</v>
      </c>
      <c r="C17166" s="3" t="str">
        <f>HYPERLINK("https://otsuka-europe-crm.veevavault.com/ui/#object/sent_email__v/VBL00000001D251", "SE-001404556")</f>
        <v>SE-001404556</v>
      </c>
      <c r="D17166" s="1">
        <v>46071.607604166667</v>
      </c>
      <c r="E17166" s="2">
        <v>1</v>
      </c>
      <c r="F17166" s="2">
        <v>3</v>
      </c>
      <c r="G17166" s="2">
        <v>1</v>
      </c>
      <c r="H17166" s="1">
        <v>46071.664398148147</v>
      </c>
      <c r="I17166" s="2">
        <v>12</v>
      </c>
      <c r="J17166" s="1">
        <v>46071.607488425929</v>
      </c>
    </row>
    <row r="17167" spans="1:10" x14ac:dyDescent="0.2">
      <c r="A17167" s="4" t="s">
        <v>1</v>
      </c>
      <c r="B17167" s="3" t="str">
        <f>HYPERLINK("https://otsuka-europe-crm.veevavault.com/ui/#object/approved_document__v/V5O00000000Q003", "LUP-Material riñones CLM")</f>
        <v>LUP-Material riñones CLM</v>
      </c>
      <c r="C17167" s="3" t="str">
        <f>HYPERLINK("https://otsuka-europe-crm.veevavault.com/ui/#object/sent_email__v/VBL00000001D252", "SE-001404557")</f>
        <v>SE-001404557</v>
      </c>
      <c r="D17167" s="1">
        <v>46071.785416666666</v>
      </c>
      <c r="E17167" s="2">
        <v>1</v>
      </c>
      <c r="F17167" s="2">
        <v>1</v>
      </c>
      <c r="G17167" s="2">
        <v>1</v>
      </c>
      <c r="H17167" s="1">
        <v>46071.785462962966</v>
      </c>
      <c r="I17167" s="2">
        <v>2</v>
      </c>
      <c r="J17167" s="1">
        <v>46071.607719907406</v>
      </c>
    </row>
    <row r="17168" spans="1:10" x14ac:dyDescent="0.2">
      <c r="A17168" s="4" t="s">
        <v>1</v>
      </c>
      <c r="B17168" s="3" t="str">
        <f>HYPERLINK("https://otsuka-europe-crm.veevavault.com/ui/#object/approved_document__v/V5O00000000Q003", "LUP-Material riñones CLM")</f>
        <v>LUP-Material riñones CLM</v>
      </c>
      <c r="C17168" s="3" t="str">
        <f>HYPERLINK("https://otsuka-europe-crm.veevavault.com/ui/#object/sent_email__v/VBL00000001D253", "SE-001404558")</f>
        <v>SE-001404558</v>
      </c>
      <c r="D17168" s="1" t="s">
        <v>0</v>
      </c>
      <c r="E17168" s="2">
        <v>0</v>
      </c>
      <c r="F17168" s="2">
        <v>0</v>
      </c>
      <c r="G17168" s="2">
        <v>0</v>
      </c>
      <c r="H17168" s="1" t="s">
        <v>0</v>
      </c>
      <c r="I17168" s="2">
        <v>0</v>
      </c>
      <c r="J17168" s="1">
        <v>46071.607916666668</v>
      </c>
    </row>
    <row r="17169" spans="1:10" x14ac:dyDescent="0.2">
      <c r="A17169" s="4" t="s">
        <v>1</v>
      </c>
      <c r="B17169" s="3" t="str">
        <f>HYPERLINK("https://otsuka-europe-crm.veevavault.com/ui/#object/approved_document__v/V5O00000000Q003", "LUP-Material riñones CLM")</f>
        <v>LUP-Material riñones CLM</v>
      </c>
      <c r="C17169" s="3" t="str">
        <f>HYPERLINK("https://otsuka-europe-crm.veevavault.com/ui/#object/sent_email__v/VBL00000001D254", "SE-001404559")</f>
        <v>SE-001404559</v>
      </c>
      <c r="D17169" s="1">
        <v>46076.01635416667</v>
      </c>
      <c r="E17169" s="2">
        <v>1</v>
      </c>
      <c r="F17169" s="2">
        <v>3</v>
      </c>
      <c r="G17169" s="2">
        <v>1</v>
      </c>
      <c r="H17169" s="1">
        <v>46071.68822916667</v>
      </c>
      <c r="I17169" s="2">
        <v>3</v>
      </c>
      <c r="J17169" s="1">
        <v>46071.608078703706</v>
      </c>
    </row>
    <row r="17170" spans="1:10" x14ac:dyDescent="0.2">
      <c r="A17170" s="4" t="s">
        <v>1</v>
      </c>
      <c r="B17170" s="3" t="str">
        <f>HYPERLINK("https://otsuka-europe-crm.veevavault.com/ui/#object/approved_document__v/V5O00000000Q003", "LUP-Material riñones CLM")</f>
        <v>LUP-Material riñones CLM</v>
      </c>
      <c r="C17170" s="3" t="str">
        <f>HYPERLINK("https://otsuka-europe-crm.veevavault.com/ui/#object/sent_email__v/VBL00000001D255", "SE-001404560")</f>
        <v>SE-001404560</v>
      </c>
      <c r="D17170" s="1">
        <v>46071.680868055555</v>
      </c>
      <c r="E17170" s="2">
        <v>1</v>
      </c>
      <c r="F17170" s="2">
        <v>1</v>
      </c>
      <c r="G17170" s="2">
        <v>0</v>
      </c>
      <c r="H17170" s="1" t="s">
        <v>0</v>
      </c>
      <c r="I17170" s="2">
        <v>0</v>
      </c>
      <c r="J17170" s="1">
        <v>46071.608263888891</v>
      </c>
    </row>
    <row r="17171" spans="1:10" x14ac:dyDescent="0.2">
      <c r="A17171" s="4" t="s">
        <v>1</v>
      </c>
      <c r="B17171" s="3" t="str">
        <f>HYPERLINK("https://otsuka-europe-crm.veevavault.com/ui/#object/approved_document__v/V5O00000000Q003", "LUP-Material riñones CLM")</f>
        <v>LUP-Material riñones CLM</v>
      </c>
      <c r="C17171" s="3" t="str">
        <f>HYPERLINK("https://otsuka-europe-crm.veevavault.com/ui/#object/sent_email__v/VBL00000001D256", "SE-001404561")</f>
        <v>SE-001404561</v>
      </c>
      <c r="D17171" s="1">
        <v>46071.614212962966</v>
      </c>
      <c r="E17171" s="2">
        <v>1</v>
      </c>
      <c r="F17171" s="2">
        <v>2</v>
      </c>
      <c r="G17171" s="2">
        <v>0</v>
      </c>
      <c r="H17171" s="1" t="s">
        <v>0</v>
      </c>
      <c r="I17171" s="2">
        <v>0</v>
      </c>
      <c r="J17171" s="1">
        <v>46071.608506944445</v>
      </c>
    </row>
    <row r="17172" spans="1:10" x14ac:dyDescent="0.2">
      <c r="A17172" s="4" t="s">
        <v>1</v>
      </c>
      <c r="B17172" s="3" t="str">
        <f>HYPERLINK("https://otsuka-europe-crm.veevavault.com/ui/#object/approved_document__v/V5O00000000Q003", "LUP-Material riñones CLM")</f>
        <v>LUP-Material riñones CLM</v>
      </c>
      <c r="C17172" s="3" t="str">
        <f>HYPERLINK("https://otsuka-europe-crm.veevavault.com/ui/#object/sent_email__v/VBL00000001D257", "SE-001404562")</f>
        <v>SE-001404562</v>
      </c>
      <c r="D17172" s="1" t="s">
        <v>0</v>
      </c>
      <c r="E17172" s="2">
        <v>0</v>
      </c>
      <c r="F17172" s="2">
        <v>0</v>
      </c>
      <c r="G17172" s="2">
        <v>0</v>
      </c>
      <c r="H17172" s="1" t="s">
        <v>0</v>
      </c>
      <c r="I17172" s="2">
        <v>0</v>
      </c>
      <c r="J17172" s="1">
        <v>46071.608749999999</v>
      </c>
    </row>
    <row r="17173" spans="1:10" x14ac:dyDescent="0.2">
      <c r="A17173" s="4" t="s">
        <v>1</v>
      </c>
      <c r="B17173" s="3" t="str">
        <f>HYPERLINK("https://otsuka-europe-crm.veevavault.com/ui/#object/approved_document__v/V5O00000000Q003", "LUP-Material riñones CLM")</f>
        <v>LUP-Material riñones CLM</v>
      </c>
      <c r="C17173" s="3" t="str">
        <f>HYPERLINK("https://otsuka-europe-crm.veevavault.com/ui/#object/sent_email__v/VBL00000001D258", "SE-001404563")</f>
        <v>SE-001404563</v>
      </c>
      <c r="D17173" s="1" t="s">
        <v>0</v>
      </c>
      <c r="E17173" s="2">
        <v>0</v>
      </c>
      <c r="F17173" s="2">
        <v>0</v>
      </c>
      <c r="G17173" s="2">
        <v>0</v>
      </c>
      <c r="H17173" s="1" t="s">
        <v>0</v>
      </c>
      <c r="I17173" s="2">
        <v>0</v>
      </c>
      <c r="J17173" s="1">
        <v>46071.60900462963</v>
      </c>
    </row>
    <row r="17174" spans="1:10" x14ac:dyDescent="0.2">
      <c r="A17174" s="4" t="s">
        <v>1</v>
      </c>
      <c r="B17174" s="3" t="str">
        <f>HYPERLINK("https://otsuka-europe-crm.veevavault.com/ui/#object/approved_document__v/V5O00000000Q003", "LUP-Material riñones CLM")</f>
        <v>LUP-Material riñones CLM</v>
      </c>
      <c r="C17174" s="3" t="str">
        <f>HYPERLINK("https://otsuka-europe-crm.veevavault.com/ui/#object/sent_email__v/VBL00000001D259", "SE-001404564")</f>
        <v>SE-001404564</v>
      </c>
      <c r="D17174" s="1" t="s">
        <v>0</v>
      </c>
      <c r="E17174" s="2">
        <v>0</v>
      </c>
      <c r="F17174" s="2">
        <v>0</v>
      </c>
      <c r="G17174" s="2">
        <v>0</v>
      </c>
      <c r="H17174" s="1" t="s">
        <v>0</v>
      </c>
      <c r="I17174" s="2">
        <v>0</v>
      </c>
      <c r="J17174" s="1">
        <v>46071.609270833331</v>
      </c>
    </row>
    <row r="17175" spans="1:10" x14ac:dyDescent="0.2">
      <c r="A17175" s="4" t="s">
        <v>1</v>
      </c>
      <c r="B17175" s="3" t="str">
        <f>HYPERLINK("https://otsuka-europe-crm.veevavault.com/ui/#object/approved_document__v/V5O00000000Q003", "LUP-Material riñones CLM")</f>
        <v>LUP-Material riñones CLM</v>
      </c>
      <c r="C17175" s="3" t="str">
        <f>HYPERLINK("https://otsuka-europe-crm.veevavault.com/ui/#object/sent_email__v/VBL00000001D260", "SE-001404565")</f>
        <v>SE-001404565</v>
      </c>
      <c r="D17175" s="1">
        <v>46071.609571759262</v>
      </c>
      <c r="E17175" s="2">
        <v>1</v>
      </c>
      <c r="F17175" s="2">
        <v>1</v>
      </c>
      <c r="G17175" s="2">
        <v>1</v>
      </c>
      <c r="H17175" s="1">
        <v>46071.609722222223</v>
      </c>
      <c r="I17175" s="2">
        <v>2</v>
      </c>
      <c r="J17175" s="1">
        <v>46071.609513888892</v>
      </c>
    </row>
    <row r="17176" spans="1:10" x14ac:dyDescent="0.2">
      <c r="A17176" s="4" t="s">
        <v>1</v>
      </c>
      <c r="B17176" s="3" t="str">
        <f>HYPERLINK("https://otsuka-europe-crm.veevavault.com/ui/#object/approved_document__v/V5O00000000Q003", "LUP-Material riñones CLM")</f>
        <v>LUP-Material riñones CLM</v>
      </c>
      <c r="C17176" s="3" t="str">
        <f>HYPERLINK("https://otsuka-europe-crm.veevavault.com/ui/#object/sent_email__v/VBL00000001D261", "SE-001404566")</f>
        <v>SE-001404566</v>
      </c>
      <c r="D17176" s="1" t="s">
        <v>0</v>
      </c>
      <c r="E17176" s="2">
        <v>0</v>
      </c>
      <c r="F17176" s="2">
        <v>0</v>
      </c>
      <c r="G17176" s="2">
        <v>0</v>
      </c>
      <c r="H17176" s="1" t="s">
        <v>0</v>
      </c>
      <c r="I17176" s="2">
        <v>0</v>
      </c>
      <c r="J17176" s="1">
        <v>46071.609768518516</v>
      </c>
    </row>
    <row r="17177" spans="1:10" x14ac:dyDescent="0.2">
      <c r="A17177" s="4" t="s">
        <v>1</v>
      </c>
      <c r="B17177" s="3" t="str">
        <f>HYPERLINK("https://otsuka-europe-crm.veevavault.com/ui/#object/approved_document__v/V5O00000000Q003", "LUP-Material riñones CLM")</f>
        <v>LUP-Material riñones CLM</v>
      </c>
      <c r="C17177" s="3" t="str">
        <f>HYPERLINK("https://otsuka-europe-crm.veevavault.com/ui/#object/sent_email__v/VBL00000001D262", "SE-001404567")</f>
        <v>SE-001404567</v>
      </c>
      <c r="D17177" s="1">
        <v>46072.274618055555</v>
      </c>
      <c r="E17177" s="2">
        <v>1</v>
      </c>
      <c r="F17177" s="2">
        <v>1</v>
      </c>
      <c r="G17177" s="2">
        <v>0</v>
      </c>
      <c r="H17177" s="1" t="s">
        <v>0</v>
      </c>
      <c r="I17177" s="2">
        <v>0</v>
      </c>
      <c r="J17177" s="1">
        <v>46071.610023148147</v>
      </c>
    </row>
    <row r="17178" spans="1:10" x14ac:dyDescent="0.2">
      <c r="A17178" s="4" t="s">
        <v>1</v>
      </c>
      <c r="B17178" s="3" t="str">
        <f>HYPERLINK("https://otsuka-europe-crm.veevavault.com/ui/#object/approved_document__v/V5O00000000Q003", "LUP-Material riñones CLM")</f>
        <v>LUP-Material riñones CLM</v>
      </c>
      <c r="C17178" s="3" t="str">
        <f>HYPERLINK("https://otsuka-europe-crm.veevavault.com/ui/#object/sent_email__v/VBL00000001D263", "SE-001404568")</f>
        <v>SE-001404568</v>
      </c>
      <c r="D17178" s="1">
        <v>46071.61922453704</v>
      </c>
      <c r="E17178" s="2">
        <v>1</v>
      </c>
      <c r="F17178" s="2">
        <v>1</v>
      </c>
      <c r="G17178" s="2">
        <v>0</v>
      </c>
      <c r="H17178" s="1" t="s">
        <v>0</v>
      </c>
      <c r="I17178" s="2">
        <v>0</v>
      </c>
      <c r="J17178" s="1">
        <v>46071.610277777778</v>
      </c>
    </row>
    <row r="17179" spans="1:10" x14ac:dyDescent="0.2">
      <c r="A17179" s="4" t="s">
        <v>1</v>
      </c>
      <c r="B17179" s="3" t="str">
        <f>HYPERLINK("https://otsuka-europe-crm.veevavault.com/ui/#object/approved_document__v/V5O00000000Q003", "LUP-Material riñones CLM")</f>
        <v>LUP-Material riñones CLM</v>
      </c>
      <c r="C17179" s="3" t="str">
        <f>HYPERLINK("https://otsuka-europe-crm.veevavault.com/ui/#object/sent_email__v/VBL00000001D264", "SE-001404569")</f>
        <v>SE-001404569</v>
      </c>
      <c r="D17179" s="1">
        <v>46078.602939814817</v>
      </c>
      <c r="E17179" s="2">
        <v>1</v>
      </c>
      <c r="F17179" s="2">
        <v>2</v>
      </c>
      <c r="G17179" s="2">
        <v>0</v>
      </c>
      <c r="H17179" s="1" t="s">
        <v>0</v>
      </c>
      <c r="I17179" s="2">
        <v>0</v>
      </c>
      <c r="J17179" s="1">
        <v>46071.610543981478</v>
      </c>
    </row>
    <row r="17180" spans="1:10" x14ac:dyDescent="0.2">
      <c r="A17180" s="4" t="s">
        <v>1</v>
      </c>
      <c r="B17180" s="3" t="str">
        <f>HYPERLINK("https://otsuka-europe-crm.veevavault.com/ui/#object/approved_document__v/V5O00000000Q003", "LUP-Material riñones CLM")</f>
        <v>LUP-Material riñones CLM</v>
      </c>
      <c r="C17180" s="3" t="str">
        <f>HYPERLINK("https://otsuka-europe-crm.veevavault.com/ui/#object/sent_email__v/VBL00000001D265", "SE-001404570")</f>
        <v>SE-001404570</v>
      </c>
      <c r="D17180" s="1" t="s">
        <v>0</v>
      </c>
      <c r="E17180" s="2">
        <v>0</v>
      </c>
      <c r="F17180" s="2">
        <v>0</v>
      </c>
      <c r="G17180" s="2">
        <v>0</v>
      </c>
      <c r="H17180" s="1" t="s">
        <v>0</v>
      </c>
      <c r="I17180" s="2">
        <v>0</v>
      </c>
      <c r="J17180" s="1">
        <v>46071.61078703704</v>
      </c>
    </row>
    <row r="17181" spans="1:10" x14ac:dyDescent="0.2">
      <c r="A17181" s="4" t="s">
        <v>1</v>
      </c>
      <c r="B17181" s="3" t="str">
        <f>HYPERLINK("https://otsuka-europe-crm.veevavault.com/ui/#object/approved_document__v/V5O00000000Q003", "LUP-Material riñones CLM")</f>
        <v>LUP-Material riñones CLM</v>
      </c>
      <c r="C17181" s="3" t="str">
        <f>HYPERLINK("https://otsuka-europe-crm.veevavault.com/ui/#object/sent_email__v/VBL00000001D266", "SE-001404571")</f>
        <v>SE-001404571</v>
      </c>
      <c r="D17181" s="1">
        <v>46072.261064814818</v>
      </c>
      <c r="E17181" s="2">
        <v>1</v>
      </c>
      <c r="F17181" s="2">
        <v>4</v>
      </c>
      <c r="G17181" s="2">
        <v>0</v>
      </c>
      <c r="H17181" s="1" t="s">
        <v>0</v>
      </c>
      <c r="I17181" s="2">
        <v>0</v>
      </c>
      <c r="J17181" s="1">
        <v>46071.611076388886</v>
      </c>
    </row>
    <row r="17182" spans="1:10" x14ac:dyDescent="0.2">
      <c r="A17182" s="4" t="s">
        <v>1</v>
      </c>
      <c r="B17182" s="3" t="str">
        <f>HYPERLINK("https://otsuka-europe-crm.veevavault.com/ui/#object/approved_document__v/V5O00000000Q003", "LUP-Material riñones CLM")</f>
        <v>LUP-Material riñones CLM</v>
      </c>
      <c r="C17182" s="3" t="str">
        <f>HYPERLINK("https://otsuka-europe-crm.veevavault.com/ui/#object/sent_email__v/VBL00000001D267", "SE-001404572")</f>
        <v>SE-001404572</v>
      </c>
      <c r="D17182" s="1">
        <v>46071.615567129629</v>
      </c>
      <c r="E17182" s="2">
        <v>1</v>
      </c>
      <c r="F17182" s="2">
        <v>2</v>
      </c>
      <c r="G17182" s="2">
        <v>0</v>
      </c>
      <c r="H17182" s="1" t="s">
        <v>0</v>
      </c>
      <c r="I17182" s="2">
        <v>0</v>
      </c>
      <c r="J17182" s="1">
        <v>46071.611261574071</v>
      </c>
    </row>
    <row r="17183" spans="1:10" x14ac:dyDescent="0.2">
      <c r="A17183" s="4" t="s">
        <v>1</v>
      </c>
      <c r="B17183" s="3" t="str">
        <f>HYPERLINK("https://otsuka-europe-crm.veevavault.com/ui/#object/approved_document__v/V5O00000000Q003", "LUP-Material riñones CLM")</f>
        <v>LUP-Material riñones CLM</v>
      </c>
      <c r="C17183" s="3" t="str">
        <f>HYPERLINK("https://otsuka-europe-crm.veevavault.com/ui/#object/sent_email__v/VBL00000001D268", "SE-001404573")</f>
        <v>SE-001404573</v>
      </c>
      <c r="D17183" s="1">
        <v>46071.675138888888</v>
      </c>
      <c r="E17183" s="2">
        <v>1</v>
      </c>
      <c r="F17183" s="2">
        <v>3</v>
      </c>
      <c r="G17183" s="2">
        <v>0</v>
      </c>
      <c r="H17183" s="1" t="s">
        <v>0</v>
      </c>
      <c r="I17183" s="2">
        <v>0</v>
      </c>
      <c r="J17183" s="1">
        <v>46071.611458333333</v>
      </c>
    </row>
    <row r="17184" spans="1:10" x14ac:dyDescent="0.2">
      <c r="A17184" s="4" t="s">
        <v>1</v>
      </c>
      <c r="B17184" s="3" t="str">
        <f>HYPERLINK("https://otsuka-europe-crm.veevavault.com/ui/#object/approved_document__v/V5O00000000Q003", "LUP-Material riñones CLM")</f>
        <v>LUP-Material riñones CLM</v>
      </c>
      <c r="C17184" s="3" t="str">
        <f>HYPERLINK("https://otsuka-europe-crm.veevavault.com/ui/#object/sent_email__v/VBL00000001D269", "SE-001404574")</f>
        <v>SE-001404574</v>
      </c>
      <c r="D17184" s="1" t="s">
        <v>0</v>
      </c>
      <c r="E17184" s="2">
        <v>0</v>
      </c>
      <c r="F17184" s="2">
        <v>0</v>
      </c>
      <c r="G17184" s="2">
        <v>0</v>
      </c>
      <c r="H17184" s="1" t="s">
        <v>0</v>
      </c>
      <c r="I17184" s="2">
        <v>0</v>
      </c>
      <c r="J17184" s="1">
        <v>46071.611655092594</v>
      </c>
    </row>
    <row r="17185" spans="1:10" x14ac:dyDescent="0.2">
      <c r="A17185" s="4" t="s">
        <v>1</v>
      </c>
      <c r="B17185" s="3" t="str">
        <f>HYPERLINK("https://otsuka-europe-crm.veevavault.com/ui/#object/approved_document__v/V5O00000000Q003", "LUP-Material riñones CLM")</f>
        <v>LUP-Material riñones CLM</v>
      </c>
      <c r="C17185" s="3" t="str">
        <f>HYPERLINK("https://otsuka-europe-crm.veevavault.com/ui/#object/sent_email__v/VBL00000001D270", "SE-001404575")</f>
        <v>SE-001404575</v>
      </c>
      <c r="D17185" s="1">
        <v>46075.808078703703</v>
      </c>
      <c r="E17185" s="2">
        <v>1</v>
      </c>
      <c r="F17185" s="2">
        <v>3</v>
      </c>
      <c r="G17185" s="2">
        <v>0</v>
      </c>
      <c r="H17185" s="1" t="s">
        <v>0</v>
      </c>
      <c r="I17185" s="2">
        <v>0</v>
      </c>
      <c r="J17185" s="1">
        <v>46071.611932870372</v>
      </c>
    </row>
    <row r="17186" spans="1:10" x14ac:dyDescent="0.2">
      <c r="A17186" s="4" t="s">
        <v>1</v>
      </c>
      <c r="B17186" s="3" t="str">
        <f>HYPERLINK("https://otsuka-europe-crm.veevavault.com/ui/#object/approved_document__v/V5O00000000Q003", "LUP-Material riñones CLM")</f>
        <v>LUP-Material riñones CLM</v>
      </c>
      <c r="C17186" s="3" t="str">
        <f>HYPERLINK("https://otsuka-europe-crm.veevavault.com/ui/#object/sent_email__v/VBL00000001D271", "SE-001404576")</f>
        <v>SE-001404576</v>
      </c>
      <c r="D17186" s="1">
        <v>46071.628668981481</v>
      </c>
      <c r="E17186" s="2">
        <v>1</v>
      </c>
      <c r="F17186" s="2">
        <v>2</v>
      </c>
      <c r="G17186" s="2">
        <v>1</v>
      </c>
      <c r="H17186" s="1">
        <v>46072.405798611115</v>
      </c>
      <c r="I17186" s="2">
        <v>1</v>
      </c>
      <c r="J17186" s="1">
        <v>46071.612164351849</v>
      </c>
    </row>
    <row r="17187" spans="1:10" x14ac:dyDescent="0.2">
      <c r="A17187" s="4" t="s">
        <v>1</v>
      </c>
      <c r="B17187" s="3" t="str">
        <f>HYPERLINK("https://otsuka-europe-crm.veevavault.com/ui/#object/approved_document__v/V5O00000000Q003", "LUP-Material riñones CLM")</f>
        <v>LUP-Material riñones CLM</v>
      </c>
      <c r="C17187" s="3" t="str">
        <f>HYPERLINK("https://otsuka-europe-crm.veevavault.com/ui/#object/sent_email__v/VBL00000001D272", "SE-001404577")</f>
        <v>SE-001404577</v>
      </c>
      <c r="D17187" s="1">
        <v>46071.612696759257</v>
      </c>
      <c r="E17187" s="2">
        <v>1</v>
      </c>
      <c r="F17187" s="2">
        <v>4</v>
      </c>
      <c r="G17187" s="2">
        <v>1</v>
      </c>
      <c r="H17187" s="1">
        <v>46072.570636574077</v>
      </c>
      <c r="I17187" s="2">
        <v>11</v>
      </c>
      <c r="J17187" s="1">
        <v>46071.61241898148</v>
      </c>
    </row>
    <row r="17188" spans="1:10" x14ac:dyDescent="0.2">
      <c r="A17188" s="4" t="s">
        <v>1</v>
      </c>
      <c r="B17188" s="3" t="str">
        <f>HYPERLINK("https://otsuka-europe-crm.veevavault.com/ui/#object/approved_document__v/V5O00000000Q003", "LUP-Material riñones CLM")</f>
        <v>LUP-Material riñones CLM</v>
      </c>
      <c r="C17188" s="3" t="str">
        <f>HYPERLINK("https://otsuka-europe-crm.veevavault.com/ui/#object/sent_email__v/VBL00000001D273", "SE-001404578")</f>
        <v>SE-001404578</v>
      </c>
      <c r="D17188" s="1">
        <v>46078.786712962959</v>
      </c>
      <c r="E17188" s="2">
        <v>1</v>
      </c>
      <c r="F17188" s="2">
        <v>8</v>
      </c>
      <c r="G17188" s="2">
        <v>0</v>
      </c>
      <c r="H17188" s="1" t="s">
        <v>0</v>
      </c>
      <c r="I17188" s="2">
        <v>0</v>
      </c>
      <c r="J17188" s="1">
        <v>46071.612662037034</v>
      </c>
    </row>
    <row r="17189" spans="1:10" x14ac:dyDescent="0.2">
      <c r="A17189" s="4" t="s">
        <v>1</v>
      </c>
      <c r="B17189" s="3" t="str">
        <f>HYPERLINK("https://otsuka-europe-crm.veevavault.com/ui/#object/approved_document__v/V5O00000000Q003", "LUP-Material riñones CLM")</f>
        <v>LUP-Material riñones CLM</v>
      </c>
      <c r="C17189" s="3" t="str">
        <f>HYPERLINK("https://otsuka-europe-crm.veevavault.com/ui/#object/sent_email__v/VBL00000001D274", "SE-001404579")</f>
        <v>SE-001404579</v>
      </c>
      <c r="D17189" s="1" t="s">
        <v>0</v>
      </c>
      <c r="E17189" s="2">
        <v>0</v>
      </c>
      <c r="F17189" s="2">
        <v>0</v>
      </c>
      <c r="G17189" s="2">
        <v>0</v>
      </c>
      <c r="H17189" s="1" t="s">
        <v>0</v>
      </c>
      <c r="I17189" s="2">
        <v>0</v>
      </c>
      <c r="J17189" s="1">
        <v>46071.612928240742</v>
      </c>
    </row>
    <row r="17190" spans="1:10" x14ac:dyDescent="0.2">
      <c r="A17190" s="4" t="s">
        <v>1</v>
      </c>
      <c r="B17190" s="3" t="str">
        <f>HYPERLINK("https://otsuka-europe-crm.veevavault.com/ui/#object/approved_document__v/V5O00000000Q003", "LUP-Material riñones CLM")</f>
        <v>LUP-Material riñones CLM</v>
      </c>
      <c r="C17190" s="3" t="str">
        <f>HYPERLINK("https://otsuka-europe-crm.veevavault.com/ui/#object/sent_email__v/VBL00000001D275", "SE-001404580")</f>
        <v>SE-001404580</v>
      </c>
      <c r="D17190" s="1">
        <v>46071.653182870374</v>
      </c>
      <c r="E17190" s="2">
        <v>1</v>
      </c>
      <c r="F17190" s="2">
        <v>3</v>
      </c>
      <c r="G17190" s="2">
        <v>0</v>
      </c>
      <c r="H17190" s="1" t="s">
        <v>0</v>
      </c>
      <c r="I17190" s="2">
        <v>0</v>
      </c>
      <c r="J17190" s="1">
        <v>46071.613182870373</v>
      </c>
    </row>
    <row r="17191" spans="1:10" x14ac:dyDescent="0.2">
      <c r="A17191" s="4" t="s">
        <v>1</v>
      </c>
      <c r="B17191" s="3" t="str">
        <f>HYPERLINK("https://otsuka-europe-crm.veevavault.com/ui/#object/approved_document__v/V5O00000000Q003", "LUP-Material riñones CLM")</f>
        <v>LUP-Material riñones CLM</v>
      </c>
      <c r="C17191" s="3" t="str">
        <f>HYPERLINK("https://otsuka-europe-crm.veevavault.com/ui/#object/sent_email__v/VBL00000001D276", "SE-001404581")</f>
        <v>SE-001404581</v>
      </c>
      <c r="D17191" s="1" t="s">
        <v>0</v>
      </c>
      <c r="E17191" s="2">
        <v>0</v>
      </c>
      <c r="F17191" s="2">
        <v>0</v>
      </c>
      <c r="G17191" s="2">
        <v>0</v>
      </c>
      <c r="H17191" s="1" t="s">
        <v>0</v>
      </c>
      <c r="I17191" s="2">
        <v>0</v>
      </c>
      <c r="J17191" s="1">
        <v>46071.613437499997</v>
      </c>
    </row>
    <row r="17192" spans="1:10" x14ac:dyDescent="0.2">
      <c r="A17192" s="4" t="s">
        <v>1</v>
      </c>
      <c r="B17192" s="3" t="str">
        <f>HYPERLINK("https://otsuka-europe-crm.veevavault.com/ui/#object/approved_document__v/V5O00000000Q003", "LUP-Material riñones CLM")</f>
        <v>LUP-Material riñones CLM</v>
      </c>
      <c r="C17192" s="3" t="str">
        <f>HYPERLINK("https://otsuka-europe-crm.veevavault.com/ui/#object/sent_email__v/VBL00000001D277", "SE-001404582")</f>
        <v>SE-001404582</v>
      </c>
      <c r="D17192" s="1">
        <v>46071.613842592589</v>
      </c>
      <c r="E17192" s="2">
        <v>1</v>
      </c>
      <c r="F17192" s="2">
        <v>3</v>
      </c>
      <c r="G17192" s="2">
        <v>1</v>
      </c>
      <c r="H17192" s="1">
        <v>46071.614606481482</v>
      </c>
      <c r="I17192" s="2">
        <v>9</v>
      </c>
      <c r="J17192" s="1">
        <v>46071.613715277781</v>
      </c>
    </row>
    <row r="17193" spans="1:10" x14ac:dyDescent="0.2">
      <c r="A17193" s="4" t="s">
        <v>1</v>
      </c>
      <c r="B17193" s="3" t="str">
        <f>HYPERLINK("https://otsuka-europe-crm.veevavault.com/ui/#object/approved_document__v/V5O00000000Q003", "LUP-Material riñones CLM")</f>
        <v>LUP-Material riñones CLM</v>
      </c>
      <c r="C17193" s="3" t="str">
        <f>HYPERLINK("https://otsuka-europe-crm.veevavault.com/ui/#object/sent_email__v/VBL00000001D278", "SE-001404583")</f>
        <v>SE-001404583</v>
      </c>
      <c r="D17193" s="1">
        <v>46071.743217592593</v>
      </c>
      <c r="E17193" s="2">
        <v>1</v>
      </c>
      <c r="F17193" s="2">
        <v>2</v>
      </c>
      <c r="G17193" s="2">
        <v>0</v>
      </c>
      <c r="H17193" s="1" t="s">
        <v>0</v>
      </c>
      <c r="I17193" s="2">
        <v>0</v>
      </c>
      <c r="J17193" s="1">
        <v>46071.613958333335</v>
      </c>
    </row>
    <row r="17194" spans="1:10" x14ac:dyDescent="0.2">
      <c r="A17194" s="4" t="s">
        <v>1</v>
      </c>
      <c r="B17194" s="3" t="str">
        <f>HYPERLINK("https://otsuka-europe-crm.veevavault.com/ui/#object/approved_document__v/V5O00000000Q003", "LUP-Material riñones CLM")</f>
        <v>LUP-Material riñones CLM</v>
      </c>
      <c r="C17194" s="3" t="str">
        <f>HYPERLINK("https://otsuka-europe-crm.veevavault.com/ui/#object/sent_email__v/VBL00000001D279", "SE-001404584")</f>
        <v>SE-001404584</v>
      </c>
      <c r="D17194" s="1">
        <v>46071.98159722222</v>
      </c>
      <c r="E17194" s="2">
        <v>1</v>
      </c>
      <c r="F17194" s="2">
        <v>1</v>
      </c>
      <c r="G17194" s="2">
        <v>0</v>
      </c>
      <c r="H17194" s="1" t="s">
        <v>0</v>
      </c>
      <c r="I17194" s="2">
        <v>0</v>
      </c>
      <c r="J17194" s="1">
        <v>46071.614236111112</v>
      </c>
    </row>
    <row r="17195" spans="1:10" x14ac:dyDescent="0.2">
      <c r="A17195" s="4" t="s">
        <v>1</v>
      </c>
      <c r="B17195" s="3" t="str">
        <f>HYPERLINK("https://otsuka-europe-crm.veevavault.com/ui/#object/approved_document__v/V5O00000000Q003", "LUP-Material riñones CLM")</f>
        <v>LUP-Material riñones CLM</v>
      </c>
      <c r="C17195" s="3" t="str">
        <f>HYPERLINK("https://otsuka-europe-crm.veevavault.com/ui/#object/sent_email__v/VBL00000001D280", "SE-001404585")</f>
        <v>SE-001404585</v>
      </c>
      <c r="D17195" s="1">
        <v>46071.983402777776</v>
      </c>
      <c r="E17195" s="2">
        <v>1</v>
      </c>
      <c r="F17195" s="2">
        <v>1</v>
      </c>
      <c r="G17195" s="2">
        <v>0</v>
      </c>
      <c r="H17195" s="1" t="s">
        <v>0</v>
      </c>
      <c r="I17195" s="2">
        <v>0</v>
      </c>
      <c r="J17195" s="1">
        <v>46071.614490740743</v>
      </c>
    </row>
    <row r="17196" spans="1:10" x14ac:dyDescent="0.2">
      <c r="A17196" s="4" t="s">
        <v>1</v>
      </c>
      <c r="B17196" s="3" t="str">
        <f>HYPERLINK("https://otsuka-europe-crm.veevavault.com/ui/#object/approved_document__v/V5O00000000Q003", "LUP-Material riñones CLM")</f>
        <v>LUP-Material riñones CLM</v>
      </c>
      <c r="C17196" s="3" t="str">
        <f>HYPERLINK("https://otsuka-europe-crm.veevavault.com/ui/#object/sent_email__v/VBL00000001D281", "SE-001404586")</f>
        <v>SE-001404586</v>
      </c>
      <c r="D17196" s="1" t="s">
        <v>0</v>
      </c>
      <c r="E17196" s="2">
        <v>0</v>
      </c>
      <c r="F17196" s="2">
        <v>0</v>
      </c>
      <c r="G17196" s="2">
        <v>0</v>
      </c>
      <c r="H17196" s="1" t="s">
        <v>0</v>
      </c>
      <c r="I17196" s="2">
        <v>0</v>
      </c>
      <c r="J17196" s="1">
        <v>46071.614687499998</v>
      </c>
    </row>
    <row r="17197" spans="1:10" x14ac:dyDescent="0.2">
      <c r="A17197" s="4" t="s">
        <v>1</v>
      </c>
      <c r="B17197" s="3" t="str">
        <f>HYPERLINK("https://otsuka-europe-crm.veevavault.com/ui/#object/approved_document__v/V5O00000000Q003", "LUP-Material riñones CLM")</f>
        <v>LUP-Material riñones CLM</v>
      </c>
      <c r="C17197" s="3" t="str">
        <f>HYPERLINK("https://otsuka-europe-crm.veevavault.com/ui/#object/sent_email__v/VBL00000001D282", "SE-001404587")</f>
        <v>SE-001404587</v>
      </c>
      <c r="D17197" s="1">
        <v>46071.615497685183</v>
      </c>
      <c r="E17197" s="2">
        <v>1</v>
      </c>
      <c r="F17197" s="2">
        <v>3</v>
      </c>
      <c r="G17197" s="2">
        <v>1</v>
      </c>
      <c r="H17197" s="1">
        <v>46071.614953703705</v>
      </c>
      <c r="I17197" s="2">
        <v>3</v>
      </c>
      <c r="J17197" s="1">
        <v>46071.614884259259</v>
      </c>
    </row>
    <row r="17198" spans="1:10" x14ac:dyDescent="0.2">
      <c r="A17198" s="4" t="s">
        <v>1</v>
      </c>
      <c r="B17198" s="3" t="str">
        <f>HYPERLINK("https://otsuka-europe-crm.veevavault.com/ui/#object/approved_document__v/V5O00000000Q003", "LUP-Material riñones CLM")</f>
        <v>LUP-Material riñones CLM</v>
      </c>
      <c r="C17198" s="3" t="str">
        <f>HYPERLINK("https://otsuka-europe-crm.veevavault.com/ui/#object/sent_email__v/VBL00000001D283", "SE-001404588")</f>
        <v>SE-001404588</v>
      </c>
      <c r="D17198" s="1" t="s">
        <v>0</v>
      </c>
      <c r="E17198" s="2">
        <v>0</v>
      </c>
      <c r="F17198" s="2">
        <v>0</v>
      </c>
      <c r="G17198" s="2">
        <v>0</v>
      </c>
      <c r="H17198" s="1" t="s">
        <v>0</v>
      </c>
      <c r="I17198" s="2">
        <v>0</v>
      </c>
      <c r="J17198" s="1">
        <v>46071.615057870367</v>
      </c>
    </row>
    <row r="17199" spans="1:10" x14ac:dyDescent="0.2">
      <c r="A17199" s="4" t="s">
        <v>1</v>
      </c>
      <c r="B17199" s="3" t="str">
        <f>HYPERLINK("https://otsuka-europe-crm.veevavault.com/ui/#object/approved_document__v/V5O00000000Q003", "LUP-Material riñones CLM")</f>
        <v>LUP-Material riñones CLM</v>
      </c>
      <c r="C17199" s="3" t="str">
        <f>HYPERLINK("https://otsuka-europe-crm.veevavault.com/ui/#object/sent_email__v/VBL00000001D284", "SE-001404589")</f>
        <v>SE-001404589</v>
      </c>
      <c r="D17199" s="1" t="s">
        <v>0</v>
      </c>
      <c r="E17199" s="2">
        <v>0</v>
      </c>
      <c r="F17199" s="2">
        <v>0</v>
      </c>
      <c r="G17199" s="2">
        <v>0</v>
      </c>
      <c r="H17199" s="1" t="s">
        <v>0</v>
      </c>
      <c r="I17199" s="2">
        <v>0</v>
      </c>
      <c r="J17199" s="1">
        <v>46071.615289351852</v>
      </c>
    </row>
    <row r="17200" spans="1:10" x14ac:dyDescent="0.2">
      <c r="A17200" s="4" t="s">
        <v>1</v>
      </c>
      <c r="B17200" s="3" t="str">
        <f>HYPERLINK("https://otsuka-europe-crm.veevavault.com/ui/#object/approved_document__v/V5O00000000Q003", "LUP-Material riñones CLM")</f>
        <v>LUP-Material riñones CLM</v>
      </c>
      <c r="C17200" s="3" t="str">
        <f>HYPERLINK("https://otsuka-europe-crm.veevavault.com/ui/#object/sent_email__v/VBL00000001D285", "SE-001404590")</f>
        <v>SE-001404590</v>
      </c>
      <c r="D17200" s="1">
        <v>46071.725844907407</v>
      </c>
      <c r="E17200" s="2">
        <v>1</v>
      </c>
      <c r="F17200" s="2">
        <v>1</v>
      </c>
      <c r="G17200" s="2">
        <v>0</v>
      </c>
      <c r="H17200" s="1" t="s">
        <v>0</v>
      </c>
      <c r="I17200" s="2">
        <v>0</v>
      </c>
      <c r="J17200" s="1">
        <v>46071.615543981483</v>
      </c>
    </row>
    <row r="17201" spans="1:10" x14ac:dyDescent="0.2">
      <c r="A17201" s="4" t="s">
        <v>1</v>
      </c>
      <c r="B17201" s="3" t="str">
        <f>HYPERLINK("https://otsuka-europe-crm.veevavault.com/ui/#object/approved_document__v/V5O00000000Q003", "LUP-Material riñones CLM")</f>
        <v>LUP-Material riñones CLM</v>
      </c>
      <c r="C17201" s="3" t="str">
        <f>HYPERLINK("https://otsuka-europe-crm.veevavault.com/ui/#object/sent_email__v/VBL00000001D286", "SE-001404591")</f>
        <v>SE-001404591</v>
      </c>
      <c r="D17201" s="1">
        <v>46071.623182870368</v>
      </c>
      <c r="E17201" s="2">
        <v>1</v>
      </c>
      <c r="F17201" s="2">
        <v>1</v>
      </c>
      <c r="G17201" s="2">
        <v>0</v>
      </c>
      <c r="H17201" s="1" t="s">
        <v>0</v>
      </c>
      <c r="I17201" s="2">
        <v>0</v>
      </c>
      <c r="J17201" s="1">
        <v>46071.615798611114</v>
      </c>
    </row>
    <row r="17202" spans="1:10" x14ac:dyDescent="0.2">
      <c r="A17202" s="4" t="s">
        <v>1</v>
      </c>
      <c r="B17202" s="3" t="str">
        <f>HYPERLINK("https://otsuka-europe-crm.veevavault.com/ui/#object/approved_document__v/V5O00000000Q003", "LUP-Material riñones CLM")</f>
        <v>LUP-Material riñones CLM</v>
      </c>
      <c r="C17202" s="3" t="str">
        <f>HYPERLINK("https://otsuka-europe-crm.veevavault.com/ui/#object/sent_email__v/VBL00000001D287", "SE-001404592")</f>
        <v>SE-001404592</v>
      </c>
      <c r="D17202" s="1">
        <v>46072.421296296299</v>
      </c>
      <c r="E17202" s="2">
        <v>1</v>
      </c>
      <c r="F17202" s="2">
        <v>3</v>
      </c>
      <c r="G17202" s="2">
        <v>0</v>
      </c>
      <c r="H17202" s="1" t="s">
        <v>0</v>
      </c>
      <c r="I17202" s="2">
        <v>0</v>
      </c>
      <c r="J17202" s="1">
        <v>46071.616064814814</v>
      </c>
    </row>
    <row r="17203" spans="1:10" x14ac:dyDescent="0.2">
      <c r="A17203" s="4" t="s">
        <v>1</v>
      </c>
      <c r="B17203" s="3" t="str">
        <f>HYPERLINK("https://otsuka-europe-crm.veevavault.com/ui/#object/approved_document__v/V5O00000000Q003", "LUP-Material riñones CLM")</f>
        <v>LUP-Material riñones CLM</v>
      </c>
      <c r="C17203" s="3" t="str">
        <f>HYPERLINK("https://otsuka-europe-crm.veevavault.com/ui/#object/sent_email__v/VBL00000001D288", "SE-001404593")</f>
        <v>SE-001404593</v>
      </c>
      <c r="D17203" s="1">
        <v>46075.35015046296</v>
      </c>
      <c r="E17203" s="2">
        <v>1</v>
      </c>
      <c r="F17203" s="2">
        <v>2</v>
      </c>
      <c r="G17203" s="2">
        <v>0</v>
      </c>
      <c r="H17203" s="1" t="s">
        <v>0</v>
      </c>
      <c r="I17203" s="2">
        <v>0</v>
      </c>
      <c r="J17203" s="1">
        <v>46071.616331018522</v>
      </c>
    </row>
    <row r="17204" spans="1:10" x14ac:dyDescent="0.2">
      <c r="A17204" s="4" t="s">
        <v>1</v>
      </c>
      <c r="B17204" s="3" t="str">
        <f>HYPERLINK("https://otsuka-europe-crm.veevavault.com/ui/#object/approved_document__v/V5O00000000Q003", "LUP-Material riñones CLM")</f>
        <v>LUP-Material riñones CLM</v>
      </c>
      <c r="C17204" s="3" t="str">
        <f>HYPERLINK("https://otsuka-europe-crm.veevavault.com/ui/#object/sent_email__v/VBL00000001D289", "SE-001404594")</f>
        <v>SE-001404594</v>
      </c>
      <c r="D17204" s="1" t="s">
        <v>0</v>
      </c>
      <c r="E17204" s="2">
        <v>0</v>
      </c>
      <c r="F17204" s="2">
        <v>0</v>
      </c>
      <c r="G17204" s="2">
        <v>0</v>
      </c>
      <c r="H17204" s="1" t="s">
        <v>0</v>
      </c>
      <c r="I17204" s="2">
        <v>0</v>
      </c>
      <c r="J17204" s="1">
        <v>46071.616597222222</v>
      </c>
    </row>
    <row r="17205" spans="1:10" x14ac:dyDescent="0.2">
      <c r="A17205" s="4" t="s">
        <v>1</v>
      </c>
      <c r="B17205" s="3" t="str">
        <f>HYPERLINK("https://otsuka-europe-crm.veevavault.com/ui/#object/approved_document__v/V5O00000000Q003", "LUP-Material riñones CLM")</f>
        <v>LUP-Material riñones CLM</v>
      </c>
      <c r="C17205" s="3" t="str">
        <f>HYPERLINK("https://otsuka-europe-crm.veevavault.com/ui/#object/sent_email__v/VBL00000001D290", "SE-001404595")</f>
        <v>SE-001404595</v>
      </c>
      <c r="D17205" s="1" t="s">
        <v>0</v>
      </c>
      <c r="E17205" s="2">
        <v>0</v>
      </c>
      <c r="F17205" s="2">
        <v>0</v>
      </c>
      <c r="G17205" s="2">
        <v>0</v>
      </c>
      <c r="H17205" s="1" t="s">
        <v>0</v>
      </c>
      <c r="I17205" s="2">
        <v>0</v>
      </c>
      <c r="J17205" s="1">
        <v>46071.616840277777</v>
      </c>
    </row>
    <row r="17206" spans="1:10" x14ac:dyDescent="0.2">
      <c r="A17206" s="4" t="s">
        <v>1</v>
      </c>
      <c r="B17206" s="3" t="str">
        <f>HYPERLINK("https://otsuka-europe-crm.veevavault.com/ui/#object/approved_document__v/V5O00000000Q003", "LUP-Material riñones CLM")</f>
        <v>LUP-Material riñones CLM</v>
      </c>
      <c r="C17206" s="3" t="str">
        <f>HYPERLINK("https://otsuka-europe-crm.veevavault.com/ui/#object/sent_email__v/VBL00000001D291", "SE-001404596")</f>
        <v>SE-001404596</v>
      </c>
      <c r="D17206" s="1" t="s">
        <v>0</v>
      </c>
      <c r="E17206" s="2">
        <v>0</v>
      </c>
      <c r="F17206" s="2">
        <v>0</v>
      </c>
      <c r="G17206" s="2">
        <v>0</v>
      </c>
      <c r="H17206" s="1" t="s">
        <v>0</v>
      </c>
      <c r="I17206" s="2">
        <v>0</v>
      </c>
      <c r="J17206" s="1">
        <v>46071.617083333331</v>
      </c>
    </row>
    <row r="17207" spans="1:10" x14ac:dyDescent="0.2">
      <c r="A17207" s="4" t="s">
        <v>1</v>
      </c>
      <c r="B17207" s="3" t="str">
        <f>HYPERLINK("https://otsuka-europe-crm.veevavault.com/ui/#object/approved_document__v/V5O00000000Q003", "LUP-Material riñones CLM")</f>
        <v>LUP-Material riñones CLM</v>
      </c>
      <c r="C17207" s="3" t="str">
        <f>HYPERLINK("https://otsuka-europe-crm.veevavault.com/ui/#object/sent_email__v/VBL00000001D292", "SE-001404597")</f>
        <v>SE-001404597</v>
      </c>
      <c r="D17207" s="1">
        <v>46072.281215277777</v>
      </c>
      <c r="E17207" s="2">
        <v>1</v>
      </c>
      <c r="F17207" s="2">
        <v>3</v>
      </c>
      <c r="G17207" s="2">
        <v>1</v>
      </c>
      <c r="H17207" s="1">
        <v>46072.281458333331</v>
      </c>
      <c r="I17207" s="2">
        <v>3</v>
      </c>
      <c r="J17207" s="1">
        <v>46071.617349537039</v>
      </c>
    </row>
    <row r="17208" spans="1:10" x14ac:dyDescent="0.2">
      <c r="A17208" s="4" t="s">
        <v>1</v>
      </c>
      <c r="B17208" s="3" t="str">
        <f>HYPERLINK("https://otsuka-europe-crm.veevavault.com/ui/#object/approved_document__v/V5O00000000Q003", "LUP-Material riñones CLM")</f>
        <v>LUP-Material riñones CLM</v>
      </c>
      <c r="C17208" s="3" t="str">
        <f>HYPERLINK("https://otsuka-europe-crm.veevavault.com/ui/#object/sent_email__v/VBL00000001D293", "SE-001404598")</f>
        <v>SE-001404598</v>
      </c>
      <c r="D17208" s="1" t="s">
        <v>0</v>
      </c>
      <c r="E17208" s="2">
        <v>0</v>
      </c>
      <c r="F17208" s="2">
        <v>0</v>
      </c>
      <c r="G17208" s="2">
        <v>0</v>
      </c>
      <c r="H17208" s="1" t="s">
        <v>0</v>
      </c>
      <c r="I17208" s="2">
        <v>0</v>
      </c>
      <c r="J17208" s="1">
        <v>46071.617604166669</v>
      </c>
    </row>
    <row r="17209" spans="1:10" x14ac:dyDescent="0.2">
      <c r="A17209" s="4" t="s">
        <v>1</v>
      </c>
      <c r="B17209" s="3" t="str">
        <f>HYPERLINK("https://otsuka-europe-crm.veevavault.com/ui/#object/approved_document__v/V5O00000000Q003", "LUP-Material riñones CLM")</f>
        <v>LUP-Material riñones CLM</v>
      </c>
      <c r="C17209" s="3" t="str">
        <f>HYPERLINK("https://otsuka-europe-crm.veevavault.com/ui/#object/sent_email__v/VBL00000001D294", "SE-001404599")</f>
        <v>SE-001404599</v>
      </c>
      <c r="D17209" s="1">
        <v>46071.618750000001</v>
      </c>
      <c r="E17209" s="2">
        <v>1</v>
      </c>
      <c r="F17209" s="2">
        <v>3</v>
      </c>
      <c r="G17209" s="2">
        <v>1</v>
      </c>
      <c r="H17209" s="1">
        <v>46071.617997685185</v>
      </c>
      <c r="I17209" s="2">
        <v>3</v>
      </c>
      <c r="J17209" s="1">
        <v>46071.617858796293</v>
      </c>
    </row>
    <row r="17210" spans="1:10" x14ac:dyDescent="0.2">
      <c r="A17210" s="4" t="s">
        <v>1</v>
      </c>
      <c r="B17210" s="3" t="str">
        <f>HYPERLINK("https://otsuka-europe-crm.veevavault.com/ui/#object/approved_document__v/V5O00000000Q003", "LUP-Material riñones CLM")</f>
        <v>LUP-Material riñones CLM</v>
      </c>
      <c r="C17210" s="3" t="str">
        <f>HYPERLINK("https://otsuka-europe-crm.veevavault.com/ui/#object/sent_email__v/VBL00000001D295", "SE-001404600")</f>
        <v>SE-001404600</v>
      </c>
      <c r="D17210" s="1" t="s">
        <v>0</v>
      </c>
      <c r="E17210" s="2">
        <v>0</v>
      </c>
      <c r="F17210" s="2">
        <v>0</v>
      </c>
      <c r="G17210" s="2">
        <v>0</v>
      </c>
      <c r="H17210" s="1" t="s">
        <v>0</v>
      </c>
      <c r="I17210" s="2">
        <v>0</v>
      </c>
      <c r="J17210" s="1">
        <v>46071.618078703701</v>
      </c>
    </row>
    <row r="17211" spans="1:10" x14ac:dyDescent="0.2">
      <c r="A17211" s="4" t="s">
        <v>1</v>
      </c>
      <c r="B17211" s="3" t="str">
        <f>HYPERLINK("https://otsuka-europe-crm.veevavault.com/ui/#object/approved_document__v/V5O00000000Q003", "LUP-Material riñones CLM")</f>
        <v>LUP-Material riñones CLM</v>
      </c>
      <c r="C17211" s="3" t="str">
        <f>HYPERLINK("https://otsuka-europe-crm.veevavault.com/ui/#object/sent_email__v/VBL00000001D296", "SE-001404601")</f>
        <v>SE-001404601</v>
      </c>
      <c r="D17211" s="1" t="s">
        <v>0</v>
      </c>
      <c r="E17211" s="2">
        <v>0</v>
      </c>
      <c r="F17211" s="2">
        <v>0</v>
      </c>
      <c r="G17211" s="2">
        <v>0</v>
      </c>
      <c r="H17211" s="1" t="s">
        <v>0</v>
      </c>
      <c r="I17211" s="2">
        <v>0</v>
      </c>
      <c r="J17211" s="1">
        <v>46071.618252314816</v>
      </c>
    </row>
    <row r="17212" spans="1:10" x14ac:dyDescent="0.2">
      <c r="A17212" s="4" t="s">
        <v>1</v>
      </c>
      <c r="B17212" s="3" t="str">
        <f>HYPERLINK("https://otsuka-europe-crm.veevavault.com/ui/#object/approved_document__v/V5O00000000Q003", "LUP-Material riñones CLM")</f>
        <v>LUP-Material riñones CLM</v>
      </c>
      <c r="C17212" s="3" t="str">
        <f>HYPERLINK("https://otsuka-europe-crm.veevavault.com/ui/#object/sent_email__v/VBL00000001D297", "SE-001404602")</f>
        <v>SE-001404602</v>
      </c>
      <c r="D17212" s="1" t="s">
        <v>0</v>
      </c>
      <c r="E17212" s="2">
        <v>0</v>
      </c>
      <c r="F17212" s="2">
        <v>0</v>
      </c>
      <c r="G17212" s="2">
        <v>0</v>
      </c>
      <c r="H17212" s="1" t="s">
        <v>0</v>
      </c>
      <c r="I17212" s="2">
        <v>0</v>
      </c>
      <c r="J17212" s="1">
        <v>46071.618414351855</v>
      </c>
    </row>
    <row r="17213" spans="1:10" x14ac:dyDescent="0.2">
      <c r="A17213" s="4" t="s">
        <v>1</v>
      </c>
      <c r="B17213" s="3" t="str">
        <f>HYPERLINK("https://otsuka-europe-crm.veevavault.com/ui/#object/approved_document__v/V5O00000000Q003", "LUP-Material riñones CLM")</f>
        <v>LUP-Material riñones CLM</v>
      </c>
      <c r="C17213" s="3" t="str">
        <f>HYPERLINK("https://otsuka-europe-crm.veevavault.com/ui/#object/sent_email__v/VBL00000001D298", "SE-001404603")</f>
        <v>SE-001404603</v>
      </c>
      <c r="D17213" s="1">
        <v>46071.84542824074</v>
      </c>
      <c r="E17213" s="2">
        <v>1</v>
      </c>
      <c r="F17213" s="2">
        <v>1</v>
      </c>
      <c r="G17213" s="2">
        <v>0</v>
      </c>
      <c r="H17213" s="1" t="s">
        <v>0</v>
      </c>
      <c r="I17213" s="2">
        <v>0</v>
      </c>
      <c r="J17213" s="1">
        <v>46071.61859953704</v>
      </c>
    </row>
    <row r="17214" spans="1:10" x14ac:dyDescent="0.2">
      <c r="A17214" s="4" t="s">
        <v>1</v>
      </c>
      <c r="B17214" s="3" t="str">
        <f>HYPERLINK("https://otsuka-europe-crm.veevavault.com/ui/#object/approved_document__v/V5O00000000Q003", "LUP-Material riñones CLM")</f>
        <v>LUP-Material riñones CLM</v>
      </c>
      <c r="C17214" s="3" t="str">
        <f>HYPERLINK("https://otsuka-europe-crm.veevavault.com/ui/#object/sent_email__v/VBL00000001D299", "SE-001404604")</f>
        <v>SE-001404604</v>
      </c>
      <c r="D17214" s="1" t="s">
        <v>0</v>
      </c>
      <c r="E17214" s="2">
        <v>0</v>
      </c>
      <c r="F17214" s="2">
        <v>0</v>
      </c>
      <c r="G17214" s="2">
        <v>0</v>
      </c>
      <c r="H17214" s="1" t="s">
        <v>0</v>
      </c>
      <c r="I17214" s="2">
        <v>0</v>
      </c>
      <c r="J17214" s="1">
        <v>46071.618819444448</v>
      </c>
    </row>
    <row r="17215" spans="1:10" x14ac:dyDescent="0.2">
      <c r="A17215" s="4" t="s">
        <v>1</v>
      </c>
      <c r="B17215" s="3" t="str">
        <f>HYPERLINK("https://otsuka-europe-crm.veevavault.com/ui/#object/approved_document__v/V5O00000000Q003", "LUP-Material riñones CLM")</f>
        <v>LUP-Material riñones CLM</v>
      </c>
      <c r="C17215" s="3" t="str">
        <f>HYPERLINK("https://otsuka-europe-crm.veevavault.com/ui/#object/sent_email__v/VBL00000001D300", "SE-001404605")</f>
        <v>SE-001404605</v>
      </c>
      <c r="D17215" s="1" t="s">
        <v>0</v>
      </c>
      <c r="E17215" s="2">
        <v>0</v>
      </c>
      <c r="F17215" s="2">
        <v>0</v>
      </c>
      <c r="G17215" s="2">
        <v>0</v>
      </c>
      <c r="H17215" s="1" t="s">
        <v>0</v>
      </c>
      <c r="I17215" s="2">
        <v>0</v>
      </c>
      <c r="J17215" s="1">
        <v>46071.619097222225</v>
      </c>
    </row>
    <row r="17216" spans="1:10" x14ac:dyDescent="0.2">
      <c r="A17216" s="4" t="s">
        <v>1</v>
      </c>
      <c r="B17216" s="3" t="str">
        <f>HYPERLINK("https://otsuka-europe-crm.veevavault.com/ui/#object/approved_document__v/V5O00000000Q003", "LUP-Material riñones CLM")</f>
        <v>LUP-Material riñones CLM</v>
      </c>
      <c r="C17216" s="3" t="str">
        <f>HYPERLINK("https://otsuka-europe-crm.veevavault.com/ui/#object/sent_email__v/VBL00000001D301", "SE-001404606")</f>
        <v>SE-001404606</v>
      </c>
      <c r="D17216" s="1" t="s">
        <v>0</v>
      </c>
      <c r="E17216" s="2">
        <v>0</v>
      </c>
      <c r="F17216" s="2">
        <v>0</v>
      </c>
      <c r="G17216" s="2">
        <v>0</v>
      </c>
      <c r="H17216" s="1" t="s">
        <v>0</v>
      </c>
      <c r="I17216" s="2">
        <v>0</v>
      </c>
      <c r="J17216" s="1">
        <v>46071.619340277779</v>
      </c>
    </row>
    <row r="17217" spans="1:10" x14ac:dyDescent="0.2">
      <c r="A17217" s="4" t="s">
        <v>1</v>
      </c>
      <c r="B17217" s="3" t="str">
        <f>HYPERLINK("https://otsuka-europe-crm.veevavault.com/ui/#object/approved_document__v/V5O00000000Q003", "LUP-Material riñones CLM")</f>
        <v>LUP-Material riñones CLM</v>
      </c>
      <c r="C17217" s="3" t="str">
        <f>HYPERLINK("https://otsuka-europe-crm.veevavault.com/ui/#object/sent_email__v/VBL00000001D302", "SE-001404607")</f>
        <v>SE-001404607</v>
      </c>
      <c r="D17217" s="1" t="s">
        <v>0</v>
      </c>
      <c r="E17217" s="2">
        <v>0</v>
      </c>
      <c r="F17217" s="2">
        <v>0</v>
      </c>
      <c r="G17217" s="2">
        <v>0</v>
      </c>
      <c r="H17217" s="1" t="s">
        <v>0</v>
      </c>
      <c r="I17217" s="2">
        <v>0</v>
      </c>
      <c r="J17217" s="1">
        <v>46071.619583333333</v>
      </c>
    </row>
    <row r="17218" spans="1:10" x14ac:dyDescent="0.2">
      <c r="A17218" s="4" t="s">
        <v>1</v>
      </c>
      <c r="B17218" s="3" t="str">
        <f>HYPERLINK("https://otsuka-europe-crm.veevavault.com/ui/#object/approved_document__v/V5O00000000Q003", "LUP-Material riñones CLM")</f>
        <v>LUP-Material riñones CLM</v>
      </c>
      <c r="C17218" s="3" t="str">
        <f>HYPERLINK("https://otsuka-europe-crm.veevavault.com/ui/#object/sent_email__v/VBL00000001D303", "SE-001404608")</f>
        <v>SE-001404608</v>
      </c>
      <c r="D17218" s="1" t="s">
        <v>0</v>
      </c>
      <c r="E17218" s="2">
        <v>0</v>
      </c>
      <c r="F17218" s="2">
        <v>0</v>
      </c>
      <c r="G17218" s="2">
        <v>0</v>
      </c>
      <c r="H17218" s="1" t="s">
        <v>0</v>
      </c>
      <c r="I17218" s="2">
        <v>0</v>
      </c>
      <c r="J17218" s="1">
        <v>46071.619837962964</v>
      </c>
    </row>
    <row r="17219" spans="1:10" x14ac:dyDescent="0.2">
      <c r="A17219" s="4" t="s">
        <v>1</v>
      </c>
      <c r="B17219" s="3" t="str">
        <f>HYPERLINK("https://otsuka-europe-crm.veevavault.com/ui/#object/approved_document__v/V5O00000000Q003", "LUP-Material riñones CLM")</f>
        <v>LUP-Material riñones CLM</v>
      </c>
      <c r="C17219" s="3" t="str">
        <f>HYPERLINK("https://otsuka-europe-crm.veevavault.com/ui/#object/sent_email__v/VBL00000001D304", "SE-001404609")</f>
        <v>SE-001404609</v>
      </c>
      <c r="D17219" s="1">
        <v>46071.720601851855</v>
      </c>
      <c r="E17219" s="2">
        <v>1</v>
      </c>
      <c r="F17219" s="2">
        <v>2</v>
      </c>
      <c r="G17219" s="2">
        <v>0</v>
      </c>
      <c r="H17219" s="1" t="s">
        <v>0</v>
      </c>
      <c r="I17219" s="2">
        <v>0</v>
      </c>
      <c r="J17219" s="1">
        <v>46071.620092592595</v>
      </c>
    </row>
    <row r="17220" spans="1:10" x14ac:dyDescent="0.2">
      <c r="A17220" s="4" t="s">
        <v>1</v>
      </c>
      <c r="B17220" s="3" t="str">
        <f>HYPERLINK("https://otsuka-europe-crm.veevavault.com/ui/#object/approved_document__v/V5O00000000Q003", "LUP-Material riñones CLM")</f>
        <v>LUP-Material riñones CLM</v>
      </c>
      <c r="C17220" s="3" t="str">
        <f>HYPERLINK("https://otsuka-europe-crm.veevavault.com/ui/#object/sent_email__v/VBL00000001D305", "SE-001404610")</f>
        <v>SE-001404610</v>
      </c>
      <c r="D17220" s="1" t="s">
        <v>0</v>
      </c>
      <c r="E17220" s="2">
        <v>0</v>
      </c>
      <c r="F17220" s="2">
        <v>0</v>
      </c>
      <c r="G17220" s="2">
        <v>0</v>
      </c>
      <c r="H17220" s="1" t="s">
        <v>0</v>
      </c>
      <c r="I17220" s="2">
        <v>0</v>
      </c>
      <c r="J17220" s="1">
        <v>46071.620347222219</v>
      </c>
    </row>
    <row r="17221" spans="1:10" x14ac:dyDescent="0.2">
      <c r="A17221" s="4" t="s">
        <v>1</v>
      </c>
      <c r="B17221" s="3" t="str">
        <f>HYPERLINK("https://otsuka-europe-crm.veevavault.com/ui/#object/approved_document__v/V5O00000000Q003", "LUP-Material riñones CLM")</f>
        <v>LUP-Material riñones CLM</v>
      </c>
      <c r="C17221" s="3" t="str">
        <f>HYPERLINK("https://otsuka-europe-crm.veevavault.com/ui/#object/sent_email__v/VBL00000001D306", "SE-001404611")</f>
        <v>SE-001404611</v>
      </c>
      <c r="D17221" s="1">
        <v>46071.620775462965</v>
      </c>
      <c r="E17221" s="2">
        <v>1</v>
      </c>
      <c r="F17221" s="2">
        <v>1</v>
      </c>
      <c r="G17221" s="2">
        <v>1</v>
      </c>
      <c r="H17221" s="1">
        <v>46071.647476851853</v>
      </c>
      <c r="I17221" s="2">
        <v>3</v>
      </c>
      <c r="J17221" s="1">
        <v>46071.62060185185</v>
      </c>
    </row>
    <row r="17222" spans="1:10" x14ac:dyDescent="0.2">
      <c r="A17222" s="4" t="s">
        <v>1</v>
      </c>
      <c r="B17222" s="3" t="str">
        <f>HYPERLINK("https://otsuka-europe-crm.veevavault.com/ui/#object/approved_document__v/V5O00000000Q003", "LUP-Material riñones CLM")</f>
        <v>LUP-Material riñones CLM</v>
      </c>
      <c r="C17222" s="3" t="str">
        <f>HYPERLINK("https://otsuka-europe-crm.veevavault.com/ui/#object/sent_email__v/VBL00000001D307", "SE-001404612")</f>
        <v>SE-001404612</v>
      </c>
      <c r="D17222" s="1" t="s">
        <v>0</v>
      </c>
      <c r="E17222" s="2">
        <v>0</v>
      </c>
      <c r="F17222" s="2">
        <v>0</v>
      </c>
      <c r="G17222" s="2">
        <v>0</v>
      </c>
      <c r="H17222" s="1" t="s">
        <v>0</v>
      </c>
      <c r="I17222" s="2">
        <v>0</v>
      </c>
      <c r="J17222" s="1">
        <v>46071.620844907404</v>
      </c>
    </row>
    <row r="17223" spans="1:10" x14ac:dyDescent="0.2">
      <c r="A17223" s="4" t="s">
        <v>1</v>
      </c>
      <c r="B17223" s="3" t="str">
        <f>HYPERLINK("https://otsuka-europe-crm.veevavault.com/ui/#object/approved_document__v/V5O00000000Q003", "LUP-Material riñones CLM")</f>
        <v>LUP-Material riñones CLM</v>
      </c>
      <c r="C17223" s="3" t="str">
        <f>HYPERLINK("https://otsuka-europe-crm.veevavault.com/ui/#object/sent_email__v/VBL00000001D308", "SE-001404613")</f>
        <v>SE-001404613</v>
      </c>
      <c r="D17223" s="1" t="s">
        <v>0</v>
      </c>
      <c r="E17223" s="2">
        <v>0</v>
      </c>
      <c r="F17223" s="2">
        <v>0</v>
      </c>
      <c r="G17223" s="2">
        <v>0</v>
      </c>
      <c r="H17223" s="1" t="s">
        <v>0</v>
      </c>
      <c r="I17223" s="2">
        <v>0</v>
      </c>
      <c r="J17223" s="1">
        <v>46071.621099537035</v>
      </c>
    </row>
    <row r="17224" spans="1:10" x14ac:dyDescent="0.2">
      <c r="A17224" s="4" t="s">
        <v>1</v>
      </c>
      <c r="B17224" s="3" t="str">
        <f>HYPERLINK("https://otsuka-europe-crm.veevavault.com/ui/#object/approved_document__v/V5O00000000Q003", "LUP-Material riñones CLM")</f>
        <v>LUP-Material riñones CLM</v>
      </c>
      <c r="C17224" s="3" t="str">
        <f>HYPERLINK("https://otsuka-europe-crm.veevavault.com/ui/#object/sent_email__v/VBL00000001D309", "SE-001404614")</f>
        <v>SE-001404614</v>
      </c>
      <c r="D17224" s="1" t="s">
        <v>0</v>
      </c>
      <c r="E17224" s="2">
        <v>0</v>
      </c>
      <c r="F17224" s="2">
        <v>0</v>
      </c>
      <c r="G17224" s="2">
        <v>0</v>
      </c>
      <c r="H17224" s="1" t="s">
        <v>0</v>
      </c>
      <c r="I17224" s="2">
        <v>0</v>
      </c>
      <c r="J17224" s="1">
        <v>46071.621365740742</v>
      </c>
    </row>
    <row r="17225" spans="1:10" x14ac:dyDescent="0.2">
      <c r="A17225" s="4" t="s">
        <v>1</v>
      </c>
      <c r="B17225" s="3" t="str">
        <f>HYPERLINK("https://otsuka-europe-crm.veevavault.com/ui/#object/approved_document__v/V5O00000000Q003", "LUP-Material riñones CLM")</f>
        <v>LUP-Material riñones CLM</v>
      </c>
      <c r="C17225" s="3" t="str">
        <f>HYPERLINK("https://otsuka-europe-crm.veevavault.com/ui/#object/sent_email__v/VBL00000001D310", "SE-001404615")</f>
        <v>SE-001404615</v>
      </c>
      <c r="D17225" s="1">
        <v>46072.849317129629</v>
      </c>
      <c r="E17225" s="2">
        <v>1</v>
      </c>
      <c r="F17225" s="2">
        <v>1</v>
      </c>
      <c r="G17225" s="2">
        <v>0</v>
      </c>
      <c r="H17225" s="1" t="s">
        <v>0</v>
      </c>
      <c r="I17225" s="2">
        <v>0</v>
      </c>
      <c r="J17225" s="1">
        <v>46071.62158564815</v>
      </c>
    </row>
    <row r="17226" spans="1:10" x14ac:dyDescent="0.2">
      <c r="A17226" s="4" t="s">
        <v>1</v>
      </c>
      <c r="B17226" s="3" t="str">
        <f>HYPERLINK("https://otsuka-europe-crm.veevavault.com/ui/#object/approved_document__v/V5O00000000Q003", "LUP-Material riñones CLM")</f>
        <v>LUP-Material riñones CLM</v>
      </c>
      <c r="C17226" s="3" t="str">
        <f>HYPERLINK("https://otsuka-europe-crm.veevavault.com/ui/#object/sent_email__v/VBL00000001D311", "SE-001404616")</f>
        <v>SE-001404616</v>
      </c>
      <c r="D17226" s="1">
        <v>46078.339537037034</v>
      </c>
      <c r="E17226" s="2">
        <v>1</v>
      </c>
      <c r="F17226" s="2">
        <v>7</v>
      </c>
      <c r="G17226" s="2">
        <v>0</v>
      </c>
      <c r="H17226" s="1" t="s">
        <v>0</v>
      </c>
      <c r="I17226" s="2">
        <v>0</v>
      </c>
      <c r="J17226" s="1">
        <v>46071.621770833335</v>
      </c>
    </row>
    <row r="17227" spans="1:10" x14ac:dyDescent="0.2">
      <c r="A17227" s="4" t="s">
        <v>1</v>
      </c>
      <c r="B17227" s="3" t="str">
        <f>HYPERLINK("https://otsuka-europe-crm.veevavault.com/ui/#object/approved_document__v/V5O00000000Q003", "LUP-Material riñones CLM")</f>
        <v>LUP-Material riñones CLM</v>
      </c>
      <c r="C17227" s="3" t="str">
        <f>HYPERLINK("https://otsuka-europe-crm.veevavault.com/ui/#object/sent_email__v/VBL00000001D312", "SE-001404617")</f>
        <v>SE-001404617</v>
      </c>
      <c r="D17227" s="1">
        <v>46071.647800925923</v>
      </c>
      <c r="E17227" s="2">
        <v>1</v>
      </c>
      <c r="F17227" s="2">
        <v>1</v>
      </c>
      <c r="G17227" s="2">
        <v>0</v>
      </c>
      <c r="H17227" s="1" t="s">
        <v>0</v>
      </c>
      <c r="I17227" s="2">
        <v>0</v>
      </c>
      <c r="J17227" s="1">
        <v>46071.621944444443</v>
      </c>
    </row>
    <row r="17228" spans="1:10" x14ac:dyDescent="0.2">
      <c r="A17228" s="4" t="s">
        <v>1</v>
      </c>
      <c r="B17228" s="3" t="str">
        <f>HYPERLINK("https://otsuka-europe-crm.veevavault.com/ui/#object/approved_document__v/V5O00000000Q003", "LUP-Material riñones CLM")</f>
        <v>LUP-Material riñones CLM</v>
      </c>
      <c r="C17228" s="3" t="str">
        <f>HYPERLINK("https://otsuka-europe-crm.veevavault.com/ui/#object/sent_email__v/VBL00000001D313", "SE-001404618")</f>
        <v>SE-001404618</v>
      </c>
      <c r="D17228" s="1" t="s">
        <v>0</v>
      </c>
      <c r="E17228" s="2">
        <v>0</v>
      </c>
      <c r="F17228" s="2">
        <v>0</v>
      </c>
      <c r="G17228" s="2">
        <v>0</v>
      </c>
      <c r="H17228" s="1" t="s">
        <v>0</v>
      </c>
      <c r="I17228" s="2">
        <v>0</v>
      </c>
      <c r="J17228" s="1">
        <v>46071.622118055559</v>
      </c>
    </row>
    <row r="17229" spans="1:10" x14ac:dyDescent="0.2">
      <c r="A17229" s="4" t="s">
        <v>1</v>
      </c>
      <c r="B17229" s="3" t="str">
        <f>HYPERLINK("https://otsuka-europe-crm.veevavault.com/ui/#object/approved_document__v/V5O00000000Q003", "LUP-Material riñones CLM")</f>
        <v>LUP-Material riñones CLM</v>
      </c>
      <c r="C17229" s="3" t="str">
        <f>HYPERLINK("https://otsuka-europe-crm.veevavault.com/ui/#object/sent_email__v/VBL00000001D314", "SE-001404619")</f>
        <v>SE-001404619</v>
      </c>
      <c r="D17229" s="1" t="s">
        <v>0</v>
      </c>
      <c r="E17229" s="2">
        <v>0</v>
      </c>
      <c r="F17229" s="2">
        <v>0</v>
      </c>
      <c r="G17229" s="2">
        <v>0</v>
      </c>
      <c r="H17229" s="1" t="s">
        <v>0</v>
      </c>
      <c r="I17229" s="2">
        <v>0</v>
      </c>
      <c r="J17229" s="1">
        <v>46071.622337962966</v>
      </c>
    </row>
    <row r="17230" spans="1:10" x14ac:dyDescent="0.2">
      <c r="A17230" s="4" t="s">
        <v>1</v>
      </c>
      <c r="B17230" s="3" t="str">
        <f>HYPERLINK("https://otsuka-europe-crm.veevavault.com/ui/#object/approved_document__v/V5O00000000Q003", "LUP-Material riñones CLM")</f>
        <v>LUP-Material riñones CLM</v>
      </c>
      <c r="C17230" s="3" t="str">
        <f>HYPERLINK("https://otsuka-europe-crm.veevavault.com/ui/#object/sent_email__v/VBL00000001D315", "SE-001404620")</f>
        <v>SE-001404620</v>
      </c>
      <c r="D17230" s="1" t="s">
        <v>0</v>
      </c>
      <c r="E17230" s="2">
        <v>0</v>
      </c>
      <c r="F17230" s="2">
        <v>0</v>
      </c>
      <c r="G17230" s="2">
        <v>0</v>
      </c>
      <c r="H17230" s="1" t="s">
        <v>0</v>
      </c>
      <c r="I17230" s="2">
        <v>0</v>
      </c>
      <c r="J17230" s="1">
        <v>46071.622581018521</v>
      </c>
    </row>
    <row r="17231" spans="1:10" x14ac:dyDescent="0.2">
      <c r="A17231" s="4" t="s">
        <v>1</v>
      </c>
      <c r="B17231" s="3" t="str">
        <f>HYPERLINK("https://otsuka-europe-crm.veevavault.com/ui/#object/approved_document__v/V5O00000000Q003", "LUP-Material riñones CLM")</f>
        <v>LUP-Material riñones CLM</v>
      </c>
      <c r="C17231" s="3" t="str">
        <f>HYPERLINK("https://otsuka-europe-crm.veevavault.com/ui/#object/sent_email__v/VBL00000001D316", "SE-001404621")</f>
        <v>SE-001404621</v>
      </c>
      <c r="D17231" s="1">
        <v>46077.428067129629</v>
      </c>
      <c r="E17231" s="2">
        <v>1</v>
      </c>
      <c r="F17231" s="2">
        <v>2</v>
      </c>
      <c r="G17231" s="2">
        <v>1</v>
      </c>
      <c r="H17231" s="1">
        <v>46077.428067129629</v>
      </c>
      <c r="I17231" s="2">
        <v>2</v>
      </c>
      <c r="J17231" s="1">
        <v>46071.622847222221</v>
      </c>
    </row>
    <row r="17232" spans="1:10" x14ac:dyDescent="0.2">
      <c r="A17232" s="4" t="s">
        <v>1</v>
      </c>
      <c r="B17232" s="3" t="str">
        <f>HYPERLINK("https://otsuka-europe-crm.veevavault.com/ui/#object/approved_document__v/V5O00000000Q003", "LUP-Material riñones CLM")</f>
        <v>LUP-Material riñones CLM</v>
      </c>
      <c r="C17232" s="3" t="str">
        <f>HYPERLINK("https://otsuka-europe-crm.veevavault.com/ui/#object/sent_email__v/VBL00000001D317", "SE-001404622")</f>
        <v>SE-001404622</v>
      </c>
      <c r="D17232" s="1" t="s">
        <v>0</v>
      </c>
      <c r="E17232" s="2">
        <v>0</v>
      </c>
      <c r="F17232" s="2">
        <v>0</v>
      </c>
      <c r="G17232" s="2">
        <v>0</v>
      </c>
      <c r="H17232" s="1" t="s">
        <v>0</v>
      </c>
      <c r="I17232" s="2">
        <v>0</v>
      </c>
      <c r="J17232" s="1">
        <v>46071.623113425929</v>
      </c>
    </row>
    <row r="17233" spans="1:10" x14ac:dyDescent="0.2">
      <c r="A17233" s="4" t="s">
        <v>1</v>
      </c>
      <c r="B17233" s="3" t="str">
        <f>HYPERLINK("https://otsuka-europe-crm.veevavault.com/ui/#object/approved_document__v/V5O00000000Q003", "LUP-Material riñones CLM")</f>
        <v>LUP-Material riñones CLM</v>
      </c>
      <c r="C17233" s="3" t="str">
        <f>HYPERLINK("https://otsuka-europe-crm.veevavault.com/ui/#object/sent_email__v/VBL00000001D318", "SE-001404623")</f>
        <v>SE-001404623</v>
      </c>
      <c r="D17233" s="1" t="s">
        <v>0</v>
      </c>
      <c r="E17233" s="2">
        <v>0</v>
      </c>
      <c r="F17233" s="2">
        <v>0</v>
      </c>
      <c r="G17233" s="2">
        <v>0</v>
      </c>
      <c r="H17233" s="1" t="s">
        <v>0</v>
      </c>
      <c r="I17233" s="2">
        <v>0</v>
      </c>
      <c r="J17233" s="1">
        <v>46071.623344907406</v>
      </c>
    </row>
    <row r="17234" spans="1:10" x14ac:dyDescent="0.2">
      <c r="A17234" s="4" t="s">
        <v>1</v>
      </c>
      <c r="B17234" s="3" t="str">
        <f>HYPERLINK("https://otsuka-europe-crm.veevavault.com/ui/#object/approved_document__v/V5O00000000Q003", "LUP-Material riñones CLM")</f>
        <v>LUP-Material riñones CLM</v>
      </c>
      <c r="C17234" s="3" t="str">
        <f>HYPERLINK("https://otsuka-europe-crm.veevavault.com/ui/#object/sent_email__v/VBL00000001D319", "SE-001404624")</f>
        <v>SE-001404624</v>
      </c>
      <c r="D17234" s="1">
        <v>46071.869490740741</v>
      </c>
      <c r="E17234" s="2">
        <v>1</v>
      </c>
      <c r="F17234" s="2">
        <v>1</v>
      </c>
      <c r="G17234" s="2">
        <v>1</v>
      </c>
      <c r="H17234" s="1">
        <v>46071.869490740741</v>
      </c>
      <c r="I17234" s="2">
        <v>1</v>
      </c>
      <c r="J17234" s="1">
        <v>46071.62358796296</v>
      </c>
    </row>
    <row r="17235" spans="1:10" x14ac:dyDescent="0.2">
      <c r="A17235" s="4" t="s">
        <v>1</v>
      </c>
      <c r="B17235" s="3" t="str">
        <f>HYPERLINK("https://otsuka-europe-crm.veevavault.com/ui/#object/approved_document__v/V5O00000000Q003", "LUP-Material riñones CLM")</f>
        <v>LUP-Material riñones CLM</v>
      </c>
      <c r="C17235" s="3" t="str">
        <f>HYPERLINK("https://otsuka-europe-crm.veevavault.com/ui/#object/sent_email__v/VBL00000001D320", "SE-001404625")</f>
        <v>SE-001404625</v>
      </c>
      <c r="D17235" s="1">
        <v>46071.689212962963</v>
      </c>
      <c r="E17235" s="2">
        <v>1</v>
      </c>
      <c r="F17235" s="2">
        <v>2</v>
      </c>
      <c r="G17235" s="2">
        <v>0</v>
      </c>
      <c r="H17235" s="1" t="s">
        <v>0</v>
      </c>
      <c r="I17235" s="2">
        <v>0</v>
      </c>
      <c r="J17235" s="1">
        <v>46071.623865740738</v>
      </c>
    </row>
    <row r="17236" spans="1:10" x14ac:dyDescent="0.2">
      <c r="A17236" s="4" t="s">
        <v>1</v>
      </c>
      <c r="B17236" s="3" t="str">
        <f>HYPERLINK("https://otsuka-europe-crm.veevavault.com/ui/#object/approved_document__v/V5O00000000Q003", "LUP-Material riñones CLM")</f>
        <v>LUP-Material riñones CLM</v>
      </c>
      <c r="C17236" s="3" t="str">
        <f>HYPERLINK("https://otsuka-europe-crm.veevavault.com/ui/#object/sent_email__v/VBL00000001D321", "SE-001404626")</f>
        <v>SE-001404626</v>
      </c>
      <c r="D17236" s="1">
        <v>46071.670648148145</v>
      </c>
      <c r="E17236" s="2">
        <v>1</v>
      </c>
      <c r="F17236" s="2">
        <v>1</v>
      </c>
      <c r="G17236" s="2">
        <v>0</v>
      </c>
      <c r="H17236" s="1" t="s">
        <v>0</v>
      </c>
      <c r="I17236" s="2">
        <v>0</v>
      </c>
      <c r="J17236" s="1">
        <v>46071.624120370368</v>
      </c>
    </row>
    <row r="17237" spans="1:10" x14ac:dyDescent="0.2">
      <c r="A17237" s="4" t="s">
        <v>1</v>
      </c>
      <c r="B17237" s="3" t="str">
        <f>HYPERLINK("https://otsuka-europe-crm.veevavault.com/ui/#object/approved_document__v/V5O00000000Q003", "LUP-Material riñones CLM")</f>
        <v>LUP-Material riñones CLM</v>
      </c>
      <c r="C17237" s="3" t="str">
        <f>HYPERLINK("https://otsuka-europe-crm.veevavault.com/ui/#object/sent_email__v/VBL00000001D322", "SE-001404627")</f>
        <v>SE-001404627</v>
      </c>
      <c r="D17237" s="1">
        <v>46071.715196759258</v>
      </c>
      <c r="E17237" s="2">
        <v>1</v>
      </c>
      <c r="F17237" s="2">
        <v>3</v>
      </c>
      <c r="G17237" s="2">
        <v>1</v>
      </c>
      <c r="H17237" s="1">
        <v>46071.624456018515</v>
      </c>
      <c r="I17237" s="2">
        <v>3</v>
      </c>
      <c r="J17237" s="1">
        <v>46071.624363425923</v>
      </c>
    </row>
    <row r="17238" spans="1:10" x14ac:dyDescent="0.2">
      <c r="A17238" s="4" t="s">
        <v>1</v>
      </c>
      <c r="B17238" s="3" t="str">
        <f>HYPERLINK("https://otsuka-europe-crm.veevavault.com/ui/#object/approved_document__v/V5O00000000Q003", "LUP-Material riñones CLM")</f>
        <v>LUP-Material riñones CLM</v>
      </c>
      <c r="C17238" s="3" t="str">
        <f>HYPERLINK("https://otsuka-europe-crm.veevavault.com/ui/#object/sent_email__v/VBL00000001D323", "SE-001404628")</f>
        <v>SE-001404628</v>
      </c>
      <c r="D17238" s="1">
        <v>46071.775567129633</v>
      </c>
      <c r="E17238" s="2">
        <v>1</v>
      </c>
      <c r="F17238" s="2">
        <v>2</v>
      </c>
      <c r="G17238" s="2">
        <v>0</v>
      </c>
      <c r="H17238" s="1" t="s">
        <v>0</v>
      </c>
      <c r="I17238" s="2">
        <v>0</v>
      </c>
      <c r="J17238" s="1">
        <v>46071.624606481484</v>
      </c>
    </row>
    <row r="17239" spans="1:10" x14ac:dyDescent="0.2">
      <c r="A17239" s="4" t="s">
        <v>1</v>
      </c>
      <c r="B17239" s="3" t="str">
        <f>HYPERLINK("https://otsuka-europe-crm.veevavault.com/ui/#object/approved_document__v/V5O00000000Q003", "LUP-Material riñones CLM")</f>
        <v>LUP-Material riñones CLM</v>
      </c>
      <c r="C17239" s="3" t="str">
        <f>HYPERLINK("https://otsuka-europe-crm.veevavault.com/ui/#object/sent_email__v/VBL00000001D324", "SE-001404629")</f>
        <v>SE-001404629</v>
      </c>
      <c r="D17239" s="1">
        <v>46072.338819444441</v>
      </c>
      <c r="E17239" s="2">
        <v>1</v>
      </c>
      <c r="F17239" s="2">
        <v>1</v>
      </c>
      <c r="G17239" s="2">
        <v>1</v>
      </c>
      <c r="H17239" s="1">
        <v>46072.338819444441</v>
      </c>
      <c r="I17239" s="2">
        <v>1</v>
      </c>
      <c r="J17239" s="1">
        <v>46071.624872685185</v>
      </c>
    </row>
    <row r="17240" spans="1:10" x14ac:dyDescent="0.2">
      <c r="A17240" s="4" t="s">
        <v>1</v>
      </c>
      <c r="B17240" s="3" t="str">
        <f>HYPERLINK("https://otsuka-europe-crm.veevavault.com/ui/#object/approved_document__v/V5O00000000Q003", "LUP-Material riñones CLM")</f>
        <v>LUP-Material riñones CLM</v>
      </c>
      <c r="C17240" s="3" t="str">
        <f>HYPERLINK("https://otsuka-europe-crm.veevavault.com/ui/#object/sent_email__v/VBL00000001D325", "SE-001404630")</f>
        <v>SE-001404630</v>
      </c>
      <c r="D17240" s="1" t="s">
        <v>0</v>
      </c>
      <c r="E17240" s="2">
        <v>0</v>
      </c>
      <c r="F17240" s="2">
        <v>0</v>
      </c>
      <c r="G17240" s="2">
        <v>0</v>
      </c>
      <c r="H17240" s="1" t="s">
        <v>0</v>
      </c>
      <c r="I17240" s="2">
        <v>0</v>
      </c>
      <c r="J17240" s="1">
        <v>46071.625069444446</v>
      </c>
    </row>
    <row r="17241" spans="1:10" x14ac:dyDescent="0.2">
      <c r="A17241" s="4" t="s">
        <v>1</v>
      </c>
      <c r="B17241" s="3" t="str">
        <f>HYPERLINK("https://otsuka-europe-crm.veevavault.com/ui/#object/approved_document__v/V5O00000000Q003", "LUP-Material riñones CLM")</f>
        <v>LUP-Material riñones CLM</v>
      </c>
      <c r="C17241" s="3" t="str">
        <f>HYPERLINK("https://otsuka-europe-crm.veevavault.com/ui/#object/sent_email__v/VBL00000001D326", "SE-001404631")</f>
        <v>SE-001404631</v>
      </c>
      <c r="D17241" s="1">
        <v>46071.629317129627</v>
      </c>
      <c r="E17241" s="2">
        <v>1</v>
      </c>
      <c r="F17241" s="2">
        <v>1</v>
      </c>
      <c r="G17241" s="2">
        <v>1</v>
      </c>
      <c r="H17241" s="1">
        <v>46071.629571759258</v>
      </c>
      <c r="I17241" s="2">
        <v>1</v>
      </c>
      <c r="J17241" s="1">
        <v>46071.625243055554</v>
      </c>
    </row>
    <row r="17242" spans="1:10" x14ac:dyDescent="0.2">
      <c r="A17242" s="4" t="s">
        <v>1</v>
      </c>
      <c r="B17242" s="3" t="str">
        <f>HYPERLINK("https://otsuka-europe-crm.veevavault.com/ui/#object/approved_document__v/V5O00000000Q003", "LUP-Material riñones CLM")</f>
        <v>LUP-Material riñones CLM</v>
      </c>
      <c r="C17242" s="3" t="str">
        <f>HYPERLINK("https://otsuka-europe-crm.veevavault.com/ui/#object/sent_email__v/VBL00000001D327", "SE-001404632")</f>
        <v>SE-001404632</v>
      </c>
      <c r="D17242" s="1">
        <v>46071.625671296293</v>
      </c>
      <c r="E17242" s="2">
        <v>1</v>
      </c>
      <c r="F17242" s="2">
        <v>4</v>
      </c>
      <c r="G17242" s="2">
        <v>1</v>
      </c>
      <c r="H17242" s="1">
        <v>46071.625520833331</v>
      </c>
      <c r="I17242" s="2">
        <v>3</v>
      </c>
      <c r="J17242" s="1">
        <v>46071.625416666669</v>
      </c>
    </row>
    <row r="17243" spans="1:10" x14ac:dyDescent="0.2">
      <c r="A17243" s="4" t="s">
        <v>1</v>
      </c>
      <c r="B17243" s="3" t="str">
        <f>HYPERLINK("https://otsuka-europe-crm.veevavault.com/ui/#object/approved_document__v/V5O00000000Q003", "LUP-Material riñones CLM")</f>
        <v>LUP-Material riñones CLM</v>
      </c>
      <c r="C17243" s="3" t="str">
        <f>HYPERLINK("https://otsuka-europe-crm.veevavault.com/ui/#object/sent_email__v/VBL00000001D328", "SE-001404633")</f>
        <v>SE-001404633</v>
      </c>
      <c r="D17243" s="1">
        <v>46072.351273148146</v>
      </c>
      <c r="E17243" s="2">
        <v>1</v>
      </c>
      <c r="F17243" s="2">
        <v>2</v>
      </c>
      <c r="G17243" s="2">
        <v>0</v>
      </c>
      <c r="H17243" s="1" t="s">
        <v>0</v>
      </c>
      <c r="I17243" s="2">
        <v>0</v>
      </c>
      <c r="J17243" s="1">
        <v>46071.625601851854</v>
      </c>
    </row>
    <row r="17244" spans="1:10" x14ac:dyDescent="0.2">
      <c r="A17244" s="4" t="s">
        <v>1</v>
      </c>
      <c r="B17244" s="3" t="str">
        <f>HYPERLINK("https://otsuka-europe-crm.veevavault.com/ui/#object/approved_document__v/V5O00000000Q003", "LUP-Material riñones CLM")</f>
        <v>LUP-Material riñones CLM</v>
      </c>
      <c r="C17244" s="3" t="str">
        <f>HYPERLINK("https://otsuka-europe-crm.veevavault.com/ui/#object/sent_email__v/VBL00000001D329", "SE-001404634")</f>
        <v>SE-001404634</v>
      </c>
      <c r="D17244" s="1">
        <v>46071.95548611111</v>
      </c>
      <c r="E17244" s="2">
        <v>1</v>
      </c>
      <c r="F17244" s="2">
        <v>1</v>
      </c>
      <c r="G17244" s="2">
        <v>0</v>
      </c>
      <c r="H17244" s="1" t="s">
        <v>0</v>
      </c>
      <c r="I17244" s="2">
        <v>0</v>
      </c>
      <c r="J17244" s="1">
        <v>46071.625833333332</v>
      </c>
    </row>
    <row r="17245" spans="1:10" x14ac:dyDescent="0.2">
      <c r="A17245" s="4" t="s">
        <v>1</v>
      </c>
      <c r="B17245" s="3" t="str">
        <f>HYPERLINK("https://otsuka-europe-crm.veevavault.com/ui/#object/approved_document__v/V5O00000000Q003", "LUP-Material riñones CLM")</f>
        <v>LUP-Material riñones CLM</v>
      </c>
      <c r="C17245" s="3" t="str">
        <f>HYPERLINK("https://otsuka-europe-crm.veevavault.com/ui/#object/sent_email__v/VBL00000001D330", "SE-001404635")</f>
        <v>SE-001404635</v>
      </c>
      <c r="D17245" s="1">
        <v>46071.629444444443</v>
      </c>
      <c r="E17245" s="2">
        <v>1</v>
      </c>
      <c r="F17245" s="2">
        <v>4</v>
      </c>
      <c r="G17245" s="2">
        <v>1</v>
      </c>
      <c r="H17245" s="1">
        <v>46071.629884259259</v>
      </c>
      <c r="I17245" s="2">
        <v>10</v>
      </c>
      <c r="J17245" s="1">
        <v>46071.626099537039</v>
      </c>
    </row>
    <row r="17246" spans="1:10" x14ac:dyDescent="0.2">
      <c r="A17246" s="4" t="s">
        <v>1</v>
      </c>
      <c r="B17246" s="3" t="str">
        <f>HYPERLINK("https://otsuka-europe-crm.veevavault.com/ui/#object/approved_document__v/V5O00000000Q003", "LUP-Material riñones CLM")</f>
        <v>LUP-Material riñones CLM</v>
      </c>
      <c r="C17246" s="3" t="str">
        <f>HYPERLINK("https://otsuka-europe-crm.veevavault.com/ui/#object/sent_email__v/VBL00000001D331", "SE-001404636")</f>
        <v>SE-001404636</v>
      </c>
      <c r="D17246" s="1">
        <v>46071.781550925924</v>
      </c>
      <c r="E17246" s="2">
        <v>1</v>
      </c>
      <c r="F17246" s="2">
        <v>3</v>
      </c>
      <c r="G17246" s="2">
        <v>0</v>
      </c>
      <c r="H17246" s="1" t="s">
        <v>0</v>
      </c>
      <c r="I17246" s="2">
        <v>0</v>
      </c>
      <c r="J17246" s="1">
        <v>46071.626354166663</v>
      </c>
    </row>
    <row r="17247" spans="1:10" x14ac:dyDescent="0.2">
      <c r="A17247" s="4" t="s">
        <v>1</v>
      </c>
      <c r="B17247" s="3" t="str">
        <f>HYPERLINK("https://otsuka-europe-crm.veevavault.com/ui/#object/approved_document__v/V5O00000000Q003", "LUP-Material riñones CLM")</f>
        <v>LUP-Material riñones CLM</v>
      </c>
      <c r="C17247" s="3" t="str">
        <f>HYPERLINK("https://otsuka-europe-crm.veevavault.com/ui/#object/sent_email__v/VBL00000001D332", "SE-001404637")</f>
        <v>SE-001404637</v>
      </c>
      <c r="D17247" s="1">
        <v>46071.643738425926</v>
      </c>
      <c r="E17247" s="2">
        <v>1</v>
      </c>
      <c r="F17247" s="2">
        <v>1</v>
      </c>
      <c r="G17247" s="2">
        <v>0</v>
      </c>
      <c r="H17247" s="1" t="s">
        <v>0</v>
      </c>
      <c r="I17247" s="2">
        <v>0</v>
      </c>
      <c r="J17247" s="1">
        <v>46071.626608796294</v>
      </c>
    </row>
    <row r="17248" spans="1:10" x14ac:dyDescent="0.2">
      <c r="A17248" s="4" t="s">
        <v>1</v>
      </c>
      <c r="B17248" s="3" t="str">
        <f>HYPERLINK("https://otsuka-europe-crm.veevavault.com/ui/#object/approved_document__v/V5O00000000Q003", "LUP-Material riñones CLM")</f>
        <v>LUP-Material riñones CLM</v>
      </c>
      <c r="C17248" s="3" t="str">
        <f>HYPERLINK("https://otsuka-europe-crm.veevavault.com/ui/#object/sent_email__v/VBL00000001D333", "SE-001404638")</f>
        <v>SE-001404638</v>
      </c>
      <c r="D17248" s="1" t="s">
        <v>0</v>
      </c>
      <c r="E17248" s="2">
        <v>0</v>
      </c>
      <c r="F17248" s="2">
        <v>0</v>
      </c>
      <c r="G17248" s="2">
        <v>0</v>
      </c>
      <c r="H17248" s="1" t="s">
        <v>0</v>
      </c>
      <c r="I17248" s="2">
        <v>0</v>
      </c>
      <c r="J17248" s="1">
        <v>46071.626863425925</v>
      </c>
    </row>
    <row r="17249" spans="1:10" x14ac:dyDescent="0.2">
      <c r="A17249" s="4" t="s">
        <v>1</v>
      </c>
      <c r="B17249" s="3" t="str">
        <f>HYPERLINK("https://otsuka-europe-crm.veevavault.com/ui/#object/approved_document__v/V5O00000000Q003", "LUP-Material riñones CLM")</f>
        <v>LUP-Material riñones CLM</v>
      </c>
      <c r="C17249" s="3" t="str">
        <f>HYPERLINK("https://otsuka-europe-crm.veevavault.com/ui/#object/sent_email__v/VBL00000001D334", "SE-001404639")</f>
        <v>SE-001404639</v>
      </c>
      <c r="D17249" s="1">
        <v>46072.334479166668</v>
      </c>
      <c r="E17249" s="2">
        <v>1</v>
      </c>
      <c r="F17249" s="2">
        <v>1</v>
      </c>
      <c r="G17249" s="2">
        <v>0</v>
      </c>
      <c r="H17249" s="1" t="s">
        <v>0</v>
      </c>
      <c r="I17249" s="2">
        <v>0</v>
      </c>
      <c r="J17249" s="1">
        <v>46071.627129629633</v>
      </c>
    </row>
    <row r="17250" spans="1:10" x14ac:dyDescent="0.2">
      <c r="A17250" s="4" t="s">
        <v>1</v>
      </c>
      <c r="B17250" s="3" t="str">
        <f>HYPERLINK("https://otsuka-europe-crm.veevavault.com/ui/#object/approved_document__v/V5O00000000Q003", "LUP-Material riñones CLM")</f>
        <v>LUP-Material riñones CLM</v>
      </c>
      <c r="C17250" s="3" t="str">
        <f>HYPERLINK("https://otsuka-europe-crm.veevavault.com/ui/#object/sent_email__v/VBL00000001D335", "SE-001404640")</f>
        <v>SE-001404640</v>
      </c>
      <c r="D17250" s="1" t="s">
        <v>0</v>
      </c>
      <c r="E17250" s="2">
        <v>0</v>
      </c>
      <c r="F17250" s="2">
        <v>0</v>
      </c>
      <c r="G17250" s="2">
        <v>0</v>
      </c>
      <c r="H17250" s="1" t="s">
        <v>0</v>
      </c>
      <c r="I17250" s="2">
        <v>0</v>
      </c>
      <c r="J17250" s="1">
        <v>46071.627384259256</v>
      </c>
    </row>
    <row r="17251" spans="1:10" x14ac:dyDescent="0.2">
      <c r="A17251" s="4" t="s">
        <v>1</v>
      </c>
      <c r="B17251" s="3" t="str">
        <f>HYPERLINK("https://otsuka-europe-crm.veevavault.com/ui/#object/approved_document__v/V5O00000000Q003", "LUP-Material riñones CLM")</f>
        <v>LUP-Material riñones CLM</v>
      </c>
      <c r="C17251" s="3" t="str">
        <f>HYPERLINK("https://otsuka-europe-crm.veevavault.com/ui/#object/sent_email__v/VBL00000001D336", "SE-001404641")</f>
        <v>SE-001404641</v>
      </c>
      <c r="D17251" s="1" t="s">
        <v>0</v>
      </c>
      <c r="E17251" s="2">
        <v>0</v>
      </c>
      <c r="F17251" s="2">
        <v>0</v>
      </c>
      <c r="G17251" s="2">
        <v>0</v>
      </c>
      <c r="H17251" s="1" t="s">
        <v>0</v>
      </c>
      <c r="I17251" s="2">
        <v>0</v>
      </c>
      <c r="J17251" s="1">
        <v>46071.627638888887</v>
      </c>
    </row>
    <row r="17252" spans="1:10" x14ac:dyDescent="0.2">
      <c r="A17252" s="4" t="s">
        <v>1</v>
      </c>
      <c r="B17252" s="3" t="str">
        <f>HYPERLINK("https://otsuka-europe-crm.veevavault.com/ui/#object/approved_document__v/V5O00000000Q003", "LUP-Material riñones CLM")</f>
        <v>LUP-Material riñones CLM</v>
      </c>
      <c r="C17252" s="3" t="str">
        <f>HYPERLINK("https://otsuka-europe-crm.veevavault.com/ui/#object/sent_email__v/VBL00000001D337", "SE-001404642")</f>
        <v>SE-001404642</v>
      </c>
      <c r="D17252" s="1">
        <v>46071.866446759261</v>
      </c>
      <c r="E17252" s="2">
        <v>1</v>
      </c>
      <c r="F17252" s="2">
        <v>1</v>
      </c>
      <c r="G17252" s="2">
        <v>0</v>
      </c>
      <c r="H17252" s="1" t="s">
        <v>0</v>
      </c>
      <c r="I17252" s="2">
        <v>0</v>
      </c>
      <c r="J17252" s="1">
        <v>46071.627893518518</v>
      </c>
    </row>
    <row r="17253" spans="1:10" x14ac:dyDescent="0.2">
      <c r="A17253" s="4" t="s">
        <v>1</v>
      </c>
      <c r="B17253" s="3" t="str">
        <f>HYPERLINK("https://otsuka-europe-crm.veevavault.com/ui/#object/approved_document__v/V5O00000000Q003", "LUP-Material riñones CLM")</f>
        <v>LUP-Material riñones CLM</v>
      </c>
      <c r="C17253" s="3" t="str">
        <f>HYPERLINK("https://otsuka-europe-crm.veevavault.com/ui/#object/sent_email__v/VBL00000001D338", "SE-001404643")</f>
        <v>SE-001404643</v>
      </c>
      <c r="D17253" s="1">
        <v>46071.629363425927</v>
      </c>
      <c r="E17253" s="2">
        <v>1</v>
      </c>
      <c r="F17253" s="2">
        <v>4</v>
      </c>
      <c r="G17253" s="2">
        <v>1</v>
      </c>
      <c r="H17253" s="1">
        <v>46071.630335648151</v>
      </c>
      <c r="I17253" s="2">
        <v>9</v>
      </c>
      <c r="J17253" s="1">
        <v>46071.628159722219</v>
      </c>
    </row>
    <row r="17254" spans="1:10" x14ac:dyDescent="0.2">
      <c r="A17254" s="4" t="s">
        <v>1</v>
      </c>
      <c r="B17254" s="3" t="str">
        <f>HYPERLINK("https://otsuka-europe-crm.veevavault.com/ui/#object/approved_document__v/V5O00000000Q003", "LUP-Material riñones CLM")</f>
        <v>LUP-Material riñones CLM</v>
      </c>
      <c r="C17254" s="3" t="str">
        <f>HYPERLINK("https://otsuka-europe-crm.veevavault.com/ui/#object/sent_email__v/VBL00000001D339", "SE-001404644")</f>
        <v>SE-001404644</v>
      </c>
      <c r="D17254" s="1" t="s">
        <v>0</v>
      </c>
      <c r="E17254" s="2">
        <v>0</v>
      </c>
      <c r="F17254" s="2">
        <v>0</v>
      </c>
      <c r="G17254" s="2">
        <v>0</v>
      </c>
      <c r="H17254" s="1" t="s">
        <v>0</v>
      </c>
      <c r="I17254" s="2">
        <v>0</v>
      </c>
      <c r="J17254" s="1">
        <v>46071.62840277778</v>
      </c>
    </row>
    <row r="17255" spans="1:10" x14ac:dyDescent="0.2">
      <c r="A17255" s="4" t="s">
        <v>1</v>
      </c>
      <c r="B17255" s="3" t="str">
        <f>HYPERLINK("https://otsuka-europe-crm.veevavault.com/ui/#object/approved_document__v/V5O00000000Q003", "LUP-Material riñones CLM")</f>
        <v>LUP-Material riñones CLM</v>
      </c>
      <c r="C17255" s="3" t="str">
        <f>HYPERLINK("https://otsuka-europe-crm.veevavault.com/ui/#object/sent_email__v/VBL00000001D340", "SE-001404645")</f>
        <v>SE-001404645</v>
      </c>
      <c r="D17255" s="1">
        <v>46073.794016203705</v>
      </c>
      <c r="E17255" s="2">
        <v>1</v>
      </c>
      <c r="F17255" s="2">
        <v>1</v>
      </c>
      <c r="G17255" s="2">
        <v>1</v>
      </c>
      <c r="H17255" s="1">
        <v>46073.794016203705</v>
      </c>
      <c r="I17255" s="2">
        <v>1</v>
      </c>
      <c r="J17255" s="1">
        <v>46071.628611111111</v>
      </c>
    </row>
    <row r="17256" spans="1:10" x14ac:dyDescent="0.2">
      <c r="A17256" s="4" t="s">
        <v>1</v>
      </c>
      <c r="B17256" s="3" t="str">
        <f>HYPERLINK("https://otsuka-europe-crm.veevavault.com/ui/#object/approved_document__v/V5O00000000Q003", "LUP-Material riñones CLM")</f>
        <v>LUP-Material riñones CLM</v>
      </c>
      <c r="C17256" s="3" t="str">
        <f>HYPERLINK("https://otsuka-europe-crm.veevavault.com/ui/#object/sent_email__v/VBL00000001D341", "SE-001404646")</f>
        <v>SE-001404646</v>
      </c>
      <c r="D17256" s="1">
        <v>46072.297233796293</v>
      </c>
      <c r="E17256" s="2">
        <v>1</v>
      </c>
      <c r="F17256" s="2">
        <v>1</v>
      </c>
      <c r="G17256" s="2">
        <v>0</v>
      </c>
      <c r="H17256" s="1" t="s">
        <v>0</v>
      </c>
      <c r="I17256" s="2">
        <v>0</v>
      </c>
      <c r="J17256" s="1">
        <v>46071.628796296296</v>
      </c>
    </row>
    <row r="17257" spans="1:10" x14ac:dyDescent="0.2">
      <c r="A17257" s="4" t="s">
        <v>1</v>
      </c>
      <c r="B17257" s="3" t="str">
        <f>HYPERLINK("https://otsuka-europe-crm.veevavault.com/ui/#object/approved_document__v/V5O00000000Q003", "LUP-Material riñones CLM")</f>
        <v>LUP-Material riñones CLM</v>
      </c>
      <c r="C17257" s="3" t="str">
        <f>HYPERLINK("https://otsuka-europe-crm.veevavault.com/ui/#object/sent_email__v/VBL00000001D342", "SE-001404647")</f>
        <v>SE-001404647</v>
      </c>
      <c r="D17257" s="1">
        <v>46071.722013888888</v>
      </c>
      <c r="E17257" s="2">
        <v>1</v>
      </c>
      <c r="F17257" s="2">
        <v>5</v>
      </c>
      <c r="G17257" s="2">
        <v>1</v>
      </c>
      <c r="H17257" s="1">
        <v>46071.69326388889</v>
      </c>
      <c r="I17257" s="2">
        <v>4</v>
      </c>
      <c r="J17257" s="1">
        <v>46071.628969907404</v>
      </c>
    </row>
    <row r="17258" spans="1:10" x14ac:dyDescent="0.2">
      <c r="A17258" s="4" t="s">
        <v>1</v>
      </c>
      <c r="B17258" s="3" t="str">
        <f>HYPERLINK("https://otsuka-europe-crm.veevavault.com/ui/#object/approved_document__v/V5O00000000Q003", "LUP-Material riñones CLM")</f>
        <v>LUP-Material riñones CLM</v>
      </c>
      <c r="C17258" s="3" t="str">
        <f>HYPERLINK("https://otsuka-europe-crm.veevavault.com/ui/#object/sent_email__v/VBL00000001D343", "SE-001404648")</f>
        <v>SE-001404648</v>
      </c>
      <c r="D17258" s="1">
        <v>46071.629305555558</v>
      </c>
      <c r="E17258" s="2">
        <v>1</v>
      </c>
      <c r="F17258" s="2">
        <v>1</v>
      </c>
      <c r="G17258" s="2">
        <v>1</v>
      </c>
      <c r="H17258" s="1">
        <v>46071.629525462966</v>
      </c>
      <c r="I17258" s="2">
        <v>2</v>
      </c>
      <c r="J17258" s="1">
        <v>46071.629166666666</v>
      </c>
    </row>
    <row r="17259" spans="1:10" x14ac:dyDescent="0.2">
      <c r="A17259" s="4" t="s">
        <v>1</v>
      </c>
      <c r="B17259" s="3" t="str">
        <f>HYPERLINK("https://otsuka-europe-crm.veevavault.com/ui/#object/approved_document__v/V5O00000000Q003", "LUP-Material riñones CLM")</f>
        <v>LUP-Material riñones CLM</v>
      </c>
      <c r="C17259" s="3" t="str">
        <f>HYPERLINK("https://otsuka-europe-crm.veevavault.com/ui/#object/sent_email__v/VBL00000001D344", "SE-001404649")</f>
        <v>SE-001404649</v>
      </c>
      <c r="D17259" s="1" t="s">
        <v>0</v>
      </c>
      <c r="E17259" s="2">
        <v>0</v>
      </c>
      <c r="F17259" s="2">
        <v>0</v>
      </c>
      <c r="G17259" s="2">
        <v>0</v>
      </c>
      <c r="H17259" s="1" t="s">
        <v>0</v>
      </c>
      <c r="I17259" s="2">
        <v>0</v>
      </c>
      <c r="J17259" s="1">
        <v>46071.62940972222</v>
      </c>
    </row>
    <row r="17260" spans="1:10" x14ac:dyDescent="0.2">
      <c r="A17260" s="4" t="s">
        <v>1</v>
      </c>
      <c r="B17260" s="3" t="str">
        <f>HYPERLINK("https://otsuka-europe-crm.veevavault.com/ui/#object/approved_document__v/V5O00000000Q003", "LUP-Material riñones CLM")</f>
        <v>LUP-Material riñones CLM</v>
      </c>
      <c r="C17260" s="3" t="str">
        <f>HYPERLINK("https://otsuka-europe-crm.veevavault.com/ui/#object/sent_email__v/VBL00000001D345", "SE-001404650")</f>
        <v>SE-001404650</v>
      </c>
      <c r="D17260" s="1" t="s">
        <v>0</v>
      </c>
      <c r="E17260" s="2">
        <v>0</v>
      </c>
      <c r="F17260" s="2">
        <v>0</v>
      </c>
      <c r="G17260" s="2">
        <v>0</v>
      </c>
      <c r="H17260" s="1" t="s">
        <v>0</v>
      </c>
      <c r="I17260" s="2">
        <v>0</v>
      </c>
      <c r="J17260" s="1">
        <v>46071.629675925928</v>
      </c>
    </row>
    <row r="17261" spans="1:10" x14ac:dyDescent="0.2">
      <c r="A17261" s="4" t="s">
        <v>1</v>
      </c>
      <c r="B17261" s="3" t="str">
        <f>HYPERLINK("https://otsuka-europe-crm.veevavault.com/ui/#object/approved_document__v/V5O00000000Q003", "LUP-Material riñones CLM")</f>
        <v>LUP-Material riñones CLM</v>
      </c>
      <c r="C17261" s="3" t="str">
        <f>HYPERLINK("https://otsuka-europe-crm.veevavault.com/ui/#object/sent_email__v/VBL00000001D346", "SE-001404651")</f>
        <v>SE-001404651</v>
      </c>
      <c r="D17261" s="1">
        <v>46071.679386574076</v>
      </c>
      <c r="E17261" s="2">
        <v>1</v>
      </c>
      <c r="F17261" s="2">
        <v>1</v>
      </c>
      <c r="G17261" s="2">
        <v>0</v>
      </c>
      <c r="H17261" s="1" t="s">
        <v>0</v>
      </c>
      <c r="I17261" s="2">
        <v>0</v>
      </c>
      <c r="J17261" s="1">
        <v>46071.629930555559</v>
      </c>
    </row>
    <row r="17262" spans="1:10" x14ac:dyDescent="0.2">
      <c r="A17262" s="4" t="s">
        <v>1</v>
      </c>
      <c r="B17262" s="3" t="str">
        <f>HYPERLINK("https://otsuka-europe-crm.veevavault.com/ui/#object/approved_document__v/V5O00000000Q003", "LUP-Material riñones CLM")</f>
        <v>LUP-Material riñones CLM</v>
      </c>
      <c r="C17262" s="3" t="str">
        <f>HYPERLINK("https://otsuka-europe-crm.veevavault.com/ui/#object/sent_email__v/VBL00000001D347", "SE-001404652")</f>
        <v>SE-001404652</v>
      </c>
      <c r="D17262" s="1" t="s">
        <v>0</v>
      </c>
      <c r="E17262" s="2">
        <v>0</v>
      </c>
      <c r="F17262" s="2">
        <v>0</v>
      </c>
      <c r="G17262" s="2">
        <v>0</v>
      </c>
      <c r="H17262" s="1" t="s">
        <v>0</v>
      </c>
      <c r="I17262" s="2">
        <v>0</v>
      </c>
      <c r="J17262" s="1">
        <v>46071.630185185182</v>
      </c>
    </row>
    <row r="17263" spans="1:10" x14ac:dyDescent="0.2">
      <c r="A17263" s="4" t="s">
        <v>1</v>
      </c>
      <c r="B17263" s="3" t="str">
        <f>HYPERLINK("https://otsuka-europe-crm.veevavault.com/ui/#object/approved_document__v/V5O00000000Q003", "LUP-Material riñones CLM")</f>
        <v>LUP-Material riñones CLM</v>
      </c>
      <c r="C17263" s="3" t="str">
        <f>HYPERLINK("https://otsuka-europe-crm.veevavault.com/ui/#object/sent_email__v/VBL00000001D348", "SE-001404653")</f>
        <v>SE-001404653</v>
      </c>
      <c r="D17263" s="1">
        <v>46071.630925925929</v>
      </c>
      <c r="E17263" s="2">
        <v>1</v>
      </c>
      <c r="F17263" s="2">
        <v>4</v>
      </c>
      <c r="G17263" s="2">
        <v>1</v>
      </c>
      <c r="H17263" s="1">
        <v>46071.632048611114</v>
      </c>
      <c r="I17263" s="2">
        <v>8</v>
      </c>
      <c r="J17263" s="1">
        <v>46071.630439814813</v>
      </c>
    </row>
    <row r="17264" spans="1:10" x14ac:dyDescent="0.2">
      <c r="A17264" s="4" t="s">
        <v>1</v>
      </c>
      <c r="B17264" s="3" t="str">
        <f>HYPERLINK("https://otsuka-europe-crm.veevavault.com/ui/#object/approved_document__v/V5O00000000Q003", "LUP-Material riñones CLM")</f>
        <v>LUP-Material riñones CLM</v>
      </c>
      <c r="C17264" s="3" t="str">
        <f>HYPERLINK("https://otsuka-europe-crm.veevavault.com/ui/#object/sent_email__v/VBL00000001D349", "SE-001404654")</f>
        <v>SE-001404654</v>
      </c>
      <c r="D17264" s="1" t="s">
        <v>0</v>
      </c>
      <c r="E17264" s="2">
        <v>0</v>
      </c>
      <c r="F17264" s="2">
        <v>0</v>
      </c>
      <c r="G17264" s="2">
        <v>0</v>
      </c>
      <c r="H17264" s="1" t="s">
        <v>0</v>
      </c>
      <c r="I17264" s="2">
        <v>0</v>
      </c>
      <c r="J17264" s="1">
        <v>46071.630694444444</v>
      </c>
    </row>
    <row r="17265" spans="1:10" x14ac:dyDescent="0.2">
      <c r="A17265" s="4" t="s">
        <v>1</v>
      </c>
      <c r="B17265" s="3" t="str">
        <f>HYPERLINK("https://otsuka-europe-crm.veevavault.com/ui/#object/approved_document__v/V5O00000000Q003", "LUP-Material riñones CLM")</f>
        <v>LUP-Material riñones CLM</v>
      </c>
      <c r="C17265" s="3" t="str">
        <f>HYPERLINK("https://otsuka-europe-crm.veevavault.com/ui/#object/sent_email__v/VBL00000001D350", "SE-001404655")</f>
        <v>SE-001404655</v>
      </c>
      <c r="D17265" s="1" t="s">
        <v>0</v>
      </c>
      <c r="E17265" s="2">
        <v>0</v>
      </c>
      <c r="F17265" s="2">
        <v>0</v>
      </c>
      <c r="G17265" s="2">
        <v>0</v>
      </c>
      <c r="H17265" s="1" t="s">
        <v>0</v>
      </c>
      <c r="I17265" s="2">
        <v>0</v>
      </c>
      <c r="J17265" s="1">
        <v>46071.630972222221</v>
      </c>
    </row>
    <row r="17266" spans="1:10" x14ac:dyDescent="0.2">
      <c r="A17266" s="4" t="s">
        <v>1</v>
      </c>
      <c r="B17266" s="3" t="str">
        <f>HYPERLINK("https://otsuka-europe-crm.veevavault.com/ui/#object/approved_document__v/V5O00000000Q003", "LUP-Material riñones CLM")</f>
        <v>LUP-Material riñones CLM</v>
      </c>
      <c r="C17266" s="3" t="str">
        <f>HYPERLINK("https://otsuka-europe-crm.veevavault.com/ui/#object/sent_email__v/VBL00000001D351", "SE-001404656")</f>
        <v>SE-001404656</v>
      </c>
      <c r="D17266" s="1">
        <v>46071.655833333331</v>
      </c>
      <c r="E17266" s="2">
        <v>1</v>
      </c>
      <c r="F17266" s="2">
        <v>1</v>
      </c>
      <c r="G17266" s="2">
        <v>0</v>
      </c>
      <c r="H17266" s="1" t="s">
        <v>0</v>
      </c>
      <c r="I17266" s="2">
        <v>0</v>
      </c>
      <c r="J17266" s="1">
        <v>46071.631284722222</v>
      </c>
    </row>
    <row r="17267" spans="1:10" x14ac:dyDescent="0.2">
      <c r="A17267" s="4" t="s">
        <v>1</v>
      </c>
      <c r="B17267" s="3" t="str">
        <f>HYPERLINK("https://otsuka-europe-crm.veevavault.com/ui/#object/approved_document__v/V5O00000000Q003", "LUP-Material riñones CLM")</f>
        <v>LUP-Material riñones CLM</v>
      </c>
      <c r="C17267" s="3" t="str">
        <f>HYPERLINK("https://otsuka-europe-crm.veevavault.com/ui/#object/sent_email__v/VBL00000001D352", "SE-001404657")</f>
        <v>SE-001404657</v>
      </c>
      <c r="D17267" s="1" t="s">
        <v>0</v>
      </c>
      <c r="E17267" s="2">
        <v>0</v>
      </c>
      <c r="F17267" s="2">
        <v>0</v>
      </c>
      <c r="G17267" s="2">
        <v>0</v>
      </c>
      <c r="H17267" s="1" t="s">
        <v>0</v>
      </c>
      <c r="I17267" s="2">
        <v>0</v>
      </c>
      <c r="J17267" s="1">
        <v>46071.631504629629</v>
      </c>
    </row>
    <row r="17268" spans="1:10" x14ac:dyDescent="0.2">
      <c r="A17268" s="4" t="s">
        <v>1</v>
      </c>
      <c r="B17268" s="3" t="str">
        <f>HYPERLINK("https://otsuka-europe-crm.veevavault.com/ui/#object/approved_document__v/V5O00000000Q003", "LUP-Material riñones CLM")</f>
        <v>LUP-Material riñones CLM</v>
      </c>
      <c r="C17268" s="3" t="str">
        <f>HYPERLINK("https://otsuka-europe-crm.veevavault.com/ui/#object/sent_email__v/VBL00000001D353", "SE-001404658")</f>
        <v>SE-001404658</v>
      </c>
      <c r="D17268" s="1">
        <v>46071.705775462964</v>
      </c>
      <c r="E17268" s="2">
        <v>1</v>
      </c>
      <c r="F17268" s="2">
        <v>3</v>
      </c>
      <c r="G17268" s="2">
        <v>0</v>
      </c>
      <c r="H17268" s="1" t="s">
        <v>0</v>
      </c>
      <c r="I17268" s="2">
        <v>0</v>
      </c>
      <c r="J17268" s="1">
        <v>46071.63177083333</v>
      </c>
    </row>
    <row r="17269" spans="1:10" x14ac:dyDescent="0.2">
      <c r="A17269" s="4" t="s">
        <v>1</v>
      </c>
      <c r="B17269" s="3" t="str">
        <f>HYPERLINK("https://otsuka-europe-crm.veevavault.com/ui/#object/approved_document__v/V5O00000000Q003", "LUP-Material riñones CLM")</f>
        <v>LUP-Material riñones CLM</v>
      </c>
      <c r="C17269" s="3" t="str">
        <f>HYPERLINK("https://otsuka-europe-crm.veevavault.com/ui/#object/sent_email__v/VBL00000001D354", "SE-001404659")</f>
        <v>SE-001404659</v>
      </c>
      <c r="D17269" s="1">
        <v>46071.948368055557</v>
      </c>
      <c r="E17269" s="2">
        <v>1</v>
      </c>
      <c r="F17269" s="2">
        <v>1</v>
      </c>
      <c r="G17269" s="2">
        <v>0</v>
      </c>
      <c r="H17269" s="1" t="s">
        <v>0</v>
      </c>
      <c r="I17269" s="2">
        <v>0</v>
      </c>
      <c r="J17269" s="1">
        <v>46071.631967592592</v>
      </c>
    </row>
    <row r="17270" spans="1:10" x14ac:dyDescent="0.2">
      <c r="A17270" s="4" t="s">
        <v>1</v>
      </c>
      <c r="B17270" s="3" t="str">
        <f>HYPERLINK("https://otsuka-europe-crm.veevavault.com/ui/#object/approved_document__v/V5O00000000Q003", "LUP-Material riñones CLM")</f>
        <v>LUP-Material riñones CLM</v>
      </c>
      <c r="C17270" s="3" t="str">
        <f>HYPERLINK("https://otsuka-europe-crm.veevavault.com/ui/#object/sent_email__v/VBL00000001D355", "SE-001404660")</f>
        <v>SE-001404660</v>
      </c>
      <c r="D17270" s="1">
        <v>46073.566782407404</v>
      </c>
      <c r="E17270" s="2">
        <v>1</v>
      </c>
      <c r="F17270" s="2">
        <v>3</v>
      </c>
      <c r="G17270" s="2">
        <v>1</v>
      </c>
      <c r="H17270" s="1">
        <v>46073.629687499997</v>
      </c>
      <c r="I17270" s="2">
        <v>4</v>
      </c>
      <c r="J17270" s="1">
        <v>46071.632152777776</v>
      </c>
    </row>
    <row r="17271" spans="1:10" x14ac:dyDescent="0.2">
      <c r="A17271" s="4" t="s">
        <v>1</v>
      </c>
      <c r="B17271" s="3" t="str">
        <f>HYPERLINK("https://otsuka-europe-crm.veevavault.com/ui/#object/approved_document__v/V5O00000000Q003", "LUP-Material riñones CLM")</f>
        <v>LUP-Material riñones CLM</v>
      </c>
      <c r="C17271" s="3" t="str">
        <f>HYPERLINK("https://otsuka-europe-crm.veevavault.com/ui/#object/sent_email__v/VBL00000001D356", "SE-001404661")</f>
        <v>SE-001404661</v>
      </c>
      <c r="D17271" s="1" t="s">
        <v>0</v>
      </c>
      <c r="E17271" s="2">
        <v>0</v>
      </c>
      <c r="F17271" s="2">
        <v>0</v>
      </c>
      <c r="G17271" s="2">
        <v>0</v>
      </c>
      <c r="H17271" s="1" t="s">
        <v>0</v>
      </c>
      <c r="I17271" s="2">
        <v>0</v>
      </c>
      <c r="J17271" s="1">
        <v>46071.632326388892</v>
      </c>
    </row>
    <row r="17272" spans="1:10" x14ac:dyDescent="0.2">
      <c r="A17272" s="4" t="s">
        <v>1</v>
      </c>
      <c r="B17272" s="3" t="str">
        <f>HYPERLINK("https://otsuka-europe-crm.veevavault.com/ui/#object/approved_document__v/V5O00000000Q003", "LUP-Material riñones CLM")</f>
        <v>LUP-Material riñones CLM</v>
      </c>
      <c r="C17272" s="3" t="str">
        <f>HYPERLINK("https://otsuka-europe-crm.veevavault.com/ui/#object/sent_email__v/VBL00000001D357", "SE-001404662")</f>
        <v>SE-001404662</v>
      </c>
      <c r="D17272" s="1" t="s">
        <v>0</v>
      </c>
      <c r="E17272" s="2">
        <v>0</v>
      </c>
      <c r="F17272" s="2">
        <v>0</v>
      </c>
      <c r="G17272" s="2">
        <v>0</v>
      </c>
      <c r="H17272" s="1" t="s">
        <v>0</v>
      </c>
      <c r="I17272" s="2">
        <v>0</v>
      </c>
      <c r="J17272" s="1">
        <v>46071.632511574076</v>
      </c>
    </row>
    <row r="17273" spans="1:10" x14ac:dyDescent="0.2">
      <c r="A17273" s="4" t="s">
        <v>1</v>
      </c>
      <c r="B17273" s="3" t="str">
        <f>HYPERLINK("https://otsuka-europe-crm.veevavault.com/ui/#object/approved_document__v/V5O00000000Q003", "LUP-Material riñones CLM")</f>
        <v>LUP-Material riñones CLM</v>
      </c>
      <c r="C17273" s="3" t="str">
        <f>HYPERLINK("https://otsuka-europe-crm.veevavault.com/ui/#object/sent_email__v/VBL00000001D358", "SE-001404663")</f>
        <v>SE-001404663</v>
      </c>
      <c r="D17273" s="1">
        <v>46071.633298611108</v>
      </c>
      <c r="E17273" s="2">
        <v>1</v>
      </c>
      <c r="F17273" s="2">
        <v>2</v>
      </c>
      <c r="G17273" s="2">
        <v>1</v>
      </c>
      <c r="H17273" s="1">
        <v>46071.634270833332</v>
      </c>
      <c r="I17273" s="2">
        <v>8</v>
      </c>
      <c r="J17273" s="1">
        <v>46071.632743055554</v>
      </c>
    </row>
    <row r="17274" spans="1:10" x14ac:dyDescent="0.2">
      <c r="A17274" s="4" t="s">
        <v>1</v>
      </c>
      <c r="B17274" s="3" t="str">
        <f>HYPERLINK("https://otsuka-europe-crm.veevavault.com/ui/#object/approved_document__v/V5O00000000Q003", "LUP-Material riñones CLM")</f>
        <v>LUP-Material riñones CLM</v>
      </c>
      <c r="C17274" s="3" t="str">
        <f>HYPERLINK("https://otsuka-europe-crm.veevavault.com/ui/#object/sent_email__v/VBL00000001D359", "SE-001404664")</f>
        <v>SE-001404664</v>
      </c>
      <c r="D17274" s="1">
        <v>46071.804224537038</v>
      </c>
      <c r="E17274" s="2">
        <v>1</v>
      </c>
      <c r="F17274" s="2">
        <v>4</v>
      </c>
      <c r="G17274" s="2">
        <v>1</v>
      </c>
      <c r="H17274" s="1">
        <v>46071.779722222222</v>
      </c>
      <c r="I17274" s="2">
        <v>2</v>
      </c>
      <c r="J17274" s="1">
        <v>46071.633009259262</v>
      </c>
    </row>
    <row r="17275" spans="1:10" x14ac:dyDescent="0.2">
      <c r="A17275" s="4" t="s">
        <v>1</v>
      </c>
      <c r="B17275" s="3" t="str">
        <f>HYPERLINK("https://otsuka-europe-crm.veevavault.com/ui/#object/approved_document__v/V5O00000000Q003", "LUP-Material riñones CLM")</f>
        <v>LUP-Material riñones CLM</v>
      </c>
      <c r="C17275" s="3" t="str">
        <f>HYPERLINK("https://otsuka-europe-crm.veevavault.com/ui/#object/sent_email__v/VBL00000001D360", "SE-001404665")</f>
        <v>SE-001404665</v>
      </c>
      <c r="D17275" s="1">
        <v>46071.646782407406</v>
      </c>
      <c r="E17275" s="2">
        <v>1</v>
      </c>
      <c r="F17275" s="2">
        <v>2</v>
      </c>
      <c r="G17275" s="2">
        <v>0</v>
      </c>
      <c r="H17275" s="1" t="s">
        <v>0</v>
      </c>
      <c r="I17275" s="2">
        <v>0</v>
      </c>
      <c r="J17275" s="1">
        <v>46071.633263888885</v>
      </c>
    </row>
    <row r="17276" spans="1:10" x14ac:dyDescent="0.2">
      <c r="A17276" s="4" t="s">
        <v>1</v>
      </c>
      <c r="B17276" s="3" t="str">
        <f>HYPERLINK("https://otsuka-europe-crm.veevavault.com/ui/#object/approved_document__v/V5O00000000Q003", "LUP-Material riñones CLM")</f>
        <v>LUP-Material riñones CLM</v>
      </c>
      <c r="C17276" s="3" t="str">
        <f>HYPERLINK("https://otsuka-europe-crm.veevavault.com/ui/#object/sent_email__v/VBL00000001D361", "SE-001404666")</f>
        <v>SE-001404666</v>
      </c>
      <c r="D17276" s="1">
        <v>46077.789375</v>
      </c>
      <c r="E17276" s="2">
        <v>1</v>
      </c>
      <c r="F17276" s="2">
        <v>2</v>
      </c>
      <c r="G17276" s="2">
        <v>0</v>
      </c>
      <c r="H17276" s="1" t="s">
        <v>0</v>
      </c>
      <c r="I17276" s="2">
        <v>0</v>
      </c>
      <c r="J17276" s="1">
        <v>46071.633518518516</v>
      </c>
    </row>
    <row r="17277" spans="1:10" x14ac:dyDescent="0.2">
      <c r="A17277" s="4" t="s">
        <v>1</v>
      </c>
      <c r="B17277" s="3" t="str">
        <f>HYPERLINK("https://otsuka-europe-crm.veevavault.com/ui/#object/approved_document__v/V5O00000000Q003", "LUP-Material riñones CLM")</f>
        <v>LUP-Material riñones CLM</v>
      </c>
      <c r="C17277" s="3" t="str">
        <f>HYPERLINK("https://otsuka-europe-crm.veevavault.com/ui/#object/sent_email__v/VBL00000001D362", "SE-001404667")</f>
        <v>SE-001404667</v>
      </c>
      <c r="D17277" s="1">
        <v>46071.637094907404</v>
      </c>
      <c r="E17277" s="2">
        <v>1</v>
      </c>
      <c r="F17277" s="2">
        <v>1</v>
      </c>
      <c r="G17277" s="2">
        <v>0</v>
      </c>
      <c r="H17277" s="1" t="s">
        <v>0</v>
      </c>
      <c r="I17277" s="2">
        <v>0</v>
      </c>
      <c r="J17277" s="1">
        <v>46071.633796296293</v>
      </c>
    </row>
    <row r="17278" spans="1:10" x14ac:dyDescent="0.2">
      <c r="A17278" s="4" t="s">
        <v>1</v>
      </c>
      <c r="B17278" s="3" t="str">
        <f>HYPERLINK("https://otsuka-europe-crm.veevavault.com/ui/#object/approved_document__v/V5O00000000Q003", "LUP-Material riñones CLM")</f>
        <v>LUP-Material riñones CLM</v>
      </c>
      <c r="C17278" s="3" t="str">
        <f>HYPERLINK("https://otsuka-europe-crm.veevavault.com/ui/#object/sent_email__v/VBL00000001D363", "SE-001404668")</f>
        <v>SE-001404668</v>
      </c>
      <c r="D17278" s="1">
        <v>46071.70579861111</v>
      </c>
      <c r="E17278" s="2">
        <v>1</v>
      </c>
      <c r="F17278" s="2">
        <v>3</v>
      </c>
      <c r="G17278" s="2">
        <v>1</v>
      </c>
      <c r="H17278" s="1">
        <v>46071.634317129632</v>
      </c>
      <c r="I17278" s="2">
        <v>2</v>
      </c>
      <c r="J17278" s="1">
        <v>46071.634050925924</v>
      </c>
    </row>
    <row r="17279" spans="1:10" x14ac:dyDescent="0.2">
      <c r="A17279" s="4" t="s">
        <v>1</v>
      </c>
      <c r="B17279" s="3" t="str">
        <f>HYPERLINK("https://otsuka-europe-crm.veevavault.com/ui/#object/approved_document__v/V5O00000000Q003", "LUP-Material riñones CLM")</f>
        <v>LUP-Material riñones CLM</v>
      </c>
      <c r="C17279" s="3" t="str">
        <f>HYPERLINK("https://otsuka-europe-crm.veevavault.com/ui/#object/sent_email__v/VBL00000001D364", "SE-001404669")</f>
        <v>SE-001404669</v>
      </c>
      <c r="D17279" s="1">
        <v>46071.820023148146</v>
      </c>
      <c r="E17279" s="2">
        <v>1</v>
      </c>
      <c r="F17279" s="2">
        <v>1</v>
      </c>
      <c r="G17279" s="2">
        <v>0</v>
      </c>
      <c r="H17279" s="1" t="s">
        <v>0</v>
      </c>
      <c r="I17279" s="2">
        <v>0</v>
      </c>
      <c r="J17279" s="1">
        <v>46071.634293981479</v>
      </c>
    </row>
    <row r="17280" spans="1:10" x14ac:dyDescent="0.2">
      <c r="A17280" s="4" t="s">
        <v>1</v>
      </c>
      <c r="B17280" s="3" t="str">
        <f>HYPERLINK("https://otsuka-europe-crm.veevavault.com/ui/#object/approved_document__v/V5O00000000Q003", "LUP-Material riñones CLM")</f>
        <v>LUP-Material riñones CLM</v>
      </c>
      <c r="C17280" s="3" t="str">
        <f>HYPERLINK("https://otsuka-europe-crm.veevavault.com/ui/#object/sent_email__v/VBL00000001D365", "SE-001404670")</f>
        <v>SE-001404670</v>
      </c>
      <c r="D17280" s="1" t="s">
        <v>0</v>
      </c>
      <c r="E17280" s="2">
        <v>0</v>
      </c>
      <c r="F17280" s="2">
        <v>0</v>
      </c>
      <c r="G17280" s="2">
        <v>0</v>
      </c>
      <c r="H17280" s="1" t="s">
        <v>0</v>
      </c>
      <c r="I17280" s="2">
        <v>0</v>
      </c>
      <c r="J17280" s="1">
        <v>46071.634548611109</v>
      </c>
    </row>
    <row r="17281" spans="1:10" x14ac:dyDescent="0.2">
      <c r="A17281" s="4" t="s">
        <v>1</v>
      </c>
      <c r="B17281" s="3" t="str">
        <f>HYPERLINK("https://otsuka-europe-crm.veevavault.com/ui/#object/approved_document__v/V5O00000000Q003", "LUP-Material riñones CLM")</f>
        <v>LUP-Material riñones CLM</v>
      </c>
      <c r="C17281" s="3" t="str">
        <f>HYPERLINK("https://otsuka-europe-crm.veevavault.com/ui/#object/sent_email__v/VBL00000001D366", "SE-001404671")</f>
        <v>SE-001404671</v>
      </c>
      <c r="D17281" s="1">
        <v>46072.520925925928</v>
      </c>
      <c r="E17281" s="2">
        <v>1</v>
      </c>
      <c r="F17281" s="2">
        <v>1</v>
      </c>
      <c r="G17281" s="2">
        <v>0</v>
      </c>
      <c r="H17281" s="1" t="s">
        <v>0</v>
      </c>
      <c r="I17281" s="2">
        <v>0</v>
      </c>
      <c r="J17281" s="1">
        <v>46071.63480324074</v>
      </c>
    </row>
    <row r="17282" spans="1:10" x14ac:dyDescent="0.2">
      <c r="A17282" s="4" t="s">
        <v>1</v>
      </c>
      <c r="B17282" s="3" t="str">
        <f>HYPERLINK("https://otsuka-europe-crm.veevavault.com/ui/#object/approved_document__v/V5O00000000Q003", "LUP-Material riñones CLM")</f>
        <v>LUP-Material riñones CLM</v>
      </c>
      <c r="C17282" s="3" t="str">
        <f>HYPERLINK("https://otsuka-europe-crm.veevavault.com/ui/#object/sent_email__v/VBL00000001D367", "SE-001404672")</f>
        <v>SE-001404672</v>
      </c>
      <c r="D17282" s="1">
        <v>46078.988287037035</v>
      </c>
      <c r="E17282" s="2">
        <v>1</v>
      </c>
      <c r="F17282" s="2">
        <v>3</v>
      </c>
      <c r="G17282" s="2">
        <v>0</v>
      </c>
      <c r="H17282" s="1" t="s">
        <v>0</v>
      </c>
      <c r="I17282" s="2">
        <v>0</v>
      </c>
      <c r="J17282" s="1">
        <v>46071.635069444441</v>
      </c>
    </row>
    <row r="17283" spans="1:10" x14ac:dyDescent="0.2">
      <c r="A17283" s="4" t="s">
        <v>1</v>
      </c>
      <c r="B17283" s="3" t="str">
        <f>HYPERLINK("https://otsuka-europe-crm.veevavault.com/ui/#object/approved_document__v/V5O00000000Q003", "LUP-Material riñones CLM")</f>
        <v>LUP-Material riñones CLM</v>
      </c>
      <c r="C17283" s="3" t="str">
        <f>HYPERLINK("https://otsuka-europe-crm.veevavault.com/ui/#object/sent_email__v/VBL00000001D368", "SE-001404673")</f>
        <v>SE-001404673</v>
      </c>
      <c r="D17283" s="1">
        <v>46071.695324074077</v>
      </c>
      <c r="E17283" s="2">
        <v>1</v>
      </c>
      <c r="F17283" s="2">
        <v>3</v>
      </c>
      <c r="G17283" s="2">
        <v>1</v>
      </c>
      <c r="H17283" s="1">
        <v>46071.695231481484</v>
      </c>
      <c r="I17283" s="2">
        <v>1</v>
      </c>
      <c r="J17283" s="1">
        <v>46071.635312500002</v>
      </c>
    </row>
    <row r="17284" spans="1:10" x14ac:dyDescent="0.2">
      <c r="A17284" s="4" t="s">
        <v>1</v>
      </c>
      <c r="B17284" s="3" t="str">
        <f>HYPERLINK("https://otsuka-europe-crm.veevavault.com/ui/#object/approved_document__v/V5O00000000Q003", "LUP-Material riñones CLM")</f>
        <v>LUP-Material riñones CLM</v>
      </c>
      <c r="C17284" s="3" t="str">
        <f>HYPERLINK("https://otsuka-europe-crm.veevavault.com/ui/#object/sent_email__v/VBL00000001D369", "SE-001404674")</f>
        <v>SE-001404674</v>
      </c>
      <c r="D17284" s="1">
        <v>46077.860949074071</v>
      </c>
      <c r="E17284" s="2">
        <v>1</v>
      </c>
      <c r="F17284" s="2">
        <v>7</v>
      </c>
      <c r="G17284" s="2">
        <v>1</v>
      </c>
      <c r="H17284" s="1">
        <v>46077.861111111109</v>
      </c>
      <c r="I17284" s="2">
        <v>11</v>
      </c>
      <c r="J17284" s="1">
        <v>46071.635520833333</v>
      </c>
    </row>
    <row r="17285" spans="1:10" x14ac:dyDescent="0.2">
      <c r="A17285" s="4" t="s">
        <v>1</v>
      </c>
      <c r="B17285" s="3" t="str">
        <f>HYPERLINK("https://otsuka-europe-crm.veevavault.com/ui/#object/approved_document__v/V5O00000000Q003", "LUP-Material riñones CLM")</f>
        <v>LUP-Material riñones CLM</v>
      </c>
      <c r="C17285" s="3" t="str">
        <f>HYPERLINK("https://otsuka-europe-crm.veevavault.com/ui/#object/sent_email__v/VBL00000001D370", "SE-001404675")</f>
        <v>SE-001404675</v>
      </c>
      <c r="D17285" s="1" t="s">
        <v>0</v>
      </c>
      <c r="E17285" s="2">
        <v>0</v>
      </c>
      <c r="F17285" s="2">
        <v>0</v>
      </c>
      <c r="G17285" s="2">
        <v>0</v>
      </c>
      <c r="H17285" s="1" t="s">
        <v>0</v>
      </c>
      <c r="I17285" s="2">
        <v>0</v>
      </c>
      <c r="J17285" s="1">
        <v>46071.635717592595</v>
      </c>
    </row>
    <row r="17286" spans="1:10" x14ac:dyDescent="0.2">
      <c r="A17286" s="4" t="s">
        <v>1</v>
      </c>
      <c r="B17286" s="3" t="str">
        <f>HYPERLINK("https://otsuka-europe-crm.veevavault.com/ui/#object/approved_document__v/V5O00000000Q003", "LUP-Material riñones CLM")</f>
        <v>LUP-Material riñones CLM</v>
      </c>
      <c r="C17286" s="3" t="str">
        <f>HYPERLINK("https://otsuka-europe-crm.veevavault.com/ui/#object/sent_email__v/VBL00000001D371", "SE-001404676")</f>
        <v>SE-001404676</v>
      </c>
      <c r="D17286" s="1">
        <v>46078.339317129627</v>
      </c>
      <c r="E17286" s="2">
        <v>1</v>
      </c>
      <c r="F17286" s="2">
        <v>2</v>
      </c>
      <c r="G17286" s="2">
        <v>1</v>
      </c>
      <c r="H17286" s="1">
        <v>46078.339513888888</v>
      </c>
      <c r="I17286" s="2">
        <v>2</v>
      </c>
      <c r="J17286" s="1">
        <v>46071.635891203703</v>
      </c>
    </row>
    <row r="17287" spans="1:10" x14ac:dyDescent="0.2">
      <c r="A17287" s="4" t="s">
        <v>1</v>
      </c>
      <c r="B17287" s="3" t="str">
        <f>HYPERLINK("https://otsuka-europe-crm.veevavault.com/ui/#object/approved_document__v/V5O00000000Q003", "LUP-Material riñones CLM")</f>
        <v>LUP-Material riñones CLM</v>
      </c>
      <c r="C17287" s="3" t="str">
        <f>HYPERLINK("https://otsuka-europe-crm.veevavault.com/ui/#object/sent_email__v/VBL00000001D372", "SE-001404677")</f>
        <v>SE-001404677</v>
      </c>
      <c r="D17287" s="1" t="s">
        <v>0</v>
      </c>
      <c r="E17287" s="2">
        <v>0</v>
      </c>
      <c r="F17287" s="2">
        <v>0</v>
      </c>
      <c r="G17287" s="2">
        <v>0</v>
      </c>
      <c r="H17287" s="1" t="s">
        <v>0</v>
      </c>
      <c r="I17287" s="2">
        <v>0</v>
      </c>
      <c r="J17287" s="1">
        <v>46071.636076388888</v>
      </c>
    </row>
    <row r="17288" spans="1:10" x14ac:dyDescent="0.2">
      <c r="A17288" s="4" t="s">
        <v>1</v>
      </c>
      <c r="B17288" s="3" t="str">
        <f>HYPERLINK("https://otsuka-europe-crm.veevavault.com/ui/#object/approved_document__v/V5O00000000Q003", "LUP-Material riñones CLM")</f>
        <v>LUP-Material riñones CLM</v>
      </c>
      <c r="C17288" s="3" t="str">
        <f>HYPERLINK("https://otsuka-europe-crm.veevavault.com/ui/#object/sent_email__v/VBL00000001D373", "SE-001404678")</f>
        <v>SE-001404678</v>
      </c>
      <c r="D17288" s="1">
        <v>46072.341574074075</v>
      </c>
      <c r="E17288" s="2">
        <v>1</v>
      </c>
      <c r="F17288" s="2">
        <v>1</v>
      </c>
      <c r="G17288" s="2">
        <v>1</v>
      </c>
      <c r="H17288" s="1">
        <v>46072.341736111113</v>
      </c>
      <c r="I17288" s="2">
        <v>2</v>
      </c>
      <c r="J17288" s="1">
        <v>46071.636296296296</v>
      </c>
    </row>
    <row r="17289" spans="1:10" x14ac:dyDescent="0.2">
      <c r="A17289" s="4" t="s">
        <v>1</v>
      </c>
      <c r="B17289" s="3" t="str">
        <f>HYPERLINK("https://otsuka-europe-crm.veevavault.com/ui/#object/approved_document__v/V5O00000000Q003", "LUP-Material riñones CLM")</f>
        <v>LUP-Material riñones CLM</v>
      </c>
      <c r="C17289" s="3" t="str">
        <f>HYPERLINK("https://otsuka-europe-crm.veevavault.com/ui/#object/sent_email__v/VBL00000001D374", "SE-001404679")</f>
        <v>SE-001404679</v>
      </c>
      <c r="D17289" s="1" t="s">
        <v>0</v>
      </c>
      <c r="E17289" s="2">
        <v>0</v>
      </c>
      <c r="F17289" s="2">
        <v>0</v>
      </c>
      <c r="G17289" s="2">
        <v>0</v>
      </c>
      <c r="H17289" s="1" t="s">
        <v>0</v>
      </c>
      <c r="I17289" s="2">
        <v>0</v>
      </c>
      <c r="J17289" s="1">
        <v>46071.636550925927</v>
      </c>
    </row>
    <row r="17290" spans="1:10" x14ac:dyDescent="0.2">
      <c r="A17290" s="4" t="s">
        <v>1</v>
      </c>
      <c r="B17290" s="3" t="str">
        <f>HYPERLINK("https://otsuka-europe-crm.veevavault.com/ui/#object/approved_document__v/V5O00000000Q003", "LUP-Material riñones CLM")</f>
        <v>LUP-Material riñones CLM</v>
      </c>
      <c r="C17290" s="3" t="str">
        <f>HYPERLINK("https://otsuka-europe-crm.veevavault.com/ui/#object/sent_email__v/VBL00000001D375", "SE-001404680")</f>
        <v>SE-001404680</v>
      </c>
      <c r="D17290" s="1" t="s">
        <v>0</v>
      </c>
      <c r="E17290" s="2">
        <v>0</v>
      </c>
      <c r="F17290" s="2">
        <v>0</v>
      </c>
      <c r="G17290" s="2">
        <v>0</v>
      </c>
      <c r="H17290" s="1" t="s">
        <v>0</v>
      </c>
      <c r="I17290" s="2">
        <v>0</v>
      </c>
      <c r="J17290" s="1">
        <v>46071.636805555558</v>
      </c>
    </row>
    <row r="17291" spans="1:10" x14ac:dyDescent="0.2">
      <c r="A17291" s="4" t="s">
        <v>1</v>
      </c>
      <c r="B17291" s="3" t="str">
        <f>HYPERLINK("https://otsuka-europe-crm.veevavault.com/ui/#object/approved_document__v/V5O00000000Q003", "LUP-Material riñones CLM")</f>
        <v>LUP-Material riñones CLM</v>
      </c>
      <c r="C17291" s="3" t="str">
        <f>HYPERLINK("https://otsuka-europe-crm.veevavault.com/ui/#object/sent_email__v/VBL00000001D376", "SE-001404681")</f>
        <v>SE-001404681</v>
      </c>
      <c r="D17291" s="1">
        <v>46072.570763888885</v>
      </c>
      <c r="E17291" s="2">
        <v>1</v>
      </c>
      <c r="F17291" s="2">
        <v>2</v>
      </c>
      <c r="G17291" s="2">
        <v>0</v>
      </c>
      <c r="H17291" s="1" t="s">
        <v>0</v>
      </c>
      <c r="I17291" s="2">
        <v>0</v>
      </c>
      <c r="J17291" s="1">
        <v>46071.637048611112</v>
      </c>
    </row>
    <row r="17292" spans="1:10" x14ac:dyDescent="0.2">
      <c r="A17292" s="4" t="s">
        <v>1</v>
      </c>
      <c r="B17292" s="3" t="str">
        <f>HYPERLINK("https://otsuka-europe-crm.veevavault.com/ui/#object/approved_document__v/V5O00000000Q003", "LUP-Material riñones CLM")</f>
        <v>LUP-Material riñones CLM</v>
      </c>
      <c r="C17292" s="3" t="str">
        <f>HYPERLINK("https://otsuka-europe-crm.veevavault.com/ui/#object/sent_email__v/VBL00000001D377", "SE-001404682")</f>
        <v>SE-001404682</v>
      </c>
      <c r="D17292" s="1">
        <v>46072.080277777779</v>
      </c>
      <c r="E17292" s="2">
        <v>1</v>
      </c>
      <c r="F17292" s="2">
        <v>1</v>
      </c>
      <c r="G17292" s="2">
        <v>0</v>
      </c>
      <c r="H17292" s="1" t="s">
        <v>0</v>
      </c>
      <c r="I17292" s="2">
        <v>0</v>
      </c>
      <c r="J17292" s="1">
        <v>46071.637326388889</v>
      </c>
    </row>
    <row r="17293" spans="1:10" x14ac:dyDescent="0.2">
      <c r="A17293" s="4" t="s">
        <v>1</v>
      </c>
      <c r="B17293" s="3" t="str">
        <f>HYPERLINK("https://otsuka-europe-crm.veevavault.com/ui/#object/approved_document__v/V5O00000000Q003", "LUP-Material riñones CLM")</f>
        <v>LUP-Material riñones CLM</v>
      </c>
      <c r="C17293" s="3" t="str">
        <f>HYPERLINK("https://otsuka-europe-crm.veevavault.com/ui/#object/sent_email__v/VBL00000001D378", "SE-001404683")</f>
        <v>SE-001404683</v>
      </c>
      <c r="D17293" s="1" t="s">
        <v>0</v>
      </c>
      <c r="E17293" s="2">
        <v>0</v>
      </c>
      <c r="F17293" s="2">
        <v>0</v>
      </c>
      <c r="G17293" s="2">
        <v>0</v>
      </c>
      <c r="H17293" s="1" t="s">
        <v>0</v>
      </c>
      <c r="I17293" s="2">
        <v>0</v>
      </c>
      <c r="J17293" s="1">
        <v>46071.637557870374</v>
      </c>
    </row>
    <row r="17294" spans="1:10" x14ac:dyDescent="0.2">
      <c r="A17294" s="4" t="s">
        <v>1</v>
      </c>
      <c r="B17294" s="3" t="str">
        <f>HYPERLINK("https://otsuka-europe-crm.veevavault.com/ui/#object/approved_document__v/V5O00000000Q003", "LUP-Material riñones CLM")</f>
        <v>LUP-Material riñones CLM</v>
      </c>
      <c r="C17294" s="3" t="str">
        <f>HYPERLINK("https://otsuka-europe-crm.veevavault.com/ui/#object/sent_email__v/VBL00000001D379", "SE-001404684")</f>
        <v>SE-001404684</v>
      </c>
      <c r="D17294" s="1">
        <v>46071.672997685186</v>
      </c>
      <c r="E17294" s="2">
        <v>1</v>
      </c>
      <c r="F17294" s="2">
        <v>1</v>
      </c>
      <c r="G17294" s="2">
        <v>0</v>
      </c>
      <c r="H17294" s="1" t="s">
        <v>0</v>
      </c>
      <c r="I17294" s="2">
        <v>0</v>
      </c>
      <c r="J17294" s="1">
        <v>46071.637812499997</v>
      </c>
    </row>
    <row r="17295" spans="1:10" x14ac:dyDescent="0.2">
      <c r="A17295" s="4" t="s">
        <v>1</v>
      </c>
      <c r="B17295" s="3" t="str">
        <f>HYPERLINK("https://otsuka-europe-crm.veevavault.com/ui/#object/approved_document__v/V5O00000000Q003", "LUP-Material riñones CLM")</f>
        <v>LUP-Material riñones CLM</v>
      </c>
      <c r="C17295" s="3" t="str">
        <f>HYPERLINK("https://otsuka-europe-crm.veevavault.com/ui/#object/sent_email__v/VBL00000001D380", "SE-001404685")</f>
        <v>SE-001404685</v>
      </c>
      <c r="D17295" s="1">
        <v>46071.638159722221</v>
      </c>
      <c r="E17295" s="2">
        <v>1</v>
      </c>
      <c r="F17295" s="2">
        <v>1</v>
      </c>
      <c r="G17295" s="2">
        <v>1</v>
      </c>
      <c r="H17295" s="1">
        <v>46071.638321759259</v>
      </c>
      <c r="I17295" s="2">
        <v>2</v>
      </c>
      <c r="J17295" s="1">
        <v>46071.638078703705</v>
      </c>
    </row>
    <row r="17296" spans="1:10" x14ac:dyDescent="0.2">
      <c r="A17296" s="4" t="s">
        <v>1</v>
      </c>
      <c r="B17296" s="3" t="str">
        <f>HYPERLINK("https://otsuka-europe-crm.veevavault.com/ui/#object/approved_document__v/V5O00000000Q003", "LUP-Material riñones CLM")</f>
        <v>LUP-Material riñones CLM</v>
      </c>
      <c r="C17296" s="3" t="str">
        <f>HYPERLINK("https://otsuka-europe-crm.veevavault.com/ui/#object/sent_email__v/VBL00000001D381", "SE-001404686")</f>
        <v>SE-001404686</v>
      </c>
      <c r="D17296" s="1" t="s">
        <v>0</v>
      </c>
      <c r="E17296" s="2">
        <v>0</v>
      </c>
      <c r="F17296" s="2">
        <v>0</v>
      </c>
      <c r="G17296" s="2">
        <v>0</v>
      </c>
      <c r="H17296" s="1" t="s">
        <v>0</v>
      </c>
      <c r="I17296" s="2">
        <v>0</v>
      </c>
      <c r="J17296" s="1">
        <v>46071.638310185182</v>
      </c>
    </row>
    <row r="17297" spans="1:10" x14ac:dyDescent="0.2">
      <c r="A17297" s="4" t="s">
        <v>1</v>
      </c>
      <c r="B17297" s="3" t="str">
        <f>HYPERLINK("https://otsuka-europe-crm.veevavault.com/ui/#object/approved_document__v/V5O00000000Q003", "LUP-Material riñones CLM")</f>
        <v>LUP-Material riñones CLM</v>
      </c>
      <c r="C17297" s="3" t="str">
        <f>HYPERLINK("https://otsuka-europe-crm.veevavault.com/ui/#object/sent_email__v/VBL00000001D382", "SE-001404687")</f>
        <v>SE-001404687</v>
      </c>
      <c r="D17297" s="1">
        <v>46071.982083333336</v>
      </c>
      <c r="E17297" s="2">
        <v>1</v>
      </c>
      <c r="F17297" s="2">
        <v>1</v>
      </c>
      <c r="G17297" s="2">
        <v>0</v>
      </c>
      <c r="H17297" s="1" t="s">
        <v>0</v>
      </c>
      <c r="I17297" s="2">
        <v>0</v>
      </c>
      <c r="J17297" s="1">
        <v>46071.638564814813</v>
      </c>
    </row>
    <row r="17298" spans="1:10" x14ac:dyDescent="0.2">
      <c r="A17298" s="4" t="s">
        <v>1</v>
      </c>
      <c r="B17298" s="3" t="str">
        <f>HYPERLINK("https://otsuka-europe-crm.veevavault.com/ui/#object/approved_document__v/V5O00000000Q003", "LUP-Material riñones CLM")</f>
        <v>LUP-Material riñones CLM</v>
      </c>
      <c r="C17298" s="3" t="str">
        <f>HYPERLINK("https://otsuka-europe-crm.veevavault.com/ui/#object/sent_email__v/VBL00000001D383", "SE-001404688")</f>
        <v>SE-001404688</v>
      </c>
      <c r="D17298" s="1">
        <v>46071.67596064815</v>
      </c>
      <c r="E17298" s="2">
        <v>1</v>
      </c>
      <c r="F17298" s="2">
        <v>1</v>
      </c>
      <c r="G17298" s="2">
        <v>0</v>
      </c>
      <c r="H17298" s="1" t="s">
        <v>0</v>
      </c>
      <c r="I17298" s="2">
        <v>0</v>
      </c>
      <c r="J17298" s="1">
        <v>46071.638819444444</v>
      </c>
    </row>
    <row r="17299" spans="1:10" x14ac:dyDescent="0.2">
      <c r="A17299" s="4" t="s">
        <v>1</v>
      </c>
      <c r="B17299" s="3" t="str">
        <f>HYPERLINK("https://otsuka-europe-crm.veevavault.com/ui/#object/approved_document__v/V5O00000000Q003", "LUP-Material riñones CLM")</f>
        <v>LUP-Material riñones CLM</v>
      </c>
      <c r="C17299" s="3" t="str">
        <f>HYPERLINK("https://otsuka-europe-crm.veevavault.com/ui/#object/sent_email__v/VBL00000001D384", "SE-001404689")</f>
        <v>SE-001404689</v>
      </c>
      <c r="D17299" s="1">
        <v>46071.641712962963</v>
      </c>
      <c r="E17299" s="2">
        <v>1</v>
      </c>
      <c r="F17299" s="2">
        <v>1</v>
      </c>
      <c r="G17299" s="2">
        <v>0</v>
      </c>
      <c r="H17299" s="1" t="s">
        <v>0</v>
      </c>
      <c r="I17299" s="2">
        <v>0</v>
      </c>
      <c r="J17299" s="1">
        <v>46071.639004629629</v>
      </c>
    </row>
    <row r="17300" spans="1:10" x14ac:dyDescent="0.2">
      <c r="A17300" s="4" t="s">
        <v>1</v>
      </c>
      <c r="B17300" s="3" t="str">
        <f>HYPERLINK("https://otsuka-europe-crm.veevavault.com/ui/#object/approved_document__v/V5O00000000Q003", "LUP-Material riñones CLM")</f>
        <v>LUP-Material riñones CLM</v>
      </c>
      <c r="C17300" s="3" t="str">
        <f>HYPERLINK("https://otsuka-europe-crm.veevavault.com/ui/#object/sent_email__v/VBL00000001D385", "SE-001404690")</f>
        <v>SE-001404690</v>
      </c>
      <c r="D17300" s="1">
        <v>46071.654918981483</v>
      </c>
      <c r="E17300" s="2">
        <v>1</v>
      </c>
      <c r="F17300" s="2">
        <v>1</v>
      </c>
      <c r="G17300" s="2">
        <v>0</v>
      </c>
      <c r="H17300" s="1" t="s">
        <v>0</v>
      </c>
      <c r="I17300" s="2">
        <v>0</v>
      </c>
      <c r="J17300" s="1">
        <v>46071.639189814814</v>
      </c>
    </row>
    <row r="17301" spans="1:10" x14ac:dyDescent="0.2">
      <c r="A17301" s="4" t="s">
        <v>1</v>
      </c>
      <c r="B17301" s="3" t="str">
        <f>HYPERLINK("https://otsuka-europe-crm.veevavault.com/ui/#object/approved_document__v/V5O00000000Q003", "LUP-Material riñones CLM")</f>
        <v>LUP-Material riñones CLM</v>
      </c>
      <c r="C17301" s="3" t="str">
        <f>HYPERLINK("https://otsuka-europe-crm.veevavault.com/ui/#object/sent_email__v/VBL00000001D386", "SE-001404691")</f>
        <v>SE-001404691</v>
      </c>
      <c r="D17301" s="1">
        <v>46076.334201388891</v>
      </c>
      <c r="E17301" s="2">
        <v>1</v>
      </c>
      <c r="F17301" s="2">
        <v>7</v>
      </c>
      <c r="G17301" s="2">
        <v>1</v>
      </c>
      <c r="H17301" s="1">
        <v>46075.715219907404</v>
      </c>
      <c r="I17301" s="2">
        <v>3</v>
      </c>
      <c r="J17301" s="1">
        <v>46071.639363425929</v>
      </c>
    </row>
    <row r="17302" spans="1:10" x14ac:dyDescent="0.2">
      <c r="A17302" s="4" t="s">
        <v>1</v>
      </c>
      <c r="B17302" s="3" t="str">
        <f>HYPERLINK("https://otsuka-europe-crm.veevavault.com/ui/#object/approved_document__v/V5O00000000Q003", "LUP-Material riñones CLM")</f>
        <v>LUP-Material riñones CLM</v>
      </c>
      <c r="C17302" s="3" t="str">
        <f>HYPERLINK("https://otsuka-europe-crm.veevavault.com/ui/#object/sent_email__v/VBL00000001D387", "SE-001404692")</f>
        <v>SE-001404692</v>
      </c>
      <c r="D17302" s="1">
        <v>46071.640046296299</v>
      </c>
      <c r="E17302" s="2">
        <v>1</v>
      </c>
      <c r="F17302" s="2">
        <v>3</v>
      </c>
      <c r="G17302" s="2">
        <v>1</v>
      </c>
      <c r="H17302" s="1">
        <v>46071.641319444447</v>
      </c>
      <c r="I17302" s="2">
        <v>10</v>
      </c>
      <c r="J17302" s="1">
        <v>46071.639525462961</v>
      </c>
    </row>
    <row r="17303" spans="1:10" x14ac:dyDescent="0.2">
      <c r="A17303" s="4" t="s">
        <v>1</v>
      </c>
      <c r="B17303" s="3" t="str">
        <f>HYPERLINK("https://otsuka-europe-crm.veevavault.com/ui/#object/approved_document__v/V5O00000000Q003", "LUP-Material riñones CLM")</f>
        <v>LUP-Material riñones CLM</v>
      </c>
      <c r="C17303" s="3" t="str">
        <f>HYPERLINK("https://otsuka-europe-crm.veevavault.com/ui/#object/sent_email__v/VBL00000001D388", "SE-001404693")</f>
        <v>SE-001404693</v>
      </c>
      <c r="D17303" s="1" t="s">
        <v>0</v>
      </c>
      <c r="E17303" s="2">
        <v>0</v>
      </c>
      <c r="F17303" s="2">
        <v>0</v>
      </c>
      <c r="G17303" s="2">
        <v>0</v>
      </c>
      <c r="H17303" s="1" t="s">
        <v>0</v>
      </c>
      <c r="I17303" s="2">
        <v>0</v>
      </c>
      <c r="J17303" s="1">
        <v>46071.639768518522</v>
      </c>
    </row>
    <row r="17304" spans="1:10" x14ac:dyDescent="0.2">
      <c r="A17304" s="4" t="s">
        <v>1</v>
      </c>
      <c r="B17304" s="3" t="str">
        <f>HYPERLINK("https://otsuka-europe-crm.veevavault.com/ui/#object/approved_document__v/V5O00000000Q003", "LUP-Material riñones CLM")</f>
        <v>LUP-Material riñones CLM</v>
      </c>
      <c r="C17304" s="3" t="str">
        <f>HYPERLINK("https://otsuka-europe-crm.veevavault.com/ui/#object/sent_email__v/VBL00000001D389", "SE-001404694")</f>
        <v>SE-001404694</v>
      </c>
      <c r="D17304" s="1" t="s">
        <v>0</v>
      </c>
      <c r="E17304" s="2">
        <v>0</v>
      </c>
      <c r="F17304" s="2">
        <v>0</v>
      </c>
      <c r="G17304" s="2">
        <v>0</v>
      </c>
      <c r="H17304" s="1" t="s">
        <v>0</v>
      </c>
      <c r="I17304" s="2">
        <v>0</v>
      </c>
      <c r="J17304" s="1">
        <v>46071.639988425923</v>
      </c>
    </row>
    <row r="17305" spans="1:10" x14ac:dyDescent="0.2">
      <c r="A17305" s="4" t="s">
        <v>1</v>
      </c>
      <c r="B17305" s="3" t="str">
        <f>HYPERLINK("https://otsuka-europe-crm.veevavault.com/ui/#object/approved_document__v/V5O00000000Q003", "LUP-Material riñones CLM")</f>
        <v>LUP-Material riñones CLM</v>
      </c>
      <c r="C17305" s="3" t="str">
        <f>HYPERLINK("https://otsuka-europe-crm.veevavault.com/ui/#object/sent_email__v/VBL00000001D390", "SE-001404695")</f>
        <v>SE-001404695</v>
      </c>
      <c r="D17305" s="1">
        <v>46071.640335648146</v>
      </c>
      <c r="E17305" s="2">
        <v>1</v>
      </c>
      <c r="F17305" s="2">
        <v>1</v>
      </c>
      <c r="G17305" s="2">
        <v>1</v>
      </c>
      <c r="H17305" s="1">
        <v>46071.640497685185</v>
      </c>
      <c r="I17305" s="2">
        <v>1</v>
      </c>
      <c r="J17305" s="1">
        <v>46071.64025462963</v>
      </c>
    </row>
    <row r="17306" spans="1:10" x14ac:dyDescent="0.2">
      <c r="A17306" s="4" t="s">
        <v>1</v>
      </c>
      <c r="B17306" s="3" t="str">
        <f>HYPERLINK("https://otsuka-europe-crm.veevavault.com/ui/#object/approved_document__v/V5O00000000Q003", "LUP-Material riñones CLM")</f>
        <v>LUP-Material riñones CLM</v>
      </c>
      <c r="C17306" s="3" t="str">
        <f>HYPERLINK("https://otsuka-europe-crm.veevavault.com/ui/#object/sent_email__v/VBL00000001E366", "SE-001404879")</f>
        <v>SE-001404879</v>
      </c>
      <c r="D17306" s="1" t="s">
        <v>0</v>
      </c>
      <c r="E17306" s="2">
        <v>0</v>
      </c>
      <c r="F17306" s="2">
        <v>0</v>
      </c>
      <c r="G17306" s="2">
        <v>0</v>
      </c>
      <c r="H17306" s="1" t="s">
        <v>0</v>
      </c>
      <c r="I17306" s="2">
        <v>0</v>
      </c>
      <c r="J17306" s="1">
        <v>46071.620625000003</v>
      </c>
    </row>
    <row r="17307" spans="1:10" x14ac:dyDescent="0.2">
      <c r="A17307" s="4" t="s">
        <v>1</v>
      </c>
      <c r="B17307" s="3" t="str">
        <f>HYPERLINK("https://otsuka-europe-crm.veevavault.com/ui/#object/approved_document__v/V5O00000000M008", "Maintena Talks: webinar 24 febrero")</f>
        <v>Maintena Talks: webinar 24 febrero</v>
      </c>
      <c r="C17307" s="3" t="str">
        <f>HYPERLINK("https://otsuka-europe-crm.veevavault.com/ui/#object/sent_email__v/VBL00000001A130", "SE-001402641")</f>
        <v>SE-001402641</v>
      </c>
      <c r="D17307" s="1" t="s">
        <v>0</v>
      </c>
      <c r="E17307" s="2">
        <v>0</v>
      </c>
      <c r="F17307" s="2">
        <v>0</v>
      </c>
      <c r="G17307" s="2">
        <v>0</v>
      </c>
      <c r="H17307" s="1" t="s">
        <v>0</v>
      </c>
      <c r="I17307" s="2">
        <v>0</v>
      </c>
      <c r="J17307" s="1">
        <v>46057.446388888886</v>
      </c>
    </row>
    <row r="17308" spans="1:10" x14ac:dyDescent="0.2">
      <c r="A17308" s="4" t="s">
        <v>1</v>
      </c>
      <c r="B17308" s="3" t="str">
        <f>HYPERLINK("https://otsuka-europe-crm.veevavault.com/ui/#object/approved_document__v/V5O00000000N004", "Maintena Talks: webinar 24 febrero")</f>
        <v>Maintena Talks: webinar 24 febrero</v>
      </c>
      <c r="C17308" s="3" t="str">
        <f>HYPERLINK("https://otsuka-europe-crm.veevavault.com/ui/#object/sent_email__v/VBL00000001A163", "SE-001402707")</f>
        <v>SE-001402707</v>
      </c>
      <c r="D17308" s="1" t="s">
        <v>0</v>
      </c>
      <c r="E17308" s="2">
        <v>0</v>
      </c>
      <c r="F17308" s="2">
        <v>0</v>
      </c>
      <c r="G17308" s="2">
        <v>0</v>
      </c>
      <c r="H17308" s="1" t="s">
        <v>0</v>
      </c>
      <c r="I17308" s="2">
        <v>0</v>
      </c>
      <c r="J17308" s="1">
        <v>46057.685648148145</v>
      </c>
    </row>
    <row r="17309" spans="1:10" x14ac:dyDescent="0.2">
      <c r="A17309" s="4" t="s">
        <v>1</v>
      </c>
      <c r="B17309" s="3" t="str">
        <f>HYPERLINK("https://otsuka-europe-crm.veevavault.com/ui/#object/approved_document__v/V5O00000000N004", "Maintena Talks: webinar 24 febrero")</f>
        <v>Maintena Talks: webinar 24 febrero</v>
      </c>
      <c r="C17309" s="3" t="str">
        <f>HYPERLINK("https://otsuka-europe-crm.veevavault.com/ui/#object/sent_email__v/VBL00000001A164", "SE-001402709")</f>
        <v>SE-001402709</v>
      </c>
      <c r="D17309" s="1" t="s">
        <v>0</v>
      </c>
      <c r="E17309" s="2">
        <v>0</v>
      </c>
      <c r="F17309" s="2">
        <v>0</v>
      </c>
      <c r="G17309" s="2">
        <v>0</v>
      </c>
      <c r="H17309" s="1" t="s">
        <v>0</v>
      </c>
      <c r="I17309" s="2">
        <v>0</v>
      </c>
      <c r="J17309" s="1">
        <v>46057.687141203707</v>
      </c>
    </row>
    <row r="17310" spans="1:10" x14ac:dyDescent="0.2">
      <c r="A17310" s="4" t="s">
        <v>1</v>
      </c>
      <c r="B17310" s="3" t="str">
        <f>HYPERLINK("https://otsuka-europe-crm.veevavault.com/ui/#object/approved_document__v/V5O00000000N004", "Maintena Talks: webinar 24 febrero")</f>
        <v>Maintena Talks: webinar 24 febrero</v>
      </c>
      <c r="C17310" s="3" t="str">
        <f>HYPERLINK("https://otsuka-europe-crm.veevavault.com/ui/#object/sent_email__v/VBL000000019318", "SE-001402711")</f>
        <v>SE-001402711</v>
      </c>
      <c r="D17310" s="1">
        <v>46073.987557870372</v>
      </c>
      <c r="E17310" s="2">
        <v>1</v>
      </c>
      <c r="F17310" s="2">
        <v>5</v>
      </c>
      <c r="G17310" s="2">
        <v>1</v>
      </c>
      <c r="H17310" s="1">
        <v>46057.779768518521</v>
      </c>
      <c r="I17310" s="2">
        <v>1</v>
      </c>
      <c r="J17310" s="1">
        <v>46057.702511574076</v>
      </c>
    </row>
    <row r="17311" spans="1:10" x14ac:dyDescent="0.2">
      <c r="A17311" s="4" t="s">
        <v>1</v>
      </c>
      <c r="B17311" s="3" t="str">
        <f>HYPERLINK("https://otsuka-europe-crm.veevavault.com/ui/#object/approved_document__v/V5O00000000N004", "Maintena Talks: webinar 24 febrero")</f>
        <v>Maintena Talks: webinar 24 febrero</v>
      </c>
      <c r="C17311" s="3" t="str">
        <f>HYPERLINK("https://otsuka-europe-crm.veevavault.com/ui/#object/sent_email__v/VBL000000019319", "SE-001402712")</f>
        <v>SE-001402712</v>
      </c>
      <c r="D17311" s="1">
        <v>46062.36141203704</v>
      </c>
      <c r="E17311" s="2">
        <v>1</v>
      </c>
      <c r="F17311" s="2">
        <v>1</v>
      </c>
      <c r="G17311" s="2">
        <v>0</v>
      </c>
      <c r="H17311" s="1" t="s">
        <v>0</v>
      </c>
      <c r="I17311" s="2">
        <v>0</v>
      </c>
      <c r="J17311" s="1">
        <v>46057.702685185184</v>
      </c>
    </row>
    <row r="17312" spans="1:10" x14ac:dyDescent="0.2">
      <c r="A17312" s="4" t="s">
        <v>1</v>
      </c>
      <c r="B17312" s="3" t="str">
        <f>HYPERLINK("https://otsuka-europe-crm.veevavault.com/ui/#object/approved_document__v/V5O00000000N004", "Maintena Talks: webinar 24 febrero")</f>
        <v>Maintena Talks: webinar 24 febrero</v>
      </c>
      <c r="C17312" s="3" t="str">
        <f>HYPERLINK("https://otsuka-europe-crm.veevavault.com/ui/#object/sent_email__v/VBL000000019320", "SE-001402713")</f>
        <v>SE-001402713</v>
      </c>
      <c r="D17312" s="1">
        <v>46058.707476851851</v>
      </c>
      <c r="E17312" s="2">
        <v>1</v>
      </c>
      <c r="F17312" s="2">
        <v>1</v>
      </c>
      <c r="G17312" s="2">
        <v>0</v>
      </c>
      <c r="H17312" s="1" t="s">
        <v>0</v>
      </c>
      <c r="I17312" s="2">
        <v>0</v>
      </c>
      <c r="J17312" s="1">
        <v>46057.702847222223</v>
      </c>
    </row>
    <row r="17313" spans="1:10" x14ac:dyDescent="0.2">
      <c r="A17313" s="4" t="s">
        <v>1</v>
      </c>
      <c r="B17313" s="3" t="str">
        <f>HYPERLINK("https://otsuka-europe-crm.veevavault.com/ui/#object/approved_document__v/V5O00000000N004", "Maintena Talks: webinar 24 febrero")</f>
        <v>Maintena Talks: webinar 24 febrero</v>
      </c>
      <c r="C17313" s="3" t="str">
        <f>HYPERLINK("https://otsuka-europe-crm.veevavault.com/ui/#object/sent_email__v/VBL000000019339", "SE-001402743")</f>
        <v>SE-001402743</v>
      </c>
      <c r="D17313" s="1">
        <v>46077.855914351851</v>
      </c>
      <c r="E17313" s="2">
        <v>1</v>
      </c>
      <c r="F17313" s="2">
        <v>7</v>
      </c>
      <c r="G17313" s="2">
        <v>1</v>
      </c>
      <c r="H17313" s="1">
        <v>46077.754780092589</v>
      </c>
      <c r="I17313" s="2">
        <v>4</v>
      </c>
      <c r="J17313" s="1">
        <v>46058.456122685187</v>
      </c>
    </row>
    <row r="17314" spans="1:10" x14ac:dyDescent="0.2">
      <c r="A17314" s="4" t="s">
        <v>1</v>
      </c>
      <c r="B17314" s="3" t="str">
        <f>HYPERLINK("https://otsuka-europe-crm.veevavault.com/ui/#object/approved_document__v/V5O00000000N004", "Maintena Talks: webinar 24 febrero")</f>
        <v>Maintena Talks: webinar 24 febrero</v>
      </c>
      <c r="C17314" s="3" t="str">
        <f>HYPERLINK("https://otsuka-europe-crm.veevavault.com/ui/#object/sent_email__v/VBL000000019340", "SE-001402744")</f>
        <v>SE-001402744</v>
      </c>
      <c r="D17314" s="1">
        <v>46078.410821759258</v>
      </c>
      <c r="E17314" s="2">
        <v>1</v>
      </c>
      <c r="F17314" s="2">
        <v>7</v>
      </c>
      <c r="G17314" s="2">
        <v>1</v>
      </c>
      <c r="H17314" s="1">
        <v>46077.753634259258</v>
      </c>
      <c r="I17314" s="2">
        <v>5</v>
      </c>
      <c r="J17314" s="1">
        <v>46058.456307870372</v>
      </c>
    </row>
    <row r="17315" spans="1:10" x14ac:dyDescent="0.2">
      <c r="A17315" s="4" t="s">
        <v>1</v>
      </c>
      <c r="B17315" s="3" t="str">
        <f>HYPERLINK("https://otsuka-europe-crm.veevavault.com/ui/#object/approved_document__v/V5O00000000N004", "Maintena Talks: webinar 24 febrero")</f>
        <v>Maintena Talks: webinar 24 febrero</v>
      </c>
      <c r="C17315" s="3" t="str">
        <f>HYPERLINK("https://otsuka-europe-crm.veevavault.com/ui/#object/sent_email__v/VBL000000019341", "SE-001402745")</f>
        <v>SE-001402745</v>
      </c>
      <c r="D17315" s="1">
        <v>46059.002465277779</v>
      </c>
      <c r="E17315" s="2">
        <v>1</v>
      </c>
      <c r="F17315" s="2">
        <v>1</v>
      </c>
      <c r="G17315" s="2">
        <v>0</v>
      </c>
      <c r="H17315" s="1" t="s">
        <v>0</v>
      </c>
      <c r="I17315" s="2">
        <v>0</v>
      </c>
      <c r="J17315" s="1">
        <v>46058.456469907411</v>
      </c>
    </row>
    <row r="17316" spans="1:10" x14ac:dyDescent="0.2">
      <c r="A17316" s="4" t="s">
        <v>1</v>
      </c>
      <c r="B17316" s="3" t="str">
        <f>HYPERLINK("https://otsuka-europe-crm.veevavault.com/ui/#object/approved_document__v/V5O00000000N004", "Maintena Talks: webinar 24 febrero")</f>
        <v>Maintena Talks: webinar 24 febrero</v>
      </c>
      <c r="C17316" s="3" t="str">
        <f>HYPERLINK("https://otsuka-europe-crm.veevavault.com/ui/#object/sent_email__v/VBL000000019342", "SE-001402746")</f>
        <v>SE-001402746</v>
      </c>
      <c r="D17316" s="1" t="s">
        <v>0</v>
      </c>
      <c r="E17316" s="2">
        <v>0</v>
      </c>
      <c r="F17316" s="2">
        <v>0</v>
      </c>
      <c r="G17316" s="2">
        <v>0</v>
      </c>
      <c r="H17316" s="1" t="s">
        <v>0</v>
      </c>
      <c r="I17316" s="2">
        <v>0</v>
      </c>
      <c r="J17316" s="1">
        <v>46058.456631944442</v>
      </c>
    </row>
    <row r="17317" spans="1:10" x14ac:dyDescent="0.2">
      <c r="A17317" s="4" t="s">
        <v>1</v>
      </c>
      <c r="B17317" s="3" t="str">
        <f>HYPERLINK("https://otsuka-europe-crm.veevavault.com/ui/#object/approved_document__v/V5O00000000N004", "Maintena Talks: webinar 24 febrero")</f>
        <v>Maintena Talks: webinar 24 febrero</v>
      </c>
      <c r="C17317" s="3" t="str">
        <f>HYPERLINK("https://otsuka-europe-crm.veevavault.com/ui/#object/sent_email__v/VBL000000019450", "SE-001402927")</f>
        <v>SE-001402927</v>
      </c>
      <c r="D17317" s="1">
        <v>46059.416145833333</v>
      </c>
      <c r="E17317" s="2">
        <v>1</v>
      </c>
      <c r="F17317" s="2">
        <v>2</v>
      </c>
      <c r="G17317" s="2">
        <v>0</v>
      </c>
      <c r="H17317" s="1" t="s">
        <v>0</v>
      </c>
      <c r="I17317" s="2">
        <v>0</v>
      </c>
      <c r="J17317" s="1">
        <v>46058.704652777778</v>
      </c>
    </row>
    <row r="17318" spans="1:10" x14ac:dyDescent="0.2">
      <c r="A17318" s="4" t="s">
        <v>1</v>
      </c>
      <c r="B17318" s="3" t="str">
        <f>HYPERLINK("https://otsuka-europe-crm.veevavault.com/ui/#object/approved_document__v/V5O00000000N004", "Maintena Talks: webinar 24 febrero")</f>
        <v>Maintena Talks: webinar 24 febrero</v>
      </c>
      <c r="C17318" s="3" t="str">
        <f>HYPERLINK("https://otsuka-europe-crm.veevavault.com/ui/#object/sent_email__v/VBL000000019451", "SE-001402928")</f>
        <v>SE-001402928</v>
      </c>
      <c r="D17318" s="1">
        <v>46059.352118055554</v>
      </c>
      <c r="E17318" s="2">
        <v>1</v>
      </c>
      <c r="F17318" s="2">
        <v>1</v>
      </c>
      <c r="G17318" s="2">
        <v>0</v>
      </c>
      <c r="H17318" s="1" t="s">
        <v>0</v>
      </c>
      <c r="I17318" s="2">
        <v>0</v>
      </c>
      <c r="J17318" s="1">
        <v>46058.704942129632</v>
      </c>
    </row>
    <row r="17319" spans="1:10" x14ac:dyDescent="0.2">
      <c r="A17319" s="4" t="s">
        <v>1</v>
      </c>
      <c r="B17319" s="3" t="str">
        <f>HYPERLINK("https://otsuka-europe-crm.veevavault.com/ui/#object/approved_document__v/V5O00000000N004", "Maintena Talks: webinar 24 febrero")</f>
        <v>Maintena Talks: webinar 24 febrero</v>
      </c>
      <c r="C17319" s="3" t="str">
        <f>HYPERLINK("https://otsuka-europe-crm.veevavault.com/ui/#object/sent_email__v/VBL00000001C063", "SE-001403050")</f>
        <v>SE-001403050</v>
      </c>
      <c r="D17319" s="1">
        <v>46065.819548611114</v>
      </c>
      <c r="E17319" s="2">
        <v>1</v>
      </c>
      <c r="F17319" s="2">
        <v>3</v>
      </c>
      <c r="G17319" s="2">
        <v>0</v>
      </c>
      <c r="H17319" s="1" t="s">
        <v>0</v>
      </c>
      <c r="I17319" s="2">
        <v>0</v>
      </c>
      <c r="J17319" s="1">
        <v>46059.435381944444</v>
      </c>
    </row>
    <row r="17320" spans="1:10" x14ac:dyDescent="0.2">
      <c r="A17320" s="4" t="s">
        <v>1</v>
      </c>
      <c r="B17320" s="3" t="str">
        <f>HYPERLINK("https://otsuka-europe-crm.veevavault.com/ui/#object/approved_document__v/V5O00000000N004", "Maintena Talks: webinar 24 febrero")</f>
        <v>Maintena Talks: webinar 24 febrero</v>
      </c>
      <c r="C17320" s="3" t="str">
        <f>HYPERLINK("https://otsuka-europe-crm.veevavault.com/ui/#object/sent_email__v/VBL00000001C081", "SE-001403082")</f>
        <v>SE-001403082</v>
      </c>
      <c r="D17320" s="1">
        <v>46062.795277777775</v>
      </c>
      <c r="E17320" s="2">
        <v>1</v>
      </c>
      <c r="F17320" s="2">
        <v>4</v>
      </c>
      <c r="G17320" s="2">
        <v>0</v>
      </c>
      <c r="H17320" s="1" t="s">
        <v>0</v>
      </c>
      <c r="I17320" s="2">
        <v>0</v>
      </c>
      <c r="J17320" s="1">
        <v>46059.551562499997</v>
      </c>
    </row>
    <row r="17321" spans="1:10" x14ac:dyDescent="0.2">
      <c r="A17321" s="4" t="s">
        <v>1</v>
      </c>
      <c r="B17321" s="3" t="str">
        <f>HYPERLINK("https://otsuka-europe-crm.veevavault.com/ui/#object/approved_document__v/V5O00000000N004", "Maintena Talks: webinar 24 febrero")</f>
        <v>Maintena Talks: webinar 24 febrero</v>
      </c>
      <c r="C17321" s="3" t="str">
        <f>HYPERLINK("https://otsuka-europe-crm.veevavault.com/ui/#object/sent_email__v/VBL00000001B079", "SE-001403083")</f>
        <v>SE-001403083</v>
      </c>
      <c r="D17321" s="1">
        <v>46059.55709490741</v>
      </c>
      <c r="E17321" s="2">
        <v>1</v>
      </c>
      <c r="F17321" s="2">
        <v>1</v>
      </c>
      <c r="G17321" s="2">
        <v>0</v>
      </c>
      <c r="H17321" s="1" t="s">
        <v>0</v>
      </c>
      <c r="I17321" s="2">
        <v>0</v>
      </c>
      <c r="J17321" s="1">
        <v>46059.551793981482</v>
      </c>
    </row>
    <row r="17322" spans="1:10" x14ac:dyDescent="0.2">
      <c r="A17322" s="4" t="s">
        <v>1</v>
      </c>
      <c r="B17322" s="3" t="str">
        <f>HYPERLINK("https://otsuka-europe-crm.veevavault.com/ui/#object/approved_document__v/V5O00000000N004", "Maintena Talks: webinar 24 febrero")</f>
        <v>Maintena Talks: webinar 24 febrero</v>
      </c>
      <c r="C17322" s="3" t="str">
        <f>HYPERLINK("https://otsuka-europe-crm.veevavault.com/ui/#object/sent_email__v/VBL00000001B080", "SE-001403084")</f>
        <v>SE-001403084</v>
      </c>
      <c r="D17322" s="1">
        <v>46077.747314814813</v>
      </c>
      <c r="E17322" s="2">
        <v>1</v>
      </c>
      <c r="F17322" s="2">
        <v>8</v>
      </c>
      <c r="G17322" s="2">
        <v>1</v>
      </c>
      <c r="H17322" s="1">
        <v>46077.748993055553</v>
      </c>
      <c r="I17322" s="2">
        <v>4</v>
      </c>
      <c r="J17322" s="1">
        <v>46059.551979166667</v>
      </c>
    </row>
    <row r="17323" spans="1:10" x14ac:dyDescent="0.2">
      <c r="A17323" s="4" t="s">
        <v>1</v>
      </c>
      <c r="B17323" s="3" t="str">
        <f>HYPERLINK("https://otsuka-europe-crm.veevavault.com/ui/#object/approved_document__v/V5O00000000N004", "Maintena Talks: webinar 24 febrero")</f>
        <v>Maintena Talks: webinar 24 febrero</v>
      </c>
      <c r="C17323" s="3" t="str">
        <f>HYPERLINK("https://otsuka-europe-crm.veevavault.com/ui/#object/sent_email__v/VBL00000001C260", "SE-001403492")</f>
        <v>SE-001403492</v>
      </c>
      <c r="D17323" s="1">
        <v>46066.724432870367</v>
      </c>
      <c r="E17323" s="2">
        <v>1</v>
      </c>
      <c r="F17323" s="2">
        <v>5</v>
      </c>
      <c r="G17323" s="2">
        <v>0</v>
      </c>
      <c r="H17323" s="1" t="s">
        <v>0</v>
      </c>
      <c r="I17323" s="2">
        <v>0</v>
      </c>
      <c r="J17323" s="1">
        <v>46062.498877314814</v>
      </c>
    </row>
    <row r="17324" spans="1:10" x14ac:dyDescent="0.2">
      <c r="A17324" s="4" t="s">
        <v>1</v>
      </c>
      <c r="B17324" s="3" t="str">
        <f>HYPERLINK("https://otsuka-europe-crm.veevavault.com/ui/#object/approved_document__v/V5O00000000N004", "Maintena Talks: webinar 24 febrero")</f>
        <v>Maintena Talks: webinar 24 febrero</v>
      </c>
      <c r="C17324" s="3" t="str">
        <f>HYPERLINK("https://otsuka-europe-crm.veevavault.com/ui/#object/sent_email__v/VBL00000001C314", "SE-001403585")</f>
        <v>SE-001403585</v>
      </c>
      <c r="D17324" s="1">
        <v>46064.629340277781</v>
      </c>
      <c r="E17324" s="2">
        <v>1</v>
      </c>
      <c r="F17324" s="2">
        <v>4</v>
      </c>
      <c r="G17324" s="2">
        <v>0</v>
      </c>
      <c r="H17324" s="1" t="s">
        <v>0</v>
      </c>
      <c r="I17324" s="2">
        <v>0</v>
      </c>
      <c r="J17324" s="1">
        <v>46063.324108796296</v>
      </c>
    </row>
    <row r="17325" spans="1:10" x14ac:dyDescent="0.2">
      <c r="A17325" s="4" t="s">
        <v>1</v>
      </c>
      <c r="B17325" s="3" t="str">
        <f>HYPERLINK("https://otsuka-europe-crm.veevavault.com/ui/#object/approved_document__v/V5O00000000N004", "Maintena Talks: webinar 24 febrero")</f>
        <v>Maintena Talks: webinar 24 febrero</v>
      </c>
      <c r="C17325" s="3" t="str">
        <f>HYPERLINK("https://otsuka-europe-crm.veevavault.com/ui/#object/sent_email__v/VBL00000001C315", "SE-001403586")</f>
        <v>SE-001403586</v>
      </c>
      <c r="D17325" s="1">
        <v>46077.766944444447</v>
      </c>
      <c r="E17325" s="2">
        <v>1</v>
      </c>
      <c r="F17325" s="2">
        <v>1</v>
      </c>
      <c r="G17325" s="2">
        <v>0</v>
      </c>
      <c r="H17325" s="1" t="s">
        <v>0</v>
      </c>
      <c r="I17325" s="2">
        <v>0</v>
      </c>
      <c r="J17325" s="1">
        <v>46063.324386574073</v>
      </c>
    </row>
    <row r="17326" spans="1:10" x14ac:dyDescent="0.2">
      <c r="A17326" s="4" t="s">
        <v>1</v>
      </c>
      <c r="B17326" s="3" t="str">
        <f>HYPERLINK("https://otsuka-europe-crm.veevavault.com/ui/#object/approved_document__v/V5O00000000N004", "Maintena Talks: webinar 24 febrero")</f>
        <v>Maintena Talks: webinar 24 febrero</v>
      </c>
      <c r="C17326" s="3" t="str">
        <f>HYPERLINK("https://otsuka-europe-crm.veevavault.com/ui/#object/sent_email__v/VBL00000001C316", "SE-001403587")</f>
        <v>SE-001403587</v>
      </c>
      <c r="D17326" s="1">
        <v>46076.345636574071</v>
      </c>
      <c r="E17326" s="2">
        <v>1</v>
      </c>
      <c r="F17326" s="2">
        <v>3</v>
      </c>
      <c r="G17326" s="2">
        <v>1</v>
      </c>
      <c r="H17326" s="1">
        <v>46063.596053240741</v>
      </c>
      <c r="I17326" s="2">
        <v>1</v>
      </c>
      <c r="J17326" s="1">
        <v>46063.324618055558</v>
      </c>
    </row>
    <row r="17327" spans="1:10" x14ac:dyDescent="0.2">
      <c r="A17327" s="4" t="s">
        <v>1</v>
      </c>
      <c r="B17327" s="3" t="str">
        <f>HYPERLINK("https://otsuka-europe-crm.veevavault.com/ui/#object/approved_document__v/V5O00000000N004", "Maintena Talks: webinar 24 febrero")</f>
        <v>Maintena Talks: webinar 24 febrero</v>
      </c>
      <c r="C17327" s="3" t="str">
        <f>HYPERLINK("https://otsuka-europe-crm.veevavault.com/ui/#object/sent_email__v/VBL00000001C330", "SE-001403615")</f>
        <v>SE-001403615</v>
      </c>
      <c r="D17327" s="1">
        <v>46077.734016203707</v>
      </c>
      <c r="E17327" s="2">
        <v>1</v>
      </c>
      <c r="F17327" s="2">
        <v>3</v>
      </c>
      <c r="G17327" s="2">
        <v>1</v>
      </c>
      <c r="H17327" s="1">
        <v>46077.734305555554</v>
      </c>
      <c r="I17327" s="2">
        <v>1</v>
      </c>
      <c r="J17327" s="1">
        <v>46063.37841435185</v>
      </c>
    </row>
    <row r="17328" spans="1:10" x14ac:dyDescent="0.2">
      <c r="A17328" s="4" t="s">
        <v>1</v>
      </c>
      <c r="B17328" s="3" t="str">
        <f>HYPERLINK("https://otsuka-europe-crm.veevavault.com/ui/#object/approved_document__v/V5O00000000N004", "Maintena Talks: webinar 24 febrero")</f>
        <v>Maintena Talks: webinar 24 febrero</v>
      </c>
      <c r="C17328" s="3" t="str">
        <f>HYPERLINK("https://otsuka-europe-crm.veevavault.com/ui/#object/sent_email__v/VBL00000001C331", "SE-001403616")</f>
        <v>SE-001403616</v>
      </c>
      <c r="D17328" s="1">
        <v>46077.740706018521</v>
      </c>
      <c r="E17328" s="2">
        <v>1</v>
      </c>
      <c r="F17328" s="2">
        <v>4</v>
      </c>
      <c r="G17328" s="2">
        <v>1</v>
      </c>
      <c r="H17328" s="1">
        <v>46077.754328703704</v>
      </c>
      <c r="I17328" s="2">
        <v>5</v>
      </c>
      <c r="J17328" s="1">
        <v>46063.378530092596</v>
      </c>
    </row>
    <row r="17329" spans="1:10" x14ac:dyDescent="0.2">
      <c r="A17329" s="4" t="s">
        <v>1</v>
      </c>
      <c r="B17329" s="3" t="str">
        <f>HYPERLINK("https://otsuka-europe-crm.veevavault.com/ui/#object/approved_document__v/V5O00000000N004", "Maintena Talks: webinar 24 febrero")</f>
        <v>Maintena Talks: webinar 24 febrero</v>
      </c>
      <c r="C17329" s="3" t="str">
        <f>HYPERLINK("https://otsuka-europe-crm.veevavault.com/ui/#object/sent_email__v/VBL00000001B513", "SE-001403847")</f>
        <v>SE-001403847</v>
      </c>
      <c r="D17329" s="1" t="s">
        <v>0</v>
      </c>
      <c r="E17329" s="2">
        <v>0</v>
      </c>
      <c r="F17329" s="2">
        <v>0</v>
      </c>
      <c r="G17329" s="2">
        <v>0</v>
      </c>
      <c r="H17329" s="1" t="s">
        <v>0</v>
      </c>
      <c r="I17329" s="2">
        <v>0</v>
      </c>
      <c r="J17329" s="1">
        <v>46065.417141203703</v>
      </c>
    </row>
    <row r="17330" spans="1:10" x14ac:dyDescent="0.2">
      <c r="A17330" s="4" t="s">
        <v>1</v>
      </c>
      <c r="B17330" s="3" t="str">
        <f>HYPERLINK("https://otsuka-europe-crm.veevavault.com/ui/#object/approved_document__v/V5O00000000N004", "Maintena Talks: webinar 24 febrero")</f>
        <v>Maintena Talks: webinar 24 febrero</v>
      </c>
      <c r="C17330" s="3" t="str">
        <f>HYPERLINK("https://otsuka-europe-crm.veevavault.com/ui/#object/sent_email__v/VBL00000001B514", "SE-001403848")</f>
        <v>SE-001403848</v>
      </c>
      <c r="D17330" s="1" t="s">
        <v>0</v>
      </c>
      <c r="E17330" s="2">
        <v>0</v>
      </c>
      <c r="F17330" s="2">
        <v>0</v>
      </c>
      <c r="G17330" s="2">
        <v>0</v>
      </c>
      <c r="H17330" s="1" t="s">
        <v>0</v>
      </c>
      <c r="I17330" s="2">
        <v>0</v>
      </c>
      <c r="J17330" s="1">
        <v>46065.417141203703</v>
      </c>
    </row>
    <row r="17331" spans="1:10" x14ac:dyDescent="0.2">
      <c r="A17331" s="4" t="s">
        <v>1</v>
      </c>
      <c r="B17331" s="3" t="str">
        <f>HYPERLINK("https://otsuka-europe-crm.veevavault.com/ui/#object/approved_document__v/V5O00000000N004", "Maintena Talks: webinar 24 febrero")</f>
        <v>Maintena Talks: webinar 24 febrero</v>
      </c>
      <c r="C17331" s="3" t="str">
        <f>HYPERLINK("https://otsuka-europe-crm.veevavault.com/ui/#object/sent_email__v/VBL00000001B515", "SE-001403849")</f>
        <v>SE-001403849</v>
      </c>
      <c r="D17331" s="1" t="s">
        <v>0</v>
      </c>
      <c r="E17331" s="2">
        <v>0</v>
      </c>
      <c r="F17331" s="2">
        <v>0</v>
      </c>
      <c r="G17331" s="2">
        <v>0</v>
      </c>
      <c r="H17331" s="1" t="s">
        <v>0</v>
      </c>
      <c r="I17331" s="2">
        <v>0</v>
      </c>
      <c r="J17331" s="1">
        <v>46065.41715277778</v>
      </c>
    </row>
    <row r="17332" spans="1:10" x14ac:dyDescent="0.2">
      <c r="A17332" s="4" t="s">
        <v>1</v>
      </c>
      <c r="B17332" s="3" t="str">
        <f>HYPERLINK("https://otsuka-europe-crm.veevavault.com/ui/#object/approved_document__v/V5O00000000N004", "Maintena Talks: webinar 24 febrero")</f>
        <v>Maintena Talks: webinar 24 febrero</v>
      </c>
      <c r="C17332" s="3" t="str">
        <f>HYPERLINK("https://otsuka-europe-crm.veevavault.com/ui/#object/sent_email__v/VBL00000001B516", "SE-001403850")</f>
        <v>SE-001403850</v>
      </c>
      <c r="D17332" s="1" t="s">
        <v>0</v>
      </c>
      <c r="E17332" s="2">
        <v>0</v>
      </c>
      <c r="F17332" s="2">
        <v>0</v>
      </c>
      <c r="G17332" s="2">
        <v>0</v>
      </c>
      <c r="H17332" s="1" t="s">
        <v>0</v>
      </c>
      <c r="I17332" s="2">
        <v>0</v>
      </c>
      <c r="J17332" s="1">
        <v>46065.417164351849</v>
      </c>
    </row>
    <row r="17333" spans="1:10" x14ac:dyDescent="0.2">
      <c r="A17333" s="4" t="s">
        <v>1</v>
      </c>
      <c r="B17333" s="3" t="str">
        <f>HYPERLINK("https://otsuka-europe-crm.veevavault.com/ui/#object/approved_document__v/V5O00000000N004", "Maintena Talks: webinar 24 febrero")</f>
        <v>Maintena Talks: webinar 24 febrero</v>
      </c>
      <c r="C17333" s="3" t="str">
        <f>HYPERLINK("https://otsuka-europe-crm.veevavault.com/ui/#object/sent_email__v/VBL00000001D041", "SE-001404117")</f>
        <v>SE-001404117</v>
      </c>
      <c r="D17333" s="1">
        <v>46071.020150462966</v>
      </c>
      <c r="E17333" s="2">
        <v>1</v>
      </c>
      <c r="F17333" s="2">
        <v>1</v>
      </c>
      <c r="G17333" s="2">
        <v>0</v>
      </c>
      <c r="H17333" s="1" t="s">
        <v>0</v>
      </c>
      <c r="I17333" s="2">
        <v>0</v>
      </c>
      <c r="J17333" s="1">
        <v>46069.416504629633</v>
      </c>
    </row>
    <row r="17334" spans="1:10" x14ac:dyDescent="0.2">
      <c r="A17334" s="4" t="s">
        <v>1</v>
      </c>
      <c r="B17334" s="3" t="str">
        <f>HYPERLINK("https://otsuka-europe-crm.veevavault.com/ui/#object/approved_document__v/V5O00000000N004", "Maintena Talks: webinar 24 febrero")</f>
        <v>Maintena Talks: webinar 24 febrero</v>
      </c>
      <c r="C17334" s="3" t="str">
        <f>HYPERLINK("https://otsuka-europe-crm.veevavault.com/ui/#object/sent_email__v/VBL00000001E121", "SE-001404118")</f>
        <v>SE-001404118</v>
      </c>
      <c r="D17334" s="1">
        <v>46071.020150462966</v>
      </c>
      <c r="E17334" s="2">
        <v>1</v>
      </c>
      <c r="F17334" s="2">
        <v>1</v>
      </c>
      <c r="G17334" s="2">
        <v>0</v>
      </c>
      <c r="H17334" s="1" t="s">
        <v>0</v>
      </c>
      <c r="I17334" s="2">
        <v>0</v>
      </c>
      <c r="J17334" s="1">
        <v>46069.417002314818</v>
      </c>
    </row>
    <row r="17335" spans="1:10" x14ac:dyDescent="0.2">
      <c r="A17335" s="4" t="s">
        <v>1</v>
      </c>
      <c r="B17335" s="3" t="str">
        <f>HYPERLINK("https://otsuka-europe-crm.veevavault.com/ui/#object/approved_document__v/V5O00000000N004", "Maintena Talks: webinar 24 febrero")</f>
        <v>Maintena Talks: webinar 24 febrero</v>
      </c>
      <c r="C17335" s="3" t="str">
        <f>HYPERLINK("https://otsuka-europe-crm.veevavault.com/ui/#object/sent_email__v/VBL00000001E169", "SE-001404215")</f>
        <v>SE-001404215</v>
      </c>
      <c r="D17335" s="1" t="s">
        <v>0</v>
      </c>
      <c r="E17335" s="2">
        <v>0</v>
      </c>
      <c r="F17335" s="2">
        <v>0</v>
      </c>
      <c r="G17335" s="2">
        <v>0</v>
      </c>
      <c r="H17335" s="1" t="s">
        <v>0</v>
      </c>
      <c r="I17335" s="2">
        <v>0</v>
      </c>
      <c r="J17335" s="1">
        <v>46070.435891203706</v>
      </c>
    </row>
    <row r="17336" spans="1:10" x14ac:dyDescent="0.2">
      <c r="A17336" s="4" t="s">
        <v>1</v>
      </c>
      <c r="B17336" s="3" t="str">
        <f>HYPERLINK("https://otsuka-europe-crm.veevavault.com/ui/#object/approved_document__v/V5O00000000N004", "Maintena Talks: webinar 24 febrero")</f>
        <v>Maintena Talks: webinar 24 febrero</v>
      </c>
      <c r="C17336" s="3" t="str">
        <f>HYPERLINK("https://otsuka-europe-crm.veevavault.com/ui/#object/sent_email__v/VBL00000001D104", "SE-001404221")</f>
        <v>SE-001404221</v>
      </c>
      <c r="D17336" s="1">
        <v>46070.627395833333</v>
      </c>
      <c r="E17336" s="2">
        <v>1</v>
      </c>
      <c r="F17336" s="2">
        <v>3</v>
      </c>
      <c r="G17336" s="2">
        <v>0</v>
      </c>
      <c r="H17336" s="1" t="s">
        <v>0</v>
      </c>
      <c r="I17336" s="2">
        <v>0</v>
      </c>
      <c r="J17336" s="1">
        <v>46070.444965277777</v>
      </c>
    </row>
    <row r="17337" spans="1:10" x14ac:dyDescent="0.2">
      <c r="A17337" s="4" t="s">
        <v>1</v>
      </c>
      <c r="B17337" s="3" t="str">
        <f>HYPERLINK("https://otsuka-europe-crm.veevavault.com/ui/#object/approved_document__v/V5O00000000N004", "Maintena Talks: webinar 24 febrero")</f>
        <v>Maintena Talks: webinar 24 febrero</v>
      </c>
      <c r="C17337" s="3" t="str">
        <f>HYPERLINK("https://otsuka-europe-crm.veevavault.com/ui/#object/sent_email__v/VBL00000001D605", "SE-001405014")</f>
        <v>SE-001405014</v>
      </c>
      <c r="D17337" s="1">
        <v>46074.899212962962</v>
      </c>
      <c r="E17337" s="2">
        <v>1</v>
      </c>
      <c r="F17337" s="2">
        <v>2</v>
      </c>
      <c r="G17337" s="2">
        <v>0</v>
      </c>
      <c r="H17337" s="1" t="s">
        <v>0</v>
      </c>
      <c r="I17337" s="2">
        <v>0</v>
      </c>
      <c r="J17337" s="1">
        <v>46072.503865740742</v>
      </c>
    </row>
    <row r="17338" spans="1:10" x14ac:dyDescent="0.2">
      <c r="A17338" s="4" t="s">
        <v>1</v>
      </c>
      <c r="B17338" s="3" t="str">
        <f>HYPERLINK("https://otsuka-europe-crm.veevavault.com/ui/#object/approved_document__v/V5O00000000N004", "Maintena Talks: webinar 24 febrero")</f>
        <v>Maintena Talks: webinar 24 febrero</v>
      </c>
      <c r="C17338" s="3" t="str">
        <f>HYPERLINK("https://otsuka-europe-crm.veevavault.com/ui/#object/sent_email__v/VBL00000001D606", "SE-001405015")</f>
        <v>SE-001405015</v>
      </c>
      <c r="D17338" s="1">
        <v>46077.740567129629</v>
      </c>
      <c r="E17338" s="2">
        <v>1</v>
      </c>
      <c r="F17338" s="2">
        <v>3</v>
      </c>
      <c r="G17338" s="2">
        <v>1</v>
      </c>
      <c r="H17338" s="1">
        <v>46077.755624999998</v>
      </c>
      <c r="I17338" s="2">
        <v>9</v>
      </c>
      <c r="J17338" s="1">
        <v>46072.504027777781</v>
      </c>
    </row>
    <row r="17339" spans="1:10" x14ac:dyDescent="0.2">
      <c r="A17339" s="4" t="s">
        <v>1</v>
      </c>
      <c r="B17339" s="3" t="str">
        <f>HYPERLINK("https://otsuka-europe-crm.veevavault.com/ui/#object/approved_document__v/V5O00000000N004", "Maintena Talks: webinar 24 febrero")</f>
        <v>Maintena Talks: webinar 24 febrero</v>
      </c>
      <c r="C17339" s="3" t="str">
        <f>HYPERLINK("https://otsuka-europe-crm.veevavault.com/ui/#object/sent_email__v/VBL00000001D607", "SE-001405016")</f>
        <v>SE-001405016</v>
      </c>
      <c r="D17339" s="1" t="s">
        <v>0</v>
      </c>
      <c r="E17339" s="2">
        <v>0</v>
      </c>
      <c r="F17339" s="2">
        <v>0</v>
      </c>
      <c r="G17339" s="2">
        <v>0</v>
      </c>
      <c r="H17339" s="1" t="s">
        <v>0</v>
      </c>
      <c r="I17339" s="2">
        <v>0</v>
      </c>
      <c r="J17339" s="1">
        <v>46072.504201388889</v>
      </c>
    </row>
    <row r="17340" spans="1:10" x14ac:dyDescent="0.2">
      <c r="A17340" s="4" t="s">
        <v>1</v>
      </c>
      <c r="B17340" s="3" t="str">
        <f>HYPERLINK("https://otsuka-europe-crm.veevavault.com/ui/#object/approved_document__v/V5O00000000N004", "Maintena Talks: webinar 24 febrero")</f>
        <v>Maintena Talks: webinar 24 febrero</v>
      </c>
      <c r="C17340" s="3" t="str">
        <f>HYPERLINK("https://otsuka-europe-crm.veevavault.com/ui/#object/sent_email__v/VBL00000001D608", "SE-001405017")</f>
        <v>SE-001405017</v>
      </c>
      <c r="D17340" s="1">
        <v>46072.91306712963</v>
      </c>
      <c r="E17340" s="2">
        <v>1</v>
      </c>
      <c r="F17340" s="2">
        <v>1</v>
      </c>
      <c r="G17340" s="2">
        <v>0</v>
      </c>
      <c r="H17340" s="1" t="s">
        <v>0</v>
      </c>
      <c r="I17340" s="2">
        <v>0</v>
      </c>
      <c r="J17340" s="1">
        <v>46072.504340277781</v>
      </c>
    </row>
    <row r="17341" spans="1:10" x14ac:dyDescent="0.2">
      <c r="A17341" s="4" t="s">
        <v>1</v>
      </c>
      <c r="B17341" s="3" t="str">
        <f>HYPERLINK("https://otsuka-europe-crm.veevavault.com/ui/#object/approved_document__v/V5O00000000N004", "Maintena Talks: webinar 24 febrero")</f>
        <v>Maintena Talks: webinar 24 febrero</v>
      </c>
      <c r="C17341" s="3" t="str">
        <f>HYPERLINK("https://otsuka-europe-crm.veevavault.com/ui/#object/sent_email__v/VBL00000001G009", "SE-001405174")</f>
        <v>SE-001405174</v>
      </c>
      <c r="D17341" s="1">
        <v>46073.645972222221</v>
      </c>
      <c r="E17341" s="2">
        <v>1</v>
      </c>
      <c r="F17341" s="2">
        <v>1</v>
      </c>
      <c r="G17341" s="2">
        <v>0</v>
      </c>
      <c r="H17341" s="1" t="s">
        <v>0</v>
      </c>
      <c r="I17341" s="2">
        <v>0</v>
      </c>
      <c r="J17341" s="1">
        <v>46073.309293981481</v>
      </c>
    </row>
    <row r="17342" spans="1:10" x14ac:dyDescent="0.2">
      <c r="A17342" s="4" t="s">
        <v>1</v>
      </c>
      <c r="B17342" s="3" t="str">
        <f>HYPERLINK("https://otsuka-europe-crm.veevavault.com/ui/#object/approved_document__v/V5O00000000N004", "Maintena Talks: webinar 24 febrero")</f>
        <v>Maintena Talks: webinar 24 febrero</v>
      </c>
      <c r="C17342" s="3" t="str">
        <f>HYPERLINK("https://otsuka-europe-crm.veevavault.com/ui/#object/sent_email__v/VBL00000001G010", "SE-001405175")</f>
        <v>SE-001405175</v>
      </c>
      <c r="D17342" s="1">
        <v>46073.793240740742</v>
      </c>
      <c r="E17342" s="2">
        <v>1</v>
      </c>
      <c r="F17342" s="2">
        <v>1</v>
      </c>
      <c r="G17342" s="2">
        <v>0</v>
      </c>
      <c r="H17342" s="1" t="s">
        <v>0</v>
      </c>
      <c r="I17342" s="2">
        <v>0</v>
      </c>
      <c r="J17342" s="1">
        <v>46073.311944444446</v>
      </c>
    </row>
    <row r="17343" spans="1:10" x14ac:dyDescent="0.2">
      <c r="A17343" s="4" t="s">
        <v>1</v>
      </c>
      <c r="B17343" s="3" t="str">
        <f>HYPERLINK("https://otsuka-europe-crm.veevavault.com/ui/#object/approved_document__v/V5O00000000N004", "Maintena Talks: webinar 24 febrero")</f>
        <v>Maintena Talks: webinar 24 febrero</v>
      </c>
      <c r="C17343" s="3" t="str">
        <f>HYPERLINK("https://otsuka-europe-crm.veevavault.com/ui/#object/sent_email__v/VBL00000001F042", "SE-001405438")</f>
        <v>SE-001405438</v>
      </c>
      <c r="D17343" s="1" t="s">
        <v>0</v>
      </c>
      <c r="E17343" s="2">
        <v>0</v>
      </c>
      <c r="F17343" s="2">
        <v>0</v>
      </c>
      <c r="G17343" s="2">
        <v>0</v>
      </c>
      <c r="H17343" s="1" t="s">
        <v>0</v>
      </c>
      <c r="I17343" s="2">
        <v>0</v>
      </c>
      <c r="J17343" s="1">
        <v>46073.709386574075</v>
      </c>
    </row>
    <row r="17344" spans="1:10" x14ac:dyDescent="0.2">
      <c r="A17344" s="4" t="s">
        <v>1</v>
      </c>
      <c r="B17344" s="3" t="str">
        <f>HYPERLINK("https://otsuka-europe-crm.veevavault.com/ui/#object/approved_document__v/V5O00000000N004", "Maintena Talks: webinar 24 febrero")</f>
        <v>Maintena Talks: webinar 24 febrero</v>
      </c>
      <c r="C17344" s="3" t="str">
        <f>HYPERLINK("https://otsuka-europe-crm.veevavault.com/ui/#object/sent_email__v/VBL00000001F043", "SE-001405439")</f>
        <v>SE-001405439</v>
      </c>
      <c r="D17344" s="1" t="s">
        <v>0</v>
      </c>
      <c r="E17344" s="2">
        <v>0</v>
      </c>
      <c r="F17344" s="2">
        <v>0</v>
      </c>
      <c r="G17344" s="2">
        <v>0</v>
      </c>
      <c r="H17344" s="1" t="s">
        <v>0</v>
      </c>
      <c r="I17344" s="2">
        <v>0</v>
      </c>
      <c r="J17344" s="1">
        <v>46073.709560185183</v>
      </c>
    </row>
    <row r="17345" spans="1:10" x14ac:dyDescent="0.2">
      <c r="A17345" s="4" t="s">
        <v>1</v>
      </c>
      <c r="B17345" s="3" t="str">
        <f>HYPERLINK("https://otsuka-europe-crm.veevavault.com/ui/#object/approved_document__v/V5O00000000N004", "Maintena Talks: webinar 24 febrero")</f>
        <v>Maintena Talks: webinar 24 febrero</v>
      </c>
      <c r="C17345" s="3" t="str">
        <f>HYPERLINK("https://otsuka-europe-crm.veevavault.com/ui/#object/sent_email__v/VBL00000001F044", "SE-001405440")</f>
        <v>SE-001405440</v>
      </c>
      <c r="D17345" s="1">
        <v>46077.756504629629</v>
      </c>
      <c r="E17345" s="2">
        <v>1</v>
      </c>
      <c r="F17345" s="2">
        <v>11</v>
      </c>
      <c r="G17345" s="2">
        <v>1</v>
      </c>
      <c r="H17345" s="1">
        <v>46077.751932870371</v>
      </c>
      <c r="I17345" s="2">
        <v>2</v>
      </c>
      <c r="J17345" s="1">
        <v>46073.709710648145</v>
      </c>
    </row>
    <row r="17346" spans="1:10" x14ac:dyDescent="0.2">
      <c r="A17346" s="4" t="s">
        <v>1</v>
      </c>
      <c r="B17346" s="3" t="str">
        <f>HYPERLINK("https://otsuka-europe-crm.veevavault.com/ui/#object/approved_document__v/V5O00000000N004", "Maintena Talks: webinar 24 febrero")</f>
        <v>Maintena Talks: webinar 24 febrero</v>
      </c>
      <c r="C17346" s="3" t="str">
        <f>HYPERLINK("https://otsuka-europe-crm.veevavault.com/ui/#object/sent_email__v/VBL00000001F045", "SE-001405441")</f>
        <v>SE-001405441</v>
      </c>
      <c r="D17346" s="1">
        <v>46077.744479166664</v>
      </c>
      <c r="E17346" s="2">
        <v>1</v>
      </c>
      <c r="F17346" s="2">
        <v>2</v>
      </c>
      <c r="G17346" s="2">
        <v>1</v>
      </c>
      <c r="H17346" s="1">
        <v>46077.752013888887</v>
      </c>
      <c r="I17346" s="2">
        <v>6</v>
      </c>
      <c r="J17346" s="1">
        <v>46073.709872685184</v>
      </c>
    </row>
    <row r="17347" spans="1:10" x14ac:dyDescent="0.2">
      <c r="A17347" s="4" t="s">
        <v>1</v>
      </c>
      <c r="B17347" s="3" t="str">
        <f>HYPERLINK("https://otsuka-europe-crm.veevavault.com/ui/#object/approved_document__v/V5O00000000N004", "Maintena Talks: webinar 24 febrero")</f>
        <v>Maintena Talks: webinar 24 febrero</v>
      </c>
      <c r="C17347" s="3" t="str">
        <f>HYPERLINK("https://otsuka-europe-crm.veevavault.com/ui/#object/sent_email__v/VBL00000001G451", "SE-001405733")</f>
        <v>SE-001405733</v>
      </c>
      <c r="D17347" s="1">
        <v>46078.905335648145</v>
      </c>
      <c r="E17347" s="2">
        <v>1</v>
      </c>
      <c r="F17347" s="2">
        <v>8</v>
      </c>
      <c r="G17347" s="2">
        <v>0</v>
      </c>
      <c r="H17347" s="1" t="s">
        <v>0</v>
      </c>
      <c r="I17347" s="2">
        <v>0</v>
      </c>
      <c r="J17347" s="1">
        <v>46076.640520833331</v>
      </c>
    </row>
    <row r="17348" spans="1:10" x14ac:dyDescent="0.2">
      <c r="A17348" s="4" t="s">
        <v>1</v>
      </c>
      <c r="B17348" s="3" t="str">
        <f>HYPERLINK("https://otsuka-europe-crm.veevavault.com/ui/#object/approved_document__v/V5O00000000N004", "Maintena Talks: webinar 24 febrero")</f>
        <v>Maintena Talks: webinar 24 febrero</v>
      </c>
      <c r="C17348" s="3" t="str">
        <f>HYPERLINK("https://otsuka-europe-crm.veevavault.com/ui/#object/sent_email__v/VBL00000001G452", "SE-001405734")</f>
        <v>SE-001405734</v>
      </c>
      <c r="D17348" s="1">
        <v>46077.731076388889</v>
      </c>
      <c r="E17348" s="2">
        <v>1</v>
      </c>
      <c r="F17348" s="2">
        <v>1</v>
      </c>
      <c r="G17348" s="2">
        <v>1</v>
      </c>
      <c r="H17348" s="1">
        <v>46077.734293981484</v>
      </c>
      <c r="I17348" s="2">
        <v>8</v>
      </c>
      <c r="J17348" s="1">
        <v>46076.640763888892</v>
      </c>
    </row>
    <row r="17349" spans="1:10" x14ac:dyDescent="0.2">
      <c r="A17349" s="4" t="s">
        <v>1</v>
      </c>
      <c r="B17349" s="3" t="str">
        <f>HYPERLINK("https://otsuka-europe-crm.veevavault.com/ui/#object/approved_document__v/V5O00000000N004", "Maintena Talks: webinar 24 febrero")</f>
        <v>Maintena Talks: webinar 24 febrero</v>
      </c>
      <c r="C17349" s="3" t="str">
        <f>HYPERLINK("https://otsuka-europe-crm.veevavault.com/ui/#object/sent_email__v/VBL00000001G486", "SE-001405941")</f>
        <v>SE-001405941</v>
      </c>
      <c r="D17349" s="1">
        <v>46077.765949074077</v>
      </c>
      <c r="E17349" s="2">
        <v>1</v>
      </c>
      <c r="F17349" s="2">
        <v>2</v>
      </c>
      <c r="G17349" s="2">
        <v>1</v>
      </c>
      <c r="H17349" s="1">
        <v>46077.767523148148</v>
      </c>
      <c r="I17349" s="2">
        <v>5</v>
      </c>
      <c r="J17349" s="1">
        <v>46076.802199074074</v>
      </c>
    </row>
    <row r="17350" spans="1:10" x14ac:dyDescent="0.2">
      <c r="A17350" s="4" t="s">
        <v>1</v>
      </c>
      <c r="B17350" s="3" t="str">
        <f>HYPERLINK("https://otsuka-europe-crm.veevavault.com/ui/#object/approved_document__v/V5O00000000N004", "Maintena Talks: webinar 24 febrero")</f>
        <v>Maintena Talks: webinar 24 febrero</v>
      </c>
      <c r="C17350" s="3" t="str">
        <f>HYPERLINK("https://otsuka-europe-crm.veevavault.com/ui/#object/sent_email__v/VBL00000001G487", "SE-001405942")</f>
        <v>SE-001405942</v>
      </c>
      <c r="D17350" s="1">
        <v>46076.880555555559</v>
      </c>
      <c r="E17350" s="2">
        <v>1</v>
      </c>
      <c r="F17350" s="2">
        <v>1</v>
      </c>
      <c r="G17350" s="2">
        <v>0</v>
      </c>
      <c r="H17350" s="1" t="s">
        <v>0</v>
      </c>
      <c r="I17350" s="2">
        <v>0</v>
      </c>
      <c r="J17350" s="1">
        <v>46076.80296296296</v>
      </c>
    </row>
    <row r="17351" spans="1:10" x14ac:dyDescent="0.2">
      <c r="A17351" s="4" t="s">
        <v>1</v>
      </c>
      <c r="B17351" s="3" t="str">
        <f>HYPERLINK("https://otsuka-europe-crm.veevavault.com/ui/#object/approved_document__v/V5O00000000N004", "Maintena Talks: webinar 24 febrero")</f>
        <v>Maintena Talks: webinar 24 febrero</v>
      </c>
      <c r="C17351" s="3" t="str">
        <f>HYPERLINK("https://otsuka-europe-crm.veevavault.com/ui/#object/sent_email__v/VBL00000001G488", "SE-001405943")</f>
        <v>SE-001405943</v>
      </c>
      <c r="D17351" s="1">
        <v>46077.710300925923</v>
      </c>
      <c r="E17351" s="2">
        <v>1</v>
      </c>
      <c r="F17351" s="2">
        <v>2</v>
      </c>
      <c r="G17351" s="2">
        <v>0</v>
      </c>
      <c r="H17351" s="1" t="s">
        <v>0</v>
      </c>
      <c r="I17351" s="2">
        <v>0</v>
      </c>
      <c r="J17351" s="1">
        <v>46076.803124999999</v>
      </c>
    </row>
    <row r="17352" spans="1:10" x14ac:dyDescent="0.2">
      <c r="A17352" s="4" t="s">
        <v>1</v>
      </c>
      <c r="B17352" s="3" t="str">
        <f>HYPERLINK("https://otsuka-europe-crm.veevavault.com/ui/#object/approved_document__v/V5O00000000N004", "Maintena Talks: webinar 24 febrero")</f>
        <v>Maintena Talks: webinar 24 febrero</v>
      </c>
      <c r="C17352" s="3" t="str">
        <f>HYPERLINK("https://otsuka-europe-crm.veevavault.com/ui/#object/sent_email__v/VBL00000001G489", "SE-001405944")</f>
        <v>SE-001405944</v>
      </c>
      <c r="D17352" s="1" t="s">
        <v>0</v>
      </c>
      <c r="E17352" s="2">
        <v>0</v>
      </c>
      <c r="F17352" s="2">
        <v>0</v>
      </c>
      <c r="G17352" s="2">
        <v>0</v>
      </c>
      <c r="H17352" s="1" t="s">
        <v>0</v>
      </c>
      <c r="I17352" s="2">
        <v>0</v>
      </c>
      <c r="J17352" s="1">
        <v>46076.803287037037</v>
      </c>
    </row>
    <row r="17353" spans="1:10" x14ac:dyDescent="0.2">
      <c r="A17353" s="4" t="s">
        <v>1</v>
      </c>
      <c r="B17353" s="3" t="str">
        <f>HYPERLINK("https://otsuka-europe-crm.veevavault.com/ui/#object/approved_document__v/V5O00000000N004", "Maintena Talks: webinar 24 febrero")</f>
        <v>Maintena Talks: webinar 24 febrero</v>
      </c>
      <c r="C17353" s="3" t="str">
        <f>HYPERLINK("https://otsuka-europe-crm.veevavault.com/ui/#object/sent_email__v/VBL00000001G490", "SE-001405945")</f>
        <v>SE-001405945</v>
      </c>
      <c r="D17353" s="1">
        <v>46077.758055555554</v>
      </c>
      <c r="E17353" s="2">
        <v>1</v>
      </c>
      <c r="F17353" s="2">
        <v>10</v>
      </c>
      <c r="G17353" s="2">
        <v>1</v>
      </c>
      <c r="H17353" s="1">
        <v>46077.750104166669</v>
      </c>
      <c r="I17353" s="2">
        <v>8</v>
      </c>
      <c r="J17353" s="1">
        <v>46076.803460648145</v>
      </c>
    </row>
    <row r="17354" spans="1:10" x14ac:dyDescent="0.2">
      <c r="A17354" s="4" t="s">
        <v>1</v>
      </c>
      <c r="B17354" s="3" t="str">
        <f>HYPERLINK("https://otsuka-europe-crm.veevavault.com/ui/#object/approved_document__v/V5O00000000N004", "Maintena Talks: webinar 24 febrero")</f>
        <v>Maintena Talks: webinar 24 febrero</v>
      </c>
      <c r="C17354" s="3" t="str">
        <f>HYPERLINK("https://otsuka-europe-crm.veevavault.com/ui/#object/sent_email__v/VBL00000001G519", "SE-001406012")</f>
        <v>SE-001406012</v>
      </c>
      <c r="D17354" s="1">
        <v>46078.96702546296</v>
      </c>
      <c r="E17354" s="2">
        <v>1</v>
      </c>
      <c r="F17354" s="2">
        <v>1</v>
      </c>
      <c r="G17354" s="2">
        <v>0</v>
      </c>
      <c r="H17354" s="1" t="s">
        <v>0</v>
      </c>
      <c r="I17354" s="2">
        <v>0</v>
      </c>
      <c r="J17354" s="1">
        <v>46077.545277777775</v>
      </c>
    </row>
    <row r="17355" spans="1:10" x14ac:dyDescent="0.2">
      <c r="A17355" s="4" t="s">
        <v>1</v>
      </c>
      <c r="B17355" s="3" t="str">
        <f>HYPERLINK("https://otsuka-europe-crm.veevavault.com/ui/#object/approved_document__v/V5O00000000N004", "Maintena Talks: webinar 24 febrero")</f>
        <v>Maintena Talks: webinar 24 febrero</v>
      </c>
      <c r="C17355" s="3" t="str">
        <f>HYPERLINK("https://otsuka-europe-crm.veevavault.com/ui/#object/sent_email__v/VBL00000001G520", "SE-001406013")</f>
        <v>SE-001406013</v>
      </c>
      <c r="D17355" s="1">
        <v>46077.871678240743</v>
      </c>
      <c r="E17355" s="2">
        <v>1</v>
      </c>
      <c r="F17355" s="2">
        <v>2</v>
      </c>
      <c r="G17355" s="2">
        <v>1</v>
      </c>
      <c r="H17355" s="1">
        <v>46077.871145833335</v>
      </c>
      <c r="I17355" s="2">
        <v>5</v>
      </c>
      <c r="J17355" s="1">
        <v>46077.54550925926</v>
      </c>
    </row>
    <row r="17356" spans="1:10" x14ac:dyDescent="0.2">
      <c r="A17356" s="4" t="s">
        <v>1</v>
      </c>
      <c r="B17356" s="3" t="str">
        <f>HYPERLINK("https://otsuka-europe-crm.veevavault.com/ui/#object/approved_document__v/V5O00000000N004", "Maintena Talks: webinar 24 febrero")</f>
        <v>Maintena Talks: webinar 24 febrero</v>
      </c>
      <c r="C17356" s="3" t="str">
        <f>HYPERLINK("https://otsuka-europe-crm.veevavault.com/ui/#object/sent_email__v/VBL00000001F339", "SE-001406014")</f>
        <v>SE-001406014</v>
      </c>
      <c r="D17356" s="1">
        <v>46078.446273148147</v>
      </c>
      <c r="E17356" s="2">
        <v>1</v>
      </c>
      <c r="F17356" s="2">
        <v>6</v>
      </c>
      <c r="G17356" s="2">
        <v>1</v>
      </c>
      <c r="H17356" s="1">
        <v>46077.762569444443</v>
      </c>
      <c r="I17356" s="2">
        <v>3</v>
      </c>
      <c r="J17356" s="1">
        <v>46077.545717592591</v>
      </c>
    </row>
    <row r="17357" spans="1:10" x14ac:dyDescent="0.2">
      <c r="A17357" s="4" t="s">
        <v>1</v>
      </c>
      <c r="B17357" s="3" t="str">
        <f>HYPERLINK("https://otsuka-europe-crm.veevavault.com/ui/#object/approved_document__v/V5O00000000N004", "Maintena Talks: webinar 24 febrero")</f>
        <v>Maintena Talks: webinar 24 febrero</v>
      </c>
      <c r="C17357" s="3" t="str">
        <f>HYPERLINK("https://otsuka-europe-crm.veevavault.com/ui/#object/sent_email__v/VBL00000001F340", "SE-001406015")</f>
        <v>SE-001406015</v>
      </c>
      <c r="D17357" s="1">
        <v>46078.746504629627</v>
      </c>
      <c r="E17357" s="2">
        <v>1</v>
      </c>
      <c r="F17357" s="2">
        <v>8</v>
      </c>
      <c r="G17357" s="2">
        <v>1</v>
      </c>
      <c r="H17357" s="1">
        <v>46077.753240740742</v>
      </c>
      <c r="I17357" s="2">
        <v>3</v>
      </c>
      <c r="J17357" s="1">
        <v>46077.545995370368</v>
      </c>
    </row>
    <row r="17358" spans="1:10" x14ac:dyDescent="0.2">
      <c r="A17358" s="4" t="s">
        <v>1</v>
      </c>
      <c r="B17358" s="3" t="str">
        <f>HYPERLINK("https://otsuka-europe-crm.veevavault.com/ui/#object/approved_document__v/V5O00000000N004", "Maintena Talks: webinar 24 febrero")</f>
        <v>Maintena Talks: webinar 24 febrero</v>
      </c>
      <c r="C17358" s="3" t="str">
        <f>HYPERLINK("https://otsuka-europe-crm.veevavault.com/ui/#object/sent_email__v/VBL00000001G521", "SE-001406016")</f>
        <v>SE-001406016</v>
      </c>
      <c r="D17358" s="1">
        <v>46077.893252314818</v>
      </c>
      <c r="E17358" s="2">
        <v>1</v>
      </c>
      <c r="F17358" s="2">
        <v>16</v>
      </c>
      <c r="G17358" s="2">
        <v>1</v>
      </c>
      <c r="H17358" s="1">
        <v>46077.753275462965</v>
      </c>
      <c r="I17358" s="2">
        <v>31</v>
      </c>
      <c r="J17358" s="1">
        <v>46077.546273148146</v>
      </c>
    </row>
    <row r="17359" spans="1:10" x14ac:dyDescent="0.2">
      <c r="A17359" s="4" t="s">
        <v>1</v>
      </c>
      <c r="B17359" s="3" t="str">
        <f>HYPERLINK("https://otsuka-europe-crm.veevavault.com/ui/#object/approved_document__v/V5O00000000K012", "MENTORA Reunión enfermería 13-14 Febrero")</f>
        <v>MENTORA Reunión enfermería 13-14 Febrero</v>
      </c>
      <c r="C17359" s="3" t="str">
        <f>HYPERLINK("https://otsuka-europe-crm.veevavault.com/ui/#object/sent_email__v/VBL000000015248", "SE-001400602")</f>
        <v>SE-001400602</v>
      </c>
      <c r="D17359" s="1">
        <v>46071.796909722223</v>
      </c>
      <c r="E17359" s="2">
        <v>1</v>
      </c>
      <c r="F17359" s="2">
        <v>2</v>
      </c>
      <c r="G17359" s="2">
        <v>0</v>
      </c>
      <c r="H17359" s="1" t="s">
        <v>0</v>
      </c>
      <c r="I17359" s="2">
        <v>0</v>
      </c>
      <c r="J17359" s="1">
        <v>46043.471516203703</v>
      </c>
    </row>
    <row r="17360" spans="1:10" x14ac:dyDescent="0.2">
      <c r="A17360" s="4" t="s">
        <v>1</v>
      </c>
      <c r="B17360" s="3" t="str">
        <f>HYPERLINK("https://otsuka-europe-crm.veevavault.com/ui/#object/approved_document__v/V5O00000000K012", "MENTORA Reunión enfermería 13-14 Febrero")</f>
        <v>MENTORA Reunión enfermería 13-14 Febrero</v>
      </c>
      <c r="C17360" s="3" t="str">
        <f>HYPERLINK("https://otsuka-europe-crm.veevavault.com/ui/#object/sent_email__v/VBL000000016359", "SE-001400603")</f>
        <v>SE-001400603</v>
      </c>
      <c r="D17360" s="1">
        <v>46071.796909722223</v>
      </c>
      <c r="E17360" s="2">
        <v>1</v>
      </c>
      <c r="F17360" s="2">
        <v>2</v>
      </c>
      <c r="G17360" s="2">
        <v>1</v>
      </c>
      <c r="H17360" s="1">
        <v>46043.478726851848</v>
      </c>
      <c r="I17360" s="2">
        <v>3</v>
      </c>
      <c r="J17360" s="1">
        <v>46043.471504629626</v>
      </c>
    </row>
    <row r="17361" spans="1:10" x14ac:dyDescent="0.2">
      <c r="A17361" s="4" t="s">
        <v>1</v>
      </c>
      <c r="B17361" s="3" t="str">
        <f>HYPERLINK("https://otsuka-europe-crm.veevavault.com/ui/#object/approved_document__v/V5O00000000K012", "MENTORA Reunión enfermería 13-14 Febrero")</f>
        <v>MENTORA Reunión enfermería 13-14 Febrero</v>
      </c>
      <c r="C17361" s="3" t="str">
        <f>HYPERLINK("https://otsuka-europe-crm.veevavault.com/ui/#object/sent_email__v/VBL000000015271", "SE-001400645")</f>
        <v>SE-001400645</v>
      </c>
      <c r="D17361" s="1" t="s">
        <v>0</v>
      </c>
      <c r="E17361" s="2">
        <v>0</v>
      </c>
      <c r="F17361" s="2">
        <v>0</v>
      </c>
      <c r="G17361" s="2">
        <v>0</v>
      </c>
      <c r="H17361" s="1" t="s">
        <v>0</v>
      </c>
      <c r="I17361" s="2">
        <v>0</v>
      </c>
      <c r="J17361" s="1">
        <v>46043.478136574071</v>
      </c>
    </row>
    <row r="17362" spans="1:10" x14ac:dyDescent="0.2">
      <c r="A17362" s="4" t="s">
        <v>1</v>
      </c>
      <c r="B17362" s="3" t="str">
        <f>HYPERLINK("https://otsuka-europe-crm.veevavault.com/ui/#object/approved_document__v/V5O00000000K012", "MENTORA Reunión enfermería 13-14 Febrero")</f>
        <v>MENTORA Reunión enfermería 13-14 Febrero</v>
      </c>
      <c r="C17362" s="3" t="str">
        <f>HYPERLINK("https://otsuka-europe-crm.veevavault.com/ui/#object/sent_email__v/VBL000000018102", "SE-001402201")</f>
        <v>SE-001402201</v>
      </c>
      <c r="D17362" s="1">
        <v>46066.338738425926</v>
      </c>
      <c r="E17362" s="2">
        <v>1</v>
      </c>
      <c r="F17362" s="2">
        <v>4</v>
      </c>
      <c r="G17362" s="2">
        <v>1</v>
      </c>
      <c r="H17362" s="1">
        <v>46066.951817129629</v>
      </c>
      <c r="I17362" s="2">
        <v>7</v>
      </c>
      <c r="J17362" s="1">
        <v>46051.583935185183</v>
      </c>
    </row>
    <row r="17363" spans="1:10" x14ac:dyDescent="0.2">
      <c r="A17363" s="4" t="s">
        <v>1</v>
      </c>
      <c r="B17363" s="3" t="str">
        <f>HYPERLINK("https://otsuka-europe-crm.veevavault.com/ui/#object/approved_document__v/V5OZ025E82KUA9I", "Peplau - Registro a la web")</f>
        <v>Peplau - Registro a la web</v>
      </c>
      <c r="C17363" s="3" t="str">
        <f>HYPERLINK("https://otsuka-europe-crm.veevavault.com/ui/#object/sent_email__v/VBLZ025E82GHTP9", "SE-000255540")</f>
        <v>SE-000255540</v>
      </c>
      <c r="D17363" s="1">
        <v>45908.797905092593</v>
      </c>
      <c r="E17363" s="2">
        <v>1</v>
      </c>
      <c r="F17363" s="2">
        <v>2</v>
      </c>
      <c r="G17363" s="2">
        <v>1</v>
      </c>
      <c r="H17363" s="1">
        <v>45908.797962962963</v>
      </c>
      <c r="I17363" s="2">
        <v>1</v>
      </c>
      <c r="J17363" s="1">
        <v>45908.646736111114</v>
      </c>
    </row>
    <row r="17364" spans="1:10" x14ac:dyDescent="0.2">
      <c r="A17364" s="4" t="s">
        <v>1</v>
      </c>
      <c r="B17364" s="3" t="str">
        <f>HYPERLINK("https://otsuka-europe-crm.veevavault.com/ui/#object/approved_document__v/V5O00000000D082", "Postal Navidad 2025")</f>
        <v>Postal Navidad 2025</v>
      </c>
      <c r="C17364" s="3" t="str">
        <f>HYPERLINK("https://otsuka-europe-crm.veevavault.com/ui/#object/sent_email__v/VBL00000000X365", "SE-001396156")</f>
        <v>SE-001396156</v>
      </c>
      <c r="D17364" s="1" t="s">
        <v>0</v>
      </c>
      <c r="E17364" s="2">
        <v>0</v>
      </c>
      <c r="F17364" s="2">
        <v>0</v>
      </c>
      <c r="G17364" s="2">
        <v>0</v>
      </c>
      <c r="H17364" s="1" t="s">
        <v>0</v>
      </c>
      <c r="I17364" s="2">
        <v>0</v>
      </c>
      <c r="J17364" s="1">
        <v>46001.818796296298</v>
      </c>
    </row>
    <row r="17365" spans="1:10" x14ac:dyDescent="0.2">
      <c r="A17365" s="4" t="s">
        <v>1</v>
      </c>
      <c r="B17365" s="3" t="str">
        <f>HYPERLINK("https://otsuka-europe-crm.veevavault.com/ui/#object/approved_document__v/V5O00000000D106", "Postal Navidad 2025")</f>
        <v>Postal Navidad 2025</v>
      </c>
      <c r="C17365" s="3" t="str">
        <f>HYPERLINK("https://otsuka-europe-crm.veevavault.com/ui/#object/sent_email__v/VBL00000000X367", "SE-001396158")</f>
        <v>SE-001396158</v>
      </c>
      <c r="D17365" s="1" t="s">
        <v>0</v>
      </c>
      <c r="E17365" s="2">
        <v>0</v>
      </c>
      <c r="F17365" s="2">
        <v>0</v>
      </c>
      <c r="G17365" s="2">
        <v>0</v>
      </c>
      <c r="H17365" s="1" t="s">
        <v>0</v>
      </c>
      <c r="I17365" s="2">
        <v>0</v>
      </c>
      <c r="J17365" s="1">
        <v>46001.821493055555</v>
      </c>
    </row>
    <row r="17366" spans="1:10" x14ac:dyDescent="0.2">
      <c r="A17366" s="4" t="s">
        <v>1</v>
      </c>
      <c r="B17366" s="3" t="str">
        <f>HYPERLINK("https://otsuka-europe-crm.veevavault.com/ui/#object/approved_document__v/V5O00000000D106", "Postal Navidad 2025")</f>
        <v>Postal Navidad 2025</v>
      </c>
      <c r="C17366" s="3" t="str">
        <f>HYPERLINK("https://otsuka-europe-crm.veevavault.com/ui/#object/sent_email__v/VBL00000000W345", "SE-001396184")</f>
        <v>SE-001396184</v>
      </c>
      <c r="D17366" s="1" t="s">
        <v>0</v>
      </c>
      <c r="E17366" s="2">
        <v>0</v>
      </c>
      <c r="F17366" s="2">
        <v>0</v>
      </c>
      <c r="G17366" s="2">
        <v>0</v>
      </c>
      <c r="H17366" s="1" t="s">
        <v>0</v>
      </c>
      <c r="I17366" s="2">
        <v>0</v>
      </c>
      <c r="J17366" s="1">
        <v>46002.45716435185</v>
      </c>
    </row>
    <row r="17367" spans="1:10" x14ac:dyDescent="0.2">
      <c r="A17367" s="4" t="s">
        <v>1</v>
      </c>
      <c r="B17367" s="3" t="str">
        <f>HYPERLINK("https://otsuka-europe-crm.veevavault.com/ui/#object/approved_document__v/V5O00000000D106", "Postal Navidad 2025")</f>
        <v>Postal Navidad 2025</v>
      </c>
      <c r="C17367" s="3" t="str">
        <f>HYPERLINK("https://otsuka-europe-crm.veevavault.com/ui/#object/sent_email__v/VBL000000011814", "SE-001397649")</f>
        <v>SE-001397649</v>
      </c>
      <c r="D17367" s="1">
        <v>46009.766631944447</v>
      </c>
      <c r="E17367" s="2">
        <v>1</v>
      </c>
      <c r="F17367" s="2">
        <v>1</v>
      </c>
      <c r="G17367" s="2">
        <v>0</v>
      </c>
      <c r="H17367" s="1" t="s">
        <v>0</v>
      </c>
      <c r="I17367" s="2">
        <v>0</v>
      </c>
      <c r="J17367" s="1">
        <v>46009.746319444443</v>
      </c>
    </row>
    <row r="17368" spans="1:10" x14ac:dyDescent="0.2">
      <c r="A17368" s="4" t="s">
        <v>1</v>
      </c>
      <c r="B17368" s="3" t="str">
        <f>HYPERLINK("https://otsuka-europe-crm.veevavault.com/ui/#object/approved_document__v/V5O00000000D106", "Postal Navidad 2025")</f>
        <v>Postal Navidad 2025</v>
      </c>
      <c r="C17368" s="3" t="str">
        <f>HYPERLINK("https://otsuka-europe-crm.veevavault.com/ui/#object/sent_email__v/VBL000000011815", "SE-001397650")</f>
        <v>SE-001397650</v>
      </c>
      <c r="D17368" s="1">
        <v>46009.880300925928</v>
      </c>
      <c r="E17368" s="2">
        <v>1</v>
      </c>
      <c r="F17368" s="2">
        <v>1</v>
      </c>
      <c r="G17368" s="2">
        <v>0</v>
      </c>
      <c r="H17368" s="1" t="s">
        <v>0</v>
      </c>
      <c r="I17368" s="2">
        <v>0</v>
      </c>
      <c r="J17368" s="1">
        <v>46009.746354166666</v>
      </c>
    </row>
    <row r="17369" spans="1:10" x14ac:dyDescent="0.2">
      <c r="A17369" s="4" t="s">
        <v>1</v>
      </c>
      <c r="B17369" s="3" t="str">
        <f>HYPERLINK("https://otsuka-europe-crm.veevavault.com/ui/#object/approved_document__v/V5O00000000D106", "Postal Navidad 2025")</f>
        <v>Postal Navidad 2025</v>
      </c>
      <c r="C17369" s="3" t="str">
        <f>HYPERLINK("https://otsuka-europe-crm.veevavault.com/ui/#object/sent_email__v/VBL000000011816", "SE-001397651")</f>
        <v>SE-001397651</v>
      </c>
      <c r="D17369" s="1" t="s">
        <v>0</v>
      </c>
      <c r="E17369" s="2">
        <v>0</v>
      </c>
      <c r="F17369" s="2">
        <v>0</v>
      </c>
      <c r="G17369" s="2">
        <v>0</v>
      </c>
      <c r="H17369" s="1" t="s">
        <v>0</v>
      </c>
      <c r="I17369" s="2">
        <v>0</v>
      </c>
      <c r="J17369" s="1">
        <v>46009.746365740742</v>
      </c>
    </row>
    <row r="17370" spans="1:10" x14ac:dyDescent="0.2">
      <c r="A17370" s="4" t="s">
        <v>1</v>
      </c>
      <c r="B17370" s="3" t="str">
        <f>HYPERLINK("https://otsuka-europe-crm.veevavault.com/ui/#object/approved_document__v/V5O00000000D106", "Postal Navidad 2025")</f>
        <v>Postal Navidad 2025</v>
      </c>
      <c r="C17370" s="3" t="str">
        <f>HYPERLINK("https://otsuka-europe-crm.veevavault.com/ui/#object/sent_email__v/VBL000000011817", "SE-001397652")</f>
        <v>SE-001397652</v>
      </c>
      <c r="D17370" s="1">
        <v>46010.465381944443</v>
      </c>
      <c r="E17370" s="2">
        <v>1</v>
      </c>
      <c r="F17370" s="2">
        <v>1</v>
      </c>
      <c r="G17370" s="2">
        <v>0</v>
      </c>
      <c r="H17370" s="1" t="s">
        <v>0</v>
      </c>
      <c r="I17370" s="2">
        <v>0</v>
      </c>
      <c r="J17370" s="1">
        <v>46009.746412037035</v>
      </c>
    </row>
    <row r="17371" spans="1:10" x14ac:dyDescent="0.2">
      <c r="A17371" s="4" t="s">
        <v>1</v>
      </c>
      <c r="B17371" s="3" t="str">
        <f>HYPERLINK("https://otsuka-europe-crm.veevavault.com/ui/#object/approved_document__v/V5O00000000D106", "Postal Navidad 2025")</f>
        <v>Postal Navidad 2025</v>
      </c>
      <c r="C17371" s="3" t="str">
        <f>HYPERLINK("https://otsuka-europe-crm.veevavault.com/ui/#object/sent_email__v/VBL000000011818", "SE-001397653")</f>
        <v>SE-001397653</v>
      </c>
      <c r="D17371" s="1" t="s">
        <v>0</v>
      </c>
      <c r="E17371" s="2">
        <v>0</v>
      </c>
      <c r="F17371" s="2">
        <v>0</v>
      </c>
      <c r="G17371" s="2">
        <v>0</v>
      </c>
      <c r="H17371" s="1" t="s">
        <v>0</v>
      </c>
      <c r="I17371" s="2">
        <v>0</v>
      </c>
      <c r="J17371" s="1">
        <v>46009.746446759258</v>
      </c>
    </row>
    <row r="17372" spans="1:10" x14ac:dyDescent="0.2">
      <c r="A17372" s="4" t="s">
        <v>1</v>
      </c>
      <c r="B17372" s="3" t="str">
        <f>HYPERLINK("https://otsuka-europe-crm.veevavault.com/ui/#object/approved_document__v/V5O00000000D106", "Postal Navidad 2025")</f>
        <v>Postal Navidad 2025</v>
      </c>
      <c r="C17372" s="3" t="str">
        <f>HYPERLINK("https://otsuka-europe-crm.veevavault.com/ui/#object/sent_email__v/VBL000000011819", "SE-001397654")</f>
        <v>SE-001397654</v>
      </c>
      <c r="D17372" s="1">
        <v>46009.798425925925</v>
      </c>
      <c r="E17372" s="2">
        <v>1</v>
      </c>
      <c r="F17372" s="2">
        <v>1</v>
      </c>
      <c r="G17372" s="2">
        <v>0</v>
      </c>
      <c r="H17372" s="1" t="s">
        <v>0</v>
      </c>
      <c r="I17372" s="2">
        <v>0</v>
      </c>
      <c r="J17372" s="1">
        <v>46009.746493055558</v>
      </c>
    </row>
    <row r="17373" spans="1:10" x14ac:dyDescent="0.2">
      <c r="A17373" s="4" t="s">
        <v>1</v>
      </c>
      <c r="B17373" s="3" t="str">
        <f>HYPERLINK("https://otsuka-europe-crm.veevavault.com/ui/#object/approved_document__v/V5O00000000D106", "Postal Navidad 2025")</f>
        <v>Postal Navidad 2025</v>
      </c>
      <c r="C17373" s="3" t="str">
        <f>HYPERLINK("https://otsuka-europe-crm.veevavault.com/ui/#object/sent_email__v/VBL000000011820", "SE-001397655")</f>
        <v>SE-001397655</v>
      </c>
      <c r="D17373" s="1">
        <v>46031.352002314816</v>
      </c>
      <c r="E17373" s="2">
        <v>1</v>
      </c>
      <c r="F17373" s="2">
        <v>2</v>
      </c>
      <c r="G17373" s="2">
        <v>0</v>
      </c>
      <c r="H17373" s="1" t="s">
        <v>0</v>
      </c>
      <c r="I17373" s="2">
        <v>0</v>
      </c>
      <c r="J17373" s="1">
        <v>46009.746527777781</v>
      </c>
    </row>
    <row r="17374" spans="1:10" x14ac:dyDescent="0.2">
      <c r="A17374" s="4" t="s">
        <v>1</v>
      </c>
      <c r="B17374" s="3" t="str">
        <f>HYPERLINK("https://otsuka-europe-crm.veevavault.com/ui/#object/approved_document__v/V5O00000000D106", "Postal Navidad 2025")</f>
        <v>Postal Navidad 2025</v>
      </c>
      <c r="C17374" s="3" t="str">
        <f>HYPERLINK("https://otsuka-europe-crm.veevavault.com/ui/#object/sent_email__v/VBL000000011821", "SE-001397656")</f>
        <v>SE-001397656</v>
      </c>
      <c r="D17374" s="1">
        <v>46012.41815972222</v>
      </c>
      <c r="E17374" s="2">
        <v>1</v>
      </c>
      <c r="F17374" s="2">
        <v>1</v>
      </c>
      <c r="G17374" s="2">
        <v>0</v>
      </c>
      <c r="H17374" s="1" t="s">
        <v>0</v>
      </c>
      <c r="I17374" s="2">
        <v>0</v>
      </c>
      <c r="J17374" s="1">
        <v>46009.746574074074</v>
      </c>
    </row>
    <row r="17375" spans="1:10" x14ac:dyDescent="0.2">
      <c r="A17375" s="4" t="s">
        <v>1</v>
      </c>
      <c r="B17375" s="3" t="str">
        <f>HYPERLINK("https://otsuka-europe-crm.veevavault.com/ui/#object/approved_document__v/V5O00000000D106", "Postal Navidad 2025")</f>
        <v>Postal Navidad 2025</v>
      </c>
      <c r="C17375" s="3" t="str">
        <f>HYPERLINK("https://otsuka-europe-crm.veevavault.com/ui/#object/sent_email__v/VBL000000011822", "SE-001397657")</f>
        <v>SE-001397657</v>
      </c>
      <c r="D17375" s="1">
        <v>46016.201458333337</v>
      </c>
      <c r="E17375" s="2">
        <v>1</v>
      </c>
      <c r="F17375" s="2">
        <v>2</v>
      </c>
      <c r="G17375" s="2">
        <v>0</v>
      </c>
      <c r="H17375" s="1" t="s">
        <v>0</v>
      </c>
      <c r="I17375" s="2">
        <v>0</v>
      </c>
      <c r="J17375" s="1">
        <v>46009.746608796297</v>
      </c>
    </row>
    <row r="17376" spans="1:10" x14ac:dyDescent="0.2">
      <c r="A17376" s="4" t="s">
        <v>1</v>
      </c>
      <c r="B17376" s="3" t="str">
        <f>HYPERLINK("https://otsuka-europe-crm.veevavault.com/ui/#object/approved_document__v/V5O00000000D106", "Postal Navidad 2025")</f>
        <v>Postal Navidad 2025</v>
      </c>
      <c r="C17376" s="3" t="str">
        <f>HYPERLINK("https://otsuka-europe-crm.veevavault.com/ui/#object/sent_email__v/VBL000000011823", "SE-001397658")</f>
        <v>SE-001397658</v>
      </c>
      <c r="D17376" s="1">
        <v>46010.881423611114</v>
      </c>
      <c r="E17376" s="2">
        <v>1</v>
      </c>
      <c r="F17376" s="2">
        <v>1</v>
      </c>
      <c r="G17376" s="2">
        <v>0</v>
      </c>
      <c r="H17376" s="1" t="s">
        <v>0</v>
      </c>
      <c r="I17376" s="2">
        <v>0</v>
      </c>
      <c r="J17376" s="1">
        <v>46009.746666666666</v>
      </c>
    </row>
    <row r="17377" spans="1:10" x14ac:dyDescent="0.2">
      <c r="A17377" s="4" t="s">
        <v>1</v>
      </c>
      <c r="B17377" s="3" t="str">
        <f>HYPERLINK("https://otsuka-europe-crm.veevavault.com/ui/#object/approved_document__v/V5O00000000D106", "Postal Navidad 2025")</f>
        <v>Postal Navidad 2025</v>
      </c>
      <c r="C17377" s="3" t="str">
        <f>HYPERLINK("https://otsuka-europe-crm.veevavault.com/ui/#object/sent_email__v/VBL000000011824", "SE-001397659")</f>
        <v>SE-001397659</v>
      </c>
      <c r="D17377" s="1">
        <v>46013.450532407405</v>
      </c>
      <c r="E17377" s="2">
        <v>1</v>
      </c>
      <c r="F17377" s="2">
        <v>1</v>
      </c>
      <c r="G17377" s="2">
        <v>0</v>
      </c>
      <c r="H17377" s="1" t="s">
        <v>0</v>
      </c>
      <c r="I17377" s="2">
        <v>0</v>
      </c>
      <c r="J17377" s="1">
        <v>46009.746678240743</v>
      </c>
    </row>
    <row r="17378" spans="1:10" x14ac:dyDescent="0.2">
      <c r="A17378" s="4" t="s">
        <v>1</v>
      </c>
      <c r="B17378" s="3" t="str">
        <f>HYPERLINK("https://otsuka-europe-crm.veevavault.com/ui/#object/approved_document__v/V5O00000000D106", "Postal Navidad 2025")</f>
        <v>Postal Navidad 2025</v>
      </c>
      <c r="C17378" s="3" t="str">
        <f>HYPERLINK("https://otsuka-europe-crm.veevavault.com/ui/#object/sent_email__v/VBL000000011825", "SE-001397660")</f>
        <v>SE-001397660</v>
      </c>
      <c r="D17378" s="1">
        <v>46009.757280092592</v>
      </c>
      <c r="E17378" s="2">
        <v>1</v>
      </c>
      <c r="F17378" s="2">
        <v>1</v>
      </c>
      <c r="G17378" s="2">
        <v>0</v>
      </c>
      <c r="H17378" s="1" t="s">
        <v>0</v>
      </c>
      <c r="I17378" s="2">
        <v>0</v>
      </c>
      <c r="J17378" s="1">
        <v>46009.746724537035</v>
      </c>
    </row>
    <row r="17379" spans="1:10" x14ac:dyDescent="0.2">
      <c r="A17379" s="4" t="s">
        <v>1</v>
      </c>
      <c r="B17379" s="3" t="str">
        <f>HYPERLINK("https://otsuka-europe-crm.veevavault.com/ui/#object/approved_document__v/V5O00000000D106", "Postal Navidad 2025")</f>
        <v>Postal Navidad 2025</v>
      </c>
      <c r="C17379" s="3" t="str">
        <f>HYPERLINK("https://otsuka-europe-crm.veevavault.com/ui/#object/sent_email__v/VBL000000011826", "SE-001397661")</f>
        <v>SE-001397661</v>
      </c>
      <c r="D17379" s="1">
        <v>46009.813055555554</v>
      </c>
      <c r="E17379" s="2">
        <v>1</v>
      </c>
      <c r="F17379" s="2">
        <v>2</v>
      </c>
      <c r="G17379" s="2">
        <v>0</v>
      </c>
      <c r="H17379" s="1" t="s">
        <v>0</v>
      </c>
      <c r="I17379" s="2">
        <v>0</v>
      </c>
      <c r="J17379" s="1">
        <v>46009.746759259258</v>
      </c>
    </row>
    <row r="17380" spans="1:10" x14ac:dyDescent="0.2">
      <c r="A17380" s="4" t="s">
        <v>1</v>
      </c>
      <c r="B17380" s="3" t="str">
        <f>HYPERLINK("https://otsuka-europe-crm.veevavault.com/ui/#object/approved_document__v/V5O00000000D106", "Postal Navidad 2025")</f>
        <v>Postal Navidad 2025</v>
      </c>
      <c r="C17380" s="3" t="str">
        <f>HYPERLINK("https://otsuka-europe-crm.veevavault.com/ui/#object/sent_email__v/VBL000000011827", "SE-001397662")</f>
        <v>SE-001397662</v>
      </c>
      <c r="D17380" s="1">
        <v>46055.834305555552</v>
      </c>
      <c r="E17380" s="2">
        <v>1</v>
      </c>
      <c r="F17380" s="2">
        <v>2</v>
      </c>
      <c r="G17380" s="2">
        <v>0</v>
      </c>
      <c r="H17380" s="1" t="s">
        <v>0</v>
      </c>
      <c r="I17380" s="2">
        <v>0</v>
      </c>
      <c r="J17380" s="1">
        <v>46009.746793981481</v>
      </c>
    </row>
    <row r="17381" spans="1:10" x14ac:dyDescent="0.2">
      <c r="A17381" s="4" t="s">
        <v>1</v>
      </c>
      <c r="B17381" s="3" t="str">
        <f>HYPERLINK("https://otsuka-europe-crm.veevavault.com/ui/#object/approved_document__v/V5O00000000D106", "Postal Navidad 2025")</f>
        <v>Postal Navidad 2025</v>
      </c>
      <c r="C17381" s="3" t="str">
        <f>HYPERLINK("https://otsuka-europe-crm.veevavault.com/ui/#object/sent_email__v/VBL000000011828", "SE-001397663")</f>
        <v>SE-001397663</v>
      </c>
      <c r="D17381" s="1" t="s">
        <v>0</v>
      </c>
      <c r="E17381" s="2">
        <v>0</v>
      </c>
      <c r="F17381" s="2">
        <v>0</v>
      </c>
      <c r="G17381" s="2">
        <v>0</v>
      </c>
      <c r="H17381" s="1" t="s">
        <v>0</v>
      </c>
      <c r="I17381" s="2">
        <v>0</v>
      </c>
      <c r="J17381" s="1">
        <v>46009.746840277781</v>
      </c>
    </row>
    <row r="17382" spans="1:10" x14ac:dyDescent="0.2">
      <c r="A17382" s="4" t="s">
        <v>1</v>
      </c>
      <c r="B17382" s="3" t="str">
        <f>HYPERLINK("https://otsuka-europe-crm.veevavault.com/ui/#object/approved_document__v/V5O00000000D106", "Postal Navidad 2025")</f>
        <v>Postal Navidad 2025</v>
      </c>
      <c r="C17382" s="3" t="str">
        <f>HYPERLINK("https://otsuka-europe-crm.veevavault.com/ui/#object/sent_email__v/VBL000000011829", "SE-001397664")</f>
        <v>SE-001397664</v>
      </c>
      <c r="D17382" s="1" t="s">
        <v>0</v>
      </c>
      <c r="E17382" s="2">
        <v>0</v>
      </c>
      <c r="F17382" s="2">
        <v>0</v>
      </c>
      <c r="G17382" s="2">
        <v>0</v>
      </c>
      <c r="H17382" s="1" t="s">
        <v>0</v>
      </c>
      <c r="I17382" s="2">
        <v>0</v>
      </c>
      <c r="J17382" s="1">
        <v>46009.746874999997</v>
      </c>
    </row>
    <row r="17383" spans="1:10" x14ac:dyDescent="0.2">
      <c r="A17383" s="4" t="s">
        <v>1</v>
      </c>
      <c r="B17383" s="3" t="str">
        <f>HYPERLINK("https://otsuka-europe-crm.veevavault.com/ui/#object/approved_document__v/V5O00000000D106", "Postal Navidad 2025")</f>
        <v>Postal Navidad 2025</v>
      </c>
      <c r="C17383" s="3" t="str">
        <f>HYPERLINK("https://otsuka-europe-crm.veevavault.com/ui/#object/sent_email__v/VBL000000011830", "SE-001397665")</f>
        <v>SE-001397665</v>
      </c>
      <c r="D17383" s="1" t="s">
        <v>0</v>
      </c>
      <c r="E17383" s="2">
        <v>0</v>
      </c>
      <c r="F17383" s="2">
        <v>0</v>
      </c>
      <c r="G17383" s="2">
        <v>0</v>
      </c>
      <c r="H17383" s="1" t="s">
        <v>0</v>
      </c>
      <c r="I17383" s="2">
        <v>0</v>
      </c>
      <c r="J17383" s="1">
        <v>46009.74690972222</v>
      </c>
    </row>
    <row r="17384" spans="1:10" x14ac:dyDescent="0.2">
      <c r="A17384" s="4" t="s">
        <v>1</v>
      </c>
      <c r="B17384" s="3" t="str">
        <f>HYPERLINK("https://otsuka-europe-crm.veevavault.com/ui/#object/approved_document__v/V5O00000000D106", "Postal Navidad 2025")</f>
        <v>Postal Navidad 2025</v>
      </c>
      <c r="C17384" s="3" t="str">
        <f>HYPERLINK("https://otsuka-europe-crm.veevavault.com/ui/#object/sent_email__v/VBL000000011831", "SE-001397666")</f>
        <v>SE-001397666</v>
      </c>
      <c r="D17384" s="1" t="s">
        <v>0</v>
      </c>
      <c r="E17384" s="2">
        <v>0</v>
      </c>
      <c r="F17384" s="2">
        <v>0</v>
      </c>
      <c r="G17384" s="2">
        <v>0</v>
      </c>
      <c r="H17384" s="1" t="s">
        <v>0</v>
      </c>
      <c r="I17384" s="2">
        <v>0</v>
      </c>
      <c r="J17384" s="1">
        <v>46009.746944444443</v>
      </c>
    </row>
    <row r="17385" spans="1:10" x14ac:dyDescent="0.2">
      <c r="A17385" s="4" t="s">
        <v>1</v>
      </c>
      <c r="B17385" s="3" t="str">
        <f>HYPERLINK("https://otsuka-europe-crm.veevavault.com/ui/#object/approved_document__v/V5O00000000D106", "Postal Navidad 2025")</f>
        <v>Postal Navidad 2025</v>
      </c>
      <c r="C17385" s="3" t="str">
        <f>HYPERLINK("https://otsuka-europe-crm.veevavault.com/ui/#object/sent_email__v/VBL000000011832", "SE-001397667")</f>
        <v>SE-001397667</v>
      </c>
      <c r="D17385" s="1" t="s">
        <v>0</v>
      </c>
      <c r="E17385" s="2">
        <v>0</v>
      </c>
      <c r="F17385" s="2">
        <v>0</v>
      </c>
      <c r="G17385" s="2">
        <v>0</v>
      </c>
      <c r="H17385" s="1" t="s">
        <v>0</v>
      </c>
      <c r="I17385" s="2">
        <v>0</v>
      </c>
      <c r="J17385" s="1">
        <v>46009.747002314813</v>
      </c>
    </row>
    <row r="17386" spans="1:10" x14ac:dyDescent="0.2">
      <c r="A17386" s="4" t="s">
        <v>1</v>
      </c>
      <c r="B17386" s="3" t="str">
        <f>HYPERLINK("https://otsuka-europe-crm.veevavault.com/ui/#object/approved_document__v/V5O00000000D106", "Postal Navidad 2025")</f>
        <v>Postal Navidad 2025</v>
      </c>
      <c r="C17386" s="3" t="str">
        <f>HYPERLINK("https://otsuka-europe-crm.veevavault.com/ui/#object/sent_email__v/VBL000000011833", "SE-001397668")</f>
        <v>SE-001397668</v>
      </c>
      <c r="D17386" s="1" t="s">
        <v>0</v>
      </c>
      <c r="E17386" s="2">
        <v>0</v>
      </c>
      <c r="F17386" s="2">
        <v>0</v>
      </c>
      <c r="G17386" s="2">
        <v>0</v>
      </c>
      <c r="H17386" s="1" t="s">
        <v>0</v>
      </c>
      <c r="I17386" s="2">
        <v>0</v>
      </c>
      <c r="J17386" s="1">
        <v>46009.747025462966</v>
      </c>
    </row>
    <row r="17387" spans="1:10" x14ac:dyDescent="0.2">
      <c r="A17387" s="4" t="s">
        <v>1</v>
      </c>
      <c r="B17387" s="3" t="str">
        <f>HYPERLINK("https://otsuka-europe-crm.veevavault.com/ui/#object/approved_document__v/V5O00000000D106", "Postal Navidad 2025")</f>
        <v>Postal Navidad 2025</v>
      </c>
      <c r="C17387" s="3" t="str">
        <f>HYPERLINK("https://otsuka-europe-crm.veevavault.com/ui/#object/sent_email__v/VBL000000011834", "SE-001397669")</f>
        <v>SE-001397669</v>
      </c>
      <c r="D17387" s="1" t="s">
        <v>0</v>
      </c>
      <c r="E17387" s="2">
        <v>0</v>
      </c>
      <c r="F17387" s="2">
        <v>0</v>
      </c>
      <c r="G17387" s="2">
        <v>0</v>
      </c>
      <c r="H17387" s="1" t="s">
        <v>0</v>
      </c>
      <c r="I17387" s="2">
        <v>0</v>
      </c>
      <c r="J17387" s="1">
        <v>46009.747060185182</v>
      </c>
    </row>
    <row r="17388" spans="1:10" x14ac:dyDescent="0.2">
      <c r="A17388" s="4" t="s">
        <v>1</v>
      </c>
      <c r="B17388" s="3" t="str">
        <f>HYPERLINK("https://otsuka-europe-crm.veevavault.com/ui/#object/approved_document__v/V5O00000000D106", "Postal Navidad 2025")</f>
        <v>Postal Navidad 2025</v>
      </c>
      <c r="C17388" s="3" t="str">
        <f>HYPERLINK("https://otsuka-europe-crm.veevavault.com/ui/#object/sent_email__v/VBL000000011835", "SE-001397670")</f>
        <v>SE-001397670</v>
      </c>
      <c r="D17388" s="1" t="s">
        <v>0</v>
      </c>
      <c r="E17388" s="2">
        <v>0</v>
      </c>
      <c r="F17388" s="2">
        <v>0</v>
      </c>
      <c r="G17388" s="2">
        <v>0</v>
      </c>
      <c r="H17388" s="1" t="s">
        <v>0</v>
      </c>
      <c r="I17388" s="2">
        <v>0</v>
      </c>
      <c r="J17388" s="1">
        <v>46009.747094907405</v>
      </c>
    </row>
    <row r="17389" spans="1:10" x14ac:dyDescent="0.2">
      <c r="A17389" s="4" t="s">
        <v>1</v>
      </c>
      <c r="B17389" s="3" t="str">
        <f>HYPERLINK("https://otsuka-europe-crm.veevavault.com/ui/#object/approved_document__v/V5O00000000D106", "Postal Navidad 2025")</f>
        <v>Postal Navidad 2025</v>
      </c>
      <c r="C17389" s="3" t="str">
        <f>HYPERLINK("https://otsuka-europe-crm.veevavault.com/ui/#object/sent_email__v/VBL000000011836", "SE-001397671")</f>
        <v>SE-001397671</v>
      </c>
      <c r="D17389" s="1" t="s">
        <v>0</v>
      </c>
      <c r="E17389" s="2">
        <v>0</v>
      </c>
      <c r="F17389" s="2">
        <v>0</v>
      </c>
      <c r="G17389" s="2">
        <v>0</v>
      </c>
      <c r="H17389" s="1" t="s">
        <v>0</v>
      </c>
      <c r="I17389" s="2">
        <v>0</v>
      </c>
      <c r="J17389" s="1">
        <v>46009.747141203705</v>
      </c>
    </row>
    <row r="17390" spans="1:10" x14ac:dyDescent="0.2">
      <c r="A17390" s="4" t="s">
        <v>1</v>
      </c>
      <c r="B17390" s="3" t="str">
        <f>HYPERLINK("https://otsuka-europe-crm.veevavault.com/ui/#object/approved_document__v/V5O00000000D106", "Postal Navidad 2025")</f>
        <v>Postal Navidad 2025</v>
      </c>
      <c r="C17390" s="3" t="str">
        <f>HYPERLINK("https://otsuka-europe-crm.veevavault.com/ui/#object/sent_email__v/VBL000000011837", "SE-001397672")</f>
        <v>SE-001397672</v>
      </c>
      <c r="D17390" s="1">
        <v>46013.335358796299</v>
      </c>
      <c r="E17390" s="2">
        <v>1</v>
      </c>
      <c r="F17390" s="2">
        <v>1</v>
      </c>
      <c r="G17390" s="2">
        <v>0</v>
      </c>
      <c r="H17390" s="1" t="s">
        <v>0</v>
      </c>
      <c r="I17390" s="2">
        <v>0</v>
      </c>
      <c r="J17390" s="1">
        <v>46009.747175925928</v>
      </c>
    </row>
    <row r="17391" spans="1:10" x14ac:dyDescent="0.2">
      <c r="A17391" s="4" t="s">
        <v>1</v>
      </c>
      <c r="B17391" s="3" t="str">
        <f>HYPERLINK("https://otsuka-europe-crm.veevavault.com/ui/#object/approved_document__v/V5O00000000D106", "Postal Navidad 2025")</f>
        <v>Postal Navidad 2025</v>
      </c>
      <c r="C17391" s="3" t="str">
        <f>HYPERLINK("https://otsuka-europe-crm.veevavault.com/ui/#object/sent_email__v/VBL000000011838", "SE-001397673")</f>
        <v>SE-001397673</v>
      </c>
      <c r="D17391" s="1" t="s">
        <v>0</v>
      </c>
      <c r="E17391" s="2">
        <v>0</v>
      </c>
      <c r="F17391" s="2">
        <v>0</v>
      </c>
      <c r="G17391" s="2">
        <v>0</v>
      </c>
      <c r="H17391" s="1" t="s">
        <v>0</v>
      </c>
      <c r="I17391" s="2">
        <v>0</v>
      </c>
      <c r="J17391" s="1">
        <v>46009.74722222222</v>
      </c>
    </row>
    <row r="17392" spans="1:10" x14ac:dyDescent="0.2">
      <c r="A17392" s="4" t="s">
        <v>1</v>
      </c>
      <c r="B17392" s="3" t="str">
        <f>HYPERLINK("https://otsuka-europe-crm.veevavault.com/ui/#object/approved_document__v/V5O00000000D106", "Postal Navidad 2025")</f>
        <v>Postal Navidad 2025</v>
      </c>
      <c r="C17392" s="3" t="str">
        <f>HYPERLINK("https://otsuka-europe-crm.veevavault.com/ui/#object/sent_email__v/VBL000000011839", "SE-001397674")</f>
        <v>SE-001397674</v>
      </c>
      <c r="D17392" s="1" t="s">
        <v>0</v>
      </c>
      <c r="E17392" s="2">
        <v>0</v>
      </c>
      <c r="F17392" s="2">
        <v>0</v>
      </c>
      <c r="G17392" s="2">
        <v>0</v>
      </c>
      <c r="H17392" s="1" t="s">
        <v>0</v>
      </c>
      <c r="I17392" s="2">
        <v>0</v>
      </c>
      <c r="J17392" s="1">
        <v>46009.747256944444</v>
      </c>
    </row>
    <row r="17393" spans="1:10" x14ac:dyDescent="0.2">
      <c r="A17393" s="4" t="s">
        <v>1</v>
      </c>
      <c r="B17393" s="3" t="str">
        <f>HYPERLINK("https://otsuka-europe-crm.veevavault.com/ui/#object/approved_document__v/V5O00000000D106", "Postal Navidad 2025")</f>
        <v>Postal Navidad 2025</v>
      </c>
      <c r="C17393" s="3" t="str">
        <f>HYPERLINK("https://otsuka-europe-crm.veevavault.com/ui/#object/sent_email__v/VBL000000011840", "SE-001397675")</f>
        <v>SE-001397675</v>
      </c>
      <c r="D17393" s="1">
        <v>46010.317893518521</v>
      </c>
      <c r="E17393" s="2">
        <v>1</v>
      </c>
      <c r="F17393" s="2">
        <v>2</v>
      </c>
      <c r="G17393" s="2">
        <v>0</v>
      </c>
      <c r="H17393" s="1" t="s">
        <v>0</v>
      </c>
      <c r="I17393" s="2">
        <v>0</v>
      </c>
      <c r="J17393" s="1">
        <v>46009.747303240743</v>
      </c>
    </row>
    <row r="17394" spans="1:10" x14ac:dyDescent="0.2">
      <c r="A17394" s="4" t="s">
        <v>1</v>
      </c>
      <c r="B17394" s="3" t="str">
        <f>HYPERLINK("https://otsuka-europe-crm.veevavault.com/ui/#object/approved_document__v/V5O00000000D106", "Postal Navidad 2025")</f>
        <v>Postal Navidad 2025</v>
      </c>
      <c r="C17394" s="3" t="str">
        <f>HYPERLINK("https://otsuka-europe-crm.veevavault.com/ui/#object/sent_email__v/VBL000000011841", "SE-001397676")</f>
        <v>SE-001397676</v>
      </c>
      <c r="D17394" s="1" t="s">
        <v>0</v>
      </c>
      <c r="E17394" s="2">
        <v>0</v>
      </c>
      <c r="F17394" s="2">
        <v>0</v>
      </c>
      <c r="G17394" s="2">
        <v>0</v>
      </c>
      <c r="H17394" s="1" t="s">
        <v>0</v>
      </c>
      <c r="I17394" s="2">
        <v>0</v>
      </c>
      <c r="J17394" s="1">
        <v>46009.74732638889</v>
      </c>
    </row>
    <row r="17395" spans="1:10" x14ac:dyDescent="0.2">
      <c r="A17395" s="4" t="s">
        <v>1</v>
      </c>
      <c r="B17395" s="3" t="str">
        <f>HYPERLINK("https://otsuka-europe-crm.veevavault.com/ui/#object/approved_document__v/V5O00000000D106", "Postal Navidad 2025")</f>
        <v>Postal Navidad 2025</v>
      </c>
      <c r="C17395" s="3" t="str">
        <f>HYPERLINK("https://otsuka-europe-crm.veevavault.com/ui/#object/sent_email__v/VBL000000011842", "SE-001397677")</f>
        <v>SE-001397677</v>
      </c>
      <c r="D17395" s="1">
        <v>46010.304618055554</v>
      </c>
      <c r="E17395" s="2">
        <v>1</v>
      </c>
      <c r="F17395" s="2">
        <v>1</v>
      </c>
      <c r="G17395" s="2">
        <v>0</v>
      </c>
      <c r="H17395" s="1" t="s">
        <v>0</v>
      </c>
      <c r="I17395" s="2">
        <v>0</v>
      </c>
      <c r="J17395" s="1">
        <v>46009.747372685182</v>
      </c>
    </row>
    <row r="17396" spans="1:10" x14ac:dyDescent="0.2">
      <c r="A17396" s="4" t="s">
        <v>1</v>
      </c>
      <c r="B17396" s="3" t="str">
        <f>HYPERLINK("https://otsuka-europe-crm.veevavault.com/ui/#object/approved_document__v/V5O00000000D106", "Postal Navidad 2025")</f>
        <v>Postal Navidad 2025</v>
      </c>
      <c r="C17396" s="3" t="str">
        <f>HYPERLINK("https://otsuka-europe-crm.veevavault.com/ui/#object/sent_email__v/VBL000000011843", "SE-001397678")</f>
        <v>SE-001397678</v>
      </c>
      <c r="D17396" s="1">
        <v>46010.797361111108</v>
      </c>
      <c r="E17396" s="2">
        <v>1</v>
      </c>
      <c r="F17396" s="2">
        <v>3</v>
      </c>
      <c r="G17396" s="2">
        <v>0</v>
      </c>
      <c r="H17396" s="1" t="s">
        <v>0</v>
      </c>
      <c r="I17396" s="2">
        <v>0</v>
      </c>
      <c r="J17396" s="1">
        <v>46009.747407407405</v>
      </c>
    </row>
    <row r="17397" spans="1:10" x14ac:dyDescent="0.2">
      <c r="A17397" s="4" t="s">
        <v>1</v>
      </c>
      <c r="B17397" s="3" t="str">
        <f>HYPERLINK("https://otsuka-europe-crm.veevavault.com/ui/#object/approved_document__v/V5O00000000D106", "Postal Navidad 2025")</f>
        <v>Postal Navidad 2025</v>
      </c>
      <c r="C17397" s="3" t="str">
        <f>HYPERLINK("https://otsuka-europe-crm.veevavault.com/ui/#object/sent_email__v/VBL000000011844", "SE-001397679")</f>
        <v>SE-001397679</v>
      </c>
      <c r="D17397" s="1" t="s">
        <v>0</v>
      </c>
      <c r="E17397" s="2">
        <v>0</v>
      </c>
      <c r="F17397" s="2">
        <v>0</v>
      </c>
      <c r="G17397" s="2">
        <v>0</v>
      </c>
      <c r="H17397" s="1" t="s">
        <v>0</v>
      </c>
      <c r="I17397" s="2">
        <v>0</v>
      </c>
      <c r="J17397" s="1">
        <v>46009.747442129628</v>
      </c>
    </row>
    <row r="17398" spans="1:10" x14ac:dyDescent="0.2">
      <c r="A17398" s="4" t="s">
        <v>1</v>
      </c>
      <c r="B17398" s="3" t="str">
        <f>HYPERLINK("https://otsuka-europe-crm.veevavault.com/ui/#object/approved_document__v/V5O00000000D106", "Postal Navidad 2025")</f>
        <v>Postal Navidad 2025</v>
      </c>
      <c r="C17398" s="3" t="str">
        <f>HYPERLINK("https://otsuka-europe-crm.veevavault.com/ui/#object/sent_email__v/VBL000000011845", "SE-001397680")</f>
        <v>SE-001397680</v>
      </c>
      <c r="D17398" s="1">
        <v>46017.365451388891</v>
      </c>
      <c r="E17398" s="2">
        <v>1</v>
      </c>
      <c r="F17398" s="2">
        <v>2</v>
      </c>
      <c r="G17398" s="2">
        <v>0</v>
      </c>
      <c r="H17398" s="1" t="s">
        <v>0</v>
      </c>
      <c r="I17398" s="2">
        <v>0</v>
      </c>
      <c r="J17398" s="1">
        <v>46009.747488425928</v>
      </c>
    </row>
    <row r="17399" spans="1:10" x14ac:dyDescent="0.2">
      <c r="A17399" s="4" t="s">
        <v>1</v>
      </c>
      <c r="B17399" s="3" t="str">
        <f>HYPERLINK("https://otsuka-europe-crm.veevavault.com/ui/#object/approved_document__v/V5O00000000D106", "Postal Navidad 2025")</f>
        <v>Postal Navidad 2025</v>
      </c>
      <c r="C17399" s="3" t="str">
        <f>HYPERLINK("https://otsuka-europe-crm.veevavault.com/ui/#object/sent_email__v/VBL000000011846", "SE-001397681")</f>
        <v>SE-001397681</v>
      </c>
      <c r="D17399" s="1">
        <v>46009.99559027778</v>
      </c>
      <c r="E17399" s="2">
        <v>1</v>
      </c>
      <c r="F17399" s="2">
        <v>1</v>
      </c>
      <c r="G17399" s="2">
        <v>0</v>
      </c>
      <c r="H17399" s="1" t="s">
        <v>0</v>
      </c>
      <c r="I17399" s="2">
        <v>0</v>
      </c>
      <c r="J17399" s="1">
        <v>46009.747523148151</v>
      </c>
    </row>
    <row r="17400" spans="1:10" x14ac:dyDescent="0.2">
      <c r="A17400" s="4" t="s">
        <v>1</v>
      </c>
      <c r="B17400" s="3" t="str">
        <f>HYPERLINK("https://otsuka-europe-crm.veevavault.com/ui/#object/approved_document__v/V5O00000000D106", "Postal Navidad 2025")</f>
        <v>Postal Navidad 2025</v>
      </c>
      <c r="C17400" s="3" t="str">
        <f>HYPERLINK("https://otsuka-europe-crm.veevavault.com/ui/#object/sent_email__v/VBL000000011847", "SE-001397682")</f>
        <v>SE-001397682</v>
      </c>
      <c r="D17400" s="1">
        <v>46009.751608796294</v>
      </c>
      <c r="E17400" s="2">
        <v>1</v>
      </c>
      <c r="F17400" s="2">
        <v>1</v>
      </c>
      <c r="G17400" s="2">
        <v>0</v>
      </c>
      <c r="H17400" s="1" t="s">
        <v>0</v>
      </c>
      <c r="I17400" s="2">
        <v>0</v>
      </c>
      <c r="J17400" s="1">
        <v>46009.747557870367</v>
      </c>
    </row>
    <row r="17401" spans="1:10" x14ac:dyDescent="0.2">
      <c r="A17401" s="4" t="s">
        <v>1</v>
      </c>
      <c r="B17401" s="3" t="str">
        <f>HYPERLINK("https://otsuka-europe-crm.veevavault.com/ui/#object/approved_document__v/V5O00000000D106", "Postal Navidad 2025")</f>
        <v>Postal Navidad 2025</v>
      </c>
      <c r="C17401" s="3" t="str">
        <f>HYPERLINK("https://otsuka-europe-crm.veevavault.com/ui/#object/sent_email__v/VBL000000011848", "SE-001397683")</f>
        <v>SE-001397683</v>
      </c>
      <c r="D17401" s="1">
        <v>46009.953541666669</v>
      </c>
      <c r="E17401" s="2">
        <v>1</v>
      </c>
      <c r="F17401" s="2">
        <v>1</v>
      </c>
      <c r="G17401" s="2">
        <v>0</v>
      </c>
      <c r="H17401" s="1" t="s">
        <v>0</v>
      </c>
      <c r="I17401" s="2">
        <v>0</v>
      </c>
      <c r="J17401" s="1">
        <v>46009.74759259259</v>
      </c>
    </row>
    <row r="17402" spans="1:10" x14ac:dyDescent="0.2">
      <c r="A17402" s="4" t="s">
        <v>1</v>
      </c>
      <c r="B17402" s="3" t="str">
        <f>HYPERLINK("https://otsuka-europe-crm.veevavault.com/ui/#object/approved_document__v/V5O00000000D106", "Postal Navidad 2025")</f>
        <v>Postal Navidad 2025</v>
      </c>
      <c r="C17402" s="3" t="str">
        <f>HYPERLINK("https://otsuka-europe-crm.veevavault.com/ui/#object/sent_email__v/VBL000000011849", "SE-001397684")</f>
        <v>SE-001397684</v>
      </c>
      <c r="D17402" s="1" t="s">
        <v>0</v>
      </c>
      <c r="E17402" s="2">
        <v>0</v>
      </c>
      <c r="F17402" s="2">
        <v>0</v>
      </c>
      <c r="G17402" s="2">
        <v>0</v>
      </c>
      <c r="H17402" s="1" t="s">
        <v>0</v>
      </c>
      <c r="I17402" s="2">
        <v>0</v>
      </c>
      <c r="J17402" s="1">
        <v>46009.747627314813</v>
      </c>
    </row>
    <row r="17403" spans="1:10" x14ac:dyDescent="0.2">
      <c r="A17403" s="4" t="s">
        <v>1</v>
      </c>
      <c r="B17403" s="3" t="str">
        <f>HYPERLINK("https://otsuka-europe-crm.veevavault.com/ui/#object/approved_document__v/V5O00000000D106", "Postal Navidad 2025")</f>
        <v>Postal Navidad 2025</v>
      </c>
      <c r="C17403" s="3" t="str">
        <f>HYPERLINK("https://otsuka-europe-crm.veevavault.com/ui/#object/sent_email__v/VBL000000011850", "SE-001397685")</f>
        <v>SE-001397685</v>
      </c>
      <c r="D17403" s="1">
        <v>46012.511388888888</v>
      </c>
      <c r="E17403" s="2">
        <v>1</v>
      </c>
      <c r="F17403" s="2">
        <v>3</v>
      </c>
      <c r="G17403" s="2">
        <v>0</v>
      </c>
      <c r="H17403" s="1" t="s">
        <v>0</v>
      </c>
      <c r="I17403" s="2">
        <v>0</v>
      </c>
      <c r="J17403" s="1">
        <v>46009.747673611113</v>
      </c>
    </row>
    <row r="17404" spans="1:10" x14ac:dyDescent="0.2">
      <c r="A17404" s="4" t="s">
        <v>1</v>
      </c>
      <c r="B17404" s="3" t="str">
        <f>HYPERLINK("https://otsuka-europe-crm.veevavault.com/ui/#object/approved_document__v/V5O00000000D106", "Postal Navidad 2025")</f>
        <v>Postal Navidad 2025</v>
      </c>
      <c r="C17404" s="3" t="str">
        <f>HYPERLINK("https://otsuka-europe-crm.veevavault.com/ui/#object/sent_email__v/VBL000000011851", "SE-001397686")</f>
        <v>SE-001397686</v>
      </c>
      <c r="D17404" s="1" t="s">
        <v>0</v>
      </c>
      <c r="E17404" s="2">
        <v>0</v>
      </c>
      <c r="F17404" s="2">
        <v>0</v>
      </c>
      <c r="G17404" s="2">
        <v>0</v>
      </c>
      <c r="H17404" s="1" t="s">
        <v>0</v>
      </c>
      <c r="I17404" s="2">
        <v>0</v>
      </c>
      <c r="J17404" s="1">
        <v>46009.747719907406</v>
      </c>
    </row>
    <row r="17405" spans="1:10" x14ac:dyDescent="0.2">
      <c r="A17405" s="4" t="s">
        <v>1</v>
      </c>
      <c r="B17405" s="3" t="str">
        <f>HYPERLINK("https://otsuka-europe-crm.veevavault.com/ui/#object/approved_document__v/V5O00000000D106", "Postal Navidad 2025")</f>
        <v>Postal Navidad 2025</v>
      </c>
      <c r="C17405" s="3" t="str">
        <f>HYPERLINK("https://otsuka-europe-crm.veevavault.com/ui/#object/sent_email__v/VBL000000011852", "SE-001397687")</f>
        <v>SE-001397687</v>
      </c>
      <c r="D17405" s="1">
        <v>46009.870497685188</v>
      </c>
      <c r="E17405" s="2">
        <v>1</v>
      </c>
      <c r="F17405" s="2">
        <v>1</v>
      </c>
      <c r="G17405" s="2">
        <v>0</v>
      </c>
      <c r="H17405" s="1" t="s">
        <v>0</v>
      </c>
      <c r="I17405" s="2">
        <v>0</v>
      </c>
      <c r="J17405" s="1">
        <v>46009.747754629629</v>
      </c>
    </row>
    <row r="17406" spans="1:10" x14ac:dyDescent="0.2">
      <c r="A17406" s="4" t="s">
        <v>1</v>
      </c>
      <c r="B17406" s="3" t="str">
        <f>HYPERLINK("https://otsuka-europe-crm.veevavault.com/ui/#object/approved_document__v/V5O00000000D106", "Postal Navidad 2025")</f>
        <v>Postal Navidad 2025</v>
      </c>
      <c r="C17406" s="3" t="str">
        <f>HYPERLINK("https://otsuka-europe-crm.veevavault.com/ui/#object/sent_email__v/VBL000000011853", "SE-001397688")</f>
        <v>SE-001397688</v>
      </c>
      <c r="D17406" s="1" t="s">
        <v>0</v>
      </c>
      <c r="E17406" s="2">
        <v>0</v>
      </c>
      <c r="F17406" s="2">
        <v>0</v>
      </c>
      <c r="G17406" s="2">
        <v>0</v>
      </c>
      <c r="H17406" s="1" t="s">
        <v>0</v>
      </c>
      <c r="I17406" s="2">
        <v>0</v>
      </c>
      <c r="J17406" s="1">
        <v>46009.747800925928</v>
      </c>
    </row>
    <row r="17407" spans="1:10" x14ac:dyDescent="0.2">
      <c r="A17407" s="4" t="s">
        <v>1</v>
      </c>
      <c r="B17407" s="3" t="str">
        <f>HYPERLINK("https://otsuka-europe-crm.veevavault.com/ui/#object/approved_document__v/V5O00000000D106", "Postal Navidad 2025")</f>
        <v>Postal Navidad 2025</v>
      </c>
      <c r="C17407" s="3" t="str">
        <f>HYPERLINK("https://otsuka-europe-crm.veevavault.com/ui/#object/sent_email__v/VBL000000011854", "SE-001397689")</f>
        <v>SE-001397689</v>
      </c>
      <c r="D17407" s="1">
        <v>46009.748761574076</v>
      </c>
      <c r="E17407" s="2">
        <v>1</v>
      </c>
      <c r="F17407" s="2">
        <v>1</v>
      </c>
      <c r="G17407" s="2">
        <v>0</v>
      </c>
      <c r="H17407" s="1" t="s">
        <v>0</v>
      </c>
      <c r="I17407" s="2">
        <v>0</v>
      </c>
      <c r="J17407" s="1">
        <v>46009.747858796298</v>
      </c>
    </row>
    <row r="17408" spans="1:10" x14ac:dyDescent="0.2">
      <c r="A17408" s="4" t="s">
        <v>1</v>
      </c>
      <c r="B17408" s="3" t="str">
        <f>HYPERLINK("https://otsuka-europe-crm.veevavault.com/ui/#object/approved_document__v/V5O00000000D106", "Postal Navidad 2025")</f>
        <v>Postal Navidad 2025</v>
      </c>
      <c r="C17408" s="3" t="str">
        <f>HYPERLINK("https://otsuka-europe-crm.veevavault.com/ui/#object/sent_email__v/VBL000000011855", "SE-001397690")</f>
        <v>SE-001397690</v>
      </c>
      <c r="D17408" s="1">
        <v>46012.819675925923</v>
      </c>
      <c r="E17408" s="2">
        <v>1</v>
      </c>
      <c r="F17408" s="2">
        <v>2</v>
      </c>
      <c r="G17408" s="2">
        <v>0</v>
      </c>
      <c r="H17408" s="1" t="s">
        <v>0</v>
      </c>
      <c r="I17408" s="2">
        <v>0</v>
      </c>
      <c r="J17408" s="1">
        <v>46009.747893518521</v>
      </c>
    </row>
    <row r="17409" spans="1:10" x14ac:dyDescent="0.2">
      <c r="A17409" s="4" t="s">
        <v>1</v>
      </c>
      <c r="B17409" s="3" t="str">
        <f>HYPERLINK("https://otsuka-europe-crm.veevavault.com/ui/#object/approved_document__v/V5O00000000D106", "Postal Navidad 2025")</f>
        <v>Postal Navidad 2025</v>
      </c>
      <c r="C17409" s="3" t="str">
        <f>HYPERLINK("https://otsuka-europe-crm.veevavault.com/ui/#object/sent_email__v/VBL000000011856", "SE-001397691")</f>
        <v>SE-001397691</v>
      </c>
      <c r="D17409" s="1" t="s">
        <v>0</v>
      </c>
      <c r="E17409" s="2">
        <v>0</v>
      </c>
      <c r="F17409" s="2">
        <v>0</v>
      </c>
      <c r="G17409" s="2">
        <v>0</v>
      </c>
      <c r="H17409" s="1" t="s">
        <v>0</v>
      </c>
      <c r="I17409" s="2">
        <v>0</v>
      </c>
      <c r="J17409" s="1">
        <v>46009.747928240744</v>
      </c>
    </row>
    <row r="17410" spans="1:10" x14ac:dyDescent="0.2">
      <c r="A17410" s="4" t="s">
        <v>1</v>
      </c>
      <c r="B17410" s="3" t="str">
        <f>HYPERLINK("https://otsuka-europe-crm.veevavault.com/ui/#object/approved_document__v/V5O00000000D106", "Postal Navidad 2025")</f>
        <v>Postal Navidad 2025</v>
      </c>
      <c r="C17410" s="3" t="str">
        <f>HYPERLINK("https://otsuka-europe-crm.veevavault.com/ui/#object/sent_email__v/VBL000000011857", "SE-001397692")</f>
        <v>SE-001397692</v>
      </c>
      <c r="D17410" s="1" t="s">
        <v>0</v>
      </c>
      <c r="E17410" s="2">
        <v>0</v>
      </c>
      <c r="F17410" s="2">
        <v>0</v>
      </c>
      <c r="G17410" s="2">
        <v>0</v>
      </c>
      <c r="H17410" s="1" t="s">
        <v>0</v>
      </c>
      <c r="I17410" s="2">
        <v>0</v>
      </c>
      <c r="J17410" s="1">
        <v>46009.74796296296</v>
      </c>
    </row>
    <row r="17411" spans="1:10" x14ac:dyDescent="0.2">
      <c r="A17411" s="4" t="s">
        <v>1</v>
      </c>
      <c r="B17411" s="3" t="str">
        <f>HYPERLINK("https://otsuka-europe-crm.veevavault.com/ui/#object/approved_document__v/V5O00000000D106", "Postal Navidad 2025")</f>
        <v>Postal Navidad 2025</v>
      </c>
      <c r="C17411" s="3" t="str">
        <f>HYPERLINK("https://otsuka-europe-crm.veevavault.com/ui/#object/sent_email__v/VBL000000011858", "SE-001397693")</f>
        <v>SE-001397693</v>
      </c>
      <c r="D17411" s="1" t="s">
        <v>0</v>
      </c>
      <c r="E17411" s="2">
        <v>0</v>
      </c>
      <c r="F17411" s="2">
        <v>0</v>
      </c>
      <c r="G17411" s="2">
        <v>0</v>
      </c>
      <c r="H17411" s="1" t="s">
        <v>0</v>
      </c>
      <c r="I17411" s="2">
        <v>0</v>
      </c>
      <c r="J17411" s="1">
        <v>46009.74800925926</v>
      </c>
    </row>
    <row r="17412" spans="1:10" x14ac:dyDescent="0.2">
      <c r="A17412" s="4" t="s">
        <v>1</v>
      </c>
      <c r="B17412" s="3" t="str">
        <f>HYPERLINK("https://otsuka-europe-crm.veevavault.com/ui/#object/approved_document__v/V5O00000000D106", "Postal Navidad 2025")</f>
        <v>Postal Navidad 2025</v>
      </c>
      <c r="C17412" s="3" t="str">
        <f>HYPERLINK("https://otsuka-europe-crm.veevavault.com/ui/#object/sent_email__v/VBL000000011859", "SE-001397694")</f>
        <v>SE-001397694</v>
      </c>
      <c r="D17412" s="1" t="s">
        <v>0</v>
      </c>
      <c r="E17412" s="2">
        <v>0</v>
      </c>
      <c r="F17412" s="2">
        <v>0</v>
      </c>
      <c r="G17412" s="2">
        <v>0</v>
      </c>
      <c r="H17412" s="1" t="s">
        <v>0</v>
      </c>
      <c r="I17412" s="2">
        <v>0</v>
      </c>
      <c r="J17412" s="1">
        <v>46009.748043981483</v>
      </c>
    </row>
    <row r="17413" spans="1:10" x14ac:dyDescent="0.2">
      <c r="A17413" s="4" t="s">
        <v>1</v>
      </c>
      <c r="B17413" s="3" t="str">
        <f>HYPERLINK("https://otsuka-europe-crm.veevavault.com/ui/#object/approved_document__v/V5O00000000D106", "Postal Navidad 2025")</f>
        <v>Postal Navidad 2025</v>
      </c>
      <c r="C17413" s="3" t="str">
        <f>HYPERLINK("https://otsuka-europe-crm.veevavault.com/ui/#object/sent_email__v/VBL000000011860", "SE-001397695")</f>
        <v>SE-001397695</v>
      </c>
      <c r="D17413" s="1">
        <v>46015.334803240738</v>
      </c>
      <c r="E17413" s="2">
        <v>1</v>
      </c>
      <c r="F17413" s="2">
        <v>3</v>
      </c>
      <c r="G17413" s="2">
        <v>0</v>
      </c>
      <c r="H17413" s="1" t="s">
        <v>0</v>
      </c>
      <c r="I17413" s="2">
        <v>0</v>
      </c>
      <c r="J17413" s="1">
        <v>46009.748078703706</v>
      </c>
    </row>
    <row r="17414" spans="1:10" x14ac:dyDescent="0.2">
      <c r="A17414" s="4" t="s">
        <v>1</v>
      </c>
      <c r="B17414" s="3" t="str">
        <f>HYPERLINK("https://otsuka-europe-crm.veevavault.com/ui/#object/approved_document__v/V5O00000000D106", "Postal Navidad 2025")</f>
        <v>Postal Navidad 2025</v>
      </c>
      <c r="C17414" s="3" t="str">
        <f>HYPERLINK("https://otsuka-europe-crm.veevavault.com/ui/#object/sent_email__v/VBL000000011861", "SE-001397696")</f>
        <v>SE-001397696</v>
      </c>
      <c r="D17414" s="1">
        <v>46009.976331018515</v>
      </c>
      <c r="E17414" s="2">
        <v>1</v>
      </c>
      <c r="F17414" s="2">
        <v>1</v>
      </c>
      <c r="G17414" s="2">
        <v>0</v>
      </c>
      <c r="H17414" s="1" t="s">
        <v>0</v>
      </c>
      <c r="I17414" s="2">
        <v>0</v>
      </c>
      <c r="J17414" s="1">
        <v>46009.748124999998</v>
      </c>
    </row>
    <row r="17415" spans="1:10" x14ac:dyDescent="0.2">
      <c r="A17415" s="4" t="s">
        <v>1</v>
      </c>
      <c r="B17415" s="3" t="str">
        <f>HYPERLINK("https://otsuka-europe-crm.veevavault.com/ui/#object/approved_document__v/V5O00000000D106", "Postal Navidad 2025")</f>
        <v>Postal Navidad 2025</v>
      </c>
      <c r="C17415" s="3" t="str">
        <f>HYPERLINK("https://otsuka-europe-crm.veevavault.com/ui/#object/sent_email__v/VBL000000011862", "SE-001397697")</f>
        <v>SE-001397697</v>
      </c>
      <c r="D17415" s="1">
        <v>46009.752592592595</v>
      </c>
      <c r="E17415" s="2">
        <v>1</v>
      </c>
      <c r="F17415" s="2">
        <v>1</v>
      </c>
      <c r="G17415" s="2">
        <v>0</v>
      </c>
      <c r="H17415" s="1" t="s">
        <v>0</v>
      </c>
      <c r="I17415" s="2">
        <v>0</v>
      </c>
      <c r="J17415" s="1">
        <v>46009.748159722221</v>
      </c>
    </row>
    <row r="17416" spans="1:10" x14ac:dyDescent="0.2">
      <c r="A17416" s="4" t="s">
        <v>1</v>
      </c>
      <c r="B17416" s="3" t="str">
        <f>HYPERLINK("https://otsuka-europe-crm.veevavault.com/ui/#object/approved_document__v/V5O00000000D106", "Postal Navidad 2025")</f>
        <v>Postal Navidad 2025</v>
      </c>
      <c r="C17416" s="3" t="str">
        <f>HYPERLINK("https://otsuka-europe-crm.veevavault.com/ui/#object/sent_email__v/VBL000000011863", "SE-001397698")</f>
        <v>SE-001397698</v>
      </c>
      <c r="D17416" s="1">
        <v>46009.785694444443</v>
      </c>
      <c r="E17416" s="2">
        <v>1</v>
      </c>
      <c r="F17416" s="2">
        <v>1</v>
      </c>
      <c r="G17416" s="2">
        <v>0</v>
      </c>
      <c r="H17416" s="1" t="s">
        <v>0</v>
      </c>
      <c r="I17416" s="2">
        <v>0</v>
      </c>
      <c r="J17416" s="1">
        <v>46009.748194444444</v>
      </c>
    </row>
    <row r="17417" spans="1:10" x14ac:dyDescent="0.2">
      <c r="A17417" s="4" t="s">
        <v>1</v>
      </c>
      <c r="B17417" s="3" t="str">
        <f>HYPERLINK("https://otsuka-europe-crm.veevavault.com/ui/#object/approved_document__v/V5O00000000D106", "Postal Navidad 2025")</f>
        <v>Postal Navidad 2025</v>
      </c>
      <c r="C17417" s="3" t="str">
        <f>HYPERLINK("https://otsuka-europe-crm.veevavault.com/ui/#object/sent_email__v/VBL000000011864", "SE-001397699")</f>
        <v>SE-001397699</v>
      </c>
      <c r="D17417" s="1">
        <v>46010.755393518521</v>
      </c>
      <c r="E17417" s="2">
        <v>1</v>
      </c>
      <c r="F17417" s="2">
        <v>1</v>
      </c>
      <c r="G17417" s="2">
        <v>0</v>
      </c>
      <c r="H17417" s="1" t="s">
        <v>0</v>
      </c>
      <c r="I17417" s="2">
        <v>0</v>
      </c>
      <c r="J17417" s="1">
        <v>46009.748229166667</v>
      </c>
    </row>
    <row r="17418" spans="1:10" x14ac:dyDescent="0.2">
      <c r="A17418" s="4" t="s">
        <v>1</v>
      </c>
      <c r="B17418" s="3" t="str">
        <f>HYPERLINK("https://otsuka-europe-crm.veevavault.com/ui/#object/approved_document__v/V5O00000000D106", "Postal Navidad 2025")</f>
        <v>Postal Navidad 2025</v>
      </c>
      <c r="C17418" s="3" t="str">
        <f>HYPERLINK("https://otsuka-europe-crm.veevavault.com/ui/#object/sent_email__v/VBL000000011865", "SE-001397700")</f>
        <v>SE-001397700</v>
      </c>
      <c r="D17418" s="1">
        <v>46009.775046296294</v>
      </c>
      <c r="E17418" s="2">
        <v>1</v>
      </c>
      <c r="F17418" s="2">
        <v>1</v>
      </c>
      <c r="G17418" s="2">
        <v>0</v>
      </c>
      <c r="H17418" s="1" t="s">
        <v>0</v>
      </c>
      <c r="I17418" s="2">
        <v>0</v>
      </c>
      <c r="J17418" s="1">
        <v>46009.74827546296</v>
      </c>
    </row>
    <row r="17419" spans="1:10" x14ac:dyDescent="0.2">
      <c r="A17419" s="4" t="s">
        <v>1</v>
      </c>
      <c r="B17419" s="3" t="str">
        <f>HYPERLINK("https://otsuka-europe-crm.veevavault.com/ui/#object/approved_document__v/V5O00000000D106", "Postal Navidad 2025")</f>
        <v>Postal Navidad 2025</v>
      </c>
      <c r="C17419" s="3" t="str">
        <f>HYPERLINK("https://otsuka-europe-crm.veevavault.com/ui/#object/sent_email__v/VBL000000011866", "SE-001397701")</f>
        <v>SE-001397701</v>
      </c>
      <c r="D17419" s="1" t="s">
        <v>0</v>
      </c>
      <c r="E17419" s="2">
        <v>0</v>
      </c>
      <c r="F17419" s="2">
        <v>0</v>
      </c>
      <c r="G17419" s="2">
        <v>0</v>
      </c>
      <c r="H17419" s="1" t="s">
        <v>0</v>
      </c>
      <c r="I17419" s="2">
        <v>0</v>
      </c>
      <c r="J17419" s="1">
        <v>46009.748310185183</v>
      </c>
    </row>
    <row r="17420" spans="1:10" x14ac:dyDescent="0.2">
      <c r="A17420" s="4" t="s">
        <v>1</v>
      </c>
      <c r="B17420" s="3" t="str">
        <f>HYPERLINK("https://otsuka-europe-crm.veevavault.com/ui/#object/approved_document__v/V5O00000000D106", "Postal Navidad 2025")</f>
        <v>Postal Navidad 2025</v>
      </c>
      <c r="C17420" s="3" t="str">
        <f>HYPERLINK("https://otsuka-europe-crm.veevavault.com/ui/#object/sent_email__v/VBL000000011867", "SE-001397702")</f>
        <v>SE-001397702</v>
      </c>
      <c r="D17420" s="1">
        <v>46009.752349537041</v>
      </c>
      <c r="E17420" s="2">
        <v>1</v>
      </c>
      <c r="F17420" s="2">
        <v>1</v>
      </c>
      <c r="G17420" s="2">
        <v>0</v>
      </c>
      <c r="H17420" s="1" t="s">
        <v>0</v>
      </c>
      <c r="I17420" s="2">
        <v>0</v>
      </c>
      <c r="J17420" s="1">
        <v>46009.748344907406</v>
      </c>
    </row>
    <row r="17421" spans="1:10" x14ac:dyDescent="0.2">
      <c r="A17421" s="4" t="s">
        <v>1</v>
      </c>
      <c r="B17421" s="3" t="str">
        <f>HYPERLINK("https://otsuka-europe-crm.veevavault.com/ui/#object/approved_document__v/V5O00000000D106", "Postal Navidad 2025")</f>
        <v>Postal Navidad 2025</v>
      </c>
      <c r="C17421" s="3" t="str">
        <f>HYPERLINK("https://otsuka-europe-crm.veevavault.com/ui/#object/sent_email__v/VBL000000011868", "SE-001397703")</f>
        <v>SE-001397703</v>
      </c>
      <c r="D17421" s="1" t="s">
        <v>0</v>
      </c>
      <c r="E17421" s="2">
        <v>0</v>
      </c>
      <c r="F17421" s="2">
        <v>0</v>
      </c>
      <c r="G17421" s="2">
        <v>0</v>
      </c>
      <c r="H17421" s="1" t="s">
        <v>0</v>
      </c>
      <c r="I17421" s="2">
        <v>0</v>
      </c>
      <c r="J17421" s="1">
        <v>46009.748379629629</v>
      </c>
    </row>
    <row r="17422" spans="1:10" x14ac:dyDescent="0.2">
      <c r="A17422" s="4" t="s">
        <v>1</v>
      </c>
      <c r="B17422" s="3" t="str">
        <f>HYPERLINK("https://otsuka-europe-crm.veevavault.com/ui/#object/approved_document__v/V5O00000000D106", "Postal Navidad 2025")</f>
        <v>Postal Navidad 2025</v>
      </c>
      <c r="C17422" s="3" t="str">
        <f>HYPERLINK("https://otsuka-europe-crm.veevavault.com/ui/#object/sent_email__v/VBL000000011869", "SE-001397704")</f>
        <v>SE-001397704</v>
      </c>
      <c r="D17422" s="1">
        <v>46009.786180555559</v>
      </c>
      <c r="E17422" s="2">
        <v>1</v>
      </c>
      <c r="F17422" s="2">
        <v>2</v>
      </c>
      <c r="G17422" s="2">
        <v>0</v>
      </c>
      <c r="H17422" s="1" t="s">
        <v>0</v>
      </c>
      <c r="I17422" s="2">
        <v>0</v>
      </c>
      <c r="J17422" s="1">
        <v>46009.748414351852</v>
      </c>
    </row>
    <row r="17423" spans="1:10" x14ac:dyDescent="0.2">
      <c r="A17423" s="4" t="s">
        <v>1</v>
      </c>
      <c r="B17423" s="3" t="str">
        <f>HYPERLINK("https://otsuka-europe-crm.veevavault.com/ui/#object/approved_document__v/V5O00000000D106", "Postal Navidad 2025")</f>
        <v>Postal Navidad 2025</v>
      </c>
      <c r="C17423" s="3" t="str">
        <f>HYPERLINK("https://otsuka-europe-crm.veevavault.com/ui/#object/sent_email__v/VBL000000011870", "SE-001397705")</f>
        <v>SE-001397705</v>
      </c>
      <c r="D17423" s="1" t="s">
        <v>0</v>
      </c>
      <c r="E17423" s="2">
        <v>0</v>
      </c>
      <c r="F17423" s="2">
        <v>0</v>
      </c>
      <c r="G17423" s="2">
        <v>0</v>
      </c>
      <c r="H17423" s="1" t="s">
        <v>0</v>
      </c>
      <c r="I17423" s="2">
        <v>0</v>
      </c>
      <c r="J17423" s="1">
        <v>46009.748460648145</v>
      </c>
    </row>
    <row r="17424" spans="1:10" x14ac:dyDescent="0.2">
      <c r="A17424" s="4" t="s">
        <v>1</v>
      </c>
      <c r="B17424" s="3" t="str">
        <f>HYPERLINK("https://otsuka-europe-crm.veevavault.com/ui/#object/approved_document__v/V5O00000000D106", "Postal Navidad 2025")</f>
        <v>Postal Navidad 2025</v>
      </c>
      <c r="C17424" s="3" t="str">
        <f>HYPERLINK("https://otsuka-europe-crm.veevavault.com/ui/#object/sent_email__v/VBL000000011871", "SE-001397706")</f>
        <v>SE-001397706</v>
      </c>
      <c r="D17424" s="1">
        <v>46009.849456018521</v>
      </c>
      <c r="E17424" s="2">
        <v>1</v>
      </c>
      <c r="F17424" s="2">
        <v>1</v>
      </c>
      <c r="G17424" s="2">
        <v>0</v>
      </c>
      <c r="H17424" s="1" t="s">
        <v>0</v>
      </c>
      <c r="I17424" s="2">
        <v>0</v>
      </c>
      <c r="J17424" s="1">
        <v>46009.748506944445</v>
      </c>
    </row>
    <row r="17425" spans="1:10" x14ac:dyDescent="0.2">
      <c r="A17425" s="4" t="s">
        <v>1</v>
      </c>
      <c r="B17425" s="3" t="str">
        <f>HYPERLINK("https://otsuka-europe-crm.veevavault.com/ui/#object/approved_document__v/V5O00000000D106", "Postal Navidad 2025")</f>
        <v>Postal Navidad 2025</v>
      </c>
      <c r="C17425" s="3" t="str">
        <f>HYPERLINK("https://otsuka-europe-crm.veevavault.com/ui/#object/sent_email__v/VBL000000011872", "SE-001397707")</f>
        <v>SE-001397707</v>
      </c>
      <c r="D17425" s="1">
        <v>46016.912974537037</v>
      </c>
      <c r="E17425" s="2">
        <v>1</v>
      </c>
      <c r="F17425" s="2">
        <v>1</v>
      </c>
      <c r="G17425" s="2">
        <v>0</v>
      </c>
      <c r="H17425" s="1" t="s">
        <v>0</v>
      </c>
      <c r="I17425" s="2">
        <v>0</v>
      </c>
      <c r="J17425" s="1">
        <v>46009.748530092591</v>
      </c>
    </row>
    <row r="17426" spans="1:10" x14ac:dyDescent="0.2">
      <c r="A17426" s="4" t="s">
        <v>1</v>
      </c>
      <c r="B17426" s="3" t="str">
        <f>HYPERLINK("https://otsuka-europe-crm.veevavault.com/ui/#object/approved_document__v/V5O00000000D106", "Postal Navidad 2025")</f>
        <v>Postal Navidad 2025</v>
      </c>
      <c r="C17426" s="3" t="str">
        <f>HYPERLINK("https://otsuka-europe-crm.veevavault.com/ui/#object/sent_email__v/VBL000000011873", "SE-001397708")</f>
        <v>SE-001397708</v>
      </c>
      <c r="D17426" s="1" t="s">
        <v>0</v>
      </c>
      <c r="E17426" s="2">
        <v>0</v>
      </c>
      <c r="F17426" s="2">
        <v>0</v>
      </c>
      <c r="G17426" s="2">
        <v>0</v>
      </c>
      <c r="H17426" s="1" t="s">
        <v>0</v>
      </c>
      <c r="I17426" s="2">
        <v>0</v>
      </c>
      <c r="J17426" s="1">
        <v>46009.748564814814</v>
      </c>
    </row>
    <row r="17427" spans="1:10" x14ac:dyDescent="0.2">
      <c r="A17427" s="4" t="s">
        <v>1</v>
      </c>
      <c r="B17427" s="3" t="str">
        <f>HYPERLINK("https://otsuka-europe-crm.veevavault.com/ui/#object/approved_document__v/V5O00000000D106", "Postal Navidad 2025")</f>
        <v>Postal Navidad 2025</v>
      </c>
      <c r="C17427" s="3" t="str">
        <f>HYPERLINK("https://otsuka-europe-crm.veevavault.com/ui/#object/sent_email__v/VBL000000011874", "SE-001397709")</f>
        <v>SE-001397709</v>
      </c>
      <c r="D17427" s="1" t="s">
        <v>0</v>
      </c>
      <c r="E17427" s="2">
        <v>0</v>
      </c>
      <c r="F17427" s="2">
        <v>0</v>
      </c>
      <c r="G17427" s="2">
        <v>0</v>
      </c>
      <c r="H17427" s="1" t="s">
        <v>0</v>
      </c>
      <c r="I17427" s="2">
        <v>0</v>
      </c>
      <c r="J17427" s="1">
        <v>46009.748611111114</v>
      </c>
    </row>
    <row r="17428" spans="1:10" x14ac:dyDescent="0.2">
      <c r="A17428" s="4" t="s">
        <v>1</v>
      </c>
      <c r="B17428" s="3" t="str">
        <f>HYPERLINK("https://otsuka-europe-crm.veevavault.com/ui/#object/approved_document__v/V5O00000000D106", "Postal Navidad 2025")</f>
        <v>Postal Navidad 2025</v>
      </c>
      <c r="C17428" s="3" t="str">
        <f>HYPERLINK("https://otsuka-europe-crm.veevavault.com/ui/#object/sent_email__v/VBL000000011875", "SE-001397710")</f>
        <v>SE-001397710</v>
      </c>
      <c r="D17428" s="1" t="s">
        <v>0</v>
      </c>
      <c r="E17428" s="2">
        <v>0</v>
      </c>
      <c r="F17428" s="2">
        <v>0</v>
      </c>
      <c r="G17428" s="2">
        <v>0</v>
      </c>
      <c r="H17428" s="1" t="s">
        <v>0</v>
      </c>
      <c r="I17428" s="2">
        <v>0</v>
      </c>
      <c r="J17428" s="1">
        <v>46009.748645833337</v>
      </c>
    </row>
    <row r="17429" spans="1:10" x14ac:dyDescent="0.2">
      <c r="A17429" s="4" t="s">
        <v>1</v>
      </c>
      <c r="B17429" s="3" t="str">
        <f>HYPERLINK("https://otsuka-europe-crm.veevavault.com/ui/#object/approved_document__v/V5O00000000D106", "Postal Navidad 2025")</f>
        <v>Postal Navidad 2025</v>
      </c>
      <c r="C17429" s="3" t="str">
        <f>HYPERLINK("https://otsuka-europe-crm.veevavault.com/ui/#object/sent_email__v/VBL000000011876", "SE-001397711")</f>
        <v>SE-001397711</v>
      </c>
      <c r="D17429" s="1">
        <v>46010.438819444447</v>
      </c>
      <c r="E17429" s="2">
        <v>1</v>
      </c>
      <c r="F17429" s="2">
        <v>1</v>
      </c>
      <c r="G17429" s="2">
        <v>0</v>
      </c>
      <c r="H17429" s="1" t="s">
        <v>0</v>
      </c>
      <c r="I17429" s="2">
        <v>0</v>
      </c>
      <c r="J17429" s="1">
        <v>46009.748692129629</v>
      </c>
    </row>
    <row r="17430" spans="1:10" x14ac:dyDescent="0.2">
      <c r="A17430" s="4" t="s">
        <v>1</v>
      </c>
      <c r="B17430" s="3" t="str">
        <f>HYPERLINK("https://otsuka-europe-crm.veevavault.com/ui/#object/approved_document__v/V5O00000000D106", "Postal Navidad 2025")</f>
        <v>Postal Navidad 2025</v>
      </c>
      <c r="C17430" s="3" t="str">
        <f>HYPERLINK("https://otsuka-europe-crm.veevavault.com/ui/#object/sent_email__v/VBL000000011877", "SE-001397712")</f>
        <v>SE-001397712</v>
      </c>
      <c r="D17430" s="1" t="s">
        <v>0</v>
      </c>
      <c r="E17430" s="2">
        <v>0</v>
      </c>
      <c r="F17430" s="2">
        <v>0</v>
      </c>
      <c r="G17430" s="2">
        <v>0</v>
      </c>
      <c r="H17430" s="1" t="s">
        <v>0</v>
      </c>
      <c r="I17430" s="2">
        <v>0</v>
      </c>
      <c r="J17430" s="1">
        <v>46009.748726851853</v>
      </c>
    </row>
    <row r="17431" spans="1:10" x14ac:dyDescent="0.2">
      <c r="A17431" s="4" t="s">
        <v>1</v>
      </c>
      <c r="B17431" s="3" t="str">
        <f>HYPERLINK("https://otsuka-europe-crm.veevavault.com/ui/#object/approved_document__v/V5O00000000D106", "Postal Navidad 2025")</f>
        <v>Postal Navidad 2025</v>
      </c>
      <c r="C17431" s="3" t="str">
        <f>HYPERLINK("https://otsuka-europe-crm.veevavault.com/ui/#object/sent_email__v/VBL000000011878", "SE-001397713")</f>
        <v>SE-001397713</v>
      </c>
      <c r="D17431" s="1">
        <v>46009.766932870371</v>
      </c>
      <c r="E17431" s="2">
        <v>1</v>
      </c>
      <c r="F17431" s="2">
        <v>1</v>
      </c>
      <c r="G17431" s="2">
        <v>0</v>
      </c>
      <c r="H17431" s="1" t="s">
        <v>0</v>
      </c>
      <c r="I17431" s="2">
        <v>0</v>
      </c>
      <c r="J17431" s="1">
        <v>46009.748761574076</v>
      </c>
    </row>
    <row r="17432" spans="1:10" x14ac:dyDescent="0.2">
      <c r="A17432" s="4" t="s">
        <v>1</v>
      </c>
      <c r="B17432" s="3" t="str">
        <f>HYPERLINK("https://otsuka-europe-crm.veevavault.com/ui/#object/approved_document__v/V5O00000000D106", "Postal Navidad 2025")</f>
        <v>Postal Navidad 2025</v>
      </c>
      <c r="C17432" s="3" t="str">
        <f>HYPERLINK("https://otsuka-europe-crm.veevavault.com/ui/#object/sent_email__v/VBL000000011879", "SE-001397714")</f>
        <v>SE-001397714</v>
      </c>
      <c r="D17432" s="1">
        <v>46009.844930555555</v>
      </c>
      <c r="E17432" s="2">
        <v>1</v>
      </c>
      <c r="F17432" s="2">
        <v>1</v>
      </c>
      <c r="G17432" s="2">
        <v>0</v>
      </c>
      <c r="H17432" s="1" t="s">
        <v>0</v>
      </c>
      <c r="I17432" s="2">
        <v>0</v>
      </c>
      <c r="J17432" s="1">
        <v>46009.748796296299</v>
      </c>
    </row>
    <row r="17433" spans="1:10" x14ac:dyDescent="0.2">
      <c r="A17433" s="4" t="s">
        <v>1</v>
      </c>
      <c r="B17433" s="3" t="str">
        <f>HYPERLINK("https://otsuka-europe-crm.veevavault.com/ui/#object/approved_document__v/V5O00000000D106", "Postal Navidad 2025")</f>
        <v>Postal Navidad 2025</v>
      </c>
      <c r="C17433" s="3" t="str">
        <f>HYPERLINK("https://otsuka-europe-crm.veevavault.com/ui/#object/sent_email__v/VBL000000011880", "SE-001397715")</f>
        <v>SE-001397715</v>
      </c>
      <c r="D17433" s="1" t="s">
        <v>0</v>
      </c>
      <c r="E17433" s="2">
        <v>0</v>
      </c>
      <c r="F17433" s="2">
        <v>0</v>
      </c>
      <c r="G17433" s="2">
        <v>0</v>
      </c>
      <c r="H17433" s="1" t="s">
        <v>0</v>
      </c>
      <c r="I17433" s="2">
        <v>0</v>
      </c>
      <c r="J17433" s="1">
        <v>46009.748842592591</v>
      </c>
    </row>
    <row r="17434" spans="1:10" x14ac:dyDescent="0.2">
      <c r="A17434" s="4" t="s">
        <v>1</v>
      </c>
      <c r="B17434" s="3" t="str">
        <f>HYPERLINK("https://otsuka-europe-crm.veevavault.com/ui/#object/approved_document__v/V5O00000000D106", "Postal Navidad 2025")</f>
        <v>Postal Navidad 2025</v>
      </c>
      <c r="C17434" s="3" t="str">
        <f>HYPERLINK("https://otsuka-europe-crm.veevavault.com/ui/#object/sent_email__v/VBL000000011881", "SE-001397716")</f>
        <v>SE-001397716</v>
      </c>
      <c r="D17434" s="1" t="s">
        <v>0</v>
      </c>
      <c r="E17434" s="2">
        <v>0</v>
      </c>
      <c r="F17434" s="2">
        <v>0</v>
      </c>
      <c r="G17434" s="2">
        <v>0</v>
      </c>
      <c r="H17434" s="1" t="s">
        <v>0</v>
      </c>
      <c r="I17434" s="2">
        <v>0</v>
      </c>
      <c r="J17434" s="1">
        <v>46009.748877314814</v>
      </c>
    </row>
    <row r="17435" spans="1:10" x14ac:dyDescent="0.2">
      <c r="A17435" s="4" t="s">
        <v>1</v>
      </c>
      <c r="B17435" s="3" t="str">
        <f>HYPERLINK("https://otsuka-europe-crm.veevavault.com/ui/#object/approved_document__v/V5O00000000D106", "Postal Navidad 2025")</f>
        <v>Postal Navidad 2025</v>
      </c>
      <c r="C17435" s="3" t="str">
        <f>HYPERLINK("https://otsuka-europe-crm.veevavault.com/ui/#object/sent_email__v/VBL000000011882", "SE-001397717")</f>
        <v>SE-001397717</v>
      </c>
      <c r="D17435" s="1">
        <v>46009.879247685189</v>
      </c>
      <c r="E17435" s="2">
        <v>1</v>
      </c>
      <c r="F17435" s="2">
        <v>1</v>
      </c>
      <c r="G17435" s="2">
        <v>0</v>
      </c>
      <c r="H17435" s="1" t="s">
        <v>0</v>
      </c>
      <c r="I17435" s="2">
        <v>0</v>
      </c>
      <c r="J17435" s="1">
        <v>46009.748923611114</v>
      </c>
    </row>
    <row r="17436" spans="1:10" x14ac:dyDescent="0.2">
      <c r="A17436" s="4" t="s">
        <v>1</v>
      </c>
      <c r="B17436" s="3" t="str">
        <f>HYPERLINK("https://otsuka-europe-crm.veevavault.com/ui/#object/approved_document__v/V5O00000000D106", "Postal Navidad 2025")</f>
        <v>Postal Navidad 2025</v>
      </c>
      <c r="C17436" s="3" t="str">
        <f>HYPERLINK("https://otsuka-europe-crm.veevavault.com/ui/#object/sent_email__v/VBL000000011883", "SE-001397718")</f>
        <v>SE-001397718</v>
      </c>
      <c r="D17436" s="1">
        <v>46010.785381944443</v>
      </c>
      <c r="E17436" s="2">
        <v>1</v>
      </c>
      <c r="F17436" s="2">
        <v>2</v>
      </c>
      <c r="G17436" s="2">
        <v>0</v>
      </c>
      <c r="H17436" s="1" t="s">
        <v>0</v>
      </c>
      <c r="I17436" s="2">
        <v>0</v>
      </c>
      <c r="J17436" s="1">
        <v>46009.74895833333</v>
      </c>
    </row>
    <row r="17437" spans="1:10" x14ac:dyDescent="0.2">
      <c r="A17437" s="4" t="s">
        <v>1</v>
      </c>
      <c r="B17437" s="3" t="str">
        <f>HYPERLINK("https://otsuka-europe-crm.veevavault.com/ui/#object/approved_document__v/V5O00000000D106", "Postal Navidad 2025")</f>
        <v>Postal Navidad 2025</v>
      </c>
      <c r="C17437" s="3" t="str">
        <f>HYPERLINK("https://otsuka-europe-crm.veevavault.com/ui/#object/sent_email__v/VBL000000011884", "SE-001397719")</f>
        <v>SE-001397719</v>
      </c>
      <c r="D17437" s="1">
        <v>46010.2580787037</v>
      </c>
      <c r="E17437" s="2">
        <v>1</v>
      </c>
      <c r="F17437" s="2">
        <v>2</v>
      </c>
      <c r="G17437" s="2">
        <v>0</v>
      </c>
      <c r="H17437" s="1" t="s">
        <v>0</v>
      </c>
      <c r="I17437" s="2">
        <v>0</v>
      </c>
      <c r="J17437" s="1">
        <v>46009.748993055553</v>
      </c>
    </row>
    <row r="17438" spans="1:10" x14ac:dyDescent="0.2">
      <c r="A17438" s="4" t="s">
        <v>1</v>
      </c>
      <c r="B17438" s="3" t="str">
        <f>HYPERLINK("https://otsuka-europe-crm.veevavault.com/ui/#object/approved_document__v/V5O00000000D106", "Postal Navidad 2025")</f>
        <v>Postal Navidad 2025</v>
      </c>
      <c r="C17438" s="3" t="str">
        <f>HYPERLINK("https://otsuka-europe-crm.veevavault.com/ui/#object/sent_email__v/VBL000000011885", "SE-001397720")</f>
        <v>SE-001397720</v>
      </c>
      <c r="D17438" s="1" t="s">
        <v>0</v>
      </c>
      <c r="E17438" s="2">
        <v>0</v>
      </c>
      <c r="F17438" s="2">
        <v>0</v>
      </c>
      <c r="G17438" s="2">
        <v>0</v>
      </c>
      <c r="H17438" s="1" t="s">
        <v>0</v>
      </c>
      <c r="I17438" s="2">
        <v>0</v>
      </c>
      <c r="J17438" s="1">
        <v>46009.749027777776</v>
      </c>
    </row>
    <row r="17439" spans="1:10" x14ac:dyDescent="0.2">
      <c r="A17439" s="4" t="s">
        <v>1</v>
      </c>
      <c r="B17439" s="3" t="str">
        <f>HYPERLINK("https://otsuka-europe-crm.veevavault.com/ui/#object/approved_document__v/V5O00000000D106", "Postal Navidad 2025")</f>
        <v>Postal Navidad 2025</v>
      </c>
      <c r="C17439" s="3" t="str">
        <f>HYPERLINK("https://otsuka-europe-crm.veevavault.com/ui/#object/sent_email__v/VBL000000011886", "SE-001397721")</f>
        <v>SE-001397721</v>
      </c>
      <c r="D17439" s="1">
        <v>46034.682256944441</v>
      </c>
      <c r="E17439" s="2">
        <v>1</v>
      </c>
      <c r="F17439" s="2">
        <v>3</v>
      </c>
      <c r="G17439" s="2">
        <v>0</v>
      </c>
      <c r="H17439" s="1" t="s">
        <v>0</v>
      </c>
      <c r="I17439" s="2">
        <v>0</v>
      </c>
      <c r="J17439" s="1">
        <v>46009.749074074076</v>
      </c>
    </row>
    <row r="17440" spans="1:10" x14ac:dyDescent="0.2">
      <c r="A17440" s="4" t="s">
        <v>1</v>
      </c>
      <c r="B17440" s="3" t="str">
        <f>HYPERLINK("https://otsuka-europe-crm.veevavault.com/ui/#object/approved_document__v/V5O00000000D106", "Postal Navidad 2025")</f>
        <v>Postal Navidad 2025</v>
      </c>
      <c r="C17440" s="3" t="str">
        <f>HYPERLINK("https://otsuka-europe-crm.veevavault.com/ui/#object/sent_email__v/VBL000000011887", "SE-001397722")</f>
        <v>SE-001397722</v>
      </c>
      <c r="D17440" s="1">
        <v>46036.715266203704</v>
      </c>
      <c r="E17440" s="2">
        <v>1</v>
      </c>
      <c r="F17440" s="2">
        <v>2</v>
      </c>
      <c r="G17440" s="2">
        <v>0</v>
      </c>
      <c r="H17440" s="1" t="s">
        <v>0</v>
      </c>
      <c r="I17440" s="2">
        <v>0</v>
      </c>
      <c r="J17440" s="1">
        <v>46009.749108796299</v>
      </c>
    </row>
    <row r="17441" spans="1:10" x14ac:dyDescent="0.2">
      <c r="A17441" s="4" t="s">
        <v>1</v>
      </c>
      <c r="B17441" s="3" t="str">
        <f>HYPERLINK("https://otsuka-europe-crm.veevavault.com/ui/#object/approved_document__v/V5O00000000D106", "Postal Navidad 2025")</f>
        <v>Postal Navidad 2025</v>
      </c>
      <c r="C17441" s="3" t="str">
        <f>HYPERLINK("https://otsuka-europe-crm.veevavault.com/ui/#object/sent_email__v/VBL000000011888", "SE-001397723")</f>
        <v>SE-001397723</v>
      </c>
      <c r="D17441" s="1">
        <v>46009.749814814815</v>
      </c>
      <c r="E17441" s="2">
        <v>1</v>
      </c>
      <c r="F17441" s="2">
        <v>1</v>
      </c>
      <c r="G17441" s="2">
        <v>0</v>
      </c>
      <c r="H17441" s="1" t="s">
        <v>0</v>
      </c>
      <c r="I17441" s="2">
        <v>0</v>
      </c>
      <c r="J17441" s="1">
        <v>46009.749143518522</v>
      </c>
    </row>
    <row r="17442" spans="1:10" x14ac:dyDescent="0.2">
      <c r="A17442" s="4" t="s">
        <v>1</v>
      </c>
      <c r="B17442" s="3" t="str">
        <f>HYPERLINK("https://otsuka-europe-crm.veevavault.com/ui/#object/approved_document__v/V5O00000000D106", "Postal Navidad 2025")</f>
        <v>Postal Navidad 2025</v>
      </c>
      <c r="C17442" s="3" t="str">
        <f>HYPERLINK("https://otsuka-europe-crm.veevavault.com/ui/#object/sent_email__v/VBL000000011889", "SE-001397724")</f>
        <v>SE-001397724</v>
      </c>
      <c r="D17442" s="1">
        <v>46009.757164351853</v>
      </c>
      <c r="E17442" s="2">
        <v>1</v>
      </c>
      <c r="F17442" s="2">
        <v>1</v>
      </c>
      <c r="G17442" s="2">
        <v>0</v>
      </c>
      <c r="H17442" s="1" t="s">
        <v>0</v>
      </c>
      <c r="I17442" s="2">
        <v>0</v>
      </c>
      <c r="J17442" s="1">
        <v>46009.749178240738</v>
      </c>
    </row>
    <row r="17443" spans="1:10" x14ac:dyDescent="0.2">
      <c r="A17443" s="4" t="s">
        <v>1</v>
      </c>
      <c r="B17443" s="3" t="str">
        <f>HYPERLINK("https://otsuka-europe-crm.veevavault.com/ui/#object/approved_document__v/V5O00000000D106", "Postal Navidad 2025")</f>
        <v>Postal Navidad 2025</v>
      </c>
      <c r="C17443" s="3" t="str">
        <f>HYPERLINK("https://otsuka-europe-crm.veevavault.com/ui/#object/sent_email__v/VBL000000011890", "SE-001397725")</f>
        <v>SE-001397725</v>
      </c>
      <c r="D17443" s="1">
        <v>46009.808958333335</v>
      </c>
      <c r="E17443" s="2">
        <v>1</v>
      </c>
      <c r="F17443" s="2">
        <v>1</v>
      </c>
      <c r="G17443" s="2">
        <v>0</v>
      </c>
      <c r="H17443" s="1" t="s">
        <v>0</v>
      </c>
      <c r="I17443" s="2">
        <v>0</v>
      </c>
      <c r="J17443" s="1">
        <v>46009.749212962961</v>
      </c>
    </row>
    <row r="17444" spans="1:10" x14ac:dyDescent="0.2">
      <c r="A17444" s="4" t="s">
        <v>1</v>
      </c>
      <c r="B17444" s="3" t="str">
        <f>HYPERLINK("https://otsuka-europe-crm.veevavault.com/ui/#object/approved_document__v/V5O00000000D106", "Postal Navidad 2025")</f>
        <v>Postal Navidad 2025</v>
      </c>
      <c r="C17444" s="3" t="str">
        <f>HYPERLINK("https://otsuka-europe-crm.veevavault.com/ui/#object/sent_email__v/VBL000000011891", "SE-001397726")</f>
        <v>SE-001397726</v>
      </c>
      <c r="D17444" s="1">
        <v>46010.257233796299</v>
      </c>
      <c r="E17444" s="2">
        <v>1</v>
      </c>
      <c r="F17444" s="2">
        <v>2</v>
      </c>
      <c r="G17444" s="2">
        <v>0</v>
      </c>
      <c r="H17444" s="1" t="s">
        <v>0</v>
      </c>
      <c r="I17444" s="2">
        <v>0</v>
      </c>
      <c r="J17444" s="1">
        <v>46009.74927083333</v>
      </c>
    </row>
    <row r="17445" spans="1:10" x14ac:dyDescent="0.2">
      <c r="A17445" s="4" t="s">
        <v>1</v>
      </c>
      <c r="B17445" s="3" t="str">
        <f>HYPERLINK("https://otsuka-europe-crm.veevavault.com/ui/#object/approved_document__v/V5O00000000D106", "Postal Navidad 2025")</f>
        <v>Postal Navidad 2025</v>
      </c>
      <c r="C17445" s="3" t="str">
        <f>HYPERLINK("https://otsuka-europe-crm.veevavault.com/ui/#object/sent_email__v/VBL000000011892", "SE-001397727")</f>
        <v>SE-001397727</v>
      </c>
      <c r="D17445" s="1">
        <v>46010.324479166666</v>
      </c>
      <c r="E17445" s="2">
        <v>1</v>
      </c>
      <c r="F17445" s="2">
        <v>7</v>
      </c>
      <c r="G17445" s="2">
        <v>0</v>
      </c>
      <c r="H17445" s="1" t="s">
        <v>0</v>
      </c>
      <c r="I17445" s="2">
        <v>0</v>
      </c>
      <c r="J17445" s="1">
        <v>46009.749305555553</v>
      </c>
    </row>
    <row r="17446" spans="1:10" x14ac:dyDescent="0.2">
      <c r="A17446" s="4" t="s">
        <v>1</v>
      </c>
      <c r="B17446" s="3" t="str">
        <f>HYPERLINK("https://otsuka-europe-crm.veevavault.com/ui/#object/approved_document__v/V5O00000000D106", "Postal Navidad 2025")</f>
        <v>Postal Navidad 2025</v>
      </c>
      <c r="C17446" s="3" t="str">
        <f>HYPERLINK("https://otsuka-europe-crm.veevavault.com/ui/#object/sent_email__v/VBL000000011893", "SE-001397728")</f>
        <v>SE-001397728</v>
      </c>
      <c r="D17446" s="1" t="s">
        <v>0</v>
      </c>
      <c r="E17446" s="2">
        <v>0</v>
      </c>
      <c r="F17446" s="2">
        <v>0</v>
      </c>
      <c r="G17446" s="2">
        <v>0</v>
      </c>
      <c r="H17446" s="1" t="s">
        <v>0</v>
      </c>
      <c r="I17446" s="2">
        <v>0</v>
      </c>
      <c r="J17446" s="1">
        <v>46009.749340277776</v>
      </c>
    </row>
    <row r="17447" spans="1:10" x14ac:dyDescent="0.2">
      <c r="A17447" s="4" t="s">
        <v>1</v>
      </c>
      <c r="B17447" s="3" t="str">
        <f>HYPERLINK("https://otsuka-europe-crm.veevavault.com/ui/#object/approved_document__v/V5O00000000D106", "Postal Navidad 2025")</f>
        <v>Postal Navidad 2025</v>
      </c>
      <c r="C17447" s="3" t="str">
        <f>HYPERLINK("https://otsuka-europe-crm.veevavault.com/ui/#object/sent_email__v/VBL000000011894", "SE-001397729")</f>
        <v>SE-001397729</v>
      </c>
      <c r="D17447" s="1">
        <v>46036.444004629629</v>
      </c>
      <c r="E17447" s="2">
        <v>1</v>
      </c>
      <c r="F17447" s="2">
        <v>2</v>
      </c>
      <c r="G17447" s="2">
        <v>0</v>
      </c>
      <c r="H17447" s="1" t="s">
        <v>0</v>
      </c>
      <c r="I17447" s="2">
        <v>0</v>
      </c>
      <c r="J17447" s="1">
        <v>46009.749374999999</v>
      </c>
    </row>
    <row r="17448" spans="1:10" x14ac:dyDescent="0.2">
      <c r="A17448" s="4" t="s">
        <v>1</v>
      </c>
      <c r="B17448" s="3" t="str">
        <f>HYPERLINK("https://otsuka-europe-crm.veevavault.com/ui/#object/approved_document__v/V5O00000000D106", "Postal Navidad 2025")</f>
        <v>Postal Navidad 2025</v>
      </c>
      <c r="C17448" s="3" t="str">
        <f>HYPERLINK("https://otsuka-europe-crm.veevavault.com/ui/#object/sent_email__v/VBL000000011895", "SE-001397730")</f>
        <v>SE-001397730</v>
      </c>
      <c r="D17448" s="1">
        <v>46030.899155092593</v>
      </c>
      <c r="E17448" s="2">
        <v>1</v>
      </c>
      <c r="F17448" s="2">
        <v>2</v>
      </c>
      <c r="G17448" s="2">
        <v>0</v>
      </c>
      <c r="H17448" s="1" t="s">
        <v>0</v>
      </c>
      <c r="I17448" s="2">
        <v>0</v>
      </c>
      <c r="J17448" s="1">
        <v>46009.749409722222</v>
      </c>
    </row>
    <row r="17449" spans="1:10" x14ac:dyDescent="0.2">
      <c r="A17449" s="4" t="s">
        <v>1</v>
      </c>
      <c r="B17449" s="3" t="str">
        <f>HYPERLINK("https://otsuka-europe-crm.veevavault.com/ui/#object/approved_document__v/V5O00000000D106", "Postal Navidad 2025")</f>
        <v>Postal Navidad 2025</v>
      </c>
      <c r="C17449" s="3" t="str">
        <f>HYPERLINK("https://otsuka-europe-crm.veevavault.com/ui/#object/sent_email__v/VBL000000011896", "SE-001397731")</f>
        <v>SE-001397731</v>
      </c>
      <c r="D17449" s="1" t="s">
        <v>0</v>
      </c>
      <c r="E17449" s="2">
        <v>0</v>
      </c>
      <c r="F17449" s="2">
        <v>0</v>
      </c>
      <c r="G17449" s="2">
        <v>0</v>
      </c>
      <c r="H17449" s="1" t="s">
        <v>0</v>
      </c>
      <c r="I17449" s="2">
        <v>0</v>
      </c>
      <c r="J17449" s="1">
        <v>46009.749444444446</v>
      </c>
    </row>
    <row r="17450" spans="1:10" x14ac:dyDescent="0.2">
      <c r="A17450" s="4" t="s">
        <v>1</v>
      </c>
      <c r="B17450" s="3" t="str">
        <f>HYPERLINK("https://otsuka-europe-crm.veevavault.com/ui/#object/approved_document__v/V5O00000000D106", "Postal Navidad 2025")</f>
        <v>Postal Navidad 2025</v>
      </c>
      <c r="C17450" s="3" t="str">
        <f>HYPERLINK("https://otsuka-europe-crm.veevavault.com/ui/#object/sent_email__v/VBL000000011897", "SE-001397732")</f>
        <v>SE-001397732</v>
      </c>
      <c r="D17450" s="1">
        <v>46010.324942129628</v>
      </c>
      <c r="E17450" s="2">
        <v>1</v>
      </c>
      <c r="F17450" s="2">
        <v>9</v>
      </c>
      <c r="G17450" s="2">
        <v>0</v>
      </c>
      <c r="H17450" s="1" t="s">
        <v>0</v>
      </c>
      <c r="I17450" s="2">
        <v>0</v>
      </c>
      <c r="J17450" s="1">
        <v>46009.749490740738</v>
      </c>
    </row>
    <row r="17451" spans="1:10" x14ac:dyDescent="0.2">
      <c r="A17451" s="4" t="s">
        <v>1</v>
      </c>
      <c r="B17451" s="3" t="str">
        <f>HYPERLINK("https://otsuka-europe-crm.veevavault.com/ui/#object/approved_document__v/V5O00000000D106", "Postal Navidad 2025")</f>
        <v>Postal Navidad 2025</v>
      </c>
      <c r="C17451" s="3" t="str">
        <f>HYPERLINK("https://otsuka-europe-crm.veevavault.com/ui/#object/sent_email__v/VBL000000011898", "SE-001397733")</f>
        <v>SE-001397733</v>
      </c>
      <c r="D17451" s="1" t="s">
        <v>0</v>
      </c>
      <c r="E17451" s="2">
        <v>0</v>
      </c>
      <c r="F17451" s="2">
        <v>0</v>
      </c>
      <c r="G17451" s="2">
        <v>0</v>
      </c>
      <c r="H17451" s="1" t="s">
        <v>0</v>
      </c>
      <c r="I17451" s="2">
        <v>0</v>
      </c>
      <c r="J17451" s="1">
        <v>46009.749525462961</v>
      </c>
    </row>
    <row r="17452" spans="1:10" x14ac:dyDescent="0.2">
      <c r="A17452" s="4" t="s">
        <v>1</v>
      </c>
      <c r="B17452" s="3" t="str">
        <f>HYPERLINK("https://otsuka-europe-crm.veevavault.com/ui/#object/approved_document__v/V5O00000000D106", "Postal Navidad 2025")</f>
        <v>Postal Navidad 2025</v>
      </c>
      <c r="C17452" s="3" t="str">
        <f>HYPERLINK("https://otsuka-europe-crm.veevavault.com/ui/#object/sent_email__v/VBL000000011899", "SE-001397734")</f>
        <v>SE-001397734</v>
      </c>
      <c r="D17452" s="1" t="s">
        <v>0</v>
      </c>
      <c r="E17452" s="2">
        <v>0</v>
      </c>
      <c r="F17452" s="2">
        <v>0</v>
      </c>
      <c r="G17452" s="2">
        <v>0</v>
      </c>
      <c r="H17452" s="1" t="s">
        <v>0</v>
      </c>
      <c r="I17452" s="2">
        <v>0</v>
      </c>
      <c r="J17452" s="1">
        <v>46009.749571759261</v>
      </c>
    </row>
    <row r="17453" spans="1:10" x14ac:dyDescent="0.2">
      <c r="A17453" s="4" t="s">
        <v>1</v>
      </c>
      <c r="B17453" s="3" t="str">
        <f>HYPERLINK("https://otsuka-europe-crm.veevavault.com/ui/#object/approved_document__v/V5O00000000D106", "Postal Navidad 2025")</f>
        <v>Postal Navidad 2025</v>
      </c>
      <c r="C17453" s="3" t="str">
        <f>HYPERLINK("https://otsuka-europe-crm.veevavault.com/ui/#object/sent_email__v/VBL000000011900", "SE-001397735")</f>
        <v>SE-001397735</v>
      </c>
      <c r="D17453" s="1" t="s">
        <v>0</v>
      </c>
      <c r="E17453" s="2">
        <v>0</v>
      </c>
      <c r="F17453" s="2">
        <v>0</v>
      </c>
      <c r="G17453" s="2">
        <v>0</v>
      </c>
      <c r="H17453" s="1" t="s">
        <v>0</v>
      </c>
      <c r="I17453" s="2">
        <v>0</v>
      </c>
      <c r="J17453" s="1">
        <v>46009.749606481484</v>
      </c>
    </row>
    <row r="17454" spans="1:10" x14ac:dyDescent="0.2">
      <c r="A17454" s="4" t="s">
        <v>1</v>
      </c>
      <c r="B17454" s="3" t="str">
        <f>HYPERLINK("https://otsuka-europe-crm.veevavault.com/ui/#object/approved_document__v/V5O00000000D106", "Postal Navidad 2025")</f>
        <v>Postal Navidad 2025</v>
      </c>
      <c r="C17454" s="3" t="str">
        <f>HYPERLINK("https://otsuka-europe-crm.veevavault.com/ui/#object/sent_email__v/VBL000000011901", "SE-001397736")</f>
        <v>SE-001397736</v>
      </c>
      <c r="D17454" s="1">
        <v>46010.656319444446</v>
      </c>
      <c r="E17454" s="2">
        <v>1</v>
      </c>
      <c r="F17454" s="2">
        <v>1</v>
      </c>
      <c r="G17454" s="2">
        <v>0</v>
      </c>
      <c r="H17454" s="1" t="s">
        <v>0</v>
      </c>
      <c r="I17454" s="2">
        <v>0</v>
      </c>
      <c r="J17454" s="1">
        <v>46009.749641203707</v>
      </c>
    </row>
    <row r="17455" spans="1:10" x14ac:dyDescent="0.2">
      <c r="A17455" s="4" t="s">
        <v>1</v>
      </c>
      <c r="B17455" s="3" t="str">
        <f>HYPERLINK("https://otsuka-europe-crm.veevavault.com/ui/#object/approved_document__v/V5O00000000D106", "Postal Navidad 2025")</f>
        <v>Postal Navidad 2025</v>
      </c>
      <c r="C17455" s="3" t="str">
        <f>HYPERLINK("https://otsuka-europe-crm.veevavault.com/ui/#object/sent_email__v/VBL000000011902", "SE-001397737")</f>
        <v>SE-001397737</v>
      </c>
      <c r="D17455" s="1">
        <v>46012.482465277775</v>
      </c>
      <c r="E17455" s="2">
        <v>1</v>
      </c>
      <c r="F17455" s="2">
        <v>1</v>
      </c>
      <c r="G17455" s="2">
        <v>0</v>
      </c>
      <c r="H17455" s="1" t="s">
        <v>0</v>
      </c>
      <c r="I17455" s="2">
        <v>0</v>
      </c>
      <c r="J17455" s="1">
        <v>46009.749675925923</v>
      </c>
    </row>
    <row r="17456" spans="1:10" x14ac:dyDescent="0.2">
      <c r="A17456" s="4" t="s">
        <v>1</v>
      </c>
      <c r="B17456" s="3" t="str">
        <f>HYPERLINK("https://otsuka-europe-crm.veevavault.com/ui/#object/approved_document__v/V5O00000000D106", "Postal Navidad 2025")</f>
        <v>Postal Navidad 2025</v>
      </c>
      <c r="C17456" s="3" t="str">
        <f>HYPERLINK("https://otsuka-europe-crm.veevavault.com/ui/#object/sent_email__v/VBL000000011903", "SE-001397738")</f>
        <v>SE-001397738</v>
      </c>
      <c r="D17456" s="1">
        <v>46009.76866898148</v>
      </c>
      <c r="E17456" s="2">
        <v>1</v>
      </c>
      <c r="F17456" s="2">
        <v>2</v>
      </c>
      <c r="G17456" s="2">
        <v>0</v>
      </c>
      <c r="H17456" s="1" t="s">
        <v>0</v>
      </c>
      <c r="I17456" s="2">
        <v>0</v>
      </c>
      <c r="J17456" s="1">
        <v>46009.749722222223</v>
      </c>
    </row>
    <row r="17457" spans="1:10" x14ac:dyDescent="0.2">
      <c r="A17457" s="4" t="s">
        <v>1</v>
      </c>
      <c r="B17457" s="3" t="str">
        <f>HYPERLINK("https://otsuka-europe-crm.veevavault.com/ui/#object/approved_document__v/V5O00000000D106", "Postal Navidad 2025")</f>
        <v>Postal Navidad 2025</v>
      </c>
      <c r="C17457" s="3" t="str">
        <f>HYPERLINK("https://otsuka-europe-crm.veevavault.com/ui/#object/sent_email__v/VBL000000011904", "SE-001397739")</f>
        <v>SE-001397739</v>
      </c>
      <c r="D17457" s="1">
        <v>46009.831759259258</v>
      </c>
      <c r="E17457" s="2">
        <v>1</v>
      </c>
      <c r="F17457" s="2">
        <v>1</v>
      </c>
      <c r="G17457" s="2">
        <v>0</v>
      </c>
      <c r="H17457" s="1" t="s">
        <v>0</v>
      </c>
      <c r="I17457" s="2">
        <v>0</v>
      </c>
      <c r="J17457" s="1">
        <v>46009.749756944446</v>
      </c>
    </row>
    <row r="17458" spans="1:10" x14ac:dyDescent="0.2">
      <c r="A17458" s="4" t="s">
        <v>1</v>
      </c>
      <c r="B17458" s="3" t="str">
        <f>HYPERLINK("https://otsuka-europe-crm.veevavault.com/ui/#object/approved_document__v/V5O00000000D106", "Postal Navidad 2025")</f>
        <v>Postal Navidad 2025</v>
      </c>
      <c r="C17458" s="3" t="str">
        <f>HYPERLINK("https://otsuka-europe-crm.veevavault.com/ui/#object/sent_email__v/VBL000000011905", "SE-001397740")</f>
        <v>SE-001397740</v>
      </c>
      <c r="D17458" s="1">
        <v>46009.750069444446</v>
      </c>
      <c r="E17458" s="2">
        <v>1</v>
      </c>
      <c r="F17458" s="2">
        <v>2</v>
      </c>
      <c r="G17458" s="2">
        <v>0</v>
      </c>
      <c r="H17458" s="1" t="s">
        <v>0</v>
      </c>
      <c r="I17458" s="2">
        <v>0</v>
      </c>
      <c r="J17458" s="1">
        <v>46009.749791666669</v>
      </c>
    </row>
    <row r="17459" spans="1:10" x14ac:dyDescent="0.2">
      <c r="A17459" s="4" t="s">
        <v>1</v>
      </c>
      <c r="B17459" s="3" t="str">
        <f>HYPERLINK("https://otsuka-europe-crm.veevavault.com/ui/#object/approved_document__v/V5O00000000D106", "Postal Navidad 2025")</f>
        <v>Postal Navidad 2025</v>
      </c>
      <c r="C17459" s="3" t="str">
        <f>HYPERLINK("https://otsuka-europe-crm.veevavault.com/ui/#object/sent_email__v/VBL000000011906", "SE-001397741")</f>
        <v>SE-001397741</v>
      </c>
      <c r="D17459" s="1">
        <v>46009.954039351855</v>
      </c>
      <c r="E17459" s="2">
        <v>1</v>
      </c>
      <c r="F17459" s="2">
        <v>1</v>
      </c>
      <c r="G17459" s="2">
        <v>0</v>
      </c>
      <c r="H17459" s="1" t="s">
        <v>0</v>
      </c>
      <c r="I17459" s="2">
        <v>0</v>
      </c>
      <c r="J17459" s="1">
        <v>46009.749826388892</v>
      </c>
    </row>
    <row r="17460" spans="1:10" x14ac:dyDescent="0.2">
      <c r="A17460" s="4" t="s">
        <v>1</v>
      </c>
      <c r="B17460" s="3" t="str">
        <f>HYPERLINK("https://otsuka-europe-crm.veevavault.com/ui/#object/approved_document__v/V5O00000000D106", "Postal Navidad 2025")</f>
        <v>Postal Navidad 2025</v>
      </c>
      <c r="C17460" s="3" t="str">
        <f>HYPERLINK("https://otsuka-europe-crm.veevavault.com/ui/#object/sent_email__v/VBL000000011907", "SE-001397742")</f>
        <v>SE-001397742</v>
      </c>
      <c r="D17460" s="1">
        <v>46010.976851851854</v>
      </c>
      <c r="E17460" s="2">
        <v>1</v>
      </c>
      <c r="F17460" s="2">
        <v>1</v>
      </c>
      <c r="G17460" s="2">
        <v>0</v>
      </c>
      <c r="H17460" s="1" t="s">
        <v>0</v>
      </c>
      <c r="I17460" s="2">
        <v>0</v>
      </c>
      <c r="J17460" s="1">
        <v>46009.749861111108</v>
      </c>
    </row>
    <row r="17461" spans="1:10" x14ac:dyDescent="0.2">
      <c r="A17461" s="4" t="s">
        <v>1</v>
      </c>
      <c r="B17461" s="3" t="str">
        <f>HYPERLINK("https://otsuka-europe-crm.veevavault.com/ui/#object/approved_document__v/V5O00000000D106", "Postal Navidad 2025")</f>
        <v>Postal Navidad 2025</v>
      </c>
      <c r="C17461" s="3" t="str">
        <f>HYPERLINK("https://otsuka-europe-crm.veevavault.com/ui/#object/sent_email__v/VBL000000011908", "SE-001397743")</f>
        <v>SE-001397743</v>
      </c>
      <c r="D17461" s="1">
        <v>46009.926504629628</v>
      </c>
      <c r="E17461" s="2">
        <v>1</v>
      </c>
      <c r="F17461" s="2">
        <v>3</v>
      </c>
      <c r="G17461" s="2">
        <v>0</v>
      </c>
      <c r="H17461" s="1" t="s">
        <v>0</v>
      </c>
      <c r="I17461" s="2">
        <v>0</v>
      </c>
      <c r="J17461" s="1">
        <v>46009.749907407408</v>
      </c>
    </row>
    <row r="17462" spans="1:10" x14ac:dyDescent="0.2">
      <c r="A17462" s="4" t="s">
        <v>1</v>
      </c>
      <c r="B17462" s="3" t="str">
        <f>HYPERLINK("https://otsuka-europe-crm.veevavault.com/ui/#object/approved_document__v/V5O00000000D106", "Postal Navidad 2025")</f>
        <v>Postal Navidad 2025</v>
      </c>
      <c r="C17462" s="3" t="str">
        <f>HYPERLINK("https://otsuka-europe-crm.veevavault.com/ui/#object/sent_email__v/VBL000000011909", "SE-001397744")</f>
        <v>SE-001397744</v>
      </c>
      <c r="D17462" s="1" t="s">
        <v>0</v>
      </c>
      <c r="E17462" s="2">
        <v>0</v>
      </c>
      <c r="F17462" s="2">
        <v>0</v>
      </c>
      <c r="G17462" s="2">
        <v>0</v>
      </c>
      <c r="H17462" s="1" t="s">
        <v>0</v>
      </c>
      <c r="I17462" s="2">
        <v>0</v>
      </c>
      <c r="J17462" s="1">
        <v>46009.749942129631</v>
      </c>
    </row>
    <row r="17463" spans="1:10" x14ac:dyDescent="0.2">
      <c r="A17463" s="4" t="s">
        <v>1</v>
      </c>
      <c r="B17463" s="3" t="str">
        <f>HYPERLINK("https://otsuka-europe-crm.veevavault.com/ui/#object/approved_document__v/V5O00000000D106", "Postal Navidad 2025")</f>
        <v>Postal Navidad 2025</v>
      </c>
      <c r="C17463" s="3" t="str">
        <f>HYPERLINK("https://otsuka-europe-crm.veevavault.com/ui/#object/sent_email__v/VBL000000011910", "SE-001397745")</f>
        <v>SE-001397745</v>
      </c>
      <c r="D17463" s="1">
        <v>46009.926493055558</v>
      </c>
      <c r="E17463" s="2">
        <v>1</v>
      </c>
      <c r="F17463" s="2">
        <v>1</v>
      </c>
      <c r="G17463" s="2">
        <v>0</v>
      </c>
      <c r="H17463" s="1" t="s">
        <v>0</v>
      </c>
      <c r="I17463" s="2">
        <v>0</v>
      </c>
      <c r="J17463" s="1">
        <v>46009.749988425923</v>
      </c>
    </row>
    <row r="17464" spans="1:10" x14ac:dyDescent="0.2">
      <c r="A17464" s="4" t="s">
        <v>1</v>
      </c>
      <c r="B17464" s="3" t="str">
        <f>HYPERLINK("https://otsuka-europe-crm.veevavault.com/ui/#object/approved_document__v/V5O00000000D106", "Postal Navidad 2025")</f>
        <v>Postal Navidad 2025</v>
      </c>
      <c r="C17464" s="3" t="str">
        <f>HYPERLINK("https://otsuka-europe-crm.veevavault.com/ui/#object/sent_email__v/VBL000000011911", "SE-001397746")</f>
        <v>SE-001397746</v>
      </c>
      <c r="D17464" s="1">
        <v>46009.770069444443</v>
      </c>
      <c r="E17464" s="2">
        <v>1</v>
      </c>
      <c r="F17464" s="2">
        <v>3</v>
      </c>
      <c r="G17464" s="2">
        <v>0</v>
      </c>
      <c r="H17464" s="1" t="s">
        <v>0</v>
      </c>
      <c r="I17464" s="2">
        <v>0</v>
      </c>
      <c r="J17464" s="1">
        <v>46009.750023148146</v>
      </c>
    </row>
    <row r="17465" spans="1:10" x14ac:dyDescent="0.2">
      <c r="A17465" s="4" t="s">
        <v>1</v>
      </c>
      <c r="B17465" s="3" t="str">
        <f>HYPERLINK("https://otsuka-europe-crm.veevavault.com/ui/#object/approved_document__v/V5O00000000D106", "Postal Navidad 2025")</f>
        <v>Postal Navidad 2025</v>
      </c>
      <c r="C17465" s="3" t="str">
        <f>HYPERLINK("https://otsuka-europe-crm.veevavault.com/ui/#object/sent_email__v/VBL000000011912", "SE-001397747")</f>
        <v>SE-001397747</v>
      </c>
      <c r="D17465" s="1">
        <v>46040.93472222222</v>
      </c>
      <c r="E17465" s="2">
        <v>1</v>
      </c>
      <c r="F17465" s="2">
        <v>4</v>
      </c>
      <c r="G17465" s="2">
        <v>0</v>
      </c>
      <c r="H17465" s="1" t="s">
        <v>0</v>
      </c>
      <c r="I17465" s="2">
        <v>0</v>
      </c>
      <c r="J17465" s="1">
        <v>46009.750069444446</v>
      </c>
    </row>
    <row r="17466" spans="1:10" x14ac:dyDescent="0.2">
      <c r="A17466" s="4" t="s">
        <v>1</v>
      </c>
      <c r="B17466" s="3" t="str">
        <f>HYPERLINK("https://otsuka-europe-crm.veevavault.com/ui/#object/approved_document__v/V5O00000000D106", "Postal Navidad 2025")</f>
        <v>Postal Navidad 2025</v>
      </c>
      <c r="C17466" s="3" t="str">
        <f>HYPERLINK("https://otsuka-europe-crm.veevavault.com/ui/#object/sent_email__v/VBL000000011913", "SE-001397748")</f>
        <v>SE-001397748</v>
      </c>
      <c r="D17466" s="1">
        <v>46030.446909722225</v>
      </c>
      <c r="E17466" s="2">
        <v>1</v>
      </c>
      <c r="F17466" s="2">
        <v>1</v>
      </c>
      <c r="G17466" s="2">
        <v>0</v>
      </c>
      <c r="H17466" s="1" t="s">
        <v>0</v>
      </c>
      <c r="I17466" s="2">
        <v>0</v>
      </c>
      <c r="J17466" s="1">
        <v>46009.750104166669</v>
      </c>
    </row>
    <row r="17467" spans="1:10" x14ac:dyDescent="0.2">
      <c r="A17467" s="4" t="s">
        <v>1</v>
      </c>
      <c r="B17467" s="3" t="str">
        <f>HYPERLINK("https://otsuka-europe-crm.veevavault.com/ui/#object/approved_document__v/V5O00000000D106", "Postal Navidad 2025")</f>
        <v>Postal Navidad 2025</v>
      </c>
      <c r="C17467" s="3" t="str">
        <f>HYPERLINK("https://otsuka-europe-crm.veevavault.com/ui/#object/sent_email__v/VBL000000011914", "SE-001397749")</f>
        <v>SE-001397749</v>
      </c>
      <c r="D17467" s="1">
        <v>46015.659641203703</v>
      </c>
      <c r="E17467" s="2">
        <v>1</v>
      </c>
      <c r="F17467" s="2">
        <v>2</v>
      </c>
      <c r="G17467" s="2">
        <v>0</v>
      </c>
      <c r="H17467" s="1" t="s">
        <v>0</v>
      </c>
      <c r="I17467" s="2">
        <v>0</v>
      </c>
      <c r="J17467" s="1">
        <v>46009.750138888892</v>
      </c>
    </row>
    <row r="17468" spans="1:10" x14ac:dyDescent="0.2">
      <c r="A17468" s="4" t="s">
        <v>1</v>
      </c>
      <c r="B17468" s="3" t="str">
        <f>HYPERLINK("https://otsuka-europe-crm.veevavault.com/ui/#object/approved_document__v/V5O00000000D106", "Postal Navidad 2025")</f>
        <v>Postal Navidad 2025</v>
      </c>
      <c r="C17468" s="3" t="str">
        <f>HYPERLINK("https://otsuka-europe-crm.veevavault.com/ui/#object/sent_email__v/VBL000000011915", "SE-001397750")</f>
        <v>SE-001397750</v>
      </c>
      <c r="D17468" s="1">
        <v>46029.153171296297</v>
      </c>
      <c r="E17468" s="2">
        <v>1</v>
      </c>
      <c r="F17468" s="2">
        <v>3</v>
      </c>
      <c r="G17468" s="2">
        <v>0</v>
      </c>
      <c r="H17468" s="1" t="s">
        <v>0</v>
      </c>
      <c r="I17468" s="2">
        <v>0</v>
      </c>
      <c r="J17468" s="1">
        <v>46009.750185185185</v>
      </c>
    </row>
    <row r="17469" spans="1:10" x14ac:dyDescent="0.2">
      <c r="A17469" s="4" t="s">
        <v>1</v>
      </c>
      <c r="B17469" s="3" t="str">
        <f>HYPERLINK("https://otsuka-europe-crm.veevavault.com/ui/#object/approved_document__v/V5O00000000D106", "Postal Navidad 2025")</f>
        <v>Postal Navidad 2025</v>
      </c>
      <c r="C17469" s="3" t="str">
        <f>HYPERLINK("https://otsuka-europe-crm.veevavault.com/ui/#object/sent_email__v/VBL000000011916", "SE-001397751")</f>
        <v>SE-001397751</v>
      </c>
      <c r="D17469" s="1">
        <v>46010.018703703703</v>
      </c>
      <c r="E17469" s="2">
        <v>1</v>
      </c>
      <c r="F17469" s="2">
        <v>2</v>
      </c>
      <c r="G17469" s="2">
        <v>0</v>
      </c>
      <c r="H17469" s="1" t="s">
        <v>0</v>
      </c>
      <c r="I17469" s="2">
        <v>0</v>
      </c>
      <c r="J17469" s="1">
        <v>46009.750219907408</v>
      </c>
    </row>
    <row r="17470" spans="1:10" x14ac:dyDescent="0.2">
      <c r="A17470" s="4" t="s">
        <v>1</v>
      </c>
      <c r="B17470" s="3" t="str">
        <f>HYPERLINK("https://otsuka-europe-crm.veevavault.com/ui/#object/approved_document__v/V5O00000000D106", "Postal Navidad 2025")</f>
        <v>Postal Navidad 2025</v>
      </c>
      <c r="C17470" s="3" t="str">
        <f>HYPERLINK("https://otsuka-europe-crm.veevavault.com/ui/#object/sent_email__v/VBL000000011917", "SE-001397752")</f>
        <v>SE-001397752</v>
      </c>
      <c r="D17470" s="1" t="s">
        <v>0</v>
      </c>
      <c r="E17470" s="2">
        <v>0</v>
      </c>
      <c r="F17470" s="2">
        <v>0</v>
      </c>
      <c r="G17470" s="2">
        <v>0</v>
      </c>
      <c r="H17470" s="1" t="s">
        <v>0</v>
      </c>
      <c r="I17470" s="2">
        <v>0</v>
      </c>
      <c r="J17470" s="1">
        <v>46009.750254629631</v>
      </c>
    </row>
    <row r="17471" spans="1:10" x14ac:dyDescent="0.2">
      <c r="A17471" s="4" t="s">
        <v>1</v>
      </c>
      <c r="B17471" s="3" t="str">
        <f>HYPERLINK("https://otsuka-europe-crm.veevavault.com/ui/#object/approved_document__v/V5O00000000D106", "Postal Navidad 2025")</f>
        <v>Postal Navidad 2025</v>
      </c>
      <c r="C17471" s="3" t="str">
        <f>HYPERLINK("https://otsuka-europe-crm.veevavault.com/ui/#object/sent_email__v/VBL000000011918", "SE-001397753")</f>
        <v>SE-001397753</v>
      </c>
      <c r="D17471" s="1">
        <v>46077.772604166668</v>
      </c>
      <c r="E17471" s="2">
        <v>1</v>
      </c>
      <c r="F17471" s="2">
        <v>2</v>
      </c>
      <c r="G17471" s="2">
        <v>0</v>
      </c>
      <c r="H17471" s="1" t="s">
        <v>0</v>
      </c>
      <c r="I17471" s="2">
        <v>0</v>
      </c>
      <c r="J17471" s="1">
        <v>46009.750300925924</v>
      </c>
    </row>
    <row r="17472" spans="1:10" x14ac:dyDescent="0.2">
      <c r="A17472" s="4" t="s">
        <v>1</v>
      </c>
      <c r="B17472" s="3" t="str">
        <f>HYPERLINK("https://otsuka-europe-crm.veevavault.com/ui/#object/approved_document__v/V5O00000000D106", "Postal Navidad 2025")</f>
        <v>Postal Navidad 2025</v>
      </c>
      <c r="C17472" s="3" t="str">
        <f>HYPERLINK("https://otsuka-europe-crm.veevavault.com/ui/#object/sent_email__v/VBL000000011919", "SE-001397754")</f>
        <v>SE-001397754</v>
      </c>
      <c r="D17472" s="1" t="s">
        <v>0</v>
      </c>
      <c r="E17472" s="2">
        <v>0</v>
      </c>
      <c r="F17472" s="2">
        <v>0</v>
      </c>
      <c r="G17472" s="2">
        <v>0</v>
      </c>
      <c r="H17472" s="1" t="s">
        <v>0</v>
      </c>
      <c r="I17472" s="2">
        <v>0</v>
      </c>
      <c r="J17472" s="1">
        <v>46009.750335648147</v>
      </c>
    </row>
    <row r="17473" spans="1:10" x14ac:dyDescent="0.2">
      <c r="A17473" s="4" t="s">
        <v>1</v>
      </c>
      <c r="B17473" s="3" t="str">
        <f>HYPERLINK("https://otsuka-europe-crm.veevavault.com/ui/#object/approved_document__v/V5O00000000D106", "Postal Navidad 2025")</f>
        <v>Postal Navidad 2025</v>
      </c>
      <c r="C17473" s="3" t="str">
        <f>HYPERLINK("https://otsuka-europe-crm.veevavault.com/ui/#object/sent_email__v/VBL000000011920", "SE-001397755")</f>
        <v>SE-001397755</v>
      </c>
      <c r="D17473" s="1">
        <v>46009.762766203705</v>
      </c>
      <c r="E17473" s="2">
        <v>1</v>
      </c>
      <c r="F17473" s="2">
        <v>2</v>
      </c>
      <c r="G17473" s="2">
        <v>1</v>
      </c>
      <c r="H17473" s="1">
        <v>46009.76290509259</v>
      </c>
      <c r="I17473" s="2">
        <v>1</v>
      </c>
      <c r="J17473" s="1">
        <v>46009.75037037037</v>
      </c>
    </row>
    <row r="17474" spans="1:10" x14ac:dyDescent="0.2">
      <c r="A17474" s="4" t="s">
        <v>1</v>
      </c>
      <c r="B17474" s="3" t="str">
        <f>HYPERLINK("https://otsuka-europe-crm.veevavault.com/ui/#object/approved_document__v/V5O00000000D106", "Postal Navidad 2025")</f>
        <v>Postal Navidad 2025</v>
      </c>
      <c r="C17474" s="3" t="str">
        <f>HYPERLINK("https://otsuka-europe-crm.veevavault.com/ui/#object/sent_email__v/VBL000000011921", "SE-001397756")</f>
        <v>SE-001397756</v>
      </c>
      <c r="D17474" s="1" t="s">
        <v>0</v>
      </c>
      <c r="E17474" s="2">
        <v>0</v>
      </c>
      <c r="F17474" s="2">
        <v>0</v>
      </c>
      <c r="G17474" s="2">
        <v>0</v>
      </c>
      <c r="H17474" s="1" t="s">
        <v>0</v>
      </c>
      <c r="I17474" s="2">
        <v>0</v>
      </c>
      <c r="J17474" s="1">
        <v>46009.750405092593</v>
      </c>
    </row>
    <row r="17475" spans="1:10" x14ac:dyDescent="0.2">
      <c r="A17475" s="4" t="s">
        <v>1</v>
      </c>
      <c r="B17475" s="3" t="str">
        <f>HYPERLINK("https://otsuka-europe-crm.veevavault.com/ui/#object/approved_document__v/V5O00000000D106", "Postal Navidad 2025")</f>
        <v>Postal Navidad 2025</v>
      </c>
      <c r="C17475" s="3" t="str">
        <f>HYPERLINK("https://otsuka-europe-crm.veevavault.com/ui/#object/sent_email__v/VBL000000011922", "SE-001397757")</f>
        <v>SE-001397757</v>
      </c>
      <c r="D17475" s="1">
        <v>46009.751030092593</v>
      </c>
      <c r="E17475" s="2">
        <v>1</v>
      </c>
      <c r="F17475" s="2">
        <v>1</v>
      </c>
      <c r="G17475" s="2">
        <v>0</v>
      </c>
      <c r="H17475" s="1" t="s">
        <v>0</v>
      </c>
      <c r="I17475" s="2">
        <v>0</v>
      </c>
      <c r="J17475" s="1">
        <v>46009.750439814816</v>
      </c>
    </row>
    <row r="17476" spans="1:10" x14ac:dyDescent="0.2">
      <c r="A17476" s="4" t="s">
        <v>1</v>
      </c>
      <c r="B17476" s="3" t="str">
        <f>HYPERLINK("https://otsuka-europe-crm.veevavault.com/ui/#object/approved_document__v/V5O00000000D106", "Postal Navidad 2025")</f>
        <v>Postal Navidad 2025</v>
      </c>
      <c r="C17476" s="3" t="str">
        <f>HYPERLINK("https://otsuka-europe-crm.veevavault.com/ui/#object/sent_email__v/VBL000000011923", "SE-001397758")</f>
        <v>SE-001397758</v>
      </c>
      <c r="D17476" s="1">
        <v>46010.376157407409</v>
      </c>
      <c r="E17476" s="2">
        <v>1</v>
      </c>
      <c r="F17476" s="2">
        <v>4</v>
      </c>
      <c r="G17476" s="2">
        <v>0</v>
      </c>
      <c r="H17476" s="1" t="s">
        <v>0</v>
      </c>
      <c r="I17476" s="2">
        <v>0</v>
      </c>
      <c r="J17476" s="1">
        <v>46009.750474537039</v>
      </c>
    </row>
    <row r="17477" spans="1:10" x14ac:dyDescent="0.2">
      <c r="A17477" s="4" t="s">
        <v>1</v>
      </c>
      <c r="B17477" s="3" t="str">
        <f>HYPERLINK("https://otsuka-europe-crm.veevavault.com/ui/#object/approved_document__v/V5O00000000D106", "Postal Navidad 2025")</f>
        <v>Postal Navidad 2025</v>
      </c>
      <c r="C17477" s="3" t="str">
        <f>HYPERLINK("https://otsuka-europe-crm.veevavault.com/ui/#object/sent_email__v/VBL000000011924", "SE-001397759")</f>
        <v>SE-001397759</v>
      </c>
      <c r="D17477" s="1" t="s">
        <v>0</v>
      </c>
      <c r="E17477" s="2">
        <v>0</v>
      </c>
      <c r="F17477" s="2">
        <v>0</v>
      </c>
      <c r="G17477" s="2">
        <v>0</v>
      </c>
      <c r="H17477" s="1" t="s">
        <v>0</v>
      </c>
      <c r="I17477" s="2">
        <v>0</v>
      </c>
      <c r="J17477" s="1">
        <v>46009.750509259262</v>
      </c>
    </row>
    <row r="17478" spans="1:10" x14ac:dyDescent="0.2">
      <c r="A17478" s="4" t="s">
        <v>1</v>
      </c>
      <c r="B17478" s="3" t="str">
        <f>HYPERLINK("https://otsuka-europe-crm.veevavault.com/ui/#object/approved_document__v/V5O00000000D106", "Postal Navidad 2025")</f>
        <v>Postal Navidad 2025</v>
      </c>
      <c r="C17478" s="3" t="str">
        <f>HYPERLINK("https://otsuka-europe-crm.veevavault.com/ui/#object/sent_email__v/VBL000000011925", "SE-001397760")</f>
        <v>SE-001397760</v>
      </c>
      <c r="D17478" s="1">
        <v>46009.789050925923</v>
      </c>
      <c r="E17478" s="2">
        <v>1</v>
      </c>
      <c r="F17478" s="2">
        <v>1</v>
      </c>
      <c r="G17478" s="2">
        <v>0</v>
      </c>
      <c r="H17478" s="1" t="s">
        <v>0</v>
      </c>
      <c r="I17478" s="2">
        <v>0</v>
      </c>
      <c r="J17478" s="1">
        <v>46009.750555555554</v>
      </c>
    </row>
    <row r="17479" spans="1:10" x14ac:dyDescent="0.2">
      <c r="A17479" s="4" t="s">
        <v>1</v>
      </c>
      <c r="B17479" s="3" t="str">
        <f>HYPERLINK("https://otsuka-europe-crm.veevavault.com/ui/#object/approved_document__v/V5O00000000D106", "Postal Navidad 2025")</f>
        <v>Postal Navidad 2025</v>
      </c>
      <c r="C17479" s="3" t="str">
        <f>HYPERLINK("https://otsuka-europe-crm.veevavault.com/ui/#object/sent_email__v/VBL000000011926", "SE-001397761")</f>
        <v>SE-001397761</v>
      </c>
      <c r="D17479" s="1">
        <v>46009.763692129629</v>
      </c>
      <c r="E17479" s="2">
        <v>1</v>
      </c>
      <c r="F17479" s="2">
        <v>1</v>
      </c>
      <c r="G17479" s="2">
        <v>0</v>
      </c>
      <c r="H17479" s="1" t="s">
        <v>0</v>
      </c>
      <c r="I17479" s="2">
        <v>0</v>
      </c>
      <c r="J17479" s="1">
        <v>46009.750590277778</v>
      </c>
    </row>
    <row r="17480" spans="1:10" x14ac:dyDescent="0.2">
      <c r="A17480" s="4" t="s">
        <v>1</v>
      </c>
      <c r="B17480" s="3" t="str">
        <f>HYPERLINK("https://otsuka-europe-crm.veevavault.com/ui/#object/approved_document__v/V5O00000000D106", "Postal Navidad 2025")</f>
        <v>Postal Navidad 2025</v>
      </c>
      <c r="C17480" s="3" t="str">
        <f>HYPERLINK("https://otsuka-europe-crm.veevavault.com/ui/#object/sent_email__v/VBL000000011927", "SE-001397762")</f>
        <v>SE-001397762</v>
      </c>
      <c r="D17480" s="1">
        <v>46009.945208333331</v>
      </c>
      <c r="E17480" s="2">
        <v>1</v>
      </c>
      <c r="F17480" s="2">
        <v>2</v>
      </c>
      <c r="G17480" s="2">
        <v>0</v>
      </c>
      <c r="H17480" s="1" t="s">
        <v>0</v>
      </c>
      <c r="I17480" s="2">
        <v>0</v>
      </c>
      <c r="J17480" s="1">
        <v>46009.750636574077</v>
      </c>
    </row>
    <row r="17481" spans="1:10" x14ac:dyDescent="0.2">
      <c r="A17481" s="4" t="s">
        <v>1</v>
      </c>
      <c r="B17481" s="3" t="str">
        <f>HYPERLINK("https://otsuka-europe-crm.veevavault.com/ui/#object/approved_document__v/V5O00000000D106", "Postal Navidad 2025")</f>
        <v>Postal Navidad 2025</v>
      </c>
      <c r="C17481" s="3" t="str">
        <f>HYPERLINK("https://otsuka-europe-crm.veevavault.com/ui/#object/sent_email__v/VBL000000011928", "SE-001397763")</f>
        <v>SE-001397763</v>
      </c>
      <c r="D17481" s="1">
        <v>46014.981087962966</v>
      </c>
      <c r="E17481" s="2">
        <v>1</v>
      </c>
      <c r="F17481" s="2">
        <v>1</v>
      </c>
      <c r="G17481" s="2">
        <v>0</v>
      </c>
      <c r="H17481" s="1" t="s">
        <v>0</v>
      </c>
      <c r="I17481" s="2">
        <v>0</v>
      </c>
      <c r="J17481" s="1">
        <v>46009.75068287037</v>
      </c>
    </row>
    <row r="17482" spans="1:10" x14ac:dyDescent="0.2">
      <c r="A17482" s="4" t="s">
        <v>1</v>
      </c>
      <c r="B17482" s="3" t="str">
        <f>HYPERLINK("https://otsuka-europe-crm.veevavault.com/ui/#object/approved_document__v/V5O00000000D106", "Postal Navidad 2025")</f>
        <v>Postal Navidad 2025</v>
      </c>
      <c r="C17482" s="3" t="str">
        <f>HYPERLINK("https://otsuka-europe-crm.veevavault.com/ui/#object/sent_email__v/VBL000000011929", "SE-001397764")</f>
        <v>SE-001397764</v>
      </c>
      <c r="D17482" s="1" t="s">
        <v>0</v>
      </c>
      <c r="E17482" s="2">
        <v>0</v>
      </c>
      <c r="F17482" s="2">
        <v>0</v>
      </c>
      <c r="G17482" s="2">
        <v>0</v>
      </c>
      <c r="H17482" s="1" t="s">
        <v>0</v>
      </c>
      <c r="I17482" s="2">
        <v>0</v>
      </c>
      <c r="J17482" s="1">
        <v>46009.750717592593</v>
      </c>
    </row>
    <row r="17483" spans="1:10" x14ac:dyDescent="0.2">
      <c r="A17483" s="4" t="s">
        <v>1</v>
      </c>
      <c r="B17483" s="3" t="str">
        <f>HYPERLINK("https://otsuka-europe-crm.veevavault.com/ui/#object/approved_document__v/V5O00000000D106", "Postal Navidad 2025")</f>
        <v>Postal Navidad 2025</v>
      </c>
      <c r="C17483" s="3" t="str">
        <f>HYPERLINK("https://otsuka-europe-crm.veevavault.com/ui/#object/sent_email__v/VBL000000011930", "SE-001397765")</f>
        <v>SE-001397765</v>
      </c>
      <c r="D17483" s="1">
        <v>46010.791006944448</v>
      </c>
      <c r="E17483" s="2">
        <v>1</v>
      </c>
      <c r="F17483" s="2">
        <v>2</v>
      </c>
      <c r="G17483" s="2">
        <v>0</v>
      </c>
      <c r="H17483" s="1" t="s">
        <v>0</v>
      </c>
      <c r="I17483" s="2">
        <v>0</v>
      </c>
      <c r="J17483" s="1">
        <v>46009.750752314816</v>
      </c>
    </row>
    <row r="17484" spans="1:10" x14ac:dyDescent="0.2">
      <c r="A17484" s="4" t="s">
        <v>1</v>
      </c>
      <c r="B17484" s="3" t="str">
        <f>HYPERLINK("https://otsuka-europe-crm.veevavault.com/ui/#object/approved_document__v/V5O00000000D106", "Postal Navidad 2025")</f>
        <v>Postal Navidad 2025</v>
      </c>
      <c r="C17484" s="3" t="str">
        <f>HYPERLINK("https://otsuka-europe-crm.veevavault.com/ui/#object/sent_email__v/VBL000000011931", "SE-001397766")</f>
        <v>SE-001397766</v>
      </c>
      <c r="D17484" s="1">
        <v>46010.288946759261</v>
      </c>
      <c r="E17484" s="2">
        <v>1</v>
      </c>
      <c r="F17484" s="2">
        <v>1</v>
      </c>
      <c r="G17484" s="2">
        <v>0</v>
      </c>
      <c r="H17484" s="1" t="s">
        <v>0</v>
      </c>
      <c r="I17484" s="2">
        <v>0</v>
      </c>
      <c r="J17484" s="1">
        <v>46009.750810185185</v>
      </c>
    </row>
    <row r="17485" spans="1:10" x14ac:dyDescent="0.2">
      <c r="A17485" s="4" t="s">
        <v>1</v>
      </c>
      <c r="B17485" s="3" t="str">
        <f>HYPERLINK("https://otsuka-europe-crm.veevavault.com/ui/#object/approved_document__v/V5O00000000D106", "Postal Navidad 2025")</f>
        <v>Postal Navidad 2025</v>
      </c>
      <c r="C17485" s="3" t="str">
        <f>HYPERLINK("https://otsuka-europe-crm.veevavault.com/ui/#object/sent_email__v/VBL000000011932", "SE-001397767")</f>
        <v>SE-001397767</v>
      </c>
      <c r="D17485" s="1">
        <v>46009.751493055555</v>
      </c>
      <c r="E17485" s="2">
        <v>1</v>
      </c>
      <c r="F17485" s="2">
        <v>2</v>
      </c>
      <c r="G17485" s="2">
        <v>0</v>
      </c>
      <c r="H17485" s="1" t="s">
        <v>0</v>
      </c>
      <c r="I17485" s="2">
        <v>0</v>
      </c>
      <c r="J17485" s="1">
        <v>46009.750833333332</v>
      </c>
    </row>
    <row r="17486" spans="1:10" x14ac:dyDescent="0.2">
      <c r="A17486" s="4" t="s">
        <v>1</v>
      </c>
      <c r="B17486" s="3" t="str">
        <f>HYPERLINK("https://otsuka-europe-crm.veevavault.com/ui/#object/approved_document__v/V5O00000000D106", "Postal Navidad 2025")</f>
        <v>Postal Navidad 2025</v>
      </c>
      <c r="C17486" s="3" t="str">
        <f>HYPERLINK("https://otsuka-europe-crm.veevavault.com/ui/#object/sent_email__v/VBL000000011933", "SE-001397768")</f>
        <v>SE-001397768</v>
      </c>
      <c r="D17486" s="1" t="s">
        <v>0</v>
      </c>
      <c r="E17486" s="2">
        <v>0</v>
      </c>
      <c r="F17486" s="2">
        <v>0</v>
      </c>
      <c r="G17486" s="2">
        <v>0</v>
      </c>
      <c r="H17486" s="1" t="s">
        <v>0</v>
      </c>
      <c r="I17486" s="2">
        <v>0</v>
      </c>
      <c r="J17486" s="1">
        <v>46009.750868055555</v>
      </c>
    </row>
    <row r="17487" spans="1:10" x14ac:dyDescent="0.2">
      <c r="A17487" s="4" t="s">
        <v>1</v>
      </c>
      <c r="B17487" s="3" t="str">
        <f>HYPERLINK("https://otsuka-europe-crm.veevavault.com/ui/#object/approved_document__v/V5O00000000D106", "Postal Navidad 2025")</f>
        <v>Postal Navidad 2025</v>
      </c>
      <c r="C17487" s="3" t="str">
        <f>HYPERLINK("https://otsuka-europe-crm.veevavault.com/ui/#object/sent_email__v/VBL000000011934", "SE-001397769")</f>
        <v>SE-001397769</v>
      </c>
      <c r="D17487" s="1">
        <v>46009.866064814814</v>
      </c>
      <c r="E17487" s="2">
        <v>1</v>
      </c>
      <c r="F17487" s="2">
        <v>2</v>
      </c>
      <c r="G17487" s="2">
        <v>0</v>
      </c>
      <c r="H17487" s="1" t="s">
        <v>0</v>
      </c>
      <c r="I17487" s="2">
        <v>0</v>
      </c>
      <c r="J17487" s="1">
        <v>46009.750914351855</v>
      </c>
    </row>
    <row r="17488" spans="1:10" x14ac:dyDescent="0.2">
      <c r="A17488" s="4" t="s">
        <v>1</v>
      </c>
      <c r="B17488" s="3" t="str">
        <f>HYPERLINK("https://otsuka-europe-crm.veevavault.com/ui/#object/approved_document__v/V5O00000000D106", "Postal Navidad 2025")</f>
        <v>Postal Navidad 2025</v>
      </c>
      <c r="C17488" s="3" t="str">
        <f>HYPERLINK("https://otsuka-europe-crm.veevavault.com/ui/#object/sent_email__v/VBL000000011935", "SE-001397770")</f>
        <v>SE-001397770</v>
      </c>
      <c r="D17488" s="1" t="s">
        <v>0</v>
      </c>
      <c r="E17488" s="2">
        <v>0</v>
      </c>
      <c r="F17488" s="2">
        <v>0</v>
      </c>
      <c r="G17488" s="2">
        <v>0</v>
      </c>
      <c r="H17488" s="1" t="s">
        <v>0</v>
      </c>
      <c r="I17488" s="2">
        <v>0</v>
      </c>
      <c r="J17488" s="1">
        <v>46009.750960648147</v>
      </c>
    </row>
    <row r="17489" spans="1:10" x14ac:dyDescent="0.2">
      <c r="A17489" s="4" t="s">
        <v>1</v>
      </c>
      <c r="B17489" s="3" t="str">
        <f>HYPERLINK("https://otsuka-europe-crm.veevavault.com/ui/#object/approved_document__v/V5O00000000D106", "Postal Navidad 2025")</f>
        <v>Postal Navidad 2025</v>
      </c>
      <c r="C17489" s="3" t="str">
        <f>HYPERLINK("https://otsuka-europe-crm.veevavault.com/ui/#object/sent_email__v/VBL000000011936", "SE-001397771")</f>
        <v>SE-001397771</v>
      </c>
      <c r="D17489" s="1" t="s">
        <v>0</v>
      </c>
      <c r="E17489" s="2">
        <v>0</v>
      </c>
      <c r="F17489" s="2">
        <v>0</v>
      </c>
      <c r="G17489" s="2">
        <v>0</v>
      </c>
      <c r="H17489" s="1" t="s">
        <v>0</v>
      </c>
      <c r="I17489" s="2">
        <v>0</v>
      </c>
      <c r="J17489" s="1">
        <v>46009.750983796293</v>
      </c>
    </row>
    <row r="17490" spans="1:10" x14ac:dyDescent="0.2">
      <c r="A17490" s="4" t="s">
        <v>1</v>
      </c>
      <c r="B17490" s="3" t="str">
        <f>HYPERLINK("https://otsuka-europe-crm.veevavault.com/ui/#object/approved_document__v/V5O00000000D106", "Postal Navidad 2025")</f>
        <v>Postal Navidad 2025</v>
      </c>
      <c r="C17490" s="3" t="str">
        <f>HYPERLINK("https://otsuka-europe-crm.veevavault.com/ui/#object/sent_email__v/VBL000000011937", "SE-001397772")</f>
        <v>SE-001397772</v>
      </c>
      <c r="D17490" s="1">
        <v>46041.272777777776</v>
      </c>
      <c r="E17490" s="2">
        <v>1</v>
      </c>
      <c r="F17490" s="2">
        <v>3</v>
      </c>
      <c r="G17490" s="2">
        <v>0</v>
      </c>
      <c r="H17490" s="1" t="s">
        <v>0</v>
      </c>
      <c r="I17490" s="2">
        <v>0</v>
      </c>
      <c r="J17490" s="1">
        <v>46009.751018518517</v>
      </c>
    </row>
    <row r="17491" spans="1:10" x14ac:dyDescent="0.2">
      <c r="A17491" s="4" t="s">
        <v>1</v>
      </c>
      <c r="B17491" s="3" t="str">
        <f>HYPERLINK("https://otsuka-europe-crm.veevavault.com/ui/#object/approved_document__v/V5O00000000D106", "Postal Navidad 2025")</f>
        <v>Postal Navidad 2025</v>
      </c>
      <c r="C17491" s="3" t="str">
        <f>HYPERLINK("https://otsuka-europe-crm.veevavault.com/ui/#object/sent_email__v/VBL000000011938", "SE-001397773")</f>
        <v>SE-001397773</v>
      </c>
      <c r="D17491" s="1">
        <v>46011.57476851852</v>
      </c>
      <c r="E17491" s="2">
        <v>1</v>
      </c>
      <c r="F17491" s="2">
        <v>2</v>
      </c>
      <c r="G17491" s="2">
        <v>0</v>
      </c>
      <c r="H17491" s="1" t="s">
        <v>0</v>
      </c>
      <c r="I17491" s="2">
        <v>0</v>
      </c>
      <c r="J17491" s="1">
        <v>46009.751076388886</v>
      </c>
    </row>
    <row r="17492" spans="1:10" x14ac:dyDescent="0.2">
      <c r="A17492" s="4" t="s">
        <v>1</v>
      </c>
      <c r="B17492" s="3" t="str">
        <f>HYPERLINK("https://otsuka-europe-crm.veevavault.com/ui/#object/approved_document__v/V5O00000000D106", "Postal Navidad 2025")</f>
        <v>Postal Navidad 2025</v>
      </c>
      <c r="C17492" s="3" t="str">
        <f>HYPERLINK("https://otsuka-europe-crm.veevavault.com/ui/#object/sent_email__v/VBL000000011939", "SE-001397774")</f>
        <v>SE-001397774</v>
      </c>
      <c r="D17492" s="1">
        <v>46009.798680555556</v>
      </c>
      <c r="E17492" s="2">
        <v>1</v>
      </c>
      <c r="F17492" s="2">
        <v>1</v>
      </c>
      <c r="G17492" s="2">
        <v>0</v>
      </c>
      <c r="H17492" s="1" t="s">
        <v>0</v>
      </c>
      <c r="I17492" s="2">
        <v>0</v>
      </c>
      <c r="J17492" s="1">
        <v>46009.751111111109</v>
      </c>
    </row>
    <row r="17493" spans="1:10" x14ac:dyDescent="0.2">
      <c r="A17493" s="4" t="s">
        <v>1</v>
      </c>
      <c r="B17493" s="3" t="str">
        <f>HYPERLINK("https://otsuka-europe-crm.veevavault.com/ui/#object/approved_document__v/V5O00000000D106", "Postal Navidad 2025")</f>
        <v>Postal Navidad 2025</v>
      </c>
      <c r="C17493" s="3" t="str">
        <f>HYPERLINK("https://otsuka-europe-crm.veevavault.com/ui/#object/sent_email__v/VBL000000011940", "SE-001397775")</f>
        <v>SE-001397775</v>
      </c>
      <c r="D17493" s="1" t="s">
        <v>0</v>
      </c>
      <c r="E17493" s="2">
        <v>0</v>
      </c>
      <c r="F17493" s="2">
        <v>0</v>
      </c>
      <c r="G17493" s="2">
        <v>0</v>
      </c>
      <c r="H17493" s="1" t="s">
        <v>0</v>
      </c>
      <c r="I17493" s="2">
        <v>0</v>
      </c>
      <c r="J17493" s="1">
        <v>46009.751145833332</v>
      </c>
    </row>
    <row r="17494" spans="1:10" x14ac:dyDescent="0.2">
      <c r="A17494" s="4" t="s">
        <v>1</v>
      </c>
      <c r="B17494" s="3" t="str">
        <f>HYPERLINK("https://otsuka-europe-crm.veevavault.com/ui/#object/approved_document__v/V5O00000000D106", "Postal Navidad 2025")</f>
        <v>Postal Navidad 2025</v>
      </c>
      <c r="C17494" s="3" t="str">
        <f>HYPERLINK("https://otsuka-europe-crm.veevavault.com/ui/#object/sent_email__v/VBL000000011941", "SE-001397776")</f>
        <v>SE-001397776</v>
      </c>
      <c r="D17494" s="1">
        <v>46010.733564814815</v>
      </c>
      <c r="E17494" s="2">
        <v>1</v>
      </c>
      <c r="F17494" s="2">
        <v>1</v>
      </c>
      <c r="G17494" s="2">
        <v>0</v>
      </c>
      <c r="H17494" s="1" t="s">
        <v>0</v>
      </c>
      <c r="I17494" s="2">
        <v>0</v>
      </c>
      <c r="J17494" s="1">
        <v>46009.751180555555</v>
      </c>
    </row>
    <row r="17495" spans="1:10" x14ac:dyDescent="0.2">
      <c r="A17495" s="4" t="s">
        <v>1</v>
      </c>
      <c r="B17495" s="3" t="str">
        <f>HYPERLINK("https://otsuka-europe-crm.veevavault.com/ui/#object/approved_document__v/V5O00000000D106", "Postal Navidad 2025")</f>
        <v>Postal Navidad 2025</v>
      </c>
      <c r="C17495" s="3" t="str">
        <f>HYPERLINK("https://otsuka-europe-crm.veevavault.com/ui/#object/sent_email__v/VBL000000011942", "SE-001397777")</f>
        <v>SE-001397777</v>
      </c>
      <c r="D17495" s="1">
        <v>46034.507928240739</v>
      </c>
      <c r="E17495" s="2">
        <v>1</v>
      </c>
      <c r="F17495" s="2">
        <v>2</v>
      </c>
      <c r="G17495" s="2">
        <v>0</v>
      </c>
      <c r="H17495" s="1" t="s">
        <v>0</v>
      </c>
      <c r="I17495" s="2">
        <v>0</v>
      </c>
      <c r="J17495" s="1">
        <v>46009.751215277778</v>
      </c>
    </row>
    <row r="17496" spans="1:10" x14ac:dyDescent="0.2">
      <c r="A17496" s="4" t="s">
        <v>1</v>
      </c>
      <c r="B17496" s="3" t="str">
        <f>HYPERLINK("https://otsuka-europe-crm.veevavault.com/ui/#object/approved_document__v/V5O00000000D106", "Postal Navidad 2025")</f>
        <v>Postal Navidad 2025</v>
      </c>
      <c r="C17496" s="3" t="str">
        <f>HYPERLINK("https://otsuka-europe-crm.veevavault.com/ui/#object/sent_email__v/VBL000000011943", "SE-001397778")</f>
        <v>SE-001397778</v>
      </c>
      <c r="D17496" s="1" t="s">
        <v>0</v>
      </c>
      <c r="E17496" s="2">
        <v>0</v>
      </c>
      <c r="F17496" s="2">
        <v>0</v>
      </c>
      <c r="G17496" s="2">
        <v>0</v>
      </c>
      <c r="H17496" s="1" t="s">
        <v>0</v>
      </c>
      <c r="I17496" s="2">
        <v>0</v>
      </c>
      <c r="J17496" s="1">
        <v>46009.751250000001</v>
      </c>
    </row>
    <row r="17497" spans="1:10" x14ac:dyDescent="0.2">
      <c r="A17497" s="4" t="s">
        <v>1</v>
      </c>
      <c r="B17497" s="3" t="str">
        <f>HYPERLINK("https://otsuka-europe-crm.veevavault.com/ui/#object/approved_document__v/V5O00000000D106", "Postal Navidad 2025")</f>
        <v>Postal Navidad 2025</v>
      </c>
      <c r="C17497" s="3" t="str">
        <f>HYPERLINK("https://otsuka-europe-crm.veevavault.com/ui/#object/sent_email__v/VBL000000011944", "SE-001397779")</f>
        <v>SE-001397779</v>
      </c>
      <c r="D17497" s="1">
        <v>46011.701504629629</v>
      </c>
      <c r="E17497" s="2">
        <v>1</v>
      </c>
      <c r="F17497" s="2">
        <v>2</v>
      </c>
      <c r="G17497" s="2">
        <v>0</v>
      </c>
      <c r="H17497" s="1" t="s">
        <v>0</v>
      </c>
      <c r="I17497" s="2">
        <v>0</v>
      </c>
      <c r="J17497" s="1">
        <v>46009.751296296294</v>
      </c>
    </row>
    <row r="17498" spans="1:10" x14ac:dyDescent="0.2">
      <c r="A17498" s="4" t="s">
        <v>1</v>
      </c>
      <c r="B17498" s="3" t="str">
        <f>HYPERLINK("https://otsuka-europe-crm.veevavault.com/ui/#object/approved_document__v/V5O00000000D106", "Postal Navidad 2025")</f>
        <v>Postal Navidad 2025</v>
      </c>
      <c r="C17498" s="3" t="str">
        <f>HYPERLINK("https://otsuka-europe-crm.veevavault.com/ui/#object/sent_email__v/VBL000000011945", "SE-001397780")</f>
        <v>SE-001397780</v>
      </c>
      <c r="D17498" s="1" t="s">
        <v>0</v>
      </c>
      <c r="E17498" s="2">
        <v>0</v>
      </c>
      <c r="F17498" s="2">
        <v>0</v>
      </c>
      <c r="G17498" s="2">
        <v>0</v>
      </c>
      <c r="H17498" s="1" t="s">
        <v>0</v>
      </c>
      <c r="I17498" s="2">
        <v>0</v>
      </c>
      <c r="J17498" s="1">
        <v>46009.751331018517</v>
      </c>
    </row>
    <row r="17499" spans="1:10" x14ac:dyDescent="0.2">
      <c r="A17499" s="4" t="s">
        <v>1</v>
      </c>
      <c r="B17499" s="3" t="str">
        <f>HYPERLINK("https://otsuka-europe-crm.veevavault.com/ui/#object/approved_document__v/V5O00000000D106", "Postal Navidad 2025")</f>
        <v>Postal Navidad 2025</v>
      </c>
      <c r="C17499" s="3" t="str">
        <f>HYPERLINK("https://otsuka-europe-crm.veevavault.com/ui/#object/sent_email__v/VBL000000011946", "SE-001397781")</f>
        <v>SE-001397781</v>
      </c>
      <c r="D17499" s="1" t="s">
        <v>0</v>
      </c>
      <c r="E17499" s="2">
        <v>0</v>
      </c>
      <c r="F17499" s="2">
        <v>0</v>
      </c>
      <c r="G17499" s="2">
        <v>0</v>
      </c>
      <c r="H17499" s="1" t="s">
        <v>0</v>
      </c>
      <c r="I17499" s="2">
        <v>0</v>
      </c>
      <c r="J17499" s="1">
        <v>46009.75136574074</v>
      </c>
    </row>
    <row r="17500" spans="1:10" x14ac:dyDescent="0.2">
      <c r="A17500" s="4" t="s">
        <v>1</v>
      </c>
      <c r="B17500" s="3" t="str">
        <f>HYPERLINK("https://otsuka-europe-crm.veevavault.com/ui/#object/approved_document__v/V5O00000000D106", "Postal Navidad 2025")</f>
        <v>Postal Navidad 2025</v>
      </c>
      <c r="C17500" s="3" t="str">
        <f>HYPERLINK("https://otsuka-europe-crm.veevavault.com/ui/#object/sent_email__v/VBL000000011947", "SE-001397782")</f>
        <v>SE-001397782</v>
      </c>
      <c r="D17500" s="1">
        <v>46013.921956018516</v>
      </c>
      <c r="E17500" s="2">
        <v>1</v>
      </c>
      <c r="F17500" s="2">
        <v>3</v>
      </c>
      <c r="G17500" s="2">
        <v>0</v>
      </c>
      <c r="H17500" s="1" t="s">
        <v>0</v>
      </c>
      <c r="I17500" s="2">
        <v>0</v>
      </c>
      <c r="J17500" s="1">
        <v>46009.751400462963</v>
      </c>
    </row>
    <row r="17501" spans="1:10" x14ac:dyDescent="0.2">
      <c r="A17501" s="4" t="s">
        <v>1</v>
      </c>
      <c r="B17501" s="3" t="str">
        <f>HYPERLINK("https://otsuka-europe-crm.veevavault.com/ui/#object/approved_document__v/V5O00000000D106", "Postal Navidad 2025")</f>
        <v>Postal Navidad 2025</v>
      </c>
      <c r="C17501" s="3" t="str">
        <f>HYPERLINK("https://otsuka-europe-crm.veevavault.com/ui/#object/sent_email__v/VBL000000011948", "SE-001397783")</f>
        <v>SE-001397783</v>
      </c>
      <c r="D17501" s="1">
        <v>46016.022939814815</v>
      </c>
      <c r="E17501" s="2">
        <v>1</v>
      </c>
      <c r="F17501" s="2">
        <v>2</v>
      </c>
      <c r="G17501" s="2">
        <v>0</v>
      </c>
      <c r="H17501" s="1" t="s">
        <v>0</v>
      </c>
      <c r="I17501" s="2">
        <v>0</v>
      </c>
      <c r="J17501" s="1">
        <v>46009.751435185186</v>
      </c>
    </row>
    <row r="17502" spans="1:10" x14ac:dyDescent="0.2">
      <c r="A17502" s="4" t="s">
        <v>1</v>
      </c>
      <c r="B17502" s="3" t="str">
        <f>HYPERLINK("https://otsuka-europe-crm.veevavault.com/ui/#object/approved_document__v/V5O00000000D106", "Postal Navidad 2025")</f>
        <v>Postal Navidad 2025</v>
      </c>
      <c r="C17502" s="3" t="str">
        <f>HYPERLINK("https://otsuka-europe-crm.veevavault.com/ui/#object/sent_email__v/VBL000000011949", "SE-001397784")</f>
        <v>SE-001397784</v>
      </c>
      <c r="D17502" s="1">
        <v>46037.762372685182</v>
      </c>
      <c r="E17502" s="2">
        <v>1</v>
      </c>
      <c r="F17502" s="2">
        <v>2</v>
      </c>
      <c r="G17502" s="2">
        <v>0</v>
      </c>
      <c r="H17502" s="1" t="s">
        <v>0</v>
      </c>
      <c r="I17502" s="2">
        <v>0</v>
      </c>
      <c r="J17502" s="1">
        <v>46009.751481481479</v>
      </c>
    </row>
    <row r="17503" spans="1:10" x14ac:dyDescent="0.2">
      <c r="A17503" s="4" t="s">
        <v>1</v>
      </c>
      <c r="B17503" s="3" t="str">
        <f>HYPERLINK("https://otsuka-europe-crm.veevavault.com/ui/#object/approved_document__v/V5O00000000D106", "Postal Navidad 2025")</f>
        <v>Postal Navidad 2025</v>
      </c>
      <c r="C17503" s="3" t="str">
        <f>HYPERLINK("https://otsuka-europe-crm.veevavault.com/ui/#object/sent_email__v/VBL000000011950", "SE-001397785")</f>
        <v>SE-001397785</v>
      </c>
      <c r="D17503" s="1">
        <v>46042.638252314813</v>
      </c>
      <c r="E17503" s="2">
        <v>1</v>
      </c>
      <c r="F17503" s="2">
        <v>2</v>
      </c>
      <c r="G17503" s="2">
        <v>0</v>
      </c>
      <c r="H17503" s="1" t="s">
        <v>0</v>
      </c>
      <c r="I17503" s="2">
        <v>0</v>
      </c>
      <c r="J17503" s="1">
        <v>46009.751527777778</v>
      </c>
    </row>
    <row r="17504" spans="1:10" x14ac:dyDescent="0.2">
      <c r="A17504" s="4" t="s">
        <v>1</v>
      </c>
      <c r="B17504" s="3" t="str">
        <f>HYPERLINK("https://otsuka-europe-crm.veevavault.com/ui/#object/approved_document__v/V5O00000000D106", "Postal Navidad 2025")</f>
        <v>Postal Navidad 2025</v>
      </c>
      <c r="C17504" s="3" t="str">
        <f>HYPERLINK("https://otsuka-europe-crm.veevavault.com/ui/#object/sent_email__v/VBL000000011951", "SE-001397786")</f>
        <v>SE-001397786</v>
      </c>
      <c r="D17504" s="1">
        <v>46009.836562500001</v>
      </c>
      <c r="E17504" s="2">
        <v>1</v>
      </c>
      <c r="F17504" s="2">
        <v>1</v>
      </c>
      <c r="G17504" s="2">
        <v>0</v>
      </c>
      <c r="H17504" s="1" t="s">
        <v>0</v>
      </c>
      <c r="I17504" s="2">
        <v>0</v>
      </c>
      <c r="J17504" s="1">
        <v>46009.751550925925</v>
      </c>
    </row>
    <row r="17505" spans="1:10" x14ac:dyDescent="0.2">
      <c r="A17505" s="4" t="s">
        <v>1</v>
      </c>
      <c r="B17505" s="3" t="str">
        <f>HYPERLINK("https://otsuka-europe-crm.veevavault.com/ui/#object/approved_document__v/V5O00000000D106", "Postal Navidad 2025")</f>
        <v>Postal Navidad 2025</v>
      </c>
      <c r="C17505" s="3" t="str">
        <f>HYPERLINK("https://otsuka-europe-crm.veevavault.com/ui/#object/sent_email__v/VBL000000011952", "SE-001397787")</f>
        <v>SE-001397787</v>
      </c>
      <c r="D17505" s="1" t="s">
        <v>0</v>
      </c>
      <c r="E17505" s="2">
        <v>0</v>
      </c>
      <c r="F17505" s="2">
        <v>0</v>
      </c>
      <c r="G17505" s="2">
        <v>0</v>
      </c>
      <c r="H17505" s="1" t="s">
        <v>0</v>
      </c>
      <c r="I17505" s="2">
        <v>0</v>
      </c>
      <c r="J17505" s="1">
        <v>46009.751585648148</v>
      </c>
    </row>
    <row r="17506" spans="1:10" x14ac:dyDescent="0.2">
      <c r="A17506" s="4" t="s">
        <v>1</v>
      </c>
      <c r="B17506" s="3" t="str">
        <f>HYPERLINK("https://otsuka-europe-crm.veevavault.com/ui/#object/approved_document__v/V5O00000000D106", "Postal Navidad 2025")</f>
        <v>Postal Navidad 2025</v>
      </c>
      <c r="C17506" s="3" t="str">
        <f>HYPERLINK("https://otsuka-europe-crm.veevavault.com/ui/#object/sent_email__v/VBL000000011953", "SE-001397788")</f>
        <v>SE-001397788</v>
      </c>
      <c r="D17506" s="1" t="s">
        <v>0</v>
      </c>
      <c r="E17506" s="2">
        <v>0</v>
      </c>
      <c r="F17506" s="2">
        <v>0</v>
      </c>
      <c r="G17506" s="2">
        <v>0</v>
      </c>
      <c r="H17506" s="1" t="s">
        <v>0</v>
      </c>
      <c r="I17506" s="2">
        <v>0</v>
      </c>
      <c r="J17506" s="1">
        <v>46009.751631944448</v>
      </c>
    </row>
    <row r="17507" spans="1:10" x14ac:dyDescent="0.2">
      <c r="A17507" s="4" t="s">
        <v>1</v>
      </c>
      <c r="B17507" s="3" t="str">
        <f>HYPERLINK("https://otsuka-europe-crm.veevavault.com/ui/#object/approved_document__v/V5O00000000D106", "Postal Navidad 2025")</f>
        <v>Postal Navidad 2025</v>
      </c>
      <c r="C17507" s="3" t="str">
        <f>HYPERLINK("https://otsuka-europe-crm.veevavault.com/ui/#object/sent_email__v/VBL000000011954", "SE-001397789")</f>
        <v>SE-001397789</v>
      </c>
      <c r="D17507" s="1" t="s">
        <v>0</v>
      </c>
      <c r="E17507" s="2">
        <v>0</v>
      </c>
      <c r="F17507" s="2">
        <v>0</v>
      </c>
      <c r="G17507" s="2">
        <v>0</v>
      </c>
      <c r="H17507" s="1" t="s">
        <v>0</v>
      </c>
      <c r="I17507" s="2">
        <v>0</v>
      </c>
      <c r="J17507" s="1">
        <v>46009.751666666663</v>
      </c>
    </row>
    <row r="17508" spans="1:10" x14ac:dyDescent="0.2">
      <c r="A17508" s="4" t="s">
        <v>1</v>
      </c>
      <c r="B17508" s="3" t="str">
        <f>HYPERLINK("https://otsuka-europe-crm.veevavault.com/ui/#object/approved_document__v/V5O00000000D106", "Postal Navidad 2025")</f>
        <v>Postal Navidad 2025</v>
      </c>
      <c r="C17508" s="3" t="str">
        <f>HYPERLINK("https://otsuka-europe-crm.veevavault.com/ui/#object/sent_email__v/VBL000000011955", "SE-001397790")</f>
        <v>SE-001397790</v>
      </c>
      <c r="D17508" s="1" t="s">
        <v>0</v>
      </c>
      <c r="E17508" s="2">
        <v>0</v>
      </c>
      <c r="F17508" s="2">
        <v>0</v>
      </c>
      <c r="G17508" s="2">
        <v>0</v>
      </c>
      <c r="H17508" s="1" t="s">
        <v>0</v>
      </c>
      <c r="I17508" s="2">
        <v>0</v>
      </c>
      <c r="J17508" s="1">
        <v>46009.751701388886</v>
      </c>
    </row>
    <row r="17509" spans="1:10" x14ac:dyDescent="0.2">
      <c r="A17509" s="4" t="s">
        <v>1</v>
      </c>
      <c r="B17509" s="3" t="str">
        <f>HYPERLINK("https://otsuka-europe-crm.veevavault.com/ui/#object/approved_document__v/V5O00000000D106", "Postal Navidad 2025")</f>
        <v>Postal Navidad 2025</v>
      </c>
      <c r="C17509" s="3" t="str">
        <f>HYPERLINK("https://otsuka-europe-crm.veevavault.com/ui/#object/sent_email__v/VBL000000011956", "SE-001397791")</f>
        <v>SE-001397791</v>
      </c>
      <c r="D17509" s="1" t="s">
        <v>0</v>
      </c>
      <c r="E17509" s="2">
        <v>0</v>
      </c>
      <c r="F17509" s="2">
        <v>0</v>
      </c>
      <c r="G17509" s="2">
        <v>0</v>
      </c>
      <c r="H17509" s="1" t="s">
        <v>0</v>
      </c>
      <c r="I17509" s="2">
        <v>0</v>
      </c>
      <c r="J17509" s="1">
        <v>46009.751747685186</v>
      </c>
    </row>
    <row r="17510" spans="1:10" x14ac:dyDescent="0.2">
      <c r="A17510" s="4" t="s">
        <v>1</v>
      </c>
      <c r="B17510" s="3" t="str">
        <f>HYPERLINK("https://otsuka-europe-crm.veevavault.com/ui/#object/approved_document__v/V5O00000000D106", "Postal Navidad 2025")</f>
        <v>Postal Navidad 2025</v>
      </c>
      <c r="C17510" s="3" t="str">
        <f>HYPERLINK("https://otsuka-europe-crm.veevavault.com/ui/#object/sent_email__v/VBL000000011957", "SE-001397792")</f>
        <v>SE-001397792</v>
      </c>
      <c r="D17510" s="1" t="s">
        <v>0</v>
      </c>
      <c r="E17510" s="2">
        <v>0</v>
      </c>
      <c r="F17510" s="2">
        <v>0</v>
      </c>
      <c r="G17510" s="2">
        <v>0</v>
      </c>
      <c r="H17510" s="1" t="s">
        <v>0</v>
      </c>
      <c r="I17510" s="2">
        <v>0</v>
      </c>
      <c r="J17510" s="1">
        <v>46009.751782407409</v>
      </c>
    </row>
    <row r="17511" spans="1:10" x14ac:dyDescent="0.2">
      <c r="A17511" s="4" t="s">
        <v>1</v>
      </c>
      <c r="B17511" s="3" t="str">
        <f>HYPERLINK("https://otsuka-europe-crm.veevavault.com/ui/#object/approved_document__v/V5O00000000D106", "Postal Navidad 2025")</f>
        <v>Postal Navidad 2025</v>
      </c>
      <c r="C17511" s="3" t="str">
        <f>HYPERLINK("https://otsuka-europe-crm.veevavault.com/ui/#object/sent_email__v/VBL000000011958", "SE-001397793")</f>
        <v>SE-001397793</v>
      </c>
      <c r="D17511" s="1" t="s">
        <v>0</v>
      </c>
      <c r="E17511" s="2">
        <v>0</v>
      </c>
      <c r="F17511" s="2">
        <v>0</v>
      </c>
      <c r="G17511" s="2">
        <v>0</v>
      </c>
      <c r="H17511" s="1" t="s">
        <v>0</v>
      </c>
      <c r="I17511" s="2">
        <v>0</v>
      </c>
      <c r="J17511" s="1">
        <v>46009.751817129632</v>
      </c>
    </row>
    <row r="17512" spans="1:10" x14ac:dyDescent="0.2">
      <c r="A17512" s="4" t="s">
        <v>1</v>
      </c>
      <c r="B17512" s="3" t="str">
        <f>HYPERLINK("https://otsuka-europe-crm.veevavault.com/ui/#object/approved_document__v/V5O00000000D106", "Postal Navidad 2025")</f>
        <v>Postal Navidad 2025</v>
      </c>
      <c r="C17512" s="3" t="str">
        <f>HYPERLINK("https://otsuka-europe-crm.veevavault.com/ui/#object/sent_email__v/VBL000000011959", "SE-001397794")</f>
        <v>SE-001397794</v>
      </c>
      <c r="D17512" s="1">
        <v>46010.523993055554</v>
      </c>
      <c r="E17512" s="2">
        <v>1</v>
      </c>
      <c r="F17512" s="2">
        <v>1</v>
      </c>
      <c r="G17512" s="2">
        <v>0</v>
      </c>
      <c r="H17512" s="1" t="s">
        <v>0</v>
      </c>
      <c r="I17512" s="2">
        <v>0</v>
      </c>
      <c r="J17512" s="1">
        <v>46009.751863425925</v>
      </c>
    </row>
    <row r="17513" spans="1:10" x14ac:dyDescent="0.2">
      <c r="A17513" s="4" t="s">
        <v>1</v>
      </c>
      <c r="B17513" s="3" t="str">
        <f>HYPERLINK("https://otsuka-europe-crm.veevavault.com/ui/#object/approved_document__v/V5O00000000D106", "Postal Navidad 2025")</f>
        <v>Postal Navidad 2025</v>
      </c>
      <c r="C17513" s="3" t="str">
        <f>HYPERLINK("https://otsuka-europe-crm.veevavault.com/ui/#object/sent_email__v/VBL000000011960", "SE-001397795")</f>
        <v>SE-001397795</v>
      </c>
      <c r="D17513" s="1">
        <v>46009.828958333332</v>
      </c>
      <c r="E17513" s="2">
        <v>1</v>
      </c>
      <c r="F17513" s="2">
        <v>1</v>
      </c>
      <c r="G17513" s="2">
        <v>0</v>
      </c>
      <c r="H17513" s="1" t="s">
        <v>0</v>
      </c>
      <c r="I17513" s="2">
        <v>0</v>
      </c>
      <c r="J17513" s="1">
        <v>46009.751886574071</v>
      </c>
    </row>
    <row r="17514" spans="1:10" x14ac:dyDescent="0.2">
      <c r="A17514" s="4" t="s">
        <v>1</v>
      </c>
      <c r="B17514" s="3" t="str">
        <f>HYPERLINK("https://otsuka-europe-crm.veevavault.com/ui/#object/approved_document__v/V5O00000000D106", "Postal Navidad 2025")</f>
        <v>Postal Navidad 2025</v>
      </c>
      <c r="C17514" s="3" t="str">
        <f>HYPERLINK("https://otsuka-europe-crm.veevavault.com/ui/#object/sent_email__v/VBL000000011961", "SE-001397796")</f>
        <v>SE-001397796</v>
      </c>
      <c r="D17514" s="1">
        <v>46028.000335648147</v>
      </c>
      <c r="E17514" s="2">
        <v>1</v>
      </c>
      <c r="F17514" s="2">
        <v>3</v>
      </c>
      <c r="G17514" s="2">
        <v>0</v>
      </c>
      <c r="H17514" s="1" t="s">
        <v>0</v>
      </c>
      <c r="I17514" s="2">
        <v>0</v>
      </c>
      <c r="J17514" s="1">
        <v>46009.751932870371</v>
      </c>
    </row>
    <row r="17515" spans="1:10" x14ac:dyDescent="0.2">
      <c r="A17515" s="4" t="s">
        <v>1</v>
      </c>
      <c r="B17515" s="3" t="str">
        <f>HYPERLINK("https://otsuka-europe-crm.veevavault.com/ui/#object/approved_document__v/V5O00000000D106", "Postal Navidad 2025")</f>
        <v>Postal Navidad 2025</v>
      </c>
      <c r="C17515" s="3" t="str">
        <f>HYPERLINK("https://otsuka-europe-crm.veevavault.com/ui/#object/sent_email__v/VBL000000011962", "SE-001397797")</f>
        <v>SE-001397797</v>
      </c>
      <c r="D17515" s="1" t="s">
        <v>0</v>
      </c>
      <c r="E17515" s="2">
        <v>0</v>
      </c>
      <c r="F17515" s="2">
        <v>0</v>
      </c>
      <c r="G17515" s="2">
        <v>0</v>
      </c>
      <c r="H17515" s="1" t="s">
        <v>0</v>
      </c>
      <c r="I17515" s="2">
        <v>0</v>
      </c>
      <c r="J17515" s="1">
        <v>46009.751967592594</v>
      </c>
    </row>
    <row r="17516" spans="1:10" x14ac:dyDescent="0.2">
      <c r="A17516" s="4" t="s">
        <v>1</v>
      </c>
      <c r="B17516" s="3" t="str">
        <f>HYPERLINK("https://otsuka-europe-crm.veevavault.com/ui/#object/approved_document__v/V5O00000000D106", "Postal Navidad 2025")</f>
        <v>Postal Navidad 2025</v>
      </c>
      <c r="C17516" s="3" t="str">
        <f>HYPERLINK("https://otsuka-europe-crm.veevavault.com/ui/#object/sent_email__v/VBL000000011963", "SE-001397798")</f>
        <v>SE-001397798</v>
      </c>
      <c r="D17516" s="1">
        <v>46009.772881944446</v>
      </c>
      <c r="E17516" s="2">
        <v>1</v>
      </c>
      <c r="F17516" s="2">
        <v>1</v>
      </c>
      <c r="G17516" s="2">
        <v>0</v>
      </c>
      <c r="H17516" s="1" t="s">
        <v>0</v>
      </c>
      <c r="I17516" s="2">
        <v>0</v>
      </c>
      <c r="J17516" s="1">
        <v>46009.752002314817</v>
      </c>
    </row>
    <row r="17517" spans="1:10" x14ac:dyDescent="0.2">
      <c r="A17517" s="4" t="s">
        <v>1</v>
      </c>
      <c r="B17517" s="3" t="str">
        <f>HYPERLINK("https://otsuka-europe-crm.veevavault.com/ui/#object/approved_document__v/V5O00000000D106", "Postal Navidad 2025")</f>
        <v>Postal Navidad 2025</v>
      </c>
      <c r="C17517" s="3" t="str">
        <f>HYPERLINK("https://otsuka-europe-crm.veevavault.com/ui/#object/sent_email__v/VBL000000011964", "SE-001397799")</f>
        <v>SE-001397799</v>
      </c>
      <c r="D17517" s="1">
        <v>46036.978090277778</v>
      </c>
      <c r="E17517" s="2">
        <v>1</v>
      </c>
      <c r="F17517" s="2">
        <v>2</v>
      </c>
      <c r="G17517" s="2">
        <v>0</v>
      </c>
      <c r="H17517" s="1" t="s">
        <v>0</v>
      </c>
      <c r="I17517" s="2">
        <v>0</v>
      </c>
      <c r="J17517" s="1">
        <v>46009.75203703704</v>
      </c>
    </row>
    <row r="17518" spans="1:10" x14ac:dyDescent="0.2">
      <c r="A17518" s="4" t="s">
        <v>1</v>
      </c>
      <c r="B17518" s="3" t="str">
        <f>HYPERLINK("https://otsuka-europe-crm.veevavault.com/ui/#object/approved_document__v/V5O00000000D106", "Postal Navidad 2025")</f>
        <v>Postal Navidad 2025</v>
      </c>
      <c r="C17518" s="3" t="str">
        <f>HYPERLINK("https://otsuka-europe-crm.veevavault.com/ui/#object/sent_email__v/VBL000000011965", "SE-001397800")</f>
        <v>SE-001397800</v>
      </c>
      <c r="D17518" s="1">
        <v>46010.017118055555</v>
      </c>
      <c r="E17518" s="2">
        <v>1</v>
      </c>
      <c r="F17518" s="2">
        <v>1</v>
      </c>
      <c r="G17518" s="2">
        <v>0</v>
      </c>
      <c r="H17518" s="1" t="s">
        <v>0</v>
      </c>
      <c r="I17518" s="2">
        <v>0</v>
      </c>
      <c r="J17518" s="1">
        <v>46009.752083333333</v>
      </c>
    </row>
    <row r="17519" spans="1:10" x14ac:dyDescent="0.2">
      <c r="A17519" s="4" t="s">
        <v>1</v>
      </c>
      <c r="B17519" s="3" t="str">
        <f>HYPERLINK("https://otsuka-europe-crm.veevavault.com/ui/#object/approved_document__v/V5O00000000D106", "Postal Navidad 2025")</f>
        <v>Postal Navidad 2025</v>
      </c>
      <c r="C17519" s="3" t="str">
        <f>HYPERLINK("https://otsuka-europe-crm.veevavault.com/ui/#object/sent_email__v/VBL000000011966", "SE-001397801")</f>
        <v>SE-001397801</v>
      </c>
      <c r="D17519" s="1" t="s">
        <v>0</v>
      </c>
      <c r="E17519" s="2">
        <v>0</v>
      </c>
      <c r="F17519" s="2">
        <v>0</v>
      </c>
      <c r="G17519" s="2">
        <v>0</v>
      </c>
      <c r="H17519" s="1" t="s">
        <v>0</v>
      </c>
      <c r="I17519" s="2">
        <v>0</v>
      </c>
      <c r="J17519" s="1">
        <v>46009.752118055556</v>
      </c>
    </row>
    <row r="17520" spans="1:10" x14ac:dyDescent="0.2">
      <c r="A17520" s="4" t="s">
        <v>1</v>
      </c>
      <c r="B17520" s="3" t="str">
        <f>HYPERLINK("https://otsuka-europe-crm.veevavault.com/ui/#object/approved_document__v/V5O00000000D106", "Postal Navidad 2025")</f>
        <v>Postal Navidad 2025</v>
      </c>
      <c r="C17520" s="3" t="str">
        <f>HYPERLINK("https://otsuka-europe-crm.veevavault.com/ui/#object/sent_email__v/VBL000000011967", "SE-001397802")</f>
        <v>SE-001397802</v>
      </c>
      <c r="D17520" s="1" t="s">
        <v>0</v>
      </c>
      <c r="E17520" s="2">
        <v>0</v>
      </c>
      <c r="F17520" s="2">
        <v>0</v>
      </c>
      <c r="G17520" s="2">
        <v>0</v>
      </c>
      <c r="H17520" s="1" t="s">
        <v>0</v>
      </c>
      <c r="I17520" s="2">
        <v>0</v>
      </c>
      <c r="J17520" s="1">
        <v>46009.752152777779</v>
      </c>
    </row>
    <row r="17521" spans="1:10" x14ac:dyDescent="0.2">
      <c r="A17521" s="4" t="s">
        <v>1</v>
      </c>
      <c r="B17521" s="3" t="str">
        <f>HYPERLINK("https://otsuka-europe-crm.veevavault.com/ui/#object/approved_document__v/V5O00000000D106", "Postal Navidad 2025")</f>
        <v>Postal Navidad 2025</v>
      </c>
      <c r="C17521" s="3" t="str">
        <f>HYPERLINK("https://otsuka-europe-crm.veevavault.com/ui/#object/sent_email__v/VBL000000011968", "SE-001397803")</f>
        <v>SE-001397803</v>
      </c>
      <c r="D17521" s="1" t="s">
        <v>0</v>
      </c>
      <c r="E17521" s="2">
        <v>0</v>
      </c>
      <c r="F17521" s="2">
        <v>0</v>
      </c>
      <c r="G17521" s="2">
        <v>0</v>
      </c>
      <c r="H17521" s="1" t="s">
        <v>0</v>
      </c>
      <c r="I17521" s="2">
        <v>0</v>
      </c>
      <c r="J17521" s="1">
        <v>46009.752199074072</v>
      </c>
    </row>
    <row r="17522" spans="1:10" x14ac:dyDescent="0.2">
      <c r="A17522" s="4" t="s">
        <v>1</v>
      </c>
      <c r="B17522" s="3" t="str">
        <f>HYPERLINK("https://otsuka-europe-crm.veevavault.com/ui/#object/approved_document__v/V5O00000000D106", "Postal Navidad 2025")</f>
        <v>Postal Navidad 2025</v>
      </c>
      <c r="C17522" s="3" t="str">
        <f>HYPERLINK("https://otsuka-europe-crm.veevavault.com/ui/#object/sent_email__v/VBL000000011969", "SE-001397804")</f>
        <v>SE-001397804</v>
      </c>
      <c r="D17522" s="1" t="s">
        <v>0</v>
      </c>
      <c r="E17522" s="2">
        <v>0</v>
      </c>
      <c r="F17522" s="2">
        <v>0</v>
      </c>
      <c r="G17522" s="2">
        <v>0</v>
      </c>
      <c r="H17522" s="1" t="s">
        <v>0</v>
      </c>
      <c r="I17522" s="2">
        <v>0</v>
      </c>
      <c r="J17522" s="1">
        <v>46009.752233796295</v>
      </c>
    </row>
    <row r="17523" spans="1:10" x14ac:dyDescent="0.2">
      <c r="A17523" s="4" t="s">
        <v>1</v>
      </c>
      <c r="B17523" s="3" t="str">
        <f>HYPERLINK("https://otsuka-europe-crm.veevavault.com/ui/#object/approved_document__v/V5O00000000D106", "Postal Navidad 2025")</f>
        <v>Postal Navidad 2025</v>
      </c>
      <c r="C17523" s="3" t="str">
        <f>HYPERLINK("https://otsuka-europe-crm.veevavault.com/ui/#object/sent_email__v/VBL000000011970", "SE-001397805")</f>
        <v>SE-001397805</v>
      </c>
      <c r="D17523" s="1" t="s">
        <v>0</v>
      </c>
      <c r="E17523" s="2">
        <v>0</v>
      </c>
      <c r="F17523" s="2">
        <v>0</v>
      </c>
      <c r="G17523" s="2">
        <v>0</v>
      </c>
      <c r="H17523" s="1" t="s">
        <v>0</v>
      </c>
      <c r="I17523" s="2">
        <v>0</v>
      </c>
      <c r="J17523" s="1">
        <v>46009.752268518518</v>
      </c>
    </row>
    <row r="17524" spans="1:10" x14ac:dyDescent="0.2">
      <c r="A17524" s="4" t="s">
        <v>1</v>
      </c>
      <c r="B17524" s="3" t="str">
        <f>HYPERLINK("https://otsuka-europe-crm.veevavault.com/ui/#object/approved_document__v/V5O00000000D106", "Postal Navidad 2025")</f>
        <v>Postal Navidad 2025</v>
      </c>
      <c r="C17524" s="3" t="str">
        <f>HYPERLINK("https://otsuka-europe-crm.veevavault.com/ui/#object/sent_email__v/VBL000000011971", "SE-001397806")</f>
        <v>SE-001397806</v>
      </c>
      <c r="D17524" s="1" t="s">
        <v>0</v>
      </c>
      <c r="E17524" s="2">
        <v>0</v>
      </c>
      <c r="F17524" s="2">
        <v>0</v>
      </c>
      <c r="G17524" s="2">
        <v>0</v>
      </c>
      <c r="H17524" s="1" t="s">
        <v>0</v>
      </c>
      <c r="I17524" s="2">
        <v>0</v>
      </c>
      <c r="J17524" s="1">
        <v>46009.752523148149</v>
      </c>
    </row>
    <row r="17525" spans="1:10" x14ac:dyDescent="0.2">
      <c r="A17525" s="4" t="s">
        <v>1</v>
      </c>
      <c r="B17525" s="3" t="str">
        <f>HYPERLINK("https://otsuka-europe-crm.veevavault.com/ui/#object/approved_document__v/V5O00000000D106", "Postal Navidad 2025")</f>
        <v>Postal Navidad 2025</v>
      </c>
      <c r="C17525" s="3" t="str">
        <f>HYPERLINK("https://otsuka-europe-crm.veevavault.com/ui/#object/sent_email__v/VBL000000011972", "SE-001397807")</f>
        <v>SE-001397807</v>
      </c>
      <c r="D17525" s="1" t="s">
        <v>0</v>
      </c>
      <c r="E17525" s="2">
        <v>0</v>
      </c>
      <c r="F17525" s="2">
        <v>0</v>
      </c>
      <c r="G17525" s="2">
        <v>0</v>
      </c>
      <c r="H17525" s="1" t="s">
        <v>0</v>
      </c>
      <c r="I17525" s="2">
        <v>0</v>
      </c>
      <c r="J17525" s="1">
        <v>46009.752418981479</v>
      </c>
    </row>
    <row r="17526" spans="1:10" x14ac:dyDescent="0.2">
      <c r="A17526" s="4" t="s">
        <v>1</v>
      </c>
      <c r="B17526" s="3" t="str">
        <f>HYPERLINK("https://otsuka-europe-crm.veevavault.com/ui/#object/approved_document__v/V5O00000000D106", "Postal Navidad 2025")</f>
        <v>Postal Navidad 2025</v>
      </c>
      <c r="C17526" s="3" t="str">
        <f>HYPERLINK("https://otsuka-europe-crm.veevavault.com/ui/#object/sent_email__v/VBL000000011973", "SE-001397808")</f>
        <v>SE-001397808</v>
      </c>
      <c r="D17526" s="1" t="s">
        <v>0</v>
      </c>
      <c r="E17526" s="2">
        <v>0</v>
      </c>
      <c r="F17526" s="2">
        <v>0</v>
      </c>
      <c r="G17526" s="2">
        <v>0</v>
      </c>
      <c r="H17526" s="1" t="s">
        <v>0</v>
      </c>
      <c r="I17526" s="2">
        <v>0</v>
      </c>
      <c r="J17526" s="1">
        <v>46009.752453703702</v>
      </c>
    </row>
    <row r="17527" spans="1:10" x14ac:dyDescent="0.2">
      <c r="A17527" s="4" t="s">
        <v>1</v>
      </c>
      <c r="B17527" s="3" t="str">
        <f>HYPERLINK("https://otsuka-europe-crm.veevavault.com/ui/#object/approved_document__v/V5O00000000D106", "Postal Navidad 2025")</f>
        <v>Postal Navidad 2025</v>
      </c>
      <c r="C17527" s="3" t="str">
        <f>HYPERLINK("https://otsuka-europe-crm.veevavault.com/ui/#object/sent_email__v/VBL000000011974", "SE-001397809")</f>
        <v>SE-001397809</v>
      </c>
      <c r="D17527" s="1">
        <v>46034.488622685189</v>
      </c>
      <c r="E17527" s="2">
        <v>1</v>
      </c>
      <c r="F17527" s="2">
        <v>1</v>
      </c>
      <c r="G17527" s="2">
        <v>0</v>
      </c>
      <c r="H17527" s="1" t="s">
        <v>0</v>
      </c>
      <c r="I17527" s="2">
        <v>0</v>
      </c>
      <c r="J17527" s="1">
        <v>46009.752488425926</v>
      </c>
    </row>
    <row r="17528" spans="1:10" x14ac:dyDescent="0.2">
      <c r="A17528" s="4" t="s">
        <v>1</v>
      </c>
      <c r="B17528" s="3" t="str">
        <f>HYPERLINK("https://otsuka-europe-crm.veevavault.com/ui/#object/approved_document__v/V5O00000000D106", "Postal Navidad 2025")</f>
        <v>Postal Navidad 2025</v>
      </c>
      <c r="C17528" s="3" t="str">
        <f>HYPERLINK("https://otsuka-europe-crm.veevavault.com/ui/#object/sent_email__v/VBL000000011975", "SE-001397810")</f>
        <v>SE-001397810</v>
      </c>
      <c r="D17528" s="1" t="s">
        <v>0</v>
      </c>
      <c r="E17528" s="2">
        <v>0</v>
      </c>
      <c r="F17528" s="2">
        <v>0</v>
      </c>
      <c r="G17528" s="2">
        <v>0</v>
      </c>
      <c r="H17528" s="1" t="s">
        <v>0</v>
      </c>
      <c r="I17528" s="2">
        <v>0</v>
      </c>
      <c r="J17528" s="1">
        <v>46009.752534722225</v>
      </c>
    </row>
    <row r="17529" spans="1:10" x14ac:dyDescent="0.2">
      <c r="A17529" s="4" t="s">
        <v>1</v>
      </c>
      <c r="B17529" s="3" t="str">
        <f>HYPERLINK("https://otsuka-europe-crm.veevavault.com/ui/#object/approved_document__v/V5O00000000D106", "Postal Navidad 2025")</f>
        <v>Postal Navidad 2025</v>
      </c>
      <c r="C17529" s="3" t="str">
        <f>HYPERLINK("https://otsuka-europe-crm.veevavault.com/ui/#object/sent_email__v/VBL000000011976", "SE-001397811")</f>
        <v>SE-001397811</v>
      </c>
      <c r="D17529" s="1" t="s">
        <v>0</v>
      </c>
      <c r="E17529" s="2">
        <v>0</v>
      </c>
      <c r="F17529" s="2">
        <v>0</v>
      </c>
      <c r="G17529" s="2">
        <v>0</v>
      </c>
      <c r="H17529" s="1" t="s">
        <v>0</v>
      </c>
      <c r="I17529" s="2">
        <v>0</v>
      </c>
      <c r="J17529" s="1">
        <v>46009.752569444441</v>
      </c>
    </row>
    <row r="17530" spans="1:10" x14ac:dyDescent="0.2">
      <c r="A17530" s="4" t="s">
        <v>1</v>
      </c>
      <c r="B17530" s="3" t="str">
        <f>HYPERLINK("https://otsuka-europe-crm.veevavault.com/ui/#object/approved_document__v/V5O00000000D106", "Postal Navidad 2025")</f>
        <v>Postal Navidad 2025</v>
      </c>
      <c r="C17530" s="3" t="str">
        <f>HYPERLINK("https://otsuka-europe-crm.veevavault.com/ui/#object/sent_email__v/VBL000000011977", "SE-001397812")</f>
        <v>SE-001397812</v>
      </c>
      <c r="D17530" s="1">
        <v>46012.906886574077</v>
      </c>
      <c r="E17530" s="2">
        <v>1</v>
      </c>
      <c r="F17530" s="2">
        <v>1</v>
      </c>
      <c r="G17530" s="2">
        <v>0</v>
      </c>
      <c r="H17530" s="1" t="s">
        <v>0</v>
      </c>
      <c r="I17530" s="2">
        <v>0</v>
      </c>
      <c r="J17530" s="1">
        <v>46009.752604166664</v>
      </c>
    </row>
    <row r="17531" spans="1:10" x14ac:dyDescent="0.2">
      <c r="A17531" s="4" t="s">
        <v>1</v>
      </c>
      <c r="B17531" s="3" t="str">
        <f>HYPERLINK("https://otsuka-europe-crm.veevavault.com/ui/#object/approved_document__v/V5O00000000D106", "Postal Navidad 2025")</f>
        <v>Postal Navidad 2025</v>
      </c>
      <c r="C17531" s="3" t="str">
        <f>HYPERLINK("https://otsuka-europe-crm.veevavault.com/ui/#object/sent_email__v/VBL000000011978", "SE-001397813")</f>
        <v>SE-001397813</v>
      </c>
      <c r="D17531" s="1">
        <v>46016.725787037038</v>
      </c>
      <c r="E17531" s="2">
        <v>1</v>
      </c>
      <c r="F17531" s="2">
        <v>2</v>
      </c>
      <c r="G17531" s="2">
        <v>0</v>
      </c>
      <c r="H17531" s="1" t="s">
        <v>0</v>
      </c>
      <c r="I17531" s="2">
        <v>0</v>
      </c>
      <c r="J17531" s="1">
        <v>46009.752638888887</v>
      </c>
    </row>
    <row r="17532" spans="1:10" x14ac:dyDescent="0.2">
      <c r="A17532" s="4" t="s">
        <v>1</v>
      </c>
      <c r="B17532" s="3" t="str">
        <f>HYPERLINK("https://otsuka-europe-crm.veevavault.com/ui/#object/approved_document__v/V5O00000000D106", "Postal Navidad 2025")</f>
        <v>Postal Navidad 2025</v>
      </c>
      <c r="C17532" s="3" t="str">
        <f>HYPERLINK("https://otsuka-europe-crm.veevavault.com/ui/#object/sent_email__v/VBL000000011979", "SE-001397814")</f>
        <v>SE-001397814</v>
      </c>
      <c r="D17532" s="1">
        <v>46009.757291666669</v>
      </c>
      <c r="E17532" s="2">
        <v>1</v>
      </c>
      <c r="F17532" s="2">
        <v>1</v>
      </c>
      <c r="G17532" s="2">
        <v>0</v>
      </c>
      <c r="H17532" s="1" t="s">
        <v>0</v>
      </c>
      <c r="I17532" s="2">
        <v>0</v>
      </c>
      <c r="J17532" s="1">
        <v>46009.75267361111</v>
      </c>
    </row>
    <row r="17533" spans="1:10" x14ac:dyDescent="0.2">
      <c r="A17533" s="4" t="s">
        <v>1</v>
      </c>
      <c r="B17533" s="3" t="str">
        <f>HYPERLINK("https://otsuka-europe-crm.veevavault.com/ui/#object/approved_document__v/V5O00000000D106", "Postal Navidad 2025")</f>
        <v>Postal Navidad 2025</v>
      </c>
      <c r="C17533" s="3" t="str">
        <f>HYPERLINK("https://otsuka-europe-crm.veevavault.com/ui/#object/sent_email__v/VBL000000011980", "SE-001397815")</f>
        <v>SE-001397815</v>
      </c>
      <c r="D17533" s="1" t="s">
        <v>0</v>
      </c>
      <c r="E17533" s="2">
        <v>0</v>
      </c>
      <c r="F17533" s="2">
        <v>0</v>
      </c>
      <c r="G17533" s="2">
        <v>0</v>
      </c>
      <c r="H17533" s="1" t="s">
        <v>0</v>
      </c>
      <c r="I17533" s="2">
        <v>0</v>
      </c>
      <c r="J17533" s="1">
        <v>46009.75271990741</v>
      </c>
    </row>
    <row r="17534" spans="1:10" x14ac:dyDescent="0.2">
      <c r="A17534" s="4" t="s">
        <v>1</v>
      </c>
      <c r="B17534" s="3" t="str">
        <f>HYPERLINK("https://otsuka-europe-crm.veevavault.com/ui/#object/approved_document__v/V5O00000000D106", "Postal Navidad 2025")</f>
        <v>Postal Navidad 2025</v>
      </c>
      <c r="C17534" s="3" t="str">
        <f>HYPERLINK("https://otsuka-europe-crm.veevavault.com/ui/#object/sent_email__v/VBL000000011981", "SE-001397816")</f>
        <v>SE-001397816</v>
      </c>
      <c r="D17534" s="1" t="s">
        <v>0</v>
      </c>
      <c r="E17534" s="2">
        <v>0</v>
      </c>
      <c r="F17534" s="2">
        <v>0</v>
      </c>
      <c r="G17534" s="2">
        <v>0</v>
      </c>
      <c r="H17534" s="1" t="s">
        <v>0</v>
      </c>
      <c r="I17534" s="2">
        <v>0</v>
      </c>
      <c r="J17534" s="1">
        <v>46009.752754629626</v>
      </c>
    </row>
    <row r="17535" spans="1:10" x14ac:dyDescent="0.2">
      <c r="A17535" s="4" t="s">
        <v>1</v>
      </c>
      <c r="B17535" s="3" t="str">
        <f>HYPERLINK("https://otsuka-europe-crm.veevavault.com/ui/#object/approved_document__v/V5O00000000D106", "Postal Navidad 2025")</f>
        <v>Postal Navidad 2025</v>
      </c>
      <c r="C17535" s="3" t="str">
        <f>HYPERLINK("https://otsuka-europe-crm.veevavault.com/ui/#object/sent_email__v/VBL000000011982", "SE-001397817")</f>
        <v>SE-001397817</v>
      </c>
      <c r="D17535" s="1">
        <v>46027.509421296294</v>
      </c>
      <c r="E17535" s="2">
        <v>1</v>
      </c>
      <c r="F17535" s="2">
        <v>1</v>
      </c>
      <c r="G17535" s="2">
        <v>0</v>
      </c>
      <c r="H17535" s="1" t="s">
        <v>0</v>
      </c>
      <c r="I17535" s="2">
        <v>0</v>
      </c>
      <c r="J17535" s="1">
        <v>46009.752800925926</v>
      </c>
    </row>
    <row r="17536" spans="1:10" x14ac:dyDescent="0.2">
      <c r="A17536" s="4" t="s">
        <v>1</v>
      </c>
      <c r="B17536" s="3" t="str">
        <f>HYPERLINK("https://otsuka-europe-crm.veevavault.com/ui/#object/approved_document__v/V5O00000000D106", "Postal Navidad 2025")</f>
        <v>Postal Navidad 2025</v>
      </c>
      <c r="C17536" s="3" t="str">
        <f>HYPERLINK("https://otsuka-europe-crm.veevavault.com/ui/#object/sent_email__v/VBL000000011983", "SE-001397818")</f>
        <v>SE-001397818</v>
      </c>
      <c r="D17536" s="1" t="s">
        <v>0</v>
      </c>
      <c r="E17536" s="2">
        <v>0</v>
      </c>
      <c r="F17536" s="2">
        <v>0</v>
      </c>
      <c r="G17536" s="2">
        <v>0</v>
      </c>
      <c r="H17536" s="1" t="s">
        <v>0</v>
      </c>
      <c r="I17536" s="2">
        <v>0</v>
      </c>
      <c r="J17536" s="1">
        <v>46009.752847222226</v>
      </c>
    </row>
    <row r="17537" spans="1:10" x14ac:dyDescent="0.2">
      <c r="A17537" s="4" t="s">
        <v>1</v>
      </c>
      <c r="B17537" s="3" t="str">
        <f>HYPERLINK("https://otsuka-europe-crm.veevavault.com/ui/#object/approved_document__v/V5O00000000D106", "Postal Navidad 2025")</f>
        <v>Postal Navidad 2025</v>
      </c>
      <c r="C17537" s="3" t="str">
        <f>HYPERLINK("https://otsuka-europe-crm.veevavault.com/ui/#object/sent_email__v/VBL000000011984", "SE-001397819")</f>
        <v>SE-001397819</v>
      </c>
      <c r="D17537" s="1" t="s">
        <v>0</v>
      </c>
      <c r="E17537" s="2">
        <v>0</v>
      </c>
      <c r="F17537" s="2">
        <v>0</v>
      </c>
      <c r="G17537" s="2">
        <v>0</v>
      </c>
      <c r="H17537" s="1" t="s">
        <v>0</v>
      </c>
      <c r="I17537" s="2">
        <v>0</v>
      </c>
      <c r="J17537" s="1">
        <v>46009.752881944441</v>
      </c>
    </row>
    <row r="17538" spans="1:10" x14ac:dyDescent="0.2">
      <c r="A17538" s="4" t="s">
        <v>1</v>
      </c>
      <c r="B17538" s="3" t="str">
        <f>HYPERLINK("https://otsuka-europe-crm.veevavault.com/ui/#object/approved_document__v/V5O00000000D106", "Postal Navidad 2025")</f>
        <v>Postal Navidad 2025</v>
      </c>
      <c r="C17538" s="3" t="str">
        <f>HYPERLINK("https://otsuka-europe-crm.veevavault.com/ui/#object/sent_email__v/VBL000000011985", "SE-001397820")</f>
        <v>SE-001397820</v>
      </c>
      <c r="D17538" s="1">
        <v>46010.847418981481</v>
      </c>
      <c r="E17538" s="2">
        <v>1</v>
      </c>
      <c r="F17538" s="2">
        <v>3</v>
      </c>
      <c r="G17538" s="2">
        <v>0</v>
      </c>
      <c r="H17538" s="1" t="s">
        <v>0</v>
      </c>
      <c r="I17538" s="2">
        <v>0</v>
      </c>
      <c r="J17538" s="1">
        <v>46009.752916666665</v>
      </c>
    </row>
    <row r="17539" spans="1:10" x14ac:dyDescent="0.2">
      <c r="A17539" s="4" t="s">
        <v>1</v>
      </c>
      <c r="B17539" s="3" t="str">
        <f>HYPERLINK("https://otsuka-europe-crm.veevavault.com/ui/#object/approved_document__v/V5O00000000D106", "Postal Navidad 2025")</f>
        <v>Postal Navidad 2025</v>
      </c>
      <c r="C17539" s="3" t="str">
        <f>HYPERLINK("https://otsuka-europe-crm.veevavault.com/ui/#object/sent_email__v/VBL000000011986", "SE-001397821")</f>
        <v>SE-001397821</v>
      </c>
      <c r="D17539" s="1">
        <v>46029.944155092591</v>
      </c>
      <c r="E17539" s="2">
        <v>1</v>
      </c>
      <c r="F17539" s="2">
        <v>3</v>
      </c>
      <c r="G17539" s="2">
        <v>0</v>
      </c>
      <c r="H17539" s="1" t="s">
        <v>0</v>
      </c>
      <c r="I17539" s="2">
        <v>0</v>
      </c>
      <c r="J17539" s="1">
        <v>46009.752962962964</v>
      </c>
    </row>
    <row r="17540" spans="1:10" x14ac:dyDescent="0.2">
      <c r="A17540" s="4" t="s">
        <v>1</v>
      </c>
      <c r="B17540" s="3" t="str">
        <f>HYPERLINK("https://otsuka-europe-crm.veevavault.com/ui/#object/approved_document__v/V5O00000000D106", "Postal Navidad 2025")</f>
        <v>Postal Navidad 2025</v>
      </c>
      <c r="C17540" s="3" t="str">
        <f>HYPERLINK("https://otsuka-europe-crm.veevavault.com/ui/#object/sent_email__v/VBL000000011987", "SE-001397822")</f>
        <v>SE-001397822</v>
      </c>
      <c r="D17540" s="1">
        <v>46010.877905092595</v>
      </c>
      <c r="E17540" s="2">
        <v>1</v>
      </c>
      <c r="F17540" s="2">
        <v>2</v>
      </c>
      <c r="G17540" s="2">
        <v>0</v>
      </c>
      <c r="H17540" s="1" t="s">
        <v>0</v>
      </c>
      <c r="I17540" s="2">
        <v>0</v>
      </c>
      <c r="J17540" s="1">
        <v>46009.752986111111</v>
      </c>
    </row>
    <row r="17541" spans="1:10" x14ac:dyDescent="0.2">
      <c r="A17541" s="4" t="s">
        <v>1</v>
      </c>
      <c r="B17541" s="3" t="str">
        <f>HYPERLINK("https://otsuka-europe-crm.veevavault.com/ui/#object/approved_document__v/V5O00000000D106", "Postal Navidad 2025")</f>
        <v>Postal Navidad 2025</v>
      </c>
      <c r="C17541" s="3" t="str">
        <f>HYPERLINK("https://otsuka-europe-crm.veevavault.com/ui/#object/sent_email__v/VBL000000011988", "SE-001397823")</f>
        <v>SE-001397823</v>
      </c>
      <c r="D17541" s="1">
        <v>46037.989629629628</v>
      </c>
      <c r="E17541" s="2">
        <v>1</v>
      </c>
      <c r="F17541" s="2">
        <v>2</v>
      </c>
      <c r="G17541" s="2">
        <v>0</v>
      </c>
      <c r="H17541" s="1" t="s">
        <v>0</v>
      </c>
      <c r="I17541" s="2">
        <v>0</v>
      </c>
      <c r="J17541" s="1">
        <v>46009.753032407411</v>
      </c>
    </row>
    <row r="17542" spans="1:10" x14ac:dyDescent="0.2">
      <c r="A17542" s="4" t="s">
        <v>1</v>
      </c>
      <c r="B17542" s="3" t="str">
        <f>HYPERLINK("https://otsuka-europe-crm.veevavault.com/ui/#object/approved_document__v/V5O00000000D106", "Postal Navidad 2025")</f>
        <v>Postal Navidad 2025</v>
      </c>
      <c r="C17542" s="3" t="str">
        <f>HYPERLINK("https://otsuka-europe-crm.veevavault.com/ui/#object/sent_email__v/VBL000000011989", "SE-001397824")</f>
        <v>SE-001397824</v>
      </c>
      <c r="D17542" s="1">
        <v>46024.441643518519</v>
      </c>
      <c r="E17542" s="2">
        <v>1</v>
      </c>
      <c r="F17542" s="2">
        <v>1</v>
      </c>
      <c r="G17542" s="2">
        <v>0</v>
      </c>
      <c r="H17542" s="1" t="s">
        <v>0</v>
      </c>
      <c r="I17542" s="2">
        <v>0</v>
      </c>
      <c r="J17542" s="1">
        <v>46009.753067129626</v>
      </c>
    </row>
    <row r="17543" spans="1:10" x14ac:dyDescent="0.2">
      <c r="A17543" s="4" t="s">
        <v>1</v>
      </c>
      <c r="B17543" s="3" t="str">
        <f>HYPERLINK("https://otsuka-europe-crm.veevavault.com/ui/#object/approved_document__v/V5O00000000D106", "Postal Navidad 2025")</f>
        <v>Postal Navidad 2025</v>
      </c>
      <c r="C17543" s="3" t="str">
        <f>HYPERLINK("https://otsuka-europe-crm.veevavault.com/ui/#object/sent_email__v/VBL000000011990", "SE-001397825")</f>
        <v>SE-001397825</v>
      </c>
      <c r="D17543" s="1" t="s">
        <v>0</v>
      </c>
      <c r="E17543" s="2">
        <v>0</v>
      </c>
      <c r="F17543" s="2">
        <v>0</v>
      </c>
      <c r="G17543" s="2">
        <v>0</v>
      </c>
      <c r="H17543" s="1" t="s">
        <v>0</v>
      </c>
      <c r="I17543" s="2">
        <v>0</v>
      </c>
      <c r="J17543" s="1">
        <v>46009.753101851849</v>
      </c>
    </row>
    <row r="17544" spans="1:10" x14ac:dyDescent="0.2">
      <c r="A17544" s="4" t="s">
        <v>1</v>
      </c>
      <c r="B17544" s="3" t="str">
        <f>HYPERLINK("https://otsuka-europe-crm.veevavault.com/ui/#object/approved_document__v/V5O00000000D106", "Postal Navidad 2025")</f>
        <v>Postal Navidad 2025</v>
      </c>
      <c r="C17544" s="3" t="str">
        <f>HYPERLINK("https://otsuka-europe-crm.veevavault.com/ui/#object/sent_email__v/VBL000000011991", "SE-001397826")</f>
        <v>SE-001397826</v>
      </c>
      <c r="D17544" s="1">
        <v>46019.040625000001</v>
      </c>
      <c r="E17544" s="2">
        <v>1</v>
      </c>
      <c r="F17544" s="2">
        <v>2</v>
      </c>
      <c r="G17544" s="2">
        <v>0</v>
      </c>
      <c r="H17544" s="1" t="s">
        <v>0</v>
      </c>
      <c r="I17544" s="2">
        <v>0</v>
      </c>
      <c r="J17544" s="1">
        <v>46009.753148148149</v>
      </c>
    </row>
    <row r="17545" spans="1:10" x14ac:dyDescent="0.2">
      <c r="A17545" s="4" t="s">
        <v>1</v>
      </c>
      <c r="B17545" s="3" t="str">
        <f>HYPERLINK("https://otsuka-europe-crm.veevavault.com/ui/#object/approved_document__v/V5O00000000D106", "Postal Navidad 2025")</f>
        <v>Postal Navidad 2025</v>
      </c>
      <c r="C17545" s="3" t="str">
        <f>HYPERLINK("https://otsuka-europe-crm.veevavault.com/ui/#object/sent_email__v/VBL000000011992", "SE-001397827")</f>
        <v>SE-001397827</v>
      </c>
      <c r="D17545" s="1" t="s">
        <v>0</v>
      </c>
      <c r="E17545" s="2">
        <v>0</v>
      </c>
      <c r="F17545" s="2">
        <v>0</v>
      </c>
      <c r="G17545" s="2">
        <v>0</v>
      </c>
      <c r="H17545" s="1" t="s">
        <v>0</v>
      </c>
      <c r="I17545" s="2">
        <v>0</v>
      </c>
      <c r="J17545" s="1">
        <v>46009.753182870372</v>
      </c>
    </row>
    <row r="17546" spans="1:10" x14ac:dyDescent="0.2">
      <c r="A17546" s="4" t="s">
        <v>1</v>
      </c>
      <c r="B17546" s="3" t="str">
        <f>HYPERLINK("https://otsuka-europe-crm.veevavault.com/ui/#object/approved_document__v/V5O00000000D106", "Postal Navidad 2025")</f>
        <v>Postal Navidad 2025</v>
      </c>
      <c r="C17546" s="3" t="str">
        <f>HYPERLINK("https://otsuka-europe-crm.veevavault.com/ui/#object/sent_email__v/VBL000000011993", "SE-001397828")</f>
        <v>SE-001397828</v>
      </c>
      <c r="D17546" s="1" t="s">
        <v>0</v>
      </c>
      <c r="E17546" s="2">
        <v>0</v>
      </c>
      <c r="F17546" s="2">
        <v>0</v>
      </c>
      <c r="G17546" s="2">
        <v>0</v>
      </c>
      <c r="H17546" s="1" t="s">
        <v>0</v>
      </c>
      <c r="I17546" s="2">
        <v>0</v>
      </c>
      <c r="J17546" s="1">
        <v>46009.753217592595</v>
      </c>
    </row>
    <row r="17547" spans="1:10" x14ac:dyDescent="0.2">
      <c r="A17547" s="4" t="s">
        <v>1</v>
      </c>
      <c r="B17547" s="3" t="str">
        <f>HYPERLINK("https://otsuka-europe-crm.veevavault.com/ui/#object/approved_document__v/V5O00000000D106", "Postal Navidad 2025")</f>
        <v>Postal Navidad 2025</v>
      </c>
      <c r="C17547" s="3" t="str">
        <f>HYPERLINK("https://otsuka-europe-crm.veevavault.com/ui/#object/sent_email__v/VBL000000012190", "SE-001398207")</f>
        <v>SE-001398207</v>
      </c>
      <c r="D17547" s="1">
        <v>46019.005509259259</v>
      </c>
      <c r="E17547" s="2">
        <v>1</v>
      </c>
      <c r="F17547" s="2">
        <v>2</v>
      </c>
      <c r="G17547" s="2">
        <v>0</v>
      </c>
      <c r="H17547" s="1" t="s">
        <v>0</v>
      </c>
      <c r="I17547" s="2">
        <v>0</v>
      </c>
      <c r="J17547" s="1">
        <v>46013.34171296296</v>
      </c>
    </row>
    <row r="17548" spans="1:10" x14ac:dyDescent="0.2">
      <c r="A17548" s="4" t="s">
        <v>1</v>
      </c>
      <c r="B17548" s="3" t="str">
        <f>HYPERLINK("https://otsuka-europe-crm.veevavault.com/ui/#object/approved_document__v/V5O00000000D106", "Postal Navidad 2025")</f>
        <v>Postal Navidad 2025</v>
      </c>
      <c r="C17548" s="3" t="str">
        <f>HYPERLINK("https://otsuka-europe-crm.veevavault.com/ui/#object/sent_email__v/VBL000000012191", "SE-001398208")</f>
        <v>SE-001398208</v>
      </c>
      <c r="D17548" s="1">
        <v>46013.725972222222</v>
      </c>
      <c r="E17548" s="2">
        <v>1</v>
      </c>
      <c r="F17548" s="2">
        <v>1</v>
      </c>
      <c r="G17548" s="2">
        <v>0</v>
      </c>
      <c r="H17548" s="1" t="s">
        <v>0</v>
      </c>
      <c r="I17548" s="2">
        <v>0</v>
      </c>
      <c r="J17548" s="1">
        <v>46013.34171296296</v>
      </c>
    </row>
    <row r="17549" spans="1:10" x14ac:dyDescent="0.2">
      <c r="A17549" s="4" t="s">
        <v>1</v>
      </c>
      <c r="B17549" s="3" t="str">
        <f>HYPERLINK("https://otsuka-europe-crm.veevavault.com/ui/#object/approved_document__v/V5O00000000D106", "Postal Navidad 2025")</f>
        <v>Postal Navidad 2025</v>
      </c>
      <c r="C17549" s="3" t="str">
        <f>HYPERLINK("https://otsuka-europe-crm.veevavault.com/ui/#object/sent_email__v/VBL000000012192", "SE-001398209")</f>
        <v>SE-001398209</v>
      </c>
      <c r="D17549" s="1">
        <v>46034.05027777778</v>
      </c>
      <c r="E17549" s="2">
        <v>1</v>
      </c>
      <c r="F17549" s="2">
        <v>1</v>
      </c>
      <c r="G17549" s="2">
        <v>0</v>
      </c>
      <c r="H17549" s="1" t="s">
        <v>0</v>
      </c>
      <c r="I17549" s="2">
        <v>0</v>
      </c>
      <c r="J17549" s="1">
        <v>46013.341724537036</v>
      </c>
    </row>
    <row r="17550" spans="1:10" x14ac:dyDescent="0.2">
      <c r="A17550" s="4" t="s">
        <v>1</v>
      </c>
      <c r="B17550" s="3" t="str">
        <f>HYPERLINK("https://otsuka-europe-crm.veevavault.com/ui/#object/approved_document__v/V5O00000000D106", "Postal Navidad 2025")</f>
        <v>Postal Navidad 2025</v>
      </c>
      <c r="C17550" s="3" t="str">
        <f>HYPERLINK("https://otsuka-europe-crm.veevavault.com/ui/#object/sent_email__v/VBL000000012193", "SE-001398210")</f>
        <v>SE-001398210</v>
      </c>
      <c r="D17550" s="1">
        <v>46013.444965277777</v>
      </c>
      <c r="E17550" s="2">
        <v>1</v>
      </c>
      <c r="F17550" s="2">
        <v>1</v>
      </c>
      <c r="G17550" s="2">
        <v>0</v>
      </c>
      <c r="H17550" s="1" t="s">
        <v>0</v>
      </c>
      <c r="I17550" s="2">
        <v>0</v>
      </c>
      <c r="J17550" s="1">
        <v>46013.34175925926</v>
      </c>
    </row>
    <row r="17551" spans="1:10" x14ac:dyDescent="0.2">
      <c r="A17551" s="4" t="s">
        <v>1</v>
      </c>
      <c r="B17551" s="3" t="str">
        <f>HYPERLINK("https://otsuka-europe-crm.veevavault.com/ui/#object/approved_document__v/V5O00000000D106", "Postal Navidad 2025")</f>
        <v>Postal Navidad 2025</v>
      </c>
      <c r="C17551" s="3" t="str">
        <f>HYPERLINK("https://otsuka-europe-crm.veevavault.com/ui/#object/sent_email__v/VBL000000012194", "SE-001398211")</f>
        <v>SE-001398211</v>
      </c>
      <c r="D17551" s="1" t="s">
        <v>0</v>
      </c>
      <c r="E17551" s="2">
        <v>0</v>
      </c>
      <c r="F17551" s="2">
        <v>0</v>
      </c>
      <c r="G17551" s="2">
        <v>0</v>
      </c>
      <c r="H17551" s="1" t="s">
        <v>0</v>
      </c>
      <c r="I17551" s="2">
        <v>0</v>
      </c>
      <c r="J17551" s="1">
        <v>46013.34171296296</v>
      </c>
    </row>
    <row r="17552" spans="1:10" x14ac:dyDescent="0.2">
      <c r="A17552" s="4" t="s">
        <v>1</v>
      </c>
      <c r="B17552" s="3" t="str">
        <f>HYPERLINK("https://otsuka-europe-crm.veevavault.com/ui/#object/approved_document__v/V5O00000000D106", "Postal Navidad 2025")</f>
        <v>Postal Navidad 2025</v>
      </c>
      <c r="C17552" s="3" t="str">
        <f>HYPERLINK("https://otsuka-europe-crm.veevavault.com/ui/#object/sent_email__v/VBL000000012195", "SE-001398212")</f>
        <v>SE-001398212</v>
      </c>
      <c r="D17552" s="1">
        <v>46013.387974537036</v>
      </c>
      <c r="E17552" s="2">
        <v>1</v>
      </c>
      <c r="F17552" s="2">
        <v>2</v>
      </c>
      <c r="G17552" s="2">
        <v>0</v>
      </c>
      <c r="H17552" s="1" t="s">
        <v>0</v>
      </c>
      <c r="I17552" s="2">
        <v>0</v>
      </c>
      <c r="J17552" s="1">
        <v>46013.34175925926</v>
      </c>
    </row>
    <row r="17553" spans="1:10" x14ac:dyDescent="0.2">
      <c r="A17553" s="4" t="s">
        <v>1</v>
      </c>
      <c r="B17553" s="3" t="str">
        <f>HYPERLINK("https://otsuka-europe-crm.veevavault.com/ui/#object/approved_document__v/V5O00000000D106", "Postal Navidad 2025")</f>
        <v>Postal Navidad 2025</v>
      </c>
      <c r="C17553" s="3" t="str">
        <f>HYPERLINK("https://otsuka-europe-crm.veevavault.com/ui/#object/sent_email__v/VBL000000012196", "SE-001398213")</f>
        <v>SE-001398213</v>
      </c>
      <c r="D17553" s="1">
        <v>46013.787939814814</v>
      </c>
      <c r="E17553" s="2">
        <v>1</v>
      </c>
      <c r="F17553" s="2">
        <v>5</v>
      </c>
      <c r="G17553" s="2">
        <v>0</v>
      </c>
      <c r="H17553" s="1" t="s">
        <v>0</v>
      </c>
      <c r="I17553" s="2">
        <v>0</v>
      </c>
      <c r="J17553" s="1">
        <v>46013.34175925926</v>
      </c>
    </row>
    <row r="17554" spans="1:10" x14ac:dyDescent="0.2">
      <c r="A17554" s="4" t="s">
        <v>1</v>
      </c>
      <c r="B17554" s="3" t="str">
        <f>HYPERLINK("https://otsuka-europe-crm.veevavault.com/ui/#object/approved_document__v/V5O00000000D106", "Postal Navidad 2025")</f>
        <v>Postal Navidad 2025</v>
      </c>
      <c r="C17554" s="3" t="str">
        <f>HYPERLINK("https://otsuka-europe-crm.veevavault.com/ui/#object/sent_email__v/VBL000000012197", "SE-001398214")</f>
        <v>SE-001398214</v>
      </c>
      <c r="D17554" s="1" t="s">
        <v>0</v>
      </c>
      <c r="E17554" s="2">
        <v>0</v>
      </c>
      <c r="F17554" s="2">
        <v>0</v>
      </c>
      <c r="G17554" s="2">
        <v>0</v>
      </c>
      <c r="H17554" s="1" t="s">
        <v>0</v>
      </c>
      <c r="I17554" s="2">
        <v>0</v>
      </c>
      <c r="J17554" s="1">
        <v>46013.34171296296</v>
      </c>
    </row>
    <row r="17555" spans="1:10" x14ac:dyDescent="0.2">
      <c r="A17555" s="4" t="s">
        <v>1</v>
      </c>
      <c r="B17555" s="3" t="str">
        <f>HYPERLINK("https://otsuka-europe-crm.veevavault.com/ui/#object/approved_document__v/V5O00000000D106", "Postal Navidad 2025")</f>
        <v>Postal Navidad 2025</v>
      </c>
      <c r="C17555" s="3" t="str">
        <f>HYPERLINK("https://otsuka-europe-crm.veevavault.com/ui/#object/sent_email__v/VBL000000012198", "SE-001398215")</f>
        <v>SE-001398215</v>
      </c>
      <c r="D17555" s="1">
        <v>46013.349537037036</v>
      </c>
      <c r="E17555" s="2">
        <v>1</v>
      </c>
      <c r="F17555" s="2">
        <v>1</v>
      </c>
      <c r="G17555" s="2">
        <v>0</v>
      </c>
      <c r="H17555" s="1" t="s">
        <v>0</v>
      </c>
      <c r="I17555" s="2">
        <v>0</v>
      </c>
      <c r="J17555" s="1">
        <v>46013.34171296296</v>
      </c>
    </row>
    <row r="17556" spans="1:10" x14ac:dyDescent="0.2">
      <c r="A17556" s="4" t="s">
        <v>1</v>
      </c>
      <c r="B17556" s="3" t="str">
        <f>HYPERLINK("https://otsuka-europe-crm.veevavault.com/ui/#object/approved_document__v/V5O00000000D106", "Postal Navidad 2025")</f>
        <v>Postal Navidad 2025</v>
      </c>
      <c r="C17556" s="3" t="str">
        <f>HYPERLINK("https://otsuka-europe-crm.veevavault.com/ui/#object/sent_email__v/VBL000000012199", "SE-001398216")</f>
        <v>SE-001398216</v>
      </c>
      <c r="D17556" s="1" t="s">
        <v>0</v>
      </c>
      <c r="E17556" s="2">
        <v>0</v>
      </c>
      <c r="F17556" s="2">
        <v>0</v>
      </c>
      <c r="G17556" s="2">
        <v>0</v>
      </c>
      <c r="H17556" s="1" t="s">
        <v>0</v>
      </c>
      <c r="I17556" s="2">
        <v>0</v>
      </c>
      <c r="J17556" s="1">
        <v>46013.34170138889</v>
      </c>
    </row>
    <row r="17557" spans="1:10" x14ac:dyDescent="0.2">
      <c r="A17557" s="4" t="s">
        <v>1</v>
      </c>
      <c r="B17557" s="3" t="str">
        <f>HYPERLINK("https://otsuka-europe-crm.veevavault.com/ui/#object/approved_document__v/V5O00000000D106", "Postal Navidad 2025")</f>
        <v>Postal Navidad 2025</v>
      </c>
      <c r="C17557" s="3" t="str">
        <f>HYPERLINK("https://otsuka-europe-crm.veevavault.com/ui/#object/sent_email__v/VBL000000012200", "SE-001398217")</f>
        <v>SE-001398217</v>
      </c>
      <c r="D17557" s="1">
        <v>46044.316111111111</v>
      </c>
      <c r="E17557" s="2">
        <v>1</v>
      </c>
      <c r="F17557" s="2">
        <v>3</v>
      </c>
      <c r="G17557" s="2">
        <v>0</v>
      </c>
      <c r="H17557" s="1" t="s">
        <v>0</v>
      </c>
      <c r="I17557" s="2">
        <v>0</v>
      </c>
      <c r="J17557" s="1">
        <v>46013.341817129629</v>
      </c>
    </row>
    <row r="17558" spans="1:10" x14ac:dyDescent="0.2">
      <c r="A17558" s="4" t="s">
        <v>1</v>
      </c>
      <c r="B17558" s="3" t="str">
        <f>HYPERLINK("https://otsuka-europe-crm.veevavault.com/ui/#object/approved_document__v/V5O00000000D106", "Postal Navidad 2025")</f>
        <v>Postal Navidad 2025</v>
      </c>
      <c r="C17558" s="3" t="str">
        <f>HYPERLINK("https://otsuka-europe-crm.veevavault.com/ui/#object/sent_email__v/VBL000000012201", "SE-001398218")</f>
        <v>SE-001398218</v>
      </c>
      <c r="D17558" s="1">
        <v>46013.357037037036</v>
      </c>
      <c r="E17558" s="2">
        <v>1</v>
      </c>
      <c r="F17558" s="2">
        <v>1</v>
      </c>
      <c r="G17558" s="2">
        <v>0</v>
      </c>
      <c r="H17558" s="1" t="s">
        <v>0</v>
      </c>
      <c r="I17558" s="2">
        <v>0</v>
      </c>
      <c r="J17558" s="1">
        <v>46013.341817129629</v>
      </c>
    </row>
    <row r="17559" spans="1:10" x14ac:dyDescent="0.2">
      <c r="A17559" s="4" t="s">
        <v>1</v>
      </c>
      <c r="B17559" s="3" t="str">
        <f>HYPERLINK("https://otsuka-europe-crm.veevavault.com/ui/#object/approved_document__v/V5O00000000D106", "Postal Navidad 2025")</f>
        <v>Postal Navidad 2025</v>
      </c>
      <c r="C17559" s="3" t="str">
        <f>HYPERLINK("https://otsuka-europe-crm.veevavault.com/ui/#object/sent_email__v/VBL000000012202", "SE-001398219")</f>
        <v>SE-001398219</v>
      </c>
      <c r="D17559" s="1">
        <v>46013.605868055558</v>
      </c>
      <c r="E17559" s="2">
        <v>1</v>
      </c>
      <c r="F17559" s="2">
        <v>1</v>
      </c>
      <c r="G17559" s="2">
        <v>0</v>
      </c>
      <c r="H17559" s="1" t="s">
        <v>0</v>
      </c>
      <c r="I17559" s="2">
        <v>0</v>
      </c>
      <c r="J17559" s="1">
        <v>46013.341840277775</v>
      </c>
    </row>
    <row r="17560" spans="1:10" x14ac:dyDescent="0.2">
      <c r="A17560" s="4" t="s">
        <v>1</v>
      </c>
      <c r="B17560" s="3" t="str">
        <f>HYPERLINK("https://otsuka-europe-crm.veevavault.com/ui/#object/approved_document__v/V5O00000000D106", "Postal Navidad 2025")</f>
        <v>Postal Navidad 2025</v>
      </c>
      <c r="C17560" s="3" t="str">
        <f>HYPERLINK("https://otsuka-europe-crm.veevavault.com/ui/#object/sent_email__v/VBL000000012203", "SE-001398220")</f>
        <v>SE-001398220</v>
      </c>
      <c r="D17560" s="1">
        <v>46013.341886574075</v>
      </c>
      <c r="E17560" s="2">
        <v>1</v>
      </c>
      <c r="F17560" s="2">
        <v>1</v>
      </c>
      <c r="G17560" s="2">
        <v>0</v>
      </c>
      <c r="H17560" s="1" t="s">
        <v>0</v>
      </c>
      <c r="I17560" s="2">
        <v>0</v>
      </c>
      <c r="J17560" s="1">
        <v>46013.341817129629</v>
      </c>
    </row>
    <row r="17561" spans="1:10" x14ac:dyDescent="0.2">
      <c r="A17561" s="4" t="s">
        <v>1</v>
      </c>
      <c r="B17561" s="3" t="str">
        <f>HYPERLINK("https://otsuka-europe-crm.veevavault.com/ui/#object/approved_document__v/V5O00000000D106", "Postal Navidad 2025")</f>
        <v>Postal Navidad 2025</v>
      </c>
      <c r="C17561" s="3" t="str">
        <f>HYPERLINK("https://otsuka-europe-crm.veevavault.com/ui/#object/sent_email__v/VBL000000012204", "SE-001398221")</f>
        <v>SE-001398221</v>
      </c>
      <c r="D17561" s="1">
        <v>46013.952870370369</v>
      </c>
      <c r="E17561" s="2">
        <v>1</v>
      </c>
      <c r="F17561" s="2">
        <v>4</v>
      </c>
      <c r="G17561" s="2">
        <v>0</v>
      </c>
      <c r="H17561" s="1" t="s">
        <v>0</v>
      </c>
      <c r="I17561" s="2">
        <v>0</v>
      </c>
      <c r="J17561" s="1">
        <v>46013.341770833336</v>
      </c>
    </row>
    <row r="17562" spans="1:10" x14ac:dyDescent="0.2">
      <c r="A17562" s="4" t="s">
        <v>1</v>
      </c>
      <c r="B17562" s="3" t="str">
        <f>HYPERLINK("https://otsuka-europe-crm.veevavault.com/ui/#object/approved_document__v/V5O00000000D106", "Postal Navidad 2025")</f>
        <v>Postal Navidad 2025</v>
      </c>
      <c r="C17562" s="3" t="str">
        <f>HYPERLINK("https://otsuka-europe-crm.veevavault.com/ui/#object/sent_email__v/VBL000000012205", "SE-001398222")</f>
        <v>SE-001398222</v>
      </c>
      <c r="D17562" s="1">
        <v>46021.371747685182</v>
      </c>
      <c r="E17562" s="2">
        <v>1</v>
      </c>
      <c r="F17562" s="2">
        <v>4</v>
      </c>
      <c r="G17562" s="2">
        <v>0</v>
      </c>
      <c r="H17562" s="1" t="s">
        <v>0</v>
      </c>
      <c r="I17562" s="2">
        <v>0</v>
      </c>
      <c r="J17562" s="1">
        <v>46013.341828703706</v>
      </c>
    </row>
    <row r="17563" spans="1:10" x14ac:dyDescent="0.2">
      <c r="A17563" s="4" t="s">
        <v>1</v>
      </c>
      <c r="B17563" s="3" t="str">
        <f>HYPERLINK("https://otsuka-europe-crm.veevavault.com/ui/#object/approved_document__v/V5O00000000D106", "Postal Navidad 2025")</f>
        <v>Postal Navidad 2025</v>
      </c>
      <c r="C17563" s="3" t="str">
        <f>HYPERLINK("https://otsuka-europe-crm.veevavault.com/ui/#object/sent_email__v/VBL000000012206", "SE-001398223")</f>
        <v>SE-001398223</v>
      </c>
      <c r="D17563" s="1">
        <v>46013.809282407405</v>
      </c>
      <c r="E17563" s="2">
        <v>1</v>
      </c>
      <c r="F17563" s="2">
        <v>1</v>
      </c>
      <c r="G17563" s="2">
        <v>0</v>
      </c>
      <c r="H17563" s="1" t="s">
        <v>0</v>
      </c>
      <c r="I17563" s="2">
        <v>0</v>
      </c>
      <c r="J17563" s="1">
        <v>46013.341817129629</v>
      </c>
    </row>
    <row r="17564" spans="1:10" x14ac:dyDescent="0.2">
      <c r="A17564" s="4" t="s">
        <v>1</v>
      </c>
      <c r="B17564" s="3" t="str">
        <f>HYPERLINK("https://otsuka-europe-crm.veevavault.com/ui/#object/approved_document__v/V5O00000000D106", "Postal Navidad 2025")</f>
        <v>Postal Navidad 2025</v>
      </c>
      <c r="C17564" s="3" t="str">
        <f>HYPERLINK("https://otsuka-europe-crm.veevavault.com/ui/#object/sent_email__v/VBL000000012207", "SE-001398224")</f>
        <v>SE-001398224</v>
      </c>
      <c r="D17564" s="1">
        <v>46013.386134259257</v>
      </c>
      <c r="E17564" s="2">
        <v>1</v>
      </c>
      <c r="F17564" s="2">
        <v>1</v>
      </c>
      <c r="G17564" s="2">
        <v>0</v>
      </c>
      <c r="H17564" s="1" t="s">
        <v>0</v>
      </c>
      <c r="I17564" s="2">
        <v>0</v>
      </c>
      <c r="J17564" s="1">
        <v>46013.341817129629</v>
      </c>
    </row>
    <row r="17565" spans="1:10" x14ac:dyDescent="0.2">
      <c r="A17565" s="4" t="s">
        <v>1</v>
      </c>
      <c r="B17565" s="3" t="str">
        <f>HYPERLINK("https://otsuka-europe-crm.veevavault.com/ui/#object/approved_document__v/V5O00000000D106", "Postal Navidad 2025")</f>
        <v>Postal Navidad 2025</v>
      </c>
      <c r="C17565" s="3" t="str">
        <f>HYPERLINK("https://otsuka-europe-crm.veevavault.com/ui/#object/sent_email__v/VBL000000012208", "SE-001398225")</f>
        <v>SE-001398225</v>
      </c>
      <c r="D17565" s="1">
        <v>46013.426435185182</v>
      </c>
      <c r="E17565" s="2">
        <v>1</v>
      </c>
      <c r="F17565" s="2">
        <v>2</v>
      </c>
      <c r="G17565" s="2">
        <v>0</v>
      </c>
      <c r="H17565" s="1" t="s">
        <v>0</v>
      </c>
      <c r="I17565" s="2">
        <v>0</v>
      </c>
      <c r="J17565" s="1">
        <v>46013.34175925926</v>
      </c>
    </row>
    <row r="17566" spans="1:10" x14ac:dyDescent="0.2">
      <c r="A17566" s="4" t="s">
        <v>1</v>
      </c>
      <c r="B17566" s="3" t="str">
        <f>HYPERLINK("https://otsuka-europe-crm.veevavault.com/ui/#object/approved_document__v/V5O00000000D106", "Postal Navidad 2025")</f>
        <v>Postal Navidad 2025</v>
      </c>
      <c r="C17566" s="3" t="str">
        <f>HYPERLINK("https://otsuka-europe-crm.veevavault.com/ui/#object/sent_email__v/VBL000000012209", "SE-001398226")</f>
        <v>SE-001398226</v>
      </c>
      <c r="D17566" s="1">
        <v>46030.384652777779</v>
      </c>
      <c r="E17566" s="2">
        <v>1</v>
      </c>
      <c r="F17566" s="2">
        <v>1</v>
      </c>
      <c r="G17566" s="2">
        <v>0</v>
      </c>
      <c r="H17566" s="1" t="s">
        <v>0</v>
      </c>
      <c r="I17566" s="2">
        <v>0</v>
      </c>
      <c r="J17566" s="1">
        <v>46013.341805555552</v>
      </c>
    </row>
    <row r="17567" spans="1:10" x14ac:dyDescent="0.2">
      <c r="A17567" s="4" t="s">
        <v>1</v>
      </c>
      <c r="B17567" s="3" t="str">
        <f>HYPERLINK("https://otsuka-europe-crm.veevavault.com/ui/#object/approved_document__v/V5O00000000D106", "Postal Navidad 2025")</f>
        <v>Postal Navidad 2025</v>
      </c>
      <c r="C17567" s="3" t="str">
        <f>HYPERLINK("https://otsuka-europe-crm.veevavault.com/ui/#object/sent_email__v/VBL000000013190", "SE-001398227")</f>
        <v>SE-001398227</v>
      </c>
      <c r="D17567" s="1">
        <v>46013.603171296294</v>
      </c>
      <c r="E17567" s="2">
        <v>1</v>
      </c>
      <c r="F17567" s="2">
        <v>1</v>
      </c>
      <c r="G17567" s="2">
        <v>0</v>
      </c>
      <c r="H17567" s="1" t="s">
        <v>0</v>
      </c>
      <c r="I17567" s="2">
        <v>0</v>
      </c>
      <c r="J17567" s="1">
        <v>46013.341828703706</v>
      </c>
    </row>
    <row r="17568" spans="1:10" x14ac:dyDescent="0.2">
      <c r="A17568" s="4" t="s">
        <v>1</v>
      </c>
      <c r="B17568" s="3" t="str">
        <f>HYPERLINK("https://otsuka-europe-crm.veevavault.com/ui/#object/approved_document__v/V5O00000000D106", "Postal Navidad 2025")</f>
        <v>Postal Navidad 2025</v>
      </c>
      <c r="C17568" s="3" t="str">
        <f>HYPERLINK("https://otsuka-europe-crm.veevavault.com/ui/#object/sent_email__v/VBL000000013191", "SE-001398228")</f>
        <v>SE-001398228</v>
      </c>
      <c r="D17568" s="1" t="s">
        <v>0</v>
      </c>
      <c r="E17568" s="2">
        <v>0</v>
      </c>
      <c r="F17568" s="2">
        <v>0</v>
      </c>
      <c r="G17568" s="2">
        <v>0</v>
      </c>
      <c r="H17568" s="1" t="s">
        <v>0</v>
      </c>
      <c r="I17568" s="2">
        <v>0</v>
      </c>
      <c r="J17568" s="1">
        <v>46013.34171296296</v>
      </c>
    </row>
    <row r="17569" spans="1:10" x14ac:dyDescent="0.2">
      <c r="A17569" s="4" t="s">
        <v>1</v>
      </c>
      <c r="B17569" s="3" t="str">
        <f>HYPERLINK("https://otsuka-europe-crm.veevavault.com/ui/#object/approved_document__v/V5O00000000D106", "Postal Navidad 2025")</f>
        <v>Postal Navidad 2025</v>
      </c>
      <c r="C17569" s="3" t="str">
        <f>HYPERLINK("https://otsuka-europe-crm.veevavault.com/ui/#object/sent_email__v/VBL000000013192", "SE-001398229")</f>
        <v>SE-001398229</v>
      </c>
      <c r="D17569" s="1">
        <v>46019.779189814813</v>
      </c>
      <c r="E17569" s="2">
        <v>1</v>
      </c>
      <c r="F17569" s="2">
        <v>2</v>
      </c>
      <c r="G17569" s="2">
        <v>0</v>
      </c>
      <c r="H17569" s="1" t="s">
        <v>0</v>
      </c>
      <c r="I17569" s="2">
        <v>0</v>
      </c>
      <c r="J17569" s="1">
        <v>46013.34175925926</v>
      </c>
    </row>
    <row r="17570" spans="1:10" x14ac:dyDescent="0.2">
      <c r="A17570" s="4" t="s">
        <v>1</v>
      </c>
      <c r="B17570" s="3" t="str">
        <f>HYPERLINK("https://otsuka-europe-crm.veevavault.com/ui/#object/approved_document__v/V5O00000000D106", "Postal Navidad 2025")</f>
        <v>Postal Navidad 2025</v>
      </c>
      <c r="C17570" s="3" t="str">
        <f>HYPERLINK("https://otsuka-europe-crm.veevavault.com/ui/#object/sent_email__v/VBL000000013193", "SE-001398230")</f>
        <v>SE-001398230</v>
      </c>
      <c r="D17570" s="1">
        <v>46013.441840277781</v>
      </c>
      <c r="E17570" s="2">
        <v>1</v>
      </c>
      <c r="F17570" s="2">
        <v>3</v>
      </c>
      <c r="G17570" s="2">
        <v>0</v>
      </c>
      <c r="H17570" s="1" t="s">
        <v>0</v>
      </c>
      <c r="I17570" s="2">
        <v>0</v>
      </c>
      <c r="J17570" s="1">
        <v>46013.34175925926</v>
      </c>
    </row>
    <row r="17571" spans="1:10" x14ac:dyDescent="0.2">
      <c r="A17571" s="4" t="s">
        <v>1</v>
      </c>
      <c r="B17571" s="3" t="str">
        <f>HYPERLINK("https://otsuka-europe-crm.veevavault.com/ui/#object/approved_document__v/V5O00000000D106", "Postal Navidad 2025")</f>
        <v>Postal Navidad 2025</v>
      </c>
      <c r="C17571" s="3" t="str">
        <f>HYPERLINK("https://otsuka-europe-crm.veevavault.com/ui/#object/sent_email__v/VBL000000013194", "SE-001398231")</f>
        <v>SE-001398231</v>
      </c>
      <c r="D17571" s="1">
        <v>46025.429351851853</v>
      </c>
      <c r="E17571" s="2">
        <v>1</v>
      </c>
      <c r="F17571" s="2">
        <v>7</v>
      </c>
      <c r="G17571" s="2">
        <v>0</v>
      </c>
      <c r="H17571" s="1" t="s">
        <v>0</v>
      </c>
      <c r="I17571" s="2">
        <v>0</v>
      </c>
      <c r="J17571" s="1">
        <v>46013.34175925926</v>
      </c>
    </row>
    <row r="17572" spans="1:10" x14ac:dyDescent="0.2">
      <c r="A17572" s="4" t="s">
        <v>1</v>
      </c>
      <c r="B17572" s="3" t="str">
        <f>HYPERLINK("https://otsuka-europe-crm.veevavault.com/ui/#object/approved_document__v/V5O00000000D106", "Postal Navidad 2025")</f>
        <v>Postal Navidad 2025</v>
      </c>
      <c r="C17572" s="3" t="str">
        <f>HYPERLINK("https://otsuka-europe-crm.veevavault.com/ui/#object/sent_email__v/VBL000000013195", "SE-001398232")</f>
        <v>SE-001398232</v>
      </c>
      <c r="D17572" s="1">
        <v>46040.907766203702</v>
      </c>
      <c r="E17572" s="2">
        <v>1</v>
      </c>
      <c r="F17572" s="2">
        <v>2</v>
      </c>
      <c r="G17572" s="2">
        <v>0</v>
      </c>
      <c r="H17572" s="1" t="s">
        <v>0</v>
      </c>
      <c r="I17572" s="2">
        <v>0</v>
      </c>
      <c r="J17572" s="1">
        <v>46013.34175925926</v>
      </c>
    </row>
    <row r="17573" spans="1:10" x14ac:dyDescent="0.2">
      <c r="A17573" s="4" t="s">
        <v>1</v>
      </c>
      <c r="B17573" s="3" t="str">
        <f>HYPERLINK("https://otsuka-europe-crm.veevavault.com/ui/#object/approved_document__v/V5O00000000D106", "Postal Navidad 2025")</f>
        <v>Postal Navidad 2025</v>
      </c>
      <c r="C17573" s="3" t="str">
        <f>HYPERLINK("https://otsuka-europe-crm.veevavault.com/ui/#object/sent_email__v/VBL000000013196", "SE-001398233")</f>
        <v>SE-001398233</v>
      </c>
      <c r="D17573" s="1">
        <v>46013.353865740741</v>
      </c>
      <c r="E17573" s="2">
        <v>1</v>
      </c>
      <c r="F17573" s="2">
        <v>5</v>
      </c>
      <c r="G17573" s="2">
        <v>0</v>
      </c>
      <c r="H17573" s="1" t="s">
        <v>0</v>
      </c>
      <c r="I17573" s="2">
        <v>0</v>
      </c>
      <c r="J17573" s="1">
        <v>46013.34175925926</v>
      </c>
    </row>
    <row r="17574" spans="1:10" x14ac:dyDescent="0.2">
      <c r="A17574" s="4" t="s">
        <v>1</v>
      </c>
      <c r="B17574" s="3" t="str">
        <f>HYPERLINK("https://otsuka-europe-crm.veevavault.com/ui/#object/approved_document__v/V5O00000000D106", "Postal Navidad 2025")</f>
        <v>Postal Navidad 2025</v>
      </c>
      <c r="C17574" s="3" t="str">
        <f>HYPERLINK("https://otsuka-europe-crm.veevavault.com/ui/#object/sent_email__v/VBL000000013197", "SE-001398234")</f>
        <v>SE-001398234</v>
      </c>
      <c r="D17574" s="1" t="s">
        <v>0</v>
      </c>
      <c r="E17574" s="2">
        <v>0</v>
      </c>
      <c r="F17574" s="2">
        <v>0</v>
      </c>
      <c r="G17574" s="2">
        <v>0</v>
      </c>
      <c r="H17574" s="1" t="s">
        <v>0</v>
      </c>
      <c r="I17574" s="2">
        <v>0</v>
      </c>
      <c r="J17574" s="1">
        <v>46013.34175925926</v>
      </c>
    </row>
    <row r="17575" spans="1:10" x14ac:dyDescent="0.2">
      <c r="A17575" s="4" t="s">
        <v>1</v>
      </c>
      <c r="B17575" s="3" t="str">
        <f>HYPERLINK("https://otsuka-europe-crm.veevavault.com/ui/#object/approved_document__v/V5O00000000D106", "Postal Navidad 2025")</f>
        <v>Postal Navidad 2025</v>
      </c>
      <c r="C17575" s="3" t="str">
        <f>HYPERLINK("https://otsuka-europe-crm.veevavault.com/ui/#object/sent_email__v/VBL000000013198", "SE-001398235")</f>
        <v>SE-001398235</v>
      </c>
      <c r="D17575" s="1">
        <v>46013.477997685186</v>
      </c>
      <c r="E17575" s="2">
        <v>1</v>
      </c>
      <c r="F17575" s="2">
        <v>1</v>
      </c>
      <c r="G17575" s="2">
        <v>0</v>
      </c>
      <c r="H17575" s="1" t="s">
        <v>0</v>
      </c>
      <c r="I17575" s="2">
        <v>0</v>
      </c>
      <c r="J17575" s="1">
        <v>46013.341747685183</v>
      </c>
    </row>
    <row r="17576" spans="1:10" x14ac:dyDescent="0.2">
      <c r="A17576" s="4" t="s">
        <v>1</v>
      </c>
      <c r="B17576" s="3" t="str">
        <f>HYPERLINK("https://otsuka-europe-crm.veevavault.com/ui/#object/approved_document__v/V5O00000000D106", "Postal Navidad 2025")</f>
        <v>Postal Navidad 2025</v>
      </c>
      <c r="C17576" s="3" t="str">
        <f>HYPERLINK("https://otsuka-europe-crm.veevavault.com/ui/#object/sent_email__v/VBL000000013199", "SE-001398236")</f>
        <v>SE-001398236</v>
      </c>
      <c r="D17576" s="1" t="s">
        <v>0</v>
      </c>
      <c r="E17576" s="2">
        <v>0</v>
      </c>
      <c r="F17576" s="2">
        <v>0</v>
      </c>
      <c r="G17576" s="2">
        <v>0</v>
      </c>
      <c r="H17576" s="1" t="s">
        <v>0</v>
      </c>
      <c r="I17576" s="2">
        <v>0</v>
      </c>
      <c r="J17576" s="1">
        <v>46013.341747685183</v>
      </c>
    </row>
    <row r="17577" spans="1:10" x14ac:dyDescent="0.2">
      <c r="A17577" s="4" t="s">
        <v>1</v>
      </c>
      <c r="B17577" s="3" t="str">
        <f>HYPERLINK("https://otsuka-europe-crm.veevavault.com/ui/#object/approved_document__v/V5O00000000D106", "Postal Navidad 2025")</f>
        <v>Postal Navidad 2025</v>
      </c>
      <c r="C17577" s="3" t="str">
        <f>HYPERLINK("https://otsuka-europe-crm.veevavault.com/ui/#object/sent_email__v/VBL000000013200", "SE-001398237")</f>
        <v>SE-001398237</v>
      </c>
      <c r="D17577" s="1">
        <v>46015.6250462963</v>
      </c>
      <c r="E17577" s="2">
        <v>1</v>
      </c>
      <c r="F17577" s="2">
        <v>2</v>
      </c>
      <c r="G17577" s="2">
        <v>0</v>
      </c>
      <c r="H17577" s="1" t="s">
        <v>0</v>
      </c>
      <c r="I17577" s="2">
        <v>0</v>
      </c>
      <c r="J17577" s="1">
        <v>46013.34171296296</v>
      </c>
    </row>
    <row r="17578" spans="1:10" x14ac:dyDescent="0.2">
      <c r="A17578" s="4" t="s">
        <v>1</v>
      </c>
      <c r="B17578" s="3" t="str">
        <f>HYPERLINK("https://otsuka-europe-crm.veevavault.com/ui/#object/approved_document__v/V5O00000000D106", "Postal Navidad 2025")</f>
        <v>Postal Navidad 2025</v>
      </c>
      <c r="C17578" s="3" t="str">
        <f>HYPERLINK("https://otsuka-europe-crm.veevavault.com/ui/#object/sent_email__v/VBL000000013201", "SE-001398238")</f>
        <v>SE-001398238</v>
      </c>
      <c r="D17578" s="1">
        <v>46026.682858796295</v>
      </c>
      <c r="E17578" s="2">
        <v>1</v>
      </c>
      <c r="F17578" s="2">
        <v>10</v>
      </c>
      <c r="G17578" s="2">
        <v>0</v>
      </c>
      <c r="H17578" s="1" t="s">
        <v>0</v>
      </c>
      <c r="I17578" s="2">
        <v>0</v>
      </c>
      <c r="J17578" s="1">
        <v>46013.34175925926</v>
      </c>
    </row>
    <row r="17579" spans="1:10" x14ac:dyDescent="0.2">
      <c r="A17579" s="4" t="s">
        <v>1</v>
      </c>
      <c r="B17579" s="3" t="str">
        <f>HYPERLINK("https://otsuka-europe-crm.veevavault.com/ui/#object/approved_document__v/V5O00000000D106", "Postal Navidad 2025")</f>
        <v>Postal Navidad 2025</v>
      </c>
      <c r="C17579" s="3" t="str">
        <f>HYPERLINK("https://otsuka-europe-crm.veevavault.com/ui/#object/sent_email__v/VBL000000013202", "SE-001398239")</f>
        <v>SE-001398239</v>
      </c>
      <c r="D17579" s="1" t="s">
        <v>0</v>
      </c>
      <c r="E17579" s="2">
        <v>0</v>
      </c>
      <c r="F17579" s="2">
        <v>0</v>
      </c>
      <c r="G17579" s="2">
        <v>0</v>
      </c>
      <c r="H17579" s="1" t="s">
        <v>0</v>
      </c>
      <c r="I17579" s="2">
        <v>0</v>
      </c>
      <c r="J17579" s="1">
        <v>46013.34175925926</v>
      </c>
    </row>
    <row r="17580" spans="1:10" x14ac:dyDescent="0.2">
      <c r="A17580" s="4" t="s">
        <v>1</v>
      </c>
      <c r="B17580" s="3" t="str">
        <f>HYPERLINK("https://otsuka-europe-crm.veevavault.com/ui/#object/approved_document__v/V5O00000000D106", "Postal Navidad 2025")</f>
        <v>Postal Navidad 2025</v>
      </c>
      <c r="C17580" s="3" t="str">
        <f>HYPERLINK("https://otsuka-europe-crm.veevavault.com/ui/#object/sent_email__v/VBL000000013203", "SE-001398240")</f>
        <v>SE-001398240</v>
      </c>
      <c r="D17580" s="1">
        <v>46013.380474537036</v>
      </c>
      <c r="E17580" s="2">
        <v>1</v>
      </c>
      <c r="F17580" s="2">
        <v>1</v>
      </c>
      <c r="G17580" s="2">
        <v>0</v>
      </c>
      <c r="H17580" s="1" t="s">
        <v>0</v>
      </c>
      <c r="I17580" s="2">
        <v>0</v>
      </c>
      <c r="J17580" s="1">
        <v>46013.34171296296</v>
      </c>
    </row>
    <row r="17581" spans="1:10" x14ac:dyDescent="0.2">
      <c r="A17581" s="4" t="s">
        <v>1</v>
      </c>
      <c r="B17581" s="3" t="str">
        <f>HYPERLINK("https://otsuka-europe-crm.veevavault.com/ui/#object/approved_document__v/V5O00000000D106", "Postal Navidad 2025")</f>
        <v>Postal Navidad 2025</v>
      </c>
      <c r="C17581" s="3" t="str">
        <f>HYPERLINK("https://otsuka-europe-crm.veevavault.com/ui/#object/sent_email__v/VBL000000013204", "SE-001398241")</f>
        <v>SE-001398241</v>
      </c>
      <c r="D17581" s="1">
        <v>46013.387731481482</v>
      </c>
      <c r="E17581" s="2">
        <v>1</v>
      </c>
      <c r="F17581" s="2">
        <v>1</v>
      </c>
      <c r="G17581" s="2">
        <v>0</v>
      </c>
      <c r="H17581" s="1" t="s">
        <v>0</v>
      </c>
      <c r="I17581" s="2">
        <v>0</v>
      </c>
      <c r="J17581" s="1">
        <v>46013.34171296296</v>
      </c>
    </row>
    <row r="17582" spans="1:10" x14ac:dyDescent="0.2">
      <c r="A17582" s="4" t="s">
        <v>1</v>
      </c>
      <c r="B17582" s="3" t="str">
        <f>HYPERLINK("https://otsuka-europe-crm.veevavault.com/ui/#object/approved_document__v/V5O00000000D106", "Postal Navidad 2025")</f>
        <v>Postal Navidad 2025</v>
      </c>
      <c r="C17582" s="3" t="str">
        <f>HYPERLINK("https://otsuka-europe-crm.veevavault.com/ui/#object/sent_email__v/VBL000000013205", "SE-001398242")</f>
        <v>SE-001398242</v>
      </c>
      <c r="D17582" s="1" t="s">
        <v>0</v>
      </c>
      <c r="E17582" s="2">
        <v>0</v>
      </c>
      <c r="F17582" s="2">
        <v>0</v>
      </c>
      <c r="G17582" s="2">
        <v>0</v>
      </c>
      <c r="H17582" s="1" t="s">
        <v>0</v>
      </c>
      <c r="I17582" s="2">
        <v>0</v>
      </c>
      <c r="J17582" s="1">
        <v>46013.34170138889</v>
      </c>
    </row>
    <row r="17583" spans="1:10" x14ac:dyDescent="0.2">
      <c r="A17583" s="4" t="s">
        <v>1</v>
      </c>
      <c r="B17583" s="3" t="str">
        <f>HYPERLINK("https://otsuka-europe-crm.veevavault.com/ui/#object/approved_document__v/V5O00000000D106", "Postal Navidad 2025")</f>
        <v>Postal Navidad 2025</v>
      </c>
      <c r="C17583" s="3" t="str">
        <f>HYPERLINK("https://otsuka-europe-crm.veevavault.com/ui/#object/sent_email__v/VBL000000013206", "SE-001398243")</f>
        <v>SE-001398243</v>
      </c>
      <c r="D17583" s="1">
        <v>46013.368807870371</v>
      </c>
      <c r="E17583" s="2">
        <v>1</v>
      </c>
      <c r="F17583" s="2">
        <v>1</v>
      </c>
      <c r="G17583" s="2">
        <v>0</v>
      </c>
      <c r="H17583" s="1" t="s">
        <v>0</v>
      </c>
      <c r="I17583" s="2">
        <v>0</v>
      </c>
      <c r="J17583" s="1">
        <v>46013.34170138889</v>
      </c>
    </row>
    <row r="17584" spans="1:10" x14ac:dyDescent="0.2">
      <c r="A17584" s="4" t="s">
        <v>1</v>
      </c>
      <c r="B17584" s="3" t="str">
        <f>HYPERLINK("https://otsuka-europe-crm.veevavault.com/ui/#object/approved_document__v/V5O00000000D106", "Postal Navidad 2025")</f>
        <v>Postal Navidad 2025</v>
      </c>
      <c r="C17584" s="3" t="str">
        <f>HYPERLINK("https://otsuka-europe-crm.veevavault.com/ui/#object/sent_email__v/VBL000000013207", "SE-001398244")</f>
        <v>SE-001398244</v>
      </c>
      <c r="D17584" s="1">
        <v>46035.341608796298</v>
      </c>
      <c r="E17584" s="2">
        <v>1</v>
      </c>
      <c r="F17584" s="2">
        <v>3</v>
      </c>
      <c r="G17584" s="2">
        <v>0</v>
      </c>
      <c r="H17584" s="1" t="s">
        <v>0</v>
      </c>
      <c r="I17584" s="2">
        <v>0</v>
      </c>
      <c r="J17584" s="1">
        <v>46013.341724537036</v>
      </c>
    </row>
    <row r="17585" spans="1:10" x14ac:dyDescent="0.2">
      <c r="A17585" s="4" t="s">
        <v>1</v>
      </c>
      <c r="B17585" s="3" t="str">
        <f>HYPERLINK("https://otsuka-europe-crm.veevavault.com/ui/#object/approved_document__v/V5O00000000D106", "Postal Navidad 2025")</f>
        <v>Postal Navidad 2025</v>
      </c>
      <c r="C17585" s="3" t="str">
        <f>HYPERLINK("https://otsuka-europe-crm.veevavault.com/ui/#object/sent_email__v/VBL000000013208", "SE-001398245")</f>
        <v>SE-001398245</v>
      </c>
      <c r="D17585" s="1" t="s">
        <v>0</v>
      </c>
      <c r="E17585" s="2">
        <v>0</v>
      </c>
      <c r="F17585" s="2">
        <v>0</v>
      </c>
      <c r="G17585" s="2">
        <v>0</v>
      </c>
      <c r="H17585" s="1" t="s">
        <v>0</v>
      </c>
      <c r="I17585" s="2">
        <v>0</v>
      </c>
      <c r="J17585" s="1">
        <v>46013.34171296296</v>
      </c>
    </row>
    <row r="17586" spans="1:10" x14ac:dyDescent="0.2">
      <c r="A17586" s="4" t="s">
        <v>1</v>
      </c>
      <c r="B17586" s="3" t="str">
        <f>HYPERLINK("https://otsuka-europe-crm.veevavault.com/ui/#object/approved_document__v/V5O00000000D106", "Postal Navidad 2025")</f>
        <v>Postal Navidad 2025</v>
      </c>
      <c r="C17586" s="3" t="str">
        <f>HYPERLINK("https://otsuka-europe-crm.veevavault.com/ui/#object/sent_email__v/VBL000000013209", "SE-001398246")</f>
        <v>SE-001398246</v>
      </c>
      <c r="D17586" s="1" t="s">
        <v>0</v>
      </c>
      <c r="E17586" s="2">
        <v>0</v>
      </c>
      <c r="F17586" s="2">
        <v>0</v>
      </c>
      <c r="G17586" s="2">
        <v>0</v>
      </c>
      <c r="H17586" s="1" t="s">
        <v>0</v>
      </c>
      <c r="I17586" s="2">
        <v>0</v>
      </c>
      <c r="J17586" s="1">
        <v>46013.34170138889</v>
      </c>
    </row>
    <row r="17587" spans="1:10" x14ac:dyDescent="0.2">
      <c r="A17587" s="4" t="s">
        <v>1</v>
      </c>
      <c r="B17587" s="3" t="str">
        <f>HYPERLINK("https://otsuka-europe-crm.veevavault.com/ui/#object/approved_document__v/V5O00000000D106", "Postal Navidad 2025")</f>
        <v>Postal Navidad 2025</v>
      </c>
      <c r="C17587" s="3" t="str">
        <f>HYPERLINK("https://otsuka-europe-crm.veevavault.com/ui/#object/sent_email__v/VBL000000013210", "SE-001398247")</f>
        <v>SE-001398247</v>
      </c>
      <c r="D17587" s="1">
        <v>46013.342118055552</v>
      </c>
      <c r="E17587" s="2">
        <v>1</v>
      </c>
      <c r="F17587" s="2">
        <v>1</v>
      </c>
      <c r="G17587" s="2">
        <v>0</v>
      </c>
      <c r="H17587" s="1" t="s">
        <v>0</v>
      </c>
      <c r="I17587" s="2">
        <v>0</v>
      </c>
      <c r="J17587" s="1">
        <v>46013.341782407406</v>
      </c>
    </row>
    <row r="17588" spans="1:10" x14ac:dyDescent="0.2">
      <c r="A17588" s="4" t="s">
        <v>1</v>
      </c>
      <c r="B17588" s="3" t="str">
        <f>HYPERLINK("https://otsuka-europe-crm.veevavault.com/ui/#object/approved_document__v/V5O00000000D106", "Postal Navidad 2025")</f>
        <v>Postal Navidad 2025</v>
      </c>
      <c r="C17588" s="3" t="str">
        <f>HYPERLINK("https://otsuka-europe-crm.veevavault.com/ui/#object/sent_email__v/VBL000000013211", "SE-001398248")</f>
        <v>SE-001398248</v>
      </c>
      <c r="D17588" s="1" t="s">
        <v>0</v>
      </c>
      <c r="E17588" s="2">
        <v>0</v>
      </c>
      <c r="F17588" s="2">
        <v>0</v>
      </c>
      <c r="G17588" s="2">
        <v>0</v>
      </c>
      <c r="H17588" s="1" t="s">
        <v>0</v>
      </c>
      <c r="I17588" s="2">
        <v>0</v>
      </c>
      <c r="J17588" s="1">
        <v>46013.341747685183</v>
      </c>
    </row>
    <row r="17589" spans="1:10" x14ac:dyDescent="0.2">
      <c r="A17589" s="4" t="s">
        <v>1</v>
      </c>
      <c r="B17589" s="3" t="str">
        <f>HYPERLINK("https://otsuka-europe-crm.veevavault.com/ui/#object/approved_document__v/V5O00000000D106", "Postal Navidad 2025")</f>
        <v>Postal Navidad 2025</v>
      </c>
      <c r="C17589" s="3" t="str">
        <f>HYPERLINK("https://otsuka-europe-crm.veevavault.com/ui/#object/sent_email__v/VBL000000013212", "SE-001398249")</f>
        <v>SE-001398249</v>
      </c>
      <c r="D17589" s="1">
        <v>46013.549259259256</v>
      </c>
      <c r="E17589" s="2">
        <v>1</v>
      </c>
      <c r="F17589" s="2">
        <v>1</v>
      </c>
      <c r="G17589" s="2">
        <v>0</v>
      </c>
      <c r="H17589" s="1" t="s">
        <v>0</v>
      </c>
      <c r="I17589" s="2">
        <v>0</v>
      </c>
      <c r="J17589" s="1">
        <v>46013.34171296296</v>
      </c>
    </row>
    <row r="17590" spans="1:10" x14ac:dyDescent="0.2">
      <c r="A17590" s="4" t="s">
        <v>1</v>
      </c>
      <c r="B17590" s="3" t="str">
        <f>HYPERLINK("https://otsuka-europe-crm.veevavault.com/ui/#object/approved_document__v/V5O00000000D106", "Postal Navidad 2025")</f>
        <v>Postal Navidad 2025</v>
      </c>
      <c r="C17590" s="3" t="str">
        <f>HYPERLINK("https://otsuka-europe-crm.veevavault.com/ui/#object/sent_email__v/VBL000000013213", "SE-001398250")</f>
        <v>SE-001398250</v>
      </c>
      <c r="D17590" s="1" t="s">
        <v>0</v>
      </c>
      <c r="E17590" s="2">
        <v>0</v>
      </c>
      <c r="F17590" s="2">
        <v>0</v>
      </c>
      <c r="G17590" s="2">
        <v>0</v>
      </c>
      <c r="H17590" s="1" t="s">
        <v>0</v>
      </c>
      <c r="I17590" s="2">
        <v>0</v>
      </c>
      <c r="J17590" s="1">
        <v>46013.341747685183</v>
      </c>
    </row>
    <row r="17591" spans="1:10" x14ac:dyDescent="0.2">
      <c r="A17591" s="4" t="s">
        <v>1</v>
      </c>
      <c r="B17591" s="3" t="str">
        <f>HYPERLINK("https://otsuka-europe-crm.veevavault.com/ui/#object/approved_document__v/V5O00000000D106", "Postal Navidad 2025")</f>
        <v>Postal Navidad 2025</v>
      </c>
      <c r="C17591" s="3" t="str">
        <f>HYPERLINK("https://otsuka-europe-crm.veevavault.com/ui/#object/sent_email__v/VBL000000013214", "SE-001398251")</f>
        <v>SE-001398251</v>
      </c>
      <c r="D17591" s="1">
        <v>46064.711261574077</v>
      </c>
      <c r="E17591" s="2">
        <v>1</v>
      </c>
      <c r="F17591" s="2">
        <v>2</v>
      </c>
      <c r="G17591" s="2">
        <v>0</v>
      </c>
      <c r="H17591" s="1" t="s">
        <v>0</v>
      </c>
      <c r="I17591" s="2">
        <v>0</v>
      </c>
      <c r="J17591" s="1">
        <v>46013.34175925926</v>
      </c>
    </row>
    <row r="17592" spans="1:10" x14ac:dyDescent="0.2">
      <c r="A17592" s="4" t="s">
        <v>1</v>
      </c>
      <c r="B17592" s="3" t="str">
        <f>HYPERLINK("https://otsuka-europe-crm.veevavault.com/ui/#object/approved_document__v/V5O00000000D106", "Postal Navidad 2025")</f>
        <v>Postal Navidad 2025</v>
      </c>
      <c r="C17592" s="3" t="str">
        <f>HYPERLINK("https://otsuka-europe-crm.veevavault.com/ui/#object/sent_email__v/VBL000000013215", "SE-001398252")</f>
        <v>SE-001398252</v>
      </c>
      <c r="D17592" s="1">
        <v>46014.322337962964</v>
      </c>
      <c r="E17592" s="2">
        <v>1</v>
      </c>
      <c r="F17592" s="2">
        <v>6</v>
      </c>
      <c r="G17592" s="2">
        <v>0</v>
      </c>
      <c r="H17592" s="1" t="s">
        <v>0</v>
      </c>
      <c r="I17592" s="2">
        <v>0</v>
      </c>
      <c r="J17592" s="1">
        <v>46013.34175925926</v>
      </c>
    </row>
    <row r="17593" spans="1:10" x14ac:dyDescent="0.2">
      <c r="A17593" s="4" t="s">
        <v>1</v>
      </c>
      <c r="B17593" s="3" t="str">
        <f>HYPERLINK("https://otsuka-europe-crm.veevavault.com/ui/#object/approved_document__v/V5O00000000D106", "Postal Navidad 2025")</f>
        <v>Postal Navidad 2025</v>
      </c>
      <c r="C17593" s="3" t="str">
        <f>HYPERLINK("https://otsuka-europe-crm.veevavault.com/ui/#object/sent_email__v/VBL000000013216", "SE-001398253")</f>
        <v>SE-001398253</v>
      </c>
      <c r="D17593" s="1">
        <v>46016.905162037037</v>
      </c>
      <c r="E17593" s="2">
        <v>1</v>
      </c>
      <c r="F17593" s="2">
        <v>2</v>
      </c>
      <c r="G17593" s="2">
        <v>0</v>
      </c>
      <c r="H17593" s="1" t="s">
        <v>0</v>
      </c>
      <c r="I17593" s="2">
        <v>0</v>
      </c>
      <c r="J17593" s="1">
        <v>46013.34175925926</v>
      </c>
    </row>
    <row r="17594" spans="1:10" x14ac:dyDescent="0.2">
      <c r="A17594" s="4" t="s">
        <v>1</v>
      </c>
      <c r="B17594" s="3" t="str">
        <f>HYPERLINK("https://otsuka-europe-crm.veevavault.com/ui/#object/approved_document__v/V5O00000000D106", "Postal Navidad 2025")</f>
        <v>Postal Navidad 2025</v>
      </c>
      <c r="C17594" s="3" t="str">
        <f>HYPERLINK("https://otsuka-europe-crm.veevavault.com/ui/#object/sent_email__v/VBL000000013217", "SE-001398254")</f>
        <v>SE-001398254</v>
      </c>
      <c r="D17594" s="1" t="s">
        <v>0</v>
      </c>
      <c r="E17594" s="2">
        <v>0</v>
      </c>
      <c r="F17594" s="2">
        <v>0</v>
      </c>
      <c r="G17594" s="2">
        <v>0</v>
      </c>
      <c r="H17594" s="1" t="s">
        <v>0</v>
      </c>
      <c r="I17594" s="2">
        <v>0</v>
      </c>
      <c r="J17594" s="1">
        <v>46013.34175925926</v>
      </c>
    </row>
    <row r="17595" spans="1:10" x14ac:dyDescent="0.2">
      <c r="A17595" s="4" t="s">
        <v>1</v>
      </c>
      <c r="B17595" s="3" t="str">
        <f>HYPERLINK("https://otsuka-europe-crm.veevavault.com/ui/#object/approved_document__v/V5O00000000D106", "Postal Navidad 2025")</f>
        <v>Postal Navidad 2025</v>
      </c>
      <c r="C17595" s="3" t="str">
        <f>HYPERLINK("https://otsuka-europe-crm.veevavault.com/ui/#object/sent_email__v/VBL000000013218", "SE-001398255")</f>
        <v>SE-001398255</v>
      </c>
      <c r="D17595" s="1">
        <v>46014.458055555559</v>
      </c>
      <c r="E17595" s="2">
        <v>1</v>
      </c>
      <c r="F17595" s="2">
        <v>1</v>
      </c>
      <c r="G17595" s="2">
        <v>0</v>
      </c>
      <c r="H17595" s="1" t="s">
        <v>0</v>
      </c>
      <c r="I17595" s="2">
        <v>0</v>
      </c>
      <c r="J17595" s="1">
        <v>46013.34175925926</v>
      </c>
    </row>
    <row r="17596" spans="1:10" x14ac:dyDescent="0.2">
      <c r="A17596" s="4" t="s">
        <v>1</v>
      </c>
      <c r="B17596" s="3" t="str">
        <f>HYPERLINK("https://otsuka-europe-crm.veevavault.com/ui/#object/approved_document__v/V5O00000000D106", "Postal Navidad 2025")</f>
        <v>Postal Navidad 2025</v>
      </c>
      <c r="C17596" s="3" t="str">
        <f>HYPERLINK("https://otsuka-europe-crm.veevavault.com/ui/#object/sent_email__v/VBL000000013219", "SE-001398256")</f>
        <v>SE-001398256</v>
      </c>
      <c r="D17596" s="1">
        <v>46017.373043981483</v>
      </c>
      <c r="E17596" s="2">
        <v>1</v>
      </c>
      <c r="F17596" s="2">
        <v>4</v>
      </c>
      <c r="G17596" s="2">
        <v>0</v>
      </c>
      <c r="H17596" s="1" t="s">
        <v>0</v>
      </c>
      <c r="I17596" s="2">
        <v>0</v>
      </c>
      <c r="J17596" s="1">
        <v>46013.34175925926</v>
      </c>
    </row>
    <row r="17597" spans="1:10" x14ac:dyDescent="0.2">
      <c r="A17597" s="4" t="s">
        <v>1</v>
      </c>
      <c r="B17597" s="3" t="str">
        <f>HYPERLINK("https://otsuka-europe-crm.veevavault.com/ui/#object/approved_document__v/V5O00000000D106", "Postal Navidad 2025")</f>
        <v>Postal Navidad 2025</v>
      </c>
      <c r="C17597" s="3" t="str">
        <f>HYPERLINK("https://otsuka-europe-crm.veevavault.com/ui/#object/sent_email__v/VBL000000013220", "SE-001398257")</f>
        <v>SE-001398257</v>
      </c>
      <c r="D17597" s="1" t="s">
        <v>0</v>
      </c>
      <c r="E17597" s="2">
        <v>0</v>
      </c>
      <c r="F17597" s="2">
        <v>0</v>
      </c>
      <c r="G17597" s="2">
        <v>0</v>
      </c>
      <c r="H17597" s="1" t="s">
        <v>0</v>
      </c>
      <c r="I17597" s="2">
        <v>0</v>
      </c>
      <c r="J17597" s="1">
        <v>46013.341782407406</v>
      </c>
    </row>
    <row r="17598" spans="1:10" x14ac:dyDescent="0.2">
      <c r="A17598" s="4" t="s">
        <v>1</v>
      </c>
      <c r="B17598" s="3" t="str">
        <f>HYPERLINK("https://otsuka-europe-crm.veevavault.com/ui/#object/approved_document__v/V5O00000000D106", "Postal Navidad 2025")</f>
        <v>Postal Navidad 2025</v>
      </c>
      <c r="C17598" s="3" t="str">
        <f>HYPERLINK("https://otsuka-europe-crm.veevavault.com/ui/#object/sent_email__v/VBL000000013221", "SE-001398258")</f>
        <v>SE-001398258</v>
      </c>
      <c r="D17598" s="1" t="s">
        <v>0</v>
      </c>
      <c r="E17598" s="2">
        <v>0</v>
      </c>
      <c r="F17598" s="2">
        <v>0</v>
      </c>
      <c r="G17598" s="2">
        <v>0</v>
      </c>
      <c r="H17598" s="1" t="s">
        <v>0</v>
      </c>
      <c r="I17598" s="2">
        <v>0</v>
      </c>
      <c r="J17598" s="1">
        <v>46013.34175925926</v>
      </c>
    </row>
    <row r="17599" spans="1:10" x14ac:dyDescent="0.2">
      <c r="A17599" s="4" t="s">
        <v>1</v>
      </c>
      <c r="B17599" s="3" t="str">
        <f>HYPERLINK("https://otsuka-europe-crm.veevavault.com/ui/#object/approved_document__v/V5O00000000D106", "Postal Navidad 2025")</f>
        <v>Postal Navidad 2025</v>
      </c>
      <c r="C17599" s="3" t="str">
        <f>HYPERLINK("https://otsuka-europe-crm.veevavault.com/ui/#object/sent_email__v/VBL000000013222", "SE-001398259")</f>
        <v>SE-001398259</v>
      </c>
      <c r="D17599" s="1" t="s">
        <v>0</v>
      </c>
      <c r="E17599" s="2">
        <v>0</v>
      </c>
      <c r="F17599" s="2">
        <v>0</v>
      </c>
      <c r="G17599" s="2">
        <v>0</v>
      </c>
      <c r="H17599" s="1" t="s">
        <v>0</v>
      </c>
      <c r="I17599" s="2">
        <v>0</v>
      </c>
      <c r="J17599" s="1">
        <v>46013.34175925926</v>
      </c>
    </row>
    <row r="17600" spans="1:10" x14ac:dyDescent="0.2">
      <c r="A17600" s="4" t="s">
        <v>1</v>
      </c>
      <c r="B17600" s="3" t="str">
        <f>HYPERLINK("https://otsuka-europe-crm.veevavault.com/ui/#object/approved_document__v/V5O00000000D106", "Postal Navidad 2025")</f>
        <v>Postal Navidad 2025</v>
      </c>
      <c r="C17600" s="3" t="str">
        <f>HYPERLINK("https://otsuka-europe-crm.veevavault.com/ui/#object/sent_email__v/VBL000000013223", "SE-001398260")</f>
        <v>SE-001398260</v>
      </c>
      <c r="D17600" s="1" t="s">
        <v>0</v>
      </c>
      <c r="E17600" s="2">
        <v>0</v>
      </c>
      <c r="F17600" s="2">
        <v>0</v>
      </c>
      <c r="G17600" s="2">
        <v>0</v>
      </c>
      <c r="H17600" s="1" t="s">
        <v>0</v>
      </c>
      <c r="I17600" s="2">
        <v>0</v>
      </c>
      <c r="J17600" s="1">
        <v>46013.341747685183</v>
      </c>
    </row>
    <row r="17601" spans="1:10" x14ac:dyDescent="0.2">
      <c r="A17601" s="4" t="s">
        <v>1</v>
      </c>
      <c r="B17601" s="3" t="str">
        <f>HYPERLINK("https://otsuka-europe-crm.veevavault.com/ui/#object/approved_document__v/V5O00000000D106", "Postal Navidad 2025")</f>
        <v>Postal Navidad 2025</v>
      </c>
      <c r="C17601" s="3" t="str">
        <f>HYPERLINK("https://otsuka-europe-crm.veevavault.com/ui/#object/sent_email__v/VBL000000013224", "SE-001398261")</f>
        <v>SE-001398261</v>
      </c>
      <c r="D17601" s="1" t="s">
        <v>0</v>
      </c>
      <c r="E17601" s="2">
        <v>0</v>
      </c>
      <c r="F17601" s="2">
        <v>0</v>
      </c>
      <c r="G17601" s="2">
        <v>0</v>
      </c>
      <c r="H17601" s="1" t="s">
        <v>0</v>
      </c>
      <c r="I17601" s="2">
        <v>0</v>
      </c>
      <c r="J17601" s="1">
        <v>46013.34175925926</v>
      </c>
    </row>
    <row r="17602" spans="1:10" x14ac:dyDescent="0.2">
      <c r="A17602" s="4" t="s">
        <v>1</v>
      </c>
      <c r="B17602" s="3" t="str">
        <f>HYPERLINK("https://otsuka-europe-crm.veevavault.com/ui/#object/approved_document__v/V5O00000000D106", "Postal Navidad 2025")</f>
        <v>Postal Navidad 2025</v>
      </c>
      <c r="C17602" s="3" t="str">
        <f>HYPERLINK("https://otsuka-europe-crm.veevavault.com/ui/#object/sent_email__v/VBL000000013225", "SE-001398262")</f>
        <v>SE-001398262</v>
      </c>
      <c r="D17602" s="1">
        <v>46013.935520833336</v>
      </c>
      <c r="E17602" s="2">
        <v>1</v>
      </c>
      <c r="F17602" s="2">
        <v>1</v>
      </c>
      <c r="G17602" s="2">
        <v>0</v>
      </c>
      <c r="H17602" s="1" t="s">
        <v>0</v>
      </c>
      <c r="I17602" s="2">
        <v>0</v>
      </c>
      <c r="J17602" s="1">
        <v>46013.341828703706</v>
      </c>
    </row>
    <row r="17603" spans="1:10" x14ac:dyDescent="0.2">
      <c r="A17603" s="4" t="s">
        <v>1</v>
      </c>
      <c r="B17603" s="3" t="str">
        <f>HYPERLINK("https://otsuka-europe-crm.veevavault.com/ui/#object/approved_document__v/V5O00000000D106", "Postal Navidad 2025")</f>
        <v>Postal Navidad 2025</v>
      </c>
      <c r="C17603" s="3" t="str">
        <f>HYPERLINK("https://otsuka-europe-crm.veevavault.com/ui/#object/sent_email__v/VBL000000013226", "SE-001398263")</f>
        <v>SE-001398263</v>
      </c>
      <c r="D17603" s="1">
        <v>46037.466770833336</v>
      </c>
      <c r="E17603" s="2">
        <v>1</v>
      </c>
      <c r="F17603" s="2">
        <v>2</v>
      </c>
      <c r="G17603" s="2">
        <v>0</v>
      </c>
      <c r="H17603" s="1" t="s">
        <v>0</v>
      </c>
      <c r="I17603" s="2">
        <v>0</v>
      </c>
      <c r="J17603" s="1">
        <v>46013.341770833336</v>
      </c>
    </row>
    <row r="17604" spans="1:10" x14ac:dyDescent="0.2">
      <c r="A17604" s="4" t="s">
        <v>1</v>
      </c>
      <c r="B17604" s="3" t="str">
        <f>HYPERLINK("https://otsuka-europe-crm.veevavault.com/ui/#object/approved_document__v/V5O00000000D106", "Postal Navidad 2025")</f>
        <v>Postal Navidad 2025</v>
      </c>
      <c r="C17604" s="3" t="str">
        <f>HYPERLINK("https://otsuka-europe-crm.veevavault.com/ui/#object/sent_email__v/VBL000000013227", "SE-001398264")</f>
        <v>SE-001398264</v>
      </c>
      <c r="D17604" s="1" t="s">
        <v>0</v>
      </c>
      <c r="E17604" s="2">
        <v>0</v>
      </c>
      <c r="F17604" s="2">
        <v>0</v>
      </c>
      <c r="G17604" s="2">
        <v>0</v>
      </c>
      <c r="H17604" s="1" t="s">
        <v>0</v>
      </c>
      <c r="I17604" s="2">
        <v>0</v>
      </c>
      <c r="J17604" s="1">
        <v>46013.341770833336</v>
      </c>
    </row>
    <row r="17605" spans="1:10" x14ac:dyDescent="0.2">
      <c r="A17605" s="4" t="s">
        <v>1</v>
      </c>
      <c r="B17605" s="3" t="str">
        <f>HYPERLINK("https://otsuka-europe-crm.veevavault.com/ui/#object/approved_document__v/V5O00000000D106", "Postal Navidad 2025")</f>
        <v>Postal Navidad 2025</v>
      </c>
      <c r="C17605" s="3" t="str">
        <f>HYPERLINK("https://otsuka-europe-crm.veevavault.com/ui/#object/sent_email__v/VBL000000013228", "SE-001398265")</f>
        <v>SE-001398265</v>
      </c>
      <c r="D17605" s="1">
        <v>46013.571597222224</v>
      </c>
      <c r="E17605" s="2">
        <v>1</v>
      </c>
      <c r="F17605" s="2">
        <v>1</v>
      </c>
      <c r="G17605" s="2">
        <v>0</v>
      </c>
      <c r="H17605" s="1" t="s">
        <v>0</v>
      </c>
      <c r="I17605" s="2">
        <v>0</v>
      </c>
      <c r="J17605" s="1">
        <v>46013.34175925926</v>
      </c>
    </row>
    <row r="17606" spans="1:10" x14ac:dyDescent="0.2">
      <c r="A17606" s="4" t="s">
        <v>1</v>
      </c>
      <c r="B17606" s="3" t="str">
        <f>HYPERLINK("https://otsuka-europe-crm.veevavault.com/ui/#object/approved_document__v/V5O00000000D106", "Postal Navidad 2025")</f>
        <v>Postal Navidad 2025</v>
      </c>
      <c r="C17606" s="3" t="str">
        <f>HYPERLINK("https://otsuka-europe-crm.veevavault.com/ui/#object/sent_email__v/VBL000000013229", "SE-001398266")</f>
        <v>SE-001398266</v>
      </c>
      <c r="D17606" s="1">
        <v>46026.826805555553</v>
      </c>
      <c r="E17606" s="2">
        <v>1</v>
      </c>
      <c r="F17606" s="2">
        <v>2</v>
      </c>
      <c r="G17606" s="2">
        <v>0</v>
      </c>
      <c r="H17606" s="1" t="s">
        <v>0</v>
      </c>
      <c r="I17606" s="2">
        <v>0</v>
      </c>
      <c r="J17606" s="1">
        <v>46013.341782407406</v>
      </c>
    </row>
    <row r="17607" spans="1:10" x14ac:dyDescent="0.2">
      <c r="A17607" s="4" t="s">
        <v>1</v>
      </c>
      <c r="B17607" s="3" t="str">
        <f>HYPERLINK("https://otsuka-europe-crm.veevavault.com/ui/#object/approved_document__v/V5O00000000D106", "Postal Navidad 2025")</f>
        <v>Postal Navidad 2025</v>
      </c>
      <c r="C17607" s="3" t="str">
        <f>HYPERLINK("https://otsuka-europe-crm.veevavault.com/ui/#object/sent_email__v/VBL000000013230", "SE-001398267")</f>
        <v>SE-001398267</v>
      </c>
      <c r="D17607" s="1" t="s">
        <v>0</v>
      </c>
      <c r="E17607" s="2">
        <v>0</v>
      </c>
      <c r="F17607" s="2">
        <v>0</v>
      </c>
      <c r="G17607" s="2">
        <v>0</v>
      </c>
      <c r="H17607" s="1" t="s">
        <v>0</v>
      </c>
      <c r="I17607" s="2">
        <v>0</v>
      </c>
      <c r="J17607" s="1">
        <v>46013.34175925926</v>
      </c>
    </row>
    <row r="17608" spans="1:10" x14ac:dyDescent="0.2">
      <c r="A17608" s="4" t="s">
        <v>1</v>
      </c>
      <c r="B17608" s="3" t="str">
        <f>HYPERLINK("https://otsuka-europe-crm.veevavault.com/ui/#object/approved_document__v/V5O00000000D106", "Postal Navidad 2025")</f>
        <v>Postal Navidad 2025</v>
      </c>
      <c r="C17608" s="3" t="str">
        <f>HYPERLINK("https://otsuka-europe-crm.veevavault.com/ui/#object/sent_email__v/VBL000000013231", "SE-001398268")</f>
        <v>SE-001398268</v>
      </c>
      <c r="D17608" s="1">
        <v>46013.372106481482</v>
      </c>
      <c r="E17608" s="2">
        <v>1</v>
      </c>
      <c r="F17608" s="2">
        <v>1</v>
      </c>
      <c r="G17608" s="2">
        <v>0</v>
      </c>
      <c r="H17608" s="1" t="s">
        <v>0</v>
      </c>
      <c r="I17608" s="2">
        <v>0</v>
      </c>
      <c r="J17608" s="1">
        <v>46013.34171296296</v>
      </c>
    </row>
    <row r="17609" spans="1:10" x14ac:dyDescent="0.2">
      <c r="A17609" s="4" t="s">
        <v>1</v>
      </c>
      <c r="B17609" s="3" t="str">
        <f>HYPERLINK("https://otsuka-europe-crm.veevavault.com/ui/#object/approved_document__v/V5O00000000D106", "Postal Navidad 2025")</f>
        <v>Postal Navidad 2025</v>
      </c>
      <c r="C17609" s="3" t="str">
        <f>HYPERLINK("https://otsuka-europe-crm.veevavault.com/ui/#object/sent_email__v/VBL000000013232", "SE-001398269")</f>
        <v>SE-001398269</v>
      </c>
      <c r="D17609" s="1">
        <v>46014.077824074076</v>
      </c>
      <c r="E17609" s="2">
        <v>1</v>
      </c>
      <c r="F17609" s="2">
        <v>1</v>
      </c>
      <c r="G17609" s="2">
        <v>0</v>
      </c>
      <c r="H17609" s="1" t="s">
        <v>0</v>
      </c>
      <c r="I17609" s="2">
        <v>0</v>
      </c>
      <c r="J17609" s="1">
        <v>46013.341828703706</v>
      </c>
    </row>
    <row r="17610" spans="1:10" x14ac:dyDescent="0.2">
      <c r="A17610" s="4" t="s">
        <v>1</v>
      </c>
      <c r="B17610" s="3" t="str">
        <f>HYPERLINK("https://otsuka-europe-crm.veevavault.com/ui/#object/approved_document__v/V5O00000000D106", "Postal Navidad 2025")</f>
        <v>Postal Navidad 2025</v>
      </c>
      <c r="C17610" s="3" t="str">
        <f>HYPERLINK("https://otsuka-europe-crm.veevavault.com/ui/#object/sent_email__v/VBL000000013233", "SE-001398270")</f>
        <v>SE-001398270</v>
      </c>
      <c r="D17610" s="1">
        <v>46013.420752314814</v>
      </c>
      <c r="E17610" s="2">
        <v>1</v>
      </c>
      <c r="F17610" s="2">
        <v>1</v>
      </c>
      <c r="G17610" s="2">
        <v>0</v>
      </c>
      <c r="H17610" s="1" t="s">
        <v>0</v>
      </c>
      <c r="I17610" s="2">
        <v>0</v>
      </c>
      <c r="J17610" s="1">
        <v>46013.341805555552</v>
      </c>
    </row>
    <row r="17611" spans="1:10" x14ac:dyDescent="0.2">
      <c r="A17611" s="4" t="s">
        <v>1</v>
      </c>
      <c r="B17611" s="3" t="str">
        <f>HYPERLINK("https://otsuka-europe-crm.veevavault.com/ui/#object/approved_document__v/V5O00000000D106", "Postal Navidad 2025")</f>
        <v>Postal Navidad 2025</v>
      </c>
      <c r="C17611" s="3" t="str">
        <f>HYPERLINK("https://otsuka-europe-crm.veevavault.com/ui/#object/sent_email__v/VBL000000013234", "SE-001398271")</f>
        <v>SE-001398271</v>
      </c>
      <c r="D17611" s="1">
        <v>46013.383414351854</v>
      </c>
      <c r="E17611" s="2">
        <v>1</v>
      </c>
      <c r="F17611" s="2">
        <v>2</v>
      </c>
      <c r="G17611" s="2">
        <v>0</v>
      </c>
      <c r="H17611" s="1" t="s">
        <v>0</v>
      </c>
      <c r="I17611" s="2">
        <v>0</v>
      </c>
      <c r="J17611" s="1">
        <v>46013.34175925926</v>
      </c>
    </row>
    <row r="17612" spans="1:10" x14ac:dyDescent="0.2">
      <c r="A17612" s="4" t="s">
        <v>1</v>
      </c>
      <c r="B17612" s="3" t="str">
        <f>HYPERLINK("https://otsuka-europe-crm.veevavault.com/ui/#object/approved_document__v/V5O00000000D106", "Postal Navidad 2025")</f>
        <v>Postal Navidad 2025</v>
      </c>
      <c r="C17612" s="3" t="str">
        <f>HYPERLINK("https://otsuka-europe-crm.veevavault.com/ui/#object/sent_email__v/VBL000000013235", "SE-001398272")</f>
        <v>SE-001398272</v>
      </c>
      <c r="D17612" s="1">
        <v>46013.55195601852</v>
      </c>
      <c r="E17612" s="2">
        <v>1</v>
      </c>
      <c r="F17612" s="2">
        <v>1</v>
      </c>
      <c r="G17612" s="2">
        <v>0</v>
      </c>
      <c r="H17612" s="1" t="s">
        <v>0</v>
      </c>
      <c r="I17612" s="2">
        <v>0</v>
      </c>
      <c r="J17612" s="1">
        <v>46013.34175925926</v>
      </c>
    </row>
    <row r="17613" spans="1:10" x14ac:dyDescent="0.2">
      <c r="A17613" s="4" t="s">
        <v>1</v>
      </c>
      <c r="B17613" s="3" t="str">
        <f>HYPERLINK("https://otsuka-europe-crm.veevavault.com/ui/#object/approved_document__v/V5O00000000D106", "Postal Navidad 2025")</f>
        <v>Postal Navidad 2025</v>
      </c>
      <c r="C17613" s="3" t="str">
        <f>HYPERLINK("https://otsuka-europe-crm.veevavault.com/ui/#object/sent_email__v/VBL000000013236", "SE-001398273")</f>
        <v>SE-001398273</v>
      </c>
      <c r="D17613" s="1" t="s">
        <v>0</v>
      </c>
      <c r="E17613" s="2">
        <v>0</v>
      </c>
      <c r="F17613" s="2">
        <v>0</v>
      </c>
      <c r="G17613" s="2">
        <v>0</v>
      </c>
      <c r="H17613" s="1" t="s">
        <v>0</v>
      </c>
      <c r="I17613" s="2">
        <v>0</v>
      </c>
      <c r="J17613" s="1">
        <v>46013.341736111113</v>
      </c>
    </row>
    <row r="17614" spans="1:10" x14ac:dyDescent="0.2">
      <c r="A17614" s="4" t="s">
        <v>1</v>
      </c>
      <c r="B17614" s="3" t="str">
        <f>HYPERLINK("https://otsuka-europe-crm.veevavault.com/ui/#object/approved_document__v/V5O00000000D106", "Postal Navidad 2025")</f>
        <v>Postal Navidad 2025</v>
      </c>
      <c r="C17614" s="3" t="str">
        <f>HYPERLINK("https://otsuka-europe-crm.veevavault.com/ui/#object/sent_email__v/VBL000000013237", "SE-001398274")</f>
        <v>SE-001398274</v>
      </c>
      <c r="D17614" s="1" t="s">
        <v>0</v>
      </c>
      <c r="E17614" s="2">
        <v>0</v>
      </c>
      <c r="F17614" s="2">
        <v>0</v>
      </c>
      <c r="G17614" s="2">
        <v>0</v>
      </c>
      <c r="H17614" s="1" t="s">
        <v>0</v>
      </c>
      <c r="I17614" s="2">
        <v>0</v>
      </c>
      <c r="J17614" s="1">
        <v>46013.34175925926</v>
      </c>
    </row>
    <row r="17615" spans="1:10" x14ac:dyDescent="0.2">
      <c r="A17615" s="4" t="s">
        <v>1</v>
      </c>
      <c r="B17615" s="3" t="str">
        <f>HYPERLINK("https://otsuka-europe-crm.veevavault.com/ui/#object/approved_document__v/V5O00000000D106", "Postal Navidad 2025")</f>
        <v>Postal Navidad 2025</v>
      </c>
      <c r="C17615" s="3" t="str">
        <f>HYPERLINK("https://otsuka-europe-crm.veevavault.com/ui/#object/sent_email__v/VBL000000013238", "SE-001398275")</f>
        <v>SE-001398275</v>
      </c>
      <c r="D17615" s="1">
        <v>46013.366469907407</v>
      </c>
      <c r="E17615" s="2">
        <v>1</v>
      </c>
      <c r="F17615" s="2">
        <v>1</v>
      </c>
      <c r="G17615" s="2">
        <v>0</v>
      </c>
      <c r="H17615" s="1" t="s">
        <v>0</v>
      </c>
      <c r="I17615" s="2">
        <v>0</v>
      </c>
      <c r="J17615" s="1">
        <v>46013.34175925926</v>
      </c>
    </row>
    <row r="17616" spans="1:10" x14ac:dyDescent="0.2">
      <c r="A17616" s="4" t="s">
        <v>1</v>
      </c>
      <c r="B17616" s="3" t="str">
        <f>HYPERLINK("https://otsuka-europe-crm.veevavault.com/ui/#object/approved_document__v/V5O00000000D106", "Postal Navidad 2025")</f>
        <v>Postal Navidad 2025</v>
      </c>
      <c r="C17616" s="3" t="str">
        <f>HYPERLINK("https://otsuka-europe-crm.veevavault.com/ui/#object/sent_email__v/VBL000000013239", "SE-001398276")</f>
        <v>SE-001398276</v>
      </c>
      <c r="D17616" s="1" t="s">
        <v>0</v>
      </c>
      <c r="E17616" s="2">
        <v>0</v>
      </c>
      <c r="F17616" s="2">
        <v>0</v>
      </c>
      <c r="G17616" s="2">
        <v>0</v>
      </c>
      <c r="H17616" s="1" t="s">
        <v>0</v>
      </c>
      <c r="I17616" s="2">
        <v>0</v>
      </c>
      <c r="J17616" s="1">
        <v>46013.341770833336</v>
      </c>
    </row>
    <row r="17617" spans="1:10" x14ac:dyDescent="0.2">
      <c r="A17617" s="4" t="s">
        <v>1</v>
      </c>
      <c r="B17617" s="3" t="str">
        <f>HYPERLINK("https://otsuka-europe-crm.veevavault.com/ui/#object/approved_document__v/V5O00000000D106", "Postal Navidad 2025")</f>
        <v>Postal Navidad 2025</v>
      </c>
      <c r="C17617" s="3" t="str">
        <f>HYPERLINK("https://otsuka-europe-crm.veevavault.com/ui/#object/sent_email__v/VBL000000013240", "SE-001398277")</f>
        <v>SE-001398277</v>
      </c>
      <c r="D17617" s="1" t="s">
        <v>0</v>
      </c>
      <c r="E17617" s="2">
        <v>0</v>
      </c>
      <c r="F17617" s="2">
        <v>0</v>
      </c>
      <c r="G17617" s="2">
        <v>0</v>
      </c>
      <c r="H17617" s="1" t="s">
        <v>0</v>
      </c>
      <c r="I17617" s="2">
        <v>0</v>
      </c>
      <c r="J17617" s="1">
        <v>46013.34175925926</v>
      </c>
    </row>
    <row r="17618" spans="1:10" x14ac:dyDescent="0.2">
      <c r="A17618" s="4" t="s">
        <v>1</v>
      </c>
      <c r="B17618" s="3" t="str">
        <f>HYPERLINK("https://otsuka-europe-crm.veevavault.com/ui/#object/approved_document__v/V5O00000000D106", "Postal Navidad 2025")</f>
        <v>Postal Navidad 2025</v>
      </c>
      <c r="C17618" s="3" t="str">
        <f>HYPERLINK("https://otsuka-europe-crm.veevavault.com/ui/#object/sent_email__v/VBL000000013241", "SE-001398278")</f>
        <v>SE-001398278</v>
      </c>
      <c r="D17618" s="1">
        <v>46013.399062500001</v>
      </c>
      <c r="E17618" s="2">
        <v>1</v>
      </c>
      <c r="F17618" s="2">
        <v>1</v>
      </c>
      <c r="G17618" s="2">
        <v>0</v>
      </c>
      <c r="H17618" s="1" t="s">
        <v>0</v>
      </c>
      <c r="I17618" s="2">
        <v>0</v>
      </c>
      <c r="J17618" s="1">
        <v>46013.34171296296</v>
      </c>
    </row>
    <row r="17619" spans="1:10" x14ac:dyDescent="0.2">
      <c r="A17619" s="4" t="s">
        <v>1</v>
      </c>
      <c r="B17619" s="3" t="str">
        <f>HYPERLINK("https://otsuka-europe-crm.veevavault.com/ui/#object/approved_document__v/V5O00000000D106", "Postal Navidad 2025")</f>
        <v>Postal Navidad 2025</v>
      </c>
      <c r="C17619" s="3" t="str">
        <f>HYPERLINK("https://otsuka-europe-crm.veevavault.com/ui/#object/sent_email__v/VBL000000013242", "SE-001398279")</f>
        <v>SE-001398279</v>
      </c>
      <c r="D17619" s="1">
        <v>46013.624942129631</v>
      </c>
      <c r="E17619" s="2">
        <v>1</v>
      </c>
      <c r="F17619" s="2">
        <v>1</v>
      </c>
      <c r="G17619" s="2">
        <v>0</v>
      </c>
      <c r="H17619" s="1" t="s">
        <v>0</v>
      </c>
      <c r="I17619" s="2">
        <v>0</v>
      </c>
      <c r="J17619" s="1">
        <v>46013.341817129629</v>
      </c>
    </row>
    <row r="17620" spans="1:10" x14ac:dyDescent="0.2">
      <c r="A17620" s="4" t="s">
        <v>1</v>
      </c>
      <c r="B17620" s="3" t="str">
        <f>HYPERLINK("https://otsuka-europe-crm.veevavault.com/ui/#object/approved_document__v/V5O00000000D106", "Postal Navidad 2025")</f>
        <v>Postal Navidad 2025</v>
      </c>
      <c r="C17620" s="3" t="str">
        <f>HYPERLINK("https://otsuka-europe-crm.veevavault.com/ui/#object/sent_email__v/VBL000000013243", "SE-001398280")</f>
        <v>SE-001398280</v>
      </c>
      <c r="D17620" s="1">
        <v>46013.350104166668</v>
      </c>
      <c r="E17620" s="2">
        <v>1</v>
      </c>
      <c r="F17620" s="2">
        <v>1</v>
      </c>
      <c r="G17620" s="2">
        <v>0</v>
      </c>
      <c r="H17620" s="1" t="s">
        <v>0</v>
      </c>
      <c r="I17620" s="2">
        <v>0</v>
      </c>
      <c r="J17620" s="1">
        <v>46013.341817129629</v>
      </c>
    </row>
    <row r="17621" spans="1:10" x14ac:dyDescent="0.2">
      <c r="A17621" s="4" t="s">
        <v>1</v>
      </c>
      <c r="B17621" s="3" t="str">
        <f>HYPERLINK("https://otsuka-europe-crm.veevavault.com/ui/#object/approved_document__v/V5O00000000D106", "Postal Navidad 2025")</f>
        <v>Postal Navidad 2025</v>
      </c>
      <c r="C17621" s="3" t="str">
        <f>HYPERLINK("https://otsuka-europe-crm.veevavault.com/ui/#object/sent_email__v/VBL000000013244", "SE-001398281")</f>
        <v>SE-001398281</v>
      </c>
      <c r="D17621" s="1">
        <v>46013.493425925924</v>
      </c>
      <c r="E17621" s="2">
        <v>1</v>
      </c>
      <c r="F17621" s="2">
        <v>1</v>
      </c>
      <c r="G17621" s="2">
        <v>0</v>
      </c>
      <c r="H17621" s="1" t="s">
        <v>0</v>
      </c>
      <c r="I17621" s="2">
        <v>0</v>
      </c>
      <c r="J17621" s="1">
        <v>46013.34175925926</v>
      </c>
    </row>
    <row r="17622" spans="1:10" x14ac:dyDescent="0.2">
      <c r="A17622" s="4" t="s">
        <v>1</v>
      </c>
      <c r="B17622" s="3" t="str">
        <f>HYPERLINK("https://otsuka-europe-crm.veevavault.com/ui/#object/approved_document__v/V5O00000000D106", "Postal Navidad 2025")</f>
        <v>Postal Navidad 2025</v>
      </c>
      <c r="C17622" s="3" t="str">
        <f>HYPERLINK("https://otsuka-europe-crm.veevavault.com/ui/#object/sent_email__v/VBL000000013245", "SE-001398282")</f>
        <v>SE-001398282</v>
      </c>
      <c r="D17622" s="1" t="s">
        <v>0</v>
      </c>
      <c r="E17622" s="2">
        <v>0</v>
      </c>
      <c r="F17622" s="2">
        <v>0</v>
      </c>
      <c r="G17622" s="2">
        <v>0</v>
      </c>
      <c r="H17622" s="1" t="s">
        <v>0</v>
      </c>
      <c r="I17622" s="2">
        <v>0</v>
      </c>
      <c r="J17622" s="1">
        <v>46013.341770833336</v>
      </c>
    </row>
    <row r="17623" spans="1:10" x14ac:dyDescent="0.2">
      <c r="A17623" s="4" t="s">
        <v>1</v>
      </c>
      <c r="B17623" s="3" t="str">
        <f>HYPERLINK("https://otsuka-europe-crm.veevavault.com/ui/#object/approved_document__v/V5O00000000D106", "Postal Navidad 2025")</f>
        <v>Postal Navidad 2025</v>
      </c>
      <c r="C17623" s="3" t="str">
        <f>HYPERLINK("https://otsuka-europe-crm.veevavault.com/ui/#object/sent_email__v/VBL000000013246", "SE-001398283")</f>
        <v>SE-001398283</v>
      </c>
      <c r="D17623" s="1">
        <v>46013.341898148145</v>
      </c>
      <c r="E17623" s="2">
        <v>1</v>
      </c>
      <c r="F17623" s="2">
        <v>1</v>
      </c>
      <c r="G17623" s="2">
        <v>0</v>
      </c>
      <c r="H17623" s="1" t="s">
        <v>0</v>
      </c>
      <c r="I17623" s="2">
        <v>0</v>
      </c>
      <c r="J17623" s="1">
        <v>46013.341817129629</v>
      </c>
    </row>
    <row r="17624" spans="1:10" x14ac:dyDescent="0.2">
      <c r="A17624" s="4" t="s">
        <v>1</v>
      </c>
      <c r="B17624" s="3" t="str">
        <f>HYPERLINK("https://otsuka-europe-crm.veevavault.com/ui/#object/approved_document__v/V5O00000000D106", "Postal Navidad 2025")</f>
        <v>Postal Navidad 2025</v>
      </c>
      <c r="C17624" s="3" t="str">
        <f>HYPERLINK("https://otsuka-europe-crm.veevavault.com/ui/#object/sent_email__v/VBL000000013247", "SE-001398284")</f>
        <v>SE-001398284</v>
      </c>
      <c r="D17624" s="1">
        <v>46013.352037037039</v>
      </c>
      <c r="E17624" s="2">
        <v>1</v>
      </c>
      <c r="F17624" s="2">
        <v>1</v>
      </c>
      <c r="G17624" s="2">
        <v>0</v>
      </c>
      <c r="H17624" s="1" t="s">
        <v>0</v>
      </c>
      <c r="I17624" s="2">
        <v>0</v>
      </c>
      <c r="J17624" s="1">
        <v>46013.34175925926</v>
      </c>
    </row>
    <row r="17625" spans="1:10" x14ac:dyDescent="0.2">
      <c r="A17625" s="4" t="s">
        <v>1</v>
      </c>
      <c r="B17625" s="3" t="str">
        <f>HYPERLINK("https://otsuka-europe-crm.veevavault.com/ui/#object/approved_document__v/V5O00000000D106", "Postal Navidad 2025")</f>
        <v>Postal Navidad 2025</v>
      </c>
      <c r="C17625" s="3" t="str">
        <f>HYPERLINK("https://otsuka-europe-crm.veevavault.com/ui/#object/sent_email__v/VBL000000013248", "SE-001398285")</f>
        <v>SE-001398285</v>
      </c>
      <c r="D17625" s="1">
        <v>46014.936909722222</v>
      </c>
      <c r="E17625" s="2">
        <v>1</v>
      </c>
      <c r="F17625" s="2">
        <v>1</v>
      </c>
      <c r="G17625" s="2">
        <v>0</v>
      </c>
      <c r="H17625" s="1" t="s">
        <v>0</v>
      </c>
      <c r="I17625" s="2">
        <v>0</v>
      </c>
      <c r="J17625" s="1">
        <v>46013.341828703706</v>
      </c>
    </row>
    <row r="17626" spans="1:10" x14ac:dyDescent="0.2">
      <c r="A17626" s="4" t="s">
        <v>1</v>
      </c>
      <c r="B17626" s="3" t="str">
        <f>HYPERLINK("https://otsuka-europe-crm.veevavault.com/ui/#object/approved_document__v/V5O00000000D106", "Postal Navidad 2025")</f>
        <v>Postal Navidad 2025</v>
      </c>
      <c r="C17626" s="3" t="str">
        <f>HYPERLINK("https://otsuka-europe-crm.veevavault.com/ui/#object/sent_email__v/VBL000000013249", "SE-001398286")</f>
        <v>SE-001398286</v>
      </c>
      <c r="D17626" s="1" t="s">
        <v>0</v>
      </c>
      <c r="E17626" s="2">
        <v>0</v>
      </c>
      <c r="F17626" s="2">
        <v>0</v>
      </c>
      <c r="G17626" s="2">
        <v>0</v>
      </c>
      <c r="H17626" s="1" t="s">
        <v>0</v>
      </c>
      <c r="I17626" s="2">
        <v>0</v>
      </c>
      <c r="J17626" s="1">
        <v>46013.341817129629</v>
      </c>
    </row>
    <row r="17627" spans="1:10" x14ac:dyDescent="0.2">
      <c r="A17627" s="4" t="s">
        <v>1</v>
      </c>
      <c r="B17627" s="3" t="str">
        <f>HYPERLINK("https://otsuka-europe-crm.veevavault.com/ui/#object/approved_document__v/V5O00000000D106", "Postal Navidad 2025")</f>
        <v>Postal Navidad 2025</v>
      </c>
      <c r="C17627" s="3" t="str">
        <f>HYPERLINK("https://otsuka-europe-crm.veevavault.com/ui/#object/sent_email__v/VBL000000013250", "SE-001398287")</f>
        <v>SE-001398287</v>
      </c>
      <c r="D17627" s="1" t="s">
        <v>0</v>
      </c>
      <c r="E17627" s="2">
        <v>0</v>
      </c>
      <c r="F17627" s="2">
        <v>0</v>
      </c>
      <c r="G17627" s="2">
        <v>0</v>
      </c>
      <c r="H17627" s="1" t="s">
        <v>0</v>
      </c>
      <c r="I17627" s="2">
        <v>0</v>
      </c>
      <c r="J17627" s="1">
        <v>46013.341817129629</v>
      </c>
    </row>
    <row r="17628" spans="1:10" x14ac:dyDescent="0.2">
      <c r="A17628" s="4" t="s">
        <v>1</v>
      </c>
      <c r="B17628" s="3" t="str">
        <f>HYPERLINK("https://otsuka-europe-crm.veevavault.com/ui/#object/approved_document__v/V5O00000000D106", "Postal Navidad 2025")</f>
        <v>Postal Navidad 2025</v>
      </c>
      <c r="C17628" s="3" t="str">
        <f>HYPERLINK("https://otsuka-europe-crm.veevavault.com/ui/#object/sent_email__v/VBL000000012210", "SE-001398288")</f>
        <v>SE-001398288</v>
      </c>
      <c r="D17628" s="1">
        <v>46038.320185185185</v>
      </c>
      <c r="E17628" s="2">
        <v>1</v>
      </c>
      <c r="F17628" s="2">
        <v>8</v>
      </c>
      <c r="G17628" s="2">
        <v>0</v>
      </c>
      <c r="H17628" s="1" t="s">
        <v>0</v>
      </c>
      <c r="I17628" s="2">
        <v>0</v>
      </c>
      <c r="J17628" s="1">
        <v>46013.34171296296</v>
      </c>
    </row>
    <row r="17629" spans="1:10" x14ac:dyDescent="0.2">
      <c r="A17629" s="4" t="s">
        <v>1</v>
      </c>
      <c r="B17629" s="3" t="str">
        <f>HYPERLINK("https://otsuka-europe-crm.veevavault.com/ui/#object/approved_document__v/V5O00000000D106", "Postal Navidad 2025")</f>
        <v>Postal Navidad 2025</v>
      </c>
      <c r="C17629" s="3" t="str">
        <f>HYPERLINK("https://otsuka-europe-crm.veevavault.com/ui/#object/sent_email__v/VBL000000012211", "SE-001398289")</f>
        <v>SE-001398289</v>
      </c>
      <c r="D17629" s="1">
        <v>46013.928090277775</v>
      </c>
      <c r="E17629" s="2">
        <v>1</v>
      </c>
      <c r="F17629" s="2">
        <v>1</v>
      </c>
      <c r="G17629" s="2">
        <v>0</v>
      </c>
      <c r="H17629" s="1" t="s">
        <v>0</v>
      </c>
      <c r="I17629" s="2">
        <v>0</v>
      </c>
      <c r="J17629" s="1">
        <v>46013.34171296296</v>
      </c>
    </row>
    <row r="17630" spans="1:10" x14ac:dyDescent="0.2">
      <c r="A17630" s="4" t="s">
        <v>1</v>
      </c>
      <c r="B17630" s="3" t="str">
        <f>HYPERLINK("https://otsuka-europe-crm.veevavault.com/ui/#object/approved_document__v/V5O00000000D106", "Postal Navidad 2025")</f>
        <v>Postal Navidad 2025</v>
      </c>
      <c r="C17630" s="3" t="str">
        <f>HYPERLINK("https://otsuka-europe-crm.veevavault.com/ui/#object/sent_email__v/VBL000000012212", "SE-001398290")</f>
        <v>SE-001398290</v>
      </c>
      <c r="D17630" s="1">
        <v>46013.467037037037</v>
      </c>
      <c r="E17630" s="2">
        <v>1</v>
      </c>
      <c r="F17630" s="2">
        <v>2</v>
      </c>
      <c r="G17630" s="2">
        <v>0</v>
      </c>
      <c r="H17630" s="1" t="s">
        <v>0</v>
      </c>
      <c r="I17630" s="2">
        <v>0</v>
      </c>
      <c r="J17630" s="1">
        <v>46013.34171296296</v>
      </c>
    </row>
    <row r="17631" spans="1:10" x14ac:dyDescent="0.2">
      <c r="A17631" s="4" t="s">
        <v>1</v>
      </c>
      <c r="B17631" s="3" t="str">
        <f>HYPERLINK("https://otsuka-europe-crm.veevavault.com/ui/#object/approved_document__v/V5O00000000D106", "Postal Navidad 2025")</f>
        <v>Postal Navidad 2025</v>
      </c>
      <c r="C17631" s="3" t="str">
        <f>HYPERLINK("https://otsuka-europe-crm.veevavault.com/ui/#object/sent_email__v/VBL000000012213", "SE-001398291")</f>
        <v>SE-001398291</v>
      </c>
      <c r="D17631" s="1" t="s">
        <v>0</v>
      </c>
      <c r="E17631" s="2">
        <v>0</v>
      </c>
      <c r="F17631" s="2">
        <v>0</v>
      </c>
      <c r="G17631" s="2">
        <v>0</v>
      </c>
      <c r="H17631" s="1" t="s">
        <v>0</v>
      </c>
      <c r="I17631" s="2">
        <v>0</v>
      </c>
      <c r="J17631" s="1">
        <v>46013.34171296296</v>
      </c>
    </row>
    <row r="17632" spans="1:10" x14ac:dyDescent="0.2">
      <c r="A17632" s="4" t="s">
        <v>1</v>
      </c>
      <c r="B17632" s="3" t="str">
        <f>HYPERLINK("https://otsuka-europe-crm.veevavault.com/ui/#object/approved_document__v/V5O00000000D106", "Postal Navidad 2025")</f>
        <v>Postal Navidad 2025</v>
      </c>
      <c r="C17632" s="3" t="str">
        <f>HYPERLINK("https://otsuka-europe-crm.veevavault.com/ui/#object/sent_email__v/VBL000000012214", "SE-001398292")</f>
        <v>SE-001398292</v>
      </c>
      <c r="D17632" s="1">
        <v>46034.855891203704</v>
      </c>
      <c r="E17632" s="2">
        <v>1</v>
      </c>
      <c r="F17632" s="2">
        <v>2</v>
      </c>
      <c r="G17632" s="2">
        <v>0</v>
      </c>
      <c r="H17632" s="1" t="s">
        <v>0</v>
      </c>
      <c r="I17632" s="2">
        <v>0</v>
      </c>
      <c r="J17632" s="1">
        <v>46013.34170138889</v>
      </c>
    </row>
    <row r="17633" spans="1:10" x14ac:dyDescent="0.2">
      <c r="A17633" s="4" t="s">
        <v>1</v>
      </c>
      <c r="B17633" s="3" t="str">
        <f>HYPERLINK("https://otsuka-europe-crm.veevavault.com/ui/#object/approved_document__v/V5O00000000D106", "Postal Navidad 2025")</f>
        <v>Postal Navidad 2025</v>
      </c>
      <c r="C17633" s="3" t="str">
        <f>HYPERLINK("https://otsuka-europe-crm.veevavault.com/ui/#object/sent_email__v/VBL000000012215", "SE-001398293")</f>
        <v>SE-001398293</v>
      </c>
      <c r="D17633" s="1">
        <v>46013.392256944448</v>
      </c>
      <c r="E17633" s="2">
        <v>1</v>
      </c>
      <c r="F17633" s="2">
        <v>1</v>
      </c>
      <c r="G17633" s="2">
        <v>0</v>
      </c>
      <c r="H17633" s="1" t="s">
        <v>0</v>
      </c>
      <c r="I17633" s="2">
        <v>0</v>
      </c>
      <c r="J17633" s="1">
        <v>46013.34171296296</v>
      </c>
    </row>
    <row r="17634" spans="1:10" x14ac:dyDescent="0.2">
      <c r="A17634" s="4" t="s">
        <v>1</v>
      </c>
      <c r="B17634" s="3" t="str">
        <f>HYPERLINK("https://otsuka-europe-crm.veevavault.com/ui/#object/approved_document__v/V5O00000000D106", "Postal Navidad 2025")</f>
        <v>Postal Navidad 2025</v>
      </c>
      <c r="C17634" s="3" t="str">
        <f>HYPERLINK("https://otsuka-europe-crm.veevavault.com/ui/#object/sent_email__v/VBL000000012216", "SE-001398294")</f>
        <v>SE-001398294</v>
      </c>
      <c r="D17634" s="1">
        <v>46016.756203703706</v>
      </c>
      <c r="E17634" s="2">
        <v>1</v>
      </c>
      <c r="F17634" s="2">
        <v>1</v>
      </c>
      <c r="G17634" s="2">
        <v>0</v>
      </c>
      <c r="H17634" s="1" t="s">
        <v>0</v>
      </c>
      <c r="I17634" s="2">
        <v>0</v>
      </c>
      <c r="J17634" s="1">
        <v>46013.34170138889</v>
      </c>
    </row>
    <row r="17635" spans="1:10" x14ac:dyDescent="0.2">
      <c r="A17635" s="4" t="s">
        <v>1</v>
      </c>
      <c r="B17635" s="3" t="str">
        <f>HYPERLINK("https://otsuka-europe-crm.veevavault.com/ui/#object/approved_document__v/V5O00000000D106", "Postal Navidad 2025")</f>
        <v>Postal Navidad 2025</v>
      </c>
      <c r="C17635" s="3" t="str">
        <f>HYPERLINK("https://otsuka-europe-crm.veevavault.com/ui/#object/sent_email__v/VBL000000012217", "SE-001398295")</f>
        <v>SE-001398295</v>
      </c>
      <c r="D17635" s="1">
        <v>46013.342511574076</v>
      </c>
      <c r="E17635" s="2">
        <v>1</v>
      </c>
      <c r="F17635" s="2">
        <v>3</v>
      </c>
      <c r="G17635" s="2">
        <v>0</v>
      </c>
      <c r="H17635" s="1" t="s">
        <v>0</v>
      </c>
      <c r="I17635" s="2">
        <v>0</v>
      </c>
      <c r="J17635" s="1">
        <v>46013.341747685183</v>
      </c>
    </row>
    <row r="17636" spans="1:10" x14ac:dyDescent="0.2">
      <c r="A17636" s="4" t="s">
        <v>1</v>
      </c>
      <c r="B17636" s="3" t="str">
        <f>HYPERLINK("https://otsuka-europe-crm.veevavault.com/ui/#object/approved_document__v/V5O00000000D106", "Postal Navidad 2025")</f>
        <v>Postal Navidad 2025</v>
      </c>
      <c r="C17636" s="3" t="str">
        <f>HYPERLINK("https://otsuka-europe-crm.veevavault.com/ui/#object/sent_email__v/VBL000000012218", "SE-001398296")</f>
        <v>SE-001398296</v>
      </c>
      <c r="D17636" s="1" t="s">
        <v>0</v>
      </c>
      <c r="E17636" s="2">
        <v>0</v>
      </c>
      <c r="F17636" s="2">
        <v>0</v>
      </c>
      <c r="G17636" s="2">
        <v>0</v>
      </c>
      <c r="H17636" s="1" t="s">
        <v>0</v>
      </c>
      <c r="I17636" s="2">
        <v>0</v>
      </c>
      <c r="J17636" s="1">
        <v>46013.34170138889</v>
      </c>
    </row>
    <row r="17637" spans="1:10" x14ac:dyDescent="0.2">
      <c r="A17637" s="4" t="s">
        <v>1</v>
      </c>
      <c r="B17637" s="3" t="str">
        <f>HYPERLINK("https://otsuka-europe-crm.veevavault.com/ui/#object/approved_document__v/V5O00000000D106", "Postal Navidad 2025")</f>
        <v>Postal Navidad 2025</v>
      </c>
      <c r="C17637" s="3" t="str">
        <f>HYPERLINK("https://otsuka-europe-crm.veevavault.com/ui/#object/sent_email__v/VBL000000012219", "SE-001398297")</f>
        <v>SE-001398297</v>
      </c>
      <c r="D17637" s="1">
        <v>46013.361909722225</v>
      </c>
      <c r="E17637" s="2">
        <v>1</v>
      </c>
      <c r="F17637" s="2">
        <v>1</v>
      </c>
      <c r="G17637" s="2">
        <v>0</v>
      </c>
      <c r="H17637" s="1" t="s">
        <v>0</v>
      </c>
      <c r="I17637" s="2">
        <v>0</v>
      </c>
      <c r="J17637" s="1">
        <v>46013.34170138889</v>
      </c>
    </row>
    <row r="17638" spans="1:10" x14ac:dyDescent="0.2">
      <c r="A17638" s="4" t="s">
        <v>1</v>
      </c>
      <c r="B17638" s="3" t="str">
        <f>HYPERLINK("https://otsuka-europe-crm.veevavault.com/ui/#object/approved_document__v/V5O00000000D106", "Postal Navidad 2025")</f>
        <v>Postal Navidad 2025</v>
      </c>
      <c r="C17638" s="3" t="str">
        <f>HYPERLINK("https://otsuka-europe-crm.veevavault.com/ui/#object/sent_email__v/VBL000000012220", "SE-001398298")</f>
        <v>SE-001398298</v>
      </c>
      <c r="D17638" s="1">
        <v>46013.42328703704</v>
      </c>
      <c r="E17638" s="2">
        <v>1</v>
      </c>
      <c r="F17638" s="2">
        <v>1</v>
      </c>
      <c r="G17638" s="2">
        <v>0</v>
      </c>
      <c r="H17638" s="1" t="s">
        <v>0</v>
      </c>
      <c r="I17638" s="2">
        <v>0</v>
      </c>
      <c r="J17638" s="1">
        <v>46013.34175925926</v>
      </c>
    </row>
    <row r="17639" spans="1:10" x14ac:dyDescent="0.2">
      <c r="A17639" s="4" t="s">
        <v>1</v>
      </c>
      <c r="B17639" s="3" t="str">
        <f>HYPERLINK("https://otsuka-europe-crm.veevavault.com/ui/#object/approved_document__v/V5O00000000D106", "Postal Navidad 2025")</f>
        <v>Postal Navidad 2025</v>
      </c>
      <c r="C17639" s="3" t="str">
        <f>HYPERLINK("https://otsuka-europe-crm.veevavault.com/ui/#object/sent_email__v/VBL000000012221", "SE-001398299")</f>
        <v>SE-001398299</v>
      </c>
      <c r="D17639" s="1">
        <v>46016.444907407407</v>
      </c>
      <c r="E17639" s="2">
        <v>1</v>
      </c>
      <c r="F17639" s="2">
        <v>1</v>
      </c>
      <c r="G17639" s="2">
        <v>0</v>
      </c>
      <c r="H17639" s="1" t="s">
        <v>0</v>
      </c>
      <c r="I17639" s="2">
        <v>0</v>
      </c>
      <c r="J17639" s="1">
        <v>46013.34170138889</v>
      </c>
    </row>
    <row r="17640" spans="1:10" x14ac:dyDescent="0.2">
      <c r="A17640" s="4" t="s">
        <v>1</v>
      </c>
      <c r="B17640" s="3" t="str">
        <f>HYPERLINK("https://otsuka-europe-crm.veevavault.com/ui/#object/approved_document__v/V5O00000000D106", "Postal Navidad 2025")</f>
        <v>Postal Navidad 2025</v>
      </c>
      <c r="C17640" s="3" t="str">
        <f>HYPERLINK("https://otsuka-europe-crm.veevavault.com/ui/#object/sent_email__v/VBL000000012222", "SE-001398300")</f>
        <v>SE-001398300</v>
      </c>
      <c r="D17640" s="1">
        <v>46013.387824074074</v>
      </c>
      <c r="E17640" s="2">
        <v>1</v>
      </c>
      <c r="F17640" s="2">
        <v>1</v>
      </c>
      <c r="G17640" s="2">
        <v>0</v>
      </c>
      <c r="H17640" s="1" t="s">
        <v>0</v>
      </c>
      <c r="I17640" s="2">
        <v>0</v>
      </c>
      <c r="J17640" s="1">
        <v>46013.34171296296</v>
      </c>
    </row>
    <row r="17641" spans="1:10" x14ac:dyDescent="0.2">
      <c r="A17641" s="4" t="s">
        <v>1</v>
      </c>
      <c r="B17641" s="3" t="str">
        <f>HYPERLINK("https://otsuka-europe-crm.veevavault.com/ui/#object/approved_document__v/V5O00000000D106", "Postal Navidad 2025")</f>
        <v>Postal Navidad 2025</v>
      </c>
      <c r="C17641" s="3" t="str">
        <f>HYPERLINK("https://otsuka-europe-crm.veevavault.com/ui/#object/sent_email__v/VBL000000012223", "SE-001398301")</f>
        <v>SE-001398301</v>
      </c>
      <c r="D17641" s="1" t="s">
        <v>0</v>
      </c>
      <c r="E17641" s="2">
        <v>0</v>
      </c>
      <c r="F17641" s="2">
        <v>0</v>
      </c>
      <c r="G17641" s="2">
        <v>0</v>
      </c>
      <c r="H17641" s="1" t="s">
        <v>0</v>
      </c>
      <c r="I17641" s="2">
        <v>0</v>
      </c>
      <c r="J17641" s="1">
        <v>46013.34171296296</v>
      </c>
    </row>
    <row r="17642" spans="1:10" x14ac:dyDescent="0.2">
      <c r="A17642" s="4" t="s">
        <v>1</v>
      </c>
      <c r="B17642" s="3" t="str">
        <f>HYPERLINK("https://otsuka-europe-crm.veevavault.com/ui/#object/approved_document__v/V5O00000000D106", "Postal Navidad 2025")</f>
        <v>Postal Navidad 2025</v>
      </c>
      <c r="C17642" s="3" t="str">
        <f>HYPERLINK("https://otsuka-europe-crm.veevavault.com/ui/#object/sent_email__v/VBL000000012224", "SE-001398302")</f>
        <v>SE-001398302</v>
      </c>
      <c r="D17642" s="1" t="s">
        <v>0</v>
      </c>
      <c r="E17642" s="2">
        <v>0</v>
      </c>
      <c r="F17642" s="2">
        <v>0</v>
      </c>
      <c r="G17642" s="2">
        <v>0</v>
      </c>
      <c r="H17642" s="1" t="s">
        <v>0</v>
      </c>
      <c r="I17642" s="2">
        <v>0</v>
      </c>
      <c r="J17642" s="1">
        <v>46013.34171296296</v>
      </c>
    </row>
    <row r="17643" spans="1:10" x14ac:dyDescent="0.2">
      <c r="A17643" s="4" t="s">
        <v>1</v>
      </c>
      <c r="B17643" s="3" t="str">
        <f>HYPERLINK("https://otsuka-europe-crm.veevavault.com/ui/#object/approved_document__v/V5O00000000D106", "Postal Navidad 2025")</f>
        <v>Postal Navidad 2025</v>
      </c>
      <c r="C17643" s="3" t="str">
        <f>HYPERLINK("https://otsuka-europe-crm.veevavault.com/ui/#object/sent_email__v/VBL000000012225", "SE-001398303")</f>
        <v>SE-001398303</v>
      </c>
      <c r="D17643" s="1">
        <v>46014.563530092593</v>
      </c>
      <c r="E17643" s="2">
        <v>1</v>
      </c>
      <c r="F17643" s="2">
        <v>1</v>
      </c>
      <c r="G17643" s="2">
        <v>0</v>
      </c>
      <c r="H17643" s="1" t="s">
        <v>0</v>
      </c>
      <c r="I17643" s="2">
        <v>0</v>
      </c>
      <c r="J17643" s="1">
        <v>46013.34170138889</v>
      </c>
    </row>
    <row r="17644" spans="1:10" x14ac:dyDescent="0.2">
      <c r="A17644" s="4" t="s">
        <v>1</v>
      </c>
      <c r="B17644" s="3" t="str">
        <f>HYPERLINK("https://otsuka-europe-crm.veevavault.com/ui/#object/approved_document__v/V5O00000000D106", "Postal Navidad 2025")</f>
        <v>Postal Navidad 2025</v>
      </c>
      <c r="C17644" s="3" t="str">
        <f>HYPERLINK("https://otsuka-europe-crm.veevavault.com/ui/#object/sent_email__v/VBL000000012226", "SE-001398304")</f>
        <v>SE-001398304</v>
      </c>
      <c r="D17644" s="1" t="s">
        <v>0</v>
      </c>
      <c r="E17644" s="2">
        <v>0</v>
      </c>
      <c r="F17644" s="2">
        <v>0</v>
      </c>
      <c r="G17644" s="2">
        <v>0</v>
      </c>
      <c r="H17644" s="1" t="s">
        <v>0</v>
      </c>
      <c r="I17644" s="2">
        <v>0</v>
      </c>
      <c r="J17644" s="1">
        <v>46013.34170138889</v>
      </c>
    </row>
    <row r="17645" spans="1:10" x14ac:dyDescent="0.2">
      <c r="A17645" s="4" t="s">
        <v>1</v>
      </c>
      <c r="B17645" s="3" t="str">
        <f>HYPERLINK("https://otsuka-europe-crm.veevavault.com/ui/#object/approved_document__v/V5O00000000D106", "Postal Navidad 2025")</f>
        <v>Postal Navidad 2025</v>
      </c>
      <c r="C17645" s="3" t="str">
        <f>HYPERLINK("https://otsuka-europe-crm.veevavault.com/ui/#object/sent_email__v/VBL000000012227", "SE-001398305")</f>
        <v>SE-001398305</v>
      </c>
      <c r="D17645" s="1">
        <v>46013.780717592592</v>
      </c>
      <c r="E17645" s="2">
        <v>1</v>
      </c>
      <c r="F17645" s="2">
        <v>1</v>
      </c>
      <c r="G17645" s="2">
        <v>0</v>
      </c>
      <c r="H17645" s="1" t="s">
        <v>0</v>
      </c>
      <c r="I17645" s="2">
        <v>0</v>
      </c>
      <c r="J17645" s="1">
        <v>46013.34171296296</v>
      </c>
    </row>
    <row r="17646" spans="1:10" x14ac:dyDescent="0.2">
      <c r="A17646" s="4" t="s">
        <v>1</v>
      </c>
      <c r="B17646" s="3" t="str">
        <f>HYPERLINK("https://otsuka-europe-crm.veevavault.com/ui/#object/approved_document__v/V5O00000000D106", "Postal Navidad 2025")</f>
        <v>Postal Navidad 2025</v>
      </c>
      <c r="C17646" s="3" t="str">
        <f>HYPERLINK("https://otsuka-europe-crm.veevavault.com/ui/#object/sent_email__v/VBL000000012228", "SE-001398306")</f>
        <v>SE-001398306</v>
      </c>
      <c r="D17646" s="1">
        <v>46013.432511574072</v>
      </c>
      <c r="E17646" s="2">
        <v>1</v>
      </c>
      <c r="F17646" s="2">
        <v>1</v>
      </c>
      <c r="G17646" s="2">
        <v>0</v>
      </c>
      <c r="H17646" s="1" t="s">
        <v>0</v>
      </c>
      <c r="I17646" s="2">
        <v>0</v>
      </c>
      <c r="J17646" s="1">
        <v>46013.34170138889</v>
      </c>
    </row>
    <row r="17647" spans="1:10" x14ac:dyDescent="0.2">
      <c r="A17647" s="4" t="s">
        <v>1</v>
      </c>
      <c r="B17647" s="3" t="str">
        <f>HYPERLINK("https://otsuka-europe-crm.veevavault.com/ui/#object/approved_document__v/V5O00000000D106", "Postal Navidad 2025")</f>
        <v>Postal Navidad 2025</v>
      </c>
      <c r="C17647" s="3" t="str">
        <f>HYPERLINK("https://otsuka-europe-crm.veevavault.com/ui/#object/sent_email__v/VBL000000012229", "SE-001398307")</f>
        <v>SE-001398307</v>
      </c>
      <c r="D17647" s="1" t="s">
        <v>0</v>
      </c>
      <c r="E17647" s="2">
        <v>0</v>
      </c>
      <c r="F17647" s="2">
        <v>0</v>
      </c>
      <c r="G17647" s="2">
        <v>0</v>
      </c>
      <c r="H17647" s="1" t="s">
        <v>0</v>
      </c>
      <c r="I17647" s="2">
        <v>0</v>
      </c>
      <c r="J17647" s="1">
        <v>46013.34171296296</v>
      </c>
    </row>
    <row r="17648" spans="1:10" x14ac:dyDescent="0.2">
      <c r="A17648" s="4" t="s">
        <v>1</v>
      </c>
      <c r="B17648" s="3" t="str">
        <f>HYPERLINK("https://otsuka-europe-crm.veevavault.com/ui/#object/approved_document__v/V5O00000000D106", "Postal Navidad 2025")</f>
        <v>Postal Navidad 2025</v>
      </c>
      <c r="C17648" s="3" t="str">
        <f>HYPERLINK("https://otsuka-europe-crm.veevavault.com/ui/#object/sent_email__v/VBL000000012230", "SE-001398308")</f>
        <v>SE-001398308</v>
      </c>
      <c r="D17648" s="1">
        <v>46013.920532407406</v>
      </c>
      <c r="E17648" s="2">
        <v>1</v>
      </c>
      <c r="F17648" s="2">
        <v>1</v>
      </c>
      <c r="G17648" s="2">
        <v>0</v>
      </c>
      <c r="H17648" s="1" t="s">
        <v>0</v>
      </c>
      <c r="I17648" s="2">
        <v>0</v>
      </c>
      <c r="J17648" s="1">
        <v>46013.341747685183</v>
      </c>
    </row>
    <row r="17649" spans="1:10" x14ac:dyDescent="0.2">
      <c r="A17649" s="4" t="s">
        <v>1</v>
      </c>
      <c r="B17649" s="3" t="str">
        <f>HYPERLINK("https://otsuka-europe-crm.veevavault.com/ui/#object/approved_document__v/V5O00000000D106", "Postal Navidad 2025")</f>
        <v>Postal Navidad 2025</v>
      </c>
      <c r="C17649" s="3" t="str">
        <f>HYPERLINK("https://otsuka-europe-crm.veevavault.com/ui/#object/sent_email__v/VBL000000012231", "SE-001398309")</f>
        <v>SE-001398309</v>
      </c>
      <c r="D17649" s="1" t="s">
        <v>0</v>
      </c>
      <c r="E17649" s="2">
        <v>0</v>
      </c>
      <c r="F17649" s="2">
        <v>0</v>
      </c>
      <c r="G17649" s="2">
        <v>0</v>
      </c>
      <c r="H17649" s="1" t="s">
        <v>0</v>
      </c>
      <c r="I17649" s="2">
        <v>0</v>
      </c>
      <c r="J17649" s="1">
        <v>46013.34175925926</v>
      </c>
    </row>
    <row r="17650" spans="1:10" x14ac:dyDescent="0.2">
      <c r="A17650" s="4" t="s">
        <v>1</v>
      </c>
      <c r="B17650" s="3" t="str">
        <f>HYPERLINK("https://otsuka-europe-crm.veevavault.com/ui/#object/approved_document__v/V5O00000000D106", "Postal Navidad 2025")</f>
        <v>Postal Navidad 2025</v>
      </c>
      <c r="C17650" s="3" t="str">
        <f>HYPERLINK("https://otsuka-europe-crm.veevavault.com/ui/#object/sent_email__v/VBL000000013251", "SE-001398319")</f>
        <v>SE-001398319</v>
      </c>
      <c r="D17650" s="1" t="s">
        <v>0</v>
      </c>
      <c r="E17650" s="2">
        <v>0</v>
      </c>
      <c r="F17650" s="2">
        <v>0</v>
      </c>
      <c r="G17650" s="2">
        <v>0</v>
      </c>
      <c r="H17650" s="1" t="s">
        <v>0</v>
      </c>
      <c r="I17650" s="2">
        <v>0</v>
      </c>
      <c r="J17650" s="1">
        <v>46013.341805555552</v>
      </c>
    </row>
    <row r="17651" spans="1:10" x14ac:dyDescent="0.2">
      <c r="A17651" s="4" t="s">
        <v>1</v>
      </c>
      <c r="B17651" s="3" t="str">
        <f>HYPERLINK("https://otsuka-europe-crm.veevavault.com/ui/#object/approved_document__v/V5O00000000D106", "Postal Navidad 2025")</f>
        <v>Postal Navidad 2025</v>
      </c>
      <c r="C17651" s="3" t="str">
        <f>HYPERLINK("https://otsuka-europe-crm.veevavault.com/ui/#object/sent_email__v/VBL000000013252", "SE-001398320")</f>
        <v>SE-001398320</v>
      </c>
      <c r="D17651" s="1">
        <v>46031.831307870372</v>
      </c>
      <c r="E17651" s="2">
        <v>1</v>
      </c>
      <c r="F17651" s="2">
        <v>3</v>
      </c>
      <c r="G17651" s="2">
        <v>0</v>
      </c>
      <c r="H17651" s="1" t="s">
        <v>0</v>
      </c>
      <c r="I17651" s="2">
        <v>0</v>
      </c>
      <c r="J17651" s="1">
        <v>46013.341817129629</v>
      </c>
    </row>
    <row r="17652" spans="1:10" x14ac:dyDescent="0.2">
      <c r="A17652" s="4" t="s">
        <v>1</v>
      </c>
      <c r="B17652" s="3" t="str">
        <f>HYPERLINK("https://otsuka-europe-crm.veevavault.com/ui/#object/approved_document__v/V5O00000000D106", "Postal Navidad 2025")</f>
        <v>Postal Navidad 2025</v>
      </c>
      <c r="C17652" s="3" t="str">
        <f>HYPERLINK("https://otsuka-europe-crm.veevavault.com/ui/#object/sent_email__v/VBL000000013253", "SE-001398321")</f>
        <v>SE-001398321</v>
      </c>
      <c r="D17652" s="1" t="s">
        <v>0</v>
      </c>
      <c r="E17652" s="2">
        <v>0</v>
      </c>
      <c r="F17652" s="2">
        <v>0</v>
      </c>
      <c r="G17652" s="2">
        <v>0</v>
      </c>
      <c r="H17652" s="1" t="s">
        <v>0</v>
      </c>
      <c r="I17652" s="2">
        <v>0</v>
      </c>
      <c r="J17652" s="1">
        <v>46013.341817129629</v>
      </c>
    </row>
    <row r="17653" spans="1:10" x14ac:dyDescent="0.2">
      <c r="A17653" s="4" t="s">
        <v>1</v>
      </c>
      <c r="B17653" s="3" t="str">
        <f>HYPERLINK("https://otsuka-europe-crm.veevavault.com/ui/#object/approved_document__v/V5O00000000D106", "Postal Navidad 2025")</f>
        <v>Postal Navidad 2025</v>
      </c>
      <c r="C17653" s="3" t="str">
        <f>HYPERLINK("https://otsuka-europe-crm.veevavault.com/ui/#object/sent_email__v/VBL000000013254", "SE-001398322")</f>
        <v>SE-001398322</v>
      </c>
      <c r="D17653" s="1" t="s">
        <v>0</v>
      </c>
      <c r="E17653" s="2">
        <v>0</v>
      </c>
      <c r="F17653" s="2">
        <v>0</v>
      </c>
      <c r="G17653" s="2">
        <v>0</v>
      </c>
      <c r="H17653" s="1" t="s">
        <v>0</v>
      </c>
      <c r="I17653" s="2">
        <v>0</v>
      </c>
      <c r="J17653" s="1">
        <v>46013.341817129629</v>
      </c>
    </row>
    <row r="17654" spans="1:10" x14ac:dyDescent="0.2">
      <c r="A17654" s="4" t="s">
        <v>1</v>
      </c>
      <c r="B17654" s="3" t="str">
        <f>HYPERLINK("https://otsuka-europe-crm.veevavault.com/ui/#object/approved_document__v/V5O00000000D106", "Postal Navidad 2025")</f>
        <v>Postal Navidad 2025</v>
      </c>
      <c r="C17654" s="3" t="str">
        <f>HYPERLINK("https://otsuka-europe-crm.veevavault.com/ui/#object/sent_email__v/VBL000000013255", "SE-001398323")</f>
        <v>SE-001398323</v>
      </c>
      <c r="D17654" s="1" t="s">
        <v>0</v>
      </c>
      <c r="E17654" s="2">
        <v>0</v>
      </c>
      <c r="F17654" s="2">
        <v>0</v>
      </c>
      <c r="G17654" s="2">
        <v>0</v>
      </c>
      <c r="H17654" s="1" t="s">
        <v>0</v>
      </c>
      <c r="I17654" s="2">
        <v>0</v>
      </c>
      <c r="J17654" s="1">
        <v>46013.341770833336</v>
      </c>
    </row>
    <row r="17655" spans="1:10" x14ac:dyDescent="0.2">
      <c r="A17655" s="4" t="s">
        <v>1</v>
      </c>
      <c r="B17655" s="3" t="str">
        <f>HYPERLINK("https://otsuka-europe-crm.veevavault.com/ui/#object/approved_document__v/V5O00000000D106", "Postal Navidad 2025")</f>
        <v>Postal Navidad 2025</v>
      </c>
      <c r="C17655" s="3" t="str">
        <f>HYPERLINK("https://otsuka-europe-crm.veevavault.com/ui/#object/sent_email__v/VBL000000013256", "SE-001398324")</f>
        <v>SE-001398324</v>
      </c>
      <c r="D17655" s="1">
        <v>46013.540706018517</v>
      </c>
      <c r="E17655" s="2">
        <v>1</v>
      </c>
      <c r="F17655" s="2">
        <v>1</v>
      </c>
      <c r="G17655" s="2">
        <v>0</v>
      </c>
      <c r="H17655" s="1" t="s">
        <v>0</v>
      </c>
      <c r="I17655" s="2">
        <v>0</v>
      </c>
      <c r="J17655" s="1">
        <v>46013.341817129629</v>
      </c>
    </row>
    <row r="17656" spans="1:10" x14ac:dyDescent="0.2">
      <c r="A17656" s="4" t="s">
        <v>1</v>
      </c>
      <c r="B17656" s="3" t="str">
        <f>HYPERLINK("https://otsuka-europe-crm.veevavault.com/ui/#object/approved_document__v/V5O00000000D106", "Postal Navidad 2025")</f>
        <v>Postal Navidad 2025</v>
      </c>
      <c r="C17656" s="3" t="str">
        <f>HYPERLINK("https://otsuka-europe-crm.veevavault.com/ui/#object/sent_email__v/VBL000000013257", "SE-001398325")</f>
        <v>SE-001398325</v>
      </c>
      <c r="D17656" s="1" t="s">
        <v>0</v>
      </c>
      <c r="E17656" s="2">
        <v>0</v>
      </c>
      <c r="F17656" s="2">
        <v>0</v>
      </c>
      <c r="G17656" s="2">
        <v>0</v>
      </c>
      <c r="H17656" s="1" t="s">
        <v>0</v>
      </c>
      <c r="I17656" s="2">
        <v>0</v>
      </c>
      <c r="J17656" s="1">
        <v>46013.341828703706</v>
      </c>
    </row>
    <row r="17657" spans="1:10" x14ac:dyDescent="0.2">
      <c r="A17657" s="4" t="s">
        <v>1</v>
      </c>
      <c r="B17657" s="3" t="str">
        <f>HYPERLINK("https://otsuka-europe-crm.veevavault.com/ui/#object/approved_document__v/V5O00000000D106", "Postal Navidad 2025")</f>
        <v>Postal Navidad 2025</v>
      </c>
      <c r="C17657" s="3" t="str">
        <f>HYPERLINK("https://otsuka-europe-crm.veevavault.com/ui/#object/sent_email__v/VBL000000013258", "SE-001398326")</f>
        <v>SE-001398326</v>
      </c>
      <c r="D17657" s="1">
        <v>46013.394282407404</v>
      </c>
      <c r="E17657" s="2">
        <v>1</v>
      </c>
      <c r="F17657" s="2">
        <v>1</v>
      </c>
      <c r="G17657" s="2">
        <v>0</v>
      </c>
      <c r="H17657" s="1" t="s">
        <v>0</v>
      </c>
      <c r="I17657" s="2">
        <v>0</v>
      </c>
      <c r="J17657" s="1">
        <v>46013.341828703706</v>
      </c>
    </row>
    <row r="17658" spans="1:10" x14ac:dyDescent="0.2">
      <c r="A17658" s="4" t="s">
        <v>1</v>
      </c>
      <c r="B17658" s="3" t="str">
        <f>HYPERLINK("https://otsuka-europe-crm.veevavault.com/ui/#object/approved_document__v/V5O00000000D106", "Postal Navidad 2025")</f>
        <v>Postal Navidad 2025</v>
      </c>
      <c r="C17658" s="3" t="str">
        <f>HYPERLINK("https://otsuka-europe-crm.veevavault.com/ui/#object/sent_email__v/VBL000000013259", "SE-001398327")</f>
        <v>SE-001398327</v>
      </c>
      <c r="D17658" s="1" t="s">
        <v>0</v>
      </c>
      <c r="E17658" s="2">
        <v>0</v>
      </c>
      <c r="F17658" s="2">
        <v>0</v>
      </c>
      <c r="G17658" s="2">
        <v>0</v>
      </c>
      <c r="H17658" s="1" t="s">
        <v>0</v>
      </c>
      <c r="I17658" s="2">
        <v>0</v>
      </c>
      <c r="J17658" s="1">
        <v>46013.341840277775</v>
      </c>
    </row>
    <row r="17659" spans="1:10" x14ac:dyDescent="0.2">
      <c r="A17659" s="4" t="s">
        <v>1</v>
      </c>
      <c r="B17659" s="3" t="str">
        <f>HYPERLINK("https://otsuka-europe-crm.veevavault.com/ui/#object/approved_document__v/V5O00000000D106", "Postal Navidad 2025")</f>
        <v>Postal Navidad 2025</v>
      </c>
      <c r="C17659" s="3" t="str">
        <f>HYPERLINK("https://otsuka-europe-crm.veevavault.com/ui/#object/sent_email__v/VBL000000013260", "SE-001398328")</f>
        <v>SE-001398328</v>
      </c>
      <c r="D17659" s="1" t="s">
        <v>0</v>
      </c>
      <c r="E17659" s="2">
        <v>0</v>
      </c>
      <c r="F17659" s="2">
        <v>0</v>
      </c>
      <c r="G17659" s="2">
        <v>0</v>
      </c>
      <c r="H17659" s="1" t="s">
        <v>0</v>
      </c>
      <c r="I17659" s="2">
        <v>0</v>
      </c>
      <c r="J17659" s="1">
        <v>46013.34171296296</v>
      </c>
    </row>
    <row r="17660" spans="1:10" x14ac:dyDescent="0.2">
      <c r="A17660" s="4" t="s">
        <v>1</v>
      </c>
      <c r="B17660" s="3" t="str">
        <f>HYPERLINK("https://otsuka-europe-crm.veevavault.com/ui/#object/approved_document__v/V5O00000000D106", "Postal Navidad 2025")</f>
        <v>Postal Navidad 2025</v>
      </c>
      <c r="C17660" s="3" t="str">
        <f>HYPERLINK("https://otsuka-europe-crm.veevavault.com/ui/#object/sent_email__v/VBL000000013261", "SE-001398329")</f>
        <v>SE-001398329</v>
      </c>
      <c r="D17660" s="1">
        <v>46016.406851851854</v>
      </c>
      <c r="E17660" s="2">
        <v>1</v>
      </c>
      <c r="F17660" s="2">
        <v>1</v>
      </c>
      <c r="G17660" s="2">
        <v>0</v>
      </c>
      <c r="H17660" s="1" t="s">
        <v>0</v>
      </c>
      <c r="I17660" s="2">
        <v>0</v>
      </c>
      <c r="J17660" s="1">
        <v>46013.34171296296</v>
      </c>
    </row>
    <row r="17661" spans="1:10" x14ac:dyDescent="0.2">
      <c r="A17661" s="4" t="s">
        <v>1</v>
      </c>
      <c r="B17661" s="3" t="str">
        <f>HYPERLINK("https://otsuka-europe-crm.veevavault.com/ui/#object/approved_document__v/V5O00000000D106", "Postal Navidad 2025")</f>
        <v>Postal Navidad 2025</v>
      </c>
      <c r="C17661" s="3" t="str">
        <f>HYPERLINK("https://otsuka-europe-crm.veevavault.com/ui/#object/sent_email__v/VBL000000013262", "SE-001398330")</f>
        <v>SE-001398330</v>
      </c>
      <c r="D17661" s="1">
        <v>46013.966574074075</v>
      </c>
      <c r="E17661" s="2">
        <v>1</v>
      </c>
      <c r="F17661" s="2">
        <v>1</v>
      </c>
      <c r="G17661" s="2">
        <v>0</v>
      </c>
      <c r="H17661" s="1" t="s">
        <v>0</v>
      </c>
      <c r="I17661" s="2">
        <v>0</v>
      </c>
      <c r="J17661" s="1">
        <v>46013.34171296296</v>
      </c>
    </row>
    <row r="17662" spans="1:10" x14ac:dyDescent="0.2">
      <c r="A17662" s="4" t="s">
        <v>1</v>
      </c>
      <c r="B17662" s="3" t="str">
        <f>HYPERLINK("https://otsuka-europe-crm.veevavault.com/ui/#object/approved_document__v/V5O00000000D106", "Postal Navidad 2025")</f>
        <v>Postal Navidad 2025</v>
      </c>
      <c r="C17662" s="3" t="str">
        <f>HYPERLINK("https://otsuka-europe-crm.veevavault.com/ui/#object/sent_email__v/VBL000000013263", "SE-001398331")</f>
        <v>SE-001398331</v>
      </c>
      <c r="D17662" s="1" t="s">
        <v>0</v>
      </c>
      <c r="E17662" s="2">
        <v>0</v>
      </c>
      <c r="F17662" s="2">
        <v>0</v>
      </c>
      <c r="G17662" s="2">
        <v>0</v>
      </c>
      <c r="H17662" s="1" t="s">
        <v>0</v>
      </c>
      <c r="I17662" s="2">
        <v>0</v>
      </c>
      <c r="J17662" s="1">
        <v>46013.34171296296</v>
      </c>
    </row>
    <row r="17663" spans="1:10" x14ac:dyDescent="0.2">
      <c r="A17663" s="4" t="s">
        <v>1</v>
      </c>
      <c r="B17663" s="3" t="str">
        <f>HYPERLINK("https://otsuka-europe-crm.veevavault.com/ui/#object/approved_document__v/V5O00000000D106", "Postal Navidad 2025")</f>
        <v>Postal Navidad 2025</v>
      </c>
      <c r="C17663" s="3" t="str">
        <f>HYPERLINK("https://otsuka-europe-crm.veevavault.com/ui/#object/sent_email__v/VBL000000013264", "SE-001398332")</f>
        <v>SE-001398332</v>
      </c>
      <c r="D17663" s="1" t="s">
        <v>0</v>
      </c>
      <c r="E17663" s="2">
        <v>0</v>
      </c>
      <c r="F17663" s="2">
        <v>0</v>
      </c>
      <c r="G17663" s="2">
        <v>0</v>
      </c>
      <c r="H17663" s="1" t="s">
        <v>0</v>
      </c>
      <c r="I17663" s="2">
        <v>0</v>
      </c>
      <c r="J17663" s="1">
        <v>46013.34170138889</v>
      </c>
    </row>
    <row r="17664" spans="1:10" x14ac:dyDescent="0.2">
      <c r="A17664" s="4" t="s">
        <v>1</v>
      </c>
      <c r="B17664" s="3" t="str">
        <f>HYPERLINK("https://otsuka-europe-crm.veevavault.com/ui/#object/approved_document__v/V5O00000000D106", "Postal Navidad 2025")</f>
        <v>Postal Navidad 2025</v>
      </c>
      <c r="C17664" s="3" t="str">
        <f>HYPERLINK("https://otsuka-europe-crm.veevavault.com/ui/#object/sent_email__v/VBL000000013265", "SE-001398333")</f>
        <v>SE-001398333</v>
      </c>
      <c r="D17664" s="1" t="s">
        <v>0</v>
      </c>
      <c r="E17664" s="2">
        <v>0</v>
      </c>
      <c r="F17664" s="2">
        <v>0</v>
      </c>
      <c r="G17664" s="2">
        <v>0</v>
      </c>
      <c r="H17664" s="1" t="s">
        <v>0</v>
      </c>
      <c r="I17664" s="2">
        <v>0</v>
      </c>
      <c r="J17664" s="1">
        <v>46013.34170138889</v>
      </c>
    </row>
    <row r="17665" spans="1:10" x14ac:dyDescent="0.2">
      <c r="A17665" s="4" t="s">
        <v>1</v>
      </c>
      <c r="B17665" s="3" t="str">
        <f>HYPERLINK("https://otsuka-europe-crm.veevavault.com/ui/#object/approved_document__v/V5O00000000D106", "Postal Navidad 2025")</f>
        <v>Postal Navidad 2025</v>
      </c>
      <c r="C17665" s="3" t="str">
        <f>HYPERLINK("https://otsuka-europe-crm.veevavault.com/ui/#object/sent_email__v/VBL000000013266", "SE-001398334")</f>
        <v>SE-001398334</v>
      </c>
      <c r="D17665" s="1">
        <v>46013.455706018518</v>
      </c>
      <c r="E17665" s="2">
        <v>1</v>
      </c>
      <c r="F17665" s="2">
        <v>1</v>
      </c>
      <c r="G17665" s="2">
        <v>0</v>
      </c>
      <c r="H17665" s="1" t="s">
        <v>0</v>
      </c>
      <c r="I17665" s="2">
        <v>0</v>
      </c>
      <c r="J17665" s="1">
        <v>46013.34171296296</v>
      </c>
    </row>
    <row r="17666" spans="1:10" x14ac:dyDescent="0.2">
      <c r="A17666" s="4" t="s">
        <v>1</v>
      </c>
      <c r="B17666" s="3" t="str">
        <f>HYPERLINK("https://otsuka-europe-crm.veevavault.com/ui/#object/approved_document__v/V5O00000000D106", "Postal Navidad 2025")</f>
        <v>Postal Navidad 2025</v>
      </c>
      <c r="C17666" s="3" t="str">
        <f>HYPERLINK("https://otsuka-europe-crm.veevavault.com/ui/#object/sent_email__v/VBL000000013267", "SE-001398335")</f>
        <v>SE-001398335</v>
      </c>
      <c r="D17666" s="1">
        <v>46020.760370370372</v>
      </c>
      <c r="E17666" s="2">
        <v>1</v>
      </c>
      <c r="F17666" s="2">
        <v>1</v>
      </c>
      <c r="G17666" s="2">
        <v>0</v>
      </c>
      <c r="H17666" s="1" t="s">
        <v>0</v>
      </c>
      <c r="I17666" s="2">
        <v>0</v>
      </c>
      <c r="J17666" s="1">
        <v>46013.34170138889</v>
      </c>
    </row>
    <row r="17667" spans="1:10" x14ac:dyDescent="0.2">
      <c r="A17667" s="4" t="s">
        <v>1</v>
      </c>
      <c r="B17667" s="3" t="str">
        <f>HYPERLINK("https://otsuka-europe-crm.veevavault.com/ui/#object/approved_document__v/V5O00000000D106", "Postal Navidad 2025")</f>
        <v>Postal Navidad 2025</v>
      </c>
      <c r="C17667" s="3" t="str">
        <f>HYPERLINK("https://otsuka-europe-crm.veevavault.com/ui/#object/sent_email__v/VBL000000013268", "SE-001398336")</f>
        <v>SE-001398336</v>
      </c>
      <c r="D17667" s="1">
        <v>46013.358194444445</v>
      </c>
      <c r="E17667" s="2">
        <v>1</v>
      </c>
      <c r="F17667" s="2">
        <v>2</v>
      </c>
      <c r="G17667" s="2">
        <v>0</v>
      </c>
      <c r="H17667" s="1" t="s">
        <v>0</v>
      </c>
      <c r="I17667" s="2">
        <v>0</v>
      </c>
      <c r="J17667" s="1">
        <v>46013.34170138889</v>
      </c>
    </row>
    <row r="17668" spans="1:10" x14ac:dyDescent="0.2">
      <c r="A17668" s="4" t="s">
        <v>1</v>
      </c>
      <c r="B17668" s="3" t="str">
        <f>HYPERLINK("https://otsuka-europe-crm.veevavault.com/ui/#object/approved_document__v/V5O00000000D106", "Postal Navidad 2025")</f>
        <v>Postal Navidad 2025</v>
      </c>
      <c r="C17668" s="3" t="str">
        <f>HYPERLINK("https://otsuka-europe-crm.veevavault.com/ui/#object/sent_email__v/VBL000000013269", "SE-001398337")</f>
        <v>SE-001398337</v>
      </c>
      <c r="D17668" s="1">
        <v>46013.354004629633</v>
      </c>
      <c r="E17668" s="2">
        <v>1</v>
      </c>
      <c r="F17668" s="2">
        <v>1</v>
      </c>
      <c r="G17668" s="2">
        <v>0</v>
      </c>
      <c r="H17668" s="1" t="s">
        <v>0</v>
      </c>
      <c r="I17668" s="2">
        <v>0</v>
      </c>
      <c r="J17668" s="1">
        <v>46013.34170138889</v>
      </c>
    </row>
    <row r="17669" spans="1:10" x14ac:dyDescent="0.2">
      <c r="A17669" s="4" t="s">
        <v>1</v>
      </c>
      <c r="B17669" s="3" t="str">
        <f>HYPERLINK("https://otsuka-europe-crm.veevavault.com/ui/#object/approved_document__v/V5O00000000D106", "Postal Navidad 2025")</f>
        <v>Postal Navidad 2025</v>
      </c>
      <c r="C17669" s="3" t="str">
        <f>HYPERLINK("https://otsuka-europe-crm.veevavault.com/ui/#object/sent_email__v/VBL000000013270", "SE-001398338")</f>
        <v>SE-001398338</v>
      </c>
      <c r="D17669" s="1">
        <v>46017.304861111108</v>
      </c>
      <c r="E17669" s="2">
        <v>1</v>
      </c>
      <c r="F17669" s="2">
        <v>1</v>
      </c>
      <c r="G17669" s="2">
        <v>0</v>
      </c>
      <c r="H17669" s="1" t="s">
        <v>0</v>
      </c>
      <c r="I17669" s="2">
        <v>0</v>
      </c>
      <c r="J17669" s="1">
        <v>46013.34170138889</v>
      </c>
    </row>
    <row r="17670" spans="1:10" x14ac:dyDescent="0.2">
      <c r="A17670" s="4" t="s">
        <v>1</v>
      </c>
      <c r="B17670" s="3" t="str">
        <f>HYPERLINK("https://otsuka-europe-crm.veevavault.com/ui/#object/approved_document__v/V5O00000000D106", "Postal Navidad 2025")</f>
        <v>Postal Navidad 2025</v>
      </c>
      <c r="C17670" s="3" t="str">
        <f>HYPERLINK("https://otsuka-europe-crm.veevavault.com/ui/#object/sent_email__v/VBL000000013271", "SE-001398339")</f>
        <v>SE-001398339</v>
      </c>
      <c r="D17670" s="1">
        <v>46028.051087962966</v>
      </c>
      <c r="E17670" s="2">
        <v>1</v>
      </c>
      <c r="F17670" s="2">
        <v>2</v>
      </c>
      <c r="G17670" s="2">
        <v>0</v>
      </c>
      <c r="H17670" s="1" t="s">
        <v>0</v>
      </c>
      <c r="I17670" s="2">
        <v>0</v>
      </c>
      <c r="J17670" s="1">
        <v>46013.34171296296</v>
      </c>
    </row>
    <row r="17671" spans="1:10" x14ac:dyDescent="0.2">
      <c r="A17671" s="4" t="s">
        <v>1</v>
      </c>
      <c r="B17671" s="3" t="str">
        <f>HYPERLINK("https://otsuka-europe-crm.veevavault.com/ui/#object/approved_document__v/V5O00000000D106", "Postal Navidad 2025")</f>
        <v>Postal Navidad 2025</v>
      </c>
      <c r="C17671" s="3" t="str">
        <f>HYPERLINK("https://otsuka-europe-crm.veevavault.com/ui/#object/sent_email__v/VBL000000013272", "SE-001398340")</f>
        <v>SE-001398340</v>
      </c>
      <c r="D17671" s="1">
        <v>46026.881111111114</v>
      </c>
      <c r="E17671" s="2">
        <v>1</v>
      </c>
      <c r="F17671" s="2">
        <v>1</v>
      </c>
      <c r="G17671" s="2">
        <v>0</v>
      </c>
      <c r="H17671" s="1" t="s">
        <v>0</v>
      </c>
      <c r="I17671" s="2">
        <v>0</v>
      </c>
      <c r="J17671" s="1">
        <v>46013.34175925926</v>
      </c>
    </row>
    <row r="17672" spans="1:10" x14ac:dyDescent="0.2">
      <c r="A17672" s="4" t="s">
        <v>1</v>
      </c>
      <c r="B17672" s="3" t="str">
        <f>HYPERLINK("https://otsuka-europe-crm.veevavault.com/ui/#object/approved_document__v/V5O00000000D106", "Postal Navidad 2025")</f>
        <v>Postal Navidad 2025</v>
      </c>
      <c r="C17672" s="3" t="str">
        <f>HYPERLINK("https://otsuka-europe-crm.veevavault.com/ui/#object/sent_email__v/VBL000000013273", "SE-001398341")</f>
        <v>SE-001398341</v>
      </c>
      <c r="D17672" s="1">
        <v>46013.583113425928</v>
      </c>
      <c r="E17672" s="2">
        <v>1</v>
      </c>
      <c r="F17672" s="2">
        <v>3</v>
      </c>
      <c r="G17672" s="2">
        <v>0</v>
      </c>
      <c r="H17672" s="1" t="s">
        <v>0</v>
      </c>
      <c r="I17672" s="2">
        <v>0</v>
      </c>
      <c r="J17672" s="1">
        <v>46013.341747685183</v>
      </c>
    </row>
    <row r="17673" spans="1:10" x14ac:dyDescent="0.2">
      <c r="A17673" s="4" t="s">
        <v>1</v>
      </c>
      <c r="B17673" s="3" t="str">
        <f>HYPERLINK("https://otsuka-europe-crm.veevavault.com/ui/#object/approved_document__v/V5O00000000D106", "Postal Navidad 2025")</f>
        <v>Postal Navidad 2025</v>
      </c>
      <c r="C17673" s="3" t="str">
        <f>HYPERLINK("https://otsuka-europe-crm.veevavault.com/ui/#object/sent_email__v/VBL000000013274", "SE-001398342")</f>
        <v>SE-001398342</v>
      </c>
      <c r="D17673" s="1" t="s">
        <v>0</v>
      </c>
      <c r="E17673" s="2">
        <v>0</v>
      </c>
      <c r="F17673" s="2">
        <v>0</v>
      </c>
      <c r="G17673" s="2">
        <v>0</v>
      </c>
      <c r="H17673" s="1" t="s">
        <v>0</v>
      </c>
      <c r="I17673" s="2">
        <v>0</v>
      </c>
      <c r="J17673" s="1">
        <v>46013.341747685183</v>
      </c>
    </row>
    <row r="17674" spans="1:10" x14ac:dyDescent="0.2">
      <c r="A17674" s="4" t="s">
        <v>1</v>
      </c>
      <c r="B17674" s="3" t="str">
        <f>HYPERLINK("https://otsuka-europe-crm.veevavault.com/ui/#object/approved_document__v/V5O00000000D106", "Postal Navidad 2025")</f>
        <v>Postal Navidad 2025</v>
      </c>
      <c r="C17674" s="3" t="str">
        <f>HYPERLINK("https://otsuka-europe-crm.veevavault.com/ui/#object/sent_email__v/VBL000000013275", "SE-001398343")</f>
        <v>SE-001398343</v>
      </c>
      <c r="D17674" s="1" t="s">
        <v>0</v>
      </c>
      <c r="E17674" s="2">
        <v>0</v>
      </c>
      <c r="F17674" s="2">
        <v>0</v>
      </c>
      <c r="G17674" s="2">
        <v>0</v>
      </c>
      <c r="H17674" s="1" t="s">
        <v>0</v>
      </c>
      <c r="I17674" s="2">
        <v>0</v>
      </c>
      <c r="J17674" s="1">
        <v>46013.34170138889</v>
      </c>
    </row>
    <row r="17675" spans="1:10" x14ac:dyDescent="0.2">
      <c r="A17675" s="4" t="s">
        <v>1</v>
      </c>
      <c r="B17675" s="3" t="str">
        <f>HYPERLINK("https://otsuka-europe-crm.veevavault.com/ui/#object/approved_document__v/V5O00000000D106", "Postal Navidad 2025")</f>
        <v>Postal Navidad 2025</v>
      </c>
      <c r="C17675" s="3" t="str">
        <f>HYPERLINK("https://otsuka-europe-crm.veevavault.com/ui/#object/sent_email__v/VBL000000013276", "SE-001398344")</f>
        <v>SE-001398344</v>
      </c>
      <c r="D17675" s="1" t="s">
        <v>0</v>
      </c>
      <c r="E17675" s="2">
        <v>0</v>
      </c>
      <c r="F17675" s="2">
        <v>0</v>
      </c>
      <c r="G17675" s="2">
        <v>0</v>
      </c>
      <c r="H17675" s="1" t="s">
        <v>0</v>
      </c>
      <c r="I17675" s="2">
        <v>0</v>
      </c>
      <c r="J17675" s="1">
        <v>46013.34170138889</v>
      </c>
    </row>
    <row r="17676" spans="1:10" x14ac:dyDescent="0.2">
      <c r="A17676" s="4" t="s">
        <v>1</v>
      </c>
      <c r="B17676" s="3" t="str">
        <f>HYPERLINK("https://otsuka-europe-crm.veevavault.com/ui/#object/approved_document__v/V5O00000000D106", "Postal Navidad 2025")</f>
        <v>Postal Navidad 2025</v>
      </c>
      <c r="C17676" s="3" t="str">
        <f>HYPERLINK("https://otsuka-europe-crm.veevavault.com/ui/#object/sent_email__v/VBL000000013277", "SE-001398345")</f>
        <v>SE-001398345</v>
      </c>
      <c r="D17676" s="1" t="s">
        <v>0</v>
      </c>
      <c r="E17676" s="2">
        <v>0</v>
      </c>
      <c r="F17676" s="2">
        <v>0</v>
      </c>
      <c r="G17676" s="2">
        <v>0</v>
      </c>
      <c r="H17676" s="1" t="s">
        <v>0</v>
      </c>
      <c r="I17676" s="2">
        <v>0</v>
      </c>
      <c r="J17676" s="1">
        <v>46013.34170138889</v>
      </c>
    </row>
    <row r="17677" spans="1:10" x14ac:dyDescent="0.2">
      <c r="A17677" s="4" t="s">
        <v>1</v>
      </c>
      <c r="B17677" s="3" t="str">
        <f>HYPERLINK("https://otsuka-europe-crm.veevavault.com/ui/#object/approved_document__v/V5O00000000D106", "Postal Navidad 2025")</f>
        <v>Postal Navidad 2025</v>
      </c>
      <c r="C17677" s="3" t="str">
        <f>HYPERLINK("https://otsuka-europe-crm.veevavault.com/ui/#object/sent_email__v/VBL000000013278", "SE-001398346")</f>
        <v>SE-001398346</v>
      </c>
      <c r="D17677" s="1">
        <v>46013.484629629631</v>
      </c>
      <c r="E17677" s="2">
        <v>1</v>
      </c>
      <c r="F17677" s="2">
        <v>3</v>
      </c>
      <c r="G17677" s="2">
        <v>0</v>
      </c>
      <c r="H17677" s="1" t="s">
        <v>0</v>
      </c>
      <c r="I17677" s="2">
        <v>0</v>
      </c>
      <c r="J17677" s="1">
        <v>46013.34171296296</v>
      </c>
    </row>
    <row r="17678" spans="1:10" x14ac:dyDescent="0.2">
      <c r="A17678" s="4" t="s">
        <v>1</v>
      </c>
      <c r="B17678" s="3" t="str">
        <f>HYPERLINK("https://otsuka-europe-crm.veevavault.com/ui/#object/approved_document__v/V5O00000000D106", "Postal Navidad 2025")</f>
        <v>Postal Navidad 2025</v>
      </c>
      <c r="C17678" s="3" t="str">
        <f>HYPERLINK("https://otsuka-europe-crm.veevavault.com/ui/#object/sent_email__v/VBL000000013279", "SE-001398347")</f>
        <v>SE-001398347</v>
      </c>
      <c r="D17678" s="1">
        <v>46023.059270833335</v>
      </c>
      <c r="E17678" s="2">
        <v>1</v>
      </c>
      <c r="F17678" s="2">
        <v>5</v>
      </c>
      <c r="G17678" s="2">
        <v>0</v>
      </c>
      <c r="H17678" s="1" t="s">
        <v>0</v>
      </c>
      <c r="I17678" s="2">
        <v>0</v>
      </c>
      <c r="J17678" s="1">
        <v>46013.34171296296</v>
      </c>
    </row>
    <row r="17679" spans="1:10" x14ac:dyDescent="0.2">
      <c r="A17679" s="4" t="s">
        <v>1</v>
      </c>
      <c r="B17679" s="3" t="str">
        <f>HYPERLINK("https://otsuka-europe-crm.veevavault.com/ui/#object/approved_document__v/V5O00000000D106", "Postal Navidad 2025")</f>
        <v>Postal Navidad 2025</v>
      </c>
      <c r="C17679" s="3" t="str">
        <f>HYPERLINK("https://otsuka-europe-crm.veevavault.com/ui/#object/sent_email__v/VBL000000013280", "SE-001398348")</f>
        <v>SE-001398348</v>
      </c>
      <c r="D17679" s="1" t="s">
        <v>0</v>
      </c>
      <c r="E17679" s="2">
        <v>0</v>
      </c>
      <c r="F17679" s="2">
        <v>0</v>
      </c>
      <c r="G17679" s="2">
        <v>0</v>
      </c>
      <c r="H17679" s="1" t="s">
        <v>0</v>
      </c>
      <c r="I17679" s="2">
        <v>0</v>
      </c>
      <c r="J17679" s="1">
        <v>46013.341747685183</v>
      </c>
    </row>
    <row r="17680" spans="1:10" x14ac:dyDescent="0.2">
      <c r="A17680" s="4" t="s">
        <v>1</v>
      </c>
      <c r="B17680" s="3" t="str">
        <f>HYPERLINK("https://otsuka-europe-crm.veevavault.com/ui/#object/approved_document__v/V5O00000000D106", "Postal Navidad 2025")</f>
        <v>Postal Navidad 2025</v>
      </c>
      <c r="C17680" s="3" t="str">
        <f>HYPERLINK("https://otsuka-europe-crm.veevavault.com/ui/#object/sent_email__v/VBL000000012241", "SE-001398349")</f>
        <v>SE-001398349</v>
      </c>
      <c r="D17680" s="1">
        <v>46013.586076388892</v>
      </c>
      <c r="E17680" s="2">
        <v>1</v>
      </c>
      <c r="F17680" s="2">
        <v>3</v>
      </c>
      <c r="G17680" s="2">
        <v>0</v>
      </c>
      <c r="H17680" s="1" t="s">
        <v>0</v>
      </c>
      <c r="I17680" s="2">
        <v>0</v>
      </c>
      <c r="J17680" s="1">
        <v>46013.34175925926</v>
      </c>
    </row>
    <row r="17681" spans="1:10" x14ac:dyDescent="0.2">
      <c r="A17681" s="4" t="s">
        <v>1</v>
      </c>
      <c r="B17681" s="3" t="str">
        <f>HYPERLINK("https://otsuka-europe-crm.veevavault.com/ui/#object/approved_document__v/V5O00000000D106", "Postal Navidad 2025")</f>
        <v>Postal Navidad 2025</v>
      </c>
      <c r="C17681" s="3" t="str">
        <f>HYPERLINK("https://otsuka-europe-crm.veevavault.com/ui/#object/sent_email__v/VBL000000012242", "SE-001398350")</f>
        <v>SE-001398350</v>
      </c>
      <c r="D17681" s="1">
        <v>46013.814432870371</v>
      </c>
      <c r="E17681" s="2">
        <v>1</v>
      </c>
      <c r="F17681" s="2">
        <v>2</v>
      </c>
      <c r="G17681" s="2">
        <v>0</v>
      </c>
      <c r="H17681" s="1" t="s">
        <v>0</v>
      </c>
      <c r="I17681" s="2">
        <v>0</v>
      </c>
      <c r="J17681" s="1">
        <v>46013.34170138889</v>
      </c>
    </row>
    <row r="17682" spans="1:10" x14ac:dyDescent="0.2">
      <c r="A17682" s="4" t="s">
        <v>1</v>
      </c>
      <c r="B17682" s="3" t="str">
        <f>HYPERLINK("https://otsuka-europe-crm.veevavault.com/ui/#object/approved_document__v/V5O00000000D106", "Postal Navidad 2025")</f>
        <v>Postal Navidad 2025</v>
      </c>
      <c r="C17682" s="3" t="str">
        <f>HYPERLINK("https://otsuka-europe-crm.veevavault.com/ui/#object/sent_email__v/VBL000000012243", "SE-001398351")</f>
        <v>SE-001398351</v>
      </c>
      <c r="D17682" s="1">
        <v>46034.525335648148</v>
      </c>
      <c r="E17682" s="2">
        <v>1</v>
      </c>
      <c r="F17682" s="2">
        <v>4</v>
      </c>
      <c r="G17682" s="2">
        <v>0</v>
      </c>
      <c r="H17682" s="1" t="s">
        <v>0</v>
      </c>
      <c r="I17682" s="2">
        <v>0</v>
      </c>
      <c r="J17682" s="1">
        <v>46013.34175925926</v>
      </c>
    </row>
    <row r="17683" spans="1:10" x14ac:dyDescent="0.2">
      <c r="A17683" s="4" t="s">
        <v>1</v>
      </c>
      <c r="B17683" s="3" t="str">
        <f>HYPERLINK("https://otsuka-europe-crm.veevavault.com/ui/#object/approved_document__v/V5O00000000D106", "Postal Navidad 2025")</f>
        <v>Postal Navidad 2025</v>
      </c>
      <c r="C17683" s="3" t="str">
        <f>HYPERLINK("https://otsuka-europe-crm.veevavault.com/ui/#object/sent_email__v/VBL000000012244", "SE-001398352")</f>
        <v>SE-001398352</v>
      </c>
      <c r="D17683" s="1">
        <v>46013.478298611109</v>
      </c>
      <c r="E17683" s="2">
        <v>1</v>
      </c>
      <c r="F17683" s="2">
        <v>1</v>
      </c>
      <c r="G17683" s="2">
        <v>0</v>
      </c>
      <c r="H17683" s="1" t="s">
        <v>0</v>
      </c>
      <c r="I17683" s="2">
        <v>0</v>
      </c>
      <c r="J17683" s="1">
        <v>46013.34171296296</v>
      </c>
    </row>
    <row r="17684" spans="1:10" x14ac:dyDescent="0.2">
      <c r="A17684" s="4" t="s">
        <v>1</v>
      </c>
      <c r="B17684" s="3" t="str">
        <f>HYPERLINK("https://otsuka-europe-crm.veevavault.com/ui/#object/approved_document__v/V5O00000000D106", "Postal Navidad 2025")</f>
        <v>Postal Navidad 2025</v>
      </c>
      <c r="C17684" s="3" t="str">
        <f>HYPERLINK("https://otsuka-europe-crm.veevavault.com/ui/#object/sent_email__v/VBL000000012245", "SE-001398353")</f>
        <v>SE-001398353</v>
      </c>
      <c r="D17684" s="1">
        <v>46015.660312499997</v>
      </c>
      <c r="E17684" s="2">
        <v>1</v>
      </c>
      <c r="F17684" s="2">
        <v>1</v>
      </c>
      <c r="G17684" s="2">
        <v>0</v>
      </c>
      <c r="H17684" s="1" t="s">
        <v>0</v>
      </c>
      <c r="I17684" s="2">
        <v>0</v>
      </c>
      <c r="J17684" s="1">
        <v>46013.34175925926</v>
      </c>
    </row>
    <row r="17685" spans="1:10" x14ac:dyDescent="0.2">
      <c r="A17685" s="4" t="s">
        <v>1</v>
      </c>
      <c r="B17685" s="3" t="str">
        <f>HYPERLINK("https://otsuka-europe-crm.veevavault.com/ui/#object/approved_document__v/V5O00000000D106", "Postal Navidad 2025")</f>
        <v>Postal Navidad 2025</v>
      </c>
      <c r="C17685" s="3" t="str">
        <f>HYPERLINK("https://otsuka-europe-crm.veevavault.com/ui/#object/sent_email__v/VBL000000012246", "SE-001398354")</f>
        <v>SE-001398354</v>
      </c>
      <c r="D17685" s="1">
        <v>46014.355868055558</v>
      </c>
      <c r="E17685" s="2">
        <v>1</v>
      </c>
      <c r="F17685" s="2">
        <v>2</v>
      </c>
      <c r="G17685" s="2">
        <v>0</v>
      </c>
      <c r="H17685" s="1" t="s">
        <v>0</v>
      </c>
      <c r="I17685" s="2">
        <v>0</v>
      </c>
      <c r="J17685" s="1">
        <v>46013.34171296296</v>
      </c>
    </row>
    <row r="17686" spans="1:10" x14ac:dyDescent="0.2">
      <c r="A17686" s="4" t="s">
        <v>1</v>
      </c>
      <c r="B17686" s="3" t="str">
        <f>HYPERLINK("https://otsuka-europe-crm.veevavault.com/ui/#object/approved_document__v/V5O00000000D106", "Postal Navidad 2025")</f>
        <v>Postal Navidad 2025</v>
      </c>
      <c r="C17686" s="3" t="str">
        <f>HYPERLINK("https://otsuka-europe-crm.veevavault.com/ui/#object/sent_email__v/VBL000000012247", "SE-001398355")</f>
        <v>SE-001398355</v>
      </c>
      <c r="D17686" s="1" t="s">
        <v>0</v>
      </c>
      <c r="E17686" s="2">
        <v>0</v>
      </c>
      <c r="F17686" s="2">
        <v>0</v>
      </c>
      <c r="G17686" s="2">
        <v>0</v>
      </c>
      <c r="H17686" s="1" t="s">
        <v>0</v>
      </c>
      <c r="I17686" s="2">
        <v>0</v>
      </c>
      <c r="J17686" s="1">
        <v>46013.34175925926</v>
      </c>
    </row>
    <row r="17687" spans="1:10" x14ac:dyDescent="0.2">
      <c r="A17687" s="4" t="s">
        <v>1</v>
      </c>
      <c r="B17687" s="3" t="str">
        <f>HYPERLINK("https://otsuka-europe-crm.veevavault.com/ui/#object/approved_document__v/V5O00000000D106", "Postal Navidad 2025")</f>
        <v>Postal Navidad 2025</v>
      </c>
      <c r="C17687" s="3" t="str">
        <f>HYPERLINK("https://otsuka-europe-crm.veevavault.com/ui/#object/sent_email__v/VBL000000012248", "SE-001398356")</f>
        <v>SE-001398356</v>
      </c>
      <c r="D17687" s="1">
        <v>46015.30746527778</v>
      </c>
      <c r="E17687" s="2">
        <v>1</v>
      </c>
      <c r="F17687" s="2">
        <v>2</v>
      </c>
      <c r="G17687" s="2">
        <v>0</v>
      </c>
      <c r="H17687" s="1" t="s">
        <v>0</v>
      </c>
      <c r="I17687" s="2">
        <v>0</v>
      </c>
      <c r="J17687" s="1">
        <v>46013.341747685183</v>
      </c>
    </row>
    <row r="17688" spans="1:10" x14ac:dyDescent="0.2">
      <c r="A17688" s="4" t="s">
        <v>1</v>
      </c>
      <c r="B17688" s="3" t="str">
        <f>HYPERLINK("https://otsuka-europe-crm.veevavault.com/ui/#object/approved_document__v/V5O00000000D106", "Postal Navidad 2025")</f>
        <v>Postal Navidad 2025</v>
      </c>
      <c r="C17688" s="3" t="str">
        <f>HYPERLINK("https://otsuka-europe-crm.veevavault.com/ui/#object/sent_email__v/VBL000000012249", "SE-001398357")</f>
        <v>SE-001398357</v>
      </c>
      <c r="D17688" s="1">
        <v>46029.331192129626</v>
      </c>
      <c r="E17688" s="2">
        <v>1</v>
      </c>
      <c r="F17688" s="2">
        <v>1</v>
      </c>
      <c r="G17688" s="2">
        <v>0</v>
      </c>
      <c r="H17688" s="1" t="s">
        <v>0</v>
      </c>
      <c r="I17688" s="2">
        <v>0</v>
      </c>
      <c r="J17688" s="1">
        <v>46013.34171296296</v>
      </c>
    </row>
    <row r="17689" spans="1:10" x14ac:dyDescent="0.2">
      <c r="A17689" s="4" t="s">
        <v>1</v>
      </c>
      <c r="B17689" s="3" t="str">
        <f>HYPERLINK("https://otsuka-europe-crm.veevavault.com/ui/#object/approved_document__v/V5O00000000D106", "Postal Navidad 2025")</f>
        <v>Postal Navidad 2025</v>
      </c>
      <c r="C17689" s="3" t="str">
        <f>HYPERLINK("https://otsuka-europe-crm.veevavault.com/ui/#object/sent_email__v/VBL000000012250", "SE-001398358")</f>
        <v>SE-001398358</v>
      </c>
      <c r="D17689" s="1" t="s">
        <v>0</v>
      </c>
      <c r="E17689" s="2">
        <v>0</v>
      </c>
      <c r="F17689" s="2">
        <v>0</v>
      </c>
      <c r="G17689" s="2">
        <v>0</v>
      </c>
      <c r="H17689" s="1" t="s">
        <v>0</v>
      </c>
      <c r="I17689" s="2">
        <v>0</v>
      </c>
      <c r="J17689" s="1">
        <v>46013.341793981483</v>
      </c>
    </row>
    <row r="17690" spans="1:10" x14ac:dyDescent="0.2">
      <c r="A17690" s="4" t="s">
        <v>1</v>
      </c>
      <c r="B17690" s="3" t="str">
        <f>HYPERLINK("https://otsuka-europe-crm.veevavault.com/ui/#object/approved_document__v/V5O00000000D106", "Postal Navidad 2025")</f>
        <v>Postal Navidad 2025</v>
      </c>
      <c r="C17690" s="3" t="str">
        <f>HYPERLINK("https://otsuka-europe-crm.veevavault.com/ui/#object/sent_email__v/VBL000000012251", "SE-001398359")</f>
        <v>SE-001398359</v>
      </c>
      <c r="D17690" s="1">
        <v>46013.366550925923</v>
      </c>
      <c r="E17690" s="2">
        <v>1</v>
      </c>
      <c r="F17690" s="2">
        <v>1</v>
      </c>
      <c r="G17690" s="2">
        <v>0</v>
      </c>
      <c r="H17690" s="1" t="s">
        <v>0</v>
      </c>
      <c r="I17690" s="2">
        <v>0</v>
      </c>
      <c r="J17690" s="1">
        <v>46013.341805555552</v>
      </c>
    </row>
    <row r="17691" spans="1:10" x14ac:dyDescent="0.2">
      <c r="A17691" s="4" t="s">
        <v>1</v>
      </c>
      <c r="B17691" s="3" t="str">
        <f>HYPERLINK("https://otsuka-europe-crm.veevavault.com/ui/#object/approved_document__v/V5O00000000D106", "Postal Navidad 2025")</f>
        <v>Postal Navidad 2025</v>
      </c>
      <c r="C17691" s="3" t="str">
        <f>HYPERLINK("https://otsuka-europe-crm.veevavault.com/ui/#object/sent_email__v/VBL000000013618", "SE-001398929")</f>
        <v>SE-001398929</v>
      </c>
      <c r="D17691" s="1" t="s">
        <v>0</v>
      </c>
      <c r="E17691" s="2">
        <v>0</v>
      </c>
      <c r="F17691" s="2">
        <v>0</v>
      </c>
      <c r="G17691" s="2">
        <v>0</v>
      </c>
      <c r="H17691" s="1" t="s">
        <v>0</v>
      </c>
      <c r="I17691" s="2">
        <v>0</v>
      </c>
      <c r="J17691" s="1">
        <v>46015.459074074075</v>
      </c>
    </row>
    <row r="17692" spans="1:10" x14ac:dyDescent="0.2">
      <c r="A17692" s="4" t="s">
        <v>1</v>
      </c>
      <c r="B17692" s="3" t="str">
        <f>HYPERLINK("https://otsuka-europe-crm.veevavault.com/ui/#object/approved_document__v/V5O00000000D106", "Postal Navidad 2025")</f>
        <v>Postal Navidad 2025</v>
      </c>
      <c r="C17692" s="3" t="str">
        <f>HYPERLINK("https://otsuka-europe-crm.veevavault.com/ui/#object/sent_email__v/VBL000000013619", "SE-001398930")</f>
        <v>SE-001398930</v>
      </c>
      <c r="D17692" s="1" t="s">
        <v>0</v>
      </c>
      <c r="E17692" s="2">
        <v>0</v>
      </c>
      <c r="F17692" s="2">
        <v>0</v>
      </c>
      <c r="G17692" s="2">
        <v>0</v>
      </c>
      <c r="H17692" s="1" t="s">
        <v>0</v>
      </c>
      <c r="I17692" s="2">
        <v>0</v>
      </c>
      <c r="J17692" s="1">
        <v>46015.459097222221</v>
      </c>
    </row>
    <row r="17693" spans="1:10" x14ac:dyDescent="0.2">
      <c r="A17693" s="4" t="s">
        <v>1</v>
      </c>
      <c r="B17693" s="3" t="str">
        <f>HYPERLINK("https://otsuka-europe-crm.veevavault.com/ui/#object/approved_document__v/V5O00000000D106", "Postal Navidad 2025")</f>
        <v>Postal Navidad 2025</v>
      </c>
      <c r="C17693" s="3" t="str">
        <f>HYPERLINK("https://otsuka-europe-crm.veevavault.com/ui/#object/sent_email__v/VBL000000013620", "SE-001398931")</f>
        <v>SE-001398931</v>
      </c>
      <c r="D17693" s="1">
        <v>46015.459513888891</v>
      </c>
      <c r="E17693" s="2">
        <v>1</v>
      </c>
      <c r="F17693" s="2">
        <v>1</v>
      </c>
      <c r="G17693" s="2">
        <v>0</v>
      </c>
      <c r="H17693" s="1" t="s">
        <v>0</v>
      </c>
      <c r="I17693" s="2">
        <v>0</v>
      </c>
      <c r="J17693" s="1">
        <v>46015.459143518521</v>
      </c>
    </row>
    <row r="17694" spans="1:10" x14ac:dyDescent="0.2">
      <c r="A17694" s="4" t="s">
        <v>1</v>
      </c>
      <c r="B17694" s="3" t="str">
        <f>HYPERLINK("https://otsuka-europe-crm.veevavault.com/ui/#object/approved_document__v/V5O00000000D106", "Postal Navidad 2025")</f>
        <v>Postal Navidad 2025</v>
      </c>
      <c r="C17694" s="3" t="str">
        <f>HYPERLINK("https://otsuka-europe-crm.veevavault.com/ui/#object/sent_email__v/VBL000000013621", "SE-001398932")</f>
        <v>SE-001398932</v>
      </c>
      <c r="D17694" s="1">
        <v>46017.540300925924</v>
      </c>
      <c r="E17694" s="2">
        <v>1</v>
      </c>
      <c r="F17694" s="2">
        <v>2</v>
      </c>
      <c r="G17694" s="2">
        <v>0</v>
      </c>
      <c r="H17694" s="1" t="s">
        <v>0</v>
      </c>
      <c r="I17694" s="2">
        <v>0</v>
      </c>
      <c r="J17694" s="1">
        <v>46015.459189814814</v>
      </c>
    </row>
    <row r="17695" spans="1:10" x14ac:dyDescent="0.2">
      <c r="A17695" s="4" t="s">
        <v>1</v>
      </c>
      <c r="B17695" s="3" t="str">
        <f>HYPERLINK("https://otsuka-europe-crm.veevavault.com/ui/#object/approved_document__v/V5O00000000D106", "Postal Navidad 2025")</f>
        <v>Postal Navidad 2025</v>
      </c>
      <c r="C17695" s="3" t="str">
        <f>HYPERLINK("https://otsuka-europe-crm.veevavault.com/ui/#object/sent_email__v/VBL000000013622", "SE-001398933")</f>
        <v>SE-001398933</v>
      </c>
      <c r="D17695" s="1">
        <v>46018.312013888892</v>
      </c>
      <c r="E17695" s="2">
        <v>1</v>
      </c>
      <c r="F17695" s="2">
        <v>1</v>
      </c>
      <c r="G17695" s="2">
        <v>0</v>
      </c>
      <c r="H17695" s="1" t="s">
        <v>0</v>
      </c>
      <c r="I17695" s="2">
        <v>0</v>
      </c>
      <c r="J17695" s="1">
        <v>46015.45921296296</v>
      </c>
    </row>
    <row r="17696" spans="1:10" x14ac:dyDescent="0.2">
      <c r="A17696" s="4" t="s">
        <v>1</v>
      </c>
      <c r="B17696" s="3" t="str">
        <f>HYPERLINK("https://otsuka-europe-crm.veevavault.com/ui/#object/approved_document__v/V5O00000000D106", "Postal Navidad 2025")</f>
        <v>Postal Navidad 2025</v>
      </c>
      <c r="C17696" s="3" t="str">
        <f>HYPERLINK("https://otsuka-europe-crm.veevavault.com/ui/#object/sent_email__v/VBL000000013623", "SE-001398934")</f>
        <v>SE-001398934</v>
      </c>
      <c r="D17696" s="1" t="s">
        <v>0</v>
      </c>
      <c r="E17696" s="2">
        <v>0</v>
      </c>
      <c r="F17696" s="2">
        <v>0</v>
      </c>
      <c r="G17696" s="2">
        <v>0</v>
      </c>
      <c r="H17696" s="1" t="s">
        <v>0</v>
      </c>
      <c r="I17696" s="2">
        <v>0</v>
      </c>
      <c r="J17696" s="1">
        <v>46015.459247685183</v>
      </c>
    </row>
    <row r="17697" spans="1:10" x14ac:dyDescent="0.2">
      <c r="A17697" s="4" t="s">
        <v>1</v>
      </c>
      <c r="B17697" s="3" t="str">
        <f>HYPERLINK("https://otsuka-europe-crm.veevavault.com/ui/#object/approved_document__v/V5O00000000D106", "Postal Navidad 2025")</f>
        <v>Postal Navidad 2025</v>
      </c>
      <c r="C17697" s="3" t="str">
        <f>HYPERLINK("https://otsuka-europe-crm.veevavault.com/ui/#object/sent_email__v/VBL000000013624", "SE-001398935")</f>
        <v>SE-001398935</v>
      </c>
      <c r="D17697" s="1" t="s">
        <v>0</v>
      </c>
      <c r="E17697" s="2">
        <v>0</v>
      </c>
      <c r="F17697" s="2">
        <v>0</v>
      </c>
      <c r="G17697" s="2">
        <v>0</v>
      </c>
      <c r="H17697" s="1" t="s">
        <v>0</v>
      </c>
      <c r="I17697" s="2">
        <v>0</v>
      </c>
      <c r="J17697" s="1">
        <v>46015.459293981483</v>
      </c>
    </row>
    <row r="17698" spans="1:10" x14ac:dyDescent="0.2">
      <c r="A17698" s="4" t="s">
        <v>1</v>
      </c>
      <c r="B17698" s="3" t="str">
        <f>HYPERLINK("https://otsuka-europe-crm.veevavault.com/ui/#object/approved_document__v/V5O00000000D106", "Postal Navidad 2025")</f>
        <v>Postal Navidad 2025</v>
      </c>
      <c r="C17698" s="3" t="str">
        <f>HYPERLINK("https://otsuka-europe-crm.veevavault.com/ui/#object/sent_email__v/VBL000000013625", "SE-001398936")</f>
        <v>SE-001398936</v>
      </c>
      <c r="D17698" s="1">
        <v>46016.377604166664</v>
      </c>
      <c r="E17698" s="2">
        <v>1</v>
      </c>
      <c r="F17698" s="2">
        <v>1</v>
      </c>
      <c r="G17698" s="2">
        <v>0</v>
      </c>
      <c r="H17698" s="1" t="s">
        <v>0</v>
      </c>
      <c r="I17698" s="2">
        <v>0</v>
      </c>
      <c r="J17698" s="1">
        <v>46015.459328703706</v>
      </c>
    </row>
    <row r="17699" spans="1:10" x14ac:dyDescent="0.2">
      <c r="A17699" s="4" t="s">
        <v>1</v>
      </c>
      <c r="B17699" s="3" t="str">
        <f>HYPERLINK("https://otsuka-europe-crm.veevavault.com/ui/#object/approved_document__v/V5O00000000D106", "Postal Navidad 2025")</f>
        <v>Postal Navidad 2025</v>
      </c>
      <c r="C17699" s="3" t="str">
        <f>HYPERLINK("https://otsuka-europe-crm.veevavault.com/ui/#object/sent_email__v/VBL000000013626", "SE-001398937")</f>
        <v>SE-001398937</v>
      </c>
      <c r="D17699" s="1">
        <v>46015.459953703707</v>
      </c>
      <c r="E17699" s="2">
        <v>1</v>
      </c>
      <c r="F17699" s="2">
        <v>1</v>
      </c>
      <c r="G17699" s="2">
        <v>0</v>
      </c>
      <c r="H17699" s="1" t="s">
        <v>0</v>
      </c>
      <c r="I17699" s="2">
        <v>0</v>
      </c>
      <c r="J17699" s="1">
        <v>46015.459363425929</v>
      </c>
    </row>
    <row r="17700" spans="1:10" x14ac:dyDescent="0.2">
      <c r="A17700" s="4" t="s">
        <v>1</v>
      </c>
      <c r="B17700" s="3" t="str">
        <f>HYPERLINK("https://otsuka-europe-crm.veevavault.com/ui/#object/approved_document__v/V5O00000000D106", "Postal Navidad 2025")</f>
        <v>Postal Navidad 2025</v>
      </c>
      <c r="C17700" s="3" t="str">
        <f>HYPERLINK("https://otsuka-europe-crm.veevavault.com/ui/#object/sent_email__v/VBL000000013627", "SE-001398938")</f>
        <v>SE-001398938</v>
      </c>
      <c r="D17700" s="1" t="s">
        <v>0</v>
      </c>
      <c r="E17700" s="2">
        <v>0</v>
      </c>
      <c r="F17700" s="2">
        <v>0</v>
      </c>
      <c r="G17700" s="2">
        <v>0</v>
      </c>
      <c r="H17700" s="1" t="s">
        <v>0</v>
      </c>
      <c r="I17700" s="2">
        <v>0</v>
      </c>
      <c r="J17700" s="1">
        <v>46015.459398148145</v>
      </c>
    </row>
    <row r="17701" spans="1:10" x14ac:dyDescent="0.2">
      <c r="A17701" s="4" t="s">
        <v>1</v>
      </c>
      <c r="B17701" s="3" t="str">
        <f>HYPERLINK("https://otsuka-europe-crm.veevavault.com/ui/#object/approved_document__v/V5O00000000D106", "Postal Navidad 2025")</f>
        <v>Postal Navidad 2025</v>
      </c>
      <c r="C17701" s="3" t="str">
        <f>HYPERLINK("https://otsuka-europe-crm.veevavault.com/ui/#object/sent_email__v/VBL000000013628", "SE-001398939")</f>
        <v>SE-001398939</v>
      </c>
      <c r="D17701" s="1">
        <v>46022.768067129633</v>
      </c>
      <c r="E17701" s="2">
        <v>1</v>
      </c>
      <c r="F17701" s="2">
        <v>1</v>
      </c>
      <c r="G17701" s="2">
        <v>0</v>
      </c>
      <c r="H17701" s="1" t="s">
        <v>0</v>
      </c>
      <c r="I17701" s="2">
        <v>0</v>
      </c>
      <c r="J17701" s="1">
        <v>46015.459432870368</v>
      </c>
    </row>
    <row r="17702" spans="1:10" x14ac:dyDescent="0.2">
      <c r="A17702" s="4" t="s">
        <v>1</v>
      </c>
      <c r="B17702" s="3" t="str">
        <f>HYPERLINK("https://otsuka-europe-crm.veevavault.com/ui/#object/approved_document__v/V5O00000000D106", "Postal Navidad 2025")</f>
        <v>Postal Navidad 2025</v>
      </c>
      <c r="C17702" s="3" t="str">
        <f>HYPERLINK("https://otsuka-europe-crm.veevavault.com/ui/#object/sent_email__v/VBL000000013629", "SE-001398940")</f>
        <v>SE-001398940</v>
      </c>
      <c r="D17702" s="1" t="s">
        <v>0</v>
      </c>
      <c r="E17702" s="2">
        <v>0</v>
      </c>
      <c r="F17702" s="2">
        <v>0</v>
      </c>
      <c r="G17702" s="2">
        <v>0</v>
      </c>
      <c r="H17702" s="1" t="s">
        <v>0</v>
      </c>
      <c r="I17702" s="2">
        <v>0</v>
      </c>
      <c r="J17702" s="1">
        <v>46015.459479166668</v>
      </c>
    </row>
    <row r="17703" spans="1:10" x14ac:dyDescent="0.2">
      <c r="A17703" s="4" t="s">
        <v>1</v>
      </c>
      <c r="B17703" s="3" t="str">
        <f>HYPERLINK("https://otsuka-europe-crm.veevavault.com/ui/#object/approved_document__v/V5O00000000D106", "Postal Navidad 2025")</f>
        <v>Postal Navidad 2025</v>
      </c>
      <c r="C17703" s="3" t="str">
        <f>HYPERLINK("https://otsuka-europe-crm.veevavault.com/ui/#object/sent_email__v/VBL000000013630", "SE-001398941")</f>
        <v>SE-001398941</v>
      </c>
      <c r="D17703" s="1" t="s">
        <v>0</v>
      </c>
      <c r="E17703" s="2">
        <v>0</v>
      </c>
      <c r="F17703" s="2">
        <v>0</v>
      </c>
      <c r="G17703" s="2">
        <v>0</v>
      </c>
      <c r="H17703" s="1" t="s">
        <v>0</v>
      </c>
      <c r="I17703" s="2">
        <v>0</v>
      </c>
      <c r="J17703" s="1">
        <v>46015.459513888891</v>
      </c>
    </row>
    <row r="17704" spans="1:10" x14ac:dyDescent="0.2">
      <c r="A17704" s="4" t="s">
        <v>1</v>
      </c>
      <c r="B17704" s="3" t="str">
        <f>HYPERLINK("https://otsuka-europe-crm.veevavault.com/ui/#object/approved_document__v/V5O00000000D106", "Postal Navidad 2025")</f>
        <v>Postal Navidad 2025</v>
      </c>
      <c r="C17704" s="3" t="str">
        <f>HYPERLINK("https://otsuka-europe-crm.veevavault.com/ui/#object/sent_email__v/VBL000000013631", "SE-001398942")</f>
        <v>SE-001398942</v>
      </c>
      <c r="D17704" s="1" t="s">
        <v>0</v>
      </c>
      <c r="E17704" s="2">
        <v>0</v>
      </c>
      <c r="F17704" s="2">
        <v>0</v>
      </c>
      <c r="G17704" s="2">
        <v>0</v>
      </c>
      <c r="H17704" s="1" t="s">
        <v>0</v>
      </c>
      <c r="I17704" s="2">
        <v>0</v>
      </c>
      <c r="J17704" s="1">
        <v>46015.459583333337</v>
      </c>
    </row>
    <row r="17705" spans="1:10" x14ac:dyDescent="0.2">
      <c r="A17705" s="4" t="s">
        <v>1</v>
      </c>
      <c r="B17705" s="3" t="str">
        <f>HYPERLINK("https://otsuka-europe-crm.veevavault.com/ui/#object/approved_document__v/V5O00000000D106", "Postal Navidad 2025")</f>
        <v>Postal Navidad 2025</v>
      </c>
      <c r="C17705" s="3" t="str">
        <f>HYPERLINK("https://otsuka-europe-crm.veevavault.com/ui/#object/sent_email__v/VBL000000013632", "SE-001398943")</f>
        <v>SE-001398943</v>
      </c>
      <c r="D17705" s="1" t="s">
        <v>0</v>
      </c>
      <c r="E17705" s="2">
        <v>0</v>
      </c>
      <c r="F17705" s="2">
        <v>0</v>
      </c>
      <c r="G17705" s="2">
        <v>0</v>
      </c>
      <c r="H17705" s="1" t="s">
        <v>0</v>
      </c>
      <c r="I17705" s="2">
        <v>0</v>
      </c>
      <c r="J17705" s="1">
        <v>46015.459594907406</v>
      </c>
    </row>
    <row r="17706" spans="1:10" x14ac:dyDescent="0.2">
      <c r="A17706" s="4" t="s">
        <v>1</v>
      </c>
      <c r="B17706" s="3" t="str">
        <f>HYPERLINK("https://otsuka-europe-crm.veevavault.com/ui/#object/approved_document__v/V5O00000000D106", "Postal Navidad 2025")</f>
        <v>Postal Navidad 2025</v>
      </c>
      <c r="C17706" s="3" t="str">
        <f>HYPERLINK("https://otsuka-europe-crm.veevavault.com/ui/#object/sent_email__v/VBL000000013633", "SE-001398944")</f>
        <v>SE-001398944</v>
      </c>
      <c r="D17706" s="1">
        <v>46015.475439814814</v>
      </c>
      <c r="E17706" s="2">
        <v>1</v>
      </c>
      <c r="F17706" s="2">
        <v>2</v>
      </c>
      <c r="G17706" s="2">
        <v>0</v>
      </c>
      <c r="H17706" s="1" t="s">
        <v>0</v>
      </c>
      <c r="I17706" s="2">
        <v>0</v>
      </c>
      <c r="J17706" s="1">
        <v>46015.459641203706</v>
      </c>
    </row>
    <row r="17707" spans="1:10" x14ac:dyDescent="0.2">
      <c r="A17707" s="4" t="s">
        <v>1</v>
      </c>
      <c r="B17707" s="3" t="str">
        <f>HYPERLINK("https://otsuka-europe-crm.veevavault.com/ui/#object/approved_document__v/V5O00000000D106", "Postal Navidad 2025")</f>
        <v>Postal Navidad 2025</v>
      </c>
      <c r="C17707" s="3" t="str">
        <f>HYPERLINK("https://otsuka-europe-crm.veevavault.com/ui/#object/sent_email__v/VBL000000013634", "SE-001398945")</f>
        <v>SE-001398945</v>
      </c>
      <c r="D17707" s="1">
        <v>46015.470486111109</v>
      </c>
      <c r="E17707" s="2">
        <v>1</v>
      </c>
      <c r="F17707" s="2">
        <v>1</v>
      </c>
      <c r="G17707" s="2">
        <v>0</v>
      </c>
      <c r="H17707" s="1" t="s">
        <v>0</v>
      </c>
      <c r="I17707" s="2">
        <v>0</v>
      </c>
      <c r="J17707" s="1">
        <v>46015.459675925929</v>
      </c>
    </row>
    <row r="17708" spans="1:10" x14ac:dyDescent="0.2">
      <c r="A17708" s="4" t="s">
        <v>1</v>
      </c>
      <c r="B17708" s="3" t="str">
        <f>HYPERLINK("https://otsuka-europe-crm.veevavault.com/ui/#object/approved_document__v/V5O00000000D106", "Postal Navidad 2025")</f>
        <v>Postal Navidad 2025</v>
      </c>
      <c r="C17708" s="3" t="str">
        <f>HYPERLINK("https://otsuka-europe-crm.veevavault.com/ui/#object/sent_email__v/VBL000000013635", "SE-001398946")</f>
        <v>SE-001398946</v>
      </c>
      <c r="D17708" s="1" t="s">
        <v>0</v>
      </c>
      <c r="E17708" s="2">
        <v>0</v>
      </c>
      <c r="F17708" s="2">
        <v>0</v>
      </c>
      <c r="G17708" s="2">
        <v>0</v>
      </c>
      <c r="H17708" s="1" t="s">
        <v>0</v>
      </c>
      <c r="I17708" s="2">
        <v>0</v>
      </c>
      <c r="J17708" s="1">
        <v>46015.459710648145</v>
      </c>
    </row>
    <row r="17709" spans="1:10" x14ac:dyDescent="0.2">
      <c r="A17709" s="4" t="s">
        <v>1</v>
      </c>
      <c r="B17709" s="3" t="str">
        <f>HYPERLINK("https://otsuka-europe-crm.veevavault.com/ui/#object/approved_document__v/V5O00000000D106", "Postal Navidad 2025")</f>
        <v>Postal Navidad 2025</v>
      </c>
      <c r="C17709" s="3" t="str">
        <f>HYPERLINK("https://otsuka-europe-crm.veevavault.com/ui/#object/sent_email__v/VBL000000013636", "SE-001398947")</f>
        <v>SE-001398947</v>
      </c>
      <c r="D17709" s="1" t="s">
        <v>0</v>
      </c>
      <c r="E17709" s="2">
        <v>0</v>
      </c>
      <c r="F17709" s="2">
        <v>0</v>
      </c>
      <c r="G17709" s="2">
        <v>0</v>
      </c>
      <c r="H17709" s="1" t="s">
        <v>0</v>
      </c>
      <c r="I17709" s="2">
        <v>0</v>
      </c>
      <c r="J17709" s="1">
        <v>46015.459756944445</v>
      </c>
    </row>
    <row r="17710" spans="1:10" x14ac:dyDescent="0.2">
      <c r="A17710" s="4" t="s">
        <v>1</v>
      </c>
      <c r="B17710" s="3" t="str">
        <f>HYPERLINK("https://otsuka-europe-crm.veevavault.com/ui/#object/approved_document__v/V5O00000000D106", "Postal Navidad 2025")</f>
        <v>Postal Navidad 2025</v>
      </c>
      <c r="C17710" s="3" t="str">
        <f>HYPERLINK("https://otsuka-europe-crm.veevavault.com/ui/#object/sent_email__v/VBL000000013637", "SE-001398948")</f>
        <v>SE-001398948</v>
      </c>
      <c r="D17710" s="1">
        <v>46015.496307870373</v>
      </c>
      <c r="E17710" s="2">
        <v>1</v>
      </c>
      <c r="F17710" s="2">
        <v>2</v>
      </c>
      <c r="G17710" s="2">
        <v>0</v>
      </c>
      <c r="H17710" s="1" t="s">
        <v>0</v>
      </c>
      <c r="I17710" s="2">
        <v>0</v>
      </c>
      <c r="J17710" s="1">
        <v>46015.459791666668</v>
      </c>
    </row>
    <row r="17711" spans="1:10" x14ac:dyDescent="0.2">
      <c r="A17711" s="4" t="s">
        <v>1</v>
      </c>
      <c r="B17711" s="3" t="str">
        <f>HYPERLINK("https://otsuka-europe-crm.veevavault.com/ui/#object/approved_document__v/V5O00000000D106", "Postal Navidad 2025")</f>
        <v>Postal Navidad 2025</v>
      </c>
      <c r="C17711" s="3" t="str">
        <f>HYPERLINK("https://otsuka-europe-crm.veevavault.com/ui/#object/sent_email__v/VBL000000013638", "SE-001398949")</f>
        <v>SE-001398949</v>
      </c>
      <c r="D17711" s="1">
        <v>46034.554872685185</v>
      </c>
      <c r="E17711" s="2">
        <v>1</v>
      </c>
      <c r="F17711" s="2">
        <v>4</v>
      </c>
      <c r="G17711" s="2">
        <v>0</v>
      </c>
      <c r="H17711" s="1" t="s">
        <v>0</v>
      </c>
      <c r="I17711" s="2">
        <v>0</v>
      </c>
      <c r="J17711" s="1">
        <v>46015.459837962961</v>
      </c>
    </row>
    <row r="17712" spans="1:10" x14ac:dyDescent="0.2">
      <c r="A17712" s="4" t="s">
        <v>1</v>
      </c>
      <c r="B17712" s="3" t="str">
        <f>HYPERLINK("https://otsuka-europe-crm.veevavault.com/ui/#object/approved_document__v/V5O00000000D106", "Postal Navidad 2025")</f>
        <v>Postal Navidad 2025</v>
      </c>
      <c r="C17712" s="3" t="str">
        <f>HYPERLINK("https://otsuka-europe-crm.veevavault.com/ui/#object/sent_email__v/VBL000000013639", "SE-001398950")</f>
        <v>SE-001398950</v>
      </c>
      <c r="D17712" s="1" t="s">
        <v>0</v>
      </c>
      <c r="E17712" s="2">
        <v>0</v>
      </c>
      <c r="F17712" s="2">
        <v>0</v>
      </c>
      <c r="G17712" s="2">
        <v>0</v>
      </c>
      <c r="H17712" s="1" t="s">
        <v>0</v>
      </c>
      <c r="I17712" s="2">
        <v>0</v>
      </c>
      <c r="J17712" s="1">
        <v>46015.459861111114</v>
      </c>
    </row>
    <row r="17713" spans="1:10" x14ac:dyDescent="0.2">
      <c r="A17713" s="4" t="s">
        <v>1</v>
      </c>
      <c r="B17713" s="3" t="str">
        <f>HYPERLINK("https://otsuka-europe-crm.veevavault.com/ui/#object/approved_document__v/V5O00000000D106", "Postal Navidad 2025")</f>
        <v>Postal Navidad 2025</v>
      </c>
      <c r="C17713" s="3" t="str">
        <f>HYPERLINK("https://otsuka-europe-crm.veevavault.com/ui/#object/sent_email__v/VBL000000013640", "SE-001398951")</f>
        <v>SE-001398951</v>
      </c>
      <c r="D17713" s="1" t="s">
        <v>0</v>
      </c>
      <c r="E17713" s="2">
        <v>0</v>
      </c>
      <c r="F17713" s="2">
        <v>0</v>
      </c>
      <c r="G17713" s="2">
        <v>0</v>
      </c>
      <c r="H17713" s="1" t="s">
        <v>0</v>
      </c>
      <c r="I17713" s="2">
        <v>0</v>
      </c>
      <c r="J17713" s="1">
        <v>46015.459907407407</v>
      </c>
    </row>
    <row r="17714" spans="1:10" x14ac:dyDescent="0.2">
      <c r="A17714" s="4" t="s">
        <v>1</v>
      </c>
      <c r="B17714" s="3" t="str">
        <f>HYPERLINK("https://otsuka-europe-crm.veevavault.com/ui/#object/approved_document__v/V5O00000000D106", "Postal Navidad 2025")</f>
        <v>Postal Navidad 2025</v>
      </c>
      <c r="C17714" s="3" t="str">
        <f>HYPERLINK("https://otsuka-europe-crm.veevavault.com/ui/#object/sent_email__v/VBL000000013641", "SE-001398952")</f>
        <v>SE-001398952</v>
      </c>
      <c r="D17714" s="1">
        <v>46015.496157407404</v>
      </c>
      <c r="E17714" s="2">
        <v>1</v>
      </c>
      <c r="F17714" s="2">
        <v>2</v>
      </c>
      <c r="G17714" s="2">
        <v>0</v>
      </c>
      <c r="H17714" s="1" t="s">
        <v>0</v>
      </c>
      <c r="I17714" s="2">
        <v>0</v>
      </c>
      <c r="J17714" s="1">
        <v>46015.45994212963</v>
      </c>
    </row>
    <row r="17715" spans="1:10" x14ac:dyDescent="0.2">
      <c r="A17715" s="4" t="s">
        <v>1</v>
      </c>
      <c r="B17715" s="3" t="str">
        <f>HYPERLINK("https://otsuka-europe-crm.veevavault.com/ui/#object/approved_document__v/V5O00000000D106", "Postal Navidad 2025")</f>
        <v>Postal Navidad 2025</v>
      </c>
      <c r="C17715" s="3" t="str">
        <f>HYPERLINK("https://otsuka-europe-crm.veevavault.com/ui/#object/sent_email__v/VBL000000013642", "SE-001398953")</f>
        <v>SE-001398953</v>
      </c>
      <c r="D17715" s="1" t="s">
        <v>0</v>
      </c>
      <c r="E17715" s="2">
        <v>0</v>
      </c>
      <c r="F17715" s="2">
        <v>0</v>
      </c>
      <c r="G17715" s="2">
        <v>0</v>
      </c>
      <c r="H17715" s="1" t="s">
        <v>0</v>
      </c>
      <c r="I17715" s="2">
        <v>0</v>
      </c>
      <c r="J17715" s="1">
        <v>46015.459988425922</v>
      </c>
    </row>
    <row r="17716" spans="1:10" x14ac:dyDescent="0.2">
      <c r="A17716" s="4" t="s">
        <v>1</v>
      </c>
      <c r="B17716" s="3" t="str">
        <f>HYPERLINK("https://otsuka-europe-crm.veevavault.com/ui/#object/approved_document__v/V5O00000000D106", "Postal Navidad 2025")</f>
        <v>Postal Navidad 2025</v>
      </c>
      <c r="C17716" s="3" t="str">
        <f>HYPERLINK("https://otsuka-europe-crm.veevavault.com/ui/#object/sent_email__v/VBL000000013643", "SE-001398954")</f>
        <v>SE-001398954</v>
      </c>
      <c r="D17716" s="1" t="s">
        <v>0</v>
      </c>
      <c r="E17716" s="2">
        <v>0</v>
      </c>
      <c r="F17716" s="2">
        <v>0</v>
      </c>
      <c r="G17716" s="2">
        <v>0</v>
      </c>
      <c r="H17716" s="1" t="s">
        <v>0</v>
      </c>
      <c r="I17716" s="2">
        <v>0</v>
      </c>
      <c r="J17716" s="1">
        <v>46015.460057870368</v>
      </c>
    </row>
    <row r="17717" spans="1:10" x14ac:dyDescent="0.2">
      <c r="A17717" s="4" t="s">
        <v>1</v>
      </c>
      <c r="B17717" s="3" t="str">
        <f>HYPERLINK("https://otsuka-europe-crm.veevavault.com/ui/#object/approved_document__v/V5O00000000D106", "Postal Navidad 2025")</f>
        <v>Postal Navidad 2025</v>
      </c>
      <c r="C17717" s="3" t="str">
        <f>HYPERLINK("https://otsuka-europe-crm.veevavault.com/ui/#object/sent_email__v/VBL000000013644", "SE-001398955")</f>
        <v>SE-001398955</v>
      </c>
      <c r="D17717" s="1">
        <v>46015.460185185184</v>
      </c>
      <c r="E17717" s="2">
        <v>1</v>
      </c>
      <c r="F17717" s="2">
        <v>1</v>
      </c>
      <c r="G17717" s="2">
        <v>0</v>
      </c>
      <c r="H17717" s="1" t="s">
        <v>0</v>
      </c>
      <c r="I17717" s="2">
        <v>0</v>
      </c>
      <c r="J17717" s="1">
        <v>46015.460115740738</v>
      </c>
    </row>
    <row r="17718" spans="1:10" x14ac:dyDescent="0.2">
      <c r="A17718" s="4" t="s">
        <v>1</v>
      </c>
      <c r="B17718" s="3" t="str">
        <f>HYPERLINK("https://otsuka-europe-crm.veevavault.com/ui/#object/approved_document__v/V5O00000000D106", "Postal Navidad 2025")</f>
        <v>Postal Navidad 2025</v>
      </c>
      <c r="C17718" s="3" t="str">
        <f>HYPERLINK("https://otsuka-europe-crm.veevavault.com/ui/#object/sent_email__v/VBL000000013645", "SE-001398956")</f>
        <v>SE-001398956</v>
      </c>
      <c r="D17718" s="1" t="s">
        <v>0</v>
      </c>
      <c r="E17718" s="2">
        <v>0</v>
      </c>
      <c r="F17718" s="2">
        <v>0</v>
      </c>
      <c r="G17718" s="2">
        <v>0</v>
      </c>
      <c r="H17718" s="1" t="s">
        <v>0</v>
      </c>
      <c r="I17718" s="2">
        <v>0</v>
      </c>
      <c r="J17718" s="1">
        <v>46015.460185185184</v>
      </c>
    </row>
    <row r="17719" spans="1:10" x14ac:dyDescent="0.2">
      <c r="A17719" s="4" t="s">
        <v>1</v>
      </c>
      <c r="B17719" s="3" t="str">
        <f>HYPERLINK("https://otsuka-europe-crm.veevavault.com/ui/#object/approved_document__v/V5O00000000D106", "Postal Navidad 2025")</f>
        <v>Postal Navidad 2025</v>
      </c>
      <c r="C17719" s="3" t="str">
        <f>HYPERLINK("https://otsuka-europe-crm.veevavault.com/ui/#object/sent_email__v/VBL000000013646", "SE-001398957")</f>
        <v>SE-001398957</v>
      </c>
      <c r="D17719" s="1">
        <v>46016.433229166665</v>
      </c>
      <c r="E17719" s="2">
        <v>1</v>
      </c>
      <c r="F17719" s="2">
        <v>1</v>
      </c>
      <c r="G17719" s="2">
        <v>0</v>
      </c>
      <c r="H17719" s="1" t="s">
        <v>0</v>
      </c>
      <c r="I17719" s="2">
        <v>0</v>
      </c>
      <c r="J17719" s="1">
        <v>46015.460243055553</v>
      </c>
    </row>
    <row r="17720" spans="1:10" x14ac:dyDescent="0.2">
      <c r="A17720" s="4" t="s">
        <v>1</v>
      </c>
      <c r="B17720" s="3" t="str">
        <f>HYPERLINK("https://otsuka-europe-crm.veevavault.com/ui/#object/approved_document__v/V5O00000000D106", "Postal Navidad 2025")</f>
        <v>Postal Navidad 2025</v>
      </c>
      <c r="C17720" s="3" t="str">
        <f>HYPERLINK("https://otsuka-europe-crm.veevavault.com/ui/#object/sent_email__v/VBL000000013648", "SE-001398959")</f>
        <v>SE-001398959</v>
      </c>
      <c r="D17720" s="1">
        <v>46015.987187500003</v>
      </c>
      <c r="E17720" s="2">
        <v>1</v>
      </c>
      <c r="F17720" s="2">
        <v>1</v>
      </c>
      <c r="G17720" s="2">
        <v>0</v>
      </c>
      <c r="H17720" s="1" t="s">
        <v>0</v>
      </c>
      <c r="I17720" s="2">
        <v>0</v>
      </c>
      <c r="J17720" s="1">
        <v>46015.460312499999</v>
      </c>
    </row>
    <row r="17721" spans="1:10" x14ac:dyDescent="0.2">
      <c r="A17721" s="4" t="s">
        <v>1</v>
      </c>
      <c r="B17721" s="3" t="str">
        <f>HYPERLINK("https://otsuka-europe-crm.veevavault.com/ui/#object/approved_document__v/V5O00000000D106", "Postal Navidad 2025")</f>
        <v>Postal Navidad 2025</v>
      </c>
      <c r="C17721" s="3" t="str">
        <f>HYPERLINK("https://otsuka-europe-crm.veevavault.com/ui/#object/sent_email__v/VBL000000013649", "SE-001398960")</f>
        <v>SE-001398960</v>
      </c>
      <c r="D17721" s="1" t="s">
        <v>0</v>
      </c>
      <c r="E17721" s="2">
        <v>0</v>
      </c>
      <c r="F17721" s="2">
        <v>0</v>
      </c>
      <c r="G17721" s="2">
        <v>0</v>
      </c>
      <c r="H17721" s="1" t="s">
        <v>0</v>
      </c>
      <c r="I17721" s="2">
        <v>0</v>
      </c>
      <c r="J17721" s="1">
        <v>46015.460381944446</v>
      </c>
    </row>
    <row r="17722" spans="1:10" x14ac:dyDescent="0.2">
      <c r="A17722" s="4" t="s">
        <v>1</v>
      </c>
      <c r="B17722" s="3" t="str">
        <f>HYPERLINK("https://otsuka-europe-crm.veevavault.com/ui/#object/approved_document__v/V5O00000000D106", "Postal Navidad 2025")</f>
        <v>Postal Navidad 2025</v>
      </c>
      <c r="C17722" s="3" t="str">
        <f>HYPERLINK("https://otsuka-europe-crm.veevavault.com/ui/#object/sent_email__v/VBL000000013650", "SE-001398961")</f>
        <v>SE-001398961</v>
      </c>
      <c r="D17722" s="1" t="s">
        <v>0</v>
      </c>
      <c r="E17722" s="2">
        <v>0</v>
      </c>
      <c r="F17722" s="2">
        <v>0</v>
      </c>
      <c r="G17722" s="2">
        <v>0</v>
      </c>
      <c r="H17722" s="1" t="s">
        <v>0</v>
      </c>
      <c r="I17722" s="2">
        <v>0</v>
      </c>
      <c r="J17722" s="1">
        <v>46015.460439814815</v>
      </c>
    </row>
    <row r="17723" spans="1:10" x14ac:dyDescent="0.2">
      <c r="A17723" s="4" t="s">
        <v>1</v>
      </c>
      <c r="B17723" s="3" t="str">
        <f>HYPERLINK("https://otsuka-europe-crm.veevavault.com/ui/#object/approved_document__v/V5O00000000D106", "Postal Navidad 2025")</f>
        <v>Postal Navidad 2025</v>
      </c>
      <c r="C17723" s="3" t="str">
        <f>HYPERLINK("https://otsuka-europe-crm.veevavault.com/ui/#object/sent_email__v/VBL000000013651", "SE-001398962")</f>
        <v>SE-001398962</v>
      </c>
      <c r="D17723" s="1" t="s">
        <v>0</v>
      </c>
      <c r="E17723" s="2">
        <v>0</v>
      </c>
      <c r="F17723" s="2">
        <v>0</v>
      </c>
      <c r="G17723" s="2">
        <v>0</v>
      </c>
      <c r="H17723" s="1" t="s">
        <v>0</v>
      </c>
      <c r="I17723" s="2">
        <v>0</v>
      </c>
      <c r="J17723" s="1">
        <v>46015.460509259261</v>
      </c>
    </row>
    <row r="17724" spans="1:10" x14ac:dyDescent="0.2">
      <c r="A17724" s="4" t="s">
        <v>1</v>
      </c>
      <c r="B17724" s="3" t="str">
        <f>HYPERLINK("https://otsuka-europe-crm.veevavault.com/ui/#object/approved_document__v/V5O00000000D106", "Postal Navidad 2025")</f>
        <v>Postal Navidad 2025</v>
      </c>
      <c r="C17724" s="3" t="str">
        <f>HYPERLINK("https://otsuka-europe-crm.veevavault.com/ui/#object/sent_email__v/VBL000000013652", "SE-001398963")</f>
        <v>SE-001398963</v>
      </c>
      <c r="D17724" s="1">
        <v>46015.649409722224</v>
      </c>
      <c r="E17724" s="2">
        <v>1</v>
      </c>
      <c r="F17724" s="2">
        <v>1</v>
      </c>
      <c r="G17724" s="2">
        <v>0</v>
      </c>
      <c r="H17724" s="1" t="s">
        <v>0</v>
      </c>
      <c r="I17724" s="2">
        <v>0</v>
      </c>
      <c r="J17724" s="1">
        <v>46015.460578703707</v>
      </c>
    </row>
    <row r="17725" spans="1:10" x14ac:dyDescent="0.2">
      <c r="A17725" s="4" t="s">
        <v>1</v>
      </c>
      <c r="B17725" s="3" t="str">
        <f>HYPERLINK("https://otsuka-europe-crm.veevavault.com/ui/#object/approved_document__v/V5O00000000D106", "Postal Navidad 2025")</f>
        <v>Postal Navidad 2025</v>
      </c>
      <c r="C17725" s="3" t="str">
        <f>HYPERLINK("https://otsuka-europe-crm.veevavault.com/ui/#object/sent_email__v/VBL000000013653", "SE-001398964")</f>
        <v>SE-001398964</v>
      </c>
      <c r="D17725" s="1">
        <v>46015.761747685188</v>
      </c>
      <c r="E17725" s="2">
        <v>1</v>
      </c>
      <c r="F17725" s="2">
        <v>1</v>
      </c>
      <c r="G17725" s="2">
        <v>0</v>
      </c>
      <c r="H17725" s="1" t="s">
        <v>0</v>
      </c>
      <c r="I17725" s="2">
        <v>0</v>
      </c>
      <c r="J17725" s="1">
        <v>46015.460636574076</v>
      </c>
    </row>
    <row r="17726" spans="1:10" x14ac:dyDescent="0.2">
      <c r="A17726" s="4" t="s">
        <v>1</v>
      </c>
      <c r="B17726" s="3" t="str">
        <f>HYPERLINK("https://otsuka-europe-crm.veevavault.com/ui/#object/approved_document__v/V5O00000000D106", "Postal Navidad 2025")</f>
        <v>Postal Navidad 2025</v>
      </c>
      <c r="C17726" s="3" t="str">
        <f>HYPERLINK("https://otsuka-europe-crm.veevavault.com/ui/#object/sent_email__v/VBL000000013654", "SE-001398965")</f>
        <v>SE-001398965</v>
      </c>
      <c r="D17726" s="1">
        <v>46066.509340277778</v>
      </c>
      <c r="E17726" s="2">
        <v>1</v>
      </c>
      <c r="F17726" s="2">
        <v>2</v>
      </c>
      <c r="G17726" s="2">
        <v>0</v>
      </c>
      <c r="H17726" s="1" t="s">
        <v>0</v>
      </c>
      <c r="I17726" s="2">
        <v>0</v>
      </c>
      <c r="J17726" s="1">
        <v>46015.460706018515</v>
      </c>
    </row>
    <row r="17727" spans="1:10" x14ac:dyDescent="0.2">
      <c r="A17727" s="4" t="s">
        <v>1</v>
      </c>
      <c r="B17727" s="3" t="str">
        <f>HYPERLINK("https://otsuka-europe-crm.veevavault.com/ui/#object/approved_document__v/V5O00000000D106", "Postal Navidad 2025")</f>
        <v>Postal Navidad 2025</v>
      </c>
      <c r="C17727" s="3" t="str">
        <f>HYPERLINK("https://otsuka-europe-crm.veevavault.com/ui/#object/sent_email__v/VBL000000013655", "SE-001398966")</f>
        <v>SE-001398966</v>
      </c>
      <c r="D17727" s="1" t="s">
        <v>0</v>
      </c>
      <c r="E17727" s="2">
        <v>0</v>
      </c>
      <c r="F17727" s="2">
        <v>0</v>
      </c>
      <c r="G17727" s="2">
        <v>0</v>
      </c>
      <c r="H17727" s="1" t="s">
        <v>0</v>
      </c>
      <c r="I17727" s="2">
        <v>0</v>
      </c>
      <c r="J17727" s="1">
        <v>46015.460798611108</v>
      </c>
    </row>
    <row r="17728" spans="1:10" x14ac:dyDescent="0.2">
      <c r="A17728" s="4" t="s">
        <v>1</v>
      </c>
      <c r="B17728" s="3" t="str">
        <f>HYPERLINK("https://otsuka-europe-crm.veevavault.com/ui/#object/approved_document__v/V5O00000000D106", "Postal Navidad 2025")</f>
        <v>Postal Navidad 2025</v>
      </c>
      <c r="C17728" s="3" t="str">
        <f>HYPERLINK("https://otsuka-europe-crm.veevavault.com/ui/#object/sent_email__v/VBL000000013656", "SE-001398967")</f>
        <v>SE-001398967</v>
      </c>
      <c r="D17728" s="1">
        <v>46020.053946759261</v>
      </c>
      <c r="E17728" s="2">
        <v>1</v>
      </c>
      <c r="F17728" s="2">
        <v>1</v>
      </c>
      <c r="G17728" s="2">
        <v>0</v>
      </c>
      <c r="H17728" s="1" t="s">
        <v>0</v>
      </c>
      <c r="I17728" s="2">
        <v>0</v>
      </c>
      <c r="J17728" s="1">
        <v>46015.460833333331</v>
      </c>
    </row>
    <row r="17729" spans="1:10" x14ac:dyDescent="0.2">
      <c r="A17729" s="4" t="s">
        <v>1</v>
      </c>
      <c r="B17729" s="3" t="str">
        <f>HYPERLINK("https://otsuka-europe-crm.veevavault.com/ui/#object/approved_document__v/V5O00000000D106", "Postal Navidad 2025")</f>
        <v>Postal Navidad 2025</v>
      </c>
      <c r="C17729" s="3" t="str">
        <f>HYPERLINK("https://otsuka-europe-crm.veevavault.com/ui/#object/sent_email__v/VBL000000013657", "SE-001398968")</f>
        <v>SE-001398968</v>
      </c>
      <c r="D17729" s="1">
        <v>46015.4609837963</v>
      </c>
      <c r="E17729" s="2">
        <v>1</v>
      </c>
      <c r="F17729" s="2">
        <v>1</v>
      </c>
      <c r="G17729" s="2">
        <v>0</v>
      </c>
      <c r="H17729" s="1" t="s">
        <v>0</v>
      </c>
      <c r="I17729" s="2">
        <v>0</v>
      </c>
      <c r="J17729" s="1">
        <v>46015.460902777777</v>
      </c>
    </row>
    <row r="17730" spans="1:10" x14ac:dyDescent="0.2">
      <c r="A17730" s="4" t="s">
        <v>1</v>
      </c>
      <c r="B17730" s="3" t="str">
        <f>HYPERLINK("https://otsuka-europe-crm.veevavault.com/ui/#object/approved_document__v/V5O00000000D106", "Postal Navidad 2025")</f>
        <v>Postal Navidad 2025</v>
      </c>
      <c r="C17730" s="3" t="str">
        <f>HYPERLINK("https://otsuka-europe-crm.veevavault.com/ui/#object/sent_email__v/VBL000000013658", "SE-001398969")</f>
        <v>SE-001398969</v>
      </c>
      <c r="D17730" s="1" t="s">
        <v>0</v>
      </c>
      <c r="E17730" s="2">
        <v>0</v>
      </c>
      <c r="F17730" s="2">
        <v>0</v>
      </c>
      <c r="G17730" s="2">
        <v>0</v>
      </c>
      <c r="H17730" s="1" t="s">
        <v>0</v>
      </c>
      <c r="I17730" s="2">
        <v>0</v>
      </c>
      <c r="J17730" s="1">
        <v>46015.460972222223</v>
      </c>
    </row>
    <row r="17731" spans="1:10" x14ac:dyDescent="0.2">
      <c r="A17731" s="4" t="s">
        <v>1</v>
      </c>
      <c r="B17731" s="3" t="str">
        <f>HYPERLINK("https://otsuka-europe-crm.veevavault.com/ui/#object/approved_document__v/V5O00000000D106", "Postal Navidad 2025")</f>
        <v>Postal Navidad 2025</v>
      </c>
      <c r="C17731" s="3" t="str">
        <f>HYPERLINK("https://otsuka-europe-crm.veevavault.com/ui/#object/sent_email__v/VBL000000013659", "SE-001398970")</f>
        <v>SE-001398970</v>
      </c>
      <c r="D17731" s="1" t="s">
        <v>0</v>
      </c>
      <c r="E17731" s="2">
        <v>0</v>
      </c>
      <c r="F17731" s="2">
        <v>0</v>
      </c>
      <c r="G17731" s="2">
        <v>0</v>
      </c>
      <c r="H17731" s="1" t="s">
        <v>0</v>
      </c>
      <c r="I17731" s="2">
        <v>0</v>
      </c>
      <c r="J17731" s="1">
        <v>46015.461030092592</v>
      </c>
    </row>
    <row r="17732" spans="1:10" x14ac:dyDescent="0.2">
      <c r="A17732" s="4" t="s">
        <v>1</v>
      </c>
      <c r="B17732" s="3" t="str">
        <f>HYPERLINK("https://otsuka-europe-crm.veevavault.com/ui/#object/approved_document__v/V5O00000000D106", "Postal Navidad 2025")</f>
        <v>Postal Navidad 2025</v>
      </c>
      <c r="C17732" s="3" t="str">
        <f>HYPERLINK("https://otsuka-europe-crm.veevavault.com/ui/#object/sent_email__v/VBL000000013660", "SE-001398971")</f>
        <v>SE-001398971</v>
      </c>
      <c r="D17732" s="1" t="s">
        <v>0</v>
      </c>
      <c r="E17732" s="2">
        <v>0</v>
      </c>
      <c r="F17732" s="2">
        <v>0</v>
      </c>
      <c r="G17732" s="2">
        <v>0</v>
      </c>
      <c r="H17732" s="1" t="s">
        <v>0</v>
      </c>
      <c r="I17732" s="2">
        <v>0</v>
      </c>
      <c r="J17732" s="1">
        <v>46015.461099537039</v>
      </c>
    </row>
    <row r="17733" spans="1:10" x14ac:dyDescent="0.2">
      <c r="A17733" s="4" t="s">
        <v>1</v>
      </c>
      <c r="B17733" s="3" t="str">
        <f>HYPERLINK("https://otsuka-europe-crm.veevavault.com/ui/#object/approved_document__v/V5O00000000D106", "Postal Navidad 2025")</f>
        <v>Postal Navidad 2025</v>
      </c>
      <c r="C17733" s="3" t="str">
        <f>HYPERLINK("https://otsuka-europe-crm.veevavault.com/ui/#object/sent_email__v/VBL000000013661", "SE-001398972")</f>
        <v>SE-001398972</v>
      </c>
      <c r="D17733" s="1" t="s">
        <v>0</v>
      </c>
      <c r="E17733" s="2">
        <v>0</v>
      </c>
      <c r="F17733" s="2">
        <v>0</v>
      </c>
      <c r="G17733" s="2">
        <v>0</v>
      </c>
      <c r="H17733" s="1" t="s">
        <v>0</v>
      </c>
      <c r="I17733" s="2">
        <v>0</v>
      </c>
      <c r="J17733" s="1">
        <v>46015.461168981485</v>
      </c>
    </row>
    <row r="17734" spans="1:10" x14ac:dyDescent="0.2">
      <c r="A17734" s="4" t="s">
        <v>1</v>
      </c>
      <c r="B17734" s="3" t="str">
        <f>HYPERLINK("https://otsuka-europe-crm.veevavault.com/ui/#object/approved_document__v/V5O00000000D106", "Postal Navidad 2025")</f>
        <v>Postal Navidad 2025</v>
      </c>
      <c r="C17734" s="3" t="str">
        <f>HYPERLINK("https://otsuka-europe-crm.veevavault.com/ui/#object/sent_email__v/VBL000000013662", "SE-001398973")</f>
        <v>SE-001398973</v>
      </c>
      <c r="D17734" s="1">
        <v>46015.537465277775</v>
      </c>
      <c r="E17734" s="2">
        <v>1</v>
      </c>
      <c r="F17734" s="2">
        <v>1</v>
      </c>
      <c r="G17734" s="2">
        <v>0</v>
      </c>
      <c r="H17734" s="1" t="s">
        <v>0</v>
      </c>
      <c r="I17734" s="2">
        <v>0</v>
      </c>
      <c r="J17734" s="1">
        <v>46015.461238425924</v>
      </c>
    </row>
    <row r="17735" spans="1:10" x14ac:dyDescent="0.2">
      <c r="A17735" s="4" t="s">
        <v>1</v>
      </c>
      <c r="B17735" s="3" t="str">
        <f>HYPERLINK("https://otsuka-europe-crm.veevavault.com/ui/#object/approved_document__v/V5O00000000D106", "Postal Navidad 2025")</f>
        <v>Postal Navidad 2025</v>
      </c>
      <c r="C17735" s="3" t="str">
        <f>HYPERLINK("https://otsuka-europe-crm.veevavault.com/ui/#object/sent_email__v/VBL000000013663", "SE-001398974")</f>
        <v>SE-001398974</v>
      </c>
      <c r="D17735" s="1">
        <v>46015.462557870371</v>
      </c>
      <c r="E17735" s="2">
        <v>1</v>
      </c>
      <c r="F17735" s="2">
        <v>1</v>
      </c>
      <c r="G17735" s="2">
        <v>0</v>
      </c>
      <c r="H17735" s="1" t="s">
        <v>0</v>
      </c>
      <c r="I17735" s="2">
        <v>0</v>
      </c>
      <c r="J17735" s="1">
        <v>46015.461296296293</v>
      </c>
    </row>
    <row r="17736" spans="1:10" x14ac:dyDescent="0.2">
      <c r="A17736" s="4" t="s">
        <v>1</v>
      </c>
      <c r="B17736" s="3" t="str">
        <f>HYPERLINK("https://otsuka-europe-crm.veevavault.com/ui/#object/approved_document__v/V5O00000000D106", "Postal Navidad 2025")</f>
        <v>Postal Navidad 2025</v>
      </c>
      <c r="C17736" s="3" t="str">
        <f>HYPERLINK("https://otsuka-europe-crm.veevavault.com/ui/#object/sent_email__v/VBL000000013664", "SE-001398975")</f>
        <v>SE-001398975</v>
      </c>
      <c r="D17736" s="1">
        <v>46019.350798611114</v>
      </c>
      <c r="E17736" s="2">
        <v>1</v>
      </c>
      <c r="F17736" s="2">
        <v>3</v>
      </c>
      <c r="G17736" s="2">
        <v>0</v>
      </c>
      <c r="H17736" s="1" t="s">
        <v>0</v>
      </c>
      <c r="I17736" s="2">
        <v>0</v>
      </c>
      <c r="J17736" s="1">
        <v>46015.461504629631</v>
      </c>
    </row>
    <row r="17737" spans="1:10" x14ac:dyDescent="0.2">
      <c r="A17737" s="4" t="s">
        <v>1</v>
      </c>
      <c r="B17737" s="3" t="str">
        <f>HYPERLINK("https://otsuka-europe-crm.veevavault.com/ui/#object/approved_document__v/V5O00000000D106", "Postal Navidad 2025")</f>
        <v>Postal Navidad 2025</v>
      </c>
      <c r="C17737" s="3" t="str">
        <f>HYPERLINK("https://otsuka-europe-crm.veevavault.com/ui/#object/sent_email__v/VBL000000013665", "SE-001398976")</f>
        <v>SE-001398976</v>
      </c>
      <c r="D17737" s="1">
        <v>46015.893958333334</v>
      </c>
      <c r="E17737" s="2">
        <v>1</v>
      </c>
      <c r="F17737" s="2">
        <v>2</v>
      </c>
      <c r="G17737" s="2">
        <v>0</v>
      </c>
      <c r="H17737" s="1" t="s">
        <v>0</v>
      </c>
      <c r="I17737" s="2">
        <v>0</v>
      </c>
      <c r="J17737" s="1">
        <v>46015.461446759262</v>
      </c>
    </row>
    <row r="17738" spans="1:10" x14ac:dyDescent="0.2">
      <c r="A17738" s="4" t="s">
        <v>1</v>
      </c>
      <c r="B17738" s="3" t="str">
        <f>HYPERLINK("https://otsuka-europe-crm.veevavault.com/ui/#object/approved_document__v/V5O00000000D106", "Postal Navidad 2025")</f>
        <v>Postal Navidad 2025</v>
      </c>
      <c r="C17738" s="3" t="str">
        <f>HYPERLINK("https://otsuka-europe-crm.veevavault.com/ui/#object/sent_email__v/VBL000000013666", "SE-001398977")</f>
        <v>SE-001398977</v>
      </c>
      <c r="D17738" s="1">
        <v>46032.745023148149</v>
      </c>
      <c r="E17738" s="2">
        <v>1</v>
      </c>
      <c r="F17738" s="2">
        <v>4</v>
      </c>
      <c r="G17738" s="2">
        <v>0</v>
      </c>
      <c r="H17738" s="1" t="s">
        <v>0</v>
      </c>
      <c r="I17738" s="2">
        <v>0</v>
      </c>
      <c r="J17738" s="1">
        <v>46015.461516203701</v>
      </c>
    </row>
    <row r="17739" spans="1:10" x14ac:dyDescent="0.2">
      <c r="A17739" s="4" t="s">
        <v>1</v>
      </c>
      <c r="B17739" s="3" t="str">
        <f>HYPERLINK("https://otsuka-europe-crm.veevavault.com/ui/#object/approved_document__v/V5O00000000D106", "Postal Navidad 2025")</f>
        <v>Postal Navidad 2025</v>
      </c>
      <c r="C17739" s="3" t="str">
        <f>HYPERLINK("https://otsuka-europe-crm.veevavault.com/ui/#object/sent_email__v/VBL000000013667", "SE-001398978")</f>
        <v>SE-001398978</v>
      </c>
      <c r="D17739" s="1">
        <v>46015.470451388886</v>
      </c>
      <c r="E17739" s="2">
        <v>1</v>
      </c>
      <c r="F17739" s="2">
        <v>2</v>
      </c>
      <c r="G17739" s="2">
        <v>0</v>
      </c>
      <c r="H17739" s="1" t="s">
        <v>0</v>
      </c>
      <c r="I17739" s="2">
        <v>0</v>
      </c>
      <c r="J17739" s="1">
        <v>46015.461597222224</v>
      </c>
    </row>
    <row r="17740" spans="1:10" x14ac:dyDescent="0.2">
      <c r="A17740" s="4" t="s">
        <v>1</v>
      </c>
      <c r="B17740" s="3" t="str">
        <f>HYPERLINK("https://otsuka-europe-crm.veevavault.com/ui/#object/approved_document__v/V5O00000000D106", "Postal Navidad 2025")</f>
        <v>Postal Navidad 2025</v>
      </c>
      <c r="C17740" s="3" t="str">
        <f>HYPERLINK("https://otsuka-europe-crm.veevavault.com/ui/#object/sent_email__v/VBL000000013668", "SE-001398979")</f>
        <v>SE-001398979</v>
      </c>
      <c r="D17740" s="1">
        <v>46023.481805555559</v>
      </c>
      <c r="E17740" s="2">
        <v>1</v>
      </c>
      <c r="F17740" s="2">
        <v>2</v>
      </c>
      <c r="G17740" s="2">
        <v>0</v>
      </c>
      <c r="H17740" s="1" t="s">
        <v>0</v>
      </c>
      <c r="I17740" s="2">
        <v>0</v>
      </c>
      <c r="J17740" s="1">
        <v>46015.46166666667</v>
      </c>
    </row>
    <row r="17741" spans="1:10" x14ac:dyDescent="0.2">
      <c r="A17741" s="4" t="s">
        <v>1</v>
      </c>
      <c r="B17741" s="3" t="str">
        <f>HYPERLINK("https://otsuka-europe-crm.veevavault.com/ui/#object/approved_document__v/V5O00000000D106", "Postal Navidad 2025")</f>
        <v>Postal Navidad 2025</v>
      </c>
      <c r="C17741" s="3" t="str">
        <f>HYPERLINK("https://otsuka-europe-crm.veevavault.com/ui/#object/sent_email__v/VBL000000013669", "SE-001398980")</f>
        <v>SE-001398980</v>
      </c>
      <c r="D17741" s="1">
        <v>46015.473414351851</v>
      </c>
      <c r="E17741" s="2">
        <v>1</v>
      </c>
      <c r="F17741" s="2">
        <v>1</v>
      </c>
      <c r="G17741" s="2">
        <v>0</v>
      </c>
      <c r="H17741" s="1" t="s">
        <v>0</v>
      </c>
      <c r="I17741" s="2">
        <v>0</v>
      </c>
      <c r="J17741" s="1">
        <v>46015.461736111109</v>
      </c>
    </row>
    <row r="17742" spans="1:10" x14ac:dyDescent="0.2">
      <c r="A17742" s="4" t="s">
        <v>1</v>
      </c>
      <c r="B17742" s="3" t="str">
        <f>HYPERLINK("https://otsuka-europe-crm.veevavault.com/ui/#object/approved_document__v/V5O00000000D106", "Postal Navidad 2025")</f>
        <v>Postal Navidad 2025</v>
      </c>
      <c r="C17742" s="3" t="str">
        <f>HYPERLINK("https://otsuka-europe-crm.veevavault.com/ui/#object/sent_email__v/VBL000000013670", "SE-001398981")</f>
        <v>SE-001398981</v>
      </c>
      <c r="D17742" s="1">
        <v>46015.673032407409</v>
      </c>
      <c r="E17742" s="2">
        <v>1</v>
      </c>
      <c r="F17742" s="2">
        <v>1</v>
      </c>
      <c r="G17742" s="2">
        <v>0</v>
      </c>
      <c r="H17742" s="1" t="s">
        <v>0</v>
      </c>
      <c r="I17742" s="2">
        <v>0</v>
      </c>
      <c r="J17742" s="1">
        <v>46015.461793981478</v>
      </c>
    </row>
    <row r="17743" spans="1:10" x14ac:dyDescent="0.2">
      <c r="A17743" s="4" t="s">
        <v>1</v>
      </c>
      <c r="B17743" s="3" t="str">
        <f>HYPERLINK("https://otsuka-europe-crm.veevavault.com/ui/#object/approved_document__v/V5O00000000D106", "Postal Navidad 2025")</f>
        <v>Postal Navidad 2025</v>
      </c>
      <c r="C17743" s="3" t="str">
        <f>HYPERLINK("https://otsuka-europe-crm.veevavault.com/ui/#object/sent_email__v/VBL000000013671", "SE-001398982")</f>
        <v>SE-001398982</v>
      </c>
      <c r="D17743" s="1">
        <v>46015.46234953704</v>
      </c>
      <c r="E17743" s="2">
        <v>1</v>
      </c>
      <c r="F17743" s="2">
        <v>1</v>
      </c>
      <c r="G17743" s="2">
        <v>0</v>
      </c>
      <c r="H17743" s="1" t="s">
        <v>0</v>
      </c>
      <c r="I17743" s="2">
        <v>0</v>
      </c>
      <c r="J17743" s="1">
        <v>46015.461840277778</v>
      </c>
    </row>
    <row r="17744" spans="1:10" x14ac:dyDescent="0.2">
      <c r="A17744" s="4" t="s">
        <v>1</v>
      </c>
      <c r="B17744" s="3" t="str">
        <f>HYPERLINK("https://otsuka-europe-crm.veevavault.com/ui/#object/approved_document__v/V5O00000000D106", "Postal Navidad 2025")</f>
        <v>Postal Navidad 2025</v>
      </c>
      <c r="C17744" s="3" t="str">
        <f>HYPERLINK("https://otsuka-europe-crm.veevavault.com/ui/#object/sent_email__v/VBL000000013672", "SE-001398983")</f>
        <v>SE-001398983</v>
      </c>
      <c r="D17744" s="1">
        <v>46015.461956018517</v>
      </c>
      <c r="E17744" s="2">
        <v>1</v>
      </c>
      <c r="F17744" s="2">
        <v>1</v>
      </c>
      <c r="G17744" s="2">
        <v>0</v>
      </c>
      <c r="H17744" s="1" t="s">
        <v>0</v>
      </c>
      <c r="I17744" s="2">
        <v>0</v>
      </c>
      <c r="J17744" s="1">
        <v>46015.461886574078</v>
      </c>
    </row>
    <row r="17745" spans="1:10" x14ac:dyDescent="0.2">
      <c r="A17745" s="4" t="s">
        <v>1</v>
      </c>
      <c r="B17745" s="3" t="str">
        <f>HYPERLINK("https://otsuka-europe-crm.veevavault.com/ui/#object/approved_document__v/V5O00000000D106", "Postal Navidad 2025")</f>
        <v>Postal Navidad 2025</v>
      </c>
      <c r="C17745" s="3" t="str">
        <f>HYPERLINK("https://otsuka-europe-crm.veevavault.com/ui/#object/sent_email__v/VBL000000013673", "SE-001398984")</f>
        <v>SE-001398984</v>
      </c>
      <c r="D17745" s="1">
        <v>46015.613888888889</v>
      </c>
      <c r="E17745" s="2">
        <v>1</v>
      </c>
      <c r="F17745" s="2">
        <v>2</v>
      </c>
      <c r="G17745" s="2">
        <v>0</v>
      </c>
      <c r="H17745" s="1" t="s">
        <v>0</v>
      </c>
      <c r="I17745" s="2">
        <v>0</v>
      </c>
      <c r="J17745" s="1">
        <v>46015.461921296293</v>
      </c>
    </row>
    <row r="17746" spans="1:10" x14ac:dyDescent="0.2">
      <c r="A17746" s="4" t="s">
        <v>1</v>
      </c>
      <c r="B17746" s="3" t="str">
        <f>HYPERLINK("https://otsuka-europe-crm.veevavault.com/ui/#object/approved_document__v/V5O00000000D106", "Postal Navidad 2025")</f>
        <v>Postal Navidad 2025</v>
      </c>
      <c r="C17746" s="3" t="str">
        <f>HYPERLINK("https://otsuka-europe-crm.veevavault.com/ui/#object/sent_email__v/VBL000000013674", "SE-001398985")</f>
        <v>SE-001398985</v>
      </c>
      <c r="D17746" s="1">
        <v>46026.744976851849</v>
      </c>
      <c r="E17746" s="2">
        <v>1</v>
      </c>
      <c r="F17746" s="2">
        <v>1</v>
      </c>
      <c r="G17746" s="2">
        <v>0</v>
      </c>
      <c r="H17746" s="1" t="s">
        <v>0</v>
      </c>
      <c r="I17746" s="2">
        <v>0</v>
      </c>
      <c r="J17746" s="1">
        <v>46015.461956018517</v>
      </c>
    </row>
    <row r="17747" spans="1:10" x14ac:dyDescent="0.2">
      <c r="A17747" s="4" t="s">
        <v>1</v>
      </c>
      <c r="B17747" s="3" t="str">
        <f>HYPERLINK("https://otsuka-europe-crm.veevavault.com/ui/#object/approved_document__v/V5O00000000D106", "Postal Navidad 2025")</f>
        <v>Postal Navidad 2025</v>
      </c>
      <c r="C17747" s="3" t="str">
        <f>HYPERLINK("https://otsuka-europe-crm.veevavault.com/ui/#object/sent_email__v/VBL000000013675", "SE-001398986")</f>
        <v>SE-001398986</v>
      </c>
      <c r="D17747" s="1" t="s">
        <v>0</v>
      </c>
      <c r="E17747" s="2">
        <v>0</v>
      </c>
      <c r="F17747" s="2">
        <v>0</v>
      </c>
      <c r="G17747" s="2">
        <v>0</v>
      </c>
      <c r="H17747" s="1" t="s">
        <v>0</v>
      </c>
      <c r="I17747" s="2">
        <v>0</v>
      </c>
      <c r="J17747" s="1">
        <v>46015.46199074074</v>
      </c>
    </row>
    <row r="17748" spans="1:10" x14ac:dyDescent="0.2">
      <c r="A17748" s="4" t="s">
        <v>1</v>
      </c>
      <c r="B17748" s="3" t="str">
        <f>HYPERLINK("https://otsuka-europe-crm.veevavault.com/ui/#object/approved_document__v/V5O00000000D106", "Postal Navidad 2025")</f>
        <v>Postal Navidad 2025</v>
      </c>
      <c r="C17748" s="3" t="str">
        <f>HYPERLINK("https://otsuka-europe-crm.veevavault.com/ui/#object/sent_email__v/VBL000000013676", "SE-001398987")</f>
        <v>SE-001398987</v>
      </c>
      <c r="D17748" s="1">
        <v>46015.977893518517</v>
      </c>
      <c r="E17748" s="2">
        <v>1</v>
      </c>
      <c r="F17748" s="2">
        <v>1</v>
      </c>
      <c r="G17748" s="2">
        <v>0</v>
      </c>
      <c r="H17748" s="1" t="s">
        <v>0</v>
      </c>
      <c r="I17748" s="2">
        <v>0</v>
      </c>
      <c r="J17748" s="1">
        <v>46015.462037037039</v>
      </c>
    </row>
    <row r="17749" spans="1:10" x14ac:dyDescent="0.2">
      <c r="A17749" s="4" t="s">
        <v>1</v>
      </c>
      <c r="B17749" s="3" t="str">
        <f>HYPERLINK("https://otsuka-europe-crm.veevavault.com/ui/#object/approved_document__v/V5O00000000D106", "Postal Navidad 2025")</f>
        <v>Postal Navidad 2025</v>
      </c>
      <c r="C17749" s="3" t="str">
        <f>HYPERLINK("https://otsuka-europe-crm.veevavault.com/ui/#object/sent_email__v/VBL000000013677", "SE-001398988")</f>
        <v>SE-001398988</v>
      </c>
      <c r="D17749" s="1">
        <v>46017.010416666664</v>
      </c>
      <c r="E17749" s="2">
        <v>1</v>
      </c>
      <c r="F17749" s="2">
        <v>1</v>
      </c>
      <c r="G17749" s="2">
        <v>0</v>
      </c>
      <c r="H17749" s="1" t="s">
        <v>0</v>
      </c>
      <c r="I17749" s="2">
        <v>0</v>
      </c>
      <c r="J17749" s="1">
        <v>46015.462071759262</v>
      </c>
    </row>
    <row r="17750" spans="1:10" x14ac:dyDescent="0.2">
      <c r="A17750" s="4" t="s">
        <v>1</v>
      </c>
      <c r="B17750" s="3" t="str">
        <f>HYPERLINK("https://otsuka-europe-crm.veevavault.com/ui/#object/approved_document__v/V5O00000000D106", "Postal Navidad 2025")</f>
        <v>Postal Navidad 2025</v>
      </c>
      <c r="C17750" s="3" t="str">
        <f>HYPERLINK("https://otsuka-europe-crm.veevavault.com/ui/#object/sent_email__v/VBL000000013678", "SE-001398989")</f>
        <v>SE-001398989</v>
      </c>
      <c r="D17750" s="1">
        <v>46015.462488425925</v>
      </c>
      <c r="E17750" s="2">
        <v>1</v>
      </c>
      <c r="F17750" s="2">
        <v>1</v>
      </c>
      <c r="G17750" s="2">
        <v>0</v>
      </c>
      <c r="H17750" s="1" t="s">
        <v>0</v>
      </c>
      <c r="I17750" s="2">
        <v>0</v>
      </c>
      <c r="J17750" s="1">
        <v>46015.462118055555</v>
      </c>
    </row>
    <row r="17751" spans="1:10" x14ac:dyDescent="0.2">
      <c r="A17751" s="4" t="s">
        <v>1</v>
      </c>
      <c r="B17751" s="3" t="str">
        <f>HYPERLINK("https://otsuka-europe-crm.veevavault.com/ui/#object/approved_document__v/V5O00000000D106", "Postal Navidad 2025")</f>
        <v>Postal Navidad 2025</v>
      </c>
      <c r="C17751" s="3" t="str">
        <f>HYPERLINK("https://otsuka-europe-crm.veevavault.com/ui/#object/sent_email__v/VBL000000013679", "SE-001398990")</f>
        <v>SE-001398990</v>
      </c>
      <c r="D17751" s="1">
        <v>46015.684236111112</v>
      </c>
      <c r="E17751" s="2">
        <v>1</v>
      </c>
      <c r="F17751" s="2">
        <v>2</v>
      </c>
      <c r="G17751" s="2">
        <v>0</v>
      </c>
      <c r="H17751" s="1" t="s">
        <v>0</v>
      </c>
      <c r="I17751" s="2">
        <v>0</v>
      </c>
      <c r="J17751" s="1">
        <v>46015.462152777778</v>
      </c>
    </row>
    <row r="17752" spans="1:10" x14ac:dyDescent="0.2">
      <c r="A17752" s="4" t="s">
        <v>1</v>
      </c>
      <c r="B17752" s="3" t="str">
        <f>HYPERLINK("https://otsuka-europe-crm.veevavault.com/ui/#object/approved_document__v/V5O00000000D106", "Postal Navidad 2025")</f>
        <v>Postal Navidad 2025</v>
      </c>
      <c r="C17752" s="3" t="str">
        <f>HYPERLINK("https://otsuka-europe-crm.veevavault.com/ui/#object/sent_email__v/VBL000000013680", "SE-001398991")</f>
        <v>SE-001398991</v>
      </c>
      <c r="D17752" s="1">
        <v>46015.711157407408</v>
      </c>
      <c r="E17752" s="2">
        <v>1</v>
      </c>
      <c r="F17752" s="2">
        <v>3</v>
      </c>
      <c r="G17752" s="2">
        <v>0</v>
      </c>
      <c r="H17752" s="1" t="s">
        <v>0</v>
      </c>
      <c r="I17752" s="2">
        <v>0</v>
      </c>
      <c r="J17752" s="1">
        <v>46015.462199074071</v>
      </c>
    </row>
    <row r="17753" spans="1:10" x14ac:dyDescent="0.2">
      <c r="A17753" s="4" t="s">
        <v>1</v>
      </c>
      <c r="B17753" s="3" t="str">
        <f>HYPERLINK("https://otsuka-europe-crm.veevavault.com/ui/#object/approved_document__v/V5O00000000D106", "Postal Navidad 2025")</f>
        <v>Postal Navidad 2025</v>
      </c>
      <c r="C17753" s="3" t="str">
        <f>HYPERLINK("https://otsuka-europe-crm.veevavault.com/ui/#object/sent_email__v/VBL000000013681", "SE-001398992")</f>
        <v>SE-001398992</v>
      </c>
      <c r="D17753" s="1">
        <v>46015.462407407409</v>
      </c>
      <c r="E17753" s="2">
        <v>1</v>
      </c>
      <c r="F17753" s="2">
        <v>2</v>
      </c>
      <c r="G17753" s="2">
        <v>0</v>
      </c>
      <c r="H17753" s="1" t="s">
        <v>0</v>
      </c>
      <c r="I17753" s="2">
        <v>0</v>
      </c>
      <c r="J17753" s="1">
        <v>46015.462233796294</v>
      </c>
    </row>
    <row r="17754" spans="1:10" x14ac:dyDescent="0.2">
      <c r="A17754" s="4" t="s">
        <v>1</v>
      </c>
      <c r="B17754" s="3" t="str">
        <f>HYPERLINK("https://otsuka-europe-crm.veevavault.com/ui/#object/approved_document__v/V5O00000000D106", "Postal Navidad 2025")</f>
        <v>Postal Navidad 2025</v>
      </c>
      <c r="C17754" s="3" t="str">
        <f>HYPERLINK("https://otsuka-europe-crm.veevavault.com/ui/#object/sent_email__v/VBL000000013682", "SE-001398993")</f>
        <v>SE-001398993</v>
      </c>
      <c r="D17754" s="1" t="s">
        <v>0</v>
      </c>
      <c r="E17754" s="2">
        <v>0</v>
      </c>
      <c r="F17754" s="2">
        <v>0</v>
      </c>
      <c r="G17754" s="2">
        <v>0</v>
      </c>
      <c r="H17754" s="1" t="s">
        <v>0</v>
      </c>
      <c r="I17754" s="2">
        <v>0</v>
      </c>
      <c r="J17754" s="1">
        <v>46015.462268518517</v>
      </c>
    </row>
    <row r="17755" spans="1:10" x14ac:dyDescent="0.2">
      <c r="A17755" s="4" t="s">
        <v>1</v>
      </c>
      <c r="B17755" s="3" t="str">
        <f>HYPERLINK("https://otsuka-europe-crm.veevavault.com/ui/#object/approved_document__v/V5O00000000D106", "Postal Navidad 2025")</f>
        <v>Postal Navidad 2025</v>
      </c>
      <c r="C17755" s="3" t="str">
        <f>HYPERLINK("https://otsuka-europe-crm.veevavault.com/ui/#object/sent_email__v/VBL000000013683", "SE-001398994")</f>
        <v>SE-001398994</v>
      </c>
      <c r="D17755" s="1">
        <v>46015.48746527778</v>
      </c>
      <c r="E17755" s="2">
        <v>1</v>
      </c>
      <c r="F17755" s="2">
        <v>1</v>
      </c>
      <c r="G17755" s="2">
        <v>0</v>
      </c>
      <c r="H17755" s="1" t="s">
        <v>0</v>
      </c>
      <c r="I17755" s="2">
        <v>0</v>
      </c>
      <c r="J17755" s="1">
        <v>46015.462314814817</v>
      </c>
    </row>
    <row r="17756" spans="1:10" x14ac:dyDescent="0.2">
      <c r="A17756" s="4" t="s">
        <v>1</v>
      </c>
      <c r="B17756" s="3" t="str">
        <f>HYPERLINK("https://otsuka-europe-crm.veevavault.com/ui/#object/approved_document__v/V5O00000000D106", "Postal Navidad 2025")</f>
        <v>Postal Navidad 2025</v>
      </c>
      <c r="C17756" s="3" t="str">
        <f>HYPERLINK("https://otsuka-europe-crm.veevavault.com/ui/#object/sent_email__v/VBL000000013684", "SE-001398995")</f>
        <v>SE-001398995</v>
      </c>
      <c r="D17756" s="1" t="s">
        <v>0</v>
      </c>
      <c r="E17756" s="2">
        <v>0</v>
      </c>
      <c r="F17756" s="2">
        <v>0</v>
      </c>
      <c r="G17756" s="2">
        <v>0</v>
      </c>
      <c r="H17756" s="1" t="s">
        <v>0</v>
      </c>
      <c r="I17756" s="2">
        <v>0</v>
      </c>
      <c r="J17756" s="1">
        <v>46015.46234953704</v>
      </c>
    </row>
    <row r="17757" spans="1:10" x14ac:dyDescent="0.2">
      <c r="A17757" s="4" t="s">
        <v>1</v>
      </c>
      <c r="B17757" s="3" t="str">
        <f>HYPERLINK("https://otsuka-europe-crm.veevavault.com/ui/#object/approved_document__v/V5O00000000D106", "Postal Navidad 2025")</f>
        <v>Postal Navidad 2025</v>
      </c>
      <c r="C17757" s="3" t="str">
        <f>HYPERLINK("https://otsuka-europe-crm.veevavault.com/ui/#object/sent_email__v/VBL000000013685", "SE-001398996")</f>
        <v>SE-001398996</v>
      </c>
      <c r="D17757" s="1">
        <v>46015.465798611112</v>
      </c>
      <c r="E17757" s="2">
        <v>1</v>
      </c>
      <c r="F17757" s="2">
        <v>2</v>
      </c>
      <c r="G17757" s="2">
        <v>0</v>
      </c>
      <c r="H17757" s="1" t="s">
        <v>0</v>
      </c>
      <c r="I17757" s="2">
        <v>0</v>
      </c>
      <c r="J17757" s="1">
        <v>46015.462395833332</v>
      </c>
    </row>
    <row r="17758" spans="1:10" x14ac:dyDescent="0.2">
      <c r="A17758" s="4" t="s">
        <v>1</v>
      </c>
      <c r="B17758" s="3" t="str">
        <f>HYPERLINK("https://otsuka-europe-crm.veevavault.com/ui/#object/approved_document__v/V5O00000000D106", "Postal Navidad 2025")</f>
        <v>Postal Navidad 2025</v>
      </c>
      <c r="C17758" s="3" t="str">
        <f>HYPERLINK("https://otsuka-europe-crm.veevavault.com/ui/#object/sent_email__v/VBL000000013686", "SE-001398997")</f>
        <v>SE-001398997</v>
      </c>
      <c r="D17758" s="1" t="s">
        <v>0</v>
      </c>
      <c r="E17758" s="2">
        <v>0</v>
      </c>
      <c r="F17758" s="2">
        <v>0</v>
      </c>
      <c r="G17758" s="2">
        <v>0</v>
      </c>
      <c r="H17758" s="1" t="s">
        <v>0</v>
      </c>
      <c r="I17758" s="2">
        <v>0</v>
      </c>
      <c r="J17758" s="1">
        <v>46015.462430555555</v>
      </c>
    </row>
    <row r="17759" spans="1:10" x14ac:dyDescent="0.2">
      <c r="A17759" s="4" t="s">
        <v>1</v>
      </c>
      <c r="B17759" s="3" t="str">
        <f>HYPERLINK("https://otsuka-europe-crm.veevavault.com/ui/#object/approved_document__v/V5O00000000D106", "Postal Navidad 2025")</f>
        <v>Postal Navidad 2025</v>
      </c>
      <c r="C17759" s="3" t="str">
        <f>HYPERLINK("https://otsuka-europe-crm.veevavault.com/ui/#object/sent_email__v/VBL000000013687", "SE-001398998")</f>
        <v>SE-001398998</v>
      </c>
      <c r="D17759" s="1" t="s">
        <v>0</v>
      </c>
      <c r="E17759" s="2">
        <v>0</v>
      </c>
      <c r="F17759" s="2">
        <v>0</v>
      </c>
      <c r="G17759" s="2">
        <v>0</v>
      </c>
      <c r="H17759" s="1" t="s">
        <v>0</v>
      </c>
      <c r="I17759" s="2">
        <v>0</v>
      </c>
      <c r="J17759" s="1">
        <v>46015.462465277778</v>
      </c>
    </row>
    <row r="17760" spans="1:10" x14ac:dyDescent="0.2">
      <c r="A17760" s="4" t="s">
        <v>1</v>
      </c>
      <c r="B17760" s="3" t="str">
        <f>HYPERLINK("https://otsuka-europe-crm.veevavault.com/ui/#object/approved_document__v/V5O00000000D106", "Postal Navidad 2025")</f>
        <v>Postal Navidad 2025</v>
      </c>
      <c r="C17760" s="3" t="str">
        <f>HYPERLINK("https://otsuka-europe-crm.veevavault.com/ui/#object/sent_email__v/VBL000000013688", "SE-001398999")</f>
        <v>SE-001398999</v>
      </c>
      <c r="D17760" s="1">
        <v>46015.530081018522</v>
      </c>
      <c r="E17760" s="2">
        <v>1</v>
      </c>
      <c r="F17760" s="2">
        <v>1</v>
      </c>
      <c r="G17760" s="2">
        <v>0</v>
      </c>
      <c r="H17760" s="1" t="s">
        <v>0</v>
      </c>
      <c r="I17760" s="2">
        <v>0</v>
      </c>
      <c r="J17760" s="1">
        <v>46015.462500000001</v>
      </c>
    </row>
    <row r="17761" spans="1:10" x14ac:dyDescent="0.2">
      <c r="A17761" s="4" t="s">
        <v>1</v>
      </c>
      <c r="B17761" s="3" t="str">
        <f>HYPERLINK("https://otsuka-europe-crm.veevavault.com/ui/#object/approved_document__v/V5O00000000D106", "Postal Navidad 2025")</f>
        <v>Postal Navidad 2025</v>
      </c>
      <c r="C17761" s="3" t="str">
        <f>HYPERLINK("https://otsuka-europe-crm.veevavault.com/ui/#object/sent_email__v/VBL000000013689", "SE-001399000")</f>
        <v>SE-001399000</v>
      </c>
      <c r="D17761" s="1" t="s">
        <v>0</v>
      </c>
      <c r="E17761" s="2">
        <v>0</v>
      </c>
      <c r="F17761" s="2">
        <v>0</v>
      </c>
      <c r="G17761" s="2">
        <v>0</v>
      </c>
      <c r="H17761" s="1" t="s">
        <v>0</v>
      </c>
      <c r="I17761" s="2">
        <v>0</v>
      </c>
      <c r="J17761" s="1">
        <v>46015.462534722225</v>
      </c>
    </row>
    <row r="17762" spans="1:10" x14ac:dyDescent="0.2">
      <c r="A17762" s="4" t="s">
        <v>1</v>
      </c>
      <c r="B17762" s="3" t="str">
        <f>HYPERLINK("https://otsuka-europe-crm.veevavault.com/ui/#object/approved_document__v/V5O00000000D106", "Postal Navidad 2025")</f>
        <v>Postal Navidad 2025</v>
      </c>
      <c r="C17762" s="3" t="str">
        <f>HYPERLINK("https://otsuka-europe-crm.veevavault.com/ui/#object/sent_email__v/VBL000000013690", "SE-001399001")</f>
        <v>SE-001399001</v>
      </c>
      <c r="D17762" s="1" t="s">
        <v>0</v>
      </c>
      <c r="E17762" s="2">
        <v>0</v>
      </c>
      <c r="F17762" s="2">
        <v>0</v>
      </c>
      <c r="G17762" s="2">
        <v>0</v>
      </c>
      <c r="H17762" s="1" t="s">
        <v>0</v>
      </c>
      <c r="I17762" s="2">
        <v>0</v>
      </c>
      <c r="J17762" s="1">
        <v>46015.462581018517</v>
      </c>
    </row>
    <row r="17763" spans="1:10" x14ac:dyDescent="0.2">
      <c r="A17763" s="4" t="s">
        <v>1</v>
      </c>
      <c r="B17763" s="3" t="str">
        <f>HYPERLINK("https://otsuka-europe-crm.veevavault.com/ui/#object/approved_document__v/V5O00000000D106", "Postal Navidad 2025")</f>
        <v>Postal Navidad 2025</v>
      </c>
      <c r="C17763" s="3" t="str">
        <f>HYPERLINK("https://otsuka-europe-crm.veevavault.com/ui/#object/sent_email__v/VBL000000013691", "SE-001399002")</f>
        <v>SE-001399002</v>
      </c>
      <c r="D17763" s="1">
        <v>46017.649074074077</v>
      </c>
      <c r="E17763" s="2">
        <v>1</v>
      </c>
      <c r="F17763" s="2">
        <v>4</v>
      </c>
      <c r="G17763" s="2">
        <v>0</v>
      </c>
      <c r="H17763" s="1" t="s">
        <v>0</v>
      </c>
      <c r="I17763" s="2">
        <v>0</v>
      </c>
      <c r="J17763" s="1">
        <v>46015.46261574074</v>
      </c>
    </row>
    <row r="17764" spans="1:10" x14ac:dyDescent="0.2">
      <c r="A17764" s="4" t="s">
        <v>1</v>
      </c>
      <c r="B17764" s="3" t="str">
        <f>HYPERLINK("https://otsuka-europe-crm.veevavault.com/ui/#object/approved_document__v/V5O00000000D106", "Postal Navidad 2025")</f>
        <v>Postal Navidad 2025</v>
      </c>
      <c r="C17764" s="3" t="str">
        <f>HYPERLINK("https://otsuka-europe-crm.veevavault.com/ui/#object/sent_email__v/VBL000000013692", "SE-001399003")</f>
        <v>SE-001399003</v>
      </c>
      <c r="D17764" s="1">
        <v>46016.423194444447</v>
      </c>
      <c r="E17764" s="2">
        <v>1</v>
      </c>
      <c r="F17764" s="2">
        <v>3</v>
      </c>
      <c r="G17764" s="2">
        <v>0</v>
      </c>
      <c r="H17764" s="1" t="s">
        <v>0</v>
      </c>
      <c r="I17764" s="2">
        <v>0</v>
      </c>
      <c r="J17764" s="1">
        <v>46015.46266203704</v>
      </c>
    </row>
    <row r="17765" spans="1:10" x14ac:dyDescent="0.2">
      <c r="A17765" s="4" t="s">
        <v>1</v>
      </c>
      <c r="B17765" s="3" t="str">
        <f>HYPERLINK("https://otsuka-europe-crm.veevavault.com/ui/#object/approved_document__v/V5O00000000D106", "Postal Navidad 2025")</f>
        <v>Postal Navidad 2025</v>
      </c>
      <c r="C17765" s="3" t="str">
        <f>HYPERLINK("https://otsuka-europe-crm.veevavault.com/ui/#object/sent_email__v/VBL000000013693", "SE-001399004")</f>
        <v>SE-001399004</v>
      </c>
      <c r="D17765" s="1">
        <v>46015.564004629632</v>
      </c>
      <c r="E17765" s="2">
        <v>1</v>
      </c>
      <c r="F17765" s="2">
        <v>2</v>
      </c>
      <c r="G17765" s="2">
        <v>0</v>
      </c>
      <c r="H17765" s="1" t="s">
        <v>0</v>
      </c>
      <c r="I17765" s="2">
        <v>0</v>
      </c>
      <c r="J17765" s="1">
        <v>46015.462696759256</v>
      </c>
    </row>
    <row r="17766" spans="1:10" x14ac:dyDescent="0.2">
      <c r="A17766" s="4" t="s">
        <v>1</v>
      </c>
      <c r="B17766" s="3" t="str">
        <f>HYPERLINK("https://otsuka-europe-crm.veevavault.com/ui/#object/approved_document__v/V5O00000000D106", "Postal Navidad 2025")</f>
        <v>Postal Navidad 2025</v>
      </c>
      <c r="C17766" s="3" t="str">
        <f>HYPERLINK("https://otsuka-europe-crm.veevavault.com/ui/#object/sent_email__v/VBL000000013694", "SE-001399005")</f>
        <v>SE-001399005</v>
      </c>
      <c r="D17766" s="1" t="s">
        <v>0</v>
      </c>
      <c r="E17766" s="2">
        <v>0</v>
      </c>
      <c r="F17766" s="2">
        <v>0</v>
      </c>
      <c r="G17766" s="2">
        <v>0</v>
      </c>
      <c r="H17766" s="1" t="s">
        <v>0</v>
      </c>
      <c r="I17766" s="2">
        <v>0</v>
      </c>
      <c r="J17766" s="1">
        <v>46015.462731481479</v>
      </c>
    </row>
    <row r="17767" spans="1:10" x14ac:dyDescent="0.2">
      <c r="A17767" s="4" t="s">
        <v>1</v>
      </c>
      <c r="B17767" s="3" t="str">
        <f>HYPERLINK("https://otsuka-europe-crm.veevavault.com/ui/#object/approved_document__v/V5O00000000D106", "Postal Navidad 2025")</f>
        <v>Postal Navidad 2025</v>
      </c>
      <c r="C17767" s="3" t="str">
        <f>HYPERLINK("https://otsuka-europe-crm.veevavault.com/ui/#object/sent_email__v/VBL000000013695", "SE-001399006")</f>
        <v>SE-001399006</v>
      </c>
      <c r="D17767" s="1" t="s">
        <v>0</v>
      </c>
      <c r="E17767" s="2">
        <v>0</v>
      </c>
      <c r="F17767" s="2">
        <v>0</v>
      </c>
      <c r="G17767" s="2">
        <v>0</v>
      </c>
      <c r="H17767" s="1" t="s">
        <v>0</v>
      </c>
      <c r="I17767" s="2">
        <v>0</v>
      </c>
      <c r="J17767" s="1">
        <v>46015.462766203702</v>
      </c>
    </row>
    <row r="17768" spans="1:10" x14ac:dyDescent="0.2">
      <c r="A17768" s="4" t="s">
        <v>1</v>
      </c>
      <c r="B17768" s="3" t="str">
        <f>HYPERLINK("https://otsuka-europe-crm.veevavault.com/ui/#object/approved_document__v/V5O00000000D106", "Postal Navidad 2025")</f>
        <v>Postal Navidad 2025</v>
      </c>
      <c r="C17768" s="3" t="str">
        <f>HYPERLINK("https://otsuka-europe-crm.veevavault.com/ui/#object/sent_email__v/VBL000000013696", "SE-001399007")</f>
        <v>SE-001399007</v>
      </c>
      <c r="D17768" s="1" t="s">
        <v>0</v>
      </c>
      <c r="E17768" s="2">
        <v>0</v>
      </c>
      <c r="F17768" s="2">
        <v>0</v>
      </c>
      <c r="G17768" s="2">
        <v>0</v>
      </c>
      <c r="H17768" s="1" t="s">
        <v>0</v>
      </c>
      <c r="I17768" s="2">
        <v>0</v>
      </c>
      <c r="J17768" s="1">
        <v>46015.462812500002</v>
      </c>
    </row>
    <row r="17769" spans="1:10" x14ac:dyDescent="0.2">
      <c r="A17769" s="4" t="s">
        <v>1</v>
      </c>
      <c r="B17769" s="3" t="str">
        <f>HYPERLINK("https://otsuka-europe-crm.veevavault.com/ui/#object/approved_document__v/V5O00000000D106", "Postal Navidad 2025")</f>
        <v>Postal Navidad 2025</v>
      </c>
      <c r="C17769" s="3" t="str">
        <f>HYPERLINK("https://otsuka-europe-crm.veevavault.com/ui/#object/sent_email__v/VBL000000013697", "SE-001399008")</f>
        <v>SE-001399008</v>
      </c>
      <c r="D17769" s="1">
        <v>46015.678472222222</v>
      </c>
      <c r="E17769" s="2">
        <v>1</v>
      </c>
      <c r="F17769" s="2">
        <v>1</v>
      </c>
      <c r="G17769" s="2">
        <v>0</v>
      </c>
      <c r="H17769" s="1" t="s">
        <v>0</v>
      </c>
      <c r="I17769" s="2">
        <v>0</v>
      </c>
      <c r="J17769" s="1">
        <v>46015.462847222225</v>
      </c>
    </row>
    <row r="17770" spans="1:10" x14ac:dyDescent="0.2">
      <c r="A17770" s="4" t="s">
        <v>1</v>
      </c>
      <c r="B17770" s="3" t="str">
        <f>HYPERLINK("https://otsuka-europe-crm.veevavault.com/ui/#object/approved_document__v/V5O00000000D106", "Postal Navidad 2025")</f>
        <v>Postal Navidad 2025</v>
      </c>
      <c r="C17770" s="3" t="str">
        <f>HYPERLINK("https://otsuka-europe-crm.veevavault.com/ui/#object/sent_email__v/VBL000000013698", "SE-001399009")</f>
        <v>SE-001399009</v>
      </c>
      <c r="D17770" s="1" t="s">
        <v>0</v>
      </c>
      <c r="E17770" s="2">
        <v>0</v>
      </c>
      <c r="F17770" s="2">
        <v>0</v>
      </c>
      <c r="G17770" s="2">
        <v>0</v>
      </c>
      <c r="H17770" s="1" t="s">
        <v>0</v>
      </c>
      <c r="I17770" s="2">
        <v>0</v>
      </c>
      <c r="J17770" s="1">
        <v>46015.462881944448</v>
      </c>
    </row>
    <row r="17771" spans="1:10" x14ac:dyDescent="0.2">
      <c r="A17771" s="4" t="s">
        <v>1</v>
      </c>
      <c r="B17771" s="3" t="str">
        <f>HYPERLINK("https://otsuka-europe-crm.veevavault.com/ui/#object/approved_document__v/V5O00000000D106", "Postal Navidad 2025")</f>
        <v>Postal Navidad 2025</v>
      </c>
      <c r="C17771" s="3" t="str">
        <f>HYPERLINK("https://otsuka-europe-crm.veevavault.com/ui/#object/sent_email__v/VBL000000013699", "SE-001399010")</f>
        <v>SE-001399010</v>
      </c>
      <c r="D17771" s="1">
        <v>46032.573923611111</v>
      </c>
      <c r="E17771" s="2">
        <v>1</v>
      </c>
      <c r="F17771" s="2">
        <v>3</v>
      </c>
      <c r="G17771" s="2">
        <v>0</v>
      </c>
      <c r="H17771" s="1" t="s">
        <v>0</v>
      </c>
      <c r="I17771" s="2">
        <v>0</v>
      </c>
      <c r="J17771" s="1">
        <v>46015.462916666664</v>
      </c>
    </row>
    <row r="17772" spans="1:10" x14ac:dyDescent="0.2">
      <c r="A17772" s="4" t="s">
        <v>1</v>
      </c>
      <c r="B17772" s="3" t="str">
        <f>HYPERLINK("https://otsuka-europe-crm.veevavault.com/ui/#object/approved_document__v/V5O00000000D106", "Postal Navidad 2025")</f>
        <v>Postal Navidad 2025</v>
      </c>
      <c r="C17772" s="3" t="str">
        <f>HYPERLINK("https://otsuka-europe-crm.veevavault.com/ui/#object/sent_email__v/VBL000000013700", "SE-001399011")</f>
        <v>SE-001399011</v>
      </c>
      <c r="D17772" s="1">
        <v>46016.403645833336</v>
      </c>
      <c r="E17772" s="2">
        <v>1</v>
      </c>
      <c r="F17772" s="2">
        <v>3</v>
      </c>
      <c r="G17772" s="2">
        <v>0</v>
      </c>
      <c r="H17772" s="1" t="s">
        <v>0</v>
      </c>
      <c r="I17772" s="2">
        <v>0</v>
      </c>
      <c r="J17772" s="1">
        <v>46015.462962962964</v>
      </c>
    </row>
    <row r="17773" spans="1:10" x14ac:dyDescent="0.2">
      <c r="A17773" s="4" t="s">
        <v>1</v>
      </c>
      <c r="B17773" s="3" t="str">
        <f>HYPERLINK("https://otsuka-europe-crm.veevavault.com/ui/#object/approved_document__v/V5O00000000D106", "Postal Navidad 2025")</f>
        <v>Postal Navidad 2025</v>
      </c>
      <c r="C17773" s="3" t="str">
        <f>HYPERLINK("https://otsuka-europe-crm.veevavault.com/ui/#object/sent_email__v/VBL000000013701", "SE-001399012")</f>
        <v>SE-001399012</v>
      </c>
      <c r="D17773" s="1" t="s">
        <v>0</v>
      </c>
      <c r="E17773" s="2">
        <v>0</v>
      </c>
      <c r="F17773" s="2">
        <v>0</v>
      </c>
      <c r="G17773" s="2">
        <v>0</v>
      </c>
      <c r="H17773" s="1" t="s">
        <v>0</v>
      </c>
      <c r="I17773" s="2">
        <v>0</v>
      </c>
      <c r="J17773" s="1">
        <v>46015.46298611111</v>
      </c>
    </row>
    <row r="17774" spans="1:10" x14ac:dyDescent="0.2">
      <c r="A17774" s="4" t="s">
        <v>1</v>
      </c>
      <c r="B17774" s="3" t="str">
        <f>HYPERLINK("https://otsuka-europe-crm.veevavault.com/ui/#object/approved_document__v/V5O00000000D106", "Postal Navidad 2025")</f>
        <v>Postal Navidad 2025</v>
      </c>
      <c r="C17774" s="3" t="str">
        <f>HYPERLINK("https://otsuka-europe-crm.veevavault.com/ui/#object/sent_email__v/VBL000000013702", "SE-001399013")</f>
        <v>SE-001399013</v>
      </c>
      <c r="D17774" s="1" t="s">
        <v>0</v>
      </c>
      <c r="E17774" s="2">
        <v>0</v>
      </c>
      <c r="F17774" s="2">
        <v>0</v>
      </c>
      <c r="G17774" s="2">
        <v>0</v>
      </c>
      <c r="H17774" s="1" t="s">
        <v>0</v>
      </c>
      <c r="I17774" s="2">
        <v>0</v>
      </c>
      <c r="J17774" s="1">
        <v>46015.46303240741</v>
      </c>
    </row>
    <row r="17775" spans="1:10" x14ac:dyDescent="0.2">
      <c r="A17775" s="4" t="s">
        <v>1</v>
      </c>
      <c r="B17775" s="3" t="str">
        <f>HYPERLINK("https://otsuka-europe-crm.veevavault.com/ui/#object/approved_document__v/V5O00000000D106", "Postal Navidad 2025")</f>
        <v>Postal Navidad 2025</v>
      </c>
      <c r="C17775" s="3" t="str">
        <f>HYPERLINK("https://otsuka-europe-crm.veevavault.com/ui/#object/sent_email__v/VBL000000013703", "SE-001399014")</f>
        <v>SE-001399014</v>
      </c>
      <c r="D17775" s="1">
        <v>46017.823993055557</v>
      </c>
      <c r="E17775" s="2">
        <v>1</v>
      </c>
      <c r="F17775" s="2">
        <v>2</v>
      </c>
      <c r="G17775" s="2">
        <v>0</v>
      </c>
      <c r="H17775" s="1" t="s">
        <v>0</v>
      </c>
      <c r="I17775" s="2">
        <v>0</v>
      </c>
      <c r="J17775" s="1">
        <v>46015.463090277779</v>
      </c>
    </row>
    <row r="17776" spans="1:10" x14ac:dyDescent="0.2">
      <c r="A17776" s="4" t="s">
        <v>1</v>
      </c>
      <c r="B17776" s="3" t="str">
        <f>HYPERLINK("https://otsuka-europe-crm.veevavault.com/ui/#object/approved_document__v/V5O00000000D106", "Postal Navidad 2025")</f>
        <v>Postal Navidad 2025</v>
      </c>
      <c r="C17776" s="3" t="str">
        <f>HYPERLINK("https://otsuka-europe-crm.veevavault.com/ui/#object/sent_email__v/VBL000000013704", "SE-001399015")</f>
        <v>SE-001399015</v>
      </c>
      <c r="D17776" s="1" t="s">
        <v>0</v>
      </c>
      <c r="E17776" s="2">
        <v>0</v>
      </c>
      <c r="F17776" s="2">
        <v>0</v>
      </c>
      <c r="G17776" s="2">
        <v>0</v>
      </c>
      <c r="H17776" s="1" t="s">
        <v>0</v>
      </c>
      <c r="I17776" s="2">
        <v>0</v>
      </c>
      <c r="J17776" s="1">
        <v>46015.463159722225</v>
      </c>
    </row>
    <row r="17777" spans="1:10" x14ac:dyDescent="0.2">
      <c r="A17777" s="4" t="s">
        <v>1</v>
      </c>
      <c r="B17777" s="3" t="str">
        <f>HYPERLINK("https://otsuka-europe-crm.veevavault.com/ui/#object/approved_document__v/V5O00000000D106", "Postal Navidad 2025")</f>
        <v>Postal Navidad 2025</v>
      </c>
      <c r="C17777" s="3" t="str">
        <f>HYPERLINK("https://otsuka-europe-crm.veevavault.com/ui/#object/sent_email__v/VBL000000013705", "SE-001399016")</f>
        <v>SE-001399016</v>
      </c>
      <c r="D17777" s="1">
        <v>46015.463530092595</v>
      </c>
      <c r="E17777" s="2">
        <v>1</v>
      </c>
      <c r="F17777" s="2">
        <v>1</v>
      </c>
      <c r="G17777" s="2">
        <v>0</v>
      </c>
      <c r="H17777" s="1" t="s">
        <v>0</v>
      </c>
      <c r="I17777" s="2">
        <v>0</v>
      </c>
      <c r="J17777" s="1">
        <v>46015.463229166664</v>
      </c>
    </row>
    <row r="17778" spans="1:10" x14ac:dyDescent="0.2">
      <c r="A17778" s="4" t="s">
        <v>1</v>
      </c>
      <c r="B17778" s="3" t="str">
        <f>HYPERLINK("https://otsuka-europe-crm.veevavault.com/ui/#object/approved_document__v/V5O00000000D106", "Postal Navidad 2025")</f>
        <v>Postal Navidad 2025</v>
      </c>
      <c r="C17778" s="3" t="str">
        <f>HYPERLINK("https://otsuka-europe-crm.veevavault.com/ui/#object/sent_email__v/VBL000000013706", "SE-001399017")</f>
        <v>SE-001399017</v>
      </c>
      <c r="D17778" s="1" t="s">
        <v>0</v>
      </c>
      <c r="E17778" s="2">
        <v>0</v>
      </c>
      <c r="F17778" s="2">
        <v>0</v>
      </c>
      <c r="G17778" s="2">
        <v>0</v>
      </c>
      <c r="H17778" s="1" t="s">
        <v>0</v>
      </c>
      <c r="I17778" s="2">
        <v>0</v>
      </c>
      <c r="J17778" s="1">
        <v>46015.463287037041</v>
      </c>
    </row>
    <row r="17779" spans="1:10" x14ac:dyDescent="0.2">
      <c r="A17779" s="4" t="s">
        <v>1</v>
      </c>
      <c r="B17779" s="3" t="str">
        <f>HYPERLINK("https://otsuka-europe-crm.veevavault.com/ui/#object/approved_document__v/V5O00000000D106", "Postal Navidad 2025")</f>
        <v>Postal Navidad 2025</v>
      </c>
      <c r="C17779" s="3" t="str">
        <f>HYPERLINK("https://otsuka-europe-crm.veevavault.com/ui/#object/sent_email__v/VBL000000013707", "SE-001399018")</f>
        <v>SE-001399018</v>
      </c>
      <c r="D17779" s="1">
        <v>46016.5703587963</v>
      </c>
      <c r="E17779" s="2">
        <v>1</v>
      </c>
      <c r="F17779" s="2">
        <v>4</v>
      </c>
      <c r="G17779" s="2">
        <v>0</v>
      </c>
      <c r="H17779" s="1" t="s">
        <v>0</v>
      </c>
      <c r="I17779" s="2">
        <v>0</v>
      </c>
      <c r="J17779" s="1">
        <v>46015.463356481479</v>
      </c>
    </row>
    <row r="17780" spans="1:10" x14ac:dyDescent="0.2">
      <c r="A17780" s="4" t="s">
        <v>1</v>
      </c>
      <c r="B17780" s="3" t="str">
        <f>HYPERLINK("https://otsuka-europe-crm.veevavault.com/ui/#object/approved_document__v/V5O00000000D106", "Postal Navidad 2025")</f>
        <v>Postal Navidad 2025</v>
      </c>
      <c r="C17780" s="3" t="str">
        <f>HYPERLINK("https://otsuka-europe-crm.veevavault.com/ui/#object/sent_email__v/VBL000000013708", "SE-001399019")</f>
        <v>SE-001399019</v>
      </c>
      <c r="D17780" s="1" t="s">
        <v>0</v>
      </c>
      <c r="E17780" s="2">
        <v>0</v>
      </c>
      <c r="F17780" s="2">
        <v>0</v>
      </c>
      <c r="G17780" s="2">
        <v>0</v>
      </c>
      <c r="H17780" s="1" t="s">
        <v>0</v>
      </c>
      <c r="I17780" s="2">
        <v>0</v>
      </c>
      <c r="J17780" s="1">
        <v>46015.463425925926</v>
      </c>
    </row>
    <row r="17781" spans="1:10" x14ac:dyDescent="0.2">
      <c r="A17781" s="4" t="s">
        <v>1</v>
      </c>
      <c r="B17781" s="3" t="str">
        <f>HYPERLINK("https://otsuka-europe-crm.veevavault.com/ui/#object/approved_document__v/V5O00000000D106", "Postal Navidad 2025")</f>
        <v>Postal Navidad 2025</v>
      </c>
      <c r="C17781" s="3" t="str">
        <f>HYPERLINK("https://otsuka-europe-crm.veevavault.com/ui/#object/sent_email__v/VBL000000013709", "SE-001399020")</f>
        <v>SE-001399020</v>
      </c>
      <c r="D17781" s="1" t="s">
        <v>0</v>
      </c>
      <c r="E17781" s="2">
        <v>0</v>
      </c>
      <c r="F17781" s="2">
        <v>0</v>
      </c>
      <c r="G17781" s="2">
        <v>0</v>
      </c>
      <c r="H17781" s="1" t="s">
        <v>0</v>
      </c>
      <c r="I17781" s="2">
        <v>0</v>
      </c>
      <c r="J17781" s="1">
        <v>46015.463495370372</v>
      </c>
    </row>
    <row r="17782" spans="1:10" x14ac:dyDescent="0.2">
      <c r="A17782" s="4" t="s">
        <v>1</v>
      </c>
      <c r="B17782" s="3" t="str">
        <f>HYPERLINK("https://otsuka-europe-crm.veevavault.com/ui/#object/approved_document__v/V5O00000000D106", "Postal Navidad 2025")</f>
        <v>Postal Navidad 2025</v>
      </c>
      <c r="C17782" s="3" t="str">
        <f>HYPERLINK("https://otsuka-europe-crm.veevavault.com/ui/#object/sent_email__v/VBL000000013710", "SE-001399021")</f>
        <v>SE-001399021</v>
      </c>
      <c r="D17782" s="1">
        <v>46016.017372685186</v>
      </c>
      <c r="E17782" s="2">
        <v>1</v>
      </c>
      <c r="F17782" s="2">
        <v>3</v>
      </c>
      <c r="G17782" s="2">
        <v>0</v>
      </c>
      <c r="H17782" s="1" t="s">
        <v>0</v>
      </c>
      <c r="I17782" s="2">
        <v>0</v>
      </c>
      <c r="J17782" s="1">
        <v>46015.463553240741</v>
      </c>
    </row>
    <row r="17783" spans="1:10" x14ac:dyDescent="0.2">
      <c r="A17783" s="4" t="s">
        <v>1</v>
      </c>
      <c r="B17783" s="3" t="str">
        <f>HYPERLINK("https://otsuka-europe-crm.veevavault.com/ui/#object/approved_document__v/V5O00000000D106", "Postal Navidad 2025")</f>
        <v>Postal Navidad 2025</v>
      </c>
      <c r="C17783" s="3" t="str">
        <f>HYPERLINK("https://otsuka-europe-crm.veevavault.com/ui/#object/sent_email__v/VBL000000013711", "SE-001399022")</f>
        <v>SE-001399022</v>
      </c>
      <c r="D17783" s="1" t="s">
        <v>0</v>
      </c>
      <c r="E17783" s="2">
        <v>0</v>
      </c>
      <c r="F17783" s="2">
        <v>0</v>
      </c>
      <c r="G17783" s="2">
        <v>0</v>
      </c>
      <c r="H17783" s="1" t="s">
        <v>0</v>
      </c>
      <c r="I17783" s="2">
        <v>0</v>
      </c>
      <c r="J17783" s="1">
        <v>46015.463634259257</v>
      </c>
    </row>
    <row r="17784" spans="1:10" x14ac:dyDescent="0.2">
      <c r="A17784" s="4" t="s">
        <v>1</v>
      </c>
      <c r="B17784" s="3" t="str">
        <f>HYPERLINK("https://otsuka-europe-crm.veevavault.com/ui/#object/approved_document__v/V5O00000000D106", "Postal Navidad 2025")</f>
        <v>Postal Navidad 2025</v>
      </c>
      <c r="C17784" s="3" t="str">
        <f>HYPERLINK("https://otsuka-europe-crm.veevavault.com/ui/#object/sent_email__v/VBL000000013712", "SE-001399023")</f>
        <v>SE-001399023</v>
      </c>
      <c r="D17784" s="1" t="s">
        <v>0</v>
      </c>
      <c r="E17784" s="2">
        <v>0</v>
      </c>
      <c r="F17784" s="2">
        <v>0</v>
      </c>
      <c r="G17784" s="2">
        <v>0</v>
      </c>
      <c r="H17784" s="1" t="s">
        <v>0</v>
      </c>
      <c r="I17784" s="2">
        <v>0</v>
      </c>
      <c r="J17784" s="1">
        <v>46015.46371527778</v>
      </c>
    </row>
    <row r="17785" spans="1:10" x14ac:dyDescent="0.2">
      <c r="A17785" s="4" t="s">
        <v>1</v>
      </c>
      <c r="B17785" s="3" t="str">
        <f>HYPERLINK("https://otsuka-europe-crm.veevavault.com/ui/#object/approved_document__v/V5O00000000D106", "Postal Navidad 2025")</f>
        <v>Postal Navidad 2025</v>
      </c>
      <c r="C17785" s="3" t="str">
        <f>HYPERLINK("https://otsuka-europe-crm.veevavault.com/ui/#object/sent_email__v/VBL000000013713", "SE-001399024")</f>
        <v>SE-001399024</v>
      </c>
      <c r="D17785" s="1" t="s">
        <v>0</v>
      </c>
      <c r="E17785" s="2">
        <v>0</v>
      </c>
      <c r="F17785" s="2">
        <v>0</v>
      </c>
      <c r="G17785" s="2">
        <v>0</v>
      </c>
      <c r="H17785" s="1" t="s">
        <v>0</v>
      </c>
      <c r="I17785" s="2">
        <v>0</v>
      </c>
      <c r="J17785" s="1">
        <v>46015.463750000003</v>
      </c>
    </row>
    <row r="17786" spans="1:10" x14ac:dyDescent="0.2">
      <c r="A17786" s="4" t="s">
        <v>1</v>
      </c>
      <c r="B17786" s="3" t="str">
        <f>HYPERLINK("https://otsuka-europe-crm.veevavault.com/ui/#object/approved_document__v/V5O00000000D106", "Postal Navidad 2025")</f>
        <v>Postal Navidad 2025</v>
      </c>
      <c r="C17786" s="3" t="str">
        <f>HYPERLINK("https://otsuka-europe-crm.veevavault.com/ui/#object/sent_email__v/VBL000000013714", "SE-001399025")</f>
        <v>SE-001399025</v>
      </c>
      <c r="D17786" s="1" t="s">
        <v>0</v>
      </c>
      <c r="E17786" s="2">
        <v>0</v>
      </c>
      <c r="F17786" s="2">
        <v>0</v>
      </c>
      <c r="G17786" s="2">
        <v>0</v>
      </c>
      <c r="H17786" s="1" t="s">
        <v>0</v>
      </c>
      <c r="I17786" s="2">
        <v>0</v>
      </c>
      <c r="J17786" s="1">
        <v>46015.463819444441</v>
      </c>
    </row>
    <row r="17787" spans="1:10" x14ac:dyDescent="0.2">
      <c r="A17787" s="4" t="s">
        <v>1</v>
      </c>
      <c r="B17787" s="3" t="str">
        <f>HYPERLINK("https://otsuka-europe-crm.veevavault.com/ui/#object/approved_document__v/V5O00000000D106", "Postal Navidad 2025")</f>
        <v>Postal Navidad 2025</v>
      </c>
      <c r="C17787" s="3" t="str">
        <f>HYPERLINK("https://otsuka-europe-crm.veevavault.com/ui/#object/sent_email__v/VBL000000013715", "SE-001399026")</f>
        <v>SE-001399026</v>
      </c>
      <c r="D17787" s="1" t="s">
        <v>0</v>
      </c>
      <c r="E17787" s="2">
        <v>0</v>
      </c>
      <c r="F17787" s="2">
        <v>0</v>
      </c>
      <c r="G17787" s="2">
        <v>0</v>
      </c>
      <c r="H17787" s="1" t="s">
        <v>0</v>
      </c>
      <c r="I17787" s="2">
        <v>0</v>
      </c>
      <c r="J17787" s="1">
        <v>46015.463877314818</v>
      </c>
    </row>
    <row r="17788" spans="1:10" x14ac:dyDescent="0.2">
      <c r="A17788" s="4" t="s">
        <v>1</v>
      </c>
      <c r="B17788" s="3" t="str">
        <f>HYPERLINK("https://otsuka-europe-crm.veevavault.com/ui/#object/approved_document__v/V5O00000000D106", "Postal Navidad 2025")</f>
        <v>Postal Navidad 2025</v>
      </c>
      <c r="C17788" s="3" t="str">
        <f>HYPERLINK("https://otsuka-europe-crm.veevavault.com/ui/#object/sent_email__v/VBL000000013716", "SE-001399027")</f>
        <v>SE-001399027</v>
      </c>
      <c r="D17788" s="1" t="s">
        <v>0</v>
      </c>
      <c r="E17788" s="2">
        <v>0</v>
      </c>
      <c r="F17788" s="2">
        <v>0</v>
      </c>
      <c r="G17788" s="2">
        <v>0</v>
      </c>
      <c r="H17788" s="1" t="s">
        <v>0</v>
      </c>
      <c r="I17788" s="2">
        <v>0</v>
      </c>
      <c r="J17788" s="1">
        <v>46015.463958333334</v>
      </c>
    </row>
    <row r="17789" spans="1:10" x14ac:dyDescent="0.2">
      <c r="A17789" s="4" t="s">
        <v>1</v>
      </c>
      <c r="B17789" s="3" t="str">
        <f>HYPERLINK("https://otsuka-europe-crm.veevavault.com/ui/#object/approved_document__v/V5O00000000D106", "Postal Navidad 2025")</f>
        <v>Postal Navidad 2025</v>
      </c>
      <c r="C17789" s="3" t="str">
        <f>HYPERLINK("https://otsuka-europe-crm.veevavault.com/ui/#object/sent_email__v/VBL000000013717", "SE-001399028")</f>
        <v>SE-001399028</v>
      </c>
      <c r="D17789" s="1" t="s">
        <v>0</v>
      </c>
      <c r="E17789" s="2">
        <v>0</v>
      </c>
      <c r="F17789" s="2">
        <v>0</v>
      </c>
      <c r="G17789" s="2">
        <v>0</v>
      </c>
      <c r="H17789" s="1" t="s">
        <v>0</v>
      </c>
      <c r="I17789" s="2">
        <v>0</v>
      </c>
      <c r="J17789" s="1">
        <v>46015.464016203703</v>
      </c>
    </row>
    <row r="17790" spans="1:10" x14ac:dyDescent="0.2">
      <c r="A17790" s="4" t="s">
        <v>1</v>
      </c>
      <c r="B17790" s="3" t="str">
        <f>HYPERLINK("https://otsuka-europe-crm.veevavault.com/ui/#object/approved_document__v/V5O00000000D106", "Postal Navidad 2025")</f>
        <v>Postal Navidad 2025</v>
      </c>
      <c r="C17790" s="3" t="str">
        <f>HYPERLINK("https://otsuka-europe-crm.veevavault.com/ui/#object/sent_email__v/VBL000000013718", "SE-001399029")</f>
        <v>SE-001399029</v>
      </c>
      <c r="D17790" s="1">
        <v>46032.747233796297</v>
      </c>
      <c r="E17790" s="2">
        <v>1</v>
      </c>
      <c r="F17790" s="2">
        <v>6</v>
      </c>
      <c r="G17790" s="2">
        <v>0</v>
      </c>
      <c r="H17790" s="1" t="s">
        <v>0</v>
      </c>
      <c r="I17790" s="2">
        <v>0</v>
      </c>
      <c r="J17790" s="1">
        <v>46015.464085648149</v>
      </c>
    </row>
    <row r="17791" spans="1:10" x14ac:dyDescent="0.2">
      <c r="A17791" s="4" t="s">
        <v>1</v>
      </c>
      <c r="B17791" s="3" t="str">
        <f>HYPERLINK("https://otsuka-europe-crm.veevavault.com/ui/#object/approved_document__v/V5O00000000D106", "Postal Navidad 2025")</f>
        <v>Postal Navidad 2025</v>
      </c>
      <c r="C17791" s="3" t="str">
        <f>HYPERLINK("https://otsuka-europe-crm.veevavault.com/ui/#object/sent_email__v/VBL000000013719", "SE-001399030")</f>
        <v>SE-001399030</v>
      </c>
      <c r="D17791" s="1" t="s">
        <v>0</v>
      </c>
      <c r="E17791" s="2">
        <v>0</v>
      </c>
      <c r="F17791" s="2">
        <v>0</v>
      </c>
      <c r="G17791" s="2">
        <v>0</v>
      </c>
      <c r="H17791" s="1" t="s">
        <v>0</v>
      </c>
      <c r="I17791" s="2">
        <v>0</v>
      </c>
      <c r="J17791" s="1">
        <v>46015.464155092595</v>
      </c>
    </row>
    <row r="17792" spans="1:10" x14ac:dyDescent="0.2">
      <c r="A17792" s="4" t="s">
        <v>1</v>
      </c>
      <c r="B17792" s="3" t="str">
        <f>HYPERLINK("https://otsuka-europe-crm.veevavault.com/ui/#object/approved_document__v/V5O00000000D106", "Postal Navidad 2025")</f>
        <v>Postal Navidad 2025</v>
      </c>
      <c r="C17792" s="3" t="str">
        <f>HYPERLINK("https://otsuka-europe-crm.veevavault.com/ui/#object/sent_email__v/VBL000000013720", "SE-001399031")</f>
        <v>SE-001399031</v>
      </c>
      <c r="D17792" s="1" t="s">
        <v>0</v>
      </c>
      <c r="E17792" s="2">
        <v>0</v>
      </c>
      <c r="F17792" s="2">
        <v>0</v>
      </c>
      <c r="G17792" s="2">
        <v>0</v>
      </c>
      <c r="H17792" s="1" t="s">
        <v>0</v>
      </c>
      <c r="I17792" s="2">
        <v>0</v>
      </c>
      <c r="J17792" s="1">
        <v>46015.464212962965</v>
      </c>
    </row>
    <row r="17793" spans="1:10" x14ac:dyDescent="0.2">
      <c r="A17793" s="4" t="s">
        <v>1</v>
      </c>
      <c r="B17793" s="3" t="str">
        <f>HYPERLINK("https://otsuka-europe-crm.veevavault.com/ui/#object/approved_document__v/V5O00000000D106", "Postal Navidad 2025")</f>
        <v>Postal Navidad 2025</v>
      </c>
      <c r="C17793" s="3" t="str">
        <f>HYPERLINK("https://otsuka-europe-crm.veevavault.com/ui/#object/sent_email__v/VBL000000013721", "SE-001399032")</f>
        <v>SE-001399032</v>
      </c>
      <c r="D17793" s="1" t="s">
        <v>0</v>
      </c>
      <c r="E17793" s="2">
        <v>0</v>
      </c>
      <c r="F17793" s="2">
        <v>0</v>
      </c>
      <c r="G17793" s="2">
        <v>0</v>
      </c>
      <c r="H17793" s="1" t="s">
        <v>0</v>
      </c>
      <c r="I17793" s="2">
        <v>0</v>
      </c>
      <c r="J17793" s="1">
        <v>46015.464282407411</v>
      </c>
    </row>
    <row r="17794" spans="1:10" x14ac:dyDescent="0.2">
      <c r="A17794" s="4" t="s">
        <v>1</v>
      </c>
      <c r="B17794" s="3" t="str">
        <f>HYPERLINK("https://otsuka-europe-crm.veevavault.com/ui/#object/approved_document__v/V5O00000000D106", "Postal Navidad 2025")</f>
        <v>Postal Navidad 2025</v>
      </c>
      <c r="C17794" s="3" t="str">
        <f>HYPERLINK("https://otsuka-europe-crm.veevavault.com/ui/#object/sent_email__v/VBL000000013722", "SE-001399033")</f>
        <v>SE-001399033</v>
      </c>
      <c r="D17794" s="1" t="s">
        <v>0</v>
      </c>
      <c r="E17794" s="2">
        <v>0</v>
      </c>
      <c r="F17794" s="2">
        <v>0</v>
      </c>
      <c r="G17794" s="2">
        <v>0</v>
      </c>
      <c r="H17794" s="1" t="s">
        <v>0</v>
      </c>
      <c r="I17794" s="2">
        <v>0</v>
      </c>
      <c r="J17794" s="1">
        <v>46015.46435185185</v>
      </c>
    </row>
    <row r="17795" spans="1:10" x14ac:dyDescent="0.2">
      <c r="A17795" s="4" t="s">
        <v>1</v>
      </c>
      <c r="B17795" s="3" t="str">
        <f>HYPERLINK("https://otsuka-europe-crm.veevavault.com/ui/#object/approved_document__v/V5O00000000D106", "Postal Navidad 2025")</f>
        <v>Postal Navidad 2025</v>
      </c>
      <c r="C17795" s="3" t="str">
        <f>HYPERLINK("https://otsuka-europe-crm.veevavault.com/ui/#object/sent_email__v/VBL000000013723", "SE-001399034")</f>
        <v>SE-001399034</v>
      </c>
      <c r="D17795" s="1">
        <v>46015.464583333334</v>
      </c>
      <c r="E17795" s="2">
        <v>1</v>
      </c>
      <c r="F17795" s="2">
        <v>1</v>
      </c>
      <c r="G17795" s="2">
        <v>0</v>
      </c>
      <c r="H17795" s="1" t="s">
        <v>0</v>
      </c>
      <c r="I17795" s="2">
        <v>0</v>
      </c>
      <c r="J17795" s="1">
        <v>46015.464432870373</v>
      </c>
    </row>
    <row r="17796" spans="1:10" x14ac:dyDescent="0.2">
      <c r="A17796" s="4" t="s">
        <v>1</v>
      </c>
      <c r="B17796" s="3" t="str">
        <f>HYPERLINK("https://otsuka-europe-crm.veevavault.com/ui/#object/approved_document__v/V5O00000000D106", "Postal Navidad 2025")</f>
        <v>Postal Navidad 2025</v>
      </c>
      <c r="C17796" s="3" t="str">
        <f>HYPERLINK("https://otsuka-europe-crm.veevavault.com/ui/#object/sent_email__v/VBL000000013724", "SE-001399035")</f>
        <v>SE-001399035</v>
      </c>
      <c r="D17796" s="1">
        <v>46015.471967592595</v>
      </c>
      <c r="E17796" s="2">
        <v>1</v>
      </c>
      <c r="F17796" s="2">
        <v>2</v>
      </c>
      <c r="G17796" s="2">
        <v>0</v>
      </c>
      <c r="H17796" s="1" t="s">
        <v>0</v>
      </c>
      <c r="I17796" s="2">
        <v>0</v>
      </c>
      <c r="J17796" s="1">
        <v>46015.464479166665</v>
      </c>
    </row>
    <row r="17797" spans="1:10" x14ac:dyDescent="0.2">
      <c r="A17797" s="4" t="s">
        <v>1</v>
      </c>
      <c r="B17797" s="3" t="str">
        <f>HYPERLINK("https://otsuka-europe-crm.veevavault.com/ui/#object/approved_document__v/V5O00000000D106", "Postal Navidad 2025")</f>
        <v>Postal Navidad 2025</v>
      </c>
      <c r="C17797" s="3" t="str">
        <f>HYPERLINK("https://otsuka-europe-crm.veevavault.com/ui/#object/sent_email__v/VBL000000013725", "SE-001399036")</f>
        <v>SE-001399036</v>
      </c>
      <c r="D17797" s="1" t="s">
        <v>0</v>
      </c>
      <c r="E17797" s="2">
        <v>0</v>
      </c>
      <c r="F17797" s="2">
        <v>0</v>
      </c>
      <c r="G17797" s="2">
        <v>0</v>
      </c>
      <c r="H17797" s="1" t="s">
        <v>0</v>
      </c>
      <c r="I17797" s="2">
        <v>0</v>
      </c>
      <c r="J17797" s="1">
        <v>46015.464548611111</v>
      </c>
    </row>
    <row r="17798" spans="1:10" x14ac:dyDescent="0.2">
      <c r="A17798" s="4" t="s">
        <v>1</v>
      </c>
      <c r="B17798" s="3" t="str">
        <f>HYPERLINK("https://otsuka-europe-crm.veevavault.com/ui/#object/approved_document__v/V5O00000000D106", "Postal Navidad 2025")</f>
        <v>Postal Navidad 2025</v>
      </c>
      <c r="C17798" s="3" t="str">
        <f>HYPERLINK("https://otsuka-europe-crm.veevavault.com/ui/#object/sent_email__v/VBL000000013726", "SE-001399037")</f>
        <v>SE-001399037</v>
      </c>
      <c r="D17798" s="1" t="s">
        <v>0</v>
      </c>
      <c r="E17798" s="2">
        <v>0</v>
      </c>
      <c r="F17798" s="2">
        <v>0</v>
      </c>
      <c r="G17798" s="2">
        <v>0</v>
      </c>
      <c r="H17798" s="1" t="s">
        <v>0</v>
      </c>
      <c r="I17798" s="2">
        <v>0</v>
      </c>
      <c r="J17798" s="1">
        <v>46015.464618055557</v>
      </c>
    </row>
    <row r="17799" spans="1:10" x14ac:dyDescent="0.2">
      <c r="A17799" s="4" t="s">
        <v>1</v>
      </c>
      <c r="B17799" s="3" t="str">
        <f>HYPERLINK("https://otsuka-europe-crm.veevavault.com/ui/#object/approved_document__v/V5O00000000D106", "Postal Navidad 2025")</f>
        <v>Postal Navidad 2025</v>
      </c>
      <c r="C17799" s="3" t="str">
        <f>HYPERLINK("https://otsuka-europe-crm.veevavault.com/ui/#object/sent_email__v/VBL000000013727", "SE-001399038")</f>
        <v>SE-001399038</v>
      </c>
      <c r="D17799" s="1">
        <v>46022.48909722222</v>
      </c>
      <c r="E17799" s="2">
        <v>1</v>
      </c>
      <c r="F17799" s="2">
        <v>3</v>
      </c>
      <c r="G17799" s="2">
        <v>0</v>
      </c>
      <c r="H17799" s="1" t="s">
        <v>0</v>
      </c>
      <c r="I17799" s="2">
        <v>0</v>
      </c>
      <c r="J17799" s="1">
        <v>46015.464675925927</v>
      </c>
    </row>
    <row r="17800" spans="1:10" x14ac:dyDescent="0.2">
      <c r="A17800" s="4" t="s">
        <v>1</v>
      </c>
      <c r="B17800" s="3" t="str">
        <f>HYPERLINK("https://otsuka-europe-crm.veevavault.com/ui/#object/approved_document__v/V5O00000000D106", "Postal Navidad 2025")</f>
        <v>Postal Navidad 2025</v>
      </c>
      <c r="C17800" s="3" t="str">
        <f>HYPERLINK("https://otsuka-europe-crm.veevavault.com/ui/#object/sent_email__v/VBL000000013728", "SE-001399039")</f>
        <v>SE-001399039</v>
      </c>
      <c r="D17800" s="1" t="s">
        <v>0</v>
      </c>
      <c r="E17800" s="2">
        <v>0</v>
      </c>
      <c r="F17800" s="2">
        <v>0</v>
      </c>
      <c r="G17800" s="2">
        <v>0</v>
      </c>
      <c r="H17800" s="1" t="s">
        <v>0</v>
      </c>
      <c r="I17800" s="2">
        <v>0</v>
      </c>
      <c r="J17800" s="1">
        <v>46015.464745370373</v>
      </c>
    </row>
    <row r="17801" spans="1:10" x14ac:dyDescent="0.2">
      <c r="A17801" s="4" t="s">
        <v>1</v>
      </c>
      <c r="B17801" s="3" t="str">
        <f>HYPERLINK("https://otsuka-europe-crm.veevavault.com/ui/#object/approved_document__v/V5O00000000D106", "Postal Navidad 2025")</f>
        <v>Postal Navidad 2025</v>
      </c>
      <c r="C17801" s="3" t="str">
        <f>HYPERLINK("https://otsuka-europe-crm.veevavault.com/ui/#object/sent_email__v/VBL000000013729", "SE-001399040")</f>
        <v>SE-001399040</v>
      </c>
      <c r="D17801" s="1">
        <v>46015.540648148148</v>
      </c>
      <c r="E17801" s="2">
        <v>1</v>
      </c>
      <c r="F17801" s="2">
        <v>1</v>
      </c>
      <c r="G17801" s="2">
        <v>0</v>
      </c>
      <c r="H17801" s="1" t="s">
        <v>0</v>
      </c>
      <c r="I17801" s="2">
        <v>0</v>
      </c>
      <c r="J17801" s="1">
        <v>46015.464814814812</v>
      </c>
    </row>
    <row r="17802" spans="1:10" x14ac:dyDescent="0.2">
      <c r="A17802" s="4" t="s">
        <v>1</v>
      </c>
      <c r="B17802" s="3" t="str">
        <f>HYPERLINK("https://otsuka-europe-crm.veevavault.com/ui/#object/approved_document__v/V5O00000000D106", "Postal Navidad 2025")</f>
        <v>Postal Navidad 2025</v>
      </c>
      <c r="C17802" s="3" t="str">
        <f>HYPERLINK("https://otsuka-europe-crm.veevavault.com/ui/#object/sent_email__v/VBL000000013730", "SE-001399041")</f>
        <v>SE-001399041</v>
      </c>
      <c r="D17802" s="1">
        <v>46019.106041666666</v>
      </c>
      <c r="E17802" s="2">
        <v>1</v>
      </c>
      <c r="F17802" s="2">
        <v>2</v>
      </c>
      <c r="G17802" s="2">
        <v>0</v>
      </c>
      <c r="H17802" s="1" t="s">
        <v>0</v>
      </c>
      <c r="I17802" s="2">
        <v>0</v>
      </c>
      <c r="J17802" s="1">
        <v>46015.464884259258</v>
      </c>
    </row>
    <row r="17803" spans="1:10" x14ac:dyDescent="0.2">
      <c r="A17803" s="4" t="s">
        <v>1</v>
      </c>
      <c r="B17803" s="3" t="str">
        <f>HYPERLINK("https://otsuka-europe-crm.veevavault.com/ui/#object/approved_document__v/V5O00000000D106", "Postal Navidad 2025")</f>
        <v>Postal Navidad 2025</v>
      </c>
      <c r="C17803" s="3" t="str">
        <f>HYPERLINK("https://otsuka-europe-crm.veevavault.com/ui/#object/sent_email__v/VBL000000013731", "SE-001399042")</f>
        <v>SE-001399042</v>
      </c>
      <c r="D17803" s="1" t="s">
        <v>0</v>
      </c>
      <c r="E17803" s="2">
        <v>0</v>
      </c>
      <c r="F17803" s="2">
        <v>0</v>
      </c>
      <c r="G17803" s="2">
        <v>0</v>
      </c>
      <c r="H17803" s="1" t="s">
        <v>0</v>
      </c>
      <c r="I17803" s="2">
        <v>0</v>
      </c>
      <c r="J17803" s="1">
        <v>46015.464965277781</v>
      </c>
    </row>
    <row r="17804" spans="1:10" x14ac:dyDescent="0.2">
      <c r="A17804" s="4" t="s">
        <v>1</v>
      </c>
      <c r="B17804" s="3" t="str">
        <f>HYPERLINK("https://otsuka-europe-crm.veevavault.com/ui/#object/approved_document__v/V5O00000000D106", "Postal Navidad 2025")</f>
        <v>Postal Navidad 2025</v>
      </c>
      <c r="C17804" s="3" t="str">
        <f>HYPERLINK("https://otsuka-europe-crm.veevavault.com/ui/#object/sent_email__v/VBL000000013732", "SE-001399043")</f>
        <v>SE-001399043</v>
      </c>
      <c r="D17804" s="1">
        <v>46020.549583333333</v>
      </c>
      <c r="E17804" s="2">
        <v>1</v>
      </c>
      <c r="F17804" s="2">
        <v>3</v>
      </c>
      <c r="G17804" s="2">
        <v>0</v>
      </c>
      <c r="H17804" s="1" t="s">
        <v>0</v>
      </c>
      <c r="I17804" s="2">
        <v>0</v>
      </c>
      <c r="J17804" s="1">
        <v>46015.465046296296</v>
      </c>
    </row>
    <row r="17805" spans="1:10" x14ac:dyDescent="0.2">
      <c r="A17805" s="4" t="s">
        <v>1</v>
      </c>
      <c r="B17805" s="3" t="str">
        <f>HYPERLINK("https://otsuka-europe-crm.veevavault.com/ui/#object/approved_document__v/V5O00000000D106", "Postal Navidad 2025")</f>
        <v>Postal Navidad 2025</v>
      </c>
      <c r="C17805" s="3" t="str">
        <f>HYPERLINK("https://otsuka-europe-crm.veevavault.com/ui/#object/sent_email__v/VBL000000013733", "SE-001399044")</f>
        <v>SE-001399044</v>
      </c>
      <c r="D17805" s="1">
        <v>46016.490300925929</v>
      </c>
      <c r="E17805" s="2">
        <v>1</v>
      </c>
      <c r="F17805" s="2">
        <v>1</v>
      </c>
      <c r="G17805" s="2">
        <v>0</v>
      </c>
      <c r="H17805" s="1" t="s">
        <v>0</v>
      </c>
      <c r="I17805" s="2">
        <v>0</v>
      </c>
      <c r="J17805" s="1">
        <v>46015.465104166666</v>
      </c>
    </row>
    <row r="17806" spans="1:10" x14ac:dyDescent="0.2">
      <c r="A17806" s="4" t="s">
        <v>1</v>
      </c>
      <c r="B17806" s="3" t="str">
        <f>HYPERLINK("https://otsuka-europe-crm.veevavault.com/ui/#object/approved_document__v/V5O00000000D106", "Postal Navidad 2025")</f>
        <v>Postal Navidad 2025</v>
      </c>
      <c r="C17806" s="3" t="str">
        <f>HYPERLINK("https://otsuka-europe-crm.veevavault.com/ui/#object/sent_email__v/VBL000000013734", "SE-001399045")</f>
        <v>SE-001399045</v>
      </c>
      <c r="D17806" s="1" t="s">
        <v>0</v>
      </c>
      <c r="E17806" s="2">
        <v>0</v>
      </c>
      <c r="F17806" s="2">
        <v>0</v>
      </c>
      <c r="G17806" s="2">
        <v>0</v>
      </c>
      <c r="H17806" s="1" t="s">
        <v>0</v>
      </c>
      <c r="I17806" s="2">
        <v>0</v>
      </c>
      <c r="J17806" s="1">
        <v>46015.465173611112</v>
      </c>
    </row>
    <row r="17807" spans="1:10" x14ac:dyDescent="0.2">
      <c r="A17807" s="4" t="s">
        <v>1</v>
      </c>
      <c r="B17807" s="3" t="str">
        <f>HYPERLINK("https://otsuka-europe-crm.veevavault.com/ui/#object/approved_document__v/V5O00000000D106", "Postal Navidad 2025")</f>
        <v>Postal Navidad 2025</v>
      </c>
      <c r="C17807" s="3" t="str">
        <f>HYPERLINK("https://otsuka-europe-crm.veevavault.com/ui/#object/sent_email__v/VBL000000013735", "SE-001399046")</f>
        <v>SE-001399046</v>
      </c>
      <c r="D17807" s="1">
        <v>46030.500694444447</v>
      </c>
      <c r="E17807" s="2">
        <v>1</v>
      </c>
      <c r="F17807" s="2">
        <v>2</v>
      </c>
      <c r="G17807" s="2">
        <v>0</v>
      </c>
      <c r="H17807" s="1" t="s">
        <v>0</v>
      </c>
      <c r="I17807" s="2">
        <v>0</v>
      </c>
      <c r="J17807" s="1">
        <v>46015.465254629627</v>
      </c>
    </row>
    <row r="17808" spans="1:10" x14ac:dyDescent="0.2">
      <c r="A17808" s="4" t="s">
        <v>1</v>
      </c>
      <c r="B17808" s="3" t="str">
        <f>HYPERLINK("https://otsuka-europe-crm.veevavault.com/ui/#object/approved_document__v/V5O00000000D106", "Postal Navidad 2025")</f>
        <v>Postal Navidad 2025</v>
      </c>
      <c r="C17808" s="3" t="str">
        <f>HYPERLINK("https://otsuka-europe-crm.veevavault.com/ui/#object/sent_email__v/VBL000000013736", "SE-001399047")</f>
        <v>SE-001399047</v>
      </c>
      <c r="D17808" s="1" t="s">
        <v>0</v>
      </c>
      <c r="E17808" s="2">
        <v>0</v>
      </c>
      <c r="F17808" s="2">
        <v>0</v>
      </c>
      <c r="G17808" s="2">
        <v>0</v>
      </c>
      <c r="H17808" s="1" t="s">
        <v>0</v>
      </c>
      <c r="I17808" s="2">
        <v>0</v>
      </c>
      <c r="J17808" s="1">
        <v>46015.465289351851</v>
      </c>
    </row>
    <row r="17809" spans="1:10" x14ac:dyDescent="0.2">
      <c r="A17809" s="4" t="s">
        <v>1</v>
      </c>
      <c r="B17809" s="3" t="str">
        <f>HYPERLINK("https://otsuka-europe-crm.veevavault.com/ui/#object/approved_document__v/V5O00000000D106", "Postal Navidad 2025")</f>
        <v>Postal Navidad 2025</v>
      </c>
      <c r="C17809" s="3" t="str">
        <f>HYPERLINK("https://otsuka-europe-crm.veevavault.com/ui/#object/sent_email__v/VBL000000013737", "SE-001399048")</f>
        <v>SE-001399048</v>
      </c>
      <c r="D17809" s="1" t="s">
        <v>0</v>
      </c>
      <c r="E17809" s="2">
        <v>0</v>
      </c>
      <c r="F17809" s="2">
        <v>0</v>
      </c>
      <c r="G17809" s="2">
        <v>0</v>
      </c>
      <c r="H17809" s="1" t="s">
        <v>0</v>
      </c>
      <c r="I17809" s="2">
        <v>0</v>
      </c>
      <c r="J17809" s="1">
        <v>46015.46533564815</v>
      </c>
    </row>
    <row r="17810" spans="1:10" x14ac:dyDescent="0.2">
      <c r="A17810" s="4" t="s">
        <v>1</v>
      </c>
      <c r="B17810" s="3" t="str">
        <f>HYPERLINK("https://otsuka-europe-crm.veevavault.com/ui/#object/approved_document__v/V5O00000000D106", "Postal Navidad 2025")</f>
        <v>Postal Navidad 2025</v>
      </c>
      <c r="C17810" s="3" t="str">
        <f>HYPERLINK("https://otsuka-europe-crm.veevavault.com/ui/#object/sent_email__v/VBL000000013738", "SE-001399049")</f>
        <v>SE-001399049</v>
      </c>
      <c r="D17810" s="1">
        <v>46016.760381944441</v>
      </c>
      <c r="E17810" s="2">
        <v>1</v>
      </c>
      <c r="F17810" s="2">
        <v>1</v>
      </c>
      <c r="G17810" s="2">
        <v>0</v>
      </c>
      <c r="H17810" s="1" t="s">
        <v>0</v>
      </c>
      <c r="I17810" s="2">
        <v>0</v>
      </c>
      <c r="J17810" s="1">
        <v>46015.465370370373</v>
      </c>
    </row>
    <row r="17811" spans="1:10" x14ac:dyDescent="0.2">
      <c r="A17811" s="4" t="s">
        <v>1</v>
      </c>
      <c r="B17811" s="3" t="str">
        <f>HYPERLINK("https://otsuka-europe-crm.veevavault.com/ui/#object/approved_document__v/V5O00000000D106", "Postal Navidad 2025")</f>
        <v>Postal Navidad 2025</v>
      </c>
      <c r="C17811" s="3" t="str">
        <f>HYPERLINK("https://otsuka-europe-crm.veevavault.com/ui/#object/sent_email__v/VBL000000013739", "SE-001399050")</f>
        <v>SE-001399050</v>
      </c>
      <c r="D17811" s="1" t="s">
        <v>0</v>
      </c>
      <c r="E17811" s="2">
        <v>0</v>
      </c>
      <c r="F17811" s="2">
        <v>0</v>
      </c>
      <c r="G17811" s="2">
        <v>0</v>
      </c>
      <c r="H17811" s="1" t="s">
        <v>0</v>
      </c>
      <c r="I17811" s="2">
        <v>0</v>
      </c>
      <c r="J17811" s="1">
        <v>46015.465416666666</v>
      </c>
    </row>
    <row r="17812" spans="1:10" x14ac:dyDescent="0.2">
      <c r="A17812" s="4" t="s">
        <v>1</v>
      </c>
      <c r="B17812" s="3" t="str">
        <f>HYPERLINK("https://otsuka-europe-crm.veevavault.com/ui/#object/approved_document__v/V5O00000000D106", "Postal Navidad 2025")</f>
        <v>Postal Navidad 2025</v>
      </c>
      <c r="C17812" s="3" t="str">
        <f>HYPERLINK("https://otsuka-europe-crm.veevavault.com/ui/#object/sent_email__v/VBL000000013740", "SE-001399051")</f>
        <v>SE-001399051</v>
      </c>
      <c r="D17812" s="1" t="s">
        <v>0</v>
      </c>
      <c r="E17812" s="2">
        <v>0</v>
      </c>
      <c r="F17812" s="2">
        <v>0</v>
      </c>
      <c r="G17812" s="2">
        <v>0</v>
      </c>
      <c r="H17812" s="1" t="s">
        <v>0</v>
      </c>
      <c r="I17812" s="2">
        <v>0</v>
      </c>
      <c r="J17812" s="1">
        <v>46015.465451388889</v>
      </c>
    </row>
    <row r="17813" spans="1:10" x14ac:dyDescent="0.2">
      <c r="A17813" s="4" t="s">
        <v>1</v>
      </c>
      <c r="B17813" s="3" t="str">
        <f>HYPERLINK("https://otsuka-europe-crm.veevavault.com/ui/#object/approved_document__v/V5O00000000D106", "Postal Navidad 2025")</f>
        <v>Postal Navidad 2025</v>
      </c>
      <c r="C17813" s="3" t="str">
        <f>HYPERLINK("https://otsuka-europe-crm.veevavault.com/ui/#object/sent_email__v/VBL000000013741", "SE-001399052")</f>
        <v>SE-001399052</v>
      </c>
      <c r="D17813" s="1">
        <v>46015.668391203704</v>
      </c>
      <c r="E17813" s="2">
        <v>1</v>
      </c>
      <c r="F17813" s="2">
        <v>1</v>
      </c>
      <c r="G17813" s="2">
        <v>0</v>
      </c>
      <c r="H17813" s="1" t="s">
        <v>0</v>
      </c>
      <c r="I17813" s="2">
        <v>0</v>
      </c>
      <c r="J17813" s="1">
        <v>46015.465497685182</v>
      </c>
    </row>
    <row r="17814" spans="1:10" x14ac:dyDescent="0.2">
      <c r="A17814" s="4" t="s">
        <v>1</v>
      </c>
      <c r="B17814" s="3" t="str">
        <f>HYPERLINK("https://otsuka-europe-crm.veevavault.com/ui/#object/approved_document__v/V5O00000000D106", "Postal Navidad 2025")</f>
        <v>Postal Navidad 2025</v>
      </c>
      <c r="C17814" s="3" t="str">
        <f>HYPERLINK("https://otsuka-europe-crm.veevavault.com/ui/#object/sent_email__v/VBL000000012484", "SE-001399053")</f>
        <v>SE-001399053</v>
      </c>
      <c r="D17814" s="1">
        <v>46016.917881944442</v>
      </c>
      <c r="E17814" s="2">
        <v>1</v>
      </c>
      <c r="F17814" s="2">
        <v>4</v>
      </c>
      <c r="G17814" s="2">
        <v>0</v>
      </c>
      <c r="H17814" s="1" t="s">
        <v>0</v>
      </c>
      <c r="I17814" s="2">
        <v>0</v>
      </c>
      <c r="J17814" s="1">
        <v>46015.459363425929</v>
      </c>
    </row>
    <row r="17815" spans="1:10" x14ac:dyDescent="0.2">
      <c r="A17815" s="4" t="s">
        <v>1</v>
      </c>
      <c r="B17815" s="3" t="str">
        <f>HYPERLINK("https://otsuka-europe-crm.veevavault.com/ui/#object/approved_document__v/V5O00000000D106", "Postal Navidad 2025")</f>
        <v>Postal Navidad 2025</v>
      </c>
      <c r="C17815" s="3" t="str">
        <f>HYPERLINK("https://otsuka-europe-crm.veevavault.com/ui/#object/sent_email__v/VBL000000012485", "SE-001399054")</f>
        <v>SE-001399054</v>
      </c>
      <c r="D17815" s="1">
        <v>46015.618657407409</v>
      </c>
      <c r="E17815" s="2">
        <v>1</v>
      </c>
      <c r="F17815" s="2">
        <v>1</v>
      </c>
      <c r="G17815" s="2">
        <v>0</v>
      </c>
      <c r="H17815" s="1" t="s">
        <v>0</v>
      </c>
      <c r="I17815" s="2">
        <v>0</v>
      </c>
      <c r="J17815" s="1">
        <v>46015.459398148145</v>
      </c>
    </row>
    <row r="17816" spans="1:10" x14ac:dyDescent="0.2">
      <c r="A17816" s="4" t="s">
        <v>1</v>
      </c>
      <c r="B17816" s="3" t="str">
        <f>HYPERLINK("https://otsuka-europe-crm.veevavault.com/ui/#object/approved_document__v/V5O00000000D106", "Postal Navidad 2025")</f>
        <v>Postal Navidad 2025</v>
      </c>
      <c r="C17816" s="3" t="str">
        <f>HYPERLINK("https://otsuka-europe-crm.veevavault.com/ui/#object/sent_email__v/VBL000000012486", "SE-001399055")</f>
        <v>SE-001399055</v>
      </c>
      <c r="D17816" s="1">
        <v>46016.462835648148</v>
      </c>
      <c r="E17816" s="2">
        <v>1</v>
      </c>
      <c r="F17816" s="2">
        <v>2</v>
      </c>
      <c r="G17816" s="2">
        <v>0</v>
      </c>
      <c r="H17816" s="1" t="s">
        <v>0</v>
      </c>
      <c r="I17816" s="2">
        <v>0</v>
      </c>
      <c r="J17816" s="1">
        <v>46015.459432870368</v>
      </c>
    </row>
    <row r="17817" spans="1:10" x14ac:dyDescent="0.2">
      <c r="A17817" s="4" t="s">
        <v>1</v>
      </c>
      <c r="B17817" s="3" t="str">
        <f>HYPERLINK("https://otsuka-europe-crm.veevavault.com/ui/#object/approved_document__v/V5O00000000D106", "Postal Navidad 2025")</f>
        <v>Postal Navidad 2025</v>
      </c>
      <c r="C17817" s="3" t="str">
        <f>HYPERLINK("https://otsuka-europe-crm.veevavault.com/ui/#object/sent_email__v/VBL000000012487", "SE-001399056")</f>
        <v>SE-001399056</v>
      </c>
      <c r="D17817" s="1" t="s">
        <v>0</v>
      </c>
      <c r="E17817" s="2">
        <v>0</v>
      </c>
      <c r="F17817" s="2">
        <v>0</v>
      </c>
      <c r="G17817" s="2">
        <v>0</v>
      </c>
      <c r="H17817" s="1" t="s">
        <v>0</v>
      </c>
      <c r="I17817" s="2">
        <v>0</v>
      </c>
      <c r="J17817" s="1">
        <v>46015.459479166668</v>
      </c>
    </row>
    <row r="17818" spans="1:10" x14ac:dyDescent="0.2">
      <c r="A17818" s="4" t="s">
        <v>1</v>
      </c>
      <c r="B17818" s="3" t="str">
        <f>HYPERLINK("https://otsuka-europe-crm.veevavault.com/ui/#object/approved_document__v/V5O00000000D106", "Postal Navidad 2025")</f>
        <v>Postal Navidad 2025</v>
      </c>
      <c r="C17818" s="3" t="str">
        <f>HYPERLINK("https://otsuka-europe-crm.veevavault.com/ui/#object/sent_email__v/VBL000000012488", "SE-001399057")</f>
        <v>SE-001399057</v>
      </c>
      <c r="D17818" s="1">
        <v>46015.97314814815</v>
      </c>
      <c r="E17818" s="2">
        <v>1</v>
      </c>
      <c r="F17818" s="2">
        <v>1</v>
      </c>
      <c r="G17818" s="2">
        <v>0</v>
      </c>
      <c r="H17818" s="1" t="s">
        <v>0</v>
      </c>
      <c r="I17818" s="2">
        <v>0</v>
      </c>
      <c r="J17818" s="1">
        <v>46015.459513888891</v>
      </c>
    </row>
    <row r="17819" spans="1:10" x14ac:dyDescent="0.2">
      <c r="A17819" s="4" t="s">
        <v>1</v>
      </c>
      <c r="B17819" s="3" t="str">
        <f>HYPERLINK("https://otsuka-europe-crm.veevavault.com/ui/#object/approved_document__v/V5O00000000D106", "Postal Navidad 2025")</f>
        <v>Postal Navidad 2025</v>
      </c>
      <c r="C17819" s="3" t="str">
        <f>HYPERLINK("https://otsuka-europe-crm.veevavault.com/ui/#object/sent_email__v/VBL000000012489", "SE-001399058")</f>
        <v>SE-001399058</v>
      </c>
      <c r="D17819" s="1">
        <v>46024.794525462959</v>
      </c>
      <c r="E17819" s="2">
        <v>1</v>
      </c>
      <c r="F17819" s="2">
        <v>1</v>
      </c>
      <c r="G17819" s="2">
        <v>1</v>
      </c>
      <c r="H17819" s="1">
        <v>46024.794594907406</v>
      </c>
      <c r="I17819" s="2">
        <v>1</v>
      </c>
      <c r="J17819" s="1">
        <v>46015.459560185183</v>
      </c>
    </row>
    <row r="17820" spans="1:10" x14ac:dyDescent="0.2">
      <c r="A17820" s="4" t="s">
        <v>1</v>
      </c>
      <c r="B17820" s="3" t="str">
        <f>HYPERLINK("https://otsuka-europe-crm.veevavault.com/ui/#object/approved_document__v/V5O00000000D106", "Postal Navidad 2025")</f>
        <v>Postal Navidad 2025</v>
      </c>
      <c r="C17820" s="3" t="str">
        <f>HYPERLINK("https://otsuka-europe-crm.veevavault.com/ui/#object/sent_email__v/VBL000000012490", "SE-001399059")</f>
        <v>SE-001399059</v>
      </c>
      <c r="D17820" s="1">
        <v>46022.373067129629</v>
      </c>
      <c r="E17820" s="2">
        <v>1</v>
      </c>
      <c r="F17820" s="2">
        <v>1</v>
      </c>
      <c r="G17820" s="2">
        <v>0</v>
      </c>
      <c r="H17820" s="1" t="s">
        <v>0</v>
      </c>
      <c r="I17820" s="2">
        <v>0</v>
      </c>
      <c r="J17820" s="1">
        <v>46015.459594907406</v>
      </c>
    </row>
    <row r="17821" spans="1:10" x14ac:dyDescent="0.2">
      <c r="A17821" s="4" t="s">
        <v>1</v>
      </c>
      <c r="B17821" s="3" t="str">
        <f>HYPERLINK("https://otsuka-europe-crm.veevavault.com/ui/#object/approved_document__v/V5O00000000D106", "Postal Navidad 2025")</f>
        <v>Postal Navidad 2025</v>
      </c>
      <c r="C17821" s="3" t="str">
        <f>HYPERLINK("https://otsuka-europe-crm.veevavault.com/ui/#object/sent_email__v/VBL000000012491", "SE-001399060")</f>
        <v>SE-001399060</v>
      </c>
      <c r="D17821" s="1">
        <v>46015.581956018519</v>
      </c>
      <c r="E17821" s="2">
        <v>1</v>
      </c>
      <c r="F17821" s="2">
        <v>1</v>
      </c>
      <c r="G17821" s="2">
        <v>0</v>
      </c>
      <c r="H17821" s="1" t="s">
        <v>0</v>
      </c>
      <c r="I17821" s="2">
        <v>0</v>
      </c>
      <c r="J17821" s="1">
        <v>46015.459629629629</v>
      </c>
    </row>
    <row r="17822" spans="1:10" x14ac:dyDescent="0.2">
      <c r="A17822" s="4" t="s">
        <v>1</v>
      </c>
      <c r="B17822" s="3" t="str">
        <f>HYPERLINK("https://otsuka-europe-crm.veevavault.com/ui/#object/approved_document__v/V5O00000000D106", "Postal Navidad 2025")</f>
        <v>Postal Navidad 2025</v>
      </c>
      <c r="C17822" s="3" t="str">
        <f>HYPERLINK("https://otsuka-europe-crm.veevavault.com/ui/#object/sent_email__v/VBL000000012492", "SE-001399061")</f>
        <v>SE-001399061</v>
      </c>
      <c r="D17822" s="1">
        <v>46032.746041666665</v>
      </c>
      <c r="E17822" s="2">
        <v>1</v>
      </c>
      <c r="F17822" s="2">
        <v>2</v>
      </c>
      <c r="G17822" s="2">
        <v>0</v>
      </c>
      <c r="H17822" s="1" t="s">
        <v>0</v>
      </c>
      <c r="I17822" s="2">
        <v>0</v>
      </c>
      <c r="J17822" s="1">
        <v>46015.459664351853</v>
      </c>
    </row>
    <row r="17823" spans="1:10" x14ac:dyDescent="0.2">
      <c r="A17823" s="4" t="s">
        <v>1</v>
      </c>
      <c r="B17823" s="3" t="str">
        <f>HYPERLINK("https://otsuka-europe-crm.veevavault.com/ui/#object/approved_document__v/V5O00000000D106", "Postal Navidad 2025")</f>
        <v>Postal Navidad 2025</v>
      </c>
      <c r="C17823" s="3" t="str">
        <f>HYPERLINK("https://otsuka-europe-crm.veevavault.com/ui/#object/sent_email__v/VBL000000012493", "SE-001399062")</f>
        <v>SE-001399062</v>
      </c>
      <c r="D17823" s="1" t="s">
        <v>0</v>
      </c>
      <c r="E17823" s="2">
        <v>0</v>
      </c>
      <c r="F17823" s="2">
        <v>0</v>
      </c>
      <c r="G17823" s="2">
        <v>0</v>
      </c>
      <c r="H17823" s="1" t="s">
        <v>0</v>
      </c>
      <c r="I17823" s="2">
        <v>0</v>
      </c>
      <c r="J17823" s="1">
        <v>46015.459699074076</v>
      </c>
    </row>
    <row r="17824" spans="1:10" x14ac:dyDescent="0.2">
      <c r="A17824" s="4" t="s">
        <v>1</v>
      </c>
      <c r="B17824" s="3" t="str">
        <f>HYPERLINK("https://otsuka-europe-crm.veevavault.com/ui/#object/approved_document__v/V5O00000000D106", "Postal Navidad 2025")</f>
        <v>Postal Navidad 2025</v>
      </c>
      <c r="C17824" s="3" t="str">
        <f>HYPERLINK("https://otsuka-europe-crm.veevavault.com/ui/#object/sent_email__v/VBL000000012494", "SE-001399063")</f>
        <v>SE-001399063</v>
      </c>
      <c r="D17824" s="1" t="s">
        <v>0</v>
      </c>
      <c r="E17824" s="2">
        <v>0</v>
      </c>
      <c r="F17824" s="2">
        <v>0</v>
      </c>
      <c r="G17824" s="2">
        <v>0</v>
      </c>
      <c r="H17824" s="1" t="s">
        <v>0</v>
      </c>
      <c r="I17824" s="2">
        <v>0</v>
      </c>
      <c r="J17824" s="1">
        <v>46015.459745370368</v>
      </c>
    </row>
    <row r="17825" spans="1:10" x14ac:dyDescent="0.2">
      <c r="A17825" s="4" t="s">
        <v>1</v>
      </c>
      <c r="B17825" s="3" t="str">
        <f>HYPERLINK("https://otsuka-europe-crm.veevavault.com/ui/#object/approved_document__v/V5O00000000D106", "Postal Navidad 2025")</f>
        <v>Postal Navidad 2025</v>
      </c>
      <c r="C17825" s="3" t="str">
        <f>HYPERLINK("https://otsuka-europe-crm.veevavault.com/ui/#object/sent_email__v/VBL000000012495", "SE-001399064")</f>
        <v>SE-001399064</v>
      </c>
      <c r="D17825" s="1" t="s">
        <v>0</v>
      </c>
      <c r="E17825" s="2">
        <v>0</v>
      </c>
      <c r="F17825" s="2">
        <v>0</v>
      </c>
      <c r="G17825" s="2">
        <v>0</v>
      </c>
      <c r="H17825" s="1" t="s">
        <v>0</v>
      </c>
      <c r="I17825" s="2">
        <v>0</v>
      </c>
      <c r="J17825" s="1">
        <v>46015.459780092591</v>
      </c>
    </row>
    <row r="17826" spans="1:10" x14ac:dyDescent="0.2">
      <c r="A17826" s="4" t="s">
        <v>1</v>
      </c>
      <c r="B17826" s="3" t="str">
        <f>HYPERLINK("https://otsuka-europe-crm.veevavault.com/ui/#object/approved_document__v/V5O00000000D106", "Postal Navidad 2025")</f>
        <v>Postal Navidad 2025</v>
      </c>
      <c r="C17826" s="3" t="str">
        <f>HYPERLINK("https://otsuka-europe-crm.veevavault.com/ui/#object/sent_email__v/VBL000000012496", "SE-001399065")</f>
        <v>SE-001399065</v>
      </c>
      <c r="D17826" s="1">
        <v>46021.359409722223</v>
      </c>
      <c r="E17826" s="2">
        <v>1</v>
      </c>
      <c r="F17826" s="2">
        <v>2</v>
      </c>
      <c r="G17826" s="2">
        <v>0</v>
      </c>
      <c r="H17826" s="1" t="s">
        <v>0</v>
      </c>
      <c r="I17826" s="2">
        <v>0</v>
      </c>
      <c r="J17826" s="1">
        <v>46015.459814814814</v>
      </c>
    </row>
    <row r="17827" spans="1:10" x14ac:dyDescent="0.2">
      <c r="A17827" s="4" t="s">
        <v>1</v>
      </c>
      <c r="B17827" s="3" t="str">
        <f>HYPERLINK("https://otsuka-europe-crm.veevavault.com/ui/#object/approved_document__v/V5O00000000D106", "Postal Navidad 2025")</f>
        <v>Postal Navidad 2025</v>
      </c>
      <c r="C17827" s="3" t="str">
        <f>HYPERLINK("https://otsuka-europe-crm.veevavault.com/ui/#object/sent_email__v/VBL000000012497", "SE-001399066")</f>
        <v>SE-001399066</v>
      </c>
      <c r="D17827" s="1">
        <v>46031.333148148151</v>
      </c>
      <c r="E17827" s="2">
        <v>1</v>
      </c>
      <c r="F17827" s="2">
        <v>6</v>
      </c>
      <c r="G17827" s="2">
        <v>0</v>
      </c>
      <c r="H17827" s="1" t="s">
        <v>0</v>
      </c>
      <c r="I17827" s="2">
        <v>0</v>
      </c>
      <c r="J17827" s="1">
        <v>46015.459849537037</v>
      </c>
    </row>
    <row r="17828" spans="1:10" x14ac:dyDescent="0.2">
      <c r="A17828" s="4" t="s">
        <v>1</v>
      </c>
      <c r="B17828" s="3" t="str">
        <f>HYPERLINK("https://otsuka-europe-crm.veevavault.com/ui/#object/approved_document__v/V5O00000000D106", "Postal Navidad 2025")</f>
        <v>Postal Navidad 2025</v>
      </c>
      <c r="C17828" s="3" t="str">
        <f>HYPERLINK("https://otsuka-europe-crm.veevavault.com/ui/#object/sent_email__v/VBL000000012498", "SE-001399067")</f>
        <v>SE-001399067</v>
      </c>
      <c r="D17828" s="1">
        <v>46016.792662037034</v>
      </c>
      <c r="E17828" s="2">
        <v>1</v>
      </c>
      <c r="F17828" s="2">
        <v>3</v>
      </c>
      <c r="G17828" s="2">
        <v>1</v>
      </c>
      <c r="H17828" s="1">
        <v>46016.785914351851</v>
      </c>
      <c r="I17828" s="2">
        <v>1</v>
      </c>
      <c r="J17828" s="1">
        <v>46015.45989583333</v>
      </c>
    </row>
    <row r="17829" spans="1:10" x14ac:dyDescent="0.2">
      <c r="A17829" s="4" t="s">
        <v>1</v>
      </c>
      <c r="B17829" s="3" t="str">
        <f>HYPERLINK("https://otsuka-europe-crm.veevavault.com/ui/#object/approved_document__v/V5O00000000D106", "Postal Navidad 2025")</f>
        <v>Postal Navidad 2025</v>
      </c>
      <c r="C17829" s="3" t="str">
        <f>HYPERLINK("https://otsuka-europe-crm.veevavault.com/ui/#object/sent_email__v/VBL000000012499", "SE-001399068")</f>
        <v>SE-001399068</v>
      </c>
      <c r="D17829" s="1" t="s">
        <v>0</v>
      </c>
      <c r="E17829" s="2">
        <v>0</v>
      </c>
      <c r="F17829" s="2">
        <v>0</v>
      </c>
      <c r="G17829" s="2">
        <v>0</v>
      </c>
      <c r="H17829" s="1" t="s">
        <v>0</v>
      </c>
      <c r="I17829" s="2">
        <v>0</v>
      </c>
      <c r="J17829" s="1">
        <v>46015.459930555553</v>
      </c>
    </row>
    <row r="17830" spans="1:10" x14ac:dyDescent="0.2">
      <c r="A17830" s="4" t="s">
        <v>1</v>
      </c>
      <c r="B17830" s="3" t="str">
        <f>HYPERLINK("https://otsuka-europe-crm.veevavault.com/ui/#object/approved_document__v/V5O00000000D106", "Postal Navidad 2025")</f>
        <v>Postal Navidad 2025</v>
      </c>
      <c r="C17830" s="3" t="str">
        <f>HYPERLINK("https://otsuka-europe-crm.veevavault.com/ui/#object/sent_email__v/VBL000000012500", "SE-001399069")</f>
        <v>SE-001399069</v>
      </c>
      <c r="D17830" s="1">
        <v>46015.826840277776</v>
      </c>
      <c r="E17830" s="2">
        <v>1</v>
      </c>
      <c r="F17830" s="2">
        <v>1</v>
      </c>
      <c r="G17830" s="2">
        <v>0</v>
      </c>
      <c r="H17830" s="1" t="s">
        <v>0</v>
      </c>
      <c r="I17830" s="2">
        <v>0</v>
      </c>
      <c r="J17830" s="1">
        <v>46015.459965277776</v>
      </c>
    </row>
    <row r="17831" spans="1:10" x14ac:dyDescent="0.2">
      <c r="A17831" s="4" t="s">
        <v>1</v>
      </c>
      <c r="B17831" s="3" t="str">
        <f>HYPERLINK("https://otsuka-europe-crm.veevavault.com/ui/#object/approved_document__v/V5O00000000D106", "Postal Navidad 2025")</f>
        <v>Postal Navidad 2025</v>
      </c>
      <c r="C17831" s="3" t="str">
        <f>HYPERLINK("https://otsuka-europe-crm.veevavault.com/ui/#object/sent_email__v/VBL000000012501", "SE-001399070")</f>
        <v>SE-001399070</v>
      </c>
      <c r="D17831" s="1" t="s">
        <v>0</v>
      </c>
      <c r="E17831" s="2">
        <v>0</v>
      </c>
      <c r="F17831" s="2">
        <v>0</v>
      </c>
      <c r="G17831" s="2">
        <v>0</v>
      </c>
      <c r="H17831" s="1" t="s">
        <v>0</v>
      </c>
      <c r="I17831" s="2">
        <v>0</v>
      </c>
      <c r="J17831" s="1">
        <v>46015.460034722222</v>
      </c>
    </row>
    <row r="17832" spans="1:10" x14ac:dyDescent="0.2">
      <c r="A17832" s="4" t="s">
        <v>1</v>
      </c>
      <c r="B17832" s="3" t="str">
        <f>HYPERLINK("https://otsuka-europe-crm.veevavault.com/ui/#object/approved_document__v/V5O00000000D106", "Postal Navidad 2025")</f>
        <v>Postal Navidad 2025</v>
      </c>
      <c r="C17832" s="3" t="str">
        <f>HYPERLINK("https://otsuka-europe-crm.veevavault.com/ui/#object/sent_email__v/VBL000000012502", "SE-001399071")</f>
        <v>SE-001399071</v>
      </c>
      <c r="D17832" s="1">
        <v>46015.495706018519</v>
      </c>
      <c r="E17832" s="2">
        <v>1</v>
      </c>
      <c r="F17832" s="2">
        <v>1</v>
      </c>
      <c r="G17832" s="2">
        <v>0</v>
      </c>
      <c r="H17832" s="1" t="s">
        <v>0</v>
      </c>
      <c r="I17832" s="2">
        <v>0</v>
      </c>
      <c r="J17832" s="1">
        <v>46015.460092592592</v>
      </c>
    </row>
    <row r="17833" spans="1:10" x14ac:dyDescent="0.2">
      <c r="A17833" s="4" t="s">
        <v>1</v>
      </c>
      <c r="B17833" s="3" t="str">
        <f>HYPERLINK("https://otsuka-europe-crm.veevavault.com/ui/#object/approved_document__v/V5O00000000D106", "Postal Navidad 2025")</f>
        <v>Postal Navidad 2025</v>
      </c>
      <c r="C17833" s="3" t="str">
        <f>HYPERLINK("https://otsuka-europe-crm.veevavault.com/ui/#object/sent_email__v/VBL000000012503", "SE-001399072")</f>
        <v>SE-001399072</v>
      </c>
      <c r="D17833" s="1">
        <v>46030.192858796298</v>
      </c>
      <c r="E17833" s="2">
        <v>1</v>
      </c>
      <c r="F17833" s="2">
        <v>3</v>
      </c>
      <c r="G17833" s="2">
        <v>0</v>
      </c>
      <c r="H17833" s="1" t="s">
        <v>0</v>
      </c>
      <c r="I17833" s="2">
        <v>0</v>
      </c>
      <c r="J17833" s="1">
        <v>46015.460162037038</v>
      </c>
    </row>
    <row r="17834" spans="1:10" x14ac:dyDescent="0.2">
      <c r="A17834" s="4" t="s">
        <v>1</v>
      </c>
      <c r="B17834" s="3" t="str">
        <f>HYPERLINK("https://otsuka-europe-crm.veevavault.com/ui/#object/approved_document__v/V5O00000000D106", "Postal Navidad 2025")</f>
        <v>Postal Navidad 2025</v>
      </c>
      <c r="C17834" s="3" t="str">
        <f>HYPERLINK("https://otsuka-europe-crm.veevavault.com/ui/#object/sent_email__v/VBL000000012504", "SE-001399073")</f>
        <v>SE-001399073</v>
      </c>
      <c r="D17834" s="1" t="s">
        <v>0</v>
      </c>
      <c r="E17834" s="2">
        <v>0</v>
      </c>
      <c r="F17834" s="2">
        <v>0</v>
      </c>
      <c r="G17834" s="2">
        <v>0</v>
      </c>
      <c r="H17834" s="1" t="s">
        <v>0</v>
      </c>
      <c r="I17834" s="2">
        <v>0</v>
      </c>
      <c r="J17834" s="1">
        <v>46015.460219907407</v>
      </c>
    </row>
    <row r="17835" spans="1:10" x14ac:dyDescent="0.2">
      <c r="A17835" s="4" t="s">
        <v>1</v>
      </c>
      <c r="B17835" s="3" t="str">
        <f>HYPERLINK("https://otsuka-europe-crm.veevavault.com/ui/#object/approved_document__v/V5O00000000D106", "Postal Navidad 2025")</f>
        <v>Postal Navidad 2025</v>
      </c>
      <c r="C17835" s="3" t="str">
        <f>HYPERLINK("https://otsuka-europe-crm.veevavault.com/ui/#object/sent_email__v/VBL000000012505", "SE-001399074")</f>
        <v>SE-001399074</v>
      </c>
      <c r="D17835" s="1" t="s">
        <v>0</v>
      </c>
      <c r="E17835" s="2">
        <v>0</v>
      </c>
      <c r="F17835" s="2">
        <v>0</v>
      </c>
      <c r="G17835" s="2">
        <v>0</v>
      </c>
      <c r="H17835" s="1" t="s">
        <v>0</v>
      </c>
      <c r="I17835" s="2">
        <v>0</v>
      </c>
      <c r="J17835" s="1">
        <v>46015.460312499999</v>
      </c>
    </row>
    <row r="17836" spans="1:10" x14ac:dyDescent="0.2">
      <c r="A17836" s="4" t="s">
        <v>1</v>
      </c>
      <c r="B17836" s="3" t="str">
        <f>HYPERLINK("https://otsuka-europe-crm.veevavault.com/ui/#object/approved_document__v/V5O00000000D106", "Postal Navidad 2025")</f>
        <v>Postal Navidad 2025</v>
      </c>
      <c r="C17836" s="3" t="str">
        <f>HYPERLINK("https://otsuka-europe-crm.veevavault.com/ui/#object/sent_email__v/VBL000000012506", "SE-001399075")</f>
        <v>SE-001399075</v>
      </c>
      <c r="D17836" s="1">
        <v>46015.466041666667</v>
      </c>
      <c r="E17836" s="2">
        <v>1</v>
      </c>
      <c r="F17836" s="2">
        <v>1</v>
      </c>
      <c r="G17836" s="2">
        <v>0</v>
      </c>
      <c r="H17836" s="1" t="s">
        <v>0</v>
      </c>
      <c r="I17836" s="2">
        <v>0</v>
      </c>
      <c r="J17836" s="1">
        <v>46015.460358796299</v>
      </c>
    </row>
    <row r="17837" spans="1:10" x14ac:dyDescent="0.2">
      <c r="A17837" s="4" t="s">
        <v>1</v>
      </c>
      <c r="B17837" s="3" t="str">
        <f>HYPERLINK("https://otsuka-europe-crm.veevavault.com/ui/#object/approved_document__v/V5O00000000D106", "Postal Navidad 2025")</f>
        <v>Postal Navidad 2025</v>
      </c>
      <c r="C17837" s="3" t="str">
        <f>HYPERLINK("https://otsuka-europe-crm.veevavault.com/ui/#object/sent_email__v/VBL000000012507", "SE-001399076")</f>
        <v>SE-001399076</v>
      </c>
      <c r="D17837" s="1">
        <v>46016.003680555557</v>
      </c>
      <c r="E17837" s="2">
        <v>1</v>
      </c>
      <c r="F17837" s="2">
        <v>1</v>
      </c>
      <c r="G17837" s="2">
        <v>0</v>
      </c>
      <c r="H17837" s="1" t="s">
        <v>0</v>
      </c>
      <c r="I17837" s="2">
        <v>0</v>
      </c>
      <c r="J17837" s="1">
        <v>46015.460416666669</v>
      </c>
    </row>
    <row r="17838" spans="1:10" x14ac:dyDescent="0.2">
      <c r="A17838" s="4" t="s">
        <v>1</v>
      </c>
      <c r="B17838" s="3" t="str">
        <f>HYPERLINK("https://otsuka-europe-crm.veevavault.com/ui/#object/approved_document__v/V5O00000000D106", "Postal Navidad 2025")</f>
        <v>Postal Navidad 2025</v>
      </c>
      <c r="C17838" s="3" t="str">
        <f>HYPERLINK("https://otsuka-europe-crm.veevavault.com/ui/#object/sent_email__v/VBL000000012508", "SE-001399077")</f>
        <v>SE-001399077</v>
      </c>
      <c r="D17838" s="1">
        <v>46015.966736111113</v>
      </c>
      <c r="E17838" s="2">
        <v>1</v>
      </c>
      <c r="F17838" s="2">
        <v>1</v>
      </c>
      <c r="G17838" s="2">
        <v>0</v>
      </c>
      <c r="H17838" s="1" t="s">
        <v>0</v>
      </c>
      <c r="I17838" s="2">
        <v>0</v>
      </c>
      <c r="J17838" s="1">
        <v>46015.460486111115</v>
      </c>
    </row>
    <row r="17839" spans="1:10" x14ac:dyDescent="0.2">
      <c r="A17839" s="4" t="s">
        <v>1</v>
      </c>
      <c r="B17839" s="3" t="str">
        <f>HYPERLINK("https://otsuka-europe-crm.veevavault.com/ui/#object/approved_document__v/V5O00000000D106", "Postal Navidad 2025")</f>
        <v>Postal Navidad 2025</v>
      </c>
      <c r="C17839" s="3" t="str">
        <f>HYPERLINK("https://otsuka-europe-crm.veevavault.com/ui/#object/sent_email__v/VBL000000012509", "SE-001399078")</f>
        <v>SE-001399078</v>
      </c>
      <c r="D17839" s="1">
        <v>46016.441412037035</v>
      </c>
      <c r="E17839" s="2">
        <v>1</v>
      </c>
      <c r="F17839" s="2">
        <v>2</v>
      </c>
      <c r="G17839" s="2">
        <v>0</v>
      </c>
      <c r="H17839" s="1" t="s">
        <v>0</v>
      </c>
      <c r="I17839" s="2">
        <v>0</v>
      </c>
      <c r="J17839" s="1">
        <v>46015.460543981484</v>
      </c>
    </row>
    <row r="17840" spans="1:10" x14ac:dyDescent="0.2">
      <c r="A17840" s="4" t="s">
        <v>1</v>
      </c>
      <c r="B17840" s="3" t="str">
        <f>HYPERLINK("https://otsuka-europe-crm.veevavault.com/ui/#object/approved_document__v/V5O00000000D106", "Postal Navidad 2025")</f>
        <v>Postal Navidad 2025</v>
      </c>
      <c r="C17840" s="3" t="str">
        <f>HYPERLINK("https://otsuka-europe-crm.veevavault.com/ui/#object/sent_email__v/VBL000000012510", "SE-001399079")</f>
        <v>SE-001399079</v>
      </c>
      <c r="D17840" s="1">
        <v>46015.768229166664</v>
      </c>
      <c r="E17840" s="2">
        <v>1</v>
      </c>
      <c r="F17840" s="2">
        <v>2</v>
      </c>
      <c r="G17840" s="2">
        <v>0</v>
      </c>
      <c r="H17840" s="1" t="s">
        <v>0</v>
      </c>
      <c r="I17840" s="2">
        <v>0</v>
      </c>
      <c r="J17840" s="1">
        <v>46015.460625</v>
      </c>
    </row>
    <row r="17841" spans="1:10" x14ac:dyDescent="0.2">
      <c r="A17841" s="4" t="s">
        <v>1</v>
      </c>
      <c r="B17841" s="3" t="str">
        <f>HYPERLINK("https://otsuka-europe-crm.veevavault.com/ui/#object/approved_document__v/V5O00000000D106", "Postal Navidad 2025")</f>
        <v>Postal Navidad 2025</v>
      </c>
      <c r="C17841" s="3" t="str">
        <f>HYPERLINK("https://otsuka-europe-crm.veevavault.com/ui/#object/sent_email__v/VBL000000012511", "SE-001399080")</f>
        <v>SE-001399080</v>
      </c>
      <c r="D17841" s="1">
        <v>46024.480254629627</v>
      </c>
      <c r="E17841" s="2">
        <v>1</v>
      </c>
      <c r="F17841" s="2">
        <v>1</v>
      </c>
      <c r="G17841" s="2">
        <v>0</v>
      </c>
      <c r="H17841" s="1" t="s">
        <v>0</v>
      </c>
      <c r="I17841" s="2">
        <v>0</v>
      </c>
      <c r="J17841" s="1">
        <v>46015.460682870369</v>
      </c>
    </row>
    <row r="17842" spans="1:10" x14ac:dyDescent="0.2">
      <c r="A17842" s="4" t="s">
        <v>1</v>
      </c>
      <c r="B17842" s="3" t="str">
        <f>HYPERLINK("https://otsuka-europe-crm.veevavault.com/ui/#object/approved_document__v/V5O00000000D106", "Postal Navidad 2025")</f>
        <v>Postal Navidad 2025</v>
      </c>
      <c r="C17842" s="3" t="str">
        <f>HYPERLINK("https://otsuka-europe-crm.veevavault.com/ui/#object/sent_email__v/VBL000000012512", "SE-001399081")</f>
        <v>SE-001399081</v>
      </c>
      <c r="D17842" s="1" t="s">
        <v>0</v>
      </c>
      <c r="E17842" s="2">
        <v>0</v>
      </c>
      <c r="F17842" s="2">
        <v>0</v>
      </c>
      <c r="G17842" s="2">
        <v>0</v>
      </c>
      <c r="H17842" s="1" t="s">
        <v>0</v>
      </c>
      <c r="I17842" s="2">
        <v>0</v>
      </c>
      <c r="J17842" s="1">
        <v>46015.460752314815</v>
      </c>
    </row>
    <row r="17843" spans="1:10" x14ac:dyDescent="0.2">
      <c r="A17843" s="4" t="s">
        <v>1</v>
      </c>
      <c r="B17843" s="3" t="str">
        <f>HYPERLINK("https://otsuka-europe-crm.veevavault.com/ui/#object/approved_document__v/V5O00000000D106", "Postal Navidad 2025")</f>
        <v>Postal Navidad 2025</v>
      </c>
      <c r="C17843" s="3" t="str">
        <f>HYPERLINK("https://otsuka-europe-crm.veevavault.com/ui/#object/sent_email__v/VBL000000012513", "SE-001399082")</f>
        <v>SE-001399082</v>
      </c>
      <c r="D17843" s="1" t="s">
        <v>0</v>
      </c>
      <c r="E17843" s="2">
        <v>0</v>
      </c>
      <c r="F17843" s="2">
        <v>0</v>
      </c>
      <c r="G17843" s="2">
        <v>0</v>
      </c>
      <c r="H17843" s="1" t="s">
        <v>0</v>
      </c>
      <c r="I17843" s="2">
        <v>0</v>
      </c>
      <c r="J17843" s="1">
        <v>46015.460810185185</v>
      </c>
    </row>
    <row r="17844" spans="1:10" x14ac:dyDescent="0.2">
      <c r="A17844" s="4" t="s">
        <v>1</v>
      </c>
      <c r="B17844" s="3" t="str">
        <f>HYPERLINK("https://otsuka-europe-crm.veevavault.com/ui/#object/approved_document__v/V5O00000000D106", "Postal Navidad 2025")</f>
        <v>Postal Navidad 2025</v>
      </c>
      <c r="C17844" s="3" t="str">
        <f>HYPERLINK("https://otsuka-europe-crm.veevavault.com/ui/#object/sent_email__v/VBL000000012514", "SE-001399083")</f>
        <v>SE-001399083</v>
      </c>
      <c r="D17844" s="1">
        <v>46019.336215277777</v>
      </c>
      <c r="E17844" s="2">
        <v>1</v>
      </c>
      <c r="F17844" s="2">
        <v>4</v>
      </c>
      <c r="G17844" s="2">
        <v>0</v>
      </c>
      <c r="H17844" s="1" t="s">
        <v>0</v>
      </c>
      <c r="I17844" s="2">
        <v>0</v>
      </c>
      <c r="J17844" s="1">
        <v>46015.460879629631</v>
      </c>
    </row>
    <row r="17845" spans="1:10" x14ac:dyDescent="0.2">
      <c r="A17845" s="4" t="s">
        <v>1</v>
      </c>
      <c r="B17845" s="3" t="str">
        <f>HYPERLINK("https://otsuka-europe-crm.veevavault.com/ui/#object/approved_document__v/V5O00000000D106", "Postal Navidad 2025")</f>
        <v>Postal Navidad 2025</v>
      </c>
      <c r="C17845" s="3" t="str">
        <f>HYPERLINK("https://otsuka-europe-crm.veevavault.com/ui/#object/sent_email__v/VBL000000012515", "SE-001399084")</f>
        <v>SE-001399084</v>
      </c>
      <c r="D17845" s="1" t="s">
        <v>0</v>
      </c>
      <c r="E17845" s="2">
        <v>0</v>
      </c>
      <c r="F17845" s="2">
        <v>0</v>
      </c>
      <c r="G17845" s="2">
        <v>0</v>
      </c>
      <c r="H17845" s="1" t="s">
        <v>0</v>
      </c>
      <c r="I17845" s="2">
        <v>0</v>
      </c>
      <c r="J17845" s="1">
        <v>46015.460949074077</v>
      </c>
    </row>
    <row r="17846" spans="1:10" x14ac:dyDescent="0.2">
      <c r="A17846" s="4" t="s">
        <v>1</v>
      </c>
      <c r="B17846" s="3" t="str">
        <f>HYPERLINK("https://otsuka-europe-crm.veevavault.com/ui/#object/approved_document__v/V5O00000000D106", "Postal Navidad 2025")</f>
        <v>Postal Navidad 2025</v>
      </c>
      <c r="C17846" s="3" t="str">
        <f>HYPERLINK("https://otsuka-europe-crm.veevavault.com/ui/#object/sent_email__v/VBL000000012516", "SE-001399085")</f>
        <v>SE-001399085</v>
      </c>
      <c r="D17846" s="1" t="s">
        <v>0</v>
      </c>
      <c r="E17846" s="2">
        <v>0</v>
      </c>
      <c r="F17846" s="2">
        <v>0</v>
      </c>
      <c r="G17846" s="2">
        <v>0</v>
      </c>
      <c r="H17846" s="1" t="s">
        <v>0</v>
      </c>
      <c r="I17846" s="2">
        <v>0</v>
      </c>
      <c r="J17846" s="1">
        <v>46015.461006944446</v>
      </c>
    </row>
    <row r="17847" spans="1:10" x14ac:dyDescent="0.2">
      <c r="A17847" s="4" t="s">
        <v>1</v>
      </c>
      <c r="B17847" s="3" t="str">
        <f>HYPERLINK("https://otsuka-europe-crm.veevavault.com/ui/#object/approved_document__v/V5O00000000D106", "Postal Navidad 2025")</f>
        <v>Postal Navidad 2025</v>
      </c>
      <c r="C17847" s="3" t="str">
        <f>HYPERLINK("https://otsuka-europe-crm.veevavault.com/ui/#object/sent_email__v/VBL000000012517", "SE-001399086")</f>
        <v>SE-001399086</v>
      </c>
      <c r="D17847" s="1">
        <v>46020.345925925925</v>
      </c>
      <c r="E17847" s="2">
        <v>1</v>
      </c>
      <c r="F17847" s="2">
        <v>2</v>
      </c>
      <c r="G17847" s="2">
        <v>0</v>
      </c>
      <c r="H17847" s="1" t="s">
        <v>0</v>
      </c>
      <c r="I17847" s="2">
        <v>0</v>
      </c>
      <c r="J17847" s="1">
        <v>46015.461076388892</v>
      </c>
    </row>
    <row r="17848" spans="1:10" x14ac:dyDescent="0.2">
      <c r="A17848" s="4" t="s">
        <v>1</v>
      </c>
      <c r="B17848" s="3" t="str">
        <f>HYPERLINK("https://otsuka-europe-crm.veevavault.com/ui/#object/approved_document__v/V5O00000000D106", "Postal Navidad 2025")</f>
        <v>Postal Navidad 2025</v>
      </c>
      <c r="C17848" s="3" t="str">
        <f>HYPERLINK("https://otsuka-europe-crm.veevavault.com/ui/#object/sent_email__v/VBL000000012518", "SE-001399087")</f>
        <v>SE-001399087</v>
      </c>
      <c r="D17848" s="1">
        <v>46015.939189814817</v>
      </c>
      <c r="E17848" s="2">
        <v>1</v>
      </c>
      <c r="F17848" s="2">
        <v>1</v>
      </c>
      <c r="G17848" s="2">
        <v>0</v>
      </c>
      <c r="H17848" s="1" t="s">
        <v>0</v>
      </c>
      <c r="I17848" s="2">
        <v>0</v>
      </c>
      <c r="J17848" s="1">
        <v>46015.461145833331</v>
      </c>
    </row>
    <row r="17849" spans="1:10" x14ac:dyDescent="0.2">
      <c r="A17849" s="4" t="s">
        <v>1</v>
      </c>
      <c r="B17849" s="3" t="str">
        <f>HYPERLINK("https://otsuka-europe-crm.veevavault.com/ui/#object/approved_document__v/V5O00000000D106", "Postal Navidad 2025")</f>
        <v>Postal Navidad 2025</v>
      </c>
      <c r="C17849" s="3" t="str">
        <f>HYPERLINK("https://otsuka-europe-crm.veevavault.com/ui/#object/sent_email__v/VBL000000012519", "SE-001399088")</f>
        <v>SE-001399088</v>
      </c>
      <c r="D17849" s="1" t="s">
        <v>0</v>
      </c>
      <c r="E17849" s="2">
        <v>0</v>
      </c>
      <c r="F17849" s="2">
        <v>0</v>
      </c>
      <c r="G17849" s="2">
        <v>0</v>
      </c>
      <c r="H17849" s="1" t="s">
        <v>0</v>
      </c>
      <c r="I17849" s="2">
        <v>0</v>
      </c>
      <c r="J17849" s="1">
        <v>46015.4612037037</v>
      </c>
    </row>
    <row r="17850" spans="1:10" x14ac:dyDescent="0.2">
      <c r="A17850" s="4" t="s">
        <v>1</v>
      </c>
      <c r="B17850" s="3" t="str">
        <f>HYPERLINK("https://otsuka-europe-crm.veevavault.com/ui/#object/approved_document__v/V5O00000000D106", "Postal Navidad 2025")</f>
        <v>Postal Navidad 2025</v>
      </c>
      <c r="C17850" s="3" t="str">
        <f>HYPERLINK("https://otsuka-europe-crm.veevavault.com/ui/#object/sent_email__v/VBL000000012520", "SE-001399089")</f>
        <v>SE-001399089</v>
      </c>
      <c r="D17850" s="1" t="s">
        <v>0</v>
      </c>
      <c r="E17850" s="2">
        <v>0</v>
      </c>
      <c r="F17850" s="2">
        <v>0</v>
      </c>
      <c r="G17850" s="2">
        <v>0</v>
      </c>
      <c r="H17850" s="1" t="s">
        <v>0</v>
      </c>
      <c r="I17850" s="2">
        <v>0</v>
      </c>
      <c r="J17850" s="1">
        <v>46015.461284722223</v>
      </c>
    </row>
    <row r="17851" spans="1:10" x14ac:dyDescent="0.2">
      <c r="A17851" s="4" t="s">
        <v>1</v>
      </c>
      <c r="B17851" s="3" t="str">
        <f>HYPERLINK("https://otsuka-europe-crm.veevavault.com/ui/#object/approved_document__v/V5O00000000D106", "Postal Navidad 2025")</f>
        <v>Postal Navidad 2025</v>
      </c>
      <c r="C17851" s="3" t="str">
        <f>HYPERLINK("https://otsuka-europe-crm.veevavault.com/ui/#object/sent_email__v/VBL000000012521", "SE-001399090")</f>
        <v>SE-001399090</v>
      </c>
      <c r="D17851" s="1">
        <v>46042.865381944444</v>
      </c>
      <c r="E17851" s="2">
        <v>1</v>
      </c>
      <c r="F17851" s="2">
        <v>3</v>
      </c>
      <c r="G17851" s="2">
        <v>0</v>
      </c>
      <c r="H17851" s="1" t="s">
        <v>0</v>
      </c>
      <c r="I17851" s="2">
        <v>0</v>
      </c>
      <c r="J17851" s="1">
        <v>46015.461423611108</v>
      </c>
    </row>
    <row r="17852" spans="1:10" x14ac:dyDescent="0.2">
      <c r="A17852" s="4" t="s">
        <v>1</v>
      </c>
      <c r="B17852" s="3" t="str">
        <f>HYPERLINK("https://otsuka-europe-crm.veevavault.com/ui/#object/approved_document__v/V5O00000000D106", "Postal Navidad 2025")</f>
        <v>Postal Navidad 2025</v>
      </c>
      <c r="C17852" s="3" t="str">
        <f>HYPERLINK("https://otsuka-europe-crm.veevavault.com/ui/#object/sent_email__v/VBL000000012522", "SE-001399091")</f>
        <v>SE-001399091</v>
      </c>
      <c r="D17852" s="1" t="s">
        <v>0</v>
      </c>
      <c r="E17852" s="2">
        <v>0</v>
      </c>
      <c r="F17852" s="2">
        <v>0</v>
      </c>
      <c r="G17852" s="2">
        <v>0</v>
      </c>
      <c r="H17852" s="1" t="s">
        <v>0</v>
      </c>
      <c r="I17852" s="2">
        <v>0</v>
      </c>
      <c r="J17852" s="1">
        <v>46015.461574074077</v>
      </c>
    </row>
    <row r="17853" spans="1:10" x14ac:dyDescent="0.2">
      <c r="A17853" s="4" t="s">
        <v>1</v>
      </c>
      <c r="B17853" s="3" t="str">
        <f>HYPERLINK("https://otsuka-europe-crm.veevavault.com/ui/#object/approved_document__v/V5O00000000D106", "Postal Navidad 2025")</f>
        <v>Postal Navidad 2025</v>
      </c>
      <c r="C17853" s="3" t="str">
        <f>HYPERLINK("https://otsuka-europe-crm.veevavault.com/ui/#object/sent_email__v/VBL000000012523", "SE-001399092")</f>
        <v>SE-001399092</v>
      </c>
      <c r="D17853" s="1">
        <v>46028.353009259263</v>
      </c>
      <c r="E17853" s="2">
        <v>1</v>
      </c>
      <c r="F17853" s="2">
        <v>5</v>
      </c>
      <c r="G17853" s="2">
        <v>0</v>
      </c>
      <c r="H17853" s="1" t="s">
        <v>0</v>
      </c>
      <c r="I17853" s="2">
        <v>0</v>
      </c>
      <c r="J17853" s="1">
        <v>46015.461516203701</v>
      </c>
    </row>
    <row r="17854" spans="1:10" x14ac:dyDescent="0.2">
      <c r="A17854" s="4" t="s">
        <v>1</v>
      </c>
      <c r="B17854" s="3" t="str">
        <f>HYPERLINK("https://otsuka-europe-crm.veevavault.com/ui/#object/approved_document__v/V5O00000000D106", "Postal Navidad 2025")</f>
        <v>Postal Navidad 2025</v>
      </c>
      <c r="C17854" s="3" t="str">
        <f>HYPERLINK("https://otsuka-europe-crm.veevavault.com/ui/#object/sent_email__v/VBL000000012524", "SE-001399093")</f>
        <v>SE-001399093</v>
      </c>
      <c r="D17854" s="1" t="s">
        <v>0</v>
      </c>
      <c r="E17854" s="2">
        <v>0</v>
      </c>
      <c r="F17854" s="2">
        <v>0</v>
      </c>
      <c r="G17854" s="2">
        <v>0</v>
      </c>
      <c r="H17854" s="1" t="s">
        <v>0</v>
      </c>
      <c r="I17854" s="2">
        <v>0</v>
      </c>
      <c r="J17854" s="1">
        <v>46015.461597222224</v>
      </c>
    </row>
    <row r="17855" spans="1:10" x14ac:dyDescent="0.2">
      <c r="A17855" s="4" t="s">
        <v>1</v>
      </c>
      <c r="B17855" s="3" t="str">
        <f>HYPERLINK("https://otsuka-europe-crm.veevavault.com/ui/#object/approved_document__v/V5O00000000D106", "Postal Navidad 2025")</f>
        <v>Postal Navidad 2025</v>
      </c>
      <c r="C17855" s="3" t="str">
        <f>HYPERLINK("https://otsuka-europe-crm.veevavault.com/ui/#object/sent_email__v/VBL000000012525", "SE-001399094")</f>
        <v>SE-001399094</v>
      </c>
      <c r="D17855" s="1" t="s">
        <v>0</v>
      </c>
      <c r="E17855" s="2">
        <v>0</v>
      </c>
      <c r="F17855" s="2">
        <v>0</v>
      </c>
      <c r="G17855" s="2">
        <v>0</v>
      </c>
      <c r="H17855" s="1" t="s">
        <v>0</v>
      </c>
      <c r="I17855" s="2">
        <v>0</v>
      </c>
      <c r="J17855" s="1">
        <v>46015.46166666667</v>
      </c>
    </row>
    <row r="17856" spans="1:10" x14ac:dyDescent="0.2">
      <c r="A17856" s="4" t="s">
        <v>1</v>
      </c>
      <c r="B17856" s="3" t="str">
        <f>HYPERLINK("https://otsuka-europe-crm.veevavault.com/ui/#object/approved_document__v/V5O00000000D106", "Postal Navidad 2025")</f>
        <v>Postal Navidad 2025</v>
      </c>
      <c r="C17856" s="3" t="str">
        <f>HYPERLINK("https://otsuka-europe-crm.veevavault.com/ui/#object/sent_email__v/VBL000000012526", "SE-001399095")</f>
        <v>SE-001399095</v>
      </c>
      <c r="D17856" s="1">
        <v>46017.009317129632</v>
      </c>
      <c r="E17856" s="2">
        <v>1</v>
      </c>
      <c r="F17856" s="2">
        <v>2</v>
      </c>
      <c r="G17856" s="2">
        <v>0</v>
      </c>
      <c r="H17856" s="1" t="s">
        <v>0</v>
      </c>
      <c r="I17856" s="2">
        <v>0</v>
      </c>
      <c r="J17856" s="1">
        <v>46015.461724537039</v>
      </c>
    </row>
    <row r="17857" spans="1:10" x14ac:dyDescent="0.2">
      <c r="A17857" s="4" t="s">
        <v>1</v>
      </c>
      <c r="B17857" s="3" t="str">
        <f>HYPERLINK("https://otsuka-europe-crm.veevavault.com/ui/#object/approved_document__v/V5O00000000D106", "Postal Navidad 2025")</f>
        <v>Postal Navidad 2025</v>
      </c>
      <c r="C17857" s="3" t="str">
        <f>HYPERLINK("https://otsuka-europe-crm.veevavault.com/ui/#object/sent_email__v/VBL000000012527", "SE-001399096")</f>
        <v>SE-001399096</v>
      </c>
      <c r="D17857" s="1">
        <v>46017.648356481484</v>
      </c>
      <c r="E17857" s="2">
        <v>1</v>
      </c>
      <c r="F17857" s="2">
        <v>2</v>
      </c>
      <c r="G17857" s="2">
        <v>0</v>
      </c>
      <c r="H17857" s="1" t="s">
        <v>0</v>
      </c>
      <c r="I17857" s="2">
        <v>0</v>
      </c>
      <c r="J17857" s="1">
        <v>46015.461793981478</v>
      </c>
    </row>
    <row r="17858" spans="1:10" x14ac:dyDescent="0.2">
      <c r="A17858" s="4" t="s">
        <v>1</v>
      </c>
      <c r="B17858" s="3" t="str">
        <f>HYPERLINK("https://otsuka-europe-crm.veevavault.com/ui/#object/approved_document__v/V5O00000000D106", "Postal Navidad 2025")</f>
        <v>Postal Navidad 2025</v>
      </c>
      <c r="C17858" s="3" t="str">
        <f>HYPERLINK("https://otsuka-europe-crm.veevavault.com/ui/#object/sent_email__v/VBL000000012528", "SE-001399097")</f>
        <v>SE-001399097</v>
      </c>
      <c r="D17858" s="1" t="s">
        <v>0</v>
      </c>
      <c r="E17858" s="2">
        <v>0</v>
      </c>
      <c r="F17858" s="2">
        <v>0</v>
      </c>
      <c r="G17858" s="2">
        <v>0</v>
      </c>
      <c r="H17858" s="1" t="s">
        <v>0</v>
      </c>
      <c r="I17858" s="2">
        <v>0</v>
      </c>
      <c r="J17858" s="1">
        <v>46015.461828703701</v>
      </c>
    </row>
    <row r="17859" spans="1:10" x14ac:dyDescent="0.2">
      <c r="A17859" s="4" t="s">
        <v>1</v>
      </c>
      <c r="B17859" s="3" t="str">
        <f>HYPERLINK("https://otsuka-europe-crm.veevavault.com/ui/#object/approved_document__v/V5O00000000D106", "Postal Navidad 2025")</f>
        <v>Postal Navidad 2025</v>
      </c>
      <c r="C17859" s="3" t="str">
        <f>HYPERLINK("https://otsuka-europe-crm.veevavault.com/ui/#object/sent_email__v/VBL000000012529", "SE-001399098")</f>
        <v>SE-001399098</v>
      </c>
      <c r="D17859" s="1" t="s">
        <v>0</v>
      </c>
      <c r="E17859" s="2">
        <v>0</v>
      </c>
      <c r="F17859" s="2">
        <v>0</v>
      </c>
      <c r="G17859" s="2">
        <v>0</v>
      </c>
      <c r="H17859" s="1" t="s">
        <v>0</v>
      </c>
      <c r="I17859" s="2">
        <v>0</v>
      </c>
      <c r="J17859" s="1">
        <v>46015.461875000001</v>
      </c>
    </row>
    <row r="17860" spans="1:10" x14ac:dyDescent="0.2">
      <c r="A17860" s="4" t="s">
        <v>1</v>
      </c>
      <c r="B17860" s="3" t="str">
        <f>HYPERLINK("https://otsuka-europe-crm.veevavault.com/ui/#object/approved_document__v/V5O00000000D106", "Postal Navidad 2025")</f>
        <v>Postal Navidad 2025</v>
      </c>
      <c r="C17860" s="3" t="str">
        <f>HYPERLINK("https://otsuka-europe-crm.veevavault.com/ui/#object/sent_email__v/VBL000000012530", "SE-001399099")</f>
        <v>SE-001399099</v>
      </c>
      <c r="D17860" s="1">
        <v>46016.815162037034</v>
      </c>
      <c r="E17860" s="2">
        <v>1</v>
      </c>
      <c r="F17860" s="2">
        <v>1</v>
      </c>
      <c r="G17860" s="2">
        <v>0</v>
      </c>
      <c r="H17860" s="1" t="s">
        <v>0</v>
      </c>
      <c r="I17860" s="2">
        <v>0</v>
      </c>
      <c r="J17860" s="1">
        <v>46015.461909722224</v>
      </c>
    </row>
    <row r="17861" spans="1:10" x14ac:dyDescent="0.2">
      <c r="A17861" s="4" t="s">
        <v>1</v>
      </c>
      <c r="B17861" s="3" t="str">
        <f>HYPERLINK("https://otsuka-europe-crm.veevavault.com/ui/#object/approved_document__v/V5O00000000D106", "Postal Navidad 2025")</f>
        <v>Postal Navidad 2025</v>
      </c>
      <c r="C17861" s="3" t="str">
        <f>HYPERLINK("https://otsuka-europe-crm.veevavault.com/ui/#object/sent_email__v/VBL000000012531", "SE-001399100")</f>
        <v>SE-001399100</v>
      </c>
      <c r="D17861" s="1">
        <v>46015.494791666664</v>
      </c>
      <c r="E17861" s="2">
        <v>1</v>
      </c>
      <c r="F17861" s="2">
        <v>1</v>
      </c>
      <c r="G17861" s="2">
        <v>0</v>
      </c>
      <c r="H17861" s="1" t="s">
        <v>0</v>
      </c>
      <c r="I17861" s="2">
        <v>0</v>
      </c>
      <c r="J17861" s="1">
        <v>46015.461944444447</v>
      </c>
    </row>
    <row r="17862" spans="1:10" x14ac:dyDescent="0.2">
      <c r="A17862" s="4" t="s">
        <v>1</v>
      </c>
      <c r="B17862" s="3" t="str">
        <f>HYPERLINK("https://otsuka-europe-crm.veevavault.com/ui/#object/approved_document__v/V5O00000000D106", "Postal Navidad 2025")</f>
        <v>Postal Navidad 2025</v>
      </c>
      <c r="C17862" s="3" t="str">
        <f>HYPERLINK("https://otsuka-europe-crm.veevavault.com/ui/#object/sent_email__v/VBL000000012532", "SE-001399101")</f>
        <v>SE-001399101</v>
      </c>
      <c r="D17862" s="1" t="s">
        <v>0</v>
      </c>
      <c r="E17862" s="2">
        <v>0</v>
      </c>
      <c r="F17862" s="2">
        <v>0</v>
      </c>
      <c r="G17862" s="2">
        <v>0</v>
      </c>
      <c r="H17862" s="1" t="s">
        <v>0</v>
      </c>
      <c r="I17862" s="2">
        <v>0</v>
      </c>
      <c r="J17862" s="1">
        <v>46015.46199074074</v>
      </c>
    </row>
    <row r="17863" spans="1:10" x14ac:dyDescent="0.2">
      <c r="A17863" s="4" t="s">
        <v>1</v>
      </c>
      <c r="B17863" s="3" t="str">
        <f>HYPERLINK("https://otsuka-europe-crm.veevavault.com/ui/#object/approved_document__v/V5O00000000D106", "Postal Navidad 2025")</f>
        <v>Postal Navidad 2025</v>
      </c>
      <c r="C17863" s="3" t="str">
        <f>HYPERLINK("https://otsuka-europe-crm.veevavault.com/ui/#object/sent_email__v/VBL000000012533", "SE-001399102")</f>
        <v>SE-001399102</v>
      </c>
      <c r="D17863" s="1">
        <v>46015.480358796296</v>
      </c>
      <c r="E17863" s="2">
        <v>1</v>
      </c>
      <c r="F17863" s="2">
        <v>1</v>
      </c>
      <c r="G17863" s="2">
        <v>0</v>
      </c>
      <c r="H17863" s="1" t="s">
        <v>0</v>
      </c>
      <c r="I17863" s="2">
        <v>0</v>
      </c>
      <c r="J17863" s="1">
        <v>46015.462025462963</v>
      </c>
    </row>
    <row r="17864" spans="1:10" x14ac:dyDescent="0.2">
      <c r="A17864" s="4" t="s">
        <v>1</v>
      </c>
      <c r="B17864" s="3" t="str">
        <f>HYPERLINK("https://otsuka-europe-crm.veevavault.com/ui/#object/approved_document__v/V5O00000000D106", "Postal Navidad 2025")</f>
        <v>Postal Navidad 2025</v>
      </c>
      <c r="C17864" s="3" t="str">
        <f>HYPERLINK("https://otsuka-europe-crm.veevavault.com/ui/#object/sent_email__v/VBL000000012534", "SE-001399103")</f>
        <v>SE-001399103</v>
      </c>
      <c r="D17864" s="1">
        <v>46018.328946759262</v>
      </c>
      <c r="E17864" s="2">
        <v>1</v>
      </c>
      <c r="F17864" s="2">
        <v>3</v>
      </c>
      <c r="G17864" s="2">
        <v>0</v>
      </c>
      <c r="H17864" s="1" t="s">
        <v>0</v>
      </c>
      <c r="I17864" s="2">
        <v>0</v>
      </c>
      <c r="J17864" s="1">
        <v>46015.462071759262</v>
      </c>
    </row>
    <row r="17865" spans="1:10" x14ac:dyDescent="0.2">
      <c r="A17865" s="4" t="s">
        <v>1</v>
      </c>
      <c r="B17865" s="3" t="str">
        <f>HYPERLINK("https://otsuka-europe-crm.veevavault.com/ui/#object/approved_document__v/V5O00000000D106", "Postal Navidad 2025")</f>
        <v>Postal Navidad 2025</v>
      </c>
      <c r="C17865" s="3" t="str">
        <f>HYPERLINK("https://otsuka-europe-crm.veevavault.com/ui/#object/sent_email__v/VBL000000012535", "SE-001399104")</f>
        <v>SE-001399104</v>
      </c>
      <c r="D17865" s="1">
        <v>46019.688460648147</v>
      </c>
      <c r="E17865" s="2">
        <v>1</v>
      </c>
      <c r="F17865" s="2">
        <v>1</v>
      </c>
      <c r="G17865" s="2">
        <v>0</v>
      </c>
      <c r="H17865" s="1" t="s">
        <v>0</v>
      </c>
      <c r="I17865" s="2">
        <v>0</v>
      </c>
      <c r="J17865" s="1">
        <v>46015.462106481478</v>
      </c>
    </row>
    <row r="17866" spans="1:10" x14ac:dyDescent="0.2">
      <c r="A17866" s="4" t="s">
        <v>1</v>
      </c>
      <c r="B17866" s="3" t="str">
        <f>HYPERLINK("https://otsuka-europe-crm.veevavault.com/ui/#object/approved_document__v/V5O00000000D106", "Postal Navidad 2025")</f>
        <v>Postal Navidad 2025</v>
      </c>
      <c r="C17866" s="3" t="str">
        <f>HYPERLINK("https://otsuka-europe-crm.veevavault.com/ui/#object/sent_email__v/VBL000000012536", "SE-001399105")</f>
        <v>SE-001399105</v>
      </c>
      <c r="D17866" s="1">
        <v>46015.696608796294</v>
      </c>
      <c r="E17866" s="2">
        <v>1</v>
      </c>
      <c r="F17866" s="2">
        <v>1</v>
      </c>
      <c r="G17866" s="2">
        <v>0</v>
      </c>
      <c r="H17866" s="1" t="s">
        <v>0</v>
      </c>
      <c r="I17866" s="2">
        <v>0</v>
      </c>
      <c r="J17866" s="1">
        <v>46015.462152777778</v>
      </c>
    </row>
    <row r="17867" spans="1:10" x14ac:dyDescent="0.2">
      <c r="A17867" s="4" t="s">
        <v>1</v>
      </c>
      <c r="B17867" s="3" t="str">
        <f>HYPERLINK("https://otsuka-europe-crm.veevavault.com/ui/#object/approved_document__v/V5O00000000D106", "Postal Navidad 2025")</f>
        <v>Postal Navidad 2025</v>
      </c>
      <c r="C17867" s="3" t="str">
        <f>HYPERLINK("https://otsuka-europe-crm.veevavault.com/ui/#object/sent_email__v/VBL000000012537", "SE-001399106")</f>
        <v>SE-001399106</v>
      </c>
      <c r="D17867" s="1">
        <v>46016.036909722221</v>
      </c>
      <c r="E17867" s="2">
        <v>1</v>
      </c>
      <c r="F17867" s="2">
        <v>2</v>
      </c>
      <c r="G17867" s="2">
        <v>0</v>
      </c>
      <c r="H17867" s="1" t="s">
        <v>0</v>
      </c>
      <c r="I17867" s="2">
        <v>0</v>
      </c>
      <c r="J17867" s="1">
        <v>46015.462187500001</v>
      </c>
    </row>
    <row r="17868" spans="1:10" x14ac:dyDescent="0.2">
      <c r="A17868" s="4" t="s">
        <v>1</v>
      </c>
      <c r="B17868" s="3" t="str">
        <f>HYPERLINK("https://otsuka-europe-crm.veevavault.com/ui/#object/approved_document__v/V5O00000000D106", "Postal Navidad 2025")</f>
        <v>Postal Navidad 2025</v>
      </c>
      <c r="C17868" s="3" t="str">
        <f>HYPERLINK("https://otsuka-europe-crm.veevavault.com/ui/#object/sent_email__v/VBL000000012538", "SE-001399107")</f>
        <v>SE-001399107</v>
      </c>
      <c r="D17868" s="1" t="s">
        <v>0</v>
      </c>
      <c r="E17868" s="2">
        <v>0</v>
      </c>
      <c r="F17868" s="2">
        <v>0</v>
      </c>
      <c r="G17868" s="2">
        <v>0</v>
      </c>
      <c r="H17868" s="1" t="s">
        <v>0</v>
      </c>
      <c r="I17868" s="2">
        <v>0</v>
      </c>
      <c r="J17868" s="1">
        <v>46015.462233796294</v>
      </c>
    </row>
    <row r="17869" spans="1:10" x14ac:dyDescent="0.2">
      <c r="A17869" s="4" t="s">
        <v>1</v>
      </c>
      <c r="B17869" s="3" t="str">
        <f>HYPERLINK("https://otsuka-europe-crm.veevavault.com/ui/#object/approved_document__v/V5O00000000D106", "Postal Navidad 2025")</f>
        <v>Postal Navidad 2025</v>
      </c>
      <c r="C17869" s="3" t="str">
        <f>HYPERLINK("https://otsuka-europe-crm.veevavault.com/ui/#object/sent_email__v/VBL000000012539", "SE-001399108")</f>
        <v>SE-001399108</v>
      </c>
      <c r="D17869" s="1">
        <v>46027.086643518516</v>
      </c>
      <c r="E17869" s="2">
        <v>1</v>
      </c>
      <c r="F17869" s="2">
        <v>2</v>
      </c>
      <c r="G17869" s="2">
        <v>0</v>
      </c>
      <c r="H17869" s="1" t="s">
        <v>0</v>
      </c>
      <c r="I17869" s="2">
        <v>0</v>
      </c>
      <c r="J17869" s="1">
        <v>46015.462256944447</v>
      </c>
    </row>
    <row r="17870" spans="1:10" x14ac:dyDescent="0.2">
      <c r="A17870" s="4" t="s">
        <v>1</v>
      </c>
      <c r="B17870" s="3" t="str">
        <f>HYPERLINK("https://otsuka-europe-crm.veevavault.com/ui/#object/approved_document__v/V5O00000000D106", "Postal Navidad 2025")</f>
        <v>Postal Navidad 2025</v>
      </c>
      <c r="C17870" s="3" t="str">
        <f>HYPERLINK("https://otsuka-europe-crm.veevavault.com/ui/#object/sent_email__v/VBL000000012540", "SE-001399109")</f>
        <v>SE-001399109</v>
      </c>
      <c r="D17870" s="1">
        <v>46015.470370370371</v>
      </c>
      <c r="E17870" s="2">
        <v>1</v>
      </c>
      <c r="F17870" s="2">
        <v>1</v>
      </c>
      <c r="G17870" s="2">
        <v>0</v>
      </c>
      <c r="H17870" s="1" t="s">
        <v>0</v>
      </c>
      <c r="I17870" s="2">
        <v>0</v>
      </c>
      <c r="J17870" s="1">
        <v>46015.462291666663</v>
      </c>
    </row>
    <row r="17871" spans="1:10" x14ac:dyDescent="0.2">
      <c r="A17871" s="4" t="s">
        <v>1</v>
      </c>
      <c r="B17871" s="3" t="str">
        <f>HYPERLINK("https://otsuka-europe-crm.veevavault.com/ui/#object/approved_document__v/V5O00000000D106", "Postal Navidad 2025")</f>
        <v>Postal Navidad 2025</v>
      </c>
      <c r="C17871" s="3" t="str">
        <f>HYPERLINK("https://otsuka-europe-crm.veevavault.com/ui/#object/sent_email__v/VBL000000012541", "SE-001399110")</f>
        <v>SE-001399110</v>
      </c>
      <c r="D17871" s="1" t="s">
        <v>0</v>
      </c>
      <c r="E17871" s="2">
        <v>0</v>
      </c>
      <c r="F17871" s="2">
        <v>0</v>
      </c>
      <c r="G17871" s="2">
        <v>0</v>
      </c>
      <c r="H17871" s="1" t="s">
        <v>0</v>
      </c>
      <c r="I17871" s="2">
        <v>0</v>
      </c>
      <c r="J17871" s="1">
        <v>46015.462326388886</v>
      </c>
    </row>
    <row r="17872" spans="1:10" x14ac:dyDescent="0.2">
      <c r="A17872" s="4" t="s">
        <v>1</v>
      </c>
      <c r="B17872" s="3" t="str">
        <f>HYPERLINK("https://otsuka-europe-crm.veevavault.com/ui/#object/approved_document__v/V5O00000000D106", "Postal Navidad 2025")</f>
        <v>Postal Navidad 2025</v>
      </c>
      <c r="C17872" s="3" t="str">
        <f>HYPERLINK("https://otsuka-europe-crm.veevavault.com/ui/#object/sent_email__v/VBL000000012542", "SE-001399111")</f>
        <v>SE-001399111</v>
      </c>
      <c r="D17872" s="1">
        <v>46015.581423611111</v>
      </c>
      <c r="E17872" s="2">
        <v>1</v>
      </c>
      <c r="F17872" s="2">
        <v>1</v>
      </c>
      <c r="G17872" s="2">
        <v>0</v>
      </c>
      <c r="H17872" s="1" t="s">
        <v>0</v>
      </c>
      <c r="I17872" s="2">
        <v>0</v>
      </c>
      <c r="J17872" s="1">
        <v>46015.462361111109</v>
      </c>
    </row>
    <row r="17873" spans="1:10" x14ac:dyDescent="0.2">
      <c r="A17873" s="4" t="s">
        <v>1</v>
      </c>
      <c r="B17873" s="3" t="str">
        <f>HYPERLINK("https://otsuka-europe-crm.veevavault.com/ui/#object/approved_document__v/V5O00000000D106", "Postal Navidad 2025")</f>
        <v>Postal Navidad 2025</v>
      </c>
      <c r="C17873" s="3" t="str">
        <f>HYPERLINK("https://otsuka-europe-crm.veevavault.com/ui/#object/sent_email__v/VBL000000012543", "SE-001399112")</f>
        <v>SE-001399112</v>
      </c>
      <c r="D17873" s="1">
        <v>46061.505520833336</v>
      </c>
      <c r="E17873" s="2">
        <v>1</v>
      </c>
      <c r="F17873" s="2">
        <v>3</v>
      </c>
      <c r="G17873" s="2">
        <v>0</v>
      </c>
      <c r="H17873" s="1" t="s">
        <v>0</v>
      </c>
      <c r="I17873" s="2">
        <v>0</v>
      </c>
      <c r="J17873" s="1">
        <v>46015.462407407409</v>
      </c>
    </row>
    <row r="17874" spans="1:10" x14ac:dyDescent="0.2">
      <c r="A17874" s="4" t="s">
        <v>1</v>
      </c>
      <c r="B17874" s="3" t="str">
        <f>HYPERLINK("https://otsuka-europe-crm.veevavault.com/ui/#object/approved_document__v/V5O00000000D106", "Postal Navidad 2025")</f>
        <v>Postal Navidad 2025</v>
      </c>
      <c r="C17874" s="3" t="str">
        <f>HYPERLINK("https://otsuka-europe-crm.veevavault.com/ui/#object/sent_email__v/VBL000000012544", "SE-001399113")</f>
        <v>SE-001399113</v>
      </c>
      <c r="D17874" s="1">
        <v>46015.499652777777</v>
      </c>
      <c r="E17874" s="2">
        <v>1</v>
      </c>
      <c r="F17874" s="2">
        <v>2</v>
      </c>
      <c r="G17874" s="2">
        <v>0</v>
      </c>
      <c r="H17874" s="1" t="s">
        <v>0</v>
      </c>
      <c r="I17874" s="2">
        <v>0</v>
      </c>
      <c r="J17874" s="1">
        <v>46015.462442129632</v>
      </c>
    </row>
    <row r="17875" spans="1:10" x14ac:dyDescent="0.2">
      <c r="A17875" s="4" t="s">
        <v>1</v>
      </c>
      <c r="B17875" s="3" t="str">
        <f>HYPERLINK("https://otsuka-europe-crm.veevavault.com/ui/#object/approved_document__v/V5O00000000D106", "Postal Navidad 2025")</f>
        <v>Postal Navidad 2025</v>
      </c>
      <c r="C17875" s="3" t="str">
        <f>HYPERLINK("https://otsuka-europe-crm.veevavault.com/ui/#object/sent_email__v/VBL000000012545", "SE-001399114")</f>
        <v>SE-001399114</v>
      </c>
      <c r="D17875" s="1" t="s">
        <v>0</v>
      </c>
      <c r="E17875" s="2">
        <v>0</v>
      </c>
      <c r="F17875" s="2">
        <v>0</v>
      </c>
      <c r="G17875" s="2">
        <v>0</v>
      </c>
      <c r="H17875" s="1" t="s">
        <v>0</v>
      </c>
      <c r="I17875" s="2">
        <v>0</v>
      </c>
      <c r="J17875" s="1">
        <v>46015.462488425925</v>
      </c>
    </row>
    <row r="17876" spans="1:10" x14ac:dyDescent="0.2">
      <c r="A17876" s="4" t="s">
        <v>1</v>
      </c>
      <c r="B17876" s="3" t="str">
        <f>HYPERLINK("https://otsuka-europe-crm.veevavault.com/ui/#object/approved_document__v/V5O00000000D106", "Postal Navidad 2025")</f>
        <v>Postal Navidad 2025</v>
      </c>
      <c r="C17876" s="3" t="str">
        <f>HYPERLINK("https://otsuka-europe-crm.veevavault.com/ui/#object/sent_email__v/VBL000000012546", "SE-001399115")</f>
        <v>SE-001399115</v>
      </c>
      <c r="D17876" s="1">
        <v>46015.818553240744</v>
      </c>
      <c r="E17876" s="2">
        <v>1</v>
      </c>
      <c r="F17876" s="2">
        <v>1</v>
      </c>
      <c r="G17876" s="2">
        <v>0</v>
      </c>
      <c r="H17876" s="1" t="s">
        <v>0</v>
      </c>
      <c r="I17876" s="2">
        <v>0</v>
      </c>
      <c r="J17876" s="1">
        <v>46015.462534722225</v>
      </c>
    </row>
    <row r="17877" spans="1:10" x14ac:dyDescent="0.2">
      <c r="A17877" s="4" t="s">
        <v>1</v>
      </c>
      <c r="B17877" s="3" t="str">
        <f>HYPERLINK("https://otsuka-europe-crm.veevavault.com/ui/#object/approved_document__v/V5O00000000D106", "Postal Navidad 2025")</f>
        <v>Postal Navidad 2025</v>
      </c>
      <c r="C17877" s="3" t="str">
        <f>HYPERLINK("https://otsuka-europe-crm.veevavault.com/ui/#object/sent_email__v/VBL000000012547", "SE-001399116")</f>
        <v>SE-001399116</v>
      </c>
      <c r="D17877" s="1">
        <v>46015.929201388892</v>
      </c>
      <c r="E17877" s="2">
        <v>1</v>
      </c>
      <c r="F17877" s="2">
        <v>1</v>
      </c>
      <c r="G17877" s="2">
        <v>0</v>
      </c>
      <c r="H17877" s="1" t="s">
        <v>0</v>
      </c>
      <c r="I17877" s="2">
        <v>0</v>
      </c>
      <c r="J17877" s="1">
        <v>46015.462569444448</v>
      </c>
    </row>
    <row r="17878" spans="1:10" x14ac:dyDescent="0.2">
      <c r="A17878" s="4" t="s">
        <v>1</v>
      </c>
      <c r="B17878" s="3" t="str">
        <f>HYPERLINK("https://otsuka-europe-crm.veevavault.com/ui/#object/approved_document__v/V5O00000000D106", "Postal Navidad 2025")</f>
        <v>Postal Navidad 2025</v>
      </c>
      <c r="C17878" s="3" t="str">
        <f>HYPERLINK("https://otsuka-europe-crm.veevavault.com/ui/#object/sent_email__v/VBL000000012548", "SE-001399117")</f>
        <v>SE-001399117</v>
      </c>
      <c r="D17878" s="1" t="s">
        <v>0</v>
      </c>
      <c r="E17878" s="2">
        <v>0</v>
      </c>
      <c r="F17878" s="2">
        <v>0</v>
      </c>
      <c r="G17878" s="2">
        <v>0</v>
      </c>
      <c r="H17878" s="1" t="s">
        <v>0</v>
      </c>
      <c r="I17878" s="2">
        <v>0</v>
      </c>
      <c r="J17878" s="1">
        <v>46015.462604166663</v>
      </c>
    </row>
    <row r="17879" spans="1:10" x14ac:dyDescent="0.2">
      <c r="A17879" s="4" t="s">
        <v>1</v>
      </c>
      <c r="B17879" s="3" t="str">
        <f>HYPERLINK("https://otsuka-europe-crm.veevavault.com/ui/#object/approved_document__v/V5O00000000D106", "Postal Navidad 2025")</f>
        <v>Postal Navidad 2025</v>
      </c>
      <c r="C17879" s="3" t="str">
        <f>HYPERLINK("https://otsuka-europe-crm.veevavault.com/ui/#object/sent_email__v/VBL000000012549", "SE-001399118")</f>
        <v>SE-001399118</v>
      </c>
      <c r="D17879" s="1">
        <v>46029.894305555557</v>
      </c>
      <c r="E17879" s="2">
        <v>1</v>
      </c>
      <c r="F17879" s="2">
        <v>3</v>
      </c>
      <c r="G17879" s="2">
        <v>0</v>
      </c>
      <c r="H17879" s="1" t="s">
        <v>0</v>
      </c>
      <c r="I17879" s="2">
        <v>0</v>
      </c>
      <c r="J17879" s="1">
        <v>46015.462638888886</v>
      </c>
    </row>
    <row r="17880" spans="1:10" x14ac:dyDescent="0.2">
      <c r="A17880" s="4" t="s">
        <v>1</v>
      </c>
      <c r="B17880" s="3" t="str">
        <f>HYPERLINK("https://otsuka-europe-crm.veevavault.com/ui/#object/approved_document__v/V5O00000000D106", "Postal Navidad 2025")</f>
        <v>Postal Navidad 2025</v>
      </c>
      <c r="C17880" s="3" t="str">
        <f>HYPERLINK("https://otsuka-europe-crm.veevavault.com/ui/#object/sent_email__v/VBL000000012550", "SE-001399119")</f>
        <v>SE-001399119</v>
      </c>
      <c r="D17880" s="1">
        <v>46058.598379629628</v>
      </c>
      <c r="E17880" s="2">
        <v>1</v>
      </c>
      <c r="F17880" s="2">
        <v>3</v>
      </c>
      <c r="G17880" s="2">
        <v>0</v>
      </c>
      <c r="H17880" s="1" t="s">
        <v>0</v>
      </c>
      <c r="I17880" s="2">
        <v>0</v>
      </c>
      <c r="J17880" s="1">
        <v>46015.462673611109</v>
      </c>
    </row>
    <row r="17881" spans="1:10" x14ac:dyDescent="0.2">
      <c r="A17881" s="4" t="s">
        <v>1</v>
      </c>
      <c r="B17881" s="3" t="str">
        <f>HYPERLINK("https://otsuka-europe-crm.veevavault.com/ui/#object/approved_document__v/V5O00000000D106", "Postal Navidad 2025")</f>
        <v>Postal Navidad 2025</v>
      </c>
      <c r="C17881" s="3" t="str">
        <f>HYPERLINK("https://otsuka-europe-crm.veevavault.com/ui/#object/sent_email__v/VBL000000012551", "SE-001399120")</f>
        <v>SE-001399120</v>
      </c>
      <c r="D17881" s="1" t="s">
        <v>0</v>
      </c>
      <c r="E17881" s="2">
        <v>0</v>
      </c>
      <c r="F17881" s="2">
        <v>0</v>
      </c>
      <c r="G17881" s="2">
        <v>0</v>
      </c>
      <c r="H17881" s="1" t="s">
        <v>0</v>
      </c>
      <c r="I17881" s="2">
        <v>0</v>
      </c>
      <c r="J17881" s="1">
        <v>46015.462719907409</v>
      </c>
    </row>
    <row r="17882" spans="1:10" x14ac:dyDescent="0.2">
      <c r="A17882" s="4" t="s">
        <v>1</v>
      </c>
      <c r="B17882" s="3" t="str">
        <f>HYPERLINK("https://otsuka-europe-crm.veevavault.com/ui/#object/approved_document__v/V5O00000000D106", "Postal Navidad 2025")</f>
        <v>Postal Navidad 2025</v>
      </c>
      <c r="C17882" s="3" t="str">
        <f>HYPERLINK("https://otsuka-europe-crm.veevavault.com/ui/#object/sent_email__v/VBL000000012552", "SE-001399121")</f>
        <v>SE-001399121</v>
      </c>
      <c r="D17882" s="1">
        <v>46015.496504629627</v>
      </c>
      <c r="E17882" s="2">
        <v>1</v>
      </c>
      <c r="F17882" s="2">
        <v>1</v>
      </c>
      <c r="G17882" s="2">
        <v>0</v>
      </c>
      <c r="H17882" s="1" t="s">
        <v>0</v>
      </c>
      <c r="I17882" s="2">
        <v>0</v>
      </c>
      <c r="J17882" s="1">
        <v>46015.462754629632</v>
      </c>
    </row>
    <row r="17883" spans="1:10" x14ac:dyDescent="0.2">
      <c r="A17883" s="4" t="s">
        <v>1</v>
      </c>
      <c r="B17883" s="3" t="str">
        <f>HYPERLINK("https://otsuka-europe-crm.veevavault.com/ui/#object/approved_document__v/V5O00000000D106", "Postal Navidad 2025")</f>
        <v>Postal Navidad 2025</v>
      </c>
      <c r="C17883" s="3" t="str">
        <f>HYPERLINK("https://otsuka-europe-crm.veevavault.com/ui/#object/sent_email__v/VBL000000012553", "SE-001399122")</f>
        <v>SE-001399122</v>
      </c>
      <c r="D17883" s="1">
        <v>46015.519560185188</v>
      </c>
      <c r="E17883" s="2">
        <v>1</v>
      </c>
      <c r="F17883" s="2">
        <v>1</v>
      </c>
      <c r="G17883" s="2">
        <v>0</v>
      </c>
      <c r="H17883" s="1" t="s">
        <v>0</v>
      </c>
      <c r="I17883" s="2">
        <v>0</v>
      </c>
      <c r="J17883" s="1">
        <v>46015.462789351855</v>
      </c>
    </row>
    <row r="17884" spans="1:10" x14ac:dyDescent="0.2">
      <c r="A17884" s="4" t="s">
        <v>1</v>
      </c>
      <c r="B17884" s="3" t="str">
        <f>HYPERLINK("https://otsuka-europe-crm.veevavault.com/ui/#object/approved_document__v/V5O00000000D106", "Postal Navidad 2025")</f>
        <v>Postal Navidad 2025</v>
      </c>
      <c r="C17884" s="3" t="str">
        <f>HYPERLINK("https://otsuka-europe-crm.veevavault.com/ui/#object/sent_email__v/VBL000000012554", "SE-001399123")</f>
        <v>SE-001399123</v>
      </c>
      <c r="D17884" s="1">
        <v>46016.562013888892</v>
      </c>
      <c r="E17884" s="2">
        <v>1</v>
      </c>
      <c r="F17884" s="2">
        <v>3</v>
      </c>
      <c r="G17884" s="2">
        <v>0</v>
      </c>
      <c r="H17884" s="1" t="s">
        <v>0</v>
      </c>
      <c r="I17884" s="2">
        <v>0</v>
      </c>
      <c r="J17884" s="1">
        <v>46015.462835648148</v>
      </c>
    </row>
    <row r="17885" spans="1:10" x14ac:dyDescent="0.2">
      <c r="A17885" s="4" t="s">
        <v>1</v>
      </c>
      <c r="B17885" s="3" t="str">
        <f>HYPERLINK("https://otsuka-europe-crm.veevavault.com/ui/#object/approved_document__v/V5O00000000D106", "Postal Navidad 2025")</f>
        <v>Postal Navidad 2025</v>
      </c>
      <c r="C17885" s="3" t="str">
        <f>HYPERLINK("https://otsuka-europe-crm.veevavault.com/ui/#object/sent_email__v/VBL000000012555", "SE-001399124")</f>
        <v>SE-001399124</v>
      </c>
      <c r="D17885" s="1" t="s">
        <v>0</v>
      </c>
      <c r="E17885" s="2">
        <v>0</v>
      </c>
      <c r="F17885" s="2">
        <v>0</v>
      </c>
      <c r="G17885" s="2">
        <v>0</v>
      </c>
      <c r="H17885" s="1" t="s">
        <v>0</v>
      </c>
      <c r="I17885" s="2">
        <v>0</v>
      </c>
      <c r="J17885" s="1">
        <v>46015.462870370371</v>
      </c>
    </row>
    <row r="17886" spans="1:10" x14ac:dyDescent="0.2">
      <c r="A17886" s="4" t="s">
        <v>1</v>
      </c>
      <c r="B17886" s="3" t="str">
        <f>HYPERLINK("https://otsuka-europe-crm.veevavault.com/ui/#object/approved_document__v/V5O00000000D106", "Postal Navidad 2025")</f>
        <v>Postal Navidad 2025</v>
      </c>
      <c r="C17886" s="3" t="str">
        <f>HYPERLINK("https://otsuka-europe-crm.veevavault.com/ui/#object/sent_email__v/VBL000000012556", "SE-001399125")</f>
        <v>SE-001399125</v>
      </c>
      <c r="D17886" s="1">
        <v>46017.517916666664</v>
      </c>
      <c r="E17886" s="2">
        <v>1</v>
      </c>
      <c r="F17886" s="2">
        <v>1</v>
      </c>
      <c r="G17886" s="2">
        <v>0</v>
      </c>
      <c r="H17886" s="1" t="s">
        <v>0</v>
      </c>
      <c r="I17886" s="2">
        <v>0</v>
      </c>
      <c r="J17886" s="1">
        <v>46015.462905092594</v>
      </c>
    </row>
    <row r="17887" spans="1:10" x14ac:dyDescent="0.2">
      <c r="A17887" s="4" t="s">
        <v>1</v>
      </c>
      <c r="B17887" s="3" t="str">
        <f>HYPERLINK("https://otsuka-europe-crm.veevavault.com/ui/#object/approved_document__v/V5O00000000D106", "Postal Navidad 2025")</f>
        <v>Postal Navidad 2025</v>
      </c>
      <c r="C17887" s="3" t="str">
        <f>HYPERLINK("https://otsuka-europe-crm.veevavault.com/ui/#object/sent_email__v/VBL000000012557", "SE-001399126")</f>
        <v>SE-001399126</v>
      </c>
      <c r="D17887" s="1">
        <v>46016.881261574075</v>
      </c>
      <c r="E17887" s="2">
        <v>1</v>
      </c>
      <c r="F17887" s="2">
        <v>1</v>
      </c>
      <c r="G17887" s="2">
        <v>0</v>
      </c>
      <c r="H17887" s="1" t="s">
        <v>0</v>
      </c>
      <c r="I17887" s="2">
        <v>0</v>
      </c>
      <c r="J17887" s="1">
        <v>46015.462939814817</v>
      </c>
    </row>
    <row r="17888" spans="1:10" x14ac:dyDescent="0.2">
      <c r="A17888" s="4" t="s">
        <v>1</v>
      </c>
      <c r="B17888" s="3" t="str">
        <f>HYPERLINK("https://otsuka-europe-crm.veevavault.com/ui/#object/approved_document__v/V5O00000000D106", "Postal Navidad 2025")</f>
        <v>Postal Navidad 2025</v>
      </c>
      <c r="C17888" s="3" t="str">
        <f>HYPERLINK("https://otsuka-europe-crm.veevavault.com/ui/#object/sent_email__v/VBL000000012558", "SE-001399127")</f>
        <v>SE-001399127</v>
      </c>
      <c r="D17888" s="1" t="s">
        <v>0</v>
      </c>
      <c r="E17888" s="2">
        <v>0</v>
      </c>
      <c r="F17888" s="2">
        <v>0</v>
      </c>
      <c r="G17888" s="2">
        <v>0</v>
      </c>
      <c r="H17888" s="1" t="s">
        <v>0</v>
      </c>
      <c r="I17888" s="2">
        <v>0</v>
      </c>
      <c r="J17888" s="1">
        <v>46015.46297453704</v>
      </c>
    </row>
    <row r="17889" spans="1:10" x14ac:dyDescent="0.2">
      <c r="A17889" s="4" t="s">
        <v>1</v>
      </c>
      <c r="B17889" s="3" t="str">
        <f>HYPERLINK("https://otsuka-europe-crm.veevavault.com/ui/#object/approved_document__v/V5O00000000D106", "Postal Navidad 2025")</f>
        <v>Postal Navidad 2025</v>
      </c>
      <c r="C17889" s="3" t="str">
        <f>HYPERLINK("https://otsuka-europe-crm.veevavault.com/ui/#object/sent_email__v/VBL000000012559", "SE-001399128")</f>
        <v>SE-001399128</v>
      </c>
      <c r="D17889" s="1" t="s">
        <v>0</v>
      </c>
      <c r="E17889" s="2">
        <v>0</v>
      </c>
      <c r="F17889" s="2">
        <v>0</v>
      </c>
      <c r="G17889" s="2">
        <v>0</v>
      </c>
      <c r="H17889" s="1" t="s">
        <v>0</v>
      </c>
      <c r="I17889" s="2">
        <v>0</v>
      </c>
      <c r="J17889" s="1">
        <v>46015.463009259256</v>
      </c>
    </row>
    <row r="17890" spans="1:10" x14ac:dyDescent="0.2">
      <c r="A17890" s="4" t="s">
        <v>1</v>
      </c>
      <c r="B17890" s="3" t="str">
        <f>HYPERLINK("https://otsuka-europe-crm.veevavault.com/ui/#object/approved_document__v/V5O00000000D106", "Postal Navidad 2025")</f>
        <v>Postal Navidad 2025</v>
      </c>
      <c r="C17890" s="3" t="str">
        <f>HYPERLINK("https://otsuka-europe-crm.veevavault.com/ui/#object/sent_email__v/VBL000000012560", "SE-001399129")</f>
        <v>SE-001399129</v>
      </c>
      <c r="D17890" s="1">
        <v>46017.769456018519</v>
      </c>
      <c r="E17890" s="2">
        <v>1</v>
      </c>
      <c r="F17890" s="2">
        <v>1</v>
      </c>
      <c r="G17890" s="2">
        <v>0</v>
      </c>
      <c r="H17890" s="1" t="s">
        <v>0</v>
      </c>
      <c r="I17890" s="2">
        <v>0</v>
      </c>
      <c r="J17890" s="1">
        <v>46015.463078703702</v>
      </c>
    </row>
    <row r="17891" spans="1:10" x14ac:dyDescent="0.2">
      <c r="A17891" s="4" t="s">
        <v>1</v>
      </c>
      <c r="B17891" s="3" t="str">
        <f>HYPERLINK("https://otsuka-europe-crm.veevavault.com/ui/#object/approved_document__v/V5O00000000D106", "Postal Navidad 2025")</f>
        <v>Postal Navidad 2025</v>
      </c>
      <c r="C17891" s="3" t="str">
        <f>HYPERLINK("https://otsuka-europe-crm.veevavault.com/ui/#object/sent_email__v/VBL000000012561", "SE-001399130")</f>
        <v>SE-001399130</v>
      </c>
      <c r="D17891" s="1">
        <v>46015.469571759262</v>
      </c>
      <c r="E17891" s="2">
        <v>1</v>
      </c>
      <c r="F17891" s="2">
        <v>1</v>
      </c>
      <c r="G17891" s="2">
        <v>0</v>
      </c>
      <c r="H17891" s="1" t="s">
        <v>0</v>
      </c>
      <c r="I17891" s="2">
        <v>0</v>
      </c>
      <c r="J17891" s="1">
        <v>46015.463148148148</v>
      </c>
    </row>
    <row r="17892" spans="1:10" x14ac:dyDescent="0.2">
      <c r="A17892" s="4" t="s">
        <v>1</v>
      </c>
      <c r="B17892" s="3" t="str">
        <f>HYPERLINK("https://otsuka-europe-crm.veevavault.com/ui/#object/approved_document__v/V5O00000000D106", "Postal Navidad 2025")</f>
        <v>Postal Navidad 2025</v>
      </c>
      <c r="C17892" s="3" t="str">
        <f>HYPERLINK("https://otsuka-europe-crm.veevavault.com/ui/#object/sent_email__v/VBL000000012562", "SE-001399131")</f>
        <v>SE-001399131</v>
      </c>
      <c r="D17892" s="1" t="s">
        <v>0</v>
      </c>
      <c r="E17892" s="2">
        <v>0</v>
      </c>
      <c r="F17892" s="2">
        <v>0</v>
      </c>
      <c r="G17892" s="2">
        <v>0</v>
      </c>
      <c r="H17892" s="1" t="s">
        <v>0</v>
      </c>
      <c r="I17892" s="2">
        <v>0</v>
      </c>
      <c r="J17892" s="1">
        <v>46015.463217592594</v>
      </c>
    </row>
    <row r="17893" spans="1:10" x14ac:dyDescent="0.2">
      <c r="A17893" s="4" t="s">
        <v>1</v>
      </c>
      <c r="B17893" s="3" t="str">
        <f>HYPERLINK("https://otsuka-europe-crm.veevavault.com/ui/#object/approved_document__v/V5O00000000D106", "Postal Navidad 2025")</f>
        <v>Postal Navidad 2025</v>
      </c>
      <c r="C17893" s="3" t="str">
        <f>HYPERLINK("https://otsuka-europe-crm.veevavault.com/ui/#object/sent_email__v/VBL000000012563", "SE-001399132")</f>
        <v>SE-001399132</v>
      </c>
      <c r="D17893" s="1" t="s">
        <v>0</v>
      </c>
      <c r="E17893" s="2">
        <v>0</v>
      </c>
      <c r="F17893" s="2">
        <v>0</v>
      </c>
      <c r="G17893" s="2">
        <v>0</v>
      </c>
      <c r="H17893" s="1" t="s">
        <v>0</v>
      </c>
      <c r="I17893" s="2">
        <v>0</v>
      </c>
      <c r="J17893" s="1">
        <v>46015.463275462964</v>
      </c>
    </row>
    <row r="17894" spans="1:10" x14ac:dyDescent="0.2">
      <c r="A17894" s="4" t="s">
        <v>1</v>
      </c>
      <c r="B17894" s="3" t="str">
        <f>HYPERLINK("https://otsuka-europe-crm.veevavault.com/ui/#object/approved_document__v/V5O00000000D106", "Postal Navidad 2025")</f>
        <v>Postal Navidad 2025</v>
      </c>
      <c r="C17894" s="3" t="str">
        <f>HYPERLINK("https://otsuka-europe-crm.veevavault.com/ui/#object/sent_email__v/VBL000000012564", "SE-001399133")</f>
        <v>SE-001399133</v>
      </c>
      <c r="D17894" s="1">
        <v>46016.525034722225</v>
      </c>
      <c r="E17894" s="2">
        <v>1</v>
      </c>
      <c r="F17894" s="2">
        <v>2</v>
      </c>
      <c r="G17894" s="2">
        <v>0</v>
      </c>
      <c r="H17894" s="1" t="s">
        <v>0</v>
      </c>
      <c r="I17894" s="2">
        <v>0</v>
      </c>
      <c r="J17894" s="1">
        <v>46015.46334490741</v>
      </c>
    </row>
    <row r="17895" spans="1:10" x14ac:dyDescent="0.2">
      <c r="A17895" s="4" t="s">
        <v>1</v>
      </c>
      <c r="B17895" s="3" t="str">
        <f>HYPERLINK("https://otsuka-europe-crm.veevavault.com/ui/#object/approved_document__v/V5O00000000D106", "Postal Navidad 2025")</f>
        <v>Postal Navidad 2025</v>
      </c>
      <c r="C17895" s="3" t="str">
        <f>HYPERLINK("https://otsuka-europe-crm.veevavault.com/ui/#object/sent_email__v/VBL000000012565", "SE-001399134")</f>
        <v>SE-001399134</v>
      </c>
      <c r="D17895" s="1">
        <v>46020.250416666669</v>
      </c>
      <c r="E17895" s="2">
        <v>1</v>
      </c>
      <c r="F17895" s="2">
        <v>2</v>
      </c>
      <c r="G17895" s="2">
        <v>0</v>
      </c>
      <c r="H17895" s="1" t="s">
        <v>0</v>
      </c>
      <c r="I17895" s="2">
        <v>0</v>
      </c>
      <c r="J17895" s="1">
        <v>46015.463402777779</v>
      </c>
    </row>
    <row r="17896" spans="1:10" x14ac:dyDescent="0.2">
      <c r="A17896" s="4" t="s">
        <v>1</v>
      </c>
      <c r="B17896" s="3" t="str">
        <f>HYPERLINK("https://otsuka-europe-crm.veevavault.com/ui/#object/approved_document__v/V5O00000000D106", "Postal Navidad 2025")</f>
        <v>Postal Navidad 2025</v>
      </c>
      <c r="C17896" s="3" t="str">
        <f>HYPERLINK("https://otsuka-europe-crm.veevavault.com/ui/#object/sent_email__v/VBL000000012566", "SE-001399135")</f>
        <v>SE-001399135</v>
      </c>
      <c r="D17896" s="1">
        <v>46015.571168981478</v>
      </c>
      <c r="E17896" s="2">
        <v>1</v>
      </c>
      <c r="F17896" s="2">
        <v>1</v>
      </c>
      <c r="G17896" s="2">
        <v>0</v>
      </c>
      <c r="H17896" s="1" t="s">
        <v>0</v>
      </c>
      <c r="I17896" s="2">
        <v>0</v>
      </c>
      <c r="J17896" s="1">
        <v>46015.463472222225</v>
      </c>
    </row>
    <row r="17897" spans="1:10" x14ac:dyDescent="0.2">
      <c r="A17897" s="4" t="s">
        <v>1</v>
      </c>
      <c r="B17897" s="3" t="str">
        <f>HYPERLINK("https://otsuka-europe-crm.veevavault.com/ui/#object/approved_document__v/V5O00000000D106", "Postal Navidad 2025")</f>
        <v>Postal Navidad 2025</v>
      </c>
      <c r="C17897" s="3" t="str">
        <f>HYPERLINK("https://otsuka-europe-crm.veevavault.com/ui/#object/sent_email__v/VBL000000012567", "SE-001399136")</f>
        <v>SE-001399136</v>
      </c>
      <c r="D17897" s="1">
        <v>46017.44798611111</v>
      </c>
      <c r="E17897" s="2">
        <v>1</v>
      </c>
      <c r="F17897" s="2">
        <v>1</v>
      </c>
      <c r="G17897" s="2">
        <v>0</v>
      </c>
      <c r="H17897" s="1" t="s">
        <v>0</v>
      </c>
      <c r="I17897" s="2">
        <v>0</v>
      </c>
      <c r="J17897" s="1">
        <v>46015.463541666664</v>
      </c>
    </row>
    <row r="17898" spans="1:10" x14ac:dyDescent="0.2">
      <c r="A17898" s="4" t="s">
        <v>1</v>
      </c>
      <c r="B17898" s="3" t="str">
        <f>HYPERLINK("https://otsuka-europe-crm.veevavault.com/ui/#object/approved_document__v/V5O00000000D106", "Postal Navidad 2025")</f>
        <v>Postal Navidad 2025</v>
      </c>
      <c r="C17898" s="3" t="str">
        <f>HYPERLINK("https://otsuka-europe-crm.veevavault.com/ui/#object/sent_email__v/VBL000000012568", "SE-001399137")</f>
        <v>SE-001399137</v>
      </c>
      <c r="D17898" s="1">
        <v>46018.816388888888</v>
      </c>
      <c r="E17898" s="2">
        <v>1</v>
      </c>
      <c r="F17898" s="2">
        <v>1</v>
      </c>
      <c r="G17898" s="2">
        <v>0</v>
      </c>
      <c r="H17898" s="1" t="s">
        <v>0</v>
      </c>
      <c r="I17898" s="2">
        <v>0</v>
      </c>
      <c r="J17898" s="1">
        <v>46015.46361111111</v>
      </c>
    </row>
    <row r="17899" spans="1:10" x14ac:dyDescent="0.2">
      <c r="A17899" s="4" t="s">
        <v>1</v>
      </c>
      <c r="B17899" s="3" t="str">
        <f>HYPERLINK("https://otsuka-europe-crm.veevavault.com/ui/#object/approved_document__v/V5O00000000D106", "Postal Navidad 2025")</f>
        <v>Postal Navidad 2025</v>
      </c>
      <c r="C17899" s="3" t="str">
        <f>HYPERLINK("https://otsuka-europe-crm.veevavault.com/ui/#object/sent_email__v/VBL000000012569", "SE-001399138")</f>
        <v>SE-001399138</v>
      </c>
      <c r="D17899" s="1">
        <v>46016.537094907406</v>
      </c>
      <c r="E17899" s="2">
        <v>1</v>
      </c>
      <c r="F17899" s="2">
        <v>1</v>
      </c>
      <c r="G17899" s="2">
        <v>0</v>
      </c>
      <c r="H17899" s="1" t="s">
        <v>0</v>
      </c>
      <c r="I17899" s="2">
        <v>0</v>
      </c>
      <c r="J17899" s="1">
        <v>46015.463680555556</v>
      </c>
    </row>
    <row r="17900" spans="1:10" x14ac:dyDescent="0.2">
      <c r="A17900" s="4" t="s">
        <v>1</v>
      </c>
      <c r="B17900" s="3" t="str">
        <f>HYPERLINK("https://otsuka-europe-crm.veevavault.com/ui/#object/approved_document__v/V5O00000000D106", "Postal Navidad 2025")</f>
        <v>Postal Navidad 2025</v>
      </c>
      <c r="C17900" s="3" t="str">
        <f>HYPERLINK("https://otsuka-europe-crm.veevavault.com/ui/#object/sent_email__v/VBL000000012570", "SE-001399139")</f>
        <v>SE-001399139</v>
      </c>
      <c r="D17900" s="1">
        <v>46015.972719907404</v>
      </c>
      <c r="E17900" s="2">
        <v>1</v>
      </c>
      <c r="F17900" s="2">
        <v>2</v>
      </c>
      <c r="G17900" s="2">
        <v>0</v>
      </c>
      <c r="H17900" s="1" t="s">
        <v>0</v>
      </c>
      <c r="I17900" s="2">
        <v>0</v>
      </c>
      <c r="J17900" s="1">
        <v>46015.463738425926</v>
      </c>
    </row>
    <row r="17901" spans="1:10" x14ac:dyDescent="0.2">
      <c r="A17901" s="4" t="s">
        <v>1</v>
      </c>
      <c r="B17901" s="3" t="str">
        <f>HYPERLINK("https://otsuka-europe-crm.veevavault.com/ui/#object/approved_document__v/V5O00000000D106", "Postal Navidad 2025")</f>
        <v>Postal Navidad 2025</v>
      </c>
      <c r="C17901" s="3" t="str">
        <f>HYPERLINK("https://otsuka-europe-crm.veevavault.com/ui/#object/sent_email__v/VBL000000012571", "SE-001399140")</f>
        <v>SE-001399140</v>
      </c>
      <c r="D17901" s="1" t="s">
        <v>0</v>
      </c>
      <c r="E17901" s="2">
        <v>0</v>
      </c>
      <c r="F17901" s="2">
        <v>0</v>
      </c>
      <c r="G17901" s="2">
        <v>0</v>
      </c>
      <c r="H17901" s="1" t="s">
        <v>0</v>
      </c>
      <c r="I17901" s="2">
        <v>0</v>
      </c>
      <c r="J17901" s="1">
        <v>46015.463807870372</v>
      </c>
    </row>
    <row r="17902" spans="1:10" x14ac:dyDescent="0.2">
      <c r="A17902" s="4" t="s">
        <v>1</v>
      </c>
      <c r="B17902" s="3" t="str">
        <f>HYPERLINK("https://otsuka-europe-crm.veevavault.com/ui/#object/approved_document__v/V5O00000000D073", "Postal Navidad 2025 - INAQOVI")</f>
        <v>Postal Navidad 2025 - INAQOVI</v>
      </c>
      <c r="C17902" s="3" t="str">
        <f>HYPERLINK("https://otsuka-europe-crm.veevavault.com/ui/#object/sent_email__v/VBL00000000W344", "SE-001396183")</f>
        <v>SE-001396183</v>
      </c>
      <c r="D17902" s="1">
        <v>46002.969386574077</v>
      </c>
      <c r="E17902" s="2">
        <v>1</v>
      </c>
      <c r="F17902" s="2">
        <v>4</v>
      </c>
      <c r="G17902" s="2">
        <v>0</v>
      </c>
      <c r="H17902" s="1" t="s">
        <v>0</v>
      </c>
      <c r="I17902" s="2">
        <v>0</v>
      </c>
      <c r="J17902" s="1">
        <v>46002.454861111109</v>
      </c>
    </row>
    <row r="17903" spans="1:10" x14ac:dyDescent="0.2">
      <c r="A17903" s="4" t="s">
        <v>1</v>
      </c>
      <c r="B17903" s="3" t="str">
        <f>HYPERLINK("https://otsuka-europe-crm.veevavault.com/ui/#object/approved_document__v/V5O00000000D073", "Postal Navidad 2025 - INAQOVI")</f>
        <v>Postal Navidad 2025 - INAQOVI</v>
      </c>
      <c r="C17903" s="3" t="str">
        <f>HYPERLINK("https://otsuka-europe-crm.veevavault.com/ui/#object/sent_email__v/VBL000000011421", "SE-001397211")</f>
        <v>SE-001397211</v>
      </c>
      <c r="D17903" s="1">
        <v>46008.511840277781</v>
      </c>
      <c r="E17903" s="2">
        <v>1</v>
      </c>
      <c r="F17903" s="2">
        <v>1</v>
      </c>
      <c r="G17903" s="2">
        <v>0</v>
      </c>
      <c r="H17903" s="1" t="s">
        <v>0</v>
      </c>
      <c r="I17903" s="2">
        <v>0</v>
      </c>
      <c r="J17903" s="1">
        <v>46008.441377314812</v>
      </c>
    </row>
    <row r="17904" spans="1:10" x14ac:dyDescent="0.2">
      <c r="A17904" s="4" t="s">
        <v>1</v>
      </c>
      <c r="B17904" s="3" t="str">
        <f>HYPERLINK("https://otsuka-europe-crm.veevavault.com/ui/#object/approved_document__v/V5O00000000D073", "Postal Navidad 2025 - INAQOVI")</f>
        <v>Postal Navidad 2025 - INAQOVI</v>
      </c>
      <c r="C17904" s="3" t="str">
        <f>HYPERLINK("https://otsuka-europe-crm.veevavault.com/ui/#object/sent_email__v/VBL000000011422", "SE-001397212")</f>
        <v>SE-001397212</v>
      </c>
      <c r="D17904" s="1">
        <v>46008.443506944444</v>
      </c>
      <c r="E17904" s="2">
        <v>1</v>
      </c>
      <c r="F17904" s="2">
        <v>1</v>
      </c>
      <c r="G17904" s="2">
        <v>0</v>
      </c>
      <c r="H17904" s="1" t="s">
        <v>0</v>
      </c>
      <c r="I17904" s="2">
        <v>0</v>
      </c>
      <c r="J17904" s="1">
        <v>46008.441423611112</v>
      </c>
    </row>
    <row r="17905" spans="1:10" x14ac:dyDescent="0.2">
      <c r="A17905" s="4" t="s">
        <v>1</v>
      </c>
      <c r="B17905" s="3" t="str">
        <f>HYPERLINK("https://otsuka-europe-crm.veevavault.com/ui/#object/approved_document__v/V5O00000000D073", "Postal Navidad 2025 - INAQOVI")</f>
        <v>Postal Navidad 2025 - INAQOVI</v>
      </c>
      <c r="C17905" s="3" t="str">
        <f>HYPERLINK("https://otsuka-europe-crm.veevavault.com/ui/#object/sent_email__v/VBL000000011423", "SE-001397213")</f>
        <v>SE-001397213</v>
      </c>
      <c r="D17905" s="1">
        <v>46028.50167824074</v>
      </c>
      <c r="E17905" s="2">
        <v>1</v>
      </c>
      <c r="F17905" s="2">
        <v>2</v>
      </c>
      <c r="G17905" s="2">
        <v>0</v>
      </c>
      <c r="H17905" s="1" t="s">
        <v>0</v>
      </c>
      <c r="I17905" s="2">
        <v>0</v>
      </c>
      <c r="J17905" s="1">
        <v>46008.441469907404</v>
      </c>
    </row>
    <row r="17906" spans="1:10" x14ac:dyDescent="0.2">
      <c r="A17906" s="4" t="s">
        <v>1</v>
      </c>
      <c r="B17906" s="3" t="str">
        <f>HYPERLINK("https://otsuka-europe-crm.veevavault.com/ui/#object/approved_document__v/V5O00000000D073", "Postal Navidad 2025 - INAQOVI")</f>
        <v>Postal Navidad 2025 - INAQOVI</v>
      </c>
      <c r="C17906" s="3" t="str">
        <f>HYPERLINK("https://otsuka-europe-crm.veevavault.com/ui/#object/sent_email__v/VBL000000011424", "SE-001397214")</f>
        <v>SE-001397214</v>
      </c>
      <c r="D17906" s="1" t="s">
        <v>0</v>
      </c>
      <c r="E17906" s="2">
        <v>0</v>
      </c>
      <c r="F17906" s="2">
        <v>0</v>
      </c>
      <c r="G17906" s="2">
        <v>0</v>
      </c>
      <c r="H17906" s="1" t="s">
        <v>0</v>
      </c>
      <c r="I17906" s="2">
        <v>0</v>
      </c>
      <c r="J17906" s="1">
        <v>46008.441516203704</v>
      </c>
    </row>
    <row r="17907" spans="1:10" x14ac:dyDescent="0.2">
      <c r="A17907" s="4" t="s">
        <v>1</v>
      </c>
      <c r="B17907" s="3" t="str">
        <f>HYPERLINK("https://otsuka-europe-crm.veevavault.com/ui/#object/approved_document__v/V5O00000000D073", "Postal Navidad 2025 - INAQOVI")</f>
        <v>Postal Navidad 2025 - INAQOVI</v>
      </c>
      <c r="C17907" s="3" t="str">
        <f>HYPERLINK("https://otsuka-europe-crm.veevavault.com/ui/#object/sent_email__v/VBL000000011425", "SE-001397215")</f>
        <v>SE-001397215</v>
      </c>
      <c r="D17907" s="1" t="s">
        <v>0</v>
      </c>
      <c r="E17907" s="2">
        <v>0</v>
      </c>
      <c r="F17907" s="2">
        <v>0</v>
      </c>
      <c r="G17907" s="2">
        <v>0</v>
      </c>
      <c r="H17907" s="1" t="s">
        <v>0</v>
      </c>
      <c r="I17907" s="2">
        <v>0</v>
      </c>
      <c r="J17907" s="1">
        <v>46008.441550925927</v>
      </c>
    </row>
    <row r="17908" spans="1:10" x14ac:dyDescent="0.2">
      <c r="A17908" s="4" t="s">
        <v>1</v>
      </c>
      <c r="B17908" s="3" t="str">
        <f>HYPERLINK("https://otsuka-europe-crm.veevavault.com/ui/#object/approved_document__v/V5O00000000D073", "Postal Navidad 2025 - INAQOVI")</f>
        <v>Postal Navidad 2025 - INAQOVI</v>
      </c>
      <c r="C17908" s="3" t="str">
        <f>HYPERLINK("https://otsuka-europe-crm.veevavault.com/ui/#object/sent_email__v/VBL000000011426", "SE-001397216")</f>
        <v>SE-001397216</v>
      </c>
      <c r="D17908" s="1">
        <v>46008.974131944444</v>
      </c>
      <c r="E17908" s="2">
        <v>1</v>
      </c>
      <c r="F17908" s="2">
        <v>1</v>
      </c>
      <c r="G17908" s="2">
        <v>0</v>
      </c>
      <c r="H17908" s="1" t="s">
        <v>0</v>
      </c>
      <c r="I17908" s="2">
        <v>0</v>
      </c>
      <c r="J17908" s="1">
        <v>46008.44159722222</v>
      </c>
    </row>
    <row r="17909" spans="1:10" x14ac:dyDescent="0.2">
      <c r="A17909" s="4" t="s">
        <v>1</v>
      </c>
      <c r="B17909" s="3" t="str">
        <f>HYPERLINK("https://otsuka-europe-crm.veevavault.com/ui/#object/approved_document__v/V5O00000000D073", "Postal Navidad 2025 - INAQOVI")</f>
        <v>Postal Navidad 2025 - INAQOVI</v>
      </c>
      <c r="C17909" s="3" t="str">
        <f>HYPERLINK("https://otsuka-europe-crm.veevavault.com/ui/#object/sent_email__v/VBL000000011427", "SE-001397217")</f>
        <v>SE-001397217</v>
      </c>
      <c r="D17909" s="1">
        <v>46008.70039351852</v>
      </c>
      <c r="E17909" s="2">
        <v>1</v>
      </c>
      <c r="F17909" s="2">
        <v>1</v>
      </c>
      <c r="G17909" s="2">
        <v>0</v>
      </c>
      <c r="H17909" s="1" t="s">
        <v>0</v>
      </c>
      <c r="I17909" s="2">
        <v>0</v>
      </c>
      <c r="J17909" s="1">
        <v>46008.441643518519</v>
      </c>
    </row>
    <row r="17910" spans="1:10" x14ac:dyDescent="0.2">
      <c r="A17910" s="4" t="s">
        <v>1</v>
      </c>
      <c r="B17910" s="3" t="str">
        <f>HYPERLINK("https://otsuka-europe-crm.veevavault.com/ui/#object/approved_document__v/V5O00000000D073", "Postal Navidad 2025 - INAQOVI")</f>
        <v>Postal Navidad 2025 - INAQOVI</v>
      </c>
      <c r="C17910" s="3" t="str">
        <f>HYPERLINK("https://otsuka-europe-crm.veevavault.com/ui/#object/sent_email__v/VBL000000011428", "SE-001397218")</f>
        <v>SE-001397218</v>
      </c>
      <c r="D17910" s="1" t="s">
        <v>0</v>
      </c>
      <c r="E17910" s="2">
        <v>0</v>
      </c>
      <c r="F17910" s="2">
        <v>0</v>
      </c>
      <c r="G17910" s="2">
        <v>0</v>
      </c>
      <c r="H17910" s="1" t="s">
        <v>0</v>
      </c>
      <c r="I17910" s="2">
        <v>0</v>
      </c>
      <c r="J17910" s="1">
        <v>46008.441689814812</v>
      </c>
    </row>
    <row r="17911" spans="1:10" x14ac:dyDescent="0.2">
      <c r="A17911" s="4" t="s">
        <v>1</v>
      </c>
      <c r="B17911" s="3" t="str">
        <f>HYPERLINK("https://otsuka-europe-crm.veevavault.com/ui/#object/approved_document__v/V5O00000000D073", "Postal Navidad 2025 - INAQOVI")</f>
        <v>Postal Navidad 2025 - INAQOVI</v>
      </c>
      <c r="C17911" s="3" t="str">
        <f>HYPERLINK("https://otsuka-europe-crm.veevavault.com/ui/#object/sent_email__v/VBL000000011429", "SE-001397219")</f>
        <v>SE-001397219</v>
      </c>
      <c r="D17911" s="1">
        <v>46050.867638888885</v>
      </c>
      <c r="E17911" s="2">
        <v>1</v>
      </c>
      <c r="F17911" s="2">
        <v>2</v>
      </c>
      <c r="G17911" s="2">
        <v>0</v>
      </c>
      <c r="H17911" s="1" t="s">
        <v>0</v>
      </c>
      <c r="I17911" s="2">
        <v>0</v>
      </c>
      <c r="J17911" s="1">
        <v>46008.441736111112</v>
      </c>
    </row>
    <row r="17912" spans="1:10" x14ac:dyDescent="0.2">
      <c r="A17912" s="4" t="s">
        <v>1</v>
      </c>
      <c r="B17912" s="3" t="str">
        <f>HYPERLINK("https://otsuka-europe-crm.veevavault.com/ui/#object/approved_document__v/V5O00000000D073", "Postal Navidad 2025 - INAQOVI")</f>
        <v>Postal Navidad 2025 - INAQOVI</v>
      </c>
      <c r="C17912" s="3" t="str">
        <f>HYPERLINK("https://otsuka-europe-crm.veevavault.com/ui/#object/sent_email__v/VBL000000011430", "SE-001397220")</f>
        <v>SE-001397220</v>
      </c>
      <c r="D17912" s="1" t="s">
        <v>0</v>
      </c>
      <c r="E17912" s="2">
        <v>0</v>
      </c>
      <c r="F17912" s="2">
        <v>0</v>
      </c>
      <c r="G17912" s="2">
        <v>0</v>
      </c>
      <c r="H17912" s="1" t="s">
        <v>0</v>
      </c>
      <c r="I17912" s="2">
        <v>0</v>
      </c>
      <c r="J17912" s="1">
        <v>46008.441782407404</v>
      </c>
    </row>
    <row r="17913" spans="1:10" x14ac:dyDescent="0.2">
      <c r="A17913" s="4" t="s">
        <v>1</v>
      </c>
      <c r="B17913" s="3" t="str">
        <f>HYPERLINK("https://otsuka-europe-crm.veevavault.com/ui/#object/approved_document__v/V5O00000000D073", "Postal Navidad 2025 - INAQOVI")</f>
        <v>Postal Navidad 2025 - INAQOVI</v>
      </c>
      <c r="C17913" s="3" t="str">
        <f>HYPERLINK("https://otsuka-europe-crm.veevavault.com/ui/#object/sent_email__v/VBL000000011431", "SE-001397221")</f>
        <v>SE-001397221</v>
      </c>
      <c r="D17913" s="1">
        <v>46013.940462962964</v>
      </c>
      <c r="E17913" s="2">
        <v>1</v>
      </c>
      <c r="F17913" s="2">
        <v>2</v>
      </c>
      <c r="G17913" s="2">
        <v>0</v>
      </c>
      <c r="H17913" s="1" t="s">
        <v>0</v>
      </c>
      <c r="I17913" s="2">
        <v>0</v>
      </c>
      <c r="J17913" s="1">
        <v>46008.441828703704</v>
      </c>
    </row>
    <row r="17914" spans="1:10" x14ac:dyDescent="0.2">
      <c r="A17914" s="4" t="s">
        <v>1</v>
      </c>
      <c r="B17914" s="3" t="str">
        <f>HYPERLINK("https://otsuka-europe-crm.veevavault.com/ui/#object/approved_document__v/V5O00000000D073", "Postal Navidad 2025 - INAQOVI")</f>
        <v>Postal Navidad 2025 - INAQOVI</v>
      </c>
      <c r="C17914" s="3" t="str">
        <f>HYPERLINK("https://otsuka-europe-crm.veevavault.com/ui/#object/sent_email__v/VBL000000011432", "SE-001397222")</f>
        <v>SE-001397222</v>
      </c>
      <c r="D17914" s="1">
        <v>46008.755856481483</v>
      </c>
      <c r="E17914" s="2">
        <v>1</v>
      </c>
      <c r="F17914" s="2">
        <v>2</v>
      </c>
      <c r="G17914" s="2">
        <v>0</v>
      </c>
      <c r="H17914" s="1" t="s">
        <v>0</v>
      </c>
      <c r="I17914" s="2">
        <v>0</v>
      </c>
      <c r="J17914" s="1">
        <v>46008.441863425927</v>
      </c>
    </row>
    <row r="17915" spans="1:10" x14ac:dyDescent="0.2">
      <c r="A17915" s="4" t="s">
        <v>1</v>
      </c>
      <c r="B17915" s="3" t="str">
        <f>HYPERLINK("https://otsuka-europe-crm.veevavault.com/ui/#object/approved_document__v/V5O00000000D073", "Postal Navidad 2025 - INAQOVI")</f>
        <v>Postal Navidad 2025 - INAQOVI</v>
      </c>
      <c r="C17915" s="3" t="str">
        <f>HYPERLINK("https://otsuka-europe-crm.veevavault.com/ui/#object/sent_email__v/VBL000000011433", "SE-001397223")</f>
        <v>SE-001397223</v>
      </c>
      <c r="D17915" s="1">
        <v>46008.442002314812</v>
      </c>
      <c r="E17915" s="2">
        <v>1</v>
      </c>
      <c r="F17915" s="2">
        <v>1</v>
      </c>
      <c r="G17915" s="2">
        <v>0</v>
      </c>
      <c r="H17915" s="1" t="s">
        <v>0</v>
      </c>
      <c r="I17915" s="2">
        <v>0</v>
      </c>
      <c r="J17915" s="1">
        <v>46008.44190972222</v>
      </c>
    </row>
    <row r="17916" spans="1:10" x14ac:dyDescent="0.2">
      <c r="A17916" s="4" t="s">
        <v>1</v>
      </c>
      <c r="B17916" s="3" t="str">
        <f>HYPERLINK("https://otsuka-europe-crm.veevavault.com/ui/#object/approved_document__v/V5O00000000D073", "Postal Navidad 2025 - INAQOVI")</f>
        <v>Postal Navidad 2025 - INAQOVI</v>
      </c>
      <c r="C17916" s="3" t="str">
        <f>HYPERLINK("https://otsuka-europe-crm.veevavault.com/ui/#object/sent_email__v/VBL000000011434", "SE-001397224")</f>
        <v>SE-001397224</v>
      </c>
      <c r="D17916" s="1">
        <v>46008.546273148146</v>
      </c>
      <c r="E17916" s="2">
        <v>1</v>
      </c>
      <c r="F17916" s="2">
        <v>1</v>
      </c>
      <c r="G17916" s="2">
        <v>0</v>
      </c>
      <c r="H17916" s="1" t="s">
        <v>0</v>
      </c>
      <c r="I17916" s="2">
        <v>0</v>
      </c>
      <c r="J17916" s="1">
        <v>46008.441944444443</v>
      </c>
    </row>
    <row r="17917" spans="1:10" x14ac:dyDescent="0.2">
      <c r="A17917" s="4" t="s">
        <v>1</v>
      </c>
      <c r="B17917" s="3" t="str">
        <f>HYPERLINK("https://otsuka-europe-crm.veevavault.com/ui/#object/approved_document__v/V5O00000000D073", "Postal Navidad 2025 - INAQOVI")</f>
        <v>Postal Navidad 2025 - INAQOVI</v>
      </c>
      <c r="C17917" s="3" t="str">
        <f>HYPERLINK("https://otsuka-europe-crm.veevavault.com/ui/#object/sent_email__v/VBL000000011435", "SE-001397225")</f>
        <v>SE-001397225</v>
      </c>
      <c r="D17917" s="1">
        <v>46008.576655092591</v>
      </c>
      <c r="E17917" s="2">
        <v>1</v>
      </c>
      <c r="F17917" s="2">
        <v>1</v>
      </c>
      <c r="G17917" s="2">
        <v>0</v>
      </c>
      <c r="H17917" s="1" t="s">
        <v>0</v>
      </c>
      <c r="I17917" s="2">
        <v>0</v>
      </c>
      <c r="J17917" s="1">
        <v>46008.441990740743</v>
      </c>
    </row>
    <row r="17918" spans="1:10" x14ac:dyDescent="0.2">
      <c r="A17918" s="4" t="s">
        <v>1</v>
      </c>
      <c r="B17918" s="3" t="str">
        <f>HYPERLINK("https://otsuka-europe-crm.veevavault.com/ui/#object/approved_document__v/V5O00000000D073", "Postal Navidad 2025 - INAQOVI")</f>
        <v>Postal Navidad 2025 - INAQOVI</v>
      </c>
      <c r="C17918" s="3" t="str">
        <f>HYPERLINK("https://otsuka-europe-crm.veevavault.com/ui/#object/sent_email__v/VBL000000011436", "SE-001397226")</f>
        <v>SE-001397226</v>
      </c>
      <c r="D17918" s="1" t="s">
        <v>0</v>
      </c>
      <c r="E17918" s="2">
        <v>0</v>
      </c>
      <c r="F17918" s="2">
        <v>0</v>
      </c>
      <c r="G17918" s="2">
        <v>0</v>
      </c>
      <c r="H17918" s="1" t="s">
        <v>0</v>
      </c>
      <c r="I17918" s="2">
        <v>0</v>
      </c>
      <c r="J17918" s="1">
        <v>46008.442025462966</v>
      </c>
    </row>
    <row r="17919" spans="1:10" x14ac:dyDescent="0.2">
      <c r="A17919" s="4" t="s">
        <v>1</v>
      </c>
      <c r="B17919" s="3" t="str">
        <f>HYPERLINK("https://otsuka-europe-crm.veevavault.com/ui/#object/approved_document__v/V5O00000000D073", "Postal Navidad 2025 - INAQOVI")</f>
        <v>Postal Navidad 2025 - INAQOVI</v>
      </c>
      <c r="C17919" s="3" t="str">
        <f>HYPERLINK("https://otsuka-europe-crm.veevavault.com/ui/#object/sent_email__v/VBL000000011437", "SE-001397227")</f>
        <v>SE-001397227</v>
      </c>
      <c r="D17919" s="1" t="s">
        <v>0</v>
      </c>
      <c r="E17919" s="2">
        <v>0</v>
      </c>
      <c r="F17919" s="2">
        <v>0</v>
      </c>
      <c r="G17919" s="2">
        <v>0</v>
      </c>
      <c r="H17919" s="1" t="s">
        <v>0</v>
      </c>
      <c r="I17919" s="2">
        <v>0</v>
      </c>
      <c r="J17919" s="1">
        <v>46008.442071759258</v>
      </c>
    </row>
    <row r="17920" spans="1:10" x14ac:dyDescent="0.2">
      <c r="A17920" s="4" t="s">
        <v>1</v>
      </c>
      <c r="B17920" s="3" t="str">
        <f>HYPERLINK("https://otsuka-europe-crm.veevavault.com/ui/#object/approved_document__v/V5O00000000D073", "Postal Navidad 2025 - INAQOVI")</f>
        <v>Postal Navidad 2025 - INAQOVI</v>
      </c>
      <c r="C17920" s="3" t="str">
        <f>HYPERLINK("https://otsuka-europe-crm.veevavault.com/ui/#object/sent_email__v/VBL000000011438", "SE-001397228")</f>
        <v>SE-001397228</v>
      </c>
      <c r="D17920" s="1">
        <v>46009.690891203703</v>
      </c>
      <c r="E17920" s="2">
        <v>1</v>
      </c>
      <c r="F17920" s="2">
        <v>1</v>
      </c>
      <c r="G17920" s="2">
        <v>0</v>
      </c>
      <c r="H17920" s="1" t="s">
        <v>0</v>
      </c>
      <c r="I17920" s="2">
        <v>0</v>
      </c>
      <c r="J17920" s="1">
        <v>46008.442118055558</v>
      </c>
    </row>
    <row r="17921" spans="1:10" x14ac:dyDescent="0.2">
      <c r="A17921" s="4" t="s">
        <v>1</v>
      </c>
      <c r="B17921" s="3" t="str">
        <f>HYPERLINK("https://otsuka-europe-crm.veevavault.com/ui/#object/approved_document__v/V5O00000000D073", "Postal Navidad 2025 - INAQOVI")</f>
        <v>Postal Navidad 2025 - INAQOVI</v>
      </c>
      <c r="C17921" s="3" t="str">
        <f>HYPERLINK("https://otsuka-europe-crm.veevavault.com/ui/#object/sent_email__v/VBL000000011439", "SE-001397229")</f>
        <v>SE-001397229</v>
      </c>
      <c r="D17921" s="1" t="s">
        <v>0</v>
      </c>
      <c r="E17921" s="2">
        <v>0</v>
      </c>
      <c r="F17921" s="2">
        <v>0</v>
      </c>
      <c r="G17921" s="2">
        <v>0</v>
      </c>
      <c r="H17921" s="1" t="s">
        <v>0</v>
      </c>
      <c r="I17921" s="2">
        <v>0</v>
      </c>
      <c r="J17921" s="1">
        <v>46008.442152777781</v>
      </c>
    </row>
    <row r="17922" spans="1:10" x14ac:dyDescent="0.2">
      <c r="A17922" s="4" t="s">
        <v>1</v>
      </c>
      <c r="B17922" s="3" t="str">
        <f>HYPERLINK("https://otsuka-europe-crm.veevavault.com/ui/#object/approved_document__v/V5O00000000D073", "Postal Navidad 2025 - INAQOVI")</f>
        <v>Postal Navidad 2025 - INAQOVI</v>
      </c>
      <c r="C17922" s="3" t="str">
        <f>HYPERLINK("https://otsuka-europe-crm.veevavault.com/ui/#object/sent_email__v/VBL000000011440", "SE-001397230")</f>
        <v>SE-001397230</v>
      </c>
      <c r="D17922" s="1" t="s">
        <v>0</v>
      </c>
      <c r="E17922" s="2">
        <v>0</v>
      </c>
      <c r="F17922" s="2">
        <v>0</v>
      </c>
      <c r="G17922" s="2">
        <v>0</v>
      </c>
      <c r="H17922" s="1" t="s">
        <v>0</v>
      </c>
      <c r="I17922" s="2">
        <v>0</v>
      </c>
      <c r="J17922" s="1">
        <v>46008.442187499997</v>
      </c>
    </row>
    <row r="17923" spans="1:10" x14ac:dyDescent="0.2">
      <c r="A17923" s="4" t="s">
        <v>1</v>
      </c>
      <c r="B17923" s="3" t="str">
        <f>HYPERLINK("https://otsuka-europe-crm.veevavault.com/ui/#object/approved_document__v/V5O00000000D073", "Postal Navidad 2025 - INAQOVI")</f>
        <v>Postal Navidad 2025 - INAQOVI</v>
      </c>
      <c r="C17923" s="3" t="str">
        <f>HYPERLINK("https://otsuka-europe-crm.veevavault.com/ui/#object/sent_email__v/VBL000000011441", "SE-001397231")</f>
        <v>SE-001397231</v>
      </c>
      <c r="D17923" s="1" t="s">
        <v>0</v>
      </c>
      <c r="E17923" s="2">
        <v>0</v>
      </c>
      <c r="F17923" s="2">
        <v>0</v>
      </c>
      <c r="G17923" s="2">
        <v>0</v>
      </c>
      <c r="H17923" s="1" t="s">
        <v>0</v>
      </c>
      <c r="I17923" s="2">
        <v>0</v>
      </c>
      <c r="J17923" s="1">
        <v>46008.442233796297</v>
      </c>
    </row>
    <row r="17924" spans="1:10" x14ac:dyDescent="0.2">
      <c r="A17924" s="4" t="s">
        <v>1</v>
      </c>
      <c r="B17924" s="3" t="str">
        <f>HYPERLINK("https://otsuka-europe-crm.veevavault.com/ui/#object/approved_document__v/V5O00000000D073", "Postal Navidad 2025 - INAQOVI")</f>
        <v>Postal Navidad 2025 - INAQOVI</v>
      </c>
      <c r="C17924" s="3" t="str">
        <f>HYPERLINK("https://otsuka-europe-crm.veevavault.com/ui/#object/sent_email__v/VBL000000011442", "SE-001397232")</f>
        <v>SE-001397232</v>
      </c>
      <c r="D17924" s="1" t="s">
        <v>0</v>
      </c>
      <c r="E17924" s="2">
        <v>0</v>
      </c>
      <c r="F17924" s="2">
        <v>0</v>
      </c>
      <c r="G17924" s="2">
        <v>0</v>
      </c>
      <c r="H17924" s="1" t="s">
        <v>0</v>
      </c>
      <c r="I17924" s="2">
        <v>0</v>
      </c>
      <c r="J17924" s="1">
        <v>46008.44226851852</v>
      </c>
    </row>
    <row r="17925" spans="1:10" x14ac:dyDescent="0.2">
      <c r="A17925" s="4" t="s">
        <v>1</v>
      </c>
      <c r="B17925" s="3" t="str">
        <f>HYPERLINK("https://otsuka-europe-crm.veevavault.com/ui/#object/approved_document__v/V5O00000000D073", "Postal Navidad 2025 - INAQOVI")</f>
        <v>Postal Navidad 2025 - INAQOVI</v>
      </c>
      <c r="C17925" s="3" t="str">
        <f>HYPERLINK("https://otsuka-europe-crm.veevavault.com/ui/#object/sent_email__v/VBL000000011443", "SE-001397233")</f>
        <v>SE-001397233</v>
      </c>
      <c r="D17925" s="1" t="s">
        <v>0</v>
      </c>
      <c r="E17925" s="2">
        <v>0</v>
      </c>
      <c r="F17925" s="2">
        <v>0</v>
      </c>
      <c r="G17925" s="2">
        <v>0</v>
      </c>
      <c r="H17925" s="1" t="s">
        <v>0</v>
      </c>
      <c r="I17925" s="2">
        <v>0</v>
      </c>
      <c r="J17925" s="1">
        <v>46008.442314814813</v>
      </c>
    </row>
    <row r="17926" spans="1:10" x14ac:dyDescent="0.2">
      <c r="A17926" s="4" t="s">
        <v>1</v>
      </c>
      <c r="B17926" s="3" t="str">
        <f>HYPERLINK("https://otsuka-europe-crm.veevavault.com/ui/#object/approved_document__v/V5O00000000D073", "Postal Navidad 2025 - INAQOVI")</f>
        <v>Postal Navidad 2025 - INAQOVI</v>
      </c>
      <c r="C17926" s="3" t="str">
        <f>HYPERLINK("https://otsuka-europe-crm.veevavault.com/ui/#object/sent_email__v/VBL000000011444", "SE-001397234")</f>
        <v>SE-001397234</v>
      </c>
      <c r="D17926" s="1" t="s">
        <v>0</v>
      </c>
      <c r="E17926" s="2">
        <v>0</v>
      </c>
      <c r="F17926" s="2">
        <v>0</v>
      </c>
      <c r="G17926" s="2">
        <v>0</v>
      </c>
      <c r="H17926" s="1" t="s">
        <v>0</v>
      </c>
      <c r="I17926" s="2">
        <v>0</v>
      </c>
      <c r="J17926" s="1">
        <v>46008.442349537036</v>
      </c>
    </row>
    <row r="17927" spans="1:10" x14ac:dyDescent="0.2">
      <c r="A17927" s="4" t="s">
        <v>1</v>
      </c>
      <c r="B17927" s="3" t="str">
        <f>HYPERLINK("https://otsuka-europe-crm.veevavault.com/ui/#object/approved_document__v/V5O00000000D073", "Postal Navidad 2025 - INAQOVI")</f>
        <v>Postal Navidad 2025 - INAQOVI</v>
      </c>
      <c r="C17927" s="3" t="str">
        <f>HYPERLINK("https://otsuka-europe-crm.veevavault.com/ui/#object/sent_email__v/VBL000000011445", "SE-001397235")</f>
        <v>SE-001397235</v>
      </c>
      <c r="D17927" s="1">
        <v>46008.489861111113</v>
      </c>
      <c r="E17927" s="2">
        <v>1</v>
      </c>
      <c r="F17927" s="2">
        <v>1</v>
      </c>
      <c r="G17927" s="2">
        <v>0</v>
      </c>
      <c r="H17927" s="1" t="s">
        <v>0</v>
      </c>
      <c r="I17927" s="2">
        <v>0</v>
      </c>
      <c r="J17927" s="1">
        <v>46008.442384259259</v>
      </c>
    </row>
    <row r="17928" spans="1:10" x14ac:dyDescent="0.2">
      <c r="A17928" s="4" t="s">
        <v>1</v>
      </c>
      <c r="B17928" s="3" t="str">
        <f>HYPERLINK("https://otsuka-europe-crm.veevavault.com/ui/#object/approved_document__v/V5O00000000D073", "Postal Navidad 2025 - INAQOVI")</f>
        <v>Postal Navidad 2025 - INAQOVI</v>
      </c>
      <c r="C17928" s="3" t="str">
        <f>HYPERLINK("https://otsuka-europe-crm.veevavault.com/ui/#object/sent_email__v/VBL000000011446", "SE-001397236")</f>
        <v>SE-001397236</v>
      </c>
      <c r="D17928" s="1" t="s">
        <v>0</v>
      </c>
      <c r="E17928" s="2">
        <v>0</v>
      </c>
      <c r="F17928" s="2">
        <v>0</v>
      </c>
      <c r="G17928" s="2">
        <v>0</v>
      </c>
      <c r="H17928" s="1" t="s">
        <v>0</v>
      </c>
      <c r="I17928" s="2">
        <v>0</v>
      </c>
      <c r="J17928" s="1">
        <v>46008.442430555559</v>
      </c>
    </row>
    <row r="17929" spans="1:10" x14ac:dyDescent="0.2">
      <c r="A17929" s="4" t="s">
        <v>1</v>
      </c>
      <c r="B17929" s="3" t="str">
        <f>HYPERLINK("https://otsuka-europe-crm.veevavault.com/ui/#object/approved_document__v/V5O00000000D073", "Postal Navidad 2025 - INAQOVI")</f>
        <v>Postal Navidad 2025 - INAQOVI</v>
      </c>
      <c r="C17929" s="3" t="str">
        <f>HYPERLINK("https://otsuka-europe-crm.veevavault.com/ui/#object/sent_email__v/VBL000000011447", "SE-001397237")</f>
        <v>SE-001397237</v>
      </c>
      <c r="D17929" s="1">
        <v>46008.442557870374</v>
      </c>
      <c r="E17929" s="2">
        <v>1</v>
      </c>
      <c r="F17929" s="2">
        <v>1</v>
      </c>
      <c r="G17929" s="2">
        <v>0</v>
      </c>
      <c r="H17929" s="1" t="s">
        <v>0</v>
      </c>
      <c r="I17929" s="2">
        <v>0</v>
      </c>
      <c r="J17929" s="1">
        <v>46008.442465277774</v>
      </c>
    </row>
    <row r="17930" spans="1:10" x14ac:dyDescent="0.2">
      <c r="A17930" s="4" t="s">
        <v>1</v>
      </c>
      <c r="B17930" s="3" t="str">
        <f>HYPERLINK("https://otsuka-europe-crm.veevavault.com/ui/#object/approved_document__v/V5O00000000D073", "Postal Navidad 2025 - INAQOVI")</f>
        <v>Postal Navidad 2025 - INAQOVI</v>
      </c>
      <c r="C17930" s="3" t="str">
        <f>HYPERLINK("https://otsuka-europe-crm.veevavault.com/ui/#object/sent_email__v/VBL000000011448", "SE-001397238")</f>
        <v>SE-001397238</v>
      </c>
      <c r="D17930" s="1">
        <v>46008.442708333336</v>
      </c>
      <c r="E17930" s="2">
        <v>1</v>
      </c>
      <c r="F17930" s="2">
        <v>1</v>
      </c>
      <c r="G17930" s="2">
        <v>1</v>
      </c>
      <c r="H17930" s="1">
        <v>46008.442800925928</v>
      </c>
      <c r="I17930" s="2">
        <v>1</v>
      </c>
      <c r="J17930" s="1">
        <v>46008.442511574074</v>
      </c>
    </row>
    <row r="17931" spans="1:10" x14ac:dyDescent="0.2">
      <c r="A17931" s="4" t="s">
        <v>1</v>
      </c>
      <c r="B17931" s="3" t="str">
        <f>HYPERLINK("https://otsuka-europe-crm.veevavault.com/ui/#object/approved_document__v/V5O00000000D073", "Postal Navidad 2025 - INAQOVI")</f>
        <v>Postal Navidad 2025 - INAQOVI</v>
      </c>
      <c r="C17931" s="3" t="str">
        <f>HYPERLINK("https://otsuka-europe-crm.veevavault.com/ui/#object/sent_email__v/VBL000000011449", "SE-001397239")</f>
        <v>SE-001397239</v>
      </c>
      <c r="D17931" s="1" t="s">
        <v>0</v>
      </c>
      <c r="E17931" s="2">
        <v>0</v>
      </c>
      <c r="F17931" s="2">
        <v>0</v>
      </c>
      <c r="G17931" s="2">
        <v>0</v>
      </c>
      <c r="H17931" s="1" t="s">
        <v>0</v>
      </c>
      <c r="I17931" s="2">
        <v>0</v>
      </c>
      <c r="J17931" s="1">
        <v>46008.442546296297</v>
      </c>
    </row>
    <row r="17932" spans="1:10" x14ac:dyDescent="0.2">
      <c r="A17932" s="4" t="s">
        <v>1</v>
      </c>
      <c r="B17932" s="3" t="str">
        <f>HYPERLINK("https://otsuka-europe-crm.veevavault.com/ui/#object/approved_document__v/V5O00000000D073", "Postal Navidad 2025 - INAQOVI")</f>
        <v>Postal Navidad 2025 - INAQOVI</v>
      </c>
      <c r="C17932" s="3" t="str">
        <f>HYPERLINK("https://otsuka-europe-crm.veevavault.com/ui/#object/sent_email__v/VBL000000011450", "SE-001397240")</f>
        <v>SE-001397240</v>
      </c>
      <c r="D17932" s="1">
        <v>46024.863437499997</v>
      </c>
      <c r="E17932" s="2">
        <v>1</v>
      </c>
      <c r="F17932" s="2">
        <v>4</v>
      </c>
      <c r="G17932" s="2">
        <v>0</v>
      </c>
      <c r="H17932" s="1" t="s">
        <v>0</v>
      </c>
      <c r="I17932" s="2">
        <v>0</v>
      </c>
      <c r="J17932" s="1">
        <v>46008.44259259259</v>
      </c>
    </row>
    <row r="17933" spans="1:10" x14ac:dyDescent="0.2">
      <c r="A17933" s="4" t="s">
        <v>1</v>
      </c>
      <c r="B17933" s="3" t="str">
        <f>HYPERLINK("https://otsuka-europe-crm.veevavault.com/ui/#object/approved_document__v/V5O00000000D073", "Postal Navidad 2025 - INAQOVI")</f>
        <v>Postal Navidad 2025 - INAQOVI</v>
      </c>
      <c r="C17933" s="3" t="str">
        <f>HYPERLINK("https://otsuka-europe-crm.veevavault.com/ui/#object/sent_email__v/VBL000000011451", "SE-001397241")</f>
        <v>SE-001397241</v>
      </c>
      <c r="D17933" s="1">
        <v>46008.937696759262</v>
      </c>
      <c r="E17933" s="2">
        <v>1</v>
      </c>
      <c r="F17933" s="2">
        <v>1</v>
      </c>
      <c r="G17933" s="2">
        <v>0</v>
      </c>
      <c r="H17933" s="1" t="s">
        <v>0</v>
      </c>
      <c r="I17933" s="2">
        <v>0</v>
      </c>
      <c r="J17933" s="1">
        <v>46008.442627314813</v>
      </c>
    </row>
    <row r="17934" spans="1:10" x14ac:dyDescent="0.2">
      <c r="A17934" s="4" t="s">
        <v>1</v>
      </c>
      <c r="B17934" s="3" t="str">
        <f>HYPERLINK("https://otsuka-europe-crm.veevavault.com/ui/#object/approved_document__v/V5O00000000D073", "Postal Navidad 2025 - INAQOVI")</f>
        <v>Postal Navidad 2025 - INAQOVI</v>
      </c>
      <c r="C17934" s="3" t="str">
        <f>HYPERLINK("https://otsuka-europe-crm.veevavault.com/ui/#object/sent_email__v/VBL000000011452", "SE-001397242")</f>
        <v>SE-001397242</v>
      </c>
      <c r="D17934" s="1" t="s">
        <v>0</v>
      </c>
      <c r="E17934" s="2">
        <v>0</v>
      </c>
      <c r="F17934" s="2">
        <v>0</v>
      </c>
      <c r="G17934" s="2">
        <v>0</v>
      </c>
      <c r="H17934" s="1" t="s">
        <v>0</v>
      </c>
      <c r="I17934" s="2">
        <v>0</v>
      </c>
      <c r="J17934" s="1">
        <v>46008.442673611113</v>
      </c>
    </row>
    <row r="17935" spans="1:10" x14ac:dyDescent="0.2">
      <c r="A17935" s="4" t="s">
        <v>1</v>
      </c>
      <c r="B17935" s="3" t="str">
        <f>HYPERLINK("https://otsuka-europe-crm.veevavault.com/ui/#object/approved_document__v/V5O00000000D073", "Postal Navidad 2025 - INAQOVI")</f>
        <v>Postal Navidad 2025 - INAQOVI</v>
      </c>
      <c r="C17935" s="3" t="str">
        <f>HYPERLINK("https://otsuka-europe-crm.veevavault.com/ui/#object/sent_email__v/VBL000000011453", "SE-001397243")</f>
        <v>SE-001397243</v>
      </c>
      <c r="D17935" s="1" t="s">
        <v>0</v>
      </c>
      <c r="E17935" s="2">
        <v>0</v>
      </c>
      <c r="F17935" s="2">
        <v>0</v>
      </c>
      <c r="G17935" s="2">
        <v>0</v>
      </c>
      <c r="H17935" s="1" t="s">
        <v>0</v>
      </c>
      <c r="I17935" s="2">
        <v>0</v>
      </c>
      <c r="J17935" s="1">
        <v>46008.442708333336</v>
      </c>
    </row>
    <row r="17936" spans="1:10" x14ac:dyDescent="0.2">
      <c r="A17936" s="4" t="s">
        <v>1</v>
      </c>
      <c r="B17936" s="3" t="str">
        <f>HYPERLINK("https://otsuka-europe-crm.veevavault.com/ui/#object/approved_document__v/V5O00000000D073", "Postal Navidad 2025 - INAQOVI")</f>
        <v>Postal Navidad 2025 - INAQOVI</v>
      </c>
      <c r="C17936" s="3" t="str">
        <f>HYPERLINK("https://otsuka-europe-crm.veevavault.com/ui/#object/sent_email__v/VBL000000011454", "SE-001397244")</f>
        <v>SE-001397244</v>
      </c>
      <c r="D17936" s="1">
        <v>46008.469375000001</v>
      </c>
      <c r="E17936" s="2">
        <v>1</v>
      </c>
      <c r="F17936" s="2">
        <v>1</v>
      </c>
      <c r="G17936" s="2">
        <v>0</v>
      </c>
      <c r="H17936" s="1" t="s">
        <v>0</v>
      </c>
      <c r="I17936" s="2">
        <v>0</v>
      </c>
      <c r="J17936" s="1">
        <v>46008.442754629628</v>
      </c>
    </row>
    <row r="17937" spans="1:10" x14ac:dyDescent="0.2">
      <c r="A17937" s="4" t="s">
        <v>1</v>
      </c>
      <c r="B17937" s="3" t="str">
        <f>HYPERLINK("https://otsuka-europe-crm.veevavault.com/ui/#object/approved_document__v/V5O00000000D073", "Postal Navidad 2025 - INAQOVI")</f>
        <v>Postal Navidad 2025 - INAQOVI</v>
      </c>
      <c r="C17937" s="3" t="str">
        <f>HYPERLINK("https://otsuka-europe-crm.veevavault.com/ui/#object/sent_email__v/VBL000000011455", "SE-001397245")</f>
        <v>SE-001397245</v>
      </c>
      <c r="D17937" s="1" t="s">
        <v>0</v>
      </c>
      <c r="E17937" s="2">
        <v>0</v>
      </c>
      <c r="F17937" s="2">
        <v>0</v>
      </c>
      <c r="G17937" s="2">
        <v>0</v>
      </c>
      <c r="H17937" s="1" t="s">
        <v>0</v>
      </c>
      <c r="I17937" s="2">
        <v>0</v>
      </c>
      <c r="J17937" s="1">
        <v>46008.442789351851</v>
      </c>
    </row>
    <row r="17938" spans="1:10" x14ac:dyDescent="0.2">
      <c r="A17938" s="4" t="s">
        <v>1</v>
      </c>
      <c r="B17938" s="3" t="str">
        <f>HYPERLINK("https://otsuka-europe-crm.veevavault.com/ui/#object/approved_document__v/V5O00000000D073", "Postal Navidad 2025 - INAQOVI")</f>
        <v>Postal Navidad 2025 - INAQOVI</v>
      </c>
      <c r="C17938" s="3" t="str">
        <f>HYPERLINK("https://otsuka-europe-crm.veevavault.com/ui/#object/sent_email__v/VBL000000011456", "SE-001397246")</f>
        <v>SE-001397246</v>
      </c>
      <c r="D17938" s="1" t="s">
        <v>0</v>
      </c>
      <c r="E17938" s="2">
        <v>0</v>
      </c>
      <c r="F17938" s="2">
        <v>0</v>
      </c>
      <c r="G17938" s="2">
        <v>0</v>
      </c>
      <c r="H17938" s="1" t="s">
        <v>0</v>
      </c>
      <c r="I17938" s="2">
        <v>0</v>
      </c>
      <c r="J17938" s="1">
        <v>46008.442835648151</v>
      </c>
    </row>
    <row r="17939" spans="1:10" x14ac:dyDescent="0.2">
      <c r="A17939" s="4" t="s">
        <v>1</v>
      </c>
      <c r="B17939" s="3" t="str">
        <f>HYPERLINK("https://otsuka-europe-crm.veevavault.com/ui/#object/approved_document__v/V5O00000000D073", "Postal Navidad 2025 - INAQOVI")</f>
        <v>Postal Navidad 2025 - INAQOVI</v>
      </c>
      <c r="C17939" s="3" t="str">
        <f>HYPERLINK("https://otsuka-europe-crm.veevavault.com/ui/#object/sent_email__v/VBL000000011457", "SE-001397247")</f>
        <v>SE-001397247</v>
      </c>
      <c r="D17939" s="1" t="s">
        <v>0</v>
      </c>
      <c r="E17939" s="2">
        <v>0</v>
      </c>
      <c r="F17939" s="2">
        <v>0</v>
      </c>
      <c r="G17939" s="2">
        <v>0</v>
      </c>
      <c r="H17939" s="1" t="s">
        <v>0</v>
      </c>
      <c r="I17939" s="2">
        <v>0</v>
      </c>
      <c r="J17939" s="1">
        <v>46008.442870370367</v>
      </c>
    </row>
    <row r="17940" spans="1:10" x14ac:dyDescent="0.2">
      <c r="A17940" s="4" t="s">
        <v>1</v>
      </c>
      <c r="B17940" s="3" t="str">
        <f>HYPERLINK("https://otsuka-europe-crm.veevavault.com/ui/#object/approved_document__v/V5O00000000D073", "Postal Navidad 2025 - INAQOVI")</f>
        <v>Postal Navidad 2025 - INAQOVI</v>
      </c>
      <c r="C17940" s="3" t="str">
        <f>HYPERLINK("https://otsuka-europe-crm.veevavault.com/ui/#object/sent_email__v/VBL000000011458", "SE-001397248")</f>
        <v>SE-001397248</v>
      </c>
      <c r="D17940" s="1" t="s">
        <v>0</v>
      </c>
      <c r="E17940" s="2">
        <v>0</v>
      </c>
      <c r="F17940" s="2">
        <v>0</v>
      </c>
      <c r="G17940" s="2">
        <v>0</v>
      </c>
      <c r="H17940" s="1" t="s">
        <v>0</v>
      </c>
      <c r="I17940" s="2">
        <v>0</v>
      </c>
      <c r="J17940" s="1">
        <v>46008.442916666667</v>
      </c>
    </row>
    <row r="17941" spans="1:10" x14ac:dyDescent="0.2">
      <c r="A17941" s="4" t="s">
        <v>1</v>
      </c>
      <c r="B17941" s="3" t="str">
        <f>HYPERLINK("https://otsuka-europe-crm.veevavault.com/ui/#object/approved_document__v/V5O00000000D073", "Postal Navidad 2025 - INAQOVI")</f>
        <v>Postal Navidad 2025 - INAQOVI</v>
      </c>
      <c r="C17941" s="3" t="str">
        <f>HYPERLINK("https://otsuka-europe-crm.veevavault.com/ui/#object/sent_email__v/VBL000000011459", "SE-001397249")</f>
        <v>SE-001397249</v>
      </c>
      <c r="D17941" s="1" t="s">
        <v>0</v>
      </c>
      <c r="E17941" s="2">
        <v>0</v>
      </c>
      <c r="F17941" s="2">
        <v>0</v>
      </c>
      <c r="G17941" s="2">
        <v>0</v>
      </c>
      <c r="H17941" s="1" t="s">
        <v>0</v>
      </c>
      <c r="I17941" s="2">
        <v>0</v>
      </c>
      <c r="J17941" s="1">
        <v>46008.44295138889</v>
      </c>
    </row>
    <row r="17942" spans="1:10" x14ac:dyDescent="0.2">
      <c r="A17942" s="4" t="s">
        <v>1</v>
      </c>
      <c r="B17942" s="3" t="str">
        <f>HYPERLINK("https://otsuka-europe-crm.veevavault.com/ui/#object/approved_document__v/V5O00000000D073", "Postal Navidad 2025 - INAQOVI")</f>
        <v>Postal Navidad 2025 - INAQOVI</v>
      </c>
      <c r="C17942" s="3" t="str">
        <f>HYPERLINK("https://otsuka-europe-crm.veevavault.com/ui/#object/sent_email__v/VBL000000011460", "SE-001397250")</f>
        <v>SE-001397250</v>
      </c>
      <c r="D17942" s="1">
        <v>46009.086331018516</v>
      </c>
      <c r="E17942" s="2">
        <v>1</v>
      </c>
      <c r="F17942" s="2">
        <v>1</v>
      </c>
      <c r="G17942" s="2">
        <v>0</v>
      </c>
      <c r="H17942" s="1" t="s">
        <v>0</v>
      </c>
      <c r="I17942" s="2">
        <v>0</v>
      </c>
      <c r="J17942" s="1">
        <v>46008.442986111113</v>
      </c>
    </row>
    <row r="17943" spans="1:10" x14ac:dyDescent="0.2">
      <c r="A17943" s="4" t="s">
        <v>1</v>
      </c>
      <c r="B17943" s="3" t="str">
        <f>HYPERLINK("https://otsuka-europe-crm.veevavault.com/ui/#object/approved_document__v/V5O00000000D073", "Postal Navidad 2025 - INAQOVI")</f>
        <v>Postal Navidad 2025 - INAQOVI</v>
      </c>
      <c r="C17943" s="3" t="str">
        <f>HYPERLINK("https://otsuka-europe-crm.veevavault.com/ui/#object/sent_email__v/VBL000000011461", "SE-001397251")</f>
        <v>SE-001397251</v>
      </c>
      <c r="D17943" s="1">
        <v>46008.715509259258</v>
      </c>
      <c r="E17943" s="2">
        <v>1</v>
      </c>
      <c r="F17943" s="2">
        <v>1</v>
      </c>
      <c r="G17943" s="2">
        <v>0</v>
      </c>
      <c r="H17943" s="1" t="s">
        <v>0</v>
      </c>
      <c r="I17943" s="2">
        <v>0</v>
      </c>
      <c r="J17943" s="1">
        <v>46008.443020833336</v>
      </c>
    </row>
    <row r="17944" spans="1:10" x14ac:dyDescent="0.2">
      <c r="A17944" s="4" t="s">
        <v>1</v>
      </c>
      <c r="B17944" s="3" t="str">
        <f>HYPERLINK("https://otsuka-europe-crm.veevavault.com/ui/#object/approved_document__v/V5O00000000D073", "Postal Navidad 2025 - INAQOVI")</f>
        <v>Postal Navidad 2025 - INAQOVI</v>
      </c>
      <c r="C17944" s="3" t="str">
        <f>HYPERLINK("https://otsuka-europe-crm.veevavault.com/ui/#object/sent_email__v/VBL000000011462", "SE-001397252")</f>
        <v>SE-001397252</v>
      </c>
      <c r="D17944" s="1">
        <v>46027.891967592594</v>
      </c>
      <c r="E17944" s="2">
        <v>1</v>
      </c>
      <c r="F17944" s="2">
        <v>2</v>
      </c>
      <c r="G17944" s="2">
        <v>0</v>
      </c>
      <c r="H17944" s="1" t="s">
        <v>0</v>
      </c>
      <c r="I17944" s="2">
        <v>0</v>
      </c>
      <c r="J17944" s="1">
        <v>46008.443067129629</v>
      </c>
    </row>
    <row r="17945" spans="1:10" x14ac:dyDescent="0.2">
      <c r="A17945" s="4" t="s">
        <v>1</v>
      </c>
      <c r="B17945" s="3" t="str">
        <f>HYPERLINK("https://otsuka-europe-crm.veevavault.com/ui/#object/approved_document__v/V5O00000000D073", "Postal Navidad 2025 - INAQOVI")</f>
        <v>Postal Navidad 2025 - INAQOVI</v>
      </c>
      <c r="C17945" s="3" t="str">
        <f>HYPERLINK("https://otsuka-europe-crm.veevavault.com/ui/#object/sent_email__v/VBL000000011463", "SE-001397253")</f>
        <v>SE-001397253</v>
      </c>
      <c r="D17945" s="1" t="s">
        <v>0</v>
      </c>
      <c r="E17945" s="2">
        <v>0</v>
      </c>
      <c r="F17945" s="2">
        <v>0</v>
      </c>
      <c r="G17945" s="2">
        <v>0</v>
      </c>
      <c r="H17945" s="1" t="s">
        <v>0</v>
      </c>
      <c r="I17945" s="2">
        <v>0</v>
      </c>
      <c r="J17945" s="1">
        <v>46008.443101851852</v>
      </c>
    </row>
    <row r="17946" spans="1:10" x14ac:dyDescent="0.2">
      <c r="A17946" s="4" t="s">
        <v>1</v>
      </c>
      <c r="B17946" s="3" t="str">
        <f>HYPERLINK("https://otsuka-europe-crm.veevavault.com/ui/#object/approved_document__v/V5O00000000D073", "Postal Navidad 2025 - INAQOVI")</f>
        <v>Postal Navidad 2025 - INAQOVI</v>
      </c>
      <c r="C17946" s="3" t="str">
        <f>HYPERLINK("https://otsuka-europe-crm.veevavault.com/ui/#object/sent_email__v/VBL000000011464", "SE-001397254")</f>
        <v>SE-001397254</v>
      </c>
      <c r="D17946" s="1">
        <v>46008.863530092596</v>
      </c>
      <c r="E17946" s="2">
        <v>1</v>
      </c>
      <c r="F17946" s="2">
        <v>1</v>
      </c>
      <c r="G17946" s="2">
        <v>0</v>
      </c>
      <c r="H17946" s="1" t="s">
        <v>0</v>
      </c>
      <c r="I17946" s="2">
        <v>0</v>
      </c>
      <c r="J17946" s="1">
        <v>46008.443136574075</v>
      </c>
    </row>
    <row r="17947" spans="1:10" x14ac:dyDescent="0.2">
      <c r="A17947" s="4" t="s">
        <v>1</v>
      </c>
      <c r="B17947" s="3" t="str">
        <f>HYPERLINK("https://otsuka-europe-crm.veevavault.com/ui/#object/approved_document__v/V5O00000000D073", "Postal Navidad 2025 - INAQOVI")</f>
        <v>Postal Navidad 2025 - INAQOVI</v>
      </c>
      <c r="C17947" s="3" t="str">
        <f>HYPERLINK("https://otsuka-europe-crm.veevavault.com/ui/#object/sent_email__v/VBL000000011465", "SE-001397255")</f>
        <v>SE-001397255</v>
      </c>
      <c r="D17947" s="1">
        <v>46008.44809027778</v>
      </c>
      <c r="E17947" s="2">
        <v>1</v>
      </c>
      <c r="F17947" s="2">
        <v>2</v>
      </c>
      <c r="G17947" s="2">
        <v>0</v>
      </c>
      <c r="H17947" s="1" t="s">
        <v>0</v>
      </c>
      <c r="I17947" s="2">
        <v>0</v>
      </c>
      <c r="J17947" s="1">
        <v>46008.443182870367</v>
      </c>
    </row>
    <row r="17948" spans="1:10" x14ac:dyDescent="0.2">
      <c r="A17948" s="4" t="s">
        <v>1</v>
      </c>
      <c r="B17948" s="3" t="str">
        <f>HYPERLINK("https://otsuka-europe-crm.veevavault.com/ui/#object/approved_document__v/V5O00000000D073", "Postal Navidad 2025 - INAQOVI")</f>
        <v>Postal Navidad 2025 - INAQOVI</v>
      </c>
      <c r="C17948" s="3" t="str">
        <f>HYPERLINK("https://otsuka-europe-crm.veevavault.com/ui/#object/sent_email__v/VBL000000011466", "SE-001397256")</f>
        <v>SE-001397256</v>
      </c>
      <c r="D17948" s="1">
        <v>46008.62736111111</v>
      </c>
      <c r="E17948" s="2">
        <v>1</v>
      </c>
      <c r="F17948" s="2">
        <v>1</v>
      </c>
      <c r="G17948" s="2">
        <v>0</v>
      </c>
      <c r="H17948" s="1" t="s">
        <v>0</v>
      </c>
      <c r="I17948" s="2">
        <v>0</v>
      </c>
      <c r="J17948" s="1">
        <v>46008.443229166667</v>
      </c>
    </row>
    <row r="17949" spans="1:10" x14ac:dyDescent="0.2">
      <c r="A17949" s="4" t="s">
        <v>1</v>
      </c>
      <c r="B17949" s="3" t="str">
        <f>HYPERLINK("https://otsuka-europe-crm.veevavault.com/ui/#object/approved_document__v/V5O00000000D073", "Postal Navidad 2025 - INAQOVI")</f>
        <v>Postal Navidad 2025 - INAQOVI</v>
      </c>
      <c r="C17949" s="3" t="str">
        <f>HYPERLINK("https://otsuka-europe-crm.veevavault.com/ui/#object/sent_email__v/VBL000000011467", "SE-001397257")</f>
        <v>SE-001397257</v>
      </c>
      <c r="D17949" s="1" t="s">
        <v>0</v>
      </c>
      <c r="E17949" s="2">
        <v>0</v>
      </c>
      <c r="F17949" s="2">
        <v>0</v>
      </c>
      <c r="G17949" s="2">
        <v>0</v>
      </c>
      <c r="H17949" s="1" t="s">
        <v>0</v>
      </c>
      <c r="I17949" s="2">
        <v>0</v>
      </c>
      <c r="J17949" s="1">
        <v>46008.44326388889</v>
      </c>
    </row>
    <row r="17950" spans="1:10" x14ac:dyDescent="0.2">
      <c r="A17950" s="4" t="s">
        <v>1</v>
      </c>
      <c r="B17950" s="3" t="str">
        <f>HYPERLINK("https://otsuka-europe-crm.veevavault.com/ui/#object/approved_document__v/V5O00000000D073", "Postal Navidad 2025 - INAQOVI")</f>
        <v>Postal Navidad 2025 - INAQOVI</v>
      </c>
      <c r="C17950" s="3" t="str">
        <f>HYPERLINK("https://otsuka-europe-crm.veevavault.com/ui/#object/sent_email__v/VBL000000011468", "SE-001397258")</f>
        <v>SE-001397258</v>
      </c>
      <c r="D17950" s="1" t="s">
        <v>0</v>
      </c>
      <c r="E17950" s="2">
        <v>0</v>
      </c>
      <c r="F17950" s="2">
        <v>0</v>
      </c>
      <c r="G17950" s="2">
        <v>0</v>
      </c>
      <c r="H17950" s="1" t="s">
        <v>0</v>
      </c>
      <c r="I17950" s="2">
        <v>0</v>
      </c>
      <c r="J17950" s="1">
        <v>46008.443310185183</v>
      </c>
    </row>
    <row r="17951" spans="1:10" x14ac:dyDescent="0.2">
      <c r="A17951" s="4" t="s">
        <v>1</v>
      </c>
      <c r="B17951" s="3" t="str">
        <f>HYPERLINK("https://otsuka-europe-crm.veevavault.com/ui/#object/approved_document__v/V5O00000000D073", "Postal Navidad 2025 - INAQOVI")</f>
        <v>Postal Navidad 2025 - INAQOVI</v>
      </c>
      <c r="C17951" s="3" t="str">
        <f>HYPERLINK("https://otsuka-europe-crm.veevavault.com/ui/#object/sent_email__v/VBL000000011469", "SE-001397259")</f>
        <v>SE-001397259</v>
      </c>
      <c r="D17951" s="1" t="s">
        <v>0</v>
      </c>
      <c r="E17951" s="2">
        <v>0</v>
      </c>
      <c r="F17951" s="2">
        <v>0</v>
      </c>
      <c r="G17951" s="2">
        <v>0</v>
      </c>
      <c r="H17951" s="1" t="s">
        <v>0</v>
      </c>
      <c r="I17951" s="2">
        <v>0</v>
      </c>
      <c r="J17951" s="1">
        <v>46008.443344907406</v>
      </c>
    </row>
    <row r="17952" spans="1:10" x14ac:dyDescent="0.2">
      <c r="A17952" s="4" t="s">
        <v>1</v>
      </c>
      <c r="B17952" s="3" t="str">
        <f>HYPERLINK("https://otsuka-europe-crm.veevavault.com/ui/#object/approved_document__v/V5O00000000D073", "Postal Navidad 2025 - INAQOVI")</f>
        <v>Postal Navidad 2025 - INAQOVI</v>
      </c>
      <c r="C17952" s="3" t="str">
        <f>HYPERLINK("https://otsuka-europe-crm.veevavault.com/ui/#object/sent_email__v/VBL000000011470", "SE-001397260")</f>
        <v>SE-001397260</v>
      </c>
      <c r="D17952" s="1">
        <v>46010.549675925926</v>
      </c>
      <c r="E17952" s="2">
        <v>1</v>
      </c>
      <c r="F17952" s="2">
        <v>2</v>
      </c>
      <c r="G17952" s="2">
        <v>0</v>
      </c>
      <c r="H17952" s="1" t="s">
        <v>0</v>
      </c>
      <c r="I17952" s="2">
        <v>0</v>
      </c>
      <c r="J17952" s="1">
        <v>46008.443379629629</v>
      </c>
    </row>
    <row r="17953" spans="1:10" x14ac:dyDescent="0.2">
      <c r="A17953" s="4" t="s">
        <v>1</v>
      </c>
      <c r="B17953" s="3" t="str">
        <f>HYPERLINK("https://otsuka-europe-crm.veevavault.com/ui/#object/approved_document__v/V5O00000000D073", "Postal Navidad 2025 - INAQOVI")</f>
        <v>Postal Navidad 2025 - INAQOVI</v>
      </c>
      <c r="C17953" s="3" t="str">
        <f>HYPERLINK("https://otsuka-europe-crm.veevavault.com/ui/#object/sent_email__v/VBL000000011471", "SE-001397261")</f>
        <v>SE-001397261</v>
      </c>
      <c r="D17953" s="1">
        <v>46008.527569444443</v>
      </c>
      <c r="E17953" s="2">
        <v>1</v>
      </c>
      <c r="F17953" s="2">
        <v>1</v>
      </c>
      <c r="G17953" s="2">
        <v>0</v>
      </c>
      <c r="H17953" s="1" t="s">
        <v>0</v>
      </c>
      <c r="I17953" s="2">
        <v>0</v>
      </c>
      <c r="J17953" s="1">
        <v>46008.443425925929</v>
      </c>
    </row>
    <row r="17954" spans="1:10" x14ac:dyDescent="0.2">
      <c r="A17954" s="4" t="s">
        <v>1</v>
      </c>
      <c r="B17954" s="3" t="str">
        <f>HYPERLINK("https://otsuka-europe-crm.veevavault.com/ui/#object/approved_document__v/V5O00000000D073", "Postal Navidad 2025 - INAQOVI")</f>
        <v>Postal Navidad 2025 - INAQOVI</v>
      </c>
      <c r="C17954" s="3" t="str">
        <f>HYPERLINK("https://otsuka-europe-crm.veevavault.com/ui/#object/sent_email__v/VBL000000011472", "SE-001397262")</f>
        <v>SE-001397262</v>
      </c>
      <c r="D17954" s="1">
        <v>46008.995810185188</v>
      </c>
      <c r="E17954" s="2">
        <v>1</v>
      </c>
      <c r="F17954" s="2">
        <v>1</v>
      </c>
      <c r="G17954" s="2">
        <v>0</v>
      </c>
      <c r="H17954" s="1" t="s">
        <v>0</v>
      </c>
      <c r="I17954" s="2">
        <v>0</v>
      </c>
      <c r="J17954" s="1">
        <v>46008.443460648145</v>
      </c>
    </row>
    <row r="17955" spans="1:10" x14ac:dyDescent="0.2">
      <c r="A17955" s="4" t="s">
        <v>1</v>
      </c>
      <c r="B17955" s="3" t="str">
        <f>HYPERLINK("https://otsuka-europe-crm.veevavault.com/ui/#object/approved_document__v/V5O00000000D073", "Postal Navidad 2025 - INAQOVI")</f>
        <v>Postal Navidad 2025 - INAQOVI</v>
      </c>
      <c r="C17955" s="3" t="str">
        <f>HYPERLINK("https://otsuka-europe-crm.veevavault.com/ui/#object/sent_email__v/VBL000000011473", "SE-001397263")</f>
        <v>SE-001397263</v>
      </c>
      <c r="D17955" s="1">
        <v>46008.457881944443</v>
      </c>
      <c r="E17955" s="2">
        <v>1</v>
      </c>
      <c r="F17955" s="2">
        <v>1</v>
      </c>
      <c r="G17955" s="2">
        <v>0</v>
      </c>
      <c r="H17955" s="1" t="s">
        <v>0</v>
      </c>
      <c r="I17955" s="2">
        <v>0</v>
      </c>
      <c r="J17955" s="1">
        <v>46008.443495370368</v>
      </c>
    </row>
    <row r="17956" spans="1:10" x14ac:dyDescent="0.2">
      <c r="A17956" s="4" t="s">
        <v>1</v>
      </c>
      <c r="B17956" s="3" t="str">
        <f>HYPERLINK("https://otsuka-europe-crm.veevavault.com/ui/#object/approved_document__v/V5O00000000D073", "Postal Navidad 2025 - INAQOVI")</f>
        <v>Postal Navidad 2025 - INAQOVI</v>
      </c>
      <c r="C17956" s="3" t="str">
        <f>HYPERLINK("https://otsuka-europe-crm.veevavault.com/ui/#object/sent_email__v/VBL000000011474", "SE-001397264")</f>
        <v>SE-001397264</v>
      </c>
      <c r="D17956" s="1">
        <v>46008.515289351853</v>
      </c>
      <c r="E17956" s="2">
        <v>1</v>
      </c>
      <c r="F17956" s="2">
        <v>1</v>
      </c>
      <c r="G17956" s="2">
        <v>0</v>
      </c>
      <c r="H17956" s="1" t="s">
        <v>0</v>
      </c>
      <c r="I17956" s="2">
        <v>0</v>
      </c>
      <c r="J17956" s="1">
        <v>46008.443530092591</v>
      </c>
    </row>
    <row r="17957" spans="1:10" x14ac:dyDescent="0.2">
      <c r="A17957" s="4" t="s">
        <v>1</v>
      </c>
      <c r="B17957" s="3" t="str">
        <f>HYPERLINK("https://otsuka-europe-crm.veevavault.com/ui/#object/approved_document__v/V5O00000000D073", "Postal Navidad 2025 - INAQOVI")</f>
        <v>Postal Navidad 2025 - INAQOVI</v>
      </c>
      <c r="C17957" s="3" t="str">
        <f>HYPERLINK("https://otsuka-europe-crm.veevavault.com/ui/#object/sent_email__v/VBL000000011475", "SE-001397265")</f>
        <v>SE-001397265</v>
      </c>
      <c r="D17957" s="1">
        <v>46008.729722222219</v>
      </c>
      <c r="E17957" s="2">
        <v>1</v>
      </c>
      <c r="F17957" s="2">
        <v>2</v>
      </c>
      <c r="G17957" s="2">
        <v>0</v>
      </c>
      <c r="H17957" s="1" t="s">
        <v>0</v>
      </c>
      <c r="I17957" s="2">
        <v>0</v>
      </c>
      <c r="J17957" s="1">
        <v>46008.443576388891</v>
      </c>
    </row>
    <row r="17958" spans="1:10" x14ac:dyDescent="0.2">
      <c r="A17958" s="4" t="s">
        <v>1</v>
      </c>
      <c r="B17958" s="3" t="str">
        <f>HYPERLINK("https://otsuka-europe-crm.veevavault.com/ui/#object/approved_document__v/V5O00000000D073", "Postal Navidad 2025 - INAQOVI")</f>
        <v>Postal Navidad 2025 - INAQOVI</v>
      </c>
      <c r="C17958" s="3" t="str">
        <f>HYPERLINK("https://otsuka-europe-crm.veevavault.com/ui/#object/sent_email__v/VBL000000011476", "SE-001397266")</f>
        <v>SE-001397266</v>
      </c>
      <c r="D17958" s="1" t="s">
        <v>0</v>
      </c>
      <c r="E17958" s="2">
        <v>0</v>
      </c>
      <c r="F17958" s="2">
        <v>0</v>
      </c>
      <c r="G17958" s="2">
        <v>0</v>
      </c>
      <c r="H17958" s="1" t="s">
        <v>0</v>
      </c>
      <c r="I17958" s="2">
        <v>0</v>
      </c>
      <c r="J17958" s="1">
        <v>46008.443611111114</v>
      </c>
    </row>
    <row r="17959" spans="1:10" x14ac:dyDescent="0.2">
      <c r="A17959" s="4" t="s">
        <v>1</v>
      </c>
      <c r="B17959" s="3" t="str">
        <f>HYPERLINK("https://otsuka-europe-crm.veevavault.com/ui/#object/approved_document__v/V5O00000000D073", "Postal Navidad 2025 - INAQOVI")</f>
        <v>Postal Navidad 2025 - INAQOVI</v>
      </c>
      <c r="C17959" s="3" t="str">
        <f>HYPERLINK("https://otsuka-europe-crm.veevavault.com/ui/#object/sent_email__v/VBL000000011477", "SE-001397267")</f>
        <v>SE-001397267</v>
      </c>
      <c r="D17959" s="1" t="s">
        <v>0</v>
      </c>
      <c r="E17959" s="2">
        <v>0</v>
      </c>
      <c r="F17959" s="2">
        <v>0</v>
      </c>
      <c r="G17959" s="2">
        <v>0</v>
      </c>
      <c r="H17959" s="1" t="s">
        <v>0</v>
      </c>
      <c r="I17959" s="2">
        <v>0</v>
      </c>
      <c r="J17959" s="1">
        <v>46008.443645833337</v>
      </c>
    </row>
    <row r="17960" spans="1:10" x14ac:dyDescent="0.2">
      <c r="A17960" s="4" t="s">
        <v>1</v>
      </c>
      <c r="B17960" s="3" t="str">
        <f>HYPERLINK("https://otsuka-europe-crm.veevavault.com/ui/#object/approved_document__v/V5O00000000D073", "Postal Navidad 2025 - INAQOVI")</f>
        <v>Postal Navidad 2025 - INAQOVI</v>
      </c>
      <c r="C17960" s="3" t="str">
        <f>HYPERLINK("https://otsuka-europe-crm.veevavault.com/ui/#object/sent_email__v/VBL000000011478", "SE-001397268")</f>
        <v>SE-001397268</v>
      </c>
      <c r="D17960" s="1" t="s">
        <v>0</v>
      </c>
      <c r="E17960" s="2">
        <v>0</v>
      </c>
      <c r="F17960" s="2">
        <v>0</v>
      </c>
      <c r="G17960" s="2">
        <v>0</v>
      </c>
      <c r="H17960" s="1" t="s">
        <v>0</v>
      </c>
      <c r="I17960" s="2">
        <v>0</v>
      </c>
      <c r="J17960" s="1">
        <v>46008.443680555552</v>
      </c>
    </row>
    <row r="17961" spans="1:10" x14ac:dyDescent="0.2">
      <c r="A17961" s="4" t="s">
        <v>1</v>
      </c>
      <c r="B17961" s="3" t="str">
        <f>HYPERLINK("https://otsuka-europe-crm.veevavault.com/ui/#object/approved_document__v/V5O00000000D073", "Postal Navidad 2025 - INAQOVI")</f>
        <v>Postal Navidad 2025 - INAQOVI</v>
      </c>
      <c r="C17961" s="3" t="str">
        <f>HYPERLINK("https://otsuka-europe-crm.veevavault.com/ui/#object/sent_email__v/VBL000000011479", "SE-001397269")</f>
        <v>SE-001397269</v>
      </c>
      <c r="D17961" s="1" t="s">
        <v>0</v>
      </c>
      <c r="E17961" s="2">
        <v>0</v>
      </c>
      <c r="F17961" s="2">
        <v>0</v>
      </c>
      <c r="G17961" s="2">
        <v>0</v>
      </c>
      <c r="H17961" s="1" t="s">
        <v>0</v>
      </c>
      <c r="I17961" s="2">
        <v>0</v>
      </c>
      <c r="J17961" s="1">
        <v>46008.443726851852</v>
      </c>
    </row>
    <row r="17962" spans="1:10" x14ac:dyDescent="0.2">
      <c r="A17962" s="4" t="s">
        <v>1</v>
      </c>
      <c r="B17962" s="3" t="str">
        <f>HYPERLINK("https://otsuka-europe-crm.veevavault.com/ui/#object/approved_document__v/V5O00000000D073", "Postal Navidad 2025 - INAQOVI")</f>
        <v>Postal Navidad 2025 - INAQOVI</v>
      </c>
      <c r="C17962" s="3" t="str">
        <f>HYPERLINK("https://otsuka-europe-crm.veevavault.com/ui/#object/sent_email__v/VBL000000011480", "SE-001397270")</f>
        <v>SE-001397270</v>
      </c>
      <c r="D17962" s="1">
        <v>46008.883402777778</v>
      </c>
      <c r="E17962" s="2">
        <v>1</v>
      </c>
      <c r="F17962" s="2">
        <v>1</v>
      </c>
      <c r="G17962" s="2">
        <v>0</v>
      </c>
      <c r="H17962" s="1" t="s">
        <v>0</v>
      </c>
      <c r="I17962" s="2">
        <v>0</v>
      </c>
      <c r="J17962" s="1">
        <v>46008.443761574075</v>
      </c>
    </row>
    <row r="17963" spans="1:10" x14ac:dyDescent="0.2">
      <c r="A17963" s="4" t="s">
        <v>1</v>
      </c>
      <c r="B17963" s="3" t="str">
        <f>HYPERLINK("https://otsuka-europe-crm.veevavault.com/ui/#object/approved_document__v/V5O00000000D073", "Postal Navidad 2025 - INAQOVI")</f>
        <v>Postal Navidad 2025 - INAQOVI</v>
      </c>
      <c r="C17963" s="3" t="str">
        <f>HYPERLINK("https://otsuka-europe-crm.veevavault.com/ui/#object/sent_email__v/VBL000000011481", "SE-001397271")</f>
        <v>SE-001397271</v>
      </c>
      <c r="D17963" s="1" t="s">
        <v>0</v>
      </c>
      <c r="E17963" s="2">
        <v>0</v>
      </c>
      <c r="F17963" s="2">
        <v>0</v>
      </c>
      <c r="G17963" s="2">
        <v>0</v>
      </c>
      <c r="H17963" s="1" t="s">
        <v>0</v>
      </c>
      <c r="I17963" s="2">
        <v>0</v>
      </c>
      <c r="J17963" s="1">
        <v>46008.443796296298</v>
      </c>
    </row>
    <row r="17964" spans="1:10" x14ac:dyDescent="0.2">
      <c r="A17964" s="4" t="s">
        <v>1</v>
      </c>
      <c r="B17964" s="3" t="str">
        <f>HYPERLINK("https://otsuka-europe-crm.veevavault.com/ui/#object/approved_document__v/V5O00000000D073", "Postal Navidad 2025 - INAQOVI")</f>
        <v>Postal Navidad 2025 - INAQOVI</v>
      </c>
      <c r="C17964" s="3" t="str">
        <f>HYPERLINK("https://otsuka-europe-crm.veevavault.com/ui/#object/sent_email__v/VBL000000011482", "SE-001397272")</f>
        <v>SE-001397272</v>
      </c>
      <c r="D17964" s="1" t="s">
        <v>0</v>
      </c>
      <c r="E17964" s="2">
        <v>0</v>
      </c>
      <c r="F17964" s="2">
        <v>0</v>
      </c>
      <c r="G17964" s="2">
        <v>0</v>
      </c>
      <c r="H17964" s="1" t="s">
        <v>0</v>
      </c>
      <c r="I17964" s="2">
        <v>0</v>
      </c>
      <c r="J17964" s="1">
        <v>46008.443842592591</v>
      </c>
    </row>
    <row r="17965" spans="1:10" x14ac:dyDescent="0.2">
      <c r="A17965" s="4" t="s">
        <v>1</v>
      </c>
      <c r="B17965" s="3" t="str">
        <f>HYPERLINK("https://otsuka-europe-crm.veevavault.com/ui/#object/approved_document__v/V5O00000000D073", "Postal Navidad 2025 - INAQOVI")</f>
        <v>Postal Navidad 2025 - INAQOVI</v>
      </c>
      <c r="C17965" s="3" t="str">
        <f>HYPERLINK("https://otsuka-europe-crm.veevavault.com/ui/#object/sent_email__v/VBL000000011483", "SE-001397273")</f>
        <v>SE-001397273</v>
      </c>
      <c r="D17965" s="1">
        <v>46008.588379629633</v>
      </c>
      <c r="E17965" s="2">
        <v>1</v>
      </c>
      <c r="F17965" s="2">
        <v>1</v>
      </c>
      <c r="G17965" s="2">
        <v>0</v>
      </c>
      <c r="H17965" s="1" t="s">
        <v>0</v>
      </c>
      <c r="I17965" s="2">
        <v>0</v>
      </c>
      <c r="J17965" s="1">
        <v>46008.443877314814</v>
      </c>
    </row>
    <row r="17966" spans="1:10" x14ac:dyDescent="0.2">
      <c r="A17966" s="4" t="s">
        <v>1</v>
      </c>
      <c r="B17966" s="3" t="str">
        <f>HYPERLINK("https://otsuka-europe-crm.veevavault.com/ui/#object/approved_document__v/V5O00000000D073", "Postal Navidad 2025 - INAQOVI")</f>
        <v>Postal Navidad 2025 - INAQOVI</v>
      </c>
      <c r="C17966" s="3" t="str">
        <f>HYPERLINK("https://otsuka-europe-crm.veevavault.com/ui/#object/sent_email__v/VBL000000011484", "SE-001397274")</f>
        <v>SE-001397274</v>
      </c>
      <c r="D17966" s="1">
        <v>46008.447581018518</v>
      </c>
      <c r="E17966" s="2">
        <v>1</v>
      </c>
      <c r="F17966" s="2">
        <v>1</v>
      </c>
      <c r="G17966" s="2">
        <v>0</v>
      </c>
      <c r="H17966" s="1" t="s">
        <v>0</v>
      </c>
      <c r="I17966" s="2">
        <v>0</v>
      </c>
      <c r="J17966" s="1">
        <v>46008.443912037037</v>
      </c>
    </row>
    <row r="17967" spans="1:10" x14ac:dyDescent="0.2">
      <c r="A17967" s="4" t="s">
        <v>1</v>
      </c>
      <c r="B17967" s="3" t="str">
        <f>HYPERLINK("https://otsuka-europe-crm.veevavault.com/ui/#object/approved_document__v/V5O00000000D073", "Postal Navidad 2025 - INAQOVI")</f>
        <v>Postal Navidad 2025 - INAQOVI</v>
      </c>
      <c r="C17967" s="3" t="str">
        <f>HYPERLINK("https://otsuka-europe-crm.veevavault.com/ui/#object/sent_email__v/VBL000000011485", "SE-001397275")</f>
        <v>SE-001397275</v>
      </c>
      <c r="D17967" s="1" t="s">
        <v>0</v>
      </c>
      <c r="E17967" s="2">
        <v>0</v>
      </c>
      <c r="F17967" s="2">
        <v>0</v>
      </c>
      <c r="G17967" s="2">
        <v>0</v>
      </c>
      <c r="H17967" s="1" t="s">
        <v>0</v>
      </c>
      <c r="I17967" s="2">
        <v>0</v>
      </c>
      <c r="J17967" s="1">
        <v>46008.443958333337</v>
      </c>
    </row>
    <row r="17968" spans="1:10" x14ac:dyDescent="0.2">
      <c r="A17968" s="4" t="s">
        <v>1</v>
      </c>
      <c r="B17968" s="3" t="str">
        <f>HYPERLINK("https://otsuka-europe-crm.veevavault.com/ui/#object/approved_document__v/V5O00000000D073", "Postal Navidad 2025 - INAQOVI")</f>
        <v>Postal Navidad 2025 - INAQOVI</v>
      </c>
      <c r="C17968" s="3" t="str">
        <f>HYPERLINK("https://otsuka-europe-crm.veevavault.com/ui/#object/sent_email__v/VBL000000013282", "SE-001398361")</f>
        <v>SE-001398361</v>
      </c>
      <c r="D17968" s="1" t="s">
        <v>0</v>
      </c>
      <c r="E17968" s="2">
        <v>0</v>
      </c>
      <c r="F17968" s="2">
        <v>0</v>
      </c>
      <c r="G17968" s="2">
        <v>0</v>
      </c>
      <c r="H17968" s="1" t="s">
        <v>0</v>
      </c>
      <c r="I17968" s="2">
        <v>0</v>
      </c>
      <c r="J17968" s="1">
        <v>46013.341006944444</v>
      </c>
    </row>
    <row r="17969" spans="1:10" x14ac:dyDescent="0.2">
      <c r="A17969" s="4" t="s">
        <v>1</v>
      </c>
      <c r="B17969" s="3" t="str">
        <f>HYPERLINK("https://otsuka-europe-crm.veevavault.com/ui/#object/approved_document__v/V5O00000000D073", "Postal Navidad 2025 - INAQOVI")</f>
        <v>Postal Navidad 2025 - INAQOVI</v>
      </c>
      <c r="C17969" s="3" t="str">
        <f>HYPERLINK("https://otsuka-europe-crm.veevavault.com/ui/#object/sent_email__v/VBL000000013283", "SE-001398362")</f>
        <v>SE-001398362</v>
      </c>
      <c r="D17969" s="1" t="s">
        <v>0</v>
      </c>
      <c r="E17969" s="2">
        <v>0</v>
      </c>
      <c r="F17969" s="2">
        <v>0</v>
      </c>
      <c r="G17969" s="2">
        <v>0</v>
      </c>
      <c r="H17969" s="1" t="s">
        <v>0</v>
      </c>
      <c r="I17969" s="2">
        <v>0</v>
      </c>
      <c r="J17969" s="1">
        <v>46013.341064814813</v>
      </c>
    </row>
    <row r="17970" spans="1:10" x14ac:dyDescent="0.2">
      <c r="A17970" s="4" t="s">
        <v>1</v>
      </c>
      <c r="B17970" s="3" t="str">
        <f>HYPERLINK("https://otsuka-europe-crm.veevavault.com/ui/#object/approved_document__v/V5O00000000D073", "Postal Navidad 2025 - INAQOVI")</f>
        <v>Postal Navidad 2025 - INAQOVI</v>
      </c>
      <c r="C17970" s="3" t="str">
        <f>HYPERLINK("https://otsuka-europe-crm.veevavault.com/ui/#object/sent_email__v/VBL000000013284", "SE-001398363")</f>
        <v>SE-001398363</v>
      </c>
      <c r="D17970" s="1" t="s">
        <v>0</v>
      </c>
      <c r="E17970" s="2">
        <v>0</v>
      </c>
      <c r="F17970" s="2">
        <v>0</v>
      </c>
      <c r="G17970" s="2">
        <v>0</v>
      </c>
      <c r="H17970" s="1" t="s">
        <v>0</v>
      </c>
      <c r="I17970" s="2">
        <v>0</v>
      </c>
      <c r="J17970" s="1">
        <v>46013.341099537036</v>
      </c>
    </row>
    <row r="17971" spans="1:10" x14ac:dyDescent="0.2">
      <c r="A17971" s="4" t="s">
        <v>1</v>
      </c>
      <c r="B17971" s="3" t="str">
        <f>HYPERLINK("https://otsuka-europe-crm.veevavault.com/ui/#object/approved_document__v/V5O00000000D073", "Postal Navidad 2025 - INAQOVI")</f>
        <v>Postal Navidad 2025 - INAQOVI</v>
      </c>
      <c r="C17971" s="3" t="str">
        <f>HYPERLINK("https://otsuka-europe-crm.veevavault.com/ui/#object/sent_email__v/VBL000000013285", "SE-001398364")</f>
        <v>SE-001398364</v>
      </c>
      <c r="D17971" s="1" t="s">
        <v>0</v>
      </c>
      <c r="E17971" s="2">
        <v>0</v>
      </c>
      <c r="F17971" s="2">
        <v>0</v>
      </c>
      <c r="G17971" s="2">
        <v>0</v>
      </c>
      <c r="H17971" s="1" t="s">
        <v>0</v>
      </c>
      <c r="I17971" s="2">
        <v>0</v>
      </c>
      <c r="J17971" s="1">
        <v>46013.341145833336</v>
      </c>
    </row>
    <row r="17972" spans="1:10" x14ac:dyDescent="0.2">
      <c r="A17972" s="4" t="s">
        <v>1</v>
      </c>
      <c r="B17972" s="3" t="str">
        <f>HYPERLINK("https://otsuka-europe-crm.veevavault.com/ui/#object/approved_document__v/V5O00000000D073", "Postal Navidad 2025 - INAQOVI")</f>
        <v>Postal Navidad 2025 - INAQOVI</v>
      </c>
      <c r="C17972" s="3" t="str">
        <f>HYPERLINK("https://otsuka-europe-crm.veevavault.com/ui/#object/sent_email__v/VBL000000013286", "SE-001398365")</f>
        <v>SE-001398365</v>
      </c>
      <c r="D17972" s="1" t="s">
        <v>0</v>
      </c>
      <c r="E17972" s="2">
        <v>0</v>
      </c>
      <c r="F17972" s="2">
        <v>0</v>
      </c>
      <c r="G17972" s="2">
        <v>0</v>
      </c>
      <c r="H17972" s="1" t="s">
        <v>0</v>
      </c>
      <c r="I17972" s="2">
        <v>0</v>
      </c>
      <c r="J17972" s="1">
        <v>46013.341192129628</v>
      </c>
    </row>
    <row r="17973" spans="1:10" x14ac:dyDescent="0.2">
      <c r="A17973" s="4" t="s">
        <v>1</v>
      </c>
      <c r="B17973" s="3" t="str">
        <f>HYPERLINK("https://otsuka-europe-crm.veevavault.com/ui/#object/approved_document__v/V5O00000000D073", "Postal Navidad 2025 - INAQOVI")</f>
        <v>Postal Navidad 2025 - INAQOVI</v>
      </c>
      <c r="C17973" s="3" t="str">
        <f>HYPERLINK("https://otsuka-europe-crm.veevavault.com/ui/#object/sent_email__v/VBL000000013287", "SE-001398366")</f>
        <v>SE-001398366</v>
      </c>
      <c r="D17973" s="1" t="s">
        <v>0</v>
      </c>
      <c r="E17973" s="2">
        <v>0</v>
      </c>
      <c r="F17973" s="2">
        <v>0</v>
      </c>
      <c r="G17973" s="2">
        <v>0</v>
      </c>
      <c r="H17973" s="1" t="s">
        <v>0</v>
      </c>
      <c r="I17973" s="2">
        <v>0</v>
      </c>
      <c r="J17973" s="1">
        <v>46013.341215277775</v>
      </c>
    </row>
    <row r="17974" spans="1:10" x14ac:dyDescent="0.2">
      <c r="A17974" s="4" t="s">
        <v>1</v>
      </c>
      <c r="B17974" s="3" t="str">
        <f>HYPERLINK("https://otsuka-europe-crm.veevavault.com/ui/#object/approved_document__v/V5O00000000D073", "Postal Navidad 2025 - INAQOVI")</f>
        <v>Postal Navidad 2025 - INAQOVI</v>
      </c>
      <c r="C17974" s="3" t="str">
        <f>HYPERLINK("https://otsuka-europe-crm.veevavault.com/ui/#object/sent_email__v/VBL000000013288", "SE-001398367")</f>
        <v>SE-001398367</v>
      </c>
      <c r="D17974" s="1" t="s">
        <v>0</v>
      </c>
      <c r="E17974" s="2">
        <v>0</v>
      </c>
      <c r="F17974" s="2">
        <v>0</v>
      </c>
      <c r="G17974" s="2">
        <v>0</v>
      </c>
      <c r="H17974" s="1" t="s">
        <v>0</v>
      </c>
      <c r="I17974" s="2">
        <v>0</v>
      </c>
      <c r="J17974" s="1">
        <v>46013.341261574074</v>
      </c>
    </row>
    <row r="17975" spans="1:10" x14ac:dyDescent="0.2">
      <c r="A17975" s="4" t="s">
        <v>1</v>
      </c>
      <c r="B17975" s="3" t="str">
        <f>HYPERLINK("https://otsuka-europe-crm.veevavault.com/ui/#object/approved_document__v/V5O00000000D073", "Postal Navidad 2025 - INAQOVI")</f>
        <v>Postal Navidad 2025 - INAQOVI</v>
      </c>
      <c r="C17975" s="3" t="str">
        <f>HYPERLINK("https://otsuka-europe-crm.veevavault.com/ui/#object/sent_email__v/VBL000000013289", "SE-001398368")</f>
        <v>SE-001398368</v>
      </c>
      <c r="D17975" s="1" t="s">
        <v>0</v>
      </c>
      <c r="E17975" s="2">
        <v>0</v>
      </c>
      <c r="F17975" s="2">
        <v>0</v>
      </c>
      <c r="G17975" s="2">
        <v>0</v>
      </c>
      <c r="H17975" s="1" t="s">
        <v>0</v>
      </c>
      <c r="I17975" s="2">
        <v>0</v>
      </c>
      <c r="J17975" s="1">
        <v>46013.341296296298</v>
      </c>
    </row>
    <row r="17976" spans="1:10" x14ac:dyDescent="0.2">
      <c r="A17976" s="4" t="s">
        <v>1</v>
      </c>
      <c r="B17976" s="3" t="str">
        <f>HYPERLINK("https://otsuka-europe-crm.veevavault.com/ui/#object/approved_document__v/V5O00000000D073", "Postal Navidad 2025 - INAQOVI")</f>
        <v>Postal Navidad 2025 - INAQOVI</v>
      </c>
      <c r="C17976" s="3" t="str">
        <f>HYPERLINK("https://otsuka-europe-crm.veevavault.com/ui/#object/sent_email__v/VBL000000013290", "SE-001398369")</f>
        <v>SE-001398369</v>
      </c>
      <c r="D17976" s="1" t="s">
        <v>0</v>
      </c>
      <c r="E17976" s="2">
        <v>0</v>
      </c>
      <c r="F17976" s="2">
        <v>0</v>
      </c>
      <c r="G17976" s="2">
        <v>0</v>
      </c>
      <c r="H17976" s="1" t="s">
        <v>0</v>
      </c>
      <c r="I17976" s="2">
        <v>0</v>
      </c>
      <c r="J17976" s="1">
        <v>46013.341331018521</v>
      </c>
    </row>
    <row r="17977" spans="1:10" x14ac:dyDescent="0.2">
      <c r="A17977" s="4" t="s">
        <v>1</v>
      </c>
      <c r="B17977" s="3" t="str">
        <f>HYPERLINK("https://otsuka-europe-crm.veevavault.com/ui/#object/approved_document__v/V5O00000000D073", "Postal Navidad 2025 - INAQOVI")</f>
        <v>Postal Navidad 2025 - INAQOVI</v>
      </c>
      <c r="C17977" s="3" t="str">
        <f>HYPERLINK("https://otsuka-europe-crm.veevavault.com/ui/#object/sent_email__v/VBL000000013291", "SE-001398370")</f>
        <v>SE-001398370</v>
      </c>
      <c r="D17977" s="1" t="s">
        <v>0</v>
      </c>
      <c r="E17977" s="2">
        <v>0</v>
      </c>
      <c r="F17977" s="2">
        <v>0</v>
      </c>
      <c r="G17977" s="2">
        <v>0</v>
      </c>
      <c r="H17977" s="1" t="s">
        <v>0</v>
      </c>
      <c r="I17977" s="2">
        <v>0</v>
      </c>
      <c r="J17977" s="1">
        <v>46013.341365740744</v>
      </c>
    </row>
    <row r="17978" spans="1:10" x14ac:dyDescent="0.2">
      <c r="A17978" s="4" t="s">
        <v>1</v>
      </c>
      <c r="B17978" s="3" t="str">
        <f>HYPERLINK("https://otsuka-europe-crm.veevavault.com/ui/#object/approved_document__v/V5O00000000D073", "Postal Navidad 2025 - INAQOVI")</f>
        <v>Postal Navidad 2025 - INAQOVI</v>
      </c>
      <c r="C17978" s="3" t="str">
        <f>HYPERLINK("https://otsuka-europe-crm.veevavault.com/ui/#object/sent_email__v/VBL000000013292", "SE-001398371")</f>
        <v>SE-001398371</v>
      </c>
      <c r="D17978" s="1" t="s">
        <v>0</v>
      </c>
      <c r="E17978" s="2">
        <v>0</v>
      </c>
      <c r="F17978" s="2">
        <v>0</v>
      </c>
      <c r="G17978" s="2">
        <v>0</v>
      </c>
      <c r="H17978" s="1" t="s">
        <v>0</v>
      </c>
      <c r="I17978" s="2">
        <v>0</v>
      </c>
      <c r="J17978" s="1">
        <v>46013.341400462959</v>
      </c>
    </row>
    <row r="17979" spans="1:10" x14ac:dyDescent="0.2">
      <c r="A17979" s="4" t="s">
        <v>1</v>
      </c>
      <c r="B17979" s="3" t="str">
        <f>HYPERLINK("https://otsuka-europe-crm.veevavault.com/ui/#object/approved_document__v/V5O00000000D073", "Postal Navidad 2025 - INAQOVI")</f>
        <v>Postal Navidad 2025 - INAQOVI</v>
      </c>
      <c r="C17979" s="3" t="str">
        <f>HYPERLINK("https://otsuka-europe-crm.veevavault.com/ui/#object/sent_email__v/VBL000000013293", "SE-001398372")</f>
        <v>SE-001398372</v>
      </c>
      <c r="D17979" s="1" t="s">
        <v>0</v>
      </c>
      <c r="E17979" s="2">
        <v>0</v>
      </c>
      <c r="F17979" s="2">
        <v>0</v>
      </c>
      <c r="G17979" s="2">
        <v>0</v>
      </c>
      <c r="H17979" s="1" t="s">
        <v>0</v>
      </c>
      <c r="I17979" s="2">
        <v>0</v>
      </c>
      <c r="J17979" s="1">
        <v>46013.341446759259</v>
      </c>
    </row>
    <row r="17980" spans="1:10" x14ac:dyDescent="0.2">
      <c r="A17980" s="4" t="s">
        <v>1</v>
      </c>
      <c r="B17980" s="3" t="str">
        <f>HYPERLINK("https://otsuka-europe-crm.veevavault.com/ui/#object/approved_document__v/V5O00000000D073", "Postal Navidad 2025 - INAQOVI")</f>
        <v>Postal Navidad 2025 - INAQOVI</v>
      </c>
      <c r="C17980" s="3" t="str">
        <f>HYPERLINK("https://otsuka-europe-crm.veevavault.com/ui/#object/sent_email__v/VBL000000013294", "SE-001398373")</f>
        <v>SE-001398373</v>
      </c>
      <c r="D17980" s="1" t="s">
        <v>0</v>
      </c>
      <c r="E17980" s="2">
        <v>0</v>
      </c>
      <c r="F17980" s="2">
        <v>0</v>
      </c>
      <c r="G17980" s="2">
        <v>0</v>
      </c>
      <c r="H17980" s="1" t="s">
        <v>0</v>
      </c>
      <c r="I17980" s="2">
        <v>0</v>
      </c>
      <c r="J17980" s="1">
        <v>46013.341481481482</v>
      </c>
    </row>
    <row r="17981" spans="1:10" x14ac:dyDescent="0.2">
      <c r="A17981" s="4" t="s">
        <v>1</v>
      </c>
      <c r="B17981" s="3" t="str">
        <f>HYPERLINK("https://otsuka-europe-crm.veevavault.com/ui/#object/approved_document__v/V5O00000000D073", "Postal Navidad 2025 - INAQOVI")</f>
        <v>Postal Navidad 2025 - INAQOVI</v>
      </c>
      <c r="C17981" s="3" t="str">
        <f>HYPERLINK("https://otsuka-europe-crm.veevavault.com/ui/#object/sent_email__v/VBL000000013295", "SE-001398374")</f>
        <v>SE-001398374</v>
      </c>
      <c r="D17981" s="1" t="s">
        <v>0</v>
      </c>
      <c r="E17981" s="2">
        <v>0</v>
      </c>
      <c r="F17981" s="2">
        <v>0</v>
      </c>
      <c r="G17981" s="2">
        <v>0</v>
      </c>
      <c r="H17981" s="1" t="s">
        <v>0</v>
      </c>
      <c r="I17981" s="2">
        <v>0</v>
      </c>
      <c r="J17981" s="1">
        <v>46013.341516203705</v>
      </c>
    </row>
    <row r="17982" spans="1:10" x14ac:dyDescent="0.2">
      <c r="A17982" s="4" t="s">
        <v>1</v>
      </c>
      <c r="B17982" s="3" t="str">
        <f>HYPERLINK("https://otsuka-europe-crm.veevavault.com/ui/#object/approved_document__v/V5O00000000D073", "Postal Navidad 2025 - INAQOVI")</f>
        <v>Postal Navidad 2025 - INAQOVI</v>
      </c>
      <c r="C17982" s="3" t="str">
        <f>HYPERLINK("https://otsuka-europe-crm.veevavault.com/ui/#object/sent_email__v/VBL000000013296", "SE-001398375")</f>
        <v>SE-001398375</v>
      </c>
      <c r="D17982" s="1" t="s">
        <v>0</v>
      </c>
      <c r="E17982" s="2">
        <v>0</v>
      </c>
      <c r="F17982" s="2">
        <v>0</v>
      </c>
      <c r="G17982" s="2">
        <v>0</v>
      </c>
      <c r="H17982" s="1" t="s">
        <v>0</v>
      </c>
      <c r="I17982" s="2">
        <v>0</v>
      </c>
      <c r="J17982" s="1">
        <v>46013.341562499998</v>
      </c>
    </row>
    <row r="17983" spans="1:10" x14ac:dyDescent="0.2">
      <c r="A17983" s="4" t="s">
        <v>1</v>
      </c>
      <c r="B17983" s="3" t="str">
        <f>HYPERLINK("https://otsuka-europe-crm.veevavault.com/ui/#object/approved_document__v/V5O00000000D073", "Postal Navidad 2025 - INAQOVI")</f>
        <v>Postal Navidad 2025 - INAQOVI</v>
      </c>
      <c r="C17983" s="3" t="str">
        <f>HYPERLINK("https://otsuka-europe-crm.veevavault.com/ui/#object/sent_email__v/VBL000000013297", "SE-001398376")</f>
        <v>SE-001398376</v>
      </c>
      <c r="D17983" s="1" t="s">
        <v>0</v>
      </c>
      <c r="E17983" s="2">
        <v>0</v>
      </c>
      <c r="F17983" s="2">
        <v>0</v>
      </c>
      <c r="G17983" s="2">
        <v>0</v>
      </c>
      <c r="H17983" s="1" t="s">
        <v>0</v>
      </c>
      <c r="I17983" s="2">
        <v>0</v>
      </c>
      <c r="J17983" s="1">
        <v>46013.341597222221</v>
      </c>
    </row>
    <row r="17984" spans="1:10" x14ac:dyDescent="0.2">
      <c r="A17984" s="4" t="s">
        <v>1</v>
      </c>
      <c r="B17984" s="3" t="str">
        <f>HYPERLINK("https://otsuka-europe-crm.veevavault.com/ui/#object/approved_document__v/V5O00000000D073", "Postal Navidad 2025 - INAQOVI")</f>
        <v>Postal Navidad 2025 - INAQOVI</v>
      </c>
      <c r="C17984" s="3" t="str">
        <f>HYPERLINK("https://otsuka-europe-crm.veevavault.com/ui/#object/sent_email__v/VBL000000013298", "SE-001398377")</f>
        <v>SE-001398377</v>
      </c>
      <c r="D17984" s="1" t="s">
        <v>0</v>
      </c>
      <c r="E17984" s="2">
        <v>0</v>
      </c>
      <c r="F17984" s="2">
        <v>0</v>
      </c>
      <c r="G17984" s="2">
        <v>0</v>
      </c>
      <c r="H17984" s="1" t="s">
        <v>0</v>
      </c>
      <c r="I17984" s="2">
        <v>0</v>
      </c>
      <c r="J17984" s="1">
        <v>46013.341631944444</v>
      </c>
    </row>
    <row r="17985" spans="1:10" x14ac:dyDescent="0.2">
      <c r="A17985" s="4" t="s">
        <v>1</v>
      </c>
      <c r="B17985" s="3" t="str">
        <f>HYPERLINK("https://otsuka-europe-crm.veevavault.com/ui/#object/approved_document__v/V5O00000000D073", "Postal Navidad 2025 - INAQOVI")</f>
        <v>Postal Navidad 2025 - INAQOVI</v>
      </c>
      <c r="C17985" s="3" t="str">
        <f>HYPERLINK("https://otsuka-europe-crm.veevavault.com/ui/#object/sent_email__v/VBL000000013299", "SE-001398378")</f>
        <v>SE-001398378</v>
      </c>
      <c r="D17985" s="1" t="s">
        <v>0</v>
      </c>
      <c r="E17985" s="2">
        <v>0</v>
      </c>
      <c r="F17985" s="2">
        <v>0</v>
      </c>
      <c r="G17985" s="2">
        <v>0</v>
      </c>
      <c r="H17985" s="1" t="s">
        <v>0</v>
      </c>
      <c r="I17985" s="2">
        <v>0</v>
      </c>
      <c r="J17985" s="1">
        <v>46013.341678240744</v>
      </c>
    </row>
    <row r="17986" spans="1:10" x14ac:dyDescent="0.2">
      <c r="A17986" s="4" t="s">
        <v>1</v>
      </c>
      <c r="B17986" s="3" t="str">
        <f>HYPERLINK("https://otsuka-europe-crm.veevavault.com/ui/#object/approved_document__v/V5O00000000D073", "Postal Navidad 2025 - INAQOVI")</f>
        <v>Postal Navidad 2025 - INAQOVI</v>
      </c>
      <c r="C17986" s="3" t="str">
        <f>HYPERLINK("https://otsuka-europe-crm.veevavault.com/ui/#object/sent_email__v/VBL000000013300", "SE-001398379")</f>
        <v>SE-001398379</v>
      </c>
      <c r="D17986" s="1" t="s">
        <v>0</v>
      </c>
      <c r="E17986" s="2">
        <v>0</v>
      </c>
      <c r="F17986" s="2">
        <v>0</v>
      </c>
      <c r="G17986" s="2">
        <v>0</v>
      </c>
      <c r="H17986" s="1" t="s">
        <v>0</v>
      </c>
      <c r="I17986" s="2">
        <v>0</v>
      </c>
      <c r="J17986" s="1">
        <v>46013.341817129629</v>
      </c>
    </row>
    <row r="17987" spans="1:10" x14ac:dyDescent="0.2">
      <c r="A17987" s="4" t="s">
        <v>1</v>
      </c>
      <c r="B17987" s="3" t="str">
        <f>HYPERLINK("https://otsuka-europe-crm.veevavault.com/ui/#object/approved_document__v/V5O00000000D073", "Postal Navidad 2025 - INAQOVI")</f>
        <v>Postal Navidad 2025 - INAQOVI</v>
      </c>
      <c r="C17987" s="3" t="str">
        <f>HYPERLINK("https://otsuka-europe-crm.veevavault.com/ui/#object/sent_email__v/VBL000000013301", "SE-001398380")</f>
        <v>SE-001398380</v>
      </c>
      <c r="D17987" s="1" t="s">
        <v>0</v>
      </c>
      <c r="E17987" s="2">
        <v>0</v>
      </c>
      <c r="F17987" s="2">
        <v>0</v>
      </c>
      <c r="G17987" s="2">
        <v>0</v>
      </c>
      <c r="H17987" s="1" t="s">
        <v>0</v>
      </c>
      <c r="I17987" s="2">
        <v>0</v>
      </c>
      <c r="J17987" s="1">
        <v>46013.341828703706</v>
      </c>
    </row>
    <row r="17988" spans="1:10" x14ac:dyDescent="0.2">
      <c r="A17988" s="4" t="s">
        <v>1</v>
      </c>
      <c r="B17988" s="3" t="str">
        <f>HYPERLINK("https://otsuka-europe-crm.veevavault.com/ui/#object/approved_document__v/V5O00000000D073", "Postal Navidad 2025 - INAQOVI")</f>
        <v>Postal Navidad 2025 - INAQOVI</v>
      </c>
      <c r="C17988" s="3" t="str">
        <f>HYPERLINK("https://otsuka-europe-crm.veevavault.com/ui/#object/sent_email__v/VBL000000013302", "SE-001398381")</f>
        <v>SE-001398381</v>
      </c>
      <c r="D17988" s="1" t="s">
        <v>0</v>
      </c>
      <c r="E17988" s="2">
        <v>0</v>
      </c>
      <c r="F17988" s="2">
        <v>0</v>
      </c>
      <c r="G17988" s="2">
        <v>0</v>
      </c>
      <c r="H17988" s="1" t="s">
        <v>0</v>
      </c>
      <c r="I17988" s="2">
        <v>0</v>
      </c>
      <c r="J17988" s="1">
        <v>46013.341828703706</v>
      </c>
    </row>
    <row r="17989" spans="1:10" x14ac:dyDescent="0.2">
      <c r="A17989" s="4" t="s">
        <v>1</v>
      </c>
      <c r="B17989" s="3" t="str">
        <f>HYPERLINK("https://otsuka-europe-crm.veevavault.com/ui/#object/approved_document__v/V5O00000000D073", "Postal Navidad 2025 - INAQOVI")</f>
        <v>Postal Navidad 2025 - INAQOVI</v>
      </c>
      <c r="C17989" s="3" t="str">
        <f>HYPERLINK("https://otsuka-europe-crm.veevavault.com/ui/#object/sent_email__v/VBL000000013303", "SE-001398382")</f>
        <v>SE-001398382</v>
      </c>
      <c r="D17989" s="1" t="s">
        <v>0</v>
      </c>
      <c r="E17989" s="2">
        <v>0</v>
      </c>
      <c r="F17989" s="2">
        <v>0</v>
      </c>
      <c r="G17989" s="2">
        <v>0</v>
      </c>
      <c r="H17989" s="1" t="s">
        <v>0</v>
      </c>
      <c r="I17989" s="2">
        <v>0</v>
      </c>
      <c r="J17989" s="1">
        <v>46013.341874999998</v>
      </c>
    </row>
    <row r="17990" spans="1:10" x14ac:dyDescent="0.2">
      <c r="A17990" s="4" t="s">
        <v>1</v>
      </c>
      <c r="B17990" s="3" t="str">
        <f>HYPERLINK("https://otsuka-europe-crm.veevavault.com/ui/#object/approved_document__v/V5O00000000D073", "Postal Navidad 2025 - INAQOVI")</f>
        <v>Postal Navidad 2025 - INAQOVI</v>
      </c>
      <c r="C17990" s="3" t="str">
        <f>HYPERLINK("https://otsuka-europe-crm.veevavault.com/ui/#object/sent_email__v/VBL000000013304", "SE-001398383")</f>
        <v>SE-001398383</v>
      </c>
      <c r="D17990" s="1" t="s">
        <v>0</v>
      </c>
      <c r="E17990" s="2">
        <v>0</v>
      </c>
      <c r="F17990" s="2">
        <v>0</v>
      </c>
      <c r="G17990" s="2">
        <v>0</v>
      </c>
      <c r="H17990" s="1" t="s">
        <v>0</v>
      </c>
      <c r="I17990" s="2">
        <v>0</v>
      </c>
      <c r="J17990" s="1">
        <v>46013.341921296298</v>
      </c>
    </row>
    <row r="17991" spans="1:10" x14ac:dyDescent="0.2">
      <c r="A17991" s="4" t="s">
        <v>1</v>
      </c>
      <c r="B17991" s="3" t="str">
        <f>HYPERLINK("https://otsuka-europe-crm.veevavault.com/ui/#object/approved_document__v/V5O00000000D073", "Postal Navidad 2025 - INAQOVI")</f>
        <v>Postal Navidad 2025 - INAQOVI</v>
      </c>
      <c r="C17991" s="3" t="str">
        <f>HYPERLINK("https://otsuka-europe-crm.veevavault.com/ui/#object/sent_email__v/VBL000000013305", "SE-001398384")</f>
        <v>SE-001398384</v>
      </c>
      <c r="D17991" s="1">
        <v>46022.039050925923</v>
      </c>
      <c r="E17991" s="2">
        <v>1</v>
      </c>
      <c r="F17991" s="2">
        <v>3</v>
      </c>
      <c r="G17991" s="2">
        <v>0</v>
      </c>
      <c r="H17991" s="1" t="s">
        <v>0</v>
      </c>
      <c r="I17991" s="2">
        <v>0</v>
      </c>
      <c r="J17991" s="1">
        <v>46013.341956018521</v>
      </c>
    </row>
    <row r="17992" spans="1:10" x14ac:dyDescent="0.2">
      <c r="A17992" s="4" t="s">
        <v>1</v>
      </c>
      <c r="B17992" s="3" t="str">
        <f>HYPERLINK("https://otsuka-europe-crm.veevavault.com/ui/#object/approved_document__v/V5O00000000D073", "Postal Navidad 2025 - INAQOVI")</f>
        <v>Postal Navidad 2025 - INAQOVI</v>
      </c>
      <c r="C17992" s="3" t="str">
        <f>HYPERLINK("https://otsuka-europe-crm.veevavault.com/ui/#object/sent_email__v/VBL000000013306", "SE-001398385")</f>
        <v>SE-001398385</v>
      </c>
      <c r="D17992" s="1" t="s">
        <v>0</v>
      </c>
      <c r="E17992" s="2">
        <v>0</v>
      </c>
      <c r="F17992" s="2">
        <v>0</v>
      </c>
      <c r="G17992" s="2">
        <v>0</v>
      </c>
      <c r="H17992" s="1" t="s">
        <v>0</v>
      </c>
      <c r="I17992" s="2">
        <v>0</v>
      </c>
      <c r="J17992" s="1">
        <v>46013.341990740744</v>
      </c>
    </row>
    <row r="17993" spans="1:10" x14ac:dyDescent="0.2">
      <c r="A17993" s="4" t="s">
        <v>1</v>
      </c>
      <c r="B17993" s="3" t="str">
        <f>HYPERLINK("https://otsuka-europe-crm.veevavault.com/ui/#object/approved_document__v/V5O00000000D073", "Postal Navidad 2025 - INAQOVI")</f>
        <v>Postal Navidad 2025 - INAQOVI</v>
      </c>
      <c r="C17993" s="3" t="str">
        <f>HYPERLINK("https://otsuka-europe-crm.veevavault.com/ui/#object/sent_email__v/VBL000000013307", "SE-001398386")</f>
        <v>SE-001398386</v>
      </c>
      <c r="D17993" s="1" t="s">
        <v>0</v>
      </c>
      <c r="E17993" s="2">
        <v>0</v>
      </c>
      <c r="F17993" s="2">
        <v>0</v>
      </c>
      <c r="G17993" s="2">
        <v>0</v>
      </c>
      <c r="H17993" s="1" t="s">
        <v>0</v>
      </c>
      <c r="I17993" s="2">
        <v>0</v>
      </c>
      <c r="J17993" s="1">
        <v>46013.34202546296</v>
      </c>
    </row>
    <row r="17994" spans="1:10" x14ac:dyDescent="0.2">
      <c r="A17994" s="4" t="s">
        <v>1</v>
      </c>
      <c r="B17994" s="3" t="str">
        <f>HYPERLINK("https://otsuka-europe-crm.veevavault.com/ui/#object/approved_document__v/V5O00000000D073", "Postal Navidad 2025 - INAQOVI")</f>
        <v>Postal Navidad 2025 - INAQOVI</v>
      </c>
      <c r="C17994" s="3" t="str">
        <f>HYPERLINK("https://otsuka-europe-crm.veevavault.com/ui/#object/sent_email__v/VBL000000013308", "SE-001398387")</f>
        <v>SE-001398387</v>
      </c>
      <c r="D17994" s="1" t="s">
        <v>0</v>
      </c>
      <c r="E17994" s="2">
        <v>0</v>
      </c>
      <c r="F17994" s="2">
        <v>0</v>
      </c>
      <c r="G17994" s="2">
        <v>0</v>
      </c>
      <c r="H17994" s="1" t="s">
        <v>0</v>
      </c>
      <c r="I17994" s="2">
        <v>0</v>
      </c>
      <c r="J17994" s="1">
        <v>46013.34207175926</v>
      </c>
    </row>
    <row r="17995" spans="1:10" x14ac:dyDescent="0.2">
      <c r="A17995" s="4" t="s">
        <v>1</v>
      </c>
      <c r="B17995" s="3" t="str">
        <f>HYPERLINK("https://otsuka-europe-crm.veevavault.com/ui/#object/approved_document__v/V5O00000000D073", "Postal Navidad 2025 - INAQOVI")</f>
        <v>Postal Navidad 2025 - INAQOVI</v>
      </c>
      <c r="C17995" s="3" t="str">
        <f>HYPERLINK("https://otsuka-europe-crm.veevavault.com/ui/#object/sent_email__v/VBL000000013309", "SE-001398388")</f>
        <v>SE-001398388</v>
      </c>
      <c r="D17995" s="1" t="s">
        <v>0</v>
      </c>
      <c r="E17995" s="2">
        <v>0</v>
      </c>
      <c r="F17995" s="2">
        <v>0</v>
      </c>
      <c r="G17995" s="2">
        <v>0</v>
      </c>
      <c r="H17995" s="1" t="s">
        <v>0</v>
      </c>
      <c r="I17995" s="2">
        <v>0</v>
      </c>
      <c r="J17995" s="1">
        <v>46013.342106481483</v>
      </c>
    </row>
    <row r="17996" spans="1:10" x14ac:dyDescent="0.2">
      <c r="A17996" s="4" t="s">
        <v>1</v>
      </c>
      <c r="B17996" s="3" t="str">
        <f>HYPERLINK("https://otsuka-europe-crm.veevavault.com/ui/#object/approved_document__v/V5O00000000D073", "Postal Navidad 2025 - INAQOVI")</f>
        <v>Postal Navidad 2025 - INAQOVI</v>
      </c>
      <c r="C17996" s="3" t="str">
        <f>HYPERLINK("https://otsuka-europe-crm.veevavault.com/ui/#object/sent_email__v/VBL000000013310", "SE-001398389")</f>
        <v>SE-001398389</v>
      </c>
      <c r="D17996" s="1">
        <v>46013.342245370368</v>
      </c>
      <c r="E17996" s="2">
        <v>1</v>
      </c>
      <c r="F17996" s="2">
        <v>1</v>
      </c>
      <c r="G17996" s="2">
        <v>0</v>
      </c>
      <c r="H17996" s="1" t="s">
        <v>0</v>
      </c>
      <c r="I17996" s="2">
        <v>0</v>
      </c>
      <c r="J17996" s="1">
        <v>46013.342141203706</v>
      </c>
    </row>
    <row r="17997" spans="1:10" x14ac:dyDescent="0.2">
      <c r="A17997" s="4" t="s">
        <v>1</v>
      </c>
      <c r="B17997" s="3" t="str">
        <f>HYPERLINK("https://otsuka-europe-crm.veevavault.com/ui/#object/approved_document__v/V5O00000000D073", "Postal Navidad 2025 - INAQOVI")</f>
        <v>Postal Navidad 2025 - INAQOVI</v>
      </c>
      <c r="C17997" s="3" t="str">
        <f>HYPERLINK("https://otsuka-europe-crm.veevavault.com/ui/#object/sent_email__v/VBL000000013311", "SE-001398390")</f>
        <v>SE-001398390</v>
      </c>
      <c r="D17997" s="1" t="s">
        <v>0</v>
      </c>
      <c r="E17997" s="2">
        <v>0</v>
      </c>
      <c r="F17997" s="2">
        <v>0</v>
      </c>
      <c r="G17997" s="2">
        <v>0</v>
      </c>
      <c r="H17997" s="1" t="s">
        <v>0</v>
      </c>
      <c r="I17997" s="2">
        <v>0</v>
      </c>
      <c r="J17997" s="1">
        <v>46013.342175925929</v>
      </c>
    </row>
    <row r="17998" spans="1:10" x14ac:dyDescent="0.2">
      <c r="A17998" s="4" t="s">
        <v>1</v>
      </c>
      <c r="B17998" s="3" t="str">
        <f>HYPERLINK("https://otsuka-europe-crm.veevavault.com/ui/#object/approved_document__v/V5O00000000D076", "Postal Navidad 2025 - Nefro")</f>
        <v>Postal Navidad 2025 - Nefro</v>
      </c>
      <c r="C17998" s="3" t="str">
        <f>HYPERLINK("https://otsuka-europe-crm.veevavault.com/ui/#object/sent_email__v/VBL000000013322", "SE-001398401")</f>
        <v>SE-001398401</v>
      </c>
      <c r="D17998" s="1" t="s">
        <v>0</v>
      </c>
      <c r="E17998" s="2">
        <v>0</v>
      </c>
      <c r="F17998" s="2">
        <v>0</v>
      </c>
      <c r="G17998" s="2">
        <v>0</v>
      </c>
      <c r="H17998" s="1" t="s">
        <v>0</v>
      </c>
      <c r="I17998" s="2">
        <v>0</v>
      </c>
      <c r="J17998" s="1">
        <v>46013.341643518521</v>
      </c>
    </row>
    <row r="17999" spans="1:10" x14ac:dyDescent="0.2">
      <c r="A17999" s="4" t="s">
        <v>1</v>
      </c>
      <c r="B17999" s="3" t="str">
        <f>HYPERLINK("https://otsuka-europe-crm.veevavault.com/ui/#object/approved_document__v/V5O00000000D076", "Postal Navidad 2025 - Nefro")</f>
        <v>Postal Navidad 2025 - Nefro</v>
      </c>
      <c r="C17999" s="3" t="str">
        <f>HYPERLINK("https://otsuka-europe-crm.veevavault.com/ui/#object/sent_email__v/VBL000000013323", "SE-001398402")</f>
        <v>SE-001398402</v>
      </c>
      <c r="D17999" s="1">
        <v>46036.430937500001</v>
      </c>
      <c r="E17999" s="2">
        <v>1</v>
      </c>
      <c r="F17999" s="2">
        <v>5</v>
      </c>
      <c r="G17999" s="2">
        <v>0</v>
      </c>
      <c r="H17999" s="1" t="s">
        <v>0</v>
      </c>
      <c r="I17999" s="2">
        <v>0</v>
      </c>
      <c r="J17999" s="1">
        <v>46013.341678240744</v>
      </c>
    </row>
    <row r="18000" spans="1:10" x14ac:dyDescent="0.2">
      <c r="A18000" s="4" t="s">
        <v>1</v>
      </c>
      <c r="B18000" s="3" t="str">
        <f>HYPERLINK("https://otsuka-europe-crm.veevavault.com/ui/#object/approved_document__v/V5O00000000D076", "Postal Navidad 2025 - Nefro")</f>
        <v>Postal Navidad 2025 - Nefro</v>
      </c>
      <c r="C18000" s="3" t="str">
        <f>HYPERLINK("https://otsuka-europe-crm.veevavault.com/ui/#object/sent_email__v/VBL000000013324", "SE-001398403")</f>
        <v>SE-001398403</v>
      </c>
      <c r="D18000" s="1" t="s">
        <v>0</v>
      </c>
      <c r="E18000" s="2">
        <v>0</v>
      </c>
      <c r="F18000" s="2">
        <v>0</v>
      </c>
      <c r="G18000" s="2">
        <v>0</v>
      </c>
      <c r="H18000" s="1" t="s">
        <v>0</v>
      </c>
      <c r="I18000" s="2">
        <v>0</v>
      </c>
      <c r="J18000" s="1">
        <v>46013.341817129629</v>
      </c>
    </row>
    <row r="18001" spans="1:10" x14ac:dyDescent="0.2">
      <c r="A18001" s="4" t="s">
        <v>1</v>
      </c>
      <c r="B18001" s="3" t="str">
        <f>HYPERLINK("https://otsuka-europe-crm.veevavault.com/ui/#object/approved_document__v/V5O00000000D076", "Postal Navidad 2025 - Nefro")</f>
        <v>Postal Navidad 2025 - Nefro</v>
      </c>
      <c r="C18001" s="3" t="str">
        <f>HYPERLINK("https://otsuka-europe-crm.veevavault.com/ui/#object/sent_email__v/VBL000000013325", "SE-001398404")</f>
        <v>SE-001398404</v>
      </c>
      <c r="D18001" s="1" t="s">
        <v>0</v>
      </c>
      <c r="E18001" s="2">
        <v>0</v>
      </c>
      <c r="F18001" s="2">
        <v>0</v>
      </c>
      <c r="G18001" s="2">
        <v>0</v>
      </c>
      <c r="H18001" s="1" t="s">
        <v>0</v>
      </c>
      <c r="I18001" s="2">
        <v>0</v>
      </c>
      <c r="J18001" s="1">
        <v>46013.341828703706</v>
      </c>
    </row>
    <row r="18002" spans="1:10" x14ac:dyDescent="0.2">
      <c r="A18002" s="4" t="s">
        <v>1</v>
      </c>
      <c r="B18002" s="3" t="str">
        <f>HYPERLINK("https://otsuka-europe-crm.veevavault.com/ui/#object/approved_document__v/V5O00000000D076", "Postal Navidad 2025 - Nefro")</f>
        <v>Postal Navidad 2025 - Nefro</v>
      </c>
      <c r="C18002" s="3" t="str">
        <f>HYPERLINK("https://otsuka-europe-crm.veevavault.com/ui/#object/sent_email__v/VBL000000013326", "SE-001398405")</f>
        <v>SE-001398405</v>
      </c>
      <c r="D18002" s="1" t="s">
        <v>0</v>
      </c>
      <c r="E18002" s="2">
        <v>0</v>
      </c>
      <c r="F18002" s="2">
        <v>0</v>
      </c>
      <c r="G18002" s="2">
        <v>0</v>
      </c>
      <c r="H18002" s="1" t="s">
        <v>0</v>
      </c>
      <c r="I18002" s="2">
        <v>0</v>
      </c>
      <c r="J18002" s="1">
        <v>46013.341828703706</v>
      </c>
    </row>
    <row r="18003" spans="1:10" x14ac:dyDescent="0.2">
      <c r="A18003" s="4" t="s">
        <v>1</v>
      </c>
      <c r="B18003" s="3" t="str">
        <f>HYPERLINK("https://otsuka-europe-crm.veevavault.com/ui/#object/approved_document__v/V5O00000000D076", "Postal Navidad 2025 - Nefro")</f>
        <v>Postal Navidad 2025 - Nefro</v>
      </c>
      <c r="C18003" s="3" t="str">
        <f>HYPERLINK("https://otsuka-europe-crm.veevavault.com/ui/#object/sent_email__v/VBL000000013327", "SE-001398406")</f>
        <v>SE-001398406</v>
      </c>
      <c r="D18003" s="1" t="s">
        <v>0</v>
      </c>
      <c r="E18003" s="2">
        <v>0</v>
      </c>
      <c r="F18003" s="2">
        <v>0</v>
      </c>
      <c r="G18003" s="2">
        <v>0</v>
      </c>
      <c r="H18003" s="1" t="s">
        <v>0</v>
      </c>
      <c r="I18003" s="2">
        <v>0</v>
      </c>
      <c r="J18003" s="1">
        <v>46013.341874999998</v>
      </c>
    </row>
    <row r="18004" spans="1:10" x14ac:dyDescent="0.2">
      <c r="A18004" s="4" t="s">
        <v>1</v>
      </c>
      <c r="B18004" s="3" t="str">
        <f>HYPERLINK("https://otsuka-europe-crm.veevavault.com/ui/#object/approved_document__v/V5O00000000D076", "Postal Navidad 2025 - Nefro")</f>
        <v>Postal Navidad 2025 - Nefro</v>
      </c>
      <c r="C18004" s="3" t="str">
        <f>HYPERLINK("https://otsuka-europe-crm.veevavault.com/ui/#object/sent_email__v/VBL000000013328", "SE-001398407")</f>
        <v>SE-001398407</v>
      </c>
      <c r="D18004" s="1" t="s">
        <v>0</v>
      </c>
      <c r="E18004" s="2">
        <v>0</v>
      </c>
      <c r="F18004" s="2">
        <v>0</v>
      </c>
      <c r="G18004" s="2">
        <v>0</v>
      </c>
      <c r="H18004" s="1" t="s">
        <v>0</v>
      </c>
      <c r="I18004" s="2">
        <v>0</v>
      </c>
      <c r="J18004" s="1">
        <v>46013.341909722221</v>
      </c>
    </row>
    <row r="18005" spans="1:10" x14ac:dyDescent="0.2">
      <c r="A18005" s="4" t="s">
        <v>1</v>
      </c>
      <c r="B18005" s="3" t="str">
        <f>HYPERLINK("https://otsuka-europe-crm.veevavault.com/ui/#object/approved_document__v/V5O00000000D076", "Postal Navidad 2025 - Nefro")</f>
        <v>Postal Navidad 2025 - Nefro</v>
      </c>
      <c r="C18005" s="3" t="str">
        <f>HYPERLINK("https://otsuka-europe-crm.veevavault.com/ui/#object/sent_email__v/VBL000000013329", "SE-001398408")</f>
        <v>SE-001398408</v>
      </c>
      <c r="D18005" s="1" t="s">
        <v>0</v>
      </c>
      <c r="E18005" s="2">
        <v>0</v>
      </c>
      <c r="F18005" s="2">
        <v>0</v>
      </c>
      <c r="G18005" s="2">
        <v>0</v>
      </c>
      <c r="H18005" s="1" t="s">
        <v>0</v>
      </c>
      <c r="I18005" s="2">
        <v>0</v>
      </c>
      <c r="J18005" s="1">
        <v>46013.341944444444</v>
      </c>
    </row>
    <row r="18006" spans="1:10" x14ac:dyDescent="0.2">
      <c r="A18006" s="4" t="s">
        <v>1</v>
      </c>
      <c r="B18006" s="3" t="str">
        <f>HYPERLINK("https://otsuka-europe-crm.veevavault.com/ui/#object/approved_document__v/V5O00000000D076", "Postal Navidad 2025 - Nefro")</f>
        <v>Postal Navidad 2025 - Nefro</v>
      </c>
      <c r="C18006" s="3" t="str">
        <f>HYPERLINK("https://otsuka-europe-crm.veevavault.com/ui/#object/sent_email__v/VBL000000013330", "SE-001398409")</f>
        <v>SE-001398409</v>
      </c>
      <c r="D18006" s="1" t="s">
        <v>0</v>
      </c>
      <c r="E18006" s="2">
        <v>0</v>
      </c>
      <c r="F18006" s="2">
        <v>0</v>
      </c>
      <c r="G18006" s="2">
        <v>0</v>
      </c>
      <c r="H18006" s="1" t="s">
        <v>0</v>
      </c>
      <c r="I18006" s="2">
        <v>0</v>
      </c>
      <c r="J18006" s="1">
        <v>46013.341990740744</v>
      </c>
    </row>
    <row r="18007" spans="1:10" x14ac:dyDescent="0.2">
      <c r="A18007" s="4" t="s">
        <v>1</v>
      </c>
      <c r="B18007" s="3" t="str">
        <f>HYPERLINK("https://otsuka-europe-crm.veevavault.com/ui/#object/approved_document__v/V5O00000000D076", "Postal Navidad 2025 - Nefro")</f>
        <v>Postal Navidad 2025 - Nefro</v>
      </c>
      <c r="C18007" s="3" t="str">
        <f>HYPERLINK("https://otsuka-europe-crm.veevavault.com/ui/#object/sent_email__v/VBL000000013331", "SE-001398410")</f>
        <v>SE-001398410</v>
      </c>
      <c r="D18007" s="1">
        <v>46017.663101851853</v>
      </c>
      <c r="E18007" s="2">
        <v>1</v>
      </c>
      <c r="F18007" s="2">
        <v>1</v>
      </c>
      <c r="G18007" s="2">
        <v>0</v>
      </c>
      <c r="H18007" s="1" t="s">
        <v>0</v>
      </c>
      <c r="I18007" s="2">
        <v>0</v>
      </c>
      <c r="J18007" s="1">
        <v>46013.34202546296</v>
      </c>
    </row>
    <row r="18008" spans="1:10" x14ac:dyDescent="0.2">
      <c r="A18008" s="4" t="s">
        <v>1</v>
      </c>
      <c r="B18008" s="3" t="str">
        <f>HYPERLINK("https://otsuka-europe-crm.veevavault.com/ui/#object/approved_document__v/V5O00000000D076", "Postal Navidad 2025 - Nefro")</f>
        <v>Postal Navidad 2025 - Nefro</v>
      </c>
      <c r="C18008" s="3" t="str">
        <f>HYPERLINK("https://otsuka-europe-crm.veevavault.com/ui/#object/sent_email__v/VBL000000013332", "SE-001398411")</f>
        <v>SE-001398411</v>
      </c>
      <c r="D18008" s="1" t="s">
        <v>0</v>
      </c>
      <c r="E18008" s="2">
        <v>0</v>
      </c>
      <c r="F18008" s="2">
        <v>0</v>
      </c>
      <c r="G18008" s="2">
        <v>0</v>
      </c>
      <c r="H18008" s="1" t="s">
        <v>0</v>
      </c>
      <c r="I18008" s="2">
        <v>0</v>
      </c>
      <c r="J18008" s="1">
        <v>46013.342060185183</v>
      </c>
    </row>
    <row r="18009" spans="1:10" x14ac:dyDescent="0.2">
      <c r="A18009" s="4" t="s">
        <v>1</v>
      </c>
      <c r="B18009" s="3" t="str">
        <f>HYPERLINK("https://otsuka-europe-crm.veevavault.com/ui/#object/approved_document__v/V5O00000000D076", "Postal Navidad 2025 - Nefro")</f>
        <v>Postal Navidad 2025 - Nefro</v>
      </c>
      <c r="C18009" s="3" t="str">
        <f>HYPERLINK("https://otsuka-europe-crm.veevavault.com/ui/#object/sent_email__v/VBL000000013333", "SE-001398412")</f>
        <v>SE-001398412</v>
      </c>
      <c r="D18009" s="1" t="s">
        <v>0</v>
      </c>
      <c r="E18009" s="2">
        <v>0</v>
      </c>
      <c r="F18009" s="2">
        <v>0</v>
      </c>
      <c r="G18009" s="2">
        <v>0</v>
      </c>
      <c r="H18009" s="1" t="s">
        <v>0</v>
      </c>
      <c r="I18009" s="2">
        <v>0</v>
      </c>
      <c r="J18009" s="1">
        <v>46013.342094907406</v>
      </c>
    </row>
    <row r="18010" spans="1:10" x14ac:dyDescent="0.2">
      <c r="A18010" s="4" t="s">
        <v>1</v>
      </c>
      <c r="B18010" s="3" t="str">
        <f>HYPERLINK("https://otsuka-europe-crm.veevavault.com/ui/#object/approved_document__v/V5O00000000D076", "Postal Navidad 2025 - Nefro")</f>
        <v>Postal Navidad 2025 - Nefro</v>
      </c>
      <c r="C18010" s="3" t="str">
        <f>HYPERLINK("https://otsuka-europe-crm.veevavault.com/ui/#object/sent_email__v/VBL000000013334", "SE-001398413")</f>
        <v>SE-001398413</v>
      </c>
      <c r="D18010" s="1">
        <v>46013.946828703702</v>
      </c>
      <c r="E18010" s="2">
        <v>1</v>
      </c>
      <c r="F18010" s="2">
        <v>1</v>
      </c>
      <c r="G18010" s="2">
        <v>0</v>
      </c>
      <c r="H18010" s="1" t="s">
        <v>0</v>
      </c>
      <c r="I18010" s="2">
        <v>0</v>
      </c>
      <c r="J18010" s="1">
        <v>46013.342129629629</v>
      </c>
    </row>
    <row r="18011" spans="1:10" x14ac:dyDescent="0.2">
      <c r="A18011" s="4" t="s">
        <v>1</v>
      </c>
      <c r="B18011" s="3" t="str">
        <f>HYPERLINK("https://otsuka-europe-crm.veevavault.com/ui/#object/approved_document__v/V5O00000000D076", "Postal Navidad 2025 - Nefro")</f>
        <v>Postal Navidad 2025 - Nefro</v>
      </c>
      <c r="C18011" s="3" t="str">
        <f>HYPERLINK("https://otsuka-europe-crm.veevavault.com/ui/#object/sent_email__v/VBL000000013335", "SE-001398414")</f>
        <v>SE-001398414</v>
      </c>
      <c r="D18011" s="1" t="s">
        <v>0</v>
      </c>
      <c r="E18011" s="2">
        <v>0</v>
      </c>
      <c r="F18011" s="2">
        <v>0</v>
      </c>
      <c r="G18011" s="2">
        <v>0</v>
      </c>
      <c r="H18011" s="1" t="s">
        <v>0</v>
      </c>
      <c r="I18011" s="2">
        <v>0</v>
      </c>
      <c r="J18011" s="1">
        <v>46013.342164351852</v>
      </c>
    </row>
    <row r="18012" spans="1:10" x14ac:dyDescent="0.2">
      <c r="A18012" s="4" t="s">
        <v>1</v>
      </c>
      <c r="B18012" s="3" t="str">
        <f>HYPERLINK("https://otsuka-europe-crm.veevavault.com/ui/#object/approved_document__v/V5O00000000D076", "Postal Navidad 2025 - Nefro")</f>
        <v>Postal Navidad 2025 - Nefro</v>
      </c>
      <c r="C18012" s="3" t="str">
        <f>HYPERLINK("https://otsuka-europe-crm.veevavault.com/ui/#object/sent_email__v/VBL000000013336", "SE-001398415")</f>
        <v>SE-001398415</v>
      </c>
      <c r="D18012" s="1" t="s">
        <v>0</v>
      </c>
      <c r="E18012" s="2">
        <v>0</v>
      </c>
      <c r="F18012" s="2">
        <v>0</v>
      </c>
      <c r="G18012" s="2">
        <v>0</v>
      </c>
      <c r="H18012" s="1" t="s">
        <v>0</v>
      </c>
      <c r="I18012" s="2">
        <v>0</v>
      </c>
      <c r="J18012" s="1">
        <v>46013.342210648145</v>
      </c>
    </row>
    <row r="18013" spans="1:10" x14ac:dyDescent="0.2">
      <c r="A18013" s="4" t="s">
        <v>1</v>
      </c>
      <c r="B18013" s="3" t="str">
        <f>HYPERLINK("https://otsuka-europe-crm.veevavault.com/ui/#object/approved_document__v/V5O00000000D076", "Postal Navidad 2025 - Nefro")</f>
        <v>Postal Navidad 2025 - Nefro</v>
      </c>
      <c r="C18013" s="3" t="str">
        <f>HYPERLINK("https://otsuka-europe-crm.veevavault.com/ui/#object/sent_email__v/VBL000000013337", "SE-001398416")</f>
        <v>SE-001398416</v>
      </c>
      <c r="D18013" s="1" t="s">
        <v>0</v>
      </c>
      <c r="E18013" s="2">
        <v>0</v>
      </c>
      <c r="F18013" s="2">
        <v>0</v>
      </c>
      <c r="G18013" s="2">
        <v>0</v>
      </c>
      <c r="H18013" s="1" t="s">
        <v>0</v>
      </c>
      <c r="I18013" s="2">
        <v>0</v>
      </c>
      <c r="J18013" s="1">
        <v>46013.342245370368</v>
      </c>
    </row>
    <row r="18014" spans="1:10" x14ac:dyDescent="0.2">
      <c r="A18014" s="4" t="s">
        <v>1</v>
      </c>
      <c r="B18014" s="3" t="str">
        <f>HYPERLINK("https://otsuka-europe-crm.veevavault.com/ui/#object/approved_document__v/V5O00000000D076", "Postal Navidad 2025 - Nefro")</f>
        <v>Postal Navidad 2025 - Nefro</v>
      </c>
      <c r="C18014" s="3" t="str">
        <f>HYPERLINK("https://otsuka-europe-crm.veevavault.com/ui/#object/sent_email__v/VBL000000013338", "SE-001398417")</f>
        <v>SE-001398417</v>
      </c>
      <c r="D18014" s="1" t="s">
        <v>0</v>
      </c>
      <c r="E18014" s="2">
        <v>0</v>
      </c>
      <c r="F18014" s="2">
        <v>0</v>
      </c>
      <c r="G18014" s="2">
        <v>0</v>
      </c>
      <c r="H18014" s="1" t="s">
        <v>0</v>
      </c>
      <c r="I18014" s="2">
        <v>0</v>
      </c>
      <c r="J18014" s="1">
        <v>46013.342280092591</v>
      </c>
    </row>
    <row r="18015" spans="1:10" x14ac:dyDescent="0.2">
      <c r="A18015" s="4" t="s">
        <v>1</v>
      </c>
      <c r="B18015" s="3" t="str">
        <f>HYPERLINK("https://otsuka-europe-crm.veevavault.com/ui/#object/approved_document__v/V5O00000000D076", "Postal Navidad 2025 - Nefro")</f>
        <v>Postal Navidad 2025 - Nefro</v>
      </c>
      <c r="C18015" s="3" t="str">
        <f>HYPERLINK("https://otsuka-europe-crm.veevavault.com/ui/#object/sent_email__v/VBL000000013339", "SE-001398418")</f>
        <v>SE-001398418</v>
      </c>
      <c r="D18015" s="1" t="s">
        <v>0</v>
      </c>
      <c r="E18015" s="2">
        <v>0</v>
      </c>
      <c r="F18015" s="2">
        <v>0</v>
      </c>
      <c r="G18015" s="2">
        <v>0</v>
      </c>
      <c r="H18015" s="1" t="s">
        <v>0</v>
      </c>
      <c r="I18015" s="2">
        <v>0</v>
      </c>
      <c r="J18015" s="1">
        <v>46013.342314814814</v>
      </c>
    </row>
    <row r="18016" spans="1:10" x14ac:dyDescent="0.2">
      <c r="A18016" s="4" t="s">
        <v>1</v>
      </c>
      <c r="B18016" s="3" t="str">
        <f>HYPERLINK("https://otsuka-europe-crm.veevavault.com/ui/#object/approved_document__v/V5O00000000D076", "Postal Navidad 2025 - Nefro")</f>
        <v>Postal Navidad 2025 - Nefro</v>
      </c>
      <c r="C18016" s="3" t="str">
        <f>HYPERLINK("https://otsuka-europe-crm.veevavault.com/ui/#object/sent_email__v/VBL000000013340", "SE-001398419")</f>
        <v>SE-001398419</v>
      </c>
      <c r="D18016" s="1" t="s">
        <v>0</v>
      </c>
      <c r="E18016" s="2">
        <v>0</v>
      </c>
      <c r="F18016" s="2">
        <v>0</v>
      </c>
      <c r="G18016" s="2">
        <v>0</v>
      </c>
      <c r="H18016" s="1" t="s">
        <v>0</v>
      </c>
      <c r="I18016" s="2">
        <v>0</v>
      </c>
      <c r="J18016" s="1">
        <v>46013.342349537037</v>
      </c>
    </row>
    <row r="18017" spans="1:10" x14ac:dyDescent="0.2">
      <c r="A18017" s="4" t="s">
        <v>1</v>
      </c>
      <c r="B18017" s="3" t="str">
        <f>HYPERLINK("https://otsuka-europe-crm.veevavault.com/ui/#object/approved_document__v/V5O00000000D076", "Postal Navidad 2025 - Nefro")</f>
        <v>Postal Navidad 2025 - Nefro</v>
      </c>
      <c r="C18017" s="3" t="str">
        <f>HYPERLINK("https://otsuka-europe-crm.veevavault.com/ui/#object/sent_email__v/VBL000000013341", "SE-001398420")</f>
        <v>SE-001398420</v>
      </c>
      <c r="D18017" s="1" t="s">
        <v>0</v>
      </c>
      <c r="E18017" s="2">
        <v>0</v>
      </c>
      <c r="F18017" s="2">
        <v>0</v>
      </c>
      <c r="G18017" s="2">
        <v>0</v>
      </c>
      <c r="H18017" s="1" t="s">
        <v>0</v>
      </c>
      <c r="I18017" s="2">
        <v>0</v>
      </c>
      <c r="J18017" s="1">
        <v>46013.342395833337</v>
      </c>
    </row>
    <row r="18018" spans="1:10" x14ac:dyDescent="0.2">
      <c r="A18018" s="4" t="s">
        <v>1</v>
      </c>
      <c r="B18018" s="3" t="str">
        <f>HYPERLINK("https://otsuka-europe-crm.veevavault.com/ui/#object/approved_document__v/V5O00000000D076", "Postal Navidad 2025 - Nefro")</f>
        <v>Postal Navidad 2025 - Nefro</v>
      </c>
      <c r="C18018" s="3" t="str">
        <f>HYPERLINK("https://otsuka-europe-crm.veevavault.com/ui/#object/sent_email__v/VBL000000013342", "SE-001398421")</f>
        <v>SE-001398421</v>
      </c>
      <c r="D18018" s="1" t="s">
        <v>0</v>
      </c>
      <c r="E18018" s="2">
        <v>0</v>
      </c>
      <c r="F18018" s="2">
        <v>0</v>
      </c>
      <c r="G18018" s="2">
        <v>0</v>
      </c>
      <c r="H18018" s="1" t="s">
        <v>0</v>
      </c>
      <c r="I18018" s="2">
        <v>0</v>
      </c>
      <c r="J18018" s="1">
        <v>46013.342430555553</v>
      </c>
    </row>
    <row r="18019" spans="1:10" x14ac:dyDescent="0.2">
      <c r="A18019" s="4" t="s">
        <v>1</v>
      </c>
      <c r="B18019" s="3" t="str">
        <f>HYPERLINK("https://otsuka-europe-crm.veevavault.com/ui/#object/approved_document__v/V5O00000000D076", "Postal Navidad 2025 - Nefro")</f>
        <v>Postal Navidad 2025 - Nefro</v>
      </c>
      <c r="C18019" s="3" t="str">
        <f>HYPERLINK("https://otsuka-europe-crm.veevavault.com/ui/#object/sent_email__v/VBL000000013343", "SE-001398422")</f>
        <v>SE-001398422</v>
      </c>
      <c r="D18019" s="1" t="s">
        <v>0</v>
      </c>
      <c r="E18019" s="2">
        <v>0</v>
      </c>
      <c r="F18019" s="2">
        <v>0</v>
      </c>
      <c r="G18019" s="2">
        <v>0</v>
      </c>
      <c r="H18019" s="1" t="s">
        <v>0</v>
      </c>
      <c r="I18019" s="2">
        <v>0</v>
      </c>
      <c r="J18019" s="1">
        <v>46013.342476851853</v>
      </c>
    </row>
    <row r="18020" spans="1:10" x14ac:dyDescent="0.2">
      <c r="A18020" s="4" t="s">
        <v>1</v>
      </c>
      <c r="B18020" s="3" t="str">
        <f>HYPERLINK("https://otsuka-europe-crm.veevavault.com/ui/#object/approved_document__v/V5O00000000D076", "Postal Navidad 2025 - Nefro")</f>
        <v>Postal Navidad 2025 - Nefro</v>
      </c>
      <c r="C18020" s="3" t="str">
        <f>HYPERLINK("https://otsuka-europe-crm.veevavault.com/ui/#object/sent_email__v/VBL000000013344", "SE-001398423")</f>
        <v>SE-001398423</v>
      </c>
      <c r="D18020" s="1">
        <v>46013.445416666669</v>
      </c>
      <c r="E18020" s="2">
        <v>1</v>
      </c>
      <c r="F18020" s="2">
        <v>1</v>
      </c>
      <c r="G18020" s="2">
        <v>0</v>
      </c>
      <c r="H18020" s="1" t="s">
        <v>0</v>
      </c>
      <c r="I18020" s="2">
        <v>0</v>
      </c>
      <c r="J18020" s="1">
        <v>46013.342499999999</v>
      </c>
    </row>
    <row r="18021" spans="1:10" x14ac:dyDescent="0.2">
      <c r="A18021" s="4" t="s">
        <v>1</v>
      </c>
      <c r="B18021" s="3" t="str">
        <f>HYPERLINK("https://otsuka-europe-crm.veevavault.com/ui/#object/approved_document__v/V5O00000000D076", "Postal Navidad 2025 - Nefro")</f>
        <v>Postal Navidad 2025 - Nefro</v>
      </c>
      <c r="C18021" s="3" t="str">
        <f>HYPERLINK("https://otsuka-europe-crm.veevavault.com/ui/#object/sent_email__v/VBL000000013345", "SE-001398424")</f>
        <v>SE-001398424</v>
      </c>
      <c r="D18021" s="1">
        <v>46013.778032407405</v>
      </c>
      <c r="E18021" s="2">
        <v>1</v>
      </c>
      <c r="F18021" s="2">
        <v>1</v>
      </c>
      <c r="G18021" s="2">
        <v>0</v>
      </c>
      <c r="H18021" s="1" t="s">
        <v>0</v>
      </c>
      <c r="I18021" s="2">
        <v>0</v>
      </c>
      <c r="J18021" s="1">
        <v>46013.342546296299</v>
      </c>
    </row>
    <row r="18022" spans="1:10" x14ac:dyDescent="0.2">
      <c r="A18022" s="4" t="s">
        <v>1</v>
      </c>
      <c r="B18022" s="3" t="str">
        <f>HYPERLINK("https://otsuka-europe-crm.veevavault.com/ui/#object/approved_document__v/V5O00000000D076", "Postal Navidad 2025 - Nefro")</f>
        <v>Postal Navidad 2025 - Nefro</v>
      </c>
      <c r="C18022" s="3" t="str">
        <f>HYPERLINK("https://otsuka-europe-crm.veevavault.com/ui/#object/sent_email__v/VBL000000013346", "SE-001398425")</f>
        <v>SE-001398425</v>
      </c>
      <c r="D18022" s="1" t="s">
        <v>0</v>
      </c>
      <c r="E18022" s="2">
        <v>0</v>
      </c>
      <c r="F18022" s="2">
        <v>0</v>
      </c>
      <c r="G18022" s="2">
        <v>0</v>
      </c>
      <c r="H18022" s="1" t="s">
        <v>0</v>
      </c>
      <c r="I18022" s="2">
        <v>0</v>
      </c>
      <c r="J18022" s="1">
        <v>46013.342581018522</v>
      </c>
    </row>
    <row r="18023" spans="1:10" x14ac:dyDescent="0.2">
      <c r="A18023" s="4" t="s">
        <v>1</v>
      </c>
      <c r="B18023" s="3" t="str">
        <f>HYPERLINK("https://otsuka-europe-crm.veevavault.com/ui/#object/approved_document__v/V5O00000000D076", "Postal Navidad 2025 - Nefro")</f>
        <v>Postal Navidad 2025 - Nefro</v>
      </c>
      <c r="C18023" s="3" t="str">
        <f>HYPERLINK("https://otsuka-europe-crm.veevavault.com/ui/#object/sent_email__v/VBL000000013347", "SE-001398426")</f>
        <v>SE-001398426</v>
      </c>
      <c r="D18023" s="1" t="s">
        <v>0</v>
      </c>
      <c r="E18023" s="2">
        <v>0</v>
      </c>
      <c r="F18023" s="2">
        <v>0</v>
      </c>
      <c r="G18023" s="2">
        <v>0</v>
      </c>
      <c r="H18023" s="1" t="s">
        <v>0</v>
      </c>
      <c r="I18023" s="2">
        <v>0</v>
      </c>
      <c r="J18023" s="1">
        <v>46013.342615740738</v>
      </c>
    </row>
    <row r="18024" spans="1:10" x14ac:dyDescent="0.2">
      <c r="A18024" s="4" t="s">
        <v>1</v>
      </c>
      <c r="B18024" s="3" t="str">
        <f>HYPERLINK("https://otsuka-europe-crm.veevavault.com/ui/#object/approved_document__v/V5O00000000D076", "Postal Navidad 2025 - Nefro")</f>
        <v>Postal Navidad 2025 - Nefro</v>
      </c>
      <c r="C18024" s="3" t="str">
        <f>HYPERLINK("https://otsuka-europe-crm.veevavault.com/ui/#object/sent_email__v/VBL000000013348", "SE-001398427")</f>
        <v>SE-001398427</v>
      </c>
      <c r="D18024" s="1" t="s">
        <v>0</v>
      </c>
      <c r="E18024" s="2">
        <v>0</v>
      </c>
      <c r="F18024" s="2">
        <v>0</v>
      </c>
      <c r="G18024" s="2">
        <v>0</v>
      </c>
      <c r="H18024" s="1" t="s">
        <v>0</v>
      </c>
      <c r="I18024" s="2">
        <v>0</v>
      </c>
      <c r="J18024" s="1">
        <v>46013.342650462961</v>
      </c>
    </row>
    <row r="18025" spans="1:10" x14ac:dyDescent="0.2">
      <c r="A18025" s="4" t="s">
        <v>1</v>
      </c>
      <c r="B18025" s="3" t="str">
        <f>HYPERLINK("https://otsuka-europe-crm.veevavault.com/ui/#object/approved_document__v/V5O00000000D076", "Postal Navidad 2025 - Nefro")</f>
        <v>Postal Navidad 2025 - Nefro</v>
      </c>
      <c r="C18025" s="3" t="str">
        <f>HYPERLINK("https://otsuka-europe-crm.veevavault.com/ui/#object/sent_email__v/VBL000000013349", "SE-001398428")</f>
        <v>SE-001398428</v>
      </c>
      <c r="D18025" s="1">
        <v>46013.342766203707</v>
      </c>
      <c r="E18025" s="2">
        <v>1</v>
      </c>
      <c r="F18025" s="2">
        <v>1</v>
      </c>
      <c r="G18025" s="2">
        <v>0</v>
      </c>
      <c r="H18025" s="1" t="s">
        <v>0</v>
      </c>
      <c r="I18025" s="2">
        <v>0</v>
      </c>
      <c r="J18025" s="1">
        <v>46013.34269675926</v>
      </c>
    </row>
    <row r="18026" spans="1:10" x14ac:dyDescent="0.2">
      <c r="A18026" s="4" t="s">
        <v>1</v>
      </c>
      <c r="B18026" s="3" t="str">
        <f>HYPERLINK("https://otsuka-europe-crm.veevavault.com/ui/#object/approved_document__v/V5O00000000D076", "Postal Navidad 2025 - Nefro")</f>
        <v>Postal Navidad 2025 - Nefro</v>
      </c>
      <c r="C18026" s="3" t="str">
        <f>HYPERLINK("https://otsuka-europe-crm.veevavault.com/ui/#object/sent_email__v/VBL000000013350", "SE-001398429")</f>
        <v>SE-001398429</v>
      </c>
      <c r="D18026" s="1" t="s">
        <v>0</v>
      </c>
      <c r="E18026" s="2">
        <v>0</v>
      </c>
      <c r="F18026" s="2">
        <v>0</v>
      </c>
      <c r="G18026" s="2">
        <v>0</v>
      </c>
      <c r="H18026" s="1" t="s">
        <v>0</v>
      </c>
      <c r="I18026" s="2">
        <v>0</v>
      </c>
      <c r="J18026" s="1">
        <v>46013.342719907407</v>
      </c>
    </row>
    <row r="18027" spans="1:10" x14ac:dyDescent="0.2">
      <c r="A18027" s="4" t="s">
        <v>1</v>
      </c>
      <c r="B18027" s="3" t="str">
        <f>HYPERLINK("https://otsuka-europe-crm.veevavault.com/ui/#object/approved_document__v/V5O00000000D076", "Postal Navidad 2025 - Nefro")</f>
        <v>Postal Navidad 2025 - Nefro</v>
      </c>
      <c r="C18027" s="3" t="str">
        <f>HYPERLINK("https://otsuka-europe-crm.veevavault.com/ui/#object/sent_email__v/VBL000000013351", "SE-001398430")</f>
        <v>SE-001398430</v>
      </c>
      <c r="D18027" s="1" t="s">
        <v>0</v>
      </c>
      <c r="E18027" s="2">
        <v>0</v>
      </c>
      <c r="F18027" s="2">
        <v>0</v>
      </c>
      <c r="G18027" s="2">
        <v>0</v>
      </c>
      <c r="H18027" s="1" t="s">
        <v>0</v>
      </c>
      <c r="I18027" s="2">
        <v>0</v>
      </c>
      <c r="J18027" s="1">
        <v>46013.342766203707</v>
      </c>
    </row>
    <row r="18028" spans="1:10" x14ac:dyDescent="0.2">
      <c r="A18028" s="4" t="s">
        <v>1</v>
      </c>
      <c r="B18028" s="3" t="str">
        <f>HYPERLINK("https://otsuka-europe-crm.veevavault.com/ui/#object/approved_document__v/V5O00000000D076", "Postal Navidad 2025 - Nefro")</f>
        <v>Postal Navidad 2025 - Nefro</v>
      </c>
      <c r="C18028" s="3" t="str">
        <f>HYPERLINK("https://otsuka-europe-crm.veevavault.com/ui/#object/sent_email__v/VBL000000013352", "SE-001398431")</f>
        <v>SE-001398431</v>
      </c>
      <c r="D18028" s="1" t="s">
        <v>0</v>
      </c>
      <c r="E18028" s="2">
        <v>0</v>
      </c>
      <c r="F18028" s="2">
        <v>0</v>
      </c>
      <c r="G18028" s="2">
        <v>0</v>
      </c>
      <c r="H18028" s="1" t="s">
        <v>0</v>
      </c>
      <c r="I18028" s="2">
        <v>0</v>
      </c>
      <c r="J18028" s="1">
        <v>46013.342800925922</v>
      </c>
    </row>
    <row r="18029" spans="1:10" x14ac:dyDescent="0.2">
      <c r="A18029" s="4" t="s">
        <v>1</v>
      </c>
      <c r="B18029" s="3" t="str">
        <f>HYPERLINK("https://otsuka-europe-crm.veevavault.com/ui/#object/approved_document__v/V5O00000000D076", "Postal Navidad 2025 - Nefro")</f>
        <v>Postal Navidad 2025 - Nefro</v>
      </c>
      <c r="C18029" s="3" t="str">
        <f>HYPERLINK("https://otsuka-europe-crm.veevavault.com/ui/#object/sent_email__v/VBL000000013353", "SE-001398432")</f>
        <v>SE-001398432</v>
      </c>
      <c r="D18029" s="1">
        <v>46013.342916666668</v>
      </c>
      <c r="E18029" s="2">
        <v>1</v>
      </c>
      <c r="F18029" s="2">
        <v>1</v>
      </c>
      <c r="G18029" s="2">
        <v>0</v>
      </c>
      <c r="H18029" s="1" t="s">
        <v>0</v>
      </c>
      <c r="I18029" s="2">
        <v>0</v>
      </c>
      <c r="J18029" s="1">
        <v>46013.342835648145</v>
      </c>
    </row>
    <row r="18030" spans="1:10" x14ac:dyDescent="0.2">
      <c r="A18030" s="4" t="s">
        <v>1</v>
      </c>
      <c r="B18030" s="3" t="str">
        <f>HYPERLINK("https://otsuka-europe-crm.veevavault.com/ui/#object/approved_document__v/V5O00000000D076", "Postal Navidad 2025 - Nefro")</f>
        <v>Postal Navidad 2025 - Nefro</v>
      </c>
      <c r="C18030" s="3" t="str">
        <f>HYPERLINK("https://otsuka-europe-crm.veevavault.com/ui/#object/sent_email__v/VBL000000013354", "SE-001398433")</f>
        <v>SE-001398433</v>
      </c>
      <c r="D18030" s="1" t="s">
        <v>0</v>
      </c>
      <c r="E18030" s="2">
        <v>0</v>
      </c>
      <c r="F18030" s="2">
        <v>0</v>
      </c>
      <c r="G18030" s="2">
        <v>0</v>
      </c>
      <c r="H18030" s="1" t="s">
        <v>0</v>
      </c>
      <c r="I18030" s="2">
        <v>0</v>
      </c>
      <c r="J18030" s="1">
        <v>46013.342870370368</v>
      </c>
    </row>
    <row r="18031" spans="1:10" x14ac:dyDescent="0.2">
      <c r="A18031" s="4" t="s">
        <v>1</v>
      </c>
      <c r="B18031" s="3" t="str">
        <f>HYPERLINK("https://otsuka-europe-crm.veevavault.com/ui/#object/approved_document__v/V5O00000000D076", "Postal Navidad 2025 - Nefro")</f>
        <v>Postal Navidad 2025 - Nefro</v>
      </c>
      <c r="C18031" s="3" t="str">
        <f>HYPERLINK("https://otsuka-europe-crm.veevavault.com/ui/#object/sent_email__v/VBL000000013355", "SE-001398434")</f>
        <v>SE-001398434</v>
      </c>
      <c r="D18031" s="1" t="s">
        <v>0</v>
      </c>
      <c r="E18031" s="2">
        <v>0</v>
      </c>
      <c r="F18031" s="2">
        <v>0</v>
      </c>
      <c r="G18031" s="2">
        <v>0</v>
      </c>
      <c r="H18031" s="1" t="s">
        <v>0</v>
      </c>
      <c r="I18031" s="2">
        <v>0</v>
      </c>
      <c r="J18031" s="1">
        <v>46013.342916666668</v>
      </c>
    </row>
    <row r="18032" spans="1:10" x14ac:dyDescent="0.2">
      <c r="A18032" s="4" t="s">
        <v>1</v>
      </c>
      <c r="B18032" s="3" t="str">
        <f>HYPERLINK("https://otsuka-europe-crm.veevavault.com/ui/#object/approved_document__v/V5O00000000D076", "Postal Navidad 2025 - Nefro")</f>
        <v>Postal Navidad 2025 - Nefro</v>
      </c>
      <c r="C18032" s="3" t="str">
        <f>HYPERLINK("https://otsuka-europe-crm.veevavault.com/ui/#object/sent_email__v/VBL000000013356", "SE-001398435")</f>
        <v>SE-001398435</v>
      </c>
      <c r="D18032" s="1">
        <v>46013.889085648145</v>
      </c>
      <c r="E18032" s="2">
        <v>1</v>
      </c>
      <c r="F18032" s="2">
        <v>1</v>
      </c>
      <c r="G18032" s="2">
        <v>0</v>
      </c>
      <c r="H18032" s="1" t="s">
        <v>0</v>
      </c>
      <c r="I18032" s="2">
        <v>0</v>
      </c>
      <c r="J18032" s="1">
        <v>46013.342951388891</v>
      </c>
    </row>
    <row r="18033" spans="1:10" x14ac:dyDescent="0.2">
      <c r="A18033" s="4" t="s">
        <v>1</v>
      </c>
      <c r="B18033" s="3" t="str">
        <f>HYPERLINK("https://otsuka-europe-crm.veevavault.com/ui/#object/approved_document__v/V5O00000000D076", "Postal Navidad 2025 - Nefro")</f>
        <v>Postal Navidad 2025 - Nefro</v>
      </c>
      <c r="C18033" s="3" t="str">
        <f>HYPERLINK("https://otsuka-europe-crm.veevavault.com/ui/#object/sent_email__v/VBL000000013357", "SE-001398436")</f>
        <v>SE-001398436</v>
      </c>
      <c r="D18033" s="1" t="s">
        <v>0</v>
      </c>
      <c r="E18033" s="2">
        <v>0</v>
      </c>
      <c r="F18033" s="2">
        <v>0</v>
      </c>
      <c r="G18033" s="2">
        <v>0</v>
      </c>
      <c r="H18033" s="1" t="s">
        <v>0</v>
      </c>
      <c r="I18033" s="2">
        <v>0</v>
      </c>
      <c r="J18033" s="1">
        <v>46013.342986111114</v>
      </c>
    </row>
    <row r="18034" spans="1:10" x14ac:dyDescent="0.2">
      <c r="A18034" s="4" t="s">
        <v>1</v>
      </c>
      <c r="B18034" s="3" t="str">
        <f>HYPERLINK("https://otsuka-europe-crm.veevavault.com/ui/#object/approved_document__v/V5O00000000D076", "Postal Navidad 2025 - Nefro")</f>
        <v>Postal Navidad 2025 - Nefro</v>
      </c>
      <c r="C18034" s="3" t="str">
        <f>HYPERLINK("https://otsuka-europe-crm.veevavault.com/ui/#object/sent_email__v/VBL000000013358", "SE-001398437")</f>
        <v>SE-001398437</v>
      </c>
      <c r="D18034" s="1">
        <v>46014.231400462966</v>
      </c>
      <c r="E18034" s="2">
        <v>1</v>
      </c>
      <c r="F18034" s="2">
        <v>1</v>
      </c>
      <c r="G18034" s="2">
        <v>1</v>
      </c>
      <c r="H18034" s="1">
        <v>46014.231400462966</v>
      </c>
      <c r="I18034" s="2">
        <v>1</v>
      </c>
      <c r="J18034" s="1">
        <v>46013.34302083333</v>
      </c>
    </row>
    <row r="18035" spans="1:10" x14ac:dyDescent="0.2">
      <c r="A18035" s="4" t="s">
        <v>1</v>
      </c>
      <c r="B18035" s="3" t="str">
        <f>HYPERLINK("https://otsuka-europe-crm.veevavault.com/ui/#object/approved_document__v/V5O00000000D076", "Postal Navidad 2025 - Nefro")</f>
        <v>Postal Navidad 2025 - Nefro</v>
      </c>
      <c r="C18035" s="3" t="str">
        <f>HYPERLINK("https://otsuka-europe-crm.veevavault.com/ui/#object/sent_email__v/VBL000000013359", "SE-001398438")</f>
        <v>SE-001398438</v>
      </c>
      <c r="D18035" s="1" t="s">
        <v>0</v>
      </c>
      <c r="E18035" s="2">
        <v>0</v>
      </c>
      <c r="F18035" s="2">
        <v>0</v>
      </c>
      <c r="G18035" s="2">
        <v>0</v>
      </c>
      <c r="H18035" s="1" t="s">
        <v>0</v>
      </c>
      <c r="I18035" s="2">
        <v>0</v>
      </c>
      <c r="J18035" s="1">
        <v>46013.343055555553</v>
      </c>
    </row>
    <row r="18036" spans="1:10" x14ac:dyDescent="0.2">
      <c r="A18036" s="4" t="s">
        <v>1</v>
      </c>
      <c r="B18036" s="3" t="str">
        <f>HYPERLINK("https://otsuka-europe-crm.veevavault.com/ui/#object/approved_document__v/V5O00000000D076", "Postal Navidad 2025 - Nefro")</f>
        <v>Postal Navidad 2025 - Nefro</v>
      </c>
      <c r="C18036" s="3" t="str">
        <f>HYPERLINK("https://otsuka-europe-crm.veevavault.com/ui/#object/sent_email__v/VBL000000013360", "SE-001398439")</f>
        <v>SE-001398439</v>
      </c>
      <c r="D18036" s="1" t="s">
        <v>0</v>
      </c>
      <c r="E18036" s="2">
        <v>0</v>
      </c>
      <c r="F18036" s="2">
        <v>0</v>
      </c>
      <c r="G18036" s="2">
        <v>0</v>
      </c>
      <c r="H18036" s="1" t="s">
        <v>0</v>
      </c>
      <c r="I18036" s="2">
        <v>0</v>
      </c>
      <c r="J18036" s="1">
        <v>46013.343090277776</v>
      </c>
    </row>
    <row r="18037" spans="1:10" x14ac:dyDescent="0.2">
      <c r="A18037" s="4" t="s">
        <v>1</v>
      </c>
      <c r="B18037" s="3" t="str">
        <f>HYPERLINK("https://otsuka-europe-crm.veevavault.com/ui/#object/approved_document__v/V5O00000000D076", "Postal Navidad 2025 - Nefro")</f>
        <v>Postal Navidad 2025 - Nefro</v>
      </c>
      <c r="C18037" s="3" t="str">
        <f>HYPERLINK("https://otsuka-europe-crm.veevavault.com/ui/#object/sent_email__v/VBL000000013361", "SE-001398440")</f>
        <v>SE-001398440</v>
      </c>
      <c r="D18037" s="1" t="s">
        <v>0</v>
      </c>
      <c r="E18037" s="2">
        <v>0</v>
      </c>
      <c r="F18037" s="2">
        <v>0</v>
      </c>
      <c r="G18037" s="2">
        <v>0</v>
      </c>
      <c r="H18037" s="1" t="s">
        <v>0</v>
      </c>
      <c r="I18037" s="2">
        <v>0</v>
      </c>
      <c r="J18037" s="1">
        <v>46013.343124999999</v>
      </c>
    </row>
    <row r="18038" spans="1:10" x14ac:dyDescent="0.2">
      <c r="A18038" s="4" t="s">
        <v>1</v>
      </c>
      <c r="B18038" s="3" t="str">
        <f>HYPERLINK("https://otsuka-europe-crm.veevavault.com/ui/#object/approved_document__v/V5O00000000D076", "Postal Navidad 2025 - Nefro")</f>
        <v>Postal Navidad 2025 - Nefro</v>
      </c>
      <c r="C18038" s="3" t="str">
        <f>HYPERLINK("https://otsuka-europe-crm.veevavault.com/ui/#object/sent_email__v/VBL000000013362", "SE-001398441")</f>
        <v>SE-001398441</v>
      </c>
      <c r="D18038" s="1">
        <v>46013.343263888892</v>
      </c>
      <c r="E18038" s="2">
        <v>1</v>
      </c>
      <c r="F18038" s="2">
        <v>1</v>
      </c>
      <c r="G18038" s="2">
        <v>0</v>
      </c>
      <c r="H18038" s="1" t="s">
        <v>0</v>
      </c>
      <c r="I18038" s="2">
        <v>0</v>
      </c>
      <c r="J18038" s="1">
        <v>46013.343171296299</v>
      </c>
    </row>
    <row r="18039" spans="1:10" x14ac:dyDescent="0.2">
      <c r="A18039" s="4" t="s">
        <v>1</v>
      </c>
      <c r="B18039" s="3" t="str">
        <f>HYPERLINK("https://otsuka-europe-crm.veevavault.com/ui/#object/approved_document__v/V5O00000000D076", "Postal Navidad 2025 - Nefro")</f>
        <v>Postal Navidad 2025 - Nefro</v>
      </c>
      <c r="C18039" s="3" t="str">
        <f>HYPERLINK("https://otsuka-europe-crm.veevavault.com/ui/#object/sent_email__v/VBL000000013363", "SE-001398442")</f>
        <v>SE-001398442</v>
      </c>
      <c r="D18039" s="1" t="s">
        <v>0</v>
      </c>
      <c r="E18039" s="2">
        <v>0</v>
      </c>
      <c r="F18039" s="2">
        <v>0</v>
      </c>
      <c r="G18039" s="2">
        <v>0</v>
      </c>
      <c r="H18039" s="1" t="s">
        <v>0</v>
      </c>
      <c r="I18039" s="2">
        <v>0</v>
      </c>
      <c r="J18039" s="1">
        <v>46013.343206018515</v>
      </c>
    </row>
    <row r="18040" spans="1:10" x14ac:dyDescent="0.2">
      <c r="A18040" s="4" t="s">
        <v>1</v>
      </c>
      <c r="B18040" s="3" t="str">
        <f>HYPERLINK("https://otsuka-europe-crm.veevavault.com/ui/#object/approved_document__v/V5O00000000D076", "Postal Navidad 2025 - Nefro")</f>
        <v>Postal Navidad 2025 - Nefro</v>
      </c>
      <c r="C18040" s="3" t="str">
        <f>HYPERLINK("https://otsuka-europe-crm.veevavault.com/ui/#object/sent_email__v/VBL000000013364", "SE-001398443")</f>
        <v>SE-001398443</v>
      </c>
      <c r="D18040" s="1" t="s">
        <v>0</v>
      </c>
      <c r="E18040" s="2">
        <v>0</v>
      </c>
      <c r="F18040" s="2">
        <v>0</v>
      </c>
      <c r="G18040" s="2">
        <v>0</v>
      </c>
      <c r="H18040" s="1" t="s">
        <v>0</v>
      </c>
      <c r="I18040" s="2">
        <v>0</v>
      </c>
      <c r="J18040" s="1">
        <v>46013.343240740738</v>
      </c>
    </row>
    <row r="18041" spans="1:10" x14ac:dyDescent="0.2">
      <c r="A18041" s="4" t="s">
        <v>1</v>
      </c>
      <c r="B18041" s="3" t="str">
        <f>HYPERLINK("https://otsuka-europe-crm.veevavault.com/ui/#object/approved_document__v/V5O00000000D076", "Postal Navidad 2025 - Nefro")</f>
        <v>Postal Navidad 2025 - Nefro</v>
      </c>
      <c r="C18041" s="3" t="str">
        <f>HYPERLINK("https://otsuka-europe-crm.veevavault.com/ui/#object/sent_email__v/VBL000000013365", "SE-001398444")</f>
        <v>SE-001398444</v>
      </c>
      <c r="D18041" s="1" t="s">
        <v>0</v>
      </c>
      <c r="E18041" s="2">
        <v>0</v>
      </c>
      <c r="F18041" s="2">
        <v>0</v>
      </c>
      <c r="G18041" s="2">
        <v>0</v>
      </c>
      <c r="H18041" s="1" t="s">
        <v>0</v>
      </c>
      <c r="I18041" s="2">
        <v>0</v>
      </c>
      <c r="J18041" s="1">
        <v>46013.343287037038</v>
      </c>
    </row>
    <row r="18042" spans="1:10" x14ac:dyDescent="0.2">
      <c r="A18042" s="4" t="s">
        <v>1</v>
      </c>
      <c r="B18042" s="3" t="str">
        <f>HYPERLINK("https://otsuka-europe-crm.veevavault.com/ui/#object/approved_document__v/V5O00000000D076", "Postal Navidad 2025 - Nefro")</f>
        <v>Postal Navidad 2025 - Nefro</v>
      </c>
      <c r="C18042" s="3" t="str">
        <f>HYPERLINK("https://otsuka-europe-crm.veevavault.com/ui/#object/sent_email__v/VBL000000013366", "SE-001398445")</f>
        <v>SE-001398445</v>
      </c>
      <c r="D18042" s="1" t="s">
        <v>0</v>
      </c>
      <c r="E18042" s="2">
        <v>0</v>
      </c>
      <c r="F18042" s="2">
        <v>0</v>
      </c>
      <c r="G18042" s="2">
        <v>0</v>
      </c>
      <c r="H18042" s="1" t="s">
        <v>0</v>
      </c>
      <c r="I18042" s="2">
        <v>0</v>
      </c>
      <c r="J18042" s="1">
        <v>46013.343321759261</v>
      </c>
    </row>
    <row r="18043" spans="1:10" x14ac:dyDescent="0.2">
      <c r="A18043" s="4" t="s">
        <v>1</v>
      </c>
      <c r="B18043" s="3" t="str">
        <f>HYPERLINK("https://otsuka-europe-crm.veevavault.com/ui/#object/approved_document__v/V5O00000000D076", "Postal Navidad 2025 - Nefro")</f>
        <v>Postal Navidad 2025 - Nefro</v>
      </c>
      <c r="C18043" s="3" t="str">
        <f>HYPERLINK("https://otsuka-europe-crm.veevavault.com/ui/#object/sent_email__v/VBL000000013367", "SE-001398446")</f>
        <v>SE-001398446</v>
      </c>
      <c r="D18043" s="1" t="s">
        <v>0</v>
      </c>
      <c r="E18043" s="2">
        <v>0</v>
      </c>
      <c r="F18043" s="2">
        <v>0</v>
      </c>
      <c r="G18043" s="2">
        <v>0</v>
      </c>
      <c r="H18043" s="1" t="s">
        <v>0</v>
      </c>
      <c r="I18043" s="2">
        <v>0</v>
      </c>
      <c r="J18043" s="1">
        <v>46013.343356481484</v>
      </c>
    </row>
    <row r="18044" spans="1:10" x14ac:dyDescent="0.2">
      <c r="A18044" s="4" t="s">
        <v>1</v>
      </c>
      <c r="B18044" s="3" t="str">
        <f>HYPERLINK("https://otsuka-europe-crm.veevavault.com/ui/#object/approved_document__v/V5O00000000D076", "Postal Navidad 2025 - Nefro")</f>
        <v>Postal Navidad 2025 - Nefro</v>
      </c>
      <c r="C18044" s="3" t="str">
        <f>HYPERLINK("https://otsuka-europe-crm.veevavault.com/ui/#object/sent_email__v/VBL000000013368", "SE-001398447")</f>
        <v>SE-001398447</v>
      </c>
      <c r="D18044" s="1" t="s">
        <v>0</v>
      </c>
      <c r="E18044" s="2">
        <v>0</v>
      </c>
      <c r="F18044" s="2">
        <v>0</v>
      </c>
      <c r="G18044" s="2">
        <v>0</v>
      </c>
      <c r="H18044" s="1" t="s">
        <v>0</v>
      </c>
      <c r="I18044" s="2">
        <v>0</v>
      </c>
      <c r="J18044" s="1">
        <v>46013.343402777777</v>
      </c>
    </row>
    <row r="18045" spans="1:10" x14ac:dyDescent="0.2">
      <c r="A18045" s="4" t="s">
        <v>1</v>
      </c>
      <c r="B18045" s="3" t="str">
        <f>HYPERLINK("https://otsuka-europe-crm.veevavault.com/ui/#object/approved_document__v/V5O00000000D076", "Postal Navidad 2025 - Nefro")</f>
        <v>Postal Navidad 2025 - Nefro</v>
      </c>
      <c r="C18045" s="3" t="str">
        <f>HYPERLINK("https://otsuka-europe-crm.veevavault.com/ui/#object/sent_email__v/VBL000000013369", "SE-001398448")</f>
        <v>SE-001398448</v>
      </c>
      <c r="D18045" s="1">
        <v>46013.343553240738</v>
      </c>
      <c r="E18045" s="2">
        <v>1</v>
      </c>
      <c r="F18045" s="2">
        <v>1</v>
      </c>
      <c r="G18045" s="2">
        <v>0</v>
      </c>
      <c r="H18045" s="1" t="s">
        <v>0</v>
      </c>
      <c r="I18045" s="2">
        <v>0</v>
      </c>
      <c r="J18045" s="1">
        <v>46013.3434375</v>
      </c>
    </row>
    <row r="18046" spans="1:10" x14ac:dyDescent="0.2">
      <c r="A18046" s="4" t="s">
        <v>1</v>
      </c>
      <c r="B18046" s="3" t="str">
        <f>HYPERLINK("https://otsuka-europe-crm.veevavault.com/ui/#object/approved_document__v/V5O00000000D076", "Postal Navidad 2025 - Nefro")</f>
        <v>Postal Navidad 2025 - Nefro</v>
      </c>
      <c r="C18046" s="3" t="str">
        <f>HYPERLINK("https://otsuka-europe-crm.veevavault.com/ui/#object/sent_email__v/VBL000000013370", "SE-001398449")</f>
        <v>SE-001398449</v>
      </c>
      <c r="D18046" s="1" t="s">
        <v>0</v>
      </c>
      <c r="E18046" s="2">
        <v>0</v>
      </c>
      <c r="F18046" s="2">
        <v>0</v>
      </c>
      <c r="G18046" s="2">
        <v>0</v>
      </c>
      <c r="H18046" s="1" t="s">
        <v>0</v>
      </c>
      <c r="I18046" s="2">
        <v>0</v>
      </c>
      <c r="J18046" s="1">
        <v>46013.343495370369</v>
      </c>
    </row>
    <row r="18047" spans="1:10" x14ac:dyDescent="0.2">
      <c r="A18047" s="4" t="s">
        <v>1</v>
      </c>
      <c r="B18047" s="3" t="str">
        <f>HYPERLINK("https://otsuka-europe-crm.veevavault.com/ui/#object/approved_document__v/V5O00000000D076", "Postal Navidad 2025 - Nefro")</f>
        <v>Postal Navidad 2025 - Nefro</v>
      </c>
      <c r="C18047" s="3" t="str">
        <f>HYPERLINK("https://otsuka-europe-crm.veevavault.com/ui/#object/sent_email__v/VBL000000013371", "SE-001398450")</f>
        <v>SE-001398450</v>
      </c>
      <c r="D18047" s="1" t="s">
        <v>0</v>
      </c>
      <c r="E18047" s="2">
        <v>0</v>
      </c>
      <c r="F18047" s="2">
        <v>0</v>
      </c>
      <c r="G18047" s="2">
        <v>0</v>
      </c>
      <c r="H18047" s="1" t="s">
        <v>0</v>
      </c>
      <c r="I18047" s="2">
        <v>0</v>
      </c>
      <c r="J18047" s="1">
        <v>46013.343564814815</v>
      </c>
    </row>
    <row r="18048" spans="1:10" x14ac:dyDescent="0.2">
      <c r="A18048" s="4" t="s">
        <v>1</v>
      </c>
      <c r="B18048" s="3" t="str">
        <f>HYPERLINK("https://otsuka-europe-crm.veevavault.com/ui/#object/approved_document__v/V5O00000000D076", "Postal Navidad 2025 - Nefro")</f>
        <v>Postal Navidad 2025 - Nefro</v>
      </c>
      <c r="C18048" s="3" t="str">
        <f>HYPERLINK("https://otsuka-europe-crm.veevavault.com/ui/#object/sent_email__v/VBL000000013372", "SE-001398451")</f>
        <v>SE-001398451</v>
      </c>
      <c r="D18048" s="1" t="s">
        <v>0</v>
      </c>
      <c r="E18048" s="2">
        <v>0</v>
      </c>
      <c r="F18048" s="2">
        <v>0</v>
      </c>
      <c r="G18048" s="2">
        <v>0</v>
      </c>
      <c r="H18048" s="1" t="s">
        <v>0</v>
      </c>
      <c r="I18048" s="2">
        <v>0</v>
      </c>
      <c r="J18048" s="1">
        <v>46013.343622685185</v>
      </c>
    </row>
    <row r="18049" spans="1:10" x14ac:dyDescent="0.2">
      <c r="A18049" s="4" t="s">
        <v>1</v>
      </c>
      <c r="B18049" s="3" t="str">
        <f>HYPERLINK("https://otsuka-europe-crm.veevavault.com/ui/#object/approved_document__v/V5O00000000D076", "Postal Navidad 2025 - Nefro")</f>
        <v>Postal Navidad 2025 - Nefro</v>
      </c>
      <c r="C18049" s="3" t="str">
        <f>HYPERLINK("https://otsuka-europe-crm.veevavault.com/ui/#object/sent_email__v/VBL000000013373", "SE-001398452")</f>
        <v>SE-001398452</v>
      </c>
      <c r="D18049" s="1">
        <v>46013.3437962963</v>
      </c>
      <c r="E18049" s="2">
        <v>1</v>
      </c>
      <c r="F18049" s="2">
        <v>1</v>
      </c>
      <c r="G18049" s="2">
        <v>0</v>
      </c>
      <c r="H18049" s="1" t="s">
        <v>0</v>
      </c>
      <c r="I18049" s="2">
        <v>0</v>
      </c>
      <c r="J18049" s="1">
        <v>46013.343692129631</v>
      </c>
    </row>
    <row r="18050" spans="1:10" x14ac:dyDescent="0.2">
      <c r="A18050" s="4" t="s">
        <v>1</v>
      </c>
      <c r="B18050" s="3" t="str">
        <f>HYPERLINK("https://otsuka-europe-crm.veevavault.com/ui/#object/approved_document__v/V5O00000000D076", "Postal Navidad 2025 - Nefro")</f>
        <v>Postal Navidad 2025 - Nefro</v>
      </c>
      <c r="C18050" s="3" t="str">
        <f>HYPERLINK("https://otsuka-europe-crm.veevavault.com/ui/#object/sent_email__v/VBL000000013374", "SE-001398453")</f>
        <v>SE-001398453</v>
      </c>
      <c r="D18050" s="1" t="s">
        <v>0</v>
      </c>
      <c r="E18050" s="2">
        <v>0</v>
      </c>
      <c r="F18050" s="2">
        <v>0</v>
      </c>
      <c r="G18050" s="2">
        <v>0</v>
      </c>
      <c r="H18050" s="1" t="s">
        <v>0</v>
      </c>
      <c r="I18050" s="2">
        <v>0</v>
      </c>
      <c r="J18050" s="1">
        <v>46013.343761574077</v>
      </c>
    </row>
    <row r="18051" spans="1:10" x14ac:dyDescent="0.2">
      <c r="A18051" s="4" t="s">
        <v>1</v>
      </c>
      <c r="B18051" s="3" t="str">
        <f>HYPERLINK("https://otsuka-europe-crm.veevavault.com/ui/#object/approved_document__v/V5O00000000D076", "Postal Navidad 2025 - Nefro")</f>
        <v>Postal Navidad 2025 - Nefro</v>
      </c>
      <c r="C18051" s="3" t="str">
        <f>HYPERLINK("https://otsuka-europe-crm.veevavault.com/ui/#object/sent_email__v/VBL000000013375", "SE-001398454")</f>
        <v>SE-001398454</v>
      </c>
      <c r="D18051" s="1" t="s">
        <v>0</v>
      </c>
      <c r="E18051" s="2">
        <v>0</v>
      </c>
      <c r="F18051" s="2">
        <v>0</v>
      </c>
      <c r="G18051" s="2">
        <v>0</v>
      </c>
      <c r="H18051" s="1" t="s">
        <v>0</v>
      </c>
      <c r="I18051" s="2">
        <v>0</v>
      </c>
      <c r="J18051" s="1">
        <v>46013.3437962963</v>
      </c>
    </row>
    <row r="18052" spans="1:10" x14ac:dyDescent="0.2">
      <c r="A18052" s="4" t="s">
        <v>1</v>
      </c>
      <c r="B18052" s="3" t="str">
        <f>HYPERLINK("https://otsuka-europe-crm.veevavault.com/ui/#object/approved_document__v/V5O00000000D076", "Postal Navidad 2025 - Nefro")</f>
        <v>Postal Navidad 2025 - Nefro</v>
      </c>
      <c r="C18052" s="3" t="str">
        <f>HYPERLINK("https://otsuka-europe-crm.veevavault.com/ui/#object/sent_email__v/VBL000000013376", "SE-001398455")</f>
        <v>SE-001398455</v>
      </c>
      <c r="D18052" s="1" t="s">
        <v>0</v>
      </c>
      <c r="E18052" s="2">
        <v>0</v>
      </c>
      <c r="F18052" s="2">
        <v>0</v>
      </c>
      <c r="G18052" s="2">
        <v>0</v>
      </c>
      <c r="H18052" s="1" t="s">
        <v>0</v>
      </c>
      <c r="I18052" s="2">
        <v>0</v>
      </c>
      <c r="J18052" s="1">
        <v>46013.343842592592</v>
      </c>
    </row>
    <row r="18053" spans="1:10" x14ac:dyDescent="0.2">
      <c r="A18053" s="4" t="s">
        <v>1</v>
      </c>
      <c r="B18053" s="3" t="str">
        <f>HYPERLINK("https://otsuka-europe-crm.veevavault.com/ui/#object/approved_document__v/V5O00000000D075", "Postal Navidad 2025 - Reuma")</f>
        <v>Postal Navidad 2025 - Reuma</v>
      </c>
      <c r="C18053" s="3" t="str">
        <f>HYPERLINK("https://otsuka-europe-crm.veevavault.com/ui/#object/sent_email__v/VBL000000013312", "SE-001398391")</f>
        <v>SE-001398391</v>
      </c>
      <c r="D18053" s="1" t="s">
        <v>0</v>
      </c>
      <c r="E18053" s="2">
        <v>0</v>
      </c>
      <c r="F18053" s="2">
        <v>0</v>
      </c>
      <c r="G18053" s="2">
        <v>0</v>
      </c>
      <c r="H18053" s="1" t="s">
        <v>0</v>
      </c>
      <c r="I18053" s="2">
        <v>0</v>
      </c>
      <c r="J18053" s="1">
        <v>46013.341192129628</v>
      </c>
    </row>
    <row r="18054" spans="1:10" x14ac:dyDescent="0.2">
      <c r="A18054" s="4" t="s">
        <v>1</v>
      </c>
      <c r="B18054" s="3" t="str">
        <f>HYPERLINK("https://otsuka-europe-crm.veevavault.com/ui/#object/approved_document__v/V5O00000000D075", "Postal Navidad 2025 - Reuma")</f>
        <v>Postal Navidad 2025 - Reuma</v>
      </c>
      <c r="C18054" s="3" t="str">
        <f>HYPERLINK("https://otsuka-europe-crm.veevavault.com/ui/#object/sent_email__v/VBL000000013313", "SE-001398392")</f>
        <v>SE-001398392</v>
      </c>
      <c r="D18054" s="1" t="s">
        <v>0</v>
      </c>
      <c r="E18054" s="2">
        <v>0</v>
      </c>
      <c r="F18054" s="2">
        <v>0</v>
      </c>
      <c r="G18054" s="2">
        <v>0</v>
      </c>
      <c r="H18054" s="1" t="s">
        <v>0</v>
      </c>
      <c r="I18054" s="2">
        <v>0</v>
      </c>
      <c r="J18054" s="1">
        <v>46013.341226851851</v>
      </c>
    </row>
    <row r="18055" spans="1:10" x14ac:dyDescent="0.2">
      <c r="A18055" s="4" t="s">
        <v>1</v>
      </c>
      <c r="B18055" s="3" t="str">
        <f>HYPERLINK("https://otsuka-europe-crm.veevavault.com/ui/#object/approved_document__v/V5O00000000D075", "Postal Navidad 2025 - Reuma")</f>
        <v>Postal Navidad 2025 - Reuma</v>
      </c>
      <c r="C18055" s="3" t="str">
        <f>HYPERLINK("https://otsuka-europe-crm.veevavault.com/ui/#object/sent_email__v/VBL000000013314", "SE-001398393")</f>
        <v>SE-001398393</v>
      </c>
      <c r="D18055" s="1" t="s">
        <v>0</v>
      </c>
      <c r="E18055" s="2">
        <v>0</v>
      </c>
      <c r="F18055" s="2">
        <v>0</v>
      </c>
      <c r="G18055" s="2">
        <v>0</v>
      </c>
      <c r="H18055" s="1" t="s">
        <v>0</v>
      </c>
      <c r="I18055" s="2">
        <v>0</v>
      </c>
      <c r="J18055" s="1">
        <v>46013.341261574074</v>
      </c>
    </row>
    <row r="18056" spans="1:10" x14ac:dyDescent="0.2">
      <c r="A18056" s="4" t="s">
        <v>1</v>
      </c>
      <c r="B18056" s="3" t="str">
        <f>HYPERLINK("https://otsuka-europe-crm.veevavault.com/ui/#object/approved_document__v/V5O00000000D075", "Postal Navidad 2025 - Reuma")</f>
        <v>Postal Navidad 2025 - Reuma</v>
      </c>
      <c r="C18056" s="3" t="str">
        <f>HYPERLINK("https://otsuka-europe-crm.veevavault.com/ui/#object/sent_email__v/VBL000000013315", "SE-001398394")</f>
        <v>SE-001398394</v>
      </c>
      <c r="D18056" s="1" t="s">
        <v>0</v>
      </c>
      <c r="E18056" s="2">
        <v>0</v>
      </c>
      <c r="F18056" s="2">
        <v>0</v>
      </c>
      <c r="G18056" s="2">
        <v>0</v>
      </c>
      <c r="H18056" s="1" t="s">
        <v>0</v>
      </c>
      <c r="I18056" s="2">
        <v>0</v>
      </c>
      <c r="J18056" s="1">
        <v>46013.341296296298</v>
      </c>
    </row>
    <row r="18057" spans="1:10" x14ac:dyDescent="0.2">
      <c r="A18057" s="4" t="s">
        <v>1</v>
      </c>
      <c r="B18057" s="3" t="str">
        <f>HYPERLINK("https://otsuka-europe-crm.veevavault.com/ui/#object/approved_document__v/V5O00000000D075", "Postal Navidad 2025 - Reuma")</f>
        <v>Postal Navidad 2025 - Reuma</v>
      </c>
      <c r="C18057" s="3" t="str">
        <f>HYPERLINK("https://otsuka-europe-crm.veevavault.com/ui/#object/sent_email__v/VBL000000013316", "SE-001398395")</f>
        <v>SE-001398395</v>
      </c>
      <c r="D18057" s="1">
        <v>46015.00240740741</v>
      </c>
      <c r="E18057" s="2">
        <v>1</v>
      </c>
      <c r="F18057" s="2">
        <v>2</v>
      </c>
      <c r="G18057" s="2">
        <v>0</v>
      </c>
      <c r="H18057" s="1" t="s">
        <v>0</v>
      </c>
      <c r="I18057" s="2">
        <v>0</v>
      </c>
      <c r="J18057" s="1">
        <v>46013.341331018521</v>
      </c>
    </row>
    <row r="18058" spans="1:10" x14ac:dyDescent="0.2">
      <c r="A18058" s="4" t="s">
        <v>1</v>
      </c>
      <c r="B18058" s="3" t="str">
        <f>HYPERLINK("https://otsuka-europe-crm.veevavault.com/ui/#object/approved_document__v/V5O00000000D075", "Postal Navidad 2025 - Reuma")</f>
        <v>Postal Navidad 2025 - Reuma</v>
      </c>
      <c r="C18058" s="3" t="str">
        <f>HYPERLINK("https://otsuka-europe-crm.veevavault.com/ui/#object/sent_email__v/VBL000000013317", "SE-001398396")</f>
        <v>SE-001398396</v>
      </c>
      <c r="D18058" s="1">
        <v>46014.279027777775</v>
      </c>
      <c r="E18058" s="2">
        <v>1</v>
      </c>
      <c r="F18058" s="2">
        <v>1</v>
      </c>
      <c r="G18058" s="2">
        <v>0</v>
      </c>
      <c r="H18058" s="1" t="s">
        <v>0</v>
      </c>
      <c r="I18058" s="2">
        <v>0</v>
      </c>
      <c r="J18058" s="1">
        <v>46013.341377314813</v>
      </c>
    </row>
    <row r="18059" spans="1:10" x14ac:dyDescent="0.2">
      <c r="A18059" s="4" t="s">
        <v>1</v>
      </c>
      <c r="B18059" s="3" t="str">
        <f>HYPERLINK("https://otsuka-europe-crm.veevavault.com/ui/#object/approved_document__v/V5O00000000D075", "Postal Navidad 2025 - Reuma")</f>
        <v>Postal Navidad 2025 - Reuma</v>
      </c>
      <c r="C18059" s="3" t="str">
        <f>HYPERLINK("https://otsuka-europe-crm.veevavault.com/ui/#object/sent_email__v/VBL000000013318", "SE-001398397")</f>
        <v>SE-001398397</v>
      </c>
      <c r="D18059" s="1" t="s">
        <v>0</v>
      </c>
      <c r="E18059" s="2">
        <v>0</v>
      </c>
      <c r="F18059" s="2">
        <v>0</v>
      </c>
      <c r="G18059" s="2">
        <v>0</v>
      </c>
      <c r="H18059" s="1" t="s">
        <v>0</v>
      </c>
      <c r="I18059" s="2">
        <v>0</v>
      </c>
      <c r="J18059" s="1">
        <v>46013.341412037036</v>
      </c>
    </row>
    <row r="18060" spans="1:10" x14ac:dyDescent="0.2">
      <c r="A18060" s="4" t="s">
        <v>1</v>
      </c>
      <c r="B18060" s="3" t="str">
        <f>HYPERLINK("https://otsuka-europe-crm.veevavault.com/ui/#object/approved_document__v/V5O00000000D075", "Postal Navidad 2025 - Reuma")</f>
        <v>Postal Navidad 2025 - Reuma</v>
      </c>
      <c r="C18060" s="3" t="str">
        <f>HYPERLINK("https://otsuka-europe-crm.veevavault.com/ui/#object/sent_email__v/VBL000000013319", "SE-001398398")</f>
        <v>SE-001398398</v>
      </c>
      <c r="D18060" s="1" t="s">
        <v>0</v>
      </c>
      <c r="E18060" s="2">
        <v>0</v>
      </c>
      <c r="F18060" s="2">
        <v>0</v>
      </c>
      <c r="G18060" s="2">
        <v>0</v>
      </c>
      <c r="H18060" s="1" t="s">
        <v>0</v>
      </c>
      <c r="I18060" s="2">
        <v>0</v>
      </c>
      <c r="J18060" s="1">
        <v>46013.341446759259</v>
      </c>
    </row>
    <row r="18061" spans="1:10" x14ac:dyDescent="0.2">
      <c r="A18061" s="4" t="s">
        <v>1</v>
      </c>
      <c r="B18061" s="3" t="str">
        <f>HYPERLINK("https://otsuka-europe-crm.veevavault.com/ui/#object/approved_document__v/V5O00000000D075", "Postal Navidad 2025 - Reuma")</f>
        <v>Postal Navidad 2025 - Reuma</v>
      </c>
      <c r="C18061" s="3" t="str">
        <f>HYPERLINK("https://otsuka-europe-crm.veevavault.com/ui/#object/sent_email__v/VBL000000013320", "SE-001398399")</f>
        <v>SE-001398399</v>
      </c>
      <c r="D18061" s="1" t="s">
        <v>0</v>
      </c>
      <c r="E18061" s="2">
        <v>0</v>
      </c>
      <c r="F18061" s="2">
        <v>0</v>
      </c>
      <c r="G18061" s="2">
        <v>0</v>
      </c>
      <c r="H18061" s="1" t="s">
        <v>0</v>
      </c>
      <c r="I18061" s="2">
        <v>0</v>
      </c>
      <c r="J18061" s="1">
        <v>46013.341481481482</v>
      </c>
    </row>
    <row r="18062" spans="1:10" x14ac:dyDescent="0.2">
      <c r="A18062" s="4" t="s">
        <v>1</v>
      </c>
      <c r="B18062" s="3" t="str">
        <f>HYPERLINK("https://otsuka-europe-crm.veevavault.com/ui/#object/approved_document__v/V5O00000000D075", "Postal Navidad 2025 - Reuma")</f>
        <v>Postal Navidad 2025 - Reuma</v>
      </c>
      <c r="C18062" s="3" t="str">
        <f>HYPERLINK("https://otsuka-europe-crm.veevavault.com/ui/#object/sent_email__v/VBL000000013321", "SE-001398400")</f>
        <v>SE-001398400</v>
      </c>
      <c r="D18062" s="1" t="s">
        <v>0</v>
      </c>
      <c r="E18062" s="2">
        <v>0</v>
      </c>
      <c r="F18062" s="2">
        <v>0</v>
      </c>
      <c r="G18062" s="2">
        <v>0</v>
      </c>
      <c r="H18062" s="1" t="s">
        <v>0</v>
      </c>
      <c r="I18062" s="2">
        <v>0</v>
      </c>
      <c r="J18062" s="1">
        <v>46013.341527777775</v>
      </c>
    </row>
    <row r="18063" spans="1:10" x14ac:dyDescent="0.2">
      <c r="A18063" s="4" t="s">
        <v>1</v>
      </c>
      <c r="B18063" s="3" t="str">
        <f>HYPERLINK("https://otsuka-europe-crm.veevavault.com/ui/#object/approved_document__v/V5OZ025E82TP0C6", "PSIQUIATRÍA - Guía de Manejo Psicoterapéutico")</f>
        <v>PSIQUIATRÍA - Guía de Manejo Psicoterapéutico</v>
      </c>
      <c r="C18063" s="3" t="str">
        <f>HYPERLINK("https://otsuka-europe-crm.veevavault.com/ui/#object/sent_email__v/VBLZ025E82GQXMU", "SE-000275834")</f>
        <v>SE-000275834</v>
      </c>
      <c r="D18063" s="1">
        <v>45917.630613425928</v>
      </c>
      <c r="E18063" s="2">
        <v>1</v>
      </c>
      <c r="F18063" s="2">
        <v>4</v>
      </c>
      <c r="G18063" s="2">
        <v>1</v>
      </c>
      <c r="H18063" s="1">
        <v>45917.630856481483</v>
      </c>
      <c r="I18063" s="2">
        <v>1</v>
      </c>
      <c r="J18063" s="1">
        <v>45917.413599537038</v>
      </c>
    </row>
    <row r="18064" spans="1:10" x14ac:dyDescent="0.2">
      <c r="A18064" s="4" t="s">
        <v>1</v>
      </c>
      <c r="B18064" s="3" t="str">
        <f>HYPERLINK("https://otsuka-europe-crm.veevavault.com/ui/#object/approved_document__v/V5OZ025E82TP0C6", "PSIQUIATRÍA - Guía de Manejo Psicoterapéutico")</f>
        <v>PSIQUIATRÍA - Guía de Manejo Psicoterapéutico</v>
      </c>
      <c r="C18064" s="3" t="str">
        <f>HYPERLINK("https://otsuka-europe-crm.veevavault.com/ui/#object/sent_email__v/VBLZ025E82GQZK9", "SE-000275835")</f>
        <v>SE-000275835</v>
      </c>
      <c r="D18064" s="1">
        <v>45920.807233796295</v>
      </c>
      <c r="E18064" s="2">
        <v>1</v>
      </c>
      <c r="F18064" s="2">
        <v>4</v>
      </c>
      <c r="G18064" s="2">
        <v>1</v>
      </c>
      <c r="H18064" s="1">
        <v>45917.415243055555</v>
      </c>
      <c r="I18064" s="2">
        <v>5</v>
      </c>
      <c r="J18064" s="1">
        <v>45917.413773148146</v>
      </c>
    </row>
    <row r="18065" spans="1:10" x14ac:dyDescent="0.2">
      <c r="A18065" s="4" t="s">
        <v>1</v>
      </c>
      <c r="B18065" s="3" t="str">
        <f>HYPERLINK("https://otsuka-europe-crm.veevavault.com/ui/#object/approved_document__v/V5OZ025E82TP0C6", "PSIQUIATRÍA - Guía de Manejo Psicoterapéutico")</f>
        <v>PSIQUIATRÍA - Guía de Manejo Psicoterapéutico</v>
      </c>
      <c r="C18065" s="3" t="str">
        <f>HYPERLINK("https://otsuka-europe-crm.veevavault.com/ui/#object/sent_email__v/VBLZ025E82GWSA5", "SE-000279900")</f>
        <v>SE-000279900</v>
      </c>
      <c r="D18065" s="1">
        <v>45931.877650462964</v>
      </c>
      <c r="E18065" s="2">
        <v>1</v>
      </c>
      <c r="F18065" s="2">
        <v>1</v>
      </c>
      <c r="G18065" s="2">
        <v>0</v>
      </c>
      <c r="H18065" s="1" t="s">
        <v>0</v>
      </c>
      <c r="I18065" s="2">
        <v>0</v>
      </c>
      <c r="J18065" s="1">
        <v>45930.377152777779</v>
      </c>
    </row>
    <row r="18066" spans="1:10" x14ac:dyDescent="0.2">
      <c r="A18066" s="4" t="s">
        <v>1</v>
      </c>
      <c r="B18066" s="3" t="str">
        <f>HYPERLINK("https://otsuka-europe-crm.veevavault.com/ui/#object/approved_document__v/V5OZ025E82TP0C6", "PSIQUIATRÍA - Guía de Manejo Psicoterapéutico")</f>
        <v>PSIQUIATRÍA - Guía de Manejo Psicoterapéutico</v>
      </c>
      <c r="C18066" s="3" t="str">
        <f>HYPERLINK("https://otsuka-europe-crm.veevavault.com/ui/#object/sent_email__v/VBLZ025E82GWSA6", "SE-000279901")</f>
        <v>SE-000279901</v>
      </c>
      <c r="D18066" s="1">
        <v>45930.989675925928</v>
      </c>
      <c r="E18066" s="2">
        <v>1</v>
      </c>
      <c r="F18066" s="2">
        <v>2</v>
      </c>
      <c r="G18066" s="2">
        <v>0</v>
      </c>
      <c r="H18066" s="1" t="s">
        <v>0</v>
      </c>
      <c r="I18066" s="2">
        <v>0</v>
      </c>
      <c r="J18066" s="1">
        <v>45930.377141203702</v>
      </c>
    </row>
    <row r="18067" spans="1:10" x14ac:dyDescent="0.2">
      <c r="A18067" s="4" t="s">
        <v>1</v>
      </c>
      <c r="B18067" s="3" t="str">
        <f>HYPERLINK("https://otsuka-europe-crm.veevavault.com/ui/#object/approved_document__v/V5OZ025E82TP0C6", "PSIQUIATRÍA - Guía de Manejo Psicoterapéutico")</f>
        <v>PSIQUIATRÍA - Guía de Manejo Psicoterapéutico</v>
      </c>
      <c r="C18067" s="3" t="str">
        <f>HYPERLINK("https://otsuka-europe-crm.veevavault.com/ui/#object/sent_email__v/VBLZ025E82GWSA7", "SE-000279902")</f>
        <v>SE-000279902</v>
      </c>
      <c r="D18067" s="1">
        <v>45945.347604166665</v>
      </c>
      <c r="E18067" s="2">
        <v>1</v>
      </c>
      <c r="F18067" s="2">
        <v>21</v>
      </c>
      <c r="G18067" s="2">
        <v>0</v>
      </c>
      <c r="H18067" s="1" t="s">
        <v>0</v>
      </c>
      <c r="I18067" s="2">
        <v>0</v>
      </c>
      <c r="J18067" s="1">
        <v>45930.377118055556</v>
      </c>
    </row>
    <row r="18068" spans="1:10" x14ac:dyDescent="0.2">
      <c r="A18068" s="4" t="s">
        <v>1</v>
      </c>
      <c r="B18068" s="3" t="str">
        <f>HYPERLINK("https://otsuka-europe-crm.veevavault.com/ui/#object/approved_document__v/V5OZ025E82TP0C6", "PSIQUIATRÍA - Guía de Manejo Psicoterapéutico")</f>
        <v>PSIQUIATRÍA - Guía de Manejo Psicoterapéutico</v>
      </c>
      <c r="C18068" s="3" t="str">
        <f>HYPERLINK("https://otsuka-europe-crm.veevavault.com/ui/#object/sent_email__v/VBLZ025E82GWSA8", "SE-000279903")</f>
        <v>SE-000279903</v>
      </c>
      <c r="D18068" s="1">
        <v>45935.68922453704</v>
      </c>
      <c r="E18068" s="2">
        <v>1</v>
      </c>
      <c r="F18068" s="2">
        <v>2</v>
      </c>
      <c r="G18068" s="2">
        <v>0</v>
      </c>
      <c r="H18068" s="1" t="s">
        <v>0</v>
      </c>
      <c r="I18068" s="2">
        <v>0</v>
      </c>
      <c r="J18068" s="1">
        <v>45930.377199074072</v>
      </c>
    </row>
    <row r="18069" spans="1:10" x14ac:dyDescent="0.2">
      <c r="A18069" s="4" t="s">
        <v>1</v>
      </c>
      <c r="B18069" s="3" t="str">
        <f>HYPERLINK("https://otsuka-europe-crm.veevavault.com/ui/#object/approved_document__v/V5OZ025E82TP0C6", "PSIQUIATRÍA - Guía de Manejo Psicoterapéutico")</f>
        <v>PSIQUIATRÍA - Guía de Manejo Psicoterapéutico</v>
      </c>
      <c r="C18069" s="3" t="str">
        <f>HYPERLINK("https://otsuka-europe-crm.veevavault.com/ui/#object/sent_email__v/VBLZ025E82GWSA9", "SE-000279904")</f>
        <v>SE-000279904</v>
      </c>
      <c r="D18069" s="1" t="s">
        <v>0</v>
      </c>
      <c r="E18069" s="2">
        <v>0</v>
      </c>
      <c r="F18069" s="2">
        <v>0</v>
      </c>
      <c r="G18069" s="2">
        <v>0</v>
      </c>
      <c r="H18069" s="1" t="s">
        <v>0</v>
      </c>
      <c r="I18069" s="2">
        <v>0</v>
      </c>
      <c r="J18069" s="1">
        <v>45930.37704861111</v>
      </c>
    </row>
    <row r="18070" spans="1:10" x14ac:dyDescent="0.2">
      <c r="A18070" s="4" t="s">
        <v>1</v>
      </c>
      <c r="B18070" s="3" t="str">
        <f>HYPERLINK("https://otsuka-europe-crm.veevavault.com/ui/#object/approved_document__v/V5OZ025E82TP0C6", "PSIQUIATRÍA - Guía de Manejo Psicoterapéutico")</f>
        <v>PSIQUIATRÍA - Guía de Manejo Psicoterapéutico</v>
      </c>
      <c r="C18070" s="3" t="str">
        <f>HYPERLINK("https://otsuka-europe-crm.veevavault.com/ui/#object/sent_email__v/VBLZ025E82GWSAA", "SE-000279905")</f>
        <v>SE-000279905</v>
      </c>
      <c r="D18070" s="1">
        <v>45930.649039351854</v>
      </c>
      <c r="E18070" s="2">
        <v>1</v>
      </c>
      <c r="F18070" s="2">
        <v>3</v>
      </c>
      <c r="G18070" s="2">
        <v>1</v>
      </c>
      <c r="H18070" s="1">
        <v>45930.649085648147</v>
      </c>
      <c r="I18070" s="2">
        <v>1</v>
      </c>
      <c r="J18070" s="1">
        <v>45930.377141203702</v>
      </c>
    </row>
    <row r="18071" spans="1:10" x14ac:dyDescent="0.2">
      <c r="A18071" s="4" t="s">
        <v>1</v>
      </c>
      <c r="B18071" s="3" t="str">
        <f>HYPERLINK("https://otsuka-europe-crm.veevavault.com/ui/#object/approved_document__v/V5OZ025E82TP0C6", "PSIQUIATRÍA - Guía de Manejo Psicoterapéutico")</f>
        <v>PSIQUIATRÍA - Guía de Manejo Psicoterapéutico</v>
      </c>
      <c r="C18071" s="3" t="str">
        <f>HYPERLINK("https://otsuka-europe-crm.veevavault.com/ui/#object/sent_email__v/VBLZ025E82GWSAB", "SE-000279906")</f>
        <v>SE-000279906</v>
      </c>
      <c r="D18071" s="1" t="s">
        <v>0</v>
      </c>
      <c r="E18071" s="2">
        <v>0</v>
      </c>
      <c r="F18071" s="2">
        <v>0</v>
      </c>
      <c r="G18071" s="2">
        <v>0</v>
      </c>
      <c r="H18071" s="1" t="s">
        <v>0</v>
      </c>
      <c r="I18071" s="2">
        <v>0</v>
      </c>
      <c r="J18071" s="1">
        <v>45930.37709490741</v>
      </c>
    </row>
    <row r="18072" spans="1:10" x14ac:dyDescent="0.2">
      <c r="A18072" s="4" t="s">
        <v>1</v>
      </c>
      <c r="B18072" s="3" t="str">
        <f>HYPERLINK("https://otsuka-europe-crm.veevavault.com/ui/#object/approved_document__v/V5OZ025E82TP0C6", "PSIQUIATRÍA - Guía de Manejo Psicoterapéutico")</f>
        <v>PSIQUIATRÍA - Guía de Manejo Psicoterapéutico</v>
      </c>
      <c r="C18072" s="3" t="str">
        <f>HYPERLINK("https://otsuka-europe-crm.veevavault.com/ui/#object/sent_email__v/VBLZ025E82GWSAC", "SE-000279907")</f>
        <v>SE-000279907</v>
      </c>
      <c r="D18072" s="1">
        <v>45949.116793981484</v>
      </c>
      <c r="E18072" s="2">
        <v>1</v>
      </c>
      <c r="F18072" s="2">
        <v>8</v>
      </c>
      <c r="G18072" s="2">
        <v>0</v>
      </c>
      <c r="H18072" s="1" t="s">
        <v>0</v>
      </c>
      <c r="I18072" s="2">
        <v>0</v>
      </c>
      <c r="J18072" s="1">
        <v>45930.377210648148</v>
      </c>
    </row>
    <row r="18073" spans="1:10" x14ac:dyDescent="0.2">
      <c r="A18073" s="4" t="s">
        <v>1</v>
      </c>
      <c r="B18073" s="3" t="str">
        <f>HYPERLINK("https://otsuka-europe-crm.veevavault.com/ui/#object/approved_document__v/V5OZ025E82TP0C6", "PSIQUIATRÍA - Guía de Manejo Psicoterapéutico")</f>
        <v>PSIQUIATRÍA - Guía de Manejo Psicoterapéutico</v>
      </c>
      <c r="C18073" s="3" t="str">
        <f>HYPERLINK("https://otsuka-europe-crm.veevavault.com/ui/#object/sent_email__v/VBLZ025E82GWSAD", "SE-000279908")</f>
        <v>SE-000279908</v>
      </c>
      <c r="D18073" s="1">
        <v>45931.949259259258</v>
      </c>
      <c r="E18073" s="2">
        <v>1</v>
      </c>
      <c r="F18073" s="2">
        <v>1</v>
      </c>
      <c r="G18073" s="2">
        <v>0</v>
      </c>
      <c r="H18073" s="1" t="s">
        <v>0</v>
      </c>
      <c r="I18073" s="2">
        <v>0</v>
      </c>
      <c r="J18073" s="1">
        <v>45930.377071759256</v>
      </c>
    </row>
    <row r="18074" spans="1:10" x14ac:dyDescent="0.2">
      <c r="A18074" s="4" t="s">
        <v>1</v>
      </c>
      <c r="B18074" s="3" t="str">
        <f>HYPERLINK("https://otsuka-europe-crm.veevavault.com/ui/#object/approved_document__v/V5OZ025E82TP0C6", "PSIQUIATRÍA - Guía de Manejo Psicoterapéutico")</f>
        <v>PSIQUIATRÍA - Guía de Manejo Psicoterapéutico</v>
      </c>
      <c r="C18074" s="3" t="str">
        <f>HYPERLINK("https://otsuka-europe-crm.veevavault.com/ui/#object/sent_email__v/VBLZ025E82GWSAE", "SE-000279909")</f>
        <v>SE-000279909</v>
      </c>
      <c r="D18074" s="1">
        <v>45931.131898148145</v>
      </c>
      <c r="E18074" s="2">
        <v>1</v>
      </c>
      <c r="F18074" s="2">
        <v>1</v>
      </c>
      <c r="G18074" s="2">
        <v>0</v>
      </c>
      <c r="H18074" s="1" t="s">
        <v>0</v>
      </c>
      <c r="I18074" s="2">
        <v>0</v>
      </c>
      <c r="J18074" s="1">
        <v>45930.377129629633</v>
      </c>
    </row>
    <row r="18075" spans="1:10" x14ac:dyDescent="0.2">
      <c r="A18075" s="4" t="s">
        <v>1</v>
      </c>
      <c r="B18075" s="3" t="str">
        <f>HYPERLINK("https://otsuka-europe-crm.veevavault.com/ui/#object/approved_document__v/V5OZ025E82TP0C6", "PSIQUIATRÍA - Guía de Manejo Psicoterapéutico")</f>
        <v>PSIQUIATRÍA - Guía de Manejo Psicoterapéutico</v>
      </c>
      <c r="C18075" s="3" t="str">
        <f>HYPERLINK("https://otsuka-europe-crm.veevavault.com/ui/#object/sent_email__v/VBLZ025E82GWSAF", "SE-000279910")</f>
        <v>SE-000279910</v>
      </c>
      <c r="D18075" s="1">
        <v>46069.436319444445</v>
      </c>
      <c r="E18075" s="2">
        <v>1</v>
      </c>
      <c r="F18075" s="2">
        <v>33</v>
      </c>
      <c r="G18075" s="2">
        <v>1</v>
      </c>
      <c r="H18075" s="1">
        <v>45972.681770833333</v>
      </c>
      <c r="I18075" s="2">
        <v>3</v>
      </c>
      <c r="J18075" s="1">
        <v>45930.377280092594</v>
      </c>
    </row>
    <row r="18076" spans="1:10" x14ac:dyDescent="0.2">
      <c r="A18076" s="4" t="s">
        <v>1</v>
      </c>
      <c r="B18076" s="3" t="str">
        <f>HYPERLINK("https://otsuka-europe-crm.veevavault.com/ui/#object/approved_document__v/V5OZ025E82TP0C6", "PSIQUIATRÍA - Guía de Manejo Psicoterapéutico")</f>
        <v>PSIQUIATRÍA - Guía de Manejo Psicoterapéutico</v>
      </c>
      <c r="C18076" s="3" t="str">
        <f>HYPERLINK("https://otsuka-europe-crm.veevavault.com/ui/#object/sent_email__v/VBLZ025E82GWSAG", "SE-000279911")</f>
        <v>SE-000279911</v>
      </c>
      <c r="D18076" s="1">
        <v>45930.514340277776</v>
      </c>
      <c r="E18076" s="2">
        <v>1</v>
      </c>
      <c r="F18076" s="2">
        <v>2</v>
      </c>
      <c r="G18076" s="2">
        <v>0</v>
      </c>
      <c r="H18076" s="1" t="s">
        <v>0</v>
      </c>
      <c r="I18076" s="2">
        <v>0</v>
      </c>
      <c r="J18076" s="1">
        <v>45930.377187500002</v>
      </c>
    </row>
    <row r="18077" spans="1:10" x14ac:dyDescent="0.2">
      <c r="A18077" s="4" t="s">
        <v>1</v>
      </c>
      <c r="B18077" s="3" t="str">
        <f>HYPERLINK("https://otsuka-europe-crm.veevavault.com/ui/#object/approved_document__v/V5OZ025E82TP0C6", "PSIQUIATRÍA - Guía de Manejo Psicoterapéutico")</f>
        <v>PSIQUIATRÍA - Guía de Manejo Psicoterapéutico</v>
      </c>
      <c r="C18077" s="3" t="str">
        <f>HYPERLINK("https://otsuka-europe-crm.veevavault.com/ui/#object/sent_email__v/VBLZ025E82GWSAH", "SE-000279912")</f>
        <v>SE-000279912</v>
      </c>
      <c r="D18077" s="1">
        <v>45930.396296296298</v>
      </c>
      <c r="E18077" s="2">
        <v>1</v>
      </c>
      <c r="F18077" s="2">
        <v>1</v>
      </c>
      <c r="G18077" s="2">
        <v>0</v>
      </c>
      <c r="H18077" s="1" t="s">
        <v>0</v>
      </c>
      <c r="I18077" s="2">
        <v>0</v>
      </c>
      <c r="J18077" s="1">
        <v>45930.377129629633</v>
      </c>
    </row>
    <row r="18078" spans="1:10" x14ac:dyDescent="0.2">
      <c r="A18078" s="4" t="s">
        <v>1</v>
      </c>
      <c r="B18078" s="3" t="str">
        <f>HYPERLINK("https://otsuka-europe-crm.veevavault.com/ui/#object/approved_document__v/V5OZ025E82TP0C6", "PSIQUIATRÍA - Guía de Manejo Psicoterapéutico")</f>
        <v>PSIQUIATRÍA - Guía de Manejo Psicoterapéutico</v>
      </c>
      <c r="C18078" s="3" t="str">
        <f>HYPERLINK("https://otsuka-europe-crm.veevavault.com/ui/#object/sent_email__v/VBLZ025E82GWSAI", "SE-000279913")</f>
        <v>SE-000279913</v>
      </c>
      <c r="D18078" s="1" t="s">
        <v>0</v>
      </c>
      <c r="E18078" s="2">
        <v>0</v>
      </c>
      <c r="F18078" s="2">
        <v>0</v>
      </c>
      <c r="G18078" s="2">
        <v>0</v>
      </c>
      <c r="H18078" s="1" t="s">
        <v>0</v>
      </c>
      <c r="I18078" s="2">
        <v>0</v>
      </c>
      <c r="J18078" s="1">
        <v>45930.377071759256</v>
      </c>
    </row>
    <row r="18079" spans="1:10" x14ac:dyDescent="0.2">
      <c r="A18079" s="4" t="s">
        <v>1</v>
      </c>
      <c r="B18079" s="3" t="str">
        <f>HYPERLINK("https://otsuka-europe-crm.veevavault.com/ui/#object/approved_document__v/V5OZ025E82TP0C6", "PSIQUIATRÍA - Guía de Manejo Psicoterapéutico")</f>
        <v>PSIQUIATRÍA - Guía de Manejo Psicoterapéutico</v>
      </c>
      <c r="C18079" s="3" t="str">
        <f>HYPERLINK("https://otsuka-europe-crm.veevavault.com/ui/#object/sent_email__v/VBLZ025E82GWSAJ", "SE-000279914")</f>
        <v>SE-000279914</v>
      </c>
      <c r="D18079" s="1" t="s">
        <v>0</v>
      </c>
      <c r="E18079" s="2">
        <v>0</v>
      </c>
      <c r="F18079" s="2">
        <v>0</v>
      </c>
      <c r="G18079" s="2">
        <v>0</v>
      </c>
      <c r="H18079" s="1" t="s">
        <v>0</v>
      </c>
      <c r="I18079" s="2">
        <v>0</v>
      </c>
      <c r="J18079" s="1">
        <v>45930.377118055556</v>
      </c>
    </row>
    <row r="18080" spans="1:10" x14ac:dyDescent="0.2">
      <c r="A18080" s="4" t="s">
        <v>1</v>
      </c>
      <c r="B18080" s="3" t="str">
        <f>HYPERLINK("https://otsuka-europe-crm.veevavault.com/ui/#object/approved_document__v/V5OZ025E82TP0C6", "PSIQUIATRÍA - Guía de Manejo Psicoterapéutico")</f>
        <v>PSIQUIATRÍA - Guía de Manejo Psicoterapéutico</v>
      </c>
      <c r="C18080" s="3" t="str">
        <f>HYPERLINK("https://otsuka-europe-crm.veevavault.com/ui/#object/sent_email__v/VBLZ025E82GWSAK", "SE-000279915")</f>
        <v>SE-000279915</v>
      </c>
      <c r="D18080" s="1">
        <v>45930.53800925926</v>
      </c>
      <c r="E18080" s="2">
        <v>1</v>
      </c>
      <c r="F18080" s="2">
        <v>1</v>
      </c>
      <c r="G18080" s="2">
        <v>0</v>
      </c>
      <c r="H18080" s="1" t="s">
        <v>0</v>
      </c>
      <c r="I18080" s="2">
        <v>0</v>
      </c>
      <c r="J18080" s="1">
        <v>45930.377083333333</v>
      </c>
    </row>
    <row r="18081" spans="1:10" x14ac:dyDescent="0.2">
      <c r="A18081" s="4" t="s">
        <v>1</v>
      </c>
      <c r="B18081" s="3" t="str">
        <f>HYPERLINK("https://otsuka-europe-crm.veevavault.com/ui/#object/approved_document__v/V5OZ025E82TP0C6", "PSIQUIATRÍA - Guía de Manejo Psicoterapéutico")</f>
        <v>PSIQUIATRÍA - Guía de Manejo Psicoterapéutico</v>
      </c>
      <c r="C18081" s="3" t="str">
        <f>HYPERLINK("https://otsuka-europe-crm.veevavault.com/ui/#object/sent_email__v/VBLZ025E82GWSAL", "SE-000279916")</f>
        <v>SE-000279916</v>
      </c>
      <c r="D18081" s="1">
        <v>45930.609467592592</v>
      </c>
      <c r="E18081" s="2">
        <v>1</v>
      </c>
      <c r="F18081" s="2">
        <v>1</v>
      </c>
      <c r="G18081" s="2">
        <v>0</v>
      </c>
      <c r="H18081" s="1" t="s">
        <v>0</v>
      </c>
      <c r="I18081" s="2">
        <v>0</v>
      </c>
      <c r="J18081" s="1">
        <v>45930.377175925925</v>
      </c>
    </row>
    <row r="18082" spans="1:10" x14ac:dyDescent="0.2">
      <c r="A18082" s="4" t="s">
        <v>1</v>
      </c>
      <c r="B18082" s="3" t="str">
        <f>HYPERLINK("https://otsuka-europe-crm.veevavault.com/ui/#object/approved_document__v/V5OZ025E82TP0C6", "PSIQUIATRÍA - Guía de Manejo Psicoterapéutico")</f>
        <v>PSIQUIATRÍA - Guía de Manejo Psicoterapéutico</v>
      </c>
      <c r="C18082" s="3" t="str">
        <f>HYPERLINK("https://otsuka-europe-crm.veevavault.com/ui/#object/sent_email__v/VBLZ025E82GWSAM", "SE-000279917")</f>
        <v>SE-000279917</v>
      </c>
      <c r="D18082" s="1" t="s">
        <v>0</v>
      </c>
      <c r="E18082" s="2">
        <v>0</v>
      </c>
      <c r="F18082" s="2">
        <v>0</v>
      </c>
      <c r="G18082" s="2">
        <v>0</v>
      </c>
      <c r="H18082" s="1" t="s">
        <v>0</v>
      </c>
      <c r="I18082" s="2">
        <v>0</v>
      </c>
      <c r="J18082" s="1">
        <v>45930.377175925925</v>
      </c>
    </row>
    <row r="18083" spans="1:10" x14ac:dyDescent="0.2">
      <c r="A18083" s="4" t="s">
        <v>1</v>
      </c>
      <c r="B18083" s="3" t="str">
        <f>HYPERLINK("https://otsuka-europe-crm.veevavault.com/ui/#object/approved_document__v/V5OZ025E82TP0C6", "PSIQUIATRÍA - Guía de Manejo Psicoterapéutico")</f>
        <v>PSIQUIATRÍA - Guía de Manejo Psicoterapéutico</v>
      </c>
      <c r="C18083" s="3" t="str">
        <f>HYPERLINK("https://otsuka-europe-crm.veevavault.com/ui/#object/sent_email__v/VBLZ025E82GWSAN", "SE-000279918")</f>
        <v>SE-000279918</v>
      </c>
      <c r="D18083" s="1">
        <v>45933.082465277781</v>
      </c>
      <c r="E18083" s="2">
        <v>1</v>
      </c>
      <c r="F18083" s="2">
        <v>2</v>
      </c>
      <c r="G18083" s="2">
        <v>0</v>
      </c>
      <c r="H18083" s="1" t="s">
        <v>0</v>
      </c>
      <c r="I18083" s="2">
        <v>0</v>
      </c>
      <c r="J18083" s="1">
        <v>45930.377187500002</v>
      </c>
    </row>
    <row r="18084" spans="1:10" x14ac:dyDescent="0.2">
      <c r="A18084" s="4" t="s">
        <v>1</v>
      </c>
      <c r="B18084" s="3" t="str">
        <f>HYPERLINK("https://otsuka-europe-crm.veevavault.com/ui/#object/approved_document__v/V5OZ025E82TP0C6", "PSIQUIATRÍA - Guía de Manejo Psicoterapéutico")</f>
        <v>PSIQUIATRÍA - Guía de Manejo Psicoterapéutico</v>
      </c>
      <c r="C18084" s="3" t="str">
        <f>HYPERLINK("https://otsuka-europe-crm.veevavault.com/ui/#object/sent_email__v/VBLZ025E82GWSAO", "SE-000279919")</f>
        <v>SE-000279919</v>
      </c>
      <c r="D18084" s="1">
        <v>45936.788715277777</v>
      </c>
      <c r="E18084" s="2">
        <v>1</v>
      </c>
      <c r="F18084" s="2">
        <v>1</v>
      </c>
      <c r="G18084" s="2">
        <v>0</v>
      </c>
      <c r="H18084" s="1" t="s">
        <v>0</v>
      </c>
      <c r="I18084" s="2">
        <v>0</v>
      </c>
      <c r="J18084" s="1">
        <v>45930.377106481479</v>
      </c>
    </row>
    <row r="18085" spans="1:10" x14ac:dyDescent="0.2">
      <c r="A18085" s="4" t="s">
        <v>1</v>
      </c>
      <c r="B18085" s="3" t="str">
        <f>HYPERLINK("https://otsuka-europe-crm.veevavault.com/ui/#object/approved_document__v/V5OZ025E82TP0C6", "PSIQUIATRÍA - Guía de Manejo Psicoterapéutico")</f>
        <v>PSIQUIATRÍA - Guía de Manejo Psicoterapéutico</v>
      </c>
      <c r="C18085" s="3" t="str">
        <f>HYPERLINK("https://otsuka-europe-crm.veevavault.com/ui/#object/sent_email__v/VBLZ025E82GWSAP", "SE-000279920")</f>
        <v>SE-000279920</v>
      </c>
      <c r="D18085" s="1">
        <v>45930.549687500003</v>
      </c>
      <c r="E18085" s="2">
        <v>1</v>
      </c>
      <c r="F18085" s="2">
        <v>1</v>
      </c>
      <c r="G18085" s="2">
        <v>0</v>
      </c>
      <c r="H18085" s="1" t="s">
        <v>0</v>
      </c>
      <c r="I18085" s="2">
        <v>0</v>
      </c>
      <c r="J18085" s="1">
        <v>45930.377071759256</v>
      </c>
    </row>
    <row r="18086" spans="1:10" x14ac:dyDescent="0.2">
      <c r="A18086" s="4" t="s">
        <v>1</v>
      </c>
      <c r="B18086" s="3" t="str">
        <f>HYPERLINK("https://otsuka-europe-crm.veevavault.com/ui/#object/approved_document__v/V5OZ025E82TP0C6", "PSIQUIATRÍA - Guía de Manejo Psicoterapéutico")</f>
        <v>PSIQUIATRÍA - Guía de Manejo Psicoterapéutico</v>
      </c>
      <c r="C18086" s="3" t="str">
        <f>HYPERLINK("https://otsuka-europe-crm.veevavault.com/ui/#object/sent_email__v/VBLZ025E82GWSAQ", "SE-000279921")</f>
        <v>SE-000279921</v>
      </c>
      <c r="D18086" s="1" t="s">
        <v>0</v>
      </c>
      <c r="E18086" s="2">
        <v>0</v>
      </c>
      <c r="F18086" s="2">
        <v>0</v>
      </c>
      <c r="G18086" s="2">
        <v>0</v>
      </c>
      <c r="H18086" s="1" t="s">
        <v>0</v>
      </c>
      <c r="I18086" s="2">
        <v>0</v>
      </c>
      <c r="J18086" s="1">
        <v>45930.377164351848</v>
      </c>
    </row>
    <row r="18087" spans="1:10" x14ac:dyDescent="0.2">
      <c r="A18087" s="4" t="s">
        <v>1</v>
      </c>
      <c r="B18087" s="3" t="str">
        <f>HYPERLINK("https://otsuka-europe-crm.veevavault.com/ui/#object/approved_document__v/V5OZ025E82TP0C6", "PSIQUIATRÍA - Guía de Manejo Psicoterapéutico")</f>
        <v>PSIQUIATRÍA - Guía de Manejo Psicoterapéutico</v>
      </c>
      <c r="C18087" s="3" t="str">
        <f>HYPERLINK("https://otsuka-europe-crm.veevavault.com/ui/#object/sent_email__v/VBLZ025E82GWSAR", "SE-000279922")</f>
        <v>SE-000279922</v>
      </c>
      <c r="D18087" s="1" t="s">
        <v>0</v>
      </c>
      <c r="E18087" s="2">
        <v>0</v>
      </c>
      <c r="F18087" s="2">
        <v>0</v>
      </c>
      <c r="G18087" s="2">
        <v>0</v>
      </c>
      <c r="H18087" s="1" t="s">
        <v>0</v>
      </c>
      <c r="I18087" s="2">
        <v>0</v>
      </c>
      <c r="J18087" s="1">
        <v>45930.377210648148</v>
      </c>
    </row>
    <row r="18088" spans="1:10" x14ac:dyDescent="0.2">
      <c r="A18088" s="4" t="s">
        <v>1</v>
      </c>
      <c r="B18088" s="3" t="str">
        <f>HYPERLINK("https://otsuka-europe-crm.veevavault.com/ui/#object/approved_document__v/V5OZ025E82TP0C6", "PSIQUIATRÍA - Guía de Manejo Psicoterapéutico")</f>
        <v>PSIQUIATRÍA - Guía de Manejo Psicoterapéutico</v>
      </c>
      <c r="C18088" s="3" t="str">
        <f>HYPERLINK("https://otsuka-europe-crm.veevavault.com/ui/#object/sent_email__v/VBLZ025E82GWSAS", "SE-000279923")</f>
        <v>SE-000279923</v>
      </c>
      <c r="D18088" s="1">
        <v>45930.472592592596</v>
      </c>
      <c r="E18088" s="2">
        <v>1</v>
      </c>
      <c r="F18088" s="2">
        <v>1</v>
      </c>
      <c r="G18088" s="2">
        <v>1</v>
      </c>
      <c r="H18088" s="1">
        <v>45930.472650462965</v>
      </c>
      <c r="I18088" s="2">
        <v>1</v>
      </c>
      <c r="J18088" s="1">
        <v>45930.377071759256</v>
      </c>
    </row>
    <row r="18089" spans="1:10" x14ac:dyDescent="0.2">
      <c r="A18089" s="4" t="s">
        <v>1</v>
      </c>
      <c r="B18089" s="3" t="str">
        <f>HYPERLINK("https://otsuka-europe-crm.veevavault.com/ui/#object/approved_document__v/V5OZ025E82TP0C6", "PSIQUIATRÍA - Guía de Manejo Psicoterapéutico")</f>
        <v>PSIQUIATRÍA - Guía de Manejo Psicoterapéutico</v>
      </c>
      <c r="C18089" s="3" t="str">
        <f>HYPERLINK("https://otsuka-europe-crm.veevavault.com/ui/#object/sent_email__v/VBLZ025E82GWSAT", "SE-000279924")</f>
        <v>SE-000279924</v>
      </c>
      <c r="D18089" s="1">
        <v>45931.455671296295</v>
      </c>
      <c r="E18089" s="2">
        <v>1</v>
      </c>
      <c r="F18089" s="2">
        <v>1</v>
      </c>
      <c r="G18089" s="2">
        <v>0</v>
      </c>
      <c r="H18089" s="1" t="s">
        <v>0</v>
      </c>
      <c r="I18089" s="2">
        <v>0</v>
      </c>
      <c r="J18089" s="1">
        <v>45930.377071759256</v>
      </c>
    </row>
    <row r="18090" spans="1:10" x14ac:dyDescent="0.2">
      <c r="A18090" s="4" t="s">
        <v>1</v>
      </c>
      <c r="B18090" s="3" t="str">
        <f>HYPERLINK("https://otsuka-europe-crm.veevavault.com/ui/#object/approved_document__v/V5OZ025E82TP0C6", "PSIQUIATRÍA - Guía de Manejo Psicoterapéutico")</f>
        <v>PSIQUIATRÍA - Guía de Manejo Psicoterapéutico</v>
      </c>
      <c r="C18090" s="3" t="str">
        <f>HYPERLINK("https://otsuka-europe-crm.veevavault.com/ui/#object/sent_email__v/VBLZ025E82GWSAU", "SE-000279925")</f>
        <v>SE-000279925</v>
      </c>
      <c r="D18090" s="1">
        <v>45930.7659375</v>
      </c>
      <c r="E18090" s="2">
        <v>1</v>
      </c>
      <c r="F18090" s="2">
        <v>2</v>
      </c>
      <c r="G18090" s="2">
        <v>1</v>
      </c>
      <c r="H18090" s="1">
        <v>45930.61619212963</v>
      </c>
      <c r="I18090" s="2">
        <v>1</v>
      </c>
      <c r="J18090" s="1">
        <v>45930.377152777779</v>
      </c>
    </row>
    <row r="18091" spans="1:10" x14ac:dyDescent="0.2">
      <c r="A18091" s="4" t="s">
        <v>1</v>
      </c>
      <c r="B18091" s="3" t="str">
        <f>HYPERLINK("https://otsuka-europe-crm.veevavault.com/ui/#object/approved_document__v/V5OZ025E82TP0C6", "PSIQUIATRÍA - Guía de Manejo Psicoterapéutico")</f>
        <v>PSIQUIATRÍA - Guía de Manejo Psicoterapéutico</v>
      </c>
      <c r="C18091" s="3" t="str">
        <f>HYPERLINK("https://otsuka-europe-crm.veevavault.com/ui/#object/sent_email__v/VBLZ025E82GWSAV", "SE-000279926")</f>
        <v>SE-000279926</v>
      </c>
      <c r="D18091" s="1">
        <v>45930.379050925927</v>
      </c>
      <c r="E18091" s="2">
        <v>1</v>
      </c>
      <c r="F18091" s="2">
        <v>1</v>
      </c>
      <c r="G18091" s="2">
        <v>1</v>
      </c>
      <c r="H18091" s="1">
        <v>45930.379201388889</v>
      </c>
      <c r="I18091" s="2">
        <v>1</v>
      </c>
      <c r="J18091" s="1">
        <v>45930.377060185187</v>
      </c>
    </row>
    <row r="18092" spans="1:10" x14ac:dyDescent="0.2">
      <c r="A18092" s="4" t="s">
        <v>1</v>
      </c>
      <c r="B18092" s="3" t="str">
        <f>HYPERLINK("https://otsuka-europe-crm.veevavault.com/ui/#object/approved_document__v/V5OZ025E82TP0C6", "PSIQUIATRÍA - Guía de Manejo Psicoterapéutico")</f>
        <v>PSIQUIATRÍA - Guía de Manejo Psicoterapéutico</v>
      </c>
      <c r="C18092" s="3" t="str">
        <f>HYPERLINK("https://otsuka-europe-crm.veevavault.com/ui/#object/sent_email__v/VBLZ025E82GWSAW", "SE-000279927")</f>
        <v>SE-000279927</v>
      </c>
      <c r="D18092" s="1">
        <v>46001.262442129628</v>
      </c>
      <c r="E18092" s="2">
        <v>1</v>
      </c>
      <c r="F18092" s="2">
        <v>2</v>
      </c>
      <c r="G18092" s="2">
        <v>0</v>
      </c>
      <c r="H18092" s="1" t="s">
        <v>0</v>
      </c>
      <c r="I18092" s="2">
        <v>0</v>
      </c>
      <c r="J18092" s="1">
        <v>45930.377152777779</v>
      </c>
    </row>
    <row r="18093" spans="1:10" x14ac:dyDescent="0.2">
      <c r="A18093" s="4" t="s">
        <v>1</v>
      </c>
      <c r="B18093" s="3" t="str">
        <f>HYPERLINK("https://otsuka-europe-crm.veevavault.com/ui/#object/approved_document__v/V5OZ025E82TP0C6", "PSIQUIATRÍA - Guía de Manejo Psicoterapéutico")</f>
        <v>PSIQUIATRÍA - Guía de Manejo Psicoterapéutico</v>
      </c>
      <c r="C18093" s="3" t="str">
        <f>HYPERLINK("https://otsuka-europe-crm.veevavault.com/ui/#object/sent_email__v/VBLZ025E82GWSAX", "SE-000279928")</f>
        <v>SE-000279928</v>
      </c>
      <c r="D18093" s="1" t="s">
        <v>0</v>
      </c>
      <c r="E18093" s="2">
        <v>0</v>
      </c>
      <c r="F18093" s="2">
        <v>0</v>
      </c>
      <c r="G18093" s="2">
        <v>0</v>
      </c>
      <c r="H18093" s="1" t="s">
        <v>0</v>
      </c>
      <c r="I18093" s="2">
        <v>0</v>
      </c>
      <c r="J18093" s="1">
        <v>45930.377199074072</v>
      </c>
    </row>
    <row r="18094" spans="1:10" x14ac:dyDescent="0.2">
      <c r="A18094" s="4" t="s">
        <v>1</v>
      </c>
      <c r="B18094" s="3" t="str">
        <f>HYPERLINK("https://otsuka-europe-crm.veevavault.com/ui/#object/approved_document__v/V5OZ025E82TP0C6", "PSIQUIATRÍA - Guía de Manejo Psicoterapéutico")</f>
        <v>PSIQUIATRÍA - Guía de Manejo Psicoterapéutico</v>
      </c>
      <c r="C18094" s="3" t="str">
        <f>HYPERLINK("https://otsuka-europe-crm.veevavault.com/ui/#object/sent_email__v/VBLZ025E82GWSAY", "SE-000279929")</f>
        <v>SE-000279929</v>
      </c>
      <c r="D18094" s="1">
        <v>45930.403935185182</v>
      </c>
      <c r="E18094" s="2">
        <v>1</v>
      </c>
      <c r="F18094" s="2">
        <v>1</v>
      </c>
      <c r="G18094" s="2">
        <v>1</v>
      </c>
      <c r="H18094" s="1">
        <v>45930.404062499998</v>
      </c>
      <c r="I18094" s="2">
        <v>1</v>
      </c>
      <c r="J18094" s="1">
        <v>45930.377175925925</v>
      </c>
    </row>
    <row r="18095" spans="1:10" x14ac:dyDescent="0.2">
      <c r="A18095" s="4" t="s">
        <v>1</v>
      </c>
      <c r="B18095" s="3" t="str">
        <f>HYPERLINK("https://otsuka-europe-crm.veevavault.com/ui/#object/approved_document__v/V5OZ025E82TP0C6", "PSIQUIATRÍA - Guía de Manejo Psicoterapéutico")</f>
        <v>PSIQUIATRÍA - Guía de Manejo Psicoterapéutico</v>
      </c>
      <c r="C18095" s="3" t="str">
        <f>HYPERLINK("https://otsuka-europe-crm.veevavault.com/ui/#object/sent_email__v/VBLZ025E82GWSAZ", "SE-000279930")</f>
        <v>SE-000279930</v>
      </c>
      <c r="D18095" s="1">
        <v>45939.709050925929</v>
      </c>
      <c r="E18095" s="2">
        <v>1</v>
      </c>
      <c r="F18095" s="2">
        <v>1</v>
      </c>
      <c r="G18095" s="2">
        <v>0</v>
      </c>
      <c r="H18095" s="1" t="s">
        <v>0</v>
      </c>
      <c r="I18095" s="2">
        <v>0</v>
      </c>
      <c r="J18095" s="1">
        <v>45930.377129629633</v>
      </c>
    </row>
    <row r="18096" spans="1:10" x14ac:dyDescent="0.2">
      <c r="A18096" s="4" t="s">
        <v>1</v>
      </c>
      <c r="B18096" s="3" t="str">
        <f>HYPERLINK("https://otsuka-europe-crm.veevavault.com/ui/#object/approved_document__v/V5OZ025E82TP0C6", "PSIQUIATRÍA - Guía de Manejo Psicoterapéutico")</f>
        <v>PSIQUIATRÍA - Guía de Manejo Psicoterapéutico</v>
      </c>
      <c r="C18096" s="3" t="str">
        <f>HYPERLINK("https://otsuka-europe-crm.veevavault.com/ui/#object/sent_email__v/VBLZ025E82GWSB0", "SE-000279931")</f>
        <v>SE-000279931</v>
      </c>
      <c r="D18096" s="1" t="s">
        <v>0</v>
      </c>
      <c r="E18096" s="2">
        <v>0</v>
      </c>
      <c r="F18096" s="2">
        <v>0</v>
      </c>
      <c r="G18096" s="2">
        <v>0</v>
      </c>
      <c r="H18096" s="1" t="s">
        <v>0</v>
      </c>
      <c r="I18096" s="2">
        <v>0</v>
      </c>
      <c r="J18096" s="1">
        <v>45930.377152777779</v>
      </c>
    </row>
    <row r="18097" spans="1:10" x14ac:dyDescent="0.2">
      <c r="A18097" s="4" t="s">
        <v>1</v>
      </c>
      <c r="B18097" s="3" t="str">
        <f>HYPERLINK("https://otsuka-europe-crm.veevavault.com/ui/#object/approved_document__v/V5OZ025E82TP0C6", "PSIQUIATRÍA - Guía de Manejo Psicoterapéutico")</f>
        <v>PSIQUIATRÍA - Guía de Manejo Psicoterapéutico</v>
      </c>
      <c r="C18097" s="3" t="str">
        <f>HYPERLINK("https://otsuka-europe-crm.veevavault.com/ui/#object/sent_email__v/VBLZ025E82GWSB1", "SE-000279932")</f>
        <v>SE-000279932</v>
      </c>
      <c r="D18097" s="1">
        <v>45930.962546296294</v>
      </c>
      <c r="E18097" s="2">
        <v>1</v>
      </c>
      <c r="F18097" s="2">
        <v>2</v>
      </c>
      <c r="G18097" s="2">
        <v>0</v>
      </c>
      <c r="H18097" s="1" t="s">
        <v>0</v>
      </c>
      <c r="I18097" s="2">
        <v>0</v>
      </c>
      <c r="J18097" s="1">
        <v>45930.377280092594</v>
      </c>
    </row>
    <row r="18098" spans="1:10" x14ac:dyDescent="0.2">
      <c r="A18098" s="4" t="s">
        <v>1</v>
      </c>
      <c r="B18098" s="3" t="str">
        <f>HYPERLINK("https://otsuka-europe-crm.veevavault.com/ui/#object/approved_document__v/V5OZ025E82TP0C6", "PSIQUIATRÍA - Guía de Manejo Psicoterapéutico")</f>
        <v>PSIQUIATRÍA - Guía de Manejo Psicoterapéutico</v>
      </c>
      <c r="C18098" s="3" t="str">
        <f>HYPERLINK("https://otsuka-europe-crm.veevavault.com/ui/#object/sent_email__v/VBLZ025E82GWSB2", "SE-000279933")</f>
        <v>SE-000279933</v>
      </c>
      <c r="D18098" s="1">
        <v>45937.715138888889</v>
      </c>
      <c r="E18098" s="2">
        <v>1</v>
      </c>
      <c r="F18098" s="2">
        <v>6</v>
      </c>
      <c r="G18098" s="2">
        <v>1</v>
      </c>
      <c r="H18098" s="1">
        <v>45961.495821759258</v>
      </c>
      <c r="I18098" s="2">
        <v>5</v>
      </c>
      <c r="J18098" s="1">
        <v>45930.377199074072</v>
      </c>
    </row>
    <row r="18099" spans="1:10" x14ac:dyDescent="0.2">
      <c r="A18099" s="4" t="s">
        <v>1</v>
      </c>
      <c r="B18099" s="3" t="str">
        <f>HYPERLINK("https://otsuka-europe-crm.veevavault.com/ui/#object/approved_document__v/V5OZ025E82TP0C6", "PSIQUIATRÍA - Guía de Manejo Psicoterapéutico")</f>
        <v>PSIQUIATRÍA - Guía de Manejo Psicoterapéutico</v>
      </c>
      <c r="C18099" s="3" t="str">
        <f>HYPERLINK("https://otsuka-europe-crm.veevavault.com/ui/#object/sent_email__v/VBLZ025E82GWSB3", "SE-000279934")</f>
        <v>SE-000279934</v>
      </c>
      <c r="D18099" s="1" t="s">
        <v>0</v>
      </c>
      <c r="E18099" s="2">
        <v>0</v>
      </c>
      <c r="F18099" s="2">
        <v>0</v>
      </c>
      <c r="G18099" s="2">
        <v>0</v>
      </c>
      <c r="H18099" s="1" t="s">
        <v>0</v>
      </c>
      <c r="I18099" s="2">
        <v>0</v>
      </c>
      <c r="J18099" s="1">
        <v>45930.377106481479</v>
      </c>
    </row>
    <row r="18100" spans="1:10" x14ac:dyDescent="0.2">
      <c r="A18100" s="4" t="s">
        <v>1</v>
      </c>
      <c r="B18100" s="3" t="str">
        <f>HYPERLINK("https://otsuka-europe-crm.veevavault.com/ui/#object/approved_document__v/V5OZ025E82TP0C6", "PSIQUIATRÍA - Guía de Manejo Psicoterapéutico")</f>
        <v>PSIQUIATRÍA - Guía de Manejo Psicoterapéutico</v>
      </c>
      <c r="C18100" s="3" t="str">
        <f>HYPERLINK("https://otsuka-europe-crm.veevavault.com/ui/#object/sent_email__v/VBLZ025E82GWSB4", "SE-000279935")</f>
        <v>SE-000279935</v>
      </c>
      <c r="D18100" s="1">
        <v>45932.75309027778</v>
      </c>
      <c r="E18100" s="2">
        <v>1</v>
      </c>
      <c r="F18100" s="2">
        <v>2</v>
      </c>
      <c r="G18100" s="2">
        <v>0</v>
      </c>
      <c r="H18100" s="1" t="s">
        <v>0</v>
      </c>
      <c r="I18100" s="2">
        <v>0</v>
      </c>
      <c r="J18100" s="1">
        <v>45930.377129629633</v>
      </c>
    </row>
    <row r="18101" spans="1:10" x14ac:dyDescent="0.2">
      <c r="A18101" s="4" t="s">
        <v>1</v>
      </c>
      <c r="B18101" s="3" t="str">
        <f>HYPERLINK("https://otsuka-europe-crm.veevavault.com/ui/#object/approved_document__v/V5OZ025E82TP0C6", "PSIQUIATRÍA - Guía de Manejo Psicoterapéutico")</f>
        <v>PSIQUIATRÍA - Guía de Manejo Psicoterapéutico</v>
      </c>
      <c r="C18101" s="3" t="str">
        <f>HYPERLINK("https://otsuka-europe-crm.veevavault.com/ui/#object/sent_email__v/VBLZ025E82GWSB5", "SE-000279936")</f>
        <v>SE-000279936</v>
      </c>
      <c r="D18101" s="1">
        <v>45930.655578703707</v>
      </c>
      <c r="E18101" s="2">
        <v>1</v>
      </c>
      <c r="F18101" s="2">
        <v>1</v>
      </c>
      <c r="G18101" s="2">
        <v>0</v>
      </c>
      <c r="H18101" s="1" t="s">
        <v>0</v>
      </c>
      <c r="I18101" s="2">
        <v>0</v>
      </c>
      <c r="J18101" s="1">
        <v>45930.377233796295</v>
      </c>
    </row>
    <row r="18102" spans="1:10" x14ac:dyDescent="0.2">
      <c r="A18102" s="4" t="s">
        <v>1</v>
      </c>
      <c r="B18102" s="3" t="str">
        <f>HYPERLINK("https://otsuka-europe-crm.veevavault.com/ui/#object/approved_document__v/V5OZ025E82TP0C6", "PSIQUIATRÍA - Guía de Manejo Psicoterapéutico")</f>
        <v>PSIQUIATRÍA - Guía de Manejo Psicoterapéutico</v>
      </c>
      <c r="C18102" s="3" t="str">
        <f>HYPERLINK("https://otsuka-europe-crm.veevavault.com/ui/#object/sent_email__v/VBLZ025E82GWSB6", "SE-000279937")</f>
        <v>SE-000279937</v>
      </c>
      <c r="D18102" s="1">
        <v>45946.774733796294</v>
      </c>
      <c r="E18102" s="2">
        <v>1</v>
      </c>
      <c r="F18102" s="2">
        <v>3</v>
      </c>
      <c r="G18102" s="2">
        <v>0</v>
      </c>
      <c r="H18102" s="1" t="s">
        <v>0</v>
      </c>
      <c r="I18102" s="2">
        <v>0</v>
      </c>
      <c r="J18102" s="1">
        <v>45930.377268518518</v>
      </c>
    </row>
    <row r="18103" spans="1:10" x14ac:dyDescent="0.2">
      <c r="A18103" s="4" t="s">
        <v>1</v>
      </c>
      <c r="B18103" s="3" t="str">
        <f>HYPERLINK("https://otsuka-europe-crm.veevavault.com/ui/#object/approved_document__v/V5OZ025E82TP0C6", "PSIQUIATRÍA - Guía de Manejo Psicoterapéutico")</f>
        <v>PSIQUIATRÍA - Guía de Manejo Psicoterapéutico</v>
      </c>
      <c r="C18103" s="3" t="str">
        <f>HYPERLINK("https://otsuka-europe-crm.veevavault.com/ui/#object/sent_email__v/VBLZ025E82GWSB7", "SE-000279938")</f>
        <v>SE-000279938</v>
      </c>
      <c r="D18103" s="1">
        <v>45930.731886574074</v>
      </c>
      <c r="E18103" s="2">
        <v>1</v>
      </c>
      <c r="F18103" s="2">
        <v>1</v>
      </c>
      <c r="G18103" s="2">
        <v>0</v>
      </c>
      <c r="H18103" s="1" t="s">
        <v>0</v>
      </c>
      <c r="I18103" s="2">
        <v>0</v>
      </c>
      <c r="J18103" s="1">
        <v>45930.377164351848</v>
      </c>
    </row>
    <row r="18104" spans="1:10" x14ac:dyDescent="0.2">
      <c r="A18104" s="4" t="s">
        <v>1</v>
      </c>
      <c r="B18104" s="3" t="str">
        <f>HYPERLINK("https://otsuka-europe-crm.veevavault.com/ui/#object/approved_document__v/V5OZ025E82TP0C6", "PSIQUIATRÍA - Guía de Manejo Psicoterapéutico")</f>
        <v>PSIQUIATRÍA - Guía de Manejo Psicoterapéutico</v>
      </c>
      <c r="C18104" s="3" t="str">
        <f>HYPERLINK("https://otsuka-europe-crm.veevavault.com/ui/#object/sent_email__v/VBLZ025E82GWSB8", "SE-000279939")</f>
        <v>SE-000279939</v>
      </c>
      <c r="D18104" s="1">
        <v>45930.63553240741</v>
      </c>
      <c r="E18104" s="2">
        <v>1</v>
      </c>
      <c r="F18104" s="2">
        <v>2</v>
      </c>
      <c r="G18104" s="2">
        <v>1</v>
      </c>
      <c r="H18104" s="1">
        <v>45930.635601851849</v>
      </c>
      <c r="I18104" s="2">
        <v>1</v>
      </c>
      <c r="J18104" s="1">
        <v>45930.377025462964</v>
      </c>
    </row>
    <row r="18105" spans="1:10" x14ac:dyDescent="0.2">
      <c r="A18105" s="4" t="s">
        <v>1</v>
      </c>
      <c r="B18105" s="3" t="str">
        <f>HYPERLINK("https://otsuka-europe-crm.veevavault.com/ui/#object/approved_document__v/V5OZ025E82TP0C6", "PSIQUIATRÍA - Guía de Manejo Psicoterapéutico")</f>
        <v>PSIQUIATRÍA - Guía de Manejo Psicoterapéutico</v>
      </c>
      <c r="C18105" s="3" t="str">
        <f>HYPERLINK("https://otsuka-europe-crm.veevavault.com/ui/#object/sent_email__v/VBLZ025E82GWSB9", "SE-000279940")</f>
        <v>SE-000279940</v>
      </c>
      <c r="D18105" s="1">
        <v>45936.804120370369</v>
      </c>
      <c r="E18105" s="2">
        <v>1</v>
      </c>
      <c r="F18105" s="2">
        <v>3</v>
      </c>
      <c r="G18105" s="2">
        <v>0</v>
      </c>
      <c r="H18105" s="1" t="s">
        <v>0</v>
      </c>
      <c r="I18105" s="2">
        <v>0</v>
      </c>
      <c r="J18105" s="1">
        <v>45930.377071759256</v>
      </c>
    </row>
    <row r="18106" spans="1:10" x14ac:dyDescent="0.2">
      <c r="A18106" s="4" t="s">
        <v>1</v>
      </c>
      <c r="B18106" s="3" t="str">
        <f>HYPERLINK("https://otsuka-europe-crm.veevavault.com/ui/#object/approved_document__v/V5OZ025E82TP0C6", "PSIQUIATRÍA - Guía de Manejo Psicoterapéutico")</f>
        <v>PSIQUIATRÍA - Guía de Manejo Psicoterapéutico</v>
      </c>
      <c r="C18106" s="3" t="str">
        <f>HYPERLINK("https://otsuka-europe-crm.veevavault.com/ui/#object/sent_email__v/VBLZ025E82GWSBA", "SE-000279941")</f>
        <v>SE-000279941</v>
      </c>
      <c r="D18106" s="1">
        <v>45958.538460648146</v>
      </c>
      <c r="E18106" s="2">
        <v>1</v>
      </c>
      <c r="F18106" s="2">
        <v>2</v>
      </c>
      <c r="G18106" s="2">
        <v>0</v>
      </c>
      <c r="H18106" s="1" t="s">
        <v>0</v>
      </c>
      <c r="I18106" s="2">
        <v>0</v>
      </c>
      <c r="J18106" s="1">
        <v>45930.377210648148</v>
      </c>
    </row>
    <row r="18107" spans="1:10" x14ac:dyDescent="0.2">
      <c r="A18107" s="4" t="s">
        <v>1</v>
      </c>
      <c r="B18107" s="3" t="str">
        <f>HYPERLINK("https://otsuka-europe-crm.veevavault.com/ui/#object/approved_document__v/V5OZ025E82TP0C6", "PSIQUIATRÍA - Guía de Manejo Psicoterapéutico")</f>
        <v>PSIQUIATRÍA - Guía de Manejo Psicoterapéutico</v>
      </c>
      <c r="C18107" s="3" t="str">
        <f>HYPERLINK("https://otsuka-europe-crm.veevavault.com/ui/#object/sent_email__v/VBLZ025E82GWSBB", "SE-000279942")</f>
        <v>SE-000279942</v>
      </c>
      <c r="D18107" s="1">
        <v>45932.874942129631</v>
      </c>
      <c r="E18107" s="2">
        <v>1</v>
      </c>
      <c r="F18107" s="2">
        <v>1</v>
      </c>
      <c r="G18107" s="2">
        <v>1</v>
      </c>
      <c r="H18107" s="1">
        <v>45999.832071759258</v>
      </c>
      <c r="I18107" s="2">
        <v>3</v>
      </c>
      <c r="J18107" s="1">
        <v>45930.377199074072</v>
      </c>
    </row>
    <row r="18108" spans="1:10" x14ac:dyDescent="0.2">
      <c r="A18108" s="4" t="s">
        <v>1</v>
      </c>
      <c r="B18108" s="3" t="str">
        <f>HYPERLINK("https://otsuka-europe-crm.veevavault.com/ui/#object/approved_document__v/V5OZ025E82TP0C6", "PSIQUIATRÍA - Guía de Manejo Psicoterapéutico")</f>
        <v>PSIQUIATRÍA - Guía de Manejo Psicoterapéutico</v>
      </c>
      <c r="C18108" s="3" t="str">
        <f>HYPERLINK("https://otsuka-europe-crm.veevavault.com/ui/#object/sent_email__v/VBLZ025E82GWSBC", "SE-000279943")</f>
        <v>SE-000279943</v>
      </c>
      <c r="D18108" s="1">
        <v>45930.404942129629</v>
      </c>
      <c r="E18108" s="2">
        <v>1</v>
      </c>
      <c r="F18108" s="2">
        <v>1</v>
      </c>
      <c r="G18108" s="2">
        <v>0</v>
      </c>
      <c r="H18108" s="1" t="s">
        <v>0</v>
      </c>
      <c r="I18108" s="2">
        <v>0</v>
      </c>
      <c r="J18108" s="1">
        <v>45930.377164351848</v>
      </c>
    </row>
    <row r="18109" spans="1:10" x14ac:dyDescent="0.2">
      <c r="A18109" s="4" t="s">
        <v>1</v>
      </c>
      <c r="B18109" s="3" t="str">
        <f>HYPERLINK("https://otsuka-europe-crm.veevavault.com/ui/#object/approved_document__v/V5OZ025E82TP0C6", "PSIQUIATRÍA - Guía de Manejo Psicoterapéutico")</f>
        <v>PSIQUIATRÍA - Guía de Manejo Psicoterapéutico</v>
      </c>
      <c r="C18109" s="3" t="str">
        <f>HYPERLINK("https://otsuka-europe-crm.veevavault.com/ui/#object/sent_email__v/VBLZ025E82GWSBD", "SE-000279944")</f>
        <v>SE-000279944</v>
      </c>
      <c r="D18109" s="1" t="s">
        <v>0</v>
      </c>
      <c r="E18109" s="2">
        <v>0</v>
      </c>
      <c r="F18109" s="2">
        <v>0</v>
      </c>
      <c r="G18109" s="2">
        <v>0</v>
      </c>
      <c r="H18109" s="1" t="s">
        <v>0</v>
      </c>
      <c r="I18109" s="2">
        <v>0</v>
      </c>
      <c r="J18109" s="1">
        <v>45930.37703703704</v>
      </c>
    </row>
    <row r="18110" spans="1:10" x14ac:dyDescent="0.2">
      <c r="A18110" s="4" t="s">
        <v>1</v>
      </c>
      <c r="B18110" s="3" t="str">
        <f>HYPERLINK("https://otsuka-europe-crm.veevavault.com/ui/#object/approved_document__v/V5OZ025E82TP0C6", "PSIQUIATRÍA - Guía de Manejo Psicoterapéutico")</f>
        <v>PSIQUIATRÍA - Guía de Manejo Psicoterapéutico</v>
      </c>
      <c r="C18110" s="3" t="str">
        <f>HYPERLINK("https://otsuka-europe-crm.veevavault.com/ui/#object/sent_email__v/VBLZ025E82GWSBE", "SE-000279945")</f>
        <v>SE-000279945</v>
      </c>
      <c r="D18110" s="1" t="s">
        <v>0</v>
      </c>
      <c r="E18110" s="2">
        <v>0</v>
      </c>
      <c r="F18110" s="2">
        <v>0</v>
      </c>
      <c r="G18110" s="2">
        <v>0</v>
      </c>
      <c r="H18110" s="1" t="s">
        <v>0</v>
      </c>
      <c r="I18110" s="2">
        <v>0</v>
      </c>
      <c r="J18110" s="1">
        <v>45930.379282407404</v>
      </c>
    </row>
    <row r="18111" spans="1:10" x14ac:dyDescent="0.2">
      <c r="A18111" s="4" t="s">
        <v>1</v>
      </c>
      <c r="B18111" s="3" t="str">
        <f>HYPERLINK("https://otsuka-europe-crm.veevavault.com/ui/#object/approved_document__v/V5OZ025E82TP0C6", "PSIQUIATRÍA - Guía de Manejo Psicoterapéutico")</f>
        <v>PSIQUIATRÍA - Guía de Manejo Psicoterapéutico</v>
      </c>
      <c r="C18111" s="3" t="str">
        <f>HYPERLINK("https://otsuka-europe-crm.veevavault.com/ui/#object/sent_email__v/VBLZ025E82GWSBF", "SE-000279946")</f>
        <v>SE-000279946</v>
      </c>
      <c r="D18111" s="1">
        <v>45944.858657407407</v>
      </c>
      <c r="E18111" s="2">
        <v>1</v>
      </c>
      <c r="F18111" s="2">
        <v>5</v>
      </c>
      <c r="G18111" s="2">
        <v>1</v>
      </c>
      <c r="H18111" s="1">
        <v>45930.621886574074</v>
      </c>
      <c r="I18111" s="2">
        <v>2</v>
      </c>
      <c r="J18111" s="1">
        <v>45930.37703703704</v>
      </c>
    </row>
    <row r="18112" spans="1:10" x14ac:dyDescent="0.2">
      <c r="A18112" s="4" t="s">
        <v>1</v>
      </c>
      <c r="B18112" s="3" t="str">
        <f>HYPERLINK("https://otsuka-europe-crm.veevavault.com/ui/#object/approved_document__v/V5OZ025E82TP0C6", "PSIQUIATRÍA - Guía de Manejo Psicoterapéutico")</f>
        <v>PSIQUIATRÍA - Guía de Manejo Psicoterapéutico</v>
      </c>
      <c r="C18112" s="3" t="str">
        <f>HYPERLINK("https://otsuka-europe-crm.veevavault.com/ui/#object/sent_email__v/VBLZ025E82GWSBG", "SE-000279947")</f>
        <v>SE-000279947</v>
      </c>
      <c r="D18112" s="1" t="s">
        <v>0</v>
      </c>
      <c r="E18112" s="2">
        <v>0</v>
      </c>
      <c r="F18112" s="2">
        <v>0</v>
      </c>
      <c r="G18112" s="2">
        <v>0</v>
      </c>
      <c r="H18112" s="1" t="s">
        <v>0</v>
      </c>
      <c r="I18112" s="2">
        <v>0</v>
      </c>
      <c r="J18112" s="1">
        <v>45930.377222222225</v>
      </c>
    </row>
    <row r="18113" spans="1:10" x14ac:dyDescent="0.2">
      <c r="A18113" s="4" t="s">
        <v>1</v>
      </c>
      <c r="B18113" s="3" t="str">
        <f>HYPERLINK("https://otsuka-europe-crm.veevavault.com/ui/#object/approved_document__v/V5OZ025E82TP0C6", "PSIQUIATRÍA - Guía de Manejo Psicoterapéutico")</f>
        <v>PSIQUIATRÍA - Guía de Manejo Psicoterapéutico</v>
      </c>
      <c r="C18113" s="3" t="str">
        <f>HYPERLINK("https://otsuka-europe-crm.veevavault.com/ui/#object/sent_email__v/VBLZ025E82GWSBH", "SE-000279948")</f>
        <v>SE-000279948</v>
      </c>
      <c r="D18113" s="1">
        <v>45934.446446759262</v>
      </c>
      <c r="E18113" s="2">
        <v>1</v>
      </c>
      <c r="F18113" s="2">
        <v>2</v>
      </c>
      <c r="G18113" s="2">
        <v>1</v>
      </c>
      <c r="H18113" s="1">
        <v>45930.383993055555</v>
      </c>
      <c r="I18113" s="2">
        <v>2</v>
      </c>
      <c r="J18113" s="1">
        <v>45930.379328703704</v>
      </c>
    </row>
    <row r="18114" spans="1:10" x14ac:dyDescent="0.2">
      <c r="A18114" s="4" t="s">
        <v>1</v>
      </c>
      <c r="B18114" s="3" t="str">
        <f>HYPERLINK("https://otsuka-europe-crm.veevavault.com/ui/#object/approved_document__v/V5OZ025E82TP0C6", "PSIQUIATRÍA - Guía de Manejo Psicoterapéutico")</f>
        <v>PSIQUIATRÍA - Guía de Manejo Psicoterapéutico</v>
      </c>
      <c r="C18114" s="3" t="str">
        <f>HYPERLINK("https://otsuka-europe-crm.veevavault.com/ui/#object/sent_email__v/VBLZ025E82GWSBI", "SE-000279949")</f>
        <v>SE-000279949</v>
      </c>
      <c r="D18114" s="1" t="s">
        <v>0</v>
      </c>
      <c r="E18114" s="2">
        <v>0</v>
      </c>
      <c r="F18114" s="2">
        <v>0</v>
      </c>
      <c r="G18114" s="2">
        <v>0</v>
      </c>
      <c r="H18114" s="1" t="s">
        <v>0</v>
      </c>
      <c r="I18114" s="2">
        <v>0</v>
      </c>
      <c r="J18114" s="1">
        <v>45930.377025462964</v>
      </c>
    </row>
    <row r="18115" spans="1:10" x14ac:dyDescent="0.2">
      <c r="A18115" s="4" t="s">
        <v>1</v>
      </c>
      <c r="B18115" s="3" t="str">
        <f>HYPERLINK("https://otsuka-europe-crm.veevavault.com/ui/#object/approved_document__v/V5OZ025E82TP0C6", "PSIQUIATRÍA - Guía de Manejo Psicoterapéutico")</f>
        <v>PSIQUIATRÍA - Guía de Manejo Psicoterapéutico</v>
      </c>
      <c r="C18115" s="3" t="str">
        <f>HYPERLINK("https://otsuka-europe-crm.veevavault.com/ui/#object/sent_email__v/VBLZ025E82GWSBJ", "SE-000279950")</f>
        <v>SE-000279950</v>
      </c>
      <c r="D18115" s="1" t="s">
        <v>0</v>
      </c>
      <c r="E18115" s="2">
        <v>0</v>
      </c>
      <c r="F18115" s="2">
        <v>0</v>
      </c>
      <c r="G18115" s="2">
        <v>0</v>
      </c>
      <c r="H18115" s="1" t="s">
        <v>0</v>
      </c>
      <c r="I18115" s="2">
        <v>0</v>
      </c>
      <c r="J18115" s="1">
        <v>45930.377083333333</v>
      </c>
    </row>
    <row r="18116" spans="1:10" x14ac:dyDescent="0.2">
      <c r="A18116" s="4" t="s">
        <v>1</v>
      </c>
      <c r="B18116" s="3" t="str">
        <f>HYPERLINK("https://otsuka-europe-crm.veevavault.com/ui/#object/approved_document__v/V5OZ025E82TP0C6", "PSIQUIATRÍA - Guía de Manejo Psicoterapéutico")</f>
        <v>PSIQUIATRÍA - Guía de Manejo Psicoterapéutico</v>
      </c>
      <c r="C18116" s="3" t="str">
        <f>HYPERLINK("https://otsuka-europe-crm.veevavault.com/ui/#object/sent_email__v/VBLZ025E82GWSBK", "SE-000279951")</f>
        <v>SE-000279951</v>
      </c>
      <c r="D18116" s="1">
        <v>45930.814930555556</v>
      </c>
      <c r="E18116" s="2">
        <v>1</v>
      </c>
      <c r="F18116" s="2">
        <v>2</v>
      </c>
      <c r="G18116" s="2">
        <v>1</v>
      </c>
      <c r="H18116" s="1">
        <v>45930.508900462963</v>
      </c>
      <c r="I18116" s="2">
        <v>3</v>
      </c>
      <c r="J18116" s="1">
        <v>45930.377129629633</v>
      </c>
    </row>
    <row r="18117" spans="1:10" x14ac:dyDescent="0.2">
      <c r="A18117" s="4" t="s">
        <v>1</v>
      </c>
      <c r="B18117" s="3" t="str">
        <f>HYPERLINK("https://otsuka-europe-crm.veevavault.com/ui/#object/approved_document__v/V5OZ025E82TP0C6", "PSIQUIATRÍA - Guía de Manejo Psicoterapéutico")</f>
        <v>PSIQUIATRÍA - Guía de Manejo Psicoterapéutico</v>
      </c>
      <c r="C18117" s="3" t="str">
        <f>HYPERLINK("https://otsuka-europe-crm.veevavault.com/ui/#object/sent_email__v/VBLZ025E82GWSBL", "SE-000279952")</f>
        <v>SE-000279952</v>
      </c>
      <c r="D18117" s="1" t="s">
        <v>0</v>
      </c>
      <c r="E18117" s="2">
        <v>0</v>
      </c>
      <c r="F18117" s="2">
        <v>0</v>
      </c>
      <c r="G18117" s="2">
        <v>0</v>
      </c>
      <c r="H18117" s="1" t="s">
        <v>0</v>
      </c>
      <c r="I18117" s="2">
        <v>0</v>
      </c>
      <c r="J18117" s="1">
        <v>45930.377233796295</v>
      </c>
    </row>
    <row r="18118" spans="1:10" x14ac:dyDescent="0.2">
      <c r="A18118" s="4" t="s">
        <v>1</v>
      </c>
      <c r="B18118" s="3" t="str">
        <f>HYPERLINK("https://otsuka-europe-crm.veevavault.com/ui/#object/approved_document__v/V5OZ025E82TP0C6", "PSIQUIATRÍA - Guía de Manejo Psicoterapéutico")</f>
        <v>PSIQUIATRÍA - Guía de Manejo Psicoterapéutico</v>
      </c>
      <c r="C18118" s="3" t="str">
        <f>HYPERLINK("https://otsuka-europe-crm.veevavault.com/ui/#object/sent_email__v/VBLZ025E82GWSBM", "SE-000279953")</f>
        <v>SE-000279953</v>
      </c>
      <c r="D18118" s="1">
        <v>45930.388773148145</v>
      </c>
      <c r="E18118" s="2">
        <v>1</v>
      </c>
      <c r="F18118" s="2">
        <v>1</v>
      </c>
      <c r="G18118" s="2">
        <v>1</v>
      </c>
      <c r="H18118" s="1">
        <v>45937.4612037037</v>
      </c>
      <c r="I18118" s="2">
        <v>1</v>
      </c>
      <c r="J18118" s="1">
        <v>45930.377152777779</v>
      </c>
    </row>
    <row r="18119" spans="1:10" x14ac:dyDescent="0.2">
      <c r="A18119" s="4" t="s">
        <v>1</v>
      </c>
      <c r="B18119" s="3" t="str">
        <f>HYPERLINK("https://otsuka-europe-crm.veevavault.com/ui/#object/approved_document__v/V5OZ025E82TP0C6", "PSIQUIATRÍA - Guía de Manejo Psicoterapéutico")</f>
        <v>PSIQUIATRÍA - Guía de Manejo Psicoterapéutico</v>
      </c>
      <c r="C18119" s="3" t="str">
        <f>HYPERLINK("https://otsuka-europe-crm.veevavault.com/ui/#object/sent_email__v/VBLZ025E82GWSBN", "SE-000279954")</f>
        <v>SE-000279954</v>
      </c>
      <c r="D18119" s="1" t="s">
        <v>0</v>
      </c>
      <c r="E18119" s="2">
        <v>0</v>
      </c>
      <c r="F18119" s="2">
        <v>0</v>
      </c>
      <c r="G18119" s="2">
        <v>0</v>
      </c>
      <c r="H18119" s="1" t="s">
        <v>0</v>
      </c>
      <c r="I18119" s="2">
        <v>0</v>
      </c>
      <c r="J18119" s="1">
        <v>45930.377106481479</v>
      </c>
    </row>
    <row r="18120" spans="1:10" x14ac:dyDescent="0.2">
      <c r="A18120" s="4" t="s">
        <v>1</v>
      </c>
      <c r="B18120" s="3" t="str">
        <f>HYPERLINK("https://otsuka-europe-crm.veevavault.com/ui/#object/approved_document__v/V5OZ025E82TP0C6", "PSIQUIATRÍA - Guía de Manejo Psicoterapéutico")</f>
        <v>PSIQUIATRÍA - Guía de Manejo Psicoterapéutico</v>
      </c>
      <c r="C18120" s="3" t="str">
        <f>HYPERLINK("https://otsuka-europe-crm.veevavault.com/ui/#object/sent_email__v/VBLZ025E82GWSBO", "SE-000279955")</f>
        <v>SE-000279955</v>
      </c>
      <c r="D18120" s="1" t="s">
        <v>0</v>
      </c>
      <c r="E18120" s="2">
        <v>0</v>
      </c>
      <c r="F18120" s="2">
        <v>0</v>
      </c>
      <c r="G18120" s="2">
        <v>0</v>
      </c>
      <c r="H18120" s="1" t="s">
        <v>0</v>
      </c>
      <c r="I18120" s="2">
        <v>0</v>
      </c>
      <c r="J18120" s="1">
        <v>45930.377141203702</v>
      </c>
    </row>
    <row r="18121" spans="1:10" x14ac:dyDescent="0.2">
      <c r="A18121" s="4" t="s">
        <v>1</v>
      </c>
      <c r="B18121" s="3" t="str">
        <f>HYPERLINK("https://otsuka-europe-crm.veevavault.com/ui/#object/approved_document__v/V5OZ025E82TP0C6", "PSIQUIATRÍA - Guía de Manejo Psicoterapéutico")</f>
        <v>PSIQUIATRÍA - Guía de Manejo Psicoterapéutico</v>
      </c>
      <c r="C18121" s="3" t="str">
        <f>HYPERLINK("https://otsuka-europe-crm.veevavault.com/ui/#object/sent_email__v/VBLZ025E82GWSBP", "SE-000279956")</f>
        <v>SE-000279956</v>
      </c>
      <c r="D18121" s="1" t="s">
        <v>0</v>
      </c>
      <c r="E18121" s="2">
        <v>0</v>
      </c>
      <c r="F18121" s="2">
        <v>0</v>
      </c>
      <c r="G18121" s="2">
        <v>0</v>
      </c>
      <c r="H18121" s="1" t="s">
        <v>0</v>
      </c>
      <c r="I18121" s="2">
        <v>0</v>
      </c>
      <c r="J18121" s="1">
        <v>45930.377083333333</v>
      </c>
    </row>
    <row r="18122" spans="1:10" x14ac:dyDescent="0.2">
      <c r="A18122" s="4" t="s">
        <v>1</v>
      </c>
      <c r="B18122" s="3" t="str">
        <f>HYPERLINK("https://otsuka-europe-crm.veevavault.com/ui/#object/approved_document__v/V5OZ025E82TP0C6", "PSIQUIATRÍA - Guía de Manejo Psicoterapéutico")</f>
        <v>PSIQUIATRÍA - Guía de Manejo Psicoterapéutico</v>
      </c>
      <c r="C18122" s="3" t="str">
        <f>HYPERLINK("https://otsuka-europe-crm.veevavault.com/ui/#object/sent_email__v/VBLZ025E82GWSBQ", "SE-000279957")</f>
        <v>SE-000279957</v>
      </c>
      <c r="D18122" s="1">
        <v>45930.613611111112</v>
      </c>
      <c r="E18122" s="2">
        <v>1</v>
      </c>
      <c r="F18122" s="2">
        <v>3</v>
      </c>
      <c r="G18122" s="2">
        <v>0</v>
      </c>
      <c r="H18122" s="1" t="s">
        <v>0</v>
      </c>
      <c r="I18122" s="2">
        <v>0</v>
      </c>
      <c r="J18122" s="1">
        <v>45930.377002314817</v>
      </c>
    </row>
    <row r="18123" spans="1:10" x14ac:dyDescent="0.2">
      <c r="A18123" s="4" t="s">
        <v>1</v>
      </c>
      <c r="B18123" s="3" t="str">
        <f>HYPERLINK("https://otsuka-europe-crm.veevavault.com/ui/#object/approved_document__v/V5OZ025E82TP0C6", "PSIQUIATRÍA - Guía de Manejo Psicoterapéutico")</f>
        <v>PSIQUIATRÍA - Guía de Manejo Psicoterapéutico</v>
      </c>
      <c r="C18123" s="3" t="str">
        <f>HYPERLINK("https://otsuka-europe-crm.veevavault.com/ui/#object/sent_email__v/VBLZ025E82GWSBR", "SE-000279958")</f>
        <v>SE-000279958</v>
      </c>
      <c r="D18123" s="1" t="s">
        <v>0</v>
      </c>
      <c r="E18123" s="2">
        <v>0</v>
      </c>
      <c r="F18123" s="2">
        <v>0</v>
      </c>
      <c r="G18123" s="2">
        <v>0</v>
      </c>
      <c r="H18123" s="1" t="s">
        <v>0</v>
      </c>
      <c r="I18123" s="2">
        <v>0</v>
      </c>
      <c r="J18123" s="1">
        <v>45930.377175925925</v>
      </c>
    </row>
    <row r="18124" spans="1:10" x14ac:dyDescent="0.2">
      <c r="A18124" s="4" t="s">
        <v>1</v>
      </c>
      <c r="B18124" s="3" t="str">
        <f>HYPERLINK("https://otsuka-europe-crm.veevavault.com/ui/#object/approved_document__v/V5OZ025E82TP0C6", "PSIQUIATRÍA - Guía de Manejo Psicoterapéutico")</f>
        <v>PSIQUIATRÍA - Guía de Manejo Psicoterapéutico</v>
      </c>
      <c r="C18124" s="3" t="str">
        <f>HYPERLINK("https://otsuka-europe-crm.veevavault.com/ui/#object/sent_email__v/VBLZ025E82GWSBS", "SE-000279959")</f>
        <v>SE-000279959</v>
      </c>
      <c r="D18124" s="1">
        <v>45931.393900462965</v>
      </c>
      <c r="E18124" s="2">
        <v>1</v>
      </c>
      <c r="F18124" s="2">
        <v>3</v>
      </c>
      <c r="G18124" s="2">
        <v>0</v>
      </c>
      <c r="H18124" s="1" t="s">
        <v>0</v>
      </c>
      <c r="I18124" s="2">
        <v>0</v>
      </c>
      <c r="J18124" s="1">
        <v>45930.377187500002</v>
      </c>
    </row>
    <row r="18125" spans="1:10" x14ac:dyDescent="0.2">
      <c r="A18125" s="4" t="s">
        <v>1</v>
      </c>
      <c r="B18125" s="3" t="str">
        <f>HYPERLINK("https://otsuka-europe-crm.veevavault.com/ui/#object/approved_document__v/V5OZ025E82TP0C6", "PSIQUIATRÍA - Guía de Manejo Psicoterapéutico")</f>
        <v>PSIQUIATRÍA - Guía de Manejo Psicoterapéutico</v>
      </c>
      <c r="C18125" s="3" t="str">
        <f>HYPERLINK("https://otsuka-europe-crm.veevavault.com/ui/#object/sent_email__v/VBLZ025E82GWSBT", "SE-000279960")</f>
        <v>SE-000279960</v>
      </c>
      <c r="D18125" s="1" t="s">
        <v>0</v>
      </c>
      <c r="E18125" s="2">
        <v>0</v>
      </c>
      <c r="F18125" s="2">
        <v>0</v>
      </c>
      <c r="G18125" s="2">
        <v>0</v>
      </c>
      <c r="H18125" s="1" t="s">
        <v>0</v>
      </c>
      <c r="I18125" s="2">
        <v>0</v>
      </c>
      <c r="J18125" s="1">
        <v>45930.377175925925</v>
      </c>
    </row>
    <row r="18126" spans="1:10" x14ac:dyDescent="0.2">
      <c r="A18126" s="4" t="s">
        <v>1</v>
      </c>
      <c r="B18126" s="3" t="str">
        <f>HYPERLINK("https://otsuka-europe-crm.veevavault.com/ui/#object/approved_document__v/V5OZ025E82TP0C6", "PSIQUIATRÍA - Guía de Manejo Psicoterapéutico")</f>
        <v>PSIQUIATRÍA - Guía de Manejo Psicoterapéutico</v>
      </c>
      <c r="C18126" s="3" t="str">
        <f>HYPERLINK("https://otsuka-europe-crm.veevavault.com/ui/#object/sent_email__v/VBLZ025E82GWSBU", "SE-000279961")</f>
        <v>SE-000279961</v>
      </c>
      <c r="D18126" s="1" t="s">
        <v>0</v>
      </c>
      <c r="E18126" s="2">
        <v>0</v>
      </c>
      <c r="F18126" s="2">
        <v>0</v>
      </c>
      <c r="G18126" s="2">
        <v>0</v>
      </c>
      <c r="H18126" s="1" t="s">
        <v>0</v>
      </c>
      <c r="I18126" s="2">
        <v>0</v>
      </c>
      <c r="J18126" s="1">
        <v>45930.377106481479</v>
      </c>
    </row>
    <row r="18127" spans="1:10" x14ac:dyDescent="0.2">
      <c r="A18127" s="4" t="s">
        <v>1</v>
      </c>
      <c r="B18127" s="3" t="str">
        <f>HYPERLINK("https://otsuka-europe-crm.veevavault.com/ui/#object/approved_document__v/V5OZ025E82TP0C6", "PSIQUIATRÍA - Guía de Manejo Psicoterapéutico")</f>
        <v>PSIQUIATRÍA - Guía de Manejo Psicoterapéutico</v>
      </c>
      <c r="C18127" s="3" t="str">
        <f>HYPERLINK("https://otsuka-europe-crm.veevavault.com/ui/#object/sent_email__v/VBLZ025E82GWSBV", "SE-000279962")</f>
        <v>SE-000279962</v>
      </c>
      <c r="D18127" s="1" t="s">
        <v>0</v>
      </c>
      <c r="E18127" s="2">
        <v>0</v>
      </c>
      <c r="F18127" s="2">
        <v>0</v>
      </c>
      <c r="G18127" s="2">
        <v>0</v>
      </c>
      <c r="H18127" s="1" t="s">
        <v>0</v>
      </c>
      <c r="I18127" s="2">
        <v>0</v>
      </c>
      <c r="J18127" s="1">
        <v>45930.377152777779</v>
      </c>
    </row>
    <row r="18128" spans="1:10" x14ac:dyDescent="0.2">
      <c r="A18128" s="4" t="s">
        <v>1</v>
      </c>
      <c r="B18128" s="3" t="str">
        <f>HYPERLINK("https://otsuka-europe-crm.veevavault.com/ui/#object/approved_document__v/V5OZ025E82TP0C6", "PSIQUIATRÍA - Guía de Manejo Psicoterapéutico")</f>
        <v>PSIQUIATRÍA - Guía de Manejo Psicoterapéutico</v>
      </c>
      <c r="C18128" s="3" t="str">
        <f>HYPERLINK("https://otsuka-europe-crm.veevavault.com/ui/#object/sent_email__v/VBLZ025E82GWSBW", "SE-000279963")</f>
        <v>SE-000279963</v>
      </c>
      <c r="D18128" s="1" t="s">
        <v>0</v>
      </c>
      <c r="E18128" s="2">
        <v>0</v>
      </c>
      <c r="F18128" s="2">
        <v>0</v>
      </c>
      <c r="G18128" s="2">
        <v>0</v>
      </c>
      <c r="H18128" s="1" t="s">
        <v>0</v>
      </c>
      <c r="I18128" s="2">
        <v>0</v>
      </c>
      <c r="J18128" s="1">
        <v>45930.377326388887</v>
      </c>
    </row>
    <row r="18129" spans="1:10" x14ac:dyDescent="0.2">
      <c r="A18129" s="4" t="s">
        <v>1</v>
      </c>
      <c r="B18129" s="3" t="str">
        <f>HYPERLINK("https://otsuka-europe-crm.veevavault.com/ui/#object/approved_document__v/V5OZ025E82TP0C6", "PSIQUIATRÍA - Guía de Manejo Psicoterapéutico")</f>
        <v>PSIQUIATRÍA - Guía de Manejo Psicoterapéutico</v>
      </c>
      <c r="C18129" s="3" t="str">
        <f>HYPERLINK("https://otsuka-europe-crm.veevavault.com/ui/#object/sent_email__v/VBLZ025E82GWSBX", "SE-000279964")</f>
        <v>SE-000279964</v>
      </c>
      <c r="D18129" s="1" t="s">
        <v>0</v>
      </c>
      <c r="E18129" s="2">
        <v>0</v>
      </c>
      <c r="F18129" s="2">
        <v>0</v>
      </c>
      <c r="G18129" s="2">
        <v>0</v>
      </c>
      <c r="H18129" s="1" t="s">
        <v>0</v>
      </c>
      <c r="I18129" s="2">
        <v>0</v>
      </c>
      <c r="J18129" s="1">
        <v>45930.377199074072</v>
      </c>
    </row>
    <row r="18130" spans="1:10" x14ac:dyDescent="0.2">
      <c r="A18130" s="4" t="s">
        <v>1</v>
      </c>
      <c r="B18130" s="3" t="str">
        <f>HYPERLINK("https://otsuka-europe-crm.veevavault.com/ui/#object/approved_document__v/V5OZ025E82TP0C6", "PSIQUIATRÍA - Guía de Manejo Psicoterapéutico")</f>
        <v>PSIQUIATRÍA - Guía de Manejo Psicoterapéutico</v>
      </c>
      <c r="C18130" s="3" t="str">
        <f>HYPERLINK("https://otsuka-europe-crm.veevavault.com/ui/#object/sent_email__v/VBLZ025E82GWSBY", "SE-000279965")</f>
        <v>SE-000279965</v>
      </c>
      <c r="D18130" s="1" t="s">
        <v>0</v>
      </c>
      <c r="E18130" s="2">
        <v>0</v>
      </c>
      <c r="F18130" s="2">
        <v>0</v>
      </c>
      <c r="G18130" s="2">
        <v>0</v>
      </c>
      <c r="H18130" s="1" t="s">
        <v>0</v>
      </c>
      <c r="I18130" s="2">
        <v>0</v>
      </c>
      <c r="J18130" s="1">
        <v>45930.377106481479</v>
      </c>
    </row>
    <row r="18131" spans="1:10" x14ac:dyDescent="0.2">
      <c r="A18131" s="4" t="s">
        <v>1</v>
      </c>
      <c r="B18131" s="3" t="str">
        <f>HYPERLINK("https://otsuka-europe-crm.veevavault.com/ui/#object/approved_document__v/V5OZ025E82TP0C6", "PSIQUIATRÍA - Guía de Manejo Psicoterapéutico")</f>
        <v>PSIQUIATRÍA - Guía de Manejo Psicoterapéutico</v>
      </c>
      <c r="C18131" s="3" t="str">
        <f>HYPERLINK("https://otsuka-europe-crm.veevavault.com/ui/#object/sent_email__v/VBLZ025E82GWSBZ", "SE-000279966")</f>
        <v>SE-000279966</v>
      </c>
      <c r="D18131" s="1">
        <v>45944.953692129631</v>
      </c>
      <c r="E18131" s="2">
        <v>1</v>
      </c>
      <c r="F18131" s="2">
        <v>8</v>
      </c>
      <c r="G18131" s="2">
        <v>1</v>
      </c>
      <c r="H18131" s="1">
        <v>45934.683530092596</v>
      </c>
      <c r="I18131" s="2">
        <v>7</v>
      </c>
      <c r="J18131" s="1">
        <v>45930.377071759256</v>
      </c>
    </row>
    <row r="18132" spans="1:10" x14ac:dyDescent="0.2">
      <c r="A18132" s="4" t="s">
        <v>1</v>
      </c>
      <c r="B18132" s="3" t="str">
        <f>HYPERLINK("https://otsuka-europe-crm.veevavault.com/ui/#object/approved_document__v/V5OZ025E82TP0C6", "PSIQUIATRÍA - Guía de Manejo Psicoterapéutico")</f>
        <v>PSIQUIATRÍA - Guía de Manejo Psicoterapéutico</v>
      </c>
      <c r="C18132" s="3" t="str">
        <f>HYPERLINK("https://otsuka-europe-crm.veevavault.com/ui/#object/sent_email__v/VBLZ025E82GWSC0", "SE-000279967")</f>
        <v>SE-000279967</v>
      </c>
      <c r="D18132" s="1" t="s">
        <v>0</v>
      </c>
      <c r="E18132" s="2">
        <v>0</v>
      </c>
      <c r="F18132" s="2">
        <v>0</v>
      </c>
      <c r="G18132" s="2">
        <v>0</v>
      </c>
      <c r="H18132" s="1" t="s">
        <v>0</v>
      </c>
      <c r="I18132" s="2">
        <v>0</v>
      </c>
      <c r="J18132" s="1">
        <v>45930.377129629633</v>
      </c>
    </row>
    <row r="18133" spans="1:10" x14ac:dyDescent="0.2">
      <c r="A18133" s="4" t="s">
        <v>1</v>
      </c>
      <c r="B18133" s="3" t="str">
        <f>HYPERLINK("https://otsuka-europe-crm.veevavault.com/ui/#object/approved_document__v/V5OZ025E82TP0C6", "PSIQUIATRÍA - Guía de Manejo Psicoterapéutico")</f>
        <v>PSIQUIATRÍA - Guía de Manejo Psicoterapéutico</v>
      </c>
      <c r="C18133" s="3" t="str">
        <f>HYPERLINK("https://otsuka-europe-crm.veevavault.com/ui/#object/sent_email__v/VBLZ025E82GWSCX", "SE-000279968")</f>
        <v>SE-000279968</v>
      </c>
      <c r="D18133" s="1">
        <v>45930.423622685186</v>
      </c>
      <c r="E18133" s="2">
        <v>1</v>
      </c>
      <c r="F18133" s="2">
        <v>1</v>
      </c>
      <c r="G18133" s="2">
        <v>0</v>
      </c>
      <c r="H18133" s="1" t="s">
        <v>0</v>
      </c>
      <c r="I18133" s="2">
        <v>0</v>
      </c>
      <c r="J18133" s="1">
        <v>45930.377326388887</v>
      </c>
    </row>
    <row r="18134" spans="1:10" x14ac:dyDescent="0.2">
      <c r="A18134" s="4" t="s">
        <v>1</v>
      </c>
      <c r="B18134" s="3" t="str">
        <f>HYPERLINK("https://otsuka-europe-crm.veevavault.com/ui/#object/approved_document__v/V5OZ025E82TP0C6", "PSIQUIATRÍA - Guía de Manejo Psicoterapéutico")</f>
        <v>PSIQUIATRÍA - Guía de Manejo Psicoterapéutico</v>
      </c>
      <c r="C18134" s="3" t="str">
        <f>HYPERLINK("https://otsuka-europe-crm.veevavault.com/ui/#object/sent_email__v/VBLZ025E82GWSCY", "SE-000279969")</f>
        <v>SE-000279969</v>
      </c>
      <c r="D18134" s="1" t="s">
        <v>0</v>
      </c>
      <c r="E18134" s="2">
        <v>0</v>
      </c>
      <c r="F18134" s="2">
        <v>0</v>
      </c>
      <c r="G18134" s="2">
        <v>0</v>
      </c>
      <c r="H18134" s="1" t="s">
        <v>0</v>
      </c>
      <c r="I18134" s="2">
        <v>0</v>
      </c>
      <c r="J18134" s="1">
        <v>45930.377106481479</v>
      </c>
    </row>
    <row r="18135" spans="1:10" x14ac:dyDescent="0.2">
      <c r="A18135" s="4" t="s">
        <v>1</v>
      </c>
      <c r="B18135" s="3" t="str">
        <f>HYPERLINK("https://otsuka-europe-crm.veevavault.com/ui/#object/approved_document__v/V5OZ025E82TP0C6", "PSIQUIATRÍA - Guía de Manejo Psicoterapéutico")</f>
        <v>PSIQUIATRÍA - Guía de Manejo Psicoterapéutico</v>
      </c>
      <c r="C18135" s="3" t="str">
        <f>HYPERLINK("https://otsuka-europe-crm.veevavault.com/ui/#object/sent_email__v/VBLZ025E82GWSCZ", "SE-000279970")</f>
        <v>SE-000279970</v>
      </c>
      <c r="D18135" s="1" t="s">
        <v>0</v>
      </c>
      <c r="E18135" s="2">
        <v>0</v>
      </c>
      <c r="F18135" s="2">
        <v>0</v>
      </c>
      <c r="G18135" s="2">
        <v>0</v>
      </c>
      <c r="H18135" s="1" t="s">
        <v>0</v>
      </c>
      <c r="I18135" s="2">
        <v>0</v>
      </c>
      <c r="J18135" s="1">
        <v>45930.377129629633</v>
      </c>
    </row>
    <row r="18136" spans="1:10" x14ac:dyDescent="0.2">
      <c r="A18136" s="4" t="s">
        <v>1</v>
      </c>
      <c r="B18136" s="3" t="str">
        <f>HYPERLINK("https://otsuka-europe-crm.veevavault.com/ui/#object/approved_document__v/V5OZ025E82TP0C6", "PSIQUIATRÍA - Guía de Manejo Psicoterapéutico")</f>
        <v>PSIQUIATRÍA - Guía de Manejo Psicoterapéutico</v>
      </c>
      <c r="C18136" s="3" t="str">
        <f>HYPERLINK("https://otsuka-europe-crm.veevavault.com/ui/#object/sent_email__v/VBLZ025E82GWSD0", "SE-000279971")</f>
        <v>SE-000279971</v>
      </c>
      <c r="D18136" s="1">
        <v>45930.46466435185</v>
      </c>
      <c r="E18136" s="2">
        <v>1</v>
      </c>
      <c r="F18136" s="2">
        <v>1</v>
      </c>
      <c r="G18136" s="2">
        <v>1</v>
      </c>
      <c r="H18136" s="1">
        <v>45930.467187499999</v>
      </c>
      <c r="I18136" s="2">
        <v>4</v>
      </c>
      <c r="J18136" s="1">
        <v>45930.377083333333</v>
      </c>
    </row>
    <row r="18137" spans="1:10" x14ac:dyDescent="0.2">
      <c r="A18137" s="4" t="s">
        <v>1</v>
      </c>
      <c r="B18137" s="3" t="str">
        <f>HYPERLINK("https://otsuka-europe-crm.veevavault.com/ui/#object/approved_document__v/V5OZ025E82TP0C6", "PSIQUIATRÍA - Guía de Manejo Psicoterapéutico")</f>
        <v>PSIQUIATRÍA - Guía de Manejo Psicoterapéutico</v>
      </c>
      <c r="C18137" s="3" t="str">
        <f>HYPERLINK("https://otsuka-europe-crm.veevavault.com/ui/#object/sent_email__v/VBLZ025E82GWSD1", "SE-000279972")</f>
        <v>SE-000279972</v>
      </c>
      <c r="D18137" s="1">
        <v>45930.706145833334</v>
      </c>
      <c r="E18137" s="2">
        <v>1</v>
      </c>
      <c r="F18137" s="2">
        <v>1</v>
      </c>
      <c r="G18137" s="2">
        <v>1</v>
      </c>
      <c r="H18137" s="1">
        <v>45930.706145833334</v>
      </c>
      <c r="I18137" s="2">
        <v>1</v>
      </c>
      <c r="J18137" s="1">
        <v>45930.377175925925</v>
      </c>
    </row>
    <row r="18138" spans="1:10" x14ac:dyDescent="0.2">
      <c r="A18138" s="4" t="s">
        <v>1</v>
      </c>
      <c r="B18138" s="3" t="str">
        <f>HYPERLINK("https://otsuka-europe-crm.veevavault.com/ui/#object/approved_document__v/V5OZ025E82TP0C6", "PSIQUIATRÍA - Guía de Manejo Psicoterapéutico")</f>
        <v>PSIQUIATRÍA - Guía de Manejo Psicoterapéutico</v>
      </c>
      <c r="C18138" s="3" t="str">
        <f>HYPERLINK("https://otsuka-europe-crm.veevavault.com/ui/#object/sent_email__v/VBLZ025E82GWSD2", "SE-000279973")</f>
        <v>SE-000279973</v>
      </c>
      <c r="D18138" s="1">
        <v>45930.449629629627</v>
      </c>
      <c r="E18138" s="2">
        <v>1</v>
      </c>
      <c r="F18138" s="2">
        <v>2</v>
      </c>
      <c r="G18138" s="2">
        <v>0</v>
      </c>
      <c r="H18138" s="1" t="s">
        <v>0</v>
      </c>
      <c r="I18138" s="2">
        <v>0</v>
      </c>
      <c r="J18138" s="1">
        <v>45930.377071759256</v>
      </c>
    </row>
    <row r="18139" spans="1:10" x14ac:dyDescent="0.2">
      <c r="A18139" s="4" t="s">
        <v>1</v>
      </c>
      <c r="B18139" s="3" t="str">
        <f>HYPERLINK("https://otsuka-europe-crm.veevavault.com/ui/#object/approved_document__v/V5OZ025E82TP0C6", "PSIQUIATRÍA - Guía de Manejo Psicoterapéutico")</f>
        <v>PSIQUIATRÍA - Guía de Manejo Psicoterapéutico</v>
      </c>
      <c r="C18139" s="3" t="str">
        <f>HYPERLINK("https://otsuka-europe-crm.veevavault.com/ui/#object/sent_email__v/VBLZ025E82GWSD3", "SE-000279974")</f>
        <v>SE-000279974</v>
      </c>
      <c r="D18139" s="1">
        <v>46076.552094907405</v>
      </c>
      <c r="E18139" s="2">
        <v>1</v>
      </c>
      <c r="F18139" s="2">
        <v>7</v>
      </c>
      <c r="G18139" s="2">
        <v>1</v>
      </c>
      <c r="H18139" s="1">
        <v>45938.442777777775</v>
      </c>
      <c r="I18139" s="2">
        <v>2</v>
      </c>
      <c r="J18139" s="1">
        <v>45930.377233796295</v>
      </c>
    </row>
    <row r="18140" spans="1:10" x14ac:dyDescent="0.2">
      <c r="A18140" s="4" t="s">
        <v>1</v>
      </c>
      <c r="B18140" s="3" t="str">
        <f>HYPERLINK("https://otsuka-europe-crm.veevavault.com/ui/#object/approved_document__v/V5OZ025E82TP0C6", "PSIQUIATRÍA - Guía de Manejo Psicoterapéutico")</f>
        <v>PSIQUIATRÍA - Guía de Manejo Psicoterapéutico</v>
      </c>
      <c r="C18140" s="3" t="str">
        <f>HYPERLINK("https://otsuka-europe-crm.veevavault.com/ui/#object/sent_email__v/VBLZ025E82GWSD4", "SE-000279975")</f>
        <v>SE-000279975</v>
      </c>
      <c r="D18140" s="1" t="s">
        <v>0</v>
      </c>
      <c r="E18140" s="2">
        <v>0</v>
      </c>
      <c r="F18140" s="2">
        <v>0</v>
      </c>
      <c r="G18140" s="2">
        <v>0</v>
      </c>
      <c r="H18140" s="1" t="s">
        <v>0</v>
      </c>
      <c r="I18140" s="2">
        <v>0</v>
      </c>
      <c r="J18140" s="1">
        <v>45930.377083333333</v>
      </c>
    </row>
    <row r="18141" spans="1:10" x14ac:dyDescent="0.2">
      <c r="A18141" s="4" t="s">
        <v>1</v>
      </c>
      <c r="B18141" s="3" t="str">
        <f>HYPERLINK("https://otsuka-europe-crm.veevavault.com/ui/#object/approved_document__v/V5OZ025E82TP0C6", "PSIQUIATRÍA - Guía de Manejo Psicoterapéutico")</f>
        <v>PSIQUIATRÍA - Guía de Manejo Psicoterapéutico</v>
      </c>
      <c r="C18141" s="3" t="str">
        <f>HYPERLINK("https://otsuka-europe-crm.veevavault.com/ui/#object/sent_email__v/VBLZ025E82GWSD5", "SE-000279976")</f>
        <v>SE-000279976</v>
      </c>
      <c r="D18141" s="1">
        <v>45930.384502314817</v>
      </c>
      <c r="E18141" s="2">
        <v>1</v>
      </c>
      <c r="F18141" s="2">
        <v>1</v>
      </c>
      <c r="G18141" s="2">
        <v>1</v>
      </c>
      <c r="H18141" s="1">
        <v>45930.384583333333</v>
      </c>
      <c r="I18141" s="2">
        <v>1</v>
      </c>
      <c r="J18141" s="1">
        <v>45930.377129629633</v>
      </c>
    </row>
    <row r="18142" spans="1:10" x14ac:dyDescent="0.2">
      <c r="A18142" s="4" t="s">
        <v>1</v>
      </c>
      <c r="B18142" s="3" t="str">
        <f>HYPERLINK("https://otsuka-europe-crm.veevavault.com/ui/#object/approved_document__v/V5OZ025E82TP0C6", "PSIQUIATRÍA - Guía de Manejo Psicoterapéutico")</f>
        <v>PSIQUIATRÍA - Guía de Manejo Psicoterapéutico</v>
      </c>
      <c r="C18142" s="3" t="str">
        <f>HYPERLINK("https://otsuka-europe-crm.veevavault.com/ui/#object/sent_email__v/VBLZ025E82GWSD6", "SE-000279977")</f>
        <v>SE-000279977</v>
      </c>
      <c r="D18142" s="1">
        <v>45936.390648148146</v>
      </c>
      <c r="E18142" s="2">
        <v>1</v>
      </c>
      <c r="F18142" s="2">
        <v>1</v>
      </c>
      <c r="G18142" s="2">
        <v>1</v>
      </c>
      <c r="H18142" s="1">
        <v>45936.390752314815</v>
      </c>
      <c r="I18142" s="2">
        <v>1</v>
      </c>
      <c r="J18142" s="1">
        <v>45930.377083333333</v>
      </c>
    </row>
    <row r="18143" spans="1:10" x14ac:dyDescent="0.2">
      <c r="A18143" s="4" t="s">
        <v>1</v>
      </c>
      <c r="B18143" s="3" t="str">
        <f>HYPERLINK("https://otsuka-europe-crm.veevavault.com/ui/#object/approved_document__v/V5OZ025E82TP0C6", "PSIQUIATRÍA - Guía de Manejo Psicoterapéutico")</f>
        <v>PSIQUIATRÍA - Guía de Manejo Psicoterapéutico</v>
      </c>
      <c r="C18143" s="3" t="str">
        <f>HYPERLINK("https://otsuka-europe-crm.veevavault.com/ui/#object/sent_email__v/VBLZ025E82GWSD7", "SE-000279978")</f>
        <v>SE-000279978</v>
      </c>
      <c r="D18143" s="1" t="s">
        <v>0</v>
      </c>
      <c r="E18143" s="2">
        <v>0</v>
      </c>
      <c r="F18143" s="2">
        <v>0</v>
      </c>
      <c r="G18143" s="2">
        <v>0</v>
      </c>
      <c r="H18143" s="1" t="s">
        <v>0</v>
      </c>
      <c r="I18143" s="2">
        <v>0</v>
      </c>
      <c r="J18143" s="1">
        <v>45930.377141203702</v>
      </c>
    </row>
    <row r="18144" spans="1:10" x14ac:dyDescent="0.2">
      <c r="A18144" s="4" t="s">
        <v>1</v>
      </c>
      <c r="B18144" s="3" t="str">
        <f>HYPERLINK("https://otsuka-europe-crm.veevavault.com/ui/#object/approved_document__v/V5OZ025E82TP0C6", "PSIQUIATRÍA - Guía de Manejo Psicoterapéutico")</f>
        <v>PSIQUIATRÍA - Guía de Manejo Psicoterapéutico</v>
      </c>
      <c r="C18144" s="3" t="str">
        <f>HYPERLINK("https://otsuka-europe-crm.veevavault.com/ui/#object/sent_email__v/VBLZ025E82GWSD8", "SE-000279979")</f>
        <v>SE-000279979</v>
      </c>
      <c r="D18144" s="1" t="s">
        <v>0</v>
      </c>
      <c r="E18144" s="2">
        <v>0</v>
      </c>
      <c r="F18144" s="2">
        <v>0</v>
      </c>
      <c r="G18144" s="2">
        <v>0</v>
      </c>
      <c r="H18144" s="1" t="s">
        <v>0</v>
      </c>
      <c r="I18144" s="2">
        <v>0</v>
      </c>
      <c r="J18144" s="1">
        <v>45930.377256944441</v>
      </c>
    </row>
    <row r="18145" spans="1:10" x14ac:dyDescent="0.2">
      <c r="A18145" s="4" t="s">
        <v>1</v>
      </c>
      <c r="B18145" s="3" t="str">
        <f>HYPERLINK("https://otsuka-europe-crm.veevavault.com/ui/#object/approved_document__v/V5OZ025E82TP0C6", "PSIQUIATRÍA - Guía de Manejo Psicoterapéutico")</f>
        <v>PSIQUIATRÍA - Guía de Manejo Psicoterapéutico</v>
      </c>
      <c r="C18145" s="3" t="str">
        <f>HYPERLINK("https://otsuka-europe-crm.veevavault.com/ui/#object/sent_email__v/VBLZ025E82GWSD9", "SE-000279980")</f>
        <v>SE-000279980</v>
      </c>
      <c r="D18145" s="1">
        <v>45930.407384259262</v>
      </c>
      <c r="E18145" s="2">
        <v>1</v>
      </c>
      <c r="F18145" s="2">
        <v>1</v>
      </c>
      <c r="G18145" s="2">
        <v>0</v>
      </c>
      <c r="H18145" s="1" t="s">
        <v>0</v>
      </c>
      <c r="I18145" s="2">
        <v>0</v>
      </c>
      <c r="J18145" s="1">
        <v>45930.377175925925</v>
      </c>
    </row>
    <row r="18146" spans="1:10" x14ac:dyDescent="0.2">
      <c r="A18146" s="4" t="s">
        <v>1</v>
      </c>
      <c r="B18146" s="3" t="str">
        <f>HYPERLINK("https://otsuka-europe-crm.veevavault.com/ui/#object/approved_document__v/V5OZ025E82TP0C6", "PSIQUIATRÍA - Guía de Manejo Psicoterapéutico")</f>
        <v>PSIQUIATRÍA - Guía de Manejo Psicoterapéutico</v>
      </c>
      <c r="C18146" s="3" t="str">
        <f>HYPERLINK("https://otsuka-europe-crm.veevavault.com/ui/#object/sent_email__v/VBLZ025E82GWSDA", "SE-000279981")</f>
        <v>SE-000279981</v>
      </c>
      <c r="D18146" s="1">
        <v>45959.393321759257</v>
      </c>
      <c r="E18146" s="2">
        <v>1</v>
      </c>
      <c r="F18146" s="2">
        <v>2</v>
      </c>
      <c r="G18146" s="2">
        <v>0</v>
      </c>
      <c r="H18146" s="1" t="s">
        <v>0</v>
      </c>
      <c r="I18146" s="2">
        <v>0</v>
      </c>
      <c r="J18146" s="1">
        <v>45930.377071759256</v>
      </c>
    </row>
    <row r="18147" spans="1:10" x14ac:dyDescent="0.2">
      <c r="A18147" s="4" t="s">
        <v>1</v>
      </c>
      <c r="B18147" s="3" t="str">
        <f>HYPERLINK("https://otsuka-europe-crm.veevavault.com/ui/#object/approved_document__v/V5OZ025E82TP0C6", "PSIQUIATRÍA - Guía de Manejo Psicoterapéutico")</f>
        <v>PSIQUIATRÍA - Guía de Manejo Psicoterapéutico</v>
      </c>
      <c r="C18147" s="3" t="str">
        <f>HYPERLINK("https://otsuka-europe-crm.veevavault.com/ui/#object/sent_email__v/VBLZ025E82GWSDB", "SE-000279982")</f>
        <v>SE-000279982</v>
      </c>
      <c r="D18147" s="1" t="s">
        <v>0</v>
      </c>
      <c r="E18147" s="2">
        <v>0</v>
      </c>
      <c r="F18147" s="2">
        <v>0</v>
      </c>
      <c r="G18147" s="2">
        <v>0</v>
      </c>
      <c r="H18147" s="1" t="s">
        <v>0</v>
      </c>
      <c r="I18147" s="2">
        <v>0</v>
      </c>
      <c r="J18147" s="1">
        <v>45930.37703703704</v>
      </c>
    </row>
    <row r="18148" spans="1:10" x14ac:dyDescent="0.2">
      <c r="A18148" s="4" t="s">
        <v>1</v>
      </c>
      <c r="B18148" s="3" t="str">
        <f>HYPERLINK("https://otsuka-europe-crm.veevavault.com/ui/#object/approved_document__v/V5OZ025E82TP0C6", "PSIQUIATRÍA - Guía de Manejo Psicoterapéutico")</f>
        <v>PSIQUIATRÍA - Guía de Manejo Psicoterapéutico</v>
      </c>
      <c r="C18148" s="3" t="str">
        <f>HYPERLINK("https://otsuka-europe-crm.veevavault.com/ui/#object/sent_email__v/VBLZ025E82GWSDC", "SE-000279983")</f>
        <v>SE-000279983</v>
      </c>
      <c r="D18148" s="1">
        <v>45941.426296296297</v>
      </c>
      <c r="E18148" s="2">
        <v>1</v>
      </c>
      <c r="F18148" s="2">
        <v>1</v>
      </c>
      <c r="G18148" s="2">
        <v>0</v>
      </c>
      <c r="H18148" s="1" t="s">
        <v>0</v>
      </c>
      <c r="I18148" s="2">
        <v>0</v>
      </c>
      <c r="J18148" s="1">
        <v>45930.377083333333</v>
      </c>
    </row>
    <row r="18149" spans="1:10" x14ac:dyDescent="0.2">
      <c r="A18149" s="4" t="s">
        <v>1</v>
      </c>
      <c r="B18149" s="3" t="str">
        <f>HYPERLINK("https://otsuka-europe-crm.veevavault.com/ui/#object/approved_document__v/V5OZ025E82TP0C6", "PSIQUIATRÍA - Guía de Manejo Psicoterapéutico")</f>
        <v>PSIQUIATRÍA - Guía de Manejo Psicoterapéutico</v>
      </c>
      <c r="C18149" s="3" t="str">
        <f>HYPERLINK("https://otsuka-europe-crm.veevavault.com/ui/#object/sent_email__v/VBLZ025E82GWSDD", "SE-000279984")</f>
        <v>SE-000279984</v>
      </c>
      <c r="D18149" s="1">
        <v>45930.571574074071</v>
      </c>
      <c r="E18149" s="2">
        <v>1</v>
      </c>
      <c r="F18149" s="2">
        <v>1</v>
      </c>
      <c r="G18149" s="2">
        <v>1</v>
      </c>
      <c r="H18149" s="1">
        <v>45930.572326388887</v>
      </c>
      <c r="I18149" s="2">
        <v>1</v>
      </c>
      <c r="J18149" s="1">
        <v>45930.377129629633</v>
      </c>
    </row>
    <row r="18150" spans="1:10" x14ac:dyDescent="0.2">
      <c r="A18150" s="4" t="s">
        <v>1</v>
      </c>
      <c r="B18150" s="3" t="str">
        <f>HYPERLINK("https://otsuka-europe-crm.veevavault.com/ui/#object/approved_document__v/V5OZ025E82TP0C6", "PSIQUIATRÍA - Guía de Manejo Psicoterapéutico")</f>
        <v>PSIQUIATRÍA - Guía de Manejo Psicoterapéutico</v>
      </c>
      <c r="C18150" s="3" t="str">
        <f>HYPERLINK("https://otsuka-europe-crm.veevavault.com/ui/#object/sent_email__v/VBLZ025E82GWSDE", "SE-000279985")</f>
        <v>SE-000279985</v>
      </c>
      <c r="D18150" s="1" t="s">
        <v>0</v>
      </c>
      <c r="E18150" s="2">
        <v>0</v>
      </c>
      <c r="F18150" s="2">
        <v>0</v>
      </c>
      <c r="G18150" s="2">
        <v>0</v>
      </c>
      <c r="H18150" s="1" t="s">
        <v>0</v>
      </c>
      <c r="I18150" s="2">
        <v>0</v>
      </c>
      <c r="J18150" s="1">
        <v>45930.377210648148</v>
      </c>
    </row>
    <row r="18151" spans="1:10" x14ac:dyDescent="0.2">
      <c r="A18151" s="4" t="s">
        <v>1</v>
      </c>
      <c r="B18151" s="3" t="str">
        <f>HYPERLINK("https://otsuka-europe-crm.veevavault.com/ui/#object/approved_document__v/V5OZ025E82TP0C6", "PSIQUIATRÍA - Guía de Manejo Psicoterapéutico")</f>
        <v>PSIQUIATRÍA - Guía de Manejo Psicoterapéutico</v>
      </c>
      <c r="C18151" s="3" t="str">
        <f>HYPERLINK("https://otsuka-europe-crm.veevavault.com/ui/#object/sent_email__v/VBLZ025E82GWSDF", "SE-000279986")</f>
        <v>SE-000279986</v>
      </c>
      <c r="D18151" s="1">
        <v>45930.585532407407</v>
      </c>
      <c r="E18151" s="2">
        <v>1</v>
      </c>
      <c r="F18151" s="2">
        <v>3</v>
      </c>
      <c r="G18151" s="2">
        <v>1</v>
      </c>
      <c r="H18151" s="1">
        <v>45930.414687500001</v>
      </c>
      <c r="I18151" s="2">
        <v>1</v>
      </c>
      <c r="J18151" s="1">
        <v>45930.37704861111</v>
      </c>
    </row>
    <row r="18152" spans="1:10" x14ac:dyDescent="0.2">
      <c r="A18152" s="4" t="s">
        <v>1</v>
      </c>
      <c r="B18152" s="3" t="str">
        <f>HYPERLINK("https://otsuka-europe-crm.veevavault.com/ui/#object/approved_document__v/V5OZ025E82TP0C6", "PSIQUIATRÍA - Guía de Manejo Psicoterapéutico")</f>
        <v>PSIQUIATRÍA - Guía de Manejo Psicoterapéutico</v>
      </c>
      <c r="C18152" s="3" t="str">
        <f>HYPERLINK("https://otsuka-europe-crm.veevavault.com/ui/#object/sent_email__v/VBLZ025E82GWSDG", "SE-000279987")</f>
        <v>SE-000279987</v>
      </c>
      <c r="D18152" s="1">
        <v>45949.968900462962</v>
      </c>
      <c r="E18152" s="2">
        <v>1</v>
      </c>
      <c r="F18152" s="2">
        <v>2</v>
      </c>
      <c r="G18152" s="2">
        <v>1</v>
      </c>
      <c r="H18152" s="1">
        <v>45931.564108796294</v>
      </c>
      <c r="I18152" s="2">
        <v>2</v>
      </c>
      <c r="J18152" s="1">
        <v>45930.377071759256</v>
      </c>
    </row>
    <row r="18153" spans="1:10" x14ac:dyDescent="0.2">
      <c r="A18153" s="4" t="s">
        <v>1</v>
      </c>
      <c r="B18153" s="3" t="str">
        <f>HYPERLINK("https://otsuka-europe-crm.veevavault.com/ui/#object/approved_document__v/V5OZ025E82TP0C6", "PSIQUIATRÍA - Guía de Manejo Psicoterapéutico")</f>
        <v>PSIQUIATRÍA - Guía de Manejo Psicoterapéutico</v>
      </c>
      <c r="C18153" s="3" t="str">
        <f>HYPERLINK("https://otsuka-europe-crm.veevavault.com/ui/#object/sent_email__v/VBLZ025E82GWSDH", "SE-000279988")</f>
        <v>SE-000279988</v>
      </c>
      <c r="D18153" s="1" t="s">
        <v>0</v>
      </c>
      <c r="E18153" s="2">
        <v>0</v>
      </c>
      <c r="F18153" s="2">
        <v>0</v>
      </c>
      <c r="G18153" s="2">
        <v>0</v>
      </c>
      <c r="H18153" s="1" t="s">
        <v>0</v>
      </c>
      <c r="I18153" s="2">
        <v>0</v>
      </c>
      <c r="J18153" s="1">
        <v>45930.37703703704</v>
      </c>
    </row>
    <row r="18154" spans="1:10" x14ac:dyDescent="0.2">
      <c r="A18154" s="4" t="s">
        <v>1</v>
      </c>
      <c r="B18154" s="3" t="str">
        <f>HYPERLINK("https://otsuka-europe-crm.veevavault.com/ui/#object/approved_document__v/V5OZ025E82TP0C6", "PSIQUIATRÍA - Guía de Manejo Psicoterapéutico")</f>
        <v>PSIQUIATRÍA - Guía de Manejo Psicoterapéutico</v>
      </c>
      <c r="C18154" s="3" t="str">
        <f>HYPERLINK("https://otsuka-europe-crm.veevavault.com/ui/#object/sent_email__v/VBLZ025E82GWSDI", "SE-000279989")</f>
        <v>SE-000279989</v>
      </c>
      <c r="D18154" s="1" t="s">
        <v>0</v>
      </c>
      <c r="E18154" s="2">
        <v>0</v>
      </c>
      <c r="F18154" s="2">
        <v>0</v>
      </c>
      <c r="G18154" s="2">
        <v>0</v>
      </c>
      <c r="H18154" s="1" t="s">
        <v>0</v>
      </c>
      <c r="I18154" s="2">
        <v>0</v>
      </c>
      <c r="J18154" s="1">
        <v>45930.377175925925</v>
      </c>
    </row>
    <row r="18155" spans="1:10" x14ac:dyDescent="0.2">
      <c r="A18155" s="4" t="s">
        <v>1</v>
      </c>
      <c r="B18155" s="3" t="str">
        <f>HYPERLINK("https://otsuka-europe-crm.veevavault.com/ui/#object/approved_document__v/V5OZ025E82TP0C6", "PSIQUIATRÍA - Guía de Manejo Psicoterapéutico")</f>
        <v>PSIQUIATRÍA - Guía de Manejo Psicoterapéutico</v>
      </c>
      <c r="C18155" s="3" t="str">
        <f>HYPERLINK("https://otsuka-europe-crm.veevavault.com/ui/#object/sent_email__v/VBLZ025E82GWSDJ", "SE-000279990")</f>
        <v>SE-000279990</v>
      </c>
      <c r="D18155" s="1">
        <v>45931.918599537035</v>
      </c>
      <c r="E18155" s="2">
        <v>1</v>
      </c>
      <c r="F18155" s="2">
        <v>4</v>
      </c>
      <c r="G18155" s="2">
        <v>1</v>
      </c>
      <c r="H18155" s="1">
        <v>45930.483043981483</v>
      </c>
      <c r="I18155" s="2">
        <v>1</v>
      </c>
      <c r="J18155" s="1">
        <v>45930.377129629633</v>
      </c>
    </row>
    <row r="18156" spans="1:10" x14ac:dyDescent="0.2">
      <c r="A18156" s="4" t="s">
        <v>1</v>
      </c>
      <c r="B18156" s="3" t="str">
        <f>HYPERLINK("https://otsuka-europe-crm.veevavault.com/ui/#object/approved_document__v/V5OZ025E82TP0C6", "PSIQUIATRÍA - Guía de Manejo Psicoterapéutico")</f>
        <v>PSIQUIATRÍA - Guía de Manejo Psicoterapéutico</v>
      </c>
      <c r="C18156" s="3" t="str">
        <f>HYPERLINK("https://otsuka-europe-crm.veevavault.com/ui/#object/sent_email__v/VBLZ025E82GWSDK", "SE-000279991")</f>
        <v>SE-000279991</v>
      </c>
      <c r="D18156" s="1">
        <v>45930.485995370371</v>
      </c>
      <c r="E18156" s="2">
        <v>1</v>
      </c>
      <c r="F18156" s="2">
        <v>2</v>
      </c>
      <c r="G18156" s="2">
        <v>1</v>
      </c>
      <c r="H18156" s="1">
        <v>45930.514780092592</v>
      </c>
      <c r="I18156" s="2">
        <v>4</v>
      </c>
      <c r="J18156" s="1">
        <v>45930.377071759256</v>
      </c>
    </row>
    <row r="18157" spans="1:10" x14ac:dyDescent="0.2">
      <c r="A18157" s="4" t="s">
        <v>1</v>
      </c>
      <c r="B18157" s="3" t="str">
        <f>HYPERLINK("https://otsuka-europe-crm.veevavault.com/ui/#object/approved_document__v/V5OZ025E82TP0C6", "PSIQUIATRÍA - Guía de Manejo Psicoterapéutico")</f>
        <v>PSIQUIATRÍA - Guía de Manejo Psicoterapéutico</v>
      </c>
      <c r="C18157" s="3" t="str">
        <f>HYPERLINK("https://otsuka-europe-crm.veevavault.com/ui/#object/sent_email__v/VBLZ025E82GWSDL", "SE-000279992")</f>
        <v>SE-000279992</v>
      </c>
      <c r="D18157" s="1">
        <v>45930.393553240741</v>
      </c>
      <c r="E18157" s="2">
        <v>1</v>
      </c>
      <c r="F18157" s="2">
        <v>1</v>
      </c>
      <c r="G18157" s="2">
        <v>0</v>
      </c>
      <c r="H18157" s="1" t="s">
        <v>0</v>
      </c>
      <c r="I18157" s="2">
        <v>0</v>
      </c>
      <c r="J18157" s="1">
        <v>45930.377106481479</v>
      </c>
    </row>
    <row r="18158" spans="1:10" x14ac:dyDescent="0.2">
      <c r="A18158" s="4" t="s">
        <v>1</v>
      </c>
      <c r="B18158" s="3" t="str">
        <f>HYPERLINK("https://otsuka-europe-crm.veevavault.com/ui/#object/approved_document__v/V5OZ025E82TP0C6", "PSIQUIATRÍA - Guía de Manejo Psicoterapéutico")</f>
        <v>PSIQUIATRÍA - Guía de Manejo Psicoterapéutico</v>
      </c>
      <c r="C18158" s="3" t="str">
        <f>HYPERLINK("https://otsuka-europe-crm.veevavault.com/ui/#object/sent_email__v/VBLZ025E82GWSDM", "SE-000279993")</f>
        <v>SE-000279993</v>
      </c>
      <c r="D18158" s="1">
        <v>45953.696631944447</v>
      </c>
      <c r="E18158" s="2">
        <v>1</v>
      </c>
      <c r="F18158" s="2">
        <v>7</v>
      </c>
      <c r="G18158" s="2">
        <v>0</v>
      </c>
      <c r="H18158" s="1" t="s">
        <v>0</v>
      </c>
      <c r="I18158" s="2">
        <v>0</v>
      </c>
      <c r="J18158" s="1">
        <v>45930.379236111112</v>
      </c>
    </row>
    <row r="18159" spans="1:10" x14ac:dyDescent="0.2">
      <c r="A18159" s="4" t="s">
        <v>1</v>
      </c>
      <c r="B18159" s="3" t="str">
        <f>HYPERLINK("https://otsuka-europe-crm.veevavault.com/ui/#object/approved_document__v/V5OZ025E82TP0C6", "PSIQUIATRÍA - Guía de Manejo Psicoterapéutico")</f>
        <v>PSIQUIATRÍA - Guía de Manejo Psicoterapéutico</v>
      </c>
      <c r="C18159" s="3" t="str">
        <f>HYPERLINK("https://otsuka-europe-crm.veevavault.com/ui/#object/sent_email__v/VBLZ025E82GWSDN", "SE-000279994")</f>
        <v>SE-000279994</v>
      </c>
      <c r="D18159" s="1">
        <v>45938.713067129633</v>
      </c>
      <c r="E18159" s="2">
        <v>1</v>
      </c>
      <c r="F18159" s="2">
        <v>3</v>
      </c>
      <c r="G18159" s="2">
        <v>0</v>
      </c>
      <c r="H18159" s="1" t="s">
        <v>0</v>
      </c>
      <c r="I18159" s="2">
        <v>0</v>
      </c>
      <c r="J18159" s="1">
        <v>45930.377245370371</v>
      </c>
    </row>
    <row r="18160" spans="1:10" x14ac:dyDescent="0.2">
      <c r="A18160" s="4" t="s">
        <v>1</v>
      </c>
      <c r="B18160" s="3" t="str">
        <f>HYPERLINK("https://otsuka-europe-crm.veevavault.com/ui/#object/approved_document__v/V5OZ025E82TP0C6", "PSIQUIATRÍA - Guía de Manejo Psicoterapéutico")</f>
        <v>PSIQUIATRÍA - Guía de Manejo Psicoterapéutico</v>
      </c>
      <c r="C18160" s="3" t="str">
        <f>HYPERLINK("https://otsuka-europe-crm.veevavault.com/ui/#object/sent_email__v/VBLZ025E82GWSDO", "SE-000279995")</f>
        <v>SE-000279995</v>
      </c>
      <c r="D18160" s="1">
        <v>45962.894328703704</v>
      </c>
      <c r="E18160" s="2">
        <v>1</v>
      </c>
      <c r="F18160" s="2">
        <v>16</v>
      </c>
      <c r="G18160" s="2">
        <v>1</v>
      </c>
      <c r="H18160" s="1">
        <v>45930.429456018515</v>
      </c>
      <c r="I18160" s="2">
        <v>1</v>
      </c>
      <c r="J18160" s="1">
        <v>45930.37704861111</v>
      </c>
    </row>
    <row r="18161" spans="1:10" x14ac:dyDescent="0.2">
      <c r="A18161" s="4" t="s">
        <v>1</v>
      </c>
      <c r="B18161" s="3" t="str">
        <f>HYPERLINK("https://otsuka-europe-crm.veevavault.com/ui/#object/approved_document__v/V5OZ025E82TP0C6", "PSIQUIATRÍA - Guía de Manejo Psicoterapéutico")</f>
        <v>PSIQUIATRÍA - Guía de Manejo Psicoterapéutico</v>
      </c>
      <c r="C18161" s="3" t="str">
        <f>HYPERLINK("https://otsuka-europe-crm.veevavault.com/ui/#object/sent_email__v/VBLZ025E82GWSDP", "SE-000279996")</f>
        <v>SE-000279996</v>
      </c>
      <c r="D18161" s="1" t="s">
        <v>0</v>
      </c>
      <c r="E18161" s="2">
        <v>0</v>
      </c>
      <c r="F18161" s="2">
        <v>0</v>
      </c>
      <c r="G18161" s="2">
        <v>0</v>
      </c>
      <c r="H18161" s="1" t="s">
        <v>0</v>
      </c>
      <c r="I18161" s="2">
        <v>0</v>
      </c>
      <c r="J18161" s="1">
        <v>45930.377106481479</v>
      </c>
    </row>
    <row r="18162" spans="1:10" x14ac:dyDescent="0.2">
      <c r="A18162" s="4" t="s">
        <v>1</v>
      </c>
      <c r="B18162" s="3" t="str">
        <f>HYPERLINK("https://otsuka-europe-crm.veevavault.com/ui/#object/approved_document__v/V5OZ025E82TP0C6", "PSIQUIATRÍA - Guía de Manejo Psicoterapéutico")</f>
        <v>PSIQUIATRÍA - Guía de Manejo Psicoterapéutico</v>
      </c>
      <c r="C18162" s="3" t="str">
        <f>HYPERLINK("https://otsuka-europe-crm.veevavault.com/ui/#object/sent_email__v/VBLZ025E82GWSDQ", "SE-000279997")</f>
        <v>SE-000279997</v>
      </c>
      <c r="D18162" s="1">
        <v>45934.637511574074</v>
      </c>
      <c r="E18162" s="2">
        <v>1</v>
      </c>
      <c r="F18162" s="2">
        <v>1</v>
      </c>
      <c r="G18162" s="2">
        <v>1</v>
      </c>
      <c r="H18162" s="1">
        <v>45934.637662037036</v>
      </c>
      <c r="I18162" s="2">
        <v>1</v>
      </c>
      <c r="J18162" s="1">
        <v>45930.377083333333</v>
      </c>
    </row>
    <row r="18163" spans="1:10" x14ac:dyDescent="0.2">
      <c r="A18163" s="4" t="s">
        <v>1</v>
      </c>
      <c r="B18163" s="3" t="str">
        <f>HYPERLINK("https://otsuka-europe-crm.veevavault.com/ui/#object/approved_document__v/V5OZ025E82TP0C6", "PSIQUIATRÍA - Guía de Manejo Psicoterapéutico")</f>
        <v>PSIQUIATRÍA - Guía de Manejo Psicoterapéutico</v>
      </c>
      <c r="C18163" s="3" t="str">
        <f>HYPERLINK("https://otsuka-europe-crm.veevavault.com/ui/#object/sent_email__v/VBLZ025E82GWSDR", "SE-000279998")</f>
        <v>SE-000279998</v>
      </c>
      <c r="D18163" s="1" t="s">
        <v>0</v>
      </c>
      <c r="E18163" s="2">
        <v>0</v>
      </c>
      <c r="F18163" s="2">
        <v>0</v>
      </c>
      <c r="G18163" s="2">
        <v>0</v>
      </c>
      <c r="H18163" s="1" t="s">
        <v>0</v>
      </c>
      <c r="I18163" s="2">
        <v>0</v>
      </c>
      <c r="J18163" s="1">
        <v>45930.377152777779</v>
      </c>
    </row>
    <row r="18164" spans="1:10" x14ac:dyDescent="0.2">
      <c r="A18164" s="4" t="s">
        <v>1</v>
      </c>
      <c r="B18164" s="3" t="str">
        <f>HYPERLINK("https://otsuka-europe-crm.veevavault.com/ui/#object/approved_document__v/V5OZ025E82TP0C6", "PSIQUIATRÍA - Guía de Manejo Psicoterapéutico")</f>
        <v>PSIQUIATRÍA - Guía de Manejo Psicoterapéutico</v>
      </c>
      <c r="C18164" s="3" t="str">
        <f>HYPERLINK("https://otsuka-europe-crm.veevavault.com/ui/#object/sent_email__v/VBLZ025E82GWSDS", "SE-000279999")</f>
        <v>SE-000279999</v>
      </c>
      <c r="D18164" s="1">
        <v>45930.379814814813</v>
      </c>
      <c r="E18164" s="2">
        <v>1</v>
      </c>
      <c r="F18164" s="2">
        <v>1</v>
      </c>
      <c r="G18164" s="2">
        <v>1</v>
      </c>
      <c r="H18164" s="1">
        <v>45930.379814814813</v>
      </c>
      <c r="I18164" s="2">
        <v>1</v>
      </c>
      <c r="J18164" s="1">
        <v>45930.377152777779</v>
      </c>
    </row>
    <row r="18165" spans="1:10" x14ac:dyDescent="0.2">
      <c r="A18165" s="4" t="s">
        <v>1</v>
      </c>
      <c r="B18165" s="3" t="str">
        <f>HYPERLINK("https://otsuka-europe-crm.veevavault.com/ui/#object/approved_document__v/V5OZ025E82TP0C6", "PSIQUIATRÍA - Guía de Manejo Psicoterapéutico")</f>
        <v>PSIQUIATRÍA - Guía de Manejo Psicoterapéutico</v>
      </c>
      <c r="C18165" s="3" t="str">
        <f>HYPERLINK("https://otsuka-europe-crm.veevavault.com/ui/#object/sent_email__v/VBLZ025E82GWSFP", "SE-000280000")</f>
        <v>SE-000280000</v>
      </c>
      <c r="D18165" s="1">
        <v>45931.529988425929</v>
      </c>
      <c r="E18165" s="2">
        <v>1</v>
      </c>
      <c r="F18165" s="2">
        <v>2</v>
      </c>
      <c r="G18165" s="2">
        <v>1</v>
      </c>
      <c r="H18165" s="1">
        <v>45931.530138888891</v>
      </c>
      <c r="I18165" s="2">
        <v>1</v>
      </c>
      <c r="J18165" s="1">
        <v>45930.377141203702</v>
      </c>
    </row>
    <row r="18166" spans="1:10" x14ac:dyDescent="0.2">
      <c r="A18166" s="4" t="s">
        <v>1</v>
      </c>
      <c r="B18166" s="3" t="str">
        <f>HYPERLINK("https://otsuka-europe-crm.veevavault.com/ui/#object/approved_document__v/V5OZ025E82TP0C6", "PSIQUIATRÍA - Guía de Manejo Psicoterapéutico")</f>
        <v>PSIQUIATRÍA - Guía de Manejo Psicoterapéutico</v>
      </c>
      <c r="C18166" s="3" t="str">
        <f>HYPERLINK("https://otsuka-europe-crm.veevavault.com/ui/#object/sent_email__v/VBLZ025E82GWSFQ", "SE-000280001")</f>
        <v>SE-000280001</v>
      </c>
      <c r="D18166" s="1" t="s">
        <v>0</v>
      </c>
      <c r="E18166" s="2">
        <v>0</v>
      </c>
      <c r="F18166" s="2">
        <v>0</v>
      </c>
      <c r="G18166" s="2">
        <v>0</v>
      </c>
      <c r="H18166" s="1" t="s">
        <v>0</v>
      </c>
      <c r="I18166" s="2">
        <v>0</v>
      </c>
      <c r="J18166" s="1">
        <v>45930.377118055556</v>
      </c>
    </row>
    <row r="18167" spans="1:10" x14ac:dyDescent="0.2">
      <c r="A18167" s="4" t="s">
        <v>1</v>
      </c>
      <c r="B18167" s="3" t="str">
        <f>HYPERLINK("https://otsuka-europe-crm.veevavault.com/ui/#object/approved_document__v/V5OZ025E82TP0C6", "PSIQUIATRÍA - Guía de Manejo Psicoterapéutico")</f>
        <v>PSIQUIATRÍA - Guía de Manejo Psicoterapéutico</v>
      </c>
      <c r="C18167" s="3" t="str">
        <f>HYPERLINK("https://otsuka-europe-crm.veevavault.com/ui/#object/sent_email__v/VBLZ025E82GWSFR", "SE-000280002")</f>
        <v>SE-000280002</v>
      </c>
      <c r="D18167" s="1">
        <v>45993.429490740738</v>
      </c>
      <c r="E18167" s="2">
        <v>1</v>
      </c>
      <c r="F18167" s="2">
        <v>2</v>
      </c>
      <c r="G18167" s="2">
        <v>1</v>
      </c>
      <c r="H18167" s="1">
        <v>45930.413136574076</v>
      </c>
      <c r="I18167" s="2">
        <v>1</v>
      </c>
      <c r="J18167" s="1">
        <v>45930.37703703704</v>
      </c>
    </row>
    <row r="18168" spans="1:10" x14ac:dyDescent="0.2">
      <c r="A18168" s="4" t="s">
        <v>1</v>
      </c>
      <c r="B18168" s="3" t="str">
        <f>HYPERLINK("https://otsuka-europe-crm.veevavault.com/ui/#object/approved_document__v/V5OZ025E82TP0C6", "PSIQUIATRÍA - Guía de Manejo Psicoterapéutico")</f>
        <v>PSIQUIATRÍA - Guía de Manejo Psicoterapéutico</v>
      </c>
      <c r="C18168" s="3" t="str">
        <f>HYPERLINK("https://otsuka-europe-crm.veevavault.com/ui/#object/sent_email__v/VBLZ025E82GWSFS", "SE-000280003")</f>
        <v>SE-000280003</v>
      </c>
      <c r="D18168" s="1">
        <v>45932.035925925928</v>
      </c>
      <c r="E18168" s="2">
        <v>1</v>
      </c>
      <c r="F18168" s="2">
        <v>2</v>
      </c>
      <c r="G18168" s="2">
        <v>0</v>
      </c>
      <c r="H18168" s="1" t="s">
        <v>0</v>
      </c>
      <c r="I18168" s="2">
        <v>0</v>
      </c>
      <c r="J18168" s="1">
        <v>45930.377083333333</v>
      </c>
    </row>
    <row r="18169" spans="1:10" x14ac:dyDescent="0.2">
      <c r="A18169" s="4" t="s">
        <v>1</v>
      </c>
      <c r="B18169" s="3" t="str">
        <f>HYPERLINK("https://otsuka-europe-crm.veevavault.com/ui/#object/approved_document__v/V5OZ025E82TP0C6", "PSIQUIATRÍA - Guía de Manejo Psicoterapéutico")</f>
        <v>PSIQUIATRÍA - Guía de Manejo Psicoterapéutico</v>
      </c>
      <c r="C18169" s="3" t="str">
        <f>HYPERLINK("https://otsuka-europe-crm.veevavault.com/ui/#object/sent_email__v/VBLZ025E82GWSFT", "SE-000280004")</f>
        <v>SE-000280004</v>
      </c>
      <c r="D18169" s="1" t="s">
        <v>0</v>
      </c>
      <c r="E18169" s="2">
        <v>0</v>
      </c>
      <c r="F18169" s="2">
        <v>0</v>
      </c>
      <c r="G18169" s="2">
        <v>0</v>
      </c>
      <c r="H18169" s="1" t="s">
        <v>0</v>
      </c>
      <c r="I18169" s="2">
        <v>0</v>
      </c>
      <c r="J18169" s="1">
        <v>45930.377129629633</v>
      </c>
    </row>
    <row r="18170" spans="1:10" x14ac:dyDescent="0.2">
      <c r="A18170" s="4" t="s">
        <v>1</v>
      </c>
      <c r="B18170" s="3" t="str">
        <f>HYPERLINK("https://otsuka-europe-crm.veevavault.com/ui/#object/approved_document__v/V5OZ025E82TP0C6", "PSIQUIATRÍA - Guía de Manejo Psicoterapéutico")</f>
        <v>PSIQUIATRÍA - Guía de Manejo Psicoterapéutico</v>
      </c>
      <c r="C18170" s="3" t="str">
        <f>HYPERLINK("https://otsuka-europe-crm.veevavault.com/ui/#object/sent_email__v/VBLZ025E82GWSFU", "SE-000280005")</f>
        <v>SE-000280005</v>
      </c>
      <c r="D18170" s="1" t="s">
        <v>0</v>
      </c>
      <c r="E18170" s="2">
        <v>0</v>
      </c>
      <c r="F18170" s="2">
        <v>0</v>
      </c>
      <c r="G18170" s="2">
        <v>0</v>
      </c>
      <c r="H18170" s="1" t="s">
        <v>0</v>
      </c>
      <c r="I18170" s="2">
        <v>0</v>
      </c>
      <c r="J18170" s="1">
        <v>45930.377025462964</v>
      </c>
    </row>
    <row r="18171" spans="1:10" x14ac:dyDescent="0.2">
      <c r="A18171" s="4" t="s">
        <v>1</v>
      </c>
      <c r="B18171" s="3" t="str">
        <f>HYPERLINK("https://otsuka-europe-crm.veevavault.com/ui/#object/approved_document__v/V5OZ025E82TP0C6", "PSIQUIATRÍA - Guía de Manejo Psicoterapéutico")</f>
        <v>PSIQUIATRÍA - Guía de Manejo Psicoterapéutico</v>
      </c>
      <c r="C18171" s="3" t="str">
        <f>HYPERLINK("https://otsuka-europe-crm.veevavault.com/ui/#object/sent_email__v/VBLZ025E82GWSFV", "SE-000280006")</f>
        <v>SE-000280006</v>
      </c>
      <c r="D18171" s="1" t="s">
        <v>0</v>
      </c>
      <c r="E18171" s="2">
        <v>0</v>
      </c>
      <c r="F18171" s="2">
        <v>0</v>
      </c>
      <c r="G18171" s="2">
        <v>0</v>
      </c>
      <c r="H18171" s="1" t="s">
        <v>0</v>
      </c>
      <c r="I18171" s="2">
        <v>0</v>
      </c>
      <c r="J18171" s="1">
        <v>45930.37704861111</v>
      </c>
    </row>
    <row r="18172" spans="1:10" x14ac:dyDescent="0.2">
      <c r="A18172" s="4" t="s">
        <v>1</v>
      </c>
      <c r="B18172" s="3" t="str">
        <f>HYPERLINK("https://otsuka-europe-crm.veevavault.com/ui/#object/approved_document__v/V5OZ025E82TP0C6", "PSIQUIATRÍA - Guía de Manejo Psicoterapéutico")</f>
        <v>PSIQUIATRÍA - Guía de Manejo Psicoterapéutico</v>
      </c>
      <c r="C18172" s="3" t="str">
        <f>HYPERLINK("https://otsuka-europe-crm.veevavault.com/ui/#object/sent_email__v/VBLZ025E82GWSFW", "SE-000280007")</f>
        <v>SE-000280007</v>
      </c>
      <c r="D18172" s="1" t="s">
        <v>0</v>
      </c>
      <c r="E18172" s="2">
        <v>0</v>
      </c>
      <c r="F18172" s="2">
        <v>0</v>
      </c>
      <c r="G18172" s="2">
        <v>0</v>
      </c>
      <c r="H18172" s="1" t="s">
        <v>0</v>
      </c>
      <c r="I18172" s="2">
        <v>0</v>
      </c>
      <c r="J18172" s="1">
        <v>45930.37709490741</v>
      </c>
    </row>
    <row r="18173" spans="1:10" x14ac:dyDescent="0.2">
      <c r="A18173" s="4" t="s">
        <v>1</v>
      </c>
      <c r="B18173" s="3" t="str">
        <f>HYPERLINK("https://otsuka-europe-crm.veevavault.com/ui/#object/approved_document__v/V5OZ025E82TP0C6", "PSIQUIATRÍA - Guía de Manejo Psicoterapéutico")</f>
        <v>PSIQUIATRÍA - Guía de Manejo Psicoterapéutico</v>
      </c>
      <c r="C18173" s="3" t="str">
        <f>HYPERLINK("https://otsuka-europe-crm.veevavault.com/ui/#object/sent_email__v/VBLZ025E82GWSFX", "SE-000280008")</f>
        <v>SE-000280008</v>
      </c>
      <c r="D18173" s="1">
        <v>45934.434305555558</v>
      </c>
      <c r="E18173" s="2">
        <v>1</v>
      </c>
      <c r="F18173" s="2">
        <v>2</v>
      </c>
      <c r="G18173" s="2">
        <v>0</v>
      </c>
      <c r="H18173" s="1" t="s">
        <v>0</v>
      </c>
      <c r="I18173" s="2">
        <v>0</v>
      </c>
      <c r="J18173" s="1">
        <v>45930.377164351848</v>
      </c>
    </row>
    <row r="18174" spans="1:10" x14ac:dyDescent="0.2">
      <c r="A18174" s="4" t="s">
        <v>1</v>
      </c>
      <c r="B18174" s="3" t="str">
        <f>HYPERLINK("https://otsuka-europe-crm.veevavault.com/ui/#object/approved_document__v/V5OZ025E82TP0C6", "PSIQUIATRÍA - Guía de Manejo Psicoterapéutico")</f>
        <v>PSIQUIATRÍA - Guía de Manejo Psicoterapéutico</v>
      </c>
      <c r="C18174" s="3" t="str">
        <f>HYPERLINK("https://otsuka-europe-crm.veevavault.com/ui/#object/sent_email__v/VBLZ025E82GWSFY", "SE-000280009")</f>
        <v>SE-000280009</v>
      </c>
      <c r="D18174" s="1">
        <v>45933.638761574075</v>
      </c>
      <c r="E18174" s="2">
        <v>1</v>
      </c>
      <c r="F18174" s="2">
        <v>2</v>
      </c>
      <c r="G18174" s="2">
        <v>0</v>
      </c>
      <c r="H18174" s="1" t="s">
        <v>0</v>
      </c>
      <c r="I18174" s="2">
        <v>0</v>
      </c>
      <c r="J18174" s="1">
        <v>45930.377199074072</v>
      </c>
    </row>
    <row r="18175" spans="1:10" x14ac:dyDescent="0.2">
      <c r="A18175" s="4" t="s">
        <v>1</v>
      </c>
      <c r="B18175" s="3" t="str">
        <f>HYPERLINK("https://otsuka-europe-crm.veevavault.com/ui/#object/approved_document__v/V5OZ025E82TP0C6", "PSIQUIATRÍA - Guía de Manejo Psicoterapéutico")</f>
        <v>PSIQUIATRÍA - Guía de Manejo Psicoterapéutico</v>
      </c>
      <c r="C18175" s="3" t="str">
        <f>HYPERLINK("https://otsuka-europe-crm.veevavault.com/ui/#object/sent_email__v/VBLZ025E82GWSFZ", "SE-000280010")</f>
        <v>SE-000280010</v>
      </c>
      <c r="D18175" s="1" t="s">
        <v>0</v>
      </c>
      <c r="E18175" s="2">
        <v>0</v>
      </c>
      <c r="F18175" s="2">
        <v>0</v>
      </c>
      <c r="G18175" s="2">
        <v>0</v>
      </c>
      <c r="H18175" s="1" t="s">
        <v>0</v>
      </c>
      <c r="I18175" s="2">
        <v>0</v>
      </c>
      <c r="J18175" s="1">
        <v>45930.377187500002</v>
      </c>
    </row>
    <row r="18176" spans="1:10" x14ac:dyDescent="0.2">
      <c r="A18176" s="4" t="s">
        <v>1</v>
      </c>
      <c r="B18176" s="3" t="str">
        <f>HYPERLINK("https://otsuka-europe-crm.veevavault.com/ui/#object/approved_document__v/V5OZ025E82TP0C6", "PSIQUIATRÍA - Guía de Manejo Psicoterapéutico")</f>
        <v>PSIQUIATRÍA - Guía de Manejo Psicoterapéutico</v>
      </c>
      <c r="C18176" s="3" t="str">
        <f>HYPERLINK("https://otsuka-europe-crm.veevavault.com/ui/#object/sent_email__v/VBLZ025E82GWSG0", "SE-000280011")</f>
        <v>SE-000280011</v>
      </c>
      <c r="D18176" s="1">
        <v>45930.840474537035</v>
      </c>
      <c r="E18176" s="2">
        <v>1</v>
      </c>
      <c r="F18176" s="2">
        <v>1</v>
      </c>
      <c r="G18176" s="2">
        <v>0</v>
      </c>
      <c r="H18176" s="1" t="s">
        <v>0</v>
      </c>
      <c r="I18176" s="2">
        <v>0</v>
      </c>
      <c r="J18176" s="1">
        <v>45930.37709490741</v>
      </c>
    </row>
    <row r="18177" spans="1:10" x14ac:dyDescent="0.2">
      <c r="A18177" s="4" t="s">
        <v>1</v>
      </c>
      <c r="B18177" s="3" t="str">
        <f>HYPERLINK("https://otsuka-europe-crm.veevavault.com/ui/#object/approved_document__v/V5OZ025E82TP0C6", "PSIQUIATRÍA - Guía de Manejo Psicoterapéutico")</f>
        <v>PSIQUIATRÍA - Guía de Manejo Psicoterapéutico</v>
      </c>
      <c r="C18177" s="3" t="str">
        <f>HYPERLINK("https://otsuka-europe-crm.veevavault.com/ui/#object/sent_email__v/VBLZ025E82GWSG1", "SE-000280012")</f>
        <v>SE-000280012</v>
      </c>
      <c r="D18177" s="1">
        <v>45938.024814814817</v>
      </c>
      <c r="E18177" s="2">
        <v>1</v>
      </c>
      <c r="F18177" s="2">
        <v>1</v>
      </c>
      <c r="G18177" s="2">
        <v>0</v>
      </c>
      <c r="H18177" s="1" t="s">
        <v>0</v>
      </c>
      <c r="I18177" s="2">
        <v>0</v>
      </c>
      <c r="J18177" s="1">
        <v>45930.377256944441</v>
      </c>
    </row>
    <row r="18178" spans="1:10" x14ac:dyDescent="0.2">
      <c r="A18178" s="4" t="s">
        <v>1</v>
      </c>
      <c r="B18178" s="3" t="str">
        <f>HYPERLINK("https://otsuka-europe-crm.veevavault.com/ui/#object/approved_document__v/V5OZ025E82TP0C6", "PSIQUIATRÍA - Guía de Manejo Psicoterapéutico")</f>
        <v>PSIQUIATRÍA - Guía de Manejo Psicoterapéutico</v>
      </c>
      <c r="C18178" s="3" t="str">
        <f>HYPERLINK("https://otsuka-europe-crm.veevavault.com/ui/#object/sent_email__v/VBLZ025E82GWSG2", "SE-000280013")</f>
        <v>SE-000280013</v>
      </c>
      <c r="D18178" s="1">
        <v>45932.44635416667</v>
      </c>
      <c r="E18178" s="2">
        <v>1</v>
      </c>
      <c r="F18178" s="2">
        <v>2</v>
      </c>
      <c r="G18178" s="2">
        <v>1</v>
      </c>
      <c r="H18178" s="1">
        <v>45932.44599537037</v>
      </c>
      <c r="I18178" s="2">
        <v>1</v>
      </c>
      <c r="J18178" s="1">
        <v>45930.377129629633</v>
      </c>
    </row>
    <row r="18179" spans="1:10" x14ac:dyDescent="0.2">
      <c r="A18179" s="4" t="s">
        <v>1</v>
      </c>
      <c r="B18179" s="3" t="str">
        <f>HYPERLINK("https://otsuka-europe-crm.veevavault.com/ui/#object/approved_document__v/V5OZ025E82TP0C6", "PSIQUIATRÍA - Guía de Manejo Psicoterapéutico")</f>
        <v>PSIQUIATRÍA - Guía de Manejo Psicoterapéutico</v>
      </c>
      <c r="C18179" s="3" t="str">
        <f>HYPERLINK("https://otsuka-europe-crm.veevavault.com/ui/#object/sent_email__v/VBLZ025E82GWSG3", "SE-000280014")</f>
        <v>SE-000280014</v>
      </c>
      <c r="D18179" s="1">
        <v>46066.690046296295</v>
      </c>
      <c r="E18179" s="2">
        <v>1</v>
      </c>
      <c r="F18179" s="2">
        <v>2</v>
      </c>
      <c r="G18179" s="2">
        <v>0</v>
      </c>
      <c r="H18179" s="1" t="s">
        <v>0</v>
      </c>
      <c r="I18179" s="2">
        <v>0</v>
      </c>
      <c r="J18179" s="1">
        <v>45930.377141203702</v>
      </c>
    </row>
    <row r="18180" spans="1:10" x14ac:dyDescent="0.2">
      <c r="A18180" s="4" t="s">
        <v>1</v>
      </c>
      <c r="B18180" s="3" t="str">
        <f>HYPERLINK("https://otsuka-europe-crm.veevavault.com/ui/#object/approved_document__v/V5OZ025E82TP0C6", "PSIQUIATRÍA - Guía de Manejo Psicoterapéutico")</f>
        <v>PSIQUIATRÍA - Guía de Manejo Psicoterapéutico</v>
      </c>
      <c r="C18180" s="3" t="str">
        <f>HYPERLINK("https://otsuka-europe-crm.veevavault.com/ui/#object/sent_email__v/VBLZ025E82GWSG4", "SE-000280015")</f>
        <v>SE-000280015</v>
      </c>
      <c r="D18180" s="1" t="s">
        <v>0</v>
      </c>
      <c r="E18180" s="2">
        <v>0</v>
      </c>
      <c r="F18180" s="2">
        <v>0</v>
      </c>
      <c r="G18180" s="2">
        <v>0</v>
      </c>
      <c r="H18180" s="1" t="s">
        <v>0</v>
      </c>
      <c r="I18180" s="2">
        <v>0</v>
      </c>
      <c r="J18180" s="1">
        <v>45930.377175925925</v>
      </c>
    </row>
    <row r="18181" spans="1:10" x14ac:dyDescent="0.2">
      <c r="A18181" s="4" t="s">
        <v>1</v>
      </c>
      <c r="B18181" s="3" t="str">
        <f>HYPERLINK("https://otsuka-europe-crm.veevavault.com/ui/#object/approved_document__v/V5OZ025E82TP0C6", "PSIQUIATRÍA - Guía de Manejo Psicoterapéutico")</f>
        <v>PSIQUIATRÍA - Guía de Manejo Psicoterapéutico</v>
      </c>
      <c r="C18181" s="3" t="str">
        <f>HYPERLINK("https://otsuka-europe-crm.veevavault.com/ui/#object/sent_email__v/VBLZ025E82GWSG5", "SE-000280016")</f>
        <v>SE-000280016</v>
      </c>
      <c r="D18181" s="1">
        <v>45930.522361111114</v>
      </c>
      <c r="E18181" s="2">
        <v>1</v>
      </c>
      <c r="F18181" s="2">
        <v>1</v>
      </c>
      <c r="G18181" s="2">
        <v>1</v>
      </c>
      <c r="H18181" s="1">
        <v>45930.522418981483</v>
      </c>
      <c r="I18181" s="2">
        <v>1</v>
      </c>
      <c r="J18181" s="1">
        <v>45930.377071759256</v>
      </c>
    </row>
    <row r="18182" spans="1:10" x14ac:dyDescent="0.2">
      <c r="A18182" s="4" t="s">
        <v>1</v>
      </c>
      <c r="B18182" s="3" t="str">
        <f>HYPERLINK("https://otsuka-europe-crm.veevavault.com/ui/#object/approved_document__v/V5OZ025E82TP0C6", "PSIQUIATRÍA - Guía de Manejo Psicoterapéutico")</f>
        <v>PSIQUIATRÍA - Guía de Manejo Psicoterapéutico</v>
      </c>
      <c r="C18182" s="3" t="str">
        <f>HYPERLINK("https://otsuka-europe-crm.veevavault.com/ui/#object/sent_email__v/VBLZ025E82GWSG6", "SE-000280017")</f>
        <v>SE-000280017</v>
      </c>
      <c r="D18182" s="1">
        <v>45930.81690972222</v>
      </c>
      <c r="E18182" s="2">
        <v>1</v>
      </c>
      <c r="F18182" s="2">
        <v>1</v>
      </c>
      <c r="G18182" s="2">
        <v>1</v>
      </c>
      <c r="H18182" s="1">
        <v>45930.81753472222</v>
      </c>
      <c r="I18182" s="2">
        <v>5</v>
      </c>
      <c r="J18182" s="1">
        <v>45930.377187500002</v>
      </c>
    </row>
    <row r="18183" spans="1:10" x14ac:dyDescent="0.2">
      <c r="A18183" s="4" t="s">
        <v>1</v>
      </c>
      <c r="B18183" s="3" t="str">
        <f>HYPERLINK("https://otsuka-europe-crm.veevavault.com/ui/#object/approved_document__v/V5OZ025E82TP0C6", "PSIQUIATRÍA - Guía de Manejo Psicoterapéutico")</f>
        <v>PSIQUIATRÍA - Guía de Manejo Psicoterapéutico</v>
      </c>
      <c r="C18183" s="3" t="str">
        <f>HYPERLINK("https://otsuka-europe-crm.veevavault.com/ui/#object/sent_email__v/VBLZ025E82GWSIH", "SE-000280018")</f>
        <v>SE-000280018</v>
      </c>
      <c r="D18183" s="1" t="s">
        <v>0</v>
      </c>
      <c r="E18183" s="2">
        <v>0</v>
      </c>
      <c r="F18183" s="2">
        <v>0</v>
      </c>
      <c r="G18183" s="2">
        <v>0</v>
      </c>
      <c r="H18183" s="1" t="s">
        <v>0</v>
      </c>
      <c r="I18183" s="2">
        <v>0</v>
      </c>
      <c r="J18183" s="1">
        <v>45930.377152777779</v>
      </c>
    </row>
    <row r="18184" spans="1:10" x14ac:dyDescent="0.2">
      <c r="A18184" s="4" t="s">
        <v>1</v>
      </c>
      <c r="B18184" s="3" t="str">
        <f>HYPERLINK("https://otsuka-europe-crm.veevavault.com/ui/#object/approved_document__v/V5OZ025E82TP0C6", "PSIQUIATRÍA - Guía de Manejo Psicoterapéutico")</f>
        <v>PSIQUIATRÍA - Guía de Manejo Psicoterapéutico</v>
      </c>
      <c r="C18184" s="3" t="str">
        <f>HYPERLINK("https://otsuka-europe-crm.veevavault.com/ui/#object/sent_email__v/VBLZ025E82GWSII", "SE-000280019")</f>
        <v>SE-000280019</v>
      </c>
      <c r="D18184" s="1">
        <v>45950.840162037035</v>
      </c>
      <c r="E18184" s="2">
        <v>1</v>
      </c>
      <c r="F18184" s="2">
        <v>4</v>
      </c>
      <c r="G18184" s="2">
        <v>0</v>
      </c>
      <c r="H18184" s="1" t="s">
        <v>0</v>
      </c>
      <c r="I18184" s="2">
        <v>0</v>
      </c>
      <c r="J18184" s="1">
        <v>45930.377013888887</v>
      </c>
    </row>
    <row r="18185" spans="1:10" x14ac:dyDescent="0.2">
      <c r="A18185" s="4" t="s">
        <v>1</v>
      </c>
      <c r="B18185" s="3" t="str">
        <f>HYPERLINK("https://otsuka-europe-crm.veevavault.com/ui/#object/approved_document__v/V5OZ025E82TP0C6", "PSIQUIATRÍA - Guía de Manejo Psicoterapéutico")</f>
        <v>PSIQUIATRÍA - Guía de Manejo Psicoterapéutico</v>
      </c>
      <c r="C18185" s="3" t="str">
        <f>HYPERLINK("https://otsuka-europe-crm.veevavault.com/ui/#object/sent_email__v/VBLZ025E82GWSIJ", "SE-000280020")</f>
        <v>SE-000280020</v>
      </c>
      <c r="D18185" s="1" t="s">
        <v>0</v>
      </c>
      <c r="E18185" s="2">
        <v>0</v>
      </c>
      <c r="F18185" s="2">
        <v>0</v>
      </c>
      <c r="G18185" s="2">
        <v>0</v>
      </c>
      <c r="H18185" s="1" t="s">
        <v>0</v>
      </c>
      <c r="I18185" s="2">
        <v>0</v>
      </c>
      <c r="J18185" s="1">
        <v>45930.377152777779</v>
      </c>
    </row>
    <row r="18186" spans="1:10" x14ac:dyDescent="0.2">
      <c r="A18186" s="4" t="s">
        <v>1</v>
      </c>
      <c r="B18186" s="3" t="str">
        <f>HYPERLINK("https://otsuka-europe-crm.veevavault.com/ui/#object/approved_document__v/V5OZ025E82TP0C6", "PSIQUIATRÍA - Guía de Manejo Psicoterapéutico")</f>
        <v>PSIQUIATRÍA - Guía de Manejo Psicoterapéutico</v>
      </c>
      <c r="C18186" s="3" t="str">
        <f>HYPERLINK("https://otsuka-europe-crm.veevavault.com/ui/#object/sent_email__v/VBLZ025E82GWSIK", "SE-000280021")</f>
        <v>SE-000280021</v>
      </c>
      <c r="D18186" s="1" t="s">
        <v>0</v>
      </c>
      <c r="E18186" s="2">
        <v>0</v>
      </c>
      <c r="F18186" s="2">
        <v>0</v>
      </c>
      <c r="G18186" s="2">
        <v>0</v>
      </c>
      <c r="H18186" s="1" t="s">
        <v>0</v>
      </c>
      <c r="I18186" s="2">
        <v>0</v>
      </c>
      <c r="J18186" s="1">
        <v>45930.377060185187</v>
      </c>
    </row>
    <row r="18187" spans="1:10" x14ac:dyDescent="0.2">
      <c r="A18187" s="4" t="s">
        <v>1</v>
      </c>
      <c r="B18187" s="3" t="str">
        <f>HYPERLINK("https://otsuka-europe-crm.veevavault.com/ui/#object/approved_document__v/V5OZ025E82TP0C6", "PSIQUIATRÍA - Guía de Manejo Psicoterapéutico")</f>
        <v>PSIQUIATRÍA - Guía de Manejo Psicoterapéutico</v>
      </c>
      <c r="C18187" s="3" t="str">
        <f>HYPERLINK("https://otsuka-europe-crm.veevavault.com/ui/#object/sent_email__v/VBLZ025E82GWSIL", "SE-000280022")</f>
        <v>SE-000280022</v>
      </c>
      <c r="D18187" s="1" t="s">
        <v>0</v>
      </c>
      <c r="E18187" s="2">
        <v>0</v>
      </c>
      <c r="F18187" s="2">
        <v>0</v>
      </c>
      <c r="G18187" s="2">
        <v>0</v>
      </c>
      <c r="H18187" s="1" t="s">
        <v>0</v>
      </c>
      <c r="I18187" s="2">
        <v>0</v>
      </c>
      <c r="J18187" s="1">
        <v>45930.377199074072</v>
      </c>
    </row>
    <row r="18188" spans="1:10" x14ac:dyDescent="0.2">
      <c r="A18188" s="4" t="s">
        <v>1</v>
      </c>
      <c r="B18188" s="3" t="str">
        <f>HYPERLINK("https://otsuka-europe-crm.veevavault.com/ui/#object/approved_document__v/V5OZ025E82TP0C6", "PSIQUIATRÍA - Guía de Manejo Psicoterapéutico")</f>
        <v>PSIQUIATRÍA - Guía de Manejo Psicoterapéutico</v>
      </c>
      <c r="C18188" s="3" t="str">
        <f>HYPERLINK("https://otsuka-europe-crm.veevavault.com/ui/#object/sent_email__v/VBLZ025E82GWSIM", "SE-000280023")</f>
        <v>SE-000280023</v>
      </c>
      <c r="D18188" s="1">
        <v>45930.402997685182</v>
      </c>
      <c r="E18188" s="2">
        <v>1</v>
      </c>
      <c r="F18188" s="2">
        <v>1</v>
      </c>
      <c r="G18188" s="2">
        <v>1</v>
      </c>
      <c r="H18188" s="1">
        <v>45930.497523148151</v>
      </c>
      <c r="I18188" s="2">
        <v>2</v>
      </c>
      <c r="J18188" s="1">
        <v>45930.377152777779</v>
      </c>
    </row>
    <row r="18189" spans="1:10" x14ac:dyDescent="0.2">
      <c r="A18189" s="4" t="s">
        <v>1</v>
      </c>
      <c r="B18189" s="3" t="str">
        <f>HYPERLINK("https://otsuka-europe-crm.veevavault.com/ui/#object/approved_document__v/V5OZ025E82TP0C6", "PSIQUIATRÍA - Guía de Manejo Psicoterapéutico")</f>
        <v>PSIQUIATRÍA - Guía de Manejo Psicoterapéutico</v>
      </c>
      <c r="C18189" s="3" t="str">
        <f>HYPERLINK("https://otsuka-europe-crm.veevavault.com/ui/#object/sent_email__v/VBLZ025E82GWSIN", "SE-000280024")</f>
        <v>SE-000280024</v>
      </c>
      <c r="D18189" s="1" t="s">
        <v>0</v>
      </c>
      <c r="E18189" s="2">
        <v>0</v>
      </c>
      <c r="F18189" s="2">
        <v>0</v>
      </c>
      <c r="G18189" s="2">
        <v>0</v>
      </c>
      <c r="H18189" s="1" t="s">
        <v>0</v>
      </c>
      <c r="I18189" s="2">
        <v>0</v>
      </c>
      <c r="J18189" s="1">
        <v>45930.37709490741</v>
      </c>
    </row>
    <row r="18190" spans="1:10" x14ac:dyDescent="0.2">
      <c r="A18190" s="4" t="s">
        <v>1</v>
      </c>
      <c r="B18190" s="3" t="str">
        <f>HYPERLINK("https://otsuka-europe-crm.veevavault.com/ui/#object/approved_document__v/V5OZ025E82TP0C6", "PSIQUIATRÍA - Guía de Manejo Psicoterapéutico")</f>
        <v>PSIQUIATRÍA - Guía de Manejo Psicoterapéutico</v>
      </c>
      <c r="C18190" s="3" t="str">
        <f>HYPERLINK("https://otsuka-europe-crm.veevavault.com/ui/#object/sent_email__v/VBLZ025E82GWSIO", "SE-000280025")</f>
        <v>SE-000280025</v>
      </c>
      <c r="D18190" s="1" t="s">
        <v>0</v>
      </c>
      <c r="E18190" s="2">
        <v>0</v>
      </c>
      <c r="F18190" s="2">
        <v>0</v>
      </c>
      <c r="G18190" s="2">
        <v>0</v>
      </c>
      <c r="H18190" s="1" t="s">
        <v>0</v>
      </c>
      <c r="I18190" s="2">
        <v>0</v>
      </c>
      <c r="J18190" s="1">
        <v>45930.377025462964</v>
      </c>
    </row>
    <row r="18191" spans="1:10" x14ac:dyDescent="0.2">
      <c r="A18191" s="4" t="s">
        <v>1</v>
      </c>
      <c r="B18191" s="3" t="str">
        <f>HYPERLINK("https://otsuka-europe-crm.veevavault.com/ui/#object/approved_document__v/V5OZ025E82TP0C6", "PSIQUIATRÍA - Guía de Manejo Psicoterapéutico")</f>
        <v>PSIQUIATRÍA - Guía de Manejo Psicoterapéutico</v>
      </c>
      <c r="C18191" s="3" t="str">
        <f>HYPERLINK("https://otsuka-europe-crm.veevavault.com/ui/#object/sent_email__v/VBLZ025E82GWSIP", "SE-000280026")</f>
        <v>SE-000280026</v>
      </c>
      <c r="D18191" s="1">
        <v>45991.506006944444</v>
      </c>
      <c r="E18191" s="2">
        <v>1</v>
      </c>
      <c r="F18191" s="2">
        <v>5</v>
      </c>
      <c r="G18191" s="2">
        <v>0</v>
      </c>
      <c r="H18191" s="1" t="s">
        <v>0</v>
      </c>
      <c r="I18191" s="2">
        <v>0</v>
      </c>
      <c r="J18191" s="1">
        <v>45930.377141203702</v>
      </c>
    </row>
    <row r="18192" spans="1:10" x14ac:dyDescent="0.2">
      <c r="A18192" s="4" t="s">
        <v>1</v>
      </c>
      <c r="B18192" s="3" t="str">
        <f>HYPERLINK("https://otsuka-europe-crm.veevavault.com/ui/#object/approved_document__v/V5OZ025E82TP0C6", "PSIQUIATRÍA - Guía de Manejo Psicoterapéutico")</f>
        <v>PSIQUIATRÍA - Guía de Manejo Psicoterapéutico</v>
      </c>
      <c r="C18192" s="3" t="str">
        <f>HYPERLINK("https://otsuka-europe-crm.veevavault.com/ui/#object/sent_email__v/VBLZ025E82GWSIQ", "SE-000280027")</f>
        <v>SE-000280027</v>
      </c>
      <c r="D18192" s="1" t="s">
        <v>0</v>
      </c>
      <c r="E18192" s="2">
        <v>0</v>
      </c>
      <c r="F18192" s="2">
        <v>0</v>
      </c>
      <c r="G18192" s="2">
        <v>0</v>
      </c>
      <c r="H18192" s="1" t="s">
        <v>0</v>
      </c>
      <c r="I18192" s="2">
        <v>0</v>
      </c>
      <c r="J18192" s="1">
        <v>45930.377106481479</v>
      </c>
    </row>
    <row r="18193" spans="1:10" x14ac:dyDescent="0.2">
      <c r="A18193" s="4" t="s">
        <v>1</v>
      </c>
      <c r="B18193" s="3" t="str">
        <f>HYPERLINK("https://otsuka-europe-crm.veevavault.com/ui/#object/approved_document__v/V5OZ025E82TP0C6", "PSIQUIATRÍA - Guía de Manejo Psicoterapéutico")</f>
        <v>PSIQUIATRÍA - Guía de Manejo Psicoterapéutico</v>
      </c>
      <c r="C18193" s="3" t="str">
        <f>HYPERLINK("https://otsuka-europe-crm.veevavault.com/ui/#object/sent_email__v/VBLZ025E82GWSIR", "SE-000280028")</f>
        <v>SE-000280028</v>
      </c>
      <c r="D18193" s="1">
        <v>45930.378159722219</v>
      </c>
      <c r="E18193" s="2">
        <v>1</v>
      </c>
      <c r="F18193" s="2">
        <v>1</v>
      </c>
      <c r="G18193" s="2">
        <v>1</v>
      </c>
      <c r="H18193" s="1">
        <v>45930.37908564815</v>
      </c>
      <c r="I18193" s="2">
        <v>4</v>
      </c>
      <c r="J18193" s="1">
        <v>45930.377256944441</v>
      </c>
    </row>
    <row r="18194" spans="1:10" x14ac:dyDescent="0.2">
      <c r="A18194" s="4" t="s">
        <v>1</v>
      </c>
      <c r="B18194" s="3" t="str">
        <f>HYPERLINK("https://otsuka-europe-crm.veevavault.com/ui/#object/approved_document__v/V5OZ025E82TP0C6", "PSIQUIATRÍA - Guía de Manejo Psicoterapéutico")</f>
        <v>PSIQUIATRÍA - Guía de Manejo Psicoterapéutico</v>
      </c>
      <c r="C18194" s="3" t="str">
        <f>HYPERLINK("https://otsuka-europe-crm.veevavault.com/ui/#object/sent_email__v/VBLZ025E82GWSWD", "SE-000280106")</f>
        <v>SE-000280106</v>
      </c>
      <c r="D18194" s="1" t="s">
        <v>0</v>
      </c>
      <c r="E18194" s="2">
        <v>0</v>
      </c>
      <c r="F18194" s="2">
        <v>0</v>
      </c>
      <c r="G18194" s="2">
        <v>0</v>
      </c>
      <c r="H18194" s="1" t="s">
        <v>0</v>
      </c>
      <c r="I18194" s="2">
        <v>0</v>
      </c>
      <c r="J18194" s="1">
        <v>45930.377118055556</v>
      </c>
    </row>
    <row r="18195" spans="1:10" x14ac:dyDescent="0.2">
      <c r="A18195" s="4" t="s">
        <v>1</v>
      </c>
      <c r="B18195" s="3" t="str">
        <f>HYPERLINK("https://otsuka-europe-crm.veevavault.com/ui/#object/approved_document__v/V5OZ025E82TP0C6", "PSIQUIATRÍA - Guía de Manejo Psicoterapéutico")</f>
        <v>PSIQUIATRÍA - Guía de Manejo Psicoterapéutico</v>
      </c>
      <c r="C18195" s="3" t="str">
        <f>HYPERLINK("https://otsuka-europe-crm.veevavault.com/ui/#object/sent_email__v/VBL000000015258", "SE-001400616")</f>
        <v>SE-001400616</v>
      </c>
      <c r="D18195" s="1" t="s">
        <v>0</v>
      </c>
      <c r="E18195" s="2">
        <v>0</v>
      </c>
      <c r="F18195" s="2">
        <v>0</v>
      </c>
      <c r="G18195" s="2">
        <v>0</v>
      </c>
      <c r="H18195" s="1" t="s">
        <v>0</v>
      </c>
      <c r="I18195" s="2">
        <v>0</v>
      </c>
      <c r="J18195" s="1">
        <v>46043.471516203703</v>
      </c>
    </row>
    <row r="18196" spans="1:10" x14ac:dyDescent="0.2">
      <c r="A18196" s="4" t="s">
        <v>1</v>
      </c>
      <c r="B18196" s="3" t="str">
        <f>HYPERLINK("https://otsuka-europe-crm.veevavault.com/ui/#object/approved_document__v/V5OZ025E82TRMJU", "PSIQUIATRÍA - Programas ECNP 2025")</f>
        <v>PSIQUIATRÍA - Programas ECNP 2025</v>
      </c>
      <c r="C18196" s="3" t="str">
        <f>HYPERLINK("https://otsuka-europe-crm.veevavault.com/ui/#object/sent_email__v/VBLZ025E82GTFZL", "SE-000276685")</f>
        <v>SE-000276685</v>
      </c>
      <c r="D18196" s="1">
        <v>45920.830578703702</v>
      </c>
      <c r="E18196" s="2">
        <v>1</v>
      </c>
      <c r="F18196" s="2">
        <v>2</v>
      </c>
      <c r="G18196" s="2">
        <v>1</v>
      </c>
      <c r="H18196" s="1">
        <v>45918.644768518519</v>
      </c>
      <c r="I18196" s="2">
        <v>5</v>
      </c>
      <c r="J18196" s="1">
        <v>45918.643796296295</v>
      </c>
    </row>
    <row r="18197" spans="1:10" x14ac:dyDescent="0.2">
      <c r="A18197" s="4" t="s">
        <v>1</v>
      </c>
      <c r="B18197" s="3" t="str">
        <f>HYPERLINK("https://otsuka-europe-crm.veevavault.com/ui/#object/approved_document__v/V5OZ025E82U98YQ", "PSIQUIATRÍA - Programas ECNP 2025")</f>
        <v>PSIQUIATRÍA - Programas ECNP 2025</v>
      </c>
      <c r="C18197" s="3" t="str">
        <f>HYPERLINK("https://otsuka-europe-crm.veevavault.com/ui/#object/sent_email__v/VBLZ025E82H6U35", "SE-000282670")</f>
        <v>SE-000282670</v>
      </c>
      <c r="D18197" s="1">
        <v>45937.720810185187</v>
      </c>
      <c r="E18197" s="2">
        <v>1</v>
      </c>
      <c r="F18197" s="2">
        <v>3</v>
      </c>
      <c r="G18197" s="2">
        <v>1</v>
      </c>
      <c r="H18197" s="1">
        <v>45931.63385416667</v>
      </c>
      <c r="I18197" s="2">
        <v>2</v>
      </c>
      <c r="J18197" s="1">
        <v>45931.633668981478</v>
      </c>
    </row>
    <row r="18198" spans="1:10" x14ac:dyDescent="0.2">
      <c r="A18198" s="4" t="s">
        <v>1</v>
      </c>
      <c r="B18198" s="3" t="str">
        <f>HYPERLINK("https://otsuka-europe-crm.veevavault.com/ui/#object/approved_document__v/V5OZ025E82U98YQ", "PSIQUIATRÍA - Programas ECNP 2025")</f>
        <v>PSIQUIATRÍA - Programas ECNP 2025</v>
      </c>
      <c r="C18198" s="3" t="str">
        <f>HYPERLINK("https://otsuka-europe-crm.veevavault.com/ui/#object/sent_email__v/VBLZ025E82H713X", "SE-000282731")</f>
        <v>SE-000282731</v>
      </c>
      <c r="D18198" s="1">
        <v>45931.775891203702</v>
      </c>
      <c r="E18198" s="2">
        <v>1</v>
      </c>
      <c r="F18198" s="2">
        <v>2</v>
      </c>
      <c r="G18198" s="2">
        <v>1</v>
      </c>
      <c r="H18198" s="1">
        <v>45931.776180555556</v>
      </c>
      <c r="I18198" s="2">
        <v>1</v>
      </c>
      <c r="J18198" s="1">
        <v>45931.670243055552</v>
      </c>
    </row>
    <row r="18199" spans="1:10" x14ac:dyDescent="0.2">
      <c r="A18199" s="4" t="s">
        <v>1</v>
      </c>
      <c r="B18199" s="3" t="str">
        <f>HYPERLINK("https://otsuka-europe-crm.veevavault.com/ui/#object/approved_document__v/V5OZ025E82U98YQ", "PSIQUIATRÍA - Programas ECNP 2025")</f>
        <v>PSIQUIATRÍA - Programas ECNP 2025</v>
      </c>
      <c r="C18199" s="3" t="str">
        <f>HYPERLINK("https://otsuka-europe-crm.veevavault.com/ui/#object/sent_email__v/VBLZ025E82H713Y", "SE-000282732")</f>
        <v>SE-000282732</v>
      </c>
      <c r="D18199" s="1">
        <v>45933.443090277775</v>
      </c>
      <c r="E18199" s="2">
        <v>1</v>
      </c>
      <c r="F18199" s="2">
        <v>2</v>
      </c>
      <c r="G18199" s="2">
        <v>1</v>
      </c>
      <c r="H18199" s="1">
        <v>45931.678807870368</v>
      </c>
      <c r="I18199" s="2">
        <v>2</v>
      </c>
      <c r="J18199" s="1">
        <v>45931.670208333337</v>
      </c>
    </row>
    <row r="18200" spans="1:10" x14ac:dyDescent="0.2">
      <c r="A18200" s="4" t="s">
        <v>1</v>
      </c>
      <c r="B18200" s="3" t="str">
        <f>HYPERLINK("https://otsuka-europe-crm.veevavault.com/ui/#object/approved_document__v/V5OZ025E82U98YQ", "PSIQUIATRÍA - Programas ECNP 2025")</f>
        <v>PSIQUIATRÍA - Programas ECNP 2025</v>
      </c>
      <c r="C18200" s="3" t="str">
        <f>HYPERLINK("https://otsuka-europe-crm.veevavault.com/ui/#object/sent_email__v/VBLZ025E82H716P", "SE-000282733")</f>
        <v>SE-000282733</v>
      </c>
      <c r="D18200" s="1">
        <v>45931.731168981481</v>
      </c>
      <c r="E18200" s="2">
        <v>1</v>
      </c>
      <c r="F18200" s="2">
        <v>1</v>
      </c>
      <c r="G18200" s="2">
        <v>0</v>
      </c>
      <c r="H18200" s="1" t="s">
        <v>0</v>
      </c>
      <c r="I18200" s="2">
        <v>0</v>
      </c>
      <c r="J18200" s="1">
        <v>45931.670671296299</v>
      </c>
    </row>
    <row r="18201" spans="1:10" x14ac:dyDescent="0.2">
      <c r="A18201" s="4" t="s">
        <v>1</v>
      </c>
      <c r="B18201" s="3" t="str">
        <f>HYPERLINK("https://otsuka-europe-crm.veevavault.com/ui/#object/approved_document__v/V5OZ025E82U98YQ", "PSIQUIATRÍA - Programas ECNP 2025")</f>
        <v>PSIQUIATRÍA - Programas ECNP 2025</v>
      </c>
      <c r="C18201" s="3" t="str">
        <f>HYPERLINK("https://otsuka-europe-crm.veevavault.com/ui/#object/sent_email__v/VBLZ025E82H716Q", "SE-000282734")</f>
        <v>SE-000282734</v>
      </c>
      <c r="D18201" s="1" t="s">
        <v>0</v>
      </c>
      <c r="E18201" s="2">
        <v>0</v>
      </c>
      <c r="F18201" s="2">
        <v>0</v>
      </c>
      <c r="G18201" s="2">
        <v>0</v>
      </c>
      <c r="H18201" s="1" t="s">
        <v>0</v>
      </c>
      <c r="I18201" s="2">
        <v>0</v>
      </c>
      <c r="J18201" s="1">
        <v>45931.670682870368</v>
      </c>
    </row>
    <row r="18202" spans="1:10" x14ac:dyDescent="0.2">
      <c r="A18202" s="4" t="s">
        <v>1</v>
      </c>
      <c r="B18202" s="3" t="str">
        <f>HYPERLINK("https://otsuka-europe-crm.veevavault.com/ui/#object/approved_document__v/V5OZ025E82U98YQ", "PSIQUIATRÍA - Programas ECNP 2025")</f>
        <v>PSIQUIATRÍA - Programas ECNP 2025</v>
      </c>
      <c r="C18202" s="3" t="str">
        <f>HYPERLINK("https://otsuka-europe-crm.veevavault.com/ui/#object/sent_email__v/VBLZ025E82H7G2T", "SE-000282835")</f>
        <v>SE-000282835</v>
      </c>
      <c r="D18202" s="1">
        <v>45937.704155092593</v>
      </c>
      <c r="E18202" s="2">
        <v>1</v>
      </c>
      <c r="F18202" s="2">
        <v>2</v>
      </c>
      <c r="G18202" s="2">
        <v>0</v>
      </c>
      <c r="H18202" s="1" t="s">
        <v>0</v>
      </c>
      <c r="I18202" s="2">
        <v>0</v>
      </c>
      <c r="J18202" s="1">
        <v>45932.381655092591</v>
      </c>
    </row>
    <row r="18203" spans="1:10" x14ac:dyDescent="0.2">
      <c r="A18203" s="4" t="s">
        <v>1</v>
      </c>
      <c r="B18203" s="3" t="str">
        <f>HYPERLINK("https://otsuka-europe-crm.veevavault.com/ui/#object/approved_document__v/V5OZ025E82U98YQ", "PSIQUIATRÍA - Programas ECNP 2025")</f>
        <v>PSIQUIATRÍA - Programas ECNP 2025</v>
      </c>
      <c r="C18203" s="3" t="str">
        <f>HYPERLINK("https://otsuka-europe-crm.veevavault.com/ui/#object/sent_email__v/VBLZ025E82H7G2U", "SE-000282836")</f>
        <v>SE-000282836</v>
      </c>
      <c r="D18203" s="1">
        <v>45933.002962962964</v>
      </c>
      <c r="E18203" s="2">
        <v>1</v>
      </c>
      <c r="F18203" s="2">
        <v>2</v>
      </c>
      <c r="G18203" s="2">
        <v>0</v>
      </c>
      <c r="H18203" s="1" t="s">
        <v>0</v>
      </c>
      <c r="I18203" s="2">
        <v>0</v>
      </c>
      <c r="J18203" s="1">
        <v>45932.381666666668</v>
      </c>
    </row>
    <row r="18204" spans="1:10" x14ac:dyDescent="0.2">
      <c r="A18204" s="4" t="s">
        <v>1</v>
      </c>
      <c r="B18204" s="3" t="str">
        <f>HYPERLINK("https://otsuka-europe-crm.veevavault.com/ui/#object/approved_document__v/V5OZ025E82U98YQ", "PSIQUIATRÍA - Programas ECNP 2025")</f>
        <v>PSIQUIATRÍA - Programas ECNP 2025</v>
      </c>
      <c r="C18204" s="3" t="str">
        <f>HYPERLINK("https://otsuka-europe-crm.veevavault.com/ui/#object/sent_email__v/VBLZ025E82H7G2V", "SE-000282837")</f>
        <v>SE-000282837</v>
      </c>
      <c r="D18204" s="1">
        <v>45935.51771990741</v>
      </c>
      <c r="E18204" s="2">
        <v>1</v>
      </c>
      <c r="F18204" s="2">
        <v>2</v>
      </c>
      <c r="G18204" s="2">
        <v>0</v>
      </c>
      <c r="H18204" s="1" t="s">
        <v>0</v>
      </c>
      <c r="I18204" s="2">
        <v>0</v>
      </c>
      <c r="J18204" s="1">
        <v>45932.381666666668</v>
      </c>
    </row>
    <row r="18205" spans="1:10" x14ac:dyDescent="0.2">
      <c r="A18205" s="4" t="s">
        <v>1</v>
      </c>
      <c r="B18205" s="3" t="str">
        <f>HYPERLINK("https://otsuka-europe-crm.veevavault.com/ui/#object/approved_document__v/V5OZ025E82U98YQ", "PSIQUIATRÍA - Programas ECNP 2025")</f>
        <v>PSIQUIATRÍA - Programas ECNP 2025</v>
      </c>
      <c r="C18205" s="3" t="str">
        <f>HYPERLINK("https://otsuka-europe-crm.veevavault.com/ui/#object/sent_email__v/VBLZ025E82H7G2W", "SE-000282838")</f>
        <v>SE-000282838</v>
      </c>
      <c r="D18205" s="1" t="s">
        <v>0</v>
      </c>
      <c r="E18205" s="2">
        <v>0</v>
      </c>
      <c r="F18205" s="2">
        <v>0</v>
      </c>
      <c r="G18205" s="2">
        <v>0</v>
      </c>
      <c r="H18205" s="1" t="s">
        <v>0</v>
      </c>
      <c r="I18205" s="2">
        <v>0</v>
      </c>
      <c r="J18205" s="1">
        <v>45932.381678240738</v>
      </c>
    </row>
    <row r="18206" spans="1:10" x14ac:dyDescent="0.2">
      <c r="A18206" s="4" t="s">
        <v>1</v>
      </c>
      <c r="B18206" s="3" t="str">
        <f>HYPERLINK("https://otsuka-europe-crm.veevavault.com/ui/#object/approved_document__v/V5OZ025E82U98YQ", "PSIQUIATRÍA - Programas ECNP 2025")</f>
        <v>PSIQUIATRÍA - Programas ECNP 2025</v>
      </c>
      <c r="C18206" s="3" t="str">
        <f>HYPERLINK("https://otsuka-europe-crm.veevavault.com/ui/#object/sent_email__v/VBLZ025E82H7G2X", "SE-000282839")</f>
        <v>SE-000282839</v>
      </c>
      <c r="D18206" s="1">
        <v>45939.709016203706</v>
      </c>
      <c r="E18206" s="2">
        <v>1</v>
      </c>
      <c r="F18206" s="2">
        <v>1</v>
      </c>
      <c r="G18206" s="2">
        <v>0</v>
      </c>
      <c r="H18206" s="1" t="s">
        <v>0</v>
      </c>
      <c r="I18206" s="2">
        <v>0</v>
      </c>
      <c r="J18206" s="1">
        <v>45932.381689814814</v>
      </c>
    </row>
    <row r="18207" spans="1:10" x14ac:dyDescent="0.2">
      <c r="A18207" s="4" t="s">
        <v>1</v>
      </c>
      <c r="B18207" s="3" t="str">
        <f>HYPERLINK("https://otsuka-europe-crm.veevavault.com/ui/#object/approved_document__v/V5OZ025E82U98YQ", "PSIQUIATRÍA - Programas ECNP 2025")</f>
        <v>PSIQUIATRÍA - Programas ECNP 2025</v>
      </c>
      <c r="C18207" s="3" t="str">
        <f>HYPERLINK("https://otsuka-europe-crm.veevavault.com/ui/#object/sent_email__v/VBLZ025E82H7G2Y", "SE-000282840")</f>
        <v>SE-000282840</v>
      </c>
      <c r="D18207" s="1">
        <v>45939.802604166667</v>
      </c>
      <c r="E18207" s="2">
        <v>1</v>
      </c>
      <c r="F18207" s="2">
        <v>3</v>
      </c>
      <c r="G18207" s="2">
        <v>0</v>
      </c>
      <c r="H18207" s="1" t="s">
        <v>0</v>
      </c>
      <c r="I18207" s="2">
        <v>0</v>
      </c>
      <c r="J18207" s="1">
        <v>45932.381712962961</v>
      </c>
    </row>
    <row r="18208" spans="1:10" x14ac:dyDescent="0.2">
      <c r="A18208" s="4" t="s">
        <v>1</v>
      </c>
      <c r="B18208" s="3" t="str">
        <f>HYPERLINK("https://otsuka-europe-crm.veevavault.com/ui/#object/approved_document__v/V5OZ025E82U98YQ", "PSIQUIATRÍA - Programas ECNP 2025")</f>
        <v>PSIQUIATRÍA - Programas ECNP 2025</v>
      </c>
      <c r="C18208" s="3" t="str">
        <f>HYPERLINK("https://otsuka-europe-crm.veevavault.com/ui/#object/sent_email__v/VBLZ025E82H7G2Z", "SE-000282841")</f>
        <v>SE-000282841</v>
      </c>
      <c r="D18208" s="1">
        <v>45932.765451388892</v>
      </c>
      <c r="E18208" s="2">
        <v>1</v>
      </c>
      <c r="F18208" s="2">
        <v>1</v>
      </c>
      <c r="G18208" s="2">
        <v>0</v>
      </c>
      <c r="H18208" s="1" t="s">
        <v>0</v>
      </c>
      <c r="I18208" s="2">
        <v>0</v>
      </c>
      <c r="J18208" s="1">
        <v>45932.381701388891</v>
      </c>
    </row>
    <row r="18209" spans="1:10" x14ac:dyDescent="0.2">
      <c r="A18209" s="4" t="s">
        <v>1</v>
      </c>
      <c r="B18209" s="3" t="str">
        <f>HYPERLINK("https://otsuka-europe-crm.veevavault.com/ui/#object/approved_document__v/V5OZ025E82U98YQ", "PSIQUIATRÍA - Programas ECNP 2025")</f>
        <v>PSIQUIATRÍA - Programas ECNP 2025</v>
      </c>
      <c r="C18209" s="3" t="str">
        <f>HYPERLINK("https://otsuka-europe-crm.veevavault.com/ui/#object/sent_email__v/VBLZ025E82H7G30", "SE-000282842")</f>
        <v>SE-000282842</v>
      </c>
      <c r="D18209" s="1">
        <v>45940.523935185185</v>
      </c>
      <c r="E18209" s="2">
        <v>1</v>
      </c>
      <c r="F18209" s="2">
        <v>3</v>
      </c>
      <c r="G18209" s="2">
        <v>1</v>
      </c>
      <c r="H18209" s="1">
        <v>45935.518819444442</v>
      </c>
      <c r="I18209" s="2">
        <v>2</v>
      </c>
      <c r="J18209" s="1">
        <v>45932.381712962961</v>
      </c>
    </row>
    <row r="18210" spans="1:10" x14ac:dyDescent="0.2">
      <c r="A18210" s="4" t="s">
        <v>1</v>
      </c>
      <c r="B18210" s="3" t="str">
        <f>HYPERLINK("https://otsuka-europe-crm.veevavault.com/ui/#object/approved_document__v/V5OZ025E82U98YQ", "PSIQUIATRÍA - Programas ECNP 2025")</f>
        <v>PSIQUIATRÍA - Programas ECNP 2025</v>
      </c>
      <c r="C18210" s="3" t="str">
        <f>HYPERLINK("https://otsuka-europe-crm.veevavault.com/ui/#object/sent_email__v/VBLZ025E82H7I5T", "SE-000282864")</f>
        <v>SE-000282864</v>
      </c>
      <c r="D18210" s="1">
        <v>45949.986967592595</v>
      </c>
      <c r="E18210" s="2">
        <v>1</v>
      </c>
      <c r="F18210" s="2">
        <v>6</v>
      </c>
      <c r="G18210" s="2">
        <v>0</v>
      </c>
      <c r="H18210" s="1" t="s">
        <v>0</v>
      </c>
      <c r="I18210" s="2">
        <v>0</v>
      </c>
      <c r="J18210" s="1">
        <v>45932.41170138889</v>
      </c>
    </row>
    <row r="18211" spans="1:10" x14ac:dyDescent="0.2">
      <c r="A18211" s="4" t="s">
        <v>1</v>
      </c>
      <c r="B18211" s="3" t="str">
        <f>HYPERLINK("https://otsuka-europe-crm.veevavault.com/ui/#object/approved_document__v/V5OZ025E82U98YQ", "PSIQUIATRÍA - Programas ECNP 2025")</f>
        <v>PSIQUIATRÍA - Programas ECNP 2025</v>
      </c>
      <c r="C18211" s="3" t="str">
        <f>HYPERLINK("https://otsuka-europe-crm.veevavault.com/ui/#object/sent_email__v/VBLZ025E82H7I5U", "SE-000282865")</f>
        <v>SE-000282865</v>
      </c>
      <c r="D18211" s="1">
        <v>45939.259386574071</v>
      </c>
      <c r="E18211" s="2">
        <v>1</v>
      </c>
      <c r="F18211" s="2">
        <v>2</v>
      </c>
      <c r="G18211" s="2">
        <v>0</v>
      </c>
      <c r="H18211" s="1" t="s">
        <v>0</v>
      </c>
      <c r="I18211" s="2">
        <v>0</v>
      </c>
      <c r="J18211" s="1">
        <v>45932.411712962959</v>
      </c>
    </row>
    <row r="18212" spans="1:10" x14ac:dyDescent="0.2">
      <c r="A18212" s="4" t="s">
        <v>1</v>
      </c>
      <c r="B18212" s="3" t="str">
        <f>HYPERLINK("https://otsuka-europe-crm.veevavault.com/ui/#object/approved_document__v/V5OZ025E82U98YQ", "PSIQUIATRÍA - Programas ECNP 2025")</f>
        <v>PSIQUIATRÍA - Programas ECNP 2025</v>
      </c>
      <c r="C18212" s="3" t="str">
        <f>HYPERLINK("https://otsuka-europe-crm.veevavault.com/ui/#object/sent_email__v/VBLZ025E82H7I5V", "SE-000282866")</f>
        <v>SE-000282866</v>
      </c>
      <c r="D18212" s="1">
        <v>45933.570844907408</v>
      </c>
      <c r="E18212" s="2">
        <v>1</v>
      </c>
      <c r="F18212" s="2">
        <v>2</v>
      </c>
      <c r="G18212" s="2">
        <v>1</v>
      </c>
      <c r="H18212" s="1">
        <v>45932.412037037036</v>
      </c>
      <c r="I18212" s="2">
        <v>3</v>
      </c>
      <c r="J18212" s="1">
        <v>45932.411712962959</v>
      </c>
    </row>
    <row r="18213" spans="1:10" x14ac:dyDescent="0.2">
      <c r="A18213" s="4" t="s">
        <v>1</v>
      </c>
      <c r="B18213" s="3" t="str">
        <f>HYPERLINK("https://otsuka-europe-crm.veevavault.com/ui/#object/approved_document__v/V5OZ025E82U98YQ", "PSIQUIATRÍA - Programas ECNP 2025")</f>
        <v>PSIQUIATRÍA - Programas ECNP 2025</v>
      </c>
      <c r="C18213" s="3" t="str">
        <f>HYPERLINK("https://otsuka-europe-crm.veevavault.com/ui/#object/sent_email__v/VBLZ025E82H7I5W", "SE-000282867")</f>
        <v>SE-000282867</v>
      </c>
      <c r="D18213" s="1">
        <v>45935.508912037039</v>
      </c>
      <c r="E18213" s="2">
        <v>1</v>
      </c>
      <c r="F18213" s="2">
        <v>2</v>
      </c>
      <c r="G18213" s="2">
        <v>0</v>
      </c>
      <c r="H18213" s="1" t="s">
        <v>0</v>
      </c>
      <c r="I18213" s="2">
        <v>0</v>
      </c>
      <c r="J18213" s="1">
        <v>45932.411712962959</v>
      </c>
    </row>
    <row r="18214" spans="1:10" x14ac:dyDescent="0.2">
      <c r="A18214" s="4" t="s">
        <v>1</v>
      </c>
      <c r="B18214" s="3" t="str">
        <f>HYPERLINK("https://otsuka-europe-crm.veevavault.com/ui/#object/approved_document__v/V5OZ025E82U98YQ", "PSIQUIATRÍA - Programas ECNP 2025")</f>
        <v>PSIQUIATRÍA - Programas ECNP 2025</v>
      </c>
      <c r="C18214" s="3" t="str">
        <f>HYPERLINK("https://otsuka-europe-crm.veevavault.com/ui/#object/sent_email__v/VBLZ025E82H7I5X", "SE-000282868")</f>
        <v>SE-000282868</v>
      </c>
      <c r="D18214" s="1" t="s">
        <v>0</v>
      </c>
      <c r="E18214" s="2">
        <v>0</v>
      </c>
      <c r="F18214" s="2">
        <v>0</v>
      </c>
      <c r="G18214" s="2">
        <v>0</v>
      </c>
      <c r="H18214" s="1" t="s">
        <v>0</v>
      </c>
      <c r="I18214" s="2">
        <v>0</v>
      </c>
      <c r="J18214" s="1">
        <v>45932.411736111113</v>
      </c>
    </row>
    <row r="18215" spans="1:10" x14ac:dyDescent="0.2">
      <c r="A18215" s="4" t="s">
        <v>1</v>
      </c>
      <c r="B18215" s="3" t="str">
        <f>HYPERLINK("https://otsuka-europe-crm.veevavault.com/ui/#object/approved_document__v/V5OZ025E82U98YQ", "PSIQUIATRÍA - Programas ECNP 2025")</f>
        <v>PSIQUIATRÍA - Programas ECNP 2025</v>
      </c>
      <c r="C18215" s="3" t="str">
        <f>HYPERLINK("https://otsuka-europe-crm.veevavault.com/ui/#object/sent_email__v/VBLZ025E82H7I5Y", "SE-000282869")</f>
        <v>SE-000282869</v>
      </c>
      <c r="D18215" s="1">
        <v>45933.503229166665</v>
      </c>
      <c r="E18215" s="2">
        <v>1</v>
      </c>
      <c r="F18215" s="2">
        <v>5</v>
      </c>
      <c r="G18215" s="2">
        <v>0</v>
      </c>
      <c r="H18215" s="1" t="s">
        <v>0</v>
      </c>
      <c r="I18215" s="2">
        <v>0</v>
      </c>
      <c r="J18215" s="1">
        <v>45932.411736111113</v>
      </c>
    </row>
    <row r="18216" spans="1:10" x14ac:dyDescent="0.2">
      <c r="A18216" s="4" t="s">
        <v>1</v>
      </c>
      <c r="B18216" s="3" t="str">
        <f>HYPERLINK("https://otsuka-europe-crm.veevavault.com/ui/#object/approved_document__v/V5OZ025E82U98YQ", "PSIQUIATRÍA - Programas ECNP 2025")</f>
        <v>PSIQUIATRÍA - Programas ECNP 2025</v>
      </c>
      <c r="C18216" s="3" t="str">
        <f>HYPERLINK("https://otsuka-europe-crm.veevavault.com/ui/#object/sent_email__v/VBLZ025E82H7I5Z", "SE-000282870")</f>
        <v>SE-000282870</v>
      </c>
      <c r="D18216" s="1">
        <v>45932.490057870367</v>
      </c>
      <c r="E18216" s="2">
        <v>1</v>
      </c>
      <c r="F18216" s="2">
        <v>1</v>
      </c>
      <c r="G18216" s="2">
        <v>0</v>
      </c>
      <c r="H18216" s="1" t="s">
        <v>0</v>
      </c>
      <c r="I18216" s="2">
        <v>0</v>
      </c>
      <c r="J18216" s="1">
        <v>45932.411759259259</v>
      </c>
    </row>
    <row r="18217" spans="1:10" x14ac:dyDescent="0.2">
      <c r="A18217" s="4" t="s">
        <v>1</v>
      </c>
      <c r="B18217" s="3" t="str">
        <f>HYPERLINK("https://otsuka-europe-crm.veevavault.com/ui/#object/approved_document__v/V5OZ025E82U98YQ", "PSIQUIATRÍA - Programas ECNP 2025")</f>
        <v>PSIQUIATRÍA - Programas ECNP 2025</v>
      </c>
      <c r="C18217" s="3" t="str">
        <f>HYPERLINK("https://otsuka-europe-crm.veevavault.com/ui/#object/sent_email__v/VBLZ025E82H7I60", "SE-000282871")</f>
        <v>SE-000282871</v>
      </c>
      <c r="D18217" s="1">
        <v>45942.493032407408</v>
      </c>
      <c r="E18217" s="2">
        <v>1</v>
      </c>
      <c r="F18217" s="2">
        <v>5</v>
      </c>
      <c r="G18217" s="2">
        <v>0</v>
      </c>
      <c r="H18217" s="1" t="s">
        <v>0</v>
      </c>
      <c r="I18217" s="2">
        <v>0</v>
      </c>
      <c r="J18217" s="1">
        <v>45932.411770833336</v>
      </c>
    </row>
    <row r="18218" spans="1:10" x14ac:dyDescent="0.2">
      <c r="A18218" s="4" t="s">
        <v>1</v>
      </c>
      <c r="B18218" s="3" t="str">
        <f>HYPERLINK("https://otsuka-europe-crm.veevavault.com/ui/#object/approved_document__v/V5OZ025E82U98YQ", "PSIQUIATRÍA - Programas ECNP 2025")</f>
        <v>PSIQUIATRÍA - Programas ECNP 2025</v>
      </c>
      <c r="C18218" s="3" t="str">
        <f>HYPERLINK("https://otsuka-europe-crm.veevavault.com/ui/#object/sent_email__v/VBLZ025E82H8QOL", "SE-000283033")</f>
        <v>SE-000283033</v>
      </c>
      <c r="D18218" s="1">
        <v>45932.779224537036</v>
      </c>
      <c r="E18218" s="2">
        <v>1</v>
      </c>
      <c r="F18218" s="2">
        <v>1</v>
      </c>
      <c r="G18218" s="2">
        <v>0</v>
      </c>
      <c r="H18218" s="1" t="s">
        <v>0</v>
      </c>
      <c r="I18218" s="2">
        <v>0</v>
      </c>
      <c r="J18218" s="1">
        <v>45932.757719907408</v>
      </c>
    </row>
    <row r="18219" spans="1:10" x14ac:dyDescent="0.2">
      <c r="A18219" s="4" t="s">
        <v>1</v>
      </c>
      <c r="B18219" s="3" t="str">
        <f>HYPERLINK("https://otsuka-europe-crm.veevavault.com/ui/#object/approved_document__v/V5OZ025E82U98YQ", "PSIQUIATRÍA - Programas ECNP 2025")</f>
        <v>PSIQUIATRÍA - Programas ECNP 2025</v>
      </c>
      <c r="C18219" s="3" t="str">
        <f>HYPERLINK("https://otsuka-europe-crm.veevavault.com/ui/#object/sent_email__v/VBLZ025E82H8QOM", "SE-000283034")</f>
        <v>SE-000283034</v>
      </c>
      <c r="D18219" s="1" t="s">
        <v>0</v>
      </c>
      <c r="E18219" s="2">
        <v>0</v>
      </c>
      <c r="F18219" s="2">
        <v>0</v>
      </c>
      <c r="G18219" s="2">
        <v>0</v>
      </c>
      <c r="H18219" s="1" t="s">
        <v>0</v>
      </c>
      <c r="I18219" s="2">
        <v>0</v>
      </c>
      <c r="J18219" s="1">
        <v>45932.757731481484</v>
      </c>
    </row>
    <row r="18220" spans="1:10" x14ac:dyDescent="0.2">
      <c r="A18220" s="4" t="s">
        <v>1</v>
      </c>
      <c r="B18220" s="3" t="str">
        <f>HYPERLINK("https://otsuka-europe-crm.veevavault.com/ui/#object/approved_document__v/V5OZ025E82U98YQ", "PSIQUIATRÍA - Programas ECNP 2025")</f>
        <v>PSIQUIATRÍA - Programas ECNP 2025</v>
      </c>
      <c r="C18220" s="3" t="str">
        <f>HYPERLINK("https://otsuka-europe-crm.veevavault.com/ui/#object/sent_email__v/VBLZ025E82H8QON", "SE-000283035")</f>
        <v>SE-000283035</v>
      </c>
      <c r="D18220" s="1">
        <v>45949.765127314815</v>
      </c>
      <c r="E18220" s="2">
        <v>1</v>
      </c>
      <c r="F18220" s="2">
        <v>5</v>
      </c>
      <c r="G18220" s="2">
        <v>0</v>
      </c>
      <c r="H18220" s="1" t="s">
        <v>0</v>
      </c>
      <c r="I18220" s="2">
        <v>0</v>
      </c>
      <c r="J18220" s="1">
        <v>45932.757743055554</v>
      </c>
    </row>
    <row r="18221" spans="1:10" x14ac:dyDescent="0.2">
      <c r="A18221" s="4" t="s">
        <v>1</v>
      </c>
      <c r="B18221" s="3" t="str">
        <f>HYPERLINK("https://otsuka-europe-crm.veevavault.com/ui/#object/approved_document__v/V5OZ025E82U98YQ", "PSIQUIATRÍA - Programas ECNP 2025")</f>
        <v>PSIQUIATRÍA - Programas ECNP 2025</v>
      </c>
      <c r="C18221" s="3" t="str">
        <f>HYPERLINK("https://otsuka-europe-crm.veevavault.com/ui/#object/sent_email__v/VBLZ025E82H8QOO", "SE-000283036")</f>
        <v>SE-000283036</v>
      </c>
      <c r="D18221" s="1">
        <v>45933.403333333335</v>
      </c>
      <c r="E18221" s="2">
        <v>1</v>
      </c>
      <c r="F18221" s="2">
        <v>2</v>
      </c>
      <c r="G18221" s="2">
        <v>0</v>
      </c>
      <c r="H18221" s="1" t="s">
        <v>0</v>
      </c>
      <c r="I18221" s="2">
        <v>0</v>
      </c>
      <c r="J18221" s="1">
        <v>45932.757743055554</v>
      </c>
    </row>
    <row r="18222" spans="1:10" x14ac:dyDescent="0.2">
      <c r="A18222" s="4" t="s">
        <v>1</v>
      </c>
      <c r="B18222" s="3" t="str">
        <f>HYPERLINK("https://otsuka-europe-crm.veevavault.com/ui/#object/approved_document__v/V5OZ025E82U98YQ", "PSIQUIATRÍA - Programas ECNP 2025")</f>
        <v>PSIQUIATRÍA - Programas ECNP 2025</v>
      </c>
      <c r="C18222" s="3" t="str">
        <f>HYPERLINK("https://otsuka-europe-crm.veevavault.com/ui/#object/sent_email__v/VBLZ025E82H8QOP", "SE-000283037")</f>
        <v>SE-000283037</v>
      </c>
      <c r="D18222" s="1">
        <v>45937.395335648151</v>
      </c>
      <c r="E18222" s="2">
        <v>1</v>
      </c>
      <c r="F18222" s="2">
        <v>2</v>
      </c>
      <c r="G18222" s="2">
        <v>0</v>
      </c>
      <c r="H18222" s="1" t="s">
        <v>0</v>
      </c>
      <c r="I18222" s="2">
        <v>0</v>
      </c>
      <c r="J18222" s="1">
        <v>45932.757754629631</v>
      </c>
    </row>
    <row r="18223" spans="1:10" x14ac:dyDescent="0.2">
      <c r="A18223" s="4" t="s">
        <v>1</v>
      </c>
      <c r="B18223" s="3" t="str">
        <f>HYPERLINK("https://otsuka-europe-crm.veevavault.com/ui/#object/approved_document__v/V5OZ025E82U98YQ", "PSIQUIATRÍA - Programas ECNP 2025")</f>
        <v>PSIQUIATRÍA - Programas ECNP 2025</v>
      </c>
      <c r="C18223" s="3" t="str">
        <f>HYPERLINK("https://otsuka-europe-crm.veevavault.com/ui/#object/sent_email__v/VBLZ025E82H8QOQ", "SE-000283038")</f>
        <v>SE-000283038</v>
      </c>
      <c r="D18223" s="1">
        <v>45938.996064814812</v>
      </c>
      <c r="E18223" s="2">
        <v>1</v>
      </c>
      <c r="F18223" s="2">
        <v>4</v>
      </c>
      <c r="G18223" s="2">
        <v>1</v>
      </c>
      <c r="H18223" s="1">
        <v>45937.928379629629</v>
      </c>
      <c r="I18223" s="2">
        <v>1</v>
      </c>
      <c r="J18223" s="1">
        <v>45932.757754629631</v>
      </c>
    </row>
    <row r="18224" spans="1:10" x14ac:dyDescent="0.2">
      <c r="A18224" s="4" t="s">
        <v>1</v>
      </c>
      <c r="B18224" s="3" t="str">
        <f>HYPERLINK("https://otsuka-europe-crm.veevavault.com/ui/#object/approved_document__v/V5OZ025E82U98YQ", "PSIQUIATRÍA - Programas ECNP 2025")</f>
        <v>PSIQUIATRÍA - Programas ECNP 2025</v>
      </c>
      <c r="C18224" s="3" t="str">
        <f>HYPERLINK("https://otsuka-europe-crm.veevavault.com/ui/#object/sent_email__v/VBLZ025E82H8QOR", "SE-000283039")</f>
        <v>SE-000283039</v>
      </c>
      <c r="D18224" s="1">
        <v>45932.932638888888</v>
      </c>
      <c r="E18224" s="2">
        <v>1</v>
      </c>
      <c r="F18224" s="2">
        <v>1</v>
      </c>
      <c r="G18224" s="2">
        <v>0</v>
      </c>
      <c r="H18224" s="1" t="s">
        <v>0</v>
      </c>
      <c r="I18224" s="2">
        <v>0</v>
      </c>
      <c r="J18224" s="1">
        <v>45932.7577662037</v>
      </c>
    </row>
    <row r="18225" spans="1:10" x14ac:dyDescent="0.2">
      <c r="A18225" s="4" t="s">
        <v>1</v>
      </c>
      <c r="B18225" s="3" t="str">
        <f>HYPERLINK("https://otsuka-europe-crm.veevavault.com/ui/#object/approved_document__v/V5OZ025E82U98YQ", "PSIQUIATRÍA - Programas ECNP 2025")</f>
        <v>PSIQUIATRÍA - Programas ECNP 2025</v>
      </c>
      <c r="C18225" s="3" t="str">
        <f>HYPERLINK("https://otsuka-europe-crm.veevavault.com/ui/#object/sent_email__v/VBLZ025E82H8QOS", "SE-000283040")</f>
        <v>SE-000283040</v>
      </c>
      <c r="D18225" s="1">
        <v>45941.712604166663</v>
      </c>
      <c r="E18225" s="2">
        <v>1</v>
      </c>
      <c r="F18225" s="2">
        <v>1</v>
      </c>
      <c r="G18225" s="2">
        <v>0</v>
      </c>
      <c r="H18225" s="1" t="s">
        <v>0</v>
      </c>
      <c r="I18225" s="2">
        <v>0</v>
      </c>
      <c r="J18225" s="1">
        <v>45932.7577662037</v>
      </c>
    </row>
    <row r="18226" spans="1:10" x14ac:dyDescent="0.2">
      <c r="A18226" s="4" t="s">
        <v>1</v>
      </c>
      <c r="B18226" s="3" t="str">
        <f>HYPERLINK("https://otsuka-europe-crm.veevavault.com/ui/#object/approved_document__v/V5OZ025E82U98YQ", "PSIQUIATRÍA - Programas ECNP 2025")</f>
        <v>PSIQUIATRÍA - Programas ECNP 2025</v>
      </c>
      <c r="C18226" s="3" t="str">
        <f>HYPERLINK("https://otsuka-europe-crm.veevavault.com/ui/#object/sent_email__v/VBLZ025E82H9BQX", "SE-000283218")</f>
        <v>SE-000283218</v>
      </c>
      <c r="D18226" s="1">
        <v>45938.871759259258</v>
      </c>
      <c r="E18226" s="2">
        <v>1</v>
      </c>
      <c r="F18226" s="2">
        <v>2</v>
      </c>
      <c r="G18226" s="2">
        <v>0</v>
      </c>
      <c r="H18226" s="1" t="s">
        <v>0</v>
      </c>
      <c r="I18226" s="2">
        <v>0</v>
      </c>
      <c r="J18226" s="1">
        <v>45933.401250000003</v>
      </c>
    </row>
    <row r="18227" spans="1:10" x14ac:dyDescent="0.2">
      <c r="A18227" s="4" t="s">
        <v>1</v>
      </c>
      <c r="B18227" s="3" t="str">
        <f>HYPERLINK("https://otsuka-europe-crm.veevavault.com/ui/#object/approved_document__v/V5OZ025E82U98YQ", "PSIQUIATRÍA - Programas ECNP 2025")</f>
        <v>PSIQUIATRÍA - Programas ECNP 2025</v>
      </c>
      <c r="C18227" s="3" t="str">
        <f>HYPERLINK("https://otsuka-europe-crm.veevavault.com/ui/#object/sent_email__v/VBLZ025E82H9BWH", "SE-000283219")</f>
        <v>SE-000283219</v>
      </c>
      <c r="D18227" s="1">
        <v>45933.573182870372</v>
      </c>
      <c r="E18227" s="2">
        <v>1</v>
      </c>
      <c r="F18227" s="2">
        <v>1</v>
      </c>
      <c r="G18227" s="2">
        <v>1</v>
      </c>
      <c r="H18227" s="1">
        <v>45933.694837962961</v>
      </c>
      <c r="I18227" s="2">
        <v>1</v>
      </c>
      <c r="J18227" s="1">
        <v>45933.401967592596</v>
      </c>
    </row>
    <row r="18228" spans="1:10" x14ac:dyDescent="0.2">
      <c r="A18228" s="4" t="s">
        <v>1</v>
      </c>
      <c r="B18228" s="3" t="str">
        <f>HYPERLINK("https://otsuka-europe-crm.veevavault.com/ui/#object/approved_document__v/V5OZ025E82U98YQ", "PSIQUIATRÍA - Programas ECNP 2025")</f>
        <v>PSIQUIATRÍA - Programas ECNP 2025</v>
      </c>
      <c r="C18228" s="3" t="str">
        <f>HYPERLINK("https://otsuka-europe-crm.veevavault.com/ui/#object/sent_email__v/VBLZ025E82HA9B9", "SE-000283256")</f>
        <v>SE-000283256</v>
      </c>
      <c r="D18228" s="1">
        <v>45942.043912037036</v>
      </c>
      <c r="E18228" s="2">
        <v>1</v>
      </c>
      <c r="F18228" s="2">
        <v>4</v>
      </c>
      <c r="G18228" s="2">
        <v>0</v>
      </c>
      <c r="H18228" s="1" t="s">
        <v>0</v>
      </c>
      <c r="I18228" s="2">
        <v>0</v>
      </c>
      <c r="J18228" s="1">
        <v>45933.53943287037</v>
      </c>
    </row>
    <row r="18229" spans="1:10" x14ac:dyDescent="0.2">
      <c r="A18229" s="4" t="s">
        <v>1</v>
      </c>
      <c r="B18229" s="3" t="str">
        <f>HYPERLINK("https://otsuka-europe-crm.veevavault.com/ui/#object/approved_document__v/V5OZ025E82U98YQ", "PSIQUIATRÍA - Programas ECNP 2025")</f>
        <v>PSIQUIATRÍA - Programas ECNP 2025</v>
      </c>
      <c r="C18229" s="3" t="str">
        <f>HYPERLINK("https://otsuka-europe-crm.veevavault.com/ui/#object/sent_email__v/VBLZ025E82HB7C9", "SE-000283526")</f>
        <v>SE-000283526</v>
      </c>
      <c r="D18229" s="1" t="s">
        <v>0</v>
      </c>
      <c r="E18229" s="2">
        <v>0</v>
      </c>
      <c r="F18229" s="2">
        <v>0</v>
      </c>
      <c r="G18229" s="2">
        <v>0</v>
      </c>
      <c r="H18229" s="1" t="s">
        <v>0</v>
      </c>
      <c r="I18229" s="2">
        <v>0</v>
      </c>
      <c r="J18229" s="1">
        <v>45936.431851851848</v>
      </c>
    </row>
    <row r="18230" spans="1:10" x14ac:dyDescent="0.2">
      <c r="A18230" s="4" t="s">
        <v>1</v>
      </c>
      <c r="B18230" s="3" t="str">
        <f>HYPERLINK("https://otsuka-europe-crm.veevavault.com/ui/#object/approved_document__v/V5OZ025E82U98YQ", "PSIQUIATRÍA - Programas ECNP 2025")</f>
        <v>PSIQUIATRÍA - Programas ECNP 2025</v>
      </c>
      <c r="C18230" s="3" t="str">
        <f>HYPERLINK("https://otsuka-europe-crm.veevavault.com/ui/#object/sent_email__v/VBLZ025E82HB5YA", "SE-000283527")</f>
        <v>SE-000283527</v>
      </c>
      <c r="D18230" s="1">
        <v>45942.870462962965</v>
      </c>
      <c r="E18230" s="2">
        <v>1</v>
      </c>
      <c r="F18230" s="2">
        <v>12</v>
      </c>
      <c r="G18230" s="2">
        <v>0</v>
      </c>
      <c r="H18230" s="1" t="s">
        <v>0</v>
      </c>
      <c r="I18230" s="2">
        <v>0</v>
      </c>
      <c r="J18230" s="1">
        <v>45936.431944444441</v>
      </c>
    </row>
    <row r="18231" spans="1:10" x14ac:dyDescent="0.2">
      <c r="A18231" s="4" t="s">
        <v>1</v>
      </c>
      <c r="B18231" s="3" t="str">
        <f>HYPERLINK("https://otsuka-europe-crm.veevavault.com/ui/#object/approved_document__v/V5OZ025E82U98YQ", "PSIQUIATRÍA - Programas ECNP 2025")</f>
        <v>PSIQUIATRÍA - Programas ECNP 2025</v>
      </c>
      <c r="C18231" s="3" t="str">
        <f>HYPERLINK("https://otsuka-europe-crm.veevavault.com/ui/#object/sent_email__v/VBLZ025E82HB7KL", "SE-000283528")</f>
        <v>SE-000283528</v>
      </c>
      <c r="D18231" s="1">
        <v>45937.679178240738</v>
      </c>
      <c r="E18231" s="2">
        <v>1</v>
      </c>
      <c r="F18231" s="2">
        <v>2</v>
      </c>
      <c r="G18231" s="2">
        <v>0</v>
      </c>
      <c r="H18231" s="1" t="s">
        <v>0</v>
      </c>
      <c r="I18231" s="2">
        <v>0</v>
      </c>
      <c r="J18231" s="1">
        <v>45936.432129629633</v>
      </c>
    </row>
    <row r="18232" spans="1:10" x14ac:dyDescent="0.2">
      <c r="A18232" s="4" t="s">
        <v>1</v>
      </c>
      <c r="B18232" s="3" t="str">
        <f>HYPERLINK("https://otsuka-europe-crm.veevavault.com/ui/#object/approved_document__v/V5OZ025E82U98YQ", "PSIQUIATRÍA - Programas ECNP 2025")</f>
        <v>PSIQUIATRÍA - Programas ECNP 2025</v>
      </c>
      <c r="C18232" s="3" t="str">
        <f>HYPERLINK("https://otsuka-europe-crm.veevavault.com/ui/#object/sent_email__v/VBLZ025E82HB7Q5", "SE-000283529")</f>
        <v>SE-000283529</v>
      </c>
      <c r="D18232" s="1">
        <v>45937.583715277775</v>
      </c>
      <c r="E18232" s="2">
        <v>1</v>
      </c>
      <c r="F18232" s="2">
        <v>2</v>
      </c>
      <c r="G18232" s="2">
        <v>0</v>
      </c>
      <c r="H18232" s="1" t="s">
        <v>0</v>
      </c>
      <c r="I18232" s="2">
        <v>0</v>
      </c>
      <c r="J18232" s="1">
        <v>45936.432118055556</v>
      </c>
    </row>
    <row r="18233" spans="1:10" x14ac:dyDescent="0.2">
      <c r="A18233" s="4" t="s">
        <v>1</v>
      </c>
      <c r="B18233" s="3" t="str">
        <f>HYPERLINK("https://otsuka-europe-crm.veevavault.com/ui/#object/approved_document__v/V5OZ025E82U98YQ", "PSIQUIATRÍA - Programas ECNP 2025")</f>
        <v>PSIQUIATRÍA - Programas ECNP 2025</v>
      </c>
      <c r="C18233" s="3" t="str">
        <f>HYPERLINK("https://otsuka-europe-crm.veevavault.com/ui/#object/sent_email__v/VBLZ025E82HB7SX", "SE-000283530")</f>
        <v>SE-000283530</v>
      </c>
      <c r="D18233" s="1">
        <v>45936.580185185187</v>
      </c>
      <c r="E18233" s="2">
        <v>1</v>
      </c>
      <c r="F18233" s="2">
        <v>2</v>
      </c>
      <c r="G18233" s="2">
        <v>0</v>
      </c>
      <c r="H18233" s="1" t="s">
        <v>0</v>
      </c>
      <c r="I18233" s="2">
        <v>0</v>
      </c>
      <c r="J18233" s="1">
        <v>45936.432268518518</v>
      </c>
    </row>
    <row r="18234" spans="1:10" x14ac:dyDescent="0.2">
      <c r="A18234" s="4" t="s">
        <v>1</v>
      </c>
      <c r="B18234" s="3" t="str">
        <f>HYPERLINK("https://otsuka-europe-crm.veevavault.com/ui/#object/approved_document__v/V5OZ025E82U98YQ", "PSIQUIATRÍA - Programas ECNP 2025")</f>
        <v>PSIQUIATRÍA - Programas ECNP 2025</v>
      </c>
      <c r="C18234" s="3" t="str">
        <f>HYPERLINK("https://otsuka-europe-crm.veevavault.com/ui/#object/sent_email__v/VBLZ025E82HB819", "SE-000283531")</f>
        <v>SE-000283531</v>
      </c>
      <c r="D18234" s="1" t="s">
        <v>0</v>
      </c>
      <c r="E18234" s="2">
        <v>0</v>
      </c>
      <c r="F18234" s="2">
        <v>0</v>
      </c>
      <c r="G18234" s="2">
        <v>0</v>
      </c>
      <c r="H18234" s="1" t="s">
        <v>0</v>
      </c>
      <c r="I18234" s="2">
        <v>0</v>
      </c>
      <c r="J18234" s="1">
        <v>45936.432245370372</v>
      </c>
    </row>
    <row r="18235" spans="1:10" x14ac:dyDescent="0.2">
      <c r="A18235" s="4" t="s">
        <v>1</v>
      </c>
      <c r="B18235" s="3" t="str">
        <f>HYPERLINK("https://otsuka-europe-crm.veevavault.com/ui/#object/approved_document__v/V5OZ025E82U98YQ", "PSIQUIATRÍA - Programas ECNP 2025")</f>
        <v>PSIQUIATRÍA - Programas ECNP 2025</v>
      </c>
      <c r="C18235" s="3" t="str">
        <f>HYPERLINK("https://otsuka-europe-crm.veevavault.com/ui/#object/sent_email__v/VBLZ025E82HB8CD", "SE-000283532")</f>
        <v>SE-000283532</v>
      </c>
      <c r="D18235" s="1">
        <v>45936.964722222219</v>
      </c>
      <c r="E18235" s="2">
        <v>1</v>
      </c>
      <c r="F18235" s="2">
        <v>1</v>
      </c>
      <c r="G18235" s="2">
        <v>0</v>
      </c>
      <c r="H18235" s="1" t="s">
        <v>0</v>
      </c>
      <c r="I18235" s="2">
        <v>0</v>
      </c>
      <c r="J18235" s="1">
        <v>45936.432256944441</v>
      </c>
    </row>
    <row r="18236" spans="1:10" x14ac:dyDescent="0.2">
      <c r="A18236" s="4" t="s">
        <v>1</v>
      </c>
      <c r="B18236" s="3" t="str">
        <f>HYPERLINK("https://otsuka-europe-crm.veevavault.com/ui/#object/approved_document__v/V5OZ025E82U98YQ", "PSIQUIATRÍA - Programas ECNP 2025")</f>
        <v>PSIQUIATRÍA - Programas ECNP 2025</v>
      </c>
      <c r="C18236" s="3" t="str">
        <f>HYPERLINK("https://otsuka-europe-crm.veevavault.com/ui/#object/sent_email__v/VBLZ025E82HB8KP", "SE-000283533")</f>
        <v>SE-000283533</v>
      </c>
      <c r="D18236" s="1">
        <v>45942.870462962965</v>
      </c>
      <c r="E18236" s="2">
        <v>1</v>
      </c>
      <c r="F18236" s="2">
        <v>4</v>
      </c>
      <c r="G18236" s="2">
        <v>0</v>
      </c>
      <c r="H18236" s="1" t="s">
        <v>0</v>
      </c>
      <c r="I18236" s="2">
        <v>0</v>
      </c>
      <c r="J18236" s="1">
        <v>45936.432523148149</v>
      </c>
    </row>
    <row r="18237" spans="1:10" x14ac:dyDescent="0.2">
      <c r="A18237" s="4" t="s">
        <v>1</v>
      </c>
      <c r="B18237" s="3" t="str">
        <f>HYPERLINK("https://otsuka-europe-crm.veevavault.com/ui/#object/approved_document__v/V5OZ025E82U98YQ", "PSIQUIATRÍA - Programas ECNP 2025")</f>
        <v>PSIQUIATRÍA - Programas ECNP 2025</v>
      </c>
      <c r="C18237" s="3" t="str">
        <f>HYPERLINK("https://otsuka-europe-crm.veevavault.com/ui/#object/sent_email__v/VBLZ025E82HB8NH", "SE-000283534")</f>
        <v>SE-000283534</v>
      </c>
      <c r="D18237" s="1" t="s">
        <v>0</v>
      </c>
      <c r="E18237" s="2">
        <v>0</v>
      </c>
      <c r="F18237" s="2">
        <v>0</v>
      </c>
      <c r="G18237" s="2">
        <v>0</v>
      </c>
      <c r="H18237" s="1" t="s">
        <v>0</v>
      </c>
      <c r="I18237" s="2">
        <v>0</v>
      </c>
      <c r="J18237" s="1">
        <v>45936.432476851849</v>
      </c>
    </row>
    <row r="18238" spans="1:10" x14ac:dyDescent="0.2">
      <c r="A18238" s="4" t="s">
        <v>1</v>
      </c>
      <c r="B18238" s="3" t="str">
        <f>HYPERLINK("https://otsuka-europe-crm.veevavault.com/ui/#object/approved_document__v/V5OZ025E82U98YQ", "PSIQUIATRÍA - Programas ECNP 2025")</f>
        <v>PSIQUIATRÍA - Programas ECNP 2025</v>
      </c>
      <c r="C18238" s="3" t="str">
        <f>HYPERLINK("https://otsuka-europe-crm.veevavault.com/ui/#object/sent_email__v/VBLZ025E82HB8T1", "SE-000283535")</f>
        <v>SE-000283535</v>
      </c>
      <c r="D18238" s="1">
        <v>45936.576319444444</v>
      </c>
      <c r="E18238" s="2">
        <v>1</v>
      </c>
      <c r="F18238" s="2">
        <v>1</v>
      </c>
      <c r="G18238" s="2">
        <v>0</v>
      </c>
      <c r="H18238" s="1" t="s">
        <v>0</v>
      </c>
      <c r="I18238" s="2">
        <v>0</v>
      </c>
      <c r="J18238" s="1">
        <v>45936.432303240741</v>
      </c>
    </row>
    <row r="18239" spans="1:10" x14ac:dyDescent="0.2">
      <c r="A18239" s="4" t="s">
        <v>1</v>
      </c>
      <c r="B18239" s="3" t="str">
        <f>HYPERLINK("https://otsuka-europe-crm.veevavault.com/ui/#object/approved_document__v/V5OZ025E82U98YQ", "PSIQUIATRÍA - Programas ECNP 2025")</f>
        <v>PSIQUIATRÍA - Programas ECNP 2025</v>
      </c>
      <c r="C18239" s="3" t="str">
        <f>HYPERLINK("https://otsuka-europe-crm.veevavault.com/ui/#object/sent_email__v/VBLZ025E82HB3PS", "SE-000283536")</f>
        <v>SE-000283536</v>
      </c>
      <c r="D18239" s="1">
        <v>45952.880601851852</v>
      </c>
      <c r="E18239" s="2">
        <v>1</v>
      </c>
      <c r="F18239" s="2">
        <v>6</v>
      </c>
      <c r="G18239" s="2">
        <v>0</v>
      </c>
      <c r="H18239" s="1" t="s">
        <v>0</v>
      </c>
      <c r="I18239" s="2">
        <v>0</v>
      </c>
      <c r="J18239" s="1">
        <v>45936.432615740741</v>
      </c>
    </row>
    <row r="18240" spans="1:10" x14ac:dyDescent="0.2">
      <c r="A18240" s="4" t="s">
        <v>1</v>
      </c>
      <c r="B18240" s="3" t="str">
        <f>HYPERLINK("https://otsuka-europe-crm.veevavault.com/ui/#object/approved_document__v/V5OZ025E82U98YQ", "PSIQUIATRÍA - Programas ECNP 2025")</f>
        <v>PSIQUIATRÍA - Programas ECNP 2025</v>
      </c>
      <c r="C18240" s="3" t="str">
        <f>HYPERLINK("https://otsuka-europe-crm.veevavault.com/ui/#object/sent_email__v/VBLZ025E82HB8VT", "SE-000283537")</f>
        <v>SE-000283537</v>
      </c>
      <c r="D18240" s="1">
        <v>45936.515127314815</v>
      </c>
      <c r="E18240" s="2">
        <v>1</v>
      </c>
      <c r="F18240" s="2">
        <v>2</v>
      </c>
      <c r="G18240" s="2">
        <v>0</v>
      </c>
      <c r="H18240" s="1" t="s">
        <v>0</v>
      </c>
      <c r="I18240" s="2">
        <v>0</v>
      </c>
      <c r="J18240" s="1">
        <v>45936.432430555556</v>
      </c>
    </row>
    <row r="18241" spans="1:10" x14ac:dyDescent="0.2">
      <c r="A18241" s="4" t="s">
        <v>1</v>
      </c>
      <c r="B18241" s="3" t="str">
        <f>HYPERLINK("https://otsuka-europe-crm.veevavault.com/ui/#object/approved_document__v/V5OZ025E82U98YQ", "PSIQUIATRÍA - Programas ECNP 2025")</f>
        <v>PSIQUIATRÍA - Programas ECNP 2025</v>
      </c>
      <c r="C18241" s="3" t="str">
        <f>HYPERLINK("https://otsuka-europe-crm.veevavault.com/ui/#object/sent_email__v/VBLZ025E82HB8YL", "SE-000283538")</f>
        <v>SE-000283538</v>
      </c>
      <c r="D18241" s="1" t="s">
        <v>0</v>
      </c>
      <c r="E18241" s="2">
        <v>0</v>
      </c>
      <c r="F18241" s="2">
        <v>0</v>
      </c>
      <c r="G18241" s="2">
        <v>0</v>
      </c>
      <c r="H18241" s="1" t="s">
        <v>0</v>
      </c>
      <c r="I18241" s="2">
        <v>0</v>
      </c>
      <c r="J18241" s="1">
        <v>45936.432442129626</v>
      </c>
    </row>
    <row r="18242" spans="1:10" x14ac:dyDescent="0.2">
      <c r="A18242" s="4" t="s">
        <v>1</v>
      </c>
      <c r="B18242" s="3" t="str">
        <f>HYPERLINK("https://otsuka-europe-crm.veevavault.com/ui/#object/approved_document__v/V5OZ025E82U98YQ", "PSIQUIATRÍA - Programas ECNP 2025")</f>
        <v>PSIQUIATRÍA - Programas ECNP 2025</v>
      </c>
      <c r="C18242" s="3" t="str">
        <f>HYPERLINK("https://otsuka-europe-crm.veevavault.com/ui/#object/sent_email__v/VBLZ025E82HB91D", "SE-000283539")</f>
        <v>SE-000283539</v>
      </c>
      <c r="D18242" s="1">
        <v>45936.617395833331</v>
      </c>
      <c r="E18242" s="2">
        <v>1</v>
      </c>
      <c r="F18242" s="2">
        <v>2</v>
      </c>
      <c r="G18242" s="2">
        <v>0</v>
      </c>
      <c r="H18242" s="1" t="s">
        <v>0</v>
      </c>
      <c r="I18242" s="2">
        <v>0</v>
      </c>
      <c r="J18242" s="1">
        <v>45936.432743055557</v>
      </c>
    </row>
    <row r="18243" spans="1:10" x14ac:dyDescent="0.2">
      <c r="A18243" s="4" t="s">
        <v>1</v>
      </c>
      <c r="B18243" s="3" t="str">
        <f>HYPERLINK("https://otsuka-europe-crm.veevavault.com/ui/#object/approved_document__v/V5OZ025E82U98YQ", "PSIQUIATRÍA - Programas ECNP 2025")</f>
        <v>PSIQUIATRÍA - Programas ECNP 2025</v>
      </c>
      <c r="C18243" s="3" t="str">
        <f>HYPERLINK("https://otsuka-europe-crm.veevavault.com/ui/#object/sent_email__v/VBLZ025E82HB945", "SE-000283540")</f>
        <v>SE-000283540</v>
      </c>
      <c r="D18243" s="1">
        <v>45938.657118055555</v>
      </c>
      <c r="E18243" s="2">
        <v>1</v>
      </c>
      <c r="F18243" s="2">
        <v>3</v>
      </c>
      <c r="G18243" s="2">
        <v>0</v>
      </c>
      <c r="H18243" s="1" t="s">
        <v>0</v>
      </c>
      <c r="I18243" s="2">
        <v>0</v>
      </c>
      <c r="J18243" s="1">
        <v>45936.433194444442</v>
      </c>
    </row>
    <row r="18244" spans="1:10" x14ac:dyDescent="0.2">
      <c r="A18244" s="4" t="s">
        <v>1</v>
      </c>
      <c r="B18244" s="3" t="str">
        <f>HYPERLINK("https://otsuka-europe-crm.veevavault.com/ui/#object/approved_document__v/V5OZ025E82U98YQ", "PSIQUIATRÍA - Programas ECNP 2025")</f>
        <v>PSIQUIATRÍA - Programas ECNP 2025</v>
      </c>
      <c r="C18244" s="3" t="str">
        <f>HYPERLINK("https://otsuka-europe-crm.veevavault.com/ui/#object/sent_email__v/VBLZ025E82HB99P", "SE-000283541")</f>
        <v>SE-000283541</v>
      </c>
      <c r="D18244" s="1" t="s">
        <v>0</v>
      </c>
      <c r="E18244" s="2">
        <v>0</v>
      </c>
      <c r="F18244" s="2">
        <v>0</v>
      </c>
      <c r="G18244" s="2">
        <v>0</v>
      </c>
      <c r="H18244" s="1" t="s">
        <v>0</v>
      </c>
      <c r="I18244" s="2">
        <v>0</v>
      </c>
      <c r="J18244" s="1">
        <v>45936.433657407404</v>
      </c>
    </row>
    <row r="18245" spans="1:10" x14ac:dyDescent="0.2">
      <c r="A18245" s="4" t="s">
        <v>1</v>
      </c>
      <c r="B18245" s="3" t="str">
        <f>HYPERLINK("https://otsuka-europe-crm.veevavault.com/ui/#object/approved_document__v/V5OZ025E82U98YQ", "PSIQUIATRÍA - Programas ECNP 2025")</f>
        <v>PSIQUIATRÍA - Programas ECNP 2025</v>
      </c>
      <c r="C18245" s="3" t="str">
        <f>HYPERLINK("https://otsuka-europe-crm.veevavault.com/ui/#object/sent_email__v/VBLZ025E82HB9CH", "SE-000283542")</f>
        <v>SE-000283542</v>
      </c>
      <c r="D18245" s="1" t="s">
        <v>0</v>
      </c>
      <c r="E18245" s="2">
        <v>0</v>
      </c>
      <c r="F18245" s="2">
        <v>0</v>
      </c>
      <c r="G18245" s="2">
        <v>0</v>
      </c>
      <c r="H18245" s="1" t="s">
        <v>0</v>
      </c>
      <c r="I18245" s="2">
        <v>0</v>
      </c>
      <c r="J18245" s="1">
        <v>45936.434120370373</v>
      </c>
    </row>
    <row r="18246" spans="1:10" x14ac:dyDescent="0.2">
      <c r="A18246" s="4" t="s">
        <v>1</v>
      </c>
      <c r="B18246" s="3" t="str">
        <f>HYPERLINK("https://otsuka-europe-crm.veevavault.com/ui/#object/approved_document__v/V5OZ025E82U98YQ", "PSIQUIATRÍA - Programas ECNP 2025")</f>
        <v>PSIQUIATRÍA - Programas ECNP 2025</v>
      </c>
      <c r="C18246" s="3" t="str">
        <f>HYPERLINK("https://otsuka-europe-crm.veevavault.com/ui/#object/sent_email__v/VBLZ025E82HE951", "SE-000284665")</f>
        <v>SE-000284665</v>
      </c>
      <c r="D18246" s="1">
        <v>45939.483287037037</v>
      </c>
      <c r="E18246" s="2">
        <v>1</v>
      </c>
      <c r="F18246" s="2">
        <v>1</v>
      </c>
      <c r="G18246" s="2">
        <v>0</v>
      </c>
      <c r="H18246" s="1" t="s">
        <v>0</v>
      </c>
      <c r="I18246" s="2">
        <v>0</v>
      </c>
      <c r="J18246" s="1">
        <v>45939.460590277777</v>
      </c>
    </row>
    <row r="18247" spans="1:10" x14ac:dyDescent="0.2">
      <c r="A18247" s="4" t="s">
        <v>1</v>
      </c>
      <c r="B18247" s="3" t="str">
        <f>HYPERLINK("https://otsuka-europe-crm.veevavault.com/ui/#object/approved_document__v/V5OZ025E82U98YQ", "PSIQUIATRÍA - Programas ECNP 2025")</f>
        <v>PSIQUIATRÍA - Programas ECNP 2025</v>
      </c>
      <c r="C18247" s="3" t="str">
        <f>HYPERLINK("https://otsuka-europe-crm.veevavault.com/ui/#object/sent_email__v/VBLZ025E82HE952", "SE-000284666")</f>
        <v>SE-000284666</v>
      </c>
      <c r="D18247" s="1">
        <v>45939.691342592596</v>
      </c>
      <c r="E18247" s="2">
        <v>1</v>
      </c>
      <c r="F18247" s="2">
        <v>3</v>
      </c>
      <c r="G18247" s="2">
        <v>0</v>
      </c>
      <c r="H18247" s="1" t="s">
        <v>0</v>
      </c>
      <c r="I18247" s="2">
        <v>0</v>
      </c>
      <c r="J18247" s="1">
        <v>45939.460601851853</v>
      </c>
    </row>
    <row r="18248" spans="1:10" x14ac:dyDescent="0.2">
      <c r="A18248" s="4" t="s">
        <v>1</v>
      </c>
      <c r="B18248" s="3" t="str">
        <f>HYPERLINK("https://otsuka-europe-crm.veevavault.com/ui/#object/approved_document__v/V5OZ025E82U98YQ", "PSIQUIATRÍA - Programas ECNP 2025")</f>
        <v>PSIQUIATRÍA - Programas ECNP 2025</v>
      </c>
      <c r="C18248" s="3" t="str">
        <f>HYPERLINK("https://otsuka-europe-crm.veevavault.com/ui/#object/sent_email__v/VBLZ025E82HE953", "SE-000284667")</f>
        <v>SE-000284667</v>
      </c>
      <c r="D18248" s="1">
        <v>45940.683356481481</v>
      </c>
      <c r="E18248" s="2">
        <v>1</v>
      </c>
      <c r="F18248" s="2">
        <v>3</v>
      </c>
      <c r="G18248" s="2">
        <v>1</v>
      </c>
      <c r="H18248" s="1">
        <v>45940.683761574073</v>
      </c>
      <c r="I18248" s="2">
        <v>1</v>
      </c>
      <c r="J18248" s="1">
        <v>45939.460613425923</v>
      </c>
    </row>
    <row r="18249" spans="1:10" x14ac:dyDescent="0.2">
      <c r="A18249" s="4" t="s">
        <v>1</v>
      </c>
      <c r="B18249" s="3" t="str">
        <f>HYPERLINK("https://otsuka-europe-crm.veevavault.com/ui/#object/approved_document__v/V5OZ025E82U98YQ", "PSIQUIATRÍA - Programas ECNP 2025")</f>
        <v>PSIQUIATRÍA - Programas ECNP 2025</v>
      </c>
      <c r="C18249" s="3" t="str">
        <f>HYPERLINK("https://otsuka-europe-crm.veevavault.com/ui/#object/sent_email__v/VBLZ025E82HE954", "SE-000284668")</f>
        <v>SE-000284668</v>
      </c>
      <c r="D18249" s="1">
        <v>45939.502789351849</v>
      </c>
      <c r="E18249" s="2">
        <v>1</v>
      </c>
      <c r="F18249" s="2">
        <v>1</v>
      </c>
      <c r="G18249" s="2">
        <v>0</v>
      </c>
      <c r="H18249" s="1" t="s">
        <v>0</v>
      </c>
      <c r="I18249" s="2">
        <v>0</v>
      </c>
      <c r="J18249" s="1">
        <v>45939.460601851853</v>
      </c>
    </row>
    <row r="18250" spans="1:10" x14ac:dyDescent="0.2">
      <c r="A18250" s="4" t="s">
        <v>1</v>
      </c>
      <c r="B18250" s="3" t="str">
        <f>HYPERLINK("https://otsuka-europe-crm.veevavault.com/ui/#object/approved_document__v/V5OZ025E82U98YQ", "PSIQUIATRÍA - Programas ECNP 2025")</f>
        <v>PSIQUIATRÍA - Programas ECNP 2025</v>
      </c>
      <c r="C18250" s="3" t="str">
        <f>HYPERLINK("https://otsuka-europe-crm.veevavault.com/ui/#object/sent_email__v/VBLZ025E82HE955", "SE-000284669")</f>
        <v>SE-000284669</v>
      </c>
      <c r="D18250" s="1" t="s">
        <v>0</v>
      </c>
      <c r="E18250" s="2">
        <v>0</v>
      </c>
      <c r="F18250" s="2">
        <v>0</v>
      </c>
      <c r="G18250" s="2">
        <v>0</v>
      </c>
      <c r="H18250" s="1" t="s">
        <v>0</v>
      </c>
      <c r="I18250" s="2">
        <v>0</v>
      </c>
      <c r="J18250" s="1">
        <v>45939.460601851853</v>
      </c>
    </row>
    <row r="18251" spans="1:10" x14ac:dyDescent="0.2">
      <c r="A18251" s="4" t="s">
        <v>1</v>
      </c>
      <c r="B18251" s="3" t="str">
        <f>HYPERLINK("https://otsuka-europe-crm.veevavault.com/ui/#object/approved_document__v/V5OZ025E82U98YQ", "PSIQUIATRÍA - Programas ECNP 2025")</f>
        <v>PSIQUIATRÍA - Programas ECNP 2025</v>
      </c>
      <c r="C18251" s="3" t="str">
        <f>HYPERLINK("https://otsuka-europe-crm.veevavault.com/ui/#object/sent_email__v/VBLZ025E82HE956", "SE-000284670")</f>
        <v>SE-000284670</v>
      </c>
      <c r="D18251" s="1">
        <v>45945.430636574078</v>
      </c>
      <c r="E18251" s="2">
        <v>1</v>
      </c>
      <c r="F18251" s="2">
        <v>2</v>
      </c>
      <c r="G18251" s="2">
        <v>0</v>
      </c>
      <c r="H18251" s="1" t="s">
        <v>0</v>
      </c>
      <c r="I18251" s="2">
        <v>0</v>
      </c>
      <c r="J18251" s="1">
        <v>45939.460636574076</v>
      </c>
    </row>
    <row r="18252" spans="1:10" x14ac:dyDescent="0.2">
      <c r="A18252" s="4" t="s">
        <v>1</v>
      </c>
      <c r="B18252" s="3" t="str">
        <f>HYPERLINK("https://otsuka-europe-crm.veevavault.com/ui/#object/approved_document__v/V5OZ025E82U98YQ", "PSIQUIATRÍA - Programas ECNP 2025")</f>
        <v>PSIQUIATRÍA - Programas ECNP 2025</v>
      </c>
      <c r="C18252" s="3" t="str">
        <f>HYPERLINK("https://otsuka-europe-crm.veevavault.com/ui/#object/sent_email__v/VBLZ025E82HE957", "SE-000284671")</f>
        <v>SE-000284671</v>
      </c>
      <c r="D18252" s="1">
        <v>45967.451909722222</v>
      </c>
      <c r="E18252" s="2">
        <v>1</v>
      </c>
      <c r="F18252" s="2">
        <v>4</v>
      </c>
      <c r="G18252" s="2">
        <v>0</v>
      </c>
      <c r="H18252" s="1" t="s">
        <v>0</v>
      </c>
      <c r="I18252" s="2">
        <v>0</v>
      </c>
      <c r="J18252" s="1">
        <v>45939.460613425923</v>
      </c>
    </row>
    <row r="18253" spans="1:10" x14ac:dyDescent="0.2">
      <c r="A18253" s="4" t="s">
        <v>1</v>
      </c>
      <c r="B18253" s="3" t="str">
        <f>HYPERLINK("https://otsuka-europe-crm.veevavault.com/ui/#object/approved_document__v/V5OZ025E82U98YQ", "PSIQUIATRÍA - Programas ECNP 2025")</f>
        <v>PSIQUIATRÍA - Programas ECNP 2025</v>
      </c>
      <c r="C18253" s="3" t="str">
        <f>HYPERLINK("https://otsuka-europe-crm.veevavault.com/ui/#object/sent_email__v/VBLZ025E82HE958", "SE-000284672")</f>
        <v>SE-000284672</v>
      </c>
      <c r="D18253" s="1">
        <v>45946.806192129632</v>
      </c>
      <c r="E18253" s="2">
        <v>1</v>
      </c>
      <c r="F18253" s="2">
        <v>2</v>
      </c>
      <c r="G18253" s="2">
        <v>0</v>
      </c>
      <c r="H18253" s="1" t="s">
        <v>0</v>
      </c>
      <c r="I18253" s="2">
        <v>0</v>
      </c>
      <c r="J18253" s="1">
        <v>45939.460601851853</v>
      </c>
    </row>
    <row r="18254" spans="1:10" x14ac:dyDescent="0.2">
      <c r="A18254" s="4" t="s">
        <v>1</v>
      </c>
      <c r="B18254" s="3" t="str">
        <f>HYPERLINK("https://otsuka-europe-crm.veevavault.com/ui/#object/approved_document__v/V5OZ025E82U98YQ", "PSIQUIATRÍA - Programas ECNP 2025")</f>
        <v>PSIQUIATRÍA - Programas ECNP 2025</v>
      </c>
      <c r="C18254" s="3" t="str">
        <f>HYPERLINK("https://otsuka-europe-crm.veevavault.com/ui/#object/sent_email__v/VBLZ025E82HE959", "SE-000284673")</f>
        <v>SE-000284673</v>
      </c>
      <c r="D18254" s="1">
        <v>45960.040613425925</v>
      </c>
      <c r="E18254" s="2">
        <v>1</v>
      </c>
      <c r="F18254" s="2">
        <v>5</v>
      </c>
      <c r="G18254" s="2">
        <v>1</v>
      </c>
      <c r="H18254" s="1">
        <v>45939.786874999998</v>
      </c>
      <c r="I18254" s="2">
        <v>1</v>
      </c>
      <c r="J18254" s="1">
        <v>45939.460601851853</v>
      </c>
    </row>
    <row r="18255" spans="1:10" x14ac:dyDescent="0.2">
      <c r="A18255" s="4" t="s">
        <v>1</v>
      </c>
      <c r="B18255" s="3" t="str">
        <f>HYPERLINK("https://otsuka-europe-crm.veevavault.com/ui/#object/approved_document__v/V5OZ025E82U98YQ", "PSIQUIATRÍA - Programas ECNP 2025")</f>
        <v>PSIQUIATRÍA - Programas ECNP 2025</v>
      </c>
      <c r="C18255" s="3" t="str">
        <f>HYPERLINK("https://otsuka-europe-crm.veevavault.com/ui/#object/sent_email__v/VBLZ025E82HEE5L", "SE-000284822")</f>
        <v>SE-000284822</v>
      </c>
      <c r="D18255" s="1" t="s">
        <v>0</v>
      </c>
      <c r="E18255" s="2">
        <v>0</v>
      </c>
      <c r="F18255" s="2">
        <v>0</v>
      </c>
      <c r="G18255" s="2">
        <v>0</v>
      </c>
      <c r="H18255" s="1" t="s">
        <v>0</v>
      </c>
      <c r="I18255" s="2">
        <v>0</v>
      </c>
      <c r="J18255" s="1">
        <v>45938.412141203706</v>
      </c>
    </row>
    <row r="18256" spans="1:10" x14ac:dyDescent="0.2">
      <c r="A18256" s="4" t="s">
        <v>1</v>
      </c>
      <c r="B18256" s="3" t="str">
        <f>HYPERLINK("https://otsuka-europe-crm.veevavault.com/ui/#object/approved_document__v/V5OZ025E82U98YQ", "PSIQUIATRÍA - Programas ECNP 2025")</f>
        <v>PSIQUIATRÍA - Programas ECNP 2025</v>
      </c>
      <c r="C18256" s="3" t="str">
        <f>HYPERLINK("https://otsuka-europe-crm.veevavault.com/ui/#object/sent_email__v/VBLZ025E82HEE5M", "SE-000284823")</f>
        <v>SE-000284823</v>
      </c>
      <c r="D18256" s="1" t="s">
        <v>0</v>
      </c>
      <c r="E18256" s="2">
        <v>0</v>
      </c>
      <c r="F18256" s="2">
        <v>0</v>
      </c>
      <c r="G18256" s="2">
        <v>0</v>
      </c>
      <c r="H18256" s="1" t="s">
        <v>0</v>
      </c>
      <c r="I18256" s="2">
        <v>0</v>
      </c>
      <c r="J18256" s="1">
        <v>45938.412141203706</v>
      </c>
    </row>
    <row r="18257" spans="1:10" x14ac:dyDescent="0.2">
      <c r="A18257" s="4" t="s">
        <v>1</v>
      </c>
      <c r="B18257" s="3" t="str">
        <f>HYPERLINK("https://otsuka-europe-crm.veevavault.com/ui/#object/approved_document__v/V5OZ025E82U98YQ", "PSIQUIATRÍA - Programas ECNP 2025")</f>
        <v>PSIQUIATRÍA - Programas ECNP 2025</v>
      </c>
      <c r="C18257" s="3" t="str">
        <f>HYPERLINK("https://otsuka-europe-crm.veevavault.com/ui/#object/sent_email__v/VBLZ025E82HEE5N", "SE-000284824")</f>
        <v>SE-000284824</v>
      </c>
      <c r="D18257" s="1">
        <v>45977.725104166668</v>
      </c>
      <c r="E18257" s="2">
        <v>1</v>
      </c>
      <c r="F18257" s="2">
        <v>6</v>
      </c>
      <c r="G18257" s="2">
        <v>0</v>
      </c>
      <c r="H18257" s="1" t="s">
        <v>0</v>
      </c>
      <c r="I18257" s="2">
        <v>0</v>
      </c>
      <c r="J18257" s="1">
        <v>45938.412141203706</v>
      </c>
    </row>
    <row r="18258" spans="1:10" x14ac:dyDescent="0.2">
      <c r="A18258" s="4" t="s">
        <v>1</v>
      </c>
      <c r="B18258" s="3" t="str">
        <f>HYPERLINK("https://otsuka-europe-crm.veevavault.com/ui/#object/approved_document__v/V5OZ025E82U98YQ", "PSIQUIATRÍA - Programas ECNP 2025")</f>
        <v>PSIQUIATRÍA - Programas ECNP 2025</v>
      </c>
      <c r="C18258" s="3" t="str">
        <f>HYPERLINK("https://otsuka-europe-crm.veevavault.com/ui/#object/sent_email__v/VBLZ025E82HEE5O", "SE-000284825")</f>
        <v>SE-000284825</v>
      </c>
      <c r="D18258" s="1" t="s">
        <v>0</v>
      </c>
      <c r="E18258" s="2">
        <v>0</v>
      </c>
      <c r="F18258" s="2">
        <v>0</v>
      </c>
      <c r="G18258" s="2">
        <v>0</v>
      </c>
      <c r="H18258" s="1" t="s">
        <v>0</v>
      </c>
      <c r="I18258" s="2">
        <v>0</v>
      </c>
      <c r="J18258" s="1">
        <v>45938.412152777775</v>
      </c>
    </row>
    <row r="18259" spans="1:10" x14ac:dyDescent="0.2">
      <c r="A18259" s="4" t="s">
        <v>1</v>
      </c>
      <c r="B18259" s="3" t="str">
        <f>HYPERLINK("https://otsuka-europe-crm.veevavault.com/ui/#object/approved_document__v/V5OZ025E82U98YQ", "PSIQUIATRÍA - Programas ECNP 2025")</f>
        <v>PSIQUIATRÍA - Programas ECNP 2025</v>
      </c>
      <c r="C18259" s="3" t="str">
        <f>HYPERLINK("https://otsuka-europe-crm.veevavault.com/ui/#object/sent_email__v/VBLZ025E82HEE5P", "SE-000284826")</f>
        <v>SE-000284826</v>
      </c>
      <c r="D18259" s="1" t="s">
        <v>0</v>
      </c>
      <c r="E18259" s="2">
        <v>0</v>
      </c>
      <c r="F18259" s="2">
        <v>0</v>
      </c>
      <c r="G18259" s="2">
        <v>0</v>
      </c>
      <c r="H18259" s="1" t="s">
        <v>0</v>
      </c>
      <c r="I18259" s="2">
        <v>0</v>
      </c>
      <c r="J18259" s="1">
        <v>45938.412175925929</v>
      </c>
    </row>
    <row r="18260" spans="1:10" x14ac:dyDescent="0.2">
      <c r="A18260" s="4" t="s">
        <v>1</v>
      </c>
      <c r="B18260" s="3" t="str">
        <f>HYPERLINK("https://otsuka-europe-crm.veevavault.com/ui/#object/approved_document__v/V5OZ025E82U98YQ", "PSIQUIATRÍA - Programas ECNP 2025")</f>
        <v>PSIQUIATRÍA - Programas ECNP 2025</v>
      </c>
      <c r="C18260" s="3" t="str">
        <f>HYPERLINK("https://otsuka-europe-crm.veevavault.com/ui/#object/sent_email__v/VBLZ025E82HEE5Q", "SE-000284827")</f>
        <v>SE-000284827</v>
      </c>
      <c r="D18260" s="1">
        <v>45938.571840277778</v>
      </c>
      <c r="E18260" s="2">
        <v>1</v>
      </c>
      <c r="F18260" s="2">
        <v>2</v>
      </c>
      <c r="G18260" s="2">
        <v>0</v>
      </c>
      <c r="H18260" s="1" t="s">
        <v>0</v>
      </c>
      <c r="I18260" s="2">
        <v>0</v>
      </c>
      <c r="J18260" s="1">
        <v>45938.412175925929</v>
      </c>
    </row>
    <row r="18261" spans="1:10" x14ac:dyDescent="0.2">
      <c r="A18261" s="4" t="s">
        <v>1</v>
      </c>
      <c r="B18261" s="3" t="str">
        <f>HYPERLINK("https://otsuka-europe-crm.veevavault.com/ui/#object/approved_document__v/V5OZ025E82U98YQ", "PSIQUIATRÍA - Programas ECNP 2025")</f>
        <v>PSIQUIATRÍA - Programas ECNP 2025</v>
      </c>
      <c r="C18261" s="3" t="str">
        <f>HYPERLINK("https://otsuka-europe-crm.veevavault.com/ui/#object/sent_email__v/VBLZ025E82HEE5R", "SE-000284828")</f>
        <v>SE-000284828</v>
      </c>
      <c r="D18261" s="1" t="s">
        <v>0</v>
      </c>
      <c r="E18261" s="2">
        <v>0</v>
      </c>
      <c r="F18261" s="2">
        <v>0</v>
      </c>
      <c r="G18261" s="2">
        <v>0</v>
      </c>
      <c r="H18261" s="1" t="s">
        <v>0</v>
      </c>
      <c r="I18261" s="2">
        <v>0</v>
      </c>
      <c r="J18261" s="1">
        <v>45938.412187499998</v>
      </c>
    </row>
    <row r="18262" spans="1:10" x14ac:dyDescent="0.2">
      <c r="A18262" s="4" t="s">
        <v>1</v>
      </c>
      <c r="B18262" s="3" t="str">
        <f>HYPERLINK("https://otsuka-europe-crm.veevavault.com/ui/#object/approved_document__v/V5OZ025E82U98YQ", "PSIQUIATRÍA - Programas ECNP 2025")</f>
        <v>PSIQUIATRÍA - Programas ECNP 2025</v>
      </c>
      <c r="C18262" s="3" t="str">
        <f>HYPERLINK("https://otsuka-europe-crm.veevavault.com/ui/#object/sent_email__v/VBLZ025E82HEE5S", "SE-000284829")</f>
        <v>SE-000284829</v>
      </c>
      <c r="D18262" s="1">
        <v>45939.94939814815</v>
      </c>
      <c r="E18262" s="2">
        <v>1</v>
      </c>
      <c r="F18262" s="2">
        <v>1</v>
      </c>
      <c r="G18262" s="2">
        <v>0</v>
      </c>
      <c r="H18262" s="1" t="s">
        <v>0</v>
      </c>
      <c r="I18262" s="2">
        <v>0</v>
      </c>
      <c r="J18262" s="1">
        <v>45938.412187499998</v>
      </c>
    </row>
    <row r="18263" spans="1:10" x14ac:dyDescent="0.2">
      <c r="A18263" s="4" t="s">
        <v>1</v>
      </c>
      <c r="B18263" s="3" t="str">
        <f>HYPERLINK("https://otsuka-europe-crm.veevavault.com/ui/#object/approved_document__v/V5OZ025E82U98YQ", "PSIQUIATRÍA - Programas ECNP 2025")</f>
        <v>PSIQUIATRÍA - Programas ECNP 2025</v>
      </c>
      <c r="C18263" s="3" t="str">
        <f>HYPERLINK("https://otsuka-europe-crm.veevavault.com/ui/#object/sent_email__v/VBLZ025E82HEE5T", "SE-000284830")</f>
        <v>SE-000284830</v>
      </c>
      <c r="D18263" s="1">
        <v>45949.21979166667</v>
      </c>
      <c r="E18263" s="2">
        <v>1</v>
      </c>
      <c r="F18263" s="2">
        <v>2</v>
      </c>
      <c r="G18263" s="2">
        <v>0</v>
      </c>
      <c r="H18263" s="1" t="s">
        <v>0</v>
      </c>
      <c r="I18263" s="2">
        <v>0</v>
      </c>
      <c r="J18263" s="1">
        <v>45938.412199074075</v>
      </c>
    </row>
    <row r="18264" spans="1:10" x14ac:dyDescent="0.2">
      <c r="A18264" s="4" t="s">
        <v>1</v>
      </c>
      <c r="B18264" s="3" t="str">
        <f>HYPERLINK("https://otsuka-europe-crm.veevavault.com/ui/#object/approved_document__v/V5OZ025E82U98YQ", "PSIQUIATRÍA - Programas ECNP 2025")</f>
        <v>PSIQUIATRÍA - Programas ECNP 2025</v>
      </c>
      <c r="C18264" s="3" t="str">
        <f>HYPERLINK("https://otsuka-europe-crm.veevavault.com/ui/#object/sent_email__v/VBLZ025E82HEE5U", "SE-000284831")</f>
        <v>SE-000284831</v>
      </c>
      <c r="D18264" s="1" t="s">
        <v>0</v>
      </c>
      <c r="E18264" s="2">
        <v>0</v>
      </c>
      <c r="F18264" s="2">
        <v>0</v>
      </c>
      <c r="G18264" s="2">
        <v>0</v>
      </c>
      <c r="H18264" s="1" t="s">
        <v>0</v>
      </c>
      <c r="I18264" s="2">
        <v>0</v>
      </c>
      <c r="J18264" s="1">
        <v>45938.412210648145</v>
      </c>
    </row>
    <row r="18265" spans="1:10" x14ac:dyDescent="0.2">
      <c r="A18265" s="4" t="s">
        <v>1</v>
      </c>
      <c r="B18265" s="3" t="str">
        <f>HYPERLINK("https://otsuka-europe-crm.veevavault.com/ui/#object/approved_document__v/V5OZ025E82U98YQ", "PSIQUIATRÍA - Programas ECNP 2025")</f>
        <v>PSIQUIATRÍA - Programas ECNP 2025</v>
      </c>
      <c r="C18265" s="3" t="str">
        <f>HYPERLINK("https://otsuka-europe-crm.veevavault.com/ui/#object/sent_email__v/VBLZ025E82HEE5V", "SE-000284832")</f>
        <v>SE-000284832</v>
      </c>
      <c r="D18265" s="1" t="s">
        <v>0</v>
      </c>
      <c r="E18265" s="2">
        <v>0</v>
      </c>
      <c r="F18265" s="2">
        <v>0</v>
      </c>
      <c r="G18265" s="2">
        <v>0</v>
      </c>
      <c r="H18265" s="1" t="s">
        <v>0</v>
      </c>
      <c r="I18265" s="2">
        <v>0</v>
      </c>
      <c r="J18265" s="1">
        <v>45938.412222222221</v>
      </c>
    </row>
    <row r="18266" spans="1:10" x14ac:dyDescent="0.2">
      <c r="A18266" s="4" t="s">
        <v>1</v>
      </c>
      <c r="B18266" s="3" t="str">
        <f>HYPERLINK("https://otsuka-europe-crm.veevavault.com/ui/#object/approved_document__v/V5OZ025E82U98YQ", "PSIQUIATRÍA - Programas ECNP 2025")</f>
        <v>PSIQUIATRÍA - Programas ECNP 2025</v>
      </c>
      <c r="C18266" s="3" t="str">
        <f>HYPERLINK("https://otsuka-europe-crm.veevavault.com/ui/#object/sent_email__v/VBLZ025E82HEE5W", "SE-000284833")</f>
        <v>SE-000284833</v>
      </c>
      <c r="D18266" s="1" t="s">
        <v>0</v>
      </c>
      <c r="E18266" s="2">
        <v>0</v>
      </c>
      <c r="F18266" s="2">
        <v>0</v>
      </c>
      <c r="G18266" s="2">
        <v>0</v>
      </c>
      <c r="H18266" s="1" t="s">
        <v>0</v>
      </c>
      <c r="I18266" s="2">
        <v>0</v>
      </c>
      <c r="J18266" s="1">
        <v>45938.412233796298</v>
      </c>
    </row>
    <row r="18267" spans="1:10" x14ac:dyDescent="0.2">
      <c r="A18267" s="4" t="s">
        <v>1</v>
      </c>
      <c r="B18267" s="3" t="str">
        <f>HYPERLINK("https://otsuka-europe-crm.veevavault.com/ui/#object/approved_document__v/V5OZ025E82U98YQ", "PSIQUIATRÍA - Programas ECNP 2025")</f>
        <v>PSIQUIATRÍA - Programas ECNP 2025</v>
      </c>
      <c r="C18267" s="3" t="str">
        <f>HYPERLINK("https://otsuka-europe-crm.veevavault.com/ui/#object/sent_email__v/VBLZ025E82HEE5X", "SE-000284834")</f>
        <v>SE-000284834</v>
      </c>
      <c r="D18267" s="1" t="s">
        <v>0</v>
      </c>
      <c r="E18267" s="2">
        <v>0</v>
      </c>
      <c r="F18267" s="2">
        <v>0</v>
      </c>
      <c r="G18267" s="2">
        <v>0</v>
      </c>
      <c r="H18267" s="1" t="s">
        <v>0</v>
      </c>
      <c r="I18267" s="2">
        <v>0</v>
      </c>
      <c r="J18267" s="1">
        <v>45938.412256944444</v>
      </c>
    </row>
    <row r="18268" spans="1:10" x14ac:dyDescent="0.2">
      <c r="A18268" s="4" t="s">
        <v>1</v>
      </c>
      <c r="B18268" s="3" t="str">
        <f>HYPERLINK("https://otsuka-europe-crm.veevavault.com/ui/#object/approved_document__v/V5OZ025E82U98YQ", "PSIQUIATRÍA - Programas ECNP 2025")</f>
        <v>PSIQUIATRÍA - Programas ECNP 2025</v>
      </c>
      <c r="C18268" s="3" t="str">
        <f>HYPERLINK("https://otsuka-europe-crm.veevavault.com/ui/#object/sent_email__v/VBLZ025E82HEE5Y", "SE-000284835")</f>
        <v>SE-000284835</v>
      </c>
      <c r="D18268" s="1" t="s">
        <v>0</v>
      </c>
      <c r="E18268" s="2">
        <v>0</v>
      </c>
      <c r="F18268" s="2">
        <v>0</v>
      </c>
      <c r="G18268" s="2">
        <v>0</v>
      </c>
      <c r="H18268" s="1" t="s">
        <v>0</v>
      </c>
      <c r="I18268" s="2">
        <v>0</v>
      </c>
      <c r="J18268" s="1">
        <v>45938.412256944444</v>
      </c>
    </row>
    <row r="18269" spans="1:10" x14ac:dyDescent="0.2">
      <c r="A18269" s="4" t="s">
        <v>1</v>
      </c>
      <c r="B18269" s="3" t="str">
        <f>HYPERLINK("https://otsuka-europe-crm.veevavault.com/ui/#object/approved_document__v/V5OZ025E82U98YQ", "PSIQUIATRÍA - Programas ECNP 2025")</f>
        <v>PSIQUIATRÍA - Programas ECNP 2025</v>
      </c>
      <c r="C18269" s="3" t="str">
        <f>HYPERLINK("https://otsuka-europe-crm.veevavault.com/ui/#object/sent_email__v/VBLZ025E82HEE5Z", "SE-000284836")</f>
        <v>SE-000284836</v>
      </c>
      <c r="D18269" s="1">
        <v>45938.626562500001</v>
      </c>
      <c r="E18269" s="2">
        <v>1</v>
      </c>
      <c r="F18269" s="2">
        <v>1</v>
      </c>
      <c r="G18269" s="2">
        <v>0</v>
      </c>
      <c r="H18269" s="1" t="s">
        <v>0</v>
      </c>
      <c r="I18269" s="2">
        <v>0</v>
      </c>
      <c r="J18269" s="1">
        <v>45938.412256944444</v>
      </c>
    </row>
    <row r="18270" spans="1:10" x14ac:dyDescent="0.2">
      <c r="A18270" s="4" t="s">
        <v>1</v>
      </c>
      <c r="B18270" s="3" t="str">
        <f>HYPERLINK("https://otsuka-europe-crm.veevavault.com/ui/#object/approved_document__v/V5OZ025E82U98YQ", "PSIQUIATRÍA - Programas ECNP 2025")</f>
        <v>PSIQUIATRÍA - Programas ECNP 2025</v>
      </c>
      <c r="C18270" s="3" t="str">
        <f>HYPERLINK("https://otsuka-europe-crm.veevavault.com/ui/#object/sent_email__v/VBLZ025E82HEE60", "SE-000284837")</f>
        <v>SE-000284837</v>
      </c>
      <c r="D18270" s="1">
        <v>45938.626770833333</v>
      </c>
      <c r="E18270" s="2">
        <v>1</v>
      </c>
      <c r="F18270" s="2">
        <v>1</v>
      </c>
      <c r="G18270" s="2">
        <v>0</v>
      </c>
      <c r="H18270" s="1" t="s">
        <v>0</v>
      </c>
      <c r="I18270" s="2">
        <v>0</v>
      </c>
      <c r="J18270" s="1">
        <v>45938.412268518521</v>
      </c>
    </row>
    <row r="18271" spans="1:10" x14ac:dyDescent="0.2">
      <c r="A18271" s="4" t="s">
        <v>1</v>
      </c>
      <c r="B18271" s="3" t="str">
        <f>HYPERLINK("https://otsuka-europe-crm.veevavault.com/ui/#object/approved_document__v/V5OZ025E82U98YQ", "PSIQUIATRÍA - Programas ECNP 2025")</f>
        <v>PSIQUIATRÍA - Programas ECNP 2025</v>
      </c>
      <c r="C18271" s="3" t="str">
        <f>HYPERLINK("https://otsuka-europe-crm.veevavault.com/ui/#object/sent_email__v/VBLZ025E82HEE61", "SE-000284838")</f>
        <v>SE-000284838</v>
      </c>
      <c r="D18271" s="1">
        <v>45938.560983796298</v>
      </c>
      <c r="E18271" s="2">
        <v>1</v>
      </c>
      <c r="F18271" s="2">
        <v>1</v>
      </c>
      <c r="G18271" s="2">
        <v>0</v>
      </c>
      <c r="H18271" s="1" t="s">
        <v>0</v>
      </c>
      <c r="I18271" s="2">
        <v>0</v>
      </c>
      <c r="J18271" s="1">
        <v>45938.412280092591</v>
      </c>
    </row>
    <row r="18272" spans="1:10" x14ac:dyDescent="0.2">
      <c r="A18272" s="4" t="s">
        <v>1</v>
      </c>
      <c r="B18272" s="3" t="str">
        <f>HYPERLINK("https://otsuka-europe-crm.veevavault.com/ui/#object/approved_document__v/V5OZ025E82U98YQ", "PSIQUIATRÍA - Programas ECNP 2025")</f>
        <v>PSIQUIATRÍA - Programas ECNP 2025</v>
      </c>
      <c r="C18272" s="3" t="str">
        <f>HYPERLINK("https://otsuka-europe-crm.veevavault.com/ui/#object/sent_email__v/VBLZ025E82HEE62", "SE-000284839")</f>
        <v>SE-000284839</v>
      </c>
      <c r="D18272" s="1">
        <v>45938.646331018521</v>
      </c>
      <c r="E18272" s="2">
        <v>1</v>
      </c>
      <c r="F18272" s="2">
        <v>2</v>
      </c>
      <c r="G18272" s="2">
        <v>0</v>
      </c>
      <c r="H18272" s="1" t="s">
        <v>0</v>
      </c>
      <c r="I18272" s="2">
        <v>0</v>
      </c>
      <c r="J18272" s="1">
        <v>45938.412291666667</v>
      </c>
    </row>
    <row r="18273" spans="1:10" x14ac:dyDescent="0.2">
      <c r="A18273" s="4" t="s">
        <v>1</v>
      </c>
      <c r="B18273" s="3" t="str">
        <f>HYPERLINK("https://otsuka-europe-crm.veevavault.com/ui/#object/approved_document__v/V5OZ025E82U98YQ", "PSIQUIATRÍA - Programas ECNP 2025")</f>
        <v>PSIQUIATRÍA - Programas ECNP 2025</v>
      </c>
      <c r="C18273" s="3" t="str">
        <f>HYPERLINK("https://otsuka-europe-crm.veevavault.com/ui/#object/sent_email__v/VBLZ025E82HEE63", "SE-000284840")</f>
        <v>SE-000284840</v>
      </c>
      <c r="D18273" s="1">
        <v>45942.628831018519</v>
      </c>
      <c r="E18273" s="2">
        <v>1</v>
      </c>
      <c r="F18273" s="2">
        <v>4</v>
      </c>
      <c r="G18273" s="2">
        <v>0</v>
      </c>
      <c r="H18273" s="1" t="s">
        <v>0</v>
      </c>
      <c r="I18273" s="2">
        <v>0</v>
      </c>
      <c r="J18273" s="1">
        <v>45938.412291666667</v>
      </c>
    </row>
    <row r="18274" spans="1:10" x14ac:dyDescent="0.2">
      <c r="A18274" s="4" t="s">
        <v>1</v>
      </c>
      <c r="B18274" s="3" t="str">
        <f>HYPERLINK("https://otsuka-europe-crm.veevavault.com/ui/#object/approved_document__v/V5OZ025E82U98YQ", "PSIQUIATRÍA - Programas ECNP 2025")</f>
        <v>PSIQUIATRÍA - Programas ECNP 2025</v>
      </c>
      <c r="C18274" s="3" t="str">
        <f>HYPERLINK("https://otsuka-europe-crm.veevavault.com/ui/#object/sent_email__v/VBLZ025E82HEE64", "SE-000284841")</f>
        <v>SE-000284841</v>
      </c>
      <c r="D18274" s="1">
        <v>45938.832673611112</v>
      </c>
      <c r="E18274" s="2">
        <v>1</v>
      </c>
      <c r="F18274" s="2">
        <v>4</v>
      </c>
      <c r="G18274" s="2">
        <v>0</v>
      </c>
      <c r="H18274" s="1" t="s">
        <v>0</v>
      </c>
      <c r="I18274" s="2">
        <v>0</v>
      </c>
      <c r="J18274" s="1">
        <v>45938.412303240744</v>
      </c>
    </row>
    <row r="18275" spans="1:10" x14ac:dyDescent="0.2">
      <c r="A18275" s="4" t="s">
        <v>1</v>
      </c>
      <c r="B18275" s="3" t="str">
        <f>HYPERLINK("https://otsuka-europe-crm.veevavault.com/ui/#object/approved_document__v/V5OZ025E82U98YQ", "PSIQUIATRÍA - Programas ECNP 2025")</f>
        <v>PSIQUIATRÍA - Programas ECNP 2025</v>
      </c>
      <c r="C18275" s="3" t="str">
        <f>HYPERLINK("https://otsuka-europe-crm.veevavault.com/ui/#object/sent_email__v/VBLZ025E82HEE65", "SE-000284842")</f>
        <v>SE-000284842</v>
      </c>
      <c r="D18275" s="1">
        <v>45938.615023148152</v>
      </c>
      <c r="E18275" s="2">
        <v>1</v>
      </c>
      <c r="F18275" s="2">
        <v>1</v>
      </c>
      <c r="G18275" s="2">
        <v>0</v>
      </c>
      <c r="H18275" s="1" t="s">
        <v>0</v>
      </c>
      <c r="I18275" s="2">
        <v>0</v>
      </c>
      <c r="J18275" s="1">
        <v>45938.412314814814</v>
      </c>
    </row>
    <row r="18276" spans="1:10" x14ac:dyDescent="0.2">
      <c r="A18276" s="4" t="s">
        <v>1</v>
      </c>
      <c r="B18276" s="3" t="str">
        <f>HYPERLINK("https://otsuka-europe-crm.veevavault.com/ui/#object/approved_document__v/V5OZ025E82U98YQ", "PSIQUIATRÍA - Programas ECNP 2025")</f>
        <v>PSIQUIATRÍA - Programas ECNP 2025</v>
      </c>
      <c r="C18276" s="3" t="str">
        <f>HYPERLINK("https://otsuka-europe-crm.veevavault.com/ui/#object/sent_email__v/VBLZ025E82HEE66", "SE-000284843")</f>
        <v>SE-000284843</v>
      </c>
      <c r="D18276" s="1" t="s">
        <v>0</v>
      </c>
      <c r="E18276" s="2">
        <v>0</v>
      </c>
      <c r="F18276" s="2">
        <v>0</v>
      </c>
      <c r="G18276" s="2">
        <v>0</v>
      </c>
      <c r="H18276" s="1" t="s">
        <v>0</v>
      </c>
      <c r="I18276" s="2">
        <v>0</v>
      </c>
      <c r="J18276" s="1">
        <v>45938.412326388891</v>
      </c>
    </row>
    <row r="18277" spans="1:10" x14ac:dyDescent="0.2">
      <c r="A18277" s="4" t="s">
        <v>1</v>
      </c>
      <c r="B18277" s="3" t="str">
        <f>HYPERLINK("https://otsuka-europe-crm.veevavault.com/ui/#object/approved_document__v/V5OZ025E82U98YQ", "PSIQUIATRÍA - Programas ECNP 2025")</f>
        <v>PSIQUIATRÍA - Programas ECNP 2025</v>
      </c>
      <c r="C18277" s="3" t="str">
        <f>HYPERLINK("https://otsuka-europe-crm.veevavault.com/ui/#object/sent_email__v/VBLZ025E82HEE67", "SE-000284844")</f>
        <v>SE-000284844</v>
      </c>
      <c r="D18277" s="1">
        <v>45938.602303240739</v>
      </c>
      <c r="E18277" s="2">
        <v>1</v>
      </c>
      <c r="F18277" s="2">
        <v>2</v>
      </c>
      <c r="G18277" s="2">
        <v>0</v>
      </c>
      <c r="H18277" s="1" t="s">
        <v>0</v>
      </c>
      <c r="I18277" s="2">
        <v>0</v>
      </c>
      <c r="J18277" s="1">
        <v>45938.412349537037</v>
      </c>
    </row>
    <row r="18278" spans="1:10" x14ac:dyDescent="0.2">
      <c r="A18278" s="4" t="s">
        <v>1</v>
      </c>
      <c r="B18278" s="3" t="str">
        <f>HYPERLINK("https://otsuka-europe-crm.veevavault.com/ui/#object/approved_document__v/V5OZ025E82U98YQ", "PSIQUIATRÍA - Programas ECNP 2025")</f>
        <v>PSIQUIATRÍA - Programas ECNP 2025</v>
      </c>
      <c r="C18278" s="3" t="str">
        <f>HYPERLINK("https://otsuka-europe-crm.veevavault.com/ui/#object/sent_email__v/VBLZ025E82HEE68", "SE-000284845")</f>
        <v>SE-000284845</v>
      </c>
      <c r="D18278" s="1">
        <v>45939.362118055556</v>
      </c>
      <c r="E18278" s="2">
        <v>1</v>
      </c>
      <c r="F18278" s="2">
        <v>1</v>
      </c>
      <c r="G18278" s="2">
        <v>0</v>
      </c>
      <c r="H18278" s="1" t="s">
        <v>0</v>
      </c>
      <c r="I18278" s="2">
        <v>0</v>
      </c>
      <c r="J18278" s="1">
        <v>45938.412349537037</v>
      </c>
    </row>
    <row r="18279" spans="1:10" x14ac:dyDescent="0.2">
      <c r="A18279" s="4" t="s">
        <v>1</v>
      </c>
      <c r="B18279" s="3" t="str">
        <f>HYPERLINK("https://otsuka-europe-crm.veevavault.com/ui/#object/approved_document__v/V5OZ025E82U98YQ", "PSIQUIATRÍA - Programas ECNP 2025")</f>
        <v>PSIQUIATRÍA - Programas ECNP 2025</v>
      </c>
      <c r="C18279" s="3" t="str">
        <f>HYPERLINK("https://otsuka-europe-crm.veevavault.com/ui/#object/sent_email__v/VBLZ025E82HEE69", "SE-000284846")</f>
        <v>SE-000284846</v>
      </c>
      <c r="D18279" s="1">
        <v>45938.53701388889</v>
      </c>
      <c r="E18279" s="2">
        <v>1</v>
      </c>
      <c r="F18279" s="2">
        <v>1</v>
      </c>
      <c r="G18279" s="2">
        <v>0</v>
      </c>
      <c r="H18279" s="1" t="s">
        <v>0</v>
      </c>
      <c r="I18279" s="2">
        <v>0</v>
      </c>
      <c r="J18279" s="1">
        <v>45938.412361111114</v>
      </c>
    </row>
    <row r="18280" spans="1:10" x14ac:dyDescent="0.2">
      <c r="A18280" s="4" t="s">
        <v>1</v>
      </c>
      <c r="B18280" s="3" t="str">
        <f>HYPERLINK("https://otsuka-europe-crm.veevavault.com/ui/#object/approved_document__v/V5OZ025E82U98YQ", "PSIQUIATRÍA - Programas ECNP 2025")</f>
        <v>PSIQUIATRÍA - Programas ECNP 2025</v>
      </c>
      <c r="C18280" s="3" t="str">
        <f>HYPERLINK("https://otsuka-europe-crm.veevavault.com/ui/#object/sent_email__v/VBLZ025E82HEE6A", "SE-000284847")</f>
        <v>SE-000284847</v>
      </c>
      <c r="D18280" s="1">
        <v>45938.86446759259</v>
      </c>
      <c r="E18280" s="2">
        <v>1</v>
      </c>
      <c r="F18280" s="2">
        <v>2</v>
      </c>
      <c r="G18280" s="2">
        <v>0</v>
      </c>
      <c r="H18280" s="1" t="s">
        <v>0</v>
      </c>
      <c r="I18280" s="2">
        <v>0</v>
      </c>
      <c r="J18280" s="1">
        <v>45938.412372685183</v>
      </c>
    </row>
    <row r="18281" spans="1:10" x14ac:dyDescent="0.2">
      <c r="A18281" s="4" t="s">
        <v>1</v>
      </c>
      <c r="B18281" s="3" t="str">
        <f>HYPERLINK("https://otsuka-europe-crm.veevavault.com/ui/#object/approved_document__v/V5OZ025E82U98YQ", "PSIQUIATRÍA - Programas ECNP 2025")</f>
        <v>PSIQUIATRÍA - Programas ECNP 2025</v>
      </c>
      <c r="C18281" s="3" t="str">
        <f>HYPERLINK("https://otsuka-europe-crm.veevavault.com/ui/#object/sent_email__v/VBLZ025E82HEE6B", "SE-000284848")</f>
        <v>SE-000284848</v>
      </c>
      <c r="D18281" s="1" t="s">
        <v>0</v>
      </c>
      <c r="E18281" s="2">
        <v>0</v>
      </c>
      <c r="F18281" s="2">
        <v>0</v>
      </c>
      <c r="G18281" s="2">
        <v>0</v>
      </c>
      <c r="H18281" s="1" t="s">
        <v>0</v>
      </c>
      <c r="I18281" s="2">
        <v>0</v>
      </c>
      <c r="J18281" s="1">
        <v>45938.41238425926</v>
      </c>
    </row>
    <row r="18282" spans="1:10" x14ac:dyDescent="0.2">
      <c r="A18282" s="4" t="s">
        <v>1</v>
      </c>
      <c r="B18282" s="3" t="str">
        <f>HYPERLINK("https://otsuka-europe-crm.veevavault.com/ui/#object/approved_document__v/V5OZ025E82U98YQ", "PSIQUIATRÍA - Programas ECNP 2025")</f>
        <v>PSIQUIATRÍA - Programas ECNP 2025</v>
      </c>
      <c r="C18282" s="3" t="str">
        <f>HYPERLINK("https://otsuka-europe-crm.veevavault.com/ui/#object/sent_email__v/VBLZ025E82HEE6C", "SE-000284849")</f>
        <v>SE-000284849</v>
      </c>
      <c r="D18282" s="1">
        <v>45949.532905092594</v>
      </c>
      <c r="E18282" s="2">
        <v>1</v>
      </c>
      <c r="F18282" s="2">
        <v>1</v>
      </c>
      <c r="G18282" s="2">
        <v>0</v>
      </c>
      <c r="H18282" s="1" t="s">
        <v>0</v>
      </c>
      <c r="I18282" s="2">
        <v>0</v>
      </c>
      <c r="J18282" s="1">
        <v>45938.412395833337</v>
      </c>
    </row>
    <row r="18283" spans="1:10" x14ac:dyDescent="0.2">
      <c r="A18283" s="4" t="s">
        <v>1</v>
      </c>
      <c r="B18283" s="3" t="str">
        <f>HYPERLINK("https://otsuka-europe-crm.veevavault.com/ui/#object/approved_document__v/V5OZ025E82U98YQ", "PSIQUIATRÍA - Programas ECNP 2025")</f>
        <v>PSIQUIATRÍA - Programas ECNP 2025</v>
      </c>
      <c r="C18283" s="3" t="str">
        <f>HYPERLINK("https://otsuka-europe-crm.veevavault.com/ui/#object/sent_email__v/VBLZ025E82HEE6D", "SE-000284850")</f>
        <v>SE-000284850</v>
      </c>
      <c r="D18283" s="1">
        <v>45938.75</v>
      </c>
      <c r="E18283" s="2">
        <v>1</v>
      </c>
      <c r="F18283" s="2">
        <v>1</v>
      </c>
      <c r="G18283" s="2">
        <v>0</v>
      </c>
      <c r="H18283" s="1" t="s">
        <v>0</v>
      </c>
      <c r="I18283" s="2">
        <v>0</v>
      </c>
      <c r="J18283" s="1">
        <v>45938.412407407406</v>
      </c>
    </row>
    <row r="18284" spans="1:10" x14ac:dyDescent="0.2">
      <c r="A18284" s="4" t="s">
        <v>1</v>
      </c>
      <c r="B18284" s="3" t="str">
        <f>HYPERLINK("https://otsuka-europe-crm.veevavault.com/ui/#object/approved_document__v/V5OZ025E82U98YQ", "PSIQUIATRÍA - Programas ECNP 2025")</f>
        <v>PSIQUIATRÍA - Programas ECNP 2025</v>
      </c>
      <c r="C18284" s="3" t="str">
        <f>HYPERLINK("https://otsuka-europe-crm.veevavault.com/ui/#object/sent_email__v/VBLZ025E82HEE6E", "SE-000284851")</f>
        <v>SE-000284851</v>
      </c>
      <c r="D18284" s="1" t="s">
        <v>0</v>
      </c>
      <c r="E18284" s="2">
        <v>0</v>
      </c>
      <c r="F18284" s="2">
        <v>0</v>
      </c>
      <c r="G18284" s="2">
        <v>0</v>
      </c>
      <c r="H18284" s="1" t="s">
        <v>0</v>
      </c>
      <c r="I18284" s="2">
        <v>0</v>
      </c>
      <c r="J18284" s="1">
        <v>45938.412418981483</v>
      </c>
    </row>
    <row r="18285" spans="1:10" x14ac:dyDescent="0.2">
      <c r="A18285" s="4" t="s">
        <v>1</v>
      </c>
      <c r="B18285" s="3" t="str">
        <f>HYPERLINK("https://otsuka-europe-crm.veevavault.com/ui/#object/approved_document__v/V5OZ025E82U98YQ", "PSIQUIATRÍA - Programas ECNP 2025")</f>
        <v>PSIQUIATRÍA - Programas ECNP 2025</v>
      </c>
      <c r="C18285" s="3" t="str">
        <f>HYPERLINK("https://otsuka-europe-crm.veevavault.com/ui/#object/sent_email__v/VBLZ025E82HEE6F", "SE-000284852")</f>
        <v>SE-000284852</v>
      </c>
      <c r="D18285" s="1">
        <v>45938.673090277778</v>
      </c>
      <c r="E18285" s="2">
        <v>1</v>
      </c>
      <c r="F18285" s="2">
        <v>3</v>
      </c>
      <c r="G18285" s="2">
        <v>0</v>
      </c>
      <c r="H18285" s="1" t="s">
        <v>0</v>
      </c>
      <c r="I18285" s="2">
        <v>0</v>
      </c>
      <c r="J18285" s="1">
        <v>45938.412430555552</v>
      </c>
    </row>
    <row r="18286" spans="1:10" x14ac:dyDescent="0.2">
      <c r="A18286" s="4" t="s">
        <v>1</v>
      </c>
      <c r="B18286" s="3" t="str">
        <f>HYPERLINK("https://otsuka-europe-crm.veevavault.com/ui/#object/approved_document__v/V5OZ025E82U98YQ", "PSIQUIATRÍA - Programas ECNP 2025")</f>
        <v>PSIQUIATRÍA - Programas ECNP 2025</v>
      </c>
      <c r="C18286" s="3" t="str">
        <f>HYPERLINK("https://otsuka-europe-crm.veevavault.com/ui/#object/sent_email__v/VBLZ025E82HEE6G", "SE-000284853")</f>
        <v>SE-000284853</v>
      </c>
      <c r="D18286" s="1">
        <v>45940.269421296296</v>
      </c>
      <c r="E18286" s="2">
        <v>1</v>
      </c>
      <c r="F18286" s="2">
        <v>6</v>
      </c>
      <c r="G18286" s="2">
        <v>0</v>
      </c>
      <c r="H18286" s="1" t="s">
        <v>0</v>
      </c>
      <c r="I18286" s="2">
        <v>0</v>
      </c>
      <c r="J18286" s="1">
        <v>45938.412430555552</v>
      </c>
    </row>
    <row r="18287" spans="1:10" x14ac:dyDescent="0.2">
      <c r="A18287" s="4" t="s">
        <v>1</v>
      </c>
      <c r="B18287" s="3" t="str">
        <f>HYPERLINK("https://otsuka-europe-crm.veevavault.com/ui/#object/approved_document__v/V5OZ025E82U98YQ", "PSIQUIATRÍA - Programas ECNP 2025")</f>
        <v>PSIQUIATRÍA - Programas ECNP 2025</v>
      </c>
      <c r="C18287" s="3" t="str">
        <f>HYPERLINK("https://otsuka-europe-crm.veevavault.com/ui/#object/sent_email__v/VBLZ025E82HEE6H", "SE-000284854")</f>
        <v>SE-000284854</v>
      </c>
      <c r="D18287" s="1">
        <v>45938.417071759257</v>
      </c>
      <c r="E18287" s="2">
        <v>1</v>
      </c>
      <c r="F18287" s="2">
        <v>3</v>
      </c>
      <c r="G18287" s="2">
        <v>0</v>
      </c>
      <c r="H18287" s="1" t="s">
        <v>0</v>
      </c>
      <c r="I18287" s="2">
        <v>0</v>
      </c>
      <c r="J18287" s="1">
        <v>45938.412453703706</v>
      </c>
    </row>
    <row r="18288" spans="1:10" x14ac:dyDescent="0.2">
      <c r="A18288" s="4" t="s">
        <v>1</v>
      </c>
      <c r="B18288" s="3" t="str">
        <f>HYPERLINK("https://otsuka-europe-crm.veevavault.com/ui/#object/approved_document__v/V5OZ025E82U98YQ", "PSIQUIATRÍA - Programas ECNP 2025")</f>
        <v>PSIQUIATRÍA - Programas ECNP 2025</v>
      </c>
      <c r="C18288" s="3" t="str">
        <f>HYPERLINK("https://otsuka-europe-crm.veevavault.com/ui/#object/sent_email__v/VBLZ025E82HEE6I", "SE-000284855")</f>
        <v>SE-000284855</v>
      </c>
      <c r="D18288" s="1">
        <v>45938.826574074075</v>
      </c>
      <c r="E18288" s="2">
        <v>1</v>
      </c>
      <c r="F18288" s="2">
        <v>3</v>
      </c>
      <c r="G18288" s="2">
        <v>0</v>
      </c>
      <c r="H18288" s="1" t="s">
        <v>0</v>
      </c>
      <c r="I18288" s="2">
        <v>0</v>
      </c>
      <c r="J18288" s="1">
        <v>45938.412453703706</v>
      </c>
    </row>
    <row r="18289" spans="1:10" x14ac:dyDescent="0.2">
      <c r="A18289" s="4" t="s">
        <v>1</v>
      </c>
      <c r="B18289" s="3" t="str">
        <f>HYPERLINK("https://otsuka-europe-crm.veevavault.com/ui/#object/approved_document__v/V5OZ025E82U98YQ", "PSIQUIATRÍA - Programas ECNP 2025")</f>
        <v>PSIQUIATRÍA - Programas ECNP 2025</v>
      </c>
      <c r="C18289" s="3" t="str">
        <f>HYPERLINK("https://otsuka-europe-crm.veevavault.com/ui/#object/sent_email__v/VBLZ025E82HEE6J", "SE-000284856")</f>
        <v>SE-000284856</v>
      </c>
      <c r="D18289" s="1">
        <v>45938.412523148145</v>
      </c>
      <c r="E18289" s="2">
        <v>1</v>
      </c>
      <c r="F18289" s="2">
        <v>1</v>
      </c>
      <c r="G18289" s="2">
        <v>0</v>
      </c>
      <c r="H18289" s="1" t="s">
        <v>0</v>
      </c>
      <c r="I18289" s="2">
        <v>0</v>
      </c>
      <c r="J18289" s="1">
        <v>45938.412465277775</v>
      </c>
    </row>
    <row r="18290" spans="1:10" x14ac:dyDescent="0.2">
      <c r="A18290" s="4" t="s">
        <v>1</v>
      </c>
      <c r="B18290" s="3" t="str">
        <f>HYPERLINK("https://otsuka-europe-crm.veevavault.com/ui/#object/approved_document__v/V5OZ025E82U98YQ", "PSIQUIATRÍA - Programas ECNP 2025")</f>
        <v>PSIQUIATRÍA - Programas ECNP 2025</v>
      </c>
      <c r="C18290" s="3" t="str">
        <f>HYPERLINK("https://otsuka-europe-crm.veevavault.com/ui/#object/sent_email__v/VBLZ025E82HEE6K", "SE-000284857")</f>
        <v>SE-000284857</v>
      </c>
      <c r="D18290" s="1" t="s">
        <v>0</v>
      </c>
      <c r="E18290" s="2">
        <v>0</v>
      </c>
      <c r="F18290" s="2">
        <v>0</v>
      </c>
      <c r="G18290" s="2">
        <v>0</v>
      </c>
      <c r="H18290" s="1" t="s">
        <v>0</v>
      </c>
      <c r="I18290" s="2">
        <v>0</v>
      </c>
      <c r="J18290" s="1">
        <v>45938.412476851852</v>
      </c>
    </row>
    <row r="18291" spans="1:10" x14ac:dyDescent="0.2">
      <c r="A18291" s="4" t="s">
        <v>1</v>
      </c>
      <c r="B18291" s="3" t="str">
        <f>HYPERLINK("https://otsuka-europe-crm.veevavault.com/ui/#object/approved_document__v/V5OZ025E82U98YQ", "PSIQUIATRÍA - Programas ECNP 2025")</f>
        <v>PSIQUIATRÍA - Programas ECNP 2025</v>
      </c>
      <c r="C18291" s="3" t="str">
        <f>HYPERLINK("https://otsuka-europe-crm.veevavault.com/ui/#object/sent_email__v/VBLZ025E82HEE6L", "SE-000284858")</f>
        <v>SE-000284858</v>
      </c>
      <c r="D18291" s="1" t="s">
        <v>0</v>
      </c>
      <c r="E18291" s="2">
        <v>0</v>
      </c>
      <c r="F18291" s="2">
        <v>0</v>
      </c>
      <c r="G18291" s="2">
        <v>0</v>
      </c>
      <c r="H18291" s="1" t="s">
        <v>0</v>
      </c>
      <c r="I18291" s="2">
        <v>0</v>
      </c>
      <c r="J18291" s="1">
        <v>45938.412488425929</v>
      </c>
    </row>
    <row r="18292" spans="1:10" x14ac:dyDescent="0.2">
      <c r="A18292" s="4" t="s">
        <v>1</v>
      </c>
      <c r="B18292" s="3" t="str">
        <f>HYPERLINK("https://otsuka-europe-crm.veevavault.com/ui/#object/approved_document__v/V5OZ025E82U98YQ", "PSIQUIATRÍA - Programas ECNP 2025")</f>
        <v>PSIQUIATRÍA - Programas ECNP 2025</v>
      </c>
      <c r="C18292" s="3" t="str">
        <f>HYPERLINK("https://otsuka-europe-crm.veevavault.com/ui/#object/sent_email__v/VBLZ025E82HEE6M", "SE-000284859")</f>
        <v>SE-000284859</v>
      </c>
      <c r="D18292" s="1" t="s">
        <v>0</v>
      </c>
      <c r="E18292" s="2">
        <v>0</v>
      </c>
      <c r="F18292" s="2">
        <v>0</v>
      </c>
      <c r="G18292" s="2">
        <v>0</v>
      </c>
      <c r="H18292" s="1" t="s">
        <v>0</v>
      </c>
      <c r="I18292" s="2">
        <v>0</v>
      </c>
      <c r="J18292" s="1">
        <v>45938.412499999999</v>
      </c>
    </row>
    <row r="18293" spans="1:10" x14ac:dyDescent="0.2">
      <c r="A18293" s="4" t="s">
        <v>1</v>
      </c>
      <c r="B18293" s="3" t="str">
        <f>HYPERLINK("https://otsuka-europe-crm.veevavault.com/ui/#object/approved_document__v/V5OZ025E82U98YQ", "PSIQUIATRÍA - Programas ECNP 2025")</f>
        <v>PSIQUIATRÍA - Programas ECNP 2025</v>
      </c>
      <c r="C18293" s="3" t="str">
        <f>HYPERLINK("https://otsuka-europe-crm.veevavault.com/ui/#object/sent_email__v/VBLZ025E82HEE6N", "SE-000284860")</f>
        <v>SE-000284860</v>
      </c>
      <c r="D18293" s="1" t="s">
        <v>0</v>
      </c>
      <c r="E18293" s="2">
        <v>0</v>
      </c>
      <c r="F18293" s="2">
        <v>0</v>
      </c>
      <c r="G18293" s="2">
        <v>0</v>
      </c>
      <c r="H18293" s="1" t="s">
        <v>0</v>
      </c>
      <c r="I18293" s="2">
        <v>0</v>
      </c>
      <c r="J18293" s="1">
        <v>45938.412511574075</v>
      </c>
    </row>
    <row r="18294" spans="1:10" x14ac:dyDescent="0.2">
      <c r="A18294" s="4" t="s">
        <v>1</v>
      </c>
      <c r="B18294" s="3" t="str">
        <f>HYPERLINK("https://otsuka-europe-crm.veevavault.com/ui/#object/approved_document__v/V5OZ025E82U98YQ", "PSIQUIATRÍA - Programas ECNP 2025")</f>
        <v>PSIQUIATRÍA - Programas ECNP 2025</v>
      </c>
      <c r="C18294" s="3" t="str">
        <f>HYPERLINK("https://otsuka-europe-crm.veevavault.com/ui/#object/sent_email__v/VBLZ025E82HEE6O", "SE-000284861")</f>
        <v>SE-000284861</v>
      </c>
      <c r="D18294" s="1" t="s">
        <v>0</v>
      </c>
      <c r="E18294" s="2">
        <v>0</v>
      </c>
      <c r="F18294" s="2">
        <v>0</v>
      </c>
      <c r="G18294" s="2">
        <v>0</v>
      </c>
      <c r="H18294" s="1" t="s">
        <v>0</v>
      </c>
      <c r="I18294" s="2">
        <v>0</v>
      </c>
      <c r="J18294" s="1">
        <v>45938.412511574075</v>
      </c>
    </row>
    <row r="18295" spans="1:10" x14ac:dyDescent="0.2">
      <c r="A18295" s="4" t="s">
        <v>1</v>
      </c>
      <c r="B18295" s="3" t="str">
        <f>HYPERLINK("https://otsuka-europe-crm.veevavault.com/ui/#object/approved_document__v/V5OZ025E82U98YQ", "PSIQUIATRÍA - Programas ECNP 2025")</f>
        <v>PSIQUIATRÍA - Programas ECNP 2025</v>
      </c>
      <c r="C18295" s="3" t="str">
        <f>HYPERLINK("https://otsuka-europe-crm.veevavault.com/ui/#object/sent_email__v/VBLZ025E82HEE6P", "SE-000284862")</f>
        <v>SE-000284862</v>
      </c>
      <c r="D18295" s="1" t="s">
        <v>0</v>
      </c>
      <c r="E18295" s="2">
        <v>0</v>
      </c>
      <c r="F18295" s="2">
        <v>0</v>
      </c>
      <c r="G18295" s="2">
        <v>0</v>
      </c>
      <c r="H18295" s="1" t="s">
        <v>0</v>
      </c>
      <c r="I18295" s="2">
        <v>0</v>
      </c>
      <c r="J18295" s="1">
        <v>45938.412523148145</v>
      </c>
    </row>
    <row r="18296" spans="1:10" x14ac:dyDescent="0.2">
      <c r="A18296" s="4" t="s">
        <v>1</v>
      </c>
      <c r="B18296" s="3" t="str">
        <f>HYPERLINK("https://otsuka-europe-crm.veevavault.com/ui/#object/approved_document__v/V5OZ025E82U98YQ", "PSIQUIATRÍA - Programas ECNP 2025")</f>
        <v>PSIQUIATRÍA - Programas ECNP 2025</v>
      </c>
      <c r="C18296" s="3" t="str">
        <f>HYPERLINK("https://otsuka-europe-crm.veevavault.com/ui/#object/sent_email__v/VBLZ025E82HEE6Q", "SE-000284863")</f>
        <v>SE-000284863</v>
      </c>
      <c r="D18296" s="1">
        <v>45938.413217592592</v>
      </c>
      <c r="E18296" s="2">
        <v>1</v>
      </c>
      <c r="F18296" s="2">
        <v>1</v>
      </c>
      <c r="G18296" s="2">
        <v>1</v>
      </c>
      <c r="H18296" s="1">
        <v>45941.423043981478</v>
      </c>
      <c r="I18296" s="2">
        <v>2</v>
      </c>
      <c r="J18296" s="1">
        <v>45938.412534722222</v>
      </c>
    </row>
    <row r="18297" spans="1:10" x14ac:dyDescent="0.2">
      <c r="A18297" s="4" t="s">
        <v>1</v>
      </c>
      <c r="B18297" s="3" t="str">
        <f>HYPERLINK("https://otsuka-europe-crm.veevavault.com/ui/#object/approved_document__v/V5OZ025E82U98YQ", "PSIQUIATRÍA - Programas ECNP 2025")</f>
        <v>PSIQUIATRÍA - Programas ECNP 2025</v>
      </c>
      <c r="C18297" s="3" t="str">
        <f>HYPERLINK("https://otsuka-europe-crm.veevavault.com/ui/#object/sent_email__v/VBLZ025E82HEE6R", "SE-000284864")</f>
        <v>SE-000284864</v>
      </c>
      <c r="D18297" s="1" t="s">
        <v>0</v>
      </c>
      <c r="E18297" s="2">
        <v>0</v>
      </c>
      <c r="F18297" s="2">
        <v>0</v>
      </c>
      <c r="G18297" s="2">
        <v>0</v>
      </c>
      <c r="H18297" s="1" t="s">
        <v>0</v>
      </c>
      <c r="I18297" s="2">
        <v>0</v>
      </c>
      <c r="J18297" s="1">
        <v>45938.412546296298</v>
      </c>
    </row>
    <row r="18298" spans="1:10" x14ac:dyDescent="0.2">
      <c r="A18298" s="4" t="s">
        <v>1</v>
      </c>
      <c r="B18298" s="3" t="str">
        <f>HYPERLINK("https://otsuka-europe-crm.veevavault.com/ui/#object/approved_document__v/V5OZ025E82U98YQ", "PSIQUIATRÍA - Programas ECNP 2025")</f>
        <v>PSIQUIATRÍA - Programas ECNP 2025</v>
      </c>
      <c r="C18298" s="3" t="str">
        <f>HYPERLINK("https://otsuka-europe-crm.veevavault.com/ui/#object/sent_email__v/VBLZ025E82HEE6S", "SE-000284865")</f>
        <v>SE-000284865</v>
      </c>
      <c r="D18298" s="1" t="s">
        <v>0</v>
      </c>
      <c r="E18298" s="2">
        <v>0</v>
      </c>
      <c r="F18298" s="2">
        <v>0</v>
      </c>
      <c r="G18298" s="2">
        <v>0</v>
      </c>
      <c r="H18298" s="1" t="s">
        <v>0</v>
      </c>
      <c r="I18298" s="2">
        <v>0</v>
      </c>
      <c r="J18298" s="1">
        <v>45938.412557870368</v>
      </c>
    </row>
    <row r="18299" spans="1:10" x14ac:dyDescent="0.2">
      <c r="A18299" s="4" t="s">
        <v>1</v>
      </c>
      <c r="B18299" s="3" t="str">
        <f>HYPERLINK("https://otsuka-europe-crm.veevavault.com/ui/#object/approved_document__v/V5OZ025E82U98YQ", "PSIQUIATRÍA - Programas ECNP 2025")</f>
        <v>PSIQUIATRÍA - Programas ECNP 2025</v>
      </c>
      <c r="C18299" s="3" t="str">
        <f>HYPERLINK("https://otsuka-europe-crm.veevavault.com/ui/#object/sent_email__v/VBLZ025E82HEE6T", "SE-000284866")</f>
        <v>SE-000284866</v>
      </c>
      <c r="D18299" s="1" t="s">
        <v>0</v>
      </c>
      <c r="E18299" s="2">
        <v>0</v>
      </c>
      <c r="F18299" s="2">
        <v>0</v>
      </c>
      <c r="G18299" s="2">
        <v>0</v>
      </c>
      <c r="H18299" s="1" t="s">
        <v>0</v>
      </c>
      <c r="I18299" s="2">
        <v>0</v>
      </c>
      <c r="J18299" s="1">
        <v>45938.412569444445</v>
      </c>
    </row>
    <row r="18300" spans="1:10" x14ac:dyDescent="0.2">
      <c r="A18300" s="4" t="s">
        <v>1</v>
      </c>
      <c r="B18300" s="3" t="str">
        <f>HYPERLINK("https://otsuka-europe-crm.veevavault.com/ui/#object/approved_document__v/V5OZ025E82U98YQ", "PSIQUIATRÍA - Programas ECNP 2025")</f>
        <v>PSIQUIATRÍA - Programas ECNP 2025</v>
      </c>
      <c r="C18300" s="3" t="str">
        <f>HYPERLINK("https://otsuka-europe-crm.veevavault.com/ui/#object/sent_email__v/VBLZ025E82HEE6U", "SE-000284867")</f>
        <v>SE-000284867</v>
      </c>
      <c r="D18300" s="1">
        <v>45942.933703703704</v>
      </c>
      <c r="E18300" s="2">
        <v>1</v>
      </c>
      <c r="F18300" s="2">
        <v>2</v>
      </c>
      <c r="G18300" s="2">
        <v>0</v>
      </c>
      <c r="H18300" s="1" t="s">
        <v>0</v>
      </c>
      <c r="I18300" s="2">
        <v>0</v>
      </c>
      <c r="J18300" s="1">
        <v>45938.412569444445</v>
      </c>
    </row>
    <row r="18301" spans="1:10" x14ac:dyDescent="0.2">
      <c r="A18301" s="4" t="s">
        <v>1</v>
      </c>
      <c r="B18301" s="3" t="str">
        <f>HYPERLINK("https://otsuka-europe-crm.veevavault.com/ui/#object/approved_document__v/V5OZ025E82U98YQ", "PSIQUIATRÍA - Programas ECNP 2025")</f>
        <v>PSIQUIATRÍA - Programas ECNP 2025</v>
      </c>
      <c r="C18301" s="3" t="str">
        <f>HYPERLINK("https://otsuka-europe-crm.veevavault.com/ui/#object/sent_email__v/VBLZ025E82HEE6V", "SE-000284868")</f>
        <v>SE-000284868</v>
      </c>
      <c r="D18301" s="1">
        <v>45938.44730324074</v>
      </c>
      <c r="E18301" s="2">
        <v>1</v>
      </c>
      <c r="F18301" s="2">
        <v>1</v>
      </c>
      <c r="G18301" s="2">
        <v>0</v>
      </c>
      <c r="H18301" s="1" t="s">
        <v>0</v>
      </c>
      <c r="I18301" s="2">
        <v>0</v>
      </c>
      <c r="J18301" s="1">
        <v>45938.412581018521</v>
      </c>
    </row>
    <row r="18302" spans="1:10" x14ac:dyDescent="0.2">
      <c r="A18302" s="4" t="s">
        <v>1</v>
      </c>
      <c r="B18302" s="3" t="str">
        <f>HYPERLINK("https://otsuka-europe-crm.veevavault.com/ui/#object/approved_document__v/V5OZ025E82U98YQ", "PSIQUIATRÍA - Programas ECNP 2025")</f>
        <v>PSIQUIATRÍA - Programas ECNP 2025</v>
      </c>
      <c r="C18302" s="3" t="str">
        <f>HYPERLINK("https://otsuka-europe-crm.veevavault.com/ui/#object/sent_email__v/VBLZ025E82HEE6W", "SE-000284869")</f>
        <v>SE-000284869</v>
      </c>
      <c r="D18302" s="1">
        <v>45938.595509259256</v>
      </c>
      <c r="E18302" s="2">
        <v>1</v>
      </c>
      <c r="F18302" s="2">
        <v>1</v>
      </c>
      <c r="G18302" s="2">
        <v>0</v>
      </c>
      <c r="H18302" s="1" t="s">
        <v>0</v>
      </c>
      <c r="I18302" s="2">
        <v>0</v>
      </c>
      <c r="J18302" s="1">
        <v>45938.412592592591</v>
      </c>
    </row>
    <row r="18303" spans="1:10" x14ac:dyDescent="0.2">
      <c r="A18303" s="4" t="s">
        <v>1</v>
      </c>
      <c r="B18303" s="3" t="str">
        <f>HYPERLINK("https://otsuka-europe-crm.veevavault.com/ui/#object/approved_document__v/V5OZ025E82U98YQ", "PSIQUIATRÍA - Programas ECNP 2025")</f>
        <v>PSIQUIATRÍA - Programas ECNP 2025</v>
      </c>
      <c r="C18303" s="3" t="str">
        <f>HYPERLINK("https://otsuka-europe-crm.veevavault.com/ui/#object/sent_email__v/VBLZ025E82HEE6X", "SE-000284870")</f>
        <v>SE-000284870</v>
      </c>
      <c r="D18303" s="1">
        <v>45938.645416666666</v>
      </c>
      <c r="E18303" s="2">
        <v>1</v>
      </c>
      <c r="F18303" s="2">
        <v>3</v>
      </c>
      <c r="G18303" s="2">
        <v>0</v>
      </c>
      <c r="H18303" s="1" t="s">
        <v>0</v>
      </c>
      <c r="I18303" s="2">
        <v>0</v>
      </c>
      <c r="J18303" s="1">
        <v>45938.412604166668</v>
      </c>
    </row>
    <row r="18304" spans="1:10" x14ac:dyDescent="0.2">
      <c r="A18304" s="4" t="s">
        <v>1</v>
      </c>
      <c r="B18304" s="3" t="str">
        <f>HYPERLINK("https://otsuka-europe-crm.veevavault.com/ui/#object/approved_document__v/V5OZ025E82U98YQ", "PSIQUIATRÍA - Programas ECNP 2025")</f>
        <v>PSIQUIATRÍA - Programas ECNP 2025</v>
      </c>
      <c r="C18304" s="3" t="str">
        <f>HYPERLINK("https://otsuka-europe-crm.veevavault.com/ui/#object/sent_email__v/VBLZ025E82HEE6Y", "SE-000284871")</f>
        <v>SE-000284871</v>
      </c>
      <c r="D18304" s="1">
        <v>45959.461319444446</v>
      </c>
      <c r="E18304" s="2">
        <v>1</v>
      </c>
      <c r="F18304" s="2">
        <v>3</v>
      </c>
      <c r="G18304" s="2">
        <v>0</v>
      </c>
      <c r="H18304" s="1" t="s">
        <v>0</v>
      </c>
      <c r="I18304" s="2">
        <v>0</v>
      </c>
      <c r="J18304" s="1">
        <v>45938.412615740737</v>
      </c>
    </row>
    <row r="18305" spans="1:10" x14ac:dyDescent="0.2">
      <c r="A18305" s="4" t="s">
        <v>1</v>
      </c>
      <c r="B18305" s="3" t="str">
        <f>HYPERLINK("https://otsuka-europe-crm.veevavault.com/ui/#object/approved_document__v/V5OZ025E82U98YQ", "PSIQUIATRÍA - Programas ECNP 2025")</f>
        <v>PSIQUIATRÍA - Programas ECNP 2025</v>
      </c>
      <c r="C18305" s="3" t="str">
        <f>HYPERLINK("https://otsuka-europe-crm.veevavault.com/ui/#object/sent_email__v/VBLZ025E82HEE6Z", "SE-000284872")</f>
        <v>SE-000284872</v>
      </c>
      <c r="D18305" s="1" t="s">
        <v>0</v>
      </c>
      <c r="E18305" s="2">
        <v>0</v>
      </c>
      <c r="F18305" s="2">
        <v>0</v>
      </c>
      <c r="G18305" s="2">
        <v>0</v>
      </c>
      <c r="H18305" s="1" t="s">
        <v>0</v>
      </c>
      <c r="I18305" s="2">
        <v>0</v>
      </c>
      <c r="J18305" s="1">
        <v>45938.412627314814</v>
      </c>
    </row>
    <row r="18306" spans="1:10" x14ac:dyDescent="0.2">
      <c r="A18306" s="4" t="s">
        <v>1</v>
      </c>
      <c r="B18306" s="3" t="str">
        <f>HYPERLINK("https://otsuka-europe-crm.veevavault.com/ui/#object/approved_document__v/V5OZ025E82U98YQ", "PSIQUIATRÍA - Programas ECNP 2025")</f>
        <v>PSIQUIATRÍA - Programas ECNP 2025</v>
      </c>
      <c r="C18306" s="3" t="str">
        <f>HYPERLINK("https://otsuka-europe-crm.veevavault.com/ui/#object/sent_email__v/VBLZ025E82HEE70", "SE-000284873")</f>
        <v>SE-000284873</v>
      </c>
      <c r="D18306" s="1">
        <v>45938.596354166664</v>
      </c>
      <c r="E18306" s="2">
        <v>1</v>
      </c>
      <c r="F18306" s="2">
        <v>2</v>
      </c>
      <c r="G18306" s="2">
        <v>0</v>
      </c>
      <c r="H18306" s="1" t="s">
        <v>0</v>
      </c>
      <c r="I18306" s="2">
        <v>0</v>
      </c>
      <c r="J18306" s="1">
        <v>45938.412638888891</v>
      </c>
    </row>
    <row r="18307" spans="1:10" x14ac:dyDescent="0.2">
      <c r="A18307" s="4" t="s">
        <v>1</v>
      </c>
      <c r="B18307" s="3" t="str">
        <f>HYPERLINK("https://otsuka-europe-crm.veevavault.com/ui/#object/approved_document__v/V5OZ025E82U98YQ", "PSIQUIATRÍA - Programas ECNP 2025")</f>
        <v>PSIQUIATRÍA - Programas ECNP 2025</v>
      </c>
      <c r="C18307" s="3" t="str">
        <f>HYPERLINK("https://otsuka-europe-crm.veevavault.com/ui/#object/sent_email__v/VBLZ025E82HEE71", "SE-000284874")</f>
        <v>SE-000284874</v>
      </c>
      <c r="D18307" s="1">
        <v>45964.996111111112</v>
      </c>
      <c r="E18307" s="2">
        <v>1</v>
      </c>
      <c r="F18307" s="2">
        <v>2</v>
      </c>
      <c r="G18307" s="2">
        <v>0</v>
      </c>
      <c r="H18307" s="1" t="s">
        <v>0</v>
      </c>
      <c r="I18307" s="2">
        <v>0</v>
      </c>
      <c r="J18307" s="1">
        <v>45938.41265046296</v>
      </c>
    </row>
    <row r="18308" spans="1:10" x14ac:dyDescent="0.2">
      <c r="A18308" s="4" t="s">
        <v>1</v>
      </c>
      <c r="B18308" s="3" t="str">
        <f>HYPERLINK("https://otsuka-europe-crm.veevavault.com/ui/#object/approved_document__v/V5OZ025E82U98YQ", "PSIQUIATRÍA - Programas ECNP 2025")</f>
        <v>PSIQUIATRÍA - Programas ECNP 2025</v>
      </c>
      <c r="C18308" s="3" t="str">
        <f>HYPERLINK("https://otsuka-europe-crm.veevavault.com/ui/#object/sent_email__v/VBLZ025E82HEE72", "SE-000284875")</f>
        <v>SE-000284875</v>
      </c>
      <c r="D18308" s="1">
        <v>45938.463391203702</v>
      </c>
      <c r="E18308" s="2">
        <v>1</v>
      </c>
      <c r="F18308" s="2">
        <v>2</v>
      </c>
      <c r="G18308" s="2">
        <v>0</v>
      </c>
      <c r="H18308" s="1" t="s">
        <v>0</v>
      </c>
      <c r="I18308" s="2">
        <v>0</v>
      </c>
      <c r="J18308" s="1">
        <v>45938.41265046296</v>
      </c>
    </row>
    <row r="18309" spans="1:10" x14ac:dyDescent="0.2">
      <c r="A18309" s="4" t="s">
        <v>1</v>
      </c>
      <c r="B18309" s="3" t="str">
        <f>HYPERLINK("https://otsuka-europe-crm.veevavault.com/ui/#object/approved_document__v/V5OZ025E82U98YQ", "PSIQUIATRÍA - Programas ECNP 2025")</f>
        <v>PSIQUIATRÍA - Programas ECNP 2025</v>
      </c>
      <c r="C18309" s="3" t="str">
        <f>HYPERLINK("https://otsuka-europe-crm.veevavault.com/ui/#object/sent_email__v/VBLZ025E82HEE73", "SE-000284876")</f>
        <v>SE-000284876</v>
      </c>
      <c r="D18309" s="1">
        <v>45938.438854166663</v>
      </c>
      <c r="E18309" s="2">
        <v>1</v>
      </c>
      <c r="F18309" s="2">
        <v>1</v>
      </c>
      <c r="G18309" s="2">
        <v>0</v>
      </c>
      <c r="H18309" s="1" t="s">
        <v>0</v>
      </c>
      <c r="I18309" s="2">
        <v>0</v>
      </c>
      <c r="J18309" s="1">
        <v>45938.412662037037</v>
      </c>
    </row>
    <row r="18310" spans="1:10" x14ac:dyDescent="0.2">
      <c r="A18310" s="4" t="s">
        <v>1</v>
      </c>
      <c r="B18310" s="3" t="str">
        <f>HYPERLINK("https://otsuka-europe-crm.veevavault.com/ui/#object/approved_document__v/V5OZ025E82U98YQ", "PSIQUIATRÍA - Programas ECNP 2025")</f>
        <v>PSIQUIATRÍA - Programas ECNP 2025</v>
      </c>
      <c r="C18310" s="3" t="str">
        <f>HYPERLINK("https://otsuka-europe-crm.veevavault.com/ui/#object/sent_email__v/VBLZ025E82HEE74", "SE-000284877")</f>
        <v>SE-000284877</v>
      </c>
      <c r="D18310" s="1">
        <v>45938.619502314818</v>
      </c>
      <c r="E18310" s="2">
        <v>1</v>
      </c>
      <c r="F18310" s="2">
        <v>1</v>
      </c>
      <c r="G18310" s="2">
        <v>0</v>
      </c>
      <c r="H18310" s="1" t="s">
        <v>0</v>
      </c>
      <c r="I18310" s="2">
        <v>0</v>
      </c>
      <c r="J18310" s="1">
        <v>45938.412673611114</v>
      </c>
    </row>
    <row r="18311" spans="1:10" x14ac:dyDescent="0.2">
      <c r="A18311" s="4" t="s">
        <v>1</v>
      </c>
      <c r="B18311" s="3" t="str">
        <f>HYPERLINK("https://otsuka-europe-crm.veevavault.com/ui/#object/approved_document__v/V5OZ025E82U98YQ", "PSIQUIATRÍA - Programas ECNP 2025")</f>
        <v>PSIQUIATRÍA - Programas ECNP 2025</v>
      </c>
      <c r="C18311" s="3" t="str">
        <f>HYPERLINK("https://otsuka-europe-crm.veevavault.com/ui/#object/sent_email__v/VBLZ025E82HEE75", "SE-000284878")</f>
        <v>SE-000284878</v>
      </c>
      <c r="D18311" s="1" t="s">
        <v>0</v>
      </c>
      <c r="E18311" s="2">
        <v>0</v>
      </c>
      <c r="F18311" s="2">
        <v>0</v>
      </c>
      <c r="G18311" s="2">
        <v>0</v>
      </c>
      <c r="H18311" s="1" t="s">
        <v>0</v>
      </c>
      <c r="I18311" s="2">
        <v>0</v>
      </c>
      <c r="J18311" s="1">
        <v>45938.412685185183</v>
      </c>
    </row>
    <row r="18312" spans="1:10" x14ac:dyDescent="0.2">
      <c r="A18312" s="4" t="s">
        <v>1</v>
      </c>
      <c r="B18312" s="3" t="str">
        <f>HYPERLINK("https://otsuka-europe-crm.veevavault.com/ui/#object/approved_document__v/V5OZ025E82U98YQ", "PSIQUIATRÍA - Programas ECNP 2025")</f>
        <v>PSIQUIATRÍA - Programas ECNP 2025</v>
      </c>
      <c r="C18312" s="3" t="str">
        <f>HYPERLINK("https://otsuka-europe-crm.veevavault.com/ui/#object/sent_email__v/VBLZ025E82HEE76", "SE-000284879")</f>
        <v>SE-000284879</v>
      </c>
      <c r="D18312" s="1">
        <v>45938.494456018518</v>
      </c>
      <c r="E18312" s="2">
        <v>1</v>
      </c>
      <c r="F18312" s="2">
        <v>1</v>
      </c>
      <c r="G18312" s="2">
        <v>0</v>
      </c>
      <c r="H18312" s="1" t="s">
        <v>0</v>
      </c>
      <c r="I18312" s="2">
        <v>0</v>
      </c>
      <c r="J18312" s="1">
        <v>45938.41269675926</v>
      </c>
    </row>
    <row r="18313" spans="1:10" x14ac:dyDescent="0.2">
      <c r="A18313" s="4" t="s">
        <v>1</v>
      </c>
      <c r="B18313" s="3" t="str">
        <f>HYPERLINK("https://otsuka-europe-crm.veevavault.com/ui/#object/approved_document__v/V5OZ025E82U98YQ", "PSIQUIATRÍA - Programas ECNP 2025")</f>
        <v>PSIQUIATRÍA - Programas ECNP 2025</v>
      </c>
      <c r="C18313" s="3" t="str">
        <f>HYPERLINK("https://otsuka-europe-crm.veevavault.com/ui/#object/sent_email__v/VBLZ025E82HEE77", "SE-000284880")</f>
        <v>SE-000284880</v>
      </c>
      <c r="D18313" s="1">
        <v>45938.440023148149</v>
      </c>
      <c r="E18313" s="2">
        <v>1</v>
      </c>
      <c r="F18313" s="2">
        <v>2</v>
      </c>
      <c r="G18313" s="2">
        <v>0</v>
      </c>
      <c r="H18313" s="1" t="s">
        <v>0</v>
      </c>
      <c r="I18313" s="2">
        <v>0</v>
      </c>
      <c r="J18313" s="1">
        <v>45938.41269675926</v>
      </c>
    </row>
    <row r="18314" spans="1:10" x14ac:dyDescent="0.2">
      <c r="A18314" s="4" t="s">
        <v>1</v>
      </c>
      <c r="B18314" s="3" t="str">
        <f>HYPERLINK("https://otsuka-europe-crm.veevavault.com/ui/#object/approved_document__v/V5OZ025E82U98YQ", "PSIQUIATRÍA - Programas ECNP 2025")</f>
        <v>PSIQUIATRÍA - Programas ECNP 2025</v>
      </c>
      <c r="C18314" s="3" t="str">
        <f>HYPERLINK("https://otsuka-europe-crm.veevavault.com/ui/#object/sent_email__v/VBLZ025E82HEE78", "SE-000284881")</f>
        <v>SE-000284881</v>
      </c>
      <c r="D18314" s="1" t="s">
        <v>0</v>
      </c>
      <c r="E18314" s="2">
        <v>0</v>
      </c>
      <c r="F18314" s="2">
        <v>0</v>
      </c>
      <c r="G18314" s="2">
        <v>0</v>
      </c>
      <c r="H18314" s="1" t="s">
        <v>0</v>
      </c>
      <c r="I18314" s="2">
        <v>0</v>
      </c>
      <c r="J18314" s="1">
        <v>45938.412708333337</v>
      </c>
    </row>
    <row r="18315" spans="1:10" x14ac:dyDescent="0.2">
      <c r="A18315" s="4" t="s">
        <v>1</v>
      </c>
      <c r="B18315" s="3" t="str">
        <f>HYPERLINK("https://otsuka-europe-crm.veevavault.com/ui/#object/approved_document__v/V5OZ025E82U98YQ", "PSIQUIATRÍA - Programas ECNP 2025")</f>
        <v>PSIQUIATRÍA - Programas ECNP 2025</v>
      </c>
      <c r="C18315" s="3" t="str">
        <f>HYPERLINK("https://otsuka-europe-crm.veevavault.com/ui/#object/sent_email__v/VBLZ025E82HEE79", "SE-000284882")</f>
        <v>SE-000284882</v>
      </c>
      <c r="D18315" s="1">
        <v>45944.307395833333</v>
      </c>
      <c r="E18315" s="2">
        <v>1</v>
      </c>
      <c r="F18315" s="2">
        <v>2</v>
      </c>
      <c r="G18315" s="2">
        <v>0</v>
      </c>
      <c r="H18315" s="1" t="s">
        <v>0</v>
      </c>
      <c r="I18315" s="2">
        <v>0</v>
      </c>
      <c r="J18315" s="1">
        <v>45938.412719907406</v>
      </c>
    </row>
    <row r="18316" spans="1:10" x14ac:dyDescent="0.2">
      <c r="A18316" s="4" t="s">
        <v>1</v>
      </c>
      <c r="B18316" s="3" t="str">
        <f>HYPERLINK("https://otsuka-europe-crm.veevavault.com/ui/#object/approved_document__v/V5OZ025E82U98YQ", "PSIQUIATRÍA - Programas ECNP 2025")</f>
        <v>PSIQUIATRÍA - Programas ECNP 2025</v>
      </c>
      <c r="C18316" s="3" t="str">
        <f>HYPERLINK("https://otsuka-europe-crm.veevavault.com/ui/#object/sent_email__v/VBLZ025E82HEE7A", "SE-000284883")</f>
        <v>SE-000284883</v>
      </c>
      <c r="D18316" s="1" t="s">
        <v>0</v>
      </c>
      <c r="E18316" s="2">
        <v>0</v>
      </c>
      <c r="F18316" s="2">
        <v>0</v>
      </c>
      <c r="G18316" s="2">
        <v>0</v>
      </c>
      <c r="H18316" s="1" t="s">
        <v>0</v>
      </c>
      <c r="I18316" s="2">
        <v>0</v>
      </c>
      <c r="J18316" s="1">
        <v>45938.412731481483</v>
      </c>
    </row>
    <row r="18317" spans="1:10" x14ac:dyDescent="0.2">
      <c r="A18317" s="4" t="s">
        <v>1</v>
      </c>
      <c r="B18317" s="3" t="str">
        <f>HYPERLINK("https://otsuka-europe-crm.veevavault.com/ui/#object/approved_document__v/V5OZ025E82U98YQ", "PSIQUIATRÍA - Programas ECNP 2025")</f>
        <v>PSIQUIATRÍA - Programas ECNP 2025</v>
      </c>
      <c r="C18317" s="3" t="str">
        <f>HYPERLINK("https://otsuka-europe-crm.veevavault.com/ui/#object/sent_email__v/VBLZ025E82HEE7B", "SE-000284884")</f>
        <v>SE-000284884</v>
      </c>
      <c r="D18317" s="1" t="s">
        <v>0</v>
      </c>
      <c r="E18317" s="2">
        <v>0</v>
      </c>
      <c r="F18317" s="2">
        <v>0</v>
      </c>
      <c r="G18317" s="2">
        <v>0</v>
      </c>
      <c r="H18317" s="1" t="s">
        <v>0</v>
      </c>
      <c r="I18317" s="2">
        <v>0</v>
      </c>
      <c r="J18317" s="1">
        <v>45938.412743055553</v>
      </c>
    </row>
    <row r="18318" spans="1:10" x14ac:dyDescent="0.2">
      <c r="A18318" s="4" t="s">
        <v>1</v>
      </c>
      <c r="B18318" s="3" t="str">
        <f>HYPERLINK("https://otsuka-europe-crm.veevavault.com/ui/#object/approved_document__v/V5OZ025E82U98YQ", "PSIQUIATRÍA - Programas ECNP 2025")</f>
        <v>PSIQUIATRÍA - Programas ECNP 2025</v>
      </c>
      <c r="C18318" s="3" t="str">
        <f>HYPERLINK("https://otsuka-europe-crm.veevavault.com/ui/#object/sent_email__v/VBLZ025E82HEE7C", "SE-000284885")</f>
        <v>SE-000284885</v>
      </c>
      <c r="D18318" s="1">
        <v>45958.911724537036</v>
      </c>
      <c r="E18318" s="2">
        <v>1</v>
      </c>
      <c r="F18318" s="2">
        <v>2</v>
      </c>
      <c r="G18318" s="2">
        <v>0</v>
      </c>
      <c r="H18318" s="1" t="s">
        <v>0</v>
      </c>
      <c r="I18318" s="2">
        <v>0</v>
      </c>
      <c r="J18318" s="1">
        <v>45938.412754629629</v>
      </c>
    </row>
    <row r="18319" spans="1:10" x14ac:dyDescent="0.2">
      <c r="A18319" s="4" t="s">
        <v>1</v>
      </c>
      <c r="B18319" s="3" t="str">
        <f>HYPERLINK("https://otsuka-europe-crm.veevavault.com/ui/#object/approved_document__v/V5OZ025E82U98YQ", "PSIQUIATRÍA - Programas ECNP 2025")</f>
        <v>PSIQUIATRÍA - Programas ECNP 2025</v>
      </c>
      <c r="C18319" s="3" t="str">
        <f>HYPERLINK("https://otsuka-europe-crm.veevavault.com/ui/#object/sent_email__v/VBLZ025E82HEE7D", "SE-000284886")</f>
        <v>SE-000284886</v>
      </c>
      <c r="D18319" s="1" t="s">
        <v>0</v>
      </c>
      <c r="E18319" s="2">
        <v>0</v>
      </c>
      <c r="F18319" s="2">
        <v>0</v>
      </c>
      <c r="G18319" s="2">
        <v>0</v>
      </c>
      <c r="H18319" s="1" t="s">
        <v>0</v>
      </c>
      <c r="I18319" s="2">
        <v>0</v>
      </c>
      <c r="J18319" s="1">
        <v>45938.412766203706</v>
      </c>
    </row>
    <row r="18320" spans="1:10" x14ac:dyDescent="0.2">
      <c r="A18320" s="4" t="s">
        <v>1</v>
      </c>
      <c r="B18320" s="3" t="str">
        <f>HYPERLINK("https://otsuka-europe-crm.veevavault.com/ui/#object/approved_document__v/V5OZ025E82U98YQ", "PSIQUIATRÍA - Programas ECNP 2025")</f>
        <v>PSIQUIATRÍA - Programas ECNP 2025</v>
      </c>
      <c r="C18320" s="3" t="str">
        <f>HYPERLINK("https://otsuka-europe-crm.veevavault.com/ui/#object/sent_email__v/VBLZ025E82HEE7E", "SE-000284887")</f>
        <v>SE-000284887</v>
      </c>
      <c r="D18320" s="1">
        <v>45940.698981481481</v>
      </c>
      <c r="E18320" s="2">
        <v>1</v>
      </c>
      <c r="F18320" s="2">
        <v>2</v>
      </c>
      <c r="G18320" s="2">
        <v>0</v>
      </c>
      <c r="H18320" s="1" t="s">
        <v>0</v>
      </c>
      <c r="I18320" s="2">
        <v>0</v>
      </c>
      <c r="J18320" s="1">
        <v>45938.412766203706</v>
      </c>
    </row>
    <row r="18321" spans="1:10" x14ac:dyDescent="0.2">
      <c r="A18321" s="4" t="s">
        <v>1</v>
      </c>
      <c r="B18321" s="3" t="str">
        <f>HYPERLINK("https://otsuka-europe-crm.veevavault.com/ui/#object/approved_document__v/V5OZ025E82U98YQ", "PSIQUIATRÍA - Programas ECNP 2025")</f>
        <v>PSIQUIATRÍA - Programas ECNP 2025</v>
      </c>
      <c r="C18321" s="3" t="str">
        <f>HYPERLINK("https://otsuka-europe-crm.veevavault.com/ui/#object/sent_email__v/VBLZ025E82HEE7F", "SE-000284888")</f>
        <v>SE-000284888</v>
      </c>
      <c r="D18321" s="1">
        <v>45938.419930555552</v>
      </c>
      <c r="E18321" s="2">
        <v>1</v>
      </c>
      <c r="F18321" s="2">
        <v>1</v>
      </c>
      <c r="G18321" s="2">
        <v>0</v>
      </c>
      <c r="H18321" s="1" t="s">
        <v>0</v>
      </c>
      <c r="I18321" s="2">
        <v>0</v>
      </c>
      <c r="J18321" s="1">
        <v>45938.412777777776</v>
      </c>
    </row>
    <row r="18322" spans="1:10" x14ac:dyDescent="0.2">
      <c r="A18322" s="4" t="s">
        <v>1</v>
      </c>
      <c r="B18322" s="3" t="str">
        <f>HYPERLINK("https://otsuka-europe-crm.veevavault.com/ui/#object/approved_document__v/V5OZ025E82U98YQ", "PSIQUIATRÍA - Programas ECNP 2025")</f>
        <v>PSIQUIATRÍA - Programas ECNP 2025</v>
      </c>
      <c r="C18322" s="3" t="str">
        <f>HYPERLINK("https://otsuka-europe-crm.veevavault.com/ui/#object/sent_email__v/VBLZ025E82HEE7G", "SE-000284889")</f>
        <v>SE-000284889</v>
      </c>
      <c r="D18322" s="1">
        <v>45939.407870370371</v>
      </c>
      <c r="E18322" s="2">
        <v>1</v>
      </c>
      <c r="F18322" s="2">
        <v>17</v>
      </c>
      <c r="G18322" s="2">
        <v>1</v>
      </c>
      <c r="H18322" s="1">
        <v>45938.496620370373</v>
      </c>
      <c r="I18322" s="2">
        <v>2</v>
      </c>
      <c r="J18322" s="1">
        <v>45938.412789351853</v>
      </c>
    </row>
    <row r="18323" spans="1:10" x14ac:dyDescent="0.2">
      <c r="A18323" s="4" t="s">
        <v>1</v>
      </c>
      <c r="B18323" s="3" t="str">
        <f>HYPERLINK("https://otsuka-europe-crm.veevavault.com/ui/#object/approved_document__v/V5OZ025E82U98YQ", "PSIQUIATRÍA - Programas ECNP 2025")</f>
        <v>PSIQUIATRÍA - Programas ECNP 2025</v>
      </c>
      <c r="C18323" s="3" t="str">
        <f>HYPERLINK("https://otsuka-europe-crm.veevavault.com/ui/#object/sent_email__v/VBLZ025E82HEE7H", "SE-000284890")</f>
        <v>SE-000284890</v>
      </c>
      <c r="D18323" s="1" t="s">
        <v>0</v>
      </c>
      <c r="E18323" s="2">
        <v>0</v>
      </c>
      <c r="F18323" s="2">
        <v>0</v>
      </c>
      <c r="G18323" s="2">
        <v>0</v>
      </c>
      <c r="H18323" s="1" t="s">
        <v>0</v>
      </c>
      <c r="I18323" s="2">
        <v>0</v>
      </c>
      <c r="J18323" s="1">
        <v>45938.412800925929</v>
      </c>
    </row>
    <row r="18324" spans="1:10" x14ac:dyDescent="0.2">
      <c r="A18324" s="4" t="s">
        <v>1</v>
      </c>
      <c r="B18324" s="3" t="str">
        <f>HYPERLINK("https://otsuka-europe-crm.veevavault.com/ui/#object/approved_document__v/V5OZ025E82U98YQ", "PSIQUIATRÍA - Programas ECNP 2025")</f>
        <v>PSIQUIATRÍA - Programas ECNP 2025</v>
      </c>
      <c r="C18324" s="3" t="str">
        <f>HYPERLINK("https://otsuka-europe-crm.veevavault.com/ui/#object/sent_email__v/VBLZ025E82HEE7I", "SE-000284891")</f>
        <v>SE-000284891</v>
      </c>
      <c r="D18324" s="1">
        <v>45938.416238425925</v>
      </c>
      <c r="E18324" s="2">
        <v>1</v>
      </c>
      <c r="F18324" s="2">
        <v>1</v>
      </c>
      <c r="G18324" s="2">
        <v>0</v>
      </c>
      <c r="H18324" s="1" t="s">
        <v>0</v>
      </c>
      <c r="I18324" s="2">
        <v>0</v>
      </c>
      <c r="J18324" s="1">
        <v>45938.412812499999</v>
      </c>
    </row>
    <row r="18325" spans="1:10" x14ac:dyDescent="0.2">
      <c r="A18325" s="4" t="s">
        <v>1</v>
      </c>
      <c r="B18325" s="3" t="str">
        <f>HYPERLINK("https://otsuka-europe-crm.veevavault.com/ui/#object/approved_document__v/V5OZ025E82U98YQ", "PSIQUIATRÍA - Programas ECNP 2025")</f>
        <v>PSIQUIATRÍA - Programas ECNP 2025</v>
      </c>
      <c r="C18325" s="3" t="str">
        <f>HYPERLINK("https://otsuka-europe-crm.veevavault.com/ui/#object/sent_email__v/VBLZ025E82HEE7J", "SE-000284892")</f>
        <v>SE-000284892</v>
      </c>
      <c r="D18325" s="1">
        <v>45946.013564814813</v>
      </c>
      <c r="E18325" s="2">
        <v>1</v>
      </c>
      <c r="F18325" s="2">
        <v>4</v>
      </c>
      <c r="G18325" s="2">
        <v>0</v>
      </c>
      <c r="H18325" s="1" t="s">
        <v>0</v>
      </c>
      <c r="I18325" s="2">
        <v>0</v>
      </c>
      <c r="J18325" s="1">
        <v>45938.412824074076</v>
      </c>
    </row>
    <row r="18326" spans="1:10" x14ac:dyDescent="0.2">
      <c r="A18326" s="4" t="s">
        <v>1</v>
      </c>
      <c r="B18326" s="3" t="str">
        <f>HYPERLINK("https://otsuka-europe-crm.veevavault.com/ui/#object/approved_document__v/V5OZ025E82U98YQ", "PSIQUIATRÍA - Programas ECNP 2025")</f>
        <v>PSIQUIATRÍA - Programas ECNP 2025</v>
      </c>
      <c r="C18326" s="3" t="str">
        <f>HYPERLINK("https://otsuka-europe-crm.veevavault.com/ui/#object/sent_email__v/VBLZ025E82HEE7K", "SE-000284893")</f>
        <v>SE-000284893</v>
      </c>
      <c r="D18326" s="1">
        <v>45949.604247685187</v>
      </c>
      <c r="E18326" s="2">
        <v>1</v>
      </c>
      <c r="F18326" s="2">
        <v>4</v>
      </c>
      <c r="G18326" s="2">
        <v>0</v>
      </c>
      <c r="H18326" s="1" t="s">
        <v>0</v>
      </c>
      <c r="I18326" s="2">
        <v>0</v>
      </c>
      <c r="J18326" s="1">
        <v>45938.412824074076</v>
      </c>
    </row>
    <row r="18327" spans="1:10" x14ac:dyDescent="0.2">
      <c r="A18327" s="4" t="s">
        <v>1</v>
      </c>
      <c r="B18327" s="3" t="str">
        <f>HYPERLINK("https://otsuka-europe-crm.veevavault.com/ui/#object/approved_document__v/V5OZ025E82U98YQ", "PSIQUIATRÍA - Programas ECNP 2025")</f>
        <v>PSIQUIATRÍA - Programas ECNP 2025</v>
      </c>
      <c r="C18327" s="3" t="str">
        <f>HYPERLINK("https://otsuka-europe-crm.veevavault.com/ui/#object/sent_email__v/VBLZ025E82HEE7L", "SE-000284894")</f>
        <v>SE-000284894</v>
      </c>
      <c r="D18327" s="1">
        <v>45940.462129629632</v>
      </c>
      <c r="E18327" s="2">
        <v>1</v>
      </c>
      <c r="F18327" s="2">
        <v>2</v>
      </c>
      <c r="G18327" s="2">
        <v>0</v>
      </c>
      <c r="H18327" s="1" t="s">
        <v>0</v>
      </c>
      <c r="I18327" s="2">
        <v>0</v>
      </c>
      <c r="J18327" s="1">
        <v>45938.412835648145</v>
      </c>
    </row>
    <row r="18328" spans="1:10" x14ac:dyDescent="0.2">
      <c r="A18328" s="4" t="s">
        <v>1</v>
      </c>
      <c r="B18328" s="3" t="str">
        <f>HYPERLINK("https://otsuka-europe-crm.veevavault.com/ui/#object/approved_document__v/V5OZ025E82U98YQ", "PSIQUIATRÍA - Programas ECNP 2025")</f>
        <v>PSIQUIATRÍA - Programas ECNP 2025</v>
      </c>
      <c r="C18328" s="3" t="str">
        <f>HYPERLINK("https://otsuka-europe-crm.veevavault.com/ui/#object/sent_email__v/VBLZ025E82HEE7M", "SE-000284895")</f>
        <v>SE-000284895</v>
      </c>
      <c r="D18328" s="1">
        <v>45938.414398148147</v>
      </c>
      <c r="E18328" s="2">
        <v>1</v>
      </c>
      <c r="F18328" s="2">
        <v>1</v>
      </c>
      <c r="G18328" s="2">
        <v>0</v>
      </c>
      <c r="H18328" s="1" t="s">
        <v>0</v>
      </c>
      <c r="I18328" s="2">
        <v>0</v>
      </c>
      <c r="J18328" s="1">
        <v>45938.412847222222</v>
      </c>
    </row>
    <row r="18329" spans="1:10" x14ac:dyDescent="0.2">
      <c r="A18329" s="4" t="s">
        <v>1</v>
      </c>
      <c r="B18329" s="3" t="str">
        <f>HYPERLINK("https://otsuka-europe-crm.veevavault.com/ui/#object/approved_document__v/V5OZ025E82U98YQ", "PSIQUIATRÍA - Programas ECNP 2025")</f>
        <v>PSIQUIATRÍA - Programas ECNP 2025</v>
      </c>
      <c r="C18329" s="3" t="str">
        <f>HYPERLINK("https://otsuka-europe-crm.veevavault.com/ui/#object/sent_email__v/VBLZ025E82HEE7N", "SE-000284896")</f>
        <v>SE-000284896</v>
      </c>
      <c r="D18329" s="1" t="s">
        <v>0</v>
      </c>
      <c r="E18329" s="2">
        <v>0</v>
      </c>
      <c r="F18329" s="2">
        <v>0</v>
      </c>
      <c r="G18329" s="2">
        <v>0</v>
      </c>
      <c r="H18329" s="1" t="s">
        <v>0</v>
      </c>
      <c r="I18329" s="2">
        <v>0</v>
      </c>
      <c r="J18329" s="1">
        <v>45938.412858796299</v>
      </c>
    </row>
    <row r="18330" spans="1:10" x14ac:dyDescent="0.2">
      <c r="A18330" s="4" t="s">
        <v>1</v>
      </c>
      <c r="B18330" s="3" t="str">
        <f>HYPERLINK("https://otsuka-europe-crm.veevavault.com/ui/#object/approved_document__v/V5OZ025E82U98YQ", "PSIQUIATRÍA - Programas ECNP 2025")</f>
        <v>PSIQUIATRÍA - Programas ECNP 2025</v>
      </c>
      <c r="C18330" s="3" t="str">
        <f>HYPERLINK("https://otsuka-europe-crm.veevavault.com/ui/#object/sent_email__v/VBLZ025E82HEE7O", "SE-000284897")</f>
        <v>SE-000284897</v>
      </c>
      <c r="D18330" s="1" t="s">
        <v>0</v>
      </c>
      <c r="E18330" s="2">
        <v>0</v>
      </c>
      <c r="F18330" s="2">
        <v>0</v>
      </c>
      <c r="G18330" s="2">
        <v>0</v>
      </c>
      <c r="H18330" s="1" t="s">
        <v>0</v>
      </c>
      <c r="I18330" s="2">
        <v>0</v>
      </c>
      <c r="J18330" s="1">
        <v>45938.412870370368</v>
      </c>
    </row>
    <row r="18331" spans="1:10" x14ac:dyDescent="0.2">
      <c r="A18331" s="4" t="s">
        <v>1</v>
      </c>
      <c r="B18331" s="3" t="str">
        <f>HYPERLINK("https://otsuka-europe-crm.veevavault.com/ui/#object/approved_document__v/V5OZ025E82U98YQ", "PSIQUIATRÍA - Programas ECNP 2025")</f>
        <v>PSIQUIATRÍA - Programas ECNP 2025</v>
      </c>
      <c r="C18331" s="3" t="str">
        <f>HYPERLINK("https://otsuka-europe-crm.veevavault.com/ui/#object/sent_email__v/VBLZ025E82HEE7P", "SE-000284898")</f>
        <v>SE-000284898</v>
      </c>
      <c r="D18331" s="1" t="s">
        <v>0</v>
      </c>
      <c r="E18331" s="2">
        <v>0</v>
      </c>
      <c r="F18331" s="2">
        <v>0</v>
      </c>
      <c r="G18331" s="2">
        <v>0</v>
      </c>
      <c r="H18331" s="1" t="s">
        <v>0</v>
      </c>
      <c r="I18331" s="2">
        <v>0</v>
      </c>
      <c r="J18331" s="1">
        <v>45938.412881944445</v>
      </c>
    </row>
    <row r="18332" spans="1:10" x14ac:dyDescent="0.2">
      <c r="A18332" s="4" t="s">
        <v>1</v>
      </c>
      <c r="B18332" s="3" t="str">
        <f>HYPERLINK("https://otsuka-europe-crm.veevavault.com/ui/#object/approved_document__v/V5OZ025E82U98YQ", "PSIQUIATRÍA - Programas ECNP 2025")</f>
        <v>PSIQUIATRÍA - Programas ECNP 2025</v>
      </c>
      <c r="C18332" s="3" t="str">
        <f>HYPERLINK("https://otsuka-europe-crm.veevavault.com/ui/#object/sent_email__v/VBLZ025E82HEE7Q", "SE-000284899")</f>
        <v>SE-000284899</v>
      </c>
      <c r="D18332" s="1">
        <v>45938.500405092593</v>
      </c>
      <c r="E18332" s="2">
        <v>1</v>
      </c>
      <c r="F18332" s="2">
        <v>1</v>
      </c>
      <c r="G18332" s="2">
        <v>0</v>
      </c>
      <c r="H18332" s="1" t="s">
        <v>0</v>
      </c>
      <c r="I18332" s="2">
        <v>0</v>
      </c>
      <c r="J18332" s="1">
        <v>45938.412881944445</v>
      </c>
    </row>
    <row r="18333" spans="1:10" x14ac:dyDescent="0.2">
      <c r="A18333" s="4" t="s">
        <v>1</v>
      </c>
      <c r="B18333" s="3" t="str">
        <f>HYPERLINK("https://otsuka-europe-crm.veevavault.com/ui/#object/approved_document__v/V5OZ025E82U98YQ", "PSIQUIATRÍA - Programas ECNP 2025")</f>
        <v>PSIQUIATRÍA - Programas ECNP 2025</v>
      </c>
      <c r="C18333" s="3" t="str">
        <f>HYPERLINK("https://otsuka-europe-crm.veevavault.com/ui/#object/sent_email__v/VBLZ025E82HEE7R", "SE-000284900")</f>
        <v>SE-000284900</v>
      </c>
      <c r="D18333" s="1">
        <v>45944.047638888886</v>
      </c>
      <c r="E18333" s="2">
        <v>1</v>
      </c>
      <c r="F18333" s="2">
        <v>5</v>
      </c>
      <c r="G18333" s="2">
        <v>0</v>
      </c>
      <c r="H18333" s="1" t="s">
        <v>0</v>
      </c>
      <c r="I18333" s="2">
        <v>0</v>
      </c>
      <c r="J18333" s="1">
        <v>45938.412905092591</v>
      </c>
    </row>
    <row r="18334" spans="1:10" x14ac:dyDescent="0.2">
      <c r="A18334" s="4" t="s">
        <v>1</v>
      </c>
      <c r="B18334" s="3" t="str">
        <f>HYPERLINK("https://otsuka-europe-crm.veevavault.com/ui/#object/approved_document__v/V5OZ025E82U98YQ", "PSIQUIATRÍA - Programas ECNP 2025")</f>
        <v>PSIQUIATRÍA - Programas ECNP 2025</v>
      </c>
      <c r="C18334" s="3" t="str">
        <f>HYPERLINK("https://otsuka-europe-crm.veevavault.com/ui/#object/sent_email__v/VBLZ025E82HEE7S", "SE-000284901")</f>
        <v>SE-000284901</v>
      </c>
      <c r="D18334" s="1">
        <v>45942.514374999999</v>
      </c>
      <c r="E18334" s="2">
        <v>1</v>
      </c>
      <c r="F18334" s="2">
        <v>4</v>
      </c>
      <c r="G18334" s="2">
        <v>0</v>
      </c>
      <c r="H18334" s="1" t="s">
        <v>0</v>
      </c>
      <c r="I18334" s="2">
        <v>0</v>
      </c>
      <c r="J18334" s="1">
        <v>45938.412905092591</v>
      </c>
    </row>
    <row r="18335" spans="1:10" x14ac:dyDescent="0.2">
      <c r="A18335" s="4" t="s">
        <v>1</v>
      </c>
      <c r="B18335" s="3" t="str">
        <f>HYPERLINK("https://otsuka-europe-crm.veevavault.com/ui/#object/approved_document__v/V5OZ025E82U98YQ", "PSIQUIATRÍA - Programas ECNP 2025")</f>
        <v>PSIQUIATRÍA - Programas ECNP 2025</v>
      </c>
      <c r="C18335" s="3" t="str">
        <f>HYPERLINK("https://otsuka-europe-crm.veevavault.com/ui/#object/sent_email__v/VBLZ025E82HEE7T", "SE-000284902")</f>
        <v>SE-000284902</v>
      </c>
      <c r="D18335" s="1" t="s">
        <v>0</v>
      </c>
      <c r="E18335" s="2">
        <v>0</v>
      </c>
      <c r="F18335" s="2">
        <v>0</v>
      </c>
      <c r="G18335" s="2">
        <v>0</v>
      </c>
      <c r="H18335" s="1" t="s">
        <v>0</v>
      </c>
      <c r="I18335" s="2">
        <v>0</v>
      </c>
      <c r="J18335" s="1">
        <v>45938.412916666668</v>
      </c>
    </row>
    <row r="18336" spans="1:10" x14ac:dyDescent="0.2">
      <c r="A18336" s="4" t="s">
        <v>1</v>
      </c>
      <c r="B18336" s="3" t="str">
        <f>HYPERLINK("https://otsuka-europe-crm.veevavault.com/ui/#object/approved_document__v/V5OZ025E82U98YQ", "PSIQUIATRÍA - Programas ECNP 2025")</f>
        <v>PSIQUIATRÍA - Programas ECNP 2025</v>
      </c>
      <c r="C18336" s="3" t="str">
        <f>HYPERLINK("https://otsuka-europe-crm.veevavault.com/ui/#object/sent_email__v/VBLZ025E82HEE7U", "SE-000284903")</f>
        <v>SE-000284903</v>
      </c>
      <c r="D18336" s="1">
        <v>45943.621331018519</v>
      </c>
      <c r="E18336" s="2">
        <v>1</v>
      </c>
      <c r="F18336" s="2">
        <v>2</v>
      </c>
      <c r="G18336" s="2">
        <v>0</v>
      </c>
      <c r="H18336" s="1" t="s">
        <v>0</v>
      </c>
      <c r="I18336" s="2">
        <v>0</v>
      </c>
      <c r="J18336" s="1">
        <v>45938.412928240738</v>
      </c>
    </row>
    <row r="18337" spans="1:10" x14ac:dyDescent="0.2">
      <c r="A18337" s="4" t="s">
        <v>1</v>
      </c>
      <c r="B18337" s="3" t="str">
        <f>HYPERLINK("https://otsuka-europe-crm.veevavault.com/ui/#object/approved_document__v/V5OZ025E82U98YQ", "PSIQUIATRÍA - Programas ECNP 2025")</f>
        <v>PSIQUIATRÍA - Programas ECNP 2025</v>
      </c>
      <c r="C18337" s="3" t="str">
        <f>HYPERLINK("https://otsuka-europe-crm.veevavault.com/ui/#object/sent_email__v/VBLZ025E82HEE7V", "SE-000284904")</f>
        <v>SE-000284904</v>
      </c>
      <c r="D18337" s="1">
        <v>45941.458402777775</v>
      </c>
      <c r="E18337" s="2">
        <v>1</v>
      </c>
      <c r="F18337" s="2">
        <v>1</v>
      </c>
      <c r="G18337" s="2">
        <v>0</v>
      </c>
      <c r="H18337" s="1" t="s">
        <v>0</v>
      </c>
      <c r="I18337" s="2">
        <v>0</v>
      </c>
      <c r="J18337" s="1">
        <v>45938.412939814814</v>
      </c>
    </row>
    <row r="18338" spans="1:10" x14ac:dyDescent="0.2">
      <c r="A18338" s="4" t="s">
        <v>1</v>
      </c>
      <c r="B18338" s="3" t="str">
        <f>HYPERLINK("https://otsuka-europe-crm.veevavault.com/ui/#object/approved_document__v/V5OZ025E82U98YQ", "PSIQUIATRÍA - Programas ECNP 2025")</f>
        <v>PSIQUIATRÍA - Programas ECNP 2025</v>
      </c>
      <c r="C18338" s="3" t="str">
        <f>HYPERLINK("https://otsuka-europe-crm.veevavault.com/ui/#object/sent_email__v/VBLZ025E82HEE7W", "SE-000284905")</f>
        <v>SE-000284905</v>
      </c>
      <c r="D18338" s="1">
        <v>45938.426828703705</v>
      </c>
      <c r="E18338" s="2">
        <v>1</v>
      </c>
      <c r="F18338" s="2">
        <v>1</v>
      </c>
      <c r="G18338" s="2">
        <v>0</v>
      </c>
      <c r="H18338" s="1" t="s">
        <v>0</v>
      </c>
      <c r="I18338" s="2">
        <v>0</v>
      </c>
      <c r="J18338" s="1">
        <v>45938.412939814814</v>
      </c>
    </row>
    <row r="18339" spans="1:10" x14ac:dyDescent="0.2">
      <c r="A18339" s="4" t="s">
        <v>1</v>
      </c>
      <c r="B18339" s="3" t="str">
        <f>HYPERLINK("https://otsuka-europe-crm.veevavault.com/ui/#object/approved_document__v/V5OZ025E82U98YQ", "PSIQUIATRÍA - Programas ECNP 2025")</f>
        <v>PSIQUIATRÍA - Programas ECNP 2025</v>
      </c>
      <c r="C18339" s="3" t="str">
        <f>HYPERLINK("https://otsuka-europe-crm.veevavault.com/ui/#object/sent_email__v/VBLZ025E82HEE7X", "SE-000284906")</f>
        <v>SE-000284906</v>
      </c>
      <c r="D18339" s="1" t="s">
        <v>0</v>
      </c>
      <c r="E18339" s="2">
        <v>0</v>
      </c>
      <c r="F18339" s="2">
        <v>0</v>
      </c>
      <c r="G18339" s="2">
        <v>0</v>
      </c>
      <c r="H18339" s="1" t="s">
        <v>0</v>
      </c>
      <c r="I18339" s="2">
        <v>0</v>
      </c>
      <c r="J18339" s="1">
        <v>45938.412951388891</v>
      </c>
    </row>
    <row r="18340" spans="1:10" x14ac:dyDescent="0.2">
      <c r="A18340" s="4" t="s">
        <v>1</v>
      </c>
      <c r="B18340" s="3" t="str">
        <f>HYPERLINK("https://otsuka-europe-crm.veevavault.com/ui/#object/approved_document__v/V5OZ025E82U98YQ", "PSIQUIATRÍA - Programas ECNP 2025")</f>
        <v>PSIQUIATRÍA - Programas ECNP 2025</v>
      </c>
      <c r="C18340" s="3" t="str">
        <f>HYPERLINK("https://otsuka-europe-crm.veevavault.com/ui/#object/sent_email__v/VBLZ025E82HEE7Y", "SE-000284907")</f>
        <v>SE-000284907</v>
      </c>
      <c r="D18340" s="1" t="s">
        <v>0</v>
      </c>
      <c r="E18340" s="2">
        <v>0</v>
      </c>
      <c r="F18340" s="2">
        <v>0</v>
      </c>
      <c r="G18340" s="2">
        <v>0</v>
      </c>
      <c r="H18340" s="1" t="s">
        <v>0</v>
      </c>
      <c r="I18340" s="2">
        <v>0</v>
      </c>
      <c r="J18340" s="1">
        <v>45938.412962962961</v>
      </c>
    </row>
    <row r="18341" spans="1:10" x14ac:dyDescent="0.2">
      <c r="A18341" s="4" t="s">
        <v>1</v>
      </c>
      <c r="B18341" s="3" t="str">
        <f>HYPERLINK("https://otsuka-europe-crm.veevavault.com/ui/#object/approved_document__v/V5OZ025E82U98YQ", "PSIQUIATRÍA - Programas ECNP 2025")</f>
        <v>PSIQUIATRÍA - Programas ECNP 2025</v>
      </c>
      <c r="C18341" s="3" t="str">
        <f>HYPERLINK("https://otsuka-europe-crm.veevavault.com/ui/#object/sent_email__v/VBLZ025E82HEE7Z", "SE-000284908")</f>
        <v>SE-000284908</v>
      </c>
      <c r="D18341" s="1">
        <v>45938.672708333332</v>
      </c>
      <c r="E18341" s="2">
        <v>1</v>
      </c>
      <c r="F18341" s="2">
        <v>2</v>
      </c>
      <c r="G18341" s="2">
        <v>0</v>
      </c>
      <c r="H18341" s="1" t="s">
        <v>0</v>
      </c>
      <c r="I18341" s="2">
        <v>0</v>
      </c>
      <c r="J18341" s="1">
        <v>45938.412974537037</v>
      </c>
    </row>
    <row r="18342" spans="1:10" x14ac:dyDescent="0.2">
      <c r="A18342" s="4" t="s">
        <v>1</v>
      </c>
      <c r="B18342" s="3" t="str">
        <f>HYPERLINK("https://otsuka-europe-crm.veevavault.com/ui/#object/approved_document__v/V5OZ025E82U98YQ", "PSIQUIATRÍA - Programas ECNP 2025")</f>
        <v>PSIQUIATRÍA - Programas ECNP 2025</v>
      </c>
      <c r="C18342" s="3" t="str">
        <f>HYPERLINK("https://otsuka-europe-crm.veevavault.com/ui/#object/sent_email__v/VBLZ025E82HEE80", "SE-000284909")</f>
        <v>SE-000284909</v>
      </c>
      <c r="D18342" s="1" t="s">
        <v>0</v>
      </c>
      <c r="E18342" s="2">
        <v>0</v>
      </c>
      <c r="F18342" s="2">
        <v>0</v>
      </c>
      <c r="G18342" s="2">
        <v>0</v>
      </c>
      <c r="H18342" s="1" t="s">
        <v>0</v>
      </c>
      <c r="I18342" s="2">
        <v>0</v>
      </c>
      <c r="J18342" s="1">
        <v>45938.412986111114</v>
      </c>
    </row>
    <row r="18343" spans="1:10" x14ac:dyDescent="0.2">
      <c r="A18343" s="4" t="s">
        <v>1</v>
      </c>
      <c r="B18343" s="3" t="str">
        <f>HYPERLINK("https://otsuka-europe-crm.veevavault.com/ui/#object/approved_document__v/V5OZ025E82U98YQ", "PSIQUIATRÍA - Programas ECNP 2025")</f>
        <v>PSIQUIATRÍA - Programas ECNP 2025</v>
      </c>
      <c r="C18343" s="3" t="str">
        <f>HYPERLINK("https://otsuka-europe-crm.veevavault.com/ui/#object/sent_email__v/VBLZ025E82HEE81", "SE-000284910")</f>
        <v>SE-000284910</v>
      </c>
      <c r="D18343" s="1">
        <v>45938.501516203702</v>
      </c>
      <c r="E18343" s="2">
        <v>1</v>
      </c>
      <c r="F18343" s="2">
        <v>2</v>
      </c>
      <c r="G18343" s="2">
        <v>0</v>
      </c>
      <c r="H18343" s="1" t="s">
        <v>0</v>
      </c>
      <c r="I18343" s="2">
        <v>0</v>
      </c>
      <c r="J18343" s="1">
        <v>45938.412997685184</v>
      </c>
    </row>
    <row r="18344" spans="1:10" x14ac:dyDescent="0.2">
      <c r="A18344" s="4" t="s">
        <v>1</v>
      </c>
      <c r="B18344" s="3" t="str">
        <f>HYPERLINK("https://otsuka-europe-crm.veevavault.com/ui/#object/approved_document__v/V5OZ025E82U98YQ", "PSIQUIATRÍA - Programas ECNP 2025")</f>
        <v>PSIQUIATRÍA - Programas ECNP 2025</v>
      </c>
      <c r="C18344" s="3" t="str">
        <f>HYPERLINK("https://otsuka-europe-crm.veevavault.com/ui/#object/sent_email__v/VBLZ025E82HEE82", "SE-000284911")</f>
        <v>SE-000284911</v>
      </c>
      <c r="D18344" s="1" t="s">
        <v>0</v>
      </c>
      <c r="E18344" s="2">
        <v>0</v>
      </c>
      <c r="F18344" s="2">
        <v>0</v>
      </c>
      <c r="G18344" s="2">
        <v>0</v>
      </c>
      <c r="H18344" s="1" t="s">
        <v>0</v>
      </c>
      <c r="I18344" s="2">
        <v>0</v>
      </c>
      <c r="J18344" s="1">
        <v>45938.412997685184</v>
      </c>
    </row>
    <row r="18345" spans="1:10" x14ac:dyDescent="0.2">
      <c r="A18345" s="4" t="s">
        <v>1</v>
      </c>
      <c r="B18345" s="3" t="str">
        <f>HYPERLINK("https://otsuka-europe-crm.veevavault.com/ui/#object/approved_document__v/V5OZ025E82U98YQ", "PSIQUIATRÍA - Programas ECNP 2025")</f>
        <v>PSIQUIATRÍA - Programas ECNP 2025</v>
      </c>
      <c r="C18345" s="3" t="str">
        <f>HYPERLINK("https://otsuka-europe-crm.veevavault.com/ui/#object/sent_email__v/VBLZ025E82HEE83", "SE-000284912")</f>
        <v>SE-000284912</v>
      </c>
      <c r="D18345" s="1" t="s">
        <v>0</v>
      </c>
      <c r="E18345" s="2">
        <v>0</v>
      </c>
      <c r="F18345" s="2">
        <v>0</v>
      </c>
      <c r="G18345" s="2">
        <v>0</v>
      </c>
      <c r="H18345" s="1" t="s">
        <v>0</v>
      </c>
      <c r="I18345" s="2">
        <v>0</v>
      </c>
      <c r="J18345" s="1">
        <v>45938.41300925926</v>
      </c>
    </row>
    <row r="18346" spans="1:10" x14ac:dyDescent="0.2">
      <c r="A18346" s="4" t="s">
        <v>1</v>
      </c>
      <c r="B18346" s="3" t="str">
        <f>HYPERLINK("https://otsuka-europe-crm.veevavault.com/ui/#object/approved_document__v/V5OZ025E82U98YQ", "PSIQUIATRÍA - Programas ECNP 2025")</f>
        <v>PSIQUIATRÍA - Programas ECNP 2025</v>
      </c>
      <c r="C18346" s="3" t="str">
        <f>HYPERLINK("https://otsuka-europe-crm.veevavault.com/ui/#object/sent_email__v/VBLZ025E82HEE84", "SE-000284913")</f>
        <v>SE-000284913</v>
      </c>
      <c r="D18346" s="1">
        <v>45938.593877314815</v>
      </c>
      <c r="E18346" s="2">
        <v>1</v>
      </c>
      <c r="F18346" s="2">
        <v>1</v>
      </c>
      <c r="G18346" s="2">
        <v>0</v>
      </c>
      <c r="H18346" s="1" t="s">
        <v>0</v>
      </c>
      <c r="I18346" s="2">
        <v>0</v>
      </c>
      <c r="J18346" s="1">
        <v>45938.41302083333</v>
      </c>
    </row>
    <row r="18347" spans="1:10" x14ac:dyDescent="0.2">
      <c r="A18347" s="4" t="s">
        <v>1</v>
      </c>
      <c r="B18347" s="3" t="str">
        <f>HYPERLINK("https://otsuka-europe-crm.veevavault.com/ui/#object/approved_document__v/V5OZ025E82U98YQ", "PSIQUIATRÍA - Programas ECNP 2025")</f>
        <v>PSIQUIATRÍA - Programas ECNP 2025</v>
      </c>
      <c r="C18347" s="3" t="str">
        <f>HYPERLINK("https://otsuka-europe-crm.veevavault.com/ui/#object/sent_email__v/VBLZ025E82HEE85", "SE-000284914")</f>
        <v>SE-000284914</v>
      </c>
      <c r="D18347" s="1">
        <v>45939.631481481483</v>
      </c>
      <c r="E18347" s="2">
        <v>1</v>
      </c>
      <c r="F18347" s="2">
        <v>2</v>
      </c>
      <c r="G18347" s="2">
        <v>0</v>
      </c>
      <c r="H18347" s="1" t="s">
        <v>0</v>
      </c>
      <c r="I18347" s="2">
        <v>0</v>
      </c>
      <c r="J18347" s="1">
        <v>45938.413032407407</v>
      </c>
    </row>
    <row r="18348" spans="1:10" x14ac:dyDescent="0.2">
      <c r="A18348" s="4" t="s">
        <v>1</v>
      </c>
      <c r="B18348" s="3" t="str">
        <f>HYPERLINK("https://otsuka-europe-crm.veevavault.com/ui/#object/approved_document__v/V5OZ025E82U98YQ", "PSIQUIATRÍA - Programas ECNP 2025")</f>
        <v>PSIQUIATRÍA - Programas ECNP 2025</v>
      </c>
      <c r="C18348" s="3" t="str">
        <f>HYPERLINK("https://otsuka-europe-crm.veevavault.com/ui/#object/sent_email__v/VBLZ025E82HEE86", "SE-000284915")</f>
        <v>SE-000284915</v>
      </c>
      <c r="D18348" s="1" t="s">
        <v>0</v>
      </c>
      <c r="E18348" s="2">
        <v>0</v>
      </c>
      <c r="F18348" s="2">
        <v>0</v>
      </c>
      <c r="G18348" s="2">
        <v>0</v>
      </c>
      <c r="H18348" s="1" t="s">
        <v>0</v>
      </c>
      <c r="I18348" s="2">
        <v>0</v>
      </c>
      <c r="J18348" s="1">
        <v>45938.413043981483</v>
      </c>
    </row>
    <row r="18349" spans="1:10" x14ac:dyDescent="0.2">
      <c r="A18349" s="4" t="s">
        <v>1</v>
      </c>
      <c r="B18349" s="3" t="str">
        <f>HYPERLINK("https://otsuka-europe-crm.veevavault.com/ui/#object/approved_document__v/V5OZ025E82U98YQ", "PSIQUIATRÍA - Programas ECNP 2025")</f>
        <v>PSIQUIATRÍA - Programas ECNP 2025</v>
      </c>
      <c r="C18349" s="3" t="str">
        <f>HYPERLINK("https://otsuka-europe-crm.veevavault.com/ui/#object/sent_email__v/VBLZ025E82HEE87", "SE-000284916")</f>
        <v>SE-000284916</v>
      </c>
      <c r="D18349" s="1">
        <v>45938.532592592594</v>
      </c>
      <c r="E18349" s="2">
        <v>1</v>
      </c>
      <c r="F18349" s="2">
        <v>2</v>
      </c>
      <c r="G18349" s="2">
        <v>0</v>
      </c>
      <c r="H18349" s="1" t="s">
        <v>0</v>
      </c>
      <c r="I18349" s="2">
        <v>0</v>
      </c>
      <c r="J18349" s="1">
        <v>45938.413043981483</v>
      </c>
    </row>
    <row r="18350" spans="1:10" x14ac:dyDescent="0.2">
      <c r="A18350" s="4" t="s">
        <v>1</v>
      </c>
      <c r="B18350" s="3" t="str">
        <f>HYPERLINK("https://otsuka-europe-crm.veevavault.com/ui/#object/approved_document__v/V5OZ025E82U98YQ", "PSIQUIATRÍA - Programas ECNP 2025")</f>
        <v>PSIQUIATRÍA - Programas ECNP 2025</v>
      </c>
      <c r="C18350" s="3" t="str">
        <f>HYPERLINK("https://otsuka-europe-crm.veevavault.com/ui/#object/sent_email__v/VBLZ025E82HEE88", "SE-000284917")</f>
        <v>SE-000284917</v>
      </c>
      <c r="D18350" s="1">
        <v>45938.413159722222</v>
      </c>
      <c r="E18350" s="2">
        <v>1</v>
      </c>
      <c r="F18350" s="2">
        <v>1</v>
      </c>
      <c r="G18350" s="2">
        <v>0</v>
      </c>
      <c r="H18350" s="1" t="s">
        <v>0</v>
      </c>
      <c r="I18350" s="2">
        <v>0</v>
      </c>
      <c r="J18350" s="1">
        <v>45938.41306712963</v>
      </c>
    </row>
    <row r="18351" spans="1:10" x14ac:dyDescent="0.2">
      <c r="A18351" s="4" t="s">
        <v>1</v>
      </c>
      <c r="B18351" s="3" t="str">
        <f>HYPERLINK("https://otsuka-europe-crm.veevavault.com/ui/#object/approved_document__v/V5OZ025E82U98YQ", "PSIQUIATRÍA - Programas ECNP 2025")</f>
        <v>PSIQUIATRÍA - Programas ECNP 2025</v>
      </c>
      <c r="C18351" s="3" t="str">
        <f>HYPERLINK("https://otsuka-europe-crm.veevavault.com/ui/#object/sent_email__v/VBLZ025E82HEE89", "SE-000284918")</f>
        <v>SE-000284918</v>
      </c>
      <c r="D18351" s="1">
        <v>45938.4219212963</v>
      </c>
      <c r="E18351" s="2">
        <v>1</v>
      </c>
      <c r="F18351" s="2">
        <v>1</v>
      </c>
      <c r="G18351" s="2">
        <v>0</v>
      </c>
      <c r="H18351" s="1" t="s">
        <v>0</v>
      </c>
      <c r="I18351" s="2">
        <v>0</v>
      </c>
      <c r="J18351" s="1">
        <v>45938.41306712963</v>
      </c>
    </row>
    <row r="18352" spans="1:10" x14ac:dyDescent="0.2">
      <c r="A18352" s="4" t="s">
        <v>1</v>
      </c>
      <c r="B18352" s="3" t="str">
        <f>HYPERLINK("https://otsuka-europe-crm.veevavault.com/ui/#object/approved_document__v/V5OZ025E82U98YQ", "PSIQUIATRÍA - Programas ECNP 2025")</f>
        <v>PSIQUIATRÍA - Programas ECNP 2025</v>
      </c>
      <c r="C18352" s="3" t="str">
        <f>HYPERLINK("https://otsuka-europe-crm.veevavault.com/ui/#object/sent_email__v/VBLZ025E82HEE8A", "SE-000284919")</f>
        <v>SE-000284919</v>
      </c>
      <c r="D18352" s="1">
        <v>45938.419479166667</v>
      </c>
      <c r="E18352" s="2">
        <v>1</v>
      </c>
      <c r="F18352" s="2">
        <v>1</v>
      </c>
      <c r="G18352" s="2">
        <v>0</v>
      </c>
      <c r="H18352" s="1" t="s">
        <v>0</v>
      </c>
      <c r="I18352" s="2">
        <v>0</v>
      </c>
      <c r="J18352" s="1">
        <v>45938.413078703707</v>
      </c>
    </row>
    <row r="18353" spans="1:10" x14ac:dyDescent="0.2">
      <c r="A18353" s="4" t="s">
        <v>1</v>
      </c>
      <c r="B18353" s="3" t="str">
        <f>HYPERLINK("https://otsuka-europe-crm.veevavault.com/ui/#object/approved_document__v/V5OZ025E82U98YQ", "PSIQUIATRÍA - Programas ECNP 2025")</f>
        <v>PSIQUIATRÍA - Programas ECNP 2025</v>
      </c>
      <c r="C18353" s="3" t="str">
        <f>HYPERLINK("https://otsuka-europe-crm.veevavault.com/ui/#object/sent_email__v/VBLZ025E82HEE8B", "SE-000284920")</f>
        <v>SE-000284920</v>
      </c>
      <c r="D18353" s="1">
        <v>45958.944826388892</v>
      </c>
      <c r="E18353" s="2">
        <v>1</v>
      </c>
      <c r="F18353" s="2">
        <v>4</v>
      </c>
      <c r="G18353" s="2">
        <v>0</v>
      </c>
      <c r="H18353" s="1" t="s">
        <v>0</v>
      </c>
      <c r="I18353" s="2">
        <v>0</v>
      </c>
      <c r="J18353" s="1">
        <v>45938.413090277776</v>
      </c>
    </row>
    <row r="18354" spans="1:10" x14ac:dyDescent="0.2">
      <c r="A18354" s="4" t="s">
        <v>1</v>
      </c>
      <c r="B18354" s="3" t="str">
        <f>HYPERLINK("https://otsuka-europe-crm.veevavault.com/ui/#object/approved_document__v/V5OZ025E82U98YQ", "PSIQUIATRÍA - Programas ECNP 2025")</f>
        <v>PSIQUIATRÍA - Programas ECNP 2025</v>
      </c>
      <c r="C18354" s="3" t="str">
        <f>HYPERLINK("https://otsuka-europe-crm.veevavault.com/ui/#object/sent_email__v/VBLZ025E82HEE8C", "SE-000284921")</f>
        <v>SE-000284921</v>
      </c>
      <c r="D18354" s="1">
        <v>45946.323842592596</v>
      </c>
      <c r="E18354" s="2">
        <v>1</v>
      </c>
      <c r="F18354" s="2">
        <v>1</v>
      </c>
      <c r="G18354" s="2">
        <v>0</v>
      </c>
      <c r="H18354" s="1" t="s">
        <v>0</v>
      </c>
      <c r="I18354" s="2">
        <v>0</v>
      </c>
      <c r="J18354" s="1">
        <v>45938.413101851853</v>
      </c>
    </row>
    <row r="18355" spans="1:10" x14ac:dyDescent="0.2">
      <c r="A18355" s="4" t="s">
        <v>1</v>
      </c>
      <c r="B18355" s="3" t="str">
        <f>HYPERLINK("https://otsuka-europe-crm.veevavault.com/ui/#object/approved_document__v/V5OZ025E82U98YQ", "PSIQUIATRÍA - Programas ECNP 2025")</f>
        <v>PSIQUIATRÍA - Programas ECNP 2025</v>
      </c>
      <c r="C18355" s="3" t="str">
        <f>HYPERLINK("https://otsuka-europe-crm.veevavault.com/ui/#object/sent_email__v/VBLZ025E82HEE8D", "SE-000284922")</f>
        <v>SE-000284922</v>
      </c>
      <c r="D18355" s="1" t="s">
        <v>0</v>
      </c>
      <c r="E18355" s="2">
        <v>0</v>
      </c>
      <c r="F18355" s="2">
        <v>0</v>
      </c>
      <c r="G18355" s="2">
        <v>0</v>
      </c>
      <c r="H18355" s="1" t="s">
        <v>0</v>
      </c>
      <c r="I18355" s="2">
        <v>0</v>
      </c>
      <c r="J18355" s="1">
        <v>45938.413113425922</v>
      </c>
    </row>
    <row r="18356" spans="1:10" x14ac:dyDescent="0.2">
      <c r="A18356" s="4" t="s">
        <v>1</v>
      </c>
      <c r="B18356" s="3" t="str">
        <f>HYPERLINK("https://otsuka-europe-crm.veevavault.com/ui/#object/approved_document__v/V5OZ025E82U98YQ", "PSIQUIATRÍA - Programas ECNP 2025")</f>
        <v>PSIQUIATRÍA - Programas ECNP 2025</v>
      </c>
      <c r="C18356" s="3" t="str">
        <f>HYPERLINK("https://otsuka-europe-crm.veevavault.com/ui/#object/sent_email__v/VBLZ025E82HEE8E", "SE-000284923")</f>
        <v>SE-000284923</v>
      </c>
      <c r="D18356" s="1">
        <v>45938.695439814815</v>
      </c>
      <c r="E18356" s="2">
        <v>1</v>
      </c>
      <c r="F18356" s="2">
        <v>1</v>
      </c>
      <c r="G18356" s="2">
        <v>0</v>
      </c>
      <c r="H18356" s="1" t="s">
        <v>0</v>
      </c>
      <c r="I18356" s="2">
        <v>0</v>
      </c>
      <c r="J18356" s="1">
        <v>45938.413124999999</v>
      </c>
    </row>
    <row r="18357" spans="1:10" x14ac:dyDescent="0.2">
      <c r="A18357" s="4" t="s">
        <v>1</v>
      </c>
      <c r="B18357" s="3" t="str">
        <f>HYPERLINK("https://otsuka-europe-crm.veevavault.com/ui/#object/approved_document__v/V5OZ025E82U98YQ", "PSIQUIATRÍA - Programas ECNP 2025")</f>
        <v>PSIQUIATRÍA - Programas ECNP 2025</v>
      </c>
      <c r="C18357" s="3" t="str">
        <f>HYPERLINK("https://otsuka-europe-crm.veevavault.com/ui/#object/sent_email__v/VBLZ025E82HEE8F", "SE-000284924")</f>
        <v>SE-000284924</v>
      </c>
      <c r="D18357" s="1">
        <v>45938.847037037034</v>
      </c>
      <c r="E18357" s="2">
        <v>1</v>
      </c>
      <c r="F18357" s="2">
        <v>1</v>
      </c>
      <c r="G18357" s="2">
        <v>0</v>
      </c>
      <c r="H18357" s="1" t="s">
        <v>0</v>
      </c>
      <c r="I18357" s="2">
        <v>0</v>
      </c>
      <c r="J18357" s="1">
        <v>45938.413124999999</v>
      </c>
    </row>
    <row r="18358" spans="1:10" x14ac:dyDescent="0.2">
      <c r="A18358" s="4" t="s">
        <v>1</v>
      </c>
      <c r="B18358" s="3" t="str">
        <f>HYPERLINK("https://otsuka-europe-crm.veevavault.com/ui/#object/approved_document__v/V5OZ025E82U98YQ", "PSIQUIATRÍA - Programas ECNP 2025")</f>
        <v>PSIQUIATRÍA - Programas ECNP 2025</v>
      </c>
      <c r="C18358" s="3" t="str">
        <f>HYPERLINK("https://otsuka-europe-crm.veevavault.com/ui/#object/sent_email__v/VBLZ025E82HEE8G", "SE-000284925")</f>
        <v>SE-000284925</v>
      </c>
      <c r="D18358" s="1">
        <v>45938.413252314815</v>
      </c>
      <c r="E18358" s="2">
        <v>1</v>
      </c>
      <c r="F18358" s="2">
        <v>1</v>
      </c>
      <c r="G18358" s="2">
        <v>0</v>
      </c>
      <c r="H18358" s="1" t="s">
        <v>0</v>
      </c>
      <c r="I18358" s="2">
        <v>0</v>
      </c>
      <c r="J18358" s="1">
        <v>45938.413136574076</v>
      </c>
    </row>
    <row r="18359" spans="1:10" x14ac:dyDescent="0.2">
      <c r="A18359" s="4" t="s">
        <v>1</v>
      </c>
      <c r="B18359" s="3" t="str">
        <f>HYPERLINK("https://otsuka-europe-crm.veevavault.com/ui/#object/approved_document__v/V5OZ025E82U98YQ", "PSIQUIATRÍA - Programas ECNP 2025")</f>
        <v>PSIQUIATRÍA - Programas ECNP 2025</v>
      </c>
      <c r="C18359" s="3" t="str">
        <f>HYPERLINK("https://otsuka-europe-crm.veevavault.com/ui/#object/sent_email__v/VBLZ025E82HEE8H", "SE-000284926")</f>
        <v>SE-000284926</v>
      </c>
      <c r="D18359" s="1" t="s">
        <v>0</v>
      </c>
      <c r="E18359" s="2">
        <v>0</v>
      </c>
      <c r="F18359" s="2">
        <v>0</v>
      </c>
      <c r="G18359" s="2">
        <v>0</v>
      </c>
      <c r="H18359" s="1" t="s">
        <v>0</v>
      </c>
      <c r="I18359" s="2">
        <v>0</v>
      </c>
      <c r="J18359" s="1">
        <v>45938.413148148145</v>
      </c>
    </row>
    <row r="18360" spans="1:10" x14ac:dyDescent="0.2">
      <c r="A18360" s="4" t="s">
        <v>1</v>
      </c>
      <c r="B18360" s="3" t="str">
        <f>HYPERLINK("https://otsuka-europe-crm.veevavault.com/ui/#object/approved_document__v/V5OZ025E82U98YQ", "PSIQUIATRÍA - Programas ECNP 2025")</f>
        <v>PSIQUIATRÍA - Programas ECNP 2025</v>
      </c>
      <c r="C18360" s="3" t="str">
        <f>HYPERLINK("https://otsuka-europe-crm.veevavault.com/ui/#object/sent_email__v/VBLZ025E82HEE8I", "SE-000284927")</f>
        <v>SE-000284927</v>
      </c>
      <c r="D18360" s="1" t="s">
        <v>0</v>
      </c>
      <c r="E18360" s="2">
        <v>0</v>
      </c>
      <c r="F18360" s="2">
        <v>0</v>
      </c>
      <c r="G18360" s="2">
        <v>0</v>
      </c>
      <c r="H18360" s="1" t="s">
        <v>0</v>
      </c>
      <c r="I18360" s="2">
        <v>0</v>
      </c>
      <c r="J18360" s="1">
        <v>45938.413159722222</v>
      </c>
    </row>
    <row r="18361" spans="1:10" x14ac:dyDescent="0.2">
      <c r="A18361" s="4" t="s">
        <v>1</v>
      </c>
      <c r="B18361" s="3" t="str">
        <f>HYPERLINK("https://otsuka-europe-crm.veevavault.com/ui/#object/approved_document__v/V5OZ025E82U98YQ", "PSIQUIATRÍA - Programas ECNP 2025")</f>
        <v>PSIQUIATRÍA - Programas ECNP 2025</v>
      </c>
      <c r="C18361" s="3" t="str">
        <f>HYPERLINK("https://otsuka-europe-crm.veevavault.com/ui/#object/sent_email__v/VBLZ025E82HEE8J", "SE-000284928")</f>
        <v>SE-000284928</v>
      </c>
      <c r="D18361" s="1" t="s">
        <v>0</v>
      </c>
      <c r="E18361" s="2">
        <v>0</v>
      </c>
      <c r="F18361" s="2">
        <v>0</v>
      </c>
      <c r="G18361" s="2">
        <v>0</v>
      </c>
      <c r="H18361" s="1" t="s">
        <v>0</v>
      </c>
      <c r="I18361" s="2">
        <v>0</v>
      </c>
      <c r="J18361" s="1">
        <v>45938.413171296299</v>
      </c>
    </row>
    <row r="18362" spans="1:10" x14ac:dyDescent="0.2">
      <c r="A18362" s="4" t="s">
        <v>1</v>
      </c>
      <c r="B18362" s="3" t="str">
        <f>HYPERLINK("https://otsuka-europe-crm.veevavault.com/ui/#object/approved_document__v/V5OZ025E82U98YQ", "PSIQUIATRÍA - Programas ECNP 2025")</f>
        <v>PSIQUIATRÍA - Programas ECNP 2025</v>
      </c>
      <c r="C18362" s="3" t="str">
        <f>HYPERLINK("https://otsuka-europe-crm.veevavault.com/ui/#object/sent_email__v/VBLZ025E82HEE8K", "SE-000284929")</f>
        <v>SE-000284929</v>
      </c>
      <c r="D18362" s="1" t="s">
        <v>0</v>
      </c>
      <c r="E18362" s="2">
        <v>0</v>
      </c>
      <c r="F18362" s="2">
        <v>0</v>
      </c>
      <c r="G18362" s="2">
        <v>0</v>
      </c>
      <c r="H18362" s="1" t="s">
        <v>0</v>
      </c>
      <c r="I18362" s="2">
        <v>0</v>
      </c>
      <c r="J18362" s="1">
        <v>45938.413182870368</v>
      </c>
    </row>
    <row r="18363" spans="1:10" x14ac:dyDescent="0.2">
      <c r="A18363" s="4" t="s">
        <v>1</v>
      </c>
      <c r="B18363" s="3" t="str">
        <f>HYPERLINK("https://otsuka-europe-crm.veevavault.com/ui/#object/approved_document__v/V5OZ025E82U98YQ", "PSIQUIATRÍA - Programas ECNP 2025")</f>
        <v>PSIQUIATRÍA - Programas ECNP 2025</v>
      </c>
      <c r="C18363" s="3" t="str">
        <f>HYPERLINK("https://otsuka-europe-crm.veevavault.com/ui/#object/sent_email__v/VBLZ025E82HEE8L", "SE-000284930")</f>
        <v>SE-000284930</v>
      </c>
      <c r="D18363" s="1" t="s">
        <v>0</v>
      </c>
      <c r="E18363" s="2">
        <v>0</v>
      </c>
      <c r="F18363" s="2">
        <v>0</v>
      </c>
      <c r="G18363" s="2">
        <v>0</v>
      </c>
      <c r="H18363" s="1" t="s">
        <v>0</v>
      </c>
      <c r="I18363" s="2">
        <v>0</v>
      </c>
      <c r="J18363" s="1">
        <v>45938.413182870368</v>
      </c>
    </row>
    <row r="18364" spans="1:10" x14ac:dyDescent="0.2">
      <c r="A18364" s="4" t="s">
        <v>1</v>
      </c>
      <c r="B18364" s="3" t="str">
        <f>HYPERLINK("https://otsuka-europe-crm.veevavault.com/ui/#object/approved_document__v/V5OZ025E82U98YQ", "PSIQUIATRÍA - Programas ECNP 2025")</f>
        <v>PSIQUIATRÍA - Programas ECNP 2025</v>
      </c>
      <c r="C18364" s="3" t="str">
        <f>HYPERLINK("https://otsuka-europe-crm.veevavault.com/ui/#object/sent_email__v/VBLZ025E82HEE8M", "SE-000284931")</f>
        <v>SE-000284931</v>
      </c>
      <c r="D18364" s="1" t="s">
        <v>0</v>
      </c>
      <c r="E18364" s="2">
        <v>0</v>
      </c>
      <c r="F18364" s="2">
        <v>0</v>
      </c>
      <c r="G18364" s="2">
        <v>0</v>
      </c>
      <c r="H18364" s="1" t="s">
        <v>0</v>
      </c>
      <c r="I18364" s="2">
        <v>0</v>
      </c>
      <c r="J18364" s="1">
        <v>45938.413194444445</v>
      </c>
    </row>
    <row r="18365" spans="1:10" x14ac:dyDescent="0.2">
      <c r="A18365" s="4" t="s">
        <v>1</v>
      </c>
      <c r="B18365" s="3" t="str">
        <f>HYPERLINK("https://otsuka-europe-crm.veevavault.com/ui/#object/approved_document__v/V5OZ025E82U98YQ", "PSIQUIATRÍA - Programas ECNP 2025")</f>
        <v>PSIQUIATRÍA - Programas ECNP 2025</v>
      </c>
      <c r="C18365" s="3" t="str">
        <f>HYPERLINK("https://otsuka-europe-crm.veevavault.com/ui/#object/sent_email__v/VBLZ025E82HEE8N", "SE-000284932")</f>
        <v>SE-000284932</v>
      </c>
      <c r="D18365" s="1">
        <v>45964.375879629632</v>
      </c>
      <c r="E18365" s="2">
        <v>1</v>
      </c>
      <c r="F18365" s="2">
        <v>2</v>
      </c>
      <c r="G18365" s="2">
        <v>0</v>
      </c>
      <c r="H18365" s="1" t="s">
        <v>0</v>
      </c>
      <c r="I18365" s="2">
        <v>0</v>
      </c>
      <c r="J18365" s="1">
        <v>45938.413206018522</v>
      </c>
    </row>
    <row r="18366" spans="1:10" x14ac:dyDescent="0.2">
      <c r="A18366" s="4" t="s">
        <v>1</v>
      </c>
      <c r="B18366" s="3" t="str">
        <f>HYPERLINK("https://otsuka-europe-crm.veevavault.com/ui/#object/approved_document__v/V5OZ025E82U98YQ", "PSIQUIATRÍA - Programas ECNP 2025")</f>
        <v>PSIQUIATRÍA - Programas ECNP 2025</v>
      </c>
      <c r="C18366" s="3" t="str">
        <f>HYPERLINK("https://otsuka-europe-crm.veevavault.com/ui/#object/sent_email__v/VBLZ025E82HEE8O", "SE-000284933")</f>
        <v>SE-000284933</v>
      </c>
      <c r="D18366" s="1">
        <v>45951.513229166667</v>
      </c>
      <c r="E18366" s="2">
        <v>1</v>
      </c>
      <c r="F18366" s="2">
        <v>4</v>
      </c>
      <c r="G18366" s="2">
        <v>0</v>
      </c>
      <c r="H18366" s="1" t="s">
        <v>0</v>
      </c>
      <c r="I18366" s="2">
        <v>0</v>
      </c>
      <c r="J18366" s="1">
        <v>45938.413217592592</v>
      </c>
    </row>
    <row r="18367" spans="1:10" x14ac:dyDescent="0.2">
      <c r="A18367" s="4" t="s">
        <v>1</v>
      </c>
      <c r="B18367" s="3" t="str">
        <f>HYPERLINK("https://otsuka-europe-crm.veevavault.com/ui/#object/approved_document__v/V5OZ025E82U98YQ", "PSIQUIATRÍA - Programas ECNP 2025")</f>
        <v>PSIQUIATRÍA - Programas ECNP 2025</v>
      </c>
      <c r="C18367" s="3" t="str">
        <f>HYPERLINK("https://otsuka-europe-crm.veevavault.com/ui/#object/sent_email__v/VBLZ025E82HEE8P", "SE-000284934")</f>
        <v>SE-000284934</v>
      </c>
      <c r="D18367" s="1">
        <v>45939.416064814817</v>
      </c>
      <c r="E18367" s="2">
        <v>1</v>
      </c>
      <c r="F18367" s="2">
        <v>2</v>
      </c>
      <c r="G18367" s="2">
        <v>0</v>
      </c>
      <c r="H18367" s="1" t="s">
        <v>0</v>
      </c>
      <c r="I18367" s="2">
        <v>0</v>
      </c>
      <c r="J18367" s="1">
        <v>45938.413217592592</v>
      </c>
    </row>
    <row r="18368" spans="1:10" x14ac:dyDescent="0.2">
      <c r="A18368" s="4" t="s">
        <v>1</v>
      </c>
      <c r="B18368" s="3" t="str">
        <f>HYPERLINK("https://otsuka-europe-crm.veevavault.com/ui/#object/approved_document__v/V5OZ025E82U98YQ", "PSIQUIATRÍA - Programas ECNP 2025")</f>
        <v>PSIQUIATRÍA - Programas ECNP 2025</v>
      </c>
      <c r="C18368" s="3" t="str">
        <f>HYPERLINK("https://otsuka-europe-crm.veevavault.com/ui/#object/sent_email__v/VBLZ025E82HEE8Q", "SE-000284935")</f>
        <v>SE-000284935</v>
      </c>
      <c r="D18368" s="1" t="s">
        <v>0</v>
      </c>
      <c r="E18368" s="2">
        <v>0</v>
      </c>
      <c r="F18368" s="2">
        <v>0</v>
      </c>
      <c r="G18368" s="2">
        <v>0</v>
      </c>
      <c r="H18368" s="1" t="s">
        <v>0</v>
      </c>
      <c r="I18368" s="2">
        <v>0</v>
      </c>
      <c r="J18368" s="1">
        <v>45938.413240740738</v>
      </c>
    </row>
    <row r="18369" spans="1:10" x14ac:dyDescent="0.2">
      <c r="A18369" s="4" t="s">
        <v>1</v>
      </c>
      <c r="B18369" s="3" t="str">
        <f>HYPERLINK("https://otsuka-europe-crm.veevavault.com/ui/#object/approved_document__v/V5OZ025E82U98YQ", "PSIQUIATRÍA - Programas ECNP 2025")</f>
        <v>PSIQUIATRÍA - Programas ECNP 2025</v>
      </c>
      <c r="C18369" s="3" t="str">
        <f>HYPERLINK("https://otsuka-europe-crm.veevavault.com/ui/#object/sent_email__v/VBLZ025E82HEE8R", "SE-000284936")</f>
        <v>SE-000284936</v>
      </c>
      <c r="D18369" s="1">
        <v>45939.650810185187</v>
      </c>
      <c r="E18369" s="2">
        <v>1</v>
      </c>
      <c r="F18369" s="2">
        <v>1</v>
      </c>
      <c r="G18369" s="2">
        <v>0</v>
      </c>
      <c r="H18369" s="1" t="s">
        <v>0</v>
      </c>
      <c r="I18369" s="2">
        <v>0</v>
      </c>
      <c r="J18369" s="1">
        <v>45938.413240740738</v>
      </c>
    </row>
    <row r="18370" spans="1:10" x14ac:dyDescent="0.2">
      <c r="A18370" s="4" t="s">
        <v>1</v>
      </c>
      <c r="B18370" s="3" t="str">
        <f>HYPERLINK("https://otsuka-europe-crm.veevavault.com/ui/#object/approved_document__v/V5OZ025E82U98YQ", "PSIQUIATRÍA - Programas ECNP 2025")</f>
        <v>PSIQUIATRÍA - Programas ECNP 2025</v>
      </c>
      <c r="C18370" s="3" t="str">
        <f>HYPERLINK("https://otsuka-europe-crm.veevavault.com/ui/#object/sent_email__v/VBLZ025E82HEE8S", "SE-000284937")</f>
        <v>SE-000284937</v>
      </c>
      <c r="D18370" s="1">
        <v>45938.587627314817</v>
      </c>
      <c r="E18370" s="2">
        <v>1</v>
      </c>
      <c r="F18370" s="2">
        <v>2</v>
      </c>
      <c r="G18370" s="2">
        <v>0</v>
      </c>
      <c r="H18370" s="1" t="s">
        <v>0</v>
      </c>
      <c r="I18370" s="2">
        <v>0</v>
      </c>
      <c r="J18370" s="1">
        <v>45938.413252314815</v>
      </c>
    </row>
    <row r="18371" spans="1:10" x14ac:dyDescent="0.2">
      <c r="A18371" s="4" t="s">
        <v>1</v>
      </c>
      <c r="B18371" s="3" t="str">
        <f>HYPERLINK("https://otsuka-europe-crm.veevavault.com/ui/#object/approved_document__v/V5OZ025E82U98YQ", "PSIQUIATRÍA - Programas ECNP 2025")</f>
        <v>PSIQUIATRÍA - Programas ECNP 2025</v>
      </c>
      <c r="C18371" s="3" t="str">
        <f>HYPERLINK("https://otsuka-europe-crm.veevavault.com/ui/#object/sent_email__v/VBLZ025E82HEE8T", "SE-000284938")</f>
        <v>SE-000284938</v>
      </c>
      <c r="D18371" s="1">
        <v>45938.96465277778</v>
      </c>
      <c r="E18371" s="2">
        <v>1</v>
      </c>
      <c r="F18371" s="2">
        <v>1</v>
      </c>
      <c r="G18371" s="2">
        <v>0</v>
      </c>
      <c r="H18371" s="1" t="s">
        <v>0</v>
      </c>
      <c r="I18371" s="2">
        <v>0</v>
      </c>
      <c r="J18371" s="1">
        <v>45938.413263888891</v>
      </c>
    </row>
    <row r="18372" spans="1:10" x14ac:dyDescent="0.2">
      <c r="A18372" s="4" t="s">
        <v>1</v>
      </c>
      <c r="B18372" s="3" t="str">
        <f>HYPERLINK("https://otsuka-europe-crm.veevavault.com/ui/#object/approved_document__v/V5OZ025E82U98YQ", "PSIQUIATRÍA - Programas ECNP 2025")</f>
        <v>PSIQUIATRÍA - Programas ECNP 2025</v>
      </c>
      <c r="C18372" s="3" t="str">
        <f>HYPERLINK("https://otsuka-europe-crm.veevavault.com/ui/#object/sent_email__v/VBLZ025E82HEE8U", "SE-000284939")</f>
        <v>SE-000284939</v>
      </c>
      <c r="D18372" s="1">
        <v>45938.432800925926</v>
      </c>
      <c r="E18372" s="2">
        <v>1</v>
      </c>
      <c r="F18372" s="2">
        <v>1</v>
      </c>
      <c r="G18372" s="2">
        <v>0</v>
      </c>
      <c r="H18372" s="1" t="s">
        <v>0</v>
      </c>
      <c r="I18372" s="2">
        <v>0</v>
      </c>
      <c r="J18372" s="1">
        <v>45938.413275462961</v>
      </c>
    </row>
    <row r="18373" spans="1:10" x14ac:dyDescent="0.2">
      <c r="A18373" s="4" t="s">
        <v>1</v>
      </c>
      <c r="B18373" s="3" t="str">
        <f>HYPERLINK("https://otsuka-europe-crm.veevavault.com/ui/#object/approved_document__v/V5OZ025E82U98YQ", "PSIQUIATRÍA - Programas ECNP 2025")</f>
        <v>PSIQUIATRÍA - Programas ECNP 2025</v>
      </c>
      <c r="C18373" s="3" t="str">
        <f>HYPERLINK("https://otsuka-europe-crm.veevavault.com/ui/#object/sent_email__v/VBLZ025E82HEE8V", "SE-000284940")</f>
        <v>SE-000284940</v>
      </c>
      <c r="D18373" s="1">
        <v>45938.662824074076</v>
      </c>
      <c r="E18373" s="2">
        <v>1</v>
      </c>
      <c r="F18373" s="2">
        <v>2</v>
      </c>
      <c r="G18373" s="2">
        <v>0</v>
      </c>
      <c r="H18373" s="1" t="s">
        <v>0</v>
      </c>
      <c r="I18373" s="2">
        <v>0</v>
      </c>
      <c r="J18373" s="1">
        <v>45938.413275462961</v>
      </c>
    </row>
    <row r="18374" spans="1:10" x14ac:dyDescent="0.2">
      <c r="A18374" s="4" t="s">
        <v>1</v>
      </c>
      <c r="B18374" s="3" t="str">
        <f>HYPERLINK("https://otsuka-europe-crm.veevavault.com/ui/#object/approved_document__v/V5OZ025E82U98YQ", "PSIQUIATRÍA - Programas ECNP 2025")</f>
        <v>PSIQUIATRÍA - Programas ECNP 2025</v>
      </c>
      <c r="C18374" s="3" t="str">
        <f>HYPERLINK("https://otsuka-europe-crm.veevavault.com/ui/#object/sent_email__v/VBLZ025E82HEE8W", "SE-000284941")</f>
        <v>SE-000284941</v>
      </c>
      <c r="D18374" s="1" t="s">
        <v>0</v>
      </c>
      <c r="E18374" s="2">
        <v>0</v>
      </c>
      <c r="F18374" s="2">
        <v>0</v>
      </c>
      <c r="G18374" s="2">
        <v>0</v>
      </c>
      <c r="H18374" s="1" t="s">
        <v>0</v>
      </c>
      <c r="I18374" s="2">
        <v>0</v>
      </c>
      <c r="J18374" s="1">
        <v>45938.413287037038</v>
      </c>
    </row>
    <row r="18375" spans="1:10" x14ac:dyDescent="0.2">
      <c r="A18375" s="4" t="s">
        <v>1</v>
      </c>
      <c r="B18375" s="3" t="str">
        <f>HYPERLINK("https://otsuka-europe-crm.veevavault.com/ui/#object/approved_document__v/V5OZ025E82U98YQ", "PSIQUIATRÍA - Programas ECNP 2025")</f>
        <v>PSIQUIATRÍA - Programas ECNP 2025</v>
      </c>
      <c r="C18375" s="3" t="str">
        <f>HYPERLINK("https://otsuka-europe-crm.veevavault.com/ui/#object/sent_email__v/VBLZ025E82HEE8X", "SE-000284942")</f>
        <v>SE-000284942</v>
      </c>
      <c r="D18375" s="1">
        <v>45938.663148148145</v>
      </c>
      <c r="E18375" s="2">
        <v>1</v>
      </c>
      <c r="F18375" s="2">
        <v>1</v>
      </c>
      <c r="G18375" s="2">
        <v>0</v>
      </c>
      <c r="H18375" s="1" t="s">
        <v>0</v>
      </c>
      <c r="I18375" s="2">
        <v>0</v>
      </c>
      <c r="J18375" s="1">
        <v>45938.413298611114</v>
      </c>
    </row>
    <row r="18376" spans="1:10" x14ac:dyDescent="0.2">
      <c r="A18376" s="4" t="s">
        <v>1</v>
      </c>
      <c r="B18376" s="3" t="str">
        <f>HYPERLINK("https://otsuka-europe-crm.veevavault.com/ui/#object/approved_document__v/V5OZ025E82U98YQ", "PSIQUIATRÍA - Programas ECNP 2025")</f>
        <v>PSIQUIATRÍA - Programas ECNP 2025</v>
      </c>
      <c r="C18376" s="3" t="str">
        <f>HYPERLINK("https://otsuka-europe-crm.veevavault.com/ui/#object/sent_email__v/VBLZ025E82HEE8Y", "SE-000284943")</f>
        <v>SE-000284943</v>
      </c>
      <c r="D18376" s="1" t="s">
        <v>0</v>
      </c>
      <c r="E18376" s="2">
        <v>0</v>
      </c>
      <c r="F18376" s="2">
        <v>0</v>
      </c>
      <c r="G18376" s="2">
        <v>0</v>
      </c>
      <c r="H18376" s="1" t="s">
        <v>0</v>
      </c>
      <c r="I18376" s="2">
        <v>0</v>
      </c>
      <c r="J18376" s="1">
        <v>45938.413310185184</v>
      </c>
    </row>
    <row r="18377" spans="1:10" x14ac:dyDescent="0.2">
      <c r="A18377" s="4" t="s">
        <v>1</v>
      </c>
      <c r="B18377" s="3" t="str">
        <f>HYPERLINK("https://otsuka-europe-crm.veevavault.com/ui/#object/approved_document__v/V5OZ025E82U98YQ", "PSIQUIATRÍA - Programas ECNP 2025")</f>
        <v>PSIQUIATRÍA - Programas ECNP 2025</v>
      </c>
      <c r="C18377" s="3" t="str">
        <f>HYPERLINK("https://otsuka-europe-crm.veevavault.com/ui/#object/sent_email__v/VBLZ025E82HEE8Z", "SE-000284944")</f>
        <v>SE-000284944</v>
      </c>
      <c r="D18377" s="1">
        <v>45938.443923611114</v>
      </c>
      <c r="E18377" s="2">
        <v>1</v>
      </c>
      <c r="F18377" s="2">
        <v>1</v>
      </c>
      <c r="G18377" s="2">
        <v>0</v>
      </c>
      <c r="H18377" s="1" t="s">
        <v>0</v>
      </c>
      <c r="I18377" s="2">
        <v>0</v>
      </c>
      <c r="J18377" s="1">
        <v>45938.413321759261</v>
      </c>
    </row>
    <row r="18378" spans="1:10" x14ac:dyDescent="0.2">
      <c r="A18378" s="4" t="s">
        <v>1</v>
      </c>
      <c r="B18378" s="3" t="str">
        <f>HYPERLINK("https://otsuka-europe-crm.veevavault.com/ui/#object/approved_document__v/V5OZ025E82U98YQ", "PSIQUIATRÍA - Programas ECNP 2025")</f>
        <v>PSIQUIATRÍA - Programas ECNP 2025</v>
      </c>
      <c r="C18378" s="3" t="str">
        <f>HYPERLINK("https://otsuka-europe-crm.veevavault.com/ui/#object/sent_email__v/VBLZ025E82HET4H", "SE-000284977")</f>
        <v>SE-000284977</v>
      </c>
      <c r="D18378" s="1" t="s">
        <v>0</v>
      </c>
      <c r="E18378" s="2">
        <v>0</v>
      </c>
      <c r="F18378" s="2">
        <v>0</v>
      </c>
      <c r="G18378" s="2">
        <v>0</v>
      </c>
      <c r="H18378" s="1" t="s">
        <v>0</v>
      </c>
      <c r="I18378" s="2">
        <v>0</v>
      </c>
      <c r="J18378" s="1">
        <v>45938.539305555554</v>
      </c>
    </row>
    <row r="18379" spans="1:10" x14ac:dyDescent="0.2">
      <c r="A18379" s="4" t="s">
        <v>1</v>
      </c>
      <c r="B18379" s="3" t="str">
        <f>HYPERLINK("https://otsuka-europe-crm.veevavault.com/ui/#object/approved_document__v/V5OZ025E82U98YQ", "PSIQUIATRÍA - Programas ECNP 2025")</f>
        <v>PSIQUIATRÍA - Programas ECNP 2025</v>
      </c>
      <c r="C18379" s="3" t="str">
        <f>HYPERLINK("https://otsuka-europe-crm.veevavault.com/ui/#object/sent_email__v/VBLZ025E82HFV5X", "SE-000285097")</f>
        <v>SE-000285097</v>
      </c>
      <c r="D18379" s="1" t="s">
        <v>0</v>
      </c>
      <c r="E18379" s="2">
        <v>0</v>
      </c>
      <c r="F18379" s="2">
        <v>0</v>
      </c>
      <c r="G18379" s="2">
        <v>0</v>
      </c>
      <c r="H18379" s="1" t="s">
        <v>0</v>
      </c>
      <c r="I18379" s="2">
        <v>0</v>
      </c>
      <c r="J18379" s="1">
        <v>45939.430763888886</v>
      </c>
    </row>
    <row r="18380" spans="1:10" x14ac:dyDescent="0.2">
      <c r="A18380" s="4" t="s">
        <v>1</v>
      </c>
      <c r="B18380" s="3" t="str">
        <f>HYPERLINK("https://otsuka-europe-crm.veevavault.com/ui/#object/approved_document__v/V5OZ025E82U98YQ", "PSIQUIATRÍA - Programas ECNP 2025")</f>
        <v>PSIQUIATRÍA - Programas ECNP 2025</v>
      </c>
      <c r="C18380" s="3" t="str">
        <f>HYPERLINK("https://otsuka-europe-crm.veevavault.com/ui/#object/sent_email__v/VBLZ025E82HFV8P", "SE-000285098")</f>
        <v>SE-000285098</v>
      </c>
      <c r="D18380" s="1">
        <v>45941.317546296297</v>
      </c>
      <c r="E18380" s="2">
        <v>1</v>
      </c>
      <c r="F18380" s="2">
        <v>4</v>
      </c>
      <c r="G18380" s="2">
        <v>0</v>
      </c>
      <c r="H18380" s="1" t="s">
        <v>0</v>
      </c>
      <c r="I18380" s="2">
        <v>0</v>
      </c>
      <c r="J18380" s="1">
        <v>45939.431030092594</v>
      </c>
    </row>
    <row r="18381" spans="1:10" x14ac:dyDescent="0.2">
      <c r="A18381" s="4" t="s">
        <v>1</v>
      </c>
      <c r="B18381" s="3" t="str">
        <f>HYPERLINK("https://otsuka-europe-crm.veevavault.com/ui/#object/approved_document__v/V5OZ025E82U98YQ", "PSIQUIATRÍA - Programas ECNP 2025")</f>
        <v>PSIQUIATRÍA - Programas ECNP 2025</v>
      </c>
      <c r="C18381" s="3" t="str">
        <f>HYPERLINK("https://otsuka-europe-crm.veevavault.com/ui/#object/sent_email__v/VBLZ025E82HFVBH", "SE-000285099")</f>
        <v>SE-000285099</v>
      </c>
      <c r="D18381" s="1">
        <v>45939.872418981482</v>
      </c>
      <c r="E18381" s="2">
        <v>1</v>
      </c>
      <c r="F18381" s="2">
        <v>1</v>
      </c>
      <c r="G18381" s="2">
        <v>0</v>
      </c>
      <c r="H18381" s="1" t="s">
        <v>0</v>
      </c>
      <c r="I18381" s="2">
        <v>0</v>
      </c>
      <c r="J18381" s="1">
        <v>45939.431307870371</v>
      </c>
    </row>
    <row r="18382" spans="1:10" x14ac:dyDescent="0.2">
      <c r="A18382" s="4" t="s">
        <v>1</v>
      </c>
      <c r="B18382" s="3" t="str">
        <f>HYPERLINK("https://otsuka-europe-crm.veevavault.com/ui/#object/approved_document__v/V5OZ025E82U98YQ", "PSIQUIATRÍA - Programas ECNP 2025")</f>
        <v>PSIQUIATRÍA - Programas ECNP 2025</v>
      </c>
      <c r="C18382" s="3" t="str">
        <f>HYPERLINK("https://otsuka-europe-crm.veevavault.com/ui/#object/sent_email__v/VBLZ025E82HFVE9", "SE-000285100")</f>
        <v>SE-000285100</v>
      </c>
      <c r="D18382" s="1">
        <v>45945.933171296296</v>
      </c>
      <c r="E18382" s="2">
        <v>1</v>
      </c>
      <c r="F18382" s="2">
        <v>1</v>
      </c>
      <c r="G18382" s="2">
        <v>0</v>
      </c>
      <c r="H18382" s="1" t="s">
        <v>0</v>
      </c>
      <c r="I18382" s="2">
        <v>0</v>
      </c>
      <c r="J18382" s="1">
        <v>45939.431608796294</v>
      </c>
    </row>
    <row r="18383" spans="1:10" x14ac:dyDescent="0.2">
      <c r="A18383" s="4" t="s">
        <v>1</v>
      </c>
      <c r="B18383" s="3" t="str">
        <f>HYPERLINK("https://otsuka-europe-crm.veevavault.com/ui/#object/approved_document__v/V5OZ025E82U98YQ", "PSIQUIATRÍA - Programas ECNP 2025")</f>
        <v>PSIQUIATRÍA - Programas ECNP 2025</v>
      </c>
      <c r="C18383" s="3" t="str">
        <f>HYPERLINK("https://otsuka-europe-crm.veevavault.com/ui/#object/sent_email__v/VBLZ025E82HFVH1", "SE-000285101")</f>
        <v>SE-000285101</v>
      </c>
      <c r="D18383" s="1">
        <v>45942.323263888888</v>
      </c>
      <c r="E18383" s="2">
        <v>1</v>
      </c>
      <c r="F18383" s="2">
        <v>7</v>
      </c>
      <c r="G18383" s="2">
        <v>1</v>
      </c>
      <c r="H18383" s="1">
        <v>45941.699386574073</v>
      </c>
      <c r="I18383" s="2">
        <v>5</v>
      </c>
      <c r="J18383" s="1">
        <v>45939.431817129633</v>
      </c>
    </row>
    <row r="18384" spans="1:10" x14ac:dyDescent="0.2">
      <c r="A18384" s="4" t="s">
        <v>1</v>
      </c>
      <c r="B18384" s="3" t="str">
        <f>HYPERLINK("https://otsuka-europe-crm.veevavault.com/ui/#object/approved_document__v/V5OZ025E82U98YQ", "PSIQUIATRÍA - Programas ECNP 2025")</f>
        <v>PSIQUIATRÍA - Programas ECNP 2025</v>
      </c>
      <c r="C18384" s="3" t="str">
        <f>HYPERLINK("https://otsuka-europe-crm.veevavault.com/ui/#object/sent_email__v/VBLZ025E82HFVJT", "SE-000285102")</f>
        <v>SE-000285102</v>
      </c>
      <c r="D18384" s="1" t="s">
        <v>0</v>
      </c>
      <c r="E18384" s="2">
        <v>0</v>
      </c>
      <c r="F18384" s="2">
        <v>0</v>
      </c>
      <c r="G18384" s="2">
        <v>0</v>
      </c>
      <c r="H18384" s="1" t="s">
        <v>0</v>
      </c>
      <c r="I18384" s="2">
        <v>0</v>
      </c>
      <c r="J18384" s="1">
        <v>45939.43209490741</v>
      </c>
    </row>
    <row r="18385" spans="1:10" x14ac:dyDescent="0.2">
      <c r="A18385" s="4" t="s">
        <v>1</v>
      </c>
      <c r="B18385" s="3" t="str">
        <f>HYPERLINK("https://otsuka-europe-crm.veevavault.com/ui/#object/approved_document__v/V5OZ025E82U98YQ", "PSIQUIATRÍA - Programas ECNP 2025")</f>
        <v>PSIQUIATRÍA - Programas ECNP 2025</v>
      </c>
      <c r="C18385" s="3" t="str">
        <f>HYPERLINK("https://otsuka-europe-crm.veevavault.com/ui/#object/sent_email__v/VBLZ025E82HFVML", "SE-000285103")</f>
        <v>SE-000285103</v>
      </c>
      <c r="D18385" s="1">
        <v>45939.546898148146</v>
      </c>
      <c r="E18385" s="2">
        <v>1</v>
      </c>
      <c r="F18385" s="2">
        <v>1</v>
      </c>
      <c r="G18385" s="2">
        <v>0</v>
      </c>
      <c r="H18385" s="1" t="s">
        <v>0</v>
      </c>
      <c r="I18385" s="2">
        <v>0</v>
      </c>
      <c r="J18385" s="1">
        <v>45939.432337962964</v>
      </c>
    </row>
    <row r="18386" spans="1:10" x14ac:dyDescent="0.2">
      <c r="A18386" s="4" t="s">
        <v>1</v>
      </c>
      <c r="B18386" s="3" t="str">
        <f>HYPERLINK("https://otsuka-europe-crm.veevavault.com/ui/#object/approved_document__v/V5OZ025E82U98YQ", "PSIQUIATRÍA - Programas ECNP 2025")</f>
        <v>PSIQUIATRÍA - Programas ECNP 2025</v>
      </c>
      <c r="C18386" s="3" t="str">
        <f>HYPERLINK("https://otsuka-europe-crm.veevavault.com/ui/#object/sent_email__v/VBLZ025E82HFVPD", "SE-000285104")</f>
        <v>SE-000285104</v>
      </c>
      <c r="D18386" s="1">
        <v>45941.518773148149</v>
      </c>
      <c r="E18386" s="2">
        <v>1</v>
      </c>
      <c r="F18386" s="2">
        <v>5</v>
      </c>
      <c r="G18386" s="2">
        <v>0</v>
      </c>
      <c r="H18386" s="1" t="s">
        <v>0</v>
      </c>
      <c r="I18386" s="2">
        <v>0</v>
      </c>
      <c r="J18386" s="1">
        <v>45939.432546296295</v>
      </c>
    </row>
    <row r="18387" spans="1:10" x14ac:dyDescent="0.2">
      <c r="A18387" s="4" t="s">
        <v>1</v>
      </c>
      <c r="B18387" s="3" t="str">
        <f>HYPERLINK("https://otsuka-europe-crm.veevavault.com/ui/#object/approved_document__v/V5OZ025E82U98YQ", "PSIQUIATRÍA - Programas ECNP 2025")</f>
        <v>PSIQUIATRÍA - Programas ECNP 2025</v>
      </c>
      <c r="C18387" s="3" t="str">
        <f>HYPERLINK("https://otsuka-europe-crm.veevavault.com/ui/#object/sent_email__v/VBLZ025E82HFXV5", "SE-000285127")</f>
        <v>SE-000285127</v>
      </c>
      <c r="D18387" s="1">
        <v>45939.521435185183</v>
      </c>
      <c r="E18387" s="2">
        <v>1</v>
      </c>
      <c r="F18387" s="2">
        <v>1</v>
      </c>
      <c r="G18387" s="2">
        <v>0</v>
      </c>
      <c r="H18387" s="1" t="s">
        <v>0</v>
      </c>
      <c r="I18387" s="2">
        <v>0</v>
      </c>
      <c r="J18387" s="1">
        <v>45939.446157407408</v>
      </c>
    </row>
    <row r="18388" spans="1:10" x14ac:dyDescent="0.2">
      <c r="A18388" s="4" t="s">
        <v>1</v>
      </c>
      <c r="B18388" s="3" t="str">
        <f>HYPERLINK("https://otsuka-europe-crm.veevavault.com/ui/#object/approved_document__v/V5OZ025E82U98YQ", "PSIQUIATRÍA - Programas ECNP 2025")</f>
        <v>PSIQUIATRÍA - Programas ECNP 2025</v>
      </c>
      <c r="C18388" s="3" t="str">
        <f>HYPERLINK("https://otsuka-europe-crm.veevavault.com/ui/#object/sent_email__v/VBLZ025E82HG7CT", "SE-000285376")</f>
        <v>SE-000285376</v>
      </c>
      <c r="D18388" s="1" t="s">
        <v>0</v>
      </c>
      <c r="E18388" s="2">
        <v>0</v>
      </c>
      <c r="F18388" s="2">
        <v>0</v>
      </c>
      <c r="G18388" s="2">
        <v>0</v>
      </c>
      <c r="H18388" s="1" t="s">
        <v>0</v>
      </c>
      <c r="I18388" s="2">
        <v>0</v>
      </c>
      <c r="J18388" s="1">
        <v>45939.491666666669</v>
      </c>
    </row>
    <row r="18389" spans="1:10" x14ac:dyDescent="0.2">
      <c r="A18389" s="4" t="s">
        <v>1</v>
      </c>
      <c r="B18389" s="3" t="str">
        <f>HYPERLINK("https://otsuka-europe-crm.veevavault.com/ui/#object/approved_document__v/V5OZ025E82U98YQ", "PSIQUIATRÍA - Programas ECNP 2025")</f>
        <v>PSIQUIATRÍA - Programas ECNP 2025</v>
      </c>
      <c r="C18389" s="3" t="str">
        <f>HYPERLINK("https://otsuka-europe-crm.veevavault.com/ui/#object/sent_email__v/VBLZ025E82HG7ID", "SE-000285378")</f>
        <v>SE-000285378</v>
      </c>
      <c r="D18389" s="1">
        <v>45941.626805555556</v>
      </c>
      <c r="E18389" s="2">
        <v>1</v>
      </c>
      <c r="F18389" s="2">
        <v>3</v>
      </c>
      <c r="G18389" s="2">
        <v>0</v>
      </c>
      <c r="H18389" s="1" t="s">
        <v>0</v>
      </c>
      <c r="I18389" s="2">
        <v>0</v>
      </c>
      <c r="J18389" s="1">
        <v>45939.492013888892</v>
      </c>
    </row>
    <row r="18390" spans="1:10" x14ac:dyDescent="0.2">
      <c r="A18390" s="4" t="s">
        <v>1</v>
      </c>
      <c r="B18390" s="3" t="str">
        <f>HYPERLINK("https://otsuka-europe-crm.veevavault.com/ui/#object/approved_document__v/V5OZ025E82U98YQ", "PSIQUIATRÍA - Programas ECNP 2025")</f>
        <v>PSIQUIATRÍA - Programas ECNP 2025</v>
      </c>
      <c r="C18390" s="3" t="str">
        <f>HYPERLINK("https://otsuka-europe-crm.veevavault.com/ui/#object/sent_email__v/VBLZ025E82HFYMY", "SE-000285379")</f>
        <v>SE-000285379</v>
      </c>
      <c r="D18390" s="1" t="s">
        <v>0</v>
      </c>
      <c r="E18390" s="2">
        <v>0</v>
      </c>
      <c r="F18390" s="2">
        <v>0</v>
      </c>
      <c r="G18390" s="2">
        <v>0</v>
      </c>
      <c r="H18390" s="1" t="s">
        <v>0</v>
      </c>
      <c r="I18390" s="2">
        <v>0</v>
      </c>
      <c r="J18390" s="1">
        <v>45939.492291666669</v>
      </c>
    </row>
    <row r="18391" spans="1:10" x14ac:dyDescent="0.2">
      <c r="A18391" s="4" t="s">
        <v>1</v>
      </c>
      <c r="B18391" s="3" t="str">
        <f>HYPERLINK("https://otsuka-europe-crm.veevavault.com/ui/#object/approved_document__v/V5OZ025E82U98YQ", "PSIQUIATRÍA - Programas ECNP 2025")</f>
        <v>PSIQUIATRÍA - Programas ECNP 2025</v>
      </c>
      <c r="C18391" s="3" t="str">
        <f>HYPERLINK("https://otsuka-europe-crm.veevavault.com/ui/#object/sent_email__v/VBLZ025E82HGVW5", "SE-000286215")</f>
        <v>SE-000286215</v>
      </c>
      <c r="D18391" s="1">
        <v>45939.829907407409</v>
      </c>
      <c r="E18391" s="2">
        <v>1</v>
      </c>
      <c r="F18391" s="2">
        <v>2</v>
      </c>
      <c r="G18391" s="2">
        <v>1</v>
      </c>
      <c r="H18391" s="1">
        <v>45941.457662037035</v>
      </c>
      <c r="I18391" s="2">
        <v>3</v>
      </c>
      <c r="J18391" s="1">
        <v>45939.796689814815</v>
      </c>
    </row>
    <row r="18392" spans="1:10" x14ac:dyDescent="0.2">
      <c r="A18392" s="4" t="s">
        <v>1</v>
      </c>
      <c r="B18392" s="3" t="str">
        <f>HYPERLINK("https://otsuka-europe-crm.veevavault.com/ui/#object/approved_document__v/V5OZ025E82U98YQ", "PSIQUIATRÍA - Programas ECNP 2025")</f>
        <v>PSIQUIATRÍA - Programas ECNP 2025</v>
      </c>
      <c r="C18392" s="3" t="str">
        <f>HYPERLINK("https://otsuka-europe-crm.veevavault.com/ui/#object/sent_email__v/VBLZ025E82HGVW6", "SE-000286216")</f>
        <v>SE-000286216</v>
      </c>
      <c r="D18392" s="1">
        <v>45940.932164351849</v>
      </c>
      <c r="E18392" s="2">
        <v>1</v>
      </c>
      <c r="F18392" s="2">
        <v>2</v>
      </c>
      <c r="G18392" s="2">
        <v>0</v>
      </c>
      <c r="H18392" s="1" t="s">
        <v>0</v>
      </c>
      <c r="I18392" s="2">
        <v>0</v>
      </c>
      <c r="J18392" s="1">
        <v>45939.796701388892</v>
      </c>
    </row>
    <row r="18393" spans="1:10" x14ac:dyDescent="0.2">
      <c r="A18393" s="4" t="s">
        <v>1</v>
      </c>
      <c r="B18393" s="3" t="str">
        <f>HYPERLINK("https://otsuka-europe-crm.veevavault.com/ui/#object/approved_document__v/V5OZ025E82U98YQ", "PSIQUIATRÍA - Programas ECNP 2025")</f>
        <v>PSIQUIATRÍA - Programas ECNP 2025</v>
      </c>
      <c r="C18393" s="3" t="str">
        <f>HYPERLINK("https://otsuka-europe-crm.veevavault.com/ui/#object/sent_email__v/VBLZ025E82HGVW7", "SE-000286217")</f>
        <v>SE-000286217</v>
      </c>
      <c r="D18393" s="1">
        <v>45942.441354166665</v>
      </c>
      <c r="E18393" s="2">
        <v>1</v>
      </c>
      <c r="F18393" s="2">
        <v>5</v>
      </c>
      <c r="G18393" s="2">
        <v>0</v>
      </c>
      <c r="H18393" s="1" t="s">
        <v>0</v>
      </c>
      <c r="I18393" s="2">
        <v>0</v>
      </c>
      <c r="J18393" s="1">
        <v>45939.796701388892</v>
      </c>
    </row>
    <row r="18394" spans="1:10" x14ac:dyDescent="0.2">
      <c r="A18394" s="4" t="s">
        <v>1</v>
      </c>
      <c r="B18394" s="3" t="str">
        <f>HYPERLINK("https://otsuka-europe-crm.veevavault.com/ui/#object/approved_document__v/V5OZ025E82U98YQ", "PSIQUIATRÍA - Programas ECNP 2025")</f>
        <v>PSIQUIATRÍA - Programas ECNP 2025</v>
      </c>
      <c r="C18394" s="3" t="str">
        <f>HYPERLINK("https://otsuka-europe-crm.veevavault.com/ui/#object/sent_email__v/VBLZ025E82HGVW8", "SE-000286218")</f>
        <v>SE-000286218</v>
      </c>
      <c r="D18394" s="1" t="s">
        <v>0</v>
      </c>
      <c r="E18394" s="2">
        <v>0</v>
      </c>
      <c r="F18394" s="2">
        <v>0</v>
      </c>
      <c r="G18394" s="2">
        <v>0</v>
      </c>
      <c r="H18394" s="1" t="s">
        <v>0</v>
      </c>
      <c r="I18394" s="2">
        <v>0</v>
      </c>
      <c r="J18394" s="1">
        <v>45939.796712962961</v>
      </c>
    </row>
    <row r="18395" spans="1:10" x14ac:dyDescent="0.2">
      <c r="A18395" s="4" t="s">
        <v>1</v>
      </c>
      <c r="B18395" s="3" t="str">
        <f>HYPERLINK("https://otsuka-europe-crm.veevavault.com/ui/#object/approved_document__v/V5OZ025E82U98YQ", "PSIQUIATRÍA - Programas ECNP 2025")</f>
        <v>PSIQUIATRÍA - Programas ECNP 2025</v>
      </c>
      <c r="C18395" s="3" t="str">
        <f>HYPERLINK("https://otsuka-europe-crm.veevavault.com/ui/#object/sent_email__v/VBLZ025E82HGVW9", "SE-000286219")</f>
        <v>SE-000286219</v>
      </c>
      <c r="D18395" s="1" t="s">
        <v>0</v>
      </c>
      <c r="E18395" s="2">
        <v>0</v>
      </c>
      <c r="F18395" s="2">
        <v>0</v>
      </c>
      <c r="G18395" s="2">
        <v>0</v>
      </c>
      <c r="H18395" s="1" t="s">
        <v>0</v>
      </c>
      <c r="I18395" s="2">
        <v>0</v>
      </c>
      <c r="J18395" s="1">
        <v>45939.796712962961</v>
      </c>
    </row>
    <row r="18396" spans="1:10" x14ac:dyDescent="0.2">
      <c r="A18396" s="4" t="s">
        <v>1</v>
      </c>
      <c r="B18396" s="3" t="str">
        <f>HYPERLINK("https://otsuka-europe-crm.veevavault.com/ui/#object/approved_document__v/V5OZ025E82U98YQ", "PSIQUIATRÍA - Programas ECNP 2025")</f>
        <v>PSIQUIATRÍA - Programas ECNP 2025</v>
      </c>
      <c r="C18396" s="3" t="str">
        <f>HYPERLINK("https://otsuka-europe-crm.veevavault.com/ui/#object/sent_email__v/VBLZ025E82HGVWA", "SE-000286220")</f>
        <v>SE-000286220</v>
      </c>
      <c r="D18396" s="1">
        <v>45940.78833333333</v>
      </c>
      <c r="E18396" s="2">
        <v>1</v>
      </c>
      <c r="F18396" s="2">
        <v>2</v>
      </c>
      <c r="G18396" s="2">
        <v>0</v>
      </c>
      <c r="H18396" s="1" t="s">
        <v>0</v>
      </c>
      <c r="I18396" s="2">
        <v>0</v>
      </c>
      <c r="J18396" s="1">
        <v>45939.796724537038</v>
      </c>
    </row>
    <row r="18397" spans="1:10" x14ac:dyDescent="0.2">
      <c r="A18397" s="4" t="s">
        <v>1</v>
      </c>
      <c r="B18397" s="3" t="str">
        <f>HYPERLINK("https://otsuka-europe-crm.veevavault.com/ui/#object/approved_document__v/V5OZ025E82U98YQ", "PSIQUIATRÍA - Programas ECNP 2025")</f>
        <v>PSIQUIATRÍA - Programas ECNP 2025</v>
      </c>
      <c r="C18397" s="3" t="str">
        <f>HYPERLINK("https://otsuka-europe-crm.veevavault.com/ui/#object/sent_email__v/VBLZ025E82HGVWB", "SE-000286221")</f>
        <v>SE-000286221</v>
      </c>
      <c r="D18397" s="1" t="s">
        <v>0</v>
      </c>
      <c r="E18397" s="2">
        <v>0</v>
      </c>
      <c r="F18397" s="2">
        <v>0</v>
      </c>
      <c r="G18397" s="2">
        <v>0</v>
      </c>
      <c r="H18397" s="1" t="s">
        <v>0</v>
      </c>
      <c r="I18397" s="2">
        <v>0</v>
      </c>
      <c r="J18397" s="1">
        <v>45939.796747685185</v>
      </c>
    </row>
    <row r="18398" spans="1:10" x14ac:dyDescent="0.2">
      <c r="A18398" s="4" t="s">
        <v>1</v>
      </c>
      <c r="B18398" s="3" t="str">
        <f>HYPERLINK("https://otsuka-europe-crm.veevavault.com/ui/#object/approved_document__v/V5OZ025E82U98YQ", "PSIQUIATRÍA - Programas ECNP 2025")</f>
        <v>PSIQUIATRÍA - Programas ECNP 2025</v>
      </c>
      <c r="C18398" s="3" t="str">
        <f>HYPERLINK("https://otsuka-europe-crm.veevavault.com/ui/#object/sent_email__v/VBLZ025E82HGVWC", "SE-000286222")</f>
        <v>SE-000286222</v>
      </c>
      <c r="D18398" s="1">
        <v>45941.743946759256</v>
      </c>
      <c r="E18398" s="2">
        <v>1</v>
      </c>
      <c r="F18398" s="2">
        <v>1</v>
      </c>
      <c r="G18398" s="2">
        <v>0</v>
      </c>
      <c r="H18398" s="1" t="s">
        <v>0</v>
      </c>
      <c r="I18398" s="2">
        <v>0</v>
      </c>
      <c r="J18398" s="1">
        <v>45939.796747685185</v>
      </c>
    </row>
    <row r="18399" spans="1:10" x14ac:dyDescent="0.2">
      <c r="A18399" s="4" t="s">
        <v>1</v>
      </c>
      <c r="B18399" s="3" t="str">
        <f>HYPERLINK("https://otsuka-europe-crm.veevavault.com/ui/#object/approved_document__v/V5OZ025E82U98YQ", "PSIQUIATRÍA - Programas ECNP 2025")</f>
        <v>PSIQUIATRÍA - Programas ECNP 2025</v>
      </c>
      <c r="C18399" s="3" t="str">
        <f>HYPERLINK("https://otsuka-europe-crm.veevavault.com/ui/#object/sent_email__v/VBLZ025E82HGVWD", "SE-000286223")</f>
        <v>SE-000286223</v>
      </c>
      <c r="D18399" s="1">
        <v>45992.502476851849</v>
      </c>
      <c r="E18399" s="2">
        <v>1</v>
      </c>
      <c r="F18399" s="2">
        <v>3</v>
      </c>
      <c r="G18399" s="2">
        <v>1</v>
      </c>
      <c r="H18399" s="1">
        <v>45965.350081018521</v>
      </c>
      <c r="I18399" s="2">
        <v>1</v>
      </c>
      <c r="J18399" s="1">
        <v>45939.796759259261</v>
      </c>
    </row>
    <row r="18400" spans="1:10" x14ac:dyDescent="0.2">
      <c r="A18400" s="4" t="s">
        <v>1</v>
      </c>
      <c r="B18400" s="3" t="str">
        <f>HYPERLINK("https://otsuka-europe-crm.veevavault.com/ui/#object/approved_document__v/V5OZ025E82U98YQ", "PSIQUIATRÍA - Programas ECNP 2025")</f>
        <v>PSIQUIATRÍA - Programas ECNP 2025</v>
      </c>
      <c r="C18400" s="3" t="str">
        <f>HYPERLINK("https://otsuka-europe-crm.veevavault.com/ui/#object/sent_email__v/VBLZ025E82HI2HH", "SE-000286553")</f>
        <v>SE-000286553</v>
      </c>
      <c r="D18400" s="1">
        <v>45941.641064814816</v>
      </c>
      <c r="E18400" s="2">
        <v>1</v>
      </c>
      <c r="F18400" s="2">
        <v>1</v>
      </c>
      <c r="G18400" s="2">
        <v>0</v>
      </c>
      <c r="H18400" s="1" t="s">
        <v>0</v>
      </c>
      <c r="I18400" s="2">
        <v>0</v>
      </c>
      <c r="J18400" s="1">
        <v>45941.555196759262</v>
      </c>
    </row>
    <row r="18401" spans="1:10" x14ac:dyDescent="0.2">
      <c r="A18401" s="4" t="s">
        <v>1</v>
      </c>
      <c r="B18401" s="3" t="str">
        <f>HYPERLINK("https://otsuka-europe-crm.veevavault.com/ui/#object/approved_document__v/V5OZ025E82U98YQ", "PSIQUIATRÍA - Programas ECNP 2025")</f>
        <v>PSIQUIATRÍA - Programas ECNP 2025</v>
      </c>
      <c r="C18401" s="3" t="str">
        <f>HYPERLINK("https://otsuka-europe-crm.veevavault.com/ui/#object/sent_email__v/VBLZ025E82HI2HI", "SE-000286554")</f>
        <v>SE-000286554</v>
      </c>
      <c r="D18401" s="1">
        <v>46047.785740740743</v>
      </c>
      <c r="E18401" s="2">
        <v>1</v>
      </c>
      <c r="F18401" s="2">
        <v>3</v>
      </c>
      <c r="G18401" s="2">
        <v>0</v>
      </c>
      <c r="H18401" s="1" t="s">
        <v>0</v>
      </c>
      <c r="I18401" s="2">
        <v>0</v>
      </c>
      <c r="J18401" s="1">
        <v>45941.555196759262</v>
      </c>
    </row>
    <row r="18402" spans="1:10" x14ac:dyDescent="0.2">
      <c r="A18402" s="4" t="s">
        <v>1</v>
      </c>
      <c r="B18402" s="3" t="str">
        <f>HYPERLINK("https://otsuka-europe-crm.veevavault.com/ui/#object/approved_document__v/V5OZ04ASG4FWKA7", "Reuniones Online Consent - 2")</f>
        <v>Reuniones Online Consent - 2</v>
      </c>
      <c r="C18402" s="3" t="str">
        <f>HYPERLINK("https://otsuka-europe-crm.veevavault.com/ui/#object/sent_email__v/VBLZ025E82GBFOR", "SE-000254900")</f>
        <v>SE-000254900</v>
      </c>
      <c r="D18402" s="1" t="s">
        <v>0</v>
      </c>
      <c r="E18402" s="2">
        <v>0</v>
      </c>
      <c r="F18402" s="2">
        <v>0</v>
      </c>
      <c r="G18402" s="2">
        <v>0</v>
      </c>
      <c r="H18402" s="1" t="s">
        <v>0</v>
      </c>
      <c r="I18402" s="2">
        <v>0</v>
      </c>
      <c r="J18402" s="1">
        <v>45901.322546296295</v>
      </c>
    </row>
    <row r="18403" spans="1:10" x14ac:dyDescent="0.2">
      <c r="A18403" s="4" t="s">
        <v>1</v>
      </c>
      <c r="B18403" s="3" t="str">
        <f>HYPERLINK("https://otsuka-europe-crm.veevavault.com/ui/#object/approved_document__v/V5OZ04ASG4FWKA7", "Reuniones Online Consent - 2")</f>
        <v>Reuniones Online Consent - 2</v>
      </c>
      <c r="C18403" s="3" t="str">
        <f>HYPERLINK("https://otsuka-europe-crm.veevavault.com/ui/#object/sent_email__v/VBLZ025E82GCCPL", "SE-000254931")</f>
        <v>SE-000254931</v>
      </c>
      <c r="D18403" s="1">
        <v>45902.353634259256</v>
      </c>
      <c r="E18403" s="2">
        <v>1</v>
      </c>
      <c r="F18403" s="2">
        <v>1</v>
      </c>
      <c r="G18403" s="2">
        <v>1</v>
      </c>
      <c r="H18403" s="1">
        <v>45902.353634259256</v>
      </c>
      <c r="I18403" s="2">
        <v>1</v>
      </c>
      <c r="J18403" s="1">
        <v>45901.688622685186</v>
      </c>
    </row>
    <row r="18404" spans="1:10" x14ac:dyDescent="0.2">
      <c r="A18404" s="4" t="s">
        <v>1</v>
      </c>
      <c r="B18404" s="3" t="str">
        <f>HYPERLINK("https://otsuka-europe-crm.veevavault.com/ui/#object/approved_document__v/V5OZ04ASG4FWKA7", "Reuniones Online Consent - 2")</f>
        <v>Reuniones Online Consent - 2</v>
      </c>
      <c r="C18404" s="3" t="str">
        <f>HYPERLINK("https://otsuka-europe-crm.veevavault.com/ui/#object/sent_email__v/VBLZ025E82GCJ1E", "SE-000254940")</f>
        <v>SE-000254940</v>
      </c>
      <c r="D18404" s="1">
        <v>45904.608715277776</v>
      </c>
      <c r="E18404" s="2">
        <v>1</v>
      </c>
      <c r="F18404" s="2">
        <v>3</v>
      </c>
      <c r="G18404" s="2">
        <v>1</v>
      </c>
      <c r="H18404" s="1">
        <v>45904.608923611115</v>
      </c>
      <c r="I18404" s="2">
        <v>2</v>
      </c>
      <c r="J18404" s="1">
        <v>45902.34578703704</v>
      </c>
    </row>
    <row r="18405" spans="1:10" x14ac:dyDescent="0.2">
      <c r="A18405" s="4" t="s">
        <v>1</v>
      </c>
      <c r="B18405" s="3" t="str">
        <f>HYPERLINK("https://otsuka-europe-crm.veevavault.com/ui/#object/approved_document__v/V5OZ04ASG4FWKA7", "Reuniones Online Consent - 2")</f>
        <v>Reuniones Online Consent - 2</v>
      </c>
      <c r="C18405" s="3" t="str">
        <f>HYPERLINK("https://otsuka-europe-crm.veevavault.com/ui/#object/sent_email__v/VBLZ025E82GCVB2", "SE-000254964")</f>
        <v>SE-000254964</v>
      </c>
      <c r="D18405" s="1" t="s">
        <v>0</v>
      </c>
      <c r="E18405" s="2">
        <v>0</v>
      </c>
      <c r="F18405" s="2">
        <v>0</v>
      </c>
      <c r="G18405" s="2">
        <v>0</v>
      </c>
      <c r="H18405" s="1" t="s">
        <v>0</v>
      </c>
      <c r="I18405" s="2">
        <v>0</v>
      </c>
      <c r="J18405" s="1">
        <v>45902.475069444445</v>
      </c>
    </row>
    <row r="18406" spans="1:10" x14ac:dyDescent="0.2">
      <c r="A18406" s="4" t="s">
        <v>1</v>
      </c>
      <c r="B18406" s="3" t="str">
        <f>HYPERLINK("https://otsuka-europe-crm.veevavault.com/ui/#object/approved_document__v/V5OZ04ASG4FWKA7", "Reuniones Online Consent - 2")</f>
        <v>Reuniones Online Consent - 2</v>
      </c>
      <c r="C18406" s="3" t="str">
        <f>HYPERLINK("https://otsuka-europe-crm.veevavault.com/ui/#object/sent_email__v/VBLZ025E82GDANU", "SE-000255135")</f>
        <v>SE-000255135</v>
      </c>
      <c r="D18406" s="1">
        <v>45902.764988425923</v>
      </c>
      <c r="E18406" s="2">
        <v>1</v>
      </c>
      <c r="F18406" s="2">
        <v>3</v>
      </c>
      <c r="G18406" s="2">
        <v>1</v>
      </c>
      <c r="H18406" s="1">
        <v>45902.764999999999</v>
      </c>
      <c r="I18406" s="2">
        <v>2</v>
      </c>
      <c r="J18406" s="1">
        <v>45902.637326388889</v>
      </c>
    </row>
    <row r="18407" spans="1:10" x14ac:dyDescent="0.2">
      <c r="A18407" s="4" t="s">
        <v>1</v>
      </c>
      <c r="B18407" s="3" t="str">
        <f>HYPERLINK("https://otsuka-europe-crm.veevavault.com/ui/#object/approved_document__v/V5OZ04ASG4FWKA7", "Reuniones Online Consent - 2")</f>
        <v>Reuniones Online Consent - 2</v>
      </c>
      <c r="C18407" s="3" t="str">
        <f>HYPERLINK("https://otsuka-europe-crm.veevavault.com/ui/#object/sent_email__v/VBLZ025E82GDL5N", "SE-000255162")</f>
        <v>SE-000255162</v>
      </c>
      <c r="D18407" s="1">
        <v>45903.303368055553</v>
      </c>
      <c r="E18407" s="2">
        <v>1</v>
      </c>
      <c r="F18407" s="2">
        <v>3</v>
      </c>
      <c r="G18407" s="2">
        <v>1</v>
      </c>
      <c r="H18407" s="1">
        <v>45903.302662037036</v>
      </c>
      <c r="I18407" s="2">
        <v>2</v>
      </c>
      <c r="J18407" s="1">
        <v>45903.299814814818</v>
      </c>
    </row>
    <row r="18408" spans="1:10" x14ac:dyDescent="0.2">
      <c r="A18408" s="4" t="s">
        <v>1</v>
      </c>
      <c r="B18408" s="3" t="str">
        <f>HYPERLINK("https://otsuka-europe-crm.veevavault.com/ui/#object/approved_document__v/V5OZ04ASG4FWKA7", "Reuniones Online Consent - 2")</f>
        <v>Reuniones Online Consent - 2</v>
      </c>
      <c r="C18408" s="3" t="str">
        <f>HYPERLINK("https://otsuka-europe-crm.veevavault.com/ui/#object/sent_email__v/VBLZ025E82GDLB6", "SE-000255164")</f>
        <v>SE-000255164</v>
      </c>
      <c r="D18408" s="1">
        <v>45911.593171296299</v>
      </c>
      <c r="E18408" s="2">
        <v>1</v>
      </c>
      <c r="F18408" s="2">
        <v>4</v>
      </c>
      <c r="G18408" s="2">
        <v>1</v>
      </c>
      <c r="H18408" s="1">
        <v>45903.309571759259</v>
      </c>
      <c r="I18408" s="2">
        <v>2</v>
      </c>
      <c r="J18408" s="1">
        <v>45903.302928240744</v>
      </c>
    </row>
    <row r="18409" spans="1:10" x14ac:dyDescent="0.2">
      <c r="A18409" s="4" t="s">
        <v>1</v>
      </c>
      <c r="B18409" s="3" t="str">
        <f>HYPERLINK("https://otsuka-europe-crm.veevavault.com/ui/#object/approved_document__v/V5OZ04ASG4FWKA7", "Reuniones Online Consent - 2")</f>
        <v>Reuniones Online Consent - 2</v>
      </c>
      <c r="C18409" s="3" t="str">
        <f>HYPERLINK("https://otsuka-europe-crm.veevavault.com/ui/#object/sent_email__v/VBLZ025E82GDLMB", "SE-000255169")</f>
        <v>SE-000255169</v>
      </c>
      <c r="D18409" s="1">
        <v>45903.385775462964</v>
      </c>
      <c r="E18409" s="2">
        <v>1</v>
      </c>
      <c r="F18409" s="2">
        <v>1</v>
      </c>
      <c r="G18409" s="2">
        <v>1</v>
      </c>
      <c r="H18409" s="1">
        <v>45903.385775462964</v>
      </c>
      <c r="I18409" s="2">
        <v>1</v>
      </c>
      <c r="J18409" s="1">
        <v>45903.323680555557</v>
      </c>
    </row>
    <row r="18410" spans="1:10" x14ac:dyDescent="0.2">
      <c r="A18410" s="4" t="s">
        <v>1</v>
      </c>
      <c r="B18410" s="3" t="str">
        <f>HYPERLINK("https://otsuka-europe-crm.veevavault.com/ui/#object/approved_document__v/V5OZ04ASG4FWKA7", "Reuniones Online Consent - 2")</f>
        <v>Reuniones Online Consent - 2</v>
      </c>
      <c r="C18410" s="3" t="str">
        <f>HYPERLINK("https://otsuka-europe-crm.veevavault.com/ui/#object/sent_email__v/VBLZ025E82GDM5P", "SE-000255171")</f>
        <v>SE-000255171</v>
      </c>
      <c r="D18410" s="1" t="s">
        <v>0</v>
      </c>
      <c r="E18410" s="2">
        <v>0</v>
      </c>
      <c r="F18410" s="2">
        <v>0</v>
      </c>
      <c r="G18410" s="2">
        <v>0</v>
      </c>
      <c r="H18410" s="1" t="s">
        <v>0</v>
      </c>
      <c r="I18410" s="2">
        <v>0</v>
      </c>
      <c r="J18410" s="1">
        <v>45903.34652777778</v>
      </c>
    </row>
    <row r="18411" spans="1:10" x14ac:dyDescent="0.2">
      <c r="A18411" s="4" t="s">
        <v>1</v>
      </c>
      <c r="B18411" s="3" t="str">
        <f>HYPERLINK("https://otsuka-europe-crm.veevavault.com/ui/#object/approved_document__v/V5OZ04ASG4FWKA7", "Reuniones Online Consent - 2")</f>
        <v>Reuniones Online Consent - 2</v>
      </c>
      <c r="C18411" s="3" t="str">
        <f>HYPERLINK("https://otsuka-europe-crm.veevavault.com/ui/#object/sent_email__v/VBLZ025E82GEL19", "SE-000255222")</f>
        <v>SE-000255222</v>
      </c>
      <c r="D18411" s="1">
        <v>45908.668402777781</v>
      </c>
      <c r="E18411" s="2">
        <v>1</v>
      </c>
      <c r="F18411" s="2">
        <v>4</v>
      </c>
      <c r="G18411" s="2">
        <v>1</v>
      </c>
      <c r="H18411" s="1">
        <v>45903.690659722219</v>
      </c>
      <c r="I18411" s="2">
        <v>1</v>
      </c>
      <c r="J18411" s="1">
        <v>45903.684814814813</v>
      </c>
    </row>
    <row r="18412" spans="1:10" x14ac:dyDescent="0.2">
      <c r="A18412" s="4" t="s">
        <v>1</v>
      </c>
      <c r="B18412" s="3" t="str">
        <f>HYPERLINK("https://otsuka-europe-crm.veevavault.com/ui/#object/approved_document__v/V5OZ04ASG4FWKA7", "Reuniones Online Consent - 2")</f>
        <v>Reuniones Online Consent - 2</v>
      </c>
      <c r="C18412" s="3" t="str">
        <f>HYPERLINK("https://otsuka-europe-crm.veevavault.com/ui/#object/sent_email__v/VBLZ025E82GFYVR", "SE-000255436")</f>
        <v>SE-000255436</v>
      </c>
      <c r="D18412" s="1">
        <v>45905.421481481484</v>
      </c>
      <c r="E18412" s="2">
        <v>1</v>
      </c>
      <c r="F18412" s="2">
        <v>1</v>
      </c>
      <c r="G18412" s="2">
        <v>1</v>
      </c>
      <c r="H18412" s="1">
        <v>45905.449525462966</v>
      </c>
      <c r="I18412" s="2">
        <v>1</v>
      </c>
      <c r="J18412" s="1">
        <v>45905.349895833337</v>
      </c>
    </row>
    <row r="18413" spans="1:10" x14ac:dyDescent="0.2">
      <c r="A18413" s="4" t="s">
        <v>1</v>
      </c>
      <c r="B18413" s="3" t="str">
        <f>HYPERLINK("https://otsuka-europe-crm.veevavault.com/ui/#object/approved_document__v/V5OZ04ASG4FWKA7", "Reuniones Online Consent - 2")</f>
        <v>Reuniones Online Consent - 2</v>
      </c>
      <c r="C18413" s="3" t="str">
        <f>HYPERLINK("https://otsuka-europe-crm.veevavault.com/ui/#object/sent_email__v/VBLZ025E82GI242", "SE-000255550")</f>
        <v>SE-000255550</v>
      </c>
      <c r="D18413" s="1">
        <v>45909.516851851855</v>
      </c>
      <c r="E18413" s="2">
        <v>1</v>
      </c>
      <c r="F18413" s="2">
        <v>2</v>
      </c>
      <c r="G18413" s="2">
        <v>1</v>
      </c>
      <c r="H18413" s="1">
        <v>45908.709108796298</v>
      </c>
      <c r="I18413" s="2">
        <v>2</v>
      </c>
      <c r="J18413" s="1">
        <v>45908.685162037036</v>
      </c>
    </row>
    <row r="18414" spans="1:10" x14ac:dyDescent="0.2">
      <c r="A18414" s="4" t="s">
        <v>1</v>
      </c>
      <c r="B18414" s="3" t="str">
        <f>HYPERLINK("https://otsuka-europe-crm.veevavault.com/ui/#object/approved_document__v/V5OZ04ASG4FWKA7", "Reuniones Online Consent - 2")</f>
        <v>Reuniones Online Consent - 2</v>
      </c>
      <c r="C18414" s="3" t="str">
        <f>HYPERLINK("https://otsuka-europe-crm.veevavault.com/ui/#object/sent_email__v/VBLZ025E82GI345", "SE-000255554")</f>
        <v>SE-000255554</v>
      </c>
      <c r="D18414" s="1">
        <v>45909.516851851855</v>
      </c>
      <c r="E18414" s="2">
        <v>1</v>
      </c>
      <c r="F18414" s="2">
        <v>2</v>
      </c>
      <c r="G18414" s="2">
        <v>0</v>
      </c>
      <c r="H18414" s="1" t="s">
        <v>0</v>
      </c>
      <c r="I18414" s="2">
        <v>0</v>
      </c>
      <c r="J18414" s="1">
        <v>45908.707615740743</v>
      </c>
    </row>
    <row r="18415" spans="1:10" x14ac:dyDescent="0.2">
      <c r="A18415" s="4" t="s">
        <v>1</v>
      </c>
      <c r="B18415" s="3" t="str">
        <f>HYPERLINK("https://otsuka-europe-crm.veevavault.com/ui/#object/approved_document__v/V5OZ04ASG4FWKA7", "Reuniones Online Consent - 2")</f>
        <v>Reuniones Online Consent - 2</v>
      </c>
      <c r="C18415" s="3" t="str">
        <f>HYPERLINK("https://otsuka-europe-crm.veevavault.com/ui/#object/sent_email__v/VBLZ025E82GNZM5", "SE-000275493")</f>
        <v>SE-000275493</v>
      </c>
      <c r="D18415" s="1">
        <v>45920.305277777778</v>
      </c>
      <c r="E18415" s="2">
        <v>1</v>
      </c>
      <c r="F18415" s="2">
        <v>2</v>
      </c>
      <c r="G18415" s="2">
        <v>1</v>
      </c>
      <c r="H18415" s="1">
        <v>45915.489687499998</v>
      </c>
      <c r="I18415" s="2">
        <v>1</v>
      </c>
      <c r="J18415" s="1">
        <v>45915.469687500001</v>
      </c>
    </row>
    <row r="18416" spans="1:10" x14ac:dyDescent="0.2">
      <c r="A18416" s="4" t="s">
        <v>1</v>
      </c>
      <c r="B18416" s="3" t="str">
        <f>HYPERLINK("https://otsuka-europe-crm.veevavault.com/ui/#object/approved_document__v/V5OZ04ASG4FWKA7", "Reuniones Online Consent - 2")</f>
        <v>Reuniones Online Consent - 2</v>
      </c>
      <c r="C18416" s="3" t="str">
        <f>HYPERLINK("https://otsuka-europe-crm.veevavault.com/ui/#object/sent_email__v/VBLZ025E82GQN29", "SE-000275743")</f>
        <v>SE-000275743</v>
      </c>
      <c r="D18416" s="1">
        <v>45917.315717592595</v>
      </c>
      <c r="E18416" s="2">
        <v>1</v>
      </c>
      <c r="F18416" s="2">
        <v>1</v>
      </c>
      <c r="G18416" s="2">
        <v>1</v>
      </c>
      <c r="H18416" s="1">
        <v>45917.316087962965</v>
      </c>
      <c r="I18416" s="2">
        <v>2</v>
      </c>
      <c r="J18416" s="1">
        <v>45917.309907407405</v>
      </c>
    </row>
    <row r="18417" spans="1:10" x14ac:dyDescent="0.2">
      <c r="A18417" s="4" t="s">
        <v>1</v>
      </c>
      <c r="B18417" s="3" t="str">
        <f>HYPERLINK("https://otsuka-europe-crm.veevavault.com/ui/#object/approved_document__v/V5OZ04ASG4FWKA7", "Reuniones Online Consent - 2")</f>
        <v>Reuniones Online Consent - 2</v>
      </c>
      <c r="C18417" s="3" t="str">
        <f>HYPERLINK("https://otsuka-europe-crm.veevavault.com/ui/#object/sent_email__v/VBLZ025E82GQNAM", "SE-000275748")</f>
        <v>SE-000275748</v>
      </c>
      <c r="D18417" s="1">
        <v>45917.554201388892</v>
      </c>
      <c r="E18417" s="2">
        <v>1</v>
      </c>
      <c r="F18417" s="2">
        <v>1</v>
      </c>
      <c r="G18417" s="2">
        <v>1</v>
      </c>
      <c r="H18417" s="1">
        <v>45917.554270833331</v>
      </c>
      <c r="I18417" s="2">
        <v>1</v>
      </c>
      <c r="J18417" s="1">
        <v>45917.312048611115</v>
      </c>
    </row>
    <row r="18418" spans="1:10" x14ac:dyDescent="0.2">
      <c r="A18418" s="4" t="s">
        <v>1</v>
      </c>
      <c r="B18418" s="3" t="str">
        <f>HYPERLINK("https://otsuka-europe-crm.veevavault.com/ui/#object/approved_document__v/V5OZ04ASG4FWKA7", "Reuniones Online Consent - 2")</f>
        <v>Reuniones Online Consent - 2</v>
      </c>
      <c r="C18418" s="3" t="str">
        <f>HYPERLINK("https://otsuka-europe-crm.veevavault.com/ui/#object/sent_email__v/VBLZ025E82GRWQR", "SE-000275976")</f>
        <v>SE-000275976</v>
      </c>
      <c r="D18418" s="1">
        <v>46067.468321759261</v>
      </c>
      <c r="E18418" s="2">
        <v>1</v>
      </c>
      <c r="F18418" s="2">
        <v>5</v>
      </c>
      <c r="G18418" s="2">
        <v>1</v>
      </c>
      <c r="H18418" s="1">
        <v>45917.784074074072</v>
      </c>
      <c r="I18418" s="2">
        <v>1</v>
      </c>
      <c r="J18418" s="1">
        <v>45917.703263888892</v>
      </c>
    </row>
    <row r="18419" spans="1:10" x14ac:dyDescent="0.2">
      <c r="A18419" s="4" t="s">
        <v>1</v>
      </c>
      <c r="B18419" s="3" t="str">
        <f>HYPERLINK("https://otsuka-europe-crm.veevavault.com/ui/#object/approved_document__v/V5OZ04ASG4FWKA7", "Reuniones Online Consent - 2")</f>
        <v>Reuniones Online Consent - 2</v>
      </c>
      <c r="C18419" s="3" t="str">
        <f>HYPERLINK("https://otsuka-europe-crm.veevavault.com/ui/#object/sent_email__v/VBLZ025E82GTDIP", "SE-000276676")</f>
        <v>SE-000276676</v>
      </c>
      <c r="D18419" s="1">
        <v>45918.623576388891</v>
      </c>
      <c r="E18419" s="2">
        <v>1</v>
      </c>
      <c r="F18419" s="2">
        <v>1</v>
      </c>
      <c r="G18419" s="2">
        <v>1</v>
      </c>
      <c r="H18419" s="1">
        <v>45918.623599537037</v>
      </c>
      <c r="I18419" s="2">
        <v>1</v>
      </c>
      <c r="J18419" s="1">
        <v>45918.622870370367</v>
      </c>
    </row>
    <row r="18420" spans="1:10" x14ac:dyDescent="0.2">
      <c r="A18420" s="4" t="s">
        <v>1</v>
      </c>
      <c r="B18420" s="3" t="str">
        <f>HYPERLINK("https://otsuka-europe-crm.veevavault.com/ui/#object/approved_document__v/V5OZ04ASG4FWKA7", "Reuniones Online Consent - 2")</f>
        <v>Reuniones Online Consent - 2</v>
      </c>
      <c r="C18420" s="3" t="str">
        <f>HYPERLINK("https://otsuka-europe-crm.veevavault.com/ui/#object/sent_email__v/VBLZ025E82GTHAT", "SE-000276687")</f>
        <v>SE-000276687</v>
      </c>
      <c r="D18420" s="1">
        <v>45918.69253472222</v>
      </c>
      <c r="E18420" s="2">
        <v>1</v>
      </c>
      <c r="F18420" s="2">
        <v>2</v>
      </c>
      <c r="G18420" s="2">
        <v>1</v>
      </c>
      <c r="H18420" s="1">
        <v>45918.692800925928</v>
      </c>
      <c r="I18420" s="2">
        <v>1</v>
      </c>
      <c r="J18420" s="1">
        <v>45918.660497685189</v>
      </c>
    </row>
    <row r="18421" spans="1:10" x14ac:dyDescent="0.2">
      <c r="A18421" s="4" t="s">
        <v>1</v>
      </c>
      <c r="B18421" s="3" t="str">
        <f>HYPERLINK("https://otsuka-europe-crm.veevavault.com/ui/#object/approved_document__v/V5OZ04ASG4FWKA7", "Reuniones Online Consent - 2")</f>
        <v>Reuniones Online Consent - 2</v>
      </c>
      <c r="C18421" s="3" t="str">
        <f>HYPERLINK("https://otsuka-europe-crm.veevavault.com/ui/#object/sent_email__v/VBLZ025E82GTMJP", "SE-000276695")</f>
        <v>SE-000276695</v>
      </c>
      <c r="D18421" s="1">
        <v>45918.717199074075</v>
      </c>
      <c r="E18421" s="2">
        <v>1</v>
      </c>
      <c r="F18421" s="2">
        <v>2</v>
      </c>
      <c r="G18421" s="2">
        <v>1</v>
      </c>
      <c r="H18421" s="1">
        <v>45918.717280092591</v>
      </c>
      <c r="I18421" s="2">
        <v>1</v>
      </c>
      <c r="J18421" s="1">
        <v>45918.713391203702</v>
      </c>
    </row>
    <row r="18422" spans="1:10" x14ac:dyDescent="0.2">
      <c r="A18422" s="4" t="s">
        <v>1</v>
      </c>
      <c r="B18422" s="3" t="str">
        <f>HYPERLINK("https://otsuka-europe-crm.veevavault.com/ui/#object/approved_document__v/V5OZ04ASG4FWKA7", "Reuniones Online Consent - 2")</f>
        <v>Reuniones Online Consent - 2</v>
      </c>
      <c r="C18422" s="3" t="str">
        <f>HYPERLINK("https://otsuka-europe-crm.veevavault.com/ui/#object/sent_email__v/VBLZ025E82GUEK2", "SE-000277188")</f>
        <v>SE-000277188</v>
      </c>
      <c r="D18422" s="1">
        <v>45919.485231481478</v>
      </c>
      <c r="E18422" s="2">
        <v>1</v>
      </c>
      <c r="F18422" s="2">
        <v>3</v>
      </c>
      <c r="G18422" s="2">
        <v>1</v>
      </c>
      <c r="H18422" s="1">
        <v>45919.485312500001</v>
      </c>
      <c r="I18422" s="2">
        <v>2</v>
      </c>
      <c r="J18422" s="1">
        <v>45919.484340277777</v>
      </c>
    </row>
    <row r="18423" spans="1:10" x14ac:dyDescent="0.2">
      <c r="A18423" s="4" t="s">
        <v>1</v>
      </c>
      <c r="B18423" s="3" t="str">
        <f>HYPERLINK("https://otsuka-europe-crm.veevavault.com/ui/#object/approved_document__v/V5OZ04ASG4FWKA7", "Reuniones Online Consent - 2")</f>
        <v>Reuniones Online Consent - 2</v>
      </c>
      <c r="C18423" s="3" t="str">
        <f>HYPERLINK("https://otsuka-europe-crm.veevavault.com/ui/#object/sent_email__v/VBLZ025E82GUJHT", "SE-000277216")</f>
        <v>SE-000277216</v>
      </c>
      <c r="D18423" s="1" t="s">
        <v>0</v>
      </c>
      <c r="E18423" s="2">
        <v>0</v>
      </c>
      <c r="F18423" s="2">
        <v>0</v>
      </c>
      <c r="G18423" s="2">
        <v>0</v>
      </c>
      <c r="H18423" s="1" t="s">
        <v>0</v>
      </c>
      <c r="I18423" s="2">
        <v>0</v>
      </c>
      <c r="J18423" s="1">
        <v>45919.553877314815</v>
      </c>
    </row>
    <row r="18424" spans="1:10" x14ac:dyDescent="0.2">
      <c r="A18424" s="4" t="s">
        <v>1</v>
      </c>
      <c r="B18424" s="3" t="str">
        <f>HYPERLINK("https://otsuka-europe-crm.veevavault.com/ui/#object/approved_document__v/V5OZ04ASG4FWKA7", "Reuniones Online Consent - 2")</f>
        <v>Reuniones Online Consent - 2</v>
      </c>
      <c r="C18424" s="3" t="str">
        <f>HYPERLINK("https://otsuka-europe-crm.veevavault.com/ui/#object/sent_email__v/VBLZ025E82GUJKM", "SE-000277219")</f>
        <v>SE-000277219</v>
      </c>
      <c r="D18424" s="1">
        <v>45919.555023148147</v>
      </c>
      <c r="E18424" s="2">
        <v>1</v>
      </c>
      <c r="F18424" s="2">
        <v>3</v>
      </c>
      <c r="G18424" s="2">
        <v>1</v>
      </c>
      <c r="H18424" s="1">
        <v>45919.554837962962</v>
      </c>
      <c r="I18424" s="2">
        <v>1</v>
      </c>
      <c r="J18424" s="1">
        <v>45919.554363425923</v>
      </c>
    </row>
    <row r="18425" spans="1:10" x14ac:dyDescent="0.2">
      <c r="A18425" s="4" t="s">
        <v>1</v>
      </c>
      <c r="B18425" s="3" t="str">
        <f>HYPERLINK("https://otsuka-europe-crm.veevavault.com/ui/#object/approved_document__v/V5OZ04ASG4FWKA7", "Reuniones Online Consent - 2")</f>
        <v>Reuniones Online Consent - 2</v>
      </c>
      <c r="C18425" s="3" t="str">
        <f>HYPERLINK("https://otsuka-europe-crm.veevavault.com/ui/#object/sent_email__v/VBLZ025E82GVJRD", "SE-000279473")</f>
        <v>SE-000279473</v>
      </c>
      <c r="D18425" s="1">
        <v>45924.326817129629</v>
      </c>
      <c r="E18425" s="2">
        <v>1</v>
      </c>
      <c r="F18425" s="2">
        <v>1</v>
      </c>
      <c r="G18425" s="2">
        <v>1</v>
      </c>
      <c r="H18425" s="1">
        <v>45924.326817129629</v>
      </c>
      <c r="I18425" s="2">
        <v>1</v>
      </c>
      <c r="J18425" s="1">
        <v>45922.354780092595</v>
      </c>
    </row>
    <row r="18426" spans="1:10" x14ac:dyDescent="0.2">
      <c r="A18426" s="4" t="s">
        <v>1</v>
      </c>
      <c r="B18426" s="3" t="str">
        <f>HYPERLINK("https://otsuka-europe-crm.veevavault.com/ui/#object/approved_document__v/V5OZ04ASG4FWKA7", "Reuniones Online Consent - 2")</f>
        <v>Reuniones Online Consent - 2</v>
      </c>
      <c r="C18426" s="3" t="str">
        <f>HYPERLINK("https://otsuka-europe-crm.veevavault.com/ui/#object/sent_email__v/VBLZ025E82GVYF5", "SE-000279489")</f>
        <v>SE-000279489</v>
      </c>
      <c r="D18426" s="1">
        <v>45922.584247685183</v>
      </c>
      <c r="E18426" s="2">
        <v>1</v>
      </c>
      <c r="F18426" s="2">
        <v>2</v>
      </c>
      <c r="G18426" s="2">
        <v>1</v>
      </c>
      <c r="H18426" s="1">
        <v>45922.584432870368</v>
      </c>
      <c r="I18426" s="2">
        <v>1</v>
      </c>
      <c r="J18426" s="1">
        <v>45922.492835648147</v>
      </c>
    </row>
    <row r="18427" spans="1:10" x14ac:dyDescent="0.2">
      <c r="A18427" s="4" t="s">
        <v>1</v>
      </c>
      <c r="B18427" s="3" t="str">
        <f>HYPERLINK("https://otsuka-europe-crm.veevavault.com/ui/#object/approved_document__v/V5OZ04ASG4FWKA7", "Reuniones Online Consent - 2")</f>
        <v>Reuniones Online Consent - 2</v>
      </c>
      <c r="C18427" s="3" t="str">
        <f>HYPERLINK("https://otsuka-europe-crm.veevavault.com/ui/#object/sent_email__v/VBLZ025E82GXE1I", "SE-000280176")</f>
        <v>SE-000280176</v>
      </c>
      <c r="D18427" s="1" t="s">
        <v>0</v>
      </c>
      <c r="E18427" s="2">
        <v>0</v>
      </c>
      <c r="F18427" s="2">
        <v>0</v>
      </c>
      <c r="G18427" s="2">
        <v>0</v>
      </c>
      <c r="H18427" s="1" t="s">
        <v>0</v>
      </c>
      <c r="I18427" s="2">
        <v>0</v>
      </c>
      <c r="J18427" s="1">
        <v>45923.522650462961</v>
      </c>
    </row>
    <row r="18428" spans="1:10" x14ac:dyDescent="0.2">
      <c r="A18428" s="4" t="s">
        <v>1</v>
      </c>
      <c r="B18428" s="3" t="str">
        <f>HYPERLINK("https://otsuka-europe-crm.veevavault.com/ui/#object/approved_document__v/V5OZ04ASG4FWKA7", "Reuniones Online Consent - 2")</f>
        <v>Reuniones Online Consent - 2</v>
      </c>
      <c r="C18428" s="3" t="str">
        <f>HYPERLINK("https://otsuka-europe-crm.veevavault.com/ui/#object/sent_email__v/VBLZ025E82GXE71", "SE-000280178")</f>
        <v>SE-000280178</v>
      </c>
      <c r="D18428" s="1">
        <v>45923.554016203707</v>
      </c>
      <c r="E18428" s="2">
        <v>1</v>
      </c>
      <c r="F18428" s="2">
        <v>1</v>
      </c>
      <c r="G18428" s="2">
        <v>1</v>
      </c>
      <c r="H18428" s="1">
        <v>45923.554050925923</v>
      </c>
      <c r="I18428" s="2">
        <v>1</v>
      </c>
      <c r="J18428" s="1">
        <v>45923.524814814817</v>
      </c>
    </row>
    <row r="18429" spans="1:10" x14ac:dyDescent="0.2">
      <c r="A18429" s="4" t="s">
        <v>1</v>
      </c>
      <c r="B18429" s="3" t="str">
        <f>HYPERLINK("https://otsuka-europe-crm.veevavault.com/ui/#object/approved_document__v/V5OZ04ASG4FWKA7", "Reuniones Online Consent - 2")</f>
        <v>Reuniones Online Consent - 2</v>
      </c>
      <c r="C18429" s="3" t="str">
        <f>HYPERLINK("https://otsuka-europe-crm.veevavault.com/ui/#object/sent_email__v/VBLZ025E82GXZKH", "SE-000280263")</f>
        <v>SE-000280263</v>
      </c>
      <c r="D18429" s="1">
        <v>45923.707141203704</v>
      </c>
      <c r="E18429" s="2">
        <v>1</v>
      </c>
      <c r="F18429" s="2">
        <v>1</v>
      </c>
      <c r="G18429" s="2">
        <v>1</v>
      </c>
      <c r="H18429" s="1">
        <v>45923.707141203704</v>
      </c>
      <c r="I18429" s="2">
        <v>1</v>
      </c>
      <c r="J18429" s="1">
        <v>45923.680763888886</v>
      </c>
    </row>
    <row r="18430" spans="1:10" x14ac:dyDescent="0.2">
      <c r="A18430" s="4" t="s">
        <v>1</v>
      </c>
      <c r="B18430" s="3" t="str">
        <f>HYPERLINK("https://otsuka-europe-crm.veevavault.com/ui/#object/approved_document__v/V5OZ04ASG4FWKA7", "Reuniones Online Consent - 2")</f>
        <v>Reuniones Online Consent - 2</v>
      </c>
      <c r="C18430" s="3" t="str">
        <f>HYPERLINK("https://otsuka-europe-crm.veevavault.com/ui/#object/sent_email__v/VBLZ025E82GXZN9", "SE-000280264")</f>
        <v>SE-000280264</v>
      </c>
      <c r="D18430" s="1">
        <v>45923.707268518519</v>
      </c>
      <c r="E18430" s="2">
        <v>1</v>
      </c>
      <c r="F18430" s="2">
        <v>1</v>
      </c>
      <c r="G18430" s="2">
        <v>1</v>
      </c>
      <c r="H18430" s="1">
        <v>45923.707268518519</v>
      </c>
      <c r="I18430" s="2">
        <v>1</v>
      </c>
      <c r="J18430" s="1">
        <v>45923.68105324074</v>
      </c>
    </row>
    <row r="18431" spans="1:10" x14ac:dyDescent="0.2">
      <c r="A18431" s="4" t="s">
        <v>1</v>
      </c>
      <c r="B18431" s="3" t="str">
        <f>HYPERLINK("https://otsuka-europe-crm.veevavault.com/ui/#object/approved_document__v/V5OZ04ASG4FWKA7", "Reuniones Online Consent - 2")</f>
        <v>Reuniones Online Consent - 2</v>
      </c>
      <c r="C18431" s="3" t="str">
        <f>HYPERLINK("https://otsuka-europe-crm.veevavault.com/ui/#object/sent_email__v/VBLZ025E82GYO9G", "SE-000280443")</f>
        <v>SE-000280443</v>
      </c>
      <c r="D18431" s="1">
        <v>45924.550185185188</v>
      </c>
      <c r="E18431" s="2">
        <v>1</v>
      </c>
      <c r="F18431" s="2">
        <v>1</v>
      </c>
      <c r="G18431" s="2">
        <v>1</v>
      </c>
      <c r="H18431" s="1">
        <v>45924.550543981481</v>
      </c>
      <c r="I18431" s="2">
        <v>2</v>
      </c>
      <c r="J18431" s="1">
        <v>45924.549456018518</v>
      </c>
    </row>
    <row r="18432" spans="1:10" x14ac:dyDescent="0.2">
      <c r="A18432" s="4" t="s">
        <v>1</v>
      </c>
      <c r="B18432" s="3" t="str">
        <f>HYPERLINK("https://otsuka-europe-crm.veevavault.com/ui/#object/approved_document__v/V5OZ04ASG4FWKA7", "Reuniones Online Consent - 2")</f>
        <v>Reuniones Online Consent - 2</v>
      </c>
      <c r="C18432" s="3" t="str">
        <f>HYPERLINK("https://otsuka-europe-crm.veevavault.com/ui/#object/sent_email__v/VBLZ025E82GZWBH", "SE-000280780")</f>
        <v>SE-000280780</v>
      </c>
      <c r="D18432" s="1" t="s">
        <v>0</v>
      </c>
      <c r="E18432" s="2">
        <v>0</v>
      </c>
      <c r="F18432" s="2">
        <v>0</v>
      </c>
      <c r="G18432" s="2">
        <v>0</v>
      </c>
      <c r="H18432" s="1" t="s">
        <v>0</v>
      </c>
      <c r="I18432" s="2">
        <v>0</v>
      </c>
      <c r="J18432" s="1">
        <v>45925.460474537038</v>
      </c>
    </row>
    <row r="18433" spans="1:10" x14ac:dyDescent="0.2">
      <c r="A18433" s="4" t="s">
        <v>1</v>
      </c>
      <c r="B18433" s="3" t="str">
        <f>HYPERLINK("https://otsuka-europe-crm.veevavault.com/ui/#object/approved_document__v/V5OZ04ASG4FWKA7", "Reuniones Online Consent - 2")</f>
        <v>Reuniones Online Consent - 2</v>
      </c>
      <c r="C18433" s="3" t="str">
        <f>HYPERLINK("https://otsuka-europe-crm.veevavault.com/ui/#object/sent_email__v/VBLZ025E82GZXXT", "SE-000280797")</f>
        <v>SE-000280797</v>
      </c>
      <c r="D18433" s="1">
        <v>45928.955995370372</v>
      </c>
      <c r="E18433" s="2">
        <v>1</v>
      </c>
      <c r="F18433" s="2">
        <v>2</v>
      </c>
      <c r="G18433" s="2">
        <v>0</v>
      </c>
      <c r="H18433" s="1" t="s">
        <v>0</v>
      </c>
      <c r="I18433" s="2">
        <v>0</v>
      </c>
      <c r="J18433" s="1">
        <v>45925.466331018521</v>
      </c>
    </row>
    <row r="18434" spans="1:10" x14ac:dyDescent="0.2">
      <c r="A18434" s="4" t="s">
        <v>1</v>
      </c>
      <c r="B18434" s="3" t="str">
        <f>HYPERLINK("https://otsuka-europe-crm.veevavault.com/ui/#object/approved_document__v/V5OZ04ASG4FWKA7", "Reuniones Online Consent - 2")</f>
        <v>Reuniones Online Consent - 2</v>
      </c>
      <c r="C18434" s="3" t="str">
        <f>HYPERLINK("https://otsuka-europe-crm.veevavault.com/ui/#object/sent_email__v/VBLZ025E82H069U", "SE-000280825")</f>
        <v>SE-000280825</v>
      </c>
      <c r="D18434" s="1">
        <v>45928.649386574078</v>
      </c>
      <c r="E18434" s="2">
        <v>1</v>
      </c>
      <c r="F18434" s="2">
        <v>3</v>
      </c>
      <c r="G18434" s="2">
        <v>1</v>
      </c>
      <c r="H18434" s="1">
        <v>45925.519745370373</v>
      </c>
      <c r="I18434" s="2">
        <v>2</v>
      </c>
      <c r="J18434" s="1">
        <v>45925.517962962964</v>
      </c>
    </row>
    <row r="18435" spans="1:10" x14ac:dyDescent="0.2">
      <c r="A18435" s="4" t="s">
        <v>1</v>
      </c>
      <c r="B18435" s="3" t="str">
        <f>HYPERLINK("https://otsuka-europe-crm.veevavault.com/ui/#object/approved_document__v/V5OZ04ASG4FWKA7", "Reuniones Online Consent - 2")</f>
        <v>Reuniones Online Consent - 2</v>
      </c>
      <c r="C18435" s="3" t="str">
        <f>HYPERLINK("https://otsuka-europe-crm.veevavault.com/ui/#object/sent_email__v/VBLZ025E82H1SAR", "SE-000281422")</f>
        <v>SE-000281422</v>
      </c>
      <c r="D18435" s="1">
        <v>45931.347372685188</v>
      </c>
      <c r="E18435" s="2">
        <v>1</v>
      </c>
      <c r="F18435" s="2">
        <v>5</v>
      </c>
      <c r="G18435" s="2">
        <v>1</v>
      </c>
      <c r="H18435" s="1">
        <v>45931.34778935185</v>
      </c>
      <c r="I18435" s="2">
        <v>3</v>
      </c>
      <c r="J18435" s="1">
        <v>45926.562407407408</v>
      </c>
    </row>
    <row r="18436" spans="1:10" x14ac:dyDescent="0.2">
      <c r="A18436" s="4" t="s">
        <v>1</v>
      </c>
      <c r="B18436" s="3" t="str">
        <f>HYPERLINK("https://otsuka-europe-crm.veevavault.com/ui/#object/approved_document__v/V5OZ04ASG4FWKA7", "Reuniones Online Consent - 2")</f>
        <v>Reuniones Online Consent - 2</v>
      </c>
      <c r="C18436" s="3" t="str">
        <f>HYPERLINK("https://otsuka-europe-crm.veevavault.com/ui/#object/sent_email__v/VBLZ025E82H1VGM", "SE-000281427")</f>
        <v>SE-000281427</v>
      </c>
      <c r="D18436" s="1">
        <v>45929.753761574073</v>
      </c>
      <c r="E18436" s="2">
        <v>1</v>
      </c>
      <c r="F18436" s="2">
        <v>2</v>
      </c>
      <c r="G18436" s="2">
        <v>1</v>
      </c>
      <c r="H18436" s="1">
        <v>45927.388379629629</v>
      </c>
      <c r="I18436" s="2">
        <v>1</v>
      </c>
      <c r="J18436" s="1">
        <v>45926.599421296298</v>
      </c>
    </row>
    <row r="18437" spans="1:10" x14ac:dyDescent="0.2">
      <c r="A18437" s="4" t="s">
        <v>1</v>
      </c>
      <c r="B18437" s="3" t="str">
        <f>HYPERLINK("https://otsuka-europe-crm.veevavault.com/ui/#object/approved_document__v/V5OZ04ASG4FWKA7", "Reuniones Online Consent - 2")</f>
        <v>Reuniones Online Consent - 2</v>
      </c>
      <c r="C18437" s="3" t="str">
        <f>HYPERLINK("https://otsuka-europe-crm.veevavault.com/ui/#object/sent_email__v/VBLZ025E82H352B", "SE-000281548")</f>
        <v>SE-000281548</v>
      </c>
      <c r="D18437" s="1">
        <v>45929.48574074074</v>
      </c>
      <c r="E18437" s="2">
        <v>1</v>
      </c>
      <c r="F18437" s="2">
        <v>1</v>
      </c>
      <c r="G18437" s="2">
        <v>1</v>
      </c>
      <c r="H18437" s="1">
        <v>45929.48574074074</v>
      </c>
      <c r="I18437" s="2">
        <v>1</v>
      </c>
      <c r="J18437" s="1">
        <v>45929.484976851854</v>
      </c>
    </row>
    <row r="18438" spans="1:10" x14ac:dyDescent="0.2">
      <c r="A18438" s="4" t="s">
        <v>1</v>
      </c>
      <c r="B18438" s="3" t="str">
        <f>HYPERLINK("https://otsuka-europe-crm.veevavault.com/ui/#object/approved_document__v/V5OZ04ASG4FWKA7", "Reuniones Online Consent - 2")</f>
        <v>Reuniones Online Consent - 2</v>
      </c>
      <c r="C18438" s="3" t="str">
        <f>HYPERLINK("https://otsuka-europe-crm.veevavault.com/ui/#object/sent_email__v/VBLZ025E82H37RH", "SE-000281550")</f>
        <v>SE-000281550</v>
      </c>
      <c r="D18438" s="1">
        <v>45931.652905092589</v>
      </c>
      <c r="E18438" s="2">
        <v>1</v>
      </c>
      <c r="F18438" s="2">
        <v>2</v>
      </c>
      <c r="G18438" s="2">
        <v>1</v>
      </c>
      <c r="H18438" s="1">
        <v>45929.513981481483</v>
      </c>
      <c r="I18438" s="2">
        <v>1</v>
      </c>
      <c r="J18438" s="1">
        <v>45929.504999999997</v>
      </c>
    </row>
    <row r="18439" spans="1:10" x14ac:dyDescent="0.2">
      <c r="A18439" s="4" t="s">
        <v>1</v>
      </c>
      <c r="B18439" s="3" t="str">
        <f>HYPERLINK("https://otsuka-europe-crm.veevavault.com/ui/#object/approved_document__v/V5OZ04ASG4FWKA7", "Reuniones Online Consent - 2")</f>
        <v>Reuniones Online Consent - 2</v>
      </c>
      <c r="C18439" s="3" t="str">
        <f>HYPERLINK("https://otsuka-europe-crm.veevavault.com/ui/#object/sent_email__v/VBLZ025E82H3GPS", "SE-000281573")</f>
        <v>SE-000281573</v>
      </c>
      <c r="D18439" s="1">
        <v>45942.324050925927</v>
      </c>
      <c r="E18439" s="2">
        <v>1</v>
      </c>
      <c r="F18439" s="2">
        <v>5</v>
      </c>
      <c r="G18439" s="2">
        <v>1</v>
      </c>
      <c r="H18439" s="1">
        <v>45929.614548611113</v>
      </c>
      <c r="I18439" s="2">
        <v>1</v>
      </c>
      <c r="J18439" s="1">
        <v>45929.613379629627</v>
      </c>
    </row>
    <row r="18440" spans="1:10" x14ac:dyDescent="0.2">
      <c r="A18440" s="4" t="s">
        <v>1</v>
      </c>
      <c r="B18440" s="3" t="str">
        <f>HYPERLINK("https://otsuka-europe-crm.veevavault.com/ui/#object/approved_document__v/V5OZ04ASG4FWKA7", "Reuniones Online Consent - 2")</f>
        <v>Reuniones Online Consent - 2</v>
      </c>
      <c r="C18440" s="3" t="str">
        <f>HYPERLINK("https://otsuka-europe-crm.veevavault.com/ui/#object/sent_email__v/VBLZ025E82H3L9M", "SE-000281577")</f>
        <v>SE-000281577</v>
      </c>
      <c r="D18440" s="1">
        <v>45930.749837962961</v>
      </c>
      <c r="E18440" s="2">
        <v>1</v>
      </c>
      <c r="F18440" s="2">
        <v>4</v>
      </c>
      <c r="G18440" s="2">
        <v>1</v>
      </c>
      <c r="H18440" s="1">
        <v>45929.673622685186</v>
      </c>
      <c r="I18440" s="2">
        <v>2</v>
      </c>
      <c r="J18440" s="1">
        <v>45929.624722222223</v>
      </c>
    </row>
    <row r="18441" spans="1:10" x14ac:dyDescent="0.2">
      <c r="A18441" s="4" t="s">
        <v>1</v>
      </c>
      <c r="B18441" s="3" t="str">
        <f>HYPERLINK("https://otsuka-europe-crm.veevavault.com/ui/#object/approved_document__v/V5OZ04ASG4FWKA7", "Reuniones Online Consent - 2")</f>
        <v>Reuniones Online Consent - 2</v>
      </c>
      <c r="C18441" s="3" t="str">
        <f>HYPERLINK("https://otsuka-europe-crm.veevavault.com/ui/#object/sent_email__v/VBLZ025E82H473P", "SE-000281645")</f>
        <v>SE-000281645</v>
      </c>
      <c r="D18441" s="1">
        <v>45930.481550925928</v>
      </c>
      <c r="E18441" s="2">
        <v>1</v>
      </c>
      <c r="F18441" s="2">
        <v>4</v>
      </c>
      <c r="G18441" s="2">
        <v>1</v>
      </c>
      <c r="H18441" s="1">
        <v>45930.476053240738</v>
      </c>
      <c r="I18441" s="2">
        <v>2</v>
      </c>
      <c r="J18441" s="1">
        <v>45930.279861111114</v>
      </c>
    </row>
    <row r="18442" spans="1:10" x14ac:dyDescent="0.2">
      <c r="A18442" s="4" t="s">
        <v>1</v>
      </c>
      <c r="B18442" s="3" t="str">
        <f>HYPERLINK("https://otsuka-europe-crm.veevavault.com/ui/#object/approved_document__v/V5OZ04ASG4FWKA7", "Reuniones Online Consent - 2")</f>
        <v>Reuniones Online Consent - 2</v>
      </c>
      <c r="C18442" s="3" t="str">
        <f>HYPERLINK("https://otsuka-europe-crm.veevavault.com/ui/#object/sent_email__v/VBLZ025E82H4LJ6", "SE-000281807")</f>
        <v>SE-000281807</v>
      </c>
      <c r="D18442" s="1">
        <v>45930.489618055559</v>
      </c>
      <c r="E18442" s="2">
        <v>1</v>
      </c>
      <c r="F18442" s="2">
        <v>1</v>
      </c>
      <c r="G18442" s="2">
        <v>1</v>
      </c>
      <c r="H18442" s="1">
        <v>45930.489618055559</v>
      </c>
      <c r="I18442" s="2">
        <v>1</v>
      </c>
      <c r="J18442" s="1">
        <v>45930.390983796293</v>
      </c>
    </row>
    <row r="18443" spans="1:10" x14ac:dyDescent="0.2">
      <c r="A18443" s="4" t="s">
        <v>1</v>
      </c>
      <c r="B18443" s="3" t="str">
        <f>HYPERLINK("https://otsuka-europe-crm.veevavault.com/ui/#object/approved_document__v/V5OZ04ASG4FWKA7", "Reuniones Online Consent - 2")</f>
        <v>Reuniones Online Consent - 2</v>
      </c>
      <c r="C18443" s="3" t="str">
        <f>HYPERLINK("https://otsuka-europe-crm.veevavault.com/ui/#object/sent_email__v/VBLZ025E82H54A7", "SE-000282249")</f>
        <v>SE-000282249</v>
      </c>
      <c r="D18443" s="1">
        <v>45931.631365740737</v>
      </c>
      <c r="E18443" s="2">
        <v>1</v>
      </c>
      <c r="F18443" s="2">
        <v>3</v>
      </c>
      <c r="G18443" s="2">
        <v>1</v>
      </c>
      <c r="H18443" s="1">
        <v>45930.755567129629</v>
      </c>
      <c r="I18443" s="2">
        <v>1</v>
      </c>
      <c r="J18443" s="1">
        <v>45930.565266203703</v>
      </c>
    </row>
    <row r="18444" spans="1:10" x14ac:dyDescent="0.2">
      <c r="A18444" s="4" t="s">
        <v>1</v>
      </c>
      <c r="B18444" s="3" t="str">
        <f>HYPERLINK("https://otsuka-europe-crm.veevavault.com/ui/#object/approved_document__v/V5OZ04ASG4FWKA7", "Reuniones Online Consent - 2")</f>
        <v>Reuniones Online Consent - 2</v>
      </c>
      <c r="C18444" s="3" t="str">
        <f>HYPERLINK("https://otsuka-europe-crm.veevavault.com/ui/#object/sent_email__v/VBLZ025E82H5LET", "SE-000282303")</f>
        <v>SE-000282303</v>
      </c>
      <c r="D18444" s="1" t="s">
        <v>0</v>
      </c>
      <c r="E18444" s="2">
        <v>0</v>
      </c>
      <c r="F18444" s="2">
        <v>0</v>
      </c>
      <c r="G18444" s="2">
        <v>0</v>
      </c>
      <c r="H18444" s="1" t="s">
        <v>0</v>
      </c>
      <c r="I18444" s="2">
        <v>0</v>
      </c>
      <c r="J18444" s="1">
        <v>45930.69321759259</v>
      </c>
    </row>
    <row r="18445" spans="1:10" x14ac:dyDescent="0.2">
      <c r="A18445" s="4" t="s">
        <v>1</v>
      </c>
      <c r="B18445" s="3" t="str">
        <f>HYPERLINK("https://otsuka-europe-crm.veevavault.com/ui/#object/approved_document__v/V5OZ04ASG4FWKA7", "Reuniones Online Consent - 2")</f>
        <v>Reuniones Online Consent - 2</v>
      </c>
      <c r="C18445" s="3" t="str">
        <f>HYPERLINK("https://otsuka-europe-crm.veevavault.com/ui/#object/sent_email__v/VBLZ025E82H5YLT", "SE-000282559")</f>
        <v>SE-000282559</v>
      </c>
      <c r="D18445" s="1">
        <v>45931.807349537034</v>
      </c>
      <c r="E18445" s="2">
        <v>1</v>
      </c>
      <c r="F18445" s="2">
        <v>3</v>
      </c>
      <c r="G18445" s="2">
        <v>1</v>
      </c>
      <c r="H18445" s="1">
        <v>45931.807210648149</v>
      </c>
      <c r="I18445" s="2">
        <v>1</v>
      </c>
      <c r="J18445" s="1">
        <v>45931.325509259259</v>
      </c>
    </row>
    <row r="18446" spans="1:10" x14ac:dyDescent="0.2">
      <c r="A18446" s="4" t="s">
        <v>1</v>
      </c>
      <c r="B18446" s="3" t="str">
        <f>HYPERLINK("https://otsuka-europe-crm.veevavault.com/ui/#object/approved_document__v/V5OZ04ASG4FWKA7", "Reuniones Online Consent - 2")</f>
        <v>Reuniones Online Consent - 2</v>
      </c>
      <c r="C18446" s="3" t="str">
        <f>HYPERLINK("https://otsuka-europe-crm.veevavault.com/ui/#object/sent_email__v/VBLZ025E82H71F2", "SE-000282736")</f>
        <v>SE-000282736</v>
      </c>
      <c r="D18446" s="1">
        <v>45931.696944444448</v>
      </c>
      <c r="E18446" s="2">
        <v>1</v>
      </c>
      <c r="F18446" s="2">
        <v>1</v>
      </c>
      <c r="G18446" s="2">
        <v>1</v>
      </c>
      <c r="H18446" s="1">
        <v>45931.701319444444</v>
      </c>
      <c r="I18446" s="2">
        <v>1</v>
      </c>
      <c r="J18446" s="1">
        <v>45931.671539351853</v>
      </c>
    </row>
    <row r="18447" spans="1:10" x14ac:dyDescent="0.2">
      <c r="A18447" s="4" t="s">
        <v>1</v>
      </c>
      <c r="B18447" s="3" t="str">
        <f>HYPERLINK("https://otsuka-europe-crm.veevavault.com/ui/#object/approved_document__v/V5OZ04ASG4FWKA7", "Reuniones Online Consent - 2")</f>
        <v>Reuniones Online Consent - 2</v>
      </c>
      <c r="C18447" s="3" t="str">
        <f>HYPERLINK("https://otsuka-europe-crm.veevavault.com/ui/#object/sent_email__v/VBLZ025E82H8ZH9", "SE-000283059")</f>
        <v>SE-000283059</v>
      </c>
      <c r="D18447" s="1">
        <v>45933.545636574076</v>
      </c>
      <c r="E18447" s="2">
        <v>1</v>
      </c>
      <c r="F18447" s="2">
        <v>2</v>
      </c>
      <c r="G18447" s="2">
        <v>1</v>
      </c>
      <c r="H18447" s="1">
        <v>45933.397083333337</v>
      </c>
      <c r="I18447" s="2">
        <v>1</v>
      </c>
      <c r="J18447" s="1">
        <v>45933.331273148149</v>
      </c>
    </row>
    <row r="18448" spans="1:10" x14ac:dyDescent="0.2">
      <c r="A18448" s="4" t="s">
        <v>1</v>
      </c>
      <c r="B18448" s="3" t="str">
        <f>HYPERLINK("https://otsuka-europe-crm.veevavault.com/ui/#object/approved_document__v/V5OZ04ASG4FWKA7", "Reuniones Online Consent - 2")</f>
        <v>Reuniones Online Consent - 2</v>
      </c>
      <c r="C18448" s="3" t="str">
        <f>HYPERLINK("https://otsuka-europe-crm.veevavault.com/ui/#object/sent_email__v/VBLZ025E82H90SI", "SE-000283071")</f>
        <v>SE-000283071</v>
      </c>
      <c r="D18448" s="1">
        <v>45933.520208333335</v>
      </c>
      <c r="E18448" s="2">
        <v>1</v>
      </c>
      <c r="F18448" s="2">
        <v>1</v>
      </c>
      <c r="G18448" s="2">
        <v>1</v>
      </c>
      <c r="H18448" s="1">
        <v>45933.520277777781</v>
      </c>
      <c r="I18448" s="2">
        <v>1</v>
      </c>
      <c r="J18448" s="1">
        <v>45933.352893518517</v>
      </c>
    </row>
    <row r="18449" spans="1:10" x14ac:dyDescent="0.2">
      <c r="A18449" s="4" t="s">
        <v>1</v>
      </c>
      <c r="B18449" s="3" t="str">
        <f>HYPERLINK("https://otsuka-europe-crm.veevavault.com/ui/#object/approved_document__v/V5OZ04ASG4FWKA7", "Reuniones Online Consent - 2")</f>
        <v>Reuniones Online Consent - 2</v>
      </c>
      <c r="C18449" s="3" t="str">
        <f>HYPERLINK("https://otsuka-europe-crm.veevavault.com/ui/#object/sent_email__v/VBLZ025E82H9LXM", "SE-000283249")</f>
        <v>SE-000283249</v>
      </c>
      <c r="D18449" s="1">
        <v>45935.950300925928</v>
      </c>
      <c r="E18449" s="2">
        <v>1</v>
      </c>
      <c r="F18449" s="2">
        <v>1</v>
      </c>
      <c r="G18449" s="2">
        <v>1</v>
      </c>
      <c r="H18449" s="1">
        <v>45935.950543981482</v>
      </c>
      <c r="I18449" s="2">
        <v>2</v>
      </c>
      <c r="J18449" s="1">
        <v>45933.467777777776</v>
      </c>
    </row>
    <row r="18450" spans="1:10" x14ac:dyDescent="0.2">
      <c r="A18450" s="4" t="s">
        <v>1</v>
      </c>
      <c r="B18450" s="3" t="str">
        <f>HYPERLINK("https://otsuka-europe-crm.veevavault.com/ui/#object/approved_document__v/V5OZ04ASG4FWKA7", "Reuniones Online Consent - 2")</f>
        <v>Reuniones Online Consent - 2</v>
      </c>
      <c r="C18450" s="3" t="str">
        <f>HYPERLINK("https://otsuka-europe-crm.veevavault.com/ui/#object/sent_email__v/VBLZ025E82HASRA", "SE-000283358")</f>
        <v>SE-000283358</v>
      </c>
      <c r="D18450" s="1">
        <v>45935.912511574075</v>
      </c>
      <c r="E18450" s="2">
        <v>1</v>
      </c>
      <c r="F18450" s="2">
        <v>1</v>
      </c>
      <c r="G18450" s="2">
        <v>0</v>
      </c>
      <c r="H18450" s="1" t="s">
        <v>0</v>
      </c>
      <c r="I18450" s="2">
        <v>0</v>
      </c>
      <c r="J18450" s="1">
        <v>45935.834988425922</v>
      </c>
    </row>
    <row r="18451" spans="1:10" x14ac:dyDescent="0.2">
      <c r="A18451" s="4" t="s">
        <v>1</v>
      </c>
      <c r="B18451" s="3" t="str">
        <f>HYPERLINK("https://otsuka-europe-crm.veevavault.com/ui/#object/approved_document__v/V5OZ04ASG4FWKA7", "Reuniones Online Consent - 2")</f>
        <v>Reuniones Online Consent - 2</v>
      </c>
      <c r="C18451" s="3" t="str">
        <f>HYPERLINK("https://otsuka-europe-crm.veevavault.com/ui/#object/sent_email__v/VBLZ025E82HASU2", "SE-000283360")</f>
        <v>SE-000283360</v>
      </c>
      <c r="D18451" s="1">
        <v>45946.929710648146</v>
      </c>
      <c r="E18451" s="2">
        <v>1</v>
      </c>
      <c r="F18451" s="2">
        <v>4</v>
      </c>
      <c r="G18451" s="2">
        <v>1</v>
      </c>
      <c r="H18451" s="1">
        <v>45936.264062499999</v>
      </c>
      <c r="I18451" s="2">
        <v>1</v>
      </c>
      <c r="J18451" s="1">
        <v>45935.842094907406</v>
      </c>
    </row>
    <row r="18452" spans="1:10" x14ac:dyDescent="0.2">
      <c r="A18452" s="4" t="s">
        <v>1</v>
      </c>
      <c r="B18452" s="3" t="str">
        <f>HYPERLINK("https://otsuka-europe-crm.veevavault.com/ui/#object/approved_document__v/V5OZ04ASG4FWKA7", "Reuniones Online Consent - 2")</f>
        <v>Reuniones Online Consent - 2</v>
      </c>
      <c r="C18452" s="3" t="str">
        <f>HYPERLINK("https://otsuka-europe-crm.veevavault.com/ui/#object/sent_email__v/VBLZ025E82HAT2E", "SE-000283364")</f>
        <v>SE-000283364</v>
      </c>
      <c r="D18452" s="1">
        <v>45937.908437500002</v>
      </c>
      <c r="E18452" s="2">
        <v>1</v>
      </c>
      <c r="F18452" s="2">
        <v>3</v>
      </c>
      <c r="G18452" s="2">
        <v>1</v>
      </c>
      <c r="H18452" s="1">
        <v>45936.343391203707</v>
      </c>
      <c r="I18452" s="2">
        <v>3</v>
      </c>
      <c r="J18452" s="1">
        <v>45935.843784722223</v>
      </c>
    </row>
    <row r="18453" spans="1:10" x14ac:dyDescent="0.2">
      <c r="A18453" s="4" t="s">
        <v>1</v>
      </c>
      <c r="B18453" s="3" t="str">
        <f>HYPERLINK("https://otsuka-europe-crm.veevavault.com/ui/#object/approved_document__v/V5OZ04ASG4FWKA7", "Reuniones Online Consent - 2")</f>
        <v>Reuniones Online Consent - 2</v>
      </c>
      <c r="C18453" s="3" t="str">
        <f>HYPERLINK("https://otsuka-europe-crm.veevavault.com/ui/#object/sent_email__v/VBLZ025E82HBDL9", "SE-000283546")</f>
        <v>SE-000283546</v>
      </c>
      <c r="D18453" s="1">
        <v>45936.959687499999</v>
      </c>
      <c r="E18453" s="2">
        <v>1</v>
      </c>
      <c r="F18453" s="2">
        <v>2</v>
      </c>
      <c r="G18453" s="2">
        <v>1</v>
      </c>
      <c r="H18453" s="1">
        <v>45936.497604166667</v>
      </c>
      <c r="I18453" s="2">
        <v>1</v>
      </c>
      <c r="J18453" s="1">
        <v>45936.455729166664</v>
      </c>
    </row>
    <row r="18454" spans="1:10" x14ac:dyDescent="0.2">
      <c r="A18454" s="4" t="s">
        <v>1</v>
      </c>
      <c r="B18454" s="3" t="str">
        <f>HYPERLINK("https://otsuka-europe-crm.veevavault.com/ui/#object/approved_document__v/V5OZ04ASG4FWKA7", "Reuniones Online Consent - 2")</f>
        <v>Reuniones Online Consent - 2</v>
      </c>
      <c r="C18454" s="3" t="str">
        <f>HYPERLINK("https://otsuka-europe-crm.veevavault.com/ui/#object/sent_email__v/VBLZ025E82HCB01", "SE-000283651")</f>
        <v>SE-000283651</v>
      </c>
      <c r="D18454" s="1">
        <v>46038.284803240742</v>
      </c>
      <c r="E18454" s="2">
        <v>1</v>
      </c>
      <c r="F18454" s="2">
        <v>2</v>
      </c>
      <c r="G18454" s="2">
        <v>1</v>
      </c>
      <c r="H18454" s="1">
        <v>45936.897743055553</v>
      </c>
      <c r="I18454" s="2">
        <v>1</v>
      </c>
      <c r="J18454" s="1">
        <v>45936.767326388886</v>
      </c>
    </row>
    <row r="18455" spans="1:10" x14ac:dyDescent="0.2">
      <c r="A18455" s="4" t="s">
        <v>1</v>
      </c>
      <c r="B18455" s="3" t="str">
        <f>HYPERLINK("https://otsuka-europe-crm.veevavault.com/ui/#object/approved_document__v/V5OZ04ASG4FWKA7", "Reuniones Online Consent - 2")</f>
        <v>Reuniones Online Consent - 2</v>
      </c>
      <c r="C18455" s="3" t="str">
        <f>HYPERLINK("https://otsuka-europe-crm.veevavault.com/ui/#object/sent_email__v/VBLZ025E82HCQ1P", "SE-000283990")</f>
        <v>SE-000283990</v>
      </c>
      <c r="D18455" s="1">
        <v>45961.532569444447</v>
      </c>
      <c r="E18455" s="2">
        <v>1</v>
      </c>
      <c r="F18455" s="2">
        <v>5</v>
      </c>
      <c r="G18455" s="2">
        <v>1</v>
      </c>
      <c r="H18455" s="1">
        <v>45961.532604166663</v>
      </c>
      <c r="I18455" s="2">
        <v>2</v>
      </c>
      <c r="J18455" s="1">
        <v>45937.383240740739</v>
      </c>
    </row>
    <row r="18456" spans="1:10" x14ac:dyDescent="0.2">
      <c r="A18456" s="4" t="s">
        <v>1</v>
      </c>
      <c r="B18456" s="3" t="str">
        <f>HYPERLINK("https://otsuka-europe-crm.veevavault.com/ui/#object/approved_document__v/V5OZ04ASG4FWKA7", "Reuniones Online Consent - 2")</f>
        <v>Reuniones Online Consent - 2</v>
      </c>
      <c r="C18456" s="3" t="str">
        <f>HYPERLINK("https://otsuka-europe-crm.veevavault.com/ui/#object/sent_email__v/VBLZ025E82HDBCF", "SE-000284301")</f>
        <v>SE-000284301</v>
      </c>
      <c r="D18456" s="1">
        <v>45937.641122685185</v>
      </c>
      <c r="E18456" s="2">
        <v>1</v>
      </c>
      <c r="F18456" s="2">
        <v>2</v>
      </c>
      <c r="G18456" s="2">
        <v>1</v>
      </c>
      <c r="H18456" s="1">
        <v>45937.641192129631</v>
      </c>
      <c r="I18456" s="2">
        <v>1</v>
      </c>
      <c r="J18456" s="1">
        <v>45937.51766203704</v>
      </c>
    </row>
    <row r="18457" spans="1:10" x14ac:dyDescent="0.2">
      <c r="A18457" s="4" t="s">
        <v>1</v>
      </c>
      <c r="B18457" s="3" t="str">
        <f>HYPERLINK("https://otsuka-europe-crm.veevavault.com/ui/#object/approved_document__v/V5OZ04ASG4FWKA7", "Reuniones Online Consent - 2")</f>
        <v>Reuniones Online Consent - 2</v>
      </c>
      <c r="C18457" s="3" t="str">
        <f>HYPERLINK("https://otsuka-europe-crm.veevavault.com/ui/#object/sent_email__v/VBLZ025E82HDBKP", "SE-000284303")</f>
        <v>SE-000284303</v>
      </c>
      <c r="D18457" s="1">
        <v>45939.578923611109</v>
      </c>
      <c r="E18457" s="2">
        <v>1</v>
      </c>
      <c r="F18457" s="2">
        <v>2</v>
      </c>
      <c r="G18457" s="2">
        <v>1</v>
      </c>
      <c r="H18457" s="1">
        <v>45937.867604166669</v>
      </c>
      <c r="I18457" s="2">
        <v>3</v>
      </c>
      <c r="J18457" s="1">
        <v>45937.518136574072</v>
      </c>
    </row>
    <row r="18458" spans="1:10" x14ac:dyDescent="0.2">
      <c r="A18458" s="4" t="s">
        <v>1</v>
      </c>
      <c r="B18458" s="3" t="str">
        <f>HYPERLINK("https://otsuka-europe-crm.veevavault.com/ui/#object/approved_document__v/V5OZ04ASG4FWKA7", "Reuniones Online Consent - 2")</f>
        <v>Reuniones Online Consent - 2</v>
      </c>
      <c r="C18458" s="3" t="str">
        <f>HYPERLINK("https://otsuka-europe-crm.veevavault.com/ui/#object/sent_email__v/VBLZ025E82HERI5", "SE-000284955")</f>
        <v>SE-000284955</v>
      </c>
      <c r="D18458" s="1">
        <v>45939.030370370368</v>
      </c>
      <c r="E18458" s="2">
        <v>1</v>
      </c>
      <c r="F18458" s="2">
        <v>3</v>
      </c>
      <c r="G18458" s="2">
        <v>1</v>
      </c>
      <c r="H18458" s="1">
        <v>45938.658888888887</v>
      </c>
      <c r="I18458" s="2">
        <v>1</v>
      </c>
      <c r="J18458" s="1">
        <v>45938.512604166666</v>
      </c>
    </row>
    <row r="18459" spans="1:10" x14ac:dyDescent="0.2">
      <c r="A18459" s="4" t="s">
        <v>1</v>
      </c>
      <c r="B18459" s="3" t="str">
        <f>HYPERLINK("https://otsuka-europe-crm.veevavault.com/ui/#object/approved_document__v/V5OZ04ASG4FWKA7", "Reuniones Online Consent - 2")</f>
        <v>Reuniones Online Consent - 2</v>
      </c>
      <c r="C18459" s="3" t="str">
        <f>HYPERLINK("https://otsuka-europe-crm.veevavault.com/ui/#object/sent_email__v/VBLZ025E82HERNQ", "SE-000284959")</f>
        <v>SE-000284959</v>
      </c>
      <c r="D18459" s="1">
        <v>45938.546400462961</v>
      </c>
      <c r="E18459" s="2">
        <v>1</v>
      </c>
      <c r="F18459" s="2">
        <v>1</v>
      </c>
      <c r="G18459" s="2">
        <v>1</v>
      </c>
      <c r="H18459" s="1">
        <v>45938.546597222223</v>
      </c>
      <c r="I18459" s="2">
        <v>2</v>
      </c>
      <c r="J18459" s="1">
        <v>45938.5159375</v>
      </c>
    </row>
    <row r="18460" spans="1:10" x14ac:dyDescent="0.2">
      <c r="A18460" s="4" t="s">
        <v>1</v>
      </c>
      <c r="B18460" s="3" t="str">
        <f>HYPERLINK("https://otsuka-europe-crm.veevavault.com/ui/#object/approved_document__v/V5OZ04ASG4FWKA7", "Reuniones Online Consent - 2")</f>
        <v>Reuniones Online Consent - 2</v>
      </c>
      <c r="C18460" s="3" t="str">
        <f>HYPERLINK("https://otsuka-europe-crm.veevavault.com/ui/#object/sent_email__v/VBLZ025E82HERYU", "SE-000284976")</f>
        <v>SE-000284976</v>
      </c>
      <c r="D18460" s="1">
        <v>45938.941122685188</v>
      </c>
      <c r="E18460" s="2">
        <v>1</v>
      </c>
      <c r="F18460" s="2">
        <v>3</v>
      </c>
      <c r="G18460" s="2">
        <v>1</v>
      </c>
      <c r="H18460" s="1">
        <v>45938.590185185189</v>
      </c>
      <c r="I18460" s="2">
        <v>2</v>
      </c>
      <c r="J18460" s="1">
        <v>45938.521944444445</v>
      </c>
    </row>
    <row r="18461" spans="1:10" x14ac:dyDescent="0.2">
      <c r="A18461" s="4" t="s">
        <v>1</v>
      </c>
      <c r="B18461" s="3" t="str">
        <f>HYPERLINK("https://otsuka-europe-crm.veevavault.com/ui/#object/approved_document__v/V5OZ04ASG4FWKA7", "Reuniones Online Consent - 2")</f>
        <v>Reuniones Online Consent - 2</v>
      </c>
      <c r="C18461" s="3" t="str">
        <f>HYPERLINK("https://otsuka-europe-crm.veevavault.com/ui/#object/sent_email__v/VBLZ025E82HEU4N", "SE-000284980")</f>
        <v>SE-000284980</v>
      </c>
      <c r="D18461" s="1">
        <v>45938.551238425927</v>
      </c>
      <c r="E18461" s="2">
        <v>1</v>
      </c>
      <c r="F18461" s="2">
        <v>1</v>
      </c>
      <c r="G18461" s="2">
        <v>1</v>
      </c>
      <c r="H18461" s="1">
        <v>45938.551238425927</v>
      </c>
      <c r="I18461" s="2">
        <v>1</v>
      </c>
      <c r="J18461" s="1">
        <v>45938.550613425927</v>
      </c>
    </row>
    <row r="18462" spans="1:10" x14ac:dyDescent="0.2">
      <c r="A18462" s="4" t="s">
        <v>1</v>
      </c>
      <c r="B18462" s="3" t="str">
        <f>HYPERLINK("https://otsuka-europe-crm.veevavault.com/ui/#object/approved_document__v/V5OZ04ASG4FWKA7", "Reuniones Online Consent - 2")</f>
        <v>Reuniones Online Consent - 2</v>
      </c>
      <c r="C18462" s="3" t="str">
        <f>HYPERLINK("https://otsuka-europe-crm.veevavault.com/ui/#object/sent_email__v/VBLZ025E82HFBC1", "SE-000285017")</f>
        <v>SE-000285017</v>
      </c>
      <c r="D18462" s="1">
        <v>45938.74728009259</v>
      </c>
      <c r="E18462" s="2">
        <v>1</v>
      </c>
      <c r="F18462" s="2">
        <v>1</v>
      </c>
      <c r="G18462" s="2">
        <v>1</v>
      </c>
      <c r="H18462" s="1">
        <v>45938.747534722221</v>
      </c>
      <c r="I18462" s="2">
        <v>1</v>
      </c>
      <c r="J18462" s="1">
        <v>45938.676412037035</v>
      </c>
    </row>
    <row r="18463" spans="1:10" x14ac:dyDescent="0.2">
      <c r="A18463" s="4" t="s">
        <v>1</v>
      </c>
      <c r="B18463" s="3" t="str">
        <f>HYPERLINK("https://otsuka-europe-crm.veevavault.com/ui/#object/approved_document__v/V5OZ04ASG4FWKA7", "Reuniones Online Consent - 2")</f>
        <v>Reuniones Online Consent - 2</v>
      </c>
      <c r="C18463" s="3" t="str">
        <f>HYPERLINK("https://otsuka-europe-crm.veevavault.com/ui/#object/sent_email__v/VBLZ025E82HFBHL", "SE-000285018")</f>
        <v>SE-000285018</v>
      </c>
      <c r="D18463" s="1" t="s">
        <v>0</v>
      </c>
      <c r="E18463" s="2">
        <v>0</v>
      </c>
      <c r="F18463" s="2">
        <v>0</v>
      </c>
      <c r="G18463" s="2">
        <v>0</v>
      </c>
      <c r="H18463" s="1" t="s">
        <v>0</v>
      </c>
      <c r="I18463" s="2">
        <v>0</v>
      </c>
      <c r="J18463" s="1">
        <v>45938.676747685182</v>
      </c>
    </row>
    <row r="18464" spans="1:10" x14ac:dyDescent="0.2">
      <c r="A18464" s="4" t="s">
        <v>1</v>
      </c>
      <c r="B18464" s="3" t="str">
        <f>HYPERLINK("https://otsuka-europe-crm.veevavault.com/ui/#object/approved_document__v/V5OZ04ASG4FWKA7", "Reuniones Online Consent - 2")</f>
        <v>Reuniones Online Consent - 2</v>
      </c>
      <c r="C18464" s="3" t="str">
        <f>HYPERLINK("https://otsuka-europe-crm.veevavault.com/ui/#object/sent_email__v/VBLZ025E82HFI1P", "SE-000285033")</f>
        <v>SE-000285033</v>
      </c>
      <c r="D18464" s="1">
        <v>45938.814710648148</v>
      </c>
      <c r="E18464" s="2">
        <v>1</v>
      </c>
      <c r="F18464" s="2">
        <v>1</v>
      </c>
      <c r="G18464" s="2">
        <v>1</v>
      </c>
      <c r="H18464" s="1">
        <v>45938.814768518518</v>
      </c>
      <c r="I18464" s="2">
        <v>1</v>
      </c>
      <c r="J18464" s="1">
        <v>45938.784432870372</v>
      </c>
    </row>
    <row r="18465" spans="1:10" x14ac:dyDescent="0.2">
      <c r="A18465" s="4" t="s">
        <v>1</v>
      </c>
      <c r="B18465" s="3" t="str">
        <f>HYPERLINK("https://otsuka-europe-crm.veevavault.com/ui/#object/approved_document__v/V5OZ04ASG4FWKA7", "Reuniones Online Consent - 2")</f>
        <v>Reuniones Online Consent - 2</v>
      </c>
      <c r="C18465" s="3" t="str">
        <f>HYPERLINK("https://otsuka-europe-crm.veevavault.com/ui/#object/sent_email__v/VBLZ025E82HG84L", "SE-000285385")</f>
        <v>SE-000285385</v>
      </c>
      <c r="D18465" s="1">
        <v>45943.73741898148</v>
      </c>
      <c r="E18465" s="2">
        <v>1</v>
      </c>
      <c r="F18465" s="2">
        <v>1</v>
      </c>
      <c r="G18465" s="2">
        <v>0</v>
      </c>
      <c r="H18465" s="1" t="s">
        <v>0</v>
      </c>
      <c r="I18465" s="2">
        <v>0</v>
      </c>
      <c r="J18465" s="1">
        <v>45939.493703703702</v>
      </c>
    </row>
    <row r="18466" spans="1:10" x14ac:dyDescent="0.2">
      <c r="A18466" s="4" t="s">
        <v>1</v>
      </c>
      <c r="B18466" s="3" t="str">
        <f>HYPERLINK("https://otsuka-europe-crm.veevavault.com/ui/#object/approved_document__v/V5OZ04ASG4FWKA7", "Reuniones Online Consent - 2")</f>
        <v>Reuniones Online Consent - 2</v>
      </c>
      <c r="C18466" s="3" t="str">
        <f>HYPERLINK("https://otsuka-europe-crm.veevavault.com/ui/#object/sent_email__v/VBLZ025E82HHFKH", "SE-000286514")</f>
        <v>SE-000286514</v>
      </c>
      <c r="D18466" s="1">
        <v>45946.983587962961</v>
      </c>
      <c r="E18466" s="2">
        <v>1</v>
      </c>
      <c r="F18466" s="2">
        <v>1</v>
      </c>
      <c r="G18466" s="2">
        <v>0</v>
      </c>
      <c r="H18466" s="1" t="s">
        <v>0</v>
      </c>
      <c r="I18466" s="2">
        <v>0</v>
      </c>
      <c r="J18466" s="1">
        <v>45940.483287037037</v>
      </c>
    </row>
    <row r="18467" spans="1:10" x14ac:dyDescent="0.2">
      <c r="A18467" s="4" t="s">
        <v>1</v>
      </c>
      <c r="B18467" s="3" t="str">
        <f>HYPERLINK("https://otsuka-europe-crm.veevavault.com/ui/#object/approved_document__v/V5OZ04ASG4FWKA7", "Reuniones Online Consent - 2")</f>
        <v>Reuniones Online Consent - 2</v>
      </c>
      <c r="C18467" s="3" t="str">
        <f>HYPERLINK("https://otsuka-europe-crm.veevavault.com/ui/#object/sent_email__v/VBLZ025E82HHHKP", "SE-000286516")</f>
        <v>SE-000286516</v>
      </c>
      <c r="D18467" s="1">
        <v>45940.499803240738</v>
      </c>
      <c r="E18467" s="2">
        <v>1</v>
      </c>
      <c r="F18467" s="2">
        <v>1</v>
      </c>
      <c r="G18467" s="2">
        <v>1</v>
      </c>
      <c r="H18467" s="1">
        <v>45940.499803240738</v>
      </c>
      <c r="I18467" s="2">
        <v>1</v>
      </c>
      <c r="J18467" s="1">
        <v>45940.498773148145</v>
      </c>
    </row>
    <row r="18468" spans="1:10" x14ac:dyDescent="0.2">
      <c r="A18468" s="4" t="s">
        <v>1</v>
      </c>
      <c r="B18468" s="3" t="str">
        <f>HYPERLINK("https://otsuka-europe-crm.veevavault.com/ui/#object/approved_document__v/V5OZ04ASG4FWKA7", "Reuniones Online Consent - 2")</f>
        <v>Reuniones Online Consent - 2</v>
      </c>
      <c r="C18468" s="3" t="str">
        <f>HYPERLINK("https://otsuka-europe-crm.veevavault.com/ui/#object/sent_email__v/VBLZ025E82HIF51", "SE-000286778")</f>
        <v>SE-000286778</v>
      </c>
      <c r="D18468" s="1">
        <v>45943.860243055555</v>
      </c>
      <c r="E18468" s="2">
        <v>1</v>
      </c>
      <c r="F18468" s="2">
        <v>2</v>
      </c>
      <c r="G18468" s="2">
        <v>1</v>
      </c>
      <c r="H18468" s="1">
        <v>45943.39571759259</v>
      </c>
      <c r="I18468" s="2">
        <v>1</v>
      </c>
      <c r="J18468" s="1">
        <v>45943.382673611108</v>
      </c>
    </row>
    <row r="18469" spans="1:10" x14ac:dyDescent="0.2">
      <c r="A18469" s="4" t="s">
        <v>1</v>
      </c>
      <c r="B18469" s="3" t="str">
        <f>HYPERLINK("https://otsuka-europe-crm.veevavault.com/ui/#object/approved_document__v/V5OZ04ASG4FWKA7", "Reuniones Online Consent - 2")</f>
        <v>Reuniones Online Consent - 2</v>
      </c>
      <c r="C18469" s="3" t="str">
        <f>HYPERLINK("https://otsuka-europe-crm.veevavault.com/ui/#object/sent_email__v/VBLZ025E82HJJVP", "SE-000286863")</f>
        <v>SE-000286863</v>
      </c>
      <c r="D18469" s="1" t="s">
        <v>0</v>
      </c>
      <c r="E18469" s="2">
        <v>0</v>
      </c>
      <c r="F18469" s="2">
        <v>0</v>
      </c>
      <c r="G18469" s="2">
        <v>0</v>
      </c>
      <c r="H18469" s="1" t="s">
        <v>0</v>
      </c>
      <c r="I18469" s="2">
        <v>0</v>
      </c>
      <c r="J18469" s="1">
        <v>45944.325925925928</v>
      </c>
    </row>
    <row r="18470" spans="1:10" x14ac:dyDescent="0.2">
      <c r="A18470" s="4" t="s">
        <v>1</v>
      </c>
      <c r="B18470" s="3" t="str">
        <f>HYPERLINK("https://otsuka-europe-crm.veevavault.com/ui/#object/approved_document__v/V5OZ04ASG4FWKA7", "Reuniones Online Consent - 2")</f>
        <v>Reuniones Online Consent - 2</v>
      </c>
      <c r="C18470" s="3" t="str">
        <f>HYPERLINK("https://otsuka-europe-crm.veevavault.com/ui/#object/sent_email__v/VBLZ025E82HJKKP", "SE-000286868")</f>
        <v>SE-000286868</v>
      </c>
      <c r="D18470" s="1">
        <v>45945.400023148148</v>
      </c>
      <c r="E18470" s="2">
        <v>1</v>
      </c>
      <c r="F18470" s="2">
        <v>1</v>
      </c>
      <c r="G18470" s="2">
        <v>1</v>
      </c>
      <c r="H18470" s="1">
        <v>45945.400023148148</v>
      </c>
      <c r="I18470" s="2">
        <v>1</v>
      </c>
      <c r="J18470" s="1">
        <v>45944.350729166668</v>
      </c>
    </row>
    <row r="18471" spans="1:10" x14ac:dyDescent="0.2">
      <c r="A18471" s="4" t="s">
        <v>1</v>
      </c>
      <c r="B18471" s="3" t="str">
        <f>HYPERLINK("https://otsuka-europe-crm.veevavault.com/ui/#object/approved_document__v/V5OZ04ASG4FWKA7", "Reuniones Online Consent - 2")</f>
        <v>Reuniones Online Consent - 2</v>
      </c>
      <c r="C18471" s="3" t="str">
        <f>HYPERLINK("https://otsuka-europe-crm.veevavault.com/ui/#object/sent_email__v/VBLZ025E82HJP7D", "SE-000286904")</f>
        <v>SE-000286904</v>
      </c>
      <c r="D18471" s="1">
        <v>45944.791273148148</v>
      </c>
      <c r="E18471" s="2">
        <v>1</v>
      </c>
      <c r="F18471" s="2">
        <v>1</v>
      </c>
      <c r="G18471" s="2">
        <v>1</v>
      </c>
      <c r="H18471" s="1">
        <v>45944.791273148148</v>
      </c>
      <c r="I18471" s="2">
        <v>1</v>
      </c>
      <c r="J18471" s="1">
        <v>45944.389351851853</v>
      </c>
    </row>
    <row r="18472" spans="1:10" x14ac:dyDescent="0.2">
      <c r="A18472" s="4" t="s">
        <v>1</v>
      </c>
      <c r="B18472" s="3" t="str">
        <f>HYPERLINK("https://otsuka-europe-crm.veevavault.com/ui/#object/approved_document__v/V5OZ04ASG4FWKA7", "Reuniones Online Consent - 2")</f>
        <v>Reuniones Online Consent - 2</v>
      </c>
      <c r="C18472" s="3" t="str">
        <f>HYPERLINK("https://otsuka-europe-crm.veevavault.com/ui/#object/sent_email__v/VBLZ025E82HKMM5", "SE-000287554")</f>
        <v>SE-000287554</v>
      </c>
      <c r="D18472" s="1">
        <v>45959.929166666669</v>
      </c>
      <c r="E18472" s="2">
        <v>1</v>
      </c>
      <c r="F18472" s="2">
        <v>4</v>
      </c>
      <c r="G18472" s="2">
        <v>1</v>
      </c>
      <c r="H18472" s="1">
        <v>45957.630555555559</v>
      </c>
      <c r="I18472" s="2">
        <v>1</v>
      </c>
      <c r="J18472" s="1">
        <v>45944.778495370374</v>
      </c>
    </row>
    <row r="18473" spans="1:10" x14ac:dyDescent="0.2">
      <c r="A18473" s="4" t="s">
        <v>1</v>
      </c>
      <c r="B18473" s="3" t="str">
        <f>HYPERLINK("https://otsuka-europe-crm.veevavault.com/ui/#object/approved_document__v/V5OZ04ASG4FWKA7", "Reuniones Online Consent - 2")</f>
        <v>Reuniones Online Consent - 2</v>
      </c>
      <c r="C18473" s="3" t="str">
        <f>HYPERLINK("https://otsuka-europe-crm.veevavault.com/ui/#object/sent_email__v/VBLZ025E82HKMRP", "SE-000287556")</f>
        <v>SE-000287556</v>
      </c>
      <c r="D18473" s="1">
        <v>45945.304108796299</v>
      </c>
      <c r="E18473" s="2">
        <v>1</v>
      </c>
      <c r="F18473" s="2">
        <v>2</v>
      </c>
      <c r="G18473" s="2">
        <v>1</v>
      </c>
      <c r="H18473" s="1">
        <v>45945.304143518515</v>
      </c>
      <c r="I18473" s="2">
        <v>2</v>
      </c>
      <c r="J18473" s="1">
        <v>45944.782511574071</v>
      </c>
    </row>
    <row r="18474" spans="1:10" x14ac:dyDescent="0.2">
      <c r="A18474" s="4" t="s">
        <v>1</v>
      </c>
      <c r="B18474" s="3" t="str">
        <f>HYPERLINK("https://otsuka-europe-crm.veevavault.com/ui/#object/approved_document__v/V5OZ04ASG4FWKA7", "Reuniones Online Consent - 2")</f>
        <v>Reuniones Online Consent - 2</v>
      </c>
      <c r="C18474" s="3" t="str">
        <f>HYPERLINK("https://otsuka-europe-crm.veevavault.com/ui/#object/sent_email__v/VBLZ025E82HL92I", "SE-000287814")</f>
        <v>SE-000287814</v>
      </c>
      <c r="D18474" s="1" t="s">
        <v>0</v>
      </c>
      <c r="E18474" s="2">
        <v>0</v>
      </c>
      <c r="F18474" s="2">
        <v>0</v>
      </c>
      <c r="G18474" s="2">
        <v>0</v>
      </c>
      <c r="H18474" s="1" t="s">
        <v>0</v>
      </c>
      <c r="I18474" s="2">
        <v>0</v>
      </c>
      <c r="J18474" s="1">
        <v>45945.510833333334</v>
      </c>
    </row>
    <row r="18475" spans="1:10" x14ac:dyDescent="0.2">
      <c r="A18475" s="4" t="s">
        <v>1</v>
      </c>
      <c r="B18475" s="3" t="str">
        <f>HYPERLINK("https://otsuka-europe-crm.veevavault.com/ui/#object/approved_document__v/V5OZ04ASG4FWKA7", "Reuniones Online Consent - 2")</f>
        <v>Reuniones Online Consent - 2</v>
      </c>
      <c r="C18475" s="3" t="str">
        <f>HYPERLINK("https://otsuka-europe-crm.veevavault.com/ui/#object/sent_email__v/VBLZ025E82HLJVD", "SE-000287841")</f>
        <v>SE-000287841</v>
      </c>
      <c r="D18475" s="1">
        <v>45945.712800925925</v>
      </c>
      <c r="E18475" s="2">
        <v>1</v>
      </c>
      <c r="F18475" s="2">
        <v>1</v>
      </c>
      <c r="G18475" s="2">
        <v>1</v>
      </c>
      <c r="H18475" s="1">
        <v>45945.712800925925</v>
      </c>
      <c r="I18475" s="2">
        <v>1</v>
      </c>
      <c r="J18475" s="1">
        <v>45945.644699074073</v>
      </c>
    </row>
    <row r="18476" spans="1:10" x14ac:dyDescent="0.2">
      <c r="A18476" s="4" t="s">
        <v>1</v>
      </c>
      <c r="B18476" s="3" t="str">
        <f>HYPERLINK("https://otsuka-europe-crm.veevavault.com/ui/#object/approved_document__v/V5OZ04ASG4FWKA7", "Reuniones Online Consent - 2")</f>
        <v>Reuniones Online Consent - 2</v>
      </c>
      <c r="C18476" s="3" t="str">
        <f>HYPERLINK("https://otsuka-europe-crm.veevavault.com/ui/#object/sent_email__v/VBLZ025E82HLK3P", "SE-000287844")</f>
        <v>SE-000287844</v>
      </c>
      <c r="D18476" s="1">
        <v>45945.665671296294</v>
      </c>
      <c r="E18476" s="2">
        <v>1</v>
      </c>
      <c r="F18476" s="2">
        <v>1</v>
      </c>
      <c r="G18476" s="2">
        <v>1</v>
      </c>
      <c r="H18476" s="1">
        <v>45945.665671296294</v>
      </c>
      <c r="I18476" s="2">
        <v>1</v>
      </c>
      <c r="J18476" s="1">
        <v>45945.646145833336</v>
      </c>
    </row>
    <row r="18477" spans="1:10" x14ac:dyDescent="0.2">
      <c r="A18477" s="4" t="s">
        <v>1</v>
      </c>
      <c r="B18477" s="3" t="str">
        <f>HYPERLINK("https://otsuka-europe-crm.veevavault.com/ui/#object/approved_document__v/V5OZ04ASG4FWKA7", "Reuniones Online Consent - 2")</f>
        <v>Reuniones Online Consent - 2</v>
      </c>
      <c r="C18477" s="3" t="str">
        <f>HYPERLINK("https://otsuka-europe-crm.veevavault.com/ui/#object/sent_email__v/VBLZ025E82HMUS9", "SE-000287938")</f>
        <v>SE-000287938</v>
      </c>
      <c r="D18477" s="1">
        <v>45949.373807870368</v>
      </c>
      <c r="E18477" s="2">
        <v>1</v>
      </c>
      <c r="F18477" s="2">
        <v>2</v>
      </c>
      <c r="G18477" s="2">
        <v>1</v>
      </c>
      <c r="H18477" s="1">
        <v>45946.723275462966</v>
      </c>
      <c r="I18477" s="2">
        <v>2</v>
      </c>
      <c r="J18477" s="1">
        <v>45946.676076388889</v>
      </c>
    </row>
    <row r="18478" spans="1:10" x14ac:dyDescent="0.2">
      <c r="A18478" s="4" t="s">
        <v>1</v>
      </c>
      <c r="B18478" s="3" t="str">
        <f>HYPERLINK("https://otsuka-europe-crm.veevavault.com/ui/#object/approved_document__v/V5OZ04ASG4FWKA7", "Reuniones Online Consent - 2")</f>
        <v>Reuniones Online Consent - 2</v>
      </c>
      <c r="C18478" s="3" t="str">
        <f>HYPERLINK("https://otsuka-europe-crm.veevavault.com/ui/#object/sent_email__v/VBLZ025E82HNPHT", "SE-000288026")</f>
        <v>SE-000288026</v>
      </c>
      <c r="D18478" s="1">
        <v>45949.796979166669</v>
      </c>
      <c r="E18478" s="2">
        <v>1</v>
      </c>
      <c r="F18478" s="2">
        <v>1</v>
      </c>
      <c r="G18478" s="2">
        <v>1</v>
      </c>
      <c r="H18478" s="1">
        <v>45949.796979166669</v>
      </c>
      <c r="I18478" s="2">
        <v>1</v>
      </c>
      <c r="J18478" s="1">
        <v>45947.563321759262</v>
      </c>
    </row>
    <row r="18479" spans="1:10" x14ac:dyDescent="0.2">
      <c r="A18479" s="4" t="s">
        <v>1</v>
      </c>
      <c r="B18479" s="3" t="str">
        <f>HYPERLINK("https://otsuka-europe-crm.veevavault.com/ui/#object/approved_document__v/V5OZ04ASG4FWKA7", "Reuniones Online Consent - 2")</f>
        <v>Reuniones Online Consent - 2</v>
      </c>
      <c r="C18479" s="3" t="str">
        <f>HYPERLINK("https://otsuka-europe-crm.veevavault.com/ui/#object/sent_email__v/VBLZ025E82HNSNP", "SE-000288035")</f>
        <v>SE-000288035</v>
      </c>
      <c r="D18479" s="1">
        <v>45947.596689814818</v>
      </c>
      <c r="E18479" s="2">
        <v>1</v>
      </c>
      <c r="F18479" s="2">
        <v>1</v>
      </c>
      <c r="G18479" s="2">
        <v>1</v>
      </c>
      <c r="H18479" s="1">
        <v>45947.596736111111</v>
      </c>
      <c r="I18479" s="2">
        <v>2</v>
      </c>
      <c r="J18479" s="1">
        <v>45947.593217592592</v>
      </c>
    </row>
    <row r="18480" spans="1:10" x14ac:dyDescent="0.2">
      <c r="A18480" s="4" t="s">
        <v>1</v>
      </c>
      <c r="B18480" s="3" t="str">
        <f>HYPERLINK("https://otsuka-europe-crm.veevavault.com/ui/#object/approved_document__v/V5OZ04ASG4FWKA7", "Reuniones Online Consent - 2")</f>
        <v>Reuniones Online Consent - 2</v>
      </c>
      <c r="C18480" s="3" t="str">
        <f>HYPERLINK("https://otsuka-europe-crm.veevavault.com/ui/#object/sent_email__v/VBLZ025E82HO055", "SE-000288042")</f>
        <v>SE-000288042</v>
      </c>
      <c r="D18480" s="1">
        <v>45947.805405092593</v>
      </c>
      <c r="E18480" s="2">
        <v>1</v>
      </c>
      <c r="F18480" s="2">
        <v>3</v>
      </c>
      <c r="G18480" s="2">
        <v>1</v>
      </c>
      <c r="H18480" s="1">
        <v>45947.805405092593</v>
      </c>
      <c r="I18480" s="2">
        <v>1</v>
      </c>
      <c r="J18480" s="1">
        <v>45947.681967592594</v>
      </c>
    </row>
    <row r="18481" spans="1:10" x14ac:dyDescent="0.2">
      <c r="A18481" s="4" t="s">
        <v>1</v>
      </c>
      <c r="B18481" s="3" t="str">
        <f>HYPERLINK("https://otsuka-europe-crm.veevavault.com/ui/#object/approved_document__v/V5OZ04ASG4FWKA7", "Reuniones Online Consent - 2")</f>
        <v>Reuniones Online Consent - 2</v>
      </c>
      <c r="C18481" s="3" t="str">
        <f>HYPERLINK("https://otsuka-europe-crm.veevavault.com/ui/#object/sent_email__v/VBLZ025E82HOKO2", "SE-000288147")</f>
        <v>SE-000288147</v>
      </c>
      <c r="D18481" s="1">
        <v>45950.417650462965</v>
      </c>
      <c r="E18481" s="2">
        <v>1</v>
      </c>
      <c r="F18481" s="2">
        <v>1</v>
      </c>
      <c r="G18481" s="2">
        <v>1</v>
      </c>
      <c r="H18481" s="1">
        <v>45950.417696759258</v>
      </c>
      <c r="I18481" s="2">
        <v>1</v>
      </c>
      <c r="J18481" s="1">
        <v>45950.387928240743</v>
      </c>
    </row>
    <row r="18482" spans="1:10" x14ac:dyDescent="0.2">
      <c r="A18482" s="4" t="s">
        <v>1</v>
      </c>
      <c r="B18482" s="3" t="str">
        <f>HYPERLINK("https://otsuka-europe-crm.veevavault.com/ui/#object/approved_document__v/V5OZ04ASG4FWKA7", "Reuniones Online Consent - 2")</f>
        <v>Reuniones Online Consent - 2</v>
      </c>
      <c r="C18482" s="3" t="str">
        <f>HYPERLINK("https://otsuka-europe-crm.veevavault.com/ui/#object/sent_email__v/VBLZ025E82HONIT", "SE-000288390")</f>
        <v>SE-000288390</v>
      </c>
      <c r="D18482" s="1">
        <v>45950.454456018517</v>
      </c>
      <c r="E18482" s="2">
        <v>1</v>
      </c>
      <c r="F18482" s="2">
        <v>1</v>
      </c>
      <c r="G18482" s="2">
        <v>1</v>
      </c>
      <c r="H18482" s="1">
        <v>45950.454560185186</v>
      </c>
      <c r="I18482" s="2">
        <v>2</v>
      </c>
      <c r="J18482" s="1">
        <v>45950.412962962961</v>
      </c>
    </row>
    <row r="18483" spans="1:10" x14ac:dyDescent="0.2">
      <c r="A18483" s="4" t="s">
        <v>1</v>
      </c>
      <c r="B18483" s="3" t="str">
        <f>HYPERLINK("https://otsuka-europe-crm.veevavault.com/ui/#object/approved_document__v/V5OZ04ASG4FWKA7", "Reuniones Online Consent - 2")</f>
        <v>Reuniones Online Consent - 2</v>
      </c>
      <c r="C18483" s="3" t="str">
        <f>HYPERLINK("https://otsuka-europe-crm.veevavault.com/ui/#object/sent_email__v/VBLZ025E82HP4NH", "SE-000288549")</f>
        <v>SE-000288549</v>
      </c>
      <c r="D18483" s="1">
        <v>45950.535960648151</v>
      </c>
      <c r="E18483" s="2">
        <v>1</v>
      </c>
      <c r="F18483" s="2">
        <v>1</v>
      </c>
      <c r="G18483" s="2">
        <v>1</v>
      </c>
      <c r="H18483" s="1">
        <v>45950.536238425928</v>
      </c>
      <c r="I18483" s="2">
        <v>1</v>
      </c>
      <c r="J18483" s="1">
        <v>45950.515289351853</v>
      </c>
    </row>
    <row r="18484" spans="1:10" x14ac:dyDescent="0.2">
      <c r="A18484" s="4" t="s">
        <v>1</v>
      </c>
      <c r="B18484" s="3" t="str">
        <f>HYPERLINK("https://otsuka-europe-crm.veevavault.com/ui/#object/approved_document__v/V5OZ04ASG4FWKA7", "Reuniones Online Consent - 2")</f>
        <v>Reuniones Online Consent - 2</v>
      </c>
      <c r="C18484" s="3" t="str">
        <f>HYPERLINK("https://otsuka-europe-crm.veevavault.com/ui/#object/sent_email__v/VBLZ025E82HQJCH", "SE-000289364")</f>
        <v>SE-000289364</v>
      </c>
      <c r="D18484" s="1">
        <v>45971.553923611114</v>
      </c>
      <c r="E18484" s="2">
        <v>1</v>
      </c>
      <c r="F18484" s="2">
        <v>2</v>
      </c>
      <c r="G18484" s="2">
        <v>1</v>
      </c>
      <c r="H18484" s="1">
        <v>45951.621724537035</v>
      </c>
      <c r="I18484" s="2">
        <v>1</v>
      </c>
      <c r="J18484" s="1">
        <v>45951.615659722222</v>
      </c>
    </row>
    <row r="18485" spans="1:10" x14ac:dyDescent="0.2">
      <c r="A18485" s="4" t="s">
        <v>1</v>
      </c>
      <c r="B18485" s="3" t="str">
        <f>HYPERLINK("https://otsuka-europe-crm.veevavault.com/ui/#object/approved_document__v/V5OZ04ASG4FWKA7", "Reuniones Online Consent - 2")</f>
        <v>Reuniones Online Consent - 2</v>
      </c>
      <c r="C18485" s="3" t="str">
        <f>HYPERLINK("https://otsuka-europe-crm.veevavault.com/ui/#object/sent_email__v/VBLZ025E82HRBFL", "SE-000290044")</f>
        <v>SE-000290044</v>
      </c>
      <c r="D18485" s="1">
        <v>45958.307962962965</v>
      </c>
      <c r="E18485" s="2">
        <v>1</v>
      </c>
      <c r="F18485" s="2">
        <v>1</v>
      </c>
      <c r="G18485" s="2">
        <v>1</v>
      </c>
      <c r="H18485" s="1">
        <v>45958.309166666666</v>
      </c>
      <c r="I18485" s="2">
        <v>1</v>
      </c>
      <c r="J18485" s="1">
        <v>45952.498136574075</v>
      </c>
    </row>
    <row r="18486" spans="1:10" x14ac:dyDescent="0.2">
      <c r="A18486" s="4" t="s">
        <v>1</v>
      </c>
      <c r="B18486" s="3" t="str">
        <f>HYPERLINK("https://otsuka-europe-crm.veevavault.com/ui/#object/approved_document__v/V5OZ04ASG4FWKA7", "Reuniones Online Consent - 2")</f>
        <v>Reuniones Online Consent - 2</v>
      </c>
      <c r="C18486" s="3" t="str">
        <f>HYPERLINK("https://otsuka-europe-crm.veevavault.com/ui/#object/sent_email__v/VBLZ025E82HRF4Y", "SE-000290076")</f>
        <v>SE-000290076</v>
      </c>
      <c r="D18486" s="1">
        <v>45952.719444444447</v>
      </c>
      <c r="E18486" s="2">
        <v>1</v>
      </c>
      <c r="F18486" s="2">
        <v>1</v>
      </c>
      <c r="G18486" s="2">
        <v>1</v>
      </c>
      <c r="H18486" s="1">
        <v>45952.719490740739</v>
      </c>
      <c r="I18486" s="2">
        <v>1</v>
      </c>
      <c r="J18486" s="1">
        <v>45952.557083333333</v>
      </c>
    </row>
    <row r="18487" spans="1:10" x14ac:dyDescent="0.2">
      <c r="A18487" s="4" t="s">
        <v>1</v>
      </c>
      <c r="B18487" s="3" t="str">
        <f>HYPERLINK("https://otsuka-europe-crm.veevavault.com/ui/#object/approved_document__v/V5OZ04ASG4FWKA7", "Reuniones Online Consent - 2")</f>
        <v>Reuniones Online Consent - 2</v>
      </c>
      <c r="C18487" s="3" t="str">
        <f>HYPERLINK("https://otsuka-europe-crm.veevavault.com/ui/#object/sent_email__v/VBLZ025E82HS82L", "SE-000290305")</f>
        <v>SE-000290305</v>
      </c>
      <c r="D18487" s="1">
        <v>45953.570868055554</v>
      </c>
      <c r="E18487" s="2">
        <v>1</v>
      </c>
      <c r="F18487" s="2">
        <v>3</v>
      </c>
      <c r="G18487" s="2">
        <v>1</v>
      </c>
      <c r="H18487" s="1">
        <v>45953.574097222219</v>
      </c>
      <c r="I18487" s="2">
        <v>3</v>
      </c>
      <c r="J18487" s="1">
        <v>45953.433113425926</v>
      </c>
    </row>
    <row r="18488" spans="1:10" x14ac:dyDescent="0.2">
      <c r="A18488" s="4" t="s">
        <v>1</v>
      </c>
      <c r="B18488" s="3" t="str">
        <f>HYPERLINK("https://otsuka-europe-crm.veevavault.com/ui/#object/approved_document__v/V5OZ04ASG4FWKA7", "Reuniones Online Consent - 2")</f>
        <v>Reuniones Online Consent - 2</v>
      </c>
      <c r="C18488" s="3" t="str">
        <f>HYPERLINK("https://otsuka-europe-crm.veevavault.com/ui/#object/sent_email__v/VBLZ025E82HS8OU", "SE-000290310")</f>
        <v>SE-000290310</v>
      </c>
      <c r="D18488" s="1">
        <v>45957.530821759261</v>
      </c>
      <c r="E18488" s="2">
        <v>1</v>
      </c>
      <c r="F18488" s="2">
        <v>1</v>
      </c>
      <c r="G18488" s="2">
        <v>0</v>
      </c>
      <c r="H18488" s="1" t="s">
        <v>0</v>
      </c>
      <c r="I18488" s="2">
        <v>0</v>
      </c>
      <c r="J18488" s="1">
        <v>45953.437789351854</v>
      </c>
    </row>
    <row r="18489" spans="1:10" x14ac:dyDescent="0.2">
      <c r="A18489" s="4" t="s">
        <v>1</v>
      </c>
      <c r="B18489" s="3" t="str">
        <f>HYPERLINK("https://otsuka-europe-crm.veevavault.com/ui/#object/approved_document__v/V5OZ04ASG4FWKA7", "Reuniones Online Consent - 2")</f>
        <v>Reuniones Online Consent - 2</v>
      </c>
      <c r="C18489" s="3" t="str">
        <f>HYPERLINK("https://otsuka-europe-crm.veevavault.com/ui/#object/sent_email__v/VBLZ025E82HS8X5", "SE-000290313")</f>
        <v>SE-000290313</v>
      </c>
      <c r="D18489" s="1">
        <v>45953.925266203703</v>
      </c>
      <c r="E18489" s="2">
        <v>1</v>
      </c>
      <c r="F18489" s="2">
        <v>1</v>
      </c>
      <c r="G18489" s="2">
        <v>1</v>
      </c>
      <c r="H18489" s="1">
        <v>45953.925266203703</v>
      </c>
      <c r="I18489" s="2">
        <v>1</v>
      </c>
      <c r="J18489" s="1">
        <v>45953.44027777778</v>
      </c>
    </row>
    <row r="18490" spans="1:10" x14ac:dyDescent="0.2">
      <c r="A18490" s="4" t="s">
        <v>1</v>
      </c>
      <c r="B18490" s="3" t="str">
        <f>HYPERLINK("https://otsuka-europe-crm.veevavault.com/ui/#object/approved_document__v/V5OZ04ASG4FWKA7", "Reuniones Online Consent - 2")</f>
        <v>Reuniones Online Consent - 2</v>
      </c>
      <c r="C18490" s="3" t="str">
        <f>HYPERLINK("https://otsuka-europe-crm.veevavault.com/ui/#object/sent_email__v/VBLZ025E82HSBP5", "SE-000290314")</f>
        <v>SE-000290314</v>
      </c>
      <c r="D18490" s="1">
        <v>45953.48636574074</v>
      </c>
      <c r="E18490" s="2">
        <v>1</v>
      </c>
      <c r="F18490" s="2">
        <v>1</v>
      </c>
      <c r="G18490" s="2">
        <v>1</v>
      </c>
      <c r="H18490" s="1">
        <v>45953.486400462964</v>
      </c>
      <c r="I18490" s="2">
        <v>1</v>
      </c>
      <c r="J18490" s="1">
        <v>45953.467916666668</v>
      </c>
    </row>
    <row r="18491" spans="1:10" x14ac:dyDescent="0.2">
      <c r="A18491" s="4" t="s">
        <v>1</v>
      </c>
      <c r="B18491" s="3" t="str">
        <f>HYPERLINK("https://otsuka-europe-crm.veevavault.com/ui/#object/approved_document__v/V5OZ04ASG4FWKA7", "Reuniones Online Consent - 2")</f>
        <v>Reuniones Online Consent - 2</v>
      </c>
      <c r="C18491" s="3" t="str">
        <f>HYPERLINK("https://otsuka-europe-crm.veevavault.com/ui/#object/sent_email__v/VBLZ025E82HSD35", "SE-000290317")</f>
        <v>SE-000290317</v>
      </c>
      <c r="D18491" s="1" t="s">
        <v>0</v>
      </c>
      <c r="E18491" s="2">
        <v>0</v>
      </c>
      <c r="F18491" s="2">
        <v>0</v>
      </c>
      <c r="G18491" s="2">
        <v>0</v>
      </c>
      <c r="H18491" s="1" t="s">
        <v>0</v>
      </c>
      <c r="I18491" s="2">
        <v>0</v>
      </c>
      <c r="J18491" s="1">
        <v>45953.481365740743</v>
      </c>
    </row>
    <row r="18492" spans="1:10" x14ac:dyDescent="0.2">
      <c r="A18492" s="4" t="s">
        <v>1</v>
      </c>
      <c r="B18492" s="3" t="str">
        <f>HYPERLINK("https://otsuka-europe-crm.veevavault.com/ui/#object/approved_document__v/V5OZ04ASG4FWKA7", "Reuniones Online Consent - 2")</f>
        <v>Reuniones Online Consent - 2</v>
      </c>
      <c r="C18492" s="3" t="str">
        <f>HYPERLINK("https://otsuka-europe-crm.veevavault.com/ui/#object/sent_email__v/VBL000000001926", "SE-001378934")</f>
        <v>SE-001378934</v>
      </c>
      <c r="D18492" s="1">
        <v>45958.603368055556</v>
      </c>
      <c r="E18492" s="2">
        <v>1</v>
      </c>
      <c r="F18492" s="2">
        <v>1</v>
      </c>
      <c r="G18492" s="2">
        <v>1</v>
      </c>
      <c r="H18492" s="1">
        <v>45958.603368055556</v>
      </c>
      <c r="I18492" s="2">
        <v>1</v>
      </c>
      <c r="J18492" s="1">
        <v>45958.54310185185</v>
      </c>
    </row>
    <row r="18493" spans="1:10" x14ac:dyDescent="0.2">
      <c r="A18493" s="4" t="s">
        <v>1</v>
      </c>
      <c r="B18493" s="3" t="str">
        <f>HYPERLINK("https://otsuka-europe-crm.veevavault.com/ui/#object/approved_document__v/V5OZ04ASG4FWKA7", "Reuniones Online Consent - 2")</f>
        <v>Reuniones Online Consent - 2</v>
      </c>
      <c r="C18493" s="3" t="str">
        <f>HYPERLINK("https://otsuka-europe-crm.veevavault.com/ui/#object/sent_email__v/VBL000000003595", "SE-001379790")</f>
        <v>SE-001379790</v>
      </c>
      <c r="D18493" s="1">
        <v>45960.665868055556</v>
      </c>
      <c r="E18493" s="2">
        <v>1</v>
      </c>
      <c r="F18493" s="2">
        <v>1</v>
      </c>
      <c r="G18493" s="2">
        <v>1</v>
      </c>
      <c r="H18493" s="1">
        <v>45960.665914351855</v>
      </c>
      <c r="I18493" s="2">
        <v>1</v>
      </c>
      <c r="J18493" s="1">
        <v>45960.636377314811</v>
      </c>
    </row>
    <row r="18494" spans="1:10" x14ac:dyDescent="0.2">
      <c r="A18494" s="4" t="s">
        <v>1</v>
      </c>
      <c r="B18494" s="3" t="str">
        <f>HYPERLINK("https://otsuka-europe-crm.veevavault.com/ui/#object/approved_document__v/V5OZ04ASG4FWKA7", "Reuniones Online Consent - 2")</f>
        <v>Reuniones Online Consent - 2</v>
      </c>
      <c r="C18494" s="3" t="str">
        <f>HYPERLINK("https://otsuka-europe-crm.veevavault.com/ui/#object/sent_email__v/VBL000000004103", "SE-001380180")</f>
        <v>SE-001380180</v>
      </c>
      <c r="D18494" s="1">
        <v>45961.551423611112</v>
      </c>
      <c r="E18494" s="2">
        <v>1</v>
      </c>
      <c r="F18494" s="2">
        <v>1</v>
      </c>
      <c r="G18494" s="2">
        <v>1</v>
      </c>
      <c r="H18494" s="1">
        <v>45961.551423611112</v>
      </c>
      <c r="I18494" s="2">
        <v>1</v>
      </c>
      <c r="J18494" s="1">
        <v>45961.550555555557</v>
      </c>
    </row>
    <row r="18495" spans="1:10" x14ac:dyDescent="0.2">
      <c r="A18495" s="4" t="s">
        <v>1</v>
      </c>
      <c r="B18495" s="3" t="str">
        <f>HYPERLINK("https://otsuka-europe-crm.veevavault.com/ui/#object/approved_document__v/V5OZ04ASG4FWKA7", "Reuniones Online Consent - 2")</f>
        <v>Reuniones Online Consent - 2</v>
      </c>
      <c r="C18495" s="3" t="str">
        <f>HYPERLINK("https://otsuka-europe-crm.veevavault.com/ui/#object/sent_email__v/VBL000000004230", "SE-001380440")</f>
        <v>SE-001380440</v>
      </c>
      <c r="D18495" s="1">
        <v>45993.327835648146</v>
      </c>
      <c r="E18495" s="2">
        <v>1</v>
      </c>
      <c r="F18495" s="2">
        <v>3</v>
      </c>
      <c r="G18495" s="2">
        <v>1</v>
      </c>
      <c r="H18495" s="1">
        <v>45974.357199074075</v>
      </c>
      <c r="I18495" s="2">
        <v>2</v>
      </c>
      <c r="J18495" s="1">
        <v>45964.451516203706</v>
      </c>
    </row>
    <row r="18496" spans="1:10" x14ac:dyDescent="0.2">
      <c r="A18496" s="4" t="s">
        <v>1</v>
      </c>
      <c r="B18496" s="3" t="str">
        <f>HYPERLINK("https://otsuka-europe-crm.veevavault.com/ui/#object/approved_document__v/V5OZ04ASG4FWKA7", "Reuniones Online Consent - 2")</f>
        <v>Reuniones Online Consent - 2</v>
      </c>
      <c r="C18496" s="3" t="str">
        <f>HYPERLINK("https://otsuka-europe-crm.veevavault.com/ui/#object/sent_email__v/VBL000000005604", "SE-001380461")</f>
        <v>SE-001380461</v>
      </c>
      <c r="D18496" s="1">
        <v>45965.332476851851</v>
      </c>
      <c r="E18496" s="2">
        <v>1</v>
      </c>
      <c r="F18496" s="2">
        <v>1</v>
      </c>
      <c r="G18496" s="2">
        <v>1</v>
      </c>
      <c r="H18496" s="1">
        <v>45965.332476851851</v>
      </c>
      <c r="I18496" s="2">
        <v>1</v>
      </c>
      <c r="J18496" s="1">
        <v>45964.500115740739</v>
      </c>
    </row>
    <row r="18497" spans="1:10" x14ac:dyDescent="0.2">
      <c r="A18497" s="4" t="s">
        <v>1</v>
      </c>
      <c r="B18497" s="3" t="str">
        <f>HYPERLINK("https://otsuka-europe-crm.veevavault.com/ui/#object/approved_document__v/V5OZ04ASG4FWKA7", "Reuniones Online Consent - 2")</f>
        <v>Reuniones Online Consent - 2</v>
      </c>
      <c r="C18497" s="3" t="str">
        <f>HYPERLINK("https://otsuka-europe-crm.veevavault.com/ui/#object/sent_email__v/VBL000000008595", "SE-001381875")</f>
        <v>SE-001381875</v>
      </c>
      <c r="D18497" s="1">
        <v>45968.494016203702</v>
      </c>
      <c r="E18497" s="2">
        <v>1</v>
      </c>
      <c r="F18497" s="2">
        <v>1</v>
      </c>
      <c r="G18497" s="2">
        <v>1</v>
      </c>
      <c r="H18497" s="1">
        <v>45968.505833333336</v>
      </c>
      <c r="I18497" s="2">
        <v>1</v>
      </c>
      <c r="J18497" s="1">
        <v>45968.485844907409</v>
      </c>
    </row>
    <row r="18498" spans="1:10" x14ac:dyDescent="0.2">
      <c r="A18498" s="4" t="s">
        <v>1</v>
      </c>
      <c r="B18498" s="3" t="str">
        <f>HYPERLINK("https://otsuka-europe-crm.veevavault.com/ui/#object/approved_document__v/V5OZ04ASG4FWKA7", "Reuniones Online Consent - 2")</f>
        <v>Reuniones Online Consent - 2</v>
      </c>
      <c r="C18498" s="3" t="str">
        <f>HYPERLINK("https://otsuka-europe-crm.veevavault.com/ui/#object/sent_email__v/VBL000000008600", "SE-001381880")</f>
        <v>SE-001381880</v>
      </c>
      <c r="D18498" s="1">
        <v>45968.816122685188</v>
      </c>
      <c r="E18498" s="2">
        <v>1</v>
      </c>
      <c r="F18498" s="2">
        <v>1</v>
      </c>
      <c r="G18498" s="2">
        <v>1</v>
      </c>
      <c r="H18498" s="1">
        <v>45968.816250000003</v>
      </c>
      <c r="I18498" s="2">
        <v>2</v>
      </c>
      <c r="J18498" s="1">
        <v>45968.486689814818</v>
      </c>
    </row>
    <row r="18499" spans="1:10" x14ac:dyDescent="0.2">
      <c r="A18499" s="4" t="s">
        <v>1</v>
      </c>
      <c r="B18499" s="3" t="str">
        <f>HYPERLINK("https://otsuka-europe-crm.veevavault.com/ui/#object/approved_document__v/V5OZ04ASG4FWKA7", "Reuniones Online Consent - 2")</f>
        <v>Reuniones Online Consent - 2</v>
      </c>
      <c r="C18499" s="3" t="str">
        <f>HYPERLINK("https://otsuka-europe-crm.veevavault.com/ui/#object/sent_email__v/VBL00000000E607", "SE-001384233")</f>
        <v>SE-001384233</v>
      </c>
      <c r="D18499" s="1">
        <v>45979.392280092594</v>
      </c>
      <c r="E18499" s="2">
        <v>1</v>
      </c>
      <c r="F18499" s="2">
        <v>5</v>
      </c>
      <c r="G18499" s="2">
        <v>1</v>
      </c>
      <c r="H18499" s="1">
        <v>45979.392557870371</v>
      </c>
      <c r="I18499" s="2">
        <v>13</v>
      </c>
      <c r="J18499" s="1">
        <v>45971.517256944448</v>
      </c>
    </row>
    <row r="18500" spans="1:10" x14ac:dyDescent="0.2">
      <c r="A18500" s="4" t="s">
        <v>1</v>
      </c>
      <c r="B18500" s="3" t="str">
        <f>HYPERLINK("https://otsuka-europe-crm.veevavault.com/ui/#object/approved_document__v/V5OZ04ASG4FWKA7", "Reuniones Online Consent - 2")</f>
        <v>Reuniones Online Consent - 2</v>
      </c>
      <c r="C18500" s="3" t="str">
        <f>HYPERLINK("https://otsuka-europe-crm.veevavault.com/ui/#object/sent_email__v/VBL00000000F227", "SE-001386626")</f>
        <v>SE-001386626</v>
      </c>
      <c r="D18500" s="1">
        <v>45971.787870370368</v>
      </c>
      <c r="E18500" s="2">
        <v>1</v>
      </c>
      <c r="F18500" s="2">
        <v>3</v>
      </c>
      <c r="G18500" s="2">
        <v>1</v>
      </c>
      <c r="H18500" s="1">
        <v>45971.787766203706</v>
      </c>
      <c r="I18500" s="2">
        <v>1</v>
      </c>
      <c r="J18500" s="1">
        <v>45971.702268518522</v>
      </c>
    </row>
    <row r="18501" spans="1:10" x14ac:dyDescent="0.2">
      <c r="A18501" s="4" t="s">
        <v>1</v>
      </c>
      <c r="B18501" s="3" t="str">
        <f>HYPERLINK("https://otsuka-europe-crm.veevavault.com/ui/#object/approved_document__v/V5OZ04ASG4FWKA7", "Reuniones Online Consent - 2")</f>
        <v>Reuniones Online Consent - 2</v>
      </c>
      <c r="C18501" s="3" t="str">
        <f>HYPERLINK("https://otsuka-europe-crm.veevavault.com/ui/#object/sent_email__v/VBL00000000J955", "SE-001389497")</f>
        <v>SE-001389497</v>
      </c>
      <c r="D18501" s="1">
        <v>45977.511608796296</v>
      </c>
      <c r="E18501" s="2">
        <v>1</v>
      </c>
      <c r="F18501" s="2">
        <v>2</v>
      </c>
      <c r="G18501" s="2">
        <v>1</v>
      </c>
      <c r="H18501" s="1">
        <v>45973.484872685185</v>
      </c>
      <c r="I18501" s="2">
        <v>1</v>
      </c>
      <c r="J18501" s="1">
        <v>45973.442731481482</v>
      </c>
    </row>
    <row r="18502" spans="1:10" x14ac:dyDescent="0.2">
      <c r="A18502" s="4" t="s">
        <v>1</v>
      </c>
      <c r="B18502" s="3" t="str">
        <f>HYPERLINK("https://otsuka-europe-crm.veevavault.com/ui/#object/approved_document__v/V5OZ04ASG4FWKA7", "Reuniones Online Consent - 2")</f>
        <v>Reuniones Online Consent - 2</v>
      </c>
      <c r="C18502" s="3" t="str">
        <f>HYPERLINK("https://otsuka-europe-crm.veevavault.com/ui/#object/sent_email__v/VBL00000000J966", "SE-001389508")</f>
        <v>SE-001389508</v>
      </c>
      <c r="D18502" s="1">
        <v>45989.838854166665</v>
      </c>
      <c r="E18502" s="2">
        <v>1</v>
      </c>
      <c r="F18502" s="2">
        <v>1</v>
      </c>
      <c r="G18502" s="2">
        <v>0</v>
      </c>
      <c r="H18502" s="1" t="s">
        <v>0</v>
      </c>
      <c r="I18502" s="2">
        <v>0</v>
      </c>
      <c r="J18502" s="1">
        <v>45973.487581018519</v>
      </c>
    </row>
    <row r="18503" spans="1:10" x14ac:dyDescent="0.2">
      <c r="A18503" s="4" t="s">
        <v>1</v>
      </c>
      <c r="B18503" s="3" t="str">
        <f>HYPERLINK("https://otsuka-europe-crm.veevavault.com/ui/#object/approved_document__v/V5OZ04ASG4FWKA7", "Reuniones Online Consent - 2")</f>
        <v>Reuniones Online Consent - 2</v>
      </c>
      <c r="C18503" s="3" t="str">
        <f>HYPERLINK("https://otsuka-europe-crm.veevavault.com/ui/#object/sent_email__v/VBL00000000O295", "SE-001390807")</f>
        <v>SE-001390807</v>
      </c>
      <c r="D18503" s="1">
        <v>45979.686203703706</v>
      </c>
      <c r="E18503" s="2">
        <v>1</v>
      </c>
      <c r="F18503" s="2">
        <v>1</v>
      </c>
      <c r="G18503" s="2">
        <v>0</v>
      </c>
      <c r="H18503" s="1" t="s">
        <v>0</v>
      </c>
      <c r="I18503" s="2">
        <v>0</v>
      </c>
      <c r="J18503" s="1">
        <v>45979.427152777775</v>
      </c>
    </row>
    <row r="18504" spans="1:10" x14ac:dyDescent="0.2">
      <c r="A18504" s="4" t="s">
        <v>1</v>
      </c>
      <c r="B18504" s="3" t="str">
        <f>HYPERLINK("https://otsuka-europe-crm.veevavault.com/ui/#object/approved_document__v/V5OZ04ASG4FWKA7", "Reuniones Online Consent - 2")</f>
        <v>Reuniones Online Consent - 2</v>
      </c>
      <c r="C18504" s="3" t="str">
        <f>HYPERLINK("https://otsuka-europe-crm.veevavault.com/ui/#object/sent_email__v/VBL00000000P082", "SE-001391298")</f>
        <v>SE-001391298</v>
      </c>
      <c r="D18504" s="1" t="s">
        <v>0</v>
      </c>
      <c r="E18504" s="2">
        <v>0</v>
      </c>
      <c r="F18504" s="2">
        <v>0</v>
      </c>
      <c r="G18504" s="2">
        <v>0</v>
      </c>
      <c r="H18504" s="1" t="s">
        <v>0</v>
      </c>
      <c r="I18504" s="2">
        <v>0</v>
      </c>
      <c r="J18504" s="1">
        <v>45980.642407407409</v>
      </c>
    </row>
    <row r="18505" spans="1:10" x14ac:dyDescent="0.2">
      <c r="A18505" s="4" t="s">
        <v>1</v>
      </c>
      <c r="B18505" s="3" t="str">
        <f>HYPERLINK("https://otsuka-europe-crm.veevavault.com/ui/#object/approved_document__v/V5OZ04ASG4FWKA7", "Reuniones Online Consent - 2")</f>
        <v>Reuniones Online Consent - 2</v>
      </c>
      <c r="C18505" s="3" t="str">
        <f>HYPERLINK("https://otsuka-europe-crm.veevavault.com/ui/#object/sent_email__v/VBL00000000P087", "SE-001391303")</f>
        <v>SE-001391303</v>
      </c>
      <c r="D18505" s="1" t="s">
        <v>0</v>
      </c>
      <c r="E18505" s="2">
        <v>0</v>
      </c>
      <c r="F18505" s="2">
        <v>0</v>
      </c>
      <c r="G18505" s="2">
        <v>0</v>
      </c>
      <c r="H18505" s="1" t="s">
        <v>0</v>
      </c>
      <c r="I18505" s="2">
        <v>0</v>
      </c>
      <c r="J18505" s="1">
        <v>45980.651307870372</v>
      </c>
    </row>
    <row r="18506" spans="1:10" x14ac:dyDescent="0.2">
      <c r="A18506" s="4" t="s">
        <v>1</v>
      </c>
      <c r="B18506" s="3" t="str">
        <f>HYPERLINK("https://otsuka-europe-crm.veevavault.com/ui/#object/approved_document__v/V5OZ04ASG4FWKA7", "Reuniones Online Consent - 2")</f>
        <v>Reuniones Online Consent - 2</v>
      </c>
      <c r="C18506" s="3" t="str">
        <f>HYPERLINK("https://otsuka-europe-crm.veevavault.com/ui/#object/sent_email__v/VBL00000000Q205", "SE-001391393")</f>
        <v>SE-001391393</v>
      </c>
      <c r="D18506" s="1" t="s">
        <v>0</v>
      </c>
      <c r="E18506" s="2">
        <v>0</v>
      </c>
      <c r="F18506" s="2">
        <v>0</v>
      </c>
      <c r="G18506" s="2">
        <v>0</v>
      </c>
      <c r="H18506" s="1" t="s">
        <v>0</v>
      </c>
      <c r="I18506" s="2">
        <v>0</v>
      </c>
      <c r="J18506" s="1">
        <v>45981.348032407404</v>
      </c>
    </row>
    <row r="18507" spans="1:10" x14ac:dyDescent="0.2">
      <c r="A18507" s="4" t="s">
        <v>1</v>
      </c>
      <c r="B18507" s="3" t="str">
        <f>HYPERLINK("https://otsuka-europe-crm.veevavault.com/ui/#object/approved_document__v/V5OZ04ASG4FWKA7", "Reuniones Online Consent - 2")</f>
        <v>Reuniones Online Consent - 2</v>
      </c>
      <c r="C18507" s="3" t="str">
        <f>HYPERLINK("https://otsuka-europe-crm.veevavault.com/ui/#object/sent_email__v/VBL00000000Q207", "SE-001391396")</f>
        <v>SE-001391396</v>
      </c>
      <c r="D18507" s="1">
        <v>46024.535590277781</v>
      </c>
      <c r="E18507" s="2">
        <v>1</v>
      </c>
      <c r="F18507" s="2">
        <v>3</v>
      </c>
      <c r="G18507" s="2">
        <v>1</v>
      </c>
      <c r="H18507" s="1">
        <v>45981.384375000001</v>
      </c>
      <c r="I18507" s="2">
        <v>2</v>
      </c>
      <c r="J18507" s="1">
        <v>45981.350277777776</v>
      </c>
    </row>
    <row r="18508" spans="1:10" x14ac:dyDescent="0.2">
      <c r="A18508" s="4" t="s">
        <v>1</v>
      </c>
      <c r="B18508" s="3" t="str">
        <f>HYPERLINK("https://otsuka-europe-crm.veevavault.com/ui/#object/approved_document__v/V5OZ04ASG4FWKA7", "Reuniones Online Consent - 2")</f>
        <v>Reuniones Online Consent - 2</v>
      </c>
      <c r="C18508" s="3" t="str">
        <f>HYPERLINK("https://otsuka-europe-crm.veevavault.com/ui/#object/sent_email__v/VBL00000000P122", "SE-001391433")</f>
        <v>SE-001391433</v>
      </c>
      <c r="D18508" s="1">
        <v>45988.44253472222</v>
      </c>
      <c r="E18508" s="2">
        <v>1</v>
      </c>
      <c r="F18508" s="2">
        <v>2</v>
      </c>
      <c r="G18508" s="2">
        <v>0</v>
      </c>
      <c r="H18508" s="1" t="s">
        <v>0</v>
      </c>
      <c r="I18508" s="2">
        <v>0</v>
      </c>
      <c r="J18508" s="1">
        <v>45981.673761574071</v>
      </c>
    </row>
    <row r="18509" spans="1:10" x14ac:dyDescent="0.2">
      <c r="A18509" s="4" t="s">
        <v>1</v>
      </c>
      <c r="B18509" s="3" t="str">
        <f>HYPERLINK("https://otsuka-europe-crm.veevavault.com/ui/#object/approved_document__v/V5OZ04ASG4FWKA7", "Reuniones Online Consent - 2")</f>
        <v>Reuniones Online Consent - 2</v>
      </c>
      <c r="C18509" s="3" t="str">
        <f>HYPERLINK("https://otsuka-europe-crm.veevavault.com/ui/#object/sent_email__v/VBL00000000Q250", "SE-001391477")</f>
        <v>SE-001391477</v>
      </c>
      <c r="D18509" s="1">
        <v>45982.44358796296</v>
      </c>
      <c r="E18509" s="2">
        <v>1</v>
      </c>
      <c r="F18509" s="2">
        <v>2</v>
      </c>
      <c r="G18509" s="2">
        <v>1</v>
      </c>
      <c r="H18509" s="1">
        <v>45982.443715277775</v>
      </c>
      <c r="I18509" s="2">
        <v>1</v>
      </c>
      <c r="J18509" s="1">
        <v>45982.32539351852</v>
      </c>
    </row>
    <row r="18510" spans="1:10" x14ac:dyDescent="0.2">
      <c r="A18510" s="4" t="s">
        <v>1</v>
      </c>
      <c r="B18510" s="3" t="str">
        <f>HYPERLINK("https://otsuka-europe-crm.veevavault.com/ui/#object/approved_document__v/V5OZ04ASG4FWKA7", "Reuniones Online Consent - 2")</f>
        <v>Reuniones Online Consent - 2</v>
      </c>
      <c r="C18510" s="3" t="str">
        <f>HYPERLINK("https://otsuka-europe-crm.veevavault.com/ui/#object/sent_email__v/VBL00000000S016", "SE-001391581")</f>
        <v>SE-001391581</v>
      </c>
      <c r="D18510" s="1">
        <v>45984.794930555552</v>
      </c>
      <c r="E18510" s="2">
        <v>1</v>
      </c>
      <c r="F18510" s="2">
        <v>2</v>
      </c>
      <c r="G18510" s="2">
        <v>1</v>
      </c>
      <c r="H18510" s="1">
        <v>45984.794895833336</v>
      </c>
      <c r="I18510" s="2">
        <v>2</v>
      </c>
      <c r="J18510" s="1">
        <v>45984.789224537039</v>
      </c>
    </row>
    <row r="18511" spans="1:10" x14ac:dyDescent="0.2">
      <c r="A18511" s="4" t="s">
        <v>1</v>
      </c>
      <c r="B18511" s="3" t="str">
        <f>HYPERLINK("https://otsuka-europe-crm.veevavault.com/ui/#object/approved_document__v/V5OZ04ASG4FWKA7", "Reuniones Online Consent - 2")</f>
        <v>Reuniones Online Consent - 2</v>
      </c>
      <c r="C18511" s="3" t="str">
        <f>HYPERLINK("https://otsuka-europe-crm.veevavault.com/ui/#object/sent_email__v/VBL00000000S136", "SE-001391931")</f>
        <v>SE-001391931</v>
      </c>
      <c r="D18511" s="1">
        <v>45988.039467592593</v>
      </c>
      <c r="E18511" s="2">
        <v>1</v>
      </c>
      <c r="F18511" s="2">
        <v>2</v>
      </c>
      <c r="G18511" s="2">
        <v>1</v>
      </c>
      <c r="H18511" s="1">
        <v>45988.039583333331</v>
      </c>
      <c r="I18511" s="2">
        <v>2</v>
      </c>
      <c r="J18511" s="1">
        <v>45987.429861111108</v>
      </c>
    </row>
    <row r="18512" spans="1:10" x14ac:dyDescent="0.2">
      <c r="A18512" s="4" t="s">
        <v>1</v>
      </c>
      <c r="B18512" s="3" t="str">
        <f>HYPERLINK("https://otsuka-europe-crm.veevavault.com/ui/#object/approved_document__v/V5OZ04ASG4FWKA7", "Reuniones Online Consent - 2")</f>
        <v>Reuniones Online Consent - 2</v>
      </c>
      <c r="C18512" s="3" t="str">
        <f>HYPERLINK("https://otsuka-europe-crm.veevavault.com/ui/#object/sent_email__v/VBL00000000S193", "SE-001391996")</f>
        <v>SE-001391996</v>
      </c>
      <c r="D18512" s="1">
        <v>45991.762638888889</v>
      </c>
      <c r="E18512" s="2">
        <v>1</v>
      </c>
      <c r="F18512" s="2">
        <v>2</v>
      </c>
      <c r="G18512" s="2">
        <v>0</v>
      </c>
      <c r="H18512" s="1" t="s">
        <v>0</v>
      </c>
      <c r="I18512" s="2">
        <v>0</v>
      </c>
      <c r="J18512" s="1">
        <v>45988.432662037034</v>
      </c>
    </row>
    <row r="18513" spans="1:10" x14ac:dyDescent="0.2">
      <c r="A18513" s="4" t="s">
        <v>1</v>
      </c>
      <c r="B18513" s="3" t="str">
        <f>HYPERLINK("https://otsuka-europe-crm.veevavault.com/ui/#object/approved_document__v/V5OZ04ASG4FWKA7", "Reuniones Online Consent - 2")</f>
        <v>Reuniones Online Consent - 2</v>
      </c>
      <c r="C18513" s="3" t="str">
        <f>HYPERLINK("https://otsuka-europe-crm.veevavault.com/ui/#object/sent_email__v/VBL00000000S211", "SE-001392030")</f>
        <v>SE-001392030</v>
      </c>
      <c r="D18513" s="1">
        <v>45996.782407407409</v>
      </c>
      <c r="E18513" s="2">
        <v>1</v>
      </c>
      <c r="F18513" s="2">
        <v>2</v>
      </c>
      <c r="G18513" s="2">
        <v>0</v>
      </c>
      <c r="H18513" s="1" t="s">
        <v>0</v>
      </c>
      <c r="I18513" s="2">
        <v>0</v>
      </c>
      <c r="J18513" s="1">
        <v>45988.802523148152</v>
      </c>
    </row>
    <row r="18514" spans="1:10" x14ac:dyDescent="0.2">
      <c r="A18514" s="4" t="s">
        <v>1</v>
      </c>
      <c r="B18514" s="3" t="str">
        <f>HYPERLINK("https://otsuka-europe-crm.veevavault.com/ui/#object/approved_document__v/V5OZ04ASG4FWKA7", "Reuniones Online Consent - 2")</f>
        <v>Reuniones Online Consent - 2</v>
      </c>
      <c r="C18514" s="3" t="str">
        <f>HYPERLINK("https://otsuka-europe-crm.veevavault.com/ui/#object/sent_email__v/VBL00000000U210", "SE-001394620")</f>
        <v>SE-001394620</v>
      </c>
      <c r="D18514" s="1" t="s">
        <v>0</v>
      </c>
      <c r="E18514" s="2">
        <v>0</v>
      </c>
      <c r="F18514" s="2">
        <v>0</v>
      </c>
      <c r="G18514" s="2">
        <v>0</v>
      </c>
      <c r="H18514" s="1" t="s">
        <v>0</v>
      </c>
      <c r="I18514" s="2">
        <v>0</v>
      </c>
      <c r="J18514" s="1">
        <v>45993.535798611112</v>
      </c>
    </row>
    <row r="18515" spans="1:10" x14ac:dyDescent="0.2">
      <c r="A18515" s="4" t="s">
        <v>1</v>
      </c>
      <c r="B18515" s="3" t="str">
        <f>HYPERLINK("https://otsuka-europe-crm.veevavault.com/ui/#object/approved_document__v/V5OZ04ASG4FWKA7", "Reuniones Online Consent - 2")</f>
        <v>Reuniones Online Consent - 2</v>
      </c>
      <c r="C18515" s="3" t="str">
        <f>HYPERLINK("https://otsuka-europe-crm.veevavault.com/ui/#object/sent_email__v/VBL00000000V082", "SE-001394861")</f>
        <v>SE-001394861</v>
      </c>
      <c r="D18515" s="1" t="s">
        <v>0</v>
      </c>
      <c r="E18515" s="2">
        <v>0</v>
      </c>
      <c r="F18515" s="2">
        <v>0</v>
      </c>
      <c r="G18515" s="2">
        <v>0</v>
      </c>
      <c r="H18515" s="1" t="s">
        <v>0</v>
      </c>
      <c r="I18515" s="2">
        <v>0</v>
      </c>
      <c r="J18515" s="1">
        <v>45994.617488425924</v>
      </c>
    </row>
    <row r="18516" spans="1:10" x14ac:dyDescent="0.2">
      <c r="A18516" s="4" t="s">
        <v>1</v>
      </c>
      <c r="B18516" s="3" t="str">
        <f>HYPERLINK("https://otsuka-europe-crm.veevavault.com/ui/#object/approved_document__v/V5OZ04ASG4FWKA7", "Reuniones Online Consent - 2")</f>
        <v>Reuniones Online Consent - 2</v>
      </c>
      <c r="C18516" s="3" t="str">
        <f>HYPERLINK("https://otsuka-europe-crm.veevavault.com/ui/#object/sent_email__v/VBL00000000X110", "SE-001395601")</f>
        <v>SE-001395601</v>
      </c>
      <c r="D18516" s="1">
        <v>45996.520578703705</v>
      </c>
      <c r="E18516" s="2">
        <v>1</v>
      </c>
      <c r="F18516" s="2">
        <v>1</v>
      </c>
      <c r="G18516" s="2">
        <v>1</v>
      </c>
      <c r="H18516" s="1">
        <v>45996.520578703705</v>
      </c>
      <c r="I18516" s="2">
        <v>1</v>
      </c>
      <c r="J18516" s="1">
        <v>45996.436076388891</v>
      </c>
    </row>
    <row r="18517" spans="1:10" x14ac:dyDescent="0.2">
      <c r="A18517" s="4" t="s">
        <v>1</v>
      </c>
      <c r="B18517" s="3" t="str">
        <f>HYPERLINK("https://otsuka-europe-crm.veevavault.com/ui/#object/approved_document__v/V5OZ04ASG4FWKA7", "Reuniones Online Consent - 2")</f>
        <v>Reuniones Online Consent - 2</v>
      </c>
      <c r="C18517" s="3" t="str">
        <f>HYPERLINK("https://otsuka-europe-crm.veevavault.com/ui/#object/sent_email__v/VBL00000000X285", "SE-001395960")</f>
        <v>SE-001395960</v>
      </c>
      <c r="D18517" s="1">
        <v>46024.030023148145</v>
      </c>
      <c r="E18517" s="2">
        <v>1</v>
      </c>
      <c r="F18517" s="2">
        <v>4</v>
      </c>
      <c r="G18517" s="2">
        <v>1</v>
      </c>
      <c r="H18517" s="1">
        <v>46000.630937499998</v>
      </c>
      <c r="I18517" s="2">
        <v>1</v>
      </c>
      <c r="J18517" s="1">
        <v>46000.50141203704</v>
      </c>
    </row>
    <row r="18518" spans="1:10" x14ac:dyDescent="0.2">
      <c r="A18518" s="4" t="s">
        <v>1</v>
      </c>
      <c r="B18518" s="3" t="str">
        <f>HYPERLINK("https://otsuka-europe-crm.veevavault.com/ui/#object/approved_document__v/V5OZ04ASG4FWKA7", "Reuniones Online Consent - 2")</f>
        <v>Reuniones Online Consent - 2</v>
      </c>
      <c r="C18518" s="3" t="str">
        <f>HYPERLINK("https://otsuka-europe-crm.veevavault.com/ui/#object/sent_email__v/VBL00000000Y029", "SE-001396571")</f>
        <v>SE-001396571</v>
      </c>
      <c r="D18518" s="1" t="s">
        <v>0</v>
      </c>
      <c r="E18518" s="2">
        <v>0</v>
      </c>
      <c r="F18518" s="2">
        <v>0</v>
      </c>
      <c r="G18518" s="2">
        <v>0</v>
      </c>
      <c r="H18518" s="1" t="s">
        <v>0</v>
      </c>
      <c r="I18518" s="2">
        <v>0</v>
      </c>
      <c r="J18518" s="1">
        <v>46003.397581018522</v>
      </c>
    </row>
    <row r="18519" spans="1:10" x14ac:dyDescent="0.2">
      <c r="A18519" s="4" t="s">
        <v>1</v>
      </c>
      <c r="B18519" s="3" t="str">
        <f>HYPERLINK("https://otsuka-europe-crm.veevavault.com/ui/#object/approved_document__v/V5OZ04ASG4FWKA7", "Reuniones Online Consent - 2")</f>
        <v>Reuniones Online Consent - 2</v>
      </c>
      <c r="C18519" s="3" t="str">
        <f>HYPERLINK("https://otsuka-europe-crm.veevavault.com/ui/#object/sent_email__v/VBL000000010002", "SE-001396600")</f>
        <v>SE-001396600</v>
      </c>
      <c r="D18519" s="1">
        <v>46006.340694444443</v>
      </c>
      <c r="E18519" s="2">
        <v>1</v>
      </c>
      <c r="F18519" s="2">
        <v>4</v>
      </c>
      <c r="G18519" s="2">
        <v>1</v>
      </c>
      <c r="H18519" s="1">
        <v>46006.341516203705</v>
      </c>
      <c r="I18519" s="2">
        <v>2</v>
      </c>
      <c r="J18519" s="1">
        <v>46004.483217592591</v>
      </c>
    </row>
    <row r="18520" spans="1:10" x14ac:dyDescent="0.2">
      <c r="A18520" s="4" t="s">
        <v>1</v>
      </c>
      <c r="B18520" s="3" t="str">
        <f>HYPERLINK("https://otsuka-europe-crm.veevavault.com/ui/#object/approved_document__v/V5OZ04ASG4FWKA7", "Reuniones Online Consent - 2")</f>
        <v>Reuniones Online Consent - 2</v>
      </c>
      <c r="C18520" s="3" t="str">
        <f>HYPERLINK("https://otsuka-europe-crm.veevavault.com/ui/#object/sent_email__v/VBL000000010005", "SE-001396603")</f>
        <v>SE-001396603</v>
      </c>
      <c r="D18520" s="1">
        <v>46004.50439814815</v>
      </c>
      <c r="E18520" s="2">
        <v>1</v>
      </c>
      <c r="F18520" s="2">
        <v>2</v>
      </c>
      <c r="G18520" s="2">
        <v>1</v>
      </c>
      <c r="H18520" s="1">
        <v>46004.504548611112</v>
      </c>
      <c r="I18520" s="2">
        <v>1</v>
      </c>
      <c r="J18520" s="1">
        <v>46004.486030092594</v>
      </c>
    </row>
    <row r="18521" spans="1:10" x14ac:dyDescent="0.2">
      <c r="A18521" s="4" t="s">
        <v>1</v>
      </c>
      <c r="B18521" s="3" t="str">
        <f>HYPERLINK("https://otsuka-europe-crm.veevavault.com/ui/#object/approved_document__v/V5OZ04ASG4FWKA7", "Reuniones Online Consent - 2")</f>
        <v>Reuniones Online Consent - 2</v>
      </c>
      <c r="C18521" s="3" t="str">
        <f>HYPERLINK("https://otsuka-europe-crm.veevavault.com/ui/#object/sent_email__v/VBL000000011003", "SE-001396605")</f>
        <v>SE-001396605</v>
      </c>
      <c r="D18521" s="1">
        <v>46005.591412037036</v>
      </c>
      <c r="E18521" s="2">
        <v>1</v>
      </c>
      <c r="F18521" s="2">
        <v>1</v>
      </c>
      <c r="G18521" s="2">
        <v>1</v>
      </c>
      <c r="H18521" s="1">
        <v>46006.29991898148</v>
      </c>
      <c r="I18521" s="2">
        <v>2</v>
      </c>
      <c r="J18521" s="1">
        <v>46004.48914351852</v>
      </c>
    </row>
    <row r="18522" spans="1:10" x14ac:dyDescent="0.2">
      <c r="A18522" s="4" t="s">
        <v>1</v>
      </c>
      <c r="B18522" s="3" t="str">
        <f>HYPERLINK("https://otsuka-europe-crm.veevavault.com/ui/#object/approved_document__v/V5OZ04ASG4FWKA7", "Reuniones Online Consent - 2")</f>
        <v>Reuniones Online Consent - 2</v>
      </c>
      <c r="C18522" s="3" t="str">
        <f>HYPERLINK("https://otsuka-europe-crm.veevavault.com/ui/#object/sent_email__v/VBL000000011005", "SE-001396607")</f>
        <v>SE-001396607</v>
      </c>
      <c r="D18522" s="1">
        <v>46004.530324074076</v>
      </c>
      <c r="E18522" s="2">
        <v>1</v>
      </c>
      <c r="F18522" s="2">
        <v>3</v>
      </c>
      <c r="G18522" s="2">
        <v>1</v>
      </c>
      <c r="H18522" s="1">
        <v>46004.530370370368</v>
      </c>
      <c r="I18522" s="2">
        <v>1</v>
      </c>
      <c r="J18522" s="1">
        <v>46004.492627314816</v>
      </c>
    </row>
    <row r="18523" spans="1:10" x14ac:dyDescent="0.2">
      <c r="A18523" s="4" t="s">
        <v>1</v>
      </c>
      <c r="B18523" s="3" t="str">
        <f>HYPERLINK("https://otsuka-europe-crm.veevavault.com/ui/#object/approved_document__v/V5OZ04ASG4FWKA7", "Reuniones Online Consent - 2")</f>
        <v>Reuniones Online Consent - 2</v>
      </c>
      <c r="C18523" s="3" t="str">
        <f>HYPERLINK("https://otsuka-europe-crm.veevavault.com/ui/#object/sent_email__v/VBL000000010014", "SE-001396622")</f>
        <v>SE-001396622</v>
      </c>
      <c r="D18523" s="1">
        <v>46008.396087962959</v>
      </c>
      <c r="E18523" s="2">
        <v>1</v>
      </c>
      <c r="F18523" s="2">
        <v>1</v>
      </c>
      <c r="G18523" s="2">
        <v>1</v>
      </c>
      <c r="H18523" s="1">
        <v>46008.396122685182</v>
      </c>
      <c r="I18523" s="2">
        <v>2</v>
      </c>
      <c r="J18523" s="1">
        <v>46006.300659722219</v>
      </c>
    </row>
    <row r="18524" spans="1:10" x14ac:dyDescent="0.2">
      <c r="A18524" s="4" t="s">
        <v>1</v>
      </c>
      <c r="B18524" s="3" t="str">
        <f>HYPERLINK("https://otsuka-europe-crm.veevavault.com/ui/#object/approved_document__v/V5OZ04ASG4FWKA7", "Reuniones Online Consent - 2")</f>
        <v>Reuniones Online Consent - 2</v>
      </c>
      <c r="C18524" s="3" t="str">
        <f>HYPERLINK("https://otsuka-europe-crm.veevavault.com/ui/#object/sent_email__v/VBL000000011013", "SE-001396625")</f>
        <v>SE-001396625</v>
      </c>
      <c r="D18524" s="1" t="s">
        <v>0</v>
      </c>
      <c r="E18524" s="2">
        <v>0</v>
      </c>
      <c r="F18524" s="2">
        <v>0</v>
      </c>
      <c r="G18524" s="2">
        <v>0</v>
      </c>
      <c r="H18524" s="1" t="s">
        <v>0</v>
      </c>
      <c r="I18524" s="2">
        <v>0</v>
      </c>
      <c r="J18524" s="1">
        <v>46006.301886574074</v>
      </c>
    </row>
    <row r="18525" spans="1:10" x14ac:dyDescent="0.2">
      <c r="A18525" s="4" t="s">
        <v>1</v>
      </c>
      <c r="B18525" s="3" t="str">
        <f>HYPERLINK("https://otsuka-europe-crm.veevavault.com/ui/#object/approved_document__v/V5OZ04ASG4FWKA7", "Reuniones Online Consent - 2")</f>
        <v>Reuniones Online Consent - 2</v>
      </c>
      <c r="C18525" s="3" t="str">
        <f>HYPERLINK("https://otsuka-europe-crm.veevavault.com/ui/#object/sent_email__v/VBL000000010017", "SE-001396629")</f>
        <v>SE-001396629</v>
      </c>
      <c r="D18525" s="1" t="s">
        <v>0</v>
      </c>
      <c r="E18525" s="2">
        <v>0</v>
      </c>
      <c r="F18525" s="2">
        <v>0</v>
      </c>
      <c r="G18525" s="2">
        <v>0</v>
      </c>
      <c r="H18525" s="1" t="s">
        <v>0</v>
      </c>
      <c r="I18525" s="2">
        <v>0</v>
      </c>
      <c r="J18525" s="1">
        <v>46006.303668981483</v>
      </c>
    </row>
    <row r="18526" spans="1:10" x14ac:dyDescent="0.2">
      <c r="A18526" s="4" t="s">
        <v>1</v>
      </c>
      <c r="B18526" s="3" t="str">
        <f>HYPERLINK("https://otsuka-europe-crm.veevavault.com/ui/#object/approved_document__v/V5OZ04ASG4FWKA7", "Reuniones Online Consent - 2")</f>
        <v>Reuniones Online Consent - 2</v>
      </c>
      <c r="C18526" s="3" t="str">
        <f>HYPERLINK("https://otsuka-europe-crm.veevavault.com/ui/#object/sent_email__v/VBL000000010028", "SE-001396647")</f>
        <v>SE-001396647</v>
      </c>
      <c r="D18526" s="1">
        <v>46051.344930555555</v>
      </c>
      <c r="E18526" s="2">
        <v>1</v>
      </c>
      <c r="F18526" s="2">
        <v>4</v>
      </c>
      <c r="G18526" s="2">
        <v>1</v>
      </c>
      <c r="H18526" s="1">
        <v>46051.344965277778</v>
      </c>
      <c r="I18526" s="2">
        <v>1</v>
      </c>
      <c r="J18526" s="1">
        <v>46006.423796296294</v>
      </c>
    </row>
    <row r="18527" spans="1:10" x14ac:dyDescent="0.2">
      <c r="A18527" s="4" t="s">
        <v>1</v>
      </c>
      <c r="B18527" s="3" t="str">
        <f>HYPERLINK("https://otsuka-europe-crm.veevavault.com/ui/#object/approved_document__v/V5OZ04ASG4FWKA7", "Reuniones Online Consent - 2")</f>
        <v>Reuniones Online Consent - 2</v>
      </c>
      <c r="C18527" s="3" t="str">
        <f>HYPERLINK("https://otsuka-europe-crm.veevavault.com/ui/#object/sent_email__v/VBL000000010030", "SE-001396649")</f>
        <v>SE-001396649</v>
      </c>
      <c r="D18527" s="1">
        <v>46006.760567129626</v>
      </c>
      <c r="E18527" s="2">
        <v>1</v>
      </c>
      <c r="F18527" s="2">
        <v>1</v>
      </c>
      <c r="G18527" s="2">
        <v>1</v>
      </c>
      <c r="H18527" s="1">
        <v>46006.760567129626</v>
      </c>
      <c r="I18527" s="2">
        <v>1</v>
      </c>
      <c r="J18527" s="1">
        <v>46006.428831018522</v>
      </c>
    </row>
    <row r="18528" spans="1:10" x14ac:dyDescent="0.2">
      <c r="A18528" s="4" t="s">
        <v>1</v>
      </c>
      <c r="B18528" s="3" t="str">
        <f>HYPERLINK("https://otsuka-europe-crm.veevavault.com/ui/#object/approved_document__v/V5OZ04ASG4FWKA7", "Reuniones Online Consent - 2")</f>
        <v>Reuniones Online Consent - 2</v>
      </c>
      <c r="C18528" s="3" t="str">
        <f>HYPERLINK("https://otsuka-europe-crm.veevavault.com/ui/#object/sent_email__v/VBL000000011033", "SE-001396660")</f>
        <v>SE-001396660</v>
      </c>
      <c r="D18528" s="1">
        <v>46006.634108796294</v>
      </c>
      <c r="E18528" s="2">
        <v>1</v>
      </c>
      <c r="F18528" s="2">
        <v>3</v>
      </c>
      <c r="G18528" s="2">
        <v>1</v>
      </c>
      <c r="H18528" s="1">
        <v>46006.571932870371</v>
      </c>
      <c r="I18528" s="2">
        <v>1</v>
      </c>
      <c r="J18528" s="1">
        <v>46006.498912037037</v>
      </c>
    </row>
    <row r="18529" spans="1:10" x14ac:dyDescent="0.2">
      <c r="A18529" s="4" t="s">
        <v>1</v>
      </c>
      <c r="B18529" s="3" t="str">
        <f>HYPERLINK("https://otsuka-europe-crm.veevavault.com/ui/#object/approved_document__v/V5OZ04ASG4FWKA7", "Reuniones Online Consent - 2")</f>
        <v>Reuniones Online Consent - 2</v>
      </c>
      <c r="C18529" s="3" t="str">
        <f>HYPERLINK("https://otsuka-europe-crm.veevavault.com/ui/#object/sent_email__v/VBL000000011037", "SE-001396665")</f>
        <v>SE-001396665</v>
      </c>
      <c r="D18529" s="1">
        <v>46006.554768518516</v>
      </c>
      <c r="E18529" s="2">
        <v>1</v>
      </c>
      <c r="F18529" s="2">
        <v>1</v>
      </c>
      <c r="G18529" s="2">
        <v>1</v>
      </c>
      <c r="H18529" s="1">
        <v>46008.670729166668</v>
      </c>
      <c r="I18529" s="2">
        <v>2</v>
      </c>
      <c r="J18529" s="1">
        <v>46006.500532407408</v>
      </c>
    </row>
    <row r="18530" spans="1:10" x14ac:dyDescent="0.2">
      <c r="A18530" s="4" t="s">
        <v>1</v>
      </c>
      <c r="B18530" s="3" t="str">
        <f>HYPERLINK("https://otsuka-europe-crm.veevavault.com/ui/#object/approved_document__v/V5OZ04ASG4FWKA7", "Reuniones Online Consent - 2")</f>
        <v>Reuniones Online Consent - 2</v>
      </c>
      <c r="C18530" s="3" t="str">
        <f>HYPERLINK("https://otsuka-europe-crm.veevavault.com/ui/#object/sent_email__v/VBL000000011042", "SE-001396670")</f>
        <v>SE-001396670</v>
      </c>
      <c r="D18530" s="1">
        <v>46006.641030092593</v>
      </c>
      <c r="E18530" s="2">
        <v>1</v>
      </c>
      <c r="F18530" s="2">
        <v>2</v>
      </c>
      <c r="G18530" s="2">
        <v>1</v>
      </c>
      <c r="H18530" s="1">
        <v>46006.641064814816</v>
      </c>
      <c r="I18530" s="2">
        <v>1</v>
      </c>
      <c r="J18530" s="1">
        <v>46006.503229166665</v>
      </c>
    </row>
    <row r="18531" spans="1:10" x14ac:dyDescent="0.2">
      <c r="A18531" s="4" t="s">
        <v>1</v>
      </c>
      <c r="B18531" s="3" t="str">
        <f>HYPERLINK("https://otsuka-europe-crm.veevavault.com/ui/#object/approved_document__v/V5OZ04ASG4FWKA7", "Reuniones Online Consent - 2")</f>
        <v>Reuniones Online Consent - 2</v>
      </c>
      <c r="C18531" s="3" t="str">
        <f>HYPERLINK("https://otsuka-europe-crm.veevavault.com/ui/#object/sent_email__v/VBL000000010035", "SE-001396678")</f>
        <v>SE-001396678</v>
      </c>
      <c r="D18531" s="1">
        <v>46012.476851851854</v>
      </c>
      <c r="E18531" s="2">
        <v>1</v>
      </c>
      <c r="F18531" s="2">
        <v>1</v>
      </c>
      <c r="G18531" s="2">
        <v>1</v>
      </c>
      <c r="H18531" s="1">
        <v>46012.476851851854</v>
      </c>
      <c r="I18531" s="2">
        <v>1</v>
      </c>
      <c r="J18531" s="1">
        <v>46006.509143518517</v>
      </c>
    </row>
    <row r="18532" spans="1:10" x14ac:dyDescent="0.2">
      <c r="A18532" s="4" t="s">
        <v>1</v>
      </c>
      <c r="B18532" s="3" t="str">
        <f>HYPERLINK("https://otsuka-europe-crm.veevavault.com/ui/#object/approved_document__v/V5OZ04ASG4FWKA7", "Reuniones Online Consent - 2")</f>
        <v>Reuniones Online Consent - 2</v>
      </c>
      <c r="C18532" s="3" t="str">
        <f>HYPERLINK("https://otsuka-europe-crm.veevavault.com/ui/#object/sent_email__v/VBL000000010037", "SE-001396682")</f>
        <v>SE-001396682</v>
      </c>
      <c r="D18532" s="1">
        <v>46007.215578703705</v>
      </c>
      <c r="E18532" s="2">
        <v>1</v>
      </c>
      <c r="F18532" s="2">
        <v>8</v>
      </c>
      <c r="G18532" s="2">
        <v>1</v>
      </c>
      <c r="H18532" s="1">
        <v>46007.215243055558</v>
      </c>
      <c r="I18532" s="2">
        <v>2</v>
      </c>
      <c r="J18532" s="1">
        <v>46006.511319444442</v>
      </c>
    </row>
    <row r="18533" spans="1:10" x14ac:dyDescent="0.2">
      <c r="A18533" s="4" t="s">
        <v>1</v>
      </c>
      <c r="B18533" s="3" t="str">
        <f>HYPERLINK("https://otsuka-europe-crm.veevavault.com/ui/#object/approved_document__v/V5OZ04ASG4FWKA7", "Reuniones Online Consent - 2")</f>
        <v>Reuniones Online Consent - 2</v>
      </c>
      <c r="C18533" s="3" t="str">
        <f>HYPERLINK("https://otsuka-europe-crm.veevavault.com/ui/#object/sent_email__v/VBL000000011052", "SE-001396685")</f>
        <v>SE-001396685</v>
      </c>
      <c r="D18533" s="1">
        <v>46006.57135416667</v>
      </c>
      <c r="E18533" s="2">
        <v>1</v>
      </c>
      <c r="F18533" s="2">
        <v>3</v>
      </c>
      <c r="G18533" s="2">
        <v>1</v>
      </c>
      <c r="H18533" s="1">
        <v>46006.571192129632</v>
      </c>
      <c r="I18533" s="2">
        <v>1</v>
      </c>
      <c r="J18533" s="1">
        <v>46006.513321759259</v>
      </c>
    </row>
    <row r="18534" spans="1:10" x14ac:dyDescent="0.2">
      <c r="A18534" s="4" t="s">
        <v>1</v>
      </c>
      <c r="B18534" s="3" t="str">
        <f>HYPERLINK("https://otsuka-europe-crm.veevavault.com/ui/#object/approved_document__v/V5OZ04ASG4FWKA7", "Reuniones Online Consent - 2")</f>
        <v>Reuniones Online Consent - 2</v>
      </c>
      <c r="C18534" s="3" t="str">
        <f>HYPERLINK("https://otsuka-europe-crm.veevavault.com/ui/#object/sent_email__v/VBL000000011254", "SE-001396979")</f>
        <v>SE-001396979</v>
      </c>
      <c r="D18534" s="1">
        <v>46007.7424537037</v>
      </c>
      <c r="E18534" s="2">
        <v>1</v>
      </c>
      <c r="F18534" s="2">
        <v>1</v>
      </c>
      <c r="G18534" s="2">
        <v>1</v>
      </c>
      <c r="H18534" s="1">
        <v>46007.742766203701</v>
      </c>
      <c r="I18534" s="2">
        <v>2</v>
      </c>
      <c r="J18534" s="1">
        <v>46007.735532407409</v>
      </c>
    </row>
    <row r="18535" spans="1:10" x14ac:dyDescent="0.2">
      <c r="A18535" s="4" t="s">
        <v>1</v>
      </c>
      <c r="B18535" s="3" t="str">
        <f>HYPERLINK("https://otsuka-europe-crm.veevavault.com/ui/#object/approved_document__v/V5OZ04ASG4FWKA7", "Reuniones Online Consent - 2")</f>
        <v>Reuniones Online Consent - 2</v>
      </c>
      <c r="C18535" s="3" t="str">
        <f>HYPERLINK("https://otsuka-europe-crm.veevavault.com/ui/#object/sent_email__v/VBL000000010221", "SE-001397547")</f>
        <v>SE-001397547</v>
      </c>
      <c r="D18535" s="1">
        <v>46009.403148148151</v>
      </c>
      <c r="E18535" s="2">
        <v>1</v>
      </c>
      <c r="F18535" s="2">
        <v>1</v>
      </c>
      <c r="G18535" s="2">
        <v>1</v>
      </c>
      <c r="H18535" s="1">
        <v>46009.403148148151</v>
      </c>
      <c r="I18535" s="2">
        <v>1</v>
      </c>
      <c r="J18535" s="1">
        <v>46009.39640046296</v>
      </c>
    </row>
    <row r="18536" spans="1:10" x14ac:dyDescent="0.2">
      <c r="A18536" s="4" t="s">
        <v>1</v>
      </c>
      <c r="B18536" s="3" t="str">
        <f>HYPERLINK("https://otsuka-europe-crm.veevavault.com/ui/#object/approved_document__v/V5OZ04ASG4FWKA7", "Reuniones Online Consent - 2")</f>
        <v>Reuniones Online Consent - 2</v>
      </c>
      <c r="C18536" s="3" t="str">
        <f>HYPERLINK("https://otsuka-europe-crm.veevavault.com/ui/#object/sent_email__v/VBL000000011731", "SE-001397549")</f>
        <v>SE-001397549</v>
      </c>
      <c r="D18536" s="1">
        <v>46013.563101851854</v>
      </c>
      <c r="E18536" s="2">
        <v>1</v>
      </c>
      <c r="F18536" s="2">
        <v>2</v>
      </c>
      <c r="G18536" s="2">
        <v>1</v>
      </c>
      <c r="H18536" s="1">
        <v>46010.346724537034</v>
      </c>
      <c r="I18536" s="2">
        <v>1</v>
      </c>
      <c r="J18536" s="1">
        <v>46009.397951388892</v>
      </c>
    </row>
    <row r="18537" spans="1:10" x14ac:dyDescent="0.2">
      <c r="A18537" s="4" t="s">
        <v>1</v>
      </c>
      <c r="B18537" s="3" t="str">
        <f>HYPERLINK("https://otsuka-europe-crm.veevavault.com/ui/#object/approved_document__v/V5OZ04ASG4FWKA7", "Reuniones Online Consent - 2")</f>
        <v>Reuniones Online Consent - 2</v>
      </c>
      <c r="C18537" s="3" t="str">
        <f>HYPERLINK("https://otsuka-europe-crm.veevavault.com/ui/#object/sent_email__v/VBL000000013381", "SE-001398461")</f>
        <v>SE-001398461</v>
      </c>
      <c r="D18537" s="1" t="s">
        <v>0</v>
      </c>
      <c r="E18537" s="2">
        <v>0</v>
      </c>
      <c r="F18537" s="2">
        <v>0</v>
      </c>
      <c r="G18537" s="2">
        <v>0</v>
      </c>
      <c r="H18537" s="1" t="s">
        <v>0</v>
      </c>
      <c r="I18537" s="2">
        <v>0</v>
      </c>
      <c r="J18537" s="1">
        <v>46013.348043981481</v>
      </c>
    </row>
    <row r="18538" spans="1:10" x14ac:dyDescent="0.2">
      <c r="A18538" s="4" t="s">
        <v>1</v>
      </c>
      <c r="B18538" s="3" t="str">
        <f>HYPERLINK("https://otsuka-europe-crm.veevavault.com/ui/#object/approved_document__v/V5OZ04ASG4FWKA7", "Reuniones Online Consent - 2")</f>
        <v>Reuniones Online Consent - 2</v>
      </c>
      <c r="C18538" s="3" t="str">
        <f>HYPERLINK("https://otsuka-europe-crm.veevavault.com/ui/#object/sent_email__v/VBL000000014142", "SE-001399875")</f>
        <v>SE-001399875</v>
      </c>
      <c r="D18538" s="1">
        <v>46037.557685185187</v>
      </c>
      <c r="E18538" s="2">
        <v>1</v>
      </c>
      <c r="F18538" s="2">
        <v>1</v>
      </c>
      <c r="G18538" s="2">
        <v>1</v>
      </c>
      <c r="H18538" s="1">
        <v>46037.557685185187</v>
      </c>
      <c r="I18538" s="2">
        <v>1</v>
      </c>
      <c r="J18538" s="1">
        <v>46036.550752314812</v>
      </c>
    </row>
    <row r="18539" spans="1:10" x14ac:dyDescent="0.2">
      <c r="A18539" s="4" t="s">
        <v>1</v>
      </c>
      <c r="B18539" s="3" t="str">
        <f>HYPERLINK("https://otsuka-europe-crm.veevavault.com/ui/#object/approved_document__v/V5OZ04ASG4FWKA7", "Reuniones Online Consent - 2")</f>
        <v>Reuniones Online Consent - 2</v>
      </c>
      <c r="C18539" s="3" t="str">
        <f>HYPERLINK("https://otsuka-europe-crm.veevavault.com/ui/#object/sent_email__v/VBL000000015127", "SE-001400237")</f>
        <v>SE-001400237</v>
      </c>
      <c r="D18539" s="1">
        <v>46043.59002314815</v>
      </c>
      <c r="E18539" s="2">
        <v>1</v>
      </c>
      <c r="F18539" s="2">
        <v>2</v>
      </c>
      <c r="G18539" s="2">
        <v>1</v>
      </c>
      <c r="H18539" s="1">
        <v>46043.590185185189</v>
      </c>
      <c r="I18539" s="2">
        <v>2</v>
      </c>
      <c r="J18539" s="1">
        <v>46042.539918981478</v>
      </c>
    </row>
    <row r="18540" spans="1:10" x14ac:dyDescent="0.2">
      <c r="A18540" s="4" t="s">
        <v>1</v>
      </c>
      <c r="B18540" s="3" t="str">
        <f>HYPERLINK("https://otsuka-europe-crm.veevavault.com/ui/#object/approved_document__v/V5OZ04ASG4FWKA7", "Reuniones Online Consent - 2")</f>
        <v>Reuniones Online Consent - 2</v>
      </c>
      <c r="C18540" s="3" t="str">
        <f>HYPERLINK("https://otsuka-europe-crm.veevavault.com/ui/#object/sent_email__v/VBL000000015269", "SE-001400642")</f>
        <v>SE-001400642</v>
      </c>
      <c r="D18540" s="1">
        <v>46043.746354166666</v>
      </c>
      <c r="E18540" s="2">
        <v>1</v>
      </c>
      <c r="F18540" s="2">
        <v>2</v>
      </c>
      <c r="G18540" s="2">
        <v>1</v>
      </c>
      <c r="H18540" s="1">
        <v>46043.754166666666</v>
      </c>
      <c r="I18540" s="2">
        <v>2</v>
      </c>
      <c r="J18540" s="1">
        <v>46043.470648148148</v>
      </c>
    </row>
    <row r="18541" spans="1:10" x14ac:dyDescent="0.2">
      <c r="A18541" s="4" t="s">
        <v>1</v>
      </c>
      <c r="B18541" s="3" t="str">
        <f>HYPERLINK("https://otsuka-europe-crm.veevavault.com/ui/#object/approved_document__v/V5OZ04ASG4FWKA7", "Reuniones Online Consent - 2")</f>
        <v>Reuniones Online Consent - 2</v>
      </c>
      <c r="C18541" s="3" t="str">
        <f>HYPERLINK("https://otsuka-europe-crm.veevavault.com/ui/#object/sent_email__v/VBL000000015275", "SE-001400654")</f>
        <v>SE-001400654</v>
      </c>
      <c r="D18541" s="1">
        <v>46044.990787037037</v>
      </c>
      <c r="E18541" s="2">
        <v>1</v>
      </c>
      <c r="F18541" s="2">
        <v>1</v>
      </c>
      <c r="G18541" s="2">
        <v>1</v>
      </c>
      <c r="H18541" s="1">
        <v>46044.990787037037</v>
      </c>
      <c r="I18541" s="2">
        <v>1</v>
      </c>
      <c r="J18541" s="1">
        <v>46043.516527777778</v>
      </c>
    </row>
    <row r="18542" spans="1:10" x14ac:dyDescent="0.2">
      <c r="A18542" s="4" t="s">
        <v>1</v>
      </c>
      <c r="B18542" s="3" t="str">
        <f>HYPERLINK("https://otsuka-europe-crm.veevavault.com/ui/#object/approved_document__v/V5OZ04ASG4FWKA7", "Reuniones Online Consent - 2")</f>
        <v>Reuniones Online Consent - 2</v>
      </c>
      <c r="C18542" s="3" t="str">
        <f>HYPERLINK("https://otsuka-europe-crm.veevavault.com/ui/#object/sent_email__v/VBL000000015279", "SE-001400658")</f>
        <v>SE-001400658</v>
      </c>
      <c r="D18542" s="1">
        <v>46076.736932870372</v>
      </c>
      <c r="E18542" s="2">
        <v>1</v>
      </c>
      <c r="F18542" s="2">
        <v>3</v>
      </c>
      <c r="G18542" s="2">
        <v>1</v>
      </c>
      <c r="H18542" s="1">
        <v>46044.352939814817</v>
      </c>
      <c r="I18542" s="2">
        <v>2</v>
      </c>
      <c r="J18542" s="1">
        <v>46043.516967592594</v>
      </c>
    </row>
    <row r="18543" spans="1:10" x14ac:dyDescent="0.2">
      <c r="A18543" s="4" t="s">
        <v>1</v>
      </c>
      <c r="B18543" s="3" t="str">
        <f>HYPERLINK("https://otsuka-europe-crm.veevavault.com/ui/#object/approved_document__v/V5OZ04ASG4FWKA7", "Reuniones Online Consent - 2")</f>
        <v>Reuniones Online Consent - 2</v>
      </c>
      <c r="C18543" s="3" t="str">
        <f>HYPERLINK("https://otsuka-europe-crm.veevavault.com/ui/#object/sent_email__v/VBL000000015284", "SE-001400737")</f>
        <v>SE-001400737</v>
      </c>
      <c r="D18543" s="1">
        <v>46043.727106481485</v>
      </c>
      <c r="E18543" s="2">
        <v>1</v>
      </c>
      <c r="F18543" s="2">
        <v>3</v>
      </c>
      <c r="G18543" s="2">
        <v>1</v>
      </c>
      <c r="H18543" s="1">
        <v>46043.727650462963</v>
      </c>
      <c r="I18543" s="2">
        <v>3</v>
      </c>
      <c r="J18543" s="1">
        <v>46043.619444444441</v>
      </c>
    </row>
    <row r="18544" spans="1:10" x14ac:dyDescent="0.2">
      <c r="A18544" s="4" t="s">
        <v>1</v>
      </c>
      <c r="B18544" s="3" t="str">
        <f>HYPERLINK("https://otsuka-europe-crm.veevavault.com/ui/#object/approved_document__v/V5OZ04ASG4FWKA7", "Reuniones Online Consent - 2")</f>
        <v>Reuniones Online Consent - 2</v>
      </c>
      <c r="C18544" s="3" t="str">
        <f>HYPERLINK("https://otsuka-europe-crm.veevavault.com/ui/#object/sent_email__v/VBL000000016475", "SE-001400752")</f>
        <v>SE-001400752</v>
      </c>
      <c r="D18544" s="1">
        <v>46044.120057870372</v>
      </c>
      <c r="E18544" s="2">
        <v>1</v>
      </c>
      <c r="F18544" s="2">
        <v>1</v>
      </c>
      <c r="G18544" s="2">
        <v>0</v>
      </c>
      <c r="H18544" s="1" t="s">
        <v>0</v>
      </c>
      <c r="I18544" s="2">
        <v>0</v>
      </c>
      <c r="J18544" s="1">
        <v>46043.946585648147</v>
      </c>
    </row>
    <row r="18545" spans="1:10" x14ac:dyDescent="0.2">
      <c r="A18545" s="4" t="s">
        <v>1</v>
      </c>
      <c r="B18545" s="3" t="str">
        <f>HYPERLINK("https://otsuka-europe-crm.veevavault.com/ui/#object/approved_document__v/V5OZ04ASG4FWKA7", "Reuniones Online Consent - 2")</f>
        <v>Reuniones Online Consent - 2</v>
      </c>
      <c r="C18545" s="3" t="str">
        <f>HYPERLINK("https://otsuka-europe-crm.veevavault.com/ui/#object/sent_email__v/VBL000000016496", "SE-001400776")</f>
        <v>SE-001400776</v>
      </c>
      <c r="D18545" s="1">
        <v>46044.585231481484</v>
      </c>
      <c r="E18545" s="2">
        <v>1</v>
      </c>
      <c r="F18545" s="2">
        <v>3</v>
      </c>
      <c r="G18545" s="2">
        <v>1</v>
      </c>
      <c r="H18545" s="1">
        <v>46044.585335648146</v>
      </c>
      <c r="I18545" s="2">
        <v>2</v>
      </c>
      <c r="J18545" s="1">
        <v>46044.466562499998</v>
      </c>
    </row>
    <row r="18546" spans="1:10" x14ac:dyDescent="0.2">
      <c r="A18546" s="4" t="s">
        <v>1</v>
      </c>
      <c r="B18546" s="3" t="str">
        <f>HYPERLINK("https://otsuka-europe-crm.veevavault.com/ui/#object/approved_document__v/V5OZ04ASG4FWKA7", "Reuniones Online Consent - 2")</f>
        <v>Reuniones Online Consent - 2</v>
      </c>
      <c r="C18546" s="3" t="str">
        <f>HYPERLINK("https://otsuka-europe-crm.veevavault.com/ui/#object/sent_email__v/VBL000000016498", "SE-001400779")</f>
        <v>SE-001400779</v>
      </c>
      <c r="D18546" s="1" t="s">
        <v>0</v>
      </c>
      <c r="E18546" s="2">
        <v>0</v>
      </c>
      <c r="F18546" s="2">
        <v>0</v>
      </c>
      <c r="G18546" s="2">
        <v>0</v>
      </c>
      <c r="H18546" s="1" t="s">
        <v>0</v>
      </c>
      <c r="I18546" s="2">
        <v>0</v>
      </c>
      <c r="J18546" s="1">
        <v>46044.472291666665</v>
      </c>
    </row>
    <row r="18547" spans="1:10" x14ac:dyDescent="0.2">
      <c r="A18547" s="4" t="s">
        <v>1</v>
      </c>
      <c r="B18547" s="3" t="str">
        <f>HYPERLINK("https://otsuka-europe-crm.veevavault.com/ui/#object/approved_document__v/V5OZ04ASG4FWKA7", "Reuniones Online Consent - 2")</f>
        <v>Reuniones Online Consent - 2</v>
      </c>
      <c r="C18547" s="3" t="str">
        <f>HYPERLINK("https://otsuka-europe-crm.veevavault.com/ui/#object/sent_email__v/VBL000000016502", "SE-001400786")</f>
        <v>SE-001400786</v>
      </c>
      <c r="D18547" s="1">
        <v>46044.75922453704</v>
      </c>
      <c r="E18547" s="2">
        <v>1</v>
      </c>
      <c r="F18547" s="2">
        <v>2</v>
      </c>
      <c r="G18547" s="2">
        <v>0</v>
      </c>
      <c r="H18547" s="1" t="s">
        <v>0</v>
      </c>
      <c r="I18547" s="2">
        <v>0</v>
      </c>
      <c r="J18547" s="1">
        <v>46044.505324074074</v>
      </c>
    </row>
    <row r="18548" spans="1:10" x14ac:dyDescent="0.2">
      <c r="A18548" s="4" t="s">
        <v>1</v>
      </c>
      <c r="B18548" s="3" t="str">
        <f>HYPERLINK("https://otsuka-europe-crm.veevavault.com/ui/#object/approved_document__v/V5OZ04ASG4FWKA7", "Reuniones Online Consent - 2")</f>
        <v>Reuniones Online Consent - 2</v>
      </c>
      <c r="C18548" s="3" t="str">
        <f>HYPERLINK("https://otsuka-europe-crm.veevavault.com/ui/#object/sent_email__v/VBL000000016504", "SE-001400788")</f>
        <v>SE-001400788</v>
      </c>
      <c r="D18548" s="1">
        <v>46044.716053240743</v>
      </c>
      <c r="E18548" s="2">
        <v>1</v>
      </c>
      <c r="F18548" s="2">
        <v>2</v>
      </c>
      <c r="G18548" s="2">
        <v>1</v>
      </c>
      <c r="H18548" s="1">
        <v>46044.716203703705</v>
      </c>
      <c r="I18548" s="2">
        <v>1</v>
      </c>
      <c r="J18548" s="1">
        <v>46044.506122685183</v>
      </c>
    </row>
    <row r="18549" spans="1:10" x14ac:dyDescent="0.2">
      <c r="A18549" s="4" t="s">
        <v>1</v>
      </c>
      <c r="B18549" s="3" t="str">
        <f>HYPERLINK("https://otsuka-europe-crm.veevavault.com/ui/#object/approved_document__v/V5OZ04ASG4FWKA7", "Reuniones Online Consent - 2")</f>
        <v>Reuniones Online Consent - 2</v>
      </c>
      <c r="C18549" s="3" t="str">
        <f>HYPERLINK("https://otsuka-europe-crm.veevavault.com/ui/#object/sent_email__v/VBL000000016510", "SE-001400794")</f>
        <v>SE-001400794</v>
      </c>
      <c r="D18549" s="1">
        <v>46044.509004629632</v>
      </c>
      <c r="E18549" s="2">
        <v>1</v>
      </c>
      <c r="F18549" s="2">
        <v>2</v>
      </c>
      <c r="G18549" s="2">
        <v>1</v>
      </c>
      <c r="H18549" s="1">
        <v>46044.509328703702</v>
      </c>
      <c r="I18549" s="2">
        <v>1</v>
      </c>
      <c r="J18549" s="1">
        <v>46044.508715277778</v>
      </c>
    </row>
    <row r="18550" spans="1:10" x14ac:dyDescent="0.2">
      <c r="A18550" s="4" t="s">
        <v>1</v>
      </c>
      <c r="B18550" s="3" t="str">
        <f>HYPERLINK("https://otsuka-europe-crm.veevavault.com/ui/#object/approved_document__v/V5OZ04ASG4FWKA7", "Reuniones Online Consent - 2")</f>
        <v>Reuniones Online Consent - 2</v>
      </c>
      <c r="C18550" s="3" t="str">
        <f>HYPERLINK("https://otsuka-europe-crm.veevavault.com/ui/#object/sent_email__v/VBL000000015304", "SE-001400803")</f>
        <v>SE-001400803</v>
      </c>
      <c r="D18550" s="1" t="s">
        <v>0</v>
      </c>
      <c r="E18550" s="2">
        <v>0</v>
      </c>
      <c r="F18550" s="2">
        <v>0</v>
      </c>
      <c r="G18550" s="2">
        <v>0</v>
      </c>
      <c r="H18550" s="1" t="s">
        <v>0</v>
      </c>
      <c r="I18550" s="2">
        <v>0</v>
      </c>
      <c r="J18550" s="1">
        <v>46044.535844907405</v>
      </c>
    </row>
    <row r="18551" spans="1:10" x14ac:dyDescent="0.2">
      <c r="A18551" s="4" t="s">
        <v>1</v>
      </c>
      <c r="B18551" s="3" t="str">
        <f>HYPERLINK("https://otsuka-europe-crm.veevavault.com/ui/#object/approved_document__v/V5OZ04ASG4FWKA7", "Reuniones Online Consent - 2")</f>
        <v>Reuniones Online Consent - 2</v>
      </c>
      <c r="C18551" s="3" t="str">
        <f>HYPERLINK("https://otsuka-europe-crm.veevavault.com/ui/#object/sent_email__v/VBL000000016522", "SE-001400816")</f>
        <v>SE-001400816</v>
      </c>
      <c r="D18551" s="1">
        <v>46048.318391203706</v>
      </c>
      <c r="E18551" s="2">
        <v>1</v>
      </c>
      <c r="F18551" s="2">
        <v>2</v>
      </c>
      <c r="G18551" s="2">
        <v>1</v>
      </c>
      <c r="H18551" s="1">
        <v>46048.318391203706</v>
      </c>
      <c r="I18551" s="2">
        <v>1</v>
      </c>
      <c r="J18551" s="1">
        <v>46044.592187499999</v>
      </c>
    </row>
    <row r="18552" spans="1:10" x14ac:dyDescent="0.2">
      <c r="A18552" s="4" t="s">
        <v>1</v>
      </c>
      <c r="B18552" s="3" t="str">
        <f>HYPERLINK("https://otsuka-europe-crm.veevavault.com/ui/#object/approved_document__v/V5OZ04ASG4FWKA7", "Reuniones Online Consent - 2")</f>
        <v>Reuniones Online Consent - 2</v>
      </c>
      <c r="C18552" s="3" t="str">
        <f>HYPERLINK("https://otsuka-europe-crm.veevavault.com/ui/#object/sent_email__v/VBL000000015312", "SE-001400822")</f>
        <v>SE-001400822</v>
      </c>
      <c r="D18552" s="1" t="s">
        <v>0</v>
      </c>
      <c r="E18552" s="2">
        <v>0</v>
      </c>
      <c r="F18552" s="2">
        <v>0</v>
      </c>
      <c r="G18552" s="2">
        <v>0</v>
      </c>
      <c r="H18552" s="1" t="s">
        <v>0</v>
      </c>
      <c r="I18552" s="2">
        <v>0</v>
      </c>
      <c r="J18552" s="1">
        <v>46044.662164351852</v>
      </c>
    </row>
    <row r="18553" spans="1:10" x14ac:dyDescent="0.2">
      <c r="A18553" s="4" t="s">
        <v>1</v>
      </c>
      <c r="B18553" s="3" t="str">
        <f>HYPERLINK("https://otsuka-europe-crm.veevavault.com/ui/#object/approved_document__v/V5OZ04ASG4FWKA7", "Reuniones Online Consent - 2")</f>
        <v>Reuniones Online Consent - 2</v>
      </c>
      <c r="C18553" s="3" t="str">
        <f>HYPERLINK("https://otsuka-europe-crm.veevavault.com/ui/#object/sent_email__v/VBL000000016528", "SE-001400827")</f>
        <v>SE-001400827</v>
      </c>
      <c r="D18553" s="1">
        <v>46044.668437499997</v>
      </c>
      <c r="E18553" s="2">
        <v>1</v>
      </c>
      <c r="F18553" s="2">
        <v>1</v>
      </c>
      <c r="G18553" s="2">
        <v>0</v>
      </c>
      <c r="H18553" s="1" t="s">
        <v>0</v>
      </c>
      <c r="I18553" s="2">
        <v>0</v>
      </c>
      <c r="J18553" s="1">
        <v>46044.666041666664</v>
      </c>
    </row>
    <row r="18554" spans="1:10" x14ac:dyDescent="0.2">
      <c r="A18554" s="4" t="s">
        <v>1</v>
      </c>
      <c r="B18554" s="3" t="str">
        <f>HYPERLINK("https://otsuka-europe-crm.veevavault.com/ui/#object/approved_document__v/V5OZ04ASG4FWKA7", "Reuniones Online Consent - 2")</f>
        <v>Reuniones Online Consent - 2</v>
      </c>
      <c r="C18554" s="3" t="str">
        <f>HYPERLINK("https://otsuka-europe-crm.veevavault.com/ui/#object/sent_email__v/VBL000000016534", "SE-001400835")</f>
        <v>SE-001400835</v>
      </c>
      <c r="D18554" s="1">
        <v>46045.019733796296</v>
      </c>
      <c r="E18554" s="2">
        <v>1</v>
      </c>
      <c r="F18554" s="2">
        <v>1</v>
      </c>
      <c r="G18554" s="2">
        <v>0</v>
      </c>
      <c r="H18554" s="1" t="s">
        <v>0</v>
      </c>
      <c r="I18554" s="2">
        <v>0</v>
      </c>
      <c r="J18554" s="1">
        <v>46044.903379629628</v>
      </c>
    </row>
    <row r="18555" spans="1:10" x14ac:dyDescent="0.2">
      <c r="A18555" s="4" t="s">
        <v>1</v>
      </c>
      <c r="B18555" s="3" t="str">
        <f>HYPERLINK("https://otsuka-europe-crm.veevavault.com/ui/#object/approved_document__v/V5OZ04ASG4FWKA7", "Reuniones Online Consent - 2")</f>
        <v>Reuniones Online Consent - 2</v>
      </c>
      <c r="C18555" s="3" t="str">
        <f>HYPERLINK("https://otsuka-europe-crm.veevavault.com/ui/#object/sent_email__v/VBL000000016536", "SE-001400839")</f>
        <v>SE-001400839</v>
      </c>
      <c r="D18555" s="1" t="s">
        <v>0</v>
      </c>
      <c r="E18555" s="2">
        <v>0</v>
      </c>
      <c r="F18555" s="2">
        <v>0</v>
      </c>
      <c r="G18555" s="2">
        <v>0</v>
      </c>
      <c r="H18555" s="1" t="s">
        <v>0</v>
      </c>
      <c r="I18555" s="2">
        <v>0</v>
      </c>
      <c r="J18555" s="1">
        <v>46045.344513888886</v>
      </c>
    </row>
    <row r="18556" spans="1:10" x14ac:dyDescent="0.2">
      <c r="A18556" s="4" t="s">
        <v>1</v>
      </c>
      <c r="B18556" s="3" t="str">
        <f>HYPERLINK("https://otsuka-europe-crm.veevavault.com/ui/#object/approved_document__v/V5OZ04ASG4FWKA7", "Reuniones Online Consent - 2")</f>
        <v>Reuniones Online Consent - 2</v>
      </c>
      <c r="C18556" s="3" t="str">
        <f>HYPERLINK("https://otsuka-europe-crm.veevavault.com/ui/#object/sent_email__v/VBL000000015344", "SE-001400915")</f>
        <v>SE-001400915</v>
      </c>
      <c r="D18556" s="1" t="s">
        <v>0</v>
      </c>
      <c r="E18556" s="2">
        <v>0</v>
      </c>
      <c r="F18556" s="2">
        <v>0</v>
      </c>
      <c r="G18556" s="2">
        <v>0</v>
      </c>
      <c r="H18556" s="1" t="s">
        <v>0</v>
      </c>
      <c r="I18556" s="2">
        <v>0</v>
      </c>
      <c r="J18556" s="1">
        <v>46048.394548611112</v>
      </c>
    </row>
    <row r="18557" spans="1:10" x14ac:dyDescent="0.2">
      <c r="A18557" s="4" t="s">
        <v>1</v>
      </c>
      <c r="B18557" s="3" t="str">
        <f>HYPERLINK("https://otsuka-europe-crm.veevavault.com/ui/#object/approved_document__v/V5OZ04ASG4FWKA7", "Reuniones Online Consent - 2")</f>
        <v>Reuniones Online Consent - 2</v>
      </c>
      <c r="C18557" s="3" t="str">
        <f>HYPERLINK("https://otsuka-europe-crm.veevavault.com/ui/#object/sent_email__v/VBL000000016598", "SE-001400918")</f>
        <v>SE-001400918</v>
      </c>
      <c r="D18557" s="1">
        <v>46048.693819444445</v>
      </c>
      <c r="E18557" s="2">
        <v>1</v>
      </c>
      <c r="F18557" s="2">
        <v>3</v>
      </c>
      <c r="G18557" s="2">
        <v>1</v>
      </c>
      <c r="H18557" s="1">
        <v>46048.693865740737</v>
      </c>
      <c r="I18557" s="2">
        <v>3</v>
      </c>
      <c r="J18557" s="1">
        <v>46048.397002314814</v>
      </c>
    </row>
    <row r="18558" spans="1:10" x14ac:dyDescent="0.2">
      <c r="A18558" s="4" t="s">
        <v>1</v>
      </c>
      <c r="B18558" s="3" t="str">
        <f>HYPERLINK("https://otsuka-europe-crm.veevavault.com/ui/#object/approved_document__v/V5OZ04ASG4FWKA7", "Reuniones Online Consent - 2")</f>
        <v>Reuniones Online Consent - 2</v>
      </c>
      <c r="C18558" s="3" t="str">
        <f>HYPERLINK("https://otsuka-europe-crm.veevavault.com/ui/#object/sent_email__v/VBL000000015358", "SE-001400941")</f>
        <v>SE-001400941</v>
      </c>
      <c r="D18558" s="1" t="s">
        <v>0</v>
      </c>
      <c r="E18558" s="2">
        <v>0</v>
      </c>
      <c r="F18558" s="2">
        <v>0</v>
      </c>
      <c r="G18558" s="2">
        <v>0</v>
      </c>
      <c r="H18558" s="1" t="s">
        <v>0</v>
      </c>
      <c r="I18558" s="2">
        <v>0</v>
      </c>
      <c r="J18558" s="1">
        <v>46048.503171296295</v>
      </c>
    </row>
    <row r="18559" spans="1:10" x14ac:dyDescent="0.2">
      <c r="A18559" s="4" t="s">
        <v>1</v>
      </c>
      <c r="B18559" s="3" t="str">
        <f>HYPERLINK("https://otsuka-europe-crm.veevavault.com/ui/#object/approved_document__v/V5OZ04ASG4FWKA7", "Reuniones Online Consent - 2")</f>
        <v>Reuniones Online Consent - 2</v>
      </c>
      <c r="C18559" s="3" t="str">
        <f>HYPERLINK("https://otsuka-europe-crm.veevavault.com/ui/#object/sent_email__v/VBL000000015364", "SE-001400950")</f>
        <v>SE-001400950</v>
      </c>
      <c r="D18559" s="1" t="s">
        <v>0</v>
      </c>
      <c r="E18559" s="2">
        <v>0</v>
      </c>
      <c r="F18559" s="2">
        <v>0</v>
      </c>
      <c r="G18559" s="2">
        <v>0</v>
      </c>
      <c r="H18559" s="1" t="s">
        <v>0</v>
      </c>
      <c r="I18559" s="2">
        <v>0</v>
      </c>
      <c r="J18559" s="1">
        <v>46048.560219907406</v>
      </c>
    </row>
    <row r="18560" spans="1:10" x14ac:dyDescent="0.2">
      <c r="A18560" s="4" t="s">
        <v>1</v>
      </c>
      <c r="B18560" s="3" t="str">
        <f>HYPERLINK("https://otsuka-europe-crm.veevavault.com/ui/#object/approved_document__v/V5OZ04ASG4FWKA7", "Reuniones Online Consent - 2")</f>
        <v>Reuniones Online Consent - 2</v>
      </c>
      <c r="C18560" s="3" t="str">
        <f>HYPERLINK("https://otsuka-europe-crm.veevavault.com/ui/#object/sent_email__v/VBL000000015392", "SE-001401096")</f>
        <v>SE-001401096</v>
      </c>
      <c r="D18560" s="1">
        <v>46050.330671296295</v>
      </c>
      <c r="E18560" s="2">
        <v>1</v>
      </c>
      <c r="F18560" s="2">
        <v>4</v>
      </c>
      <c r="G18560" s="2">
        <v>1</v>
      </c>
      <c r="H18560" s="1">
        <v>46048.717604166668</v>
      </c>
      <c r="I18560" s="2">
        <v>1</v>
      </c>
      <c r="J18560" s="1">
        <v>46048.674837962964</v>
      </c>
    </row>
    <row r="18561" spans="1:10" x14ac:dyDescent="0.2">
      <c r="A18561" s="4" t="s">
        <v>1</v>
      </c>
      <c r="B18561" s="3" t="str">
        <f>HYPERLINK("https://otsuka-europe-crm.veevavault.com/ui/#object/approved_document__v/V5OZ04ASG4FWKA7", "Reuniones Online Consent - 2")</f>
        <v>Reuniones Online Consent - 2</v>
      </c>
      <c r="C18561" s="3" t="str">
        <f>HYPERLINK("https://otsuka-europe-crm.veevavault.com/ui/#object/sent_email__v/VBL000000015860", "SE-001401763")</f>
        <v>SE-001401763</v>
      </c>
      <c r="D18561" s="1">
        <v>46049.513564814813</v>
      </c>
      <c r="E18561" s="2">
        <v>1</v>
      </c>
      <c r="F18561" s="2">
        <v>1</v>
      </c>
      <c r="G18561" s="2">
        <v>1</v>
      </c>
      <c r="H18561" s="1">
        <v>46049.513599537036</v>
      </c>
      <c r="I18561" s="2">
        <v>1</v>
      </c>
      <c r="J18561" s="1">
        <v>46049.445659722223</v>
      </c>
    </row>
    <row r="18562" spans="1:10" x14ac:dyDescent="0.2">
      <c r="A18562" s="4" t="s">
        <v>1</v>
      </c>
      <c r="B18562" s="3" t="str">
        <f>HYPERLINK("https://otsuka-europe-crm.veevavault.com/ui/#object/approved_document__v/V5OZ04ASG4FWKA7", "Reuniones Online Consent - 2")</f>
        <v>Reuniones Online Consent - 2</v>
      </c>
      <c r="C18562" s="3" t="str">
        <f>HYPERLINK("https://otsuka-europe-crm.veevavault.com/ui/#object/sent_email__v/VBL000000017124", "SE-001402145")</f>
        <v>SE-001402145</v>
      </c>
      <c r="D18562" s="1">
        <v>46050.552152777775</v>
      </c>
      <c r="E18562" s="2">
        <v>1</v>
      </c>
      <c r="F18562" s="2">
        <v>3</v>
      </c>
      <c r="G18562" s="2">
        <v>1</v>
      </c>
      <c r="H18562" s="1">
        <v>46050.552060185182</v>
      </c>
      <c r="I18562" s="2">
        <v>1</v>
      </c>
      <c r="J18562" s="1">
        <v>46050.551041666666</v>
      </c>
    </row>
    <row r="18563" spans="1:10" x14ac:dyDescent="0.2">
      <c r="A18563" s="4" t="s">
        <v>1</v>
      </c>
      <c r="B18563" s="3" t="str">
        <f>HYPERLINK("https://otsuka-europe-crm.veevavault.com/ui/#object/approved_document__v/V5OZ04ASG4FWKA7", "Reuniones Online Consent - 2")</f>
        <v>Reuniones Online Consent - 2</v>
      </c>
      <c r="C18563" s="3" t="str">
        <f>HYPERLINK("https://otsuka-europe-crm.veevavault.com/ui/#object/sent_email__v/VBL000000018105", "SE-001402204")</f>
        <v>SE-001402204</v>
      </c>
      <c r="D18563" s="1">
        <v>46069.463564814818</v>
      </c>
      <c r="E18563" s="2">
        <v>1</v>
      </c>
      <c r="F18563" s="2">
        <v>3</v>
      </c>
      <c r="G18563" s="2">
        <v>1</v>
      </c>
      <c r="H18563" s="1">
        <v>46051.677222222221</v>
      </c>
      <c r="I18563" s="2">
        <v>1</v>
      </c>
      <c r="J18563" s="1">
        <v>46051.615219907406</v>
      </c>
    </row>
    <row r="18564" spans="1:10" x14ac:dyDescent="0.2">
      <c r="A18564" s="4" t="s">
        <v>1</v>
      </c>
      <c r="B18564" s="3" t="str">
        <f>HYPERLINK("https://otsuka-europe-crm.veevavault.com/ui/#object/approved_document__v/V5OZ04ASG4FWKA7", "Reuniones Online Consent - 2")</f>
        <v>Reuniones Online Consent - 2</v>
      </c>
      <c r="C18564" s="3" t="str">
        <f>HYPERLINK("https://otsuka-europe-crm.veevavault.com/ui/#object/sent_email__v/VBL000000017156", "SE-001402208")</f>
        <v>SE-001402208</v>
      </c>
      <c r="D18564" s="1">
        <v>46061.630833333336</v>
      </c>
      <c r="E18564" s="2">
        <v>1</v>
      </c>
      <c r="F18564" s="2">
        <v>5</v>
      </c>
      <c r="G18564" s="2">
        <v>1</v>
      </c>
      <c r="H18564" s="1">
        <v>46051.639467592591</v>
      </c>
      <c r="I18564" s="2">
        <v>1</v>
      </c>
      <c r="J18564" s="1">
        <v>46051.620462962965</v>
      </c>
    </row>
    <row r="18565" spans="1:10" x14ac:dyDescent="0.2">
      <c r="A18565" s="4" t="s">
        <v>1</v>
      </c>
      <c r="B18565" s="3" t="str">
        <f>HYPERLINK("https://otsuka-europe-crm.veevavault.com/ui/#object/approved_document__v/V5OZ04ASG4FWKA7", "Reuniones Online Consent - 2")</f>
        <v>Reuniones Online Consent - 2</v>
      </c>
      <c r="C18565" s="3" t="str">
        <f>HYPERLINK("https://otsuka-europe-crm.veevavault.com/ui/#object/sent_email__v/VBL000000017167", "SE-001402224")</f>
        <v>SE-001402224</v>
      </c>
      <c r="D18565" s="1" t="s">
        <v>0</v>
      </c>
      <c r="E18565" s="2">
        <v>0</v>
      </c>
      <c r="F18565" s="2">
        <v>0</v>
      </c>
      <c r="G18565" s="2">
        <v>0</v>
      </c>
      <c r="H18565" s="1" t="s">
        <v>0</v>
      </c>
      <c r="I18565" s="2">
        <v>0</v>
      </c>
      <c r="J18565" s="1">
        <v>46051.636307870373</v>
      </c>
    </row>
    <row r="18566" spans="1:10" x14ac:dyDescent="0.2">
      <c r="A18566" s="4" t="s">
        <v>1</v>
      </c>
      <c r="B18566" s="3" t="str">
        <f>HYPERLINK("https://otsuka-europe-crm.veevavault.com/ui/#object/approved_document__v/V5OZ04ASG4FWKA7", "Reuniones Online Consent - 2")</f>
        <v>Reuniones Online Consent - 2</v>
      </c>
      <c r="C18566" s="3" t="str">
        <f>HYPERLINK("https://otsuka-europe-crm.veevavault.com/ui/#object/sent_email__v/VBL000000017170", "SE-001402229")</f>
        <v>SE-001402229</v>
      </c>
      <c r="D18566" s="1">
        <v>46055.957245370373</v>
      </c>
      <c r="E18566" s="2">
        <v>1</v>
      </c>
      <c r="F18566" s="2">
        <v>2</v>
      </c>
      <c r="G18566" s="2">
        <v>0</v>
      </c>
      <c r="H18566" s="1" t="s">
        <v>0</v>
      </c>
      <c r="I18566" s="2">
        <v>0</v>
      </c>
      <c r="J18566" s="1">
        <v>46051.652511574073</v>
      </c>
    </row>
    <row r="18567" spans="1:10" x14ac:dyDescent="0.2">
      <c r="A18567" s="4" t="s">
        <v>1</v>
      </c>
      <c r="B18567" s="3" t="str">
        <f>HYPERLINK("https://otsuka-europe-crm.veevavault.com/ui/#object/approved_document__v/V5OZ04ASG4FWKA7", "Reuniones Online Consent - 2")</f>
        <v>Reuniones Online Consent - 2</v>
      </c>
      <c r="C18567" s="3" t="str">
        <f>HYPERLINK("https://otsuka-europe-crm.veevavault.com/ui/#object/sent_email__v/VBL00000001A054", "SE-001402351")</f>
        <v>SE-001402351</v>
      </c>
      <c r="D18567" s="1">
        <v>46062.842037037037</v>
      </c>
      <c r="E18567" s="2">
        <v>1</v>
      </c>
      <c r="F18567" s="2">
        <v>5</v>
      </c>
      <c r="G18567" s="2">
        <v>1</v>
      </c>
      <c r="H18567" s="1">
        <v>46055.391423611109</v>
      </c>
      <c r="I18567" s="2">
        <v>1</v>
      </c>
      <c r="J18567" s="1">
        <v>46055.3903125</v>
      </c>
    </row>
    <row r="18568" spans="1:10" x14ac:dyDescent="0.2">
      <c r="A18568" s="4" t="s">
        <v>1</v>
      </c>
      <c r="B18568" s="3" t="str">
        <f>HYPERLINK("https://otsuka-europe-crm.veevavault.com/ui/#object/approved_document__v/V5OZ04ASG4FWKA7", "Reuniones Online Consent - 2")</f>
        <v>Reuniones Online Consent - 2</v>
      </c>
      <c r="C18568" s="3" t="str">
        <f>HYPERLINK("https://otsuka-europe-crm.veevavault.com/ui/#object/sent_email__v/VBL000000019060", "SE-001402354")</f>
        <v>SE-001402354</v>
      </c>
      <c r="D18568" s="1">
        <v>46058.410405092596</v>
      </c>
      <c r="E18568" s="2">
        <v>1</v>
      </c>
      <c r="F18568" s="2">
        <v>3</v>
      </c>
      <c r="G18568" s="2">
        <v>1</v>
      </c>
      <c r="H18568" s="1">
        <v>46058.409988425927</v>
      </c>
      <c r="I18568" s="2">
        <v>1</v>
      </c>
      <c r="J18568" s="1">
        <v>46055.417025462964</v>
      </c>
    </row>
    <row r="18569" spans="1:10" x14ac:dyDescent="0.2">
      <c r="A18569" s="4" t="s">
        <v>1</v>
      </c>
      <c r="B18569" s="3" t="str">
        <f>HYPERLINK("https://otsuka-europe-crm.veevavault.com/ui/#object/approved_document__v/V5OZ04ASG4FWKA7", "Reuniones Online Consent - 2")</f>
        <v>Reuniones Online Consent - 2</v>
      </c>
      <c r="C18569" s="3" t="str">
        <f>HYPERLINK("https://otsuka-europe-crm.veevavault.com/ui/#object/sent_email__v/VBL000000019077", "SE-001402378")</f>
        <v>SE-001402378</v>
      </c>
      <c r="D18569" s="1">
        <v>46056.452199074076</v>
      </c>
      <c r="E18569" s="2">
        <v>1</v>
      </c>
      <c r="F18569" s="2">
        <v>3</v>
      </c>
      <c r="G18569" s="2">
        <v>1</v>
      </c>
      <c r="H18569" s="1">
        <v>46055.698900462965</v>
      </c>
      <c r="I18569" s="2">
        <v>1</v>
      </c>
      <c r="J18569" s="1">
        <v>46055.646770833337</v>
      </c>
    </row>
    <row r="18570" spans="1:10" x14ac:dyDescent="0.2">
      <c r="A18570" s="4" t="s">
        <v>1</v>
      </c>
      <c r="B18570" s="3" t="str">
        <f>HYPERLINK("https://otsuka-europe-crm.veevavault.com/ui/#object/approved_document__v/V5OZ04ASG4FWKA7", "Reuniones Online Consent - 2")</f>
        <v>Reuniones Online Consent - 2</v>
      </c>
      <c r="C18570" s="3" t="str">
        <f>HYPERLINK("https://otsuka-europe-crm.veevavault.com/ui/#object/sent_email__v/VBL000000019081", "SE-001402382")</f>
        <v>SE-001402382</v>
      </c>
      <c r="D18570" s="1">
        <v>46055.710023148145</v>
      </c>
      <c r="E18570" s="2">
        <v>1</v>
      </c>
      <c r="F18570" s="2">
        <v>1</v>
      </c>
      <c r="G18570" s="2">
        <v>1</v>
      </c>
      <c r="H18570" s="1">
        <v>46055.710023148145</v>
      </c>
      <c r="I18570" s="2">
        <v>1</v>
      </c>
      <c r="J18570" s="1">
        <v>46055.659155092595</v>
      </c>
    </row>
    <row r="18571" spans="1:10" x14ac:dyDescent="0.2">
      <c r="A18571" s="4" t="s">
        <v>1</v>
      </c>
      <c r="B18571" s="3" t="str">
        <f>HYPERLINK("https://otsuka-europe-crm.veevavault.com/ui/#object/approved_document__v/V5OZ04ASG4FWKA7", "Reuniones Online Consent - 2")</f>
        <v>Reuniones Online Consent - 2</v>
      </c>
      <c r="C18571" s="3" t="str">
        <f>HYPERLINK("https://otsuka-europe-crm.veevavault.com/ui/#object/sent_email__v/VBL00000001A091", "SE-001402575")</f>
        <v>SE-001402575</v>
      </c>
      <c r="D18571" s="1">
        <v>46056.724398148152</v>
      </c>
      <c r="E18571" s="2">
        <v>1</v>
      </c>
      <c r="F18571" s="2">
        <v>1</v>
      </c>
      <c r="G18571" s="2">
        <v>0</v>
      </c>
      <c r="H18571" s="1" t="s">
        <v>0</v>
      </c>
      <c r="I18571" s="2">
        <v>0</v>
      </c>
      <c r="J18571" s="1">
        <v>46056.433252314811</v>
      </c>
    </row>
    <row r="18572" spans="1:10" x14ac:dyDescent="0.2">
      <c r="A18572" s="4" t="s">
        <v>1</v>
      </c>
      <c r="B18572" s="3" t="str">
        <f>HYPERLINK("https://otsuka-europe-crm.veevavault.com/ui/#object/approved_document__v/V5OZ04ASG4FWKA7", "Reuniones Online Consent - 2")</f>
        <v>Reuniones Online Consent - 2</v>
      </c>
      <c r="C18572" s="3" t="str">
        <f>HYPERLINK("https://otsuka-europe-crm.veevavault.com/ui/#object/sent_email__v/VBL000000019254", "SE-001402596")</f>
        <v>SE-001402596</v>
      </c>
      <c r="D18572" s="1">
        <v>46057.771620370368</v>
      </c>
      <c r="E18572" s="2">
        <v>1</v>
      </c>
      <c r="F18572" s="2">
        <v>1</v>
      </c>
      <c r="G18572" s="2">
        <v>1</v>
      </c>
      <c r="H18572" s="1">
        <v>46057.771793981483</v>
      </c>
      <c r="I18572" s="2">
        <v>1</v>
      </c>
      <c r="J18572" s="1">
        <v>46056.502905092595</v>
      </c>
    </row>
    <row r="18573" spans="1:10" x14ac:dyDescent="0.2">
      <c r="A18573" s="4" t="s">
        <v>1</v>
      </c>
      <c r="B18573" s="3" t="str">
        <f>HYPERLINK("https://otsuka-europe-crm.veevavault.com/ui/#object/approved_document__v/V5OZ04ASG4FWKA7", "Reuniones Online Consent - 2")</f>
        <v>Reuniones Online Consent - 2</v>
      </c>
      <c r="C18573" s="3" t="str">
        <f>HYPERLINK("https://otsuka-europe-crm.veevavault.com/ui/#object/sent_email__v/VBL00000001A114", "SE-001402612")</f>
        <v>SE-001402612</v>
      </c>
      <c r="D18573" s="1">
        <v>46057.145682870374</v>
      </c>
      <c r="E18573" s="2">
        <v>1</v>
      </c>
      <c r="F18573" s="2">
        <v>2</v>
      </c>
      <c r="G18573" s="2">
        <v>1</v>
      </c>
      <c r="H18573" s="1">
        <v>46056.787812499999</v>
      </c>
      <c r="I18573" s="2">
        <v>2</v>
      </c>
      <c r="J18573" s="1">
        <v>46056.779976851853</v>
      </c>
    </row>
    <row r="18574" spans="1:10" x14ac:dyDescent="0.2">
      <c r="A18574" s="4" t="s">
        <v>1</v>
      </c>
      <c r="B18574" s="3" t="str">
        <f>HYPERLINK("https://otsuka-europe-crm.veevavault.com/ui/#object/approved_document__v/V5OZ04ASG4FWKA7", "Reuniones Online Consent - 2")</f>
        <v>Reuniones Online Consent - 2</v>
      </c>
      <c r="C18574" s="3" t="str">
        <f>HYPERLINK("https://otsuka-europe-crm.veevavault.com/ui/#object/sent_email__v/VBL000000019325", "SE-001402726")</f>
        <v>SE-001402726</v>
      </c>
      <c r="D18574" s="1">
        <v>46058.406712962962</v>
      </c>
      <c r="E18574" s="2">
        <v>1</v>
      </c>
      <c r="F18574" s="2">
        <v>1</v>
      </c>
      <c r="G18574" s="2">
        <v>1</v>
      </c>
      <c r="H18574" s="1">
        <v>46058.406712962962</v>
      </c>
      <c r="I18574" s="2">
        <v>1</v>
      </c>
      <c r="J18574" s="1">
        <v>46058.394363425927</v>
      </c>
    </row>
    <row r="18575" spans="1:10" x14ac:dyDescent="0.2">
      <c r="A18575" s="4" t="s">
        <v>1</v>
      </c>
      <c r="B18575" s="3" t="str">
        <f>HYPERLINK("https://otsuka-europe-crm.veevavault.com/ui/#object/approved_document__v/V5OZ04ASG4FWKA7", "Reuniones Online Consent - 2")</f>
        <v>Reuniones Online Consent - 2</v>
      </c>
      <c r="C18575" s="3" t="str">
        <f>HYPERLINK("https://otsuka-europe-crm.veevavault.com/ui/#object/sent_email__v/VBL000000019326", "SE-001402727")</f>
        <v>SE-001402727</v>
      </c>
      <c r="D18575" s="1">
        <v>46058.410405092596</v>
      </c>
      <c r="E18575" s="2">
        <v>1</v>
      </c>
      <c r="F18575" s="2">
        <v>3</v>
      </c>
      <c r="G18575" s="2">
        <v>1</v>
      </c>
      <c r="H18575" s="1">
        <v>46058.410439814812</v>
      </c>
      <c r="I18575" s="2">
        <v>1</v>
      </c>
      <c r="J18575" s="1">
        <v>46058.395902777775</v>
      </c>
    </row>
    <row r="18576" spans="1:10" x14ac:dyDescent="0.2">
      <c r="A18576" s="4" t="s">
        <v>1</v>
      </c>
      <c r="B18576" s="3" t="str">
        <f>HYPERLINK("https://otsuka-europe-crm.veevavault.com/ui/#object/approved_document__v/V5OZ04ASG4FWKA7", "Reuniones Online Consent - 2")</f>
        <v>Reuniones Online Consent - 2</v>
      </c>
      <c r="C18576" s="3" t="str">
        <f>HYPERLINK("https://otsuka-europe-crm.veevavault.com/ui/#object/sent_email__v/VBL000000019329", "SE-001402731")</f>
        <v>SE-001402731</v>
      </c>
      <c r="D18576" s="1">
        <v>46058.904178240744</v>
      </c>
      <c r="E18576" s="2">
        <v>1</v>
      </c>
      <c r="F18576" s="2">
        <v>1</v>
      </c>
      <c r="G18576" s="2">
        <v>1</v>
      </c>
      <c r="H18576" s="1">
        <v>46058.904178240744</v>
      </c>
      <c r="I18576" s="2">
        <v>1</v>
      </c>
      <c r="J18576" s="1">
        <v>46058.414548611108</v>
      </c>
    </row>
    <row r="18577" spans="1:10" x14ac:dyDescent="0.2">
      <c r="A18577" s="4" t="s">
        <v>1</v>
      </c>
      <c r="B18577" s="3" t="str">
        <f>HYPERLINK("https://otsuka-europe-crm.veevavault.com/ui/#object/approved_document__v/V5OZ04ASG4FWKA7", "Reuniones Online Consent - 2")</f>
        <v>Reuniones Online Consent - 2</v>
      </c>
      <c r="C18577" s="3" t="str">
        <f>HYPERLINK("https://otsuka-europe-crm.veevavault.com/ui/#object/sent_email__v/VBL00000001A194", "SE-001402772")</f>
        <v>SE-001402772</v>
      </c>
      <c r="D18577" s="1">
        <v>46058.613935185182</v>
      </c>
      <c r="E18577" s="2">
        <v>1</v>
      </c>
      <c r="F18577" s="2">
        <v>1</v>
      </c>
      <c r="G18577" s="2">
        <v>1</v>
      </c>
      <c r="H18577" s="1">
        <v>46058.613935185182</v>
      </c>
      <c r="I18577" s="2">
        <v>1</v>
      </c>
      <c r="J18577" s="1">
        <v>46058.526238425926</v>
      </c>
    </row>
    <row r="18578" spans="1:10" x14ac:dyDescent="0.2">
      <c r="A18578" s="4" t="s">
        <v>1</v>
      </c>
      <c r="B18578" s="3" t="str">
        <f>HYPERLINK("https://otsuka-europe-crm.veevavault.com/ui/#object/approved_document__v/V5OZ04ASG4FWKA7", "Reuniones Online Consent - 2")</f>
        <v>Reuniones Online Consent - 2</v>
      </c>
      <c r="C18578" s="3" t="str">
        <f>HYPERLINK("https://otsuka-europe-crm.veevavault.com/ui/#object/sent_email__v/VBL000000019452", "SE-001402929")</f>
        <v>SE-001402929</v>
      </c>
      <c r="D18578" s="1" t="s">
        <v>0</v>
      </c>
      <c r="E18578" s="2">
        <v>0</v>
      </c>
      <c r="F18578" s="2">
        <v>0</v>
      </c>
      <c r="G18578" s="2">
        <v>0</v>
      </c>
      <c r="H18578" s="1" t="s">
        <v>0</v>
      </c>
      <c r="I18578" s="2">
        <v>0</v>
      </c>
      <c r="J18578" s="1">
        <v>46058.712199074071</v>
      </c>
    </row>
    <row r="18579" spans="1:10" x14ac:dyDescent="0.2">
      <c r="A18579" s="4" t="s">
        <v>1</v>
      </c>
      <c r="B18579" s="3" t="str">
        <f>HYPERLINK("https://otsuka-europe-crm.veevavault.com/ui/#object/approved_document__v/V5OZ04ASG4FWKA7", "Reuniones Online Consent - 2")</f>
        <v>Reuniones Online Consent - 2</v>
      </c>
      <c r="C18579" s="3" t="str">
        <f>HYPERLINK("https://otsuka-europe-crm.veevavault.com/ui/#object/sent_email__v/VBL00000001B002", "SE-001402935")</f>
        <v>SE-001402935</v>
      </c>
      <c r="D18579" s="1">
        <v>46070.444479166668</v>
      </c>
      <c r="E18579" s="2">
        <v>1</v>
      </c>
      <c r="F18579" s="2">
        <v>5</v>
      </c>
      <c r="G18579" s="2">
        <v>1</v>
      </c>
      <c r="H18579" s="1">
        <v>46058.826874999999</v>
      </c>
      <c r="I18579" s="2">
        <v>1</v>
      </c>
      <c r="J18579" s="1">
        <v>46058.807847222219</v>
      </c>
    </row>
    <row r="18580" spans="1:10" x14ac:dyDescent="0.2">
      <c r="A18580" s="4" t="s">
        <v>1</v>
      </c>
      <c r="B18580" s="3" t="str">
        <f>HYPERLINK("https://otsuka-europe-crm.veevavault.com/ui/#object/approved_document__v/V5OZ04ASG4FWKA7", "Reuniones Online Consent - 2")</f>
        <v>Reuniones Online Consent - 2</v>
      </c>
      <c r="C18580" s="3" t="str">
        <f>HYPERLINK("https://otsuka-europe-crm.veevavault.com/ui/#object/sent_email__v/VBL00000001C032", "SE-001402979")</f>
        <v>SE-001402979</v>
      </c>
      <c r="D18580" s="1">
        <v>46059.42491898148</v>
      </c>
      <c r="E18580" s="2">
        <v>1</v>
      </c>
      <c r="F18580" s="2">
        <v>1</v>
      </c>
      <c r="G18580" s="2">
        <v>1</v>
      </c>
      <c r="H18580" s="1">
        <v>46059.424884259257</v>
      </c>
      <c r="I18580" s="2">
        <v>1</v>
      </c>
      <c r="J18580" s="1">
        <v>46059.404432870368</v>
      </c>
    </row>
    <row r="18581" spans="1:10" x14ac:dyDescent="0.2">
      <c r="A18581" s="4" t="s">
        <v>1</v>
      </c>
      <c r="B18581" s="3" t="str">
        <f>HYPERLINK("https://otsuka-europe-crm.veevavault.com/ui/#object/approved_document__v/V5OZ04ASG4FWKA7", "Reuniones Online Consent - 2")</f>
        <v>Reuniones Online Consent - 2</v>
      </c>
      <c r="C18581" s="3" t="str">
        <f>HYPERLINK("https://otsuka-europe-crm.veevavault.com/ui/#object/sent_email__v/VBL00000001C069", "SE-001403059")</f>
        <v>SE-001403059</v>
      </c>
      <c r="D18581" s="1">
        <v>46059.675208333334</v>
      </c>
      <c r="E18581" s="2">
        <v>1</v>
      </c>
      <c r="F18581" s="2">
        <v>3</v>
      </c>
      <c r="G18581" s="2">
        <v>1</v>
      </c>
      <c r="H18581" s="1">
        <v>46059.465173611112</v>
      </c>
      <c r="I18581" s="2">
        <v>1</v>
      </c>
      <c r="J18581" s="1">
        <v>46059.461226851854</v>
      </c>
    </row>
    <row r="18582" spans="1:10" x14ac:dyDescent="0.2">
      <c r="A18582" s="4" t="s">
        <v>1</v>
      </c>
      <c r="B18582" s="3" t="str">
        <f>HYPERLINK("https://otsuka-europe-crm.veevavault.com/ui/#object/approved_document__v/V5OZ04ASG4FWKA7", "Reuniones Online Consent - 2")</f>
        <v>Reuniones Online Consent - 2</v>
      </c>
      <c r="C18582" s="3" t="str">
        <f>HYPERLINK("https://otsuka-europe-crm.veevavault.com/ui/#object/sent_email__v/VBL00000001B069", "SE-001403063")</f>
        <v>SE-001403063</v>
      </c>
      <c r="D18582" s="1" t="s">
        <v>0</v>
      </c>
      <c r="E18582" s="2">
        <v>0</v>
      </c>
      <c r="F18582" s="2">
        <v>0</v>
      </c>
      <c r="G18582" s="2">
        <v>0</v>
      </c>
      <c r="H18582" s="1" t="s">
        <v>0</v>
      </c>
      <c r="I18582" s="2">
        <v>0</v>
      </c>
      <c r="J18582" s="1">
        <v>46059.467002314814</v>
      </c>
    </row>
    <row r="18583" spans="1:10" x14ac:dyDescent="0.2">
      <c r="A18583" s="4" t="s">
        <v>1</v>
      </c>
      <c r="B18583" s="3" t="str">
        <f>HYPERLINK("https://otsuka-europe-crm.veevavault.com/ui/#object/approved_document__v/V5OZ04ASG4FWKA7", "Reuniones Online Consent - 2")</f>
        <v>Reuniones Online Consent - 2</v>
      </c>
      <c r="C18583" s="3" t="str">
        <f>HYPERLINK("https://otsuka-europe-crm.veevavault.com/ui/#object/sent_email__v/VBL00000001C080", "SE-001403080")</f>
        <v>SE-001403080</v>
      </c>
      <c r="D18583" s="1">
        <v>46059.535821759258</v>
      </c>
      <c r="E18583" s="2">
        <v>1</v>
      </c>
      <c r="F18583" s="2">
        <v>1</v>
      </c>
      <c r="G18583" s="2">
        <v>1</v>
      </c>
      <c r="H18583" s="1">
        <v>46059.535821759258</v>
      </c>
      <c r="I18583" s="2">
        <v>1</v>
      </c>
      <c r="J18583" s="1">
        <v>46059.533715277779</v>
      </c>
    </row>
    <row r="18584" spans="1:10" x14ac:dyDescent="0.2">
      <c r="A18584" s="4" t="s">
        <v>1</v>
      </c>
      <c r="B18584" s="3" t="str">
        <f>HYPERLINK("https://otsuka-europe-crm.veevavault.com/ui/#object/approved_document__v/V5OZ04ASG4FWKA7", "Reuniones Online Consent - 2")</f>
        <v>Reuniones Online Consent - 2</v>
      </c>
      <c r="C18584" s="3" t="str">
        <f>HYPERLINK("https://otsuka-europe-crm.veevavault.com/ui/#object/sent_email__v/VBL00000001C092", "SE-001403098")</f>
        <v>SE-001403098</v>
      </c>
      <c r="D18584" s="1">
        <v>46062.306122685186</v>
      </c>
      <c r="E18584" s="2">
        <v>1</v>
      </c>
      <c r="F18584" s="2">
        <v>1</v>
      </c>
      <c r="G18584" s="2">
        <v>1</v>
      </c>
      <c r="H18584" s="1">
        <v>46062.306377314817</v>
      </c>
      <c r="I18584" s="2">
        <v>1</v>
      </c>
      <c r="J18584" s="1">
        <v>46059.74013888889</v>
      </c>
    </row>
    <row r="18585" spans="1:10" x14ac:dyDescent="0.2">
      <c r="A18585" s="4" t="s">
        <v>1</v>
      </c>
      <c r="B18585" s="3" t="str">
        <f>HYPERLINK("https://otsuka-europe-crm.veevavault.com/ui/#object/approved_document__v/V5OZ04ASG4FWKA7", "Reuniones Online Consent - 2")</f>
        <v>Reuniones Online Consent - 2</v>
      </c>
      <c r="C18585" s="3" t="str">
        <f>HYPERLINK("https://otsuka-europe-crm.veevavault.com/ui/#object/sent_email__v/VBL00000001C115", "SE-001403303")</f>
        <v>SE-001403303</v>
      </c>
      <c r="D18585" s="1">
        <v>46078.656747685185</v>
      </c>
      <c r="E18585" s="2">
        <v>1</v>
      </c>
      <c r="F18585" s="2">
        <v>3</v>
      </c>
      <c r="G18585" s="2">
        <v>1</v>
      </c>
      <c r="H18585" s="1">
        <v>46062.453680555554</v>
      </c>
      <c r="I18585" s="2">
        <v>1</v>
      </c>
      <c r="J18585" s="1">
        <v>46062.450138888889</v>
      </c>
    </row>
    <row r="18586" spans="1:10" x14ac:dyDescent="0.2">
      <c r="A18586" s="4" t="s">
        <v>1</v>
      </c>
      <c r="B18586" s="3" t="str">
        <f>HYPERLINK("https://otsuka-europe-crm.veevavault.com/ui/#object/approved_document__v/V5OZ04ASG4FWKA7", "Reuniones Online Consent - 2")</f>
        <v>Reuniones Online Consent - 2</v>
      </c>
      <c r="C18586" s="3" t="str">
        <f>HYPERLINK("https://otsuka-europe-crm.veevavault.com/ui/#object/sent_email__v/VBL00000001B283", "SE-001403307")</f>
        <v>SE-001403307</v>
      </c>
      <c r="D18586" s="1">
        <v>46062.780312499999</v>
      </c>
      <c r="E18586" s="2">
        <v>1</v>
      </c>
      <c r="F18586" s="2">
        <v>3</v>
      </c>
      <c r="G18586" s="2">
        <v>0</v>
      </c>
      <c r="H18586" s="1" t="s">
        <v>0</v>
      </c>
      <c r="I18586" s="2">
        <v>0</v>
      </c>
      <c r="J18586" s="1">
        <v>46062.455370370371</v>
      </c>
    </row>
    <row r="18587" spans="1:10" x14ac:dyDescent="0.2">
      <c r="A18587" s="4" t="s">
        <v>1</v>
      </c>
      <c r="B18587" s="3" t="str">
        <f>HYPERLINK("https://otsuka-europe-crm.veevavault.com/ui/#object/approved_document__v/V5OZ04ASG4FWKA7", "Reuniones Online Consent - 2")</f>
        <v>Reuniones Online Consent - 2</v>
      </c>
      <c r="C18587" s="3" t="str">
        <f>HYPERLINK("https://otsuka-europe-crm.veevavault.com/ui/#object/sent_email__v/VBL00000001B287", "SE-001403311")</f>
        <v>SE-001403311</v>
      </c>
      <c r="D18587" s="1">
        <v>46070.821134259262</v>
      </c>
      <c r="E18587" s="2">
        <v>1</v>
      </c>
      <c r="F18587" s="2">
        <v>8</v>
      </c>
      <c r="G18587" s="2">
        <v>1</v>
      </c>
      <c r="H18587" s="1">
        <v>46071.013437499998</v>
      </c>
      <c r="I18587" s="2">
        <v>6</v>
      </c>
      <c r="J18587" s="1">
        <v>46062.458622685182</v>
      </c>
    </row>
    <row r="18588" spans="1:10" x14ac:dyDescent="0.2">
      <c r="A18588" s="4" t="s">
        <v>1</v>
      </c>
      <c r="B18588" s="3" t="str">
        <f>HYPERLINK("https://otsuka-europe-crm.veevavault.com/ui/#object/approved_document__v/V5OZ04ASG4FWKA7", "Reuniones Online Consent - 2")</f>
        <v>Reuniones Online Consent - 2</v>
      </c>
      <c r="C18588" s="3" t="str">
        <f>HYPERLINK("https://otsuka-europe-crm.veevavault.com/ui/#object/sent_email__v/VBL00000001C258", "SE-001403490")</f>
        <v>SE-001403490</v>
      </c>
      <c r="D18588" s="1">
        <v>46070.410416666666</v>
      </c>
      <c r="E18588" s="2">
        <v>1</v>
      </c>
      <c r="F18588" s="2">
        <v>5</v>
      </c>
      <c r="G18588" s="2">
        <v>1</v>
      </c>
      <c r="H18588" s="1">
        <v>46070.410601851851</v>
      </c>
      <c r="I18588" s="2">
        <v>2</v>
      </c>
      <c r="J18588" s="1">
        <v>46062.498020833336</v>
      </c>
    </row>
    <row r="18589" spans="1:10" x14ac:dyDescent="0.2">
      <c r="A18589" s="4" t="s">
        <v>1</v>
      </c>
      <c r="B18589" s="3" t="str">
        <f>HYPERLINK("https://otsuka-europe-crm.veevavault.com/ui/#object/approved_document__v/V5OZ04ASG4FWKA7", "Reuniones Online Consent - 2")</f>
        <v>Reuniones Online Consent - 2</v>
      </c>
      <c r="C18589" s="3" t="str">
        <f>HYPERLINK("https://otsuka-europe-crm.veevavault.com/ui/#object/sent_email__v/VBL00000001C264", "SE-001403496")</f>
        <v>SE-001403496</v>
      </c>
      <c r="D18589" s="1">
        <v>46062.686874999999</v>
      </c>
      <c r="E18589" s="2">
        <v>1</v>
      </c>
      <c r="F18589" s="2">
        <v>1</v>
      </c>
      <c r="G18589" s="2">
        <v>1</v>
      </c>
      <c r="H18589" s="1">
        <v>46062.687060185184</v>
      </c>
      <c r="I18589" s="2">
        <v>2</v>
      </c>
      <c r="J18589" s="1">
        <v>46062.502152777779</v>
      </c>
    </row>
    <row r="18590" spans="1:10" x14ac:dyDescent="0.2">
      <c r="A18590" s="4" t="s">
        <v>1</v>
      </c>
      <c r="B18590" s="3" t="str">
        <f>HYPERLINK("https://otsuka-europe-crm.veevavault.com/ui/#object/approved_document__v/V5OZ04ASG4FWKA7", "Reuniones Online Consent - 2")</f>
        <v>Reuniones Online Consent - 2</v>
      </c>
      <c r="C18590" s="3" t="str">
        <f>HYPERLINK("https://otsuka-europe-crm.veevavault.com/ui/#object/sent_email__v/VBL00000001C366", "SE-001403682")</f>
        <v>SE-001403682</v>
      </c>
      <c r="D18590" s="1">
        <v>46064.319166666668</v>
      </c>
      <c r="E18590" s="2">
        <v>1</v>
      </c>
      <c r="F18590" s="2">
        <v>1</v>
      </c>
      <c r="G18590" s="2">
        <v>1</v>
      </c>
      <c r="H18590" s="1">
        <v>46065.41</v>
      </c>
      <c r="I18590" s="2">
        <v>2</v>
      </c>
      <c r="J18590" s="1">
        <v>46064.318993055553</v>
      </c>
    </row>
    <row r="18591" spans="1:10" x14ac:dyDescent="0.2">
      <c r="A18591" s="4" t="s">
        <v>1</v>
      </c>
      <c r="B18591" s="3" t="str">
        <f>HYPERLINK("https://otsuka-europe-crm.veevavault.com/ui/#object/approved_document__v/V5OZ04ASG4FWKA7", "Reuniones Online Consent - 2")</f>
        <v>Reuniones Online Consent - 2</v>
      </c>
      <c r="C18591" s="3" t="str">
        <f>HYPERLINK("https://otsuka-europe-crm.veevavault.com/ui/#object/sent_email__v/VBL00000001C405", "SE-001403750")</f>
        <v>SE-001403750</v>
      </c>
      <c r="D18591" s="1">
        <v>46064.492893518516</v>
      </c>
      <c r="E18591" s="2">
        <v>1</v>
      </c>
      <c r="F18591" s="2">
        <v>1</v>
      </c>
      <c r="G18591" s="2">
        <v>1</v>
      </c>
      <c r="H18591" s="1">
        <v>46064.492893518516</v>
      </c>
      <c r="I18591" s="2">
        <v>1</v>
      </c>
      <c r="J18591" s="1">
        <v>46064.49181712963</v>
      </c>
    </row>
    <row r="18592" spans="1:10" x14ac:dyDescent="0.2">
      <c r="A18592" s="4" t="s">
        <v>1</v>
      </c>
      <c r="B18592" s="3" t="str">
        <f>HYPERLINK("https://otsuka-europe-crm.veevavault.com/ui/#object/approved_document__v/V5OZ04ASG4FWKA7", "Reuniones Online Consent - 2")</f>
        <v>Reuniones Online Consent - 2</v>
      </c>
      <c r="C18592" s="3" t="str">
        <f>HYPERLINK("https://otsuka-europe-crm.veevavault.com/ui/#object/sent_email__v/VBL00000001B458", "SE-001403762")</f>
        <v>SE-001403762</v>
      </c>
      <c r="D18592" s="1">
        <v>46073.951018518521</v>
      </c>
      <c r="E18592" s="2">
        <v>1</v>
      </c>
      <c r="F18592" s="2">
        <v>2</v>
      </c>
      <c r="G18592" s="2">
        <v>1</v>
      </c>
      <c r="H18592" s="1">
        <v>46064.632650462961</v>
      </c>
      <c r="I18592" s="2">
        <v>1</v>
      </c>
      <c r="J18592" s="1">
        <v>46064.552361111113</v>
      </c>
    </row>
    <row r="18593" spans="1:10" x14ac:dyDescent="0.2">
      <c r="A18593" s="4" t="s">
        <v>1</v>
      </c>
      <c r="B18593" s="3" t="str">
        <f>HYPERLINK("https://otsuka-europe-crm.veevavault.com/ui/#object/approved_document__v/V5OZ04ASG4FWKA7", "Reuniones Online Consent - 2")</f>
        <v>Reuniones Online Consent - 2</v>
      </c>
      <c r="C18593" s="3" t="str">
        <f>HYPERLINK("https://otsuka-europe-crm.veevavault.com/ui/#object/sent_email__v/VBL00000001B461", "SE-001403765")</f>
        <v>SE-001403765</v>
      </c>
      <c r="D18593" s="1">
        <v>46064.584305555552</v>
      </c>
      <c r="E18593" s="2">
        <v>1</v>
      </c>
      <c r="F18593" s="2">
        <v>3</v>
      </c>
      <c r="G18593" s="2">
        <v>0</v>
      </c>
      <c r="H18593" s="1" t="s">
        <v>0</v>
      </c>
      <c r="I18593" s="2">
        <v>0</v>
      </c>
      <c r="J18593" s="1">
        <v>46064.57775462963</v>
      </c>
    </row>
    <row r="18594" spans="1:10" x14ac:dyDescent="0.2">
      <c r="A18594" s="4" t="s">
        <v>1</v>
      </c>
      <c r="B18594" s="3" t="str">
        <f>HYPERLINK("https://otsuka-europe-crm.veevavault.com/ui/#object/approved_document__v/V5OZ04ASG4FWKA7", "Reuniones Online Consent - 2")</f>
        <v>Reuniones Online Consent - 2</v>
      </c>
      <c r="C18594" s="3" t="str">
        <f>HYPERLINK("https://otsuka-europe-crm.veevavault.com/ui/#object/sent_email__v/VBL00000001C417", "SE-001403768")</f>
        <v>SE-001403768</v>
      </c>
      <c r="D18594" s="1">
        <v>46064.584351851852</v>
      </c>
      <c r="E18594" s="2">
        <v>1</v>
      </c>
      <c r="F18594" s="2">
        <v>3</v>
      </c>
      <c r="G18594" s="2">
        <v>1</v>
      </c>
      <c r="H18594" s="1">
        <v>46064.584351851852</v>
      </c>
      <c r="I18594" s="2">
        <v>1</v>
      </c>
      <c r="J18594" s="1">
        <v>46064.581747685188</v>
      </c>
    </row>
    <row r="18595" spans="1:10" x14ac:dyDescent="0.2">
      <c r="A18595" s="4" t="s">
        <v>1</v>
      </c>
      <c r="B18595" s="3" t="str">
        <f>HYPERLINK("https://otsuka-europe-crm.veevavault.com/ui/#object/approved_document__v/V5OZ04ASG4FWKA7", "Reuniones Online Consent - 2")</f>
        <v>Reuniones Online Consent - 2</v>
      </c>
      <c r="C18595" s="3" t="str">
        <f>HYPERLINK("https://otsuka-europe-crm.veevavault.com/ui/#object/sent_email__v/VBL00000001E123", "SE-001404145")</f>
        <v>SE-001404145</v>
      </c>
      <c r="D18595" s="1">
        <v>46069.622557870367</v>
      </c>
      <c r="E18595" s="2">
        <v>1</v>
      </c>
      <c r="F18595" s="2">
        <v>1</v>
      </c>
      <c r="G18595" s="2">
        <v>0</v>
      </c>
      <c r="H18595" s="1" t="s">
        <v>0</v>
      </c>
      <c r="I18595" s="2">
        <v>0</v>
      </c>
      <c r="J18595" s="1">
        <v>46069.473564814813</v>
      </c>
    </row>
    <row r="18596" spans="1:10" x14ac:dyDescent="0.2">
      <c r="A18596" s="4" t="s">
        <v>1</v>
      </c>
      <c r="B18596" s="3" t="str">
        <f>HYPERLINK("https://otsuka-europe-crm.veevavault.com/ui/#object/approved_document__v/V5OZ04ASG4FWKA7", "Reuniones Online Consent - 2")</f>
        <v>Reuniones Online Consent - 2</v>
      </c>
      <c r="C18596" s="3" t="str">
        <f>HYPERLINK("https://otsuka-europe-crm.veevavault.com/ui/#object/sent_email__v/VBL00000001D186", "SE-001404452")</f>
        <v>SE-001404452</v>
      </c>
      <c r="D18596" s="1">
        <v>46070.664548611108</v>
      </c>
      <c r="E18596" s="2">
        <v>1</v>
      </c>
      <c r="F18596" s="2">
        <v>2</v>
      </c>
      <c r="G18596" s="2">
        <v>1</v>
      </c>
      <c r="H18596" s="1">
        <v>46070.664733796293</v>
      </c>
      <c r="I18596" s="2">
        <v>1</v>
      </c>
      <c r="J18596" s="1">
        <v>46070.660624999997</v>
      </c>
    </row>
    <row r="18597" spans="1:10" x14ac:dyDescent="0.2">
      <c r="A18597" s="4" t="s">
        <v>1</v>
      </c>
      <c r="B18597" s="3" t="str">
        <f>HYPERLINK("https://otsuka-europe-crm.veevavault.com/ui/#object/approved_document__v/V5OZ04ASG4FWKA7", "Reuniones Online Consent - 2")</f>
        <v>Reuniones Online Consent - 2</v>
      </c>
      <c r="C18597" s="3" t="str">
        <f>HYPERLINK("https://otsuka-europe-crm.veevavault.com/ui/#object/sent_email__v/VBL00000001E376", "SE-001404882")</f>
        <v>SE-001404882</v>
      </c>
      <c r="D18597" s="1">
        <v>46071.762245370373</v>
      </c>
      <c r="E18597" s="2">
        <v>1</v>
      </c>
      <c r="F18597" s="2">
        <v>1</v>
      </c>
      <c r="G18597" s="2">
        <v>1</v>
      </c>
      <c r="H18597" s="1">
        <v>46071.762245370373</v>
      </c>
      <c r="I18597" s="2">
        <v>1</v>
      </c>
      <c r="J18597" s="1">
        <v>46071.698206018518</v>
      </c>
    </row>
    <row r="18598" spans="1:10" x14ac:dyDescent="0.2">
      <c r="A18598" s="4" t="s">
        <v>1</v>
      </c>
      <c r="B18598" s="3" t="str">
        <f>HYPERLINK("https://otsuka-europe-crm.veevavault.com/ui/#object/approved_document__v/V5OZ04ASG4FWKA7", "Reuniones Online Consent - 2")</f>
        <v>Reuniones Online Consent - 2</v>
      </c>
      <c r="C18598" s="3" t="str">
        <f>HYPERLINK("https://otsuka-europe-crm.veevavault.com/ui/#object/sent_email__v/VBL00000001D700", "SE-001405161")</f>
        <v>SE-001405161</v>
      </c>
      <c r="D18598" s="1">
        <v>46072.905231481483</v>
      </c>
      <c r="E18598" s="2">
        <v>1</v>
      </c>
      <c r="F18598" s="2">
        <v>3</v>
      </c>
      <c r="G18598" s="2">
        <v>1</v>
      </c>
      <c r="H18598" s="1">
        <v>46072.787106481483</v>
      </c>
      <c r="I18598" s="2">
        <v>1</v>
      </c>
      <c r="J18598" s="1">
        <v>46072.765798611108</v>
      </c>
    </row>
    <row r="18599" spans="1:10" x14ac:dyDescent="0.2">
      <c r="A18599" s="4" t="s">
        <v>1</v>
      </c>
      <c r="B18599" s="3" t="str">
        <f>HYPERLINK("https://otsuka-europe-crm.veevavault.com/ui/#object/approved_document__v/V5OZ04ASG4FWKA7", "Reuniones Online Consent - 2")</f>
        <v>Reuniones Online Consent - 2</v>
      </c>
      <c r="C18599" s="3" t="str">
        <f>HYPERLINK("https://otsuka-europe-crm.veevavault.com/ui/#object/sent_email__v/VBL00000001F021", "SE-001405350")</f>
        <v>SE-001405350</v>
      </c>
      <c r="D18599" s="1" t="s">
        <v>0</v>
      </c>
      <c r="E18599" s="2">
        <v>0</v>
      </c>
      <c r="F18599" s="2">
        <v>0</v>
      </c>
      <c r="G18599" s="2">
        <v>0</v>
      </c>
      <c r="H18599" s="1" t="s">
        <v>0</v>
      </c>
      <c r="I18599" s="2">
        <v>0</v>
      </c>
      <c r="J18599" s="1">
        <v>46073.487002314818</v>
      </c>
    </row>
    <row r="18600" spans="1:10" x14ac:dyDescent="0.2">
      <c r="A18600" s="4" t="s">
        <v>1</v>
      </c>
      <c r="B18600" s="3" t="str">
        <f>HYPERLINK("https://otsuka-europe-crm.veevavault.com/ui/#object/approved_document__v/V5OZ04ASG4FWKA7", "Reuniones Online Consent - 2")</f>
        <v>Reuniones Online Consent - 2</v>
      </c>
      <c r="C18600" s="3" t="str">
        <f>HYPERLINK("https://otsuka-europe-crm.veevavault.com/ui/#object/sent_email__v/VBL00000001G308", "SE-001405578")</f>
        <v>SE-001405578</v>
      </c>
      <c r="D18600" s="1">
        <v>46076.666122685187</v>
      </c>
      <c r="E18600" s="2">
        <v>1</v>
      </c>
      <c r="F18600" s="2">
        <v>2</v>
      </c>
      <c r="G18600" s="2">
        <v>1</v>
      </c>
      <c r="H18600" s="1">
        <v>46076.666145833333</v>
      </c>
      <c r="I18600" s="2">
        <v>1</v>
      </c>
      <c r="J18600" s="1">
        <v>46076.566574074073</v>
      </c>
    </row>
    <row r="18601" spans="1:10" x14ac:dyDescent="0.2">
      <c r="A18601" s="4" t="s">
        <v>1</v>
      </c>
      <c r="B18601" s="3" t="str">
        <f>HYPERLINK("https://otsuka-europe-crm.veevavault.com/ui/#object/approved_document__v/V5OZ04ASG4FWKA7", "Reuniones Online Consent - 2")</f>
        <v>Reuniones Online Consent - 2</v>
      </c>
      <c r="C18601" s="3" t="str">
        <f>HYPERLINK("https://otsuka-europe-crm.veevavault.com/ui/#object/sent_email__v/VBL00000001F303", "SE-001405949")</f>
        <v>SE-001405949</v>
      </c>
      <c r="D18601" s="1">
        <v>46077.458310185182</v>
      </c>
      <c r="E18601" s="2">
        <v>1</v>
      </c>
      <c r="F18601" s="2">
        <v>1</v>
      </c>
      <c r="G18601" s="2">
        <v>1</v>
      </c>
      <c r="H18601" s="1">
        <v>46077.458437499998</v>
      </c>
      <c r="I18601" s="2">
        <v>1</v>
      </c>
      <c r="J18601" s="1">
        <v>46076.898668981485</v>
      </c>
    </row>
    <row r="18602" spans="1:10" x14ac:dyDescent="0.2">
      <c r="A18602" s="4" t="s">
        <v>1</v>
      </c>
      <c r="B18602" s="3" t="str">
        <f>HYPERLINK("https://otsuka-europe-crm.veevavault.com/ui/#object/approved_document__v/V5OZ04ASG4FWKA7", "Reuniones Online Consent - 2")</f>
        <v>Reuniones Online Consent - 2</v>
      </c>
      <c r="C18602" s="3" t="str">
        <f>HYPERLINK("https://otsuka-europe-crm.veevavault.com/ui/#object/sent_email__v/VBL00000001F307", "SE-001405953")</f>
        <v>SE-001405953</v>
      </c>
      <c r="D18602" s="1">
        <v>46077.305578703701</v>
      </c>
      <c r="E18602" s="2">
        <v>1</v>
      </c>
      <c r="F18602" s="2">
        <v>1</v>
      </c>
      <c r="G18602" s="2">
        <v>0</v>
      </c>
      <c r="H18602" s="1" t="s">
        <v>0</v>
      </c>
      <c r="I18602" s="2">
        <v>0</v>
      </c>
      <c r="J18602" s="1">
        <v>46076.902326388888</v>
      </c>
    </row>
    <row r="18603" spans="1:10" x14ac:dyDescent="0.2">
      <c r="A18603" s="4" t="s">
        <v>1</v>
      </c>
      <c r="B18603" s="3" t="str">
        <f>HYPERLINK("https://otsuka-europe-crm.veevavault.com/ui/#object/approved_document__v/V5OZ04ASG4FWKA7", "Reuniones Online Consent - 2")</f>
        <v>Reuniones Online Consent - 2</v>
      </c>
      <c r="C18603" s="3" t="str">
        <f>HYPERLINK("https://otsuka-europe-crm.veevavault.com/ui/#object/sent_email__v/VBL00000001F345", "SE-001406023")</f>
        <v>SE-001406023</v>
      </c>
      <c r="D18603" s="1">
        <v>46077.620243055557</v>
      </c>
      <c r="E18603" s="2">
        <v>1</v>
      </c>
      <c r="F18603" s="2">
        <v>1</v>
      </c>
      <c r="G18603" s="2">
        <v>1</v>
      </c>
      <c r="H18603" s="1">
        <v>46077.620462962965</v>
      </c>
      <c r="I18603" s="2">
        <v>3</v>
      </c>
      <c r="J18603" s="1">
        <v>46077.612349537034</v>
      </c>
    </row>
    <row r="18604" spans="1:10" x14ac:dyDescent="0.2">
      <c r="A18604" s="4" t="s">
        <v>1</v>
      </c>
      <c r="B18604" s="3" t="str">
        <f>HYPERLINK("https://otsuka-europe-crm.veevavault.com/ui/#object/approved_document__v/V5OZ025E82PIT32", "RXULTI - Caso Clínico ansiedad e irritabilidad")</f>
        <v>RXULTI - Caso Clínico ansiedad e irritabilidad</v>
      </c>
      <c r="C18604" s="3" t="str">
        <f>HYPERLINK("https://otsuka-europe-crm.veevavault.com/ui/#object/sent_email__v/VBLZ025E82H4D9X", "SE-000281724")</f>
        <v>SE-000281724</v>
      </c>
      <c r="D18604" s="1">
        <v>45937.720879629633</v>
      </c>
      <c r="E18604" s="2">
        <v>1</v>
      </c>
      <c r="F18604" s="2">
        <v>3</v>
      </c>
      <c r="G18604" s="2">
        <v>1</v>
      </c>
      <c r="H18604" s="1">
        <v>45930.352754629632</v>
      </c>
      <c r="I18604" s="2">
        <v>1</v>
      </c>
      <c r="J18604" s="1">
        <v>45930.352534722224</v>
      </c>
    </row>
    <row r="18605" spans="1:10" x14ac:dyDescent="0.2">
      <c r="A18605" s="4" t="s">
        <v>1</v>
      </c>
      <c r="B18605" s="3" t="str">
        <f>HYPERLINK("https://otsuka-europe-crm.veevavault.com/ui/#object/approved_document__v/V5OZ025E82PIT32", "RXULTI - Caso Clínico ansiedad e irritabilidad")</f>
        <v>RXULTI - Caso Clínico ansiedad e irritabilidad</v>
      </c>
      <c r="C18605" s="3" t="str">
        <f>HYPERLINK("https://otsuka-europe-crm.veevavault.com/ui/#object/sent_email__v/VBLZ025E82HG8TL", "SE-000285390")</f>
        <v>SE-000285390</v>
      </c>
      <c r="D18605" s="1">
        <v>45945.705636574072</v>
      </c>
      <c r="E18605" s="2">
        <v>1</v>
      </c>
      <c r="F18605" s="2">
        <v>2</v>
      </c>
      <c r="G18605" s="2">
        <v>0</v>
      </c>
      <c r="H18605" s="1" t="s">
        <v>0</v>
      </c>
      <c r="I18605" s="2">
        <v>0</v>
      </c>
      <c r="J18605" s="1">
        <v>45939.497106481482</v>
      </c>
    </row>
    <row r="18606" spans="1:10" x14ac:dyDescent="0.2">
      <c r="A18606" s="4" t="s">
        <v>1</v>
      </c>
      <c r="B18606" s="3" t="str">
        <f>HYPERLINK("https://otsuka-europe-crm.veevavault.com/ui/#object/approved_document__v/V5O000000003010", "RXULTI - Caso Clínico ansiedad e irritabilidad")</f>
        <v>RXULTI - Caso Clínico ansiedad e irritabilidad</v>
      </c>
      <c r="C18606" s="3" t="str">
        <f>HYPERLINK("https://otsuka-europe-crm.veevavault.com/ui/#object/sent_email__v/VBL000000006008", "SE-001380892")</f>
        <v>SE-001380892</v>
      </c>
      <c r="D18606" s="1" t="s">
        <v>0</v>
      </c>
      <c r="E18606" s="2">
        <v>0</v>
      </c>
      <c r="F18606" s="2">
        <v>0</v>
      </c>
      <c r="G18606" s="2">
        <v>0</v>
      </c>
      <c r="H18606" s="1" t="s">
        <v>0</v>
      </c>
      <c r="I18606" s="2">
        <v>0</v>
      </c>
      <c r="J18606" s="1">
        <v>45966.637858796297</v>
      </c>
    </row>
    <row r="18607" spans="1:10" x14ac:dyDescent="0.2">
      <c r="A18607" s="4" t="s">
        <v>1</v>
      </c>
      <c r="B18607" s="3" t="str">
        <f>HYPERLINK("https://otsuka-europe-crm.veevavault.com/ui/#object/approved_document__v/V5O000000003010", "RXULTI - Caso Clínico ansiedad e irritabilidad")</f>
        <v>RXULTI - Caso Clínico ansiedad e irritabilidad</v>
      </c>
      <c r="C18607" s="3" t="str">
        <f>HYPERLINK("https://otsuka-europe-crm.veevavault.com/ui/#object/sent_email__v/VBL00000000J762", "SE-001389163")</f>
        <v>SE-001389163</v>
      </c>
      <c r="D18607" s="1">
        <v>45972.584108796298</v>
      </c>
      <c r="E18607" s="2">
        <v>1</v>
      </c>
      <c r="F18607" s="2">
        <v>1</v>
      </c>
      <c r="G18607" s="2">
        <v>0</v>
      </c>
      <c r="H18607" s="1" t="s">
        <v>0</v>
      </c>
      <c r="I18607" s="2">
        <v>0</v>
      </c>
      <c r="J18607" s="1">
        <v>45972.579432870371</v>
      </c>
    </row>
    <row r="18608" spans="1:10" x14ac:dyDescent="0.2">
      <c r="A18608" s="4" t="s">
        <v>1</v>
      </c>
      <c r="B18608" s="3" t="str">
        <f>HYPERLINK("https://otsuka-europe-crm.veevavault.com/ui/#object/approved_document__v/V5O000000003010", "RXULTI - Caso Clínico ansiedad e irritabilidad")</f>
        <v>RXULTI - Caso Clínico ansiedad e irritabilidad</v>
      </c>
      <c r="C18608" s="3" t="str">
        <f>HYPERLINK("https://otsuka-europe-crm.veevavault.com/ui/#object/sent_email__v/VBL00000000J763", "SE-001389164")</f>
        <v>SE-001389164</v>
      </c>
      <c r="D18608" s="1" t="s">
        <v>0</v>
      </c>
      <c r="E18608" s="2">
        <v>0</v>
      </c>
      <c r="F18608" s="2">
        <v>0</v>
      </c>
      <c r="G18608" s="2">
        <v>0</v>
      </c>
      <c r="H18608" s="1" t="s">
        <v>0</v>
      </c>
      <c r="I18608" s="2">
        <v>0</v>
      </c>
      <c r="J18608" s="1">
        <v>45972.579479166663</v>
      </c>
    </row>
    <row r="18609" spans="1:10" x14ac:dyDescent="0.2">
      <c r="A18609" s="4" t="s">
        <v>1</v>
      </c>
      <c r="B18609" s="3" t="str">
        <f>HYPERLINK("https://otsuka-europe-crm.veevavault.com/ui/#object/approved_document__v/V5O000000003010", "RXULTI - Caso Clínico ansiedad e irritabilidad")</f>
        <v>RXULTI - Caso Clínico ansiedad e irritabilidad</v>
      </c>
      <c r="C18609" s="3" t="str">
        <f>HYPERLINK("https://otsuka-europe-crm.veevavault.com/ui/#object/sent_email__v/VBL00000000J764", "SE-001389165")</f>
        <v>SE-001389165</v>
      </c>
      <c r="D18609" s="1" t="s">
        <v>0</v>
      </c>
      <c r="E18609" s="2">
        <v>0</v>
      </c>
      <c r="F18609" s="2">
        <v>0</v>
      </c>
      <c r="G18609" s="2">
        <v>0</v>
      </c>
      <c r="H18609" s="1" t="s">
        <v>0</v>
      </c>
      <c r="I18609" s="2">
        <v>0</v>
      </c>
      <c r="J18609" s="1">
        <v>45972.579513888886</v>
      </c>
    </row>
    <row r="18610" spans="1:10" x14ac:dyDescent="0.2">
      <c r="A18610" s="4" t="s">
        <v>1</v>
      </c>
      <c r="B18610" s="3" t="str">
        <f>HYPERLINK("https://otsuka-europe-crm.veevavault.com/ui/#object/approved_document__v/V5O000000003010", "RXULTI - Caso Clínico ansiedad e irritabilidad")</f>
        <v>RXULTI - Caso Clínico ansiedad e irritabilidad</v>
      </c>
      <c r="C18610" s="3" t="str">
        <f>HYPERLINK("https://otsuka-europe-crm.veevavault.com/ui/#object/sent_email__v/VBL00000000J765", "SE-001389166")</f>
        <v>SE-001389166</v>
      </c>
      <c r="D18610" s="1">
        <v>45977.926342592589</v>
      </c>
      <c r="E18610" s="2">
        <v>1</v>
      </c>
      <c r="F18610" s="2">
        <v>2</v>
      </c>
      <c r="G18610" s="2">
        <v>0</v>
      </c>
      <c r="H18610" s="1" t="s">
        <v>0</v>
      </c>
      <c r="I18610" s="2">
        <v>0</v>
      </c>
      <c r="J18610" s="1">
        <v>45972.579560185186</v>
      </c>
    </row>
    <row r="18611" spans="1:10" x14ac:dyDescent="0.2">
      <c r="A18611" s="4" t="s">
        <v>1</v>
      </c>
      <c r="B18611" s="3" t="str">
        <f>HYPERLINK("https://otsuka-europe-crm.veevavault.com/ui/#object/approved_document__v/V5O000000003010", "RXULTI - Caso Clínico ansiedad e irritabilidad")</f>
        <v>RXULTI - Caso Clínico ansiedad e irritabilidad</v>
      </c>
      <c r="C18611" s="3" t="str">
        <f>HYPERLINK("https://otsuka-europe-crm.veevavault.com/ui/#object/sent_email__v/VBL00000000J766", "SE-001389167")</f>
        <v>SE-001389167</v>
      </c>
      <c r="D18611" s="1">
        <v>45972.582465277781</v>
      </c>
      <c r="E18611" s="2">
        <v>1</v>
      </c>
      <c r="F18611" s="2">
        <v>2</v>
      </c>
      <c r="G18611" s="2">
        <v>0</v>
      </c>
      <c r="H18611" s="1" t="s">
        <v>0</v>
      </c>
      <c r="I18611" s="2">
        <v>0</v>
      </c>
      <c r="J18611" s="1">
        <v>45972.579594907409</v>
      </c>
    </row>
    <row r="18612" spans="1:10" x14ac:dyDescent="0.2">
      <c r="A18612" s="4" t="s">
        <v>1</v>
      </c>
      <c r="B18612" s="3" t="str">
        <f>HYPERLINK("https://otsuka-europe-crm.veevavault.com/ui/#object/approved_document__v/V5O000000003010", "RXULTI - Caso Clínico ansiedad e irritabilidad")</f>
        <v>RXULTI - Caso Clínico ansiedad e irritabilidad</v>
      </c>
      <c r="C18612" s="3" t="str">
        <f>HYPERLINK("https://otsuka-europe-crm.veevavault.com/ui/#object/sent_email__v/VBL00000000J767", "SE-001389168")</f>
        <v>SE-001389168</v>
      </c>
      <c r="D18612" s="1" t="s">
        <v>0</v>
      </c>
      <c r="E18612" s="2">
        <v>0</v>
      </c>
      <c r="F18612" s="2">
        <v>0</v>
      </c>
      <c r="G18612" s="2">
        <v>0</v>
      </c>
      <c r="H18612" s="1" t="s">
        <v>0</v>
      </c>
      <c r="I18612" s="2">
        <v>0</v>
      </c>
      <c r="J18612" s="1">
        <v>45972.579652777778</v>
      </c>
    </row>
    <row r="18613" spans="1:10" x14ac:dyDescent="0.2">
      <c r="A18613" s="4" t="s">
        <v>1</v>
      </c>
      <c r="B18613" s="3" t="str">
        <f>HYPERLINK("https://otsuka-europe-crm.veevavault.com/ui/#object/approved_document__v/V5O000000003010", "RXULTI - Caso Clínico ansiedad e irritabilidad")</f>
        <v>RXULTI - Caso Clínico ansiedad e irritabilidad</v>
      </c>
      <c r="C18613" s="3" t="str">
        <f>HYPERLINK("https://otsuka-europe-crm.veevavault.com/ui/#object/sent_email__v/VBL00000000J768", "SE-001389169")</f>
        <v>SE-001389169</v>
      </c>
      <c r="D18613" s="1">
        <v>45986.778460648151</v>
      </c>
      <c r="E18613" s="2">
        <v>1</v>
      </c>
      <c r="F18613" s="2">
        <v>1</v>
      </c>
      <c r="G18613" s="2">
        <v>0</v>
      </c>
      <c r="H18613" s="1" t="s">
        <v>0</v>
      </c>
      <c r="I18613" s="2">
        <v>0</v>
      </c>
      <c r="J18613" s="1">
        <v>45972.579675925925</v>
      </c>
    </row>
    <row r="18614" spans="1:10" x14ac:dyDescent="0.2">
      <c r="A18614" s="4" t="s">
        <v>1</v>
      </c>
      <c r="B18614" s="3" t="str">
        <f>HYPERLINK("https://otsuka-europe-crm.veevavault.com/ui/#object/approved_document__v/V5O000000003010", "RXULTI - Caso Clínico ansiedad e irritabilidad")</f>
        <v>RXULTI - Caso Clínico ansiedad e irritabilidad</v>
      </c>
      <c r="C18614" s="3" t="str">
        <f>HYPERLINK("https://otsuka-europe-crm.veevavault.com/ui/#object/sent_email__v/VBL00000000J769", "SE-001389170")</f>
        <v>SE-001389170</v>
      </c>
      <c r="D18614" s="1" t="s">
        <v>0</v>
      </c>
      <c r="E18614" s="2">
        <v>0</v>
      </c>
      <c r="F18614" s="2">
        <v>0</v>
      </c>
      <c r="G18614" s="2">
        <v>0</v>
      </c>
      <c r="H18614" s="1" t="s">
        <v>0</v>
      </c>
      <c r="I18614" s="2">
        <v>0</v>
      </c>
      <c r="J18614" s="1">
        <v>45972.579722222225</v>
      </c>
    </row>
    <row r="18615" spans="1:10" x14ac:dyDescent="0.2">
      <c r="A18615" s="4" t="s">
        <v>1</v>
      </c>
      <c r="B18615" s="3" t="str">
        <f>HYPERLINK("https://otsuka-europe-crm.veevavault.com/ui/#object/approved_document__v/V5O000000003010", "RXULTI - Caso Clínico ansiedad e irritabilidad")</f>
        <v>RXULTI - Caso Clínico ansiedad e irritabilidad</v>
      </c>
      <c r="C18615" s="3" t="str">
        <f>HYPERLINK("https://otsuka-europe-crm.veevavault.com/ui/#object/sent_email__v/VBL00000000J770", "SE-001389171")</f>
        <v>SE-001389171</v>
      </c>
      <c r="D18615" s="1">
        <v>45994.698379629626</v>
      </c>
      <c r="E18615" s="2">
        <v>1</v>
      </c>
      <c r="F18615" s="2">
        <v>2</v>
      </c>
      <c r="G18615" s="2">
        <v>0</v>
      </c>
      <c r="H18615" s="1" t="s">
        <v>0</v>
      </c>
      <c r="I18615" s="2">
        <v>0</v>
      </c>
      <c r="J18615" s="1">
        <v>45972.579768518517</v>
      </c>
    </row>
    <row r="18616" spans="1:10" x14ac:dyDescent="0.2">
      <c r="A18616" s="4" t="s">
        <v>1</v>
      </c>
      <c r="B18616" s="3" t="str">
        <f>HYPERLINK("https://otsuka-europe-crm.veevavault.com/ui/#object/approved_document__v/V5O000000003010", "RXULTI - Caso Clínico ansiedad e irritabilidad")</f>
        <v>RXULTI - Caso Clínico ansiedad e irritabilidad</v>
      </c>
      <c r="C18616" s="3" t="str">
        <f>HYPERLINK("https://otsuka-europe-crm.veevavault.com/ui/#object/sent_email__v/VBL00000000J771", "SE-001389172")</f>
        <v>SE-001389172</v>
      </c>
      <c r="D18616" s="1" t="s">
        <v>0</v>
      </c>
      <c r="E18616" s="2">
        <v>0</v>
      </c>
      <c r="F18616" s="2">
        <v>0</v>
      </c>
      <c r="G18616" s="2">
        <v>0</v>
      </c>
      <c r="H18616" s="1" t="s">
        <v>0</v>
      </c>
      <c r="I18616" s="2">
        <v>0</v>
      </c>
      <c r="J18616" s="1">
        <v>45972.579814814817</v>
      </c>
    </row>
    <row r="18617" spans="1:10" x14ac:dyDescent="0.2">
      <c r="A18617" s="4" t="s">
        <v>1</v>
      </c>
      <c r="B18617" s="3" t="str">
        <f>HYPERLINK("https://otsuka-europe-crm.veevavault.com/ui/#object/approved_document__v/V5O000000003010", "RXULTI - Caso Clínico ansiedad e irritabilidad")</f>
        <v>RXULTI - Caso Clínico ansiedad e irritabilidad</v>
      </c>
      <c r="C18617" s="3" t="str">
        <f>HYPERLINK("https://otsuka-europe-crm.veevavault.com/ui/#object/sent_email__v/VBL00000000J772", "SE-001389173")</f>
        <v>SE-001389173</v>
      </c>
      <c r="D18617" s="1">
        <v>45972.684571759259</v>
      </c>
      <c r="E18617" s="2">
        <v>1</v>
      </c>
      <c r="F18617" s="2">
        <v>1</v>
      </c>
      <c r="G18617" s="2">
        <v>0</v>
      </c>
      <c r="H18617" s="1" t="s">
        <v>0</v>
      </c>
      <c r="I18617" s="2">
        <v>0</v>
      </c>
      <c r="J18617" s="1">
        <v>45972.57984953704</v>
      </c>
    </row>
    <row r="18618" spans="1:10" x14ac:dyDescent="0.2">
      <c r="A18618" s="4" t="s">
        <v>1</v>
      </c>
      <c r="B18618" s="3" t="str">
        <f>HYPERLINK("https://otsuka-europe-crm.veevavault.com/ui/#object/approved_document__v/V5O000000003010", "RXULTI - Caso Clínico ansiedad e irritabilidad")</f>
        <v>RXULTI - Caso Clínico ansiedad e irritabilidad</v>
      </c>
      <c r="C18618" s="3" t="str">
        <f>HYPERLINK("https://otsuka-europe-crm.veevavault.com/ui/#object/sent_email__v/VBL00000000J773", "SE-001389174")</f>
        <v>SE-001389174</v>
      </c>
      <c r="D18618" s="1">
        <v>45973.709756944445</v>
      </c>
      <c r="E18618" s="2">
        <v>1</v>
      </c>
      <c r="F18618" s="2">
        <v>3</v>
      </c>
      <c r="G18618" s="2">
        <v>0</v>
      </c>
      <c r="H18618" s="1" t="s">
        <v>0</v>
      </c>
      <c r="I18618" s="2">
        <v>0</v>
      </c>
      <c r="J18618" s="1">
        <v>45972.579895833333</v>
      </c>
    </row>
    <row r="18619" spans="1:10" x14ac:dyDescent="0.2">
      <c r="A18619" s="4" t="s">
        <v>1</v>
      </c>
      <c r="B18619" s="3" t="str">
        <f>HYPERLINK("https://otsuka-europe-crm.veevavault.com/ui/#object/approved_document__v/V5O000000003010", "RXULTI - Caso Clínico ansiedad e irritabilidad")</f>
        <v>RXULTI - Caso Clínico ansiedad e irritabilidad</v>
      </c>
      <c r="C18619" s="3" t="str">
        <f>HYPERLINK("https://otsuka-europe-crm.veevavault.com/ui/#object/sent_email__v/VBL00000000J774", "SE-001389175")</f>
        <v>SE-001389175</v>
      </c>
      <c r="D18619" s="1">
        <v>45974.619583333333</v>
      </c>
      <c r="E18619" s="2">
        <v>1</v>
      </c>
      <c r="F18619" s="2">
        <v>3</v>
      </c>
      <c r="G18619" s="2">
        <v>0</v>
      </c>
      <c r="H18619" s="1" t="s">
        <v>0</v>
      </c>
      <c r="I18619" s="2">
        <v>0</v>
      </c>
      <c r="J18619" s="1">
        <v>45972.579942129632</v>
      </c>
    </row>
    <row r="18620" spans="1:10" x14ac:dyDescent="0.2">
      <c r="A18620" s="4" t="s">
        <v>1</v>
      </c>
      <c r="B18620" s="3" t="str">
        <f>HYPERLINK("https://otsuka-europe-crm.veevavault.com/ui/#object/approved_document__v/V5O000000003010", "RXULTI - Caso Clínico ansiedad e irritabilidad")</f>
        <v>RXULTI - Caso Clínico ansiedad e irritabilidad</v>
      </c>
      <c r="C18620" s="3" t="str">
        <f>HYPERLINK("https://otsuka-europe-crm.veevavault.com/ui/#object/sent_email__v/VBL00000000J775", "SE-001389176")</f>
        <v>SE-001389176</v>
      </c>
      <c r="D18620" s="1">
        <v>45972.617546296293</v>
      </c>
      <c r="E18620" s="2">
        <v>1</v>
      </c>
      <c r="F18620" s="2">
        <v>1</v>
      </c>
      <c r="G18620" s="2">
        <v>0</v>
      </c>
      <c r="H18620" s="1" t="s">
        <v>0</v>
      </c>
      <c r="I18620" s="2">
        <v>0</v>
      </c>
      <c r="J18620" s="1">
        <v>45972.579976851855</v>
      </c>
    </row>
    <row r="18621" spans="1:10" x14ac:dyDescent="0.2">
      <c r="A18621" s="4" t="s">
        <v>1</v>
      </c>
      <c r="B18621" s="3" t="str">
        <f>HYPERLINK("https://otsuka-europe-crm.veevavault.com/ui/#object/approved_document__v/V5O000000003010", "RXULTI - Caso Clínico ansiedad e irritabilidad")</f>
        <v>RXULTI - Caso Clínico ansiedad e irritabilidad</v>
      </c>
      <c r="C18621" s="3" t="str">
        <f>HYPERLINK("https://otsuka-europe-crm.veevavault.com/ui/#object/sent_email__v/VBL00000000J776", "SE-001389177")</f>
        <v>SE-001389177</v>
      </c>
      <c r="D18621" s="1" t="s">
        <v>0</v>
      </c>
      <c r="E18621" s="2">
        <v>0</v>
      </c>
      <c r="F18621" s="2">
        <v>0</v>
      </c>
      <c r="G18621" s="2">
        <v>0</v>
      </c>
      <c r="H18621" s="1" t="s">
        <v>0</v>
      </c>
      <c r="I18621" s="2">
        <v>0</v>
      </c>
      <c r="J18621" s="1">
        <v>45972.580023148148</v>
      </c>
    </row>
    <row r="18622" spans="1:10" x14ac:dyDescent="0.2">
      <c r="A18622" s="4" t="s">
        <v>1</v>
      </c>
      <c r="B18622" s="3" t="str">
        <f>HYPERLINK("https://otsuka-europe-crm.veevavault.com/ui/#object/approved_document__v/V5O000000003010", "RXULTI - Caso Clínico ansiedad e irritabilidad")</f>
        <v>RXULTI - Caso Clínico ansiedad e irritabilidad</v>
      </c>
      <c r="C18622" s="3" t="str">
        <f>HYPERLINK("https://otsuka-europe-crm.veevavault.com/ui/#object/sent_email__v/VBL00000000J777", "SE-001389178")</f>
        <v>SE-001389178</v>
      </c>
      <c r="D18622" s="1">
        <v>45972.667974537035</v>
      </c>
      <c r="E18622" s="2">
        <v>1</v>
      </c>
      <c r="F18622" s="2">
        <v>1</v>
      </c>
      <c r="G18622" s="2">
        <v>0</v>
      </c>
      <c r="H18622" s="1" t="s">
        <v>0</v>
      </c>
      <c r="I18622" s="2">
        <v>0</v>
      </c>
      <c r="J18622" s="1">
        <v>45972.580069444448</v>
      </c>
    </row>
    <row r="18623" spans="1:10" x14ac:dyDescent="0.2">
      <c r="A18623" s="4" t="s">
        <v>1</v>
      </c>
      <c r="B18623" s="3" t="str">
        <f>HYPERLINK("https://otsuka-europe-crm.veevavault.com/ui/#object/approved_document__v/V5O000000003010", "RXULTI - Caso Clínico ansiedad e irritabilidad")</f>
        <v>RXULTI - Caso Clínico ansiedad e irritabilidad</v>
      </c>
      <c r="C18623" s="3" t="str">
        <f>HYPERLINK("https://otsuka-europe-crm.veevavault.com/ui/#object/sent_email__v/VBL00000000J778", "SE-001389179")</f>
        <v>SE-001389179</v>
      </c>
      <c r="D18623" s="1" t="s">
        <v>0</v>
      </c>
      <c r="E18623" s="2">
        <v>0</v>
      </c>
      <c r="F18623" s="2">
        <v>0</v>
      </c>
      <c r="G18623" s="2">
        <v>0</v>
      </c>
      <c r="H18623" s="1" t="s">
        <v>0</v>
      </c>
      <c r="I18623" s="2">
        <v>0</v>
      </c>
      <c r="J18623" s="1">
        <v>45972.580127314817</v>
      </c>
    </row>
    <row r="18624" spans="1:10" x14ac:dyDescent="0.2">
      <c r="A18624" s="4" t="s">
        <v>1</v>
      </c>
      <c r="B18624" s="3" t="str">
        <f>HYPERLINK("https://otsuka-europe-crm.veevavault.com/ui/#object/approved_document__v/V5O000000003010", "RXULTI - Caso Clínico ansiedad e irritabilidad")</f>
        <v>RXULTI - Caso Clínico ansiedad e irritabilidad</v>
      </c>
      <c r="C18624" s="3" t="str">
        <f>HYPERLINK("https://otsuka-europe-crm.veevavault.com/ui/#object/sent_email__v/VBL00000000J779", "SE-001389180")</f>
        <v>SE-001389180</v>
      </c>
      <c r="D18624" s="1" t="s">
        <v>0</v>
      </c>
      <c r="E18624" s="2">
        <v>0</v>
      </c>
      <c r="F18624" s="2">
        <v>0</v>
      </c>
      <c r="G18624" s="2">
        <v>0</v>
      </c>
      <c r="H18624" s="1" t="s">
        <v>0</v>
      </c>
      <c r="I18624" s="2">
        <v>0</v>
      </c>
      <c r="J18624" s="1">
        <v>45972.58016203704</v>
      </c>
    </row>
    <row r="18625" spans="1:10" x14ac:dyDescent="0.2">
      <c r="A18625" s="4" t="s">
        <v>1</v>
      </c>
      <c r="B18625" s="3" t="str">
        <f>HYPERLINK("https://otsuka-europe-crm.veevavault.com/ui/#object/approved_document__v/V5O000000003010", "RXULTI - Caso Clínico ansiedad e irritabilidad")</f>
        <v>RXULTI - Caso Clínico ansiedad e irritabilidad</v>
      </c>
      <c r="C18625" s="3" t="str">
        <f>HYPERLINK("https://otsuka-europe-crm.veevavault.com/ui/#object/sent_email__v/VBL00000000J780", "SE-001389181")</f>
        <v>SE-001389181</v>
      </c>
      <c r="D18625" s="1">
        <v>45993.878969907404</v>
      </c>
      <c r="E18625" s="2">
        <v>1</v>
      </c>
      <c r="F18625" s="2">
        <v>4</v>
      </c>
      <c r="G18625" s="2">
        <v>0</v>
      </c>
      <c r="H18625" s="1" t="s">
        <v>0</v>
      </c>
      <c r="I18625" s="2">
        <v>0</v>
      </c>
      <c r="J18625" s="1">
        <v>45972.580208333333</v>
      </c>
    </row>
    <row r="18626" spans="1:10" x14ac:dyDescent="0.2">
      <c r="A18626" s="4" t="s">
        <v>1</v>
      </c>
      <c r="B18626" s="3" t="str">
        <f>HYPERLINK("https://otsuka-europe-crm.veevavault.com/ui/#object/approved_document__v/V5O000000003010", "RXULTI - Caso Clínico ansiedad e irritabilidad")</f>
        <v>RXULTI - Caso Clínico ansiedad e irritabilidad</v>
      </c>
      <c r="C18626" s="3" t="str">
        <f>HYPERLINK("https://otsuka-europe-crm.veevavault.com/ui/#object/sent_email__v/VBL00000000J781", "SE-001389182")</f>
        <v>SE-001389182</v>
      </c>
      <c r="D18626" s="1">
        <v>45972.622662037036</v>
      </c>
      <c r="E18626" s="2">
        <v>1</v>
      </c>
      <c r="F18626" s="2">
        <v>2</v>
      </c>
      <c r="G18626" s="2">
        <v>0</v>
      </c>
      <c r="H18626" s="1" t="s">
        <v>0</v>
      </c>
      <c r="I18626" s="2">
        <v>0</v>
      </c>
      <c r="J18626" s="1">
        <v>45972.580243055556</v>
      </c>
    </row>
    <row r="18627" spans="1:10" x14ac:dyDescent="0.2">
      <c r="A18627" s="4" t="s">
        <v>1</v>
      </c>
      <c r="B18627" s="3" t="str">
        <f>HYPERLINK("https://otsuka-europe-crm.veevavault.com/ui/#object/approved_document__v/V5O000000003010", "RXULTI - Caso Clínico ansiedad e irritabilidad")</f>
        <v>RXULTI - Caso Clínico ansiedad e irritabilidad</v>
      </c>
      <c r="C18627" s="3" t="str">
        <f>HYPERLINK("https://otsuka-europe-crm.veevavault.com/ui/#object/sent_email__v/VBL00000000J782", "SE-001389183")</f>
        <v>SE-001389183</v>
      </c>
      <c r="D18627" s="1">
        <v>45972.904097222221</v>
      </c>
      <c r="E18627" s="2">
        <v>1</v>
      </c>
      <c r="F18627" s="2">
        <v>2</v>
      </c>
      <c r="G18627" s="2">
        <v>0</v>
      </c>
      <c r="H18627" s="1" t="s">
        <v>0</v>
      </c>
      <c r="I18627" s="2">
        <v>0</v>
      </c>
      <c r="J18627" s="1">
        <v>45972.580312500002</v>
      </c>
    </row>
    <row r="18628" spans="1:10" x14ac:dyDescent="0.2">
      <c r="A18628" s="4" t="s">
        <v>1</v>
      </c>
      <c r="B18628" s="3" t="str">
        <f>HYPERLINK("https://otsuka-europe-crm.veevavault.com/ui/#object/approved_document__v/V5O000000003010", "RXULTI - Caso Clínico ansiedad e irritabilidad")</f>
        <v>RXULTI - Caso Clínico ansiedad e irritabilidad</v>
      </c>
      <c r="C18628" s="3" t="str">
        <f>HYPERLINK("https://otsuka-europe-crm.veevavault.com/ui/#object/sent_email__v/VBL00000000J783", "SE-001389184")</f>
        <v>SE-001389184</v>
      </c>
      <c r="D18628" s="1">
        <v>45973.87195601852</v>
      </c>
      <c r="E18628" s="2">
        <v>1</v>
      </c>
      <c r="F18628" s="2">
        <v>2</v>
      </c>
      <c r="G18628" s="2">
        <v>1</v>
      </c>
      <c r="H18628" s="1">
        <v>45973.872175925928</v>
      </c>
      <c r="I18628" s="2">
        <v>1</v>
      </c>
      <c r="J18628" s="1">
        <v>45972.580335648148</v>
      </c>
    </row>
    <row r="18629" spans="1:10" x14ac:dyDescent="0.2">
      <c r="A18629" s="4" t="s">
        <v>1</v>
      </c>
      <c r="B18629" s="3" t="str">
        <f>HYPERLINK("https://otsuka-europe-crm.veevavault.com/ui/#object/approved_document__v/V5O000000003010", "RXULTI - Caso Clínico ansiedad e irritabilidad")</f>
        <v>RXULTI - Caso Clínico ansiedad e irritabilidad</v>
      </c>
      <c r="C18629" s="3" t="str">
        <f>HYPERLINK("https://otsuka-europe-crm.veevavault.com/ui/#object/sent_email__v/VBL00000000J784", "SE-001389185")</f>
        <v>SE-001389185</v>
      </c>
      <c r="D18629" s="1">
        <v>45972.95722222222</v>
      </c>
      <c r="E18629" s="2">
        <v>1</v>
      </c>
      <c r="F18629" s="2">
        <v>2</v>
      </c>
      <c r="G18629" s="2">
        <v>0</v>
      </c>
      <c r="H18629" s="1" t="s">
        <v>0</v>
      </c>
      <c r="I18629" s="2">
        <v>0</v>
      </c>
      <c r="J18629" s="1">
        <v>45972.580381944441</v>
      </c>
    </row>
    <row r="18630" spans="1:10" x14ac:dyDescent="0.2">
      <c r="A18630" s="4" t="s">
        <v>1</v>
      </c>
      <c r="B18630" s="3" t="str">
        <f>HYPERLINK("https://otsuka-europe-crm.veevavault.com/ui/#object/approved_document__v/V5O000000003010", "RXULTI - Caso Clínico ansiedad e irritabilidad")</f>
        <v>RXULTI - Caso Clínico ansiedad e irritabilidad</v>
      </c>
      <c r="C18630" s="3" t="str">
        <f>HYPERLINK("https://otsuka-europe-crm.veevavault.com/ui/#object/sent_email__v/VBL00000000J785", "SE-001389186")</f>
        <v>SE-001389186</v>
      </c>
      <c r="D18630" s="1">
        <v>45972.676134259258</v>
      </c>
      <c r="E18630" s="2">
        <v>1</v>
      </c>
      <c r="F18630" s="2">
        <v>1</v>
      </c>
      <c r="G18630" s="2">
        <v>0</v>
      </c>
      <c r="H18630" s="1" t="s">
        <v>0</v>
      </c>
      <c r="I18630" s="2">
        <v>0</v>
      </c>
      <c r="J18630" s="1">
        <v>45972.580416666664</v>
      </c>
    </row>
    <row r="18631" spans="1:10" x14ac:dyDescent="0.2">
      <c r="A18631" s="4" t="s">
        <v>1</v>
      </c>
      <c r="B18631" s="3" t="str">
        <f>HYPERLINK("https://otsuka-europe-crm.veevavault.com/ui/#object/approved_document__v/V5O000000003010", "RXULTI - Caso Clínico ansiedad e irritabilidad")</f>
        <v>RXULTI - Caso Clínico ansiedad e irritabilidad</v>
      </c>
      <c r="C18631" s="3" t="str">
        <f>HYPERLINK("https://otsuka-europe-crm.veevavault.com/ui/#object/sent_email__v/VBL00000000J786", "SE-001389187")</f>
        <v>SE-001389187</v>
      </c>
      <c r="D18631" s="1" t="s">
        <v>0</v>
      </c>
      <c r="E18631" s="2">
        <v>0</v>
      </c>
      <c r="F18631" s="2">
        <v>0</v>
      </c>
      <c r="G18631" s="2">
        <v>0</v>
      </c>
      <c r="H18631" s="1" t="s">
        <v>0</v>
      </c>
      <c r="I18631" s="2">
        <v>0</v>
      </c>
      <c r="J18631" s="1">
        <v>45972.580462962964</v>
      </c>
    </row>
    <row r="18632" spans="1:10" x14ac:dyDescent="0.2">
      <c r="A18632" s="4" t="s">
        <v>1</v>
      </c>
      <c r="B18632" s="3" t="str">
        <f>HYPERLINK("https://otsuka-europe-crm.veevavault.com/ui/#object/approved_document__v/V5O000000003010", "RXULTI - Caso Clínico ansiedad e irritabilidad")</f>
        <v>RXULTI - Caso Clínico ansiedad e irritabilidad</v>
      </c>
      <c r="C18632" s="3" t="str">
        <f>HYPERLINK("https://otsuka-europe-crm.veevavault.com/ui/#object/sent_email__v/VBL00000000J787", "SE-001389188")</f>
        <v>SE-001389188</v>
      </c>
      <c r="D18632" s="1">
        <v>45972.644363425927</v>
      </c>
      <c r="E18632" s="2">
        <v>1</v>
      </c>
      <c r="F18632" s="2">
        <v>1</v>
      </c>
      <c r="G18632" s="2">
        <v>0</v>
      </c>
      <c r="H18632" s="1" t="s">
        <v>0</v>
      </c>
      <c r="I18632" s="2">
        <v>0</v>
      </c>
      <c r="J18632" s="1">
        <v>45972.580497685187</v>
      </c>
    </row>
    <row r="18633" spans="1:10" x14ac:dyDescent="0.2">
      <c r="A18633" s="4" t="s">
        <v>1</v>
      </c>
      <c r="B18633" s="3" t="str">
        <f>HYPERLINK("https://otsuka-europe-crm.veevavault.com/ui/#object/approved_document__v/V5O000000003010", "RXULTI - Caso Clínico ansiedad e irritabilidad")</f>
        <v>RXULTI - Caso Clínico ansiedad e irritabilidad</v>
      </c>
      <c r="C18633" s="3" t="str">
        <f>HYPERLINK("https://otsuka-europe-crm.veevavault.com/ui/#object/sent_email__v/VBL00000000J788", "SE-001389189")</f>
        <v>SE-001389189</v>
      </c>
      <c r="D18633" s="1">
        <v>45972.581736111111</v>
      </c>
      <c r="E18633" s="2">
        <v>1</v>
      </c>
      <c r="F18633" s="2">
        <v>1</v>
      </c>
      <c r="G18633" s="2">
        <v>0</v>
      </c>
      <c r="H18633" s="1" t="s">
        <v>0</v>
      </c>
      <c r="I18633" s="2">
        <v>0</v>
      </c>
      <c r="J18633" s="1">
        <v>45972.580543981479</v>
      </c>
    </row>
    <row r="18634" spans="1:10" x14ac:dyDescent="0.2">
      <c r="A18634" s="4" t="s">
        <v>1</v>
      </c>
      <c r="B18634" s="3" t="str">
        <f>HYPERLINK("https://otsuka-europe-crm.veevavault.com/ui/#object/approved_document__v/V5O000000003010", "RXULTI - Caso Clínico ansiedad e irritabilidad")</f>
        <v>RXULTI - Caso Clínico ansiedad e irritabilidad</v>
      </c>
      <c r="C18634" s="3" t="str">
        <f>HYPERLINK("https://otsuka-europe-crm.veevavault.com/ui/#object/sent_email__v/VBL00000000J789", "SE-001389190")</f>
        <v>SE-001389190</v>
      </c>
      <c r="D18634" s="1">
        <v>45972.670312499999</v>
      </c>
      <c r="E18634" s="2">
        <v>1</v>
      </c>
      <c r="F18634" s="2">
        <v>2</v>
      </c>
      <c r="G18634" s="2">
        <v>1</v>
      </c>
      <c r="H18634" s="1">
        <v>45972.67046296296</v>
      </c>
      <c r="I18634" s="2">
        <v>1</v>
      </c>
      <c r="J18634" s="1">
        <v>45972.580578703702</v>
      </c>
    </row>
    <row r="18635" spans="1:10" x14ac:dyDescent="0.2">
      <c r="A18635" s="4" t="s">
        <v>1</v>
      </c>
      <c r="B18635" s="3" t="str">
        <f>HYPERLINK("https://otsuka-europe-crm.veevavault.com/ui/#object/approved_document__v/V5O000000003010", "RXULTI - Caso Clínico ansiedad e irritabilidad")</f>
        <v>RXULTI - Caso Clínico ansiedad e irritabilidad</v>
      </c>
      <c r="C18635" s="3" t="str">
        <f>HYPERLINK("https://otsuka-europe-crm.veevavault.com/ui/#object/sent_email__v/VBL00000000J790", "SE-001389191")</f>
        <v>SE-001389191</v>
      </c>
      <c r="D18635" s="1" t="s">
        <v>0</v>
      </c>
      <c r="E18635" s="2">
        <v>0</v>
      </c>
      <c r="F18635" s="2">
        <v>0</v>
      </c>
      <c r="G18635" s="2">
        <v>0</v>
      </c>
      <c r="H18635" s="1" t="s">
        <v>0</v>
      </c>
      <c r="I18635" s="2">
        <v>0</v>
      </c>
      <c r="J18635" s="1">
        <v>45972.580625000002</v>
      </c>
    </row>
    <row r="18636" spans="1:10" x14ac:dyDescent="0.2">
      <c r="A18636" s="4" t="s">
        <v>1</v>
      </c>
      <c r="B18636" s="3" t="str">
        <f>HYPERLINK("https://otsuka-europe-crm.veevavault.com/ui/#object/approved_document__v/V5O000000003010", "RXULTI - Caso Clínico ansiedad e irritabilidad")</f>
        <v>RXULTI - Caso Clínico ansiedad e irritabilidad</v>
      </c>
      <c r="C18636" s="3" t="str">
        <f>HYPERLINK("https://otsuka-europe-crm.veevavault.com/ui/#object/sent_email__v/VBL00000000J791", "SE-001389192")</f>
        <v>SE-001389192</v>
      </c>
      <c r="D18636" s="1">
        <v>45973.683229166665</v>
      </c>
      <c r="E18636" s="2">
        <v>1</v>
      </c>
      <c r="F18636" s="2">
        <v>1</v>
      </c>
      <c r="G18636" s="2">
        <v>0</v>
      </c>
      <c r="H18636" s="1" t="s">
        <v>0</v>
      </c>
      <c r="I18636" s="2">
        <v>0</v>
      </c>
      <c r="J18636" s="1">
        <v>45972.580671296295</v>
      </c>
    </row>
    <row r="18637" spans="1:10" x14ac:dyDescent="0.2">
      <c r="A18637" s="4" t="s">
        <v>1</v>
      </c>
      <c r="B18637" s="3" t="str">
        <f>HYPERLINK("https://otsuka-europe-crm.veevavault.com/ui/#object/approved_document__v/V5O000000003010", "RXULTI - Caso Clínico ansiedad e irritabilidad")</f>
        <v>RXULTI - Caso Clínico ansiedad e irritabilidad</v>
      </c>
      <c r="C18637" s="3" t="str">
        <f>HYPERLINK("https://otsuka-europe-crm.veevavault.com/ui/#object/sent_email__v/VBL00000000J792", "SE-001389193")</f>
        <v>SE-001389193</v>
      </c>
      <c r="D18637" s="1" t="s">
        <v>0</v>
      </c>
      <c r="E18637" s="2">
        <v>0</v>
      </c>
      <c r="F18637" s="2">
        <v>0</v>
      </c>
      <c r="G18637" s="2">
        <v>0</v>
      </c>
      <c r="H18637" s="1" t="s">
        <v>0</v>
      </c>
      <c r="I18637" s="2">
        <v>0</v>
      </c>
      <c r="J18637" s="1">
        <v>45972.580706018518</v>
      </c>
    </row>
    <row r="18638" spans="1:10" x14ac:dyDescent="0.2">
      <c r="A18638" s="4" t="s">
        <v>1</v>
      </c>
      <c r="B18638" s="3" t="str">
        <f>HYPERLINK("https://otsuka-europe-crm.veevavault.com/ui/#object/approved_document__v/V5O000000003010", "RXULTI - Caso Clínico ansiedad e irritabilidad")</f>
        <v>RXULTI - Caso Clínico ansiedad e irritabilidad</v>
      </c>
      <c r="C18638" s="3" t="str">
        <f>HYPERLINK("https://otsuka-europe-crm.veevavault.com/ui/#object/sent_email__v/VBL00000000J793", "SE-001389194")</f>
        <v>SE-001389194</v>
      </c>
      <c r="D18638" s="1">
        <v>45972.850532407407</v>
      </c>
      <c r="E18638" s="2">
        <v>1</v>
      </c>
      <c r="F18638" s="2">
        <v>2</v>
      </c>
      <c r="G18638" s="2">
        <v>0</v>
      </c>
      <c r="H18638" s="1" t="s">
        <v>0</v>
      </c>
      <c r="I18638" s="2">
        <v>0</v>
      </c>
      <c r="J18638" s="1">
        <v>45972.580740740741</v>
      </c>
    </row>
    <row r="18639" spans="1:10" x14ac:dyDescent="0.2">
      <c r="A18639" s="4" t="s">
        <v>1</v>
      </c>
      <c r="B18639" s="3" t="str">
        <f>HYPERLINK("https://otsuka-europe-crm.veevavault.com/ui/#object/approved_document__v/V5O000000003010", "RXULTI - Caso Clínico ansiedad e irritabilidad")</f>
        <v>RXULTI - Caso Clínico ansiedad e irritabilidad</v>
      </c>
      <c r="C18639" s="3" t="str">
        <f>HYPERLINK("https://otsuka-europe-crm.veevavault.com/ui/#object/sent_email__v/VBL00000000J794", "SE-001389195")</f>
        <v>SE-001389195</v>
      </c>
      <c r="D18639" s="1">
        <v>45972.659907407404</v>
      </c>
      <c r="E18639" s="2">
        <v>1</v>
      </c>
      <c r="F18639" s="2">
        <v>1</v>
      </c>
      <c r="G18639" s="2">
        <v>0</v>
      </c>
      <c r="H18639" s="1" t="s">
        <v>0</v>
      </c>
      <c r="I18639" s="2">
        <v>0</v>
      </c>
      <c r="J18639" s="1">
        <v>45972.58079861111</v>
      </c>
    </row>
    <row r="18640" spans="1:10" x14ac:dyDescent="0.2">
      <c r="A18640" s="4" t="s">
        <v>1</v>
      </c>
      <c r="B18640" s="3" t="str">
        <f>HYPERLINK("https://otsuka-europe-crm.veevavault.com/ui/#object/approved_document__v/V5O000000003010", "RXULTI - Caso Clínico ansiedad e irritabilidad")</f>
        <v>RXULTI - Caso Clínico ansiedad e irritabilidad</v>
      </c>
      <c r="C18640" s="3" t="str">
        <f>HYPERLINK("https://otsuka-europe-crm.veevavault.com/ui/#object/sent_email__v/VBL00000000J795", "SE-001389196")</f>
        <v>SE-001389196</v>
      </c>
      <c r="D18640" s="1">
        <v>45972.648796296293</v>
      </c>
      <c r="E18640" s="2">
        <v>1</v>
      </c>
      <c r="F18640" s="2">
        <v>1</v>
      </c>
      <c r="G18640" s="2">
        <v>0</v>
      </c>
      <c r="H18640" s="1" t="s">
        <v>0</v>
      </c>
      <c r="I18640" s="2">
        <v>0</v>
      </c>
      <c r="J18640" s="1">
        <v>45972.58085648148</v>
      </c>
    </row>
    <row r="18641" spans="1:10" x14ac:dyDescent="0.2">
      <c r="A18641" s="4" t="s">
        <v>1</v>
      </c>
      <c r="B18641" s="3" t="str">
        <f>HYPERLINK("https://otsuka-europe-crm.veevavault.com/ui/#object/approved_document__v/V5O000000003010", "RXULTI - Caso Clínico ansiedad e irritabilidad")</f>
        <v>RXULTI - Caso Clínico ansiedad e irritabilidad</v>
      </c>
      <c r="C18641" s="3" t="str">
        <f>HYPERLINK("https://otsuka-europe-crm.veevavault.com/ui/#object/sent_email__v/VBL00000000J796", "SE-001389197")</f>
        <v>SE-001389197</v>
      </c>
      <c r="D18641" s="1">
        <v>45972.925567129627</v>
      </c>
      <c r="E18641" s="2">
        <v>1</v>
      </c>
      <c r="F18641" s="2">
        <v>2</v>
      </c>
      <c r="G18641" s="2">
        <v>0</v>
      </c>
      <c r="H18641" s="1" t="s">
        <v>0</v>
      </c>
      <c r="I18641" s="2">
        <v>0</v>
      </c>
      <c r="J18641" s="1">
        <v>45972.580891203703</v>
      </c>
    </row>
    <row r="18642" spans="1:10" x14ac:dyDescent="0.2">
      <c r="A18642" s="4" t="s">
        <v>1</v>
      </c>
      <c r="B18642" s="3" t="str">
        <f>HYPERLINK("https://otsuka-europe-crm.veevavault.com/ui/#object/approved_document__v/V5O000000003010", "RXULTI - Caso Clínico ansiedad e irritabilidad")</f>
        <v>RXULTI - Caso Clínico ansiedad e irritabilidad</v>
      </c>
      <c r="C18642" s="3" t="str">
        <f>HYPERLINK("https://otsuka-europe-crm.veevavault.com/ui/#object/sent_email__v/VBL00000000J797", "SE-001389198")</f>
        <v>SE-001389198</v>
      </c>
      <c r="D18642" s="1">
        <v>45972.622627314813</v>
      </c>
      <c r="E18642" s="2">
        <v>1</v>
      </c>
      <c r="F18642" s="2">
        <v>1</v>
      </c>
      <c r="G18642" s="2">
        <v>0</v>
      </c>
      <c r="H18642" s="1" t="s">
        <v>0</v>
      </c>
      <c r="I18642" s="2">
        <v>0</v>
      </c>
      <c r="J18642" s="1">
        <v>45972.580949074072</v>
      </c>
    </row>
    <row r="18643" spans="1:10" x14ac:dyDescent="0.2">
      <c r="A18643" s="4" t="s">
        <v>1</v>
      </c>
      <c r="B18643" s="3" t="str">
        <f>HYPERLINK("https://otsuka-europe-crm.veevavault.com/ui/#object/approved_document__v/V5O000000003010", "RXULTI - Caso Clínico ansiedad e irritabilidad")</f>
        <v>RXULTI - Caso Clínico ansiedad e irritabilidad</v>
      </c>
      <c r="C18643" s="3" t="str">
        <f>HYPERLINK("https://otsuka-europe-crm.veevavault.com/ui/#object/sent_email__v/VBL00000000J798", "SE-001389199")</f>
        <v>SE-001389199</v>
      </c>
      <c r="D18643" s="1">
        <v>45973.004502314812</v>
      </c>
      <c r="E18643" s="2">
        <v>1</v>
      </c>
      <c r="F18643" s="2">
        <v>1</v>
      </c>
      <c r="G18643" s="2">
        <v>0</v>
      </c>
      <c r="H18643" s="1" t="s">
        <v>0</v>
      </c>
      <c r="I18643" s="2">
        <v>0</v>
      </c>
      <c r="J18643" s="1">
        <v>45972.580983796295</v>
      </c>
    </row>
    <row r="18644" spans="1:10" x14ac:dyDescent="0.2">
      <c r="A18644" s="4" t="s">
        <v>1</v>
      </c>
      <c r="B18644" s="3" t="str">
        <f>HYPERLINK("https://otsuka-europe-crm.veevavault.com/ui/#object/approved_document__v/V5O000000003010", "RXULTI - Caso Clínico ansiedad e irritabilidad")</f>
        <v>RXULTI - Caso Clínico ansiedad e irritabilidad</v>
      </c>
      <c r="C18644" s="3" t="str">
        <f>HYPERLINK("https://otsuka-europe-crm.veevavault.com/ui/#object/sent_email__v/VBL00000000J799", "SE-001389200")</f>
        <v>SE-001389200</v>
      </c>
      <c r="D18644" s="1" t="s">
        <v>0</v>
      </c>
      <c r="E18644" s="2">
        <v>0</v>
      </c>
      <c r="F18644" s="2">
        <v>0</v>
      </c>
      <c r="G18644" s="2">
        <v>0</v>
      </c>
      <c r="H18644" s="1" t="s">
        <v>0</v>
      </c>
      <c r="I18644" s="2">
        <v>0</v>
      </c>
      <c r="J18644" s="1">
        <v>45972.581018518518</v>
      </c>
    </row>
    <row r="18645" spans="1:10" x14ac:dyDescent="0.2">
      <c r="A18645" s="4" t="s">
        <v>1</v>
      </c>
      <c r="B18645" s="3" t="str">
        <f>HYPERLINK("https://otsuka-europe-crm.veevavault.com/ui/#object/approved_document__v/V5O000000003010", "RXULTI - Caso Clínico ansiedad e irritabilidad")</f>
        <v>RXULTI - Caso Clínico ansiedad e irritabilidad</v>
      </c>
      <c r="C18645" s="3" t="str">
        <f>HYPERLINK("https://otsuka-europe-crm.veevavault.com/ui/#object/sent_email__v/VBL00000000J800", "SE-001389201")</f>
        <v>SE-001389201</v>
      </c>
      <c r="D18645" s="1">
        <v>45973.629328703704</v>
      </c>
      <c r="E18645" s="2">
        <v>1</v>
      </c>
      <c r="F18645" s="2">
        <v>3</v>
      </c>
      <c r="G18645" s="2">
        <v>1</v>
      </c>
      <c r="H18645" s="1">
        <v>45973.329594907409</v>
      </c>
      <c r="I18645" s="2">
        <v>4</v>
      </c>
      <c r="J18645" s="1">
        <v>45972.581053240741</v>
      </c>
    </row>
    <row r="18646" spans="1:10" x14ac:dyDescent="0.2">
      <c r="A18646" s="4" t="s">
        <v>1</v>
      </c>
      <c r="B18646" s="3" t="str">
        <f>HYPERLINK("https://otsuka-europe-crm.veevavault.com/ui/#object/approved_document__v/V5O000000003010", "RXULTI - Caso Clínico ansiedad e irritabilidad")</f>
        <v>RXULTI - Caso Clínico ansiedad e irritabilidad</v>
      </c>
      <c r="C18646" s="3" t="str">
        <f>HYPERLINK("https://otsuka-europe-crm.veevavault.com/ui/#object/sent_email__v/VBL00000000J801", "SE-001389202")</f>
        <v>SE-001389202</v>
      </c>
      <c r="D18646" s="1" t="s">
        <v>0</v>
      </c>
      <c r="E18646" s="2">
        <v>0</v>
      </c>
      <c r="F18646" s="2">
        <v>0</v>
      </c>
      <c r="G18646" s="2">
        <v>0</v>
      </c>
      <c r="H18646" s="1" t="s">
        <v>0</v>
      </c>
      <c r="I18646" s="2">
        <v>0</v>
      </c>
      <c r="J18646" s="1">
        <v>45972.581099537034</v>
      </c>
    </row>
    <row r="18647" spans="1:10" x14ac:dyDescent="0.2">
      <c r="A18647" s="4" t="s">
        <v>1</v>
      </c>
      <c r="B18647" s="3" t="str">
        <f>HYPERLINK("https://otsuka-europe-crm.veevavault.com/ui/#object/approved_document__v/V5O000000003010", "RXULTI - Caso Clínico ansiedad e irritabilidad")</f>
        <v>RXULTI - Caso Clínico ansiedad e irritabilidad</v>
      </c>
      <c r="C18647" s="3" t="str">
        <f>HYPERLINK("https://otsuka-europe-crm.veevavault.com/ui/#object/sent_email__v/VBL00000000J802", "SE-001389203")</f>
        <v>SE-001389203</v>
      </c>
      <c r="D18647" s="1">
        <v>45972.590937499997</v>
      </c>
      <c r="E18647" s="2">
        <v>1</v>
      </c>
      <c r="F18647" s="2">
        <v>1</v>
      </c>
      <c r="G18647" s="2">
        <v>0</v>
      </c>
      <c r="H18647" s="1" t="s">
        <v>0</v>
      </c>
      <c r="I18647" s="2">
        <v>0</v>
      </c>
      <c r="J18647" s="1">
        <v>45972.581134259257</v>
      </c>
    </row>
    <row r="18648" spans="1:10" x14ac:dyDescent="0.2">
      <c r="A18648" s="4" t="s">
        <v>1</v>
      </c>
      <c r="B18648" s="3" t="str">
        <f>HYPERLINK("https://otsuka-europe-crm.veevavault.com/ui/#object/approved_document__v/V5O000000003010", "RXULTI - Caso Clínico ansiedad e irritabilidad")</f>
        <v>RXULTI - Caso Clínico ansiedad e irritabilidad</v>
      </c>
      <c r="C18648" s="3" t="str">
        <f>HYPERLINK("https://otsuka-europe-crm.veevavault.com/ui/#object/sent_email__v/VBL00000000J803", "SE-001389204")</f>
        <v>SE-001389204</v>
      </c>
      <c r="D18648" s="1">
        <v>45972.976585648146</v>
      </c>
      <c r="E18648" s="2">
        <v>1</v>
      </c>
      <c r="F18648" s="2">
        <v>2</v>
      </c>
      <c r="G18648" s="2">
        <v>0</v>
      </c>
      <c r="H18648" s="1" t="s">
        <v>0</v>
      </c>
      <c r="I18648" s="2">
        <v>0</v>
      </c>
      <c r="J18648" s="1">
        <v>45972.58116898148</v>
      </c>
    </row>
    <row r="18649" spans="1:10" x14ac:dyDescent="0.2">
      <c r="A18649" s="4" t="s">
        <v>1</v>
      </c>
      <c r="B18649" s="3" t="str">
        <f>HYPERLINK("https://otsuka-europe-crm.veevavault.com/ui/#object/approved_document__v/V5O000000003010", "RXULTI - Caso Clínico ansiedad e irritabilidad")</f>
        <v>RXULTI - Caso Clínico ansiedad e irritabilidad</v>
      </c>
      <c r="C18649" s="3" t="str">
        <f>HYPERLINK("https://otsuka-europe-crm.veevavault.com/ui/#object/sent_email__v/VBL00000000J804", "SE-001389205")</f>
        <v>SE-001389205</v>
      </c>
      <c r="D18649" s="1" t="s">
        <v>0</v>
      </c>
      <c r="E18649" s="2">
        <v>0</v>
      </c>
      <c r="F18649" s="2">
        <v>0</v>
      </c>
      <c r="G18649" s="2">
        <v>0</v>
      </c>
      <c r="H18649" s="1" t="s">
        <v>0</v>
      </c>
      <c r="I18649" s="2">
        <v>0</v>
      </c>
      <c r="J18649" s="1">
        <v>45972.58121527778</v>
      </c>
    </row>
    <row r="18650" spans="1:10" x14ac:dyDescent="0.2">
      <c r="A18650" s="4" t="s">
        <v>1</v>
      </c>
      <c r="B18650" s="3" t="str">
        <f>HYPERLINK("https://otsuka-europe-crm.veevavault.com/ui/#object/approved_document__v/V5O000000003010", "RXULTI - Caso Clínico ansiedad e irritabilidad")</f>
        <v>RXULTI - Caso Clínico ansiedad e irritabilidad</v>
      </c>
      <c r="C18650" s="3" t="str">
        <f>HYPERLINK("https://otsuka-europe-crm.veevavault.com/ui/#object/sent_email__v/VBL00000000J805", "SE-001389206")</f>
        <v>SE-001389206</v>
      </c>
      <c r="D18650" s="1">
        <v>45973.93041666667</v>
      </c>
      <c r="E18650" s="2">
        <v>1</v>
      </c>
      <c r="F18650" s="2">
        <v>1</v>
      </c>
      <c r="G18650" s="2">
        <v>0</v>
      </c>
      <c r="H18650" s="1" t="s">
        <v>0</v>
      </c>
      <c r="I18650" s="2">
        <v>0</v>
      </c>
      <c r="J18650" s="1">
        <v>45972.581250000003</v>
      </c>
    </row>
    <row r="18651" spans="1:10" x14ac:dyDescent="0.2">
      <c r="A18651" s="4" t="s">
        <v>1</v>
      </c>
      <c r="B18651" s="3" t="str">
        <f>HYPERLINK("https://otsuka-europe-crm.veevavault.com/ui/#object/approved_document__v/V5O000000003010", "RXULTI - Caso Clínico ansiedad e irritabilidad")</f>
        <v>RXULTI - Caso Clínico ansiedad e irritabilidad</v>
      </c>
      <c r="C18651" s="3" t="str">
        <f>HYPERLINK("https://otsuka-europe-crm.veevavault.com/ui/#object/sent_email__v/VBL00000000J806", "SE-001389207")</f>
        <v>SE-001389207</v>
      </c>
      <c r="D18651" s="1" t="s">
        <v>0</v>
      </c>
      <c r="E18651" s="2">
        <v>0</v>
      </c>
      <c r="F18651" s="2">
        <v>0</v>
      </c>
      <c r="G18651" s="2">
        <v>0</v>
      </c>
      <c r="H18651" s="1" t="s">
        <v>0</v>
      </c>
      <c r="I18651" s="2">
        <v>0</v>
      </c>
      <c r="J18651" s="1">
        <v>45972.581296296295</v>
      </c>
    </row>
    <row r="18652" spans="1:10" x14ac:dyDescent="0.2">
      <c r="A18652" s="4" t="s">
        <v>1</v>
      </c>
      <c r="B18652" s="3" t="str">
        <f>HYPERLINK("https://otsuka-europe-crm.veevavault.com/ui/#object/approved_document__v/V5O000000003010", "RXULTI - Caso Clínico ansiedad e irritabilidad")</f>
        <v>RXULTI - Caso Clínico ansiedad e irritabilidad</v>
      </c>
      <c r="C18652" s="3" t="str">
        <f>HYPERLINK("https://otsuka-europe-crm.veevavault.com/ui/#object/sent_email__v/VBL00000000J807", "SE-001389208")</f>
        <v>SE-001389208</v>
      </c>
      <c r="D18652" s="1" t="s">
        <v>0</v>
      </c>
      <c r="E18652" s="2">
        <v>0</v>
      </c>
      <c r="F18652" s="2">
        <v>0</v>
      </c>
      <c r="G18652" s="2">
        <v>0</v>
      </c>
      <c r="H18652" s="1" t="s">
        <v>0</v>
      </c>
      <c r="I18652" s="2">
        <v>0</v>
      </c>
      <c r="J18652" s="1">
        <v>45972.581342592595</v>
      </c>
    </row>
    <row r="18653" spans="1:10" x14ac:dyDescent="0.2">
      <c r="A18653" s="4" t="s">
        <v>1</v>
      </c>
      <c r="B18653" s="3" t="str">
        <f>HYPERLINK("https://otsuka-europe-crm.veevavault.com/ui/#object/approved_document__v/V5O000000003010", "RXULTI - Caso Clínico ansiedad e irritabilidad")</f>
        <v>RXULTI - Caso Clínico ansiedad e irritabilidad</v>
      </c>
      <c r="C18653" s="3" t="str">
        <f>HYPERLINK("https://otsuka-europe-crm.veevavault.com/ui/#object/sent_email__v/VBL00000000J808", "SE-001389209")</f>
        <v>SE-001389209</v>
      </c>
      <c r="D18653" s="1" t="s">
        <v>0</v>
      </c>
      <c r="E18653" s="2">
        <v>0</v>
      </c>
      <c r="F18653" s="2">
        <v>0</v>
      </c>
      <c r="G18653" s="2">
        <v>0</v>
      </c>
      <c r="H18653" s="1" t="s">
        <v>0</v>
      </c>
      <c r="I18653" s="2">
        <v>0</v>
      </c>
      <c r="J18653" s="1">
        <v>45972.581388888888</v>
      </c>
    </row>
    <row r="18654" spans="1:10" x14ac:dyDescent="0.2">
      <c r="A18654" s="4" t="s">
        <v>1</v>
      </c>
      <c r="B18654" s="3" t="str">
        <f>HYPERLINK("https://otsuka-europe-crm.veevavault.com/ui/#object/approved_document__v/V5O000000003010", "RXULTI - Caso Clínico ansiedad e irritabilidad")</f>
        <v>RXULTI - Caso Clínico ansiedad e irritabilidad</v>
      </c>
      <c r="C18654" s="3" t="str">
        <f>HYPERLINK("https://otsuka-europe-crm.veevavault.com/ui/#object/sent_email__v/VBL00000000J809", "SE-001389210")</f>
        <v>SE-001389210</v>
      </c>
      <c r="D18654" s="1">
        <v>45976.547881944447</v>
      </c>
      <c r="E18654" s="2">
        <v>1</v>
      </c>
      <c r="F18654" s="2">
        <v>2</v>
      </c>
      <c r="G18654" s="2">
        <v>0</v>
      </c>
      <c r="H18654" s="1" t="s">
        <v>0</v>
      </c>
      <c r="I18654" s="2">
        <v>0</v>
      </c>
      <c r="J18654" s="1">
        <v>45972.581435185188</v>
      </c>
    </row>
    <row r="18655" spans="1:10" x14ac:dyDescent="0.2">
      <c r="A18655" s="4" t="s">
        <v>1</v>
      </c>
      <c r="B18655" s="3" t="str">
        <f>HYPERLINK("https://otsuka-europe-crm.veevavault.com/ui/#object/approved_document__v/V5O000000003010", "RXULTI - Caso Clínico ansiedad e irritabilidad")</f>
        <v>RXULTI - Caso Clínico ansiedad e irritabilidad</v>
      </c>
      <c r="C18655" s="3" t="str">
        <f>HYPERLINK("https://otsuka-europe-crm.veevavault.com/ui/#object/sent_email__v/VBL00000000J810", "SE-001389211")</f>
        <v>SE-001389211</v>
      </c>
      <c r="D18655" s="1">
        <v>45972.777604166666</v>
      </c>
      <c r="E18655" s="2">
        <v>1</v>
      </c>
      <c r="F18655" s="2">
        <v>1</v>
      </c>
      <c r="G18655" s="2">
        <v>0</v>
      </c>
      <c r="H18655" s="1" t="s">
        <v>0</v>
      </c>
      <c r="I18655" s="2">
        <v>0</v>
      </c>
      <c r="J18655" s="1">
        <v>45972.58148148148</v>
      </c>
    </row>
    <row r="18656" spans="1:10" x14ac:dyDescent="0.2">
      <c r="A18656" s="4" t="s">
        <v>1</v>
      </c>
      <c r="B18656" s="3" t="str">
        <f>HYPERLINK("https://otsuka-europe-crm.veevavault.com/ui/#object/approved_document__v/V5O000000003010", "RXULTI - Caso Clínico ansiedad e irritabilidad")</f>
        <v>RXULTI - Caso Clínico ansiedad e irritabilidad</v>
      </c>
      <c r="C18656" s="3" t="str">
        <f>HYPERLINK("https://otsuka-europe-crm.veevavault.com/ui/#object/sent_email__v/VBL00000000J811", "SE-001389212")</f>
        <v>SE-001389212</v>
      </c>
      <c r="D18656" s="1" t="s">
        <v>0</v>
      </c>
      <c r="E18656" s="2">
        <v>0</v>
      </c>
      <c r="F18656" s="2">
        <v>0</v>
      </c>
      <c r="G18656" s="2">
        <v>0</v>
      </c>
      <c r="H18656" s="1" t="s">
        <v>0</v>
      </c>
      <c r="I18656" s="2">
        <v>0</v>
      </c>
      <c r="J18656" s="1">
        <v>45972.581516203703</v>
      </c>
    </row>
    <row r="18657" spans="1:10" x14ac:dyDescent="0.2">
      <c r="A18657" s="4" t="s">
        <v>1</v>
      </c>
      <c r="B18657" s="3" t="str">
        <f>HYPERLINK("https://otsuka-europe-crm.veevavault.com/ui/#object/approved_document__v/V5O000000003010", "RXULTI - Caso Clínico ansiedad e irritabilidad")</f>
        <v>RXULTI - Caso Clínico ansiedad e irritabilidad</v>
      </c>
      <c r="C18657" s="3" t="str">
        <f>HYPERLINK("https://otsuka-europe-crm.veevavault.com/ui/#object/sent_email__v/VBL00000000J812", "SE-001389213")</f>
        <v>SE-001389213</v>
      </c>
      <c r="D18657" s="1" t="s">
        <v>0</v>
      </c>
      <c r="E18657" s="2">
        <v>0</v>
      </c>
      <c r="F18657" s="2">
        <v>0</v>
      </c>
      <c r="G18657" s="2">
        <v>0</v>
      </c>
      <c r="H18657" s="1" t="s">
        <v>0</v>
      </c>
      <c r="I18657" s="2">
        <v>0</v>
      </c>
      <c r="J18657" s="1">
        <v>45972.581562500003</v>
      </c>
    </row>
    <row r="18658" spans="1:10" x14ac:dyDescent="0.2">
      <c r="A18658" s="4" t="s">
        <v>1</v>
      </c>
      <c r="B18658" s="3" t="str">
        <f>HYPERLINK("https://otsuka-europe-crm.veevavault.com/ui/#object/approved_document__v/V5O000000003010", "RXULTI - Caso Clínico ansiedad e irritabilidad")</f>
        <v>RXULTI - Caso Clínico ansiedad e irritabilidad</v>
      </c>
      <c r="C18658" s="3" t="str">
        <f>HYPERLINK("https://otsuka-europe-crm.veevavault.com/ui/#object/sent_email__v/VBL00000000J813", "SE-001389214")</f>
        <v>SE-001389214</v>
      </c>
      <c r="D18658" s="1" t="s">
        <v>0</v>
      </c>
      <c r="E18658" s="2">
        <v>0</v>
      </c>
      <c r="F18658" s="2">
        <v>0</v>
      </c>
      <c r="G18658" s="2">
        <v>0</v>
      </c>
      <c r="H18658" s="1" t="s">
        <v>0</v>
      </c>
      <c r="I18658" s="2">
        <v>0</v>
      </c>
      <c r="J18658" s="1">
        <v>45972.581597222219</v>
      </c>
    </row>
    <row r="18659" spans="1:10" x14ac:dyDescent="0.2">
      <c r="A18659" s="4" t="s">
        <v>1</v>
      </c>
      <c r="B18659" s="3" t="str">
        <f>HYPERLINK("https://otsuka-europe-crm.veevavault.com/ui/#object/approved_document__v/V5O000000003010", "RXULTI - Caso Clínico ansiedad e irritabilidad")</f>
        <v>RXULTI - Caso Clínico ansiedad e irritabilidad</v>
      </c>
      <c r="C18659" s="3" t="str">
        <f>HYPERLINK("https://otsuka-europe-crm.veevavault.com/ui/#object/sent_email__v/VBL00000000J814", "SE-001389215")</f>
        <v>SE-001389215</v>
      </c>
      <c r="D18659" s="1" t="s">
        <v>0</v>
      </c>
      <c r="E18659" s="2">
        <v>0</v>
      </c>
      <c r="F18659" s="2">
        <v>0</v>
      </c>
      <c r="G18659" s="2">
        <v>0</v>
      </c>
      <c r="H18659" s="1" t="s">
        <v>0</v>
      </c>
      <c r="I18659" s="2">
        <v>0</v>
      </c>
      <c r="J18659" s="1">
        <v>45972.581643518519</v>
      </c>
    </row>
    <row r="18660" spans="1:10" x14ac:dyDescent="0.2">
      <c r="A18660" s="4" t="s">
        <v>1</v>
      </c>
      <c r="B18660" s="3" t="str">
        <f>HYPERLINK("https://otsuka-europe-crm.veevavault.com/ui/#object/approved_document__v/V5O000000003010", "RXULTI - Caso Clínico ansiedad e irritabilidad")</f>
        <v>RXULTI - Caso Clínico ansiedad e irritabilidad</v>
      </c>
      <c r="C18660" s="3" t="str">
        <f>HYPERLINK("https://otsuka-europe-crm.veevavault.com/ui/#object/sent_email__v/VBL00000000J815", "SE-001389216")</f>
        <v>SE-001389216</v>
      </c>
      <c r="D18660" s="1">
        <v>45972.657916666663</v>
      </c>
      <c r="E18660" s="2">
        <v>1</v>
      </c>
      <c r="F18660" s="2">
        <v>1</v>
      </c>
      <c r="G18660" s="2">
        <v>0</v>
      </c>
      <c r="H18660" s="1" t="s">
        <v>0</v>
      </c>
      <c r="I18660" s="2">
        <v>0</v>
      </c>
      <c r="J18660" s="1">
        <v>45972.581678240742</v>
      </c>
    </row>
    <row r="18661" spans="1:10" x14ac:dyDescent="0.2">
      <c r="A18661" s="4" t="s">
        <v>1</v>
      </c>
      <c r="B18661" s="3" t="str">
        <f>HYPERLINK("https://otsuka-europe-crm.veevavault.com/ui/#object/approved_document__v/V5O000000003010", "RXULTI - Caso Clínico ansiedad e irritabilidad")</f>
        <v>RXULTI - Caso Clínico ansiedad e irritabilidad</v>
      </c>
      <c r="C18661" s="3" t="str">
        <f>HYPERLINK("https://otsuka-europe-crm.veevavault.com/ui/#object/sent_email__v/VBL00000000J816", "SE-001389217")</f>
        <v>SE-001389217</v>
      </c>
      <c r="D18661" s="1">
        <v>45972.584027777775</v>
      </c>
      <c r="E18661" s="2">
        <v>1</v>
      </c>
      <c r="F18661" s="2">
        <v>1</v>
      </c>
      <c r="G18661" s="2">
        <v>0</v>
      </c>
      <c r="H18661" s="1" t="s">
        <v>0</v>
      </c>
      <c r="I18661" s="2">
        <v>0</v>
      </c>
      <c r="J18661" s="1">
        <v>45972.581724537034</v>
      </c>
    </row>
    <row r="18662" spans="1:10" x14ac:dyDescent="0.2">
      <c r="A18662" s="4" t="s">
        <v>1</v>
      </c>
      <c r="B18662" s="3" t="str">
        <f>HYPERLINK("https://otsuka-europe-crm.veevavault.com/ui/#object/approved_document__v/V5O000000003010", "RXULTI - Caso Clínico ansiedad e irritabilidad")</f>
        <v>RXULTI - Caso Clínico ansiedad e irritabilidad</v>
      </c>
      <c r="C18662" s="3" t="str">
        <f>HYPERLINK("https://otsuka-europe-crm.veevavault.com/ui/#object/sent_email__v/VBL00000000J817", "SE-001389218")</f>
        <v>SE-001389218</v>
      </c>
      <c r="D18662" s="1">
        <v>45972.581863425927</v>
      </c>
      <c r="E18662" s="2">
        <v>1</v>
      </c>
      <c r="F18662" s="2">
        <v>1</v>
      </c>
      <c r="G18662" s="2">
        <v>0</v>
      </c>
      <c r="H18662" s="1" t="s">
        <v>0</v>
      </c>
      <c r="I18662" s="2">
        <v>0</v>
      </c>
      <c r="J18662" s="1">
        <v>45972.581759259258</v>
      </c>
    </row>
    <row r="18663" spans="1:10" x14ac:dyDescent="0.2">
      <c r="A18663" s="4" t="s">
        <v>1</v>
      </c>
      <c r="B18663" s="3" t="str">
        <f>HYPERLINK("https://otsuka-europe-crm.veevavault.com/ui/#object/approved_document__v/V5O000000003010", "RXULTI - Caso Clínico ansiedad e irritabilidad")</f>
        <v>RXULTI - Caso Clínico ansiedad e irritabilidad</v>
      </c>
      <c r="C18663" s="3" t="str">
        <f>HYPERLINK("https://otsuka-europe-crm.veevavault.com/ui/#object/sent_email__v/VBL00000000J818", "SE-001389219")</f>
        <v>SE-001389219</v>
      </c>
      <c r="D18663" s="1">
        <v>45973.233831018515</v>
      </c>
      <c r="E18663" s="2">
        <v>1</v>
      </c>
      <c r="F18663" s="2">
        <v>1</v>
      </c>
      <c r="G18663" s="2">
        <v>0</v>
      </c>
      <c r="H18663" s="1" t="s">
        <v>0</v>
      </c>
      <c r="I18663" s="2">
        <v>0</v>
      </c>
      <c r="J18663" s="1">
        <v>45972.581805555557</v>
      </c>
    </row>
    <row r="18664" spans="1:10" x14ac:dyDescent="0.2">
      <c r="A18664" s="4" t="s">
        <v>1</v>
      </c>
      <c r="B18664" s="3" t="str">
        <f>HYPERLINK("https://otsuka-europe-crm.veevavault.com/ui/#object/approved_document__v/V5O000000003010", "RXULTI - Caso Clínico ansiedad e irritabilidad")</f>
        <v>RXULTI - Caso Clínico ansiedad e irritabilidad</v>
      </c>
      <c r="C18664" s="3" t="str">
        <f>HYPERLINK("https://otsuka-europe-crm.veevavault.com/ui/#object/sent_email__v/VBL00000000J819", "SE-001389220")</f>
        <v>SE-001389220</v>
      </c>
      <c r="D18664" s="1">
        <v>45973.463356481479</v>
      </c>
      <c r="E18664" s="2">
        <v>1</v>
      </c>
      <c r="F18664" s="2">
        <v>2</v>
      </c>
      <c r="G18664" s="2">
        <v>0</v>
      </c>
      <c r="H18664" s="1" t="s">
        <v>0</v>
      </c>
      <c r="I18664" s="2">
        <v>0</v>
      </c>
      <c r="J18664" s="1">
        <v>45972.58185185185</v>
      </c>
    </row>
    <row r="18665" spans="1:10" x14ac:dyDescent="0.2">
      <c r="A18665" s="4" t="s">
        <v>1</v>
      </c>
      <c r="B18665" s="3" t="str">
        <f>HYPERLINK("https://otsuka-europe-crm.veevavault.com/ui/#object/approved_document__v/V5O000000003010", "RXULTI - Caso Clínico ansiedad e irritabilidad")</f>
        <v>RXULTI - Caso Clínico ansiedad e irritabilidad</v>
      </c>
      <c r="C18665" s="3" t="str">
        <f>HYPERLINK("https://otsuka-europe-crm.veevavault.com/ui/#object/sent_email__v/VBL00000000J820", "SE-001389221")</f>
        <v>SE-001389221</v>
      </c>
      <c r="D18665" s="1" t="s">
        <v>0</v>
      </c>
      <c r="E18665" s="2">
        <v>0</v>
      </c>
      <c r="F18665" s="2">
        <v>0</v>
      </c>
      <c r="G18665" s="2">
        <v>0</v>
      </c>
      <c r="H18665" s="1" t="s">
        <v>0</v>
      </c>
      <c r="I18665" s="2">
        <v>0</v>
      </c>
      <c r="J18665" s="1">
        <v>45972.581886574073</v>
      </c>
    </row>
    <row r="18666" spans="1:10" x14ac:dyDescent="0.2">
      <c r="A18666" s="4" t="s">
        <v>1</v>
      </c>
      <c r="B18666" s="3" t="str">
        <f>HYPERLINK("https://otsuka-europe-crm.veevavault.com/ui/#object/approved_document__v/V5O000000003010", "RXULTI - Caso Clínico ansiedad e irritabilidad")</f>
        <v>RXULTI - Caso Clínico ansiedad e irritabilidad</v>
      </c>
      <c r="C18666" s="3" t="str">
        <f>HYPERLINK("https://otsuka-europe-crm.veevavault.com/ui/#object/sent_email__v/VBL00000000J821", "SE-001389222")</f>
        <v>SE-001389222</v>
      </c>
      <c r="D18666" s="1" t="s">
        <v>0</v>
      </c>
      <c r="E18666" s="2">
        <v>0</v>
      </c>
      <c r="F18666" s="2">
        <v>0</v>
      </c>
      <c r="G18666" s="2">
        <v>0</v>
      </c>
      <c r="H18666" s="1" t="s">
        <v>0</v>
      </c>
      <c r="I18666" s="2">
        <v>0</v>
      </c>
      <c r="J18666" s="1">
        <v>45972.581932870373</v>
      </c>
    </row>
    <row r="18667" spans="1:10" x14ac:dyDescent="0.2">
      <c r="A18667" s="4" t="s">
        <v>1</v>
      </c>
      <c r="B18667" s="3" t="str">
        <f>HYPERLINK("https://otsuka-europe-crm.veevavault.com/ui/#object/approved_document__v/V5O000000003010", "RXULTI - Caso Clínico ansiedad e irritabilidad")</f>
        <v>RXULTI - Caso Clínico ansiedad e irritabilidad</v>
      </c>
      <c r="C18667" s="3" t="str">
        <f>HYPERLINK("https://otsuka-europe-crm.veevavault.com/ui/#object/sent_email__v/VBL00000000J822", "SE-001389223")</f>
        <v>SE-001389223</v>
      </c>
      <c r="D18667" s="1" t="s">
        <v>0</v>
      </c>
      <c r="E18667" s="2">
        <v>0</v>
      </c>
      <c r="F18667" s="2">
        <v>0</v>
      </c>
      <c r="G18667" s="2">
        <v>0</v>
      </c>
      <c r="H18667" s="1" t="s">
        <v>0</v>
      </c>
      <c r="I18667" s="2">
        <v>0</v>
      </c>
      <c r="J18667" s="1">
        <v>45972.581979166665</v>
      </c>
    </row>
    <row r="18668" spans="1:10" x14ac:dyDescent="0.2">
      <c r="A18668" s="4" t="s">
        <v>1</v>
      </c>
      <c r="B18668" s="3" t="str">
        <f>HYPERLINK("https://otsuka-europe-crm.veevavault.com/ui/#object/approved_document__v/V5O000000003010", "RXULTI - Caso Clínico ansiedad e irritabilidad")</f>
        <v>RXULTI - Caso Clínico ansiedad e irritabilidad</v>
      </c>
      <c r="C18668" s="3" t="str">
        <f>HYPERLINK("https://otsuka-europe-crm.veevavault.com/ui/#object/sent_email__v/VBL00000000J823", "SE-001389224")</f>
        <v>SE-001389224</v>
      </c>
      <c r="D18668" s="1">
        <v>45972.985324074078</v>
      </c>
      <c r="E18668" s="2">
        <v>1</v>
      </c>
      <c r="F18668" s="2">
        <v>1</v>
      </c>
      <c r="G18668" s="2">
        <v>0</v>
      </c>
      <c r="H18668" s="1" t="s">
        <v>0</v>
      </c>
      <c r="I18668" s="2">
        <v>0</v>
      </c>
      <c r="J18668" s="1">
        <v>45972.582013888888</v>
      </c>
    </row>
    <row r="18669" spans="1:10" x14ac:dyDescent="0.2">
      <c r="A18669" s="4" t="s">
        <v>1</v>
      </c>
      <c r="B18669" s="3" t="str">
        <f>HYPERLINK("https://otsuka-europe-crm.veevavault.com/ui/#object/approved_document__v/V5O000000003010", "RXULTI - Caso Clínico ansiedad e irritabilidad")</f>
        <v>RXULTI - Caso Clínico ansiedad e irritabilidad</v>
      </c>
      <c r="C18669" s="3" t="str">
        <f>HYPERLINK("https://otsuka-europe-crm.veevavault.com/ui/#object/sent_email__v/VBL00000000J824", "SE-001389225")</f>
        <v>SE-001389225</v>
      </c>
      <c r="D18669" s="1" t="s">
        <v>0</v>
      </c>
      <c r="E18669" s="2">
        <v>0</v>
      </c>
      <c r="F18669" s="2">
        <v>0</v>
      </c>
      <c r="G18669" s="2">
        <v>0</v>
      </c>
      <c r="H18669" s="1" t="s">
        <v>0</v>
      </c>
      <c r="I18669" s="2">
        <v>0</v>
      </c>
      <c r="J18669" s="1">
        <v>45972.582060185188</v>
      </c>
    </row>
    <row r="18670" spans="1:10" x14ac:dyDescent="0.2">
      <c r="A18670" s="4" t="s">
        <v>1</v>
      </c>
      <c r="B18670" s="3" t="str">
        <f>HYPERLINK("https://otsuka-europe-crm.veevavault.com/ui/#object/approved_document__v/V5O000000003010", "RXULTI - Caso Clínico ansiedad e irritabilidad")</f>
        <v>RXULTI - Caso Clínico ansiedad e irritabilidad</v>
      </c>
      <c r="C18670" s="3" t="str">
        <f>HYPERLINK("https://otsuka-europe-crm.veevavault.com/ui/#object/sent_email__v/VBL00000000J825", "SE-001389226")</f>
        <v>SE-001389226</v>
      </c>
      <c r="D18670" s="1" t="s">
        <v>0</v>
      </c>
      <c r="E18670" s="2">
        <v>0</v>
      </c>
      <c r="F18670" s="2">
        <v>0</v>
      </c>
      <c r="G18670" s="2">
        <v>0</v>
      </c>
      <c r="H18670" s="1" t="s">
        <v>0</v>
      </c>
      <c r="I18670" s="2">
        <v>0</v>
      </c>
      <c r="J18670" s="1">
        <v>45972.582094907404</v>
      </c>
    </row>
    <row r="18671" spans="1:10" x14ac:dyDescent="0.2">
      <c r="A18671" s="4" t="s">
        <v>1</v>
      </c>
      <c r="B18671" s="3" t="str">
        <f>HYPERLINK("https://otsuka-europe-crm.veevavault.com/ui/#object/approved_document__v/V5O000000003010", "RXULTI - Caso Clínico ansiedad e irritabilidad")</f>
        <v>RXULTI - Caso Clínico ansiedad e irritabilidad</v>
      </c>
      <c r="C18671" s="3" t="str">
        <f>HYPERLINK("https://otsuka-europe-crm.veevavault.com/ui/#object/sent_email__v/VBL00000000J826", "SE-001389227")</f>
        <v>SE-001389227</v>
      </c>
      <c r="D18671" s="1" t="s">
        <v>0</v>
      </c>
      <c r="E18671" s="2">
        <v>0</v>
      </c>
      <c r="F18671" s="2">
        <v>0</v>
      </c>
      <c r="G18671" s="2">
        <v>0</v>
      </c>
      <c r="H18671" s="1" t="s">
        <v>0</v>
      </c>
      <c r="I18671" s="2">
        <v>0</v>
      </c>
      <c r="J18671" s="1">
        <v>45972.582141203704</v>
      </c>
    </row>
    <row r="18672" spans="1:10" x14ac:dyDescent="0.2">
      <c r="A18672" s="4" t="s">
        <v>1</v>
      </c>
      <c r="B18672" s="3" t="str">
        <f>HYPERLINK("https://otsuka-europe-crm.veevavault.com/ui/#object/approved_document__v/V5O000000003010", "RXULTI - Caso Clínico ansiedad e irritabilidad")</f>
        <v>RXULTI - Caso Clínico ansiedad e irritabilidad</v>
      </c>
      <c r="C18672" s="3" t="str">
        <f>HYPERLINK("https://otsuka-europe-crm.veevavault.com/ui/#object/sent_email__v/VBL00000000J827", "SE-001389228")</f>
        <v>SE-001389228</v>
      </c>
      <c r="D18672" s="1">
        <v>45972.945011574076</v>
      </c>
      <c r="E18672" s="2">
        <v>1</v>
      </c>
      <c r="F18672" s="2">
        <v>1</v>
      </c>
      <c r="G18672" s="2">
        <v>0</v>
      </c>
      <c r="H18672" s="1" t="s">
        <v>0</v>
      </c>
      <c r="I18672" s="2">
        <v>0</v>
      </c>
      <c r="J18672" s="1">
        <v>45972.582175925927</v>
      </c>
    </row>
    <row r="18673" spans="1:10" x14ac:dyDescent="0.2">
      <c r="A18673" s="4" t="s">
        <v>1</v>
      </c>
      <c r="B18673" s="3" t="str">
        <f>HYPERLINK("https://otsuka-europe-crm.veevavault.com/ui/#object/approved_document__v/V5O000000003010", "RXULTI - Caso Clínico ansiedad e irritabilidad")</f>
        <v>RXULTI - Caso Clínico ansiedad e irritabilidad</v>
      </c>
      <c r="C18673" s="3" t="str">
        <f>HYPERLINK("https://otsuka-europe-crm.veevavault.com/ui/#object/sent_email__v/VBL00000000J828", "SE-001389229")</f>
        <v>SE-001389229</v>
      </c>
      <c r="D18673" s="1">
        <v>45972.631712962961</v>
      </c>
      <c r="E18673" s="2">
        <v>1</v>
      </c>
      <c r="F18673" s="2">
        <v>2</v>
      </c>
      <c r="G18673" s="2">
        <v>0</v>
      </c>
      <c r="H18673" s="1" t="s">
        <v>0</v>
      </c>
      <c r="I18673" s="2">
        <v>0</v>
      </c>
      <c r="J18673" s="1">
        <v>45972.58222222222</v>
      </c>
    </row>
    <row r="18674" spans="1:10" x14ac:dyDescent="0.2">
      <c r="A18674" s="4" t="s">
        <v>1</v>
      </c>
      <c r="B18674" s="3" t="str">
        <f>HYPERLINK("https://otsuka-europe-crm.veevavault.com/ui/#object/approved_document__v/V5O000000003010", "RXULTI - Caso Clínico ansiedad e irritabilidad")</f>
        <v>RXULTI - Caso Clínico ansiedad e irritabilidad</v>
      </c>
      <c r="C18674" s="3" t="str">
        <f>HYPERLINK("https://otsuka-europe-crm.veevavault.com/ui/#object/sent_email__v/VBL00000000J829", "SE-001389230")</f>
        <v>SE-001389230</v>
      </c>
      <c r="D18674" s="1">
        <v>45995.926516203705</v>
      </c>
      <c r="E18674" s="2">
        <v>1</v>
      </c>
      <c r="F18674" s="2">
        <v>1</v>
      </c>
      <c r="G18674" s="2">
        <v>0</v>
      </c>
      <c r="H18674" s="1" t="s">
        <v>0</v>
      </c>
      <c r="I18674" s="2">
        <v>0</v>
      </c>
      <c r="J18674" s="1">
        <v>45972.582268518519</v>
      </c>
    </row>
    <row r="18675" spans="1:10" x14ac:dyDescent="0.2">
      <c r="A18675" s="4" t="s">
        <v>1</v>
      </c>
      <c r="B18675" s="3" t="str">
        <f>HYPERLINK("https://otsuka-europe-crm.veevavault.com/ui/#object/approved_document__v/V5O000000003010", "RXULTI - Caso Clínico ansiedad e irritabilidad")</f>
        <v>RXULTI - Caso Clínico ansiedad e irritabilidad</v>
      </c>
      <c r="C18675" s="3" t="str">
        <f>HYPERLINK("https://otsuka-europe-crm.veevavault.com/ui/#object/sent_email__v/VBL00000000J830", "SE-001389231")</f>
        <v>SE-001389231</v>
      </c>
      <c r="D18675" s="1">
        <v>45977.650821759256</v>
      </c>
      <c r="E18675" s="2">
        <v>1</v>
      </c>
      <c r="F18675" s="2">
        <v>1</v>
      </c>
      <c r="G18675" s="2">
        <v>0</v>
      </c>
      <c r="H18675" s="1" t="s">
        <v>0</v>
      </c>
      <c r="I18675" s="2">
        <v>0</v>
      </c>
      <c r="J18675" s="1">
        <v>45972.582303240742</v>
      </c>
    </row>
    <row r="18676" spans="1:10" x14ac:dyDescent="0.2">
      <c r="A18676" s="4" t="s">
        <v>1</v>
      </c>
      <c r="B18676" s="3" t="str">
        <f>HYPERLINK("https://otsuka-europe-crm.veevavault.com/ui/#object/approved_document__v/V5O000000003010", "RXULTI - Caso Clínico ansiedad e irritabilidad")</f>
        <v>RXULTI - Caso Clínico ansiedad e irritabilidad</v>
      </c>
      <c r="C18676" s="3" t="str">
        <f>HYPERLINK("https://otsuka-europe-crm.veevavault.com/ui/#object/sent_email__v/VBL00000000J831", "SE-001389232")</f>
        <v>SE-001389232</v>
      </c>
      <c r="D18676" s="1" t="s">
        <v>0</v>
      </c>
      <c r="E18676" s="2">
        <v>0</v>
      </c>
      <c r="F18676" s="2">
        <v>0</v>
      </c>
      <c r="G18676" s="2">
        <v>0</v>
      </c>
      <c r="H18676" s="1" t="s">
        <v>0</v>
      </c>
      <c r="I18676" s="2">
        <v>0</v>
      </c>
      <c r="J18676" s="1">
        <v>45972.582337962966</v>
      </c>
    </row>
    <row r="18677" spans="1:10" x14ac:dyDescent="0.2">
      <c r="A18677" s="4" t="s">
        <v>1</v>
      </c>
      <c r="B18677" s="3" t="str">
        <f>HYPERLINK("https://otsuka-europe-crm.veevavault.com/ui/#object/approved_document__v/V5O000000003010", "RXULTI - Caso Clínico ansiedad e irritabilidad")</f>
        <v>RXULTI - Caso Clínico ansiedad e irritabilidad</v>
      </c>
      <c r="C18677" s="3" t="str">
        <f>HYPERLINK("https://otsuka-europe-crm.veevavault.com/ui/#object/sent_email__v/VBL00000000J832", "SE-001389233")</f>
        <v>SE-001389233</v>
      </c>
      <c r="D18677" s="1">
        <v>45974.298726851855</v>
      </c>
      <c r="E18677" s="2">
        <v>1</v>
      </c>
      <c r="F18677" s="2">
        <v>3</v>
      </c>
      <c r="G18677" s="2">
        <v>1</v>
      </c>
      <c r="H18677" s="1">
        <v>45974.299050925925</v>
      </c>
      <c r="I18677" s="2">
        <v>2</v>
      </c>
      <c r="J18677" s="1">
        <v>45972.582384259258</v>
      </c>
    </row>
    <row r="18678" spans="1:10" x14ac:dyDescent="0.2">
      <c r="A18678" s="4" t="s">
        <v>1</v>
      </c>
      <c r="B18678" s="3" t="str">
        <f>HYPERLINK("https://otsuka-europe-crm.veevavault.com/ui/#object/approved_document__v/V5O000000003010", "RXULTI - Caso Clínico ansiedad e irritabilidad")</f>
        <v>RXULTI - Caso Clínico ansiedad e irritabilidad</v>
      </c>
      <c r="C18678" s="3" t="str">
        <f>HYPERLINK("https://otsuka-europe-crm.veevavault.com/ui/#object/sent_email__v/VBL00000000J833", "SE-001389234")</f>
        <v>SE-001389234</v>
      </c>
      <c r="D18678" s="1" t="s">
        <v>0</v>
      </c>
      <c r="E18678" s="2">
        <v>0</v>
      </c>
      <c r="F18678" s="2">
        <v>0</v>
      </c>
      <c r="G18678" s="2">
        <v>0</v>
      </c>
      <c r="H18678" s="1" t="s">
        <v>0</v>
      </c>
      <c r="I18678" s="2">
        <v>0</v>
      </c>
      <c r="J18678" s="1">
        <v>45972.582418981481</v>
      </c>
    </row>
    <row r="18679" spans="1:10" x14ac:dyDescent="0.2">
      <c r="A18679" s="4" t="s">
        <v>1</v>
      </c>
      <c r="B18679" s="3" t="str">
        <f>HYPERLINK("https://otsuka-europe-crm.veevavault.com/ui/#object/approved_document__v/V5O000000003010", "RXULTI - Caso Clínico ansiedad e irritabilidad")</f>
        <v>RXULTI - Caso Clínico ansiedad e irritabilidad</v>
      </c>
      <c r="C18679" s="3" t="str">
        <f>HYPERLINK("https://otsuka-europe-crm.veevavault.com/ui/#object/sent_email__v/VBL00000000J834", "SE-001389235")</f>
        <v>SE-001389235</v>
      </c>
      <c r="D18679" s="1">
        <v>45991.432453703703</v>
      </c>
      <c r="E18679" s="2">
        <v>1</v>
      </c>
      <c r="F18679" s="2">
        <v>3</v>
      </c>
      <c r="G18679" s="2">
        <v>0</v>
      </c>
      <c r="H18679" s="1" t="s">
        <v>0</v>
      </c>
      <c r="I18679" s="2">
        <v>0</v>
      </c>
      <c r="J18679" s="1">
        <v>45972.582453703704</v>
      </c>
    </row>
    <row r="18680" spans="1:10" x14ac:dyDescent="0.2">
      <c r="A18680" s="4" t="s">
        <v>1</v>
      </c>
      <c r="B18680" s="3" t="str">
        <f>HYPERLINK("https://otsuka-europe-crm.veevavault.com/ui/#object/approved_document__v/V5O000000003010", "RXULTI - Caso Clínico ansiedad e irritabilidad")</f>
        <v>RXULTI - Caso Clínico ansiedad e irritabilidad</v>
      </c>
      <c r="C18680" s="3" t="str">
        <f>HYPERLINK("https://otsuka-europe-crm.veevavault.com/ui/#object/sent_email__v/VBL00000000J835", "SE-001389236")</f>
        <v>SE-001389236</v>
      </c>
      <c r="D18680" s="1" t="s">
        <v>0</v>
      </c>
      <c r="E18680" s="2">
        <v>0</v>
      </c>
      <c r="F18680" s="2">
        <v>0</v>
      </c>
      <c r="G18680" s="2">
        <v>0</v>
      </c>
      <c r="H18680" s="1" t="s">
        <v>0</v>
      </c>
      <c r="I18680" s="2">
        <v>0</v>
      </c>
      <c r="J18680" s="1">
        <v>45972.582499999997</v>
      </c>
    </row>
    <row r="18681" spans="1:10" x14ac:dyDescent="0.2">
      <c r="A18681" s="4" t="s">
        <v>1</v>
      </c>
      <c r="B18681" s="3" t="str">
        <f>HYPERLINK("https://otsuka-europe-crm.veevavault.com/ui/#object/approved_document__v/V5O000000003010", "RXULTI - Caso Clínico ansiedad e irritabilidad")</f>
        <v>RXULTI - Caso Clínico ansiedad e irritabilidad</v>
      </c>
      <c r="C18681" s="3" t="str">
        <f>HYPERLINK("https://otsuka-europe-crm.veevavault.com/ui/#object/sent_email__v/VBL00000000J836", "SE-001389237")</f>
        <v>SE-001389237</v>
      </c>
      <c r="D18681" s="1" t="s">
        <v>0</v>
      </c>
      <c r="E18681" s="2">
        <v>0</v>
      </c>
      <c r="F18681" s="2">
        <v>0</v>
      </c>
      <c r="G18681" s="2">
        <v>0</v>
      </c>
      <c r="H18681" s="1" t="s">
        <v>0</v>
      </c>
      <c r="I18681" s="2">
        <v>0</v>
      </c>
      <c r="J18681" s="1">
        <v>45972.582546296297</v>
      </c>
    </row>
    <row r="18682" spans="1:10" x14ac:dyDescent="0.2">
      <c r="A18682" s="4" t="s">
        <v>1</v>
      </c>
      <c r="B18682" s="3" t="str">
        <f>HYPERLINK("https://otsuka-europe-crm.veevavault.com/ui/#object/approved_document__v/V5O000000003010", "RXULTI - Caso Clínico ansiedad e irritabilidad")</f>
        <v>RXULTI - Caso Clínico ansiedad e irritabilidad</v>
      </c>
      <c r="C18682" s="3" t="str">
        <f>HYPERLINK("https://otsuka-europe-crm.veevavault.com/ui/#object/sent_email__v/VBL00000000J837", "SE-001389238")</f>
        <v>SE-001389238</v>
      </c>
      <c r="D18682" s="1">
        <v>45972.597291666665</v>
      </c>
      <c r="E18682" s="2">
        <v>1</v>
      </c>
      <c r="F18682" s="2">
        <v>1</v>
      </c>
      <c r="G18682" s="2">
        <v>1</v>
      </c>
      <c r="H18682" s="1">
        <v>45972.909722222219</v>
      </c>
      <c r="I18682" s="2">
        <v>1</v>
      </c>
      <c r="J18682" s="1">
        <v>45972.58258101852</v>
      </c>
    </row>
    <row r="18683" spans="1:10" x14ac:dyDescent="0.2">
      <c r="A18683" s="4" t="s">
        <v>1</v>
      </c>
      <c r="B18683" s="3" t="str">
        <f>HYPERLINK("https://otsuka-europe-crm.veevavault.com/ui/#object/approved_document__v/V5O000000003010", "RXULTI - Caso Clínico ansiedad e irritabilidad")</f>
        <v>RXULTI - Caso Clínico ansiedad e irritabilidad</v>
      </c>
      <c r="C18683" s="3" t="str">
        <f>HYPERLINK("https://otsuka-europe-crm.veevavault.com/ui/#object/sent_email__v/VBL00000000J838", "SE-001389239")</f>
        <v>SE-001389239</v>
      </c>
      <c r="D18683" s="1" t="s">
        <v>0</v>
      </c>
      <c r="E18683" s="2">
        <v>0</v>
      </c>
      <c r="F18683" s="2">
        <v>0</v>
      </c>
      <c r="G18683" s="2">
        <v>0</v>
      </c>
      <c r="H18683" s="1" t="s">
        <v>0</v>
      </c>
      <c r="I18683" s="2">
        <v>0</v>
      </c>
      <c r="J18683" s="1">
        <v>45972.582615740743</v>
      </c>
    </row>
    <row r="18684" spans="1:10" x14ac:dyDescent="0.2">
      <c r="A18684" s="4" t="s">
        <v>1</v>
      </c>
      <c r="B18684" s="3" t="str">
        <f>HYPERLINK("https://otsuka-europe-crm.veevavault.com/ui/#object/approved_document__v/V5O000000003010", "RXULTI - Caso Clínico ansiedad e irritabilidad")</f>
        <v>RXULTI - Caso Clínico ansiedad e irritabilidad</v>
      </c>
      <c r="C18684" s="3" t="str">
        <f>HYPERLINK("https://otsuka-europe-crm.veevavault.com/ui/#object/sent_email__v/VBL00000000J839", "SE-001389240")</f>
        <v>SE-001389240</v>
      </c>
      <c r="D18684" s="1" t="s">
        <v>0</v>
      </c>
      <c r="E18684" s="2">
        <v>0</v>
      </c>
      <c r="F18684" s="2">
        <v>0</v>
      </c>
      <c r="G18684" s="2">
        <v>0</v>
      </c>
      <c r="H18684" s="1" t="s">
        <v>0</v>
      </c>
      <c r="I18684" s="2">
        <v>0</v>
      </c>
      <c r="J18684" s="1">
        <v>45972.582673611112</v>
      </c>
    </row>
    <row r="18685" spans="1:10" x14ac:dyDescent="0.2">
      <c r="A18685" s="4" t="s">
        <v>1</v>
      </c>
      <c r="B18685" s="3" t="str">
        <f>HYPERLINK("https://otsuka-europe-crm.veevavault.com/ui/#object/approved_document__v/V5O000000003010", "RXULTI - Caso Clínico ansiedad e irritabilidad")</f>
        <v>RXULTI - Caso Clínico ansiedad e irritabilidad</v>
      </c>
      <c r="C18685" s="3" t="str">
        <f>HYPERLINK("https://otsuka-europe-crm.veevavault.com/ui/#object/sent_email__v/VBL00000000J840", "SE-001389241")</f>
        <v>SE-001389241</v>
      </c>
      <c r="D18685" s="1" t="s">
        <v>0</v>
      </c>
      <c r="E18685" s="2">
        <v>0</v>
      </c>
      <c r="F18685" s="2">
        <v>0</v>
      </c>
      <c r="G18685" s="2">
        <v>0</v>
      </c>
      <c r="H18685" s="1" t="s">
        <v>0</v>
      </c>
      <c r="I18685" s="2">
        <v>0</v>
      </c>
      <c r="J18685" s="1">
        <v>45972.582708333335</v>
      </c>
    </row>
    <row r="18686" spans="1:10" x14ac:dyDescent="0.2">
      <c r="A18686" s="4" t="s">
        <v>1</v>
      </c>
      <c r="B18686" s="3" t="str">
        <f>HYPERLINK("https://otsuka-europe-crm.veevavault.com/ui/#object/approved_document__v/V5O000000003010", "RXULTI - Caso Clínico ansiedad e irritabilidad")</f>
        <v>RXULTI - Caso Clínico ansiedad e irritabilidad</v>
      </c>
      <c r="C18686" s="3" t="str">
        <f>HYPERLINK("https://otsuka-europe-crm.veevavault.com/ui/#object/sent_email__v/VBL00000000J841", "SE-001389242")</f>
        <v>SE-001389242</v>
      </c>
      <c r="D18686" s="1">
        <v>45972.858090277776</v>
      </c>
      <c r="E18686" s="2">
        <v>1</v>
      </c>
      <c r="F18686" s="2">
        <v>1</v>
      </c>
      <c r="G18686" s="2">
        <v>0</v>
      </c>
      <c r="H18686" s="1" t="s">
        <v>0</v>
      </c>
      <c r="I18686" s="2">
        <v>0</v>
      </c>
      <c r="J18686" s="1">
        <v>45972.582743055558</v>
      </c>
    </row>
    <row r="18687" spans="1:10" x14ac:dyDescent="0.2">
      <c r="A18687" s="4" t="s">
        <v>1</v>
      </c>
      <c r="B18687" s="3" t="str">
        <f>HYPERLINK("https://otsuka-europe-crm.veevavault.com/ui/#object/approved_document__v/V5O000000003010", "RXULTI - Caso Clínico ansiedad e irritabilidad")</f>
        <v>RXULTI - Caso Clínico ansiedad e irritabilidad</v>
      </c>
      <c r="C18687" s="3" t="str">
        <f>HYPERLINK("https://otsuka-europe-crm.veevavault.com/ui/#object/sent_email__v/VBL00000000J842", "SE-001389243")</f>
        <v>SE-001389243</v>
      </c>
      <c r="D18687" s="1" t="s">
        <v>0</v>
      </c>
      <c r="E18687" s="2">
        <v>0</v>
      </c>
      <c r="F18687" s="2">
        <v>0</v>
      </c>
      <c r="G18687" s="2">
        <v>0</v>
      </c>
      <c r="H18687" s="1" t="s">
        <v>0</v>
      </c>
      <c r="I18687" s="2">
        <v>0</v>
      </c>
      <c r="J18687" s="1">
        <v>45972.582789351851</v>
      </c>
    </row>
    <row r="18688" spans="1:10" x14ac:dyDescent="0.2">
      <c r="A18688" s="4" t="s">
        <v>1</v>
      </c>
      <c r="B18688" s="3" t="str">
        <f>HYPERLINK("https://otsuka-europe-crm.veevavault.com/ui/#object/approved_document__v/V5O000000003010", "RXULTI - Caso Clínico ansiedad e irritabilidad")</f>
        <v>RXULTI - Caso Clínico ansiedad e irritabilidad</v>
      </c>
      <c r="C18688" s="3" t="str">
        <f>HYPERLINK("https://otsuka-europe-crm.veevavault.com/ui/#object/sent_email__v/VBL00000000J843", "SE-001389244")</f>
        <v>SE-001389244</v>
      </c>
      <c r="D18688" s="1" t="s">
        <v>0</v>
      </c>
      <c r="E18688" s="2">
        <v>0</v>
      </c>
      <c r="F18688" s="2">
        <v>0</v>
      </c>
      <c r="G18688" s="2">
        <v>0</v>
      </c>
      <c r="H18688" s="1" t="s">
        <v>0</v>
      </c>
      <c r="I18688" s="2">
        <v>0</v>
      </c>
      <c r="J18688" s="1">
        <v>45972.582835648151</v>
      </c>
    </row>
    <row r="18689" spans="1:10" x14ac:dyDescent="0.2">
      <c r="A18689" s="4" t="s">
        <v>1</v>
      </c>
      <c r="B18689" s="3" t="str">
        <f>HYPERLINK("https://otsuka-europe-crm.veevavault.com/ui/#object/approved_document__v/V5O000000003010", "RXULTI - Caso Clínico ansiedad e irritabilidad")</f>
        <v>RXULTI - Caso Clínico ansiedad e irritabilidad</v>
      </c>
      <c r="C18689" s="3" t="str">
        <f>HYPERLINK("https://otsuka-europe-crm.veevavault.com/ui/#object/sent_email__v/VBL00000000J844", "SE-001389245")</f>
        <v>SE-001389245</v>
      </c>
      <c r="D18689" s="1" t="s">
        <v>0</v>
      </c>
      <c r="E18689" s="2">
        <v>0</v>
      </c>
      <c r="F18689" s="2">
        <v>0</v>
      </c>
      <c r="G18689" s="2">
        <v>0</v>
      </c>
      <c r="H18689" s="1" t="s">
        <v>0</v>
      </c>
      <c r="I18689" s="2">
        <v>0</v>
      </c>
      <c r="J18689" s="1">
        <v>45972.583252314813</v>
      </c>
    </row>
    <row r="18690" spans="1:10" x14ac:dyDescent="0.2">
      <c r="A18690" s="4" t="s">
        <v>1</v>
      </c>
      <c r="B18690" s="3" t="str">
        <f>HYPERLINK("https://otsuka-europe-crm.veevavault.com/ui/#object/approved_document__v/V5O000000003010", "RXULTI - Caso Clínico ansiedad e irritabilidad")</f>
        <v>RXULTI - Caso Clínico ansiedad e irritabilidad</v>
      </c>
      <c r="C18690" s="3" t="str">
        <f>HYPERLINK("https://otsuka-europe-crm.veevavault.com/ui/#object/sent_email__v/VBL00000000J845", "SE-001389246")</f>
        <v>SE-001389246</v>
      </c>
      <c r="D18690" s="1">
        <v>45972.622407407405</v>
      </c>
      <c r="E18690" s="2">
        <v>1</v>
      </c>
      <c r="F18690" s="2">
        <v>1</v>
      </c>
      <c r="G18690" s="2">
        <v>0</v>
      </c>
      <c r="H18690" s="1" t="s">
        <v>0</v>
      </c>
      <c r="I18690" s="2">
        <v>0</v>
      </c>
      <c r="J18690" s="1">
        <v>45972.583483796298</v>
      </c>
    </row>
    <row r="18691" spans="1:10" x14ac:dyDescent="0.2">
      <c r="A18691" s="4" t="s">
        <v>1</v>
      </c>
      <c r="B18691" s="3" t="str">
        <f>HYPERLINK("https://otsuka-europe-crm.veevavault.com/ui/#object/approved_document__v/V5O000000003010", "RXULTI - Caso Clínico ansiedad e irritabilidad")</f>
        <v>RXULTI - Caso Clínico ansiedad e irritabilidad</v>
      </c>
      <c r="C18691" s="3" t="str">
        <f>HYPERLINK("https://otsuka-europe-crm.veevavault.com/ui/#object/sent_email__v/VBL00000000J846", "SE-001389247")</f>
        <v>SE-001389247</v>
      </c>
      <c r="D18691" s="1">
        <v>45973.317997685182</v>
      </c>
      <c r="E18691" s="2">
        <v>1</v>
      </c>
      <c r="F18691" s="2">
        <v>4</v>
      </c>
      <c r="G18691" s="2">
        <v>0</v>
      </c>
      <c r="H18691" s="1" t="s">
        <v>0</v>
      </c>
      <c r="I18691" s="2">
        <v>0</v>
      </c>
      <c r="J18691" s="1">
        <v>45972.583553240744</v>
      </c>
    </row>
    <row r="18692" spans="1:10" x14ac:dyDescent="0.2">
      <c r="A18692" s="4" t="s">
        <v>1</v>
      </c>
      <c r="B18692" s="3" t="str">
        <f>HYPERLINK("https://otsuka-europe-crm.veevavault.com/ui/#object/approved_document__v/V5O000000003010", "RXULTI - Caso Clínico ansiedad e irritabilidad")</f>
        <v>RXULTI - Caso Clínico ansiedad e irritabilidad</v>
      </c>
      <c r="C18692" s="3" t="str">
        <f>HYPERLINK("https://otsuka-europe-crm.veevavault.com/ui/#object/sent_email__v/VBL00000000J847", "SE-001389248")</f>
        <v>SE-001389248</v>
      </c>
      <c r="D18692" s="1" t="s">
        <v>0</v>
      </c>
      <c r="E18692" s="2">
        <v>0</v>
      </c>
      <c r="F18692" s="2">
        <v>0</v>
      </c>
      <c r="G18692" s="2">
        <v>0</v>
      </c>
      <c r="H18692" s="1" t="s">
        <v>0</v>
      </c>
      <c r="I18692" s="2">
        <v>0</v>
      </c>
      <c r="J18692" s="1">
        <v>45972.583611111113</v>
      </c>
    </row>
    <row r="18693" spans="1:10" x14ac:dyDescent="0.2">
      <c r="A18693" s="4" t="s">
        <v>1</v>
      </c>
      <c r="B18693" s="3" t="str">
        <f>HYPERLINK("https://otsuka-europe-crm.veevavault.com/ui/#object/approved_document__v/V5O000000003010", "RXULTI - Caso Clínico ansiedad e irritabilidad")</f>
        <v>RXULTI - Caso Clínico ansiedad e irritabilidad</v>
      </c>
      <c r="C18693" s="3" t="str">
        <f>HYPERLINK("https://otsuka-europe-crm.veevavault.com/ui/#object/sent_email__v/VBL00000000J848", "SE-001389249")</f>
        <v>SE-001389249</v>
      </c>
      <c r="D18693" s="1" t="s">
        <v>0</v>
      </c>
      <c r="E18693" s="2">
        <v>0</v>
      </c>
      <c r="F18693" s="2">
        <v>0</v>
      </c>
      <c r="G18693" s="2">
        <v>0</v>
      </c>
      <c r="H18693" s="1" t="s">
        <v>0</v>
      </c>
      <c r="I18693" s="2">
        <v>0</v>
      </c>
      <c r="J18693" s="1">
        <v>45972.58321759259</v>
      </c>
    </row>
    <row r="18694" spans="1:10" x14ac:dyDescent="0.2">
      <c r="A18694" s="4" t="s">
        <v>1</v>
      </c>
      <c r="B18694" s="3" t="str">
        <f>HYPERLINK("https://otsuka-europe-crm.veevavault.com/ui/#object/approved_document__v/V5O000000003010", "RXULTI - Caso Clínico ansiedad e irritabilidad")</f>
        <v>RXULTI - Caso Clínico ansiedad e irritabilidad</v>
      </c>
      <c r="C18694" s="3" t="str">
        <f>HYPERLINK("https://otsuka-europe-crm.veevavault.com/ui/#object/sent_email__v/VBL00000000J849", "SE-001389250")</f>
        <v>SE-001389250</v>
      </c>
      <c r="D18694" s="1" t="s">
        <v>0</v>
      </c>
      <c r="E18694" s="2">
        <v>0</v>
      </c>
      <c r="F18694" s="2">
        <v>0</v>
      </c>
      <c r="G18694" s="2">
        <v>0</v>
      </c>
      <c r="H18694" s="1" t="s">
        <v>0</v>
      </c>
      <c r="I18694" s="2">
        <v>0</v>
      </c>
      <c r="J18694" s="1">
        <v>45972.583298611113</v>
      </c>
    </row>
    <row r="18695" spans="1:10" x14ac:dyDescent="0.2">
      <c r="A18695" s="4" t="s">
        <v>1</v>
      </c>
      <c r="B18695" s="3" t="str">
        <f>HYPERLINK("https://otsuka-europe-crm.veevavault.com/ui/#object/approved_document__v/V5O000000003010", "RXULTI - Caso Clínico ansiedad e irritabilidad")</f>
        <v>RXULTI - Caso Clínico ansiedad e irritabilidad</v>
      </c>
      <c r="C18695" s="3" t="str">
        <f>HYPERLINK("https://otsuka-europe-crm.veevavault.com/ui/#object/sent_email__v/VBL00000000J850", "SE-001389251")</f>
        <v>SE-001389251</v>
      </c>
      <c r="D18695" s="1" t="s">
        <v>0</v>
      </c>
      <c r="E18695" s="2">
        <v>0</v>
      </c>
      <c r="F18695" s="2">
        <v>0</v>
      </c>
      <c r="G18695" s="2">
        <v>0</v>
      </c>
      <c r="H18695" s="1" t="s">
        <v>0</v>
      </c>
      <c r="I18695" s="2">
        <v>0</v>
      </c>
      <c r="J18695" s="1">
        <v>45972.583356481482</v>
      </c>
    </row>
    <row r="18696" spans="1:10" x14ac:dyDescent="0.2">
      <c r="A18696" s="4" t="s">
        <v>1</v>
      </c>
      <c r="B18696" s="3" t="str">
        <f>HYPERLINK("https://otsuka-europe-crm.veevavault.com/ui/#object/approved_document__v/V5O000000003010", "RXULTI - Caso Clínico ansiedad e irritabilidad")</f>
        <v>RXULTI - Caso Clínico ansiedad e irritabilidad</v>
      </c>
      <c r="C18696" s="3" t="str">
        <f>HYPERLINK("https://otsuka-europe-crm.veevavault.com/ui/#object/sent_email__v/VBL00000000J851", "SE-001389252")</f>
        <v>SE-001389252</v>
      </c>
      <c r="D18696" s="1" t="s">
        <v>0</v>
      </c>
      <c r="E18696" s="2">
        <v>0</v>
      </c>
      <c r="F18696" s="2">
        <v>0</v>
      </c>
      <c r="G18696" s="2">
        <v>0</v>
      </c>
      <c r="H18696" s="1" t="s">
        <v>0</v>
      </c>
      <c r="I18696" s="2">
        <v>0</v>
      </c>
      <c r="J18696" s="1">
        <v>45972.583391203705</v>
      </c>
    </row>
    <row r="18697" spans="1:10" x14ac:dyDescent="0.2">
      <c r="A18697" s="4" t="s">
        <v>1</v>
      </c>
      <c r="B18697" s="3" t="str">
        <f>HYPERLINK("https://otsuka-europe-crm.veevavault.com/ui/#object/approved_document__v/V5O000000003010", "RXULTI - Caso Clínico ansiedad e irritabilidad")</f>
        <v>RXULTI - Caso Clínico ansiedad e irritabilidad</v>
      </c>
      <c r="C18697" s="3" t="str">
        <f>HYPERLINK("https://otsuka-europe-crm.veevavault.com/ui/#object/sent_email__v/VBL00000000J852", "SE-001389253")</f>
        <v>SE-001389253</v>
      </c>
      <c r="D18697" s="1">
        <v>45972.75854166667</v>
      </c>
      <c r="E18697" s="2">
        <v>1</v>
      </c>
      <c r="F18697" s="2">
        <v>2</v>
      </c>
      <c r="G18697" s="2">
        <v>0</v>
      </c>
      <c r="H18697" s="1" t="s">
        <v>0</v>
      </c>
      <c r="I18697" s="2">
        <v>0</v>
      </c>
      <c r="J18697" s="1">
        <v>45972.583425925928</v>
      </c>
    </row>
    <row r="18698" spans="1:10" x14ac:dyDescent="0.2">
      <c r="A18698" s="4" t="s">
        <v>1</v>
      </c>
      <c r="B18698" s="3" t="str">
        <f>HYPERLINK("https://otsuka-europe-crm.veevavault.com/ui/#object/approved_document__v/V5O000000003010", "RXULTI - Caso Clínico ansiedad e irritabilidad")</f>
        <v>RXULTI - Caso Clínico ansiedad e irritabilidad</v>
      </c>
      <c r="C18698" s="3" t="str">
        <f>HYPERLINK("https://otsuka-europe-crm.veevavault.com/ui/#object/sent_email__v/VBL00000000J853", "SE-001389254")</f>
        <v>SE-001389254</v>
      </c>
      <c r="D18698" s="1">
        <v>45972.583657407406</v>
      </c>
      <c r="E18698" s="2">
        <v>1</v>
      </c>
      <c r="F18698" s="2">
        <v>1</v>
      </c>
      <c r="G18698" s="2">
        <v>0</v>
      </c>
      <c r="H18698" s="1" t="s">
        <v>0</v>
      </c>
      <c r="I18698" s="2">
        <v>0</v>
      </c>
      <c r="J18698" s="1">
        <v>45972.583472222221</v>
      </c>
    </row>
    <row r="18699" spans="1:10" x14ac:dyDescent="0.2">
      <c r="A18699" s="4" t="s">
        <v>1</v>
      </c>
      <c r="B18699" s="3" t="str">
        <f>HYPERLINK("https://otsuka-europe-crm.veevavault.com/ui/#object/approved_document__v/V5O000000003010", "RXULTI - Caso Clínico ansiedad e irritabilidad")</f>
        <v>RXULTI - Caso Clínico ansiedad e irritabilidad</v>
      </c>
      <c r="C18699" s="3" t="str">
        <f>HYPERLINK("https://otsuka-europe-crm.veevavault.com/ui/#object/sent_email__v/VBL00000000J854", "SE-001389255")</f>
        <v>SE-001389255</v>
      </c>
      <c r="D18699" s="1" t="s">
        <v>0</v>
      </c>
      <c r="E18699" s="2">
        <v>0</v>
      </c>
      <c r="F18699" s="2">
        <v>0</v>
      </c>
      <c r="G18699" s="2">
        <v>0</v>
      </c>
      <c r="H18699" s="1" t="s">
        <v>0</v>
      </c>
      <c r="I18699" s="2">
        <v>0</v>
      </c>
      <c r="J18699" s="1">
        <v>45972.583518518521</v>
      </c>
    </row>
    <row r="18700" spans="1:10" x14ac:dyDescent="0.2">
      <c r="A18700" s="4" t="s">
        <v>1</v>
      </c>
      <c r="B18700" s="3" t="str">
        <f>HYPERLINK("https://otsuka-europe-crm.veevavault.com/ui/#object/approved_document__v/V5O000000003010", "RXULTI - Caso Clínico ansiedad e irritabilidad")</f>
        <v>RXULTI - Caso Clínico ansiedad e irritabilidad</v>
      </c>
      <c r="C18700" s="3" t="str">
        <f>HYPERLINK("https://otsuka-europe-crm.veevavault.com/ui/#object/sent_email__v/VBL00000000J855", "SE-001389256")</f>
        <v>SE-001389256</v>
      </c>
      <c r="D18700" s="1">
        <v>45977.804826388892</v>
      </c>
      <c r="E18700" s="2">
        <v>1</v>
      </c>
      <c r="F18700" s="2">
        <v>2</v>
      </c>
      <c r="G18700" s="2">
        <v>0</v>
      </c>
      <c r="H18700" s="1" t="s">
        <v>0</v>
      </c>
      <c r="I18700" s="2">
        <v>0</v>
      </c>
      <c r="J18700" s="1">
        <v>45972.583553240744</v>
      </c>
    </row>
    <row r="18701" spans="1:10" x14ac:dyDescent="0.2">
      <c r="A18701" s="4" t="s">
        <v>1</v>
      </c>
      <c r="B18701" s="3" t="str">
        <f>HYPERLINK("https://otsuka-europe-crm.veevavault.com/ui/#object/approved_document__v/V5O000000003010", "RXULTI - Caso Clínico ansiedad e irritabilidad")</f>
        <v>RXULTI - Caso Clínico ansiedad e irritabilidad</v>
      </c>
      <c r="C18701" s="3" t="str">
        <f>HYPERLINK("https://otsuka-europe-crm.veevavault.com/ui/#object/sent_email__v/VBL00000000J856", "SE-001389257")</f>
        <v>SE-001389257</v>
      </c>
      <c r="D18701" s="1" t="s">
        <v>0</v>
      </c>
      <c r="E18701" s="2">
        <v>0</v>
      </c>
      <c r="F18701" s="2">
        <v>0</v>
      </c>
      <c r="G18701" s="2">
        <v>0</v>
      </c>
      <c r="H18701" s="1" t="s">
        <v>0</v>
      </c>
      <c r="I18701" s="2">
        <v>0</v>
      </c>
      <c r="J18701" s="1">
        <v>45972.583599537036</v>
      </c>
    </row>
    <row r="18702" spans="1:10" x14ac:dyDescent="0.2">
      <c r="A18702" s="4" t="s">
        <v>1</v>
      </c>
      <c r="B18702" s="3" t="str">
        <f>HYPERLINK("https://otsuka-europe-crm.veevavault.com/ui/#object/approved_document__v/V5O000000003010", "RXULTI - Caso Clínico ansiedad e irritabilidad")</f>
        <v>RXULTI - Caso Clínico ansiedad e irritabilidad</v>
      </c>
      <c r="C18702" s="3" t="str">
        <f>HYPERLINK("https://otsuka-europe-crm.veevavault.com/ui/#object/sent_email__v/VBL00000000J857", "SE-001389258")</f>
        <v>SE-001389258</v>
      </c>
      <c r="D18702" s="1" t="s">
        <v>0</v>
      </c>
      <c r="E18702" s="2">
        <v>0</v>
      </c>
      <c r="F18702" s="2">
        <v>0</v>
      </c>
      <c r="G18702" s="2">
        <v>0</v>
      </c>
      <c r="H18702" s="1" t="s">
        <v>0</v>
      </c>
      <c r="I18702" s="2">
        <v>0</v>
      </c>
      <c r="J18702" s="1">
        <v>45972.583634259259</v>
      </c>
    </row>
    <row r="18703" spans="1:10" x14ac:dyDescent="0.2">
      <c r="A18703" s="4" t="s">
        <v>1</v>
      </c>
      <c r="B18703" s="3" t="str">
        <f>HYPERLINK("https://otsuka-europe-crm.veevavault.com/ui/#object/approved_document__v/V5O000000003010", "RXULTI - Caso Clínico ansiedad e irritabilidad")</f>
        <v>RXULTI - Caso Clínico ansiedad e irritabilidad</v>
      </c>
      <c r="C18703" s="3" t="str">
        <f>HYPERLINK("https://otsuka-europe-crm.veevavault.com/ui/#object/sent_email__v/VBL00000000J858", "SE-001389259")</f>
        <v>SE-001389259</v>
      </c>
      <c r="D18703" s="1">
        <v>45972.785243055558</v>
      </c>
      <c r="E18703" s="2">
        <v>1</v>
      </c>
      <c r="F18703" s="2">
        <v>1</v>
      </c>
      <c r="G18703" s="2">
        <v>0</v>
      </c>
      <c r="H18703" s="1" t="s">
        <v>0</v>
      </c>
      <c r="I18703" s="2">
        <v>0</v>
      </c>
      <c r="J18703" s="1">
        <v>45972.583680555559</v>
      </c>
    </row>
    <row r="18704" spans="1:10" x14ac:dyDescent="0.2">
      <c r="A18704" s="4" t="s">
        <v>1</v>
      </c>
      <c r="B18704" s="3" t="str">
        <f>HYPERLINK("https://otsuka-europe-crm.veevavault.com/ui/#object/approved_document__v/V5O000000003010", "RXULTI - Caso Clínico ansiedad e irritabilidad")</f>
        <v>RXULTI - Caso Clínico ansiedad e irritabilidad</v>
      </c>
      <c r="C18704" s="3" t="str">
        <f>HYPERLINK("https://otsuka-europe-crm.veevavault.com/ui/#object/sent_email__v/VBL00000000J859", "SE-001389260")</f>
        <v>SE-001389260</v>
      </c>
      <c r="D18704" s="1" t="s">
        <v>0</v>
      </c>
      <c r="E18704" s="2">
        <v>0</v>
      </c>
      <c r="F18704" s="2">
        <v>0</v>
      </c>
      <c r="G18704" s="2">
        <v>0</v>
      </c>
      <c r="H18704" s="1" t="s">
        <v>0</v>
      </c>
      <c r="I18704" s="2">
        <v>0</v>
      </c>
      <c r="J18704" s="1">
        <v>45972.583715277775</v>
      </c>
    </row>
    <row r="18705" spans="1:10" x14ac:dyDescent="0.2">
      <c r="A18705" s="4" t="s">
        <v>1</v>
      </c>
      <c r="B18705" s="3" t="str">
        <f>HYPERLINK("https://otsuka-europe-crm.veevavault.com/ui/#object/approved_document__v/V5O000000003010", "RXULTI - Caso Clínico ansiedad e irritabilidad")</f>
        <v>RXULTI - Caso Clínico ansiedad e irritabilidad</v>
      </c>
      <c r="C18705" s="3" t="str">
        <f>HYPERLINK("https://otsuka-europe-crm.veevavault.com/ui/#object/sent_email__v/VBL00000000J860", "SE-001389261")</f>
        <v>SE-001389261</v>
      </c>
      <c r="D18705" s="1" t="s">
        <v>0</v>
      </c>
      <c r="E18705" s="2">
        <v>0</v>
      </c>
      <c r="F18705" s="2">
        <v>0</v>
      </c>
      <c r="G18705" s="2">
        <v>0</v>
      </c>
      <c r="H18705" s="1" t="s">
        <v>0</v>
      </c>
      <c r="I18705" s="2">
        <v>0</v>
      </c>
      <c r="J18705" s="1">
        <v>45972.583749999998</v>
      </c>
    </row>
    <row r="18706" spans="1:10" x14ac:dyDescent="0.2">
      <c r="A18706" s="4" t="s">
        <v>1</v>
      </c>
      <c r="B18706" s="3" t="str">
        <f>HYPERLINK("https://otsuka-europe-crm.veevavault.com/ui/#object/approved_document__v/V5O000000003010", "RXULTI - Caso Clínico ansiedad e irritabilidad")</f>
        <v>RXULTI - Caso Clínico ansiedad e irritabilidad</v>
      </c>
      <c r="C18706" s="3" t="str">
        <f>HYPERLINK("https://otsuka-europe-crm.veevavault.com/ui/#object/sent_email__v/VBL00000000J861", "SE-001389262")</f>
        <v>SE-001389262</v>
      </c>
      <c r="D18706" s="1">
        <v>45972.966099537036</v>
      </c>
      <c r="E18706" s="2">
        <v>1</v>
      </c>
      <c r="F18706" s="2">
        <v>2</v>
      </c>
      <c r="G18706" s="2">
        <v>1</v>
      </c>
      <c r="H18706" s="1">
        <v>45972.584907407407</v>
      </c>
      <c r="I18706" s="2">
        <v>1</v>
      </c>
      <c r="J18706" s="1">
        <v>45972.583796296298</v>
      </c>
    </row>
    <row r="18707" spans="1:10" x14ac:dyDescent="0.2">
      <c r="A18707" s="4" t="s">
        <v>1</v>
      </c>
      <c r="B18707" s="3" t="str">
        <f>HYPERLINK("https://otsuka-europe-crm.veevavault.com/ui/#object/approved_document__v/V5O000000003010", "RXULTI - Caso Clínico ansiedad e irritabilidad")</f>
        <v>RXULTI - Caso Clínico ansiedad e irritabilidad</v>
      </c>
      <c r="C18707" s="3" t="str">
        <f>HYPERLINK("https://otsuka-europe-crm.veevavault.com/ui/#object/sent_email__v/VBL00000000J862", "SE-001389263")</f>
        <v>SE-001389263</v>
      </c>
      <c r="D18707" s="1">
        <v>45972.608078703706</v>
      </c>
      <c r="E18707" s="2">
        <v>1</v>
      </c>
      <c r="F18707" s="2">
        <v>2</v>
      </c>
      <c r="G18707" s="2">
        <v>0</v>
      </c>
      <c r="H18707" s="1" t="s">
        <v>0</v>
      </c>
      <c r="I18707" s="2">
        <v>0</v>
      </c>
      <c r="J18707" s="1">
        <v>45972.583831018521</v>
      </c>
    </row>
    <row r="18708" spans="1:10" x14ac:dyDescent="0.2">
      <c r="A18708" s="4" t="s">
        <v>1</v>
      </c>
      <c r="B18708" s="3" t="str">
        <f>HYPERLINK("https://otsuka-europe-crm.veevavault.com/ui/#object/approved_document__v/V5O000000003010", "RXULTI - Caso Clínico ansiedad e irritabilidad")</f>
        <v>RXULTI - Caso Clínico ansiedad e irritabilidad</v>
      </c>
      <c r="C18708" s="3" t="str">
        <f>HYPERLINK("https://otsuka-europe-crm.veevavault.com/ui/#object/sent_email__v/VBL00000000J863", "SE-001389264")</f>
        <v>SE-001389264</v>
      </c>
      <c r="D18708" s="1" t="s">
        <v>0</v>
      </c>
      <c r="E18708" s="2">
        <v>0</v>
      </c>
      <c r="F18708" s="2">
        <v>0</v>
      </c>
      <c r="G18708" s="2">
        <v>0</v>
      </c>
      <c r="H18708" s="1" t="s">
        <v>0</v>
      </c>
      <c r="I18708" s="2">
        <v>0</v>
      </c>
      <c r="J18708" s="1">
        <v>45972.583877314813</v>
      </c>
    </row>
    <row r="18709" spans="1:10" x14ac:dyDescent="0.2">
      <c r="A18709" s="4" t="s">
        <v>1</v>
      </c>
      <c r="B18709" s="3" t="str">
        <f>HYPERLINK("https://otsuka-europe-crm.veevavault.com/ui/#object/approved_document__v/V5O000000003010", "RXULTI - Caso Clínico ansiedad e irritabilidad")</f>
        <v>RXULTI - Caso Clínico ansiedad e irritabilidad</v>
      </c>
      <c r="C18709" s="3" t="str">
        <f>HYPERLINK("https://otsuka-europe-crm.veevavault.com/ui/#object/sent_email__v/VBL00000000J864", "SE-001389265")</f>
        <v>SE-001389265</v>
      </c>
      <c r="D18709" s="1">
        <v>45972.730046296296</v>
      </c>
      <c r="E18709" s="2">
        <v>1</v>
      </c>
      <c r="F18709" s="2">
        <v>1</v>
      </c>
      <c r="G18709" s="2">
        <v>0</v>
      </c>
      <c r="H18709" s="1" t="s">
        <v>0</v>
      </c>
      <c r="I18709" s="2">
        <v>0</v>
      </c>
      <c r="J18709" s="1">
        <v>45972.583923611113</v>
      </c>
    </row>
    <row r="18710" spans="1:10" x14ac:dyDescent="0.2">
      <c r="A18710" s="4" t="s">
        <v>1</v>
      </c>
      <c r="B18710" s="3" t="str">
        <f>HYPERLINK("https://otsuka-europe-crm.veevavault.com/ui/#object/approved_document__v/V5O000000003010", "RXULTI - Caso Clínico ansiedad e irritabilidad")</f>
        <v>RXULTI - Caso Clínico ansiedad e irritabilidad</v>
      </c>
      <c r="C18710" s="3" t="str">
        <f>HYPERLINK("https://otsuka-europe-crm.veevavault.com/ui/#object/sent_email__v/VBL00000000J865", "SE-001389266")</f>
        <v>SE-001389266</v>
      </c>
      <c r="D18710" s="1">
        <v>45982.536412037036</v>
      </c>
      <c r="E18710" s="2">
        <v>1</v>
      </c>
      <c r="F18710" s="2">
        <v>3</v>
      </c>
      <c r="G18710" s="2">
        <v>0</v>
      </c>
      <c r="H18710" s="1" t="s">
        <v>0</v>
      </c>
      <c r="I18710" s="2">
        <v>0</v>
      </c>
      <c r="J18710" s="1">
        <v>45972.583958333336</v>
      </c>
    </row>
    <row r="18711" spans="1:10" x14ac:dyDescent="0.2">
      <c r="A18711" s="4" t="s">
        <v>1</v>
      </c>
      <c r="B18711" s="3" t="str">
        <f>HYPERLINK("https://otsuka-europe-crm.veevavault.com/ui/#object/approved_document__v/V5O000000003010", "RXULTI - Caso Clínico ansiedad e irritabilidad")</f>
        <v>RXULTI - Caso Clínico ansiedad e irritabilidad</v>
      </c>
      <c r="C18711" s="3" t="str">
        <f>HYPERLINK("https://otsuka-europe-crm.veevavault.com/ui/#object/sent_email__v/VBL00000000J866", "SE-001389267")</f>
        <v>SE-001389267</v>
      </c>
      <c r="D18711" s="1">
        <v>45972.796319444446</v>
      </c>
      <c r="E18711" s="2">
        <v>1</v>
      </c>
      <c r="F18711" s="2">
        <v>4</v>
      </c>
      <c r="G18711" s="2">
        <v>0</v>
      </c>
      <c r="H18711" s="1" t="s">
        <v>0</v>
      </c>
      <c r="I18711" s="2">
        <v>0</v>
      </c>
      <c r="J18711" s="1">
        <v>45972.584004629629</v>
      </c>
    </row>
    <row r="18712" spans="1:10" x14ac:dyDescent="0.2">
      <c r="A18712" s="4" t="s">
        <v>1</v>
      </c>
      <c r="B18712" s="3" t="str">
        <f>HYPERLINK("https://otsuka-europe-crm.veevavault.com/ui/#object/approved_document__v/V5O000000003010", "RXULTI - Caso Clínico ansiedad e irritabilidad")</f>
        <v>RXULTI - Caso Clínico ansiedad e irritabilidad</v>
      </c>
      <c r="C18712" s="3" t="str">
        <f>HYPERLINK("https://otsuka-europe-crm.veevavault.com/ui/#object/sent_email__v/VBL00000000J867", "SE-001389268")</f>
        <v>SE-001389268</v>
      </c>
      <c r="D18712" s="1" t="s">
        <v>0</v>
      </c>
      <c r="E18712" s="2">
        <v>0</v>
      </c>
      <c r="F18712" s="2">
        <v>0</v>
      </c>
      <c r="G18712" s="2">
        <v>0</v>
      </c>
      <c r="H18712" s="1" t="s">
        <v>0</v>
      </c>
      <c r="I18712" s="2">
        <v>0</v>
      </c>
      <c r="J18712" s="1">
        <v>45972.584050925929</v>
      </c>
    </row>
    <row r="18713" spans="1:10" x14ac:dyDescent="0.2">
      <c r="A18713" s="4" t="s">
        <v>1</v>
      </c>
      <c r="B18713" s="3" t="str">
        <f>HYPERLINK("https://otsuka-europe-crm.veevavault.com/ui/#object/approved_document__v/V5O000000003010", "RXULTI - Caso Clínico ansiedad e irritabilidad")</f>
        <v>RXULTI - Caso Clínico ansiedad e irritabilidad</v>
      </c>
      <c r="C18713" s="3" t="str">
        <f>HYPERLINK("https://otsuka-europe-crm.veevavault.com/ui/#object/sent_email__v/VBL00000000J868", "SE-001389269")</f>
        <v>SE-001389269</v>
      </c>
      <c r="D18713" s="1">
        <v>45973.794479166667</v>
      </c>
      <c r="E18713" s="2">
        <v>1</v>
      </c>
      <c r="F18713" s="2">
        <v>1</v>
      </c>
      <c r="G18713" s="2">
        <v>0</v>
      </c>
      <c r="H18713" s="1" t="s">
        <v>0</v>
      </c>
      <c r="I18713" s="2">
        <v>0</v>
      </c>
      <c r="J18713" s="1">
        <v>45972.584085648145</v>
      </c>
    </row>
    <row r="18714" spans="1:10" x14ac:dyDescent="0.2">
      <c r="A18714" s="4" t="s">
        <v>1</v>
      </c>
      <c r="B18714" s="3" t="str">
        <f>HYPERLINK("https://otsuka-europe-crm.veevavault.com/ui/#object/approved_document__v/V5O000000003010", "RXULTI - Caso Clínico ansiedad e irritabilidad")</f>
        <v>RXULTI - Caso Clínico ansiedad e irritabilidad</v>
      </c>
      <c r="C18714" s="3" t="str">
        <f>HYPERLINK("https://otsuka-europe-crm.veevavault.com/ui/#object/sent_email__v/VBL00000000J869", "SE-001389270")</f>
        <v>SE-001389270</v>
      </c>
      <c r="D18714" s="1">
        <v>45973.958749999998</v>
      </c>
      <c r="E18714" s="2">
        <v>1</v>
      </c>
      <c r="F18714" s="2">
        <v>1</v>
      </c>
      <c r="G18714" s="2">
        <v>0</v>
      </c>
      <c r="H18714" s="1" t="s">
        <v>0</v>
      </c>
      <c r="I18714" s="2">
        <v>0</v>
      </c>
      <c r="J18714" s="1">
        <v>45972.584143518521</v>
      </c>
    </row>
    <row r="18715" spans="1:10" x14ac:dyDescent="0.2">
      <c r="A18715" s="4" t="s">
        <v>1</v>
      </c>
      <c r="B18715" s="3" t="str">
        <f>HYPERLINK("https://otsuka-europe-crm.veevavault.com/ui/#object/approved_document__v/V5O000000003010", "RXULTI - Caso Clínico ansiedad e irritabilidad")</f>
        <v>RXULTI - Caso Clínico ansiedad e irritabilidad</v>
      </c>
      <c r="C18715" s="3" t="str">
        <f>HYPERLINK("https://otsuka-europe-crm.veevavault.com/ui/#object/sent_email__v/VBL00000000J870", "SE-001389271")</f>
        <v>SE-001389271</v>
      </c>
      <c r="D18715" s="1" t="s">
        <v>0</v>
      </c>
      <c r="E18715" s="2">
        <v>0</v>
      </c>
      <c r="F18715" s="2">
        <v>0</v>
      </c>
      <c r="G18715" s="2">
        <v>0</v>
      </c>
      <c r="H18715" s="1" t="s">
        <v>0</v>
      </c>
      <c r="I18715" s="2">
        <v>0</v>
      </c>
      <c r="J18715" s="1">
        <v>45972.584178240744</v>
      </c>
    </row>
    <row r="18716" spans="1:10" x14ac:dyDescent="0.2">
      <c r="A18716" s="4" t="s">
        <v>1</v>
      </c>
      <c r="B18716" s="3" t="str">
        <f>HYPERLINK("https://otsuka-europe-crm.veevavault.com/ui/#object/approved_document__v/V5O000000003010", "RXULTI - Caso Clínico ansiedad e irritabilidad")</f>
        <v>RXULTI - Caso Clínico ansiedad e irritabilidad</v>
      </c>
      <c r="C18716" s="3" t="str">
        <f>HYPERLINK("https://otsuka-europe-crm.veevavault.com/ui/#object/sent_email__v/VBL00000000J871", "SE-001389272")</f>
        <v>SE-001389272</v>
      </c>
      <c r="D18716" s="1" t="s">
        <v>0</v>
      </c>
      <c r="E18716" s="2">
        <v>0</v>
      </c>
      <c r="F18716" s="2">
        <v>0</v>
      </c>
      <c r="G18716" s="2">
        <v>0</v>
      </c>
      <c r="H18716" s="1" t="s">
        <v>0</v>
      </c>
      <c r="I18716" s="2">
        <v>0</v>
      </c>
      <c r="J18716" s="1">
        <v>45972.58421296296</v>
      </c>
    </row>
    <row r="18717" spans="1:10" x14ac:dyDescent="0.2">
      <c r="A18717" s="4" t="s">
        <v>1</v>
      </c>
      <c r="B18717" s="3" t="str">
        <f>HYPERLINK("https://otsuka-europe-crm.veevavault.com/ui/#object/approved_document__v/V5O000000003010", "RXULTI - Caso Clínico ansiedad e irritabilidad")</f>
        <v>RXULTI - Caso Clínico ansiedad e irritabilidad</v>
      </c>
      <c r="C18717" s="3" t="str">
        <f>HYPERLINK("https://otsuka-europe-crm.veevavault.com/ui/#object/sent_email__v/VBL00000000J872", "SE-001389273")</f>
        <v>SE-001389273</v>
      </c>
      <c r="D18717" s="1">
        <v>45973.854085648149</v>
      </c>
      <c r="E18717" s="2">
        <v>1</v>
      </c>
      <c r="F18717" s="2">
        <v>1</v>
      </c>
      <c r="G18717" s="2">
        <v>1</v>
      </c>
      <c r="H18717" s="1">
        <v>45973.85429398148</v>
      </c>
      <c r="I18717" s="2">
        <v>1</v>
      </c>
      <c r="J18717" s="1">
        <v>45972.584282407406</v>
      </c>
    </row>
    <row r="18718" spans="1:10" x14ac:dyDescent="0.2">
      <c r="A18718" s="4" t="s">
        <v>1</v>
      </c>
      <c r="B18718" s="3" t="str">
        <f>HYPERLINK("https://otsuka-europe-crm.veevavault.com/ui/#object/approved_document__v/V5O000000003010", "RXULTI - Caso Clínico ansiedad e irritabilidad")</f>
        <v>RXULTI - Caso Clínico ansiedad e irritabilidad</v>
      </c>
      <c r="C18718" s="3" t="str">
        <f>HYPERLINK("https://otsuka-europe-crm.veevavault.com/ui/#object/sent_email__v/VBL00000000J873", "SE-001389274")</f>
        <v>SE-001389274</v>
      </c>
      <c r="D18718" s="1">
        <v>45975.804965277777</v>
      </c>
      <c r="E18718" s="2">
        <v>1</v>
      </c>
      <c r="F18718" s="2">
        <v>2</v>
      </c>
      <c r="G18718" s="2">
        <v>0</v>
      </c>
      <c r="H18718" s="1" t="s">
        <v>0</v>
      </c>
      <c r="I18718" s="2">
        <v>0</v>
      </c>
      <c r="J18718" s="1">
        <v>45972.584293981483</v>
      </c>
    </row>
    <row r="18719" spans="1:10" x14ac:dyDescent="0.2">
      <c r="A18719" s="4" t="s">
        <v>1</v>
      </c>
      <c r="B18719" s="3" t="str">
        <f>HYPERLINK("https://otsuka-europe-crm.veevavault.com/ui/#object/approved_document__v/V5O000000003010", "RXULTI - Caso Clínico ansiedad e irritabilidad")</f>
        <v>RXULTI - Caso Clínico ansiedad e irritabilidad</v>
      </c>
      <c r="C18719" s="3" t="str">
        <f>HYPERLINK("https://otsuka-europe-crm.veevavault.com/ui/#object/sent_email__v/VBL00000000J874", "SE-001389275")</f>
        <v>SE-001389275</v>
      </c>
      <c r="D18719" s="1">
        <v>45973.374618055554</v>
      </c>
      <c r="E18719" s="2">
        <v>1</v>
      </c>
      <c r="F18719" s="2">
        <v>2</v>
      </c>
      <c r="G18719" s="2">
        <v>0</v>
      </c>
      <c r="H18719" s="1" t="s">
        <v>0</v>
      </c>
      <c r="I18719" s="2">
        <v>0</v>
      </c>
      <c r="J18719" s="1">
        <v>45972.584328703706</v>
      </c>
    </row>
    <row r="18720" spans="1:10" x14ac:dyDescent="0.2">
      <c r="A18720" s="4" t="s">
        <v>1</v>
      </c>
      <c r="B18720" s="3" t="str">
        <f>HYPERLINK("https://otsuka-europe-crm.veevavault.com/ui/#object/approved_document__v/V5O000000003010", "RXULTI - Caso Clínico ansiedad e irritabilidad")</f>
        <v>RXULTI - Caso Clínico ansiedad e irritabilidad</v>
      </c>
      <c r="C18720" s="3" t="str">
        <f>HYPERLINK("https://otsuka-europe-crm.veevavault.com/ui/#object/sent_email__v/VBL00000000J875", "SE-001389276")</f>
        <v>SE-001389276</v>
      </c>
      <c r="D18720" s="1">
        <v>45972.589398148149</v>
      </c>
      <c r="E18720" s="2">
        <v>1</v>
      </c>
      <c r="F18720" s="2">
        <v>1</v>
      </c>
      <c r="G18720" s="2">
        <v>0</v>
      </c>
      <c r="H18720" s="1" t="s">
        <v>0</v>
      </c>
      <c r="I18720" s="2">
        <v>0</v>
      </c>
      <c r="J18720" s="1">
        <v>45972.584374999999</v>
      </c>
    </row>
    <row r="18721" spans="1:10" x14ac:dyDescent="0.2">
      <c r="A18721" s="4" t="s">
        <v>1</v>
      </c>
      <c r="B18721" s="3" t="str">
        <f>HYPERLINK("https://otsuka-europe-crm.veevavault.com/ui/#object/approved_document__v/V5O000000003010", "RXULTI - Caso Clínico ansiedad e irritabilidad")</f>
        <v>RXULTI - Caso Clínico ansiedad e irritabilidad</v>
      </c>
      <c r="C18721" s="3" t="str">
        <f>HYPERLINK("https://otsuka-europe-crm.veevavault.com/ui/#object/sent_email__v/VBL00000000J876", "SE-001389277")</f>
        <v>SE-001389277</v>
      </c>
      <c r="D18721" s="1">
        <v>45972.654224537036</v>
      </c>
      <c r="E18721" s="2">
        <v>1</v>
      </c>
      <c r="F18721" s="2">
        <v>1</v>
      </c>
      <c r="G18721" s="2">
        <v>0</v>
      </c>
      <c r="H18721" s="1" t="s">
        <v>0</v>
      </c>
      <c r="I18721" s="2">
        <v>0</v>
      </c>
      <c r="J18721" s="1">
        <v>45972.584421296298</v>
      </c>
    </row>
    <row r="18722" spans="1:10" x14ac:dyDescent="0.2">
      <c r="A18722" s="4" t="s">
        <v>1</v>
      </c>
      <c r="B18722" s="3" t="str">
        <f>HYPERLINK("https://otsuka-europe-crm.veevavault.com/ui/#object/approved_document__v/V5O000000003010", "RXULTI - Caso Clínico ansiedad e irritabilidad")</f>
        <v>RXULTI - Caso Clínico ansiedad e irritabilidad</v>
      </c>
      <c r="C18722" s="3" t="str">
        <f>HYPERLINK("https://otsuka-europe-crm.veevavault.com/ui/#object/sent_email__v/VBL00000000J877", "SE-001389278")</f>
        <v>SE-001389278</v>
      </c>
      <c r="D18722" s="1" t="s">
        <v>0</v>
      </c>
      <c r="E18722" s="2">
        <v>0</v>
      </c>
      <c r="F18722" s="2">
        <v>0</v>
      </c>
      <c r="G18722" s="2">
        <v>0</v>
      </c>
      <c r="H18722" s="1" t="s">
        <v>0</v>
      </c>
      <c r="I18722" s="2">
        <v>0</v>
      </c>
      <c r="J18722" s="1">
        <v>45972.584456018521</v>
      </c>
    </row>
    <row r="18723" spans="1:10" x14ac:dyDescent="0.2">
      <c r="A18723" s="4" t="s">
        <v>1</v>
      </c>
      <c r="B18723" s="3" t="str">
        <f>HYPERLINK("https://otsuka-europe-crm.veevavault.com/ui/#object/approved_document__v/V5O000000003010", "RXULTI - Caso Clínico ansiedad e irritabilidad")</f>
        <v>RXULTI - Caso Clínico ansiedad e irritabilidad</v>
      </c>
      <c r="C18723" s="3" t="str">
        <f>HYPERLINK("https://otsuka-europe-crm.veevavault.com/ui/#object/sent_email__v/VBL00000000J878", "SE-001389279")</f>
        <v>SE-001389279</v>
      </c>
      <c r="D18723" s="1">
        <v>45972.77275462963</v>
      </c>
      <c r="E18723" s="2">
        <v>1</v>
      </c>
      <c r="F18723" s="2">
        <v>1</v>
      </c>
      <c r="G18723" s="2">
        <v>0</v>
      </c>
      <c r="H18723" s="1" t="s">
        <v>0</v>
      </c>
      <c r="I18723" s="2">
        <v>0</v>
      </c>
      <c r="J18723" s="1">
        <v>45972.584490740737</v>
      </c>
    </row>
    <row r="18724" spans="1:10" x14ac:dyDescent="0.2">
      <c r="A18724" s="4" t="s">
        <v>1</v>
      </c>
      <c r="B18724" s="3" t="str">
        <f>HYPERLINK("https://otsuka-europe-crm.veevavault.com/ui/#object/approved_document__v/V5O000000003010", "RXULTI - Caso Clínico ansiedad e irritabilidad")</f>
        <v>RXULTI - Caso Clínico ansiedad e irritabilidad</v>
      </c>
      <c r="C18724" s="3" t="str">
        <f>HYPERLINK("https://otsuka-europe-crm.veevavault.com/ui/#object/sent_email__v/VBL00000000J879", "SE-001389280")</f>
        <v>SE-001389280</v>
      </c>
      <c r="D18724" s="1" t="s">
        <v>0</v>
      </c>
      <c r="E18724" s="2">
        <v>0</v>
      </c>
      <c r="F18724" s="2">
        <v>0</v>
      </c>
      <c r="G18724" s="2">
        <v>0</v>
      </c>
      <c r="H18724" s="1" t="s">
        <v>0</v>
      </c>
      <c r="I18724" s="2">
        <v>0</v>
      </c>
      <c r="J18724" s="1">
        <v>45972.584537037037</v>
      </c>
    </row>
    <row r="18725" spans="1:10" x14ac:dyDescent="0.2">
      <c r="A18725" s="4" t="s">
        <v>1</v>
      </c>
      <c r="B18725" s="3" t="str">
        <f>HYPERLINK("https://otsuka-europe-crm.veevavault.com/ui/#object/approved_document__v/V5O000000003010", "RXULTI - Caso Clínico ansiedad e irritabilidad")</f>
        <v>RXULTI - Caso Clínico ansiedad e irritabilidad</v>
      </c>
      <c r="C18725" s="3" t="str">
        <f>HYPERLINK("https://otsuka-europe-crm.veevavault.com/ui/#object/sent_email__v/VBL00000000J880", "SE-001389281")</f>
        <v>SE-001389281</v>
      </c>
      <c r="D18725" s="1" t="s">
        <v>0</v>
      </c>
      <c r="E18725" s="2">
        <v>0</v>
      </c>
      <c r="F18725" s="2">
        <v>0</v>
      </c>
      <c r="G18725" s="2">
        <v>0</v>
      </c>
      <c r="H18725" s="1" t="s">
        <v>0</v>
      </c>
      <c r="I18725" s="2">
        <v>0</v>
      </c>
      <c r="J18725" s="1">
        <v>45972.58457175926</v>
      </c>
    </row>
    <row r="18726" spans="1:10" x14ac:dyDescent="0.2">
      <c r="A18726" s="4" t="s">
        <v>1</v>
      </c>
      <c r="B18726" s="3" t="str">
        <f>HYPERLINK("https://otsuka-europe-crm.veevavault.com/ui/#object/approved_document__v/V5O000000003010", "RXULTI - Caso Clínico ansiedad e irritabilidad")</f>
        <v>RXULTI - Caso Clínico ansiedad e irritabilidad</v>
      </c>
      <c r="C18726" s="3" t="str">
        <f>HYPERLINK("https://otsuka-europe-crm.veevavault.com/ui/#object/sent_email__v/VBL00000000J881", "SE-001389282")</f>
        <v>SE-001389282</v>
      </c>
      <c r="D18726" s="1" t="s">
        <v>0</v>
      </c>
      <c r="E18726" s="2">
        <v>0</v>
      </c>
      <c r="F18726" s="2">
        <v>0</v>
      </c>
      <c r="G18726" s="2">
        <v>0</v>
      </c>
      <c r="H18726" s="1" t="s">
        <v>0</v>
      </c>
      <c r="I18726" s="2">
        <v>0</v>
      </c>
      <c r="J18726" s="1">
        <v>45972.584618055553</v>
      </c>
    </row>
    <row r="18727" spans="1:10" x14ac:dyDescent="0.2">
      <c r="A18727" s="4" t="s">
        <v>1</v>
      </c>
      <c r="B18727" s="3" t="str">
        <f>HYPERLINK("https://otsuka-europe-crm.veevavault.com/ui/#object/approved_document__v/V5O000000003010", "RXULTI - Caso Clínico ansiedad e irritabilidad")</f>
        <v>RXULTI - Caso Clínico ansiedad e irritabilidad</v>
      </c>
      <c r="C18727" s="3" t="str">
        <f>HYPERLINK("https://otsuka-europe-crm.veevavault.com/ui/#object/sent_email__v/VBL00000000J882", "SE-001389283")</f>
        <v>SE-001389283</v>
      </c>
      <c r="D18727" s="1">
        <v>45974.61619212963</v>
      </c>
      <c r="E18727" s="2">
        <v>1</v>
      </c>
      <c r="F18727" s="2">
        <v>1</v>
      </c>
      <c r="G18727" s="2">
        <v>0</v>
      </c>
      <c r="H18727" s="1" t="s">
        <v>0</v>
      </c>
      <c r="I18727" s="2">
        <v>0</v>
      </c>
      <c r="J18727" s="1">
        <v>45972.584664351853</v>
      </c>
    </row>
    <row r="18728" spans="1:10" x14ac:dyDescent="0.2">
      <c r="A18728" s="4" t="s">
        <v>1</v>
      </c>
      <c r="B18728" s="3" t="str">
        <f>HYPERLINK("https://otsuka-europe-crm.veevavault.com/ui/#object/approved_document__v/V5O000000003010", "RXULTI - Caso Clínico ansiedad e irritabilidad")</f>
        <v>RXULTI - Caso Clínico ansiedad e irritabilidad</v>
      </c>
      <c r="C18728" s="3" t="str">
        <f>HYPERLINK("https://otsuka-europe-crm.veevavault.com/ui/#object/sent_email__v/VBL00000000J883", "SE-001389284")</f>
        <v>SE-001389284</v>
      </c>
      <c r="D18728" s="1">
        <v>45978.919236111113</v>
      </c>
      <c r="E18728" s="2">
        <v>1</v>
      </c>
      <c r="F18728" s="2">
        <v>2</v>
      </c>
      <c r="G18728" s="2">
        <v>0</v>
      </c>
      <c r="H18728" s="1" t="s">
        <v>0</v>
      </c>
      <c r="I18728" s="2">
        <v>0</v>
      </c>
      <c r="J18728" s="1">
        <v>45972.584710648145</v>
      </c>
    </row>
    <row r="18729" spans="1:10" x14ac:dyDescent="0.2">
      <c r="A18729" s="4" t="s">
        <v>1</v>
      </c>
      <c r="B18729" s="3" t="str">
        <f>HYPERLINK("https://otsuka-europe-crm.veevavault.com/ui/#object/approved_document__v/V5O000000003010", "RXULTI - Caso Clínico ansiedad e irritabilidad")</f>
        <v>RXULTI - Caso Clínico ansiedad e irritabilidad</v>
      </c>
      <c r="C18729" s="3" t="str">
        <f>HYPERLINK("https://otsuka-europe-crm.veevavault.com/ui/#object/sent_email__v/VBL00000000R361", "SE-001391994")</f>
        <v>SE-001391994</v>
      </c>
      <c r="D18729" s="1" t="s">
        <v>0</v>
      </c>
      <c r="E18729" s="2">
        <v>0</v>
      </c>
      <c r="F18729" s="2">
        <v>0</v>
      </c>
      <c r="G18729" s="2">
        <v>0</v>
      </c>
      <c r="H18729" s="1" t="s">
        <v>0</v>
      </c>
      <c r="I18729" s="2">
        <v>0</v>
      </c>
      <c r="J18729" s="1">
        <v>45988.430763888886</v>
      </c>
    </row>
    <row r="18730" spans="1:10" x14ac:dyDescent="0.2">
      <c r="A18730" s="4" t="s">
        <v>1</v>
      </c>
      <c r="B18730" s="3" t="str">
        <f>HYPERLINK("https://otsuka-europe-crm.veevavault.com/ui/#object/approved_document__v/V5O000000003010", "RXULTI - Caso Clínico ansiedad e irritabilidad")</f>
        <v>RXULTI - Caso Clínico ansiedad e irritabilidad</v>
      </c>
      <c r="C18730" s="3" t="str">
        <f>HYPERLINK("https://otsuka-europe-crm.veevavault.com/ui/#object/sent_email__v/VBL00000000W011", "SE-001395588")</f>
        <v>SE-001395588</v>
      </c>
      <c r="D18730" s="1" t="s">
        <v>0</v>
      </c>
      <c r="E18730" s="2">
        <v>0</v>
      </c>
      <c r="F18730" s="2">
        <v>0</v>
      </c>
      <c r="G18730" s="2">
        <v>0</v>
      </c>
      <c r="H18730" s="1" t="s">
        <v>0</v>
      </c>
      <c r="I18730" s="2">
        <v>0</v>
      </c>
      <c r="J18730" s="1">
        <v>45996.400312500002</v>
      </c>
    </row>
    <row r="18731" spans="1:10" x14ac:dyDescent="0.2">
      <c r="A18731" s="4" t="s">
        <v>1</v>
      </c>
      <c r="B18731" s="3" t="str">
        <f>HYPERLINK("https://otsuka-europe-crm.veevavault.com/ui/#object/approved_document__v/V5O000000003010", "RXULTI - Caso Clínico ansiedad e irritabilidad")</f>
        <v>RXULTI - Caso Clínico ansiedad e irritabilidad</v>
      </c>
      <c r="C18731" s="3" t="str">
        <f>HYPERLINK("https://otsuka-europe-crm.veevavault.com/ui/#object/sent_email__v/VBL00000000W012", "SE-001395589")</f>
        <v>SE-001395589</v>
      </c>
      <c r="D18731" s="1" t="s">
        <v>0</v>
      </c>
      <c r="E18731" s="2">
        <v>0</v>
      </c>
      <c r="F18731" s="2">
        <v>0</v>
      </c>
      <c r="G18731" s="2">
        <v>0</v>
      </c>
      <c r="H18731" s="1" t="s">
        <v>0</v>
      </c>
      <c r="I18731" s="2">
        <v>0</v>
      </c>
      <c r="J18731" s="1">
        <v>45996.400312500002</v>
      </c>
    </row>
    <row r="18732" spans="1:10" x14ac:dyDescent="0.2">
      <c r="A18732" s="4" t="s">
        <v>1</v>
      </c>
      <c r="B18732" s="3" t="str">
        <f>HYPERLINK("https://otsuka-europe-crm.veevavault.com/ui/#object/approved_document__v/V5O000000003010", "RXULTI - Caso Clínico ansiedad e irritabilidad")</f>
        <v>RXULTI - Caso Clínico ansiedad e irritabilidad</v>
      </c>
      <c r="C18732" s="3" t="str">
        <f>HYPERLINK("https://otsuka-europe-crm.veevavault.com/ui/#object/sent_email__v/VBL00000001C271", "SE-001403510")</f>
        <v>SE-001403510</v>
      </c>
      <c r="D18732" s="1">
        <v>46062.558067129627</v>
      </c>
      <c r="E18732" s="2">
        <v>1</v>
      </c>
      <c r="F18732" s="2">
        <v>1</v>
      </c>
      <c r="G18732" s="2">
        <v>0</v>
      </c>
      <c r="H18732" s="1" t="s">
        <v>0</v>
      </c>
      <c r="I18732" s="2">
        <v>0</v>
      </c>
      <c r="J18732" s="1">
        <v>46062.552488425928</v>
      </c>
    </row>
    <row r="18733" spans="1:10" x14ac:dyDescent="0.2">
      <c r="A18733" s="4" t="s">
        <v>1</v>
      </c>
      <c r="B18733" s="3" t="str">
        <f>HYPERLINK("https://otsuka-europe-crm.veevavault.com/ui/#object/approved_document__v/V5OZ025E82PIT34", "RXULTI - Caso Clínico cambio de ILP antagonista")</f>
        <v>RXULTI - Caso Clínico cambio de ILP antagonista</v>
      </c>
      <c r="C18733" s="3" t="str">
        <f>HYPERLINK("https://otsuka-europe-crm.veevavault.com/ui/#object/sent_email__v/VBLZ025E82H4DFH", "SE-000281726")</f>
        <v>SE-000281726</v>
      </c>
      <c r="D18733" s="1">
        <v>45937.720879629633</v>
      </c>
      <c r="E18733" s="2">
        <v>1</v>
      </c>
      <c r="F18733" s="2">
        <v>3</v>
      </c>
      <c r="G18733" s="2">
        <v>1</v>
      </c>
      <c r="H18733" s="1">
        <v>45930.352893518517</v>
      </c>
      <c r="I18733" s="2">
        <v>1</v>
      </c>
      <c r="J18733" s="1">
        <v>45930.352662037039</v>
      </c>
    </row>
    <row r="18734" spans="1:10" x14ac:dyDescent="0.2">
      <c r="A18734" s="4" t="s">
        <v>1</v>
      </c>
      <c r="B18734" s="3" t="str">
        <f>HYPERLINK("https://otsuka-europe-crm.veevavault.com/ui/#object/approved_document__v/V5O000000003011", "RXULTI - Caso Clínico cambio de ILP antagonista")</f>
        <v>RXULTI - Caso Clínico cambio de ILP antagonista</v>
      </c>
      <c r="C18734" s="3" t="str">
        <f>HYPERLINK("https://otsuka-europe-crm.veevavault.com/ui/#object/sent_email__v/VBL000000006007", "SE-001380891")</f>
        <v>SE-001380891</v>
      </c>
      <c r="D18734" s="1" t="s">
        <v>0</v>
      </c>
      <c r="E18734" s="2">
        <v>0</v>
      </c>
      <c r="F18734" s="2">
        <v>0</v>
      </c>
      <c r="G18734" s="2">
        <v>0</v>
      </c>
      <c r="H18734" s="1" t="s">
        <v>0</v>
      </c>
      <c r="I18734" s="2">
        <v>0</v>
      </c>
      <c r="J18734" s="1">
        <v>45966.637129629627</v>
      </c>
    </row>
    <row r="18735" spans="1:10" x14ac:dyDescent="0.2">
      <c r="A18735" s="4" t="s">
        <v>1</v>
      </c>
      <c r="B18735" s="3" t="str">
        <f>HYPERLINK("https://otsuka-europe-crm.veevavault.com/ui/#object/approved_document__v/V5OZ025E82PIT31", "RXULTI - Caso Clínico cuando los ILPs no son una opción")</f>
        <v>RXULTI - Caso Clínico cuando los ILPs no son una opción</v>
      </c>
      <c r="C18735" s="3" t="str">
        <f>HYPERLINK("https://otsuka-europe-crm.veevavault.com/ui/#object/sent_email__v/VBLZ025E82H4DI9", "SE-000281727")</f>
        <v>SE-000281727</v>
      </c>
      <c r="D18735" s="1">
        <v>45937.720879629633</v>
      </c>
      <c r="E18735" s="2">
        <v>1</v>
      </c>
      <c r="F18735" s="2">
        <v>4</v>
      </c>
      <c r="G18735" s="2">
        <v>1</v>
      </c>
      <c r="H18735" s="1">
        <v>45930.353148148148</v>
      </c>
      <c r="I18735" s="2">
        <v>2</v>
      </c>
      <c r="J18735" s="1">
        <v>45930.352673611109</v>
      </c>
    </row>
    <row r="18736" spans="1:10" x14ac:dyDescent="0.2">
      <c r="A18736" s="4" t="s">
        <v>1</v>
      </c>
      <c r="B18736" s="3" t="str">
        <f>HYPERLINK("https://otsuka-europe-crm.veevavault.com/ui/#object/approved_document__v/V5OZ025E82PIT31", "RXULTI - Caso Clínico cuando los ILPs no son una opción")</f>
        <v>RXULTI - Caso Clínico cuando los ILPs no son una opción</v>
      </c>
      <c r="C18736" s="3" t="str">
        <f>HYPERLINK("https://otsuka-europe-crm.veevavault.com/ui/#object/sent_email__v/VBLZ025E82HG8QT", "SE-000285389")</f>
        <v>SE-000285389</v>
      </c>
      <c r="D18736" s="1">
        <v>45945.705648148149</v>
      </c>
      <c r="E18736" s="2">
        <v>1</v>
      </c>
      <c r="F18736" s="2">
        <v>2</v>
      </c>
      <c r="G18736" s="2">
        <v>0</v>
      </c>
      <c r="H18736" s="1" t="s">
        <v>0</v>
      </c>
      <c r="I18736" s="2">
        <v>0</v>
      </c>
      <c r="J18736" s="1">
        <v>45939.497037037036</v>
      </c>
    </row>
    <row r="18737" spans="1:10" x14ac:dyDescent="0.2">
      <c r="A18737" s="4" t="s">
        <v>1</v>
      </c>
      <c r="B18737" s="3" t="str">
        <f>HYPERLINK("https://otsuka-europe-crm.veevavault.com/ui/#object/approved_document__v/V5O000000003012", "RXULTI - Caso Clínico cuando los ILPs no son una opción")</f>
        <v>RXULTI - Caso Clínico cuando los ILPs no son una opción</v>
      </c>
      <c r="C18737" s="3" t="str">
        <f>HYPERLINK("https://otsuka-europe-crm.veevavault.com/ui/#object/sent_email__v/VBL000000004543", "SE-001380890")</f>
        <v>SE-001380890</v>
      </c>
      <c r="D18737" s="1" t="s">
        <v>0</v>
      </c>
      <c r="E18737" s="2">
        <v>0</v>
      </c>
      <c r="F18737" s="2">
        <v>0</v>
      </c>
      <c r="G18737" s="2">
        <v>0</v>
      </c>
      <c r="H18737" s="1" t="s">
        <v>0</v>
      </c>
      <c r="I18737" s="2">
        <v>0</v>
      </c>
      <c r="J18737" s="1">
        <v>45966.636064814818</v>
      </c>
    </row>
    <row r="18738" spans="1:10" x14ac:dyDescent="0.2">
      <c r="A18738" s="4" t="s">
        <v>1</v>
      </c>
      <c r="B18738" s="3" t="str">
        <f>HYPERLINK("https://otsuka-europe-crm.veevavault.com/ui/#object/approved_document__v/V5O000000003012", "RXULTI - Caso Clínico cuando los ILPs no son una opción")</f>
        <v>RXULTI - Caso Clínico cuando los ILPs no son una opción</v>
      </c>
      <c r="C18738" s="3" t="str">
        <f>HYPERLINK("https://otsuka-europe-crm.veevavault.com/ui/#object/sent_email__v/VBL00000000R360", "SE-001391992")</f>
        <v>SE-001391992</v>
      </c>
      <c r="D18738" s="1">
        <v>45989.703506944446</v>
      </c>
      <c r="E18738" s="2">
        <v>1</v>
      </c>
      <c r="F18738" s="2">
        <v>1</v>
      </c>
      <c r="G18738" s="2">
        <v>1</v>
      </c>
      <c r="H18738" s="1">
        <v>45989.703506944446</v>
      </c>
      <c r="I18738" s="2">
        <v>1</v>
      </c>
      <c r="J18738" s="1">
        <v>45988.430706018517</v>
      </c>
    </row>
    <row r="18739" spans="1:10" x14ac:dyDescent="0.2">
      <c r="A18739" s="4" t="s">
        <v>1</v>
      </c>
      <c r="B18739" s="3" t="str">
        <f>HYPERLINK("https://otsuka-europe-crm.veevavault.com/ui/#object/approved_document__v/V5O000000006001", "RXULTI - Comparativa antipsicóticos")</f>
        <v>RXULTI - Comparativa antipsicóticos</v>
      </c>
      <c r="C18739" s="3" t="str">
        <f>HYPERLINK("https://otsuka-europe-crm.veevavault.com/ui/#object/sent_email__v/VBL00000000F141", "SE-001386464")</f>
        <v>SE-001386464</v>
      </c>
      <c r="D18739" s="1" t="s">
        <v>0</v>
      </c>
      <c r="E18739" s="2">
        <v>0</v>
      </c>
      <c r="F18739" s="2">
        <v>0</v>
      </c>
      <c r="G18739" s="2">
        <v>0</v>
      </c>
      <c r="H18739" s="1" t="s">
        <v>0</v>
      </c>
      <c r="I18739" s="2">
        <v>0</v>
      </c>
      <c r="J18739" s="1">
        <v>45971.674872685187</v>
      </c>
    </row>
    <row r="18740" spans="1:10" x14ac:dyDescent="0.2">
      <c r="A18740" s="4" t="s">
        <v>1</v>
      </c>
      <c r="B18740" s="3" t="str">
        <f>HYPERLINK("https://otsuka-europe-crm.veevavault.com/ui/#object/approved_document__v/V5O000000006001", "RXULTI - Comparativa antipsicóticos")</f>
        <v>RXULTI - Comparativa antipsicóticos</v>
      </c>
      <c r="C18740" s="3" t="str">
        <f>HYPERLINK("https://otsuka-europe-crm.veevavault.com/ui/#object/sent_email__v/VBL00000000R357", "SE-001391989")</f>
        <v>SE-001391989</v>
      </c>
      <c r="D18740" s="1">
        <v>45989.700844907406</v>
      </c>
      <c r="E18740" s="2">
        <v>1</v>
      </c>
      <c r="F18740" s="2">
        <v>1</v>
      </c>
      <c r="G18740" s="2">
        <v>1</v>
      </c>
      <c r="H18740" s="1">
        <v>45989.700844907406</v>
      </c>
      <c r="I18740" s="2">
        <v>1</v>
      </c>
      <c r="J18740" s="1">
        <v>45988.430613425924</v>
      </c>
    </row>
    <row r="18741" spans="1:10" x14ac:dyDescent="0.2">
      <c r="A18741" s="4" t="s">
        <v>1</v>
      </c>
      <c r="B18741" s="3" t="str">
        <f>HYPERLINK("https://otsuka-europe-crm.veevavault.com/ui/#object/approved_document__v/V5O000000006001", "RXULTI - Comparativa antipsicóticos")</f>
        <v>RXULTI - Comparativa antipsicóticos</v>
      </c>
      <c r="C18741" s="3" t="str">
        <f>HYPERLINK("https://otsuka-europe-crm.veevavault.com/ui/#object/sent_email__v/VBL00000000R886", "SE-001394247")</f>
        <v>SE-001394247</v>
      </c>
      <c r="D18741" s="1" t="s">
        <v>0</v>
      </c>
      <c r="E18741" s="2">
        <v>0</v>
      </c>
      <c r="F18741" s="2">
        <v>0</v>
      </c>
      <c r="G18741" s="2">
        <v>0</v>
      </c>
      <c r="H18741" s="1" t="s">
        <v>0</v>
      </c>
      <c r="I18741" s="2">
        <v>0</v>
      </c>
      <c r="J18741" s="1">
        <v>45992.42291666667</v>
      </c>
    </row>
    <row r="18742" spans="1:10" x14ac:dyDescent="0.2">
      <c r="A18742" s="4" t="s">
        <v>1</v>
      </c>
      <c r="B18742" s="3" t="str">
        <f>HYPERLINK("https://otsuka-europe-crm.veevavault.com/ui/#object/approved_document__v/V5O000000006001", "RXULTI - Comparativa antipsicóticos")</f>
        <v>RXULTI - Comparativa antipsicóticos</v>
      </c>
      <c r="C18742" s="3" t="str">
        <f>HYPERLINK("https://otsuka-europe-crm.veevavault.com/ui/#object/sent_email__v/VBL00000000X003", "SE-001395478")</f>
        <v>SE-001395478</v>
      </c>
      <c r="D18742" s="1">
        <v>46028.569120370368</v>
      </c>
      <c r="E18742" s="2">
        <v>1</v>
      </c>
      <c r="F18742" s="2">
        <v>2</v>
      </c>
      <c r="G18742" s="2">
        <v>0</v>
      </c>
      <c r="H18742" s="1" t="s">
        <v>0</v>
      </c>
      <c r="I18742" s="2">
        <v>0</v>
      </c>
      <c r="J18742" s="1">
        <v>45996.334340277775</v>
      </c>
    </row>
    <row r="18743" spans="1:10" x14ac:dyDescent="0.2">
      <c r="A18743" s="4" t="s">
        <v>1</v>
      </c>
      <c r="B18743" s="3" t="str">
        <f>HYPERLINK("https://otsuka-europe-crm.veevavault.com/ui/#object/approved_document__v/V5O000000006001", "RXULTI - Comparativa antipsicóticos")</f>
        <v>RXULTI - Comparativa antipsicóticos</v>
      </c>
      <c r="C18743" s="3" t="str">
        <f>HYPERLINK("https://otsuka-europe-crm.veevavault.com/ui/#object/sent_email__v/VBL00000000X004", "SE-001395479")</f>
        <v>SE-001395479</v>
      </c>
      <c r="D18743" s="1">
        <v>45996.346712962964</v>
      </c>
      <c r="E18743" s="2">
        <v>1</v>
      </c>
      <c r="F18743" s="2">
        <v>2</v>
      </c>
      <c r="G18743" s="2">
        <v>0</v>
      </c>
      <c r="H18743" s="1" t="s">
        <v>0</v>
      </c>
      <c r="I18743" s="2">
        <v>0</v>
      </c>
      <c r="J18743" s="1">
        <v>45996.334374999999</v>
      </c>
    </row>
    <row r="18744" spans="1:10" x14ac:dyDescent="0.2">
      <c r="A18744" s="4" t="s">
        <v>1</v>
      </c>
      <c r="B18744" s="3" t="str">
        <f>HYPERLINK("https://otsuka-europe-crm.veevavault.com/ui/#object/approved_document__v/V5O000000006001", "RXULTI - Comparativa antipsicóticos")</f>
        <v>RXULTI - Comparativa antipsicóticos</v>
      </c>
      <c r="C18744" s="3" t="str">
        <f>HYPERLINK("https://otsuka-europe-crm.veevavault.com/ui/#object/sent_email__v/VBL00000000X005", "SE-001395480")</f>
        <v>SE-001395480</v>
      </c>
      <c r="D18744" s="1" t="s">
        <v>0</v>
      </c>
      <c r="E18744" s="2">
        <v>0</v>
      </c>
      <c r="F18744" s="2">
        <v>0</v>
      </c>
      <c r="G18744" s="2">
        <v>0</v>
      </c>
      <c r="H18744" s="1" t="s">
        <v>0</v>
      </c>
      <c r="I18744" s="2">
        <v>0</v>
      </c>
      <c r="J18744" s="1">
        <v>45996.334409722222</v>
      </c>
    </row>
    <row r="18745" spans="1:10" x14ac:dyDescent="0.2">
      <c r="A18745" s="4" t="s">
        <v>1</v>
      </c>
      <c r="B18745" s="3" t="str">
        <f>HYPERLINK("https://otsuka-europe-crm.veevavault.com/ui/#object/approved_document__v/V5O000000006001", "RXULTI - Comparativa antipsicóticos")</f>
        <v>RXULTI - Comparativa antipsicóticos</v>
      </c>
      <c r="C18745" s="3" t="str">
        <f>HYPERLINK("https://otsuka-europe-crm.veevavault.com/ui/#object/sent_email__v/VBL00000000X006", "SE-001395481")</f>
        <v>SE-001395481</v>
      </c>
      <c r="D18745" s="1">
        <v>46001.530416666668</v>
      </c>
      <c r="E18745" s="2">
        <v>1</v>
      </c>
      <c r="F18745" s="2">
        <v>2</v>
      </c>
      <c r="G18745" s="2">
        <v>0</v>
      </c>
      <c r="H18745" s="1" t="s">
        <v>0</v>
      </c>
      <c r="I18745" s="2">
        <v>0</v>
      </c>
      <c r="J18745" s="1">
        <v>45996.334456018521</v>
      </c>
    </row>
    <row r="18746" spans="1:10" x14ac:dyDescent="0.2">
      <c r="A18746" s="4" t="s">
        <v>1</v>
      </c>
      <c r="B18746" s="3" t="str">
        <f>HYPERLINK("https://otsuka-europe-crm.veevavault.com/ui/#object/approved_document__v/V5O000000006001", "RXULTI - Comparativa antipsicóticos")</f>
        <v>RXULTI - Comparativa antipsicóticos</v>
      </c>
      <c r="C18746" s="3" t="str">
        <f>HYPERLINK("https://otsuka-europe-crm.veevavault.com/ui/#object/sent_email__v/VBL00000000X007", "SE-001395482")</f>
        <v>SE-001395482</v>
      </c>
      <c r="D18746" s="1" t="s">
        <v>0</v>
      </c>
      <c r="E18746" s="2">
        <v>0</v>
      </c>
      <c r="F18746" s="2">
        <v>0</v>
      </c>
      <c r="G18746" s="2">
        <v>0</v>
      </c>
      <c r="H18746" s="1" t="s">
        <v>0</v>
      </c>
      <c r="I18746" s="2">
        <v>0</v>
      </c>
      <c r="J18746" s="1">
        <v>45996.334479166668</v>
      </c>
    </row>
    <row r="18747" spans="1:10" x14ac:dyDescent="0.2">
      <c r="A18747" s="4" t="s">
        <v>1</v>
      </c>
      <c r="B18747" s="3" t="str">
        <f>HYPERLINK("https://otsuka-europe-crm.veevavault.com/ui/#object/approved_document__v/V5O000000006001", "RXULTI - Comparativa antipsicóticos")</f>
        <v>RXULTI - Comparativa antipsicóticos</v>
      </c>
      <c r="C18747" s="3" t="str">
        <f>HYPERLINK("https://otsuka-europe-crm.veevavault.com/ui/#object/sent_email__v/VBL00000000X008", "SE-001395483")</f>
        <v>SE-001395483</v>
      </c>
      <c r="D18747" s="1" t="s">
        <v>0</v>
      </c>
      <c r="E18747" s="2">
        <v>0</v>
      </c>
      <c r="F18747" s="2">
        <v>0</v>
      </c>
      <c r="G18747" s="2">
        <v>0</v>
      </c>
      <c r="H18747" s="1" t="s">
        <v>0</v>
      </c>
      <c r="I18747" s="2">
        <v>0</v>
      </c>
      <c r="J18747" s="1">
        <v>45996.334537037037</v>
      </c>
    </row>
    <row r="18748" spans="1:10" x14ac:dyDescent="0.2">
      <c r="A18748" s="4" t="s">
        <v>1</v>
      </c>
      <c r="B18748" s="3" t="str">
        <f>HYPERLINK("https://otsuka-europe-crm.veevavault.com/ui/#object/approved_document__v/V5O000000006001", "RXULTI - Comparativa antipsicóticos")</f>
        <v>RXULTI - Comparativa antipsicóticos</v>
      </c>
      <c r="C18748" s="3" t="str">
        <f>HYPERLINK("https://otsuka-europe-crm.veevavault.com/ui/#object/sent_email__v/VBL00000000X009", "SE-001395484")</f>
        <v>SE-001395484</v>
      </c>
      <c r="D18748" s="1" t="s">
        <v>0</v>
      </c>
      <c r="E18748" s="2">
        <v>0</v>
      </c>
      <c r="F18748" s="2">
        <v>0</v>
      </c>
      <c r="G18748" s="2">
        <v>0</v>
      </c>
      <c r="H18748" s="1" t="s">
        <v>0</v>
      </c>
      <c r="I18748" s="2">
        <v>0</v>
      </c>
      <c r="J18748" s="1">
        <v>45996.334560185183</v>
      </c>
    </row>
    <row r="18749" spans="1:10" x14ac:dyDescent="0.2">
      <c r="A18749" s="4" t="s">
        <v>1</v>
      </c>
      <c r="B18749" s="3" t="str">
        <f>HYPERLINK("https://otsuka-europe-crm.veevavault.com/ui/#object/approved_document__v/V5O000000006001", "RXULTI - Comparativa antipsicóticos")</f>
        <v>RXULTI - Comparativa antipsicóticos</v>
      </c>
      <c r="C18749" s="3" t="str">
        <f>HYPERLINK("https://otsuka-europe-crm.veevavault.com/ui/#object/sent_email__v/VBL00000000X010", "SE-001395485")</f>
        <v>SE-001395485</v>
      </c>
      <c r="D18749" s="1">
        <v>45996.406053240738</v>
      </c>
      <c r="E18749" s="2">
        <v>1</v>
      </c>
      <c r="F18749" s="2">
        <v>2</v>
      </c>
      <c r="G18749" s="2">
        <v>0</v>
      </c>
      <c r="H18749" s="1" t="s">
        <v>0</v>
      </c>
      <c r="I18749" s="2">
        <v>0</v>
      </c>
      <c r="J18749" s="1">
        <v>45996.334583333337</v>
      </c>
    </row>
    <row r="18750" spans="1:10" x14ac:dyDescent="0.2">
      <c r="A18750" s="4" t="s">
        <v>1</v>
      </c>
      <c r="B18750" s="3" t="str">
        <f>HYPERLINK("https://otsuka-europe-crm.veevavault.com/ui/#object/approved_document__v/V5O000000006001", "RXULTI - Comparativa antipsicóticos")</f>
        <v>RXULTI - Comparativa antipsicóticos</v>
      </c>
      <c r="C18750" s="3" t="str">
        <f>HYPERLINK("https://otsuka-europe-crm.veevavault.com/ui/#object/sent_email__v/VBL00000000X011", "SE-001395486")</f>
        <v>SE-001395486</v>
      </c>
      <c r="D18750" s="1" t="s">
        <v>0</v>
      </c>
      <c r="E18750" s="2">
        <v>0</v>
      </c>
      <c r="F18750" s="2">
        <v>0</v>
      </c>
      <c r="G18750" s="2">
        <v>0</v>
      </c>
      <c r="H18750" s="1" t="s">
        <v>0</v>
      </c>
      <c r="I18750" s="2">
        <v>0</v>
      </c>
      <c r="J18750" s="1">
        <v>45996.334618055553</v>
      </c>
    </row>
    <row r="18751" spans="1:10" x14ac:dyDescent="0.2">
      <c r="A18751" s="4" t="s">
        <v>1</v>
      </c>
      <c r="B18751" s="3" t="str">
        <f>HYPERLINK("https://otsuka-europe-crm.veevavault.com/ui/#object/approved_document__v/V5O000000006001", "RXULTI - Comparativa antipsicóticos")</f>
        <v>RXULTI - Comparativa antipsicóticos</v>
      </c>
      <c r="C18751" s="3" t="str">
        <f>HYPERLINK("https://otsuka-europe-crm.veevavault.com/ui/#object/sent_email__v/VBL00000000X012", "SE-001395487")</f>
        <v>SE-001395487</v>
      </c>
      <c r="D18751" s="1" t="s">
        <v>0</v>
      </c>
      <c r="E18751" s="2">
        <v>0</v>
      </c>
      <c r="F18751" s="2">
        <v>0</v>
      </c>
      <c r="G18751" s="2">
        <v>0</v>
      </c>
      <c r="H18751" s="1" t="s">
        <v>0</v>
      </c>
      <c r="I18751" s="2">
        <v>0</v>
      </c>
      <c r="J18751" s="1">
        <v>45996.334652777776</v>
      </c>
    </row>
    <row r="18752" spans="1:10" x14ac:dyDescent="0.2">
      <c r="A18752" s="4" t="s">
        <v>1</v>
      </c>
      <c r="B18752" s="3" t="str">
        <f>HYPERLINK("https://otsuka-europe-crm.veevavault.com/ui/#object/approved_document__v/V5O000000006001", "RXULTI - Comparativa antipsicóticos")</f>
        <v>RXULTI - Comparativa antipsicóticos</v>
      </c>
      <c r="C18752" s="3" t="str">
        <f>HYPERLINK("https://otsuka-europe-crm.veevavault.com/ui/#object/sent_email__v/VBL00000000X013", "SE-001395488")</f>
        <v>SE-001395488</v>
      </c>
      <c r="D18752" s="1" t="s">
        <v>0</v>
      </c>
      <c r="E18752" s="2">
        <v>0</v>
      </c>
      <c r="F18752" s="2">
        <v>0</v>
      </c>
      <c r="G18752" s="2">
        <v>0</v>
      </c>
      <c r="H18752" s="1" t="s">
        <v>0</v>
      </c>
      <c r="I18752" s="2">
        <v>0</v>
      </c>
      <c r="J18752" s="1">
        <v>45996.334687499999</v>
      </c>
    </row>
    <row r="18753" spans="1:10" x14ac:dyDescent="0.2">
      <c r="A18753" s="4" t="s">
        <v>1</v>
      </c>
      <c r="B18753" s="3" t="str">
        <f>HYPERLINK("https://otsuka-europe-crm.veevavault.com/ui/#object/approved_document__v/V5O000000006001", "RXULTI - Comparativa antipsicóticos")</f>
        <v>RXULTI - Comparativa antipsicóticos</v>
      </c>
      <c r="C18753" s="3" t="str">
        <f>HYPERLINK("https://otsuka-europe-crm.veevavault.com/ui/#object/sent_email__v/VBL00000000X014", "SE-001395489")</f>
        <v>SE-001395489</v>
      </c>
      <c r="D18753" s="1">
        <v>46020.786504629628</v>
      </c>
      <c r="E18753" s="2">
        <v>1</v>
      </c>
      <c r="F18753" s="2">
        <v>6</v>
      </c>
      <c r="G18753" s="2">
        <v>0</v>
      </c>
      <c r="H18753" s="1" t="s">
        <v>0</v>
      </c>
      <c r="I18753" s="2">
        <v>0</v>
      </c>
      <c r="J18753" s="1">
        <v>45996.334722222222</v>
      </c>
    </row>
    <row r="18754" spans="1:10" x14ac:dyDescent="0.2">
      <c r="A18754" s="4" t="s">
        <v>1</v>
      </c>
      <c r="B18754" s="3" t="str">
        <f>HYPERLINK("https://otsuka-europe-crm.veevavault.com/ui/#object/approved_document__v/V5O000000006001", "RXULTI - Comparativa antipsicóticos")</f>
        <v>RXULTI - Comparativa antipsicóticos</v>
      </c>
      <c r="C18754" s="3" t="str">
        <f>HYPERLINK("https://otsuka-europe-crm.veevavault.com/ui/#object/sent_email__v/VBL00000000X015", "SE-001395490")</f>
        <v>SE-001395490</v>
      </c>
      <c r="D18754" s="1" t="s">
        <v>0</v>
      </c>
      <c r="E18754" s="2">
        <v>0</v>
      </c>
      <c r="F18754" s="2">
        <v>0</v>
      </c>
      <c r="G18754" s="2">
        <v>0</v>
      </c>
      <c r="H18754" s="1" t="s">
        <v>0</v>
      </c>
      <c r="I18754" s="2">
        <v>0</v>
      </c>
      <c r="J18754" s="1">
        <v>45996.334756944445</v>
      </c>
    </row>
    <row r="18755" spans="1:10" x14ac:dyDescent="0.2">
      <c r="A18755" s="4" t="s">
        <v>1</v>
      </c>
      <c r="B18755" s="3" t="str">
        <f>HYPERLINK("https://otsuka-europe-crm.veevavault.com/ui/#object/approved_document__v/V5O000000006001", "RXULTI - Comparativa antipsicóticos")</f>
        <v>RXULTI - Comparativa antipsicóticos</v>
      </c>
      <c r="C18755" s="3" t="str">
        <f>HYPERLINK("https://otsuka-europe-crm.veevavault.com/ui/#object/sent_email__v/VBL00000000X016", "SE-001395491")</f>
        <v>SE-001395491</v>
      </c>
      <c r="D18755" s="1" t="s">
        <v>0</v>
      </c>
      <c r="E18755" s="2">
        <v>0</v>
      </c>
      <c r="F18755" s="2">
        <v>0</v>
      </c>
      <c r="G18755" s="2">
        <v>0</v>
      </c>
      <c r="H18755" s="1" t="s">
        <v>0</v>
      </c>
      <c r="I18755" s="2">
        <v>0</v>
      </c>
      <c r="J18755" s="1">
        <v>45996.334791666668</v>
      </c>
    </row>
    <row r="18756" spans="1:10" x14ac:dyDescent="0.2">
      <c r="A18756" s="4" t="s">
        <v>1</v>
      </c>
      <c r="B18756" s="3" t="str">
        <f>HYPERLINK("https://otsuka-europe-crm.veevavault.com/ui/#object/approved_document__v/V5O000000006001", "RXULTI - Comparativa antipsicóticos")</f>
        <v>RXULTI - Comparativa antipsicóticos</v>
      </c>
      <c r="C18756" s="3" t="str">
        <f>HYPERLINK("https://otsuka-europe-crm.veevavault.com/ui/#object/sent_email__v/VBL00000000X017", "SE-001395492")</f>
        <v>SE-001395492</v>
      </c>
      <c r="D18756" s="1">
        <v>45996.879386574074</v>
      </c>
      <c r="E18756" s="2">
        <v>1</v>
      </c>
      <c r="F18756" s="2">
        <v>4</v>
      </c>
      <c r="G18756" s="2">
        <v>0</v>
      </c>
      <c r="H18756" s="1" t="s">
        <v>0</v>
      </c>
      <c r="I18756" s="2">
        <v>0</v>
      </c>
      <c r="J18756" s="1">
        <v>45996.334826388891</v>
      </c>
    </row>
    <row r="18757" spans="1:10" x14ac:dyDescent="0.2">
      <c r="A18757" s="4" t="s">
        <v>1</v>
      </c>
      <c r="B18757" s="3" t="str">
        <f>HYPERLINK("https://otsuka-europe-crm.veevavault.com/ui/#object/approved_document__v/V5O000000006001", "RXULTI - Comparativa antipsicóticos")</f>
        <v>RXULTI - Comparativa antipsicóticos</v>
      </c>
      <c r="C18757" s="3" t="str">
        <f>HYPERLINK("https://otsuka-europe-crm.veevavault.com/ui/#object/sent_email__v/VBL00000000X018", "SE-001395493")</f>
        <v>SE-001395493</v>
      </c>
      <c r="D18757" s="1">
        <v>45998.059236111112</v>
      </c>
      <c r="E18757" s="2">
        <v>1</v>
      </c>
      <c r="F18757" s="2">
        <v>1</v>
      </c>
      <c r="G18757" s="2">
        <v>0</v>
      </c>
      <c r="H18757" s="1" t="s">
        <v>0</v>
      </c>
      <c r="I18757" s="2">
        <v>0</v>
      </c>
      <c r="J18757" s="1">
        <v>45996.334861111114</v>
      </c>
    </row>
    <row r="18758" spans="1:10" x14ac:dyDescent="0.2">
      <c r="A18758" s="4" t="s">
        <v>1</v>
      </c>
      <c r="B18758" s="3" t="str">
        <f>HYPERLINK("https://otsuka-europe-crm.veevavault.com/ui/#object/approved_document__v/V5O000000006001", "RXULTI - Comparativa antipsicóticos")</f>
        <v>RXULTI - Comparativa antipsicóticos</v>
      </c>
      <c r="C18758" s="3" t="str">
        <f>HYPERLINK("https://otsuka-europe-crm.veevavault.com/ui/#object/sent_email__v/VBL00000000X019", "SE-001395494")</f>
        <v>SE-001395494</v>
      </c>
      <c r="D18758" s="1">
        <v>45999.179212962961</v>
      </c>
      <c r="E18758" s="2">
        <v>1</v>
      </c>
      <c r="F18758" s="2">
        <v>1</v>
      </c>
      <c r="G18758" s="2">
        <v>0</v>
      </c>
      <c r="H18758" s="1" t="s">
        <v>0</v>
      </c>
      <c r="I18758" s="2">
        <v>0</v>
      </c>
      <c r="J18758" s="1">
        <v>45996.33489583333</v>
      </c>
    </row>
    <row r="18759" spans="1:10" x14ac:dyDescent="0.2">
      <c r="A18759" s="4" t="s">
        <v>1</v>
      </c>
      <c r="B18759" s="3" t="str">
        <f>HYPERLINK("https://otsuka-europe-crm.veevavault.com/ui/#object/approved_document__v/V5O000000006001", "RXULTI - Comparativa antipsicóticos")</f>
        <v>RXULTI - Comparativa antipsicóticos</v>
      </c>
      <c r="C18759" s="3" t="str">
        <f>HYPERLINK("https://otsuka-europe-crm.veevavault.com/ui/#object/sent_email__v/VBL00000000X020", "SE-001395495")</f>
        <v>SE-001395495</v>
      </c>
      <c r="D18759" s="1" t="s">
        <v>0</v>
      </c>
      <c r="E18759" s="2">
        <v>0</v>
      </c>
      <c r="F18759" s="2">
        <v>0</v>
      </c>
      <c r="G18759" s="2">
        <v>0</v>
      </c>
      <c r="H18759" s="1" t="s">
        <v>0</v>
      </c>
      <c r="I18759" s="2">
        <v>0</v>
      </c>
      <c r="J18759" s="1">
        <v>45996.334930555553</v>
      </c>
    </row>
    <row r="18760" spans="1:10" x14ac:dyDescent="0.2">
      <c r="A18760" s="4" t="s">
        <v>1</v>
      </c>
      <c r="B18760" s="3" t="str">
        <f>HYPERLINK("https://otsuka-europe-crm.veevavault.com/ui/#object/approved_document__v/V5O000000006001", "RXULTI - Comparativa antipsicóticos")</f>
        <v>RXULTI - Comparativa antipsicóticos</v>
      </c>
      <c r="C18760" s="3" t="str">
        <f>HYPERLINK("https://otsuka-europe-crm.veevavault.com/ui/#object/sent_email__v/VBL00000000X021", "SE-001395496")</f>
        <v>SE-001395496</v>
      </c>
      <c r="D18760" s="1">
        <v>46005.759409722225</v>
      </c>
      <c r="E18760" s="2">
        <v>1</v>
      </c>
      <c r="F18760" s="2">
        <v>1</v>
      </c>
      <c r="G18760" s="2">
        <v>0</v>
      </c>
      <c r="H18760" s="1" t="s">
        <v>0</v>
      </c>
      <c r="I18760" s="2">
        <v>0</v>
      </c>
      <c r="J18760" s="1">
        <v>45996.334965277776</v>
      </c>
    </row>
    <row r="18761" spans="1:10" x14ac:dyDescent="0.2">
      <c r="A18761" s="4" t="s">
        <v>1</v>
      </c>
      <c r="B18761" s="3" t="str">
        <f>HYPERLINK("https://otsuka-europe-crm.veevavault.com/ui/#object/approved_document__v/V5O000000006001", "RXULTI - Comparativa antipsicóticos")</f>
        <v>RXULTI - Comparativa antipsicóticos</v>
      </c>
      <c r="C18761" s="3" t="str">
        <f>HYPERLINK("https://otsuka-europe-crm.veevavault.com/ui/#object/sent_email__v/VBL00000000X022", "SE-001395497")</f>
        <v>SE-001395497</v>
      </c>
      <c r="D18761" s="1" t="s">
        <v>0</v>
      </c>
      <c r="E18761" s="2">
        <v>0</v>
      </c>
      <c r="F18761" s="2">
        <v>0</v>
      </c>
      <c r="G18761" s="2">
        <v>0</v>
      </c>
      <c r="H18761" s="1" t="s">
        <v>0</v>
      </c>
      <c r="I18761" s="2">
        <v>0</v>
      </c>
      <c r="J18761" s="1">
        <v>45996.334999999999</v>
      </c>
    </row>
    <row r="18762" spans="1:10" x14ac:dyDescent="0.2">
      <c r="A18762" s="4" t="s">
        <v>1</v>
      </c>
      <c r="B18762" s="3" t="str">
        <f>HYPERLINK("https://otsuka-europe-crm.veevavault.com/ui/#object/approved_document__v/V5O000000006001", "RXULTI - Comparativa antipsicóticos")</f>
        <v>RXULTI - Comparativa antipsicóticos</v>
      </c>
      <c r="C18762" s="3" t="str">
        <f>HYPERLINK("https://otsuka-europe-crm.veevavault.com/ui/#object/sent_email__v/VBL00000000X023", "SE-001395498")</f>
        <v>SE-001395498</v>
      </c>
      <c r="D18762" s="1" t="s">
        <v>0</v>
      </c>
      <c r="E18762" s="2">
        <v>0</v>
      </c>
      <c r="F18762" s="2">
        <v>0</v>
      </c>
      <c r="G18762" s="2">
        <v>0</v>
      </c>
      <c r="H18762" s="1" t="s">
        <v>0</v>
      </c>
      <c r="I18762" s="2">
        <v>0</v>
      </c>
      <c r="J18762" s="1">
        <v>45996.335034722222</v>
      </c>
    </row>
    <row r="18763" spans="1:10" x14ac:dyDescent="0.2">
      <c r="A18763" s="4" t="s">
        <v>1</v>
      </c>
      <c r="B18763" s="3" t="str">
        <f>HYPERLINK("https://otsuka-europe-crm.veevavault.com/ui/#object/approved_document__v/V5O000000006001", "RXULTI - Comparativa antipsicóticos")</f>
        <v>RXULTI - Comparativa antipsicóticos</v>
      </c>
      <c r="C18763" s="3" t="str">
        <f>HYPERLINK("https://otsuka-europe-crm.veevavault.com/ui/#object/sent_email__v/VBL00000000X024", "SE-001395499")</f>
        <v>SE-001395499</v>
      </c>
      <c r="D18763" s="1">
        <v>45996.44427083333</v>
      </c>
      <c r="E18763" s="2">
        <v>1</v>
      </c>
      <c r="F18763" s="2">
        <v>1</v>
      </c>
      <c r="G18763" s="2">
        <v>0</v>
      </c>
      <c r="H18763" s="1" t="s">
        <v>0</v>
      </c>
      <c r="I18763" s="2">
        <v>0</v>
      </c>
      <c r="J18763" s="1">
        <v>45996.335081018522</v>
      </c>
    </row>
    <row r="18764" spans="1:10" x14ac:dyDescent="0.2">
      <c r="A18764" s="4" t="s">
        <v>1</v>
      </c>
      <c r="B18764" s="3" t="str">
        <f>HYPERLINK("https://otsuka-europe-crm.veevavault.com/ui/#object/approved_document__v/V5O000000006001", "RXULTI - Comparativa antipsicóticos")</f>
        <v>RXULTI - Comparativa antipsicóticos</v>
      </c>
      <c r="C18764" s="3" t="str">
        <f>HYPERLINK("https://otsuka-europe-crm.veevavault.com/ui/#object/sent_email__v/VBL00000000X025", "SE-001395500")</f>
        <v>SE-001395500</v>
      </c>
      <c r="D18764" s="1" t="s">
        <v>0</v>
      </c>
      <c r="E18764" s="2">
        <v>0</v>
      </c>
      <c r="F18764" s="2">
        <v>0</v>
      </c>
      <c r="G18764" s="2">
        <v>0</v>
      </c>
      <c r="H18764" s="1" t="s">
        <v>0</v>
      </c>
      <c r="I18764" s="2">
        <v>0</v>
      </c>
      <c r="J18764" s="1">
        <v>45996.335104166668</v>
      </c>
    </row>
    <row r="18765" spans="1:10" x14ac:dyDescent="0.2">
      <c r="A18765" s="4" t="s">
        <v>1</v>
      </c>
      <c r="B18765" s="3" t="str">
        <f>HYPERLINK("https://otsuka-europe-crm.veevavault.com/ui/#object/approved_document__v/V5O000000006001", "RXULTI - Comparativa antipsicóticos")</f>
        <v>RXULTI - Comparativa antipsicóticos</v>
      </c>
      <c r="C18765" s="3" t="str">
        <f>HYPERLINK("https://otsuka-europe-crm.veevavault.com/ui/#object/sent_email__v/VBL00000000X026", "SE-001395501")</f>
        <v>SE-001395501</v>
      </c>
      <c r="D18765" s="1">
        <v>45997.401446759257</v>
      </c>
      <c r="E18765" s="2">
        <v>1</v>
      </c>
      <c r="F18765" s="2">
        <v>1</v>
      </c>
      <c r="G18765" s="2">
        <v>0</v>
      </c>
      <c r="H18765" s="1" t="s">
        <v>0</v>
      </c>
      <c r="I18765" s="2">
        <v>0</v>
      </c>
      <c r="J18765" s="1">
        <v>45996.335138888891</v>
      </c>
    </row>
    <row r="18766" spans="1:10" x14ac:dyDescent="0.2">
      <c r="A18766" s="4" t="s">
        <v>1</v>
      </c>
      <c r="B18766" s="3" t="str">
        <f>HYPERLINK("https://otsuka-europe-crm.veevavault.com/ui/#object/approved_document__v/V5O000000006001", "RXULTI - Comparativa antipsicóticos")</f>
        <v>RXULTI - Comparativa antipsicóticos</v>
      </c>
      <c r="C18766" s="3" t="str">
        <f>HYPERLINK("https://otsuka-europe-crm.veevavault.com/ui/#object/sent_email__v/VBL00000000X027", "SE-001395502")</f>
        <v>SE-001395502</v>
      </c>
      <c r="D18766" s="1" t="s">
        <v>0</v>
      </c>
      <c r="E18766" s="2">
        <v>0</v>
      </c>
      <c r="F18766" s="2">
        <v>0</v>
      </c>
      <c r="G18766" s="2">
        <v>0</v>
      </c>
      <c r="H18766" s="1" t="s">
        <v>0</v>
      </c>
      <c r="I18766" s="2">
        <v>0</v>
      </c>
      <c r="J18766" s="1">
        <v>45996.335185185184</v>
      </c>
    </row>
    <row r="18767" spans="1:10" x14ac:dyDescent="0.2">
      <c r="A18767" s="4" t="s">
        <v>1</v>
      </c>
      <c r="B18767" s="3" t="str">
        <f>HYPERLINK("https://otsuka-europe-crm.veevavault.com/ui/#object/approved_document__v/V5O000000006001", "RXULTI - Comparativa antipsicóticos")</f>
        <v>RXULTI - Comparativa antipsicóticos</v>
      </c>
      <c r="C18767" s="3" t="str">
        <f>HYPERLINK("https://otsuka-europe-crm.veevavault.com/ui/#object/sent_email__v/VBL00000000X028", "SE-001395503")</f>
        <v>SE-001395503</v>
      </c>
      <c r="D18767" s="1">
        <v>45997.004699074074</v>
      </c>
      <c r="E18767" s="2">
        <v>1</v>
      </c>
      <c r="F18767" s="2">
        <v>1</v>
      </c>
      <c r="G18767" s="2">
        <v>0</v>
      </c>
      <c r="H18767" s="1" t="s">
        <v>0</v>
      </c>
      <c r="I18767" s="2">
        <v>0</v>
      </c>
      <c r="J18767" s="1">
        <v>45996.335219907407</v>
      </c>
    </row>
    <row r="18768" spans="1:10" x14ac:dyDescent="0.2">
      <c r="A18768" s="4" t="s">
        <v>1</v>
      </c>
      <c r="B18768" s="3" t="str">
        <f>HYPERLINK("https://otsuka-europe-crm.veevavault.com/ui/#object/approved_document__v/V5O000000006001", "RXULTI - Comparativa antipsicóticos")</f>
        <v>RXULTI - Comparativa antipsicóticos</v>
      </c>
      <c r="C18768" s="3" t="str">
        <f>HYPERLINK("https://otsuka-europe-crm.veevavault.com/ui/#object/sent_email__v/VBL00000000X029", "SE-001395504")</f>
        <v>SE-001395504</v>
      </c>
      <c r="D18768" s="1">
        <v>45996.679791666669</v>
      </c>
      <c r="E18768" s="2">
        <v>1</v>
      </c>
      <c r="F18768" s="2">
        <v>1</v>
      </c>
      <c r="G18768" s="2">
        <v>0</v>
      </c>
      <c r="H18768" s="1" t="s">
        <v>0</v>
      </c>
      <c r="I18768" s="2">
        <v>0</v>
      </c>
      <c r="J18768" s="1">
        <v>45996.335243055553</v>
      </c>
    </row>
    <row r="18769" spans="1:10" x14ac:dyDescent="0.2">
      <c r="A18769" s="4" t="s">
        <v>1</v>
      </c>
      <c r="B18769" s="3" t="str">
        <f>HYPERLINK("https://otsuka-europe-crm.veevavault.com/ui/#object/approved_document__v/V5O000000006001", "RXULTI - Comparativa antipsicóticos")</f>
        <v>RXULTI - Comparativa antipsicóticos</v>
      </c>
      <c r="C18769" s="3" t="str">
        <f>HYPERLINK("https://otsuka-europe-crm.veevavault.com/ui/#object/sent_email__v/VBL00000000X030", "SE-001395505")</f>
        <v>SE-001395505</v>
      </c>
      <c r="D18769" s="1" t="s">
        <v>0</v>
      </c>
      <c r="E18769" s="2">
        <v>0</v>
      </c>
      <c r="F18769" s="2">
        <v>0</v>
      </c>
      <c r="G18769" s="2">
        <v>0</v>
      </c>
      <c r="H18769" s="1" t="s">
        <v>0</v>
      </c>
      <c r="I18769" s="2">
        <v>0</v>
      </c>
      <c r="J18769" s="1">
        <v>45996.335277777776</v>
      </c>
    </row>
    <row r="18770" spans="1:10" x14ac:dyDescent="0.2">
      <c r="A18770" s="4" t="s">
        <v>1</v>
      </c>
      <c r="B18770" s="3" t="str">
        <f>HYPERLINK("https://otsuka-europe-crm.veevavault.com/ui/#object/approved_document__v/V5O000000006001", "RXULTI - Comparativa antipsicóticos")</f>
        <v>RXULTI - Comparativa antipsicóticos</v>
      </c>
      <c r="C18770" s="3" t="str">
        <f>HYPERLINK("https://otsuka-europe-crm.veevavault.com/ui/#object/sent_email__v/VBL00000000X031", "SE-001395506")</f>
        <v>SE-001395506</v>
      </c>
      <c r="D18770" s="1">
        <v>46000.637071759258</v>
      </c>
      <c r="E18770" s="2">
        <v>1</v>
      </c>
      <c r="F18770" s="2">
        <v>10</v>
      </c>
      <c r="G18770" s="2">
        <v>0</v>
      </c>
      <c r="H18770" s="1" t="s">
        <v>0</v>
      </c>
      <c r="I18770" s="2">
        <v>0</v>
      </c>
      <c r="J18770" s="1">
        <v>45996.335312499999</v>
      </c>
    </row>
    <row r="18771" spans="1:10" x14ac:dyDescent="0.2">
      <c r="A18771" s="4" t="s">
        <v>1</v>
      </c>
      <c r="B18771" s="3" t="str">
        <f>HYPERLINK("https://otsuka-europe-crm.veevavault.com/ui/#object/approved_document__v/V5O000000006001", "RXULTI - Comparativa antipsicóticos")</f>
        <v>RXULTI - Comparativa antipsicóticos</v>
      </c>
      <c r="C18771" s="3" t="str">
        <f>HYPERLINK("https://otsuka-europe-crm.veevavault.com/ui/#object/sent_email__v/VBL00000000X032", "SE-001395507")</f>
        <v>SE-001395507</v>
      </c>
      <c r="D18771" s="1">
        <v>45998.056562500002</v>
      </c>
      <c r="E18771" s="2">
        <v>1</v>
      </c>
      <c r="F18771" s="2">
        <v>2</v>
      </c>
      <c r="G18771" s="2">
        <v>0</v>
      </c>
      <c r="H18771" s="1" t="s">
        <v>0</v>
      </c>
      <c r="I18771" s="2">
        <v>0</v>
      </c>
      <c r="J18771" s="1">
        <v>45996.335347222222</v>
      </c>
    </row>
    <row r="18772" spans="1:10" x14ac:dyDescent="0.2">
      <c r="A18772" s="4" t="s">
        <v>1</v>
      </c>
      <c r="B18772" s="3" t="str">
        <f>HYPERLINK("https://otsuka-europe-crm.veevavault.com/ui/#object/approved_document__v/V5O000000006001", "RXULTI - Comparativa antipsicóticos")</f>
        <v>RXULTI - Comparativa antipsicóticos</v>
      </c>
      <c r="C18772" s="3" t="str">
        <f>HYPERLINK("https://otsuka-europe-crm.veevavault.com/ui/#object/sent_email__v/VBL00000000X033", "SE-001395508")</f>
        <v>SE-001395508</v>
      </c>
      <c r="D18772" s="1" t="s">
        <v>0</v>
      </c>
      <c r="E18772" s="2">
        <v>0</v>
      </c>
      <c r="F18772" s="2">
        <v>0</v>
      </c>
      <c r="G18772" s="2">
        <v>0</v>
      </c>
      <c r="H18772" s="1" t="s">
        <v>0</v>
      </c>
      <c r="I18772" s="2">
        <v>0</v>
      </c>
      <c r="J18772" s="1">
        <v>45996.335381944446</v>
      </c>
    </row>
    <row r="18773" spans="1:10" x14ac:dyDescent="0.2">
      <c r="A18773" s="4" t="s">
        <v>1</v>
      </c>
      <c r="B18773" s="3" t="str">
        <f>HYPERLINK("https://otsuka-europe-crm.veevavault.com/ui/#object/approved_document__v/V5O000000006001", "RXULTI - Comparativa antipsicóticos")</f>
        <v>RXULTI - Comparativa antipsicóticos</v>
      </c>
      <c r="C18773" s="3" t="str">
        <f>HYPERLINK("https://otsuka-europe-crm.veevavault.com/ui/#object/sent_email__v/VBL00000000X034", "SE-001395509")</f>
        <v>SE-001395509</v>
      </c>
      <c r="D18773" s="1">
        <v>45996.501226851855</v>
      </c>
      <c r="E18773" s="2">
        <v>1</v>
      </c>
      <c r="F18773" s="2">
        <v>1</v>
      </c>
      <c r="G18773" s="2">
        <v>0</v>
      </c>
      <c r="H18773" s="1" t="s">
        <v>0</v>
      </c>
      <c r="I18773" s="2">
        <v>0</v>
      </c>
      <c r="J18773" s="1">
        <v>45996.335416666669</v>
      </c>
    </row>
    <row r="18774" spans="1:10" x14ac:dyDescent="0.2">
      <c r="A18774" s="4" t="s">
        <v>1</v>
      </c>
      <c r="B18774" s="3" t="str">
        <f>HYPERLINK("https://otsuka-europe-crm.veevavault.com/ui/#object/approved_document__v/V5O000000006001", "RXULTI - Comparativa antipsicóticos")</f>
        <v>RXULTI - Comparativa antipsicóticos</v>
      </c>
      <c r="C18774" s="3" t="str">
        <f>HYPERLINK("https://otsuka-europe-crm.veevavault.com/ui/#object/sent_email__v/VBL00000000X035", "SE-001395510")</f>
        <v>SE-001395510</v>
      </c>
      <c r="D18774" s="1">
        <v>46019.935532407406</v>
      </c>
      <c r="E18774" s="2">
        <v>1</v>
      </c>
      <c r="F18774" s="2">
        <v>4</v>
      </c>
      <c r="G18774" s="2">
        <v>0</v>
      </c>
      <c r="H18774" s="1" t="s">
        <v>0</v>
      </c>
      <c r="I18774" s="2">
        <v>0</v>
      </c>
      <c r="J18774" s="1">
        <v>45996.335462962961</v>
      </c>
    </row>
    <row r="18775" spans="1:10" x14ac:dyDescent="0.2">
      <c r="A18775" s="4" t="s">
        <v>1</v>
      </c>
      <c r="B18775" s="3" t="str">
        <f>HYPERLINK("https://otsuka-europe-crm.veevavault.com/ui/#object/approved_document__v/V5O000000006001", "RXULTI - Comparativa antipsicóticos")</f>
        <v>RXULTI - Comparativa antipsicóticos</v>
      </c>
      <c r="C18775" s="3" t="str">
        <f>HYPERLINK("https://otsuka-europe-crm.veevavault.com/ui/#object/sent_email__v/VBL00000000X036", "SE-001395511")</f>
        <v>SE-001395511</v>
      </c>
      <c r="D18775" s="1">
        <v>45996.402673611112</v>
      </c>
      <c r="E18775" s="2">
        <v>1</v>
      </c>
      <c r="F18775" s="2">
        <v>1</v>
      </c>
      <c r="G18775" s="2">
        <v>0</v>
      </c>
      <c r="H18775" s="1" t="s">
        <v>0</v>
      </c>
      <c r="I18775" s="2">
        <v>0</v>
      </c>
      <c r="J18775" s="1">
        <v>45996.335497685184</v>
      </c>
    </row>
    <row r="18776" spans="1:10" x14ac:dyDescent="0.2">
      <c r="A18776" s="4" t="s">
        <v>1</v>
      </c>
      <c r="B18776" s="3" t="str">
        <f>HYPERLINK("https://otsuka-europe-crm.veevavault.com/ui/#object/approved_document__v/V5O000000006001", "RXULTI - Comparativa antipsicóticos")</f>
        <v>RXULTI - Comparativa antipsicóticos</v>
      </c>
      <c r="C18776" s="3" t="str">
        <f>HYPERLINK("https://otsuka-europe-crm.veevavault.com/ui/#object/sent_email__v/VBL00000000X037", "SE-001395512")</f>
        <v>SE-001395512</v>
      </c>
      <c r="D18776" s="1">
        <v>45996.602546296293</v>
      </c>
      <c r="E18776" s="2">
        <v>1</v>
      </c>
      <c r="F18776" s="2">
        <v>1</v>
      </c>
      <c r="G18776" s="2">
        <v>0</v>
      </c>
      <c r="H18776" s="1" t="s">
        <v>0</v>
      </c>
      <c r="I18776" s="2">
        <v>0</v>
      </c>
      <c r="J18776" s="1">
        <v>45996.335532407407</v>
      </c>
    </row>
    <row r="18777" spans="1:10" x14ac:dyDescent="0.2">
      <c r="A18777" s="4" t="s">
        <v>1</v>
      </c>
      <c r="B18777" s="3" t="str">
        <f>HYPERLINK("https://otsuka-europe-crm.veevavault.com/ui/#object/approved_document__v/V5O000000006001", "RXULTI - Comparativa antipsicóticos")</f>
        <v>RXULTI - Comparativa antipsicóticos</v>
      </c>
      <c r="C18777" s="3" t="str">
        <f>HYPERLINK("https://otsuka-europe-crm.veevavault.com/ui/#object/sent_email__v/VBL00000000X038", "SE-001395513")</f>
        <v>SE-001395513</v>
      </c>
      <c r="D18777" s="1">
        <v>45996.727060185185</v>
      </c>
      <c r="E18777" s="2">
        <v>1</v>
      </c>
      <c r="F18777" s="2">
        <v>1</v>
      </c>
      <c r="G18777" s="2">
        <v>0</v>
      </c>
      <c r="H18777" s="1" t="s">
        <v>0</v>
      </c>
      <c r="I18777" s="2">
        <v>0</v>
      </c>
      <c r="J18777" s="1">
        <v>45996.335578703707</v>
      </c>
    </row>
    <row r="18778" spans="1:10" x14ac:dyDescent="0.2">
      <c r="A18778" s="4" t="s">
        <v>1</v>
      </c>
      <c r="B18778" s="3" t="str">
        <f>HYPERLINK("https://otsuka-europe-crm.veevavault.com/ui/#object/approved_document__v/V5O000000006001", "RXULTI - Comparativa antipsicóticos")</f>
        <v>RXULTI - Comparativa antipsicóticos</v>
      </c>
      <c r="C18778" s="3" t="str">
        <f>HYPERLINK("https://otsuka-europe-crm.veevavault.com/ui/#object/sent_email__v/VBL00000000X039", "SE-001395514")</f>
        <v>SE-001395514</v>
      </c>
      <c r="D18778" s="1" t="s">
        <v>0</v>
      </c>
      <c r="E18778" s="2">
        <v>0</v>
      </c>
      <c r="F18778" s="2">
        <v>0</v>
      </c>
      <c r="G18778" s="2">
        <v>0</v>
      </c>
      <c r="H18778" s="1" t="s">
        <v>0</v>
      </c>
      <c r="I18778" s="2">
        <v>0</v>
      </c>
      <c r="J18778" s="1">
        <v>45996.335601851853</v>
      </c>
    </row>
    <row r="18779" spans="1:10" x14ac:dyDescent="0.2">
      <c r="A18779" s="4" t="s">
        <v>1</v>
      </c>
      <c r="B18779" s="3" t="str">
        <f>HYPERLINK("https://otsuka-europe-crm.veevavault.com/ui/#object/approved_document__v/V5O000000006001", "RXULTI - Comparativa antipsicóticos")</f>
        <v>RXULTI - Comparativa antipsicóticos</v>
      </c>
      <c r="C18779" s="3" t="str">
        <f>HYPERLINK("https://otsuka-europe-crm.veevavault.com/ui/#object/sent_email__v/VBL00000000X040", "SE-001395515")</f>
        <v>SE-001395515</v>
      </c>
      <c r="D18779" s="1">
        <v>45996.367314814815</v>
      </c>
      <c r="E18779" s="2">
        <v>1</v>
      </c>
      <c r="F18779" s="2">
        <v>1</v>
      </c>
      <c r="G18779" s="2">
        <v>0</v>
      </c>
      <c r="H18779" s="1" t="s">
        <v>0</v>
      </c>
      <c r="I18779" s="2">
        <v>0</v>
      </c>
      <c r="J18779" s="1">
        <v>45996.335648148146</v>
      </c>
    </row>
    <row r="18780" spans="1:10" x14ac:dyDescent="0.2">
      <c r="A18780" s="4" t="s">
        <v>1</v>
      </c>
      <c r="B18780" s="3" t="str">
        <f>HYPERLINK("https://otsuka-europe-crm.veevavault.com/ui/#object/approved_document__v/V5O000000006001", "RXULTI - Comparativa antipsicóticos")</f>
        <v>RXULTI - Comparativa antipsicóticos</v>
      </c>
      <c r="C18780" s="3" t="str">
        <f>HYPERLINK("https://otsuka-europe-crm.veevavault.com/ui/#object/sent_email__v/VBL00000000X041", "SE-001395516")</f>
        <v>SE-001395516</v>
      </c>
      <c r="D18780" s="1">
        <v>45996.499282407407</v>
      </c>
      <c r="E18780" s="2">
        <v>1</v>
      </c>
      <c r="F18780" s="2">
        <v>1</v>
      </c>
      <c r="G18780" s="2">
        <v>0</v>
      </c>
      <c r="H18780" s="1" t="s">
        <v>0</v>
      </c>
      <c r="I18780" s="2">
        <v>0</v>
      </c>
      <c r="J18780" s="1">
        <v>45996.3356712963</v>
      </c>
    </row>
    <row r="18781" spans="1:10" x14ac:dyDescent="0.2">
      <c r="A18781" s="4" t="s">
        <v>1</v>
      </c>
      <c r="B18781" s="3" t="str">
        <f>HYPERLINK("https://otsuka-europe-crm.veevavault.com/ui/#object/approved_document__v/V5O000000006001", "RXULTI - Comparativa antipsicóticos")</f>
        <v>RXULTI - Comparativa antipsicóticos</v>
      </c>
      <c r="C18781" s="3" t="str">
        <f>HYPERLINK("https://otsuka-europe-crm.veevavault.com/ui/#object/sent_email__v/VBL00000000X042", "SE-001395517")</f>
        <v>SE-001395517</v>
      </c>
      <c r="D18781" s="1" t="s">
        <v>0</v>
      </c>
      <c r="E18781" s="2">
        <v>0</v>
      </c>
      <c r="F18781" s="2">
        <v>0</v>
      </c>
      <c r="G18781" s="2">
        <v>0</v>
      </c>
      <c r="H18781" s="1" t="s">
        <v>0</v>
      </c>
      <c r="I18781" s="2">
        <v>0</v>
      </c>
      <c r="J18781" s="1">
        <v>45996.335706018515</v>
      </c>
    </row>
    <row r="18782" spans="1:10" x14ac:dyDescent="0.2">
      <c r="A18782" s="4" t="s">
        <v>1</v>
      </c>
      <c r="B18782" s="3" t="str">
        <f>HYPERLINK("https://otsuka-europe-crm.veevavault.com/ui/#object/approved_document__v/V5O000000006001", "RXULTI - Comparativa antipsicóticos")</f>
        <v>RXULTI - Comparativa antipsicóticos</v>
      </c>
      <c r="C18782" s="3" t="str">
        <f>HYPERLINK("https://otsuka-europe-crm.veevavault.com/ui/#object/sent_email__v/VBL00000000X043", "SE-001395518")</f>
        <v>SE-001395518</v>
      </c>
      <c r="D18782" s="1" t="s">
        <v>0</v>
      </c>
      <c r="E18782" s="2">
        <v>0</v>
      </c>
      <c r="F18782" s="2">
        <v>0</v>
      </c>
      <c r="G18782" s="2">
        <v>0</v>
      </c>
      <c r="H18782" s="1" t="s">
        <v>0</v>
      </c>
      <c r="I18782" s="2">
        <v>0</v>
      </c>
      <c r="J18782" s="1">
        <v>45996.335740740738</v>
      </c>
    </row>
    <row r="18783" spans="1:10" x14ac:dyDescent="0.2">
      <c r="A18783" s="4" t="s">
        <v>1</v>
      </c>
      <c r="B18783" s="3" t="str">
        <f>HYPERLINK("https://otsuka-europe-crm.veevavault.com/ui/#object/approved_document__v/V5O000000006001", "RXULTI - Comparativa antipsicóticos")</f>
        <v>RXULTI - Comparativa antipsicóticos</v>
      </c>
      <c r="C18783" s="3" t="str">
        <f>HYPERLINK("https://otsuka-europe-crm.veevavault.com/ui/#object/sent_email__v/VBL00000000X044", "SE-001395519")</f>
        <v>SE-001395519</v>
      </c>
      <c r="D18783" s="1">
        <v>45996.526990740742</v>
      </c>
      <c r="E18783" s="2">
        <v>1</v>
      </c>
      <c r="F18783" s="2">
        <v>2</v>
      </c>
      <c r="G18783" s="2">
        <v>0</v>
      </c>
      <c r="H18783" s="1" t="s">
        <v>0</v>
      </c>
      <c r="I18783" s="2">
        <v>0</v>
      </c>
      <c r="J18783" s="1">
        <v>45996.335775462961</v>
      </c>
    </row>
    <row r="18784" spans="1:10" x14ac:dyDescent="0.2">
      <c r="A18784" s="4" t="s">
        <v>1</v>
      </c>
      <c r="B18784" s="3" t="str">
        <f>HYPERLINK("https://otsuka-europe-crm.veevavault.com/ui/#object/approved_document__v/V5O000000006001", "RXULTI - Comparativa antipsicóticos")</f>
        <v>RXULTI - Comparativa antipsicóticos</v>
      </c>
      <c r="C18784" s="3" t="str">
        <f>HYPERLINK("https://otsuka-europe-crm.veevavault.com/ui/#object/sent_email__v/VBL00000000X045", "SE-001395520")</f>
        <v>SE-001395520</v>
      </c>
      <c r="D18784" s="1" t="s">
        <v>0</v>
      </c>
      <c r="E18784" s="2">
        <v>0</v>
      </c>
      <c r="F18784" s="2">
        <v>0</v>
      </c>
      <c r="G18784" s="2">
        <v>0</v>
      </c>
      <c r="H18784" s="1" t="s">
        <v>0</v>
      </c>
      <c r="I18784" s="2">
        <v>0</v>
      </c>
      <c r="J18784" s="1">
        <v>45996.335810185185</v>
      </c>
    </row>
    <row r="18785" spans="1:10" x14ac:dyDescent="0.2">
      <c r="A18785" s="4" t="s">
        <v>1</v>
      </c>
      <c r="B18785" s="3" t="str">
        <f>HYPERLINK("https://otsuka-europe-crm.veevavault.com/ui/#object/approved_document__v/V5O000000006001", "RXULTI - Comparativa antipsicóticos")</f>
        <v>RXULTI - Comparativa antipsicóticos</v>
      </c>
      <c r="C18785" s="3" t="str">
        <f>HYPERLINK("https://otsuka-europe-crm.veevavault.com/ui/#object/sent_email__v/VBL00000000X046", "SE-001395521")</f>
        <v>SE-001395521</v>
      </c>
      <c r="D18785" s="1">
        <v>45996.448113425926</v>
      </c>
      <c r="E18785" s="2">
        <v>1</v>
      </c>
      <c r="F18785" s="2">
        <v>1</v>
      </c>
      <c r="G18785" s="2">
        <v>0</v>
      </c>
      <c r="H18785" s="1" t="s">
        <v>0</v>
      </c>
      <c r="I18785" s="2">
        <v>0</v>
      </c>
      <c r="J18785" s="1">
        <v>45996.335844907408</v>
      </c>
    </row>
    <row r="18786" spans="1:10" x14ac:dyDescent="0.2">
      <c r="A18786" s="4" t="s">
        <v>1</v>
      </c>
      <c r="B18786" s="3" t="str">
        <f>HYPERLINK("https://otsuka-europe-crm.veevavault.com/ui/#object/approved_document__v/V5O000000006001", "RXULTI - Comparativa antipsicóticos")</f>
        <v>RXULTI - Comparativa antipsicóticos</v>
      </c>
      <c r="C18786" s="3" t="str">
        <f>HYPERLINK("https://otsuka-europe-crm.veevavault.com/ui/#object/sent_email__v/VBL00000000X047", "SE-001395522")</f>
        <v>SE-001395522</v>
      </c>
      <c r="D18786" s="1">
        <v>46041.633159722223</v>
      </c>
      <c r="E18786" s="2">
        <v>1</v>
      </c>
      <c r="F18786" s="2">
        <v>1</v>
      </c>
      <c r="G18786" s="2">
        <v>0</v>
      </c>
      <c r="H18786" s="1" t="s">
        <v>0</v>
      </c>
      <c r="I18786" s="2">
        <v>0</v>
      </c>
      <c r="J18786" s="1">
        <v>45996.335879629631</v>
      </c>
    </row>
    <row r="18787" spans="1:10" x14ac:dyDescent="0.2">
      <c r="A18787" s="4" t="s">
        <v>1</v>
      </c>
      <c r="B18787" s="3" t="str">
        <f>HYPERLINK("https://otsuka-europe-crm.veevavault.com/ui/#object/approved_document__v/V5O000000006001", "RXULTI - Comparativa antipsicóticos")</f>
        <v>RXULTI - Comparativa antipsicóticos</v>
      </c>
      <c r="C18787" s="3" t="str">
        <f>HYPERLINK("https://otsuka-europe-crm.veevavault.com/ui/#object/sent_email__v/VBL00000000X048", "SE-001395523")</f>
        <v>SE-001395523</v>
      </c>
      <c r="D18787" s="1">
        <v>45996.915266203701</v>
      </c>
      <c r="E18787" s="2">
        <v>1</v>
      </c>
      <c r="F18787" s="2">
        <v>1</v>
      </c>
      <c r="G18787" s="2">
        <v>0</v>
      </c>
      <c r="H18787" s="1" t="s">
        <v>0</v>
      </c>
      <c r="I18787" s="2">
        <v>0</v>
      </c>
      <c r="J18787" s="1">
        <v>45996.335914351854</v>
      </c>
    </row>
    <row r="18788" spans="1:10" x14ac:dyDescent="0.2">
      <c r="A18788" s="4" t="s">
        <v>1</v>
      </c>
      <c r="B18788" s="3" t="str">
        <f>HYPERLINK("https://otsuka-europe-crm.veevavault.com/ui/#object/approved_document__v/V5O000000006001", "RXULTI - Comparativa antipsicóticos")</f>
        <v>RXULTI - Comparativa antipsicóticos</v>
      </c>
      <c r="C18788" s="3" t="str">
        <f>HYPERLINK("https://otsuka-europe-crm.veevavault.com/ui/#object/sent_email__v/VBL00000000X049", "SE-001395524")</f>
        <v>SE-001395524</v>
      </c>
      <c r="D18788" s="1" t="s">
        <v>0</v>
      </c>
      <c r="E18788" s="2">
        <v>0</v>
      </c>
      <c r="F18788" s="2">
        <v>0</v>
      </c>
      <c r="G18788" s="2">
        <v>0</v>
      </c>
      <c r="H18788" s="1" t="s">
        <v>0</v>
      </c>
      <c r="I18788" s="2">
        <v>0</v>
      </c>
      <c r="J18788" s="1">
        <v>45996.335949074077</v>
      </c>
    </row>
    <row r="18789" spans="1:10" x14ac:dyDescent="0.2">
      <c r="A18789" s="4" t="s">
        <v>1</v>
      </c>
      <c r="B18789" s="3" t="str">
        <f>HYPERLINK("https://otsuka-europe-crm.veevavault.com/ui/#object/approved_document__v/V5O000000006001", "RXULTI - Comparativa antipsicóticos")</f>
        <v>RXULTI - Comparativa antipsicóticos</v>
      </c>
      <c r="C18789" s="3" t="str">
        <f>HYPERLINK("https://otsuka-europe-crm.veevavault.com/ui/#object/sent_email__v/VBL00000000X050", "SE-001395525")</f>
        <v>SE-001395525</v>
      </c>
      <c r="D18789" s="1" t="s">
        <v>0</v>
      </c>
      <c r="E18789" s="2">
        <v>0</v>
      </c>
      <c r="F18789" s="2">
        <v>0</v>
      </c>
      <c r="G18789" s="2">
        <v>0</v>
      </c>
      <c r="H18789" s="1" t="s">
        <v>0</v>
      </c>
      <c r="I18789" s="2">
        <v>0</v>
      </c>
      <c r="J18789" s="1">
        <v>45996.3359837963</v>
      </c>
    </row>
    <row r="18790" spans="1:10" x14ac:dyDescent="0.2">
      <c r="A18790" s="4" t="s">
        <v>1</v>
      </c>
      <c r="B18790" s="3" t="str">
        <f>HYPERLINK("https://otsuka-europe-crm.veevavault.com/ui/#object/approved_document__v/V5O000000006001", "RXULTI - Comparativa antipsicóticos")</f>
        <v>RXULTI - Comparativa antipsicóticos</v>
      </c>
      <c r="C18790" s="3" t="str">
        <f>HYPERLINK("https://otsuka-europe-crm.veevavault.com/ui/#object/sent_email__v/VBL00000000X051", "SE-001395526")</f>
        <v>SE-001395526</v>
      </c>
      <c r="D18790" s="1">
        <v>45996.336655092593</v>
      </c>
      <c r="E18790" s="2">
        <v>1</v>
      </c>
      <c r="F18790" s="2">
        <v>1</v>
      </c>
      <c r="G18790" s="2">
        <v>0</v>
      </c>
      <c r="H18790" s="1" t="s">
        <v>0</v>
      </c>
      <c r="I18790" s="2">
        <v>0</v>
      </c>
      <c r="J18790" s="1">
        <v>45996.336006944446</v>
      </c>
    </row>
    <row r="18791" spans="1:10" x14ac:dyDescent="0.2">
      <c r="A18791" s="4" t="s">
        <v>1</v>
      </c>
      <c r="B18791" s="3" t="str">
        <f>HYPERLINK("https://otsuka-europe-crm.veevavault.com/ui/#object/approved_document__v/V5O000000006001", "RXULTI - Comparativa antipsicóticos")</f>
        <v>RXULTI - Comparativa antipsicóticos</v>
      </c>
      <c r="C18791" s="3" t="str">
        <f>HYPERLINK("https://otsuka-europe-crm.veevavault.com/ui/#object/sent_email__v/VBL00000000X052", "SE-001395527")</f>
        <v>SE-001395527</v>
      </c>
      <c r="D18791" s="1" t="s">
        <v>0</v>
      </c>
      <c r="E18791" s="2">
        <v>0</v>
      </c>
      <c r="F18791" s="2">
        <v>0</v>
      </c>
      <c r="G18791" s="2">
        <v>0</v>
      </c>
      <c r="H18791" s="1" t="s">
        <v>0</v>
      </c>
      <c r="I18791" s="2">
        <v>0</v>
      </c>
      <c r="J18791" s="1">
        <v>45996.336041666669</v>
      </c>
    </row>
    <row r="18792" spans="1:10" x14ac:dyDescent="0.2">
      <c r="A18792" s="4" t="s">
        <v>1</v>
      </c>
      <c r="B18792" s="3" t="str">
        <f>HYPERLINK("https://otsuka-europe-crm.veevavault.com/ui/#object/approved_document__v/V5O000000006001", "RXULTI - Comparativa antipsicóticos")</f>
        <v>RXULTI - Comparativa antipsicóticos</v>
      </c>
      <c r="C18792" s="3" t="str">
        <f>HYPERLINK("https://otsuka-europe-crm.veevavault.com/ui/#object/sent_email__v/VBL00000000X053", "SE-001395528")</f>
        <v>SE-001395528</v>
      </c>
      <c r="D18792" s="1" t="s">
        <v>0</v>
      </c>
      <c r="E18792" s="2">
        <v>0</v>
      </c>
      <c r="F18792" s="2">
        <v>0</v>
      </c>
      <c r="G18792" s="2">
        <v>0</v>
      </c>
      <c r="H18792" s="1" t="s">
        <v>0</v>
      </c>
      <c r="I18792" s="2">
        <v>0</v>
      </c>
      <c r="J18792" s="1">
        <v>45996.336076388892</v>
      </c>
    </row>
    <row r="18793" spans="1:10" x14ac:dyDescent="0.2">
      <c r="A18793" s="4" t="s">
        <v>1</v>
      </c>
      <c r="B18793" s="3" t="str">
        <f>HYPERLINK("https://otsuka-europe-crm.veevavault.com/ui/#object/approved_document__v/V5O000000006001", "RXULTI - Comparativa antipsicóticos")</f>
        <v>RXULTI - Comparativa antipsicóticos</v>
      </c>
      <c r="C18793" s="3" t="str">
        <f>HYPERLINK("https://otsuka-europe-crm.veevavault.com/ui/#object/sent_email__v/VBL00000000X054", "SE-001395529")</f>
        <v>SE-001395529</v>
      </c>
      <c r="D18793" s="1">
        <v>45996.340879629628</v>
      </c>
      <c r="E18793" s="2">
        <v>1</v>
      </c>
      <c r="F18793" s="2">
        <v>1</v>
      </c>
      <c r="G18793" s="2">
        <v>0</v>
      </c>
      <c r="H18793" s="1" t="s">
        <v>0</v>
      </c>
      <c r="I18793" s="2">
        <v>0</v>
      </c>
      <c r="J18793" s="1">
        <v>45996.336111111108</v>
      </c>
    </row>
    <row r="18794" spans="1:10" x14ac:dyDescent="0.2">
      <c r="A18794" s="4" t="s">
        <v>1</v>
      </c>
      <c r="B18794" s="3" t="str">
        <f>HYPERLINK("https://otsuka-europe-crm.veevavault.com/ui/#object/approved_document__v/V5O000000006001", "RXULTI - Comparativa antipsicóticos")</f>
        <v>RXULTI - Comparativa antipsicóticos</v>
      </c>
      <c r="C18794" s="3" t="str">
        <f>HYPERLINK("https://otsuka-europe-crm.veevavault.com/ui/#object/sent_email__v/VBL00000000X055", "SE-001395530")</f>
        <v>SE-001395530</v>
      </c>
      <c r="D18794" s="1">
        <v>46049.815266203703</v>
      </c>
      <c r="E18794" s="2">
        <v>1</v>
      </c>
      <c r="F18794" s="2">
        <v>2</v>
      </c>
      <c r="G18794" s="2">
        <v>0</v>
      </c>
      <c r="H18794" s="1" t="s">
        <v>0</v>
      </c>
      <c r="I18794" s="2">
        <v>0</v>
      </c>
      <c r="J18794" s="1">
        <v>45996.336145833331</v>
      </c>
    </row>
    <row r="18795" spans="1:10" x14ac:dyDescent="0.2">
      <c r="A18795" s="4" t="s">
        <v>1</v>
      </c>
      <c r="B18795" s="3" t="str">
        <f>HYPERLINK("https://otsuka-europe-crm.veevavault.com/ui/#object/approved_document__v/V5O000000006001", "RXULTI - Comparativa antipsicóticos")</f>
        <v>RXULTI - Comparativa antipsicóticos</v>
      </c>
      <c r="C18795" s="3" t="str">
        <f>HYPERLINK("https://otsuka-europe-crm.veevavault.com/ui/#object/sent_email__v/VBL00000000X056", "SE-001395531")</f>
        <v>SE-001395531</v>
      </c>
      <c r="D18795" s="1">
        <v>46006.492546296293</v>
      </c>
      <c r="E18795" s="2">
        <v>1</v>
      </c>
      <c r="F18795" s="2">
        <v>2</v>
      </c>
      <c r="G18795" s="2">
        <v>1</v>
      </c>
      <c r="H18795" s="1">
        <v>45996.596886574072</v>
      </c>
      <c r="I18795" s="2">
        <v>1</v>
      </c>
      <c r="J18795" s="1">
        <v>45996.336192129631</v>
      </c>
    </row>
    <row r="18796" spans="1:10" x14ac:dyDescent="0.2">
      <c r="A18796" s="4" t="s">
        <v>1</v>
      </c>
      <c r="B18796" s="3" t="str">
        <f>HYPERLINK("https://otsuka-europe-crm.veevavault.com/ui/#object/approved_document__v/V5O000000006001", "RXULTI - Comparativa antipsicóticos")</f>
        <v>RXULTI - Comparativa antipsicóticos</v>
      </c>
      <c r="C18796" s="3" t="str">
        <f>HYPERLINK("https://otsuka-europe-crm.veevavault.com/ui/#object/sent_email__v/VBL00000000X057", "SE-001395532")</f>
        <v>SE-001395532</v>
      </c>
      <c r="D18796" s="1">
        <v>46013.052499999998</v>
      </c>
      <c r="E18796" s="2">
        <v>1</v>
      </c>
      <c r="F18796" s="2">
        <v>2</v>
      </c>
      <c r="G18796" s="2">
        <v>0</v>
      </c>
      <c r="H18796" s="1" t="s">
        <v>0</v>
      </c>
      <c r="I18796" s="2">
        <v>0</v>
      </c>
      <c r="J18796" s="1">
        <v>45996.336215277777</v>
      </c>
    </row>
    <row r="18797" spans="1:10" x14ac:dyDescent="0.2">
      <c r="A18797" s="4" t="s">
        <v>1</v>
      </c>
      <c r="B18797" s="3" t="str">
        <f>HYPERLINK("https://otsuka-europe-crm.veevavault.com/ui/#object/approved_document__v/V5O000000006001", "RXULTI - Comparativa antipsicóticos")</f>
        <v>RXULTI - Comparativa antipsicóticos</v>
      </c>
      <c r="C18797" s="3" t="str">
        <f>HYPERLINK("https://otsuka-europe-crm.veevavault.com/ui/#object/sent_email__v/VBL00000000X058", "SE-001395533")</f>
        <v>SE-001395533</v>
      </c>
      <c r="D18797" s="1" t="s">
        <v>0</v>
      </c>
      <c r="E18797" s="2">
        <v>0</v>
      </c>
      <c r="F18797" s="2">
        <v>0</v>
      </c>
      <c r="G18797" s="2">
        <v>0</v>
      </c>
      <c r="H18797" s="1" t="s">
        <v>0</v>
      </c>
      <c r="I18797" s="2">
        <v>0</v>
      </c>
      <c r="J18797" s="1">
        <v>45996.336261574077</v>
      </c>
    </row>
    <row r="18798" spans="1:10" x14ac:dyDescent="0.2">
      <c r="A18798" s="4" t="s">
        <v>1</v>
      </c>
      <c r="B18798" s="3" t="str">
        <f>HYPERLINK("https://otsuka-europe-crm.veevavault.com/ui/#object/approved_document__v/V5O000000006001", "RXULTI - Comparativa antipsicóticos")</f>
        <v>RXULTI - Comparativa antipsicóticos</v>
      </c>
      <c r="C18798" s="3" t="str">
        <f>HYPERLINK("https://otsuka-europe-crm.veevavault.com/ui/#object/sent_email__v/VBL00000000X059", "SE-001395534")</f>
        <v>SE-001395534</v>
      </c>
      <c r="D18798" s="1">
        <v>46000.823807870373</v>
      </c>
      <c r="E18798" s="2">
        <v>1</v>
      </c>
      <c r="F18798" s="2">
        <v>2</v>
      </c>
      <c r="G18798" s="2">
        <v>0</v>
      </c>
      <c r="H18798" s="1" t="s">
        <v>0</v>
      </c>
      <c r="I18798" s="2">
        <v>0</v>
      </c>
      <c r="J18798" s="1">
        <v>45996.336284722223</v>
      </c>
    </row>
    <row r="18799" spans="1:10" x14ac:dyDescent="0.2">
      <c r="A18799" s="4" t="s">
        <v>1</v>
      </c>
      <c r="B18799" s="3" t="str">
        <f>HYPERLINK("https://otsuka-europe-crm.veevavault.com/ui/#object/approved_document__v/V5O000000006001", "RXULTI - Comparativa antipsicóticos")</f>
        <v>RXULTI - Comparativa antipsicóticos</v>
      </c>
      <c r="C18799" s="3" t="str">
        <f>HYPERLINK("https://otsuka-europe-crm.veevavault.com/ui/#object/sent_email__v/VBL00000000X060", "SE-001395535")</f>
        <v>SE-001395535</v>
      </c>
      <c r="D18799" s="1" t="s">
        <v>0</v>
      </c>
      <c r="E18799" s="2">
        <v>0</v>
      </c>
      <c r="F18799" s="2">
        <v>0</v>
      </c>
      <c r="G18799" s="2">
        <v>0</v>
      </c>
      <c r="H18799" s="1" t="s">
        <v>0</v>
      </c>
      <c r="I18799" s="2">
        <v>0</v>
      </c>
      <c r="J18799" s="1">
        <v>45996.336331018516</v>
      </c>
    </row>
    <row r="18800" spans="1:10" x14ac:dyDescent="0.2">
      <c r="A18800" s="4" t="s">
        <v>1</v>
      </c>
      <c r="B18800" s="3" t="str">
        <f>HYPERLINK("https://otsuka-europe-crm.veevavault.com/ui/#object/approved_document__v/V5O000000006001", "RXULTI - Comparativa antipsicóticos")</f>
        <v>RXULTI - Comparativa antipsicóticos</v>
      </c>
      <c r="C18800" s="3" t="str">
        <f>HYPERLINK("https://otsuka-europe-crm.veevavault.com/ui/#object/sent_email__v/VBL00000000X061", "SE-001395536")</f>
        <v>SE-001395536</v>
      </c>
      <c r="D18800" s="1">
        <v>45996.424259259256</v>
      </c>
      <c r="E18800" s="2">
        <v>1</v>
      </c>
      <c r="F18800" s="2">
        <v>1</v>
      </c>
      <c r="G18800" s="2">
        <v>0</v>
      </c>
      <c r="H18800" s="1" t="s">
        <v>0</v>
      </c>
      <c r="I18800" s="2">
        <v>0</v>
      </c>
      <c r="J18800" s="1">
        <v>45996.336365740739</v>
      </c>
    </row>
    <row r="18801" spans="1:10" x14ac:dyDescent="0.2">
      <c r="A18801" s="4" t="s">
        <v>1</v>
      </c>
      <c r="B18801" s="3" t="str">
        <f>HYPERLINK("https://otsuka-europe-crm.veevavault.com/ui/#object/approved_document__v/V5O000000006001", "RXULTI - Comparativa antipsicóticos")</f>
        <v>RXULTI - Comparativa antipsicóticos</v>
      </c>
      <c r="C18801" s="3" t="str">
        <f>HYPERLINK("https://otsuka-europe-crm.veevavault.com/ui/#object/sent_email__v/VBL00000000X062", "SE-001395537")</f>
        <v>SE-001395537</v>
      </c>
      <c r="D18801" s="1" t="s">
        <v>0</v>
      </c>
      <c r="E18801" s="2">
        <v>0</v>
      </c>
      <c r="F18801" s="2">
        <v>0</v>
      </c>
      <c r="G18801" s="2">
        <v>0</v>
      </c>
      <c r="H18801" s="1" t="s">
        <v>0</v>
      </c>
      <c r="I18801" s="2">
        <v>0</v>
      </c>
      <c r="J18801" s="1">
        <v>45996.336400462962</v>
      </c>
    </row>
    <row r="18802" spans="1:10" x14ac:dyDescent="0.2">
      <c r="A18802" s="4" t="s">
        <v>1</v>
      </c>
      <c r="B18802" s="3" t="str">
        <f>HYPERLINK("https://otsuka-europe-crm.veevavault.com/ui/#object/approved_document__v/V5O000000006001", "RXULTI - Comparativa antipsicóticos")</f>
        <v>RXULTI - Comparativa antipsicóticos</v>
      </c>
      <c r="C18802" s="3" t="str">
        <f>HYPERLINK("https://otsuka-europe-crm.veevavault.com/ui/#object/sent_email__v/VBL00000000X063", "SE-001395538")</f>
        <v>SE-001395538</v>
      </c>
      <c r="D18802" s="1">
        <v>45996.336689814816</v>
      </c>
      <c r="E18802" s="2">
        <v>1</v>
      </c>
      <c r="F18802" s="2">
        <v>1</v>
      </c>
      <c r="G18802" s="2">
        <v>0</v>
      </c>
      <c r="H18802" s="1" t="s">
        <v>0</v>
      </c>
      <c r="I18802" s="2">
        <v>0</v>
      </c>
      <c r="J18802" s="1">
        <v>45996.336435185185</v>
      </c>
    </row>
    <row r="18803" spans="1:10" x14ac:dyDescent="0.2">
      <c r="A18803" s="4" t="s">
        <v>1</v>
      </c>
      <c r="B18803" s="3" t="str">
        <f>HYPERLINK("https://otsuka-europe-crm.veevavault.com/ui/#object/approved_document__v/V5O000000006001", "RXULTI - Comparativa antipsicóticos")</f>
        <v>RXULTI - Comparativa antipsicóticos</v>
      </c>
      <c r="C18803" s="3" t="str">
        <f>HYPERLINK("https://otsuka-europe-crm.veevavault.com/ui/#object/sent_email__v/VBL00000000X064", "SE-001395539")</f>
        <v>SE-001395539</v>
      </c>
      <c r="D18803" s="1">
        <v>45998.750879629632</v>
      </c>
      <c r="E18803" s="2">
        <v>1</v>
      </c>
      <c r="F18803" s="2">
        <v>4</v>
      </c>
      <c r="G18803" s="2">
        <v>1</v>
      </c>
      <c r="H18803" s="1">
        <v>45996.396793981483</v>
      </c>
      <c r="I18803" s="2">
        <v>1</v>
      </c>
      <c r="J18803" s="1">
        <v>45996.336469907408</v>
      </c>
    </row>
    <row r="18804" spans="1:10" x14ac:dyDescent="0.2">
      <c r="A18804" s="4" t="s">
        <v>1</v>
      </c>
      <c r="B18804" s="3" t="str">
        <f>HYPERLINK("https://otsuka-europe-crm.veevavault.com/ui/#object/approved_document__v/V5O000000006001", "RXULTI - Comparativa antipsicóticos")</f>
        <v>RXULTI - Comparativa antipsicóticos</v>
      </c>
      <c r="C18804" s="3" t="str">
        <f>HYPERLINK("https://otsuka-europe-crm.veevavault.com/ui/#object/sent_email__v/VBL00000000X065", "SE-001395540")</f>
        <v>SE-001395540</v>
      </c>
      <c r="D18804" s="1" t="s">
        <v>0</v>
      </c>
      <c r="E18804" s="2">
        <v>0</v>
      </c>
      <c r="F18804" s="2">
        <v>0</v>
      </c>
      <c r="G18804" s="2">
        <v>0</v>
      </c>
      <c r="H18804" s="1" t="s">
        <v>0</v>
      </c>
      <c r="I18804" s="2">
        <v>0</v>
      </c>
      <c r="J18804" s="1">
        <v>45996.336504629631</v>
      </c>
    </row>
    <row r="18805" spans="1:10" x14ac:dyDescent="0.2">
      <c r="A18805" s="4" t="s">
        <v>1</v>
      </c>
      <c r="B18805" s="3" t="str">
        <f>HYPERLINK("https://otsuka-europe-crm.veevavault.com/ui/#object/approved_document__v/V5O000000006001", "RXULTI - Comparativa antipsicóticos")</f>
        <v>RXULTI - Comparativa antipsicóticos</v>
      </c>
      <c r="C18805" s="3" t="str">
        <f>HYPERLINK("https://otsuka-europe-crm.veevavault.com/ui/#object/sent_email__v/VBL00000000X066", "SE-001395541")</f>
        <v>SE-001395541</v>
      </c>
      <c r="D18805" s="1">
        <v>46024.064039351855</v>
      </c>
      <c r="E18805" s="2">
        <v>1</v>
      </c>
      <c r="F18805" s="2">
        <v>2</v>
      </c>
      <c r="G18805" s="2">
        <v>0</v>
      </c>
      <c r="H18805" s="1" t="s">
        <v>0</v>
      </c>
      <c r="I18805" s="2">
        <v>0</v>
      </c>
      <c r="J18805" s="1">
        <v>45996.336539351854</v>
      </c>
    </row>
    <row r="18806" spans="1:10" x14ac:dyDescent="0.2">
      <c r="A18806" s="4" t="s">
        <v>1</v>
      </c>
      <c r="B18806" s="3" t="str">
        <f>HYPERLINK("https://otsuka-europe-crm.veevavault.com/ui/#object/approved_document__v/V5O000000006001", "RXULTI - Comparativa antipsicóticos")</f>
        <v>RXULTI - Comparativa antipsicóticos</v>
      </c>
      <c r="C18806" s="3" t="str">
        <f>HYPERLINK("https://otsuka-europe-crm.veevavault.com/ui/#object/sent_email__v/VBL00000000X067", "SE-001395542")</f>
        <v>SE-001395542</v>
      </c>
      <c r="D18806" s="1" t="s">
        <v>0</v>
      </c>
      <c r="E18806" s="2">
        <v>0</v>
      </c>
      <c r="F18806" s="2">
        <v>0</v>
      </c>
      <c r="G18806" s="2">
        <v>0</v>
      </c>
      <c r="H18806" s="1" t="s">
        <v>0</v>
      </c>
      <c r="I18806" s="2">
        <v>0</v>
      </c>
      <c r="J18806" s="1">
        <v>45996.336585648147</v>
      </c>
    </row>
    <row r="18807" spans="1:10" x14ac:dyDescent="0.2">
      <c r="A18807" s="4" t="s">
        <v>1</v>
      </c>
      <c r="B18807" s="3" t="str">
        <f>HYPERLINK("https://otsuka-europe-crm.veevavault.com/ui/#object/approved_document__v/V5O000000006001", "RXULTI - Comparativa antipsicóticos")</f>
        <v>RXULTI - Comparativa antipsicóticos</v>
      </c>
      <c r="C18807" s="3" t="str">
        <f>HYPERLINK("https://otsuka-europe-crm.veevavault.com/ui/#object/sent_email__v/VBL00000000X068", "SE-001395543")</f>
        <v>SE-001395543</v>
      </c>
      <c r="D18807" s="1">
        <v>45996.440092592595</v>
      </c>
      <c r="E18807" s="2">
        <v>1</v>
      </c>
      <c r="F18807" s="2">
        <v>2</v>
      </c>
      <c r="G18807" s="2">
        <v>0</v>
      </c>
      <c r="H18807" s="1" t="s">
        <v>0</v>
      </c>
      <c r="I18807" s="2">
        <v>0</v>
      </c>
      <c r="J18807" s="1">
        <v>45996.33662037037</v>
      </c>
    </row>
    <row r="18808" spans="1:10" x14ac:dyDescent="0.2">
      <c r="A18808" s="4" t="s">
        <v>1</v>
      </c>
      <c r="B18808" s="3" t="str">
        <f>HYPERLINK("https://otsuka-europe-crm.veevavault.com/ui/#object/approved_document__v/V5O000000006001", "RXULTI - Comparativa antipsicóticos")</f>
        <v>RXULTI - Comparativa antipsicóticos</v>
      </c>
      <c r="C18808" s="3" t="str">
        <f>HYPERLINK("https://otsuka-europe-crm.veevavault.com/ui/#object/sent_email__v/VBL00000000X069", "SE-001395544")</f>
        <v>SE-001395544</v>
      </c>
      <c r="D18808" s="1">
        <v>45996.878379629627</v>
      </c>
      <c r="E18808" s="2">
        <v>1</v>
      </c>
      <c r="F18808" s="2">
        <v>1</v>
      </c>
      <c r="G18808" s="2">
        <v>0</v>
      </c>
      <c r="H18808" s="1" t="s">
        <v>0</v>
      </c>
      <c r="I18808" s="2">
        <v>0</v>
      </c>
      <c r="J18808" s="1">
        <v>45996.336655092593</v>
      </c>
    </row>
    <row r="18809" spans="1:10" x14ac:dyDescent="0.2">
      <c r="A18809" s="4" t="s">
        <v>1</v>
      </c>
      <c r="B18809" s="3" t="str">
        <f>HYPERLINK("https://otsuka-europe-crm.veevavault.com/ui/#object/approved_document__v/V5O000000006001", "RXULTI - Comparativa antipsicóticos")</f>
        <v>RXULTI - Comparativa antipsicóticos</v>
      </c>
      <c r="C18809" s="3" t="str">
        <f>HYPERLINK("https://otsuka-europe-crm.veevavault.com/ui/#object/sent_email__v/VBL00000000X070", "SE-001395545")</f>
        <v>SE-001395545</v>
      </c>
      <c r="D18809" s="1">
        <v>45997.407557870371</v>
      </c>
      <c r="E18809" s="2">
        <v>1</v>
      </c>
      <c r="F18809" s="2">
        <v>3</v>
      </c>
      <c r="G18809" s="2">
        <v>0</v>
      </c>
      <c r="H18809" s="1" t="s">
        <v>0</v>
      </c>
      <c r="I18809" s="2">
        <v>0</v>
      </c>
      <c r="J18809" s="1">
        <v>45996.336689814816</v>
      </c>
    </row>
    <row r="18810" spans="1:10" x14ac:dyDescent="0.2">
      <c r="A18810" s="4" t="s">
        <v>1</v>
      </c>
      <c r="B18810" s="3" t="str">
        <f>HYPERLINK("https://otsuka-europe-crm.veevavault.com/ui/#object/approved_document__v/V5O000000006001", "RXULTI - Comparativa antipsicóticos")</f>
        <v>RXULTI - Comparativa antipsicóticos</v>
      </c>
      <c r="C18810" s="3" t="str">
        <f>HYPERLINK("https://otsuka-europe-crm.veevavault.com/ui/#object/sent_email__v/VBL00000000X071", "SE-001395546")</f>
        <v>SE-001395546</v>
      </c>
      <c r="D18810" s="1">
        <v>45996.415902777779</v>
      </c>
      <c r="E18810" s="2">
        <v>1</v>
      </c>
      <c r="F18810" s="2">
        <v>3</v>
      </c>
      <c r="G18810" s="2">
        <v>0</v>
      </c>
      <c r="H18810" s="1" t="s">
        <v>0</v>
      </c>
      <c r="I18810" s="2">
        <v>0</v>
      </c>
      <c r="J18810" s="1">
        <v>45996.336724537039</v>
      </c>
    </row>
    <row r="18811" spans="1:10" x14ac:dyDescent="0.2">
      <c r="A18811" s="4" t="s">
        <v>1</v>
      </c>
      <c r="B18811" s="3" t="str">
        <f>HYPERLINK("https://otsuka-europe-crm.veevavault.com/ui/#object/approved_document__v/V5O000000006001", "RXULTI - Comparativa antipsicóticos")</f>
        <v>RXULTI - Comparativa antipsicóticos</v>
      </c>
      <c r="C18811" s="3" t="str">
        <f>HYPERLINK("https://otsuka-europe-crm.veevavault.com/ui/#object/sent_email__v/VBL00000000X072", "SE-001395547")</f>
        <v>SE-001395547</v>
      </c>
      <c r="D18811" s="1" t="s">
        <v>0</v>
      </c>
      <c r="E18811" s="2">
        <v>0</v>
      </c>
      <c r="F18811" s="2">
        <v>0</v>
      </c>
      <c r="G18811" s="2">
        <v>0</v>
      </c>
      <c r="H18811" s="1" t="s">
        <v>0</v>
      </c>
      <c r="I18811" s="2">
        <v>0</v>
      </c>
      <c r="J18811" s="1">
        <v>45996.336782407408</v>
      </c>
    </row>
    <row r="18812" spans="1:10" x14ac:dyDescent="0.2">
      <c r="A18812" s="4" t="s">
        <v>1</v>
      </c>
      <c r="B18812" s="3" t="str">
        <f>HYPERLINK("https://otsuka-europe-crm.veevavault.com/ui/#object/approved_document__v/V5O000000006001", "RXULTI - Comparativa antipsicóticos")</f>
        <v>RXULTI - Comparativa antipsicóticos</v>
      </c>
      <c r="C18812" s="3" t="str">
        <f>HYPERLINK("https://otsuka-europe-crm.veevavault.com/ui/#object/sent_email__v/VBL00000000X073", "SE-001395548")</f>
        <v>SE-001395548</v>
      </c>
      <c r="D18812" s="1">
        <v>45998.978020833332</v>
      </c>
      <c r="E18812" s="2">
        <v>1</v>
      </c>
      <c r="F18812" s="2">
        <v>2</v>
      </c>
      <c r="G18812" s="2">
        <v>0</v>
      </c>
      <c r="H18812" s="1" t="s">
        <v>0</v>
      </c>
      <c r="I18812" s="2">
        <v>0</v>
      </c>
      <c r="J18812" s="1">
        <v>45996.336805555555</v>
      </c>
    </row>
    <row r="18813" spans="1:10" x14ac:dyDescent="0.2">
      <c r="A18813" s="4" t="s">
        <v>1</v>
      </c>
      <c r="B18813" s="3" t="str">
        <f>HYPERLINK("https://otsuka-europe-crm.veevavault.com/ui/#object/approved_document__v/V5O000000006001", "RXULTI - Comparativa antipsicóticos")</f>
        <v>RXULTI - Comparativa antipsicóticos</v>
      </c>
      <c r="C18813" s="3" t="str">
        <f>HYPERLINK("https://otsuka-europe-crm.veevavault.com/ui/#object/sent_email__v/VBL00000000X074", "SE-001395549")</f>
        <v>SE-001395549</v>
      </c>
      <c r="D18813" s="1">
        <v>45996.724143518521</v>
      </c>
      <c r="E18813" s="2">
        <v>1</v>
      </c>
      <c r="F18813" s="2">
        <v>1</v>
      </c>
      <c r="G18813" s="2">
        <v>1</v>
      </c>
      <c r="H18813" s="1">
        <v>45996.724409722221</v>
      </c>
      <c r="I18813" s="2">
        <v>1</v>
      </c>
      <c r="J18813" s="1">
        <v>45996.336840277778</v>
      </c>
    </row>
    <row r="18814" spans="1:10" x14ac:dyDescent="0.2">
      <c r="A18814" s="4" t="s">
        <v>1</v>
      </c>
      <c r="B18814" s="3" t="str">
        <f>HYPERLINK("https://otsuka-europe-crm.veevavault.com/ui/#object/approved_document__v/V5O000000006001", "RXULTI - Comparativa antipsicóticos")</f>
        <v>RXULTI - Comparativa antipsicóticos</v>
      </c>
      <c r="C18814" s="3" t="str">
        <f>HYPERLINK("https://otsuka-europe-crm.veevavault.com/ui/#object/sent_email__v/VBL00000000X075", "SE-001395550")</f>
        <v>SE-001395550</v>
      </c>
      <c r="D18814" s="1" t="s">
        <v>0</v>
      </c>
      <c r="E18814" s="2">
        <v>0</v>
      </c>
      <c r="F18814" s="2">
        <v>0</v>
      </c>
      <c r="G18814" s="2">
        <v>0</v>
      </c>
      <c r="H18814" s="1" t="s">
        <v>0</v>
      </c>
      <c r="I18814" s="2">
        <v>0</v>
      </c>
      <c r="J18814" s="1">
        <v>45996.336875000001</v>
      </c>
    </row>
    <row r="18815" spans="1:10" x14ac:dyDescent="0.2">
      <c r="A18815" s="4" t="s">
        <v>1</v>
      </c>
      <c r="B18815" s="3" t="str">
        <f>HYPERLINK("https://otsuka-europe-crm.veevavault.com/ui/#object/approved_document__v/V5O000000006001", "RXULTI - Comparativa antipsicóticos")</f>
        <v>RXULTI - Comparativa antipsicóticos</v>
      </c>
      <c r="C18815" s="3" t="str">
        <f>HYPERLINK("https://otsuka-europe-crm.veevavault.com/ui/#object/sent_email__v/VBL00000000X076", "SE-001395551")</f>
        <v>SE-001395551</v>
      </c>
      <c r="D18815" s="1">
        <v>46001.416956018518</v>
      </c>
      <c r="E18815" s="2">
        <v>1</v>
      </c>
      <c r="F18815" s="2">
        <v>1</v>
      </c>
      <c r="G18815" s="2">
        <v>0</v>
      </c>
      <c r="H18815" s="1" t="s">
        <v>0</v>
      </c>
      <c r="I18815" s="2">
        <v>0</v>
      </c>
      <c r="J18815" s="1">
        <v>45996.336909722224</v>
      </c>
    </row>
    <row r="18816" spans="1:10" x14ac:dyDescent="0.2">
      <c r="A18816" s="4" t="s">
        <v>1</v>
      </c>
      <c r="B18816" s="3" t="str">
        <f>HYPERLINK("https://otsuka-europe-crm.veevavault.com/ui/#object/approved_document__v/V5O000000006001", "RXULTI - Comparativa antipsicóticos")</f>
        <v>RXULTI - Comparativa antipsicóticos</v>
      </c>
      <c r="C18816" s="3" t="str">
        <f>HYPERLINK("https://otsuka-europe-crm.veevavault.com/ui/#object/sent_email__v/VBL00000000X077", "SE-001395552")</f>
        <v>SE-001395552</v>
      </c>
      <c r="D18816" s="1" t="s">
        <v>0</v>
      </c>
      <c r="E18816" s="2">
        <v>0</v>
      </c>
      <c r="F18816" s="2">
        <v>0</v>
      </c>
      <c r="G18816" s="2">
        <v>0</v>
      </c>
      <c r="H18816" s="1" t="s">
        <v>0</v>
      </c>
      <c r="I18816" s="2">
        <v>0</v>
      </c>
      <c r="J18816" s="1">
        <v>45996.336944444447</v>
      </c>
    </row>
    <row r="18817" spans="1:10" x14ac:dyDescent="0.2">
      <c r="A18817" s="4" t="s">
        <v>1</v>
      </c>
      <c r="B18817" s="3" t="str">
        <f>HYPERLINK("https://otsuka-europe-crm.veevavault.com/ui/#object/approved_document__v/V5O000000006001", "RXULTI - Comparativa antipsicóticos")</f>
        <v>RXULTI - Comparativa antipsicóticos</v>
      </c>
      <c r="C18817" s="3" t="str">
        <f>HYPERLINK("https://otsuka-europe-crm.veevavault.com/ui/#object/sent_email__v/VBL00000000X078", "SE-001395553")</f>
        <v>SE-001395553</v>
      </c>
      <c r="D18817" s="1" t="s">
        <v>0</v>
      </c>
      <c r="E18817" s="2">
        <v>0</v>
      </c>
      <c r="F18817" s="2">
        <v>0</v>
      </c>
      <c r="G18817" s="2">
        <v>0</v>
      </c>
      <c r="H18817" s="1" t="s">
        <v>0</v>
      </c>
      <c r="I18817" s="2">
        <v>0</v>
      </c>
      <c r="J18817" s="1">
        <v>45996.33699074074</v>
      </c>
    </row>
    <row r="18818" spans="1:10" x14ac:dyDescent="0.2">
      <c r="A18818" s="4" t="s">
        <v>1</v>
      </c>
      <c r="B18818" s="3" t="str">
        <f>HYPERLINK("https://otsuka-europe-crm.veevavault.com/ui/#object/approved_document__v/V5O000000006001", "RXULTI - Comparativa antipsicóticos")</f>
        <v>RXULTI - Comparativa antipsicóticos</v>
      </c>
      <c r="C18818" s="3" t="str">
        <f>HYPERLINK("https://otsuka-europe-crm.veevavault.com/ui/#object/sent_email__v/VBL00000000X079", "SE-001395554")</f>
        <v>SE-001395554</v>
      </c>
      <c r="D18818" s="1" t="s">
        <v>0</v>
      </c>
      <c r="E18818" s="2">
        <v>0</v>
      </c>
      <c r="F18818" s="2">
        <v>0</v>
      </c>
      <c r="G18818" s="2">
        <v>0</v>
      </c>
      <c r="H18818" s="1" t="s">
        <v>0</v>
      </c>
      <c r="I18818" s="2">
        <v>0</v>
      </c>
      <c r="J18818" s="1">
        <v>45996.337025462963</v>
      </c>
    </row>
    <row r="18819" spans="1:10" x14ac:dyDescent="0.2">
      <c r="A18819" s="4" t="s">
        <v>1</v>
      </c>
      <c r="B18819" s="3" t="str">
        <f>HYPERLINK("https://otsuka-europe-crm.veevavault.com/ui/#object/approved_document__v/V5O000000006001", "RXULTI - Comparativa antipsicóticos")</f>
        <v>RXULTI - Comparativa antipsicóticos</v>
      </c>
      <c r="C18819" s="3" t="str">
        <f>HYPERLINK("https://otsuka-europe-crm.veevavault.com/ui/#object/sent_email__v/VBL00000000X080", "SE-001395555")</f>
        <v>SE-001395555</v>
      </c>
      <c r="D18819" s="1">
        <v>45997.765520833331</v>
      </c>
      <c r="E18819" s="2">
        <v>1</v>
      </c>
      <c r="F18819" s="2">
        <v>6</v>
      </c>
      <c r="G18819" s="2">
        <v>0</v>
      </c>
      <c r="H18819" s="1" t="s">
        <v>0</v>
      </c>
      <c r="I18819" s="2">
        <v>0</v>
      </c>
      <c r="J18819" s="1">
        <v>45996.337060185186</v>
      </c>
    </row>
    <row r="18820" spans="1:10" x14ac:dyDescent="0.2">
      <c r="A18820" s="4" t="s">
        <v>1</v>
      </c>
      <c r="B18820" s="3" t="str">
        <f>HYPERLINK("https://otsuka-europe-crm.veevavault.com/ui/#object/approved_document__v/V5O000000006001", "RXULTI - Comparativa antipsicóticos")</f>
        <v>RXULTI - Comparativa antipsicóticos</v>
      </c>
      <c r="C18820" s="3" t="str">
        <f>HYPERLINK("https://otsuka-europe-crm.veevavault.com/ui/#object/sent_email__v/VBL00000000X081", "SE-001395556")</f>
        <v>SE-001395556</v>
      </c>
      <c r="D18820" s="1" t="s">
        <v>0</v>
      </c>
      <c r="E18820" s="2">
        <v>0</v>
      </c>
      <c r="F18820" s="2">
        <v>0</v>
      </c>
      <c r="G18820" s="2">
        <v>0</v>
      </c>
      <c r="H18820" s="1" t="s">
        <v>0</v>
      </c>
      <c r="I18820" s="2">
        <v>0</v>
      </c>
      <c r="J18820" s="1">
        <v>45996.337083333332</v>
      </c>
    </row>
    <row r="18821" spans="1:10" x14ac:dyDescent="0.2">
      <c r="A18821" s="4" t="s">
        <v>1</v>
      </c>
      <c r="B18821" s="3" t="str">
        <f>HYPERLINK("https://otsuka-europe-crm.veevavault.com/ui/#object/approved_document__v/V5O000000006001", "RXULTI - Comparativa antipsicóticos")</f>
        <v>RXULTI - Comparativa antipsicóticos</v>
      </c>
      <c r="C18821" s="3" t="str">
        <f>HYPERLINK("https://otsuka-europe-crm.veevavault.com/ui/#object/sent_email__v/VBL00000000X082", "SE-001395557")</f>
        <v>SE-001395557</v>
      </c>
      <c r="D18821" s="1" t="s">
        <v>0</v>
      </c>
      <c r="E18821" s="2">
        <v>0</v>
      </c>
      <c r="F18821" s="2">
        <v>0</v>
      </c>
      <c r="G18821" s="2">
        <v>0</v>
      </c>
      <c r="H18821" s="1" t="s">
        <v>0</v>
      </c>
      <c r="I18821" s="2">
        <v>0</v>
      </c>
      <c r="J18821" s="1">
        <v>45996.337129629632</v>
      </c>
    </row>
    <row r="18822" spans="1:10" x14ac:dyDescent="0.2">
      <c r="A18822" s="4" t="s">
        <v>1</v>
      </c>
      <c r="B18822" s="3" t="str">
        <f>HYPERLINK("https://otsuka-europe-crm.veevavault.com/ui/#object/approved_document__v/V5O000000006001", "RXULTI - Comparativa antipsicóticos")</f>
        <v>RXULTI - Comparativa antipsicóticos</v>
      </c>
      <c r="C18822" s="3" t="str">
        <f>HYPERLINK("https://otsuka-europe-crm.veevavault.com/ui/#object/sent_email__v/VBL00000000X083", "SE-001395558")</f>
        <v>SE-001395558</v>
      </c>
      <c r="D18822" s="1" t="s">
        <v>0</v>
      </c>
      <c r="E18822" s="2">
        <v>0</v>
      </c>
      <c r="F18822" s="2">
        <v>0</v>
      </c>
      <c r="G18822" s="2">
        <v>0</v>
      </c>
      <c r="H18822" s="1" t="s">
        <v>0</v>
      </c>
      <c r="I18822" s="2">
        <v>0</v>
      </c>
      <c r="J18822" s="1">
        <v>45996.337164351855</v>
      </c>
    </row>
    <row r="18823" spans="1:10" x14ac:dyDescent="0.2">
      <c r="A18823" s="4" t="s">
        <v>1</v>
      </c>
      <c r="B18823" s="3" t="str">
        <f>HYPERLINK("https://otsuka-europe-crm.veevavault.com/ui/#object/approved_document__v/V5O000000006001", "RXULTI - Comparativa antipsicóticos")</f>
        <v>RXULTI - Comparativa antipsicóticos</v>
      </c>
      <c r="C18823" s="3" t="str">
        <f>HYPERLINK("https://otsuka-europe-crm.veevavault.com/ui/#object/sent_email__v/VBL00000000X084", "SE-001395559")</f>
        <v>SE-001395559</v>
      </c>
      <c r="D18823" s="1">
        <v>46001.822002314817</v>
      </c>
      <c r="E18823" s="2">
        <v>1</v>
      </c>
      <c r="F18823" s="2">
        <v>1</v>
      </c>
      <c r="G18823" s="2">
        <v>0</v>
      </c>
      <c r="H18823" s="1" t="s">
        <v>0</v>
      </c>
      <c r="I18823" s="2">
        <v>0</v>
      </c>
      <c r="J18823" s="1">
        <v>45996.337199074071</v>
      </c>
    </row>
    <row r="18824" spans="1:10" x14ac:dyDescent="0.2">
      <c r="A18824" s="4" t="s">
        <v>1</v>
      </c>
      <c r="B18824" s="3" t="str">
        <f>HYPERLINK("https://otsuka-europe-crm.veevavault.com/ui/#object/approved_document__v/V5O000000006001", "RXULTI - Comparativa antipsicóticos")</f>
        <v>RXULTI - Comparativa antipsicóticos</v>
      </c>
      <c r="C18824" s="3" t="str">
        <f>HYPERLINK("https://otsuka-europe-crm.veevavault.com/ui/#object/sent_email__v/VBL00000000X085", "SE-001395560")</f>
        <v>SE-001395560</v>
      </c>
      <c r="D18824" s="1" t="s">
        <v>0</v>
      </c>
      <c r="E18824" s="2">
        <v>0</v>
      </c>
      <c r="F18824" s="2">
        <v>0</v>
      </c>
      <c r="G18824" s="2">
        <v>0</v>
      </c>
      <c r="H18824" s="1" t="s">
        <v>0</v>
      </c>
      <c r="I18824" s="2">
        <v>0</v>
      </c>
      <c r="J18824" s="1">
        <v>45996.337233796294</v>
      </c>
    </row>
    <row r="18825" spans="1:10" x14ac:dyDescent="0.2">
      <c r="A18825" s="4" t="s">
        <v>1</v>
      </c>
      <c r="B18825" s="3" t="str">
        <f>HYPERLINK("https://otsuka-europe-crm.veevavault.com/ui/#object/approved_document__v/V5O000000006001", "RXULTI - Comparativa antipsicóticos")</f>
        <v>RXULTI - Comparativa antipsicóticos</v>
      </c>
      <c r="C18825" s="3" t="str">
        <f>HYPERLINK("https://otsuka-europe-crm.veevavault.com/ui/#object/sent_email__v/VBL00000000X086", "SE-001395561")</f>
        <v>SE-001395561</v>
      </c>
      <c r="D18825" s="1" t="s">
        <v>0</v>
      </c>
      <c r="E18825" s="2">
        <v>0</v>
      </c>
      <c r="F18825" s="2">
        <v>0</v>
      </c>
      <c r="G18825" s="2">
        <v>0</v>
      </c>
      <c r="H18825" s="1" t="s">
        <v>0</v>
      </c>
      <c r="I18825" s="2">
        <v>0</v>
      </c>
      <c r="J18825" s="1">
        <v>45996.337268518517</v>
      </c>
    </row>
    <row r="18826" spans="1:10" x14ac:dyDescent="0.2">
      <c r="A18826" s="4" t="s">
        <v>1</v>
      </c>
      <c r="B18826" s="3" t="str">
        <f>HYPERLINK("https://otsuka-europe-crm.veevavault.com/ui/#object/approved_document__v/V5O000000006001", "RXULTI - Comparativa antipsicóticos")</f>
        <v>RXULTI - Comparativa antipsicóticos</v>
      </c>
      <c r="C18826" s="3" t="str">
        <f>HYPERLINK("https://otsuka-europe-crm.veevavault.com/ui/#object/sent_email__v/VBL00000000X087", "SE-001395562")</f>
        <v>SE-001395562</v>
      </c>
      <c r="D18826" s="1" t="s">
        <v>0</v>
      </c>
      <c r="E18826" s="2">
        <v>0</v>
      </c>
      <c r="F18826" s="2">
        <v>0</v>
      </c>
      <c r="G18826" s="2">
        <v>0</v>
      </c>
      <c r="H18826" s="1" t="s">
        <v>0</v>
      </c>
      <c r="I18826" s="2">
        <v>0</v>
      </c>
      <c r="J18826" s="1">
        <v>45996.337314814817</v>
      </c>
    </row>
    <row r="18827" spans="1:10" x14ac:dyDescent="0.2">
      <c r="A18827" s="4" t="s">
        <v>1</v>
      </c>
      <c r="B18827" s="3" t="str">
        <f>HYPERLINK("https://otsuka-europe-crm.veevavault.com/ui/#object/approved_document__v/V5O000000006001", "RXULTI - Comparativa antipsicóticos")</f>
        <v>RXULTI - Comparativa antipsicóticos</v>
      </c>
      <c r="C18827" s="3" t="str">
        <f>HYPERLINK("https://otsuka-europe-crm.veevavault.com/ui/#object/sent_email__v/VBL00000000X088", "SE-001395563")</f>
        <v>SE-001395563</v>
      </c>
      <c r="D18827" s="1" t="s">
        <v>0</v>
      </c>
      <c r="E18827" s="2">
        <v>0</v>
      </c>
      <c r="F18827" s="2">
        <v>0</v>
      </c>
      <c r="G18827" s="2">
        <v>0</v>
      </c>
      <c r="H18827" s="1" t="s">
        <v>0</v>
      </c>
      <c r="I18827" s="2">
        <v>0</v>
      </c>
      <c r="J18827" s="1">
        <v>45996.337337962963</v>
      </c>
    </row>
    <row r="18828" spans="1:10" x14ac:dyDescent="0.2">
      <c r="A18828" s="4" t="s">
        <v>1</v>
      </c>
      <c r="B18828" s="3" t="str">
        <f>HYPERLINK("https://otsuka-europe-crm.veevavault.com/ui/#object/approved_document__v/V5O000000006001", "RXULTI - Comparativa antipsicóticos")</f>
        <v>RXULTI - Comparativa antipsicóticos</v>
      </c>
      <c r="C18828" s="3" t="str">
        <f>HYPERLINK("https://otsuka-europe-crm.veevavault.com/ui/#object/sent_email__v/VBL00000000X089", "SE-001395564")</f>
        <v>SE-001395564</v>
      </c>
      <c r="D18828" s="1">
        <v>46076.401620370372</v>
      </c>
      <c r="E18828" s="2">
        <v>1</v>
      </c>
      <c r="F18828" s="2">
        <v>5</v>
      </c>
      <c r="G18828" s="2">
        <v>1</v>
      </c>
      <c r="H18828" s="1">
        <v>46000.713518518518</v>
      </c>
      <c r="I18828" s="2">
        <v>2</v>
      </c>
      <c r="J18828" s="1">
        <v>45996.337395833332</v>
      </c>
    </row>
    <row r="18829" spans="1:10" x14ac:dyDescent="0.2">
      <c r="A18829" s="4" t="s">
        <v>1</v>
      </c>
      <c r="B18829" s="3" t="str">
        <f>HYPERLINK("https://otsuka-europe-crm.veevavault.com/ui/#object/approved_document__v/V5O000000006001", "RXULTI - Comparativa antipsicóticos")</f>
        <v>RXULTI - Comparativa antipsicóticos</v>
      </c>
      <c r="C18829" s="3" t="str">
        <f>HYPERLINK("https://otsuka-europe-crm.veevavault.com/ui/#object/sent_email__v/VBL00000000X090", "SE-001395565")</f>
        <v>SE-001395565</v>
      </c>
      <c r="D18829" s="1">
        <v>45996.346828703703</v>
      </c>
      <c r="E18829" s="2">
        <v>1</v>
      </c>
      <c r="F18829" s="2">
        <v>1</v>
      </c>
      <c r="G18829" s="2">
        <v>1</v>
      </c>
      <c r="H18829" s="1">
        <v>45996.346828703703</v>
      </c>
      <c r="I18829" s="2">
        <v>1</v>
      </c>
      <c r="J18829" s="1">
        <v>45996.337407407409</v>
      </c>
    </row>
    <row r="18830" spans="1:10" x14ac:dyDescent="0.2">
      <c r="A18830" s="4" t="s">
        <v>1</v>
      </c>
      <c r="B18830" s="3" t="str">
        <f>HYPERLINK("https://otsuka-europe-crm.veevavault.com/ui/#object/approved_document__v/V5O000000006001", "RXULTI - Comparativa antipsicóticos")</f>
        <v>RXULTI - Comparativa antipsicóticos</v>
      </c>
      <c r="C18830" s="3" t="str">
        <f>HYPERLINK("https://otsuka-europe-crm.veevavault.com/ui/#object/sent_email__v/VBL00000000X091", "SE-001395566")</f>
        <v>SE-001395566</v>
      </c>
      <c r="D18830" s="1" t="s">
        <v>0</v>
      </c>
      <c r="E18830" s="2">
        <v>0</v>
      </c>
      <c r="F18830" s="2">
        <v>0</v>
      </c>
      <c r="G18830" s="2">
        <v>0</v>
      </c>
      <c r="H18830" s="1" t="s">
        <v>0</v>
      </c>
      <c r="I18830" s="2">
        <v>0</v>
      </c>
      <c r="J18830" s="1">
        <v>45996.337453703702</v>
      </c>
    </row>
    <row r="18831" spans="1:10" x14ac:dyDescent="0.2">
      <c r="A18831" s="4" t="s">
        <v>1</v>
      </c>
      <c r="B18831" s="3" t="str">
        <f>HYPERLINK("https://otsuka-europe-crm.veevavault.com/ui/#object/approved_document__v/V5O000000006001", "RXULTI - Comparativa antipsicóticos")</f>
        <v>RXULTI - Comparativa antipsicóticos</v>
      </c>
      <c r="C18831" s="3" t="str">
        <f>HYPERLINK("https://otsuka-europe-crm.veevavault.com/ui/#object/sent_email__v/VBL00000000X092", "SE-001395567")</f>
        <v>SE-001395567</v>
      </c>
      <c r="D18831" s="1" t="s">
        <v>0</v>
      </c>
      <c r="E18831" s="2">
        <v>0</v>
      </c>
      <c r="F18831" s="2">
        <v>0</v>
      </c>
      <c r="G18831" s="2">
        <v>0</v>
      </c>
      <c r="H18831" s="1" t="s">
        <v>0</v>
      </c>
      <c r="I18831" s="2">
        <v>0</v>
      </c>
      <c r="J18831" s="1">
        <v>45996.337488425925</v>
      </c>
    </row>
    <row r="18832" spans="1:10" x14ac:dyDescent="0.2">
      <c r="A18832" s="4" t="s">
        <v>1</v>
      </c>
      <c r="B18832" s="3" t="str">
        <f>HYPERLINK("https://otsuka-europe-crm.veevavault.com/ui/#object/approved_document__v/V5O000000006001", "RXULTI - Comparativa antipsicóticos")</f>
        <v>RXULTI - Comparativa antipsicóticos</v>
      </c>
      <c r="C18832" s="3" t="str">
        <f>HYPERLINK("https://otsuka-europe-crm.veevavault.com/ui/#object/sent_email__v/VBL00000000X093", "SE-001395568")</f>
        <v>SE-001395568</v>
      </c>
      <c r="D18832" s="1" t="s">
        <v>0</v>
      </c>
      <c r="E18832" s="2">
        <v>0</v>
      </c>
      <c r="F18832" s="2">
        <v>0</v>
      </c>
      <c r="G18832" s="2">
        <v>0</v>
      </c>
      <c r="H18832" s="1" t="s">
        <v>0</v>
      </c>
      <c r="I18832" s="2">
        <v>0</v>
      </c>
      <c r="J18832" s="1">
        <v>45996.337523148148</v>
      </c>
    </row>
    <row r="18833" spans="1:10" x14ac:dyDescent="0.2">
      <c r="A18833" s="4" t="s">
        <v>1</v>
      </c>
      <c r="B18833" s="3" t="str">
        <f>HYPERLINK("https://otsuka-europe-crm.veevavault.com/ui/#object/approved_document__v/V5O000000006001", "RXULTI - Comparativa antipsicóticos")</f>
        <v>RXULTI - Comparativa antipsicóticos</v>
      </c>
      <c r="C18833" s="3" t="str">
        <f>HYPERLINK("https://otsuka-europe-crm.veevavault.com/ui/#object/sent_email__v/VBL00000000X094", "SE-001395569")</f>
        <v>SE-001395569</v>
      </c>
      <c r="D18833" s="1">
        <v>45996.835162037038</v>
      </c>
      <c r="E18833" s="2">
        <v>1</v>
      </c>
      <c r="F18833" s="2">
        <v>1</v>
      </c>
      <c r="G18833" s="2">
        <v>0</v>
      </c>
      <c r="H18833" s="1" t="s">
        <v>0</v>
      </c>
      <c r="I18833" s="2">
        <v>0</v>
      </c>
      <c r="J18833" s="1">
        <v>45996.337557870371</v>
      </c>
    </row>
    <row r="18834" spans="1:10" x14ac:dyDescent="0.2">
      <c r="A18834" s="4" t="s">
        <v>1</v>
      </c>
      <c r="B18834" s="3" t="str">
        <f>HYPERLINK("https://otsuka-europe-crm.veevavault.com/ui/#object/approved_document__v/V5O000000006001", "RXULTI - Comparativa antipsicóticos")</f>
        <v>RXULTI - Comparativa antipsicóticos</v>
      </c>
      <c r="C18834" s="3" t="str">
        <f>HYPERLINK("https://otsuka-europe-crm.veevavault.com/ui/#object/sent_email__v/VBL00000000X095", "SE-001395570")</f>
        <v>SE-001395570</v>
      </c>
      <c r="D18834" s="1">
        <v>45996.891932870371</v>
      </c>
      <c r="E18834" s="2">
        <v>1</v>
      </c>
      <c r="F18834" s="2">
        <v>1</v>
      </c>
      <c r="G18834" s="2">
        <v>0</v>
      </c>
      <c r="H18834" s="1" t="s">
        <v>0</v>
      </c>
      <c r="I18834" s="2">
        <v>0</v>
      </c>
      <c r="J18834" s="1">
        <v>45996.337592592594</v>
      </c>
    </row>
    <row r="18835" spans="1:10" x14ac:dyDescent="0.2">
      <c r="A18835" s="4" t="s">
        <v>1</v>
      </c>
      <c r="B18835" s="3" t="str">
        <f>HYPERLINK("https://otsuka-europe-crm.veevavault.com/ui/#object/approved_document__v/V5O000000006001", "RXULTI - Comparativa antipsicóticos")</f>
        <v>RXULTI - Comparativa antipsicóticos</v>
      </c>
      <c r="C18835" s="3" t="str">
        <f>HYPERLINK("https://otsuka-europe-crm.veevavault.com/ui/#object/sent_email__v/VBL00000000X096", "SE-001395571")</f>
        <v>SE-001395571</v>
      </c>
      <c r="D18835" s="1" t="s">
        <v>0</v>
      </c>
      <c r="E18835" s="2">
        <v>0</v>
      </c>
      <c r="F18835" s="2">
        <v>0</v>
      </c>
      <c r="G18835" s="2">
        <v>0</v>
      </c>
      <c r="H18835" s="1" t="s">
        <v>0</v>
      </c>
      <c r="I18835" s="2">
        <v>0</v>
      </c>
      <c r="J18835" s="1">
        <v>45996.337627314817</v>
      </c>
    </row>
    <row r="18836" spans="1:10" x14ac:dyDescent="0.2">
      <c r="A18836" s="4" t="s">
        <v>1</v>
      </c>
      <c r="B18836" s="3" t="str">
        <f>HYPERLINK("https://otsuka-europe-crm.veevavault.com/ui/#object/approved_document__v/V5O000000006001", "RXULTI - Comparativa antipsicóticos")</f>
        <v>RXULTI - Comparativa antipsicóticos</v>
      </c>
      <c r="C18836" s="3" t="str">
        <f>HYPERLINK("https://otsuka-europe-crm.veevavault.com/ui/#object/sent_email__v/VBL00000000X097", "SE-001395572")</f>
        <v>SE-001395572</v>
      </c>
      <c r="D18836" s="1">
        <v>45997.736967592595</v>
      </c>
      <c r="E18836" s="2">
        <v>1</v>
      </c>
      <c r="F18836" s="2">
        <v>1</v>
      </c>
      <c r="G18836" s="2">
        <v>0</v>
      </c>
      <c r="H18836" s="1" t="s">
        <v>0</v>
      </c>
      <c r="I18836" s="2">
        <v>0</v>
      </c>
      <c r="J18836" s="1">
        <v>45996.33766203704</v>
      </c>
    </row>
    <row r="18837" spans="1:10" x14ac:dyDescent="0.2">
      <c r="A18837" s="4" t="s">
        <v>1</v>
      </c>
      <c r="B18837" s="3" t="str">
        <f>HYPERLINK("https://otsuka-europe-crm.veevavault.com/ui/#object/approved_document__v/V5O000000006001", "RXULTI - Comparativa antipsicóticos")</f>
        <v>RXULTI - Comparativa antipsicóticos</v>
      </c>
      <c r="C18837" s="3" t="str">
        <f>HYPERLINK("https://otsuka-europe-crm.veevavault.com/ui/#object/sent_email__v/VBL00000000X098", "SE-001395573")</f>
        <v>SE-001395573</v>
      </c>
      <c r="D18837" s="1" t="s">
        <v>0</v>
      </c>
      <c r="E18837" s="2">
        <v>0</v>
      </c>
      <c r="F18837" s="2">
        <v>0</v>
      </c>
      <c r="G18837" s="2">
        <v>0</v>
      </c>
      <c r="H18837" s="1" t="s">
        <v>0</v>
      </c>
      <c r="I18837" s="2">
        <v>0</v>
      </c>
      <c r="J18837" s="1">
        <v>45996.337696759256</v>
      </c>
    </row>
    <row r="18838" spans="1:10" x14ac:dyDescent="0.2">
      <c r="A18838" s="4" t="s">
        <v>1</v>
      </c>
      <c r="B18838" s="3" t="str">
        <f>HYPERLINK("https://otsuka-europe-crm.veevavault.com/ui/#object/approved_document__v/V5O000000006001", "RXULTI - Comparativa antipsicóticos")</f>
        <v>RXULTI - Comparativa antipsicóticos</v>
      </c>
      <c r="C18838" s="3" t="str">
        <f>HYPERLINK("https://otsuka-europe-crm.veevavault.com/ui/#object/sent_email__v/VBL00000000X099", "SE-001395574")</f>
        <v>SE-001395574</v>
      </c>
      <c r="D18838" s="1" t="s">
        <v>0</v>
      </c>
      <c r="E18838" s="2">
        <v>0</v>
      </c>
      <c r="F18838" s="2">
        <v>0</v>
      </c>
      <c r="G18838" s="2">
        <v>0</v>
      </c>
      <c r="H18838" s="1" t="s">
        <v>0</v>
      </c>
      <c r="I18838" s="2">
        <v>0</v>
      </c>
      <c r="J18838" s="1">
        <v>45996.337731481479</v>
      </c>
    </row>
    <row r="18839" spans="1:10" x14ac:dyDescent="0.2">
      <c r="A18839" s="4" t="s">
        <v>1</v>
      </c>
      <c r="B18839" s="3" t="str">
        <f>HYPERLINK("https://otsuka-europe-crm.veevavault.com/ui/#object/approved_document__v/V5O000000006001", "RXULTI - Comparativa antipsicóticos")</f>
        <v>RXULTI - Comparativa antipsicóticos</v>
      </c>
      <c r="C18839" s="3" t="str">
        <f>HYPERLINK("https://otsuka-europe-crm.veevavault.com/ui/#object/sent_email__v/VBL00000000X100", "SE-001395575")</f>
        <v>SE-001395575</v>
      </c>
      <c r="D18839" s="1" t="s">
        <v>0</v>
      </c>
      <c r="E18839" s="2">
        <v>0</v>
      </c>
      <c r="F18839" s="2">
        <v>0</v>
      </c>
      <c r="G18839" s="2">
        <v>0</v>
      </c>
      <c r="H18839" s="1" t="s">
        <v>0</v>
      </c>
      <c r="I18839" s="2">
        <v>0</v>
      </c>
      <c r="J18839" s="1">
        <v>45996.337777777779</v>
      </c>
    </row>
    <row r="18840" spans="1:10" x14ac:dyDescent="0.2">
      <c r="A18840" s="4" t="s">
        <v>1</v>
      </c>
      <c r="B18840" s="3" t="str">
        <f>HYPERLINK("https://otsuka-europe-crm.veevavault.com/ui/#object/approved_document__v/V5O000000006001", "RXULTI - Comparativa antipsicóticos")</f>
        <v>RXULTI - Comparativa antipsicóticos</v>
      </c>
      <c r="C18840" s="3" t="str">
        <f>HYPERLINK("https://otsuka-europe-crm.veevavault.com/ui/#object/sent_email__v/VBL00000000X101", "SE-001395576")</f>
        <v>SE-001395576</v>
      </c>
      <c r="D18840" s="1">
        <v>45997.005497685182</v>
      </c>
      <c r="E18840" s="2">
        <v>1</v>
      </c>
      <c r="F18840" s="2">
        <v>1</v>
      </c>
      <c r="G18840" s="2">
        <v>0</v>
      </c>
      <c r="H18840" s="1" t="s">
        <v>0</v>
      </c>
      <c r="I18840" s="2">
        <v>0</v>
      </c>
      <c r="J18840" s="1">
        <v>45996.337800925925</v>
      </c>
    </row>
    <row r="18841" spans="1:10" x14ac:dyDescent="0.2">
      <c r="A18841" s="4" t="s">
        <v>1</v>
      </c>
      <c r="B18841" s="3" t="str">
        <f>HYPERLINK("https://otsuka-europe-crm.veevavault.com/ui/#object/approved_document__v/V5O000000006001", "RXULTI - Comparativa antipsicóticos")</f>
        <v>RXULTI - Comparativa antipsicóticos</v>
      </c>
      <c r="C18841" s="3" t="str">
        <f>HYPERLINK("https://otsuka-europe-crm.veevavault.com/ui/#object/sent_email__v/VBL00000000X102", "SE-001395577")</f>
        <v>SE-001395577</v>
      </c>
      <c r="D18841" s="1">
        <v>45996.614837962959</v>
      </c>
      <c r="E18841" s="2">
        <v>1</v>
      </c>
      <c r="F18841" s="2">
        <v>1</v>
      </c>
      <c r="G18841" s="2">
        <v>0</v>
      </c>
      <c r="H18841" s="1" t="s">
        <v>0</v>
      </c>
      <c r="I18841" s="2">
        <v>0</v>
      </c>
      <c r="J18841" s="1">
        <v>45996.337847222225</v>
      </c>
    </row>
    <row r="18842" spans="1:10" x14ac:dyDescent="0.2">
      <c r="A18842" s="4" t="s">
        <v>1</v>
      </c>
      <c r="B18842" s="3" t="str">
        <f>HYPERLINK("https://otsuka-europe-crm.veevavault.com/ui/#object/approved_document__v/V5O000000006001", "RXULTI - Comparativa antipsicóticos")</f>
        <v>RXULTI - Comparativa antipsicóticos</v>
      </c>
      <c r="C18842" s="3" t="str">
        <f>HYPERLINK("https://otsuka-europe-crm.veevavault.com/ui/#object/sent_email__v/VBL00000000W013", "SE-001395590")</f>
        <v>SE-001395590</v>
      </c>
      <c r="D18842" s="1" t="s">
        <v>0</v>
      </c>
      <c r="E18842" s="2">
        <v>0</v>
      </c>
      <c r="F18842" s="2">
        <v>0</v>
      </c>
      <c r="G18842" s="2">
        <v>0</v>
      </c>
      <c r="H18842" s="1" t="s">
        <v>0</v>
      </c>
      <c r="I18842" s="2">
        <v>0</v>
      </c>
      <c r="J18842" s="1">
        <v>45996.400671296295</v>
      </c>
    </row>
    <row r="18843" spans="1:10" x14ac:dyDescent="0.2">
      <c r="A18843" s="4" t="s">
        <v>1</v>
      </c>
      <c r="B18843" s="3" t="str">
        <f>HYPERLINK("https://otsuka-europe-crm.veevavault.com/ui/#object/approved_document__v/V5O000000006001", "RXULTI - Comparativa antipsicóticos")</f>
        <v>RXULTI - Comparativa antipsicóticos</v>
      </c>
      <c r="C18843" s="3" t="str">
        <f>HYPERLINK("https://otsuka-europe-crm.veevavault.com/ui/#object/sent_email__v/VBL00000000W014", "SE-001395591")</f>
        <v>SE-001395591</v>
      </c>
      <c r="D18843" s="1" t="s">
        <v>0</v>
      </c>
      <c r="E18843" s="2">
        <v>0</v>
      </c>
      <c r="F18843" s="2">
        <v>0</v>
      </c>
      <c r="G18843" s="2">
        <v>0</v>
      </c>
      <c r="H18843" s="1" t="s">
        <v>0</v>
      </c>
      <c r="I18843" s="2">
        <v>0</v>
      </c>
      <c r="J18843" s="1">
        <v>45996.400671296295</v>
      </c>
    </row>
    <row r="18844" spans="1:10" x14ac:dyDescent="0.2">
      <c r="A18844" s="4" t="s">
        <v>1</v>
      </c>
      <c r="B18844" s="3" t="str">
        <f>HYPERLINK("https://otsuka-europe-crm.veevavault.com/ui/#object/approved_document__v/V5O000000006001", "RXULTI - Comparativa antipsicóticos")</f>
        <v>RXULTI - Comparativa antipsicóticos</v>
      </c>
      <c r="C18844" s="3" t="str">
        <f>HYPERLINK("https://otsuka-europe-crm.veevavault.com/ui/#object/sent_email__v/VBL00000000W018", "SE-001395595")</f>
        <v>SE-001395595</v>
      </c>
      <c r="D18844" s="1" t="s">
        <v>0</v>
      </c>
      <c r="E18844" s="2">
        <v>0</v>
      </c>
      <c r="F18844" s="2">
        <v>0</v>
      </c>
      <c r="G18844" s="2">
        <v>0</v>
      </c>
      <c r="H18844" s="1" t="s">
        <v>0</v>
      </c>
      <c r="I18844" s="2">
        <v>0</v>
      </c>
      <c r="J18844" s="1">
        <v>45996.422418981485</v>
      </c>
    </row>
    <row r="18845" spans="1:10" x14ac:dyDescent="0.2">
      <c r="A18845" s="4" t="s">
        <v>1</v>
      </c>
      <c r="B18845" s="3" t="str">
        <f>HYPERLINK("https://otsuka-europe-crm.veevavault.com/ui/#object/approved_document__v/V5O000000006001", "RXULTI - Comparativa antipsicóticos")</f>
        <v>RXULTI - Comparativa antipsicóticos</v>
      </c>
      <c r="C18845" s="3" t="str">
        <f>HYPERLINK("https://otsuka-europe-crm.veevavault.com/ui/#object/sent_email__v/VBL00000000W019", "SE-001395596")</f>
        <v>SE-001395596</v>
      </c>
      <c r="D18845" s="1" t="s">
        <v>0</v>
      </c>
      <c r="E18845" s="2">
        <v>0</v>
      </c>
      <c r="F18845" s="2">
        <v>0</v>
      </c>
      <c r="G18845" s="2">
        <v>0</v>
      </c>
      <c r="H18845" s="1" t="s">
        <v>0</v>
      </c>
      <c r="I18845" s="2">
        <v>0</v>
      </c>
      <c r="J18845" s="1">
        <v>45996.423263888886</v>
      </c>
    </row>
    <row r="18846" spans="1:10" x14ac:dyDescent="0.2">
      <c r="A18846" s="4" t="s">
        <v>1</v>
      </c>
      <c r="B18846" s="3" t="str">
        <f>HYPERLINK("https://otsuka-europe-crm.veevavault.com/ui/#object/approved_document__v/V5O000000006001", "RXULTI - Comparativa antipsicóticos")</f>
        <v>RXULTI - Comparativa antipsicóticos</v>
      </c>
      <c r="C18846" s="3" t="str">
        <f>HYPERLINK("https://otsuka-europe-crm.veevavault.com/ui/#object/sent_email__v/VBL000000015289", "SE-001400756")</f>
        <v>SE-001400756</v>
      </c>
      <c r="D18846" s="1" t="s">
        <v>0</v>
      </c>
      <c r="E18846" s="2">
        <v>0</v>
      </c>
      <c r="F18846" s="2">
        <v>0</v>
      </c>
      <c r="G18846" s="2">
        <v>0</v>
      </c>
      <c r="H18846" s="1" t="s">
        <v>0</v>
      </c>
      <c r="I18846" s="2">
        <v>0</v>
      </c>
      <c r="J18846" s="1">
        <v>46044.292986111112</v>
      </c>
    </row>
    <row r="18847" spans="1:10" x14ac:dyDescent="0.2">
      <c r="A18847" s="4" t="s">
        <v>1</v>
      </c>
      <c r="B18847" s="3" t="str">
        <f>HYPERLINK("https://otsuka-europe-crm.veevavault.com/ui/#object/approved_document__v/V5O000000006001", "RXULTI - Comparativa antipsicóticos")</f>
        <v>RXULTI - Comparativa antipsicóticos</v>
      </c>
      <c r="C18847" s="3" t="str">
        <f>HYPERLINK("https://otsuka-europe-crm.veevavault.com/ui/#object/sent_email__v/VBL000000016478", "SE-001400759")</f>
        <v>SE-001400759</v>
      </c>
      <c r="D18847" s="1">
        <v>46044.926435185182</v>
      </c>
      <c r="E18847" s="2">
        <v>1</v>
      </c>
      <c r="F18847" s="2">
        <v>2</v>
      </c>
      <c r="G18847" s="2">
        <v>0</v>
      </c>
      <c r="H18847" s="1" t="s">
        <v>0</v>
      </c>
      <c r="I18847" s="2">
        <v>0</v>
      </c>
      <c r="J18847" s="1">
        <v>46044.294409722221</v>
      </c>
    </row>
    <row r="18848" spans="1:10" x14ac:dyDescent="0.2">
      <c r="A18848" s="4" t="s">
        <v>1</v>
      </c>
      <c r="B18848" s="3" t="str">
        <f>HYPERLINK("https://otsuka-europe-crm.veevavault.com/ui/#object/approved_document__v/V5O000000006001", "RXULTI - Comparativa antipsicóticos")</f>
        <v>RXULTI - Comparativa antipsicóticos</v>
      </c>
      <c r="C18848" s="3" t="str">
        <f>HYPERLINK("https://otsuka-europe-crm.veevavault.com/ui/#object/sent_email__v/VBL000000017018", "SE-001401954")</f>
        <v>SE-001401954</v>
      </c>
      <c r="D18848" s="1" t="s">
        <v>0</v>
      </c>
      <c r="E18848" s="2">
        <v>0</v>
      </c>
      <c r="F18848" s="2">
        <v>0</v>
      </c>
      <c r="G18848" s="2">
        <v>0</v>
      </c>
      <c r="H18848" s="1" t="s">
        <v>0</v>
      </c>
      <c r="I18848" s="2">
        <v>0</v>
      </c>
      <c r="J18848" s="1">
        <v>46049.535381944443</v>
      </c>
    </row>
    <row r="18849" spans="1:10" x14ac:dyDescent="0.2">
      <c r="A18849" s="4" t="s">
        <v>1</v>
      </c>
      <c r="B18849" s="3" t="str">
        <f>HYPERLINK("https://otsuka-europe-crm.veevavault.com/ui/#object/approved_document__v/V5O000000006001", "RXULTI - Comparativa antipsicóticos")</f>
        <v>RXULTI - Comparativa antipsicóticos</v>
      </c>
      <c r="C18849" s="3" t="str">
        <f>HYPERLINK("https://otsuka-europe-crm.veevavault.com/ui/#object/sent_email__v/VBL00000001A052", "SE-001402349")</f>
        <v>SE-001402349</v>
      </c>
      <c r="D18849" s="1">
        <v>46056.008368055554</v>
      </c>
      <c r="E18849" s="2">
        <v>1</v>
      </c>
      <c r="F18849" s="2">
        <v>1</v>
      </c>
      <c r="G18849" s="2">
        <v>0</v>
      </c>
      <c r="H18849" s="1" t="s">
        <v>0</v>
      </c>
      <c r="I18849" s="2">
        <v>0</v>
      </c>
      <c r="J18849" s="1">
        <v>46055.384918981479</v>
      </c>
    </row>
    <row r="18850" spans="1:10" x14ac:dyDescent="0.2">
      <c r="A18850" s="4" t="s">
        <v>1</v>
      </c>
      <c r="B18850" s="3" t="str">
        <f>HYPERLINK("https://otsuka-europe-crm.veevavault.com/ui/#object/approved_document__v/V5O000000006001", "RXULTI - Comparativa antipsicóticos")</f>
        <v>RXULTI - Comparativa antipsicóticos</v>
      </c>
      <c r="C18850" s="3" t="str">
        <f>HYPERLINK("https://otsuka-europe-crm.veevavault.com/ui/#object/sent_email__v/VBL00000001A097", "SE-001402582")</f>
        <v>SE-001402582</v>
      </c>
      <c r="D18850" s="1" t="s">
        <v>0</v>
      </c>
      <c r="E18850" s="2">
        <v>0</v>
      </c>
      <c r="F18850" s="2">
        <v>0</v>
      </c>
      <c r="G18850" s="2">
        <v>0</v>
      </c>
      <c r="H18850" s="1" t="s">
        <v>0</v>
      </c>
      <c r="I18850" s="2">
        <v>0</v>
      </c>
      <c r="J18850" s="1">
        <v>46056.461365740739</v>
      </c>
    </row>
    <row r="18851" spans="1:10" x14ac:dyDescent="0.2">
      <c r="A18851" s="4" t="s">
        <v>1</v>
      </c>
      <c r="B18851" s="3" t="str">
        <f>HYPERLINK("https://otsuka-europe-crm.veevavault.com/ui/#object/approved_document__v/V5O000000006001", "RXULTI - Comparativa antipsicóticos")</f>
        <v>RXULTI - Comparativa antipsicóticos</v>
      </c>
      <c r="C18851" s="3" t="str">
        <f>HYPERLINK("https://otsuka-europe-crm.veevavault.com/ui/#object/sent_email__v/VBL000000019267", "SE-001402621")</f>
        <v>SE-001402621</v>
      </c>
      <c r="D18851" s="1" t="s">
        <v>0</v>
      </c>
      <c r="E18851" s="2">
        <v>0</v>
      </c>
      <c r="F18851" s="2">
        <v>0</v>
      </c>
      <c r="G18851" s="2">
        <v>0</v>
      </c>
      <c r="H18851" s="1" t="s">
        <v>0</v>
      </c>
      <c r="I18851" s="2">
        <v>0</v>
      </c>
      <c r="J18851" s="1">
        <v>46057.307685185187</v>
      </c>
    </row>
    <row r="18852" spans="1:10" x14ac:dyDescent="0.2">
      <c r="A18852" s="4" t="s">
        <v>1</v>
      </c>
      <c r="B18852" s="3" t="str">
        <f>HYPERLINK("https://otsuka-europe-crm.veevavault.com/ui/#object/approved_document__v/V5O000000006001", "RXULTI - Comparativa antipsicóticos")</f>
        <v>RXULTI - Comparativa antipsicóticos</v>
      </c>
      <c r="C18852" s="3" t="str">
        <f>HYPERLINK("https://otsuka-europe-crm.veevavault.com/ui/#object/sent_email__v/VBL00000001A128", "SE-001402638")</f>
        <v>SE-001402638</v>
      </c>
      <c r="D18852" s="1">
        <v>46057.654641203706</v>
      </c>
      <c r="E18852" s="2">
        <v>1</v>
      </c>
      <c r="F18852" s="2">
        <v>2</v>
      </c>
      <c r="G18852" s="2">
        <v>0</v>
      </c>
      <c r="H18852" s="1" t="s">
        <v>0</v>
      </c>
      <c r="I18852" s="2">
        <v>0</v>
      </c>
      <c r="J18852" s="1">
        <v>46057.425451388888</v>
      </c>
    </row>
    <row r="18853" spans="1:10" x14ac:dyDescent="0.2">
      <c r="A18853" s="4" t="s">
        <v>1</v>
      </c>
      <c r="B18853" s="3" t="str">
        <f>HYPERLINK("https://otsuka-europe-crm.veevavault.com/ui/#object/approved_document__v/V5O000000006001", "RXULTI - Comparativa antipsicóticos")</f>
        <v>RXULTI - Comparativa antipsicóticos</v>
      </c>
      <c r="C18853" s="3" t="str">
        <f>HYPERLINK("https://otsuka-europe-crm.veevavault.com/ui/#object/sent_email__v/VBL000000019354", "SE-001402779")</f>
        <v>SE-001402779</v>
      </c>
      <c r="D18853" s="1" t="s">
        <v>0</v>
      </c>
      <c r="E18853" s="2">
        <v>0</v>
      </c>
      <c r="F18853" s="2">
        <v>0</v>
      </c>
      <c r="G18853" s="2">
        <v>0</v>
      </c>
      <c r="H18853" s="1" t="s">
        <v>0</v>
      </c>
      <c r="I18853" s="2">
        <v>0</v>
      </c>
      <c r="J18853" s="1">
        <v>46058.553402777776</v>
      </c>
    </row>
    <row r="18854" spans="1:10" x14ac:dyDescent="0.2">
      <c r="A18854" s="4" t="s">
        <v>1</v>
      </c>
      <c r="B18854" s="3" t="str">
        <f>HYPERLINK("https://otsuka-europe-crm.veevavault.com/ui/#object/approved_document__v/V5O000000006001", "RXULTI - Comparativa antipsicóticos")</f>
        <v>RXULTI - Comparativa antipsicóticos</v>
      </c>
      <c r="C18854" s="3" t="str">
        <f>HYPERLINK("https://otsuka-europe-crm.veevavault.com/ui/#object/sent_email__v/VBL00000001D016", "SE-001404061")</f>
        <v>SE-001404061</v>
      </c>
      <c r="D18854" s="1" t="s">
        <v>0</v>
      </c>
      <c r="E18854" s="2">
        <v>0</v>
      </c>
      <c r="F18854" s="2">
        <v>0</v>
      </c>
      <c r="G18854" s="2">
        <v>0</v>
      </c>
      <c r="H18854" s="1" t="s">
        <v>0</v>
      </c>
      <c r="I18854" s="2">
        <v>0</v>
      </c>
      <c r="J18854" s="1">
        <v>46066.465636574074</v>
      </c>
    </row>
    <row r="18855" spans="1:10" x14ac:dyDescent="0.2">
      <c r="A18855" s="4" t="s">
        <v>1</v>
      </c>
      <c r="B18855" s="3" t="str">
        <f>HYPERLINK("https://otsuka-europe-crm.veevavault.com/ui/#object/approved_document__v/V5O000000006001", "RXULTI - Comparativa antipsicóticos")</f>
        <v>RXULTI - Comparativa antipsicóticos</v>
      </c>
      <c r="C18855" s="3" t="str">
        <f>HYPERLINK("https://otsuka-europe-crm.veevavault.com/ui/#object/sent_email__v/VBL00000001D017", "SE-001404062")</f>
        <v>SE-001404062</v>
      </c>
      <c r="D18855" s="1" t="s">
        <v>0</v>
      </c>
      <c r="E18855" s="2">
        <v>0</v>
      </c>
      <c r="F18855" s="2">
        <v>0</v>
      </c>
      <c r="G18855" s="2">
        <v>0</v>
      </c>
      <c r="H18855" s="1" t="s">
        <v>0</v>
      </c>
      <c r="I18855" s="2">
        <v>0</v>
      </c>
      <c r="J18855" s="1">
        <v>46066.465636574074</v>
      </c>
    </row>
    <row r="18856" spans="1:10" x14ac:dyDescent="0.2">
      <c r="A18856" s="4" t="s">
        <v>1</v>
      </c>
      <c r="B18856" s="3" t="str">
        <f>HYPERLINK("https://otsuka-europe-crm.veevavault.com/ui/#object/approved_document__v/V5O000000006001", "RXULTI - Comparativa antipsicóticos")</f>
        <v>RXULTI - Comparativa antipsicóticos</v>
      </c>
      <c r="C18856" s="3" t="str">
        <f>HYPERLINK("https://otsuka-europe-crm.veevavault.com/ui/#object/sent_email__v/VBL00000001D018", "SE-001404063")</f>
        <v>SE-001404063</v>
      </c>
      <c r="D18856" s="1" t="s">
        <v>0</v>
      </c>
      <c r="E18856" s="2">
        <v>0</v>
      </c>
      <c r="F18856" s="2">
        <v>0</v>
      </c>
      <c r="G18856" s="2">
        <v>0</v>
      </c>
      <c r="H18856" s="1" t="s">
        <v>0</v>
      </c>
      <c r="I18856" s="2">
        <v>0</v>
      </c>
      <c r="J18856" s="1">
        <v>46066.465636574074</v>
      </c>
    </row>
    <row r="18857" spans="1:10" x14ac:dyDescent="0.2">
      <c r="A18857" s="4" t="s">
        <v>1</v>
      </c>
      <c r="B18857" s="3" t="str">
        <f>HYPERLINK("https://otsuka-europe-crm.veevavault.com/ui/#object/approved_document__v/V5O000000006001", "RXULTI - Comparativa antipsicóticos")</f>
        <v>RXULTI - Comparativa antipsicóticos</v>
      </c>
      <c r="C18857" s="3" t="str">
        <f>HYPERLINK("https://otsuka-europe-crm.veevavault.com/ui/#object/sent_email__v/VBL00000001D019", "SE-001404064")</f>
        <v>SE-001404064</v>
      </c>
      <c r="D18857" s="1" t="s">
        <v>0</v>
      </c>
      <c r="E18857" s="2">
        <v>0</v>
      </c>
      <c r="F18857" s="2">
        <v>0</v>
      </c>
      <c r="G18857" s="2">
        <v>0</v>
      </c>
      <c r="H18857" s="1" t="s">
        <v>0</v>
      </c>
      <c r="I18857" s="2">
        <v>0</v>
      </c>
      <c r="J18857" s="1">
        <v>46066.465636574074</v>
      </c>
    </row>
    <row r="18858" spans="1:10" x14ac:dyDescent="0.2">
      <c r="A18858" s="4" t="s">
        <v>1</v>
      </c>
      <c r="B18858" s="3" t="str">
        <f>HYPERLINK("https://otsuka-europe-crm.veevavault.com/ui/#object/approved_document__v/V5O000000006001", "RXULTI - Comparativa antipsicóticos")</f>
        <v>RXULTI - Comparativa antipsicóticos</v>
      </c>
      <c r="C18858" s="3" t="str">
        <f>HYPERLINK("https://otsuka-europe-crm.veevavault.com/ui/#object/sent_email__v/VBL00000001D581", "SE-001404976")</f>
        <v>SE-001404976</v>
      </c>
      <c r="D18858" s="1" t="s">
        <v>0</v>
      </c>
      <c r="E18858" s="2">
        <v>0</v>
      </c>
      <c r="F18858" s="2">
        <v>0</v>
      </c>
      <c r="G18858" s="2">
        <v>0</v>
      </c>
      <c r="H18858" s="1" t="s">
        <v>0</v>
      </c>
      <c r="I18858" s="2">
        <v>0</v>
      </c>
      <c r="J18858" s="1">
        <v>46072.392395833333</v>
      </c>
    </row>
    <row r="18859" spans="1:10" x14ac:dyDescent="0.2">
      <c r="A18859" s="4" t="s">
        <v>1</v>
      </c>
      <c r="B18859" s="3" t="str">
        <f>HYPERLINK("https://otsuka-europe-crm.veevavault.com/ui/#object/approved_document__v/V5OZ025E82E8N8X", "RXULTI - efectividad en esquizofrenia y TCS")</f>
        <v>RXULTI - efectividad en esquizofrenia y TCS</v>
      </c>
      <c r="C18859" s="3" t="str">
        <f>HYPERLINK("https://otsuka-europe-crm.veevavault.com/ui/#object/sent_email__v/VBLZ025E82H61M5", "SE-000282580")</f>
        <v>SE-000282580</v>
      </c>
      <c r="D18859" s="1">
        <v>45937.72078703704</v>
      </c>
      <c r="E18859" s="2">
        <v>1</v>
      </c>
      <c r="F18859" s="2">
        <v>2</v>
      </c>
      <c r="G18859" s="2">
        <v>0</v>
      </c>
      <c r="H18859" s="1" t="s">
        <v>0</v>
      </c>
      <c r="I18859" s="2">
        <v>0</v>
      </c>
      <c r="J18859" s="1">
        <v>45931.377280092594</v>
      </c>
    </row>
    <row r="18860" spans="1:10" x14ac:dyDescent="0.2">
      <c r="A18860" s="4" t="s">
        <v>1</v>
      </c>
      <c r="B18860" s="3" t="str">
        <f>HYPERLINK("https://otsuka-europe-crm.veevavault.com/ui/#object/approved_document__v/V5OZ025E82E8N8X", "RXULTI - efectividad en esquizofrenia y TCS")</f>
        <v>RXULTI - efectividad en esquizofrenia y TCS</v>
      </c>
      <c r="C18860" s="3" t="str">
        <f>HYPERLINK("https://otsuka-europe-crm.veevavault.com/ui/#object/sent_email__v/VBLZ025E82HMXN1", "SE-000287958")</f>
        <v>SE-000287958</v>
      </c>
      <c r="D18860" s="1">
        <v>45950.727002314816</v>
      </c>
      <c r="E18860" s="2">
        <v>1</v>
      </c>
      <c r="F18860" s="2">
        <v>3</v>
      </c>
      <c r="G18860" s="2">
        <v>1</v>
      </c>
      <c r="H18860" s="1">
        <v>45950.727048611108</v>
      </c>
      <c r="I18860" s="2">
        <v>1</v>
      </c>
      <c r="J18860" s="1">
        <v>45946.698067129626</v>
      </c>
    </row>
    <row r="18861" spans="1:10" x14ac:dyDescent="0.2">
      <c r="A18861" s="4" t="s">
        <v>1</v>
      </c>
      <c r="B18861" s="3" t="str">
        <f>HYPERLINK("https://otsuka-europe-crm.veevavault.com/ui/#object/approved_document__v/V5OZ025E82E8N8X", "RXULTI - efectividad en esquizofrenia y TCS")</f>
        <v>RXULTI - efectividad en esquizofrenia y TCS</v>
      </c>
      <c r="C18861" s="3" t="str">
        <f>HYPERLINK("https://otsuka-europe-crm.veevavault.com/ui/#object/sent_email__v/VBL000000002693", "SE-001379774")</f>
        <v>SE-001379774</v>
      </c>
      <c r="D18861" s="1">
        <v>45960.636331018519</v>
      </c>
      <c r="E18861" s="2">
        <v>1</v>
      </c>
      <c r="F18861" s="2">
        <v>1</v>
      </c>
      <c r="G18861" s="2">
        <v>0</v>
      </c>
      <c r="H18861" s="1" t="s">
        <v>0</v>
      </c>
      <c r="I18861" s="2">
        <v>0</v>
      </c>
      <c r="J18861" s="1">
        <v>45960.551770833335</v>
      </c>
    </row>
    <row r="18862" spans="1:10" x14ac:dyDescent="0.2">
      <c r="A18862" s="4" t="s">
        <v>1</v>
      </c>
      <c r="B18862" s="3" t="str">
        <f>HYPERLINK("https://otsuka-europe-crm.veevavault.com/ui/#object/approved_document__v/V5OZ025E82E8N8X", "RXULTI - efectividad en esquizofrenia y TCS")</f>
        <v>RXULTI - efectividad en esquizofrenia y TCS</v>
      </c>
      <c r="C18862" s="3" t="str">
        <f>HYPERLINK("https://otsuka-europe-crm.veevavault.com/ui/#object/sent_email__v/VBL000000004090", "SE-001380161")</f>
        <v>SE-001380161</v>
      </c>
      <c r="D18862" s="1">
        <v>45961.490868055553</v>
      </c>
      <c r="E18862" s="2">
        <v>1</v>
      </c>
      <c r="F18862" s="2">
        <v>5</v>
      </c>
      <c r="G18862" s="2">
        <v>1</v>
      </c>
      <c r="H18862" s="1">
        <v>45961.487685185188</v>
      </c>
      <c r="I18862" s="2">
        <v>13</v>
      </c>
      <c r="J18862" s="1">
        <v>45961.486527777779</v>
      </c>
    </row>
    <row r="18863" spans="1:10" x14ac:dyDescent="0.2">
      <c r="A18863" s="4" t="s">
        <v>1</v>
      </c>
      <c r="B18863" s="3" t="str">
        <f>HYPERLINK("https://otsuka-europe-crm.veevavault.com/ui/#object/approved_document__v/V5OZ025E82E8N8X", "RXULTI - efectividad en esquizofrenia y TCS")</f>
        <v>RXULTI - efectividad en esquizofrenia y TCS</v>
      </c>
      <c r="C18863" s="3" t="str">
        <f>HYPERLINK("https://otsuka-europe-crm.veevavault.com/ui/#object/sent_email__v/VBL000000004962", "SE-001381673")</f>
        <v>SE-001381673</v>
      </c>
      <c r="D18863" s="1" t="s">
        <v>0</v>
      </c>
      <c r="E18863" s="2">
        <v>0</v>
      </c>
      <c r="F18863" s="2">
        <v>0</v>
      </c>
      <c r="G18863" s="2">
        <v>0</v>
      </c>
      <c r="H18863" s="1" t="s">
        <v>0</v>
      </c>
      <c r="I18863" s="2">
        <v>0</v>
      </c>
      <c r="J18863" s="1">
        <v>45967.766550925924</v>
      </c>
    </row>
    <row r="18864" spans="1:10" x14ac:dyDescent="0.2">
      <c r="A18864" s="4" t="s">
        <v>1</v>
      </c>
      <c r="B18864" s="3" t="str">
        <f>HYPERLINK("https://otsuka-europe-crm.veevavault.com/ui/#object/approved_document__v/V5O000000006008", "RXULTI - efectividad en esquizofrenia y TCS")</f>
        <v>RXULTI - efectividad en esquizofrenia y TCS</v>
      </c>
      <c r="C18864" s="3" t="str">
        <f>HYPERLINK("https://otsuka-europe-crm.veevavault.com/ui/#object/sent_email__v/VBL00000000N442", "SE-001390729")</f>
        <v>SE-001390729</v>
      </c>
      <c r="D18864" s="1" t="s">
        <v>0</v>
      </c>
      <c r="E18864" s="2">
        <v>0</v>
      </c>
      <c r="F18864" s="2">
        <v>0</v>
      </c>
      <c r="G18864" s="2">
        <v>0</v>
      </c>
      <c r="H18864" s="1" t="s">
        <v>0</v>
      </c>
      <c r="I18864" s="2">
        <v>0</v>
      </c>
      <c r="J18864" s="1">
        <v>45978.439641203702</v>
      </c>
    </row>
    <row r="18865" spans="1:10" x14ac:dyDescent="0.2">
      <c r="A18865" s="4" t="s">
        <v>1</v>
      </c>
      <c r="B18865" s="3" t="str">
        <f>HYPERLINK("https://otsuka-europe-crm.veevavault.com/ui/#object/approved_document__v/V5O000000006008", "RXULTI - efectividad en esquizofrenia y TCS")</f>
        <v>RXULTI - efectividad en esquizofrenia y TCS</v>
      </c>
      <c r="C18865" s="3" t="str">
        <f>HYPERLINK("https://otsuka-europe-crm.veevavault.com/ui/#object/sent_email__v/VBL00000000R358", "SE-001391990")</f>
        <v>SE-001391990</v>
      </c>
      <c r="D18865" s="1" t="s">
        <v>0</v>
      </c>
      <c r="E18865" s="2">
        <v>0</v>
      </c>
      <c r="F18865" s="2">
        <v>0</v>
      </c>
      <c r="G18865" s="2">
        <v>0</v>
      </c>
      <c r="H18865" s="1" t="s">
        <v>0</v>
      </c>
      <c r="I18865" s="2">
        <v>0</v>
      </c>
      <c r="J18865" s="1">
        <v>45988.430706018517</v>
      </c>
    </row>
    <row r="18866" spans="1:10" x14ac:dyDescent="0.2">
      <c r="A18866" s="4" t="s">
        <v>1</v>
      </c>
      <c r="B18866" s="3" t="str">
        <f>HYPERLINK("https://otsuka-europe-crm.veevavault.com/ui/#object/approved_document__v/V5O000000006008", "RXULTI - efectividad en esquizofrenia y TCS")</f>
        <v>RXULTI - efectividad en esquizofrenia y TCS</v>
      </c>
      <c r="C18866" s="3" t="str">
        <f>HYPERLINK("https://otsuka-europe-crm.veevavault.com/ui/#object/sent_email__v/VBL000000017017", "SE-001401953")</f>
        <v>SE-001401953</v>
      </c>
      <c r="D18866" s="1" t="s">
        <v>0</v>
      </c>
      <c r="E18866" s="2">
        <v>0</v>
      </c>
      <c r="F18866" s="2">
        <v>0</v>
      </c>
      <c r="G18866" s="2">
        <v>0</v>
      </c>
      <c r="H18866" s="1" t="s">
        <v>0</v>
      </c>
      <c r="I18866" s="2">
        <v>0</v>
      </c>
      <c r="J18866" s="1">
        <v>46049.535300925927</v>
      </c>
    </row>
    <row r="18867" spans="1:10" x14ac:dyDescent="0.2">
      <c r="A18867" s="4" t="s">
        <v>1</v>
      </c>
      <c r="B18867" s="3" t="str">
        <f>HYPERLINK("https://otsuka-europe-crm.veevavault.com/ui/#object/approved_document__v/V5O000000006008", "RXULTI - efectividad en esquizofrenia y TCS")</f>
        <v>RXULTI - efectividad en esquizofrenia y TCS</v>
      </c>
      <c r="C18867" s="3" t="str">
        <f>HYPERLINK("https://otsuka-europe-crm.veevavault.com/ui/#object/sent_email__v/VBL00000001A051", "SE-001402348")</f>
        <v>SE-001402348</v>
      </c>
      <c r="D18867" s="1">
        <v>46055.995324074072</v>
      </c>
      <c r="E18867" s="2">
        <v>1</v>
      </c>
      <c r="F18867" s="2">
        <v>2</v>
      </c>
      <c r="G18867" s="2">
        <v>0</v>
      </c>
      <c r="H18867" s="1" t="s">
        <v>0</v>
      </c>
      <c r="I18867" s="2">
        <v>0</v>
      </c>
      <c r="J18867" s="1">
        <v>46055.384918981479</v>
      </c>
    </row>
    <row r="18868" spans="1:10" x14ac:dyDescent="0.2">
      <c r="A18868" s="4" t="s">
        <v>1</v>
      </c>
      <c r="B18868" s="3" t="str">
        <f>HYPERLINK("https://otsuka-europe-crm.veevavault.com/ui/#object/approved_document__v/V5O000000006008", "RXULTI - efectividad en esquizofrenia y TCS")</f>
        <v>RXULTI - efectividad en esquizofrenia y TCS</v>
      </c>
      <c r="C18868" s="3" t="str">
        <f>HYPERLINK("https://otsuka-europe-crm.veevavault.com/ui/#object/sent_email__v/VBL00000001A129", "SE-001402639")</f>
        <v>SE-001402639</v>
      </c>
      <c r="D18868" s="1">
        <v>46057.804178240738</v>
      </c>
      <c r="E18868" s="2">
        <v>1</v>
      </c>
      <c r="F18868" s="2">
        <v>2</v>
      </c>
      <c r="G18868" s="2">
        <v>0</v>
      </c>
      <c r="H18868" s="1" t="s">
        <v>0</v>
      </c>
      <c r="I18868" s="2">
        <v>0</v>
      </c>
      <c r="J18868" s="1">
        <v>46057.425486111111</v>
      </c>
    </row>
    <row r="18869" spans="1:10" x14ac:dyDescent="0.2">
      <c r="A18869" s="4" t="s">
        <v>1</v>
      </c>
      <c r="B18869" s="3" t="str">
        <f>HYPERLINK("https://otsuka-europe-crm.veevavault.com/ui/#object/approved_document__v/V5OZ025E82E8DIX", "RXULTI - Eficaz y fácil de iniciar")</f>
        <v>RXULTI - Eficaz y fácil de iniciar</v>
      </c>
      <c r="C18869" s="3" t="str">
        <f>HYPERLINK("https://otsuka-europe-crm.veevavault.com/ui/#object/sent_email__v/VBLZ025E82GCOLD", "SE-000254955")</f>
        <v>SE-000254955</v>
      </c>
      <c r="D18869" s="1" t="s">
        <v>0</v>
      </c>
      <c r="E18869" s="2">
        <v>0</v>
      </c>
      <c r="F18869" s="2">
        <v>0</v>
      </c>
      <c r="G18869" s="2">
        <v>0</v>
      </c>
      <c r="H18869" s="1" t="s">
        <v>0</v>
      </c>
      <c r="I18869" s="2">
        <v>0</v>
      </c>
      <c r="J18869" s="1">
        <v>45902.418090277781</v>
      </c>
    </row>
    <row r="18870" spans="1:10" x14ac:dyDescent="0.2">
      <c r="A18870" s="4" t="s">
        <v>1</v>
      </c>
      <c r="B18870" s="3" t="str">
        <f>HYPERLINK("https://otsuka-europe-crm.veevavault.com/ui/#object/approved_document__v/V5OZ025E82E8DIX", "RXULTI - Eficaz y fácil de iniciar")</f>
        <v>RXULTI - Eficaz y fácil de iniciar</v>
      </c>
      <c r="C18870" s="3" t="str">
        <f>HYPERLINK("https://otsuka-europe-crm.veevavault.com/ui/#object/sent_email__v/VBLZ025E82GHWMT", "SE-000255544")</f>
        <v>SE-000255544</v>
      </c>
      <c r="D18870" s="1">
        <v>45992.785601851851</v>
      </c>
      <c r="E18870" s="2">
        <v>1</v>
      </c>
      <c r="F18870" s="2">
        <v>4</v>
      </c>
      <c r="G18870" s="2">
        <v>0</v>
      </c>
      <c r="H18870" s="1" t="s">
        <v>0</v>
      </c>
      <c r="I18870" s="2">
        <v>0</v>
      </c>
      <c r="J18870" s="1">
        <v>45908.662222222221</v>
      </c>
    </row>
    <row r="18871" spans="1:10" x14ac:dyDescent="0.2">
      <c r="A18871" s="4" t="s">
        <v>1</v>
      </c>
      <c r="B18871" s="3" t="str">
        <f>HYPERLINK("https://otsuka-europe-crm.veevavault.com/ui/#object/approved_document__v/V5OZ025E82E8DIX", "RXULTI - Eficaz y fácil de iniciar")</f>
        <v>RXULTI - Eficaz y fácil de iniciar</v>
      </c>
      <c r="C18871" s="3" t="str">
        <f>HYPERLINK("https://otsuka-europe-crm.veevavault.com/ui/#object/sent_email__v/VBLZ025E82H5YP6", "SE-000282581")</f>
        <v>SE-000282581</v>
      </c>
      <c r="D18871" s="1">
        <v>45937.720810185187</v>
      </c>
      <c r="E18871" s="2">
        <v>1</v>
      </c>
      <c r="F18871" s="2">
        <v>3</v>
      </c>
      <c r="G18871" s="2">
        <v>0</v>
      </c>
      <c r="H18871" s="1" t="s">
        <v>0</v>
      </c>
      <c r="I18871" s="2">
        <v>0</v>
      </c>
      <c r="J18871" s="1">
        <v>45931.377858796295</v>
      </c>
    </row>
    <row r="18872" spans="1:10" x14ac:dyDescent="0.2">
      <c r="A18872" s="4" t="s">
        <v>1</v>
      </c>
      <c r="B18872" s="3" t="str">
        <f>HYPERLINK("https://otsuka-europe-crm.veevavault.com/ui/#object/approved_document__v/V5OZ025E82E8DIX", "RXULTI - Eficaz y fácil de iniciar")</f>
        <v>RXULTI - Eficaz y fácil de iniciar</v>
      </c>
      <c r="C18872" s="3" t="str">
        <f>HYPERLINK("https://otsuka-europe-crm.veevavault.com/ui/#object/sent_email__v/VBLZ025E82HMXPT", "SE-000287959")</f>
        <v>SE-000287959</v>
      </c>
      <c r="D18872" s="1">
        <v>45950.727118055554</v>
      </c>
      <c r="E18872" s="2">
        <v>1</v>
      </c>
      <c r="F18872" s="2">
        <v>3</v>
      </c>
      <c r="G18872" s="2">
        <v>1</v>
      </c>
      <c r="H18872" s="1">
        <v>45950.727152777778</v>
      </c>
      <c r="I18872" s="2">
        <v>1</v>
      </c>
      <c r="J18872" s="1">
        <v>45946.69809027778</v>
      </c>
    </row>
    <row r="18873" spans="1:10" x14ac:dyDescent="0.2">
      <c r="A18873" s="4" t="s">
        <v>1</v>
      </c>
      <c r="B18873" s="3" t="str">
        <f>HYPERLINK("https://otsuka-europe-crm.veevavault.com/ui/#object/approved_document__v/V5OZ025E82E8DIX", "RXULTI - Eficaz y fácil de iniciar")</f>
        <v>RXULTI - Eficaz y fácil de iniciar</v>
      </c>
      <c r="C18873" s="3" t="str">
        <f>HYPERLINK("https://otsuka-europe-crm.veevavault.com/ui/#object/sent_email__v/VBL000000004091", "SE-001380162")</f>
        <v>SE-001380162</v>
      </c>
      <c r="D18873" s="1">
        <v>45961.490868055553</v>
      </c>
      <c r="E18873" s="2">
        <v>1</v>
      </c>
      <c r="F18873" s="2">
        <v>5</v>
      </c>
      <c r="G18873" s="2">
        <v>1</v>
      </c>
      <c r="H18873" s="1">
        <v>45961.487488425926</v>
      </c>
      <c r="I18873" s="2">
        <v>11</v>
      </c>
      <c r="J18873" s="1">
        <v>45961.486747685187</v>
      </c>
    </row>
    <row r="18874" spans="1:10" x14ac:dyDescent="0.2">
      <c r="A18874" s="4" t="s">
        <v>1</v>
      </c>
      <c r="B18874" s="3" t="str">
        <f>HYPERLINK("https://otsuka-europe-crm.veevavault.com/ui/#object/approved_document__v/V5OZ025E82E8DIX", "RXULTI - Eficaz y fácil de iniciar")</f>
        <v>RXULTI - Eficaz y fácil de iniciar</v>
      </c>
      <c r="C18874" s="3" t="str">
        <f>HYPERLINK("https://otsuka-europe-crm.veevavault.com/ui/#object/sent_email__v/VBL000000004961", "SE-001381672")</f>
        <v>SE-001381672</v>
      </c>
      <c r="D18874" s="1" t="s">
        <v>0</v>
      </c>
      <c r="E18874" s="2">
        <v>0</v>
      </c>
      <c r="F18874" s="2">
        <v>0</v>
      </c>
      <c r="G18874" s="2">
        <v>0</v>
      </c>
      <c r="H18874" s="1" t="s">
        <v>0</v>
      </c>
      <c r="I18874" s="2">
        <v>0</v>
      </c>
      <c r="J18874" s="1">
        <v>45967.766527777778</v>
      </c>
    </row>
    <row r="18875" spans="1:10" x14ac:dyDescent="0.2">
      <c r="A18875" s="4" t="s">
        <v>1</v>
      </c>
      <c r="B18875" s="3" t="str">
        <f>HYPERLINK("https://otsuka-europe-crm.veevavault.com/ui/#object/approved_document__v/V5O000000006010", "RXULTI - Eficaz y fácil de iniciar")</f>
        <v>RXULTI - Eficaz y fácil de iniciar</v>
      </c>
      <c r="C18875" s="3" t="str">
        <f>HYPERLINK("https://otsuka-europe-crm.veevavault.com/ui/#object/sent_email__v/VBL00000000N444", "SE-001390731")</f>
        <v>SE-001390731</v>
      </c>
      <c r="D18875" s="1" t="s">
        <v>0</v>
      </c>
      <c r="E18875" s="2">
        <v>0</v>
      </c>
      <c r="F18875" s="2">
        <v>0</v>
      </c>
      <c r="G18875" s="2">
        <v>0</v>
      </c>
      <c r="H18875" s="1" t="s">
        <v>0</v>
      </c>
      <c r="I18875" s="2">
        <v>0</v>
      </c>
      <c r="J18875" s="1">
        <v>45978.439884259256</v>
      </c>
    </row>
    <row r="18876" spans="1:10" x14ac:dyDescent="0.2">
      <c r="A18876" s="4" t="s">
        <v>1</v>
      </c>
      <c r="B18876" s="3" t="str">
        <f>HYPERLINK("https://otsuka-europe-crm.veevavault.com/ui/#object/approved_document__v/V5O000000006010", "RXULTI - Eficaz y fácil de iniciar")</f>
        <v>RXULTI - Eficaz y fácil de iniciar</v>
      </c>
      <c r="C18876" s="3" t="str">
        <f>HYPERLINK("https://otsuka-europe-crm.veevavault.com/ui/#object/sent_email__v/VBL00000000R356", "SE-001391988")</f>
        <v>SE-001391988</v>
      </c>
      <c r="D18876" s="1">
        <v>45988.821898148148</v>
      </c>
      <c r="E18876" s="2">
        <v>1</v>
      </c>
      <c r="F18876" s="2">
        <v>1</v>
      </c>
      <c r="G18876" s="2">
        <v>1</v>
      </c>
      <c r="H18876" s="1">
        <v>45989.699930555558</v>
      </c>
      <c r="I18876" s="2">
        <v>2</v>
      </c>
      <c r="J18876" s="1">
        <v>45988.430601851855</v>
      </c>
    </row>
    <row r="18877" spans="1:10" x14ac:dyDescent="0.2">
      <c r="A18877" s="4" t="s">
        <v>1</v>
      </c>
      <c r="B18877" s="3" t="str">
        <f>HYPERLINK("https://otsuka-europe-crm.veevavault.com/ui/#object/approved_document__v/V5O000000006010", "RXULTI - Eficaz y fácil de iniciar")</f>
        <v>RXULTI - Eficaz y fácil de iniciar</v>
      </c>
      <c r="C18877" s="3" t="str">
        <f>HYPERLINK("https://otsuka-europe-crm.veevavault.com/ui/#object/sent_email__v/VBL00000000R473", "SE-001392112")</f>
        <v>SE-001392112</v>
      </c>
      <c r="D18877" s="1">
        <v>45990.031504629631</v>
      </c>
      <c r="E18877" s="2">
        <v>1</v>
      </c>
      <c r="F18877" s="2">
        <v>1</v>
      </c>
      <c r="G18877" s="2">
        <v>0</v>
      </c>
      <c r="H18877" s="1" t="s">
        <v>0</v>
      </c>
      <c r="I18877" s="2">
        <v>0</v>
      </c>
      <c r="J18877" s="1">
        <v>45989.637743055559</v>
      </c>
    </row>
    <row r="18878" spans="1:10" x14ac:dyDescent="0.2">
      <c r="A18878" s="4" t="s">
        <v>1</v>
      </c>
      <c r="B18878" s="3" t="str">
        <f>HYPERLINK("https://otsuka-europe-crm.veevavault.com/ui/#object/approved_document__v/V5O000000006010", "RXULTI - Eficaz y fácil de iniciar")</f>
        <v>RXULTI - Eficaz y fácil de iniciar</v>
      </c>
      <c r="C18878" s="3" t="str">
        <f>HYPERLINK("https://otsuka-europe-crm.veevavault.com/ui/#object/sent_email__v/VBL00000000W016", "SE-001395593")</f>
        <v>SE-001395593</v>
      </c>
      <c r="D18878" s="1" t="s">
        <v>0</v>
      </c>
      <c r="E18878" s="2">
        <v>0</v>
      </c>
      <c r="F18878" s="2">
        <v>0</v>
      </c>
      <c r="G18878" s="2">
        <v>0</v>
      </c>
      <c r="H18878" s="1" t="s">
        <v>0</v>
      </c>
      <c r="I18878" s="2">
        <v>0</v>
      </c>
      <c r="J18878" s="1">
        <v>45996.401319444441</v>
      </c>
    </row>
    <row r="18879" spans="1:10" x14ac:dyDescent="0.2">
      <c r="A18879" s="4" t="s">
        <v>1</v>
      </c>
      <c r="B18879" s="3" t="str">
        <f>HYPERLINK("https://otsuka-europe-crm.veevavault.com/ui/#object/approved_document__v/V5O000000006010", "RXULTI - Eficaz y fácil de iniciar")</f>
        <v>RXULTI - Eficaz y fácil de iniciar</v>
      </c>
      <c r="C18879" s="3" t="str">
        <f>HYPERLINK("https://otsuka-europe-crm.veevavault.com/ui/#object/sent_email__v/VBL00000000W017", "SE-001395594")</f>
        <v>SE-001395594</v>
      </c>
      <c r="D18879" s="1" t="s">
        <v>0</v>
      </c>
      <c r="E18879" s="2">
        <v>0</v>
      </c>
      <c r="F18879" s="2">
        <v>0</v>
      </c>
      <c r="G18879" s="2">
        <v>0</v>
      </c>
      <c r="H18879" s="1" t="s">
        <v>0</v>
      </c>
      <c r="I18879" s="2">
        <v>0</v>
      </c>
      <c r="J18879" s="1">
        <v>45996.401307870372</v>
      </c>
    </row>
    <row r="18880" spans="1:10" x14ac:dyDescent="0.2">
      <c r="A18880" s="4" t="s">
        <v>1</v>
      </c>
      <c r="B18880" s="3" t="str">
        <f>HYPERLINK("https://otsuka-europe-crm.veevavault.com/ui/#object/approved_document__v/V5O000000006010", "RXULTI - Eficaz y fácil de iniciar")</f>
        <v>RXULTI - Eficaz y fácil de iniciar</v>
      </c>
      <c r="C18880" s="3" t="str">
        <f>HYPERLINK("https://otsuka-europe-crm.veevavault.com/ui/#object/sent_email__v/VBL000000017016", "SE-001401952")</f>
        <v>SE-001401952</v>
      </c>
      <c r="D18880" s="1" t="s">
        <v>0</v>
      </c>
      <c r="E18880" s="2">
        <v>0</v>
      </c>
      <c r="F18880" s="2">
        <v>0</v>
      </c>
      <c r="G18880" s="2">
        <v>0</v>
      </c>
      <c r="H18880" s="1" t="s">
        <v>0</v>
      </c>
      <c r="I18880" s="2">
        <v>0</v>
      </c>
      <c r="J18880" s="1">
        <v>46049.53528935185</v>
      </c>
    </row>
    <row r="18881" spans="1:10" x14ac:dyDescent="0.2">
      <c r="A18881" s="4" t="s">
        <v>1</v>
      </c>
      <c r="B18881" s="3" t="str">
        <f>HYPERLINK("https://otsuka-europe-crm.veevavault.com/ui/#object/approved_document__v/V5O000000006010", "RXULTI - Eficaz y fácil de iniciar")</f>
        <v>RXULTI - Eficaz y fácil de iniciar</v>
      </c>
      <c r="C18881" s="3" t="str">
        <f>HYPERLINK("https://otsuka-europe-crm.veevavault.com/ui/#object/sent_email__v/VBL00000001A049", "SE-001402346")</f>
        <v>SE-001402346</v>
      </c>
      <c r="D18881" s="1">
        <v>46056.008368055554</v>
      </c>
      <c r="E18881" s="2">
        <v>1</v>
      </c>
      <c r="F18881" s="2">
        <v>1</v>
      </c>
      <c r="G18881" s="2">
        <v>0</v>
      </c>
      <c r="H18881" s="1" t="s">
        <v>0</v>
      </c>
      <c r="I18881" s="2">
        <v>0</v>
      </c>
      <c r="J18881" s="1">
        <v>46055.384895833333</v>
      </c>
    </row>
    <row r="18882" spans="1:10" x14ac:dyDescent="0.2">
      <c r="A18882" s="4" t="s">
        <v>1</v>
      </c>
      <c r="B18882" s="3" t="str">
        <f>HYPERLINK("https://otsuka-europe-crm.veevavault.com/ui/#object/approved_document__v/V5O000000006010", "RXULTI - Eficaz y fácil de iniciar")</f>
        <v>RXULTI - Eficaz y fácil de iniciar</v>
      </c>
      <c r="C18882" s="3" t="str">
        <f>HYPERLINK("https://otsuka-europe-crm.veevavault.com/ui/#object/sent_email__v/VBL000000019276", "SE-001402636")</f>
        <v>SE-001402636</v>
      </c>
      <c r="D18882" s="1">
        <v>46057.654641203706</v>
      </c>
      <c r="E18882" s="2">
        <v>1</v>
      </c>
      <c r="F18882" s="2">
        <v>3</v>
      </c>
      <c r="G18882" s="2">
        <v>0</v>
      </c>
      <c r="H18882" s="1" t="s">
        <v>0</v>
      </c>
      <c r="I18882" s="2">
        <v>0</v>
      </c>
      <c r="J18882" s="1">
        <v>46057.425405092596</v>
      </c>
    </row>
    <row r="18883" spans="1:10" x14ac:dyDescent="0.2">
      <c r="A18883" s="4" t="s">
        <v>1</v>
      </c>
      <c r="B18883" s="3" t="str">
        <f>HYPERLINK("https://otsuka-europe-crm.veevavault.com/ui/#object/approved_document__v/V5O000000006010", "RXULTI - Eficaz y fácil de iniciar")</f>
        <v>RXULTI - Eficaz y fácil de iniciar</v>
      </c>
      <c r="C18883" s="3" t="str">
        <f>HYPERLINK("https://otsuka-europe-crm.veevavault.com/ui/#object/sent_email__v/VBL000000019337", "SE-001402741")</f>
        <v>SE-001402741</v>
      </c>
      <c r="D18883" s="1" t="s">
        <v>0</v>
      </c>
      <c r="E18883" s="2">
        <v>0</v>
      </c>
      <c r="F18883" s="2">
        <v>0</v>
      </c>
      <c r="G18883" s="2">
        <v>0</v>
      </c>
      <c r="H18883" s="1" t="s">
        <v>0</v>
      </c>
      <c r="I18883" s="2">
        <v>0</v>
      </c>
      <c r="J18883" s="1">
        <v>46058.446770833332</v>
      </c>
    </row>
    <row r="18884" spans="1:10" x14ac:dyDescent="0.2">
      <c r="A18884" s="4" t="s">
        <v>1</v>
      </c>
      <c r="B18884" s="3" t="str">
        <f>HYPERLINK("https://otsuka-europe-crm.veevavault.com/ui/#object/approved_document__v/V5O000000006010", "RXULTI - Eficaz y fácil de iniciar")</f>
        <v>RXULTI - Eficaz y fácil de iniciar</v>
      </c>
      <c r="C18884" s="3" t="str">
        <f>HYPERLINK("https://otsuka-europe-crm.veevavault.com/ui/#object/sent_email__v/VBL00000001B512", "SE-001403846")</f>
        <v>SE-001403846</v>
      </c>
      <c r="D18884" s="1" t="s">
        <v>0</v>
      </c>
      <c r="E18884" s="2">
        <v>0</v>
      </c>
      <c r="F18884" s="2">
        <v>0</v>
      </c>
      <c r="G18884" s="2">
        <v>0</v>
      </c>
      <c r="H18884" s="1" t="s">
        <v>0</v>
      </c>
      <c r="I18884" s="2">
        <v>0</v>
      </c>
      <c r="J18884" s="1">
        <v>46065.416006944448</v>
      </c>
    </row>
    <row r="18885" spans="1:10" x14ac:dyDescent="0.2">
      <c r="A18885" s="4" t="s">
        <v>1</v>
      </c>
      <c r="B18885" s="3" t="str">
        <f>HYPERLINK("https://otsuka-europe-crm.veevavault.com/ui/#object/approved_document__v/V5O000000006010", "RXULTI - Eficaz y fácil de iniciar")</f>
        <v>RXULTI - Eficaz y fácil de iniciar</v>
      </c>
      <c r="C18885" s="3" t="str">
        <f>HYPERLINK("https://otsuka-europe-crm.veevavault.com/ui/#object/sent_email__v/VBL00000001E404", "SE-001404918")</f>
        <v>SE-001404918</v>
      </c>
      <c r="D18885" s="1">
        <v>46072.799050925925</v>
      </c>
      <c r="E18885" s="2">
        <v>1</v>
      </c>
      <c r="F18885" s="2">
        <v>2</v>
      </c>
      <c r="G18885" s="2">
        <v>0</v>
      </c>
      <c r="H18885" s="1" t="s">
        <v>0</v>
      </c>
      <c r="I18885" s="2">
        <v>0</v>
      </c>
      <c r="J18885" s="1">
        <v>46072.390752314815</v>
      </c>
    </row>
    <row r="18886" spans="1:10" x14ac:dyDescent="0.2">
      <c r="A18886" s="4" t="s">
        <v>1</v>
      </c>
      <c r="B18886" s="3" t="str">
        <f>HYPERLINK("https://otsuka-europe-crm.veevavault.com/ui/#object/approved_document__v/V5O000000006010", "RXULTI - Eficaz y fácil de iniciar")</f>
        <v>RXULTI - Eficaz y fácil de iniciar</v>
      </c>
      <c r="C18886" s="3" t="str">
        <f>HYPERLINK("https://otsuka-europe-crm.veevavault.com/ui/#object/sent_email__v/VBL00000001D599", "SE-001405000")</f>
        <v>SE-001405000</v>
      </c>
      <c r="D18886" s="1">
        <v>46072.438460648147</v>
      </c>
      <c r="E18886" s="2">
        <v>1</v>
      </c>
      <c r="F18886" s="2">
        <v>1</v>
      </c>
      <c r="G18886" s="2">
        <v>1</v>
      </c>
      <c r="H18886" s="1">
        <v>46072.438993055555</v>
      </c>
      <c r="I18886" s="2">
        <v>3</v>
      </c>
      <c r="J18886" s="1">
        <v>46072.427893518521</v>
      </c>
    </row>
    <row r="18887" spans="1:10" x14ac:dyDescent="0.2">
      <c r="A18887" s="4" t="s">
        <v>1</v>
      </c>
      <c r="B18887" s="3" t="str">
        <f>HYPERLINK("https://otsuka-europe-crm.veevavault.com/ui/#object/approved_document__v/V5O000000006010", "RXULTI - Eficaz y fácil de iniciar")</f>
        <v>RXULTI - Eficaz y fácil de iniciar</v>
      </c>
      <c r="C18887" s="3" t="str">
        <f>HYPERLINK("https://otsuka-europe-crm.veevavault.com/ui/#object/sent_email__v/VBL00000001F315", "SE-001405971")</f>
        <v>SE-001405971</v>
      </c>
      <c r="D18887" s="1">
        <v>46077.586493055554</v>
      </c>
      <c r="E18887" s="2">
        <v>1</v>
      </c>
      <c r="F18887" s="2">
        <v>3</v>
      </c>
      <c r="G18887" s="2">
        <v>1</v>
      </c>
      <c r="H18887" s="1">
        <v>46077.465497685182</v>
      </c>
      <c r="I18887" s="2">
        <v>1</v>
      </c>
      <c r="J18887" s="1">
        <v>46077.426886574074</v>
      </c>
    </row>
    <row r="18888" spans="1:10" x14ac:dyDescent="0.2">
      <c r="A18888" s="4" t="s">
        <v>1</v>
      </c>
      <c r="B18888" s="3" t="str">
        <f>HYPERLINK("https://otsuka-europe-crm.veevavault.com/ui/#object/approved_document__v/V5OZ025E82MAXBP", "RXULTI - Monografía de producto")</f>
        <v>RXULTI - Monografía de producto</v>
      </c>
      <c r="C18888" s="3" t="str">
        <f>HYPERLINK("https://otsuka-europe-crm.veevavault.com/ui/#object/sent_email__v/VBLZ025E82GVHZH", "SE-000279466")</f>
        <v>SE-000279466</v>
      </c>
      <c r="D18888" s="1">
        <v>45965.644120370373</v>
      </c>
      <c r="E18888" s="2">
        <v>1</v>
      </c>
      <c r="F18888" s="2">
        <v>8</v>
      </c>
      <c r="G18888" s="2">
        <v>1</v>
      </c>
      <c r="H18888" s="1">
        <v>45922.924733796295</v>
      </c>
      <c r="I18888" s="2">
        <v>1</v>
      </c>
      <c r="J18888" s="1">
        <v>45922.317881944444</v>
      </c>
    </row>
    <row r="18889" spans="1:10" x14ac:dyDescent="0.2">
      <c r="A18889" s="4" t="s">
        <v>1</v>
      </c>
      <c r="B18889" s="3" t="str">
        <f>HYPERLINK("https://otsuka-europe-crm.veevavault.com/ui/#object/approved_document__v/V5OZ025E82MAXBP", "RXULTI - Monografía de producto")</f>
        <v>RXULTI - Monografía de producto</v>
      </c>
      <c r="C18889" s="3" t="str">
        <f>HYPERLINK("https://otsuka-europe-crm.veevavault.com/ui/#object/sent_email__v/VBLZ025E82H61OX", "SE-000282582")</f>
        <v>SE-000282582</v>
      </c>
      <c r="D18889" s="1">
        <v>45937.720810185187</v>
      </c>
      <c r="E18889" s="2">
        <v>1</v>
      </c>
      <c r="F18889" s="2">
        <v>3</v>
      </c>
      <c r="G18889" s="2">
        <v>0</v>
      </c>
      <c r="H18889" s="1" t="s">
        <v>0</v>
      </c>
      <c r="I18889" s="2">
        <v>0</v>
      </c>
      <c r="J18889" s="1">
        <v>45931.378229166665</v>
      </c>
    </row>
    <row r="18890" spans="1:10" x14ac:dyDescent="0.2">
      <c r="A18890" s="4" t="s">
        <v>1</v>
      </c>
      <c r="B18890" s="3" t="str">
        <f>HYPERLINK("https://otsuka-europe-crm.veevavault.com/ui/#object/approved_document__v/V5OZ025E82MAXBP", "RXULTI - Monografía de producto")</f>
        <v>RXULTI - Monografía de producto</v>
      </c>
      <c r="C18890" s="3" t="str">
        <f>HYPERLINK("https://otsuka-europe-crm.veevavault.com/ui/#object/sent_email__v/VBLZ025E82HMXK9", "SE-000287957")</f>
        <v>SE-000287957</v>
      </c>
      <c r="D18890" s="1">
        <v>45950.727268518516</v>
      </c>
      <c r="E18890" s="2">
        <v>1</v>
      </c>
      <c r="F18890" s="2">
        <v>2</v>
      </c>
      <c r="G18890" s="2">
        <v>1</v>
      </c>
      <c r="H18890" s="1">
        <v>45950.727361111109</v>
      </c>
      <c r="I18890" s="2">
        <v>1</v>
      </c>
      <c r="J18890" s="1">
        <v>45946.698020833333</v>
      </c>
    </row>
    <row r="18891" spans="1:10" x14ac:dyDescent="0.2">
      <c r="A18891" s="4" t="s">
        <v>1</v>
      </c>
      <c r="B18891" s="3" t="str">
        <f>HYPERLINK("https://otsuka-europe-crm.veevavault.com/ui/#object/approved_document__v/V5OZ025E82MAXBP", "RXULTI - Monografía de producto")</f>
        <v>RXULTI - Monografía de producto</v>
      </c>
      <c r="C18891" s="3" t="str">
        <f>HYPERLINK("https://otsuka-europe-crm.veevavault.com/ui/#object/sent_email__v/VBL000000005598", "SE-001380436")</f>
        <v>SE-001380436</v>
      </c>
      <c r="D18891" s="1">
        <v>45964.459039351852</v>
      </c>
      <c r="E18891" s="2">
        <v>1</v>
      </c>
      <c r="F18891" s="2">
        <v>1</v>
      </c>
      <c r="G18891" s="2">
        <v>1</v>
      </c>
      <c r="H18891" s="1">
        <v>45964.459039351852</v>
      </c>
      <c r="I18891" s="2">
        <v>1</v>
      </c>
      <c r="J18891" s="1">
        <v>45964.446319444447</v>
      </c>
    </row>
    <row r="18892" spans="1:10" x14ac:dyDescent="0.2">
      <c r="A18892" s="4" t="s">
        <v>1</v>
      </c>
      <c r="B18892" s="3" t="str">
        <f>HYPERLINK("https://otsuka-europe-crm.veevavault.com/ui/#object/approved_document__v/V5OZ025E82MAXBP", "RXULTI - Monografía de producto")</f>
        <v>RXULTI - Monografía de producto</v>
      </c>
      <c r="C18892" s="3" t="str">
        <f>HYPERLINK("https://otsuka-europe-crm.veevavault.com/ui/#object/sent_email__v/VBL000000005606", "SE-001380464")</f>
        <v>SE-001380464</v>
      </c>
      <c r="D18892" s="1" t="s">
        <v>0</v>
      </c>
      <c r="E18892" s="2">
        <v>0</v>
      </c>
      <c r="F18892" s="2">
        <v>0</v>
      </c>
      <c r="G18892" s="2">
        <v>0</v>
      </c>
      <c r="H18892" s="1" t="s">
        <v>0</v>
      </c>
      <c r="I18892" s="2">
        <v>0</v>
      </c>
      <c r="J18892" s="1">
        <v>45964.501458333332</v>
      </c>
    </row>
    <row r="18893" spans="1:10" x14ac:dyDescent="0.2">
      <c r="A18893" s="4" t="s">
        <v>1</v>
      </c>
      <c r="B18893" s="3" t="str">
        <f>HYPERLINK("https://otsuka-europe-crm.veevavault.com/ui/#object/approved_document__v/V5OZ025E82MAXBP", "RXULTI - Monografía de producto")</f>
        <v>RXULTI - Monografía de producto</v>
      </c>
      <c r="C18893" s="3" t="str">
        <f>HYPERLINK("https://otsuka-europe-crm.veevavault.com/ui/#object/sent_email__v/VBL000000004562", "SE-001380941")</f>
        <v>SE-001380941</v>
      </c>
      <c r="D18893" s="1">
        <v>45967.793599537035</v>
      </c>
      <c r="E18893" s="2">
        <v>1</v>
      </c>
      <c r="F18893" s="2">
        <v>1</v>
      </c>
      <c r="G18893" s="2">
        <v>0</v>
      </c>
      <c r="H18893" s="1" t="s">
        <v>0</v>
      </c>
      <c r="I18893" s="2">
        <v>0</v>
      </c>
      <c r="J18893" s="1">
        <v>45967.314629629633</v>
      </c>
    </row>
    <row r="18894" spans="1:10" x14ac:dyDescent="0.2">
      <c r="A18894" s="4" t="s">
        <v>1</v>
      </c>
      <c r="B18894" s="3" t="str">
        <f>HYPERLINK("https://otsuka-europe-crm.veevavault.com/ui/#object/approved_document__v/V5OZ025E82MAXBP", "RXULTI - Monografía de producto")</f>
        <v>RXULTI - Monografía de producto</v>
      </c>
      <c r="C18894" s="3" t="str">
        <f>HYPERLINK("https://otsuka-europe-crm.veevavault.com/ui/#object/sent_email__v/VBL000000004960", "SE-001381671")</f>
        <v>SE-001381671</v>
      </c>
      <c r="D18894" s="1" t="s">
        <v>0</v>
      </c>
      <c r="E18894" s="2">
        <v>0</v>
      </c>
      <c r="F18894" s="2">
        <v>0</v>
      </c>
      <c r="G18894" s="2">
        <v>0</v>
      </c>
      <c r="H18894" s="1" t="s">
        <v>0</v>
      </c>
      <c r="I18894" s="2">
        <v>0</v>
      </c>
      <c r="J18894" s="1">
        <v>45967.766655092593</v>
      </c>
    </row>
    <row r="18895" spans="1:10" x14ac:dyDescent="0.2">
      <c r="A18895" s="4" t="s">
        <v>1</v>
      </c>
      <c r="B18895" s="3" t="str">
        <f>HYPERLINK("https://otsuka-europe-crm.veevavault.com/ui/#object/approved_document__v/V5O000000006009", "RXULTI - Monografía de producto")</f>
        <v>RXULTI - Monografía de producto</v>
      </c>
      <c r="C18895" s="3" t="str">
        <f>HYPERLINK("https://otsuka-europe-crm.veevavault.com/ui/#object/sent_email__v/VBL00000000N443", "SE-001390730")</f>
        <v>SE-001390730</v>
      </c>
      <c r="D18895" s="1" t="s">
        <v>0</v>
      </c>
      <c r="E18895" s="2">
        <v>0</v>
      </c>
      <c r="F18895" s="2">
        <v>0</v>
      </c>
      <c r="G18895" s="2">
        <v>0</v>
      </c>
      <c r="H18895" s="1" t="s">
        <v>0</v>
      </c>
      <c r="I18895" s="2">
        <v>0</v>
      </c>
      <c r="J18895" s="1">
        <v>45978.439814814818</v>
      </c>
    </row>
    <row r="18896" spans="1:10" x14ac:dyDescent="0.2">
      <c r="A18896" s="4" t="s">
        <v>1</v>
      </c>
      <c r="B18896" s="3" t="str">
        <f>HYPERLINK("https://otsuka-europe-crm.veevavault.com/ui/#object/approved_document__v/V5O000000006009", "RXULTI - Monografía de producto")</f>
        <v>RXULTI - Monografía de producto</v>
      </c>
      <c r="C18896" s="3" t="str">
        <f>HYPERLINK("https://otsuka-europe-crm.veevavault.com/ui/#object/sent_email__v/VBL00000000S110", "SE-001391890")</f>
        <v>SE-001391890</v>
      </c>
      <c r="D18896" s="1">
        <v>45986.925497685188</v>
      </c>
      <c r="E18896" s="2">
        <v>1</v>
      </c>
      <c r="F18896" s="2">
        <v>1</v>
      </c>
      <c r="G18896" s="2">
        <v>0</v>
      </c>
      <c r="H18896" s="1" t="s">
        <v>0</v>
      </c>
      <c r="I18896" s="2">
        <v>0</v>
      </c>
      <c r="J18896" s="1">
        <v>45986.467002314814</v>
      </c>
    </row>
    <row r="18897" spans="1:10" x14ac:dyDescent="0.2">
      <c r="A18897" s="4" t="s">
        <v>1</v>
      </c>
      <c r="B18897" s="3" t="str">
        <f>HYPERLINK("https://otsuka-europe-crm.veevavault.com/ui/#object/approved_document__v/V5O000000006009", "RXULTI - Monografía de producto")</f>
        <v>RXULTI - Monografía de producto</v>
      </c>
      <c r="C18897" s="3" t="str">
        <f>HYPERLINK("https://otsuka-europe-crm.veevavault.com/ui/#object/sent_email__v/VBL00000000R359", "SE-001391991")</f>
        <v>SE-001391991</v>
      </c>
      <c r="D18897" s="1">
        <v>45989.702650462961</v>
      </c>
      <c r="E18897" s="2">
        <v>1</v>
      </c>
      <c r="F18897" s="2">
        <v>1</v>
      </c>
      <c r="G18897" s="2">
        <v>1</v>
      </c>
      <c r="H18897" s="1">
        <v>45989.702650462961</v>
      </c>
      <c r="I18897" s="2">
        <v>1</v>
      </c>
      <c r="J18897" s="1">
        <v>45988.430717592593</v>
      </c>
    </row>
    <row r="18898" spans="1:10" x14ac:dyDescent="0.2">
      <c r="A18898" s="4" t="s">
        <v>1</v>
      </c>
      <c r="B18898" s="3" t="str">
        <f>HYPERLINK("https://otsuka-europe-crm.veevavault.com/ui/#object/approved_document__v/V5O000000006009", "RXULTI - Monografía de producto")</f>
        <v>RXULTI - Monografía de producto</v>
      </c>
      <c r="C18898" s="3" t="str">
        <f>HYPERLINK("https://otsuka-europe-crm.veevavault.com/ui/#object/sent_email__v/VBL00000000R474", "SE-001392113")</f>
        <v>SE-001392113</v>
      </c>
      <c r="D18898" s="1">
        <v>45990.031574074077</v>
      </c>
      <c r="E18898" s="2">
        <v>1</v>
      </c>
      <c r="F18898" s="2">
        <v>1</v>
      </c>
      <c r="G18898" s="2">
        <v>0</v>
      </c>
      <c r="H18898" s="1" t="s">
        <v>0</v>
      </c>
      <c r="I18898" s="2">
        <v>0</v>
      </c>
      <c r="J18898" s="1">
        <v>45989.637743055559</v>
      </c>
    </row>
    <row r="18899" spans="1:10" x14ac:dyDescent="0.2">
      <c r="A18899" s="4" t="s">
        <v>1</v>
      </c>
      <c r="B18899" s="3" t="str">
        <f>HYPERLINK("https://otsuka-europe-crm.veevavault.com/ui/#object/approved_document__v/V5O000000006009", "RXULTI - Monografía de producto")</f>
        <v>RXULTI - Monografía de producto</v>
      </c>
      <c r="C18899" s="3" t="str">
        <f>HYPERLINK("https://otsuka-europe-crm.veevavault.com/ui/#object/sent_email__v/VBL000000017015", "SE-001401951")</f>
        <v>SE-001401951</v>
      </c>
      <c r="D18899" s="1" t="s">
        <v>0</v>
      </c>
      <c r="E18899" s="2">
        <v>0</v>
      </c>
      <c r="F18899" s="2">
        <v>0</v>
      </c>
      <c r="G18899" s="2">
        <v>0</v>
      </c>
      <c r="H18899" s="1" t="s">
        <v>0</v>
      </c>
      <c r="I18899" s="2">
        <v>0</v>
      </c>
      <c r="J18899" s="1">
        <v>46049.535266203704</v>
      </c>
    </row>
    <row r="18900" spans="1:10" x14ac:dyDescent="0.2">
      <c r="A18900" s="4" t="s">
        <v>1</v>
      </c>
      <c r="B18900" s="3" t="str">
        <f>HYPERLINK("https://otsuka-europe-crm.veevavault.com/ui/#object/approved_document__v/V5O000000006009", "RXULTI - Monografía de producto")</f>
        <v>RXULTI - Monografía de producto</v>
      </c>
      <c r="C18900" s="3" t="str">
        <f>HYPERLINK("https://otsuka-europe-crm.veevavault.com/ui/#object/sent_email__v/VBL00000001A050", "SE-001402347")</f>
        <v>SE-001402347</v>
      </c>
      <c r="D18900" s="1">
        <v>46055.995324074072</v>
      </c>
      <c r="E18900" s="2">
        <v>1</v>
      </c>
      <c r="F18900" s="2">
        <v>2</v>
      </c>
      <c r="G18900" s="2">
        <v>0</v>
      </c>
      <c r="H18900" s="1" t="s">
        <v>0</v>
      </c>
      <c r="I18900" s="2">
        <v>0</v>
      </c>
      <c r="J18900" s="1">
        <v>46055.384918981479</v>
      </c>
    </row>
    <row r="18901" spans="1:10" x14ac:dyDescent="0.2">
      <c r="A18901" s="4" t="s">
        <v>1</v>
      </c>
      <c r="B18901" s="3" t="str">
        <f>HYPERLINK("https://otsuka-europe-crm.veevavault.com/ui/#object/approved_document__v/V5O000000006009", "RXULTI - Monografía de producto")</f>
        <v>RXULTI - Monografía de producto</v>
      </c>
      <c r="C18901" s="3" t="str">
        <f>HYPERLINK("https://otsuka-europe-crm.veevavault.com/ui/#object/sent_email__v/VBL00000001A127", "SE-001402637")</f>
        <v>SE-001402637</v>
      </c>
      <c r="D18901" s="1">
        <v>46057.654641203706</v>
      </c>
      <c r="E18901" s="2">
        <v>1</v>
      </c>
      <c r="F18901" s="2">
        <v>2</v>
      </c>
      <c r="G18901" s="2">
        <v>0</v>
      </c>
      <c r="H18901" s="1" t="s">
        <v>0</v>
      </c>
      <c r="I18901" s="2">
        <v>0</v>
      </c>
      <c r="J18901" s="1">
        <v>46057.425439814811</v>
      </c>
    </row>
    <row r="18902" spans="1:10" x14ac:dyDescent="0.2">
      <c r="A18902" s="4" t="s">
        <v>1</v>
      </c>
      <c r="B18902" s="3" t="str">
        <f>HYPERLINK("https://otsuka-europe-crm.veevavault.com/ui/#object/approved_document__v/V5O000000006009", "RXULTI - Monografía de producto")</f>
        <v>RXULTI - Monografía de producto</v>
      </c>
      <c r="C18902" s="3" t="str">
        <f>HYPERLINK("https://otsuka-europe-crm.veevavault.com/ui/#object/sent_email__v/VBL00000001E469", "SE-001404999")</f>
        <v>SE-001404999</v>
      </c>
      <c r="D18902" s="1">
        <v>46072.43990740741</v>
      </c>
      <c r="E18902" s="2">
        <v>1</v>
      </c>
      <c r="F18902" s="2">
        <v>1</v>
      </c>
      <c r="G18902" s="2">
        <v>1</v>
      </c>
      <c r="H18902" s="1">
        <v>46072.440104166664</v>
      </c>
      <c r="I18902" s="2">
        <v>2</v>
      </c>
      <c r="J18902" s="1">
        <v>46072.427870370368</v>
      </c>
    </row>
    <row r="18903" spans="1:10" x14ac:dyDescent="0.2">
      <c r="A18903" s="4" t="s">
        <v>1</v>
      </c>
      <c r="B18903" s="3" t="str">
        <f>HYPERLINK("https://otsuka-europe-crm.veevavault.com/ui/#object/approved_document__v/V5O000000006009", "RXULTI - Monografía de producto")</f>
        <v>RXULTI - Monografía de producto</v>
      </c>
      <c r="C18903" s="3" t="str">
        <f>HYPERLINK("https://otsuka-europe-crm.veevavault.com/ui/#object/sent_email__v/VBL00000001F314", "SE-001405970")</f>
        <v>SE-001405970</v>
      </c>
      <c r="D18903" s="1">
        <v>46077.591956018521</v>
      </c>
      <c r="E18903" s="2">
        <v>1</v>
      </c>
      <c r="F18903" s="2">
        <v>2</v>
      </c>
      <c r="G18903" s="2">
        <v>1</v>
      </c>
      <c r="H18903" s="1">
        <v>46077.592013888891</v>
      </c>
      <c r="I18903" s="2">
        <v>1</v>
      </c>
      <c r="J18903" s="1">
        <v>46077.426840277774</v>
      </c>
    </row>
    <row r="18904" spans="1:10" x14ac:dyDescent="0.2">
      <c r="A18904" s="4" t="s">
        <v>1</v>
      </c>
      <c r="B18904" s="3" t="str">
        <f>HYPERLINK("https://otsuka-europe-crm.veevavault.com/ui/#object/approved_document__v/V5OZ025E82UDF49", "RXULTI - Presentación indicación adolescentes y dosis 0,5 mg")</f>
        <v>RXULTI - Presentación indicación adolescentes y dosis 0,5 mg</v>
      </c>
      <c r="C18904" s="3" t="str">
        <f>HYPERLINK("https://otsuka-europe-crm.veevavault.com/ui/#object/sent_email__v/VBLZ025E82HAWUH", "SE-000283384")</f>
        <v>SE-000283384</v>
      </c>
      <c r="D18904" s="1">
        <v>45953.860567129632</v>
      </c>
      <c r="E18904" s="2">
        <v>1</v>
      </c>
      <c r="F18904" s="2">
        <v>2</v>
      </c>
      <c r="G18904" s="2">
        <v>1</v>
      </c>
      <c r="H18904" s="1">
        <v>45936.327025462961</v>
      </c>
      <c r="I18904" s="2">
        <v>2</v>
      </c>
      <c r="J18904" s="1">
        <v>45936.326585648145</v>
      </c>
    </row>
    <row r="18905" spans="1:10" x14ac:dyDescent="0.2">
      <c r="A18905" s="4" t="s">
        <v>1</v>
      </c>
      <c r="B18905" s="3" t="str">
        <f>HYPERLINK("https://otsuka-europe-crm.veevavault.com/ui/#object/approved_document__v/V5OZ025E82UDFYT", "RXULTI - Presentación indicación adolescentes y dosis 0,5 mg")</f>
        <v>RXULTI - Presentación indicación adolescentes y dosis 0,5 mg</v>
      </c>
      <c r="C18905" s="3" t="str">
        <f>HYPERLINK("https://otsuka-europe-crm.veevavault.com/ui/#object/sent_email__v/VBLZ025E82HB9T5", "SE-000283543")</f>
        <v>SE-000283543</v>
      </c>
      <c r="D18905" s="1">
        <v>45953.860567129632</v>
      </c>
      <c r="E18905" s="2">
        <v>1</v>
      </c>
      <c r="F18905" s="2">
        <v>2</v>
      </c>
      <c r="G18905" s="2">
        <v>1</v>
      </c>
      <c r="H18905" s="1">
        <v>45936.436701388891</v>
      </c>
      <c r="I18905" s="2">
        <v>2</v>
      </c>
      <c r="J18905" s="1">
        <v>45936.436342592591</v>
      </c>
    </row>
    <row r="18906" spans="1:10" x14ac:dyDescent="0.2">
      <c r="A18906" s="4" t="s">
        <v>1</v>
      </c>
      <c r="B189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06" s="3" t="str">
        <f>HYPERLINK("https://otsuka-europe-crm.veevavault.com/ui/#object/sent_email__v/VBLZ025E82HCGSE", "SE-000283654")</f>
        <v>SE-000283654</v>
      </c>
      <c r="D18906" s="1">
        <v>45937.31590277778</v>
      </c>
      <c r="E18906" s="2">
        <v>1</v>
      </c>
      <c r="F18906" s="2">
        <v>1</v>
      </c>
      <c r="G18906" s="2">
        <v>1</v>
      </c>
      <c r="H18906" s="1">
        <v>45937.316759259258</v>
      </c>
      <c r="I18906" s="2">
        <v>6</v>
      </c>
      <c r="J18906" s="1">
        <v>45937.315844907411</v>
      </c>
    </row>
    <row r="18907" spans="1:10" x14ac:dyDescent="0.2">
      <c r="A18907" s="4" t="s">
        <v>1</v>
      </c>
      <c r="B189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07" s="3" t="str">
        <f>HYPERLINK("https://otsuka-europe-crm.veevavault.com/ui/#object/sent_email__v/VBLZ025E82HD8C1", "SE-000284297")</f>
        <v>SE-000284297</v>
      </c>
      <c r="D18907" s="1">
        <v>45958.873449074075</v>
      </c>
      <c r="E18907" s="2">
        <v>1</v>
      </c>
      <c r="F18907" s="2">
        <v>3</v>
      </c>
      <c r="G18907" s="2">
        <v>1</v>
      </c>
      <c r="H18907" s="1">
        <v>45937.505474537036</v>
      </c>
      <c r="I18907" s="2">
        <v>1</v>
      </c>
      <c r="J18907" s="1">
        <v>45937.505266203705</v>
      </c>
    </row>
    <row r="18908" spans="1:10" x14ac:dyDescent="0.2">
      <c r="A18908" s="4" t="s">
        <v>1</v>
      </c>
      <c r="B189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08" s="3" t="str">
        <f>HYPERLINK("https://otsuka-europe-crm.veevavault.com/ui/#object/sent_email__v/VBLZ025E82HE271", "SE-000284522")</f>
        <v>SE-000284522</v>
      </c>
      <c r="D18908" s="1">
        <v>45937.711064814815</v>
      </c>
      <c r="E18908" s="2">
        <v>1</v>
      </c>
      <c r="F18908" s="2">
        <v>1</v>
      </c>
      <c r="G18908" s="2">
        <v>0</v>
      </c>
      <c r="H18908" s="1" t="s">
        <v>0</v>
      </c>
      <c r="I18908" s="2">
        <v>0</v>
      </c>
      <c r="J18908" s="1">
        <v>45937.710972222223</v>
      </c>
    </row>
    <row r="18909" spans="1:10" x14ac:dyDescent="0.2">
      <c r="A18909" s="4" t="s">
        <v>1</v>
      </c>
      <c r="B189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09" s="3" t="str">
        <f>HYPERLINK("https://otsuka-europe-crm.veevavault.com/ui/#object/sent_email__v/VBLZ025E82HE272", "SE-000284523")</f>
        <v>SE-000284523</v>
      </c>
      <c r="D18909" s="1" t="s">
        <v>0</v>
      </c>
      <c r="E18909" s="2">
        <v>0</v>
      </c>
      <c r="F18909" s="2">
        <v>0</v>
      </c>
      <c r="G18909" s="2">
        <v>0</v>
      </c>
      <c r="H18909" s="1" t="s">
        <v>0</v>
      </c>
      <c r="I18909" s="2">
        <v>0</v>
      </c>
      <c r="J18909" s="1">
        <v>45937.7109837963</v>
      </c>
    </row>
    <row r="18910" spans="1:10" x14ac:dyDescent="0.2">
      <c r="A18910" s="4" t="s">
        <v>1</v>
      </c>
      <c r="B189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10" s="3" t="str">
        <f>HYPERLINK("https://otsuka-europe-crm.veevavault.com/ui/#object/sent_email__v/VBLZ025E82HE273", "SE-000284524")</f>
        <v>SE-000284524</v>
      </c>
      <c r="D18910" s="1">
        <v>45937.755833333336</v>
      </c>
      <c r="E18910" s="2">
        <v>1</v>
      </c>
      <c r="F18910" s="2">
        <v>1</v>
      </c>
      <c r="G18910" s="2">
        <v>0</v>
      </c>
      <c r="H18910" s="1" t="s">
        <v>0</v>
      </c>
      <c r="I18910" s="2">
        <v>0</v>
      </c>
      <c r="J18910" s="1">
        <v>45937.710995370369</v>
      </c>
    </row>
    <row r="18911" spans="1:10" x14ac:dyDescent="0.2">
      <c r="A18911" s="4" t="s">
        <v>1</v>
      </c>
      <c r="B189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11" s="3" t="str">
        <f>HYPERLINK("https://otsuka-europe-crm.veevavault.com/ui/#object/sent_email__v/VBLZ025E82HE274", "SE-000284525")</f>
        <v>SE-000284525</v>
      </c>
      <c r="D18911" s="1" t="s">
        <v>0</v>
      </c>
      <c r="E18911" s="2">
        <v>0</v>
      </c>
      <c r="F18911" s="2">
        <v>0</v>
      </c>
      <c r="G18911" s="2">
        <v>0</v>
      </c>
      <c r="H18911" s="1" t="s">
        <v>0</v>
      </c>
      <c r="I18911" s="2">
        <v>0</v>
      </c>
      <c r="J18911" s="1">
        <v>45937.711006944446</v>
      </c>
    </row>
    <row r="18912" spans="1:10" x14ac:dyDescent="0.2">
      <c r="A18912" s="4" t="s">
        <v>1</v>
      </c>
      <c r="B189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12" s="3" t="str">
        <f>HYPERLINK("https://otsuka-europe-crm.veevavault.com/ui/#object/sent_email__v/VBLZ025E82HE275", "SE-000284526")</f>
        <v>SE-000284526</v>
      </c>
      <c r="D18912" s="1">
        <v>45938.638240740744</v>
      </c>
      <c r="E18912" s="2">
        <v>1</v>
      </c>
      <c r="F18912" s="2">
        <v>1</v>
      </c>
      <c r="G18912" s="2">
        <v>0</v>
      </c>
      <c r="H18912" s="1" t="s">
        <v>0</v>
      </c>
      <c r="I18912" s="2">
        <v>0</v>
      </c>
      <c r="J18912" s="1">
        <v>45937.711006944446</v>
      </c>
    </row>
    <row r="18913" spans="1:10" x14ac:dyDescent="0.2">
      <c r="A18913" s="4" t="s">
        <v>1</v>
      </c>
      <c r="B189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13" s="3" t="str">
        <f>HYPERLINK("https://otsuka-europe-crm.veevavault.com/ui/#object/sent_email__v/VBLZ025E82HE276", "SE-000284527")</f>
        <v>SE-000284527</v>
      </c>
      <c r="D18913" s="1" t="s">
        <v>0</v>
      </c>
      <c r="E18913" s="2">
        <v>0</v>
      </c>
      <c r="F18913" s="2">
        <v>0</v>
      </c>
      <c r="G18913" s="2">
        <v>0</v>
      </c>
      <c r="H18913" s="1" t="s">
        <v>0</v>
      </c>
      <c r="I18913" s="2">
        <v>0</v>
      </c>
      <c r="J18913" s="1">
        <v>45937.711006944446</v>
      </c>
    </row>
    <row r="18914" spans="1:10" x14ac:dyDescent="0.2">
      <c r="A18914" s="4" t="s">
        <v>1</v>
      </c>
      <c r="B189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14" s="3" t="str">
        <f>HYPERLINK("https://otsuka-europe-crm.veevavault.com/ui/#object/sent_email__v/VBLZ025E82HE277", "SE-000284528")</f>
        <v>SE-000284528</v>
      </c>
      <c r="D18914" s="1">
        <v>45966.786851851852</v>
      </c>
      <c r="E18914" s="2">
        <v>1</v>
      </c>
      <c r="F18914" s="2">
        <v>6</v>
      </c>
      <c r="G18914" s="2">
        <v>0</v>
      </c>
      <c r="H18914" s="1" t="s">
        <v>0</v>
      </c>
      <c r="I18914" s="2">
        <v>0</v>
      </c>
      <c r="J18914" s="1">
        <v>45937.711018518516</v>
      </c>
    </row>
    <row r="18915" spans="1:10" x14ac:dyDescent="0.2">
      <c r="A18915" s="4" t="s">
        <v>1</v>
      </c>
      <c r="B189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15" s="3" t="str">
        <f>HYPERLINK("https://otsuka-europe-crm.veevavault.com/ui/#object/sent_email__v/VBLZ025E82HE278", "SE-000284529")</f>
        <v>SE-000284529</v>
      </c>
      <c r="D18915" s="1">
        <v>45937.711365740739</v>
      </c>
      <c r="E18915" s="2">
        <v>1</v>
      </c>
      <c r="F18915" s="2">
        <v>1</v>
      </c>
      <c r="G18915" s="2">
        <v>0</v>
      </c>
      <c r="H18915" s="1" t="s">
        <v>0</v>
      </c>
      <c r="I18915" s="2">
        <v>0</v>
      </c>
      <c r="J18915" s="1">
        <v>45937.711030092592</v>
      </c>
    </row>
    <row r="18916" spans="1:10" x14ac:dyDescent="0.2">
      <c r="A18916" s="4" t="s">
        <v>1</v>
      </c>
      <c r="B189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16" s="3" t="str">
        <f>HYPERLINK("https://otsuka-europe-crm.veevavault.com/ui/#object/sent_email__v/VBLZ025E82HE279", "SE-000284530")</f>
        <v>SE-000284530</v>
      </c>
      <c r="D18916" s="1">
        <v>45940.390833333331</v>
      </c>
      <c r="E18916" s="2">
        <v>1</v>
      </c>
      <c r="F18916" s="2">
        <v>1</v>
      </c>
      <c r="G18916" s="2">
        <v>0</v>
      </c>
      <c r="H18916" s="1" t="s">
        <v>0</v>
      </c>
      <c r="I18916" s="2">
        <v>0</v>
      </c>
      <c r="J18916" s="1">
        <v>45937.711041666669</v>
      </c>
    </row>
    <row r="18917" spans="1:10" x14ac:dyDescent="0.2">
      <c r="A18917" s="4" t="s">
        <v>1</v>
      </c>
      <c r="B189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17" s="3" t="str">
        <f>HYPERLINK("https://otsuka-europe-crm.veevavault.com/ui/#object/sent_email__v/VBLZ025E82HE27A", "SE-000284531")</f>
        <v>SE-000284531</v>
      </c>
      <c r="D18917" s="1">
        <v>45937.716493055559</v>
      </c>
      <c r="E18917" s="2">
        <v>1</v>
      </c>
      <c r="F18917" s="2">
        <v>1</v>
      </c>
      <c r="G18917" s="2">
        <v>1</v>
      </c>
      <c r="H18917" s="1">
        <v>45937.716527777775</v>
      </c>
      <c r="I18917" s="2">
        <v>1</v>
      </c>
      <c r="J18917" s="1">
        <v>45937.711053240739</v>
      </c>
    </row>
    <row r="18918" spans="1:10" x14ac:dyDescent="0.2">
      <c r="A18918" s="4" t="s">
        <v>1</v>
      </c>
      <c r="B189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18" s="3" t="str">
        <f>HYPERLINK("https://otsuka-europe-crm.veevavault.com/ui/#object/sent_email__v/VBLZ025E82HE27B", "SE-000284532")</f>
        <v>SE-000284532</v>
      </c>
      <c r="D18918" s="1" t="s">
        <v>0</v>
      </c>
      <c r="E18918" s="2">
        <v>0</v>
      </c>
      <c r="F18918" s="2">
        <v>0</v>
      </c>
      <c r="G18918" s="2">
        <v>0</v>
      </c>
      <c r="H18918" s="1" t="s">
        <v>0</v>
      </c>
      <c r="I18918" s="2">
        <v>0</v>
      </c>
      <c r="J18918" s="1">
        <v>45937.711064814815</v>
      </c>
    </row>
    <row r="18919" spans="1:10" x14ac:dyDescent="0.2">
      <c r="A18919" s="4" t="s">
        <v>1</v>
      </c>
      <c r="B189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19" s="3" t="str">
        <f>HYPERLINK("https://otsuka-europe-crm.veevavault.com/ui/#object/sent_email__v/VBLZ025E82HE2FD", "SE-000284533")</f>
        <v>SE-000284533</v>
      </c>
      <c r="D18919" s="1">
        <v>45947.575706018521</v>
      </c>
      <c r="E18919" s="2">
        <v>1</v>
      </c>
      <c r="F18919" s="2">
        <v>1</v>
      </c>
      <c r="G18919" s="2">
        <v>0</v>
      </c>
      <c r="H18919" s="1" t="s">
        <v>0</v>
      </c>
      <c r="I18919" s="2">
        <v>0</v>
      </c>
      <c r="J18919" s="1">
        <v>45937.713761574072</v>
      </c>
    </row>
    <row r="18920" spans="1:10" x14ac:dyDescent="0.2">
      <c r="A18920" s="4" t="s">
        <v>1</v>
      </c>
      <c r="B189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20" s="3" t="str">
        <f>HYPERLINK("https://otsuka-europe-crm.veevavault.com/ui/#object/sent_email__v/VBLZ025E82HE2FE", "SE-000284534")</f>
        <v>SE-000284534</v>
      </c>
      <c r="D18920" s="1">
        <v>45937.726631944446</v>
      </c>
      <c r="E18920" s="2">
        <v>1</v>
      </c>
      <c r="F18920" s="2">
        <v>1</v>
      </c>
      <c r="G18920" s="2">
        <v>0</v>
      </c>
      <c r="H18920" s="1" t="s">
        <v>0</v>
      </c>
      <c r="I18920" s="2">
        <v>0</v>
      </c>
      <c r="J18920" s="1">
        <v>45937.713773148149</v>
      </c>
    </row>
    <row r="18921" spans="1:10" x14ac:dyDescent="0.2">
      <c r="A18921" s="4" t="s">
        <v>1</v>
      </c>
      <c r="B189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21" s="3" t="str">
        <f>HYPERLINK("https://otsuka-europe-crm.veevavault.com/ui/#object/sent_email__v/VBLZ025E82HE2FF", "SE-000284535")</f>
        <v>SE-000284535</v>
      </c>
      <c r="D18921" s="1" t="s">
        <v>0</v>
      </c>
      <c r="E18921" s="2">
        <v>0</v>
      </c>
      <c r="F18921" s="2">
        <v>0</v>
      </c>
      <c r="G18921" s="2">
        <v>0</v>
      </c>
      <c r="H18921" s="1" t="s">
        <v>0</v>
      </c>
      <c r="I18921" s="2">
        <v>0</v>
      </c>
      <c r="J18921" s="1">
        <v>45937.713784722226</v>
      </c>
    </row>
    <row r="18922" spans="1:10" x14ac:dyDescent="0.2">
      <c r="A18922" s="4" t="s">
        <v>1</v>
      </c>
      <c r="B189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22" s="3" t="str">
        <f>HYPERLINK("https://otsuka-europe-crm.veevavault.com/ui/#object/sent_email__v/VBLZ025E82HE2FG", "SE-000284536")</f>
        <v>SE-000284536</v>
      </c>
      <c r="D18922" s="1" t="s">
        <v>0</v>
      </c>
      <c r="E18922" s="2">
        <v>0</v>
      </c>
      <c r="F18922" s="2">
        <v>0</v>
      </c>
      <c r="G18922" s="2">
        <v>0</v>
      </c>
      <c r="H18922" s="1" t="s">
        <v>0</v>
      </c>
      <c r="I18922" s="2">
        <v>0</v>
      </c>
      <c r="J18922" s="1">
        <v>45937.713796296295</v>
      </c>
    </row>
    <row r="18923" spans="1:10" x14ac:dyDescent="0.2">
      <c r="A18923" s="4" t="s">
        <v>1</v>
      </c>
      <c r="B189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23" s="3" t="str">
        <f>HYPERLINK("https://otsuka-europe-crm.veevavault.com/ui/#object/sent_email__v/VBLZ025E82HE2FH", "SE-000284537")</f>
        <v>SE-000284537</v>
      </c>
      <c r="D18923" s="1">
        <v>45939.823460648149</v>
      </c>
      <c r="E18923" s="2">
        <v>1</v>
      </c>
      <c r="F18923" s="2">
        <v>2</v>
      </c>
      <c r="G18923" s="2">
        <v>0</v>
      </c>
      <c r="H18923" s="1" t="s">
        <v>0</v>
      </c>
      <c r="I18923" s="2">
        <v>0</v>
      </c>
      <c r="J18923" s="1">
        <v>45937.713796296295</v>
      </c>
    </row>
    <row r="18924" spans="1:10" x14ac:dyDescent="0.2">
      <c r="A18924" s="4" t="s">
        <v>1</v>
      </c>
      <c r="B189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24" s="3" t="str">
        <f>HYPERLINK("https://otsuka-europe-crm.veevavault.com/ui/#object/sent_email__v/VBLZ025E82HE2FI", "SE-000284538")</f>
        <v>SE-000284538</v>
      </c>
      <c r="D18924" s="1" t="s">
        <v>0</v>
      </c>
      <c r="E18924" s="2">
        <v>0</v>
      </c>
      <c r="F18924" s="2">
        <v>0</v>
      </c>
      <c r="G18924" s="2">
        <v>0</v>
      </c>
      <c r="H18924" s="1" t="s">
        <v>0</v>
      </c>
      <c r="I18924" s="2">
        <v>0</v>
      </c>
      <c r="J18924" s="1">
        <v>45937.713807870372</v>
      </c>
    </row>
    <row r="18925" spans="1:10" x14ac:dyDescent="0.2">
      <c r="A18925" s="4" t="s">
        <v>1</v>
      </c>
      <c r="B189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25" s="3" t="str">
        <f>HYPERLINK("https://otsuka-europe-crm.veevavault.com/ui/#object/sent_email__v/VBLZ025E82HE2FJ", "SE-000284539")</f>
        <v>SE-000284539</v>
      </c>
      <c r="D18925" s="1" t="s">
        <v>0</v>
      </c>
      <c r="E18925" s="2">
        <v>0</v>
      </c>
      <c r="F18925" s="2">
        <v>0</v>
      </c>
      <c r="G18925" s="2">
        <v>0</v>
      </c>
      <c r="H18925" s="1" t="s">
        <v>0</v>
      </c>
      <c r="I18925" s="2">
        <v>0</v>
      </c>
      <c r="J18925" s="1">
        <v>45937.713819444441</v>
      </c>
    </row>
    <row r="18926" spans="1:10" x14ac:dyDescent="0.2">
      <c r="A18926" s="4" t="s">
        <v>1</v>
      </c>
      <c r="B189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26" s="3" t="str">
        <f>HYPERLINK("https://otsuka-europe-crm.veevavault.com/ui/#object/sent_email__v/VBLZ025E82HE2FK", "SE-000284540")</f>
        <v>SE-000284540</v>
      </c>
      <c r="D18926" s="1" t="s">
        <v>0</v>
      </c>
      <c r="E18926" s="2">
        <v>0</v>
      </c>
      <c r="F18926" s="2">
        <v>0</v>
      </c>
      <c r="G18926" s="2">
        <v>0</v>
      </c>
      <c r="H18926" s="1" t="s">
        <v>0</v>
      </c>
      <c r="I18926" s="2">
        <v>0</v>
      </c>
      <c r="J18926" s="1">
        <v>45937.713831018518</v>
      </c>
    </row>
    <row r="18927" spans="1:10" x14ac:dyDescent="0.2">
      <c r="A18927" s="4" t="s">
        <v>1</v>
      </c>
      <c r="B189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27" s="3" t="str">
        <f>HYPERLINK("https://otsuka-europe-crm.veevavault.com/ui/#object/sent_email__v/VBLZ025E82HE2FL", "SE-000284541")</f>
        <v>SE-000284541</v>
      </c>
      <c r="D18927" s="1">
        <v>45939.709074074075</v>
      </c>
      <c r="E18927" s="2">
        <v>1</v>
      </c>
      <c r="F18927" s="2">
        <v>1</v>
      </c>
      <c r="G18927" s="2">
        <v>0</v>
      </c>
      <c r="H18927" s="1" t="s">
        <v>0</v>
      </c>
      <c r="I18927" s="2">
        <v>0</v>
      </c>
      <c r="J18927" s="1">
        <v>45937.713842592595</v>
      </c>
    </row>
    <row r="18928" spans="1:10" x14ac:dyDescent="0.2">
      <c r="A18928" s="4" t="s">
        <v>1</v>
      </c>
      <c r="B189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28" s="3" t="str">
        <f>HYPERLINK("https://otsuka-europe-crm.veevavault.com/ui/#object/sent_email__v/VBLZ025E82HE2FM", "SE-000284542")</f>
        <v>SE-000284542</v>
      </c>
      <c r="D18928" s="1" t="s">
        <v>0</v>
      </c>
      <c r="E18928" s="2">
        <v>0</v>
      </c>
      <c r="F18928" s="2">
        <v>0</v>
      </c>
      <c r="G18928" s="2">
        <v>0</v>
      </c>
      <c r="H18928" s="1" t="s">
        <v>0</v>
      </c>
      <c r="I18928" s="2">
        <v>0</v>
      </c>
      <c r="J18928" s="1">
        <v>45937.713842592595</v>
      </c>
    </row>
    <row r="18929" spans="1:10" x14ac:dyDescent="0.2">
      <c r="A18929" s="4" t="s">
        <v>1</v>
      </c>
      <c r="B189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29" s="3" t="str">
        <f>HYPERLINK("https://otsuka-europe-crm.veevavault.com/ui/#object/sent_email__v/VBLZ025E82HE2FN", "SE-000284543")</f>
        <v>SE-000284543</v>
      </c>
      <c r="D18929" s="1" t="s">
        <v>0</v>
      </c>
      <c r="E18929" s="2">
        <v>0</v>
      </c>
      <c r="F18929" s="2">
        <v>0</v>
      </c>
      <c r="G18929" s="2">
        <v>0</v>
      </c>
      <c r="H18929" s="1" t="s">
        <v>0</v>
      </c>
      <c r="I18929" s="2">
        <v>0</v>
      </c>
      <c r="J18929" s="1">
        <v>45937.713854166665</v>
      </c>
    </row>
    <row r="18930" spans="1:10" x14ac:dyDescent="0.2">
      <c r="A18930" s="4" t="s">
        <v>1</v>
      </c>
      <c r="B189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30" s="3" t="str">
        <f>HYPERLINK("https://otsuka-europe-crm.veevavault.com/ui/#object/sent_email__v/VBLZ025E82HE2FO", "SE-000284544")</f>
        <v>SE-000284544</v>
      </c>
      <c r="D18930" s="1">
        <v>45940.998831018522</v>
      </c>
      <c r="E18930" s="2">
        <v>1</v>
      </c>
      <c r="F18930" s="2">
        <v>1</v>
      </c>
      <c r="G18930" s="2">
        <v>0</v>
      </c>
      <c r="H18930" s="1" t="s">
        <v>0</v>
      </c>
      <c r="I18930" s="2">
        <v>0</v>
      </c>
      <c r="J18930" s="1">
        <v>45937.713865740741</v>
      </c>
    </row>
    <row r="18931" spans="1:10" x14ac:dyDescent="0.2">
      <c r="A18931" s="4" t="s">
        <v>1</v>
      </c>
      <c r="B189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31" s="3" t="str">
        <f>HYPERLINK("https://otsuka-europe-crm.veevavault.com/ui/#object/sent_email__v/VBLZ025E82HE2FP", "SE-000284545")</f>
        <v>SE-000284545</v>
      </c>
      <c r="D18931" s="1">
        <v>45937.82576388889</v>
      </c>
      <c r="E18931" s="2">
        <v>1</v>
      </c>
      <c r="F18931" s="2">
        <v>3</v>
      </c>
      <c r="G18931" s="2">
        <v>0</v>
      </c>
      <c r="H18931" s="1" t="s">
        <v>0</v>
      </c>
      <c r="I18931" s="2">
        <v>0</v>
      </c>
      <c r="J18931" s="1">
        <v>45937.713877314818</v>
      </c>
    </row>
    <row r="18932" spans="1:10" x14ac:dyDescent="0.2">
      <c r="A18932" s="4" t="s">
        <v>1</v>
      </c>
      <c r="B189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32" s="3" t="str">
        <f>HYPERLINK("https://otsuka-europe-crm.veevavault.com/ui/#object/sent_email__v/VBLZ025E82HE2FQ", "SE-000284546")</f>
        <v>SE-000284546</v>
      </c>
      <c r="D18932" s="1" t="s">
        <v>0</v>
      </c>
      <c r="E18932" s="2">
        <v>0</v>
      </c>
      <c r="F18932" s="2">
        <v>0</v>
      </c>
      <c r="G18932" s="2">
        <v>0</v>
      </c>
      <c r="H18932" s="1" t="s">
        <v>0</v>
      </c>
      <c r="I18932" s="2">
        <v>0</v>
      </c>
      <c r="J18932" s="1">
        <v>45937.713888888888</v>
      </c>
    </row>
    <row r="18933" spans="1:10" x14ac:dyDescent="0.2">
      <c r="A18933" s="4" t="s">
        <v>1</v>
      </c>
      <c r="B189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33" s="3" t="str">
        <f>HYPERLINK("https://otsuka-europe-crm.veevavault.com/ui/#object/sent_email__v/VBLZ025E82HE2FR", "SE-000284547")</f>
        <v>SE-000284547</v>
      </c>
      <c r="D18933" s="1">
        <v>45937.71398148148</v>
      </c>
      <c r="E18933" s="2">
        <v>1</v>
      </c>
      <c r="F18933" s="2">
        <v>1</v>
      </c>
      <c r="G18933" s="2">
        <v>0</v>
      </c>
      <c r="H18933" s="1" t="s">
        <v>0</v>
      </c>
      <c r="I18933" s="2">
        <v>0</v>
      </c>
      <c r="J18933" s="1">
        <v>45937.713900462964</v>
      </c>
    </row>
    <row r="18934" spans="1:10" x14ac:dyDescent="0.2">
      <c r="A18934" s="4" t="s">
        <v>1</v>
      </c>
      <c r="B189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34" s="3" t="str">
        <f>HYPERLINK("https://otsuka-europe-crm.veevavault.com/ui/#object/sent_email__v/VBLZ025E82HE2FS", "SE-000284548")</f>
        <v>SE-000284548</v>
      </c>
      <c r="D18934" s="1">
        <v>45958.553703703707</v>
      </c>
      <c r="E18934" s="2">
        <v>1</v>
      </c>
      <c r="F18934" s="2">
        <v>2</v>
      </c>
      <c r="G18934" s="2">
        <v>0</v>
      </c>
      <c r="H18934" s="1" t="s">
        <v>0</v>
      </c>
      <c r="I18934" s="2">
        <v>0</v>
      </c>
      <c r="J18934" s="1">
        <v>45937.713912037034</v>
      </c>
    </row>
    <row r="18935" spans="1:10" x14ac:dyDescent="0.2">
      <c r="A18935" s="4" t="s">
        <v>1</v>
      </c>
      <c r="B189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35" s="3" t="str">
        <f>HYPERLINK("https://otsuka-europe-crm.veevavault.com/ui/#object/sent_email__v/VBLZ025E82HE2FT", "SE-000284549")</f>
        <v>SE-000284549</v>
      </c>
      <c r="D18935" s="1" t="s">
        <v>0</v>
      </c>
      <c r="E18935" s="2">
        <v>0</v>
      </c>
      <c r="F18935" s="2">
        <v>0</v>
      </c>
      <c r="G18935" s="2">
        <v>0</v>
      </c>
      <c r="H18935" s="1" t="s">
        <v>0</v>
      </c>
      <c r="I18935" s="2">
        <v>0</v>
      </c>
      <c r="J18935" s="1">
        <v>45937.713923611111</v>
      </c>
    </row>
    <row r="18936" spans="1:10" x14ac:dyDescent="0.2">
      <c r="A18936" s="4" t="s">
        <v>1</v>
      </c>
      <c r="B189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36" s="3" t="str">
        <f>HYPERLINK("https://otsuka-europe-crm.veevavault.com/ui/#object/sent_email__v/VBLZ025E82HE2FU", "SE-000284550")</f>
        <v>SE-000284550</v>
      </c>
      <c r="D18936" s="1">
        <v>45940.857499999998</v>
      </c>
      <c r="E18936" s="2">
        <v>1</v>
      </c>
      <c r="F18936" s="2">
        <v>3</v>
      </c>
      <c r="G18936" s="2">
        <v>0</v>
      </c>
      <c r="H18936" s="1" t="s">
        <v>0</v>
      </c>
      <c r="I18936" s="2">
        <v>0</v>
      </c>
      <c r="J18936" s="1">
        <v>45937.713923611111</v>
      </c>
    </row>
    <row r="18937" spans="1:10" x14ac:dyDescent="0.2">
      <c r="A18937" s="4" t="s">
        <v>1</v>
      </c>
      <c r="B189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37" s="3" t="str">
        <f>HYPERLINK("https://otsuka-europe-crm.veevavault.com/ui/#object/sent_email__v/VBLZ025E82HE2FV", "SE-000284551")</f>
        <v>SE-000284551</v>
      </c>
      <c r="D18937" s="1" t="s">
        <v>0</v>
      </c>
      <c r="E18937" s="2">
        <v>0</v>
      </c>
      <c r="F18937" s="2">
        <v>0</v>
      </c>
      <c r="G18937" s="2">
        <v>0</v>
      </c>
      <c r="H18937" s="1" t="s">
        <v>0</v>
      </c>
      <c r="I18937" s="2">
        <v>0</v>
      </c>
      <c r="J18937" s="1">
        <v>45937.713946759257</v>
      </c>
    </row>
    <row r="18938" spans="1:10" x14ac:dyDescent="0.2">
      <c r="A18938" s="4" t="s">
        <v>1</v>
      </c>
      <c r="B189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38" s="3" t="str">
        <f>HYPERLINK("https://otsuka-europe-crm.veevavault.com/ui/#object/sent_email__v/VBLZ025E82HE2FW", "SE-000284552")</f>
        <v>SE-000284552</v>
      </c>
      <c r="D18938" s="1">
        <v>45968.646273148152</v>
      </c>
      <c r="E18938" s="2">
        <v>1</v>
      </c>
      <c r="F18938" s="2">
        <v>3</v>
      </c>
      <c r="G18938" s="2">
        <v>0</v>
      </c>
      <c r="H18938" s="1" t="s">
        <v>0</v>
      </c>
      <c r="I18938" s="2">
        <v>0</v>
      </c>
      <c r="J18938" s="1">
        <v>45937.713946759257</v>
      </c>
    </row>
    <row r="18939" spans="1:10" x14ac:dyDescent="0.2">
      <c r="A18939" s="4" t="s">
        <v>1</v>
      </c>
      <c r="B189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39" s="3" t="str">
        <f>HYPERLINK("https://otsuka-europe-crm.veevavault.com/ui/#object/sent_email__v/VBLZ025E82HE2FX", "SE-000284553")</f>
        <v>SE-000284553</v>
      </c>
      <c r="D18939" s="1" t="s">
        <v>0</v>
      </c>
      <c r="E18939" s="2">
        <v>0</v>
      </c>
      <c r="F18939" s="2">
        <v>0</v>
      </c>
      <c r="G18939" s="2">
        <v>0</v>
      </c>
      <c r="H18939" s="1" t="s">
        <v>0</v>
      </c>
      <c r="I18939" s="2">
        <v>0</v>
      </c>
      <c r="J18939" s="1">
        <v>45937.71398148148</v>
      </c>
    </row>
    <row r="18940" spans="1:10" x14ac:dyDescent="0.2">
      <c r="A18940" s="4" t="s">
        <v>1</v>
      </c>
      <c r="B189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40" s="3" t="str">
        <f>HYPERLINK("https://otsuka-europe-crm.veevavault.com/ui/#object/sent_email__v/VBLZ025E82HE2FY", "SE-000284554")</f>
        <v>SE-000284554</v>
      </c>
      <c r="D18940" s="1" t="s">
        <v>0</v>
      </c>
      <c r="E18940" s="2">
        <v>0</v>
      </c>
      <c r="F18940" s="2">
        <v>0</v>
      </c>
      <c r="G18940" s="2">
        <v>0</v>
      </c>
      <c r="H18940" s="1" t="s">
        <v>0</v>
      </c>
      <c r="I18940" s="2">
        <v>0</v>
      </c>
      <c r="J18940" s="1">
        <v>45937.713969907411</v>
      </c>
    </row>
    <row r="18941" spans="1:10" x14ac:dyDescent="0.2">
      <c r="A18941" s="4" t="s">
        <v>1</v>
      </c>
      <c r="B189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41" s="3" t="str">
        <f>HYPERLINK("https://otsuka-europe-crm.veevavault.com/ui/#object/sent_email__v/VBLZ025E82HE2FZ", "SE-000284555")</f>
        <v>SE-000284555</v>
      </c>
      <c r="D18941" s="1">
        <v>45939.830717592595</v>
      </c>
      <c r="E18941" s="2">
        <v>1</v>
      </c>
      <c r="F18941" s="2">
        <v>2</v>
      </c>
      <c r="G18941" s="2">
        <v>0</v>
      </c>
      <c r="H18941" s="1" t="s">
        <v>0</v>
      </c>
      <c r="I18941" s="2">
        <v>0</v>
      </c>
      <c r="J18941" s="1">
        <v>45937.71398148148</v>
      </c>
    </row>
    <row r="18942" spans="1:10" x14ac:dyDescent="0.2">
      <c r="A18942" s="4" t="s">
        <v>1</v>
      </c>
      <c r="B189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42" s="3" t="str">
        <f>HYPERLINK("https://otsuka-europe-crm.veevavault.com/ui/#object/sent_email__v/VBLZ025E82HE2G0", "SE-000284556")</f>
        <v>SE-000284556</v>
      </c>
      <c r="D18942" s="1" t="s">
        <v>0</v>
      </c>
      <c r="E18942" s="2">
        <v>0</v>
      </c>
      <c r="F18942" s="2">
        <v>0</v>
      </c>
      <c r="G18942" s="2">
        <v>0</v>
      </c>
      <c r="H18942" s="1" t="s">
        <v>0</v>
      </c>
      <c r="I18942" s="2">
        <v>0</v>
      </c>
      <c r="J18942" s="1">
        <v>45937.713993055557</v>
      </c>
    </row>
    <row r="18943" spans="1:10" x14ac:dyDescent="0.2">
      <c r="A18943" s="4" t="s">
        <v>1</v>
      </c>
      <c r="B189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43" s="3" t="str">
        <f>HYPERLINK("https://otsuka-europe-crm.veevavault.com/ui/#object/sent_email__v/VBLZ025E82HE2G1", "SE-000284557")</f>
        <v>SE-000284557</v>
      </c>
      <c r="D18943" s="1">
        <v>45940.493715277778</v>
      </c>
      <c r="E18943" s="2">
        <v>1</v>
      </c>
      <c r="F18943" s="2">
        <v>2</v>
      </c>
      <c r="G18943" s="2">
        <v>0</v>
      </c>
      <c r="H18943" s="1" t="s">
        <v>0</v>
      </c>
      <c r="I18943" s="2">
        <v>0</v>
      </c>
      <c r="J18943" s="1">
        <v>45937.713993055557</v>
      </c>
    </row>
    <row r="18944" spans="1:10" x14ac:dyDescent="0.2">
      <c r="A18944" s="4" t="s">
        <v>1</v>
      </c>
      <c r="B189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44" s="3" t="str">
        <f>HYPERLINK("https://otsuka-europe-crm.veevavault.com/ui/#object/sent_email__v/VBLZ025E82HE2G2", "SE-000284558")</f>
        <v>SE-000284558</v>
      </c>
      <c r="D18944" s="1" t="s">
        <v>0</v>
      </c>
      <c r="E18944" s="2">
        <v>0</v>
      </c>
      <c r="F18944" s="2">
        <v>0</v>
      </c>
      <c r="G18944" s="2">
        <v>0</v>
      </c>
      <c r="H18944" s="1" t="s">
        <v>0</v>
      </c>
      <c r="I18944" s="2">
        <v>0</v>
      </c>
      <c r="J18944" s="1">
        <v>45937.714004629626</v>
      </c>
    </row>
    <row r="18945" spans="1:10" x14ac:dyDescent="0.2">
      <c r="A18945" s="4" t="s">
        <v>1</v>
      </c>
      <c r="B189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45" s="3" t="str">
        <f>HYPERLINK("https://otsuka-europe-crm.veevavault.com/ui/#object/sent_email__v/VBLZ025E82HE2G3", "SE-000284559")</f>
        <v>SE-000284559</v>
      </c>
      <c r="D18945" s="1" t="s">
        <v>0</v>
      </c>
      <c r="E18945" s="2">
        <v>0</v>
      </c>
      <c r="F18945" s="2">
        <v>0</v>
      </c>
      <c r="G18945" s="2">
        <v>0</v>
      </c>
      <c r="H18945" s="1" t="s">
        <v>0</v>
      </c>
      <c r="I18945" s="2">
        <v>0</v>
      </c>
      <c r="J18945" s="1">
        <v>45937.714131944442</v>
      </c>
    </row>
    <row r="18946" spans="1:10" x14ac:dyDescent="0.2">
      <c r="A18946" s="4" t="s">
        <v>1</v>
      </c>
      <c r="B189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46" s="3" t="str">
        <f>HYPERLINK("https://otsuka-europe-crm.veevavault.com/ui/#object/sent_email__v/VBLZ025E82HE2G4", "SE-000284560")</f>
        <v>SE-000284560</v>
      </c>
      <c r="D18946" s="1">
        <v>45937.870798611111</v>
      </c>
      <c r="E18946" s="2">
        <v>1</v>
      </c>
      <c r="F18946" s="2">
        <v>1</v>
      </c>
      <c r="G18946" s="2">
        <v>0</v>
      </c>
      <c r="H18946" s="1" t="s">
        <v>0</v>
      </c>
      <c r="I18946" s="2">
        <v>0</v>
      </c>
      <c r="J18946" s="1">
        <v>45937.714131944442</v>
      </c>
    </row>
    <row r="18947" spans="1:10" x14ac:dyDescent="0.2">
      <c r="A18947" s="4" t="s">
        <v>1</v>
      </c>
      <c r="B189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47" s="3" t="str">
        <f>HYPERLINK("https://otsuka-europe-crm.veevavault.com/ui/#object/sent_email__v/VBLZ025E82HE2G5", "SE-000284561")</f>
        <v>SE-000284561</v>
      </c>
      <c r="D18947" s="1">
        <v>45937.878020833334</v>
      </c>
      <c r="E18947" s="2">
        <v>1</v>
      </c>
      <c r="F18947" s="2">
        <v>1</v>
      </c>
      <c r="G18947" s="2">
        <v>0</v>
      </c>
      <c r="H18947" s="1" t="s">
        <v>0</v>
      </c>
      <c r="I18947" s="2">
        <v>0</v>
      </c>
      <c r="J18947" s="1">
        <v>45937.714143518519</v>
      </c>
    </row>
    <row r="18948" spans="1:10" x14ac:dyDescent="0.2">
      <c r="A18948" s="4" t="s">
        <v>1</v>
      </c>
      <c r="B189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48" s="3" t="str">
        <f>HYPERLINK("https://otsuka-europe-crm.veevavault.com/ui/#object/sent_email__v/VBLZ025E82HE2G6", "SE-000284562")</f>
        <v>SE-000284562</v>
      </c>
      <c r="D18948" s="1">
        <v>45937.71671296296</v>
      </c>
      <c r="E18948" s="2">
        <v>1</v>
      </c>
      <c r="F18948" s="2">
        <v>1</v>
      </c>
      <c r="G18948" s="2">
        <v>0</v>
      </c>
      <c r="H18948" s="1" t="s">
        <v>0</v>
      </c>
      <c r="I18948" s="2">
        <v>0</v>
      </c>
      <c r="J18948" s="1">
        <v>45937.714131944442</v>
      </c>
    </row>
    <row r="18949" spans="1:10" x14ac:dyDescent="0.2">
      <c r="A18949" s="4" t="s">
        <v>1</v>
      </c>
      <c r="B189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49" s="3" t="str">
        <f>HYPERLINK("https://otsuka-europe-crm.veevavault.com/ui/#object/sent_email__v/VBLZ025E82HE2G7", "SE-000284563")</f>
        <v>SE-000284563</v>
      </c>
      <c r="D18949" s="1">
        <v>45940.715729166666</v>
      </c>
      <c r="E18949" s="2">
        <v>1</v>
      </c>
      <c r="F18949" s="2">
        <v>2</v>
      </c>
      <c r="G18949" s="2">
        <v>0</v>
      </c>
      <c r="H18949" s="1" t="s">
        <v>0</v>
      </c>
      <c r="I18949" s="2">
        <v>0</v>
      </c>
      <c r="J18949" s="1">
        <v>45937.714143518519</v>
      </c>
    </row>
    <row r="18950" spans="1:10" x14ac:dyDescent="0.2">
      <c r="A18950" s="4" t="s">
        <v>1</v>
      </c>
      <c r="B189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50" s="3" t="str">
        <f>HYPERLINK("https://otsuka-europe-crm.veevavault.com/ui/#object/sent_email__v/VBLZ025E82HE2G8", "SE-000284564")</f>
        <v>SE-000284564</v>
      </c>
      <c r="D18950" s="1">
        <v>45938.380462962959</v>
      </c>
      <c r="E18950" s="2">
        <v>1</v>
      </c>
      <c r="F18950" s="2">
        <v>2</v>
      </c>
      <c r="G18950" s="2">
        <v>0</v>
      </c>
      <c r="H18950" s="1" t="s">
        <v>0</v>
      </c>
      <c r="I18950" s="2">
        <v>0</v>
      </c>
      <c r="J18950" s="1">
        <v>45937.714143518519</v>
      </c>
    </row>
    <row r="18951" spans="1:10" x14ac:dyDescent="0.2">
      <c r="A18951" s="4" t="s">
        <v>1</v>
      </c>
      <c r="B189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51" s="3" t="str">
        <f>HYPERLINK("https://otsuka-europe-crm.veevavault.com/ui/#object/sent_email__v/VBLZ025E82HE2G9", "SE-000284565")</f>
        <v>SE-000284565</v>
      </c>
      <c r="D18951" s="1">
        <v>45938.473611111112</v>
      </c>
      <c r="E18951" s="2">
        <v>1</v>
      </c>
      <c r="F18951" s="2">
        <v>1</v>
      </c>
      <c r="G18951" s="2">
        <v>0</v>
      </c>
      <c r="H18951" s="1" t="s">
        <v>0</v>
      </c>
      <c r="I18951" s="2">
        <v>0</v>
      </c>
      <c r="J18951" s="1">
        <v>45937.714131944442</v>
      </c>
    </row>
    <row r="18952" spans="1:10" x14ac:dyDescent="0.2">
      <c r="A18952" s="4" t="s">
        <v>1</v>
      </c>
      <c r="B189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52" s="3" t="str">
        <f>HYPERLINK("https://otsuka-europe-crm.veevavault.com/ui/#object/sent_email__v/VBLZ025E82HE2GA", "SE-000284566")</f>
        <v>SE-000284566</v>
      </c>
      <c r="D18952" s="1">
        <v>45938.331203703703</v>
      </c>
      <c r="E18952" s="2">
        <v>1</v>
      </c>
      <c r="F18952" s="2">
        <v>2</v>
      </c>
      <c r="G18952" s="2">
        <v>0</v>
      </c>
      <c r="H18952" s="1" t="s">
        <v>0</v>
      </c>
      <c r="I18952" s="2">
        <v>0</v>
      </c>
      <c r="J18952" s="1">
        <v>45937.714155092595</v>
      </c>
    </row>
    <row r="18953" spans="1:10" x14ac:dyDescent="0.2">
      <c r="A18953" s="4" t="s">
        <v>1</v>
      </c>
      <c r="B189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53" s="3" t="str">
        <f>HYPERLINK("https://otsuka-europe-crm.veevavault.com/ui/#object/sent_email__v/VBLZ025E82HE2GB", "SE-000284567")</f>
        <v>SE-000284567</v>
      </c>
      <c r="D18953" s="1">
        <v>45938.231481481482</v>
      </c>
      <c r="E18953" s="2">
        <v>1</v>
      </c>
      <c r="F18953" s="2">
        <v>3</v>
      </c>
      <c r="G18953" s="2">
        <v>1</v>
      </c>
      <c r="H18953" s="1">
        <v>45938.232048611113</v>
      </c>
      <c r="I18953" s="2">
        <v>1</v>
      </c>
      <c r="J18953" s="1">
        <v>45937.714155092595</v>
      </c>
    </row>
    <row r="18954" spans="1:10" x14ac:dyDescent="0.2">
      <c r="A18954" s="4" t="s">
        <v>1</v>
      </c>
      <c r="B189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54" s="3" t="str">
        <f>HYPERLINK("https://otsuka-europe-crm.veevavault.com/ui/#object/sent_email__v/VBLZ025E82HE2GC", "SE-000284568")</f>
        <v>SE-000284568</v>
      </c>
      <c r="D18954" s="1">
        <v>45937.961562500001</v>
      </c>
      <c r="E18954" s="2">
        <v>1</v>
      </c>
      <c r="F18954" s="2">
        <v>1</v>
      </c>
      <c r="G18954" s="2">
        <v>0</v>
      </c>
      <c r="H18954" s="1" t="s">
        <v>0</v>
      </c>
      <c r="I18954" s="2">
        <v>0</v>
      </c>
      <c r="J18954" s="1">
        <v>45937.714155092595</v>
      </c>
    </row>
    <row r="18955" spans="1:10" x14ac:dyDescent="0.2">
      <c r="A18955" s="4" t="s">
        <v>1</v>
      </c>
      <c r="B189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55" s="3" t="str">
        <f>HYPERLINK("https://otsuka-europe-crm.veevavault.com/ui/#object/sent_email__v/VBLZ025E82HE2GD", "SE-000284569")</f>
        <v>SE-000284569</v>
      </c>
      <c r="D18955" s="1" t="s">
        <v>0</v>
      </c>
      <c r="E18955" s="2">
        <v>0</v>
      </c>
      <c r="F18955" s="2">
        <v>0</v>
      </c>
      <c r="G18955" s="2">
        <v>0</v>
      </c>
      <c r="H18955" s="1" t="s">
        <v>0</v>
      </c>
      <c r="I18955" s="2">
        <v>0</v>
      </c>
      <c r="J18955" s="1">
        <v>45937.714143518519</v>
      </c>
    </row>
    <row r="18956" spans="1:10" x14ac:dyDescent="0.2">
      <c r="A18956" s="4" t="s">
        <v>1</v>
      </c>
      <c r="B189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56" s="3" t="str">
        <f>HYPERLINK("https://otsuka-europe-crm.veevavault.com/ui/#object/sent_email__v/VBLZ025E82HE2GE", "SE-000284570")</f>
        <v>SE-000284570</v>
      </c>
      <c r="D18956" s="1">
        <v>45937.725983796299</v>
      </c>
      <c r="E18956" s="2">
        <v>1</v>
      </c>
      <c r="F18956" s="2">
        <v>2</v>
      </c>
      <c r="G18956" s="2">
        <v>0</v>
      </c>
      <c r="H18956" s="1" t="s">
        <v>0</v>
      </c>
      <c r="I18956" s="2">
        <v>0</v>
      </c>
      <c r="J18956" s="1">
        <v>45937.714143518519</v>
      </c>
    </row>
    <row r="18957" spans="1:10" x14ac:dyDescent="0.2">
      <c r="A18957" s="4" t="s">
        <v>1</v>
      </c>
      <c r="B189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57" s="3" t="str">
        <f>HYPERLINK("https://otsuka-europe-crm.veevavault.com/ui/#object/sent_email__v/VBLZ025E82HE2GF", "SE-000284571")</f>
        <v>SE-000284571</v>
      </c>
      <c r="D18957" s="1">
        <v>45941.691712962966</v>
      </c>
      <c r="E18957" s="2">
        <v>1</v>
      </c>
      <c r="F18957" s="2">
        <v>3</v>
      </c>
      <c r="G18957" s="2">
        <v>0</v>
      </c>
      <c r="H18957" s="1" t="s">
        <v>0</v>
      </c>
      <c r="I18957" s="2">
        <v>0</v>
      </c>
      <c r="J18957" s="1">
        <v>45937.714143518519</v>
      </c>
    </row>
    <row r="18958" spans="1:10" x14ac:dyDescent="0.2">
      <c r="A18958" s="4" t="s">
        <v>1</v>
      </c>
      <c r="B189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58" s="3" t="str">
        <f>HYPERLINK("https://otsuka-europe-crm.veevavault.com/ui/#object/sent_email__v/VBLZ025E82HE2GG", "SE-000284572")</f>
        <v>SE-000284572</v>
      </c>
      <c r="D18958" s="1" t="s">
        <v>0</v>
      </c>
      <c r="E18958" s="2">
        <v>0</v>
      </c>
      <c r="F18958" s="2">
        <v>0</v>
      </c>
      <c r="G18958" s="2">
        <v>0</v>
      </c>
      <c r="H18958" s="1" t="s">
        <v>0</v>
      </c>
      <c r="I18958" s="2">
        <v>0</v>
      </c>
      <c r="J18958" s="1">
        <v>45937.714155092595</v>
      </c>
    </row>
    <row r="18959" spans="1:10" x14ac:dyDescent="0.2">
      <c r="A18959" s="4" t="s">
        <v>1</v>
      </c>
      <c r="B189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59" s="3" t="str">
        <f>HYPERLINK("https://otsuka-europe-crm.veevavault.com/ui/#object/sent_email__v/VBLZ025E82HE2GH", "SE-000284573")</f>
        <v>SE-000284573</v>
      </c>
      <c r="D18959" s="1">
        <v>45940.468356481484</v>
      </c>
      <c r="E18959" s="2">
        <v>1</v>
      </c>
      <c r="F18959" s="2">
        <v>2</v>
      </c>
      <c r="G18959" s="2">
        <v>0</v>
      </c>
      <c r="H18959" s="1" t="s">
        <v>0</v>
      </c>
      <c r="I18959" s="2">
        <v>0</v>
      </c>
      <c r="J18959" s="1">
        <v>45937.714189814818</v>
      </c>
    </row>
    <row r="18960" spans="1:10" x14ac:dyDescent="0.2">
      <c r="A18960" s="4" t="s">
        <v>1</v>
      </c>
      <c r="B189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60" s="3" t="str">
        <f>HYPERLINK("https://otsuka-europe-crm.veevavault.com/ui/#object/sent_email__v/VBLZ025E82HE2GI", "SE-000284574")</f>
        <v>SE-000284574</v>
      </c>
      <c r="D18960" s="1" t="s">
        <v>0</v>
      </c>
      <c r="E18960" s="2">
        <v>0</v>
      </c>
      <c r="F18960" s="2">
        <v>0</v>
      </c>
      <c r="G18960" s="2">
        <v>0</v>
      </c>
      <c r="H18960" s="1" t="s">
        <v>0</v>
      </c>
      <c r="I18960" s="2">
        <v>0</v>
      </c>
      <c r="J18960" s="1">
        <v>45937.714166666665</v>
      </c>
    </row>
    <row r="18961" spans="1:10" x14ac:dyDescent="0.2">
      <c r="A18961" s="4" t="s">
        <v>1</v>
      </c>
      <c r="B189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61" s="3" t="str">
        <f>HYPERLINK("https://otsuka-europe-crm.veevavault.com/ui/#object/sent_email__v/VBLZ025E82HE2GJ", "SE-000284575")</f>
        <v>SE-000284575</v>
      </c>
      <c r="D18961" s="1">
        <v>45937.783912037034</v>
      </c>
      <c r="E18961" s="2">
        <v>1</v>
      </c>
      <c r="F18961" s="2">
        <v>1</v>
      </c>
      <c r="G18961" s="2">
        <v>0</v>
      </c>
      <c r="H18961" s="1" t="s">
        <v>0</v>
      </c>
      <c r="I18961" s="2">
        <v>0</v>
      </c>
      <c r="J18961" s="1">
        <v>45937.714178240742</v>
      </c>
    </row>
    <row r="18962" spans="1:10" x14ac:dyDescent="0.2">
      <c r="A18962" s="4" t="s">
        <v>1</v>
      </c>
      <c r="B189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62" s="3" t="str">
        <f>HYPERLINK("https://otsuka-europe-crm.veevavault.com/ui/#object/sent_email__v/VBLZ025E82HE2GK", "SE-000284576")</f>
        <v>SE-000284576</v>
      </c>
      <c r="D18962" s="1" t="s">
        <v>0</v>
      </c>
      <c r="E18962" s="2">
        <v>0</v>
      </c>
      <c r="F18962" s="2">
        <v>0</v>
      </c>
      <c r="G18962" s="2">
        <v>0</v>
      </c>
      <c r="H18962" s="1" t="s">
        <v>0</v>
      </c>
      <c r="I18962" s="2">
        <v>0</v>
      </c>
      <c r="J18962" s="1">
        <v>45937.714189814818</v>
      </c>
    </row>
    <row r="18963" spans="1:10" x14ac:dyDescent="0.2">
      <c r="A18963" s="4" t="s">
        <v>1</v>
      </c>
      <c r="B189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63" s="3" t="str">
        <f>HYPERLINK("https://otsuka-europe-crm.veevavault.com/ui/#object/sent_email__v/VBLZ025E82HE2GL", "SE-000284577")</f>
        <v>SE-000284577</v>
      </c>
      <c r="D18963" s="1">
        <v>45937.828101851854</v>
      </c>
      <c r="E18963" s="2">
        <v>1</v>
      </c>
      <c r="F18963" s="2">
        <v>2</v>
      </c>
      <c r="G18963" s="2">
        <v>0</v>
      </c>
      <c r="H18963" s="1" t="s">
        <v>0</v>
      </c>
      <c r="I18963" s="2">
        <v>0</v>
      </c>
      <c r="J18963" s="1">
        <v>45937.714201388888</v>
      </c>
    </row>
    <row r="18964" spans="1:10" x14ac:dyDescent="0.2">
      <c r="A18964" s="4" t="s">
        <v>1</v>
      </c>
      <c r="B189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64" s="3" t="str">
        <f>HYPERLINK("https://otsuka-europe-crm.veevavault.com/ui/#object/sent_email__v/VBLZ025E82HE2GM", "SE-000284578")</f>
        <v>SE-000284578</v>
      </c>
      <c r="D18964" s="1">
        <v>45938.239386574074</v>
      </c>
      <c r="E18964" s="2">
        <v>1</v>
      </c>
      <c r="F18964" s="2">
        <v>1</v>
      </c>
      <c r="G18964" s="2">
        <v>0</v>
      </c>
      <c r="H18964" s="1" t="s">
        <v>0</v>
      </c>
      <c r="I18964" s="2">
        <v>0</v>
      </c>
      <c r="J18964" s="1">
        <v>45937.714212962965</v>
      </c>
    </row>
    <row r="18965" spans="1:10" x14ac:dyDescent="0.2">
      <c r="A18965" s="4" t="s">
        <v>1</v>
      </c>
      <c r="B189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65" s="3" t="str">
        <f>HYPERLINK("https://otsuka-europe-crm.veevavault.com/ui/#object/sent_email__v/VBLZ025E82HE2GN", "SE-000284579")</f>
        <v>SE-000284579</v>
      </c>
      <c r="D18965" s="1" t="s">
        <v>0</v>
      </c>
      <c r="E18965" s="2">
        <v>0</v>
      </c>
      <c r="F18965" s="2">
        <v>0</v>
      </c>
      <c r="G18965" s="2">
        <v>0</v>
      </c>
      <c r="H18965" s="1" t="s">
        <v>0</v>
      </c>
      <c r="I18965" s="2">
        <v>0</v>
      </c>
      <c r="J18965" s="1">
        <v>45937.714224537034</v>
      </c>
    </row>
    <row r="18966" spans="1:10" x14ac:dyDescent="0.2">
      <c r="A18966" s="4" t="s">
        <v>1</v>
      </c>
      <c r="B189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66" s="3" t="str">
        <f>HYPERLINK("https://otsuka-europe-crm.veevavault.com/ui/#object/sent_email__v/VBLZ025E82HE2GO", "SE-000284580")</f>
        <v>SE-000284580</v>
      </c>
      <c r="D18966" s="1" t="s">
        <v>0</v>
      </c>
      <c r="E18966" s="2">
        <v>0</v>
      </c>
      <c r="F18966" s="2">
        <v>0</v>
      </c>
      <c r="G18966" s="2">
        <v>0</v>
      </c>
      <c r="H18966" s="1" t="s">
        <v>0</v>
      </c>
      <c r="I18966" s="2">
        <v>0</v>
      </c>
      <c r="J18966" s="1">
        <v>45937.714236111111</v>
      </c>
    </row>
    <row r="18967" spans="1:10" x14ac:dyDescent="0.2">
      <c r="A18967" s="4" t="s">
        <v>1</v>
      </c>
      <c r="B189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67" s="3" t="str">
        <f>HYPERLINK("https://otsuka-europe-crm.veevavault.com/ui/#object/sent_email__v/VBLZ025E82HE2GP", "SE-000284581")</f>
        <v>SE-000284581</v>
      </c>
      <c r="D18967" s="1">
        <v>45942.434004629627</v>
      </c>
      <c r="E18967" s="2">
        <v>1</v>
      </c>
      <c r="F18967" s="2">
        <v>4</v>
      </c>
      <c r="G18967" s="2">
        <v>0</v>
      </c>
      <c r="H18967" s="1" t="s">
        <v>0</v>
      </c>
      <c r="I18967" s="2">
        <v>0</v>
      </c>
      <c r="J18967" s="1">
        <v>45937.714247685188</v>
      </c>
    </row>
    <row r="18968" spans="1:10" x14ac:dyDescent="0.2">
      <c r="A18968" s="4" t="s">
        <v>1</v>
      </c>
      <c r="B189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68" s="3" t="str">
        <f>HYPERLINK("https://otsuka-europe-crm.veevavault.com/ui/#object/sent_email__v/VBLZ025E82HE2GQ", "SE-000284582")</f>
        <v>SE-000284582</v>
      </c>
      <c r="D18968" s="1">
        <v>45937.931273148148</v>
      </c>
      <c r="E18968" s="2">
        <v>1</v>
      </c>
      <c r="F18968" s="2">
        <v>1</v>
      </c>
      <c r="G18968" s="2">
        <v>0</v>
      </c>
      <c r="H18968" s="1" t="s">
        <v>0</v>
      </c>
      <c r="I18968" s="2">
        <v>0</v>
      </c>
      <c r="J18968" s="1">
        <v>45937.714247685188</v>
      </c>
    </row>
    <row r="18969" spans="1:10" x14ac:dyDescent="0.2">
      <c r="A18969" s="4" t="s">
        <v>1</v>
      </c>
      <c r="B189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69" s="3" t="str">
        <f>HYPERLINK("https://otsuka-europe-crm.veevavault.com/ui/#object/sent_email__v/VBLZ025E82HE2GR", "SE-000284583")</f>
        <v>SE-000284583</v>
      </c>
      <c r="D18969" s="1">
        <v>45937.919988425929</v>
      </c>
      <c r="E18969" s="2">
        <v>1</v>
      </c>
      <c r="F18969" s="2">
        <v>1</v>
      </c>
      <c r="G18969" s="2">
        <v>0</v>
      </c>
      <c r="H18969" s="1" t="s">
        <v>0</v>
      </c>
      <c r="I18969" s="2">
        <v>0</v>
      </c>
      <c r="J18969" s="1">
        <v>45937.714259259257</v>
      </c>
    </row>
    <row r="18970" spans="1:10" x14ac:dyDescent="0.2">
      <c r="A18970" s="4" t="s">
        <v>1</v>
      </c>
      <c r="B189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70" s="3" t="str">
        <f>HYPERLINK("https://otsuka-europe-crm.veevavault.com/ui/#object/sent_email__v/VBLZ025E82HE2GS", "SE-000284584")</f>
        <v>SE-000284584</v>
      </c>
      <c r="D18970" s="1">
        <v>46001.259456018517</v>
      </c>
      <c r="E18970" s="2">
        <v>1</v>
      </c>
      <c r="F18970" s="2">
        <v>2</v>
      </c>
      <c r="G18970" s="2">
        <v>0</v>
      </c>
      <c r="H18970" s="1" t="s">
        <v>0</v>
      </c>
      <c r="I18970" s="2">
        <v>0</v>
      </c>
      <c r="J18970" s="1">
        <v>45937.714270833334</v>
      </c>
    </row>
    <row r="18971" spans="1:10" x14ac:dyDescent="0.2">
      <c r="A18971" s="4" t="s">
        <v>1</v>
      </c>
      <c r="B189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71" s="3" t="str">
        <f>HYPERLINK("https://otsuka-europe-crm.veevavault.com/ui/#object/sent_email__v/VBLZ025E82HE2GT", "SE-000284585")</f>
        <v>SE-000284585</v>
      </c>
      <c r="D18971" s="1">
        <v>45938.727650462963</v>
      </c>
      <c r="E18971" s="2">
        <v>1</v>
      </c>
      <c r="F18971" s="2">
        <v>1</v>
      </c>
      <c r="G18971" s="2">
        <v>0</v>
      </c>
      <c r="H18971" s="1" t="s">
        <v>0</v>
      </c>
      <c r="I18971" s="2">
        <v>0</v>
      </c>
      <c r="J18971" s="1">
        <v>45937.714282407411</v>
      </c>
    </row>
    <row r="18972" spans="1:10" x14ac:dyDescent="0.2">
      <c r="A18972" s="4" t="s">
        <v>1</v>
      </c>
      <c r="B189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72" s="3" t="str">
        <f>HYPERLINK("https://otsuka-europe-crm.veevavault.com/ui/#object/sent_email__v/VBLZ025E82HE2GU", "SE-000284586")</f>
        <v>SE-000284586</v>
      </c>
      <c r="D18972" s="1">
        <v>45937.923611111109</v>
      </c>
      <c r="E18972" s="2">
        <v>1</v>
      </c>
      <c r="F18972" s="2">
        <v>1</v>
      </c>
      <c r="G18972" s="2">
        <v>0</v>
      </c>
      <c r="H18972" s="1" t="s">
        <v>0</v>
      </c>
      <c r="I18972" s="2">
        <v>0</v>
      </c>
      <c r="J18972" s="1">
        <v>45937.71429398148</v>
      </c>
    </row>
    <row r="18973" spans="1:10" x14ac:dyDescent="0.2">
      <c r="A18973" s="4" t="s">
        <v>1</v>
      </c>
      <c r="B189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73" s="3" t="str">
        <f>HYPERLINK("https://otsuka-europe-crm.veevavault.com/ui/#object/sent_email__v/VBLZ025E82HE2GV", "SE-000284587")</f>
        <v>SE-000284587</v>
      </c>
      <c r="D18973" s="1" t="s">
        <v>0</v>
      </c>
      <c r="E18973" s="2">
        <v>0</v>
      </c>
      <c r="F18973" s="2">
        <v>0</v>
      </c>
      <c r="G18973" s="2">
        <v>0</v>
      </c>
      <c r="H18973" s="1" t="s">
        <v>0</v>
      </c>
      <c r="I18973" s="2">
        <v>0</v>
      </c>
      <c r="J18973" s="1">
        <v>45937.714305555557</v>
      </c>
    </row>
    <row r="18974" spans="1:10" x14ac:dyDescent="0.2">
      <c r="A18974" s="4" t="s">
        <v>1</v>
      </c>
      <c r="B189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74" s="3" t="str">
        <f>HYPERLINK("https://otsuka-europe-crm.veevavault.com/ui/#object/sent_email__v/VBLZ025E82HE2GW", "SE-000284588")</f>
        <v>SE-000284588</v>
      </c>
      <c r="D18974" s="1" t="s">
        <v>0</v>
      </c>
      <c r="E18974" s="2">
        <v>0</v>
      </c>
      <c r="F18974" s="2">
        <v>0</v>
      </c>
      <c r="G18974" s="2">
        <v>0</v>
      </c>
      <c r="H18974" s="1" t="s">
        <v>0</v>
      </c>
      <c r="I18974" s="2">
        <v>0</v>
      </c>
      <c r="J18974" s="1">
        <v>45937.714305555557</v>
      </c>
    </row>
    <row r="18975" spans="1:10" x14ac:dyDescent="0.2">
      <c r="A18975" s="4" t="s">
        <v>1</v>
      </c>
      <c r="B189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75" s="3" t="str">
        <f>HYPERLINK("https://otsuka-europe-crm.veevavault.com/ui/#object/sent_email__v/VBLZ025E82HE2GX", "SE-000284589")</f>
        <v>SE-000284589</v>
      </c>
      <c r="D18975" s="1" t="s">
        <v>0</v>
      </c>
      <c r="E18975" s="2">
        <v>0</v>
      </c>
      <c r="F18975" s="2">
        <v>0</v>
      </c>
      <c r="G18975" s="2">
        <v>0</v>
      </c>
      <c r="H18975" s="1" t="s">
        <v>0</v>
      </c>
      <c r="I18975" s="2">
        <v>0</v>
      </c>
      <c r="J18975" s="1">
        <v>45937.714317129627</v>
      </c>
    </row>
    <row r="18976" spans="1:10" x14ac:dyDescent="0.2">
      <c r="A18976" s="4" t="s">
        <v>1</v>
      </c>
      <c r="B189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76" s="3" t="str">
        <f>HYPERLINK("https://otsuka-europe-crm.veevavault.com/ui/#object/sent_email__v/VBLZ025E82HE2GY", "SE-000284590")</f>
        <v>SE-000284590</v>
      </c>
      <c r="D18976" s="1" t="s">
        <v>0</v>
      </c>
      <c r="E18976" s="2">
        <v>0</v>
      </c>
      <c r="F18976" s="2">
        <v>0</v>
      </c>
      <c r="G18976" s="2">
        <v>0</v>
      </c>
      <c r="H18976" s="1" t="s">
        <v>0</v>
      </c>
      <c r="I18976" s="2">
        <v>0</v>
      </c>
      <c r="J18976" s="1">
        <v>45937.714328703703</v>
      </c>
    </row>
    <row r="18977" spans="1:10" x14ac:dyDescent="0.2">
      <c r="A18977" s="4" t="s">
        <v>1</v>
      </c>
      <c r="B189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77" s="3" t="str">
        <f>HYPERLINK("https://otsuka-europe-crm.veevavault.com/ui/#object/sent_email__v/VBLZ025E82HE2GZ", "SE-000284591")</f>
        <v>SE-000284591</v>
      </c>
      <c r="D18977" s="1" t="s">
        <v>0</v>
      </c>
      <c r="E18977" s="2">
        <v>0</v>
      </c>
      <c r="F18977" s="2">
        <v>0</v>
      </c>
      <c r="G18977" s="2">
        <v>0</v>
      </c>
      <c r="H18977" s="1" t="s">
        <v>0</v>
      </c>
      <c r="I18977" s="2">
        <v>0</v>
      </c>
      <c r="J18977" s="1">
        <v>45937.71434027778</v>
      </c>
    </row>
    <row r="18978" spans="1:10" x14ac:dyDescent="0.2">
      <c r="A18978" s="4" t="s">
        <v>1</v>
      </c>
      <c r="B189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78" s="3" t="str">
        <f>HYPERLINK("https://otsuka-europe-crm.veevavault.com/ui/#object/sent_email__v/VBLZ025E82HE2H0", "SE-000284592")</f>
        <v>SE-000284592</v>
      </c>
      <c r="D18978" s="1">
        <v>45957.728900462964</v>
      </c>
      <c r="E18978" s="2">
        <v>1</v>
      </c>
      <c r="F18978" s="2">
        <v>4</v>
      </c>
      <c r="G18978" s="2">
        <v>0</v>
      </c>
      <c r="H18978" s="1" t="s">
        <v>0</v>
      </c>
      <c r="I18978" s="2">
        <v>0</v>
      </c>
      <c r="J18978" s="1">
        <v>45937.71435185185</v>
      </c>
    </row>
    <row r="18979" spans="1:10" x14ac:dyDescent="0.2">
      <c r="A18979" s="4" t="s">
        <v>1</v>
      </c>
      <c r="B189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79" s="3" t="str">
        <f>HYPERLINK("https://otsuka-europe-crm.veevavault.com/ui/#object/sent_email__v/VBLZ025E82HE2H1", "SE-000284593")</f>
        <v>SE-000284593</v>
      </c>
      <c r="D18979" s="1">
        <v>45938.255729166667</v>
      </c>
      <c r="E18979" s="2">
        <v>1</v>
      </c>
      <c r="F18979" s="2">
        <v>1</v>
      </c>
      <c r="G18979" s="2">
        <v>0</v>
      </c>
      <c r="H18979" s="1" t="s">
        <v>0</v>
      </c>
      <c r="I18979" s="2">
        <v>0</v>
      </c>
      <c r="J18979" s="1">
        <v>45937.714363425926</v>
      </c>
    </row>
    <row r="18980" spans="1:10" x14ac:dyDescent="0.2">
      <c r="A18980" s="4" t="s">
        <v>1</v>
      </c>
      <c r="B189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80" s="3" t="str">
        <f>HYPERLINK("https://otsuka-europe-crm.veevavault.com/ui/#object/sent_email__v/VBLZ025E82HE2H2", "SE-000284594")</f>
        <v>SE-000284594</v>
      </c>
      <c r="D18980" s="1">
        <v>45937.714490740742</v>
      </c>
      <c r="E18980" s="2">
        <v>1</v>
      </c>
      <c r="F18980" s="2">
        <v>1</v>
      </c>
      <c r="G18980" s="2">
        <v>0</v>
      </c>
      <c r="H18980" s="1" t="s">
        <v>0</v>
      </c>
      <c r="I18980" s="2">
        <v>0</v>
      </c>
      <c r="J18980" s="1">
        <v>45937.714363425926</v>
      </c>
    </row>
    <row r="18981" spans="1:10" x14ac:dyDescent="0.2">
      <c r="A18981" s="4" t="s">
        <v>1</v>
      </c>
      <c r="B189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81" s="3" t="str">
        <f>HYPERLINK("https://otsuka-europe-crm.veevavault.com/ui/#object/sent_email__v/VBLZ025E82HE2H3", "SE-000284595")</f>
        <v>SE-000284595</v>
      </c>
      <c r="D18981" s="1" t="s">
        <v>0</v>
      </c>
      <c r="E18981" s="2">
        <v>0</v>
      </c>
      <c r="F18981" s="2">
        <v>0</v>
      </c>
      <c r="G18981" s="2">
        <v>0</v>
      </c>
      <c r="H18981" s="1" t="s">
        <v>0</v>
      </c>
      <c r="I18981" s="2">
        <v>0</v>
      </c>
      <c r="J18981" s="1">
        <v>45937.714375000003</v>
      </c>
    </row>
    <row r="18982" spans="1:10" x14ac:dyDescent="0.2">
      <c r="A18982" s="4" t="s">
        <v>1</v>
      </c>
      <c r="B189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82" s="3" t="str">
        <f>HYPERLINK("https://otsuka-europe-crm.veevavault.com/ui/#object/sent_email__v/VBLZ025E82HE2H4", "SE-000284596")</f>
        <v>SE-000284596</v>
      </c>
      <c r="D18982" s="1">
        <v>45937.719363425924</v>
      </c>
      <c r="E18982" s="2">
        <v>1</v>
      </c>
      <c r="F18982" s="2">
        <v>2</v>
      </c>
      <c r="G18982" s="2">
        <v>0</v>
      </c>
      <c r="H18982" s="1" t="s">
        <v>0</v>
      </c>
      <c r="I18982" s="2">
        <v>0</v>
      </c>
      <c r="J18982" s="1">
        <v>45937.714386574073</v>
      </c>
    </row>
    <row r="18983" spans="1:10" x14ac:dyDescent="0.2">
      <c r="A18983" s="4" t="s">
        <v>1</v>
      </c>
      <c r="B189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83" s="3" t="str">
        <f>HYPERLINK("https://otsuka-europe-crm.veevavault.com/ui/#object/sent_email__v/VBLZ025E82HE2H5", "SE-000284597")</f>
        <v>SE-000284597</v>
      </c>
      <c r="D18983" s="1">
        <v>45937.744942129626</v>
      </c>
      <c r="E18983" s="2">
        <v>1</v>
      </c>
      <c r="F18983" s="2">
        <v>1</v>
      </c>
      <c r="G18983" s="2">
        <v>0</v>
      </c>
      <c r="H18983" s="1" t="s">
        <v>0</v>
      </c>
      <c r="I18983" s="2">
        <v>0</v>
      </c>
      <c r="J18983" s="1">
        <v>45937.714398148149</v>
      </c>
    </row>
    <row r="18984" spans="1:10" x14ac:dyDescent="0.2">
      <c r="A18984" s="4" t="s">
        <v>1</v>
      </c>
      <c r="B189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84" s="3" t="str">
        <f>HYPERLINK("https://otsuka-europe-crm.veevavault.com/ui/#object/sent_email__v/VBLZ025E82HE2H6", "SE-000284598")</f>
        <v>SE-000284598</v>
      </c>
      <c r="D18984" s="1">
        <v>45959.785914351851</v>
      </c>
      <c r="E18984" s="2">
        <v>1</v>
      </c>
      <c r="F18984" s="2">
        <v>2</v>
      </c>
      <c r="G18984" s="2">
        <v>0</v>
      </c>
      <c r="H18984" s="1" t="s">
        <v>0</v>
      </c>
      <c r="I18984" s="2">
        <v>0</v>
      </c>
      <c r="J18984" s="1">
        <v>45937.714409722219</v>
      </c>
    </row>
    <row r="18985" spans="1:10" x14ac:dyDescent="0.2">
      <c r="A18985" s="4" t="s">
        <v>1</v>
      </c>
      <c r="B189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85" s="3" t="str">
        <f>HYPERLINK("https://otsuka-europe-crm.veevavault.com/ui/#object/sent_email__v/VBLZ025E82HE2H7", "SE-000284599")</f>
        <v>SE-000284599</v>
      </c>
      <c r="D18985" s="1">
        <v>45937.715613425928</v>
      </c>
      <c r="E18985" s="2">
        <v>1</v>
      </c>
      <c r="F18985" s="2">
        <v>1</v>
      </c>
      <c r="G18985" s="2">
        <v>0</v>
      </c>
      <c r="H18985" s="1" t="s">
        <v>0</v>
      </c>
      <c r="I18985" s="2">
        <v>0</v>
      </c>
      <c r="J18985" s="1">
        <v>45937.714409722219</v>
      </c>
    </row>
    <row r="18986" spans="1:10" x14ac:dyDescent="0.2">
      <c r="A18986" s="4" t="s">
        <v>1</v>
      </c>
      <c r="B189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86" s="3" t="str">
        <f>HYPERLINK("https://otsuka-europe-crm.veevavault.com/ui/#object/sent_email__v/VBLZ025E82HE2H8", "SE-000284600")</f>
        <v>SE-000284600</v>
      </c>
      <c r="D18986" s="1">
        <v>45960.051238425927</v>
      </c>
      <c r="E18986" s="2">
        <v>1</v>
      </c>
      <c r="F18986" s="2">
        <v>2</v>
      </c>
      <c r="G18986" s="2">
        <v>0</v>
      </c>
      <c r="H18986" s="1" t="s">
        <v>0</v>
      </c>
      <c r="I18986" s="2">
        <v>0</v>
      </c>
      <c r="J18986" s="1">
        <v>45937.714421296296</v>
      </c>
    </row>
    <row r="18987" spans="1:10" x14ac:dyDescent="0.2">
      <c r="A18987" s="4" t="s">
        <v>1</v>
      </c>
      <c r="B189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87" s="3" t="str">
        <f>HYPERLINK("https://otsuka-europe-crm.veevavault.com/ui/#object/sent_email__v/VBLZ025E82HE2H9", "SE-000284601")</f>
        <v>SE-000284601</v>
      </c>
      <c r="D18987" s="1">
        <v>45941.365787037037</v>
      </c>
      <c r="E18987" s="2">
        <v>1</v>
      </c>
      <c r="F18987" s="2">
        <v>1</v>
      </c>
      <c r="G18987" s="2">
        <v>0</v>
      </c>
      <c r="H18987" s="1" t="s">
        <v>0</v>
      </c>
      <c r="I18987" s="2">
        <v>0</v>
      </c>
      <c r="J18987" s="1">
        <v>45937.714432870373</v>
      </c>
    </row>
    <row r="18988" spans="1:10" x14ac:dyDescent="0.2">
      <c r="A18988" s="4" t="s">
        <v>1</v>
      </c>
      <c r="B189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88" s="3" t="str">
        <f>HYPERLINK("https://otsuka-europe-crm.veevavault.com/ui/#object/sent_email__v/VBLZ025E82HE2T9", "SE-000284602")</f>
        <v>SE-000284602</v>
      </c>
      <c r="D18988" s="1">
        <v>45938.379421296297</v>
      </c>
      <c r="E18988" s="2">
        <v>1</v>
      </c>
      <c r="F18988" s="2">
        <v>1</v>
      </c>
      <c r="G18988" s="2">
        <v>1</v>
      </c>
      <c r="H18988" s="1">
        <v>45938.379756944443</v>
      </c>
      <c r="I18988" s="2">
        <v>1</v>
      </c>
      <c r="J18988" s="1">
        <v>45937.718657407408</v>
      </c>
    </row>
    <row r="18989" spans="1:10" x14ac:dyDescent="0.2">
      <c r="A18989" s="4" t="s">
        <v>1</v>
      </c>
      <c r="B189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89" s="3" t="str">
        <f>HYPERLINK("https://otsuka-europe-crm.veevavault.com/ui/#object/sent_email__v/VBLZ025E82HE2TA", "SE-000284603")</f>
        <v>SE-000284603</v>
      </c>
      <c r="D18989" s="1" t="s">
        <v>0</v>
      </c>
      <c r="E18989" s="2">
        <v>0</v>
      </c>
      <c r="F18989" s="2">
        <v>0</v>
      </c>
      <c r="G18989" s="2">
        <v>0</v>
      </c>
      <c r="H18989" s="1" t="s">
        <v>0</v>
      </c>
      <c r="I18989" s="2">
        <v>0</v>
      </c>
      <c r="J18989" s="1">
        <v>45937.718668981484</v>
      </c>
    </row>
    <row r="18990" spans="1:10" x14ac:dyDescent="0.2">
      <c r="A18990" s="4" t="s">
        <v>1</v>
      </c>
      <c r="B189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90" s="3" t="str">
        <f>HYPERLINK("https://otsuka-europe-crm.veevavault.com/ui/#object/sent_email__v/VBLZ025E82HE2TB", "SE-000284604")</f>
        <v>SE-000284604</v>
      </c>
      <c r="D18990" s="1">
        <v>45937.719756944447</v>
      </c>
      <c r="E18990" s="2">
        <v>1</v>
      </c>
      <c r="F18990" s="2">
        <v>1</v>
      </c>
      <c r="G18990" s="2">
        <v>0</v>
      </c>
      <c r="H18990" s="1" t="s">
        <v>0</v>
      </c>
      <c r="I18990" s="2">
        <v>0</v>
      </c>
      <c r="J18990" s="1">
        <v>45937.718680555554</v>
      </c>
    </row>
    <row r="18991" spans="1:10" x14ac:dyDescent="0.2">
      <c r="A18991" s="4" t="s">
        <v>1</v>
      </c>
      <c r="B189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91" s="3" t="str">
        <f>HYPERLINK("https://otsuka-europe-crm.veevavault.com/ui/#object/sent_email__v/VBLZ025E82HE2TC", "SE-000284605")</f>
        <v>SE-000284605</v>
      </c>
      <c r="D18991" s="1">
        <v>45941.42292824074</v>
      </c>
      <c r="E18991" s="2">
        <v>1</v>
      </c>
      <c r="F18991" s="2">
        <v>4</v>
      </c>
      <c r="G18991" s="2">
        <v>0</v>
      </c>
      <c r="H18991" s="1" t="s">
        <v>0</v>
      </c>
      <c r="I18991" s="2">
        <v>0</v>
      </c>
      <c r="J18991" s="1">
        <v>45937.718680555554</v>
      </c>
    </row>
    <row r="18992" spans="1:10" x14ac:dyDescent="0.2">
      <c r="A18992" s="4" t="s">
        <v>1</v>
      </c>
      <c r="B189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92" s="3" t="str">
        <f>HYPERLINK("https://otsuka-europe-crm.veevavault.com/ui/#object/sent_email__v/VBLZ025E82HE2TD", "SE-000284606")</f>
        <v>SE-000284606</v>
      </c>
      <c r="D18992" s="1" t="s">
        <v>0</v>
      </c>
      <c r="E18992" s="2">
        <v>0</v>
      </c>
      <c r="F18992" s="2">
        <v>0</v>
      </c>
      <c r="G18992" s="2">
        <v>0</v>
      </c>
      <c r="H18992" s="1" t="s">
        <v>0</v>
      </c>
      <c r="I18992" s="2">
        <v>0</v>
      </c>
      <c r="J18992" s="1">
        <v>45937.718680555554</v>
      </c>
    </row>
    <row r="18993" spans="1:10" x14ac:dyDescent="0.2">
      <c r="A18993" s="4" t="s">
        <v>1</v>
      </c>
      <c r="B189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93" s="3" t="str">
        <f>HYPERLINK("https://otsuka-europe-crm.veevavault.com/ui/#object/sent_email__v/VBLZ025E82HE2TE", "SE-000284607")</f>
        <v>SE-000284607</v>
      </c>
      <c r="D18993" s="1" t="s">
        <v>0</v>
      </c>
      <c r="E18993" s="2">
        <v>0</v>
      </c>
      <c r="F18993" s="2">
        <v>0</v>
      </c>
      <c r="G18993" s="2">
        <v>0</v>
      </c>
      <c r="H18993" s="1" t="s">
        <v>0</v>
      </c>
      <c r="I18993" s="2">
        <v>0</v>
      </c>
      <c r="J18993" s="1">
        <v>45937.7187037037</v>
      </c>
    </row>
    <row r="18994" spans="1:10" x14ac:dyDescent="0.2">
      <c r="A18994" s="4" t="s">
        <v>1</v>
      </c>
      <c r="B189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94" s="3" t="str">
        <f>HYPERLINK("https://otsuka-europe-crm.veevavault.com/ui/#object/sent_email__v/VBLZ025E82HE2TF", "SE-000284608")</f>
        <v>SE-000284608</v>
      </c>
      <c r="D18994" s="1" t="s">
        <v>0</v>
      </c>
      <c r="E18994" s="2">
        <v>0</v>
      </c>
      <c r="F18994" s="2">
        <v>0</v>
      </c>
      <c r="G18994" s="2">
        <v>0</v>
      </c>
      <c r="H18994" s="1" t="s">
        <v>0</v>
      </c>
      <c r="I18994" s="2">
        <v>0</v>
      </c>
      <c r="J18994" s="1">
        <v>45937.7187037037</v>
      </c>
    </row>
    <row r="18995" spans="1:10" x14ac:dyDescent="0.2">
      <c r="A18995" s="4" t="s">
        <v>1</v>
      </c>
      <c r="B189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95" s="3" t="str">
        <f>HYPERLINK("https://otsuka-europe-crm.veevavault.com/ui/#object/sent_email__v/VBLZ025E82HE2TG", "SE-000284609")</f>
        <v>SE-000284609</v>
      </c>
      <c r="D18995" s="1">
        <v>45937.720497685186</v>
      </c>
      <c r="E18995" s="2">
        <v>1</v>
      </c>
      <c r="F18995" s="2">
        <v>1</v>
      </c>
      <c r="G18995" s="2">
        <v>0</v>
      </c>
      <c r="H18995" s="1" t="s">
        <v>0</v>
      </c>
      <c r="I18995" s="2">
        <v>0</v>
      </c>
      <c r="J18995" s="1">
        <v>45937.718715277777</v>
      </c>
    </row>
    <row r="18996" spans="1:10" x14ac:dyDescent="0.2">
      <c r="A18996" s="4" t="s">
        <v>1</v>
      </c>
      <c r="B189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96" s="3" t="str">
        <f>HYPERLINK("https://otsuka-europe-crm.veevavault.com/ui/#object/sent_email__v/VBLZ025E82HE2TH", "SE-000284610")</f>
        <v>SE-000284610</v>
      </c>
      <c r="D18996" s="1" t="s">
        <v>0</v>
      </c>
      <c r="E18996" s="2">
        <v>0</v>
      </c>
      <c r="F18996" s="2">
        <v>0</v>
      </c>
      <c r="G18996" s="2">
        <v>0</v>
      </c>
      <c r="H18996" s="1" t="s">
        <v>0</v>
      </c>
      <c r="I18996" s="2">
        <v>0</v>
      </c>
      <c r="J18996" s="1">
        <v>45937.718726851854</v>
      </c>
    </row>
    <row r="18997" spans="1:10" x14ac:dyDescent="0.2">
      <c r="A18997" s="4" t="s">
        <v>1</v>
      </c>
      <c r="B189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97" s="3" t="str">
        <f>HYPERLINK("https://otsuka-europe-crm.veevavault.com/ui/#object/sent_email__v/VBLZ025E82HE2TI", "SE-000284611")</f>
        <v>SE-000284611</v>
      </c>
      <c r="D18997" s="1" t="s">
        <v>0</v>
      </c>
      <c r="E18997" s="2">
        <v>0</v>
      </c>
      <c r="F18997" s="2">
        <v>0</v>
      </c>
      <c r="G18997" s="2">
        <v>0</v>
      </c>
      <c r="H18997" s="1" t="s">
        <v>0</v>
      </c>
      <c r="I18997" s="2">
        <v>0</v>
      </c>
      <c r="J18997" s="1">
        <v>45937.718738425923</v>
      </c>
    </row>
    <row r="18998" spans="1:10" x14ac:dyDescent="0.2">
      <c r="A18998" s="4" t="s">
        <v>1</v>
      </c>
      <c r="B189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98" s="3" t="str">
        <f>HYPERLINK("https://otsuka-europe-crm.veevavault.com/ui/#object/sent_email__v/VBLZ025E82HE2TJ", "SE-000284612")</f>
        <v>SE-000284612</v>
      </c>
      <c r="D18998" s="1" t="s">
        <v>0</v>
      </c>
      <c r="E18998" s="2">
        <v>0</v>
      </c>
      <c r="F18998" s="2">
        <v>0</v>
      </c>
      <c r="G18998" s="2">
        <v>0</v>
      </c>
      <c r="H18998" s="1" t="s">
        <v>0</v>
      </c>
      <c r="I18998" s="2">
        <v>0</v>
      </c>
      <c r="J18998" s="1">
        <v>45937.718738425923</v>
      </c>
    </row>
    <row r="18999" spans="1:10" x14ac:dyDescent="0.2">
      <c r="A18999" s="4" t="s">
        <v>1</v>
      </c>
      <c r="B189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8999" s="3" t="str">
        <f>HYPERLINK("https://otsuka-europe-crm.veevavault.com/ui/#object/sent_email__v/VBLZ025E82HE2TK", "SE-000284613")</f>
        <v>SE-000284613</v>
      </c>
      <c r="D18999" s="1">
        <v>45937.786724537036</v>
      </c>
      <c r="E18999" s="2">
        <v>1</v>
      </c>
      <c r="F18999" s="2">
        <v>2</v>
      </c>
      <c r="G18999" s="2">
        <v>0</v>
      </c>
      <c r="H18999" s="1" t="s">
        <v>0</v>
      </c>
      <c r="I18999" s="2">
        <v>0</v>
      </c>
      <c r="J18999" s="1">
        <v>45937.71875</v>
      </c>
    </row>
    <row r="19000" spans="1:10" x14ac:dyDescent="0.2">
      <c r="A19000" s="4" t="s">
        <v>1</v>
      </c>
      <c r="B190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00" s="3" t="str">
        <f>HYPERLINK("https://otsuka-europe-crm.veevavault.com/ui/#object/sent_email__v/VBLZ025E82HE2TL", "SE-000284614")</f>
        <v>SE-000284614</v>
      </c>
      <c r="D19000" s="1" t="s">
        <v>0</v>
      </c>
      <c r="E19000" s="2">
        <v>0</v>
      </c>
      <c r="F19000" s="2">
        <v>0</v>
      </c>
      <c r="G19000" s="2">
        <v>0</v>
      </c>
      <c r="H19000" s="1" t="s">
        <v>0</v>
      </c>
      <c r="I19000" s="2">
        <v>0</v>
      </c>
      <c r="J19000" s="1">
        <v>45937.718761574077</v>
      </c>
    </row>
    <row r="19001" spans="1:10" x14ac:dyDescent="0.2">
      <c r="A19001" s="4" t="s">
        <v>1</v>
      </c>
      <c r="B190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01" s="3" t="str">
        <f>HYPERLINK("https://otsuka-europe-crm.veevavault.com/ui/#object/sent_email__v/VBLZ025E82HE2TM", "SE-000284615")</f>
        <v>SE-000284615</v>
      </c>
      <c r="D19001" s="1" t="s">
        <v>0</v>
      </c>
      <c r="E19001" s="2">
        <v>0</v>
      </c>
      <c r="F19001" s="2">
        <v>0</v>
      </c>
      <c r="G19001" s="2">
        <v>0</v>
      </c>
      <c r="H19001" s="1" t="s">
        <v>0</v>
      </c>
      <c r="I19001" s="2">
        <v>0</v>
      </c>
      <c r="J19001" s="1">
        <v>45937.718773148146</v>
      </c>
    </row>
    <row r="19002" spans="1:10" x14ac:dyDescent="0.2">
      <c r="A19002" s="4" t="s">
        <v>1</v>
      </c>
      <c r="B190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02" s="3" t="str">
        <f>HYPERLINK("https://otsuka-europe-crm.veevavault.com/ui/#object/sent_email__v/VBLZ025E82HE2TN", "SE-000284616")</f>
        <v>SE-000284616</v>
      </c>
      <c r="D19002" s="1">
        <v>45937.720138888886</v>
      </c>
      <c r="E19002" s="2">
        <v>1</v>
      </c>
      <c r="F19002" s="2">
        <v>2</v>
      </c>
      <c r="G19002" s="2">
        <v>0</v>
      </c>
      <c r="H19002" s="1" t="s">
        <v>0</v>
      </c>
      <c r="I19002" s="2">
        <v>0</v>
      </c>
      <c r="J19002" s="1">
        <v>45937.718784722223</v>
      </c>
    </row>
    <row r="19003" spans="1:10" x14ac:dyDescent="0.2">
      <c r="A19003" s="4" t="s">
        <v>1</v>
      </c>
      <c r="B190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03" s="3" t="str">
        <f>HYPERLINK("https://otsuka-europe-crm.veevavault.com/ui/#object/sent_email__v/VBLZ025E82HE2TO", "SE-000284617")</f>
        <v>SE-000284617</v>
      </c>
      <c r="D19003" s="1">
        <v>45937.930787037039</v>
      </c>
      <c r="E19003" s="2">
        <v>1</v>
      </c>
      <c r="F19003" s="2">
        <v>2</v>
      </c>
      <c r="G19003" s="2">
        <v>0</v>
      </c>
      <c r="H19003" s="1" t="s">
        <v>0</v>
      </c>
      <c r="I19003" s="2">
        <v>0</v>
      </c>
      <c r="J19003" s="1">
        <v>45937.718807870369</v>
      </c>
    </row>
    <row r="19004" spans="1:10" x14ac:dyDescent="0.2">
      <c r="A19004" s="4" t="s">
        <v>1</v>
      </c>
      <c r="B190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04" s="3" t="str">
        <f>HYPERLINK("https://otsuka-europe-crm.veevavault.com/ui/#object/sent_email__v/VBLZ025E82HE2TP", "SE-000284618")</f>
        <v>SE-000284618</v>
      </c>
      <c r="D19004" s="1" t="s">
        <v>0</v>
      </c>
      <c r="E19004" s="2">
        <v>0</v>
      </c>
      <c r="F19004" s="2">
        <v>0</v>
      </c>
      <c r="G19004" s="2">
        <v>0</v>
      </c>
      <c r="H19004" s="1" t="s">
        <v>0</v>
      </c>
      <c r="I19004" s="2">
        <v>0</v>
      </c>
      <c r="J19004" s="1">
        <v>45937.7187962963</v>
      </c>
    </row>
    <row r="19005" spans="1:10" x14ac:dyDescent="0.2">
      <c r="A19005" s="4" t="s">
        <v>1</v>
      </c>
      <c r="B190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05" s="3" t="str">
        <f>HYPERLINK("https://otsuka-europe-crm.veevavault.com/ui/#object/sent_email__v/VBLZ025E82HE2TQ", "SE-000284619")</f>
        <v>SE-000284619</v>
      </c>
      <c r="D19005" s="1" t="s">
        <v>0</v>
      </c>
      <c r="E19005" s="2">
        <v>0</v>
      </c>
      <c r="F19005" s="2">
        <v>0</v>
      </c>
      <c r="G19005" s="2">
        <v>0</v>
      </c>
      <c r="H19005" s="1" t="s">
        <v>0</v>
      </c>
      <c r="I19005" s="2">
        <v>0</v>
      </c>
      <c r="J19005" s="1">
        <v>45937.718807870369</v>
      </c>
    </row>
    <row r="19006" spans="1:10" x14ac:dyDescent="0.2">
      <c r="A19006" s="4" t="s">
        <v>1</v>
      </c>
      <c r="B190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06" s="3" t="str">
        <f>HYPERLINK("https://otsuka-europe-crm.veevavault.com/ui/#object/sent_email__v/VBLZ025E82HE2TR", "SE-000284620")</f>
        <v>SE-000284620</v>
      </c>
      <c r="D19006" s="1">
        <v>45940.293668981481</v>
      </c>
      <c r="E19006" s="2">
        <v>1</v>
      </c>
      <c r="F19006" s="2">
        <v>2</v>
      </c>
      <c r="G19006" s="2">
        <v>0</v>
      </c>
      <c r="H19006" s="1" t="s">
        <v>0</v>
      </c>
      <c r="I19006" s="2">
        <v>0</v>
      </c>
      <c r="J19006" s="1">
        <v>45937.718819444446</v>
      </c>
    </row>
    <row r="19007" spans="1:10" x14ac:dyDescent="0.2">
      <c r="A19007" s="4" t="s">
        <v>1</v>
      </c>
      <c r="B190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07" s="3" t="str">
        <f>HYPERLINK("https://otsuka-europe-crm.veevavault.com/ui/#object/sent_email__v/VBLZ025E82HE2TS", "SE-000284621")</f>
        <v>SE-000284621</v>
      </c>
      <c r="D19007" s="1">
        <v>45940.522129629629</v>
      </c>
      <c r="E19007" s="2">
        <v>1</v>
      </c>
      <c r="F19007" s="2">
        <v>1</v>
      </c>
      <c r="G19007" s="2">
        <v>1</v>
      </c>
      <c r="H19007" s="1">
        <v>45940.540324074071</v>
      </c>
      <c r="I19007" s="2">
        <v>4</v>
      </c>
      <c r="J19007" s="1">
        <v>45937.718831018516</v>
      </c>
    </row>
    <row r="19008" spans="1:10" x14ac:dyDescent="0.2">
      <c r="A19008" s="4" t="s">
        <v>1</v>
      </c>
      <c r="B190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08" s="3" t="str">
        <f>HYPERLINK("https://otsuka-europe-crm.veevavault.com/ui/#object/sent_email__v/VBLZ025E82HE2TT", "SE-000284622")</f>
        <v>SE-000284622</v>
      </c>
      <c r="D19008" s="1">
        <v>45937.722187500003</v>
      </c>
      <c r="E19008" s="2">
        <v>1</v>
      </c>
      <c r="F19008" s="2">
        <v>1</v>
      </c>
      <c r="G19008" s="2">
        <v>0</v>
      </c>
      <c r="H19008" s="1" t="s">
        <v>0</v>
      </c>
      <c r="I19008" s="2">
        <v>0</v>
      </c>
      <c r="J19008" s="1">
        <v>45937.718842592592</v>
      </c>
    </row>
    <row r="19009" spans="1:10" x14ac:dyDescent="0.2">
      <c r="A19009" s="4" t="s">
        <v>1</v>
      </c>
      <c r="B190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09" s="3" t="str">
        <f>HYPERLINK("https://otsuka-europe-crm.veevavault.com/ui/#object/sent_email__v/VBLZ025E82HE2TU", "SE-000284623")</f>
        <v>SE-000284623</v>
      </c>
      <c r="D19009" s="1">
        <v>45937.72928240741</v>
      </c>
      <c r="E19009" s="2">
        <v>1</v>
      </c>
      <c r="F19009" s="2">
        <v>1</v>
      </c>
      <c r="G19009" s="2">
        <v>0</v>
      </c>
      <c r="H19009" s="1" t="s">
        <v>0</v>
      </c>
      <c r="I19009" s="2">
        <v>0</v>
      </c>
      <c r="J19009" s="1">
        <v>45937.718854166669</v>
      </c>
    </row>
    <row r="19010" spans="1:10" x14ac:dyDescent="0.2">
      <c r="A19010" s="4" t="s">
        <v>1</v>
      </c>
      <c r="B190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10" s="3" t="str">
        <f>HYPERLINK("https://otsuka-europe-crm.veevavault.com/ui/#object/sent_email__v/VBLZ025E82HE2TV", "SE-000284624")</f>
        <v>SE-000284624</v>
      </c>
      <c r="D19010" s="1">
        <v>45938.429328703707</v>
      </c>
      <c r="E19010" s="2">
        <v>1</v>
      </c>
      <c r="F19010" s="2">
        <v>2</v>
      </c>
      <c r="G19010" s="2">
        <v>0</v>
      </c>
      <c r="H19010" s="1" t="s">
        <v>0</v>
      </c>
      <c r="I19010" s="2">
        <v>0</v>
      </c>
      <c r="J19010" s="1">
        <v>45937.718877314815</v>
      </c>
    </row>
    <row r="19011" spans="1:10" x14ac:dyDescent="0.2">
      <c r="A19011" s="4" t="s">
        <v>1</v>
      </c>
      <c r="B190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11" s="3" t="str">
        <f>HYPERLINK("https://otsuka-europe-crm.veevavault.com/ui/#object/sent_email__v/VBLZ025E82HE2TW", "SE-000284625")</f>
        <v>SE-000284625</v>
      </c>
      <c r="D19011" s="1">
        <v>45937.727824074071</v>
      </c>
      <c r="E19011" s="2">
        <v>1</v>
      </c>
      <c r="F19011" s="2">
        <v>1</v>
      </c>
      <c r="G19011" s="2">
        <v>0</v>
      </c>
      <c r="H19011" s="1" t="s">
        <v>0</v>
      </c>
      <c r="I19011" s="2">
        <v>0</v>
      </c>
      <c r="J19011" s="1">
        <v>45937.718888888892</v>
      </c>
    </row>
    <row r="19012" spans="1:10" x14ac:dyDescent="0.2">
      <c r="A19012" s="4" t="s">
        <v>1</v>
      </c>
      <c r="B190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12" s="3" t="str">
        <f>HYPERLINK("https://otsuka-europe-crm.veevavault.com/ui/#object/sent_email__v/VBLZ025E82HE2TX", "SE-000284626")</f>
        <v>SE-000284626</v>
      </c>
      <c r="D19012" s="1" t="s">
        <v>0</v>
      </c>
      <c r="E19012" s="2">
        <v>0</v>
      </c>
      <c r="F19012" s="2">
        <v>0</v>
      </c>
      <c r="G19012" s="2">
        <v>0</v>
      </c>
      <c r="H19012" s="1" t="s">
        <v>0</v>
      </c>
      <c r="I19012" s="2">
        <v>0</v>
      </c>
      <c r="J19012" s="1">
        <v>45937.718888888892</v>
      </c>
    </row>
    <row r="19013" spans="1:10" x14ac:dyDescent="0.2">
      <c r="A19013" s="4" t="s">
        <v>1</v>
      </c>
      <c r="B190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13" s="3" t="str">
        <f>HYPERLINK("https://otsuka-europe-crm.veevavault.com/ui/#object/sent_email__v/VBLZ025E82HE2TY", "SE-000284627")</f>
        <v>SE-000284627</v>
      </c>
      <c r="D19013" s="1">
        <v>45938.465416666666</v>
      </c>
      <c r="E19013" s="2">
        <v>1</v>
      </c>
      <c r="F19013" s="2">
        <v>3</v>
      </c>
      <c r="G19013" s="2">
        <v>0</v>
      </c>
      <c r="H19013" s="1" t="s">
        <v>0</v>
      </c>
      <c r="I19013" s="2">
        <v>0</v>
      </c>
      <c r="J19013" s="1">
        <v>45937.718888888892</v>
      </c>
    </row>
    <row r="19014" spans="1:10" x14ac:dyDescent="0.2">
      <c r="A19014" s="4" t="s">
        <v>1</v>
      </c>
      <c r="B190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14" s="3" t="str">
        <f>HYPERLINK("https://otsuka-europe-crm.veevavault.com/ui/#object/sent_email__v/VBLZ025E82HE2TZ", "SE-000284628")</f>
        <v>SE-000284628</v>
      </c>
      <c r="D19014" s="1">
        <v>45938.106539351851</v>
      </c>
      <c r="E19014" s="2">
        <v>1</v>
      </c>
      <c r="F19014" s="2">
        <v>1</v>
      </c>
      <c r="G19014" s="2">
        <v>0</v>
      </c>
      <c r="H19014" s="1" t="s">
        <v>0</v>
      </c>
      <c r="I19014" s="2">
        <v>0</v>
      </c>
      <c r="J19014" s="1">
        <v>45937.718900462962</v>
      </c>
    </row>
    <row r="19015" spans="1:10" x14ac:dyDescent="0.2">
      <c r="A19015" s="4" t="s">
        <v>1</v>
      </c>
      <c r="B190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15" s="3" t="str">
        <f>HYPERLINK("https://otsuka-europe-crm.veevavault.com/ui/#object/sent_email__v/VBLZ025E82HE2U0", "SE-000284629")</f>
        <v>SE-000284629</v>
      </c>
      <c r="D19015" s="1">
        <v>45938.508726851855</v>
      </c>
      <c r="E19015" s="2">
        <v>1</v>
      </c>
      <c r="F19015" s="2">
        <v>2</v>
      </c>
      <c r="G19015" s="2">
        <v>0</v>
      </c>
      <c r="H19015" s="1" t="s">
        <v>0</v>
      </c>
      <c r="I19015" s="2">
        <v>0</v>
      </c>
      <c r="J19015" s="1">
        <v>45937.718912037039</v>
      </c>
    </row>
    <row r="19016" spans="1:10" x14ac:dyDescent="0.2">
      <c r="A19016" s="4" t="s">
        <v>1</v>
      </c>
      <c r="B190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16" s="3" t="str">
        <f>HYPERLINK("https://otsuka-europe-crm.veevavault.com/ui/#object/sent_email__v/VBLZ025E82HE2U1", "SE-000284630")</f>
        <v>SE-000284630</v>
      </c>
      <c r="D19016" s="1">
        <v>45937.765833333331</v>
      </c>
      <c r="E19016" s="2">
        <v>1</v>
      </c>
      <c r="F19016" s="2">
        <v>2</v>
      </c>
      <c r="G19016" s="2">
        <v>0</v>
      </c>
      <c r="H19016" s="1" t="s">
        <v>0</v>
      </c>
      <c r="I19016" s="2">
        <v>0</v>
      </c>
      <c r="J19016" s="1">
        <v>45937.718923611108</v>
      </c>
    </row>
    <row r="19017" spans="1:10" x14ac:dyDescent="0.2">
      <c r="A19017" s="4" t="s">
        <v>1</v>
      </c>
      <c r="B190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17" s="3" t="str">
        <f>HYPERLINK("https://otsuka-europe-crm.veevavault.com/ui/#object/sent_email__v/VBLZ025E82HE2U2", "SE-000284631")</f>
        <v>SE-000284631</v>
      </c>
      <c r="D19017" s="1">
        <v>45953.784270833334</v>
      </c>
      <c r="E19017" s="2">
        <v>1</v>
      </c>
      <c r="F19017" s="2">
        <v>3</v>
      </c>
      <c r="G19017" s="2">
        <v>1</v>
      </c>
      <c r="H19017" s="1">
        <v>45953.784490740742</v>
      </c>
      <c r="I19017" s="2">
        <v>4</v>
      </c>
      <c r="J19017" s="1">
        <v>45937.718935185185</v>
      </c>
    </row>
    <row r="19018" spans="1:10" x14ac:dyDescent="0.2">
      <c r="A19018" s="4" t="s">
        <v>1</v>
      </c>
      <c r="B190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18" s="3" t="str">
        <f>HYPERLINK("https://otsuka-europe-crm.veevavault.com/ui/#object/sent_email__v/VBLZ025E82HE2U3", "SE-000284632")</f>
        <v>SE-000284632</v>
      </c>
      <c r="D19018" s="1">
        <v>45938.315115740741</v>
      </c>
      <c r="E19018" s="2">
        <v>1</v>
      </c>
      <c r="F19018" s="2">
        <v>2</v>
      </c>
      <c r="G19018" s="2">
        <v>0</v>
      </c>
      <c r="H19018" s="1" t="s">
        <v>0</v>
      </c>
      <c r="I19018" s="2">
        <v>0</v>
      </c>
      <c r="J19018" s="1">
        <v>45937.718946759262</v>
      </c>
    </row>
    <row r="19019" spans="1:10" x14ac:dyDescent="0.2">
      <c r="A19019" s="4" t="s">
        <v>1</v>
      </c>
      <c r="B190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19" s="3" t="str">
        <f>HYPERLINK("https://otsuka-europe-crm.veevavault.com/ui/#object/sent_email__v/VBLZ025E82HE31L", "SE-000284633")</f>
        <v>SE-000284633</v>
      </c>
      <c r="D19019" s="1" t="s">
        <v>0</v>
      </c>
      <c r="E19019" s="2">
        <v>0</v>
      </c>
      <c r="F19019" s="2">
        <v>0</v>
      </c>
      <c r="G19019" s="2">
        <v>0</v>
      </c>
      <c r="H19019" s="1" t="s">
        <v>0</v>
      </c>
      <c r="I19019" s="2">
        <v>0</v>
      </c>
      <c r="J19019" s="1">
        <v>45937.718981481485</v>
      </c>
    </row>
    <row r="19020" spans="1:10" x14ac:dyDescent="0.2">
      <c r="A19020" s="4" t="s">
        <v>1</v>
      </c>
      <c r="B190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20" s="3" t="str">
        <f>HYPERLINK("https://otsuka-europe-crm.veevavault.com/ui/#object/sent_email__v/VBLZ025E82HE31M", "SE-000284634")</f>
        <v>SE-000284634</v>
      </c>
      <c r="D19020" s="1">
        <v>45937.720891203702</v>
      </c>
      <c r="E19020" s="2">
        <v>1</v>
      </c>
      <c r="F19020" s="2">
        <v>1</v>
      </c>
      <c r="G19020" s="2">
        <v>0</v>
      </c>
      <c r="H19020" s="1" t="s">
        <v>0</v>
      </c>
      <c r="I19020" s="2">
        <v>0</v>
      </c>
      <c r="J19020" s="1">
        <v>45937.718981481485</v>
      </c>
    </row>
    <row r="19021" spans="1:10" x14ac:dyDescent="0.2">
      <c r="A19021" s="4" t="s">
        <v>1</v>
      </c>
      <c r="B190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21" s="3" t="str">
        <f>HYPERLINK("https://otsuka-europe-crm.veevavault.com/ui/#object/sent_email__v/VBLZ025E82HE31N", "SE-000284635")</f>
        <v>SE-000284635</v>
      </c>
      <c r="D19021" s="1" t="s">
        <v>0</v>
      </c>
      <c r="E19021" s="2">
        <v>0</v>
      </c>
      <c r="F19021" s="2">
        <v>0</v>
      </c>
      <c r="G19021" s="2">
        <v>0</v>
      </c>
      <c r="H19021" s="1" t="s">
        <v>0</v>
      </c>
      <c r="I19021" s="2">
        <v>0</v>
      </c>
      <c r="J19021" s="1">
        <v>45937.718993055554</v>
      </c>
    </row>
    <row r="19022" spans="1:10" x14ac:dyDescent="0.2">
      <c r="A19022" s="4" t="s">
        <v>1</v>
      </c>
      <c r="B190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22" s="3" t="str">
        <f>HYPERLINK("https://otsuka-europe-crm.veevavault.com/ui/#object/sent_email__v/VBLZ025E82HE31O", "SE-000284636")</f>
        <v>SE-000284636</v>
      </c>
      <c r="D19022" s="1">
        <v>46066.680277777778</v>
      </c>
      <c r="E19022" s="2">
        <v>1</v>
      </c>
      <c r="F19022" s="2">
        <v>2</v>
      </c>
      <c r="G19022" s="2">
        <v>0</v>
      </c>
      <c r="H19022" s="1" t="s">
        <v>0</v>
      </c>
      <c r="I19022" s="2">
        <v>0</v>
      </c>
      <c r="J19022" s="1">
        <v>45937.7190162037</v>
      </c>
    </row>
    <row r="19023" spans="1:10" x14ac:dyDescent="0.2">
      <c r="A19023" s="4" t="s">
        <v>1</v>
      </c>
      <c r="B190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23" s="3" t="str">
        <f>HYPERLINK("https://otsuka-europe-crm.veevavault.com/ui/#object/sent_email__v/VBLZ025E82HE31P", "SE-000284637")</f>
        <v>SE-000284637</v>
      </c>
      <c r="D19023" s="1">
        <v>45937.731550925928</v>
      </c>
      <c r="E19023" s="2">
        <v>1</v>
      </c>
      <c r="F19023" s="2">
        <v>1</v>
      </c>
      <c r="G19023" s="2">
        <v>0</v>
      </c>
      <c r="H19023" s="1" t="s">
        <v>0</v>
      </c>
      <c r="I19023" s="2">
        <v>0</v>
      </c>
      <c r="J19023" s="1">
        <v>45937.7190162037</v>
      </c>
    </row>
    <row r="19024" spans="1:10" x14ac:dyDescent="0.2">
      <c r="A19024" s="4" t="s">
        <v>1</v>
      </c>
      <c r="B190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24" s="3" t="str">
        <f>HYPERLINK("https://otsuka-europe-crm.veevavault.com/ui/#object/sent_email__v/VBLZ025E82HE31Q", "SE-000284638")</f>
        <v>SE-000284638</v>
      </c>
      <c r="D19024" s="1" t="s">
        <v>0</v>
      </c>
      <c r="E19024" s="2">
        <v>0</v>
      </c>
      <c r="F19024" s="2">
        <v>0</v>
      </c>
      <c r="G19024" s="2">
        <v>0</v>
      </c>
      <c r="H19024" s="1" t="s">
        <v>0</v>
      </c>
      <c r="I19024" s="2">
        <v>0</v>
      </c>
      <c r="J19024" s="1">
        <v>45937.719027777777</v>
      </c>
    </row>
    <row r="19025" spans="1:10" x14ac:dyDescent="0.2">
      <c r="A19025" s="4" t="s">
        <v>1</v>
      </c>
      <c r="B190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25" s="3" t="str">
        <f>HYPERLINK("https://otsuka-europe-crm.veevavault.com/ui/#object/sent_email__v/VBLZ025E82HE31R", "SE-000284639")</f>
        <v>SE-000284639</v>
      </c>
      <c r="D19025" s="1">
        <v>45937.813738425924</v>
      </c>
      <c r="E19025" s="2">
        <v>1</v>
      </c>
      <c r="F19025" s="2">
        <v>1</v>
      </c>
      <c r="G19025" s="2">
        <v>0</v>
      </c>
      <c r="H19025" s="1" t="s">
        <v>0</v>
      </c>
      <c r="I19025" s="2">
        <v>0</v>
      </c>
      <c r="J19025" s="1">
        <v>45937.719039351854</v>
      </c>
    </row>
    <row r="19026" spans="1:10" x14ac:dyDescent="0.2">
      <c r="A19026" s="4" t="s">
        <v>1</v>
      </c>
      <c r="B190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26" s="3" t="str">
        <f>HYPERLINK("https://otsuka-europe-crm.veevavault.com/ui/#object/sent_email__v/VBLZ025E82HE31S", "SE-000284640")</f>
        <v>SE-000284640</v>
      </c>
      <c r="D19026" s="1" t="s">
        <v>0</v>
      </c>
      <c r="E19026" s="2">
        <v>0</v>
      </c>
      <c r="F19026" s="2">
        <v>0</v>
      </c>
      <c r="G19026" s="2">
        <v>0</v>
      </c>
      <c r="H19026" s="1" t="s">
        <v>0</v>
      </c>
      <c r="I19026" s="2">
        <v>0</v>
      </c>
      <c r="J19026" s="1">
        <v>45937.719039351854</v>
      </c>
    </row>
    <row r="19027" spans="1:10" x14ac:dyDescent="0.2">
      <c r="A19027" s="4" t="s">
        <v>1</v>
      </c>
      <c r="B190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27" s="3" t="str">
        <f>HYPERLINK("https://otsuka-europe-crm.veevavault.com/ui/#object/sent_email__v/VBLZ025E82HE31T", "SE-000284641")</f>
        <v>SE-000284641</v>
      </c>
      <c r="D19027" s="1">
        <v>45943.461296296293</v>
      </c>
      <c r="E19027" s="2">
        <v>1</v>
      </c>
      <c r="F19027" s="2">
        <v>4</v>
      </c>
      <c r="G19027" s="2">
        <v>0</v>
      </c>
      <c r="H19027" s="1" t="s">
        <v>0</v>
      </c>
      <c r="I19027" s="2">
        <v>0</v>
      </c>
      <c r="J19027" s="1">
        <v>45937.719050925924</v>
      </c>
    </row>
    <row r="19028" spans="1:10" x14ac:dyDescent="0.2">
      <c r="A19028" s="4" t="s">
        <v>1</v>
      </c>
      <c r="B190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28" s="3" t="str">
        <f>HYPERLINK("https://otsuka-europe-crm.veevavault.com/ui/#object/sent_email__v/VBLZ025E82HE31U", "SE-000284642")</f>
        <v>SE-000284642</v>
      </c>
      <c r="D19028" s="1">
        <v>45938.021458333336</v>
      </c>
      <c r="E19028" s="2">
        <v>1</v>
      </c>
      <c r="F19028" s="2">
        <v>3</v>
      </c>
      <c r="G19028" s="2">
        <v>0</v>
      </c>
      <c r="H19028" s="1" t="s">
        <v>0</v>
      </c>
      <c r="I19028" s="2">
        <v>0</v>
      </c>
      <c r="J19028" s="1">
        <v>45937.7190625</v>
      </c>
    </row>
    <row r="19029" spans="1:10" x14ac:dyDescent="0.2">
      <c r="A19029" s="4" t="s">
        <v>1</v>
      </c>
      <c r="B190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29" s="3" t="str">
        <f>HYPERLINK("https://otsuka-europe-crm.veevavault.com/ui/#object/sent_email__v/VBLZ025E82HE31V", "SE-000284643")</f>
        <v>SE-000284643</v>
      </c>
      <c r="D19029" s="1">
        <v>45937.719166666669</v>
      </c>
      <c r="E19029" s="2">
        <v>1</v>
      </c>
      <c r="F19029" s="2">
        <v>1</v>
      </c>
      <c r="G19029" s="2">
        <v>0</v>
      </c>
      <c r="H19029" s="1" t="s">
        <v>0</v>
      </c>
      <c r="I19029" s="2">
        <v>0</v>
      </c>
      <c r="J19029" s="1">
        <v>45937.719074074077</v>
      </c>
    </row>
    <row r="19030" spans="1:10" x14ac:dyDescent="0.2">
      <c r="A19030" s="4" t="s">
        <v>1</v>
      </c>
      <c r="B190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30" s="3" t="str">
        <f>HYPERLINK("https://otsuka-europe-crm.veevavault.com/ui/#object/sent_email__v/VBLZ025E82HE31W", "SE-000284644")</f>
        <v>SE-000284644</v>
      </c>
      <c r="D19030" s="1">
        <v>45938.563020833331</v>
      </c>
      <c r="E19030" s="2">
        <v>1</v>
      </c>
      <c r="F19030" s="2">
        <v>2</v>
      </c>
      <c r="G19030" s="2">
        <v>1</v>
      </c>
      <c r="H19030" s="1">
        <v>45938.562152777777</v>
      </c>
      <c r="I19030" s="2">
        <v>1</v>
      </c>
      <c r="J19030" s="1">
        <v>45937.719085648147</v>
      </c>
    </row>
    <row r="19031" spans="1:10" x14ac:dyDescent="0.2">
      <c r="A19031" s="4" t="s">
        <v>1</v>
      </c>
      <c r="B190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31" s="3" t="str">
        <f>HYPERLINK("https://otsuka-europe-crm.veevavault.com/ui/#object/sent_email__v/VBLZ025E82HE31X", "SE-000284645")</f>
        <v>SE-000284645</v>
      </c>
      <c r="D19031" s="1" t="s">
        <v>0</v>
      </c>
      <c r="E19031" s="2">
        <v>0</v>
      </c>
      <c r="F19031" s="2">
        <v>0</v>
      </c>
      <c r="G19031" s="2">
        <v>0</v>
      </c>
      <c r="H19031" s="1" t="s">
        <v>0</v>
      </c>
      <c r="I19031" s="2">
        <v>0</v>
      </c>
      <c r="J19031" s="1">
        <v>45937.719085648147</v>
      </c>
    </row>
    <row r="19032" spans="1:10" x14ac:dyDescent="0.2">
      <c r="A19032" s="4" t="s">
        <v>1</v>
      </c>
      <c r="B190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32" s="3" t="str">
        <f>HYPERLINK("https://otsuka-europe-crm.veevavault.com/ui/#object/sent_email__v/VBLZ025E82HE31Y", "SE-000284646")</f>
        <v>SE-000284646</v>
      </c>
      <c r="D19032" s="1">
        <v>45937.723749999997</v>
      </c>
      <c r="E19032" s="2">
        <v>1</v>
      </c>
      <c r="F19032" s="2">
        <v>1</v>
      </c>
      <c r="G19032" s="2">
        <v>0</v>
      </c>
      <c r="H19032" s="1" t="s">
        <v>0</v>
      </c>
      <c r="I19032" s="2">
        <v>0</v>
      </c>
      <c r="J19032" s="1">
        <v>45937.719108796293</v>
      </c>
    </row>
    <row r="19033" spans="1:10" x14ac:dyDescent="0.2">
      <c r="A19033" s="4" t="s">
        <v>1</v>
      </c>
      <c r="B190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33" s="3" t="str">
        <f>HYPERLINK("https://otsuka-europe-crm.veevavault.com/ui/#object/sent_email__v/VBLZ025E82HE31Z", "SE-000284647")</f>
        <v>SE-000284647</v>
      </c>
      <c r="D19033" s="1" t="s">
        <v>0</v>
      </c>
      <c r="E19033" s="2">
        <v>0</v>
      </c>
      <c r="F19033" s="2">
        <v>0</v>
      </c>
      <c r="G19033" s="2">
        <v>0</v>
      </c>
      <c r="H19033" s="1" t="s">
        <v>0</v>
      </c>
      <c r="I19033" s="2">
        <v>0</v>
      </c>
      <c r="J19033" s="1">
        <v>45937.71912037037</v>
      </c>
    </row>
    <row r="19034" spans="1:10" x14ac:dyDescent="0.2">
      <c r="A19034" s="4" t="s">
        <v>1</v>
      </c>
      <c r="B190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34" s="3" t="str">
        <f>HYPERLINK("https://otsuka-europe-crm.veevavault.com/ui/#object/sent_email__v/VBLZ025E82HE320", "SE-000284648")</f>
        <v>SE-000284648</v>
      </c>
      <c r="D19034" s="1" t="s">
        <v>0</v>
      </c>
      <c r="E19034" s="2">
        <v>0</v>
      </c>
      <c r="F19034" s="2">
        <v>0</v>
      </c>
      <c r="G19034" s="2">
        <v>0</v>
      </c>
      <c r="H19034" s="1" t="s">
        <v>0</v>
      </c>
      <c r="I19034" s="2">
        <v>0</v>
      </c>
      <c r="J19034" s="1">
        <v>45937.71912037037</v>
      </c>
    </row>
    <row r="19035" spans="1:10" x14ac:dyDescent="0.2">
      <c r="A19035" s="4" t="s">
        <v>1</v>
      </c>
      <c r="B190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35" s="3" t="str">
        <f>HYPERLINK("https://otsuka-europe-crm.veevavault.com/ui/#object/sent_email__v/VBLZ025E82HE321", "SE-000284649")</f>
        <v>SE-000284649</v>
      </c>
      <c r="D19035" s="1">
        <v>45993.429305555554</v>
      </c>
      <c r="E19035" s="2">
        <v>1</v>
      </c>
      <c r="F19035" s="2">
        <v>2</v>
      </c>
      <c r="G19035" s="2">
        <v>0</v>
      </c>
      <c r="H19035" s="1" t="s">
        <v>0</v>
      </c>
      <c r="I19035" s="2">
        <v>0</v>
      </c>
      <c r="J19035" s="1">
        <v>45937.719131944446</v>
      </c>
    </row>
    <row r="19036" spans="1:10" x14ac:dyDescent="0.2">
      <c r="A19036" s="4" t="s">
        <v>1</v>
      </c>
      <c r="B190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36" s="3" t="str">
        <f>HYPERLINK("https://otsuka-europe-crm.veevavault.com/ui/#object/sent_email__v/VBLZ025E82HE322", "SE-000284650")</f>
        <v>SE-000284650</v>
      </c>
      <c r="D19036" s="1">
        <v>45938.416724537034</v>
      </c>
      <c r="E19036" s="2">
        <v>1</v>
      </c>
      <c r="F19036" s="2">
        <v>1</v>
      </c>
      <c r="G19036" s="2">
        <v>0</v>
      </c>
      <c r="H19036" s="1" t="s">
        <v>0</v>
      </c>
      <c r="I19036" s="2">
        <v>0</v>
      </c>
      <c r="J19036" s="1">
        <v>45937.719143518516</v>
      </c>
    </row>
    <row r="19037" spans="1:10" x14ac:dyDescent="0.2">
      <c r="A19037" s="4" t="s">
        <v>1</v>
      </c>
      <c r="B190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37" s="3" t="str">
        <f>HYPERLINK("https://otsuka-europe-crm.veevavault.com/ui/#object/sent_email__v/VBLZ025E82HE323", "SE-000284651")</f>
        <v>SE-000284651</v>
      </c>
      <c r="D19037" s="1">
        <v>45994.403333333335</v>
      </c>
      <c r="E19037" s="2">
        <v>1</v>
      </c>
      <c r="F19037" s="2">
        <v>10</v>
      </c>
      <c r="G19037" s="2">
        <v>0</v>
      </c>
      <c r="H19037" s="1" t="s">
        <v>0</v>
      </c>
      <c r="I19037" s="2">
        <v>0</v>
      </c>
      <c r="J19037" s="1">
        <v>45937.719143518516</v>
      </c>
    </row>
    <row r="19038" spans="1:10" x14ac:dyDescent="0.2">
      <c r="A19038" s="4" t="s">
        <v>1</v>
      </c>
      <c r="B190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38" s="3" t="str">
        <f>HYPERLINK("https://otsuka-europe-crm.veevavault.com/ui/#object/sent_email__v/VBLZ025E82HEALT", "SE-000284674")</f>
        <v>SE-000284674</v>
      </c>
      <c r="D19038" s="1" t="s">
        <v>0</v>
      </c>
      <c r="E19038" s="2">
        <v>0</v>
      </c>
      <c r="F19038" s="2">
        <v>0</v>
      </c>
      <c r="G19038" s="2">
        <v>0</v>
      </c>
      <c r="H19038" s="1" t="s">
        <v>0</v>
      </c>
      <c r="I19038" s="2">
        <v>0</v>
      </c>
      <c r="J19038" s="1">
        <v>45938.371539351851</v>
      </c>
    </row>
    <row r="19039" spans="1:10" x14ac:dyDescent="0.2">
      <c r="A19039" s="4" t="s">
        <v>1</v>
      </c>
      <c r="B190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39" s="3" t="str">
        <f>HYPERLINK("https://otsuka-europe-crm.veevavault.com/ui/#object/sent_email__v/VBLZ025E82HEALU", "SE-000284675")</f>
        <v>SE-000284675</v>
      </c>
      <c r="D19039" s="1" t="s">
        <v>0</v>
      </c>
      <c r="E19039" s="2">
        <v>0</v>
      </c>
      <c r="F19039" s="2">
        <v>0</v>
      </c>
      <c r="G19039" s="2">
        <v>0</v>
      </c>
      <c r="H19039" s="1" t="s">
        <v>0</v>
      </c>
      <c r="I19039" s="2">
        <v>0</v>
      </c>
      <c r="J19039" s="1">
        <v>45938.371550925927</v>
      </c>
    </row>
    <row r="19040" spans="1:10" x14ac:dyDescent="0.2">
      <c r="A19040" s="4" t="s">
        <v>1</v>
      </c>
      <c r="B190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40" s="3" t="str">
        <f>HYPERLINK("https://otsuka-europe-crm.veevavault.com/ui/#object/sent_email__v/VBLZ025E82HEALV", "SE-000284676")</f>
        <v>SE-000284676</v>
      </c>
      <c r="D19040" s="1">
        <v>45938.852187500001</v>
      </c>
      <c r="E19040" s="2">
        <v>1</v>
      </c>
      <c r="F19040" s="2">
        <v>1</v>
      </c>
      <c r="G19040" s="2">
        <v>0</v>
      </c>
      <c r="H19040" s="1" t="s">
        <v>0</v>
      </c>
      <c r="I19040" s="2">
        <v>0</v>
      </c>
      <c r="J19040" s="1">
        <v>45938.371550925927</v>
      </c>
    </row>
    <row r="19041" spans="1:10" x14ac:dyDescent="0.2">
      <c r="A19041" s="4" t="s">
        <v>1</v>
      </c>
      <c r="B190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41" s="3" t="str">
        <f>HYPERLINK("https://otsuka-europe-crm.veevavault.com/ui/#object/sent_email__v/VBLZ025E82HEALW", "SE-000284677")</f>
        <v>SE-000284677</v>
      </c>
      <c r="D19041" s="1">
        <v>45966.754050925927</v>
      </c>
      <c r="E19041" s="2">
        <v>1</v>
      </c>
      <c r="F19041" s="2">
        <v>2</v>
      </c>
      <c r="G19041" s="2">
        <v>0</v>
      </c>
      <c r="H19041" s="1" t="s">
        <v>0</v>
      </c>
      <c r="I19041" s="2">
        <v>0</v>
      </c>
      <c r="J19041" s="1">
        <v>45938.371550925927</v>
      </c>
    </row>
    <row r="19042" spans="1:10" x14ac:dyDescent="0.2">
      <c r="A19042" s="4" t="s">
        <v>1</v>
      </c>
      <c r="B190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42" s="3" t="str">
        <f>HYPERLINK("https://otsuka-europe-crm.veevavault.com/ui/#object/sent_email__v/VBLZ025E82HEALX", "SE-000284678")</f>
        <v>SE-000284678</v>
      </c>
      <c r="D19042" s="1" t="s">
        <v>0</v>
      </c>
      <c r="E19042" s="2">
        <v>0</v>
      </c>
      <c r="F19042" s="2">
        <v>0</v>
      </c>
      <c r="G19042" s="2">
        <v>0</v>
      </c>
      <c r="H19042" s="1" t="s">
        <v>0</v>
      </c>
      <c r="I19042" s="2">
        <v>0</v>
      </c>
      <c r="J19042" s="1">
        <v>45938.371562499997</v>
      </c>
    </row>
    <row r="19043" spans="1:10" x14ac:dyDescent="0.2">
      <c r="A19043" s="4" t="s">
        <v>1</v>
      </c>
      <c r="B190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43" s="3" t="str">
        <f>HYPERLINK("https://otsuka-europe-crm.veevavault.com/ui/#object/sent_email__v/VBLZ025E82HEALY", "SE-000284679")</f>
        <v>SE-000284679</v>
      </c>
      <c r="D19043" s="1">
        <v>45938.385462962964</v>
      </c>
      <c r="E19043" s="2">
        <v>1</v>
      </c>
      <c r="F19043" s="2">
        <v>1</v>
      </c>
      <c r="G19043" s="2">
        <v>0</v>
      </c>
      <c r="H19043" s="1" t="s">
        <v>0</v>
      </c>
      <c r="I19043" s="2">
        <v>0</v>
      </c>
      <c r="J19043" s="1">
        <v>45938.371562499997</v>
      </c>
    </row>
    <row r="19044" spans="1:10" x14ac:dyDescent="0.2">
      <c r="A19044" s="4" t="s">
        <v>1</v>
      </c>
      <c r="B190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44" s="3" t="str">
        <f>HYPERLINK("https://otsuka-europe-crm.veevavault.com/ui/#object/sent_email__v/VBLZ025E82HEALZ", "SE-000284680")</f>
        <v>SE-000284680</v>
      </c>
      <c r="D19044" s="1" t="s">
        <v>0</v>
      </c>
      <c r="E19044" s="2">
        <v>0</v>
      </c>
      <c r="F19044" s="2">
        <v>0</v>
      </c>
      <c r="G19044" s="2">
        <v>0</v>
      </c>
      <c r="H19044" s="1" t="s">
        <v>0</v>
      </c>
      <c r="I19044" s="2">
        <v>0</v>
      </c>
      <c r="J19044" s="1">
        <v>45938.371574074074</v>
      </c>
    </row>
    <row r="19045" spans="1:10" x14ac:dyDescent="0.2">
      <c r="A19045" s="4" t="s">
        <v>1</v>
      </c>
      <c r="B190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45" s="3" t="str">
        <f>HYPERLINK("https://otsuka-europe-crm.veevavault.com/ui/#object/sent_email__v/VBLZ025E82HEAM0", "SE-000284681")</f>
        <v>SE-000284681</v>
      </c>
      <c r="D19045" s="1" t="s">
        <v>0</v>
      </c>
      <c r="E19045" s="2">
        <v>0</v>
      </c>
      <c r="F19045" s="2">
        <v>0</v>
      </c>
      <c r="G19045" s="2">
        <v>0</v>
      </c>
      <c r="H19045" s="1" t="s">
        <v>0</v>
      </c>
      <c r="I19045" s="2">
        <v>0</v>
      </c>
      <c r="J19045" s="1">
        <v>45938.37158564815</v>
      </c>
    </row>
    <row r="19046" spans="1:10" x14ac:dyDescent="0.2">
      <c r="A19046" s="4" t="s">
        <v>1</v>
      </c>
      <c r="B190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46" s="3" t="str">
        <f>HYPERLINK("https://otsuka-europe-crm.veevavault.com/ui/#object/sent_email__v/VBLZ025E82HEAM1", "SE-000284682")</f>
        <v>SE-000284682</v>
      </c>
      <c r="D19046" s="1">
        <v>45938.396793981483</v>
      </c>
      <c r="E19046" s="2">
        <v>1</v>
      </c>
      <c r="F19046" s="2">
        <v>1</v>
      </c>
      <c r="G19046" s="2">
        <v>0</v>
      </c>
      <c r="H19046" s="1" t="s">
        <v>0</v>
      </c>
      <c r="I19046" s="2">
        <v>0</v>
      </c>
      <c r="J19046" s="1">
        <v>45938.37159722222</v>
      </c>
    </row>
    <row r="19047" spans="1:10" x14ac:dyDescent="0.2">
      <c r="A19047" s="4" t="s">
        <v>1</v>
      </c>
      <c r="B190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47" s="3" t="str">
        <f>HYPERLINK("https://otsuka-europe-crm.veevavault.com/ui/#object/sent_email__v/VBLZ025E82HEAM2", "SE-000284683")</f>
        <v>SE-000284683</v>
      </c>
      <c r="D19047" s="1">
        <v>45939.066886574074</v>
      </c>
      <c r="E19047" s="2">
        <v>1</v>
      </c>
      <c r="F19047" s="2">
        <v>1</v>
      </c>
      <c r="G19047" s="2">
        <v>0</v>
      </c>
      <c r="H19047" s="1" t="s">
        <v>0</v>
      </c>
      <c r="I19047" s="2">
        <v>0</v>
      </c>
      <c r="J19047" s="1">
        <v>45938.371620370373</v>
      </c>
    </row>
    <row r="19048" spans="1:10" x14ac:dyDescent="0.2">
      <c r="A19048" s="4" t="s">
        <v>1</v>
      </c>
      <c r="B190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48" s="3" t="str">
        <f>HYPERLINK("https://otsuka-europe-crm.veevavault.com/ui/#object/sent_email__v/VBLZ025E82HEAM3", "SE-000284684")</f>
        <v>SE-000284684</v>
      </c>
      <c r="D19048" s="1">
        <v>45938.4922337963</v>
      </c>
      <c r="E19048" s="2">
        <v>1</v>
      </c>
      <c r="F19048" s="2">
        <v>1</v>
      </c>
      <c r="G19048" s="2">
        <v>0</v>
      </c>
      <c r="H19048" s="1" t="s">
        <v>0</v>
      </c>
      <c r="I19048" s="2">
        <v>0</v>
      </c>
      <c r="J19048" s="1">
        <v>45938.371620370373</v>
      </c>
    </row>
    <row r="19049" spans="1:10" x14ac:dyDescent="0.2">
      <c r="A19049" s="4" t="s">
        <v>1</v>
      </c>
      <c r="B190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49" s="3" t="str">
        <f>HYPERLINK("https://otsuka-europe-crm.veevavault.com/ui/#object/sent_email__v/VBLZ025E82HEAM4", "SE-000284685")</f>
        <v>SE-000284685</v>
      </c>
      <c r="D19049" s="1" t="s">
        <v>0</v>
      </c>
      <c r="E19049" s="2">
        <v>0</v>
      </c>
      <c r="F19049" s="2">
        <v>0</v>
      </c>
      <c r="G19049" s="2">
        <v>0</v>
      </c>
      <c r="H19049" s="1" t="s">
        <v>0</v>
      </c>
      <c r="I19049" s="2">
        <v>0</v>
      </c>
      <c r="J19049" s="1">
        <v>45938.371620370373</v>
      </c>
    </row>
    <row r="19050" spans="1:10" x14ac:dyDescent="0.2">
      <c r="A19050" s="4" t="s">
        <v>1</v>
      </c>
      <c r="B190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50" s="3" t="str">
        <f>HYPERLINK("https://otsuka-europe-crm.veevavault.com/ui/#object/sent_email__v/VBLZ025E82HEAM5", "SE-000284686")</f>
        <v>SE-000284686</v>
      </c>
      <c r="D19050" s="1" t="s">
        <v>0</v>
      </c>
      <c r="E19050" s="2">
        <v>0</v>
      </c>
      <c r="F19050" s="2">
        <v>0</v>
      </c>
      <c r="G19050" s="2">
        <v>0</v>
      </c>
      <c r="H19050" s="1" t="s">
        <v>0</v>
      </c>
      <c r="I19050" s="2">
        <v>0</v>
      </c>
      <c r="J19050" s="1">
        <v>45938.371631944443</v>
      </c>
    </row>
    <row r="19051" spans="1:10" x14ac:dyDescent="0.2">
      <c r="A19051" s="4" t="s">
        <v>1</v>
      </c>
      <c r="B190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51" s="3" t="str">
        <f>HYPERLINK("https://otsuka-europe-crm.veevavault.com/ui/#object/sent_email__v/VBLZ025E82HEAM6", "SE-000284687")</f>
        <v>SE-000284687</v>
      </c>
      <c r="D19051" s="1">
        <v>45938.652986111112</v>
      </c>
      <c r="E19051" s="2">
        <v>1</v>
      </c>
      <c r="F19051" s="2">
        <v>2</v>
      </c>
      <c r="G19051" s="2">
        <v>0</v>
      </c>
      <c r="H19051" s="1" t="s">
        <v>0</v>
      </c>
      <c r="I19051" s="2">
        <v>0</v>
      </c>
      <c r="J19051" s="1">
        <v>45938.37164351852</v>
      </c>
    </row>
    <row r="19052" spans="1:10" x14ac:dyDescent="0.2">
      <c r="A19052" s="4" t="s">
        <v>1</v>
      </c>
      <c r="B190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52" s="3" t="str">
        <f>HYPERLINK("https://otsuka-europe-crm.veevavault.com/ui/#object/sent_email__v/VBLZ025E82HEAM7", "SE-000284688")</f>
        <v>SE-000284688</v>
      </c>
      <c r="D19052" s="1" t="s">
        <v>0</v>
      </c>
      <c r="E19052" s="2">
        <v>0</v>
      </c>
      <c r="F19052" s="2">
        <v>0</v>
      </c>
      <c r="G19052" s="2">
        <v>0</v>
      </c>
      <c r="H19052" s="1" t="s">
        <v>0</v>
      </c>
      <c r="I19052" s="2">
        <v>0</v>
      </c>
      <c r="J19052" s="1">
        <v>45938.371666666666</v>
      </c>
    </row>
    <row r="19053" spans="1:10" x14ac:dyDescent="0.2">
      <c r="A19053" s="4" t="s">
        <v>1</v>
      </c>
      <c r="B190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53" s="3" t="str">
        <f>HYPERLINK("https://otsuka-europe-crm.veevavault.com/ui/#object/sent_email__v/VBLZ025E82HEAM8", "SE-000284689")</f>
        <v>SE-000284689</v>
      </c>
      <c r="D19053" s="1">
        <v>45939.028113425928</v>
      </c>
      <c r="E19053" s="2">
        <v>1</v>
      </c>
      <c r="F19053" s="2">
        <v>2</v>
      </c>
      <c r="G19053" s="2">
        <v>1</v>
      </c>
      <c r="H19053" s="1">
        <v>45938.710405092592</v>
      </c>
      <c r="I19053" s="2">
        <v>1</v>
      </c>
      <c r="J19053" s="1">
        <v>45938.371678240743</v>
      </c>
    </row>
    <row r="19054" spans="1:10" x14ac:dyDescent="0.2">
      <c r="A19054" s="4" t="s">
        <v>1</v>
      </c>
      <c r="B190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54" s="3" t="str">
        <f>HYPERLINK("https://otsuka-europe-crm.veevavault.com/ui/#object/sent_email__v/VBLZ025E82HEAM9", "SE-000284690")</f>
        <v>SE-000284690</v>
      </c>
      <c r="D19054" s="1">
        <v>45943.801678240743</v>
      </c>
      <c r="E19054" s="2">
        <v>1</v>
      </c>
      <c r="F19054" s="2">
        <v>3</v>
      </c>
      <c r="G19054" s="2">
        <v>0</v>
      </c>
      <c r="H19054" s="1" t="s">
        <v>0</v>
      </c>
      <c r="I19054" s="2">
        <v>0</v>
      </c>
      <c r="J19054" s="1">
        <v>45938.371666666666</v>
      </c>
    </row>
    <row r="19055" spans="1:10" x14ac:dyDescent="0.2">
      <c r="A19055" s="4" t="s">
        <v>1</v>
      </c>
      <c r="B190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55" s="3" t="str">
        <f>HYPERLINK("https://otsuka-europe-crm.veevavault.com/ui/#object/sent_email__v/VBLZ025E82HEAMA", "SE-000284691")</f>
        <v>SE-000284691</v>
      </c>
      <c r="D19055" s="1" t="s">
        <v>0</v>
      </c>
      <c r="E19055" s="2">
        <v>0</v>
      </c>
      <c r="F19055" s="2">
        <v>0</v>
      </c>
      <c r="G19055" s="2">
        <v>0</v>
      </c>
      <c r="H19055" s="1" t="s">
        <v>0</v>
      </c>
      <c r="I19055" s="2">
        <v>0</v>
      </c>
      <c r="J19055" s="1">
        <v>45938.371678240743</v>
      </c>
    </row>
    <row r="19056" spans="1:10" x14ac:dyDescent="0.2">
      <c r="A19056" s="4" t="s">
        <v>1</v>
      </c>
      <c r="B190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56" s="3" t="str">
        <f>HYPERLINK("https://otsuka-europe-crm.veevavault.com/ui/#object/sent_email__v/VBLZ025E82HEAMB", "SE-000284692")</f>
        <v>SE-000284692</v>
      </c>
      <c r="D19056" s="1">
        <v>45938.415011574078</v>
      </c>
      <c r="E19056" s="2">
        <v>1</v>
      </c>
      <c r="F19056" s="2">
        <v>5</v>
      </c>
      <c r="G19056" s="2">
        <v>0</v>
      </c>
      <c r="H19056" s="1" t="s">
        <v>0</v>
      </c>
      <c r="I19056" s="2">
        <v>0</v>
      </c>
      <c r="J19056" s="1">
        <v>45938.371689814812</v>
      </c>
    </row>
    <row r="19057" spans="1:10" x14ac:dyDescent="0.2">
      <c r="A19057" s="4" t="s">
        <v>1</v>
      </c>
      <c r="B190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57" s="3" t="str">
        <f>HYPERLINK("https://otsuka-europe-crm.veevavault.com/ui/#object/sent_email__v/VBLZ025E82HEAMC", "SE-000284693")</f>
        <v>SE-000284693</v>
      </c>
      <c r="D19057" s="1" t="s">
        <v>0</v>
      </c>
      <c r="E19057" s="2">
        <v>0</v>
      </c>
      <c r="F19057" s="2">
        <v>0</v>
      </c>
      <c r="G19057" s="2">
        <v>0</v>
      </c>
      <c r="H19057" s="1" t="s">
        <v>0</v>
      </c>
      <c r="I19057" s="2">
        <v>0</v>
      </c>
      <c r="J19057" s="1">
        <v>45938.371701388889</v>
      </c>
    </row>
    <row r="19058" spans="1:10" x14ac:dyDescent="0.2">
      <c r="A19058" s="4" t="s">
        <v>1</v>
      </c>
      <c r="B190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58" s="3" t="str">
        <f>HYPERLINK("https://otsuka-europe-crm.veevavault.com/ui/#object/sent_email__v/VBLZ025E82HEAMD", "SE-000284694")</f>
        <v>SE-000284694</v>
      </c>
      <c r="D19058" s="1">
        <v>45938.851215277777</v>
      </c>
      <c r="E19058" s="2">
        <v>1</v>
      </c>
      <c r="F19058" s="2">
        <v>1</v>
      </c>
      <c r="G19058" s="2">
        <v>0</v>
      </c>
      <c r="H19058" s="1" t="s">
        <v>0</v>
      </c>
      <c r="I19058" s="2">
        <v>0</v>
      </c>
      <c r="J19058" s="1">
        <v>45938.371712962966</v>
      </c>
    </row>
    <row r="19059" spans="1:10" x14ac:dyDescent="0.2">
      <c r="A19059" s="4" t="s">
        <v>1</v>
      </c>
      <c r="B190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59" s="3" t="str">
        <f>HYPERLINK("https://otsuka-europe-crm.veevavault.com/ui/#object/sent_email__v/VBLZ025E82HEAME", "SE-000284695")</f>
        <v>SE-000284695</v>
      </c>
      <c r="D19059" s="1">
        <v>45938.371805555558</v>
      </c>
      <c r="E19059" s="2">
        <v>1</v>
      </c>
      <c r="F19059" s="2">
        <v>1</v>
      </c>
      <c r="G19059" s="2">
        <v>0</v>
      </c>
      <c r="H19059" s="1" t="s">
        <v>0</v>
      </c>
      <c r="I19059" s="2">
        <v>0</v>
      </c>
      <c r="J19059" s="1">
        <v>45938.371724537035</v>
      </c>
    </row>
    <row r="19060" spans="1:10" x14ac:dyDescent="0.2">
      <c r="A19060" s="4" t="s">
        <v>1</v>
      </c>
      <c r="B190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60" s="3" t="str">
        <f>HYPERLINK("https://otsuka-europe-crm.veevavault.com/ui/#object/sent_email__v/VBLZ025E82HEAMF", "SE-000284696")</f>
        <v>SE-000284696</v>
      </c>
      <c r="D19060" s="1">
        <v>45938.477986111109</v>
      </c>
      <c r="E19060" s="2">
        <v>1</v>
      </c>
      <c r="F19060" s="2">
        <v>1</v>
      </c>
      <c r="G19060" s="2">
        <v>0</v>
      </c>
      <c r="H19060" s="1" t="s">
        <v>0</v>
      </c>
      <c r="I19060" s="2">
        <v>0</v>
      </c>
      <c r="J19060" s="1">
        <v>45938.371736111112</v>
      </c>
    </row>
    <row r="19061" spans="1:10" x14ac:dyDescent="0.2">
      <c r="A19061" s="4" t="s">
        <v>1</v>
      </c>
      <c r="B190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61" s="3" t="str">
        <f>HYPERLINK("https://otsuka-europe-crm.veevavault.com/ui/#object/sent_email__v/VBLZ025E82HEAMG", "SE-000284697")</f>
        <v>SE-000284697</v>
      </c>
      <c r="D19061" s="1">
        <v>45938.594699074078</v>
      </c>
      <c r="E19061" s="2">
        <v>1</v>
      </c>
      <c r="F19061" s="2">
        <v>4</v>
      </c>
      <c r="G19061" s="2">
        <v>0</v>
      </c>
      <c r="H19061" s="1" t="s">
        <v>0</v>
      </c>
      <c r="I19061" s="2">
        <v>0</v>
      </c>
      <c r="J19061" s="1">
        <v>45938.371736111112</v>
      </c>
    </row>
    <row r="19062" spans="1:10" x14ac:dyDescent="0.2">
      <c r="A19062" s="4" t="s">
        <v>1</v>
      </c>
      <c r="B190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62" s="3" t="str">
        <f>HYPERLINK("https://otsuka-europe-crm.veevavault.com/ui/#object/sent_email__v/VBLZ025E82HEAMH", "SE-000284698")</f>
        <v>SE-000284698</v>
      </c>
      <c r="D19062" s="1" t="s">
        <v>0</v>
      </c>
      <c r="E19062" s="2">
        <v>0</v>
      </c>
      <c r="F19062" s="2">
        <v>0</v>
      </c>
      <c r="G19062" s="2">
        <v>0</v>
      </c>
      <c r="H19062" s="1" t="s">
        <v>0</v>
      </c>
      <c r="I19062" s="2">
        <v>0</v>
      </c>
      <c r="J19062" s="1">
        <v>45938.371747685182</v>
      </c>
    </row>
    <row r="19063" spans="1:10" x14ac:dyDescent="0.2">
      <c r="A19063" s="4" t="s">
        <v>1</v>
      </c>
      <c r="B190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63" s="3" t="str">
        <f>HYPERLINK("https://otsuka-europe-crm.veevavault.com/ui/#object/sent_email__v/VBLZ025E82HEAMI", "SE-000284699")</f>
        <v>SE-000284699</v>
      </c>
      <c r="D19063" s="1" t="s">
        <v>0</v>
      </c>
      <c r="E19063" s="2">
        <v>0</v>
      </c>
      <c r="F19063" s="2">
        <v>0</v>
      </c>
      <c r="G19063" s="2">
        <v>0</v>
      </c>
      <c r="H19063" s="1" t="s">
        <v>0</v>
      </c>
      <c r="I19063" s="2">
        <v>0</v>
      </c>
      <c r="J19063" s="1">
        <v>45938.371747685182</v>
      </c>
    </row>
    <row r="19064" spans="1:10" x14ac:dyDescent="0.2">
      <c r="A19064" s="4" t="s">
        <v>1</v>
      </c>
      <c r="B190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64" s="3" t="str">
        <f>HYPERLINK("https://otsuka-europe-crm.veevavault.com/ui/#object/sent_email__v/VBLZ025E82HEAMJ", "SE-000284700")</f>
        <v>SE-000284700</v>
      </c>
      <c r="D19064" s="1">
        <v>45938.703680555554</v>
      </c>
      <c r="E19064" s="2">
        <v>1</v>
      </c>
      <c r="F19064" s="2">
        <v>3</v>
      </c>
      <c r="G19064" s="2">
        <v>1</v>
      </c>
      <c r="H19064" s="1">
        <v>45938.704074074078</v>
      </c>
      <c r="I19064" s="2">
        <v>2</v>
      </c>
      <c r="J19064" s="1">
        <v>45938.371759259258</v>
      </c>
    </row>
    <row r="19065" spans="1:10" x14ac:dyDescent="0.2">
      <c r="A19065" s="4" t="s">
        <v>1</v>
      </c>
      <c r="B190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65" s="3" t="str">
        <f>HYPERLINK("https://otsuka-europe-crm.veevavault.com/ui/#object/sent_email__v/VBLZ025E82HEAMK", "SE-000284701")</f>
        <v>SE-000284701</v>
      </c>
      <c r="D19065" s="1">
        <v>45938.947152777779</v>
      </c>
      <c r="E19065" s="2">
        <v>1</v>
      </c>
      <c r="F19065" s="2">
        <v>1</v>
      </c>
      <c r="G19065" s="2">
        <v>0</v>
      </c>
      <c r="H19065" s="1" t="s">
        <v>0</v>
      </c>
      <c r="I19065" s="2">
        <v>0</v>
      </c>
      <c r="J19065" s="1">
        <v>45938.371770833335</v>
      </c>
    </row>
    <row r="19066" spans="1:10" x14ac:dyDescent="0.2">
      <c r="A19066" s="4" t="s">
        <v>1</v>
      </c>
      <c r="B190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66" s="3" t="str">
        <f>HYPERLINK("https://otsuka-europe-crm.veevavault.com/ui/#object/sent_email__v/VBLZ025E82HEAML", "SE-000284702")</f>
        <v>SE-000284702</v>
      </c>
      <c r="D19066" s="1">
        <v>45942.370474537034</v>
      </c>
      <c r="E19066" s="2">
        <v>1</v>
      </c>
      <c r="F19066" s="2">
        <v>1</v>
      </c>
      <c r="G19066" s="2">
        <v>0</v>
      </c>
      <c r="H19066" s="1" t="s">
        <v>0</v>
      </c>
      <c r="I19066" s="2">
        <v>0</v>
      </c>
      <c r="J19066" s="1">
        <v>45938.371782407405</v>
      </c>
    </row>
    <row r="19067" spans="1:10" x14ac:dyDescent="0.2">
      <c r="A19067" s="4" t="s">
        <v>1</v>
      </c>
      <c r="B190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67" s="3" t="str">
        <f>HYPERLINK("https://otsuka-europe-crm.veevavault.com/ui/#object/sent_email__v/VBLZ025E82HEAMM", "SE-000284703")</f>
        <v>SE-000284703</v>
      </c>
      <c r="D19067" s="1">
        <v>45947.523194444446</v>
      </c>
      <c r="E19067" s="2">
        <v>1</v>
      </c>
      <c r="F19067" s="2">
        <v>4</v>
      </c>
      <c r="G19067" s="2">
        <v>0</v>
      </c>
      <c r="H19067" s="1" t="s">
        <v>0</v>
      </c>
      <c r="I19067" s="2">
        <v>0</v>
      </c>
      <c r="J19067" s="1">
        <v>45938.371793981481</v>
      </c>
    </row>
    <row r="19068" spans="1:10" x14ac:dyDescent="0.2">
      <c r="A19068" s="4" t="s">
        <v>1</v>
      </c>
      <c r="B190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68" s="3" t="str">
        <f>HYPERLINK("https://otsuka-europe-crm.veevavault.com/ui/#object/sent_email__v/VBLZ025E82HEAMN", "SE-000284704")</f>
        <v>SE-000284704</v>
      </c>
      <c r="D19068" s="1" t="s">
        <v>0</v>
      </c>
      <c r="E19068" s="2">
        <v>0</v>
      </c>
      <c r="F19068" s="2">
        <v>0</v>
      </c>
      <c r="G19068" s="2">
        <v>0</v>
      </c>
      <c r="H19068" s="1" t="s">
        <v>0</v>
      </c>
      <c r="I19068" s="2">
        <v>0</v>
      </c>
      <c r="J19068" s="1">
        <v>45938.371805555558</v>
      </c>
    </row>
    <row r="19069" spans="1:10" x14ac:dyDescent="0.2">
      <c r="A19069" s="4" t="s">
        <v>1</v>
      </c>
      <c r="B190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69" s="3" t="str">
        <f>HYPERLINK("https://otsuka-europe-crm.veevavault.com/ui/#object/sent_email__v/VBLZ025E82HEAMO", "SE-000284705")</f>
        <v>SE-000284705</v>
      </c>
      <c r="D19069" s="1" t="s">
        <v>0</v>
      </c>
      <c r="E19069" s="2">
        <v>0</v>
      </c>
      <c r="F19069" s="2">
        <v>0</v>
      </c>
      <c r="G19069" s="2">
        <v>0</v>
      </c>
      <c r="H19069" s="1" t="s">
        <v>0</v>
      </c>
      <c r="I19069" s="2">
        <v>0</v>
      </c>
      <c r="J19069" s="1">
        <v>45938.371817129628</v>
      </c>
    </row>
    <row r="19070" spans="1:10" x14ac:dyDescent="0.2">
      <c r="A19070" s="4" t="s">
        <v>1</v>
      </c>
      <c r="B190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70" s="3" t="str">
        <f>HYPERLINK("https://otsuka-europe-crm.veevavault.com/ui/#object/sent_email__v/VBLZ025E82HEAMP", "SE-000284706")</f>
        <v>SE-000284706</v>
      </c>
      <c r="D19070" s="1">
        <v>45938.674085648148</v>
      </c>
      <c r="E19070" s="2">
        <v>1</v>
      </c>
      <c r="F19070" s="2">
        <v>2</v>
      </c>
      <c r="G19070" s="2">
        <v>0</v>
      </c>
      <c r="H19070" s="1" t="s">
        <v>0</v>
      </c>
      <c r="I19070" s="2">
        <v>0</v>
      </c>
      <c r="J19070" s="1">
        <v>45938.371828703705</v>
      </c>
    </row>
    <row r="19071" spans="1:10" x14ac:dyDescent="0.2">
      <c r="A19071" s="4" t="s">
        <v>1</v>
      </c>
      <c r="B190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71" s="3" t="str">
        <f>HYPERLINK("https://otsuka-europe-crm.veevavault.com/ui/#object/sent_email__v/VBLZ025E82HEAMQ", "SE-000284707")</f>
        <v>SE-000284707</v>
      </c>
      <c r="D19071" s="1">
        <v>45938.901643518519</v>
      </c>
      <c r="E19071" s="2">
        <v>1</v>
      </c>
      <c r="F19071" s="2">
        <v>1</v>
      </c>
      <c r="G19071" s="2">
        <v>0</v>
      </c>
      <c r="H19071" s="1" t="s">
        <v>0</v>
      </c>
      <c r="I19071" s="2">
        <v>0</v>
      </c>
      <c r="J19071" s="1">
        <v>45938.371828703705</v>
      </c>
    </row>
    <row r="19072" spans="1:10" x14ac:dyDescent="0.2">
      <c r="A19072" s="4" t="s">
        <v>1</v>
      </c>
      <c r="B190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72" s="3" t="str">
        <f>HYPERLINK("https://otsuka-europe-crm.veevavault.com/ui/#object/sent_email__v/VBLZ025E82HEAMR", "SE-000284708")</f>
        <v>SE-000284708</v>
      </c>
      <c r="D19072" s="1">
        <v>45939.026516203703</v>
      </c>
      <c r="E19072" s="2">
        <v>1</v>
      </c>
      <c r="F19072" s="2">
        <v>1</v>
      </c>
      <c r="G19072" s="2">
        <v>0</v>
      </c>
      <c r="H19072" s="1" t="s">
        <v>0</v>
      </c>
      <c r="I19072" s="2">
        <v>0</v>
      </c>
      <c r="J19072" s="1">
        <v>45938.371840277781</v>
      </c>
    </row>
    <row r="19073" spans="1:10" x14ac:dyDescent="0.2">
      <c r="A19073" s="4" t="s">
        <v>1</v>
      </c>
      <c r="B190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73" s="3" t="str">
        <f>HYPERLINK("https://otsuka-europe-crm.veevavault.com/ui/#object/sent_email__v/VBLZ025E82HEAMS", "SE-000284709")</f>
        <v>SE-000284709</v>
      </c>
      <c r="D19073" s="1">
        <v>45939.672766203701</v>
      </c>
      <c r="E19073" s="2">
        <v>1</v>
      </c>
      <c r="F19073" s="2">
        <v>3</v>
      </c>
      <c r="G19073" s="2">
        <v>0</v>
      </c>
      <c r="H19073" s="1" t="s">
        <v>0</v>
      </c>
      <c r="I19073" s="2">
        <v>0</v>
      </c>
      <c r="J19073" s="1">
        <v>45938.371851851851</v>
      </c>
    </row>
    <row r="19074" spans="1:10" x14ac:dyDescent="0.2">
      <c r="A19074" s="4" t="s">
        <v>1</v>
      </c>
      <c r="B190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74" s="3" t="str">
        <f>HYPERLINK("https://otsuka-europe-crm.veevavault.com/ui/#object/sent_email__v/VBLZ025E82HEAMT", "SE-000284710")</f>
        <v>SE-000284710</v>
      </c>
      <c r="D19074" s="1">
        <v>45938.420671296299</v>
      </c>
      <c r="E19074" s="2">
        <v>1</v>
      </c>
      <c r="F19074" s="2">
        <v>2</v>
      </c>
      <c r="G19074" s="2">
        <v>0</v>
      </c>
      <c r="H19074" s="1" t="s">
        <v>0</v>
      </c>
      <c r="I19074" s="2">
        <v>0</v>
      </c>
      <c r="J19074" s="1">
        <v>45938.371863425928</v>
      </c>
    </row>
    <row r="19075" spans="1:10" x14ac:dyDescent="0.2">
      <c r="A19075" s="4" t="s">
        <v>1</v>
      </c>
      <c r="B190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75" s="3" t="str">
        <f>HYPERLINK("https://otsuka-europe-crm.veevavault.com/ui/#object/sent_email__v/VBLZ025E82HEAMU", "SE-000284711")</f>
        <v>SE-000284711</v>
      </c>
      <c r="D19075" s="1">
        <v>45938.975486111114</v>
      </c>
      <c r="E19075" s="2">
        <v>1</v>
      </c>
      <c r="F19075" s="2">
        <v>3</v>
      </c>
      <c r="G19075" s="2">
        <v>0</v>
      </c>
      <c r="H19075" s="1" t="s">
        <v>0</v>
      </c>
      <c r="I19075" s="2">
        <v>0</v>
      </c>
      <c r="J19075" s="1">
        <v>45938.371863425928</v>
      </c>
    </row>
    <row r="19076" spans="1:10" x14ac:dyDescent="0.2">
      <c r="A19076" s="4" t="s">
        <v>1</v>
      </c>
      <c r="B190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76" s="3" t="str">
        <f>HYPERLINK("https://otsuka-europe-crm.veevavault.com/ui/#object/sent_email__v/VBLZ025E82HEAMV", "SE-000284712")</f>
        <v>SE-000284712</v>
      </c>
      <c r="D19076" s="1">
        <v>45938.439791666664</v>
      </c>
      <c r="E19076" s="2">
        <v>1</v>
      </c>
      <c r="F19076" s="2">
        <v>1</v>
      </c>
      <c r="G19076" s="2">
        <v>0</v>
      </c>
      <c r="H19076" s="1" t="s">
        <v>0</v>
      </c>
      <c r="I19076" s="2">
        <v>0</v>
      </c>
      <c r="J19076" s="1">
        <v>45938.371874999997</v>
      </c>
    </row>
    <row r="19077" spans="1:10" x14ac:dyDescent="0.2">
      <c r="A19077" s="4" t="s">
        <v>1</v>
      </c>
      <c r="B190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77" s="3" t="str">
        <f>HYPERLINK("https://otsuka-europe-crm.veevavault.com/ui/#object/sent_email__v/VBLZ025E82HEAMW", "SE-000284713")</f>
        <v>SE-000284713</v>
      </c>
      <c r="D19077" s="1" t="s">
        <v>0</v>
      </c>
      <c r="E19077" s="2">
        <v>0</v>
      </c>
      <c r="F19077" s="2">
        <v>0</v>
      </c>
      <c r="G19077" s="2">
        <v>0</v>
      </c>
      <c r="H19077" s="1" t="s">
        <v>0</v>
      </c>
      <c r="I19077" s="2">
        <v>0</v>
      </c>
      <c r="J19077" s="1">
        <v>45938.371886574074</v>
      </c>
    </row>
    <row r="19078" spans="1:10" x14ac:dyDescent="0.2">
      <c r="A19078" s="4" t="s">
        <v>1</v>
      </c>
      <c r="B190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78" s="3" t="str">
        <f>HYPERLINK("https://otsuka-europe-crm.veevavault.com/ui/#object/sent_email__v/VBLZ025E82HEAMX", "SE-000284714")</f>
        <v>SE-000284714</v>
      </c>
      <c r="D19078" s="1" t="s">
        <v>0</v>
      </c>
      <c r="E19078" s="2">
        <v>0</v>
      </c>
      <c r="F19078" s="2">
        <v>0</v>
      </c>
      <c r="G19078" s="2">
        <v>0</v>
      </c>
      <c r="H19078" s="1" t="s">
        <v>0</v>
      </c>
      <c r="I19078" s="2">
        <v>0</v>
      </c>
      <c r="J19078" s="1">
        <v>45938.371898148151</v>
      </c>
    </row>
    <row r="19079" spans="1:10" x14ac:dyDescent="0.2">
      <c r="A19079" s="4" t="s">
        <v>1</v>
      </c>
      <c r="B190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79" s="3" t="str">
        <f>HYPERLINK("https://otsuka-europe-crm.veevavault.com/ui/#object/sent_email__v/VBLZ025E82HEAMY", "SE-000284715")</f>
        <v>SE-000284715</v>
      </c>
      <c r="D19079" s="1">
        <v>45938.575150462966</v>
      </c>
      <c r="E19079" s="2">
        <v>1</v>
      </c>
      <c r="F19079" s="2">
        <v>1</v>
      </c>
      <c r="G19079" s="2">
        <v>0</v>
      </c>
      <c r="H19079" s="1" t="s">
        <v>0</v>
      </c>
      <c r="I19079" s="2">
        <v>0</v>
      </c>
      <c r="J19079" s="1">
        <v>45938.37190972222</v>
      </c>
    </row>
    <row r="19080" spans="1:10" x14ac:dyDescent="0.2">
      <c r="A19080" s="4" t="s">
        <v>1</v>
      </c>
      <c r="B190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80" s="3" t="str">
        <f>HYPERLINK("https://otsuka-europe-crm.veevavault.com/ui/#object/sent_email__v/VBLZ025E82HEAMZ", "SE-000284716")</f>
        <v>SE-000284716</v>
      </c>
      <c r="D19080" s="1" t="s">
        <v>0</v>
      </c>
      <c r="E19080" s="2">
        <v>0</v>
      </c>
      <c r="F19080" s="2">
        <v>0</v>
      </c>
      <c r="G19080" s="2">
        <v>0</v>
      </c>
      <c r="H19080" s="1" t="s">
        <v>0</v>
      </c>
      <c r="I19080" s="2">
        <v>0</v>
      </c>
      <c r="J19080" s="1">
        <v>45938.37190972222</v>
      </c>
    </row>
    <row r="19081" spans="1:10" x14ac:dyDescent="0.2">
      <c r="A19081" s="4" t="s">
        <v>1</v>
      </c>
      <c r="B190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81" s="3" t="str">
        <f>HYPERLINK("https://otsuka-europe-crm.veevavault.com/ui/#object/sent_email__v/VBLZ025E82HEAN0", "SE-000284717")</f>
        <v>SE-000284717</v>
      </c>
      <c r="D19081" s="1" t="s">
        <v>0</v>
      </c>
      <c r="E19081" s="2">
        <v>0</v>
      </c>
      <c r="F19081" s="2">
        <v>0</v>
      </c>
      <c r="G19081" s="2">
        <v>0</v>
      </c>
      <c r="H19081" s="1" t="s">
        <v>0</v>
      </c>
      <c r="I19081" s="2">
        <v>0</v>
      </c>
      <c r="J19081" s="1">
        <v>45938.371921296297</v>
      </c>
    </row>
    <row r="19082" spans="1:10" x14ac:dyDescent="0.2">
      <c r="A19082" s="4" t="s">
        <v>1</v>
      </c>
      <c r="B190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82" s="3" t="str">
        <f>HYPERLINK("https://otsuka-europe-crm.veevavault.com/ui/#object/sent_email__v/VBLZ025E82HEAN1", "SE-000284718")</f>
        <v>SE-000284718</v>
      </c>
      <c r="D19082" s="1">
        <v>45938.49554398148</v>
      </c>
      <c r="E19082" s="2">
        <v>1</v>
      </c>
      <c r="F19082" s="2">
        <v>2</v>
      </c>
      <c r="G19082" s="2">
        <v>0</v>
      </c>
      <c r="H19082" s="1" t="s">
        <v>0</v>
      </c>
      <c r="I19082" s="2">
        <v>0</v>
      </c>
      <c r="J19082" s="1">
        <v>45938.371932870374</v>
      </c>
    </row>
    <row r="19083" spans="1:10" x14ac:dyDescent="0.2">
      <c r="A19083" s="4" t="s">
        <v>1</v>
      </c>
      <c r="B190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83" s="3" t="str">
        <f>HYPERLINK("https://otsuka-europe-crm.veevavault.com/ui/#object/sent_email__v/VBLZ025E82HEAN2", "SE-000284719")</f>
        <v>SE-000284719</v>
      </c>
      <c r="D19083" s="1" t="s">
        <v>0</v>
      </c>
      <c r="E19083" s="2">
        <v>0</v>
      </c>
      <c r="F19083" s="2">
        <v>0</v>
      </c>
      <c r="G19083" s="2">
        <v>0</v>
      </c>
      <c r="H19083" s="1" t="s">
        <v>0</v>
      </c>
      <c r="I19083" s="2">
        <v>0</v>
      </c>
      <c r="J19083" s="1">
        <v>45938.375879629632</v>
      </c>
    </row>
    <row r="19084" spans="1:10" x14ac:dyDescent="0.2">
      <c r="A19084" s="4" t="s">
        <v>1</v>
      </c>
      <c r="B190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84" s="3" t="str">
        <f>HYPERLINK("https://otsuka-europe-crm.veevavault.com/ui/#object/sent_email__v/VBLZ025E82HEAN3", "SE-000284720")</f>
        <v>SE-000284720</v>
      </c>
      <c r="D19084" s="1">
        <v>45944.339143518519</v>
      </c>
      <c r="E19084" s="2">
        <v>1</v>
      </c>
      <c r="F19084" s="2">
        <v>2</v>
      </c>
      <c r="G19084" s="2">
        <v>0</v>
      </c>
      <c r="H19084" s="1" t="s">
        <v>0</v>
      </c>
      <c r="I19084" s="2">
        <v>0</v>
      </c>
      <c r="J19084" s="1">
        <v>45938.37195601852</v>
      </c>
    </row>
    <row r="19085" spans="1:10" x14ac:dyDescent="0.2">
      <c r="A19085" s="4" t="s">
        <v>1</v>
      </c>
      <c r="B190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85" s="3" t="str">
        <f>HYPERLINK("https://otsuka-europe-crm.veevavault.com/ui/#object/sent_email__v/VBLZ025E82HEAN4", "SE-000284721")</f>
        <v>SE-000284721</v>
      </c>
      <c r="D19085" s="1">
        <v>45944.250150462962</v>
      </c>
      <c r="E19085" s="2">
        <v>1</v>
      </c>
      <c r="F19085" s="2">
        <v>3</v>
      </c>
      <c r="G19085" s="2">
        <v>0</v>
      </c>
      <c r="H19085" s="1" t="s">
        <v>0</v>
      </c>
      <c r="I19085" s="2">
        <v>0</v>
      </c>
      <c r="J19085" s="1">
        <v>45938.371967592589</v>
      </c>
    </row>
    <row r="19086" spans="1:10" x14ac:dyDescent="0.2">
      <c r="A19086" s="4" t="s">
        <v>1</v>
      </c>
      <c r="B190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86" s="3" t="str">
        <f>HYPERLINK("https://otsuka-europe-crm.veevavault.com/ui/#object/sent_email__v/VBLZ025E82HEAN5", "SE-000284722")</f>
        <v>SE-000284722</v>
      </c>
      <c r="D19086" s="1" t="s">
        <v>0</v>
      </c>
      <c r="E19086" s="2">
        <v>0</v>
      </c>
      <c r="F19086" s="2">
        <v>0</v>
      </c>
      <c r="G19086" s="2">
        <v>0</v>
      </c>
      <c r="H19086" s="1" t="s">
        <v>0</v>
      </c>
      <c r="I19086" s="2">
        <v>0</v>
      </c>
      <c r="J19086" s="1">
        <v>45938.371979166666</v>
      </c>
    </row>
    <row r="19087" spans="1:10" x14ac:dyDescent="0.2">
      <c r="A19087" s="4" t="s">
        <v>1</v>
      </c>
      <c r="B190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87" s="3" t="str">
        <f>HYPERLINK("https://otsuka-europe-crm.veevavault.com/ui/#object/sent_email__v/VBLZ025E82HEAN6", "SE-000284723")</f>
        <v>SE-000284723</v>
      </c>
      <c r="D19087" s="1">
        <v>45960.268148148149</v>
      </c>
      <c r="E19087" s="2">
        <v>1</v>
      </c>
      <c r="F19087" s="2">
        <v>4</v>
      </c>
      <c r="G19087" s="2">
        <v>0</v>
      </c>
      <c r="H19087" s="1" t="s">
        <v>0</v>
      </c>
      <c r="I19087" s="2">
        <v>0</v>
      </c>
      <c r="J19087" s="1">
        <v>45938.371990740743</v>
      </c>
    </row>
    <row r="19088" spans="1:10" x14ac:dyDescent="0.2">
      <c r="A19088" s="4" t="s">
        <v>1</v>
      </c>
      <c r="B190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88" s="3" t="str">
        <f>HYPERLINK("https://otsuka-europe-crm.veevavault.com/ui/#object/sent_email__v/VBLZ025E82HEAN7", "SE-000284724")</f>
        <v>SE-000284724</v>
      </c>
      <c r="D19088" s="1">
        <v>45938.759016203701</v>
      </c>
      <c r="E19088" s="2">
        <v>1</v>
      </c>
      <c r="F19088" s="2">
        <v>4</v>
      </c>
      <c r="G19088" s="2">
        <v>1</v>
      </c>
      <c r="H19088" s="1">
        <v>45938.759120370371</v>
      </c>
      <c r="I19088" s="2">
        <v>1</v>
      </c>
      <c r="J19088" s="1">
        <v>45938.371990740743</v>
      </c>
    </row>
    <row r="19089" spans="1:10" x14ac:dyDescent="0.2">
      <c r="A19089" s="4" t="s">
        <v>1</v>
      </c>
      <c r="B190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89" s="3" t="str">
        <f>HYPERLINK("https://otsuka-europe-crm.veevavault.com/ui/#object/sent_email__v/VBLZ025E82HEAN8", "SE-000284725")</f>
        <v>SE-000284725</v>
      </c>
      <c r="D19089" s="1">
        <v>45968.723506944443</v>
      </c>
      <c r="E19089" s="2">
        <v>1</v>
      </c>
      <c r="F19089" s="2">
        <v>2</v>
      </c>
      <c r="G19089" s="2">
        <v>0</v>
      </c>
      <c r="H19089" s="1" t="s">
        <v>0</v>
      </c>
      <c r="I19089" s="2">
        <v>0</v>
      </c>
      <c r="J19089" s="1">
        <v>45938.372002314813</v>
      </c>
    </row>
    <row r="19090" spans="1:10" x14ac:dyDescent="0.2">
      <c r="A19090" s="4" t="s">
        <v>1</v>
      </c>
      <c r="B190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90" s="3" t="str">
        <f>HYPERLINK("https://otsuka-europe-crm.veevavault.com/ui/#object/sent_email__v/VBLZ025E82HEAN9", "SE-000284726")</f>
        <v>SE-000284726</v>
      </c>
      <c r="D19090" s="1" t="s">
        <v>0</v>
      </c>
      <c r="E19090" s="2">
        <v>0</v>
      </c>
      <c r="F19090" s="2">
        <v>0</v>
      </c>
      <c r="G19090" s="2">
        <v>0</v>
      </c>
      <c r="H19090" s="1" t="s">
        <v>0</v>
      </c>
      <c r="I19090" s="2">
        <v>0</v>
      </c>
      <c r="J19090" s="1">
        <v>45938.372013888889</v>
      </c>
    </row>
    <row r="19091" spans="1:10" x14ac:dyDescent="0.2">
      <c r="A19091" s="4" t="s">
        <v>1</v>
      </c>
      <c r="B190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91" s="3" t="str">
        <f>HYPERLINK("https://otsuka-europe-crm.veevavault.com/ui/#object/sent_email__v/VBLZ025E82HEANA", "SE-000284727")</f>
        <v>SE-000284727</v>
      </c>
      <c r="D19091" s="1" t="s">
        <v>0</v>
      </c>
      <c r="E19091" s="2">
        <v>0</v>
      </c>
      <c r="F19091" s="2">
        <v>0</v>
      </c>
      <c r="G19091" s="2">
        <v>0</v>
      </c>
      <c r="H19091" s="1" t="s">
        <v>0</v>
      </c>
      <c r="I19091" s="2">
        <v>0</v>
      </c>
      <c r="J19091" s="1">
        <v>45938.372025462966</v>
      </c>
    </row>
    <row r="19092" spans="1:10" x14ac:dyDescent="0.2">
      <c r="A19092" s="4" t="s">
        <v>1</v>
      </c>
      <c r="B190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92" s="3" t="str">
        <f>HYPERLINK("https://otsuka-europe-crm.veevavault.com/ui/#object/sent_email__v/VBLZ025E82HEANB", "SE-000284728")</f>
        <v>SE-000284728</v>
      </c>
      <c r="D19092" s="1">
        <v>45938.372175925928</v>
      </c>
      <c r="E19092" s="2">
        <v>1</v>
      </c>
      <c r="F19092" s="2">
        <v>2</v>
      </c>
      <c r="G19092" s="2">
        <v>1</v>
      </c>
      <c r="H19092" s="1">
        <v>45938.372314814813</v>
      </c>
      <c r="I19092" s="2">
        <v>3</v>
      </c>
      <c r="J19092" s="1">
        <v>45938.372037037036</v>
      </c>
    </row>
    <row r="19093" spans="1:10" x14ac:dyDescent="0.2">
      <c r="A19093" s="4" t="s">
        <v>1</v>
      </c>
      <c r="B190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93" s="3" t="str">
        <f>HYPERLINK("https://otsuka-europe-crm.veevavault.com/ui/#object/sent_email__v/VBLZ025E82HEANC", "SE-000284729")</f>
        <v>SE-000284729</v>
      </c>
      <c r="D19093" s="1" t="s">
        <v>0</v>
      </c>
      <c r="E19093" s="2">
        <v>0</v>
      </c>
      <c r="F19093" s="2">
        <v>0</v>
      </c>
      <c r="G19093" s="2">
        <v>0</v>
      </c>
      <c r="H19093" s="1" t="s">
        <v>0</v>
      </c>
      <c r="I19093" s="2">
        <v>0</v>
      </c>
      <c r="J19093" s="1">
        <v>45938.372037037036</v>
      </c>
    </row>
    <row r="19094" spans="1:10" x14ac:dyDescent="0.2">
      <c r="A19094" s="4" t="s">
        <v>1</v>
      </c>
      <c r="B190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94" s="3" t="str">
        <f>HYPERLINK("https://otsuka-europe-crm.veevavault.com/ui/#object/sent_email__v/VBLZ025E82HEAND", "SE-000284730")</f>
        <v>SE-000284730</v>
      </c>
      <c r="D19094" s="1">
        <v>45938.663599537038</v>
      </c>
      <c r="E19094" s="2">
        <v>1</v>
      </c>
      <c r="F19094" s="2">
        <v>2</v>
      </c>
      <c r="G19094" s="2">
        <v>0</v>
      </c>
      <c r="H19094" s="1" t="s">
        <v>0</v>
      </c>
      <c r="I19094" s="2">
        <v>0</v>
      </c>
      <c r="J19094" s="1">
        <v>45938.372048611112</v>
      </c>
    </row>
    <row r="19095" spans="1:10" x14ac:dyDescent="0.2">
      <c r="A19095" s="4" t="s">
        <v>1</v>
      </c>
      <c r="B190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95" s="3" t="str">
        <f>HYPERLINK("https://otsuka-europe-crm.veevavault.com/ui/#object/sent_email__v/VBLZ025E82HEANE", "SE-000284731")</f>
        <v>SE-000284731</v>
      </c>
      <c r="D19095" s="1">
        <v>45938.383587962962</v>
      </c>
      <c r="E19095" s="2">
        <v>1</v>
      </c>
      <c r="F19095" s="2">
        <v>1</v>
      </c>
      <c r="G19095" s="2">
        <v>0</v>
      </c>
      <c r="H19095" s="1" t="s">
        <v>0</v>
      </c>
      <c r="I19095" s="2">
        <v>0</v>
      </c>
      <c r="J19095" s="1">
        <v>45938.372060185182</v>
      </c>
    </row>
    <row r="19096" spans="1:10" x14ac:dyDescent="0.2">
      <c r="A19096" s="4" t="s">
        <v>1</v>
      </c>
      <c r="B190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96" s="3" t="str">
        <f>HYPERLINK("https://otsuka-europe-crm.veevavault.com/ui/#object/sent_email__v/VBLZ025E82HEANF", "SE-000284732")</f>
        <v>SE-000284732</v>
      </c>
      <c r="D19096" s="1">
        <v>45940.794675925928</v>
      </c>
      <c r="E19096" s="2">
        <v>1</v>
      </c>
      <c r="F19096" s="2">
        <v>3</v>
      </c>
      <c r="G19096" s="2">
        <v>0</v>
      </c>
      <c r="H19096" s="1" t="s">
        <v>0</v>
      </c>
      <c r="I19096" s="2">
        <v>0</v>
      </c>
      <c r="J19096" s="1">
        <v>45938.372071759259</v>
      </c>
    </row>
    <row r="19097" spans="1:10" x14ac:dyDescent="0.2">
      <c r="A19097" s="4" t="s">
        <v>1</v>
      </c>
      <c r="B190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97" s="3" t="str">
        <f>HYPERLINK("https://otsuka-europe-crm.veevavault.com/ui/#object/sent_email__v/VBLZ025E82HEANG", "SE-000284733")</f>
        <v>SE-000284733</v>
      </c>
      <c r="D19097" s="1">
        <v>45938.415798611109</v>
      </c>
      <c r="E19097" s="2">
        <v>1</v>
      </c>
      <c r="F19097" s="2">
        <v>2</v>
      </c>
      <c r="G19097" s="2">
        <v>0</v>
      </c>
      <c r="H19097" s="1" t="s">
        <v>0</v>
      </c>
      <c r="I19097" s="2">
        <v>0</v>
      </c>
      <c r="J19097" s="1">
        <v>45938.372071759259</v>
      </c>
    </row>
    <row r="19098" spans="1:10" x14ac:dyDescent="0.2">
      <c r="A19098" s="4" t="s">
        <v>1</v>
      </c>
      <c r="B190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98" s="3" t="str">
        <f>HYPERLINK("https://otsuka-europe-crm.veevavault.com/ui/#object/sent_email__v/VBLZ025E82HEANH", "SE-000284734")</f>
        <v>SE-000284734</v>
      </c>
      <c r="D19098" s="1" t="s">
        <v>0</v>
      </c>
      <c r="E19098" s="2">
        <v>0</v>
      </c>
      <c r="F19098" s="2">
        <v>0</v>
      </c>
      <c r="G19098" s="2">
        <v>0</v>
      </c>
      <c r="H19098" s="1" t="s">
        <v>0</v>
      </c>
      <c r="I19098" s="2">
        <v>0</v>
      </c>
      <c r="J19098" s="1">
        <v>45938.372083333335</v>
      </c>
    </row>
    <row r="19099" spans="1:10" x14ac:dyDescent="0.2">
      <c r="A19099" s="4" t="s">
        <v>1</v>
      </c>
      <c r="B190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099" s="3" t="str">
        <f>HYPERLINK("https://otsuka-europe-crm.veevavault.com/ui/#object/sent_email__v/VBLZ025E82HEANI", "SE-000284735")</f>
        <v>SE-000284735</v>
      </c>
      <c r="D19099" s="1" t="s">
        <v>0</v>
      </c>
      <c r="E19099" s="2">
        <v>0</v>
      </c>
      <c r="F19099" s="2">
        <v>0</v>
      </c>
      <c r="G19099" s="2">
        <v>0</v>
      </c>
      <c r="H19099" s="1" t="s">
        <v>0</v>
      </c>
      <c r="I19099" s="2">
        <v>0</v>
      </c>
      <c r="J19099" s="1">
        <v>45938.372106481482</v>
      </c>
    </row>
    <row r="19100" spans="1:10" x14ac:dyDescent="0.2">
      <c r="A19100" s="4" t="s">
        <v>1</v>
      </c>
      <c r="B191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00" s="3" t="str">
        <f>HYPERLINK("https://otsuka-europe-crm.veevavault.com/ui/#object/sent_email__v/VBLZ025E82HEANJ", "SE-000284736")</f>
        <v>SE-000284736</v>
      </c>
      <c r="D19100" s="1">
        <v>45945.690949074073</v>
      </c>
      <c r="E19100" s="2">
        <v>1</v>
      </c>
      <c r="F19100" s="2">
        <v>4</v>
      </c>
      <c r="G19100" s="2">
        <v>0</v>
      </c>
      <c r="H19100" s="1" t="s">
        <v>0</v>
      </c>
      <c r="I19100" s="2">
        <v>0</v>
      </c>
      <c r="J19100" s="1">
        <v>45938.372118055559</v>
      </c>
    </row>
    <row r="19101" spans="1:10" x14ac:dyDescent="0.2">
      <c r="A19101" s="4" t="s">
        <v>1</v>
      </c>
      <c r="B191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01" s="3" t="str">
        <f>HYPERLINK("https://otsuka-europe-crm.veevavault.com/ui/#object/sent_email__v/VBLZ025E82HEANK", "SE-000284737")</f>
        <v>SE-000284737</v>
      </c>
      <c r="D19101" s="1" t="s">
        <v>0</v>
      </c>
      <c r="E19101" s="2">
        <v>0</v>
      </c>
      <c r="F19101" s="2">
        <v>0</v>
      </c>
      <c r="G19101" s="2">
        <v>0</v>
      </c>
      <c r="H19101" s="1" t="s">
        <v>0</v>
      </c>
      <c r="I19101" s="2">
        <v>0</v>
      </c>
      <c r="J19101" s="1">
        <v>45938.372118055559</v>
      </c>
    </row>
    <row r="19102" spans="1:10" x14ac:dyDescent="0.2">
      <c r="A19102" s="4" t="s">
        <v>1</v>
      </c>
      <c r="B191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02" s="3" t="str">
        <f>HYPERLINK("https://otsuka-europe-crm.veevavault.com/ui/#object/sent_email__v/VBLZ025E82HEANL", "SE-000284738")</f>
        <v>SE-000284738</v>
      </c>
      <c r="D19102" s="1">
        <v>45942.492997685185</v>
      </c>
      <c r="E19102" s="2">
        <v>1</v>
      </c>
      <c r="F19102" s="2">
        <v>3</v>
      </c>
      <c r="G19102" s="2">
        <v>0</v>
      </c>
      <c r="H19102" s="1" t="s">
        <v>0</v>
      </c>
      <c r="I19102" s="2">
        <v>0</v>
      </c>
      <c r="J19102" s="1">
        <v>45938.372141203705</v>
      </c>
    </row>
    <row r="19103" spans="1:10" x14ac:dyDescent="0.2">
      <c r="A19103" s="4" t="s">
        <v>1</v>
      </c>
      <c r="B191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03" s="3" t="str">
        <f>HYPERLINK("https://otsuka-europe-crm.veevavault.com/ui/#object/sent_email__v/VBLZ025E82HEANM", "SE-000284739")</f>
        <v>SE-000284739</v>
      </c>
      <c r="D19103" s="1">
        <v>45950.006388888891</v>
      </c>
      <c r="E19103" s="2">
        <v>1</v>
      </c>
      <c r="F19103" s="2">
        <v>5</v>
      </c>
      <c r="G19103" s="2">
        <v>0</v>
      </c>
      <c r="H19103" s="1" t="s">
        <v>0</v>
      </c>
      <c r="I19103" s="2">
        <v>0</v>
      </c>
      <c r="J19103" s="1">
        <v>45938.372141203705</v>
      </c>
    </row>
    <row r="19104" spans="1:10" x14ac:dyDescent="0.2">
      <c r="A19104" s="4" t="s">
        <v>1</v>
      </c>
      <c r="B191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04" s="3" t="str">
        <f>HYPERLINK("https://otsuka-europe-crm.veevavault.com/ui/#object/sent_email__v/VBLZ025E82HEANN", "SE-000284740")</f>
        <v>SE-000284740</v>
      </c>
      <c r="D19104" s="1">
        <v>45938.574467592596</v>
      </c>
      <c r="E19104" s="2">
        <v>1</v>
      </c>
      <c r="F19104" s="2">
        <v>1</v>
      </c>
      <c r="G19104" s="2">
        <v>0</v>
      </c>
      <c r="H19104" s="1" t="s">
        <v>0</v>
      </c>
      <c r="I19104" s="2">
        <v>0</v>
      </c>
      <c r="J19104" s="1">
        <v>45938.372152777774</v>
      </c>
    </row>
    <row r="19105" spans="1:10" x14ac:dyDescent="0.2">
      <c r="A19105" s="4" t="s">
        <v>1</v>
      </c>
      <c r="B191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05" s="3" t="str">
        <f>HYPERLINK("https://otsuka-europe-crm.veevavault.com/ui/#object/sent_email__v/VBLZ025E82HEANO", "SE-000284741")</f>
        <v>SE-000284741</v>
      </c>
      <c r="D19105" s="1">
        <v>45988.731840277775</v>
      </c>
      <c r="E19105" s="2">
        <v>1</v>
      </c>
      <c r="F19105" s="2">
        <v>2</v>
      </c>
      <c r="G19105" s="2">
        <v>0</v>
      </c>
      <c r="H19105" s="1" t="s">
        <v>0</v>
      </c>
      <c r="I19105" s="2">
        <v>0</v>
      </c>
      <c r="J19105" s="1">
        <v>45938.372164351851</v>
      </c>
    </row>
    <row r="19106" spans="1:10" x14ac:dyDescent="0.2">
      <c r="A19106" s="4" t="s">
        <v>1</v>
      </c>
      <c r="B191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06" s="3" t="str">
        <f>HYPERLINK("https://otsuka-europe-crm.veevavault.com/ui/#object/sent_email__v/VBLZ025E82HEANP", "SE-000284742")</f>
        <v>SE-000284742</v>
      </c>
      <c r="D19106" s="1" t="s">
        <v>0</v>
      </c>
      <c r="E19106" s="2">
        <v>0</v>
      </c>
      <c r="F19106" s="2">
        <v>0</v>
      </c>
      <c r="G19106" s="2">
        <v>0</v>
      </c>
      <c r="H19106" s="1" t="s">
        <v>0</v>
      </c>
      <c r="I19106" s="2">
        <v>0</v>
      </c>
      <c r="J19106" s="1">
        <v>45938.372164351851</v>
      </c>
    </row>
    <row r="19107" spans="1:10" x14ac:dyDescent="0.2">
      <c r="A19107" s="4" t="s">
        <v>1</v>
      </c>
      <c r="B191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07" s="3" t="str">
        <f>HYPERLINK("https://otsuka-europe-crm.veevavault.com/ui/#object/sent_email__v/VBLZ025E82HEANQ", "SE-000284743")</f>
        <v>SE-000284743</v>
      </c>
      <c r="D19107" s="1">
        <v>45939.216296296298</v>
      </c>
      <c r="E19107" s="2">
        <v>1</v>
      </c>
      <c r="F19107" s="2">
        <v>2</v>
      </c>
      <c r="G19107" s="2">
        <v>0</v>
      </c>
      <c r="H19107" s="1" t="s">
        <v>0</v>
      </c>
      <c r="I19107" s="2">
        <v>0</v>
      </c>
      <c r="J19107" s="1">
        <v>45938.372187499997</v>
      </c>
    </row>
    <row r="19108" spans="1:10" x14ac:dyDescent="0.2">
      <c r="A19108" s="4" t="s">
        <v>1</v>
      </c>
      <c r="B191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08" s="3" t="str">
        <f>HYPERLINK("https://otsuka-europe-crm.veevavault.com/ui/#object/sent_email__v/VBLZ025E82HEANR", "SE-000284744")</f>
        <v>SE-000284744</v>
      </c>
      <c r="D19108" s="1">
        <v>45938.405659722222</v>
      </c>
      <c r="E19108" s="2">
        <v>1</v>
      </c>
      <c r="F19108" s="2">
        <v>1</v>
      </c>
      <c r="G19108" s="2">
        <v>0</v>
      </c>
      <c r="H19108" s="1" t="s">
        <v>0</v>
      </c>
      <c r="I19108" s="2">
        <v>0</v>
      </c>
      <c r="J19108" s="1">
        <v>45938.372187499997</v>
      </c>
    </row>
    <row r="19109" spans="1:10" x14ac:dyDescent="0.2">
      <c r="A19109" s="4" t="s">
        <v>1</v>
      </c>
      <c r="B191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09" s="3" t="str">
        <f>HYPERLINK("https://otsuka-europe-crm.veevavault.com/ui/#object/sent_email__v/VBLZ025E82HEANS", "SE-000284745")</f>
        <v>SE-000284745</v>
      </c>
      <c r="D19109" s="1" t="s">
        <v>0</v>
      </c>
      <c r="E19109" s="2">
        <v>0</v>
      </c>
      <c r="F19109" s="2">
        <v>0</v>
      </c>
      <c r="G19109" s="2">
        <v>0</v>
      </c>
      <c r="H19109" s="1" t="s">
        <v>0</v>
      </c>
      <c r="I19109" s="2">
        <v>0</v>
      </c>
      <c r="J19109" s="1">
        <v>45938.372199074074</v>
      </c>
    </row>
    <row r="19110" spans="1:10" x14ac:dyDescent="0.2">
      <c r="A19110" s="4" t="s">
        <v>1</v>
      </c>
      <c r="B191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10" s="3" t="str">
        <f>HYPERLINK("https://otsuka-europe-crm.veevavault.com/ui/#object/sent_email__v/VBLZ025E82HEANT", "SE-000284746")</f>
        <v>SE-000284746</v>
      </c>
      <c r="D19110" s="1">
        <v>45939.871111111112</v>
      </c>
      <c r="E19110" s="2">
        <v>1</v>
      </c>
      <c r="F19110" s="2">
        <v>1</v>
      </c>
      <c r="G19110" s="2">
        <v>0</v>
      </c>
      <c r="H19110" s="1" t="s">
        <v>0</v>
      </c>
      <c r="I19110" s="2">
        <v>0</v>
      </c>
      <c r="J19110" s="1">
        <v>45938.372210648151</v>
      </c>
    </row>
    <row r="19111" spans="1:10" x14ac:dyDescent="0.2">
      <c r="A19111" s="4" t="s">
        <v>1</v>
      </c>
      <c r="B191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11" s="3" t="str">
        <f>HYPERLINK("https://otsuka-europe-crm.veevavault.com/ui/#object/sent_email__v/VBLZ025E82HEANU", "SE-000284747")</f>
        <v>SE-000284747</v>
      </c>
      <c r="D19111" s="1">
        <v>45975.565937500003</v>
      </c>
      <c r="E19111" s="2">
        <v>1</v>
      </c>
      <c r="F19111" s="2">
        <v>3</v>
      </c>
      <c r="G19111" s="2">
        <v>0</v>
      </c>
      <c r="H19111" s="1" t="s">
        <v>0</v>
      </c>
      <c r="I19111" s="2">
        <v>0</v>
      </c>
      <c r="J19111" s="1">
        <v>45938.37222222222</v>
      </c>
    </row>
    <row r="19112" spans="1:10" x14ac:dyDescent="0.2">
      <c r="A19112" s="4" t="s">
        <v>1</v>
      </c>
      <c r="B191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12" s="3" t="str">
        <f>HYPERLINK("https://otsuka-europe-crm.veevavault.com/ui/#object/sent_email__v/VBLZ025E82HEANV", "SE-000284748")</f>
        <v>SE-000284748</v>
      </c>
      <c r="D19112" s="1">
        <v>45938.372499999998</v>
      </c>
      <c r="E19112" s="2">
        <v>1</v>
      </c>
      <c r="F19112" s="2">
        <v>1</v>
      </c>
      <c r="G19112" s="2">
        <v>0</v>
      </c>
      <c r="H19112" s="1" t="s">
        <v>0</v>
      </c>
      <c r="I19112" s="2">
        <v>0</v>
      </c>
      <c r="J19112" s="1">
        <v>45938.37222222222</v>
      </c>
    </row>
    <row r="19113" spans="1:10" x14ac:dyDescent="0.2">
      <c r="A19113" s="4" t="s">
        <v>1</v>
      </c>
      <c r="B191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13" s="3" t="str">
        <f>HYPERLINK("https://otsuka-europe-crm.veevavault.com/ui/#object/sent_email__v/VBLZ025E82HEANW", "SE-000284749")</f>
        <v>SE-000284749</v>
      </c>
      <c r="D19113" s="1">
        <v>46037.721817129626</v>
      </c>
      <c r="E19113" s="2">
        <v>1</v>
      </c>
      <c r="F19113" s="2">
        <v>1</v>
      </c>
      <c r="G19113" s="2">
        <v>0</v>
      </c>
      <c r="H19113" s="1" t="s">
        <v>0</v>
      </c>
      <c r="I19113" s="2">
        <v>0</v>
      </c>
      <c r="J19113" s="1">
        <v>45938.372233796297</v>
      </c>
    </row>
    <row r="19114" spans="1:10" x14ac:dyDescent="0.2">
      <c r="A19114" s="4" t="s">
        <v>1</v>
      </c>
      <c r="B191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14" s="3" t="str">
        <f>HYPERLINK("https://otsuka-europe-crm.veevavault.com/ui/#object/sent_email__v/VBLZ025E82HEANX", "SE-000284750")</f>
        <v>SE-000284750</v>
      </c>
      <c r="D19114" s="1">
        <v>45939.634270833332</v>
      </c>
      <c r="E19114" s="2">
        <v>1</v>
      </c>
      <c r="F19114" s="2">
        <v>12</v>
      </c>
      <c r="G19114" s="2">
        <v>0</v>
      </c>
      <c r="H19114" s="1" t="s">
        <v>0</v>
      </c>
      <c r="I19114" s="2">
        <v>0</v>
      </c>
      <c r="J19114" s="1">
        <v>45938.372245370374</v>
      </c>
    </row>
    <row r="19115" spans="1:10" x14ac:dyDescent="0.2">
      <c r="A19115" s="4" t="s">
        <v>1</v>
      </c>
      <c r="B191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15" s="3" t="str">
        <f>HYPERLINK("https://otsuka-europe-crm.veevavault.com/ui/#object/sent_email__v/VBLZ025E82HEANY", "SE-000284751")</f>
        <v>SE-000284751</v>
      </c>
      <c r="D19115" s="1">
        <v>45942.320798611108</v>
      </c>
      <c r="E19115" s="2">
        <v>1</v>
      </c>
      <c r="F19115" s="2">
        <v>4</v>
      </c>
      <c r="G19115" s="2">
        <v>0</v>
      </c>
      <c r="H19115" s="1" t="s">
        <v>0</v>
      </c>
      <c r="I19115" s="2">
        <v>0</v>
      </c>
      <c r="J19115" s="1">
        <v>45938.372256944444</v>
      </c>
    </row>
    <row r="19116" spans="1:10" x14ac:dyDescent="0.2">
      <c r="A19116" s="4" t="s">
        <v>1</v>
      </c>
      <c r="B191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16" s="3" t="str">
        <f>HYPERLINK("https://otsuka-europe-crm.veevavault.com/ui/#object/sent_email__v/VBLZ025E82HEANZ", "SE-000284752")</f>
        <v>SE-000284752</v>
      </c>
      <c r="D19116" s="1">
        <v>45939.226226851853</v>
      </c>
      <c r="E19116" s="2">
        <v>1</v>
      </c>
      <c r="F19116" s="2">
        <v>1</v>
      </c>
      <c r="G19116" s="2">
        <v>0</v>
      </c>
      <c r="H19116" s="1" t="s">
        <v>0</v>
      </c>
      <c r="I19116" s="2">
        <v>0</v>
      </c>
      <c r="J19116" s="1">
        <v>45938.37226851852</v>
      </c>
    </row>
    <row r="19117" spans="1:10" x14ac:dyDescent="0.2">
      <c r="A19117" s="4" t="s">
        <v>1</v>
      </c>
      <c r="B191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17" s="3" t="str">
        <f>HYPERLINK("https://otsuka-europe-crm.veevavault.com/ui/#object/sent_email__v/VBLZ025E82HEAO0", "SE-000284753")</f>
        <v>SE-000284753</v>
      </c>
      <c r="D19117" s="1">
        <v>45940.741828703707</v>
      </c>
      <c r="E19117" s="2">
        <v>1</v>
      </c>
      <c r="F19117" s="2">
        <v>2</v>
      </c>
      <c r="G19117" s="2">
        <v>0</v>
      </c>
      <c r="H19117" s="1" t="s">
        <v>0</v>
      </c>
      <c r="I19117" s="2">
        <v>0</v>
      </c>
      <c r="J19117" s="1">
        <v>45938.372291666667</v>
      </c>
    </row>
    <row r="19118" spans="1:10" x14ac:dyDescent="0.2">
      <c r="A19118" s="4" t="s">
        <v>1</v>
      </c>
      <c r="B191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18" s="3" t="str">
        <f>HYPERLINK("https://otsuka-europe-crm.veevavault.com/ui/#object/sent_email__v/VBLZ025E82HEAO1", "SE-000284754")</f>
        <v>SE-000284754</v>
      </c>
      <c r="D19118" s="1">
        <v>45950.535891203705</v>
      </c>
      <c r="E19118" s="2">
        <v>1</v>
      </c>
      <c r="F19118" s="2">
        <v>2</v>
      </c>
      <c r="G19118" s="2">
        <v>0</v>
      </c>
      <c r="H19118" s="1" t="s">
        <v>0</v>
      </c>
      <c r="I19118" s="2">
        <v>0</v>
      </c>
      <c r="J19118" s="1">
        <v>45938.372291666667</v>
      </c>
    </row>
    <row r="19119" spans="1:10" x14ac:dyDescent="0.2">
      <c r="A19119" s="4" t="s">
        <v>1</v>
      </c>
      <c r="B191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19" s="3" t="str">
        <f>HYPERLINK("https://otsuka-europe-crm.veevavault.com/ui/#object/sent_email__v/VBLZ025E82HEAO2", "SE-000284755")</f>
        <v>SE-000284755</v>
      </c>
      <c r="D19119" s="1">
        <v>45940.807060185187</v>
      </c>
      <c r="E19119" s="2">
        <v>1</v>
      </c>
      <c r="F19119" s="2">
        <v>1</v>
      </c>
      <c r="G19119" s="2">
        <v>0</v>
      </c>
      <c r="H19119" s="1" t="s">
        <v>0</v>
      </c>
      <c r="I19119" s="2">
        <v>0</v>
      </c>
      <c r="J19119" s="1">
        <v>45938.372303240743</v>
      </c>
    </row>
    <row r="19120" spans="1:10" x14ac:dyDescent="0.2">
      <c r="A19120" s="4" t="s">
        <v>1</v>
      </c>
      <c r="B191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20" s="3" t="str">
        <f>HYPERLINK("https://otsuka-europe-crm.veevavault.com/ui/#object/sent_email__v/VBLZ025E82HEAO3", "SE-000284756")</f>
        <v>SE-000284756</v>
      </c>
      <c r="D19120" s="1" t="s">
        <v>0</v>
      </c>
      <c r="E19120" s="2">
        <v>0</v>
      </c>
      <c r="F19120" s="2">
        <v>0</v>
      </c>
      <c r="G19120" s="2">
        <v>0</v>
      </c>
      <c r="H19120" s="1" t="s">
        <v>0</v>
      </c>
      <c r="I19120" s="2">
        <v>0</v>
      </c>
      <c r="J19120" s="1">
        <v>45938.372314814813</v>
      </c>
    </row>
    <row r="19121" spans="1:10" x14ac:dyDescent="0.2">
      <c r="A19121" s="4" t="s">
        <v>1</v>
      </c>
      <c r="B191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21" s="3" t="str">
        <f>HYPERLINK("https://otsuka-europe-crm.veevavault.com/ui/#object/sent_email__v/VBLZ025E82HEAO4", "SE-000284757")</f>
        <v>SE-000284757</v>
      </c>
      <c r="D19121" s="1" t="s">
        <v>0</v>
      </c>
      <c r="E19121" s="2">
        <v>0</v>
      </c>
      <c r="F19121" s="2">
        <v>0</v>
      </c>
      <c r="G19121" s="2">
        <v>0</v>
      </c>
      <c r="H19121" s="1" t="s">
        <v>0</v>
      </c>
      <c r="I19121" s="2">
        <v>0</v>
      </c>
      <c r="J19121" s="1">
        <v>45938.372314814813</v>
      </c>
    </row>
    <row r="19122" spans="1:10" x14ac:dyDescent="0.2">
      <c r="A19122" s="4" t="s">
        <v>1</v>
      </c>
      <c r="B191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22" s="3" t="str">
        <f>HYPERLINK("https://otsuka-europe-crm.veevavault.com/ui/#object/sent_email__v/VBLZ025E82HEAO5", "SE-000284758")</f>
        <v>SE-000284758</v>
      </c>
      <c r="D19122" s="1" t="s">
        <v>0</v>
      </c>
      <c r="E19122" s="2">
        <v>0</v>
      </c>
      <c r="F19122" s="2">
        <v>0</v>
      </c>
      <c r="G19122" s="2">
        <v>0</v>
      </c>
      <c r="H19122" s="1" t="s">
        <v>0</v>
      </c>
      <c r="I19122" s="2">
        <v>0</v>
      </c>
      <c r="J19122" s="1">
        <v>45938.372337962966</v>
      </c>
    </row>
    <row r="19123" spans="1:10" x14ac:dyDescent="0.2">
      <c r="A19123" s="4" t="s">
        <v>1</v>
      </c>
      <c r="B191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23" s="3" t="str">
        <f>HYPERLINK("https://otsuka-europe-crm.veevavault.com/ui/#object/sent_email__v/VBLZ025E82HEAO6", "SE-000284759")</f>
        <v>SE-000284759</v>
      </c>
      <c r="D19123" s="1" t="s">
        <v>0</v>
      </c>
      <c r="E19123" s="2">
        <v>0</v>
      </c>
      <c r="F19123" s="2">
        <v>0</v>
      </c>
      <c r="G19123" s="2">
        <v>0</v>
      </c>
      <c r="H19123" s="1" t="s">
        <v>0</v>
      </c>
      <c r="I19123" s="2">
        <v>0</v>
      </c>
      <c r="J19123" s="1">
        <v>45938.372337962966</v>
      </c>
    </row>
    <row r="19124" spans="1:10" x14ac:dyDescent="0.2">
      <c r="A19124" s="4" t="s">
        <v>1</v>
      </c>
      <c r="B191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24" s="3" t="str">
        <f>HYPERLINK("https://otsuka-europe-crm.veevavault.com/ui/#object/sent_email__v/VBLZ025E82HEAO7", "SE-000284760")</f>
        <v>SE-000284760</v>
      </c>
      <c r="D19124" s="1">
        <v>45939.771458333336</v>
      </c>
      <c r="E19124" s="2">
        <v>1</v>
      </c>
      <c r="F19124" s="2">
        <v>1</v>
      </c>
      <c r="G19124" s="2">
        <v>0</v>
      </c>
      <c r="H19124" s="1" t="s">
        <v>0</v>
      </c>
      <c r="I19124" s="2">
        <v>0</v>
      </c>
      <c r="J19124" s="1">
        <v>45938.372349537036</v>
      </c>
    </row>
    <row r="19125" spans="1:10" x14ac:dyDescent="0.2">
      <c r="A19125" s="4" t="s">
        <v>1</v>
      </c>
      <c r="B191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25" s="3" t="str">
        <f>HYPERLINK("https://otsuka-europe-crm.veevavault.com/ui/#object/sent_email__v/VBLZ025E82HEAO8", "SE-000284761")</f>
        <v>SE-000284761</v>
      </c>
      <c r="D19125" s="1">
        <v>45966.077314814815</v>
      </c>
      <c r="E19125" s="2">
        <v>1</v>
      </c>
      <c r="F19125" s="2">
        <v>3</v>
      </c>
      <c r="G19125" s="2">
        <v>0</v>
      </c>
      <c r="H19125" s="1" t="s">
        <v>0</v>
      </c>
      <c r="I19125" s="2">
        <v>0</v>
      </c>
      <c r="J19125" s="1">
        <v>45938.372361111113</v>
      </c>
    </row>
    <row r="19126" spans="1:10" x14ac:dyDescent="0.2">
      <c r="A19126" s="4" t="s">
        <v>1</v>
      </c>
      <c r="B191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26" s="3" t="str">
        <f>HYPERLINK("https://otsuka-europe-crm.veevavault.com/ui/#object/sent_email__v/VBLZ025E82HEAO9", "SE-000284762")</f>
        <v>SE-000284762</v>
      </c>
      <c r="D19126" s="1" t="s">
        <v>0</v>
      </c>
      <c r="E19126" s="2">
        <v>0</v>
      </c>
      <c r="F19126" s="2">
        <v>0</v>
      </c>
      <c r="G19126" s="2">
        <v>0</v>
      </c>
      <c r="H19126" s="1" t="s">
        <v>0</v>
      </c>
      <c r="I19126" s="2">
        <v>0</v>
      </c>
      <c r="J19126" s="1">
        <v>45938.372372685182</v>
      </c>
    </row>
    <row r="19127" spans="1:10" x14ac:dyDescent="0.2">
      <c r="A19127" s="4" t="s">
        <v>1</v>
      </c>
      <c r="B191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27" s="3" t="str">
        <f>HYPERLINK("https://otsuka-europe-crm.veevavault.com/ui/#object/sent_email__v/VBLZ025E82HEAOA", "SE-000284763")</f>
        <v>SE-000284763</v>
      </c>
      <c r="D19127" s="1">
        <v>45938.865648148145</v>
      </c>
      <c r="E19127" s="2">
        <v>1</v>
      </c>
      <c r="F19127" s="2">
        <v>1</v>
      </c>
      <c r="G19127" s="2">
        <v>0</v>
      </c>
      <c r="H19127" s="1" t="s">
        <v>0</v>
      </c>
      <c r="I19127" s="2">
        <v>0</v>
      </c>
      <c r="J19127" s="1">
        <v>45938.372384259259</v>
      </c>
    </row>
    <row r="19128" spans="1:10" x14ac:dyDescent="0.2">
      <c r="A19128" s="4" t="s">
        <v>1</v>
      </c>
      <c r="B191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28" s="3" t="str">
        <f>HYPERLINK("https://otsuka-europe-crm.veevavault.com/ui/#object/sent_email__v/VBLZ025E82HEAOB", "SE-000284764")</f>
        <v>SE-000284764</v>
      </c>
      <c r="D19128" s="1">
        <v>45938.557719907411</v>
      </c>
      <c r="E19128" s="2">
        <v>1</v>
      </c>
      <c r="F19128" s="2">
        <v>1</v>
      </c>
      <c r="G19128" s="2">
        <v>0</v>
      </c>
      <c r="H19128" s="1" t="s">
        <v>0</v>
      </c>
      <c r="I19128" s="2">
        <v>0</v>
      </c>
      <c r="J19128" s="1">
        <v>45938.372395833336</v>
      </c>
    </row>
    <row r="19129" spans="1:10" x14ac:dyDescent="0.2">
      <c r="A19129" s="4" t="s">
        <v>1</v>
      </c>
      <c r="B191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29" s="3" t="str">
        <f>HYPERLINK("https://otsuka-europe-crm.veevavault.com/ui/#object/sent_email__v/VBLZ025E82HEAOC", "SE-000284765")</f>
        <v>SE-000284765</v>
      </c>
      <c r="D19129" s="1">
        <v>45947.000104166669</v>
      </c>
      <c r="E19129" s="2">
        <v>1</v>
      </c>
      <c r="F19129" s="2">
        <v>2</v>
      </c>
      <c r="G19129" s="2">
        <v>0</v>
      </c>
      <c r="H19129" s="1" t="s">
        <v>0</v>
      </c>
      <c r="I19129" s="2">
        <v>0</v>
      </c>
      <c r="J19129" s="1">
        <v>45938.372395833336</v>
      </c>
    </row>
    <row r="19130" spans="1:10" x14ac:dyDescent="0.2">
      <c r="A19130" s="4" t="s">
        <v>1</v>
      </c>
      <c r="B191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30" s="3" t="str">
        <f>HYPERLINK("https://otsuka-europe-crm.veevavault.com/ui/#object/sent_email__v/VBLZ025E82HEAOD", "SE-000284766")</f>
        <v>SE-000284766</v>
      </c>
      <c r="D19130" s="1" t="s">
        <v>0</v>
      </c>
      <c r="E19130" s="2">
        <v>0</v>
      </c>
      <c r="F19130" s="2">
        <v>0</v>
      </c>
      <c r="G19130" s="2">
        <v>0</v>
      </c>
      <c r="H19130" s="1" t="s">
        <v>0</v>
      </c>
      <c r="I19130" s="2">
        <v>0</v>
      </c>
      <c r="J19130" s="1">
        <v>45938.372407407405</v>
      </c>
    </row>
    <row r="19131" spans="1:10" x14ac:dyDescent="0.2">
      <c r="A19131" s="4" t="s">
        <v>1</v>
      </c>
      <c r="B191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31" s="3" t="str">
        <f>HYPERLINK("https://otsuka-europe-crm.veevavault.com/ui/#object/sent_email__v/VBLZ025E82HEAOE", "SE-000284767")</f>
        <v>SE-000284767</v>
      </c>
      <c r="D19131" s="1">
        <v>45938.514525462961</v>
      </c>
      <c r="E19131" s="2">
        <v>1</v>
      </c>
      <c r="F19131" s="2">
        <v>1</v>
      </c>
      <c r="G19131" s="2">
        <v>0</v>
      </c>
      <c r="H19131" s="1" t="s">
        <v>0</v>
      </c>
      <c r="I19131" s="2">
        <v>0</v>
      </c>
      <c r="J19131" s="1">
        <v>45938.372418981482</v>
      </c>
    </row>
    <row r="19132" spans="1:10" x14ac:dyDescent="0.2">
      <c r="A19132" s="4" t="s">
        <v>1</v>
      </c>
      <c r="B191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32" s="3" t="str">
        <f>HYPERLINK("https://otsuka-europe-crm.veevavault.com/ui/#object/sent_email__v/VBLZ025E82HEAOF", "SE-000284768")</f>
        <v>SE-000284768</v>
      </c>
      <c r="D19132" s="1" t="s">
        <v>0</v>
      </c>
      <c r="E19132" s="2">
        <v>0</v>
      </c>
      <c r="F19132" s="2">
        <v>0</v>
      </c>
      <c r="G19132" s="2">
        <v>0</v>
      </c>
      <c r="H19132" s="1" t="s">
        <v>0</v>
      </c>
      <c r="I19132" s="2">
        <v>0</v>
      </c>
      <c r="J19132" s="1">
        <v>45938.372430555559</v>
      </c>
    </row>
    <row r="19133" spans="1:10" x14ac:dyDescent="0.2">
      <c r="A19133" s="4" t="s">
        <v>1</v>
      </c>
      <c r="B191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33" s="3" t="str">
        <f>HYPERLINK("https://otsuka-europe-crm.veevavault.com/ui/#object/sent_email__v/VBLZ025E82HEAOG", "SE-000284769")</f>
        <v>SE-000284769</v>
      </c>
      <c r="D19133" s="1" t="s">
        <v>0</v>
      </c>
      <c r="E19133" s="2">
        <v>0</v>
      </c>
      <c r="F19133" s="2">
        <v>0</v>
      </c>
      <c r="G19133" s="2">
        <v>0</v>
      </c>
      <c r="H19133" s="1" t="s">
        <v>0</v>
      </c>
      <c r="I19133" s="2">
        <v>0</v>
      </c>
      <c r="J19133" s="1">
        <v>45938.372442129628</v>
      </c>
    </row>
    <row r="19134" spans="1:10" x14ac:dyDescent="0.2">
      <c r="A19134" s="4" t="s">
        <v>1</v>
      </c>
      <c r="B191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34" s="3" t="str">
        <f>HYPERLINK("https://otsuka-europe-crm.veevavault.com/ui/#object/sent_email__v/VBLZ025E82HEAOH", "SE-000284770")</f>
        <v>SE-000284770</v>
      </c>
      <c r="D19134" s="1">
        <v>45971.306932870371</v>
      </c>
      <c r="E19134" s="2">
        <v>1</v>
      </c>
      <c r="F19134" s="2">
        <v>3</v>
      </c>
      <c r="G19134" s="2">
        <v>0</v>
      </c>
      <c r="H19134" s="1" t="s">
        <v>0</v>
      </c>
      <c r="I19134" s="2">
        <v>0</v>
      </c>
      <c r="J19134" s="1">
        <v>45938.372453703705</v>
      </c>
    </row>
    <row r="19135" spans="1:10" x14ac:dyDescent="0.2">
      <c r="A19135" s="4" t="s">
        <v>1</v>
      </c>
      <c r="B191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35" s="3" t="str">
        <f>HYPERLINK("https://otsuka-europe-crm.veevavault.com/ui/#object/sent_email__v/VBLZ025E82HEAOI", "SE-000284771")</f>
        <v>SE-000284771</v>
      </c>
      <c r="D19135" s="1">
        <v>45976.369722222225</v>
      </c>
      <c r="E19135" s="2">
        <v>1</v>
      </c>
      <c r="F19135" s="2">
        <v>7</v>
      </c>
      <c r="G19135" s="2">
        <v>0</v>
      </c>
      <c r="H19135" s="1" t="s">
        <v>0</v>
      </c>
      <c r="I19135" s="2">
        <v>0</v>
      </c>
      <c r="J19135" s="1">
        <v>45938.372465277775</v>
      </c>
    </row>
    <row r="19136" spans="1:10" x14ac:dyDescent="0.2">
      <c r="A19136" s="4" t="s">
        <v>1</v>
      </c>
      <c r="B191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36" s="3" t="str">
        <f>HYPERLINK("https://otsuka-europe-crm.veevavault.com/ui/#object/sent_email__v/VBLZ025E82HEAOJ", "SE-000284772")</f>
        <v>SE-000284772</v>
      </c>
      <c r="D19136" s="1">
        <v>45938.894525462965</v>
      </c>
      <c r="E19136" s="2">
        <v>1</v>
      </c>
      <c r="F19136" s="2">
        <v>1</v>
      </c>
      <c r="G19136" s="2">
        <v>0</v>
      </c>
      <c r="H19136" s="1" t="s">
        <v>0</v>
      </c>
      <c r="I19136" s="2">
        <v>0</v>
      </c>
      <c r="J19136" s="1">
        <v>45938.372465277775</v>
      </c>
    </row>
    <row r="19137" spans="1:10" x14ac:dyDescent="0.2">
      <c r="A19137" s="4" t="s">
        <v>1</v>
      </c>
      <c r="B191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37" s="3" t="str">
        <f>HYPERLINK("https://otsuka-europe-crm.veevavault.com/ui/#object/sent_email__v/VBLZ025E82HEAOK", "SE-000284773")</f>
        <v>SE-000284773</v>
      </c>
      <c r="D19137" s="1" t="s">
        <v>0</v>
      </c>
      <c r="E19137" s="2">
        <v>0</v>
      </c>
      <c r="F19137" s="2">
        <v>0</v>
      </c>
      <c r="G19137" s="2">
        <v>0</v>
      </c>
      <c r="H19137" s="1" t="s">
        <v>0</v>
      </c>
      <c r="I19137" s="2">
        <v>0</v>
      </c>
      <c r="J19137" s="1">
        <v>45938.372476851851</v>
      </c>
    </row>
    <row r="19138" spans="1:10" x14ac:dyDescent="0.2">
      <c r="A19138" s="4" t="s">
        <v>1</v>
      </c>
      <c r="B191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38" s="3" t="str">
        <f>HYPERLINK("https://otsuka-europe-crm.veevavault.com/ui/#object/sent_email__v/VBLZ025E82HEAOL", "SE-000284774")</f>
        <v>SE-000284774</v>
      </c>
      <c r="D19138" s="1" t="s">
        <v>0</v>
      </c>
      <c r="E19138" s="2">
        <v>0</v>
      </c>
      <c r="F19138" s="2">
        <v>0</v>
      </c>
      <c r="G19138" s="2">
        <v>0</v>
      </c>
      <c r="H19138" s="1" t="s">
        <v>0</v>
      </c>
      <c r="I19138" s="2">
        <v>0</v>
      </c>
      <c r="J19138" s="1">
        <v>45938.372488425928</v>
      </c>
    </row>
    <row r="19139" spans="1:10" x14ac:dyDescent="0.2">
      <c r="A19139" s="4" t="s">
        <v>1</v>
      </c>
      <c r="B191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39" s="3" t="str">
        <f>HYPERLINK("https://otsuka-europe-crm.veevavault.com/ui/#object/sent_email__v/VBLZ025E82HEAOM", "SE-000284775")</f>
        <v>SE-000284775</v>
      </c>
      <c r="D19139" s="1">
        <v>45940.247476851851</v>
      </c>
      <c r="E19139" s="2">
        <v>1</v>
      </c>
      <c r="F19139" s="2">
        <v>1</v>
      </c>
      <c r="G19139" s="2">
        <v>1</v>
      </c>
      <c r="H19139" s="1">
        <v>45940.247476851851</v>
      </c>
      <c r="I19139" s="2">
        <v>1</v>
      </c>
      <c r="J19139" s="1">
        <v>45938.372499999998</v>
      </c>
    </row>
    <row r="19140" spans="1:10" x14ac:dyDescent="0.2">
      <c r="A19140" s="4" t="s">
        <v>1</v>
      </c>
      <c r="B191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40" s="3" t="str">
        <f>HYPERLINK("https://otsuka-europe-crm.veevavault.com/ui/#object/sent_email__v/VBLZ025E82HEAON", "SE-000284776")</f>
        <v>SE-000284776</v>
      </c>
      <c r="D19140" s="1" t="s">
        <v>0</v>
      </c>
      <c r="E19140" s="2">
        <v>0</v>
      </c>
      <c r="F19140" s="2">
        <v>0</v>
      </c>
      <c r="G19140" s="2">
        <v>0</v>
      </c>
      <c r="H19140" s="1" t="s">
        <v>0</v>
      </c>
      <c r="I19140" s="2">
        <v>0</v>
      </c>
      <c r="J19140" s="1">
        <v>45938.372499999998</v>
      </c>
    </row>
    <row r="19141" spans="1:10" x14ac:dyDescent="0.2">
      <c r="A19141" s="4" t="s">
        <v>1</v>
      </c>
      <c r="B191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41" s="3" t="str">
        <f>HYPERLINK("https://otsuka-europe-crm.veevavault.com/ui/#object/sent_email__v/VBLZ025E82HEAOO", "SE-000284777")</f>
        <v>SE-000284777</v>
      </c>
      <c r="D19141" s="1" t="s">
        <v>0</v>
      </c>
      <c r="E19141" s="2">
        <v>0</v>
      </c>
      <c r="F19141" s="2">
        <v>0</v>
      </c>
      <c r="G19141" s="2">
        <v>0</v>
      </c>
      <c r="H19141" s="1" t="s">
        <v>0</v>
      </c>
      <c r="I19141" s="2">
        <v>0</v>
      </c>
      <c r="J19141" s="1">
        <v>45938.372523148151</v>
      </c>
    </row>
    <row r="19142" spans="1:10" x14ac:dyDescent="0.2">
      <c r="A19142" s="4" t="s">
        <v>1</v>
      </c>
      <c r="B191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42" s="3" t="str">
        <f>HYPERLINK("https://otsuka-europe-crm.veevavault.com/ui/#object/sent_email__v/VBLZ025E82HEAOP", "SE-000284778")</f>
        <v>SE-000284778</v>
      </c>
      <c r="D19142" s="1">
        <v>45938.51972222222</v>
      </c>
      <c r="E19142" s="2">
        <v>1</v>
      </c>
      <c r="F19142" s="2">
        <v>2</v>
      </c>
      <c r="G19142" s="2">
        <v>0</v>
      </c>
      <c r="H19142" s="1" t="s">
        <v>0</v>
      </c>
      <c r="I19142" s="2">
        <v>0</v>
      </c>
      <c r="J19142" s="1">
        <v>45938.372523148151</v>
      </c>
    </row>
    <row r="19143" spans="1:10" x14ac:dyDescent="0.2">
      <c r="A19143" s="4" t="s">
        <v>1</v>
      </c>
      <c r="B191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43" s="3" t="str">
        <f>HYPERLINK("https://otsuka-europe-crm.veevavault.com/ui/#object/sent_email__v/VBLZ025E82HEAOQ", "SE-000284779")</f>
        <v>SE-000284779</v>
      </c>
      <c r="D19143" s="1">
        <v>45938.549641203703</v>
      </c>
      <c r="E19143" s="2">
        <v>1</v>
      </c>
      <c r="F19143" s="2">
        <v>1</v>
      </c>
      <c r="G19143" s="2">
        <v>0</v>
      </c>
      <c r="H19143" s="1" t="s">
        <v>0</v>
      </c>
      <c r="I19143" s="2">
        <v>0</v>
      </c>
      <c r="J19143" s="1">
        <v>45938.372534722221</v>
      </c>
    </row>
    <row r="19144" spans="1:10" x14ac:dyDescent="0.2">
      <c r="A19144" s="4" t="s">
        <v>1</v>
      </c>
      <c r="B191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44" s="3" t="str">
        <f>HYPERLINK("https://otsuka-europe-crm.veevavault.com/ui/#object/sent_email__v/VBLZ025E82HEAOR", "SE-000284780")</f>
        <v>SE-000284780</v>
      </c>
      <c r="D19144" s="1">
        <v>45938.581064814818</v>
      </c>
      <c r="E19144" s="2">
        <v>1</v>
      </c>
      <c r="F19144" s="2">
        <v>1</v>
      </c>
      <c r="G19144" s="2">
        <v>0</v>
      </c>
      <c r="H19144" s="1" t="s">
        <v>0</v>
      </c>
      <c r="I19144" s="2">
        <v>0</v>
      </c>
      <c r="J19144" s="1">
        <v>45938.372546296298</v>
      </c>
    </row>
    <row r="19145" spans="1:10" x14ac:dyDescent="0.2">
      <c r="A19145" s="4" t="s">
        <v>1</v>
      </c>
      <c r="B191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45" s="3" t="str">
        <f>HYPERLINK("https://otsuka-europe-crm.veevavault.com/ui/#object/sent_email__v/VBLZ025E82HEAOS", "SE-000284781")</f>
        <v>SE-000284781</v>
      </c>
      <c r="D19145" s="1">
        <v>45938.372662037036</v>
      </c>
      <c r="E19145" s="2">
        <v>1</v>
      </c>
      <c r="F19145" s="2">
        <v>1</v>
      </c>
      <c r="G19145" s="2">
        <v>0</v>
      </c>
      <c r="H19145" s="1" t="s">
        <v>0</v>
      </c>
      <c r="I19145" s="2">
        <v>0</v>
      </c>
      <c r="J19145" s="1">
        <v>45938.372581018521</v>
      </c>
    </row>
    <row r="19146" spans="1:10" x14ac:dyDescent="0.2">
      <c r="A19146" s="4" t="s">
        <v>1</v>
      </c>
      <c r="B191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46" s="3" t="str">
        <f>HYPERLINK("https://otsuka-europe-crm.veevavault.com/ui/#object/sent_email__v/VBLZ025E82HEAOT", "SE-000284782")</f>
        <v>SE-000284782</v>
      </c>
      <c r="D19146" s="1">
        <v>45938.374236111114</v>
      </c>
      <c r="E19146" s="2">
        <v>1</v>
      </c>
      <c r="F19146" s="2">
        <v>1</v>
      </c>
      <c r="G19146" s="2">
        <v>0</v>
      </c>
      <c r="H19146" s="1" t="s">
        <v>0</v>
      </c>
      <c r="I19146" s="2">
        <v>0</v>
      </c>
      <c r="J19146" s="1">
        <v>45938.372569444444</v>
      </c>
    </row>
    <row r="19147" spans="1:10" x14ac:dyDescent="0.2">
      <c r="A19147" s="4" t="s">
        <v>1</v>
      </c>
      <c r="B191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47" s="3" t="str">
        <f>HYPERLINK("https://otsuka-europe-crm.veevavault.com/ui/#object/sent_email__v/VBLZ025E82HEAOU", "SE-000284783")</f>
        <v>SE-000284783</v>
      </c>
      <c r="D19147" s="1">
        <v>45940.771365740744</v>
      </c>
      <c r="E19147" s="2">
        <v>1</v>
      </c>
      <c r="F19147" s="2">
        <v>2</v>
      </c>
      <c r="G19147" s="2">
        <v>0</v>
      </c>
      <c r="H19147" s="1" t="s">
        <v>0</v>
      </c>
      <c r="I19147" s="2">
        <v>0</v>
      </c>
      <c r="J19147" s="1">
        <v>45938.372569444444</v>
      </c>
    </row>
    <row r="19148" spans="1:10" x14ac:dyDescent="0.2">
      <c r="A19148" s="4" t="s">
        <v>1</v>
      </c>
      <c r="B191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48" s="3" t="str">
        <f>HYPERLINK("https://otsuka-europe-crm.veevavault.com/ui/#object/sent_email__v/VBLZ025E82HEAOV", "SE-000284784")</f>
        <v>SE-000284784</v>
      </c>
      <c r="D19148" s="1">
        <v>45957.29105324074</v>
      </c>
      <c r="E19148" s="2">
        <v>1</v>
      </c>
      <c r="F19148" s="2">
        <v>1</v>
      </c>
      <c r="G19148" s="2">
        <v>0</v>
      </c>
      <c r="H19148" s="1" t="s">
        <v>0</v>
      </c>
      <c r="I19148" s="2">
        <v>0</v>
      </c>
      <c r="J19148" s="1">
        <v>45938.372581018521</v>
      </c>
    </row>
    <row r="19149" spans="1:10" x14ac:dyDescent="0.2">
      <c r="A19149" s="4" t="s">
        <v>1</v>
      </c>
      <c r="B191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49" s="3" t="str">
        <f>HYPERLINK("https://otsuka-europe-crm.veevavault.com/ui/#object/sent_email__v/VBLZ025E82HEAOW", "SE-000284785")</f>
        <v>SE-000284785</v>
      </c>
      <c r="D19149" s="1">
        <v>45940.397650462961</v>
      </c>
      <c r="E19149" s="2">
        <v>1</v>
      </c>
      <c r="F19149" s="2">
        <v>3</v>
      </c>
      <c r="G19149" s="2">
        <v>0</v>
      </c>
      <c r="H19149" s="1" t="s">
        <v>0</v>
      </c>
      <c r="I19149" s="2">
        <v>0</v>
      </c>
      <c r="J19149" s="1">
        <v>45938.37259259259</v>
      </c>
    </row>
    <row r="19150" spans="1:10" x14ac:dyDescent="0.2">
      <c r="A19150" s="4" t="s">
        <v>1</v>
      </c>
      <c r="B191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50" s="3" t="str">
        <f>HYPERLINK("https://otsuka-europe-crm.veevavault.com/ui/#object/sent_email__v/VBLZ025E82HEAOX", "SE-000284786")</f>
        <v>SE-000284786</v>
      </c>
      <c r="D19150" s="1" t="s">
        <v>0</v>
      </c>
      <c r="E19150" s="2">
        <v>0</v>
      </c>
      <c r="F19150" s="2">
        <v>0</v>
      </c>
      <c r="G19150" s="2">
        <v>0</v>
      </c>
      <c r="H19150" s="1" t="s">
        <v>0</v>
      </c>
      <c r="I19150" s="2">
        <v>0</v>
      </c>
      <c r="J19150" s="1">
        <v>45938.37259259259</v>
      </c>
    </row>
    <row r="19151" spans="1:10" x14ac:dyDescent="0.2">
      <c r="A19151" s="4" t="s">
        <v>1</v>
      </c>
      <c r="B191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51" s="3" t="str">
        <f>HYPERLINK("https://otsuka-europe-crm.veevavault.com/ui/#object/sent_email__v/VBLZ025E82HEAOY", "SE-000284787")</f>
        <v>SE-000284787</v>
      </c>
      <c r="D19151" s="1">
        <v>45938.460474537038</v>
      </c>
      <c r="E19151" s="2">
        <v>1</v>
      </c>
      <c r="F19151" s="2">
        <v>2</v>
      </c>
      <c r="G19151" s="2">
        <v>0</v>
      </c>
      <c r="H19151" s="1" t="s">
        <v>0</v>
      </c>
      <c r="I19151" s="2">
        <v>0</v>
      </c>
      <c r="J19151" s="1">
        <v>45938.372615740744</v>
      </c>
    </row>
    <row r="19152" spans="1:10" x14ac:dyDescent="0.2">
      <c r="A19152" s="4" t="s">
        <v>1</v>
      </c>
      <c r="B191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52" s="3" t="str">
        <f>HYPERLINK("https://otsuka-europe-crm.veevavault.com/ui/#object/sent_email__v/VBLZ025E82HEAOZ", "SE-000284788")</f>
        <v>SE-000284788</v>
      </c>
      <c r="D19152" s="1">
        <v>45938.380011574074</v>
      </c>
      <c r="E19152" s="2">
        <v>1</v>
      </c>
      <c r="F19152" s="2">
        <v>1</v>
      </c>
      <c r="G19152" s="2">
        <v>0</v>
      </c>
      <c r="H19152" s="1" t="s">
        <v>0</v>
      </c>
      <c r="I19152" s="2">
        <v>0</v>
      </c>
      <c r="J19152" s="1">
        <v>45938.372615740744</v>
      </c>
    </row>
    <row r="19153" spans="1:10" x14ac:dyDescent="0.2">
      <c r="A19153" s="4" t="s">
        <v>1</v>
      </c>
      <c r="B191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53" s="3" t="str">
        <f>HYPERLINK("https://otsuka-europe-crm.veevavault.com/ui/#object/sent_email__v/VBLZ025E82HEAP0", "SE-000284789")</f>
        <v>SE-000284789</v>
      </c>
      <c r="D19153" s="1" t="s">
        <v>0</v>
      </c>
      <c r="E19153" s="2">
        <v>0</v>
      </c>
      <c r="F19153" s="2">
        <v>0</v>
      </c>
      <c r="G19153" s="2">
        <v>0</v>
      </c>
      <c r="H19153" s="1" t="s">
        <v>0</v>
      </c>
      <c r="I19153" s="2">
        <v>0</v>
      </c>
      <c r="J19153" s="1">
        <v>45938.372627314813</v>
      </c>
    </row>
    <row r="19154" spans="1:10" x14ac:dyDescent="0.2">
      <c r="A19154" s="4" t="s">
        <v>1</v>
      </c>
      <c r="B191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54" s="3" t="str">
        <f>HYPERLINK("https://otsuka-europe-crm.veevavault.com/ui/#object/sent_email__v/VBLZ025E82HEAP1", "SE-000284790")</f>
        <v>SE-000284790</v>
      </c>
      <c r="D19154" s="1" t="s">
        <v>0</v>
      </c>
      <c r="E19154" s="2">
        <v>0</v>
      </c>
      <c r="F19154" s="2">
        <v>0</v>
      </c>
      <c r="G19154" s="2">
        <v>0</v>
      </c>
      <c r="H19154" s="1" t="s">
        <v>0</v>
      </c>
      <c r="I19154" s="2">
        <v>0</v>
      </c>
      <c r="J19154" s="1">
        <v>45938.37263888889</v>
      </c>
    </row>
    <row r="19155" spans="1:10" x14ac:dyDescent="0.2">
      <c r="A19155" s="4" t="s">
        <v>1</v>
      </c>
      <c r="B191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55" s="3" t="str">
        <f>HYPERLINK("https://otsuka-europe-crm.veevavault.com/ui/#object/sent_email__v/VBLZ025E82HEAP2", "SE-000284791")</f>
        <v>SE-000284791</v>
      </c>
      <c r="D19155" s="1" t="s">
        <v>0</v>
      </c>
      <c r="E19155" s="2">
        <v>0</v>
      </c>
      <c r="F19155" s="2">
        <v>0</v>
      </c>
      <c r="G19155" s="2">
        <v>0</v>
      </c>
      <c r="H19155" s="1" t="s">
        <v>0</v>
      </c>
      <c r="I19155" s="2">
        <v>0</v>
      </c>
      <c r="J19155" s="1">
        <v>45938.37263888889</v>
      </c>
    </row>
    <row r="19156" spans="1:10" x14ac:dyDescent="0.2">
      <c r="A19156" s="4" t="s">
        <v>1</v>
      </c>
      <c r="B191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56" s="3" t="str">
        <f>HYPERLINK("https://otsuka-europe-crm.veevavault.com/ui/#object/sent_email__v/VBLZ025E82HEAP3", "SE-000284792")</f>
        <v>SE-000284792</v>
      </c>
      <c r="D19156" s="1" t="s">
        <v>0</v>
      </c>
      <c r="E19156" s="2">
        <v>0</v>
      </c>
      <c r="F19156" s="2">
        <v>0</v>
      </c>
      <c r="G19156" s="2">
        <v>0</v>
      </c>
      <c r="H19156" s="1" t="s">
        <v>0</v>
      </c>
      <c r="I19156" s="2">
        <v>0</v>
      </c>
      <c r="J19156" s="1">
        <v>45938.372650462959</v>
      </c>
    </row>
    <row r="19157" spans="1:10" x14ac:dyDescent="0.2">
      <c r="A19157" s="4" t="s">
        <v>1</v>
      </c>
      <c r="B191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57" s="3" t="str">
        <f>HYPERLINK("https://otsuka-europe-crm.veevavault.com/ui/#object/sent_email__v/VBLZ025E82HEAP4", "SE-000284793")</f>
        <v>SE-000284793</v>
      </c>
      <c r="D19157" s="1">
        <v>45947.729791666665</v>
      </c>
      <c r="E19157" s="2">
        <v>1</v>
      </c>
      <c r="F19157" s="2">
        <v>2</v>
      </c>
      <c r="G19157" s="2">
        <v>0</v>
      </c>
      <c r="H19157" s="1" t="s">
        <v>0</v>
      </c>
      <c r="I19157" s="2">
        <v>0</v>
      </c>
      <c r="J19157" s="1">
        <v>45938.372673611113</v>
      </c>
    </row>
    <row r="19158" spans="1:10" x14ac:dyDescent="0.2">
      <c r="A19158" s="4" t="s">
        <v>1</v>
      </c>
      <c r="B191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58" s="3" t="str">
        <f>HYPERLINK("https://otsuka-europe-crm.veevavault.com/ui/#object/sent_email__v/VBLZ025E82HEAP5", "SE-000284794")</f>
        <v>SE-000284794</v>
      </c>
      <c r="D19158" s="1">
        <v>45940.56759259259</v>
      </c>
      <c r="E19158" s="2">
        <v>1</v>
      </c>
      <c r="F19158" s="2">
        <v>1</v>
      </c>
      <c r="G19158" s="2">
        <v>0</v>
      </c>
      <c r="H19158" s="1" t="s">
        <v>0</v>
      </c>
      <c r="I19158" s="2">
        <v>0</v>
      </c>
      <c r="J19158" s="1">
        <v>45938.372673611113</v>
      </c>
    </row>
    <row r="19159" spans="1:10" x14ac:dyDescent="0.2">
      <c r="A19159" s="4" t="s">
        <v>1</v>
      </c>
      <c r="B191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59" s="3" t="str">
        <f>HYPERLINK("https://otsuka-europe-crm.veevavault.com/ui/#object/sent_email__v/VBLZ025E82HEAP6", "SE-000284795")</f>
        <v>SE-000284795</v>
      </c>
      <c r="D19159" s="1">
        <v>45948.607430555552</v>
      </c>
      <c r="E19159" s="2">
        <v>1</v>
      </c>
      <c r="F19159" s="2">
        <v>7</v>
      </c>
      <c r="G19159" s="2">
        <v>0</v>
      </c>
      <c r="H19159" s="1" t="s">
        <v>0</v>
      </c>
      <c r="I19159" s="2">
        <v>0</v>
      </c>
      <c r="J19159" s="1">
        <v>45938.372685185182</v>
      </c>
    </row>
    <row r="19160" spans="1:10" x14ac:dyDescent="0.2">
      <c r="A19160" s="4" t="s">
        <v>1</v>
      </c>
      <c r="B191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60" s="3" t="str">
        <f>HYPERLINK("https://otsuka-europe-crm.veevavault.com/ui/#object/sent_email__v/VBLZ025E82HEAP7", "SE-000284796")</f>
        <v>SE-000284796</v>
      </c>
      <c r="D19160" s="1" t="s">
        <v>0</v>
      </c>
      <c r="E19160" s="2">
        <v>0</v>
      </c>
      <c r="F19160" s="2">
        <v>0</v>
      </c>
      <c r="G19160" s="2">
        <v>0</v>
      </c>
      <c r="H19160" s="1" t="s">
        <v>0</v>
      </c>
      <c r="I19160" s="2">
        <v>0</v>
      </c>
      <c r="J19160" s="1">
        <v>45938.372696759259</v>
      </c>
    </row>
    <row r="19161" spans="1:10" x14ac:dyDescent="0.2">
      <c r="A19161" s="4" t="s">
        <v>1</v>
      </c>
      <c r="B191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61" s="3" t="str">
        <f>HYPERLINK("https://otsuka-europe-crm.veevavault.com/ui/#object/sent_email__v/VBLZ025E82HEAP8", "SE-000284797")</f>
        <v>SE-000284797</v>
      </c>
      <c r="D19161" s="1">
        <v>46078.466134259259</v>
      </c>
      <c r="E19161" s="2">
        <v>1</v>
      </c>
      <c r="F19161" s="2">
        <v>2</v>
      </c>
      <c r="G19161" s="2">
        <v>0</v>
      </c>
      <c r="H19161" s="1" t="s">
        <v>0</v>
      </c>
      <c r="I19161" s="2">
        <v>0</v>
      </c>
      <c r="J19161" s="1">
        <v>45938.372696759259</v>
      </c>
    </row>
    <row r="19162" spans="1:10" x14ac:dyDescent="0.2">
      <c r="A19162" s="4" t="s">
        <v>1</v>
      </c>
      <c r="B191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62" s="3" t="str">
        <f>HYPERLINK("https://otsuka-europe-crm.veevavault.com/ui/#object/sent_email__v/VBLZ025E82HEAP9", "SE-000284798")</f>
        <v>SE-000284798</v>
      </c>
      <c r="D19162" s="1" t="s">
        <v>0</v>
      </c>
      <c r="E19162" s="2">
        <v>0</v>
      </c>
      <c r="F19162" s="2">
        <v>0</v>
      </c>
      <c r="G19162" s="2">
        <v>0</v>
      </c>
      <c r="H19162" s="1" t="s">
        <v>0</v>
      </c>
      <c r="I19162" s="2">
        <v>0</v>
      </c>
      <c r="J19162" s="1">
        <v>45938.372708333336</v>
      </c>
    </row>
    <row r="19163" spans="1:10" x14ac:dyDescent="0.2">
      <c r="A19163" s="4" t="s">
        <v>1</v>
      </c>
      <c r="B191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63" s="3" t="str">
        <f>HYPERLINK("https://otsuka-europe-crm.veevavault.com/ui/#object/sent_email__v/VBLZ025E82HEAPA", "SE-000284799")</f>
        <v>SE-000284799</v>
      </c>
      <c r="D19163" s="1">
        <v>45938.869027777779</v>
      </c>
      <c r="E19163" s="2">
        <v>1</v>
      </c>
      <c r="F19163" s="2">
        <v>3</v>
      </c>
      <c r="G19163" s="2">
        <v>0</v>
      </c>
      <c r="H19163" s="1" t="s">
        <v>0</v>
      </c>
      <c r="I19163" s="2">
        <v>0</v>
      </c>
      <c r="J19163" s="1">
        <v>45938.372719907406</v>
      </c>
    </row>
    <row r="19164" spans="1:10" x14ac:dyDescent="0.2">
      <c r="A19164" s="4" t="s">
        <v>1</v>
      </c>
      <c r="B191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64" s="3" t="str">
        <f>HYPERLINK("https://otsuka-europe-crm.veevavault.com/ui/#object/sent_email__v/VBLZ025E82HEAPB", "SE-000284800")</f>
        <v>SE-000284800</v>
      </c>
      <c r="D19164" s="1" t="s">
        <v>0</v>
      </c>
      <c r="E19164" s="2">
        <v>0</v>
      </c>
      <c r="F19164" s="2">
        <v>0</v>
      </c>
      <c r="G19164" s="2">
        <v>0</v>
      </c>
      <c r="H19164" s="1" t="s">
        <v>0</v>
      </c>
      <c r="I19164" s="2">
        <v>0</v>
      </c>
      <c r="J19164" s="1">
        <v>45938.372731481482</v>
      </c>
    </row>
    <row r="19165" spans="1:10" x14ac:dyDescent="0.2">
      <c r="A19165" s="4" t="s">
        <v>1</v>
      </c>
      <c r="B191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65" s="3" t="str">
        <f>HYPERLINK("https://otsuka-europe-crm.veevavault.com/ui/#object/sent_email__v/VBLZ025E82HEAPC", "SE-000284801")</f>
        <v>SE-000284801</v>
      </c>
      <c r="D19165" s="1">
        <v>45949.688935185186</v>
      </c>
      <c r="E19165" s="2">
        <v>1</v>
      </c>
      <c r="F19165" s="2">
        <v>5</v>
      </c>
      <c r="G19165" s="2">
        <v>0</v>
      </c>
      <c r="H19165" s="1" t="s">
        <v>0</v>
      </c>
      <c r="I19165" s="2">
        <v>0</v>
      </c>
      <c r="J19165" s="1">
        <v>45938.372743055559</v>
      </c>
    </row>
    <row r="19166" spans="1:10" x14ac:dyDescent="0.2">
      <c r="A19166" s="4" t="s">
        <v>1</v>
      </c>
      <c r="B191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66" s="3" t="str">
        <f>HYPERLINK("https://otsuka-europe-crm.veevavault.com/ui/#object/sent_email__v/VBLZ025E82HEAPD", "SE-000284802")</f>
        <v>SE-000284802</v>
      </c>
      <c r="D19166" s="1">
        <v>45938.395648148151</v>
      </c>
      <c r="E19166" s="2">
        <v>1</v>
      </c>
      <c r="F19166" s="2">
        <v>3</v>
      </c>
      <c r="G19166" s="2">
        <v>0</v>
      </c>
      <c r="H19166" s="1" t="s">
        <v>0</v>
      </c>
      <c r="I19166" s="2">
        <v>0</v>
      </c>
      <c r="J19166" s="1">
        <v>45938.372743055559</v>
      </c>
    </row>
    <row r="19167" spans="1:10" x14ac:dyDescent="0.2">
      <c r="A19167" s="4" t="s">
        <v>1</v>
      </c>
      <c r="B191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67" s="3" t="str">
        <f>HYPERLINK("https://otsuka-europe-crm.veevavault.com/ui/#object/sent_email__v/VBLZ025E82HEAPE", "SE-000284803")</f>
        <v>SE-000284803</v>
      </c>
      <c r="D19167" s="1">
        <v>45938.580254629633</v>
      </c>
      <c r="E19167" s="2">
        <v>1</v>
      </c>
      <c r="F19167" s="2">
        <v>2</v>
      </c>
      <c r="G19167" s="2">
        <v>0</v>
      </c>
      <c r="H19167" s="1" t="s">
        <v>0</v>
      </c>
      <c r="I19167" s="2">
        <v>0</v>
      </c>
      <c r="J19167" s="1">
        <v>45938.372754629629</v>
      </c>
    </row>
    <row r="19168" spans="1:10" x14ac:dyDescent="0.2">
      <c r="A19168" s="4" t="s">
        <v>1</v>
      </c>
      <c r="B191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68" s="3" t="str">
        <f>HYPERLINK("https://otsuka-europe-crm.veevavault.com/ui/#object/sent_email__v/VBLZ025E82HEAPF", "SE-000284804")</f>
        <v>SE-000284804</v>
      </c>
      <c r="D19168" s="1">
        <v>45938.38077546296</v>
      </c>
      <c r="E19168" s="2">
        <v>1</v>
      </c>
      <c r="F19168" s="2">
        <v>2</v>
      </c>
      <c r="G19168" s="2">
        <v>0</v>
      </c>
      <c r="H19168" s="1" t="s">
        <v>0</v>
      </c>
      <c r="I19168" s="2">
        <v>0</v>
      </c>
      <c r="J19168" s="1">
        <v>45938.372766203705</v>
      </c>
    </row>
    <row r="19169" spans="1:10" x14ac:dyDescent="0.2">
      <c r="A19169" s="4" t="s">
        <v>1</v>
      </c>
      <c r="B191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69" s="3" t="str">
        <f>HYPERLINK("https://otsuka-europe-crm.veevavault.com/ui/#object/sent_email__v/VBLZ025E82HEAPG", "SE-000284805")</f>
        <v>SE-000284805</v>
      </c>
      <c r="D19169" s="1">
        <v>45970.739328703705</v>
      </c>
      <c r="E19169" s="2">
        <v>1</v>
      </c>
      <c r="F19169" s="2">
        <v>4</v>
      </c>
      <c r="G19169" s="2">
        <v>0</v>
      </c>
      <c r="H19169" s="1" t="s">
        <v>0</v>
      </c>
      <c r="I19169" s="2">
        <v>0</v>
      </c>
      <c r="J19169" s="1">
        <v>45938.372777777775</v>
      </c>
    </row>
    <row r="19170" spans="1:10" x14ac:dyDescent="0.2">
      <c r="A19170" s="4" t="s">
        <v>1</v>
      </c>
      <c r="B191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70" s="3" t="str">
        <f>HYPERLINK("https://otsuka-europe-crm.veevavault.com/ui/#object/sent_email__v/VBLZ025E82HEAPH", "SE-000284806")</f>
        <v>SE-000284806</v>
      </c>
      <c r="D19170" s="1">
        <v>45938.411921296298</v>
      </c>
      <c r="E19170" s="2">
        <v>1</v>
      </c>
      <c r="F19170" s="2">
        <v>2</v>
      </c>
      <c r="G19170" s="2">
        <v>0</v>
      </c>
      <c r="H19170" s="1" t="s">
        <v>0</v>
      </c>
      <c r="I19170" s="2">
        <v>0</v>
      </c>
      <c r="J19170" s="1">
        <v>45938.372789351852</v>
      </c>
    </row>
    <row r="19171" spans="1:10" x14ac:dyDescent="0.2">
      <c r="A19171" s="4" t="s">
        <v>1</v>
      </c>
      <c r="B191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71" s="3" t="str">
        <f>HYPERLINK("https://otsuka-europe-crm.veevavault.com/ui/#object/sent_email__v/VBLZ025E82HEAPI", "SE-000284807")</f>
        <v>SE-000284807</v>
      </c>
      <c r="D19171" s="1">
        <v>45938.373553240737</v>
      </c>
      <c r="E19171" s="2">
        <v>1</v>
      </c>
      <c r="F19171" s="2">
        <v>2</v>
      </c>
      <c r="G19171" s="2">
        <v>0</v>
      </c>
      <c r="H19171" s="1" t="s">
        <v>0</v>
      </c>
      <c r="I19171" s="2">
        <v>0</v>
      </c>
      <c r="J19171" s="1">
        <v>45938.372789351852</v>
      </c>
    </row>
    <row r="19172" spans="1:10" x14ac:dyDescent="0.2">
      <c r="A19172" s="4" t="s">
        <v>1</v>
      </c>
      <c r="B191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72" s="3" t="str">
        <f>HYPERLINK("https://otsuka-europe-crm.veevavault.com/ui/#object/sent_email__v/VBLZ025E82HEAPJ", "SE-000284808")</f>
        <v>SE-000284808</v>
      </c>
      <c r="D19172" s="1">
        <v>45938.373171296298</v>
      </c>
      <c r="E19172" s="2">
        <v>1</v>
      </c>
      <c r="F19172" s="2">
        <v>1</v>
      </c>
      <c r="G19172" s="2">
        <v>0</v>
      </c>
      <c r="H19172" s="1" t="s">
        <v>0</v>
      </c>
      <c r="I19172" s="2">
        <v>0</v>
      </c>
      <c r="J19172" s="1">
        <v>45938.372800925928</v>
      </c>
    </row>
    <row r="19173" spans="1:10" x14ac:dyDescent="0.2">
      <c r="A19173" s="4" t="s">
        <v>1</v>
      </c>
      <c r="B191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73" s="3" t="str">
        <f>HYPERLINK("https://otsuka-europe-crm.veevavault.com/ui/#object/sent_email__v/VBLZ025E82HEAPK", "SE-000284809")</f>
        <v>SE-000284809</v>
      </c>
      <c r="D19173" s="1">
        <v>45974.491412037038</v>
      </c>
      <c r="E19173" s="2">
        <v>1</v>
      </c>
      <c r="F19173" s="2">
        <v>4</v>
      </c>
      <c r="G19173" s="2">
        <v>0</v>
      </c>
      <c r="H19173" s="1" t="s">
        <v>0</v>
      </c>
      <c r="I19173" s="2">
        <v>0</v>
      </c>
      <c r="J19173" s="1">
        <v>45938.372812499998</v>
      </c>
    </row>
    <row r="19174" spans="1:10" x14ac:dyDescent="0.2">
      <c r="A19174" s="4" t="s">
        <v>1</v>
      </c>
      <c r="B191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74" s="3" t="str">
        <f>HYPERLINK("https://otsuka-europe-crm.veevavault.com/ui/#object/sent_email__v/VBLZ025E82HEAPL", "SE-000284810")</f>
        <v>SE-000284810</v>
      </c>
      <c r="D19174" s="1">
        <v>45938.390625</v>
      </c>
      <c r="E19174" s="2">
        <v>1</v>
      </c>
      <c r="F19174" s="2">
        <v>1</v>
      </c>
      <c r="G19174" s="2">
        <v>0</v>
      </c>
      <c r="H19174" s="1" t="s">
        <v>0</v>
      </c>
      <c r="I19174" s="2">
        <v>0</v>
      </c>
      <c r="J19174" s="1">
        <v>45938.372824074075</v>
      </c>
    </row>
    <row r="19175" spans="1:10" x14ac:dyDescent="0.2">
      <c r="A19175" s="4" t="s">
        <v>1</v>
      </c>
      <c r="B191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75" s="3" t="str">
        <f>HYPERLINK("https://otsuka-europe-crm.veevavault.com/ui/#object/sent_email__v/VBLZ025E82HEAPM", "SE-000284811")</f>
        <v>SE-000284811</v>
      </c>
      <c r="D19175" s="1">
        <v>45938.411226851851</v>
      </c>
      <c r="E19175" s="2">
        <v>1</v>
      </c>
      <c r="F19175" s="2">
        <v>1</v>
      </c>
      <c r="G19175" s="2">
        <v>0</v>
      </c>
      <c r="H19175" s="1" t="s">
        <v>0</v>
      </c>
      <c r="I19175" s="2">
        <v>0</v>
      </c>
      <c r="J19175" s="1">
        <v>45938.372835648152</v>
      </c>
    </row>
    <row r="19176" spans="1:10" x14ac:dyDescent="0.2">
      <c r="A19176" s="4" t="s">
        <v>1</v>
      </c>
      <c r="B191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76" s="3" t="str">
        <f>HYPERLINK("https://otsuka-europe-crm.veevavault.com/ui/#object/sent_email__v/VBLZ025E82HEAPN", "SE-000284812")</f>
        <v>SE-000284812</v>
      </c>
      <c r="D19176" s="1">
        <v>45953.779039351852</v>
      </c>
      <c r="E19176" s="2">
        <v>1</v>
      </c>
      <c r="F19176" s="2">
        <v>4</v>
      </c>
      <c r="G19176" s="2">
        <v>1</v>
      </c>
      <c r="H19176" s="1">
        <v>45953.779907407406</v>
      </c>
      <c r="I19176" s="2">
        <v>1</v>
      </c>
      <c r="J19176" s="1">
        <v>45938.372847222221</v>
      </c>
    </row>
    <row r="19177" spans="1:10" x14ac:dyDescent="0.2">
      <c r="A19177" s="4" t="s">
        <v>1</v>
      </c>
      <c r="B191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77" s="3" t="str">
        <f>HYPERLINK("https://otsuka-europe-crm.veevavault.com/ui/#object/sent_email__v/VBLZ025E82HEAPO", "SE-000284813")</f>
        <v>SE-000284813</v>
      </c>
      <c r="D19177" s="1" t="s">
        <v>0</v>
      </c>
      <c r="E19177" s="2">
        <v>0</v>
      </c>
      <c r="F19177" s="2">
        <v>0</v>
      </c>
      <c r="G19177" s="2">
        <v>0</v>
      </c>
      <c r="H19177" s="1" t="s">
        <v>0</v>
      </c>
      <c r="I19177" s="2">
        <v>0</v>
      </c>
      <c r="J19177" s="1">
        <v>45938.372847222221</v>
      </c>
    </row>
    <row r="19178" spans="1:10" x14ac:dyDescent="0.2">
      <c r="A19178" s="4" t="s">
        <v>1</v>
      </c>
      <c r="B191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78" s="3" t="str">
        <f>HYPERLINK("https://otsuka-europe-crm.veevavault.com/ui/#object/sent_email__v/VBLZ025E82HEAPP", "SE-000284814")</f>
        <v>SE-000284814</v>
      </c>
      <c r="D19178" s="1">
        <v>45943.505370370367</v>
      </c>
      <c r="E19178" s="2">
        <v>1</v>
      </c>
      <c r="F19178" s="2">
        <v>9</v>
      </c>
      <c r="G19178" s="2">
        <v>1</v>
      </c>
      <c r="H19178" s="1">
        <v>45938.611226851855</v>
      </c>
      <c r="I19178" s="2">
        <v>1</v>
      </c>
      <c r="J19178" s="1">
        <v>45938.372858796298</v>
      </c>
    </row>
    <row r="19179" spans="1:10" x14ac:dyDescent="0.2">
      <c r="A19179" s="4" t="s">
        <v>1</v>
      </c>
      <c r="B191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79" s="3" t="str">
        <f>HYPERLINK("https://otsuka-europe-crm.veevavault.com/ui/#object/sent_email__v/VBLZ025E82HEAPQ", "SE-000284815")</f>
        <v>SE-000284815</v>
      </c>
      <c r="D19179" s="1">
        <v>45938.600613425922</v>
      </c>
      <c r="E19179" s="2">
        <v>1</v>
      </c>
      <c r="F19179" s="2">
        <v>1</v>
      </c>
      <c r="G19179" s="2">
        <v>0</v>
      </c>
      <c r="H19179" s="1" t="s">
        <v>0</v>
      </c>
      <c r="I19179" s="2">
        <v>0</v>
      </c>
      <c r="J19179" s="1">
        <v>45938.372881944444</v>
      </c>
    </row>
    <row r="19180" spans="1:10" x14ac:dyDescent="0.2">
      <c r="A19180" s="4" t="s">
        <v>1</v>
      </c>
      <c r="B191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80" s="3" t="str">
        <f>HYPERLINK("https://otsuka-europe-crm.veevavault.com/ui/#object/sent_email__v/VBLZ025E82HEAPR", "SE-000284816")</f>
        <v>SE-000284816</v>
      </c>
      <c r="D19180" s="1">
        <v>45940.720567129632</v>
      </c>
      <c r="E19180" s="2">
        <v>1</v>
      </c>
      <c r="F19180" s="2">
        <v>1</v>
      </c>
      <c r="G19180" s="2">
        <v>0</v>
      </c>
      <c r="H19180" s="1" t="s">
        <v>0</v>
      </c>
      <c r="I19180" s="2">
        <v>0</v>
      </c>
      <c r="J19180" s="1">
        <v>45938.372893518521</v>
      </c>
    </row>
    <row r="19181" spans="1:10" x14ac:dyDescent="0.2">
      <c r="A19181" s="4" t="s">
        <v>1</v>
      </c>
      <c r="B191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81" s="3" t="str">
        <f>HYPERLINK("https://otsuka-europe-crm.veevavault.com/ui/#object/sent_email__v/VBLZ025E82HEAPS", "SE-000284817")</f>
        <v>SE-000284817</v>
      </c>
      <c r="D19181" s="1" t="s">
        <v>0</v>
      </c>
      <c r="E19181" s="2">
        <v>0</v>
      </c>
      <c r="F19181" s="2">
        <v>0</v>
      </c>
      <c r="G19181" s="2">
        <v>0</v>
      </c>
      <c r="H19181" s="1" t="s">
        <v>0</v>
      </c>
      <c r="I19181" s="2">
        <v>0</v>
      </c>
      <c r="J19181" s="1">
        <v>45938.37290509259</v>
      </c>
    </row>
    <row r="19182" spans="1:10" x14ac:dyDescent="0.2">
      <c r="A19182" s="4" t="s">
        <v>1</v>
      </c>
      <c r="B191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82" s="3" t="str">
        <f>HYPERLINK("https://otsuka-europe-crm.veevavault.com/ui/#object/sent_email__v/VBLZ025E82HEAPT", "SE-000284818")</f>
        <v>SE-000284818</v>
      </c>
      <c r="D19182" s="1" t="s">
        <v>0</v>
      </c>
      <c r="E19182" s="2">
        <v>0</v>
      </c>
      <c r="F19182" s="2">
        <v>0</v>
      </c>
      <c r="G19182" s="2">
        <v>0</v>
      </c>
      <c r="H19182" s="1" t="s">
        <v>0</v>
      </c>
      <c r="I19182" s="2">
        <v>0</v>
      </c>
      <c r="J19182" s="1">
        <v>45938.372916666667</v>
      </c>
    </row>
    <row r="19183" spans="1:10" x14ac:dyDescent="0.2">
      <c r="A19183" s="4" t="s">
        <v>1</v>
      </c>
      <c r="B191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83" s="3" t="str">
        <f>HYPERLINK("https://otsuka-europe-crm.veevavault.com/ui/#object/sent_email__v/VBLZ025E82HEAPU", "SE-000284819")</f>
        <v>SE-000284819</v>
      </c>
      <c r="D19183" s="1" t="s">
        <v>0</v>
      </c>
      <c r="E19183" s="2">
        <v>0</v>
      </c>
      <c r="F19183" s="2">
        <v>0</v>
      </c>
      <c r="G19183" s="2">
        <v>0</v>
      </c>
      <c r="H19183" s="1" t="s">
        <v>0</v>
      </c>
      <c r="I19183" s="2">
        <v>0</v>
      </c>
      <c r="J19183" s="1">
        <v>45938.372916666667</v>
      </c>
    </row>
    <row r="19184" spans="1:10" x14ac:dyDescent="0.2">
      <c r="A19184" s="4" t="s">
        <v>1</v>
      </c>
      <c r="B191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84" s="3" t="str">
        <f>HYPERLINK("https://otsuka-europe-crm.veevavault.com/ui/#object/sent_email__v/VBLZ025E82HEN12", "SE-000284953")</f>
        <v>SE-000284953</v>
      </c>
      <c r="D19184" s="1">
        <v>45938.495243055557</v>
      </c>
      <c r="E19184" s="2">
        <v>1</v>
      </c>
      <c r="F19184" s="2">
        <v>1</v>
      </c>
      <c r="G19184" s="2">
        <v>0</v>
      </c>
      <c r="H19184" s="1" t="s">
        <v>0</v>
      </c>
      <c r="I19184" s="2">
        <v>0</v>
      </c>
      <c r="J19184" s="1">
        <v>45938.491956018515</v>
      </c>
    </row>
    <row r="19185" spans="1:10" x14ac:dyDescent="0.2">
      <c r="A19185" s="4" t="s">
        <v>1</v>
      </c>
      <c r="B191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85" s="3" t="str">
        <f>HYPERLINK("https://otsuka-europe-crm.veevavault.com/ui/#object/sent_email__v/VBLZ025E82HEQNL", "SE-000284954")</f>
        <v>SE-000284954</v>
      </c>
      <c r="D19185" s="1">
        <v>45941.357372685183</v>
      </c>
      <c r="E19185" s="2">
        <v>1</v>
      </c>
      <c r="F19185" s="2">
        <v>3</v>
      </c>
      <c r="G19185" s="2">
        <v>1</v>
      </c>
      <c r="H19185" s="1">
        <v>45938.548182870371</v>
      </c>
      <c r="I19185" s="2">
        <v>6</v>
      </c>
      <c r="J19185" s="1">
        <v>45938.50335648148</v>
      </c>
    </row>
    <row r="19186" spans="1:10" x14ac:dyDescent="0.2">
      <c r="A19186" s="4" t="s">
        <v>1</v>
      </c>
      <c r="B191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86" s="3" t="str">
        <f>HYPERLINK("https://otsuka-europe-crm.veevavault.com/ui/#object/sent_email__v/VBLZ025E82HERT9", "SE-000284961")</f>
        <v>SE-000284961</v>
      </c>
      <c r="D19186" s="1">
        <v>45942.02621527778</v>
      </c>
      <c r="E19186" s="2">
        <v>1</v>
      </c>
      <c r="F19186" s="2">
        <v>5</v>
      </c>
      <c r="G19186" s="2">
        <v>0</v>
      </c>
      <c r="H19186" s="1" t="s">
        <v>0</v>
      </c>
      <c r="I19186" s="2">
        <v>0</v>
      </c>
      <c r="J19186" s="1">
        <v>45938.520474537036</v>
      </c>
    </row>
    <row r="19187" spans="1:10" x14ac:dyDescent="0.2">
      <c r="A19187" s="4" t="s">
        <v>1</v>
      </c>
      <c r="B191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87" s="3" t="str">
        <f>HYPERLINK("https://otsuka-europe-crm.veevavault.com/ui/#object/sent_email__v/VBLZ025E82HERTA", "SE-000284962")</f>
        <v>SE-000284962</v>
      </c>
      <c r="D19187" s="1">
        <v>45939.286319444444</v>
      </c>
      <c r="E19187" s="2">
        <v>1</v>
      </c>
      <c r="F19187" s="2">
        <v>2</v>
      </c>
      <c r="G19187" s="2">
        <v>0</v>
      </c>
      <c r="H19187" s="1" t="s">
        <v>0</v>
      </c>
      <c r="I19187" s="2">
        <v>0</v>
      </c>
      <c r="J19187" s="1">
        <v>45938.520520833335</v>
      </c>
    </row>
    <row r="19188" spans="1:10" x14ac:dyDescent="0.2">
      <c r="A19188" s="4" t="s">
        <v>1</v>
      </c>
      <c r="B191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88" s="3" t="str">
        <f>HYPERLINK("https://otsuka-europe-crm.veevavault.com/ui/#object/sent_email__v/VBLZ025E82HERTB", "SE-000284963")</f>
        <v>SE-000284963</v>
      </c>
      <c r="D19188" s="1">
        <v>45940.527129629627</v>
      </c>
      <c r="E19188" s="2">
        <v>1</v>
      </c>
      <c r="F19188" s="2">
        <v>2</v>
      </c>
      <c r="G19188" s="2">
        <v>0</v>
      </c>
      <c r="H19188" s="1" t="s">
        <v>0</v>
      </c>
      <c r="I19188" s="2">
        <v>0</v>
      </c>
      <c r="J19188" s="1">
        <v>45938.520532407405</v>
      </c>
    </row>
    <row r="19189" spans="1:10" x14ac:dyDescent="0.2">
      <c r="A19189" s="4" t="s">
        <v>1</v>
      </c>
      <c r="B191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89" s="3" t="str">
        <f>HYPERLINK("https://otsuka-europe-crm.veevavault.com/ui/#object/sent_email__v/VBLZ025E82HERTC", "SE-000284964")</f>
        <v>SE-000284964</v>
      </c>
      <c r="D19189" s="1">
        <v>45939.42459490741</v>
      </c>
      <c r="E19189" s="2">
        <v>1</v>
      </c>
      <c r="F19189" s="2">
        <v>1</v>
      </c>
      <c r="G19189" s="2">
        <v>0</v>
      </c>
      <c r="H19189" s="1" t="s">
        <v>0</v>
      </c>
      <c r="I19189" s="2">
        <v>0</v>
      </c>
      <c r="J19189" s="1">
        <v>45938.520381944443</v>
      </c>
    </row>
    <row r="19190" spans="1:10" x14ac:dyDescent="0.2">
      <c r="A19190" s="4" t="s">
        <v>1</v>
      </c>
      <c r="B191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90" s="3" t="str">
        <f>HYPERLINK("https://otsuka-europe-crm.veevavault.com/ui/#object/sent_email__v/VBLZ025E82HERTD", "SE-000284965")</f>
        <v>SE-000284965</v>
      </c>
      <c r="D19190" s="1" t="s">
        <v>0</v>
      </c>
      <c r="E19190" s="2">
        <v>0</v>
      </c>
      <c r="F19190" s="2">
        <v>0</v>
      </c>
      <c r="G19190" s="2">
        <v>0</v>
      </c>
      <c r="H19190" s="1" t="s">
        <v>0</v>
      </c>
      <c r="I19190" s="2">
        <v>0</v>
      </c>
      <c r="J19190" s="1">
        <v>45938.520601851851</v>
      </c>
    </row>
    <row r="19191" spans="1:10" x14ac:dyDescent="0.2">
      <c r="A19191" s="4" t="s">
        <v>1</v>
      </c>
      <c r="B191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91" s="3" t="str">
        <f>HYPERLINK("https://otsuka-europe-crm.veevavault.com/ui/#object/sent_email__v/VBLZ025E82HERTE", "SE-000284966")</f>
        <v>SE-000284966</v>
      </c>
      <c r="D19191" s="1" t="s">
        <v>0</v>
      </c>
      <c r="E19191" s="2">
        <v>0</v>
      </c>
      <c r="F19191" s="2">
        <v>0</v>
      </c>
      <c r="G19191" s="2">
        <v>0</v>
      </c>
      <c r="H19191" s="1" t="s">
        <v>0</v>
      </c>
      <c r="I19191" s="2">
        <v>0</v>
      </c>
      <c r="J19191" s="1">
        <v>45938.520381944443</v>
      </c>
    </row>
    <row r="19192" spans="1:10" x14ac:dyDescent="0.2">
      <c r="A19192" s="4" t="s">
        <v>1</v>
      </c>
      <c r="B191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92" s="3" t="str">
        <f>HYPERLINK("https://otsuka-europe-crm.veevavault.com/ui/#object/sent_email__v/VBLZ025E82HERTF", "SE-000284967")</f>
        <v>SE-000284967</v>
      </c>
      <c r="D19192" s="1" t="s">
        <v>0</v>
      </c>
      <c r="E19192" s="2">
        <v>0</v>
      </c>
      <c r="F19192" s="2">
        <v>0</v>
      </c>
      <c r="G19192" s="2">
        <v>0</v>
      </c>
      <c r="H19192" s="1" t="s">
        <v>0</v>
      </c>
      <c r="I19192" s="2">
        <v>0</v>
      </c>
      <c r="J19192" s="1">
        <v>45938.520636574074</v>
      </c>
    </row>
    <row r="19193" spans="1:10" x14ac:dyDescent="0.2">
      <c r="A19193" s="4" t="s">
        <v>1</v>
      </c>
      <c r="B191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93" s="3" t="str">
        <f>HYPERLINK("https://otsuka-europe-crm.veevavault.com/ui/#object/sent_email__v/VBLZ025E82HERTG", "SE-000284968")</f>
        <v>SE-000284968</v>
      </c>
      <c r="D19193" s="1" t="s">
        <v>0</v>
      </c>
      <c r="E19193" s="2">
        <v>0</v>
      </c>
      <c r="F19193" s="2">
        <v>0</v>
      </c>
      <c r="G19193" s="2">
        <v>0</v>
      </c>
      <c r="H19193" s="1" t="s">
        <v>0</v>
      </c>
      <c r="I19193" s="2">
        <v>0</v>
      </c>
      <c r="J19193" s="1">
        <v>45938.520671296297</v>
      </c>
    </row>
    <row r="19194" spans="1:10" x14ac:dyDescent="0.2">
      <c r="A19194" s="4" t="s">
        <v>1</v>
      </c>
      <c r="B191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94" s="3" t="str">
        <f>HYPERLINK("https://otsuka-europe-crm.veevavault.com/ui/#object/sent_email__v/VBLZ025E82HERTH", "SE-000284969")</f>
        <v>SE-000284969</v>
      </c>
      <c r="D19194" s="1">
        <v>45941.051493055558</v>
      </c>
      <c r="E19194" s="2">
        <v>1</v>
      </c>
      <c r="F19194" s="2">
        <v>1</v>
      </c>
      <c r="G19194" s="2">
        <v>0</v>
      </c>
      <c r="H19194" s="1" t="s">
        <v>0</v>
      </c>
      <c r="I19194" s="2">
        <v>0</v>
      </c>
      <c r="J19194" s="1">
        <v>45938.520428240743</v>
      </c>
    </row>
    <row r="19195" spans="1:10" x14ac:dyDescent="0.2">
      <c r="A19195" s="4" t="s">
        <v>1</v>
      </c>
      <c r="B191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95" s="3" t="str">
        <f>HYPERLINK("https://otsuka-europe-crm.veevavault.com/ui/#object/sent_email__v/VBLZ025E82HERTI", "SE-000284970")</f>
        <v>SE-000284970</v>
      </c>
      <c r="D19195" s="1" t="s">
        <v>0</v>
      </c>
      <c r="E19195" s="2">
        <v>0</v>
      </c>
      <c r="F19195" s="2">
        <v>0</v>
      </c>
      <c r="G19195" s="2">
        <v>0</v>
      </c>
      <c r="H19195" s="1" t="s">
        <v>0</v>
      </c>
      <c r="I19195" s="2">
        <v>0</v>
      </c>
      <c r="J19195" s="1">
        <v>45938.520578703705</v>
      </c>
    </row>
    <row r="19196" spans="1:10" x14ac:dyDescent="0.2">
      <c r="A19196" s="4" t="s">
        <v>1</v>
      </c>
      <c r="B191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96" s="3" t="str">
        <f>HYPERLINK("https://otsuka-europe-crm.veevavault.com/ui/#object/sent_email__v/VBLZ025E82HERTJ", "SE-000284971")</f>
        <v>SE-000284971</v>
      </c>
      <c r="D19196" s="1">
        <v>45938.622696759259</v>
      </c>
      <c r="E19196" s="2">
        <v>1</v>
      </c>
      <c r="F19196" s="2">
        <v>2</v>
      </c>
      <c r="G19196" s="2">
        <v>0</v>
      </c>
      <c r="H19196" s="1" t="s">
        <v>0</v>
      </c>
      <c r="I19196" s="2">
        <v>0</v>
      </c>
      <c r="J19196" s="1">
        <v>45938.520381944443</v>
      </c>
    </row>
    <row r="19197" spans="1:10" x14ac:dyDescent="0.2">
      <c r="A19197" s="4" t="s">
        <v>1</v>
      </c>
      <c r="B191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97" s="3" t="str">
        <f>HYPERLINK("https://otsuka-europe-crm.veevavault.com/ui/#object/sent_email__v/VBLZ025E82HERTK", "SE-000284972")</f>
        <v>SE-000284972</v>
      </c>
      <c r="D19197" s="1">
        <v>45938.788171296299</v>
      </c>
      <c r="E19197" s="2">
        <v>1</v>
      </c>
      <c r="F19197" s="2">
        <v>1</v>
      </c>
      <c r="G19197" s="2">
        <v>0</v>
      </c>
      <c r="H19197" s="1" t="s">
        <v>0</v>
      </c>
      <c r="I19197" s="2">
        <v>0</v>
      </c>
      <c r="J19197" s="1">
        <v>45938.52039351852</v>
      </c>
    </row>
    <row r="19198" spans="1:10" x14ac:dyDescent="0.2">
      <c r="A19198" s="4" t="s">
        <v>1</v>
      </c>
      <c r="B191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98" s="3" t="str">
        <f>HYPERLINK("https://otsuka-europe-crm.veevavault.com/ui/#object/sent_email__v/VBLZ025E82HERTL", "SE-000284973")</f>
        <v>SE-000284973</v>
      </c>
      <c r="D19198" s="1">
        <v>45938.563900462963</v>
      </c>
      <c r="E19198" s="2">
        <v>1</v>
      </c>
      <c r="F19198" s="2">
        <v>1</v>
      </c>
      <c r="G19198" s="2">
        <v>0</v>
      </c>
      <c r="H19198" s="1" t="s">
        <v>0</v>
      </c>
      <c r="I19198" s="2">
        <v>0</v>
      </c>
      <c r="J19198" s="1">
        <v>45938.52039351852</v>
      </c>
    </row>
    <row r="19199" spans="1:10" x14ac:dyDescent="0.2">
      <c r="A19199" s="4" t="s">
        <v>1</v>
      </c>
      <c r="B191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199" s="3" t="str">
        <f>HYPERLINK("https://otsuka-europe-crm.veevavault.com/ui/#object/sent_email__v/VBLZ025E82HERTM", "SE-000284974")</f>
        <v>SE-000284974</v>
      </c>
      <c r="D19199" s="1">
        <v>45940.604722222219</v>
      </c>
      <c r="E19199" s="2">
        <v>1</v>
      </c>
      <c r="F19199" s="2">
        <v>2</v>
      </c>
      <c r="G19199" s="2">
        <v>1</v>
      </c>
      <c r="H19199" s="1">
        <v>45938.889525462961</v>
      </c>
      <c r="I19199" s="2">
        <v>1</v>
      </c>
      <c r="J19199" s="1">
        <v>45938.520462962966</v>
      </c>
    </row>
    <row r="19200" spans="1:10" x14ac:dyDescent="0.2">
      <c r="A19200" s="4" t="s">
        <v>1</v>
      </c>
      <c r="B192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00" s="3" t="str">
        <f>HYPERLINK("https://otsuka-europe-crm.veevavault.com/ui/#object/sent_email__v/VBLZ025E82HFQM1", "SE-000285042")</f>
        <v>SE-000285042</v>
      </c>
      <c r="D19200" s="1">
        <v>45940.484212962961</v>
      </c>
      <c r="E19200" s="2">
        <v>1</v>
      </c>
      <c r="F19200" s="2">
        <v>2</v>
      </c>
      <c r="G19200" s="2">
        <v>0</v>
      </c>
      <c r="H19200" s="1" t="s">
        <v>0</v>
      </c>
      <c r="I19200" s="2">
        <v>0</v>
      </c>
      <c r="J19200" s="1">
        <v>45939.383043981485</v>
      </c>
    </row>
    <row r="19201" spans="1:10" x14ac:dyDescent="0.2">
      <c r="A19201" s="4" t="s">
        <v>1</v>
      </c>
      <c r="B192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01" s="3" t="str">
        <f>HYPERLINK("https://otsuka-europe-crm.veevavault.com/ui/#object/sent_email__v/VBLZ025E82HFX0L", "SE-000285108")</f>
        <v>SE-000285108</v>
      </c>
      <c r="D19201" s="1">
        <v>45939.844247685185</v>
      </c>
      <c r="E19201" s="2">
        <v>1</v>
      </c>
      <c r="F19201" s="2">
        <v>1</v>
      </c>
      <c r="G19201" s="2">
        <v>0</v>
      </c>
      <c r="H19201" s="1" t="s">
        <v>0</v>
      </c>
      <c r="I19201" s="2">
        <v>0</v>
      </c>
      <c r="J19201" s="1">
        <v>45939.442627314813</v>
      </c>
    </row>
    <row r="19202" spans="1:10" x14ac:dyDescent="0.2">
      <c r="A19202" s="4" t="s">
        <v>1</v>
      </c>
      <c r="B192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02" s="3" t="str">
        <f>HYPERLINK("https://otsuka-europe-crm.veevavault.com/ui/#object/sent_email__v/VBLZ025E82HFX0M", "SE-000285109")</f>
        <v>SE-000285109</v>
      </c>
      <c r="D19202" s="1">
        <v>45960.538773148146</v>
      </c>
      <c r="E19202" s="2">
        <v>1</v>
      </c>
      <c r="F19202" s="2">
        <v>22</v>
      </c>
      <c r="G19202" s="2">
        <v>1</v>
      </c>
      <c r="H19202" s="1">
        <v>45941.534259259257</v>
      </c>
      <c r="I19202" s="2">
        <v>2</v>
      </c>
      <c r="J19202" s="1">
        <v>45939.44263888889</v>
      </c>
    </row>
    <row r="19203" spans="1:10" x14ac:dyDescent="0.2">
      <c r="A19203" s="4" t="s">
        <v>1</v>
      </c>
      <c r="B192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03" s="3" t="str">
        <f>HYPERLINK("https://otsuka-europe-crm.veevavault.com/ui/#object/sent_email__v/VBLZ025E82HFX0N", "SE-000285110")</f>
        <v>SE-000285110</v>
      </c>
      <c r="D19203" s="1">
        <v>45946.339155092595</v>
      </c>
      <c r="E19203" s="2">
        <v>1</v>
      </c>
      <c r="F19203" s="2">
        <v>2</v>
      </c>
      <c r="G19203" s="2">
        <v>0</v>
      </c>
      <c r="H19203" s="1" t="s">
        <v>0</v>
      </c>
      <c r="I19203" s="2">
        <v>0</v>
      </c>
      <c r="J19203" s="1">
        <v>45939.44263888889</v>
      </c>
    </row>
    <row r="19204" spans="1:10" x14ac:dyDescent="0.2">
      <c r="A19204" s="4" t="s">
        <v>1</v>
      </c>
      <c r="B192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04" s="3" t="str">
        <f>HYPERLINK("https://otsuka-europe-crm.veevavault.com/ui/#object/sent_email__v/VBLZ025E82HFX0O", "SE-000285111")</f>
        <v>SE-000285111</v>
      </c>
      <c r="D19204" s="1" t="s">
        <v>0</v>
      </c>
      <c r="E19204" s="2">
        <v>0</v>
      </c>
      <c r="F19204" s="2">
        <v>0</v>
      </c>
      <c r="G19204" s="2">
        <v>0</v>
      </c>
      <c r="H19204" s="1" t="s">
        <v>0</v>
      </c>
      <c r="I19204" s="2">
        <v>0</v>
      </c>
      <c r="J19204" s="1">
        <v>45939.442650462966</v>
      </c>
    </row>
    <row r="19205" spans="1:10" x14ac:dyDescent="0.2">
      <c r="A19205" s="4" t="s">
        <v>1</v>
      </c>
      <c r="B192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05" s="3" t="str">
        <f>HYPERLINK("https://otsuka-europe-crm.veevavault.com/ui/#object/sent_email__v/VBLZ025E82HFX0P", "SE-000285112")</f>
        <v>SE-000285112</v>
      </c>
      <c r="D19205" s="1">
        <v>45945.833541666667</v>
      </c>
      <c r="E19205" s="2">
        <v>1</v>
      </c>
      <c r="F19205" s="2">
        <v>6</v>
      </c>
      <c r="G19205" s="2">
        <v>0</v>
      </c>
      <c r="H19205" s="1" t="s">
        <v>0</v>
      </c>
      <c r="I19205" s="2">
        <v>0</v>
      </c>
      <c r="J19205" s="1">
        <v>45939.442650462966</v>
      </c>
    </row>
    <row r="19206" spans="1:10" x14ac:dyDescent="0.2">
      <c r="A19206" s="4" t="s">
        <v>1</v>
      </c>
      <c r="B192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06" s="3" t="str">
        <f>HYPERLINK("https://otsuka-europe-crm.veevavault.com/ui/#object/sent_email__v/VBLZ025E82HFX0Q", "SE-000285113")</f>
        <v>SE-000285113</v>
      </c>
      <c r="D19206" s="1">
        <v>45939.500219907408</v>
      </c>
      <c r="E19206" s="2">
        <v>1</v>
      </c>
      <c r="F19206" s="2">
        <v>3</v>
      </c>
      <c r="G19206" s="2">
        <v>0</v>
      </c>
      <c r="H19206" s="1" t="s">
        <v>0</v>
      </c>
      <c r="I19206" s="2">
        <v>0</v>
      </c>
      <c r="J19206" s="1">
        <v>45939.442650462966</v>
      </c>
    </row>
    <row r="19207" spans="1:10" x14ac:dyDescent="0.2">
      <c r="A19207" s="4" t="s">
        <v>1</v>
      </c>
      <c r="B192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07" s="3" t="str">
        <f>HYPERLINK("https://otsuka-europe-crm.veevavault.com/ui/#object/sent_email__v/VBLZ025E82HFY0P", "SE-000285128")</f>
        <v>SE-000285128</v>
      </c>
      <c r="D19207" s="1" t="s">
        <v>0</v>
      </c>
      <c r="E19207" s="2">
        <v>0</v>
      </c>
      <c r="F19207" s="2">
        <v>0</v>
      </c>
      <c r="G19207" s="2">
        <v>0</v>
      </c>
      <c r="H19207" s="1" t="s">
        <v>0</v>
      </c>
      <c r="I19207" s="2">
        <v>0</v>
      </c>
      <c r="J19207" s="1">
        <v>45940.335659722223</v>
      </c>
    </row>
    <row r="19208" spans="1:10" x14ac:dyDescent="0.2">
      <c r="A19208" s="4" t="s">
        <v>1</v>
      </c>
      <c r="B192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08" s="3" t="str">
        <f>HYPERLINK("https://otsuka-europe-crm.veevavault.com/ui/#object/sent_email__v/VBLZ025E82HFY0Q", "SE-000285129")</f>
        <v>SE-000285129</v>
      </c>
      <c r="D19208" s="1">
        <v>45940.426921296297</v>
      </c>
      <c r="E19208" s="2">
        <v>1</v>
      </c>
      <c r="F19208" s="2">
        <v>1</v>
      </c>
      <c r="G19208" s="2">
        <v>0</v>
      </c>
      <c r="H19208" s="1" t="s">
        <v>0</v>
      </c>
      <c r="I19208" s="2">
        <v>0</v>
      </c>
      <c r="J19208" s="1">
        <v>45940.335659722223</v>
      </c>
    </row>
    <row r="19209" spans="1:10" x14ac:dyDescent="0.2">
      <c r="A19209" s="4" t="s">
        <v>1</v>
      </c>
      <c r="B192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09" s="3" t="str">
        <f>HYPERLINK("https://otsuka-europe-crm.veevavault.com/ui/#object/sent_email__v/VBLZ025E82HFY0R", "SE-000285130")</f>
        <v>SE-000285130</v>
      </c>
      <c r="D19209" s="1" t="s">
        <v>0</v>
      </c>
      <c r="E19209" s="2">
        <v>0</v>
      </c>
      <c r="F19209" s="2">
        <v>0</v>
      </c>
      <c r="G19209" s="2">
        <v>0</v>
      </c>
      <c r="H19209" s="1" t="s">
        <v>0</v>
      </c>
      <c r="I19209" s="2">
        <v>0</v>
      </c>
      <c r="J19209" s="1">
        <v>45940.335636574076</v>
      </c>
    </row>
    <row r="19210" spans="1:10" x14ac:dyDescent="0.2">
      <c r="A19210" s="4" t="s">
        <v>1</v>
      </c>
      <c r="B192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10" s="3" t="str">
        <f>HYPERLINK("https://otsuka-europe-crm.veevavault.com/ui/#object/sent_email__v/VBLZ025E82HFY0S", "SE-000285131")</f>
        <v>SE-000285131</v>
      </c>
      <c r="D19210" s="1">
        <v>45940.743622685186</v>
      </c>
      <c r="E19210" s="2">
        <v>1</v>
      </c>
      <c r="F19210" s="2">
        <v>1</v>
      </c>
      <c r="G19210" s="2">
        <v>0</v>
      </c>
      <c r="H19210" s="1" t="s">
        <v>0</v>
      </c>
      <c r="I19210" s="2">
        <v>0</v>
      </c>
      <c r="J19210" s="1">
        <v>45940.335613425923</v>
      </c>
    </row>
    <row r="19211" spans="1:10" x14ac:dyDescent="0.2">
      <c r="A19211" s="4" t="s">
        <v>1</v>
      </c>
      <c r="B192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11" s="3" t="str">
        <f>HYPERLINK("https://otsuka-europe-crm.veevavault.com/ui/#object/sent_email__v/VBLZ025E82HFY0T", "SE-000285132")</f>
        <v>SE-000285132</v>
      </c>
      <c r="D19211" s="1" t="s">
        <v>0</v>
      </c>
      <c r="E19211" s="2">
        <v>0</v>
      </c>
      <c r="F19211" s="2">
        <v>0</v>
      </c>
      <c r="G19211" s="2">
        <v>0</v>
      </c>
      <c r="H19211" s="1" t="s">
        <v>0</v>
      </c>
      <c r="I19211" s="2">
        <v>0</v>
      </c>
      <c r="J19211" s="1">
        <v>45940.335625</v>
      </c>
    </row>
    <row r="19212" spans="1:10" x14ac:dyDescent="0.2">
      <c r="A19212" s="4" t="s">
        <v>1</v>
      </c>
      <c r="B192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12" s="3" t="str">
        <f>HYPERLINK("https://otsuka-europe-crm.veevavault.com/ui/#object/sent_email__v/VBLZ025E82HFY0U", "SE-000285133")</f>
        <v>SE-000285133</v>
      </c>
      <c r="D19212" s="1">
        <v>45940.400520833333</v>
      </c>
      <c r="E19212" s="2">
        <v>1</v>
      </c>
      <c r="F19212" s="2">
        <v>1</v>
      </c>
      <c r="G19212" s="2">
        <v>0</v>
      </c>
      <c r="H19212" s="1" t="s">
        <v>0</v>
      </c>
      <c r="I19212" s="2">
        <v>0</v>
      </c>
      <c r="J19212" s="1">
        <v>45940.3356712963</v>
      </c>
    </row>
    <row r="19213" spans="1:10" x14ac:dyDescent="0.2">
      <c r="A19213" s="4" t="s">
        <v>1</v>
      </c>
      <c r="B192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13" s="3" t="str">
        <f>HYPERLINK("https://otsuka-europe-crm.veevavault.com/ui/#object/sent_email__v/VBLZ025E82HFY0V", "SE-000285134")</f>
        <v>SE-000285134</v>
      </c>
      <c r="D19213" s="1">
        <v>45941.903807870367</v>
      </c>
      <c r="E19213" s="2">
        <v>1</v>
      </c>
      <c r="F19213" s="2">
        <v>1</v>
      </c>
      <c r="G19213" s="2">
        <v>1</v>
      </c>
      <c r="H19213" s="1">
        <v>45941.904444444444</v>
      </c>
      <c r="I19213" s="2">
        <v>2</v>
      </c>
      <c r="J19213" s="1">
        <v>45940.335613425923</v>
      </c>
    </row>
    <row r="19214" spans="1:10" x14ac:dyDescent="0.2">
      <c r="A19214" s="4" t="s">
        <v>1</v>
      </c>
      <c r="B192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14" s="3" t="str">
        <f>HYPERLINK("https://otsuka-europe-crm.veevavault.com/ui/#object/sent_email__v/VBLZ025E82HFY0W", "SE-000285135")</f>
        <v>SE-000285135</v>
      </c>
      <c r="D19214" s="1">
        <v>45940.852627314816</v>
      </c>
      <c r="E19214" s="2">
        <v>1</v>
      </c>
      <c r="F19214" s="2">
        <v>1</v>
      </c>
      <c r="G19214" s="2">
        <v>0</v>
      </c>
      <c r="H19214" s="1" t="s">
        <v>0</v>
      </c>
      <c r="I19214" s="2">
        <v>0</v>
      </c>
      <c r="J19214" s="1">
        <v>45940.335625</v>
      </c>
    </row>
    <row r="19215" spans="1:10" x14ac:dyDescent="0.2">
      <c r="A19215" s="4" t="s">
        <v>1</v>
      </c>
      <c r="B192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15" s="3" t="str">
        <f>HYPERLINK("https://otsuka-europe-crm.veevavault.com/ui/#object/sent_email__v/VBLZ025E82HFY0X", "SE-000285136")</f>
        <v>SE-000285136</v>
      </c>
      <c r="D19215" s="1">
        <v>45940.335729166669</v>
      </c>
      <c r="E19215" s="2">
        <v>1</v>
      </c>
      <c r="F19215" s="2">
        <v>1</v>
      </c>
      <c r="G19215" s="2">
        <v>0</v>
      </c>
      <c r="H19215" s="1" t="s">
        <v>0</v>
      </c>
      <c r="I19215" s="2">
        <v>0</v>
      </c>
      <c r="J19215" s="1">
        <v>45940.3356712963</v>
      </c>
    </row>
    <row r="19216" spans="1:10" x14ac:dyDescent="0.2">
      <c r="A19216" s="4" t="s">
        <v>1</v>
      </c>
      <c r="B192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16" s="3" t="str">
        <f>HYPERLINK("https://otsuka-europe-crm.veevavault.com/ui/#object/sent_email__v/VBLZ025E82HFY0Y", "SE-000285137")</f>
        <v>SE-000285137</v>
      </c>
      <c r="D19216" s="1" t="s">
        <v>0</v>
      </c>
      <c r="E19216" s="2">
        <v>0</v>
      </c>
      <c r="F19216" s="2">
        <v>0</v>
      </c>
      <c r="G19216" s="2">
        <v>0</v>
      </c>
      <c r="H19216" s="1" t="s">
        <v>0</v>
      </c>
      <c r="I19216" s="2">
        <v>0</v>
      </c>
      <c r="J19216" s="1">
        <v>45940.335636574076</v>
      </c>
    </row>
    <row r="19217" spans="1:10" x14ac:dyDescent="0.2">
      <c r="A19217" s="4" t="s">
        <v>1</v>
      </c>
      <c r="B192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17" s="3" t="str">
        <f>HYPERLINK("https://otsuka-europe-crm.veevavault.com/ui/#object/sent_email__v/VBLZ025E82HFY0Z", "SE-000285138")</f>
        <v>SE-000285138</v>
      </c>
      <c r="D19217" s="1">
        <v>45961.015960648147</v>
      </c>
      <c r="E19217" s="2">
        <v>1</v>
      </c>
      <c r="F19217" s="2">
        <v>2</v>
      </c>
      <c r="G19217" s="2">
        <v>0</v>
      </c>
      <c r="H19217" s="1" t="s">
        <v>0</v>
      </c>
      <c r="I19217" s="2">
        <v>0</v>
      </c>
      <c r="J19217" s="1">
        <v>45940.335648148146</v>
      </c>
    </row>
    <row r="19218" spans="1:10" x14ac:dyDescent="0.2">
      <c r="A19218" s="4" t="s">
        <v>1</v>
      </c>
      <c r="B192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18" s="3" t="str">
        <f>HYPERLINK("https://otsuka-europe-crm.veevavault.com/ui/#object/sent_email__v/VBLZ025E82HFY10", "SE-000285139")</f>
        <v>SE-000285139</v>
      </c>
      <c r="D19218" s="1" t="s">
        <v>0</v>
      </c>
      <c r="E19218" s="2">
        <v>0</v>
      </c>
      <c r="F19218" s="2">
        <v>0</v>
      </c>
      <c r="G19218" s="2">
        <v>0</v>
      </c>
      <c r="H19218" s="1" t="s">
        <v>0</v>
      </c>
      <c r="I19218" s="2">
        <v>0</v>
      </c>
      <c r="J19218" s="1">
        <v>45940.335636574076</v>
      </c>
    </row>
    <row r="19219" spans="1:10" x14ac:dyDescent="0.2">
      <c r="A19219" s="4" t="s">
        <v>1</v>
      </c>
      <c r="B192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19" s="3" t="str">
        <f>HYPERLINK("https://otsuka-europe-crm.veevavault.com/ui/#object/sent_email__v/VBLZ025E82HFY11", "SE-000285140")</f>
        <v>SE-000285140</v>
      </c>
      <c r="D19219" s="1" t="s">
        <v>0</v>
      </c>
      <c r="E19219" s="2">
        <v>0</v>
      </c>
      <c r="F19219" s="2">
        <v>0</v>
      </c>
      <c r="G19219" s="2">
        <v>0</v>
      </c>
      <c r="H19219" s="1" t="s">
        <v>0</v>
      </c>
      <c r="I19219" s="2">
        <v>0</v>
      </c>
      <c r="J19219" s="1">
        <v>45940.335694444446</v>
      </c>
    </row>
    <row r="19220" spans="1:10" x14ac:dyDescent="0.2">
      <c r="A19220" s="4" t="s">
        <v>1</v>
      </c>
      <c r="B192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20" s="3" t="str">
        <f>HYPERLINK("https://otsuka-europe-crm.veevavault.com/ui/#object/sent_email__v/VBLZ025E82HFY12", "SE-000285141")</f>
        <v>SE-000285141</v>
      </c>
      <c r="D19220" s="1">
        <v>46005.482476851852</v>
      </c>
      <c r="E19220" s="2">
        <v>1</v>
      </c>
      <c r="F19220" s="2">
        <v>4</v>
      </c>
      <c r="G19220" s="2">
        <v>0</v>
      </c>
      <c r="H19220" s="1" t="s">
        <v>0</v>
      </c>
      <c r="I19220" s="2">
        <v>0</v>
      </c>
      <c r="J19220" s="1">
        <v>45940.3356712963</v>
      </c>
    </row>
    <row r="19221" spans="1:10" x14ac:dyDescent="0.2">
      <c r="A19221" s="4" t="s">
        <v>1</v>
      </c>
      <c r="B192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21" s="3" t="str">
        <f>HYPERLINK("https://otsuka-europe-crm.veevavault.com/ui/#object/sent_email__v/VBLZ025E82HFY13", "SE-000285142")</f>
        <v>SE-000285142</v>
      </c>
      <c r="D19221" s="1" t="s">
        <v>0</v>
      </c>
      <c r="E19221" s="2">
        <v>0</v>
      </c>
      <c r="F19221" s="2">
        <v>0</v>
      </c>
      <c r="G19221" s="2">
        <v>0</v>
      </c>
      <c r="H19221" s="1" t="s">
        <v>0</v>
      </c>
      <c r="I19221" s="2">
        <v>0</v>
      </c>
      <c r="J19221" s="1">
        <v>45940.335636574076</v>
      </c>
    </row>
    <row r="19222" spans="1:10" x14ac:dyDescent="0.2">
      <c r="A19222" s="4" t="s">
        <v>1</v>
      </c>
      <c r="B192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22" s="3" t="str">
        <f>HYPERLINK("https://otsuka-europe-crm.veevavault.com/ui/#object/sent_email__v/VBLZ025E82HFY14", "SE-000285143")</f>
        <v>SE-000285143</v>
      </c>
      <c r="D19222" s="1">
        <v>45942.561655092592</v>
      </c>
      <c r="E19222" s="2">
        <v>1</v>
      </c>
      <c r="F19222" s="2">
        <v>1</v>
      </c>
      <c r="G19222" s="2">
        <v>0</v>
      </c>
      <c r="H19222" s="1" t="s">
        <v>0</v>
      </c>
      <c r="I19222" s="2">
        <v>0</v>
      </c>
      <c r="J19222" s="1">
        <v>45940.3356712963</v>
      </c>
    </row>
    <row r="19223" spans="1:10" x14ac:dyDescent="0.2">
      <c r="A19223" s="4" t="s">
        <v>1</v>
      </c>
      <c r="B192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23" s="3" t="str">
        <f>HYPERLINK("https://otsuka-europe-crm.veevavault.com/ui/#object/sent_email__v/VBLZ025E82HFY15", "SE-000285144")</f>
        <v>SE-000285144</v>
      </c>
      <c r="D19223" s="1" t="s">
        <v>0</v>
      </c>
      <c r="E19223" s="2">
        <v>0</v>
      </c>
      <c r="F19223" s="2">
        <v>0</v>
      </c>
      <c r="G19223" s="2">
        <v>0</v>
      </c>
      <c r="H19223" s="1" t="s">
        <v>0</v>
      </c>
      <c r="I19223" s="2">
        <v>0</v>
      </c>
      <c r="J19223" s="1">
        <v>45940.335601851853</v>
      </c>
    </row>
    <row r="19224" spans="1:10" x14ac:dyDescent="0.2">
      <c r="A19224" s="4" t="s">
        <v>1</v>
      </c>
      <c r="B192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24" s="3" t="str">
        <f>HYPERLINK("https://otsuka-europe-crm.veevavault.com/ui/#object/sent_email__v/VBLZ025E82HFY16", "SE-000285145")</f>
        <v>SE-000285145</v>
      </c>
      <c r="D19224" s="1">
        <v>45940.944305555553</v>
      </c>
      <c r="E19224" s="2">
        <v>1</v>
      </c>
      <c r="F19224" s="2">
        <v>1</v>
      </c>
      <c r="G19224" s="2">
        <v>0</v>
      </c>
      <c r="H19224" s="1" t="s">
        <v>0</v>
      </c>
      <c r="I19224" s="2">
        <v>0</v>
      </c>
      <c r="J19224" s="1">
        <v>45940.3356712963</v>
      </c>
    </row>
    <row r="19225" spans="1:10" x14ac:dyDescent="0.2">
      <c r="A19225" s="4" t="s">
        <v>1</v>
      </c>
      <c r="B192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25" s="3" t="str">
        <f>HYPERLINK("https://otsuka-europe-crm.veevavault.com/ui/#object/sent_email__v/VBLZ025E82HFY17", "SE-000285146")</f>
        <v>SE-000285146</v>
      </c>
      <c r="D19225" s="1" t="s">
        <v>0</v>
      </c>
      <c r="E19225" s="2">
        <v>0</v>
      </c>
      <c r="F19225" s="2">
        <v>0</v>
      </c>
      <c r="G19225" s="2">
        <v>0</v>
      </c>
      <c r="H19225" s="1" t="s">
        <v>0</v>
      </c>
      <c r="I19225" s="2">
        <v>0</v>
      </c>
      <c r="J19225" s="1">
        <v>45940.335636574076</v>
      </c>
    </row>
    <row r="19226" spans="1:10" x14ac:dyDescent="0.2">
      <c r="A19226" s="4" t="s">
        <v>1</v>
      </c>
      <c r="B192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26" s="3" t="str">
        <f>HYPERLINK("https://otsuka-europe-crm.veevavault.com/ui/#object/sent_email__v/VBLZ025E82HFY18", "SE-000285147")</f>
        <v>SE-000285147</v>
      </c>
      <c r="D19226" s="1">
        <v>45941.349675925929</v>
      </c>
      <c r="E19226" s="2">
        <v>1</v>
      </c>
      <c r="F19226" s="2">
        <v>1</v>
      </c>
      <c r="G19226" s="2">
        <v>0</v>
      </c>
      <c r="H19226" s="1" t="s">
        <v>0</v>
      </c>
      <c r="I19226" s="2">
        <v>0</v>
      </c>
      <c r="J19226" s="1">
        <v>45940.335659722223</v>
      </c>
    </row>
    <row r="19227" spans="1:10" x14ac:dyDescent="0.2">
      <c r="A19227" s="4" t="s">
        <v>1</v>
      </c>
      <c r="B192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27" s="3" t="str">
        <f>HYPERLINK("https://otsuka-europe-crm.veevavault.com/ui/#object/sent_email__v/VBLZ025E82HFY19", "SE-000285148")</f>
        <v>SE-000285148</v>
      </c>
      <c r="D19227" s="1" t="s">
        <v>0</v>
      </c>
      <c r="E19227" s="2">
        <v>0</v>
      </c>
      <c r="F19227" s="2">
        <v>0</v>
      </c>
      <c r="G19227" s="2">
        <v>0</v>
      </c>
      <c r="H19227" s="1" t="s">
        <v>0</v>
      </c>
      <c r="I19227" s="2">
        <v>0</v>
      </c>
      <c r="J19227" s="1">
        <v>45940.335659722223</v>
      </c>
    </row>
    <row r="19228" spans="1:10" x14ac:dyDescent="0.2">
      <c r="A19228" s="4" t="s">
        <v>1</v>
      </c>
      <c r="B192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28" s="3" t="str">
        <f>HYPERLINK("https://otsuka-europe-crm.veevavault.com/ui/#object/sent_email__v/VBLZ025E82HFY1A", "SE-000285149")</f>
        <v>SE-000285149</v>
      </c>
      <c r="D19228" s="1" t="s">
        <v>0</v>
      </c>
      <c r="E19228" s="2">
        <v>0</v>
      </c>
      <c r="F19228" s="2">
        <v>0</v>
      </c>
      <c r="G19228" s="2">
        <v>0</v>
      </c>
      <c r="H19228" s="1" t="s">
        <v>0</v>
      </c>
      <c r="I19228" s="2">
        <v>0</v>
      </c>
      <c r="J19228" s="1">
        <v>45940.335590277777</v>
      </c>
    </row>
    <row r="19229" spans="1:10" x14ac:dyDescent="0.2">
      <c r="A19229" s="4" t="s">
        <v>1</v>
      </c>
      <c r="B192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29" s="3" t="str">
        <f>HYPERLINK("https://otsuka-europe-crm.veevavault.com/ui/#object/sent_email__v/VBLZ025E82HFY1B", "SE-000285150")</f>
        <v>SE-000285150</v>
      </c>
      <c r="D19229" s="1" t="s">
        <v>0</v>
      </c>
      <c r="E19229" s="2">
        <v>0</v>
      </c>
      <c r="F19229" s="2">
        <v>0</v>
      </c>
      <c r="G19229" s="2">
        <v>0</v>
      </c>
      <c r="H19229" s="1" t="s">
        <v>0</v>
      </c>
      <c r="I19229" s="2">
        <v>0</v>
      </c>
      <c r="J19229" s="1">
        <v>45940.335625</v>
      </c>
    </row>
    <row r="19230" spans="1:10" x14ac:dyDescent="0.2">
      <c r="A19230" s="4" t="s">
        <v>1</v>
      </c>
      <c r="B192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30" s="3" t="str">
        <f>HYPERLINK("https://otsuka-europe-crm.veevavault.com/ui/#object/sent_email__v/VBLZ025E82HFY1C", "SE-000285151")</f>
        <v>SE-000285151</v>
      </c>
      <c r="D19230" s="1" t="s">
        <v>0</v>
      </c>
      <c r="E19230" s="2">
        <v>0</v>
      </c>
      <c r="F19230" s="2">
        <v>0</v>
      </c>
      <c r="G19230" s="2">
        <v>0</v>
      </c>
      <c r="H19230" s="1" t="s">
        <v>0</v>
      </c>
      <c r="I19230" s="2">
        <v>0</v>
      </c>
      <c r="J19230" s="1">
        <v>45940.335636574076</v>
      </c>
    </row>
    <row r="19231" spans="1:10" x14ac:dyDescent="0.2">
      <c r="A19231" s="4" t="s">
        <v>1</v>
      </c>
      <c r="B192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31" s="3" t="str">
        <f>HYPERLINK("https://otsuka-europe-crm.veevavault.com/ui/#object/sent_email__v/VBLZ025E82HFY1D", "SE-000285152")</f>
        <v>SE-000285152</v>
      </c>
      <c r="D19231" s="1">
        <v>45940.353831018518</v>
      </c>
      <c r="E19231" s="2">
        <v>1</v>
      </c>
      <c r="F19231" s="2">
        <v>1</v>
      </c>
      <c r="G19231" s="2">
        <v>0</v>
      </c>
      <c r="H19231" s="1" t="s">
        <v>0</v>
      </c>
      <c r="I19231" s="2">
        <v>0</v>
      </c>
      <c r="J19231" s="1">
        <v>45940.335648148146</v>
      </c>
    </row>
    <row r="19232" spans="1:10" x14ac:dyDescent="0.2">
      <c r="A19232" s="4" t="s">
        <v>1</v>
      </c>
      <c r="B192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32" s="3" t="str">
        <f>HYPERLINK("https://otsuka-europe-crm.veevavault.com/ui/#object/sent_email__v/VBLZ025E82HFY1E", "SE-000285153")</f>
        <v>SE-000285153</v>
      </c>
      <c r="D19232" s="1" t="s">
        <v>0</v>
      </c>
      <c r="E19232" s="2">
        <v>0</v>
      </c>
      <c r="F19232" s="2">
        <v>0</v>
      </c>
      <c r="G19232" s="2">
        <v>0</v>
      </c>
      <c r="H19232" s="1" t="s">
        <v>0</v>
      </c>
      <c r="I19232" s="2">
        <v>0</v>
      </c>
      <c r="J19232" s="1">
        <v>45940.335659722223</v>
      </c>
    </row>
    <row r="19233" spans="1:10" x14ac:dyDescent="0.2">
      <c r="A19233" s="4" t="s">
        <v>1</v>
      </c>
      <c r="B192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33" s="3" t="str">
        <f>HYPERLINK("https://otsuka-europe-crm.veevavault.com/ui/#object/sent_email__v/VBLZ025E82HFY1F", "SE-000285154")</f>
        <v>SE-000285154</v>
      </c>
      <c r="D19233" s="1">
        <v>45944.440486111111</v>
      </c>
      <c r="E19233" s="2">
        <v>1</v>
      </c>
      <c r="F19233" s="2">
        <v>3</v>
      </c>
      <c r="G19233" s="2">
        <v>0</v>
      </c>
      <c r="H19233" s="1" t="s">
        <v>0</v>
      </c>
      <c r="I19233" s="2">
        <v>0</v>
      </c>
      <c r="J19233" s="1">
        <v>45940.335636574076</v>
      </c>
    </row>
    <row r="19234" spans="1:10" x14ac:dyDescent="0.2">
      <c r="A19234" s="4" t="s">
        <v>1</v>
      </c>
      <c r="B192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34" s="3" t="str">
        <f>HYPERLINK("https://otsuka-europe-crm.veevavault.com/ui/#object/sent_email__v/VBLZ025E82HFY1G", "SE-000285155")</f>
        <v>SE-000285155</v>
      </c>
      <c r="D19234" s="1">
        <v>45940.574525462966</v>
      </c>
      <c r="E19234" s="2">
        <v>1</v>
      </c>
      <c r="F19234" s="2">
        <v>2</v>
      </c>
      <c r="G19234" s="2">
        <v>0</v>
      </c>
      <c r="H19234" s="1" t="s">
        <v>0</v>
      </c>
      <c r="I19234" s="2">
        <v>0</v>
      </c>
      <c r="J19234" s="1">
        <v>45940.335648148146</v>
      </c>
    </row>
    <row r="19235" spans="1:10" x14ac:dyDescent="0.2">
      <c r="A19235" s="4" t="s">
        <v>1</v>
      </c>
      <c r="B192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35" s="3" t="str">
        <f>HYPERLINK("https://otsuka-europe-crm.veevavault.com/ui/#object/sent_email__v/VBLZ025E82HFY1H", "SE-000285156")</f>
        <v>SE-000285156</v>
      </c>
      <c r="D19235" s="1" t="s">
        <v>0</v>
      </c>
      <c r="E19235" s="2">
        <v>0</v>
      </c>
      <c r="F19235" s="2">
        <v>0</v>
      </c>
      <c r="G19235" s="2">
        <v>0</v>
      </c>
      <c r="H19235" s="1" t="s">
        <v>0</v>
      </c>
      <c r="I19235" s="2">
        <v>0</v>
      </c>
      <c r="J19235" s="1">
        <v>45940.335648148146</v>
      </c>
    </row>
    <row r="19236" spans="1:10" x14ac:dyDescent="0.2">
      <c r="A19236" s="4" t="s">
        <v>1</v>
      </c>
      <c r="B192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36" s="3" t="str">
        <f>HYPERLINK("https://otsuka-europe-crm.veevavault.com/ui/#object/sent_email__v/VBLZ025E82HFY1I", "SE-000285157")</f>
        <v>SE-000285157</v>
      </c>
      <c r="D19236" s="1">
        <v>46047.791921296295</v>
      </c>
      <c r="E19236" s="2">
        <v>1</v>
      </c>
      <c r="F19236" s="2">
        <v>2</v>
      </c>
      <c r="G19236" s="2">
        <v>0</v>
      </c>
      <c r="H19236" s="1" t="s">
        <v>0</v>
      </c>
      <c r="I19236" s="2">
        <v>0</v>
      </c>
      <c r="J19236" s="1">
        <v>45940.335648148146</v>
      </c>
    </row>
    <row r="19237" spans="1:10" x14ac:dyDescent="0.2">
      <c r="A19237" s="4" t="s">
        <v>1</v>
      </c>
      <c r="B192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37" s="3" t="str">
        <f>HYPERLINK("https://otsuka-europe-crm.veevavault.com/ui/#object/sent_email__v/VBLZ025E82HFY1J", "SE-000285158")</f>
        <v>SE-000285158</v>
      </c>
      <c r="D19237" s="1" t="s">
        <v>0</v>
      </c>
      <c r="E19237" s="2">
        <v>0</v>
      </c>
      <c r="F19237" s="2">
        <v>0</v>
      </c>
      <c r="G19237" s="2">
        <v>0</v>
      </c>
      <c r="H19237" s="1" t="s">
        <v>0</v>
      </c>
      <c r="I19237" s="2">
        <v>0</v>
      </c>
      <c r="J19237" s="1">
        <v>45940.335625</v>
      </c>
    </row>
    <row r="19238" spans="1:10" x14ac:dyDescent="0.2">
      <c r="A19238" s="4" t="s">
        <v>1</v>
      </c>
      <c r="B192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38" s="3" t="str">
        <f>HYPERLINK("https://otsuka-europe-crm.veevavault.com/ui/#object/sent_email__v/VBLZ025E82HFY1K", "SE-000285159")</f>
        <v>SE-000285159</v>
      </c>
      <c r="D19238" s="1" t="s">
        <v>0</v>
      </c>
      <c r="E19238" s="2">
        <v>0</v>
      </c>
      <c r="F19238" s="2">
        <v>0</v>
      </c>
      <c r="G19238" s="2">
        <v>0</v>
      </c>
      <c r="H19238" s="1" t="s">
        <v>0</v>
      </c>
      <c r="I19238" s="2">
        <v>0</v>
      </c>
      <c r="J19238" s="1">
        <v>45940.335636574076</v>
      </c>
    </row>
    <row r="19239" spans="1:10" x14ac:dyDescent="0.2">
      <c r="A19239" s="4" t="s">
        <v>1</v>
      </c>
      <c r="B192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39" s="3" t="str">
        <f>HYPERLINK("https://otsuka-europe-crm.veevavault.com/ui/#object/sent_email__v/VBLZ025E82HFY1L", "SE-000285160")</f>
        <v>SE-000285160</v>
      </c>
      <c r="D19239" s="1">
        <v>45940.562824074077</v>
      </c>
      <c r="E19239" s="2">
        <v>1</v>
      </c>
      <c r="F19239" s="2">
        <v>1</v>
      </c>
      <c r="G19239" s="2">
        <v>0</v>
      </c>
      <c r="H19239" s="1" t="s">
        <v>0</v>
      </c>
      <c r="I19239" s="2">
        <v>0</v>
      </c>
      <c r="J19239" s="1">
        <v>45940.3356712963</v>
      </c>
    </row>
    <row r="19240" spans="1:10" x14ac:dyDescent="0.2">
      <c r="A19240" s="4" t="s">
        <v>1</v>
      </c>
      <c r="B192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40" s="3" t="str">
        <f>HYPERLINK("https://otsuka-europe-crm.veevavault.com/ui/#object/sent_email__v/VBLZ025E82HFY69", "SE-000285161")</f>
        <v>SE-000285161</v>
      </c>
      <c r="D19240" s="1" t="s">
        <v>0</v>
      </c>
      <c r="E19240" s="2">
        <v>0</v>
      </c>
      <c r="F19240" s="2">
        <v>0</v>
      </c>
      <c r="G19240" s="2">
        <v>0</v>
      </c>
      <c r="H19240" s="1" t="s">
        <v>0</v>
      </c>
      <c r="I19240" s="2">
        <v>0</v>
      </c>
      <c r="J19240" s="1">
        <v>45940.335659722223</v>
      </c>
    </row>
    <row r="19241" spans="1:10" x14ac:dyDescent="0.2">
      <c r="A19241" s="4" t="s">
        <v>1</v>
      </c>
      <c r="B192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41" s="3" t="str">
        <f>HYPERLINK("https://otsuka-europe-crm.veevavault.com/ui/#object/sent_email__v/VBLZ025E82HFY6A", "SE-000285162")</f>
        <v>SE-000285162</v>
      </c>
      <c r="D19241" s="1">
        <v>45940.497696759259</v>
      </c>
      <c r="E19241" s="2">
        <v>1</v>
      </c>
      <c r="F19241" s="2">
        <v>3</v>
      </c>
      <c r="G19241" s="2">
        <v>1</v>
      </c>
      <c r="H19241" s="1">
        <v>45944.36991898148</v>
      </c>
      <c r="I19241" s="2">
        <v>1</v>
      </c>
      <c r="J19241" s="1">
        <v>45940.335636574076</v>
      </c>
    </row>
    <row r="19242" spans="1:10" x14ac:dyDescent="0.2">
      <c r="A19242" s="4" t="s">
        <v>1</v>
      </c>
      <c r="B192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42" s="3" t="str">
        <f>HYPERLINK("https://otsuka-europe-crm.veevavault.com/ui/#object/sent_email__v/VBLZ025E82HFY6B", "SE-000285163")</f>
        <v>SE-000285163</v>
      </c>
      <c r="D19242" s="1" t="s">
        <v>0</v>
      </c>
      <c r="E19242" s="2">
        <v>0</v>
      </c>
      <c r="F19242" s="2">
        <v>0</v>
      </c>
      <c r="G19242" s="2">
        <v>0</v>
      </c>
      <c r="H19242" s="1" t="s">
        <v>0</v>
      </c>
      <c r="I19242" s="2">
        <v>0</v>
      </c>
      <c r="J19242" s="1">
        <v>45940.335625</v>
      </c>
    </row>
    <row r="19243" spans="1:10" x14ac:dyDescent="0.2">
      <c r="A19243" s="4" t="s">
        <v>1</v>
      </c>
      <c r="B192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43" s="3" t="str">
        <f>HYPERLINK("https://otsuka-europe-crm.veevavault.com/ui/#object/sent_email__v/VBLZ025E82HFY6C", "SE-000285164")</f>
        <v>SE-000285164</v>
      </c>
      <c r="D19243" s="1">
        <v>45943.935150462959</v>
      </c>
      <c r="E19243" s="2">
        <v>1</v>
      </c>
      <c r="F19243" s="2">
        <v>1</v>
      </c>
      <c r="G19243" s="2">
        <v>0</v>
      </c>
      <c r="H19243" s="1" t="s">
        <v>0</v>
      </c>
      <c r="I19243" s="2">
        <v>0</v>
      </c>
      <c r="J19243" s="1">
        <v>45940.335659722223</v>
      </c>
    </row>
    <row r="19244" spans="1:10" x14ac:dyDescent="0.2">
      <c r="A19244" s="4" t="s">
        <v>1</v>
      </c>
      <c r="B192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44" s="3" t="str">
        <f>HYPERLINK("https://otsuka-europe-crm.veevavault.com/ui/#object/sent_email__v/VBLZ025E82HFY6D", "SE-000285165")</f>
        <v>SE-000285165</v>
      </c>
      <c r="D19244" s="1">
        <v>45940.553703703707</v>
      </c>
      <c r="E19244" s="2">
        <v>1</v>
      </c>
      <c r="F19244" s="2">
        <v>2</v>
      </c>
      <c r="G19244" s="2">
        <v>0</v>
      </c>
      <c r="H19244" s="1" t="s">
        <v>0</v>
      </c>
      <c r="I19244" s="2">
        <v>0</v>
      </c>
      <c r="J19244" s="1">
        <v>45940.335659722223</v>
      </c>
    </row>
    <row r="19245" spans="1:10" x14ac:dyDescent="0.2">
      <c r="A19245" s="4" t="s">
        <v>1</v>
      </c>
      <c r="B192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45" s="3" t="str">
        <f>HYPERLINK("https://otsuka-europe-crm.veevavault.com/ui/#object/sent_email__v/VBLZ025E82HFY6E", "SE-000285166")</f>
        <v>SE-000285166</v>
      </c>
      <c r="D19245" s="1" t="s">
        <v>0</v>
      </c>
      <c r="E19245" s="2">
        <v>0</v>
      </c>
      <c r="F19245" s="2">
        <v>0</v>
      </c>
      <c r="G19245" s="2">
        <v>0</v>
      </c>
      <c r="H19245" s="1" t="s">
        <v>0</v>
      </c>
      <c r="I19245" s="2">
        <v>0</v>
      </c>
      <c r="J19245" s="1">
        <v>45940.335601851853</v>
      </c>
    </row>
    <row r="19246" spans="1:10" x14ac:dyDescent="0.2">
      <c r="A19246" s="4" t="s">
        <v>1</v>
      </c>
      <c r="B192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46" s="3" t="str">
        <f>HYPERLINK("https://otsuka-europe-crm.veevavault.com/ui/#object/sent_email__v/VBLZ025E82HFY6F", "SE-000285167")</f>
        <v>SE-000285167</v>
      </c>
      <c r="D19246" s="1">
        <v>45940.361388888887</v>
      </c>
      <c r="E19246" s="2">
        <v>1</v>
      </c>
      <c r="F19246" s="2">
        <v>1</v>
      </c>
      <c r="G19246" s="2">
        <v>0</v>
      </c>
      <c r="H19246" s="1" t="s">
        <v>0</v>
      </c>
      <c r="I19246" s="2">
        <v>0</v>
      </c>
      <c r="J19246" s="1">
        <v>45940.335636574076</v>
      </c>
    </row>
    <row r="19247" spans="1:10" x14ac:dyDescent="0.2">
      <c r="A19247" s="4" t="s">
        <v>1</v>
      </c>
      <c r="B192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47" s="3" t="str">
        <f>HYPERLINK("https://otsuka-europe-crm.veevavault.com/ui/#object/sent_email__v/VBLZ025E82HFY6G", "SE-000285168")</f>
        <v>SE-000285168</v>
      </c>
      <c r="D19247" s="1" t="s">
        <v>0</v>
      </c>
      <c r="E19247" s="2">
        <v>0</v>
      </c>
      <c r="F19247" s="2">
        <v>0</v>
      </c>
      <c r="G19247" s="2">
        <v>0</v>
      </c>
      <c r="H19247" s="1" t="s">
        <v>0</v>
      </c>
      <c r="I19247" s="2">
        <v>0</v>
      </c>
      <c r="J19247" s="1">
        <v>45940.335636574076</v>
      </c>
    </row>
    <row r="19248" spans="1:10" x14ac:dyDescent="0.2">
      <c r="A19248" s="4" t="s">
        <v>1</v>
      </c>
      <c r="B192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48" s="3" t="str">
        <f>HYPERLINK("https://otsuka-europe-crm.veevavault.com/ui/#object/sent_email__v/VBLZ025E82HFY6H", "SE-000285169")</f>
        <v>SE-000285169</v>
      </c>
      <c r="D19248" s="1">
        <v>45940.470833333333</v>
      </c>
      <c r="E19248" s="2">
        <v>1</v>
      </c>
      <c r="F19248" s="2">
        <v>1</v>
      </c>
      <c r="G19248" s="2">
        <v>1</v>
      </c>
      <c r="H19248" s="1">
        <v>45940.470868055556</v>
      </c>
      <c r="I19248" s="2">
        <v>2</v>
      </c>
      <c r="J19248" s="1">
        <v>45940.335648148146</v>
      </c>
    </row>
    <row r="19249" spans="1:10" x14ac:dyDescent="0.2">
      <c r="A19249" s="4" t="s">
        <v>1</v>
      </c>
      <c r="B192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49" s="3" t="str">
        <f>HYPERLINK("https://otsuka-europe-crm.veevavault.com/ui/#object/sent_email__v/VBLZ025E82HFY6I", "SE-000285170")</f>
        <v>SE-000285170</v>
      </c>
      <c r="D19249" s="1" t="s">
        <v>0</v>
      </c>
      <c r="E19249" s="2">
        <v>0</v>
      </c>
      <c r="F19249" s="2">
        <v>0</v>
      </c>
      <c r="G19249" s="2">
        <v>0</v>
      </c>
      <c r="H19249" s="1" t="s">
        <v>0</v>
      </c>
      <c r="I19249" s="2">
        <v>0</v>
      </c>
      <c r="J19249" s="1">
        <v>45940.335659722223</v>
      </c>
    </row>
    <row r="19250" spans="1:10" x14ac:dyDescent="0.2">
      <c r="A19250" s="4" t="s">
        <v>1</v>
      </c>
      <c r="B192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50" s="3" t="str">
        <f>HYPERLINK("https://otsuka-europe-crm.veevavault.com/ui/#object/sent_email__v/VBLZ025E82HFY6J", "SE-000285171")</f>
        <v>SE-000285171</v>
      </c>
      <c r="D19250" s="1" t="s">
        <v>0</v>
      </c>
      <c r="E19250" s="2">
        <v>0</v>
      </c>
      <c r="F19250" s="2">
        <v>0</v>
      </c>
      <c r="G19250" s="2">
        <v>0</v>
      </c>
      <c r="H19250" s="1" t="s">
        <v>0</v>
      </c>
      <c r="I19250" s="2">
        <v>0</v>
      </c>
      <c r="J19250" s="1">
        <v>45940.335648148146</v>
      </c>
    </row>
    <row r="19251" spans="1:10" x14ac:dyDescent="0.2">
      <c r="A19251" s="4" t="s">
        <v>1</v>
      </c>
      <c r="B192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51" s="3" t="str">
        <f>HYPERLINK("https://otsuka-europe-crm.veevavault.com/ui/#object/sent_email__v/VBLZ025E82HFY6K", "SE-000285172")</f>
        <v>SE-000285172</v>
      </c>
      <c r="D19251" s="1">
        <v>45940.387025462966</v>
      </c>
      <c r="E19251" s="2">
        <v>1</v>
      </c>
      <c r="F19251" s="2">
        <v>1</v>
      </c>
      <c r="G19251" s="2">
        <v>0</v>
      </c>
      <c r="H19251" s="1" t="s">
        <v>0</v>
      </c>
      <c r="I19251" s="2">
        <v>0</v>
      </c>
      <c r="J19251" s="1">
        <v>45940.335659722223</v>
      </c>
    </row>
    <row r="19252" spans="1:10" x14ac:dyDescent="0.2">
      <c r="A19252" s="4" t="s">
        <v>1</v>
      </c>
      <c r="B192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52" s="3" t="str">
        <f>HYPERLINK("https://otsuka-europe-crm.veevavault.com/ui/#object/sent_email__v/VBLZ025E82HFY6L", "SE-000285173")</f>
        <v>SE-000285173</v>
      </c>
      <c r="D19252" s="1" t="s">
        <v>0</v>
      </c>
      <c r="E19252" s="2">
        <v>0</v>
      </c>
      <c r="F19252" s="2">
        <v>0</v>
      </c>
      <c r="G19252" s="2">
        <v>0</v>
      </c>
      <c r="H19252" s="1" t="s">
        <v>0</v>
      </c>
      <c r="I19252" s="2">
        <v>0</v>
      </c>
      <c r="J19252" s="1">
        <v>45940.335636574076</v>
      </c>
    </row>
    <row r="19253" spans="1:10" x14ac:dyDescent="0.2">
      <c r="A19253" s="4" t="s">
        <v>1</v>
      </c>
      <c r="B192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53" s="3" t="str">
        <f>HYPERLINK("https://otsuka-europe-crm.veevavault.com/ui/#object/sent_email__v/VBLZ025E82HFY6M", "SE-000285174")</f>
        <v>SE-000285174</v>
      </c>
      <c r="D19253" s="1">
        <v>45942.429143518515</v>
      </c>
      <c r="E19253" s="2">
        <v>1</v>
      </c>
      <c r="F19253" s="2">
        <v>4</v>
      </c>
      <c r="G19253" s="2">
        <v>0</v>
      </c>
      <c r="H19253" s="1" t="s">
        <v>0</v>
      </c>
      <c r="I19253" s="2">
        <v>0</v>
      </c>
      <c r="J19253" s="1">
        <v>45940.335625</v>
      </c>
    </row>
    <row r="19254" spans="1:10" x14ac:dyDescent="0.2">
      <c r="A19254" s="4" t="s">
        <v>1</v>
      </c>
      <c r="B192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54" s="3" t="str">
        <f>HYPERLINK("https://otsuka-europe-crm.veevavault.com/ui/#object/sent_email__v/VBLZ025E82HFY6N", "SE-000285175")</f>
        <v>SE-000285175</v>
      </c>
      <c r="D19254" s="1" t="s">
        <v>0</v>
      </c>
      <c r="E19254" s="2">
        <v>0</v>
      </c>
      <c r="F19254" s="2">
        <v>0</v>
      </c>
      <c r="G19254" s="2">
        <v>0</v>
      </c>
      <c r="H19254" s="1" t="s">
        <v>0</v>
      </c>
      <c r="I19254" s="2">
        <v>0</v>
      </c>
      <c r="J19254" s="1">
        <v>45940.335636574076</v>
      </c>
    </row>
    <row r="19255" spans="1:10" x14ac:dyDescent="0.2">
      <c r="A19255" s="4" t="s">
        <v>1</v>
      </c>
      <c r="B192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55" s="3" t="str">
        <f>HYPERLINK("https://otsuka-europe-crm.veevavault.com/ui/#object/sent_email__v/VBLZ025E82HFY6O", "SE-000285176")</f>
        <v>SE-000285176</v>
      </c>
      <c r="D19255" s="1">
        <v>45940.402974537035</v>
      </c>
      <c r="E19255" s="2">
        <v>1</v>
      </c>
      <c r="F19255" s="2">
        <v>1</v>
      </c>
      <c r="G19255" s="2">
        <v>0</v>
      </c>
      <c r="H19255" s="1" t="s">
        <v>0</v>
      </c>
      <c r="I19255" s="2">
        <v>0</v>
      </c>
      <c r="J19255" s="1">
        <v>45940.335590277777</v>
      </c>
    </row>
    <row r="19256" spans="1:10" x14ac:dyDescent="0.2">
      <c r="A19256" s="4" t="s">
        <v>1</v>
      </c>
      <c r="B192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56" s="3" t="str">
        <f>HYPERLINK("https://otsuka-europe-crm.veevavault.com/ui/#object/sent_email__v/VBLZ025E82HFY6P", "SE-000285177")</f>
        <v>SE-000285177</v>
      </c>
      <c r="D19256" s="1">
        <v>45940.368703703702</v>
      </c>
      <c r="E19256" s="2">
        <v>1</v>
      </c>
      <c r="F19256" s="2">
        <v>1</v>
      </c>
      <c r="G19256" s="2">
        <v>0</v>
      </c>
      <c r="H19256" s="1" t="s">
        <v>0</v>
      </c>
      <c r="I19256" s="2">
        <v>0</v>
      </c>
      <c r="J19256" s="1">
        <v>45940.335636574076</v>
      </c>
    </row>
    <row r="19257" spans="1:10" x14ac:dyDescent="0.2">
      <c r="A19257" s="4" t="s">
        <v>1</v>
      </c>
      <c r="B192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57" s="3" t="str">
        <f>HYPERLINK("https://otsuka-europe-crm.veevavault.com/ui/#object/sent_email__v/VBLZ025E82HFY6Q", "SE-000285178")</f>
        <v>SE-000285178</v>
      </c>
      <c r="D19257" s="1">
        <v>45948.719189814816</v>
      </c>
      <c r="E19257" s="2">
        <v>1</v>
      </c>
      <c r="F19257" s="2">
        <v>1</v>
      </c>
      <c r="G19257" s="2">
        <v>0</v>
      </c>
      <c r="H19257" s="1" t="s">
        <v>0</v>
      </c>
      <c r="I19257" s="2">
        <v>0</v>
      </c>
      <c r="J19257" s="1">
        <v>45940.335636574076</v>
      </c>
    </row>
    <row r="19258" spans="1:10" x14ac:dyDescent="0.2">
      <c r="A19258" s="4" t="s">
        <v>1</v>
      </c>
      <c r="B192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58" s="3" t="str">
        <f>HYPERLINK("https://otsuka-europe-crm.veevavault.com/ui/#object/sent_email__v/VBLZ025E82HFY6R", "SE-000285179")</f>
        <v>SE-000285179</v>
      </c>
      <c r="D19258" s="1" t="s">
        <v>0</v>
      </c>
      <c r="E19258" s="2">
        <v>0</v>
      </c>
      <c r="F19258" s="2">
        <v>0</v>
      </c>
      <c r="G19258" s="2">
        <v>0</v>
      </c>
      <c r="H19258" s="1" t="s">
        <v>0</v>
      </c>
      <c r="I19258" s="2">
        <v>0</v>
      </c>
      <c r="J19258" s="1">
        <v>45940.335659722223</v>
      </c>
    </row>
    <row r="19259" spans="1:10" x14ac:dyDescent="0.2">
      <c r="A19259" s="4" t="s">
        <v>1</v>
      </c>
      <c r="B192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59" s="3" t="str">
        <f>HYPERLINK("https://otsuka-europe-crm.veevavault.com/ui/#object/sent_email__v/VBLZ025E82HFY6S", "SE-000285180")</f>
        <v>SE-000285180</v>
      </c>
      <c r="D19259" s="1">
        <v>46032.439108796294</v>
      </c>
      <c r="E19259" s="2">
        <v>1</v>
      </c>
      <c r="F19259" s="2">
        <v>1</v>
      </c>
      <c r="G19259" s="2">
        <v>0</v>
      </c>
      <c r="H19259" s="1" t="s">
        <v>0</v>
      </c>
      <c r="I19259" s="2">
        <v>0</v>
      </c>
      <c r="J19259" s="1">
        <v>45940.3356712963</v>
      </c>
    </row>
    <row r="19260" spans="1:10" x14ac:dyDescent="0.2">
      <c r="A19260" s="4" t="s">
        <v>1</v>
      </c>
      <c r="B192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60" s="3" t="str">
        <f>HYPERLINK("https://otsuka-europe-crm.veevavault.com/ui/#object/sent_email__v/VBLZ025E82HFYBT", "SE-000285183")</f>
        <v>SE-000285183</v>
      </c>
      <c r="D19260" s="1" t="s">
        <v>0</v>
      </c>
      <c r="E19260" s="2">
        <v>0</v>
      </c>
      <c r="F19260" s="2">
        <v>0</v>
      </c>
      <c r="G19260" s="2">
        <v>0</v>
      </c>
      <c r="H19260" s="1" t="s">
        <v>0</v>
      </c>
      <c r="I19260" s="2">
        <v>0</v>
      </c>
      <c r="J19260" s="1">
        <v>45940.335648148146</v>
      </c>
    </row>
    <row r="19261" spans="1:10" x14ac:dyDescent="0.2">
      <c r="A19261" s="4" t="s">
        <v>1</v>
      </c>
      <c r="B192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61" s="3" t="str">
        <f>HYPERLINK("https://otsuka-europe-crm.veevavault.com/ui/#object/sent_email__v/VBLZ025E82HFYBU", "SE-000285184")</f>
        <v>SE-000285184</v>
      </c>
      <c r="D19261" s="1">
        <v>45941.668807870374</v>
      </c>
      <c r="E19261" s="2">
        <v>1</v>
      </c>
      <c r="F19261" s="2">
        <v>1</v>
      </c>
      <c r="G19261" s="2">
        <v>0</v>
      </c>
      <c r="H19261" s="1" t="s">
        <v>0</v>
      </c>
      <c r="I19261" s="2">
        <v>0</v>
      </c>
      <c r="J19261" s="1">
        <v>45940.335648148146</v>
      </c>
    </row>
    <row r="19262" spans="1:10" x14ac:dyDescent="0.2">
      <c r="A19262" s="4" t="s">
        <v>1</v>
      </c>
      <c r="B192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62" s="3" t="str">
        <f>HYPERLINK("https://otsuka-europe-crm.veevavault.com/ui/#object/sent_email__v/VBLZ025E82HFYBV", "SE-000285185")</f>
        <v>SE-000285185</v>
      </c>
      <c r="D19262" s="1" t="s">
        <v>0</v>
      </c>
      <c r="E19262" s="2">
        <v>0</v>
      </c>
      <c r="F19262" s="2">
        <v>0</v>
      </c>
      <c r="G19262" s="2">
        <v>0</v>
      </c>
      <c r="H19262" s="1" t="s">
        <v>0</v>
      </c>
      <c r="I19262" s="2">
        <v>0</v>
      </c>
      <c r="J19262" s="1">
        <v>45940.335682870369</v>
      </c>
    </row>
    <row r="19263" spans="1:10" x14ac:dyDescent="0.2">
      <c r="A19263" s="4" t="s">
        <v>1</v>
      </c>
      <c r="B192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63" s="3" t="str">
        <f>HYPERLINK("https://otsuka-europe-crm.veevavault.com/ui/#object/sent_email__v/VBLZ025E82HFYBW", "SE-000285186")</f>
        <v>SE-000285186</v>
      </c>
      <c r="D19263" s="1" t="s">
        <v>0</v>
      </c>
      <c r="E19263" s="2">
        <v>0</v>
      </c>
      <c r="F19263" s="2">
        <v>0</v>
      </c>
      <c r="G19263" s="2">
        <v>0</v>
      </c>
      <c r="H19263" s="1" t="s">
        <v>0</v>
      </c>
      <c r="I19263" s="2">
        <v>0</v>
      </c>
      <c r="J19263" s="1">
        <v>45940.335659722223</v>
      </c>
    </row>
    <row r="19264" spans="1:10" x14ac:dyDescent="0.2">
      <c r="A19264" s="4" t="s">
        <v>1</v>
      </c>
      <c r="B192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64" s="3" t="str">
        <f>HYPERLINK("https://otsuka-europe-crm.veevavault.com/ui/#object/sent_email__v/VBLZ025E82HFYBX", "SE-000285187")</f>
        <v>SE-000285187</v>
      </c>
      <c r="D19264" s="1" t="s">
        <v>0</v>
      </c>
      <c r="E19264" s="2">
        <v>0</v>
      </c>
      <c r="F19264" s="2">
        <v>0</v>
      </c>
      <c r="G19264" s="2">
        <v>0</v>
      </c>
      <c r="H19264" s="1" t="s">
        <v>0</v>
      </c>
      <c r="I19264" s="2">
        <v>0</v>
      </c>
      <c r="J19264" s="1">
        <v>45940.335648148146</v>
      </c>
    </row>
    <row r="19265" spans="1:10" x14ac:dyDescent="0.2">
      <c r="A19265" s="4" t="s">
        <v>1</v>
      </c>
      <c r="B192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65" s="3" t="str">
        <f>HYPERLINK("https://otsuka-europe-crm.veevavault.com/ui/#object/sent_email__v/VBLZ025E82HFYBY", "SE-000285188")</f>
        <v>SE-000285188</v>
      </c>
      <c r="D19265" s="1" t="s">
        <v>0</v>
      </c>
      <c r="E19265" s="2">
        <v>0</v>
      </c>
      <c r="F19265" s="2">
        <v>0</v>
      </c>
      <c r="G19265" s="2">
        <v>0</v>
      </c>
      <c r="H19265" s="1" t="s">
        <v>0</v>
      </c>
      <c r="I19265" s="2">
        <v>0</v>
      </c>
      <c r="J19265" s="1">
        <v>45940.3356712963</v>
      </c>
    </row>
    <row r="19266" spans="1:10" x14ac:dyDescent="0.2">
      <c r="A19266" s="4" t="s">
        <v>1</v>
      </c>
      <c r="B192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66" s="3" t="str">
        <f>HYPERLINK("https://otsuka-europe-crm.veevavault.com/ui/#object/sent_email__v/VBLZ025E82HFYBZ", "SE-000285189")</f>
        <v>SE-000285189</v>
      </c>
      <c r="D19266" s="1" t="s">
        <v>0</v>
      </c>
      <c r="E19266" s="2">
        <v>0</v>
      </c>
      <c r="F19266" s="2">
        <v>0</v>
      </c>
      <c r="G19266" s="2">
        <v>0</v>
      </c>
      <c r="H19266" s="1" t="s">
        <v>0</v>
      </c>
      <c r="I19266" s="2">
        <v>0</v>
      </c>
      <c r="J19266" s="1">
        <v>45940.335613425923</v>
      </c>
    </row>
    <row r="19267" spans="1:10" x14ac:dyDescent="0.2">
      <c r="A19267" s="4" t="s">
        <v>1</v>
      </c>
      <c r="B192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67" s="3" t="str">
        <f>HYPERLINK("https://otsuka-europe-crm.veevavault.com/ui/#object/sent_email__v/VBLZ025E82HFYC0", "SE-000285190")</f>
        <v>SE-000285190</v>
      </c>
      <c r="D19267" s="1">
        <v>45943.248229166667</v>
      </c>
      <c r="E19267" s="2">
        <v>1</v>
      </c>
      <c r="F19267" s="2">
        <v>1</v>
      </c>
      <c r="G19267" s="2">
        <v>0</v>
      </c>
      <c r="H19267" s="1" t="s">
        <v>0</v>
      </c>
      <c r="I19267" s="2">
        <v>0</v>
      </c>
      <c r="J19267" s="1">
        <v>45940.335659722223</v>
      </c>
    </row>
    <row r="19268" spans="1:10" x14ac:dyDescent="0.2">
      <c r="A19268" s="4" t="s">
        <v>1</v>
      </c>
      <c r="B192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68" s="3" t="str">
        <f>HYPERLINK("https://otsuka-europe-crm.veevavault.com/ui/#object/sent_email__v/VBLZ025E82HFYC1", "SE-000285191")</f>
        <v>SE-000285191</v>
      </c>
      <c r="D19268" s="1" t="s">
        <v>0</v>
      </c>
      <c r="E19268" s="2">
        <v>0</v>
      </c>
      <c r="F19268" s="2">
        <v>0</v>
      </c>
      <c r="G19268" s="2">
        <v>0</v>
      </c>
      <c r="H19268" s="1" t="s">
        <v>0</v>
      </c>
      <c r="I19268" s="2">
        <v>0</v>
      </c>
      <c r="J19268" s="1">
        <v>45940.335659722223</v>
      </c>
    </row>
    <row r="19269" spans="1:10" x14ac:dyDescent="0.2">
      <c r="A19269" s="4" t="s">
        <v>1</v>
      </c>
      <c r="B192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69" s="3" t="str">
        <f>HYPERLINK("https://otsuka-europe-crm.veevavault.com/ui/#object/sent_email__v/VBLZ025E82HFYC2", "SE-000285192")</f>
        <v>SE-000285192</v>
      </c>
      <c r="D19269" s="1" t="s">
        <v>0</v>
      </c>
      <c r="E19269" s="2">
        <v>0</v>
      </c>
      <c r="F19269" s="2">
        <v>0</v>
      </c>
      <c r="G19269" s="2">
        <v>0</v>
      </c>
      <c r="H19269" s="1" t="s">
        <v>0</v>
      </c>
      <c r="I19269" s="2">
        <v>0</v>
      </c>
      <c r="J19269" s="1">
        <v>45940.335636574076</v>
      </c>
    </row>
    <row r="19270" spans="1:10" x14ac:dyDescent="0.2">
      <c r="A19270" s="4" t="s">
        <v>1</v>
      </c>
      <c r="B192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70" s="3" t="str">
        <f>HYPERLINK("https://otsuka-europe-crm.veevavault.com/ui/#object/sent_email__v/VBLZ025E82HFYC3", "SE-000285193")</f>
        <v>SE-000285193</v>
      </c>
      <c r="D19270" s="1" t="s">
        <v>0</v>
      </c>
      <c r="E19270" s="2">
        <v>0</v>
      </c>
      <c r="F19270" s="2">
        <v>0</v>
      </c>
      <c r="G19270" s="2">
        <v>0</v>
      </c>
      <c r="H19270" s="1" t="s">
        <v>0</v>
      </c>
      <c r="I19270" s="2">
        <v>0</v>
      </c>
      <c r="J19270" s="1">
        <v>45940.335648148146</v>
      </c>
    </row>
    <row r="19271" spans="1:10" x14ac:dyDescent="0.2">
      <c r="A19271" s="4" t="s">
        <v>1</v>
      </c>
      <c r="B192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71" s="3" t="str">
        <f>HYPERLINK("https://otsuka-europe-crm.veevavault.com/ui/#object/sent_email__v/VBLZ025E82HFYC4", "SE-000285194")</f>
        <v>SE-000285194</v>
      </c>
      <c r="D19271" s="1">
        <v>45987.786122685182</v>
      </c>
      <c r="E19271" s="2">
        <v>1</v>
      </c>
      <c r="F19271" s="2">
        <v>2</v>
      </c>
      <c r="G19271" s="2">
        <v>0</v>
      </c>
      <c r="H19271" s="1" t="s">
        <v>0</v>
      </c>
      <c r="I19271" s="2">
        <v>0</v>
      </c>
      <c r="J19271" s="1">
        <v>45940.335636574076</v>
      </c>
    </row>
    <row r="19272" spans="1:10" x14ac:dyDescent="0.2">
      <c r="A19272" s="4" t="s">
        <v>1</v>
      </c>
      <c r="B192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72" s="3" t="str">
        <f>HYPERLINK("https://otsuka-europe-crm.veevavault.com/ui/#object/sent_email__v/VBLZ025E82HFYC5", "SE-000285195")</f>
        <v>SE-000285195</v>
      </c>
      <c r="D19272" s="1" t="s">
        <v>0</v>
      </c>
      <c r="E19272" s="2">
        <v>0</v>
      </c>
      <c r="F19272" s="2">
        <v>0</v>
      </c>
      <c r="G19272" s="2">
        <v>0</v>
      </c>
      <c r="H19272" s="1" t="s">
        <v>0</v>
      </c>
      <c r="I19272" s="2">
        <v>0</v>
      </c>
      <c r="J19272" s="1">
        <v>45940.335636574076</v>
      </c>
    </row>
    <row r="19273" spans="1:10" x14ac:dyDescent="0.2">
      <c r="A19273" s="4" t="s">
        <v>1</v>
      </c>
      <c r="B192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73" s="3" t="str">
        <f>HYPERLINK("https://otsuka-europe-crm.veevavault.com/ui/#object/sent_email__v/VBLZ025E82HFYC6", "SE-000285196")</f>
        <v>SE-000285196</v>
      </c>
      <c r="D19273" s="1">
        <v>45940.759120370371</v>
      </c>
      <c r="E19273" s="2">
        <v>1</v>
      </c>
      <c r="F19273" s="2">
        <v>1</v>
      </c>
      <c r="G19273" s="2">
        <v>0</v>
      </c>
      <c r="H19273" s="1" t="s">
        <v>0</v>
      </c>
      <c r="I19273" s="2">
        <v>0</v>
      </c>
      <c r="J19273" s="1">
        <v>45940.335648148146</v>
      </c>
    </row>
    <row r="19274" spans="1:10" x14ac:dyDescent="0.2">
      <c r="A19274" s="4" t="s">
        <v>1</v>
      </c>
      <c r="B192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74" s="3" t="str">
        <f>HYPERLINK("https://otsuka-europe-crm.veevavault.com/ui/#object/sent_email__v/VBLZ025E82HFYC7", "SE-000285197")</f>
        <v>SE-000285197</v>
      </c>
      <c r="D19274" s="1">
        <v>45940.808657407404</v>
      </c>
      <c r="E19274" s="2">
        <v>1</v>
      </c>
      <c r="F19274" s="2">
        <v>1</v>
      </c>
      <c r="G19274" s="2">
        <v>0</v>
      </c>
      <c r="H19274" s="1" t="s">
        <v>0</v>
      </c>
      <c r="I19274" s="2">
        <v>0</v>
      </c>
      <c r="J19274" s="1">
        <v>45940.335625</v>
      </c>
    </row>
    <row r="19275" spans="1:10" x14ac:dyDescent="0.2">
      <c r="A19275" s="4" t="s">
        <v>1</v>
      </c>
      <c r="B192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75" s="3" t="str">
        <f>HYPERLINK("https://otsuka-europe-crm.veevavault.com/ui/#object/sent_email__v/VBLZ025E82HFYC8", "SE-000285198")</f>
        <v>SE-000285198</v>
      </c>
      <c r="D19275" s="1" t="s">
        <v>0</v>
      </c>
      <c r="E19275" s="2">
        <v>0</v>
      </c>
      <c r="F19275" s="2">
        <v>0</v>
      </c>
      <c r="G19275" s="2">
        <v>0</v>
      </c>
      <c r="H19275" s="1" t="s">
        <v>0</v>
      </c>
      <c r="I19275" s="2">
        <v>0</v>
      </c>
      <c r="J19275" s="1">
        <v>45940.335625</v>
      </c>
    </row>
    <row r="19276" spans="1:10" x14ac:dyDescent="0.2">
      <c r="A19276" s="4" t="s">
        <v>1</v>
      </c>
      <c r="B192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76" s="3" t="str">
        <f>HYPERLINK("https://otsuka-europe-crm.veevavault.com/ui/#object/sent_email__v/VBLZ025E82HFYC9", "SE-000285199")</f>
        <v>SE-000285199</v>
      </c>
      <c r="D19276" s="1">
        <v>45946.754062499997</v>
      </c>
      <c r="E19276" s="2">
        <v>1</v>
      </c>
      <c r="F19276" s="2">
        <v>1</v>
      </c>
      <c r="G19276" s="2">
        <v>0</v>
      </c>
      <c r="H19276" s="1" t="s">
        <v>0</v>
      </c>
      <c r="I19276" s="2">
        <v>0</v>
      </c>
      <c r="J19276" s="1">
        <v>45940.335636574076</v>
      </c>
    </row>
    <row r="19277" spans="1:10" x14ac:dyDescent="0.2">
      <c r="A19277" s="4" t="s">
        <v>1</v>
      </c>
      <c r="B192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77" s="3" t="str">
        <f>HYPERLINK("https://otsuka-europe-crm.veevavault.com/ui/#object/sent_email__v/VBLZ025E82HFYEL", "SE-000285200")</f>
        <v>SE-000285200</v>
      </c>
      <c r="D19277" s="1" t="s">
        <v>0</v>
      </c>
      <c r="E19277" s="2">
        <v>0</v>
      </c>
      <c r="F19277" s="2">
        <v>0</v>
      </c>
      <c r="G19277" s="2">
        <v>0</v>
      </c>
      <c r="H19277" s="1" t="s">
        <v>0</v>
      </c>
      <c r="I19277" s="2">
        <v>0</v>
      </c>
      <c r="J19277" s="1">
        <v>45939.450219907405</v>
      </c>
    </row>
    <row r="19278" spans="1:10" x14ac:dyDescent="0.2">
      <c r="A19278" s="4" t="s">
        <v>1</v>
      </c>
      <c r="B192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78" s="3" t="str">
        <f>HYPERLINK("https://otsuka-europe-crm.veevavault.com/ui/#object/sent_email__v/VBLZ025E82HFYHD", "SE-000285201")</f>
        <v>SE-000285201</v>
      </c>
      <c r="D19278" s="1" t="s">
        <v>0</v>
      </c>
      <c r="E19278" s="2">
        <v>0</v>
      </c>
      <c r="F19278" s="2">
        <v>0</v>
      </c>
      <c r="G19278" s="2">
        <v>0</v>
      </c>
      <c r="H19278" s="1" t="s">
        <v>0</v>
      </c>
      <c r="I19278" s="2">
        <v>0</v>
      </c>
      <c r="J19278" s="1">
        <v>45939.45045138889</v>
      </c>
    </row>
    <row r="19279" spans="1:10" x14ac:dyDescent="0.2">
      <c r="A19279" s="4" t="s">
        <v>1</v>
      </c>
      <c r="B192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79" s="3" t="str">
        <f>HYPERLINK("https://otsuka-europe-crm.veevavault.com/ui/#object/sent_email__v/VBLZ025E82HFYMX", "SE-000285202")</f>
        <v>SE-000285202</v>
      </c>
      <c r="D19279" s="1">
        <v>45940.281365740739</v>
      </c>
      <c r="E19279" s="2">
        <v>1</v>
      </c>
      <c r="F19279" s="2">
        <v>1</v>
      </c>
      <c r="G19279" s="2">
        <v>0</v>
      </c>
      <c r="H19279" s="1" t="s">
        <v>0</v>
      </c>
      <c r="I19279" s="2">
        <v>0</v>
      </c>
      <c r="J19279" s="1">
        <v>45939.450787037036</v>
      </c>
    </row>
    <row r="19280" spans="1:10" x14ac:dyDescent="0.2">
      <c r="A19280" s="4" t="s">
        <v>1</v>
      </c>
      <c r="B192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80" s="3" t="str">
        <f>HYPERLINK("https://otsuka-europe-crm.veevavault.com/ui/#object/sent_email__v/VBLZ025E82HFWEE", "SE-000285203")</f>
        <v>SE-000285203</v>
      </c>
      <c r="D19280" s="1">
        <v>45939.691435185188</v>
      </c>
      <c r="E19280" s="2">
        <v>1</v>
      </c>
      <c r="F19280" s="2">
        <v>2</v>
      </c>
      <c r="G19280" s="2">
        <v>0</v>
      </c>
      <c r="H19280" s="1" t="s">
        <v>0</v>
      </c>
      <c r="I19280" s="2">
        <v>0</v>
      </c>
      <c r="J19280" s="1">
        <v>45939.451435185183</v>
      </c>
    </row>
    <row r="19281" spans="1:10" x14ac:dyDescent="0.2">
      <c r="A19281" s="4" t="s">
        <v>1</v>
      </c>
      <c r="B192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81" s="3" t="str">
        <f>HYPERLINK("https://otsuka-europe-crm.veevavault.com/ui/#object/sent_email__v/VBLZ025E82HFYSH", "SE-000285204")</f>
        <v>SE-000285204</v>
      </c>
      <c r="D19281" s="1">
        <v>45939.490300925929</v>
      </c>
      <c r="E19281" s="2">
        <v>1</v>
      </c>
      <c r="F19281" s="2">
        <v>9</v>
      </c>
      <c r="G19281" s="2">
        <v>0</v>
      </c>
      <c r="H19281" s="1" t="s">
        <v>0</v>
      </c>
      <c r="I19281" s="2">
        <v>0</v>
      </c>
      <c r="J19281" s="1">
        <v>45939.451666666668</v>
      </c>
    </row>
    <row r="19282" spans="1:10" x14ac:dyDescent="0.2">
      <c r="A19282" s="4" t="s">
        <v>1</v>
      </c>
      <c r="B192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82" s="3" t="str">
        <f>HYPERLINK("https://otsuka-europe-crm.veevavault.com/ui/#object/sent_email__v/VBLZ025E82HFYV9", "SE-000285205")</f>
        <v>SE-000285205</v>
      </c>
      <c r="D19282" s="1" t="s">
        <v>0</v>
      </c>
      <c r="E19282" s="2">
        <v>0</v>
      </c>
      <c r="F19282" s="2">
        <v>0</v>
      </c>
      <c r="G19282" s="2">
        <v>0</v>
      </c>
      <c r="H19282" s="1" t="s">
        <v>0</v>
      </c>
      <c r="I19282" s="2">
        <v>0</v>
      </c>
      <c r="J19282" s="1">
        <v>45939.451956018522</v>
      </c>
    </row>
    <row r="19283" spans="1:10" x14ac:dyDescent="0.2">
      <c r="A19283" s="4" t="s">
        <v>1</v>
      </c>
      <c r="B192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83" s="3" t="str">
        <f>HYPERLINK("https://otsuka-europe-crm.veevavault.com/ui/#object/sent_email__v/VBLZ025E82HFZ3L", "SE-000285207")</f>
        <v>SE-000285207</v>
      </c>
      <c r="D19283" s="1">
        <v>45941.046736111108</v>
      </c>
      <c r="E19283" s="2">
        <v>1</v>
      </c>
      <c r="F19283" s="2">
        <v>2</v>
      </c>
      <c r="G19283" s="2">
        <v>0</v>
      </c>
      <c r="H19283" s="1" t="s">
        <v>0</v>
      </c>
      <c r="I19283" s="2">
        <v>0</v>
      </c>
      <c r="J19283" s="1">
        <v>45939.452256944445</v>
      </c>
    </row>
    <row r="19284" spans="1:10" x14ac:dyDescent="0.2">
      <c r="A19284" s="4" t="s">
        <v>1</v>
      </c>
      <c r="B192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84" s="3" t="str">
        <f>HYPERLINK("https://otsuka-europe-crm.veevavault.com/ui/#object/sent_email__v/VBLZ025E82HFZ6D", "SE-000285208")</f>
        <v>SE-000285208</v>
      </c>
      <c r="D19284" s="1">
        <v>45941.317546296297</v>
      </c>
      <c r="E19284" s="2">
        <v>1</v>
      </c>
      <c r="F19284" s="2">
        <v>4</v>
      </c>
      <c r="G19284" s="2">
        <v>0</v>
      </c>
      <c r="H19284" s="1" t="s">
        <v>0</v>
      </c>
      <c r="I19284" s="2">
        <v>0</v>
      </c>
      <c r="J19284" s="1">
        <v>45939.452488425923</v>
      </c>
    </row>
    <row r="19285" spans="1:10" x14ac:dyDescent="0.2">
      <c r="A19285" s="4" t="s">
        <v>1</v>
      </c>
      <c r="B192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85" s="3" t="str">
        <f>HYPERLINK("https://otsuka-europe-crm.veevavault.com/ui/#object/sent_email__v/VBLZ025E82HFZBX", "SE-000285210")</f>
        <v>SE-000285210</v>
      </c>
      <c r="D19285" s="1" t="s">
        <v>0</v>
      </c>
      <c r="E19285" s="2">
        <v>0</v>
      </c>
      <c r="F19285" s="2">
        <v>0</v>
      </c>
      <c r="G19285" s="2">
        <v>0</v>
      </c>
      <c r="H19285" s="1" t="s">
        <v>0</v>
      </c>
      <c r="I19285" s="2">
        <v>0</v>
      </c>
      <c r="J19285" s="1">
        <v>45939.452673611115</v>
      </c>
    </row>
    <row r="19286" spans="1:10" x14ac:dyDescent="0.2">
      <c r="A19286" s="4" t="s">
        <v>1</v>
      </c>
      <c r="B192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86" s="3" t="str">
        <f>HYPERLINK("https://otsuka-europe-crm.veevavault.com/ui/#object/sent_email__v/VBLZ025E82HFZEP", "SE-000285211")</f>
        <v>SE-000285211</v>
      </c>
      <c r="D19286" s="1">
        <v>45940.687488425923</v>
      </c>
      <c r="E19286" s="2">
        <v>1</v>
      </c>
      <c r="F19286" s="2">
        <v>3</v>
      </c>
      <c r="G19286" s="2">
        <v>0</v>
      </c>
      <c r="H19286" s="1" t="s">
        <v>0</v>
      </c>
      <c r="I19286" s="2">
        <v>0</v>
      </c>
      <c r="J19286" s="1">
        <v>45939.452939814815</v>
      </c>
    </row>
    <row r="19287" spans="1:10" x14ac:dyDescent="0.2">
      <c r="A19287" s="4" t="s">
        <v>1</v>
      </c>
      <c r="B192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87" s="3" t="str">
        <f>HYPERLINK("https://otsuka-europe-crm.veevavault.com/ui/#object/sent_email__v/VBLZ025E82HFZHH", "SE-000285212")</f>
        <v>SE-000285212</v>
      </c>
      <c r="D19287" s="1">
        <v>45939.489039351851</v>
      </c>
      <c r="E19287" s="2">
        <v>1</v>
      </c>
      <c r="F19287" s="2">
        <v>1</v>
      </c>
      <c r="G19287" s="2">
        <v>0</v>
      </c>
      <c r="H19287" s="1" t="s">
        <v>0</v>
      </c>
      <c r="I19287" s="2">
        <v>0</v>
      </c>
      <c r="J19287" s="1">
        <v>45939.453136574077</v>
      </c>
    </row>
    <row r="19288" spans="1:10" x14ac:dyDescent="0.2">
      <c r="A19288" s="4" t="s">
        <v>1</v>
      </c>
      <c r="B192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88" s="3" t="str">
        <f>HYPERLINK("https://otsuka-europe-crm.veevavault.com/ui/#object/sent_email__v/VBLZ025E82HFZN1", "SE-000285213")</f>
        <v>SE-000285213</v>
      </c>
      <c r="D19288" s="1" t="s">
        <v>0</v>
      </c>
      <c r="E19288" s="2">
        <v>0</v>
      </c>
      <c r="F19288" s="2">
        <v>0</v>
      </c>
      <c r="G19288" s="2">
        <v>0</v>
      </c>
      <c r="H19288" s="1" t="s">
        <v>0</v>
      </c>
      <c r="I19288" s="2">
        <v>0</v>
      </c>
      <c r="J19288" s="1">
        <v>45939.453287037039</v>
      </c>
    </row>
    <row r="19289" spans="1:10" x14ac:dyDescent="0.2">
      <c r="A19289" s="4" t="s">
        <v>1</v>
      </c>
      <c r="B192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89" s="3" t="str">
        <f>HYPERLINK("https://otsuka-europe-crm.veevavault.com/ui/#object/sent_email__v/VBLZ025E82HFZPT", "SE-000285214")</f>
        <v>SE-000285214</v>
      </c>
      <c r="D19289" s="1">
        <v>45939.62228009259</v>
      </c>
      <c r="E19289" s="2">
        <v>1</v>
      </c>
      <c r="F19289" s="2">
        <v>2</v>
      </c>
      <c r="G19289" s="2">
        <v>0</v>
      </c>
      <c r="H19289" s="1" t="s">
        <v>0</v>
      </c>
      <c r="I19289" s="2">
        <v>0</v>
      </c>
      <c r="J19289" s="1">
        <v>45939.453506944446</v>
      </c>
    </row>
    <row r="19290" spans="1:10" x14ac:dyDescent="0.2">
      <c r="A19290" s="4" t="s">
        <v>1</v>
      </c>
      <c r="B192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90" s="3" t="str">
        <f>HYPERLINK("https://otsuka-europe-crm.veevavault.com/ui/#object/sent_email__v/VBLZ025E82HFZSL", "SE-000285215")</f>
        <v>SE-000285215</v>
      </c>
      <c r="D19290" s="1">
        <v>45939.546898148146</v>
      </c>
      <c r="E19290" s="2">
        <v>1</v>
      </c>
      <c r="F19290" s="2">
        <v>1</v>
      </c>
      <c r="G19290" s="2">
        <v>0</v>
      </c>
      <c r="H19290" s="1" t="s">
        <v>0</v>
      </c>
      <c r="I19290" s="2">
        <v>0</v>
      </c>
      <c r="J19290" s="1">
        <v>45939.453784722224</v>
      </c>
    </row>
    <row r="19291" spans="1:10" x14ac:dyDescent="0.2">
      <c r="A19291" s="4" t="s">
        <v>1</v>
      </c>
      <c r="B192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91" s="3" t="str">
        <f>HYPERLINK("https://otsuka-europe-crm.veevavault.com/ui/#object/sent_email__v/VBLZ025E82HFZVD", "SE-000285216")</f>
        <v>SE-000285216</v>
      </c>
      <c r="D19291" s="1" t="s">
        <v>0</v>
      </c>
      <c r="E19291" s="2">
        <v>0</v>
      </c>
      <c r="F19291" s="2">
        <v>0</v>
      </c>
      <c r="G19291" s="2">
        <v>0</v>
      </c>
      <c r="H19291" s="1" t="s">
        <v>0</v>
      </c>
      <c r="I19291" s="2">
        <v>0</v>
      </c>
      <c r="J19291" s="1">
        <v>45939.454027777778</v>
      </c>
    </row>
    <row r="19292" spans="1:10" x14ac:dyDescent="0.2">
      <c r="A19292" s="4" t="s">
        <v>1</v>
      </c>
      <c r="B192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92" s="3" t="str">
        <f>HYPERLINK("https://otsuka-europe-crm.veevavault.com/ui/#object/sent_email__v/VBLZ025E82HG00X", "SE-000285217")</f>
        <v>SE-000285217</v>
      </c>
      <c r="D19292" s="1">
        <v>45939.565578703703</v>
      </c>
      <c r="E19292" s="2">
        <v>1</v>
      </c>
      <c r="F19292" s="2">
        <v>1</v>
      </c>
      <c r="G19292" s="2">
        <v>0</v>
      </c>
      <c r="H19292" s="1" t="s">
        <v>0</v>
      </c>
      <c r="I19292" s="2">
        <v>0</v>
      </c>
      <c r="J19292" s="1">
        <v>45939.45453703704</v>
      </c>
    </row>
    <row r="19293" spans="1:10" x14ac:dyDescent="0.2">
      <c r="A19293" s="4" t="s">
        <v>1</v>
      </c>
      <c r="B192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93" s="3" t="str">
        <f>HYPERLINK("https://otsuka-europe-crm.veevavault.com/ui/#object/sent_email__v/VBLZ025E82HG06H", "SE-000285218")</f>
        <v>SE-000285218</v>
      </c>
      <c r="D19293" s="1">
        <v>45939.758877314816</v>
      </c>
      <c r="E19293" s="2">
        <v>1</v>
      </c>
      <c r="F19293" s="2">
        <v>1</v>
      </c>
      <c r="G19293" s="2">
        <v>0</v>
      </c>
      <c r="H19293" s="1" t="s">
        <v>0</v>
      </c>
      <c r="I19293" s="2">
        <v>0</v>
      </c>
      <c r="J19293" s="1">
        <v>45939.456006944441</v>
      </c>
    </row>
    <row r="19294" spans="1:10" x14ac:dyDescent="0.2">
      <c r="A19294" s="4" t="s">
        <v>1</v>
      </c>
      <c r="B192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94" s="3" t="str">
        <f>HYPERLINK("https://otsuka-europe-crm.veevavault.com/ui/#object/sent_email__v/VBLZ025E82HG099", "SE-000285219")</f>
        <v>SE-000285219</v>
      </c>
      <c r="D19294" s="1" t="s">
        <v>0</v>
      </c>
      <c r="E19294" s="2">
        <v>0</v>
      </c>
      <c r="F19294" s="2">
        <v>0</v>
      </c>
      <c r="G19294" s="2">
        <v>0</v>
      </c>
      <c r="H19294" s="1" t="s">
        <v>0</v>
      </c>
      <c r="I19294" s="2">
        <v>0</v>
      </c>
      <c r="J19294" s="1">
        <v>45939.456250000003</v>
      </c>
    </row>
    <row r="19295" spans="1:10" x14ac:dyDescent="0.2">
      <c r="A19295" s="4" t="s">
        <v>1</v>
      </c>
      <c r="B192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95" s="3" t="str">
        <f>HYPERLINK("https://otsuka-europe-crm.veevavault.com/ui/#object/sent_email__v/VBLZ025E82HFWXU", "SE-000285220")</f>
        <v>SE-000285220</v>
      </c>
      <c r="D19295" s="1">
        <v>45939.463854166665</v>
      </c>
      <c r="E19295" s="2">
        <v>1</v>
      </c>
      <c r="F19295" s="2">
        <v>2</v>
      </c>
      <c r="G19295" s="2">
        <v>0</v>
      </c>
      <c r="H19295" s="1" t="s">
        <v>0</v>
      </c>
      <c r="I19295" s="2">
        <v>0</v>
      </c>
      <c r="J19295" s="1">
        <v>45939.456446759257</v>
      </c>
    </row>
    <row r="19296" spans="1:10" x14ac:dyDescent="0.2">
      <c r="A19296" s="4" t="s">
        <v>1</v>
      </c>
      <c r="B192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96" s="3" t="str">
        <f>HYPERLINK("https://otsuka-europe-crm.veevavault.com/ui/#object/sent_email__v/VBLZ025E82HG0ET", "SE-000285221")</f>
        <v>SE-000285221</v>
      </c>
      <c r="D19296" s="1">
        <v>45941.556388888886</v>
      </c>
      <c r="E19296" s="2">
        <v>1</v>
      </c>
      <c r="F19296" s="2">
        <v>2</v>
      </c>
      <c r="G19296" s="2">
        <v>0</v>
      </c>
      <c r="H19296" s="1" t="s">
        <v>0</v>
      </c>
      <c r="I19296" s="2">
        <v>0</v>
      </c>
      <c r="J19296" s="1">
        <v>45939.456793981481</v>
      </c>
    </row>
    <row r="19297" spans="1:10" x14ac:dyDescent="0.2">
      <c r="A19297" s="4" t="s">
        <v>1</v>
      </c>
      <c r="B192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97" s="3" t="str">
        <f>HYPERLINK("https://otsuka-europe-crm.veevavault.com/ui/#object/sent_email__v/VBLZ025E82HG0HL", "SE-000285222")</f>
        <v>SE-000285222</v>
      </c>
      <c r="D19297" s="1" t="s">
        <v>0</v>
      </c>
      <c r="E19297" s="2">
        <v>0</v>
      </c>
      <c r="F19297" s="2">
        <v>0</v>
      </c>
      <c r="G19297" s="2">
        <v>0</v>
      </c>
      <c r="H19297" s="1" t="s">
        <v>0</v>
      </c>
      <c r="I19297" s="2">
        <v>0</v>
      </c>
      <c r="J19297" s="1">
        <v>45939.457048611112</v>
      </c>
    </row>
    <row r="19298" spans="1:10" x14ac:dyDescent="0.2">
      <c r="A19298" s="4" t="s">
        <v>1</v>
      </c>
      <c r="B192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98" s="3" t="str">
        <f>HYPERLINK("https://otsuka-europe-crm.veevavault.com/ui/#object/sent_email__v/VBLZ025E82HG0KD", "SE-000285223")</f>
        <v>SE-000285223</v>
      </c>
      <c r="D19298" s="1">
        <v>45939.457604166666</v>
      </c>
      <c r="E19298" s="2">
        <v>1</v>
      </c>
      <c r="F19298" s="2">
        <v>1</v>
      </c>
      <c r="G19298" s="2">
        <v>1</v>
      </c>
      <c r="H19298" s="1">
        <v>45939.457604166666</v>
      </c>
      <c r="I19298" s="2">
        <v>1</v>
      </c>
      <c r="J19298" s="1">
        <v>45939.457280092596</v>
      </c>
    </row>
    <row r="19299" spans="1:10" x14ac:dyDescent="0.2">
      <c r="A19299" s="4" t="s">
        <v>1</v>
      </c>
      <c r="B192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299" s="3" t="str">
        <f>HYPERLINK("https://otsuka-europe-crm.veevavault.com/ui/#object/sent_email__v/VBLZ025E82HFZ96", "SE-000285224")</f>
        <v>SE-000285224</v>
      </c>
      <c r="D19299" s="1">
        <v>45939.729953703703</v>
      </c>
      <c r="E19299" s="2">
        <v>1</v>
      </c>
      <c r="F19299" s="2">
        <v>1</v>
      </c>
      <c r="G19299" s="2">
        <v>0</v>
      </c>
      <c r="H19299" s="1" t="s">
        <v>0</v>
      </c>
      <c r="I19299" s="2">
        <v>0</v>
      </c>
      <c r="J19299" s="1">
        <v>45939.45752314815</v>
      </c>
    </row>
    <row r="19300" spans="1:10" x14ac:dyDescent="0.2">
      <c r="A19300" s="4" t="s">
        <v>1</v>
      </c>
      <c r="B193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00" s="3" t="str">
        <f>HYPERLINK("https://otsuka-europe-crm.veevavault.com/ui/#object/sent_email__v/VBLZ025E82HG0PX", "SE-000285225")</f>
        <v>SE-000285225</v>
      </c>
      <c r="D19300" s="1">
        <v>45940.45453703704</v>
      </c>
      <c r="E19300" s="2">
        <v>1</v>
      </c>
      <c r="F19300" s="2">
        <v>2</v>
      </c>
      <c r="G19300" s="2">
        <v>0</v>
      </c>
      <c r="H19300" s="1" t="s">
        <v>0</v>
      </c>
      <c r="I19300" s="2">
        <v>0</v>
      </c>
      <c r="J19300" s="1">
        <v>45939.457719907405</v>
      </c>
    </row>
    <row r="19301" spans="1:10" x14ac:dyDescent="0.2">
      <c r="A19301" s="4" t="s">
        <v>1</v>
      </c>
      <c r="B193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01" s="3" t="str">
        <f>HYPERLINK("https://otsuka-europe-crm.veevavault.com/ui/#object/sent_email__v/VBLZ025E82HG0SP", "SE-000285226")</f>
        <v>SE-000285226</v>
      </c>
      <c r="D19301" s="1" t="s">
        <v>0</v>
      </c>
      <c r="E19301" s="2">
        <v>0</v>
      </c>
      <c r="F19301" s="2">
        <v>0</v>
      </c>
      <c r="G19301" s="2">
        <v>0</v>
      </c>
      <c r="H19301" s="1" t="s">
        <v>0</v>
      </c>
      <c r="I19301" s="2">
        <v>0</v>
      </c>
      <c r="J19301" s="1">
        <v>45939.458032407405</v>
      </c>
    </row>
    <row r="19302" spans="1:10" x14ac:dyDescent="0.2">
      <c r="A19302" s="4" t="s">
        <v>1</v>
      </c>
      <c r="B193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02" s="3" t="str">
        <f>HYPERLINK("https://otsuka-europe-crm.veevavault.com/ui/#object/sent_email__v/VBLZ025E82HG111", "SE-000285227")</f>
        <v>SE-000285227</v>
      </c>
      <c r="D19302" s="1">
        <v>45939.458402777775</v>
      </c>
      <c r="E19302" s="2">
        <v>1</v>
      </c>
      <c r="F19302" s="2">
        <v>1</v>
      </c>
      <c r="G19302" s="2">
        <v>0</v>
      </c>
      <c r="H19302" s="1" t="s">
        <v>0</v>
      </c>
      <c r="I19302" s="2">
        <v>0</v>
      </c>
      <c r="J19302" s="1">
        <v>45939.458344907405</v>
      </c>
    </row>
    <row r="19303" spans="1:10" x14ac:dyDescent="0.2">
      <c r="A19303" s="4" t="s">
        <v>1</v>
      </c>
      <c r="B193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03" s="3" t="str">
        <f>HYPERLINK("https://otsuka-europe-crm.veevavault.com/ui/#object/sent_email__v/VBLZ025E82HG19D", "SE-000285228")</f>
        <v>SE-000285228</v>
      </c>
      <c r="D19303" s="1">
        <v>45939.582141203704</v>
      </c>
      <c r="E19303" s="2">
        <v>1</v>
      </c>
      <c r="F19303" s="2">
        <v>1</v>
      </c>
      <c r="G19303" s="2">
        <v>0</v>
      </c>
      <c r="H19303" s="1" t="s">
        <v>0</v>
      </c>
      <c r="I19303" s="2">
        <v>0</v>
      </c>
      <c r="J19303" s="1">
        <v>45939.458564814813</v>
      </c>
    </row>
    <row r="19304" spans="1:10" x14ac:dyDescent="0.2">
      <c r="A19304" s="4" t="s">
        <v>1</v>
      </c>
      <c r="B193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04" s="3" t="str">
        <f>HYPERLINK("https://otsuka-europe-crm.veevavault.com/ui/#object/sent_email__v/VBLZ025E82HG1HP", "SE-000285272")</f>
        <v>SE-000285272</v>
      </c>
      <c r="D19304" s="1" t="s">
        <v>0</v>
      </c>
      <c r="E19304" s="2">
        <v>0</v>
      </c>
      <c r="F19304" s="2">
        <v>0</v>
      </c>
      <c r="G19304" s="2">
        <v>0</v>
      </c>
      <c r="H19304" s="1" t="s">
        <v>0</v>
      </c>
      <c r="I19304" s="2">
        <v>0</v>
      </c>
      <c r="J19304" s="1">
        <v>45939.45884259259</v>
      </c>
    </row>
    <row r="19305" spans="1:10" x14ac:dyDescent="0.2">
      <c r="A19305" s="4" t="s">
        <v>1</v>
      </c>
      <c r="B193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05" s="3" t="str">
        <f>HYPERLINK("https://otsuka-europe-crm.veevavault.com/ui/#object/sent_email__v/VBLZ025E82HG1KH", "SE-000285273")</f>
        <v>SE-000285273</v>
      </c>
      <c r="D19305" s="1" t="s">
        <v>0</v>
      </c>
      <c r="E19305" s="2">
        <v>0</v>
      </c>
      <c r="F19305" s="2">
        <v>0</v>
      </c>
      <c r="G19305" s="2">
        <v>0</v>
      </c>
      <c r="H19305" s="1" t="s">
        <v>0</v>
      </c>
      <c r="I19305" s="2">
        <v>0</v>
      </c>
      <c r="J19305" s="1">
        <v>45939.459016203706</v>
      </c>
    </row>
    <row r="19306" spans="1:10" x14ac:dyDescent="0.2">
      <c r="A19306" s="4" t="s">
        <v>1</v>
      </c>
      <c r="B193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06" s="3" t="str">
        <f>HYPERLINK("https://otsuka-europe-crm.veevavault.com/ui/#object/sent_email__v/VBLZ025E82HG1N9", "SE-000285274")</f>
        <v>SE-000285274</v>
      </c>
      <c r="D19306" s="1" t="s">
        <v>0</v>
      </c>
      <c r="E19306" s="2">
        <v>0</v>
      </c>
      <c r="F19306" s="2">
        <v>0</v>
      </c>
      <c r="G19306" s="2">
        <v>0</v>
      </c>
      <c r="H19306" s="1" t="s">
        <v>0</v>
      </c>
      <c r="I19306" s="2">
        <v>0</v>
      </c>
      <c r="J19306" s="1">
        <v>45939.459293981483</v>
      </c>
    </row>
    <row r="19307" spans="1:10" x14ac:dyDescent="0.2">
      <c r="A19307" s="4" t="s">
        <v>1</v>
      </c>
      <c r="B193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07" s="3" t="str">
        <f>HYPERLINK("https://otsuka-europe-crm.veevavault.com/ui/#object/sent_email__v/VBLZ025E82HFTP7", "SE-000285275")</f>
        <v>SE-000285275</v>
      </c>
      <c r="D19307" s="1" t="s">
        <v>0</v>
      </c>
      <c r="E19307" s="2">
        <v>0</v>
      </c>
      <c r="F19307" s="2">
        <v>0</v>
      </c>
      <c r="G19307" s="2">
        <v>0</v>
      </c>
      <c r="H19307" s="1" t="s">
        <v>0</v>
      </c>
      <c r="I19307" s="2">
        <v>0</v>
      </c>
      <c r="J19307" s="1">
        <v>45939.459479166668</v>
      </c>
    </row>
    <row r="19308" spans="1:10" x14ac:dyDescent="0.2">
      <c r="A19308" s="4" t="s">
        <v>1</v>
      </c>
      <c r="B193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08" s="3" t="str">
        <f>HYPERLINK("https://otsuka-europe-crm.veevavault.com/ui/#object/sent_email__v/VBLZ025E82HG1ST", "SE-000285276")</f>
        <v>SE-000285276</v>
      </c>
      <c r="D19308" s="1" t="s">
        <v>0</v>
      </c>
      <c r="E19308" s="2">
        <v>0</v>
      </c>
      <c r="F19308" s="2">
        <v>0</v>
      </c>
      <c r="G19308" s="2">
        <v>0</v>
      </c>
      <c r="H19308" s="1" t="s">
        <v>0</v>
      </c>
      <c r="I19308" s="2">
        <v>0</v>
      </c>
      <c r="J19308" s="1">
        <v>45939.45994212963</v>
      </c>
    </row>
    <row r="19309" spans="1:10" x14ac:dyDescent="0.2">
      <c r="A19309" s="4" t="s">
        <v>1</v>
      </c>
      <c r="B193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09" s="3" t="str">
        <f>HYPERLINK("https://otsuka-europe-crm.veevavault.com/ui/#object/sent_email__v/VBLZ025E82HG1HQ", "SE-000285277")</f>
        <v>SE-000285277</v>
      </c>
      <c r="D19309" s="1" t="s">
        <v>0</v>
      </c>
      <c r="E19309" s="2">
        <v>0</v>
      </c>
      <c r="F19309" s="2">
        <v>0</v>
      </c>
      <c r="G19309" s="2">
        <v>0</v>
      </c>
      <c r="H19309" s="1" t="s">
        <v>0</v>
      </c>
      <c r="I19309" s="2">
        <v>0</v>
      </c>
      <c r="J19309" s="1">
        <v>45939.460092592592</v>
      </c>
    </row>
    <row r="19310" spans="1:10" x14ac:dyDescent="0.2">
      <c r="A19310" s="4" t="s">
        <v>1</v>
      </c>
      <c r="B193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10" s="3" t="str">
        <f>HYPERLINK("https://otsuka-europe-crm.veevavault.com/ui/#object/sent_email__v/VBLZ025E82HG1YD", "SE-000285278")</f>
        <v>SE-000285278</v>
      </c>
      <c r="D19310" s="1" t="s">
        <v>0</v>
      </c>
      <c r="E19310" s="2">
        <v>0</v>
      </c>
      <c r="F19310" s="2">
        <v>0</v>
      </c>
      <c r="G19310" s="2">
        <v>0</v>
      </c>
      <c r="H19310" s="1" t="s">
        <v>0</v>
      </c>
      <c r="I19310" s="2">
        <v>0</v>
      </c>
      <c r="J19310" s="1">
        <v>45939.460300925923</v>
      </c>
    </row>
    <row r="19311" spans="1:10" x14ac:dyDescent="0.2">
      <c r="A19311" s="4" t="s">
        <v>1</v>
      </c>
      <c r="B193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11" s="3" t="str">
        <f>HYPERLINK("https://otsuka-europe-crm.veevavault.com/ui/#object/sent_email__v/VBLZ025E82HG29H", "SE-000285324")</f>
        <v>SE-000285324</v>
      </c>
      <c r="D19311" s="1">
        <v>45939.713437500002</v>
      </c>
      <c r="E19311" s="2">
        <v>1</v>
      </c>
      <c r="F19311" s="2">
        <v>1</v>
      </c>
      <c r="G19311" s="2">
        <v>0</v>
      </c>
      <c r="H19311" s="1" t="s">
        <v>0</v>
      </c>
      <c r="I19311" s="2">
        <v>0</v>
      </c>
      <c r="J19311" s="1">
        <v>45939.460474537038</v>
      </c>
    </row>
    <row r="19312" spans="1:10" x14ac:dyDescent="0.2">
      <c r="A19312" s="4" t="s">
        <v>1</v>
      </c>
      <c r="B193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12" s="3" t="str">
        <f>HYPERLINK("https://otsuka-europe-crm.veevavault.com/ui/#object/sent_email__v/VBLZ025E82HFZ0U", "SE-000285325")</f>
        <v>SE-000285325</v>
      </c>
      <c r="D19312" s="1">
        <v>45939.839004629626</v>
      </c>
      <c r="E19312" s="2">
        <v>1</v>
      </c>
      <c r="F19312" s="2">
        <v>1</v>
      </c>
      <c r="G19312" s="2">
        <v>0</v>
      </c>
      <c r="H19312" s="1" t="s">
        <v>0</v>
      </c>
      <c r="I19312" s="2">
        <v>0</v>
      </c>
      <c r="J19312" s="1">
        <v>45939.460682870369</v>
      </c>
    </row>
    <row r="19313" spans="1:10" x14ac:dyDescent="0.2">
      <c r="A19313" s="4" t="s">
        <v>1</v>
      </c>
      <c r="B193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13" s="3" t="str">
        <f>HYPERLINK("https://otsuka-europe-crm.veevavault.com/ui/#object/sent_email__v/VBLZ025E82HG2F1", "SE-000285326")</f>
        <v>SE-000285326</v>
      </c>
      <c r="D19313" s="1" t="s">
        <v>0</v>
      </c>
      <c r="E19313" s="2">
        <v>0</v>
      </c>
      <c r="F19313" s="2">
        <v>0</v>
      </c>
      <c r="G19313" s="2">
        <v>0</v>
      </c>
      <c r="H19313" s="1" t="s">
        <v>0</v>
      </c>
      <c r="I19313" s="2">
        <v>0</v>
      </c>
      <c r="J19313" s="1">
        <v>45939.460856481484</v>
      </c>
    </row>
    <row r="19314" spans="1:10" x14ac:dyDescent="0.2">
      <c r="A19314" s="4" t="s">
        <v>1</v>
      </c>
      <c r="B193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14" s="3" t="str">
        <f>HYPERLINK("https://otsuka-europe-crm.veevavault.com/ui/#object/sent_email__v/VBLZ025E82HG2HT", "SE-000285327")</f>
        <v>SE-000285327</v>
      </c>
      <c r="D19314" s="1">
        <v>45939.565578703703</v>
      </c>
      <c r="E19314" s="2">
        <v>1</v>
      </c>
      <c r="F19314" s="2">
        <v>1</v>
      </c>
      <c r="G19314" s="2">
        <v>0</v>
      </c>
      <c r="H19314" s="1" t="s">
        <v>0</v>
      </c>
      <c r="I19314" s="2">
        <v>0</v>
      </c>
      <c r="J19314" s="1">
        <v>45939.461215277777</v>
      </c>
    </row>
    <row r="19315" spans="1:10" x14ac:dyDescent="0.2">
      <c r="A19315" s="4" t="s">
        <v>1</v>
      </c>
      <c r="B193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15" s="3" t="str">
        <f>HYPERLINK("https://otsuka-europe-crm.veevavault.com/ui/#object/sent_email__v/VBLZ025E82HG2KL", "SE-000285328")</f>
        <v>SE-000285328</v>
      </c>
      <c r="D19315" s="1">
        <v>45939.464837962965</v>
      </c>
      <c r="E19315" s="2">
        <v>1</v>
      </c>
      <c r="F19315" s="2">
        <v>1</v>
      </c>
      <c r="G19315" s="2">
        <v>0</v>
      </c>
      <c r="H19315" s="1" t="s">
        <v>0</v>
      </c>
      <c r="I19315" s="2">
        <v>0</v>
      </c>
      <c r="J19315" s="1">
        <v>45939.461365740739</v>
      </c>
    </row>
    <row r="19316" spans="1:10" x14ac:dyDescent="0.2">
      <c r="A19316" s="4" t="s">
        <v>1</v>
      </c>
      <c r="B193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16" s="3" t="str">
        <f>HYPERLINK("https://otsuka-europe-crm.veevavault.com/ui/#object/sent_email__v/VBLZ025E82HG2ND", "SE-000285329")</f>
        <v>SE-000285329</v>
      </c>
      <c r="D19316" s="1" t="s">
        <v>0</v>
      </c>
      <c r="E19316" s="2">
        <v>0</v>
      </c>
      <c r="F19316" s="2">
        <v>0</v>
      </c>
      <c r="G19316" s="2">
        <v>0</v>
      </c>
      <c r="H19316" s="1" t="s">
        <v>0</v>
      </c>
      <c r="I19316" s="2">
        <v>0</v>
      </c>
      <c r="J19316" s="1">
        <v>45939.461574074077</v>
      </c>
    </row>
    <row r="19317" spans="1:10" x14ac:dyDescent="0.2">
      <c r="A19317" s="4" t="s">
        <v>1</v>
      </c>
      <c r="B193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17" s="3" t="str">
        <f>HYPERLINK("https://otsuka-europe-crm.veevavault.com/ui/#object/sent_email__v/VBLZ025E82HG2Q5", "SE-000285351")</f>
        <v>SE-000285351</v>
      </c>
      <c r="D19317" s="1" t="s">
        <v>0</v>
      </c>
      <c r="E19317" s="2">
        <v>0</v>
      </c>
      <c r="F19317" s="2">
        <v>0</v>
      </c>
      <c r="G19317" s="2">
        <v>0</v>
      </c>
      <c r="H19317" s="1" t="s">
        <v>0</v>
      </c>
      <c r="I19317" s="2">
        <v>0</v>
      </c>
      <c r="J19317" s="1">
        <v>45939.461886574078</v>
      </c>
    </row>
    <row r="19318" spans="1:10" x14ac:dyDescent="0.2">
      <c r="A19318" s="4" t="s">
        <v>1</v>
      </c>
      <c r="B193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18" s="3" t="str">
        <f>HYPERLINK("https://otsuka-europe-crm.veevavault.com/ui/#object/sent_email__v/VBLZ025E82HG19F", "SE-000285352")</f>
        <v>SE-000285352</v>
      </c>
      <c r="D19318" s="1">
        <v>45940.283020833333</v>
      </c>
      <c r="E19318" s="2">
        <v>1</v>
      </c>
      <c r="F19318" s="2">
        <v>3</v>
      </c>
      <c r="G19318" s="2">
        <v>0</v>
      </c>
      <c r="H19318" s="1" t="s">
        <v>0</v>
      </c>
      <c r="I19318" s="2">
        <v>0</v>
      </c>
      <c r="J19318" s="1">
        <v>45939.462106481478</v>
      </c>
    </row>
    <row r="19319" spans="1:10" x14ac:dyDescent="0.2">
      <c r="A19319" s="4" t="s">
        <v>1</v>
      </c>
      <c r="B193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19" s="3" t="str">
        <f>HYPERLINK("https://otsuka-europe-crm.veevavault.com/ui/#object/sent_email__v/VBLZ025E82HG341", "SE-000285353")</f>
        <v>SE-000285353</v>
      </c>
      <c r="D19319" s="1" t="s">
        <v>0</v>
      </c>
      <c r="E19319" s="2">
        <v>0</v>
      </c>
      <c r="F19319" s="2">
        <v>0</v>
      </c>
      <c r="G19319" s="2">
        <v>0</v>
      </c>
      <c r="H19319" s="1" t="s">
        <v>0</v>
      </c>
      <c r="I19319" s="2">
        <v>0</v>
      </c>
      <c r="J19319" s="1">
        <v>45939.462326388886</v>
      </c>
    </row>
    <row r="19320" spans="1:10" x14ac:dyDescent="0.2">
      <c r="A19320" s="4" t="s">
        <v>1</v>
      </c>
      <c r="B193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20" s="3" t="str">
        <f>HYPERLINK("https://otsuka-europe-crm.veevavault.com/ui/#object/sent_email__v/VBLZ025E82HG36T", "SE-000285354")</f>
        <v>SE-000285354</v>
      </c>
      <c r="D19320" s="1" t="s">
        <v>0</v>
      </c>
      <c r="E19320" s="2">
        <v>0</v>
      </c>
      <c r="F19320" s="2">
        <v>0</v>
      </c>
      <c r="G19320" s="2">
        <v>0</v>
      </c>
      <c r="H19320" s="1" t="s">
        <v>0</v>
      </c>
      <c r="I19320" s="2">
        <v>0</v>
      </c>
      <c r="J19320" s="1">
        <v>45939.462523148148</v>
      </c>
    </row>
    <row r="19321" spans="1:10" x14ac:dyDescent="0.2">
      <c r="A19321" s="4" t="s">
        <v>1</v>
      </c>
      <c r="B193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21" s="3" t="str">
        <f>HYPERLINK("https://otsuka-europe-crm.veevavault.com/ui/#object/sent_email__v/VBLZ025E82HG3CD", "SE-000285355")</f>
        <v>SE-000285355</v>
      </c>
      <c r="D19321" s="1" t="s">
        <v>0</v>
      </c>
      <c r="E19321" s="2">
        <v>0</v>
      </c>
      <c r="F19321" s="2">
        <v>0</v>
      </c>
      <c r="G19321" s="2">
        <v>0</v>
      </c>
      <c r="H19321" s="1" t="s">
        <v>0</v>
      </c>
      <c r="I19321" s="2">
        <v>0</v>
      </c>
      <c r="J19321" s="1">
        <v>45939.462650462963</v>
      </c>
    </row>
    <row r="19322" spans="1:10" x14ac:dyDescent="0.2">
      <c r="A19322" s="4" t="s">
        <v>1</v>
      </c>
      <c r="B193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22" s="3" t="str">
        <f>HYPERLINK("https://otsuka-europe-crm.veevavault.com/ui/#object/sent_email__v/VBLZ025E82HG3F5", "SE-000285356")</f>
        <v>SE-000285356</v>
      </c>
      <c r="D19322" s="1">
        <v>45960.746064814812</v>
      </c>
      <c r="E19322" s="2">
        <v>1</v>
      </c>
      <c r="F19322" s="2">
        <v>3</v>
      </c>
      <c r="G19322" s="2">
        <v>0</v>
      </c>
      <c r="H19322" s="1" t="s">
        <v>0</v>
      </c>
      <c r="I19322" s="2">
        <v>0</v>
      </c>
      <c r="J19322" s="1">
        <v>45939.462893518517</v>
      </c>
    </row>
    <row r="19323" spans="1:10" x14ac:dyDescent="0.2">
      <c r="A19323" s="4" t="s">
        <v>1</v>
      </c>
      <c r="B193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23" s="3" t="str">
        <f>HYPERLINK("https://otsuka-europe-crm.veevavault.com/ui/#object/sent_email__v/VBLZ025E82HG3HX", "SE-000285357")</f>
        <v>SE-000285357</v>
      </c>
      <c r="D19323" s="1" t="s">
        <v>0</v>
      </c>
      <c r="E19323" s="2">
        <v>0</v>
      </c>
      <c r="F19323" s="2">
        <v>0</v>
      </c>
      <c r="G19323" s="2">
        <v>0</v>
      </c>
      <c r="H19323" s="1" t="s">
        <v>0</v>
      </c>
      <c r="I19323" s="2">
        <v>0</v>
      </c>
      <c r="J19323" s="1">
        <v>45939.463078703702</v>
      </c>
    </row>
    <row r="19324" spans="1:10" x14ac:dyDescent="0.2">
      <c r="A19324" s="4" t="s">
        <v>1</v>
      </c>
      <c r="B193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24" s="3" t="str">
        <f>HYPERLINK("https://otsuka-europe-crm.veevavault.com/ui/#object/sent_email__v/VBLZ025E82HG3KP", "SE-000285358")</f>
        <v>SE-000285358</v>
      </c>
      <c r="D19324" s="1" t="s">
        <v>0</v>
      </c>
      <c r="E19324" s="2">
        <v>0</v>
      </c>
      <c r="F19324" s="2">
        <v>0</v>
      </c>
      <c r="G19324" s="2">
        <v>0</v>
      </c>
      <c r="H19324" s="1" t="s">
        <v>0</v>
      </c>
      <c r="I19324" s="2">
        <v>0</v>
      </c>
      <c r="J19324" s="1">
        <v>45939.463263888887</v>
      </c>
    </row>
    <row r="19325" spans="1:10" x14ac:dyDescent="0.2">
      <c r="A19325" s="4" t="s">
        <v>1</v>
      </c>
      <c r="B193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25" s="3" t="str">
        <f>HYPERLINK("https://otsuka-europe-crm.veevavault.com/ui/#object/sent_email__v/VBLZ025E82HG3NH", "SE-000285359")</f>
        <v>SE-000285359</v>
      </c>
      <c r="D19325" s="1" t="s">
        <v>0</v>
      </c>
      <c r="E19325" s="2">
        <v>0</v>
      </c>
      <c r="F19325" s="2">
        <v>0</v>
      </c>
      <c r="G19325" s="2">
        <v>0</v>
      </c>
      <c r="H19325" s="1" t="s">
        <v>0</v>
      </c>
      <c r="I19325" s="2">
        <v>0</v>
      </c>
      <c r="J19325" s="1">
        <v>45939.463576388887</v>
      </c>
    </row>
    <row r="19326" spans="1:10" x14ac:dyDescent="0.2">
      <c r="A19326" s="4" t="s">
        <v>1</v>
      </c>
      <c r="B193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26" s="3" t="str">
        <f>HYPERLINK("https://otsuka-europe-crm.veevavault.com/ui/#object/sent_email__v/VBLZ025E82HFVJU", "SE-000285360")</f>
        <v>SE-000285360</v>
      </c>
      <c r="D19326" s="1">
        <v>45939.4844212963</v>
      </c>
      <c r="E19326" s="2">
        <v>1</v>
      </c>
      <c r="F19326" s="2">
        <v>1</v>
      </c>
      <c r="G19326" s="2">
        <v>0</v>
      </c>
      <c r="H19326" s="1" t="s">
        <v>0</v>
      </c>
      <c r="I19326" s="2">
        <v>0</v>
      </c>
      <c r="J19326" s="1">
        <v>45939.464039351849</v>
      </c>
    </row>
    <row r="19327" spans="1:10" x14ac:dyDescent="0.2">
      <c r="A19327" s="4" t="s">
        <v>1</v>
      </c>
      <c r="B193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27" s="3" t="str">
        <f>HYPERLINK("https://otsuka-europe-crm.veevavault.com/ui/#object/sent_email__v/VBLZ025E82HG3Q9", "SE-000285361")</f>
        <v>SE-000285361</v>
      </c>
      <c r="D19327" s="1" t="s">
        <v>0</v>
      </c>
      <c r="E19327" s="2">
        <v>0</v>
      </c>
      <c r="F19327" s="2">
        <v>0</v>
      </c>
      <c r="G19327" s="2">
        <v>0</v>
      </c>
      <c r="H19327" s="1" t="s">
        <v>0</v>
      </c>
      <c r="I19327" s="2">
        <v>0</v>
      </c>
      <c r="J19327" s="1">
        <v>45939.464201388888</v>
      </c>
    </row>
    <row r="19328" spans="1:10" x14ac:dyDescent="0.2">
      <c r="A19328" s="4" t="s">
        <v>1</v>
      </c>
      <c r="B193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28" s="3" t="str">
        <f>HYPERLINK("https://otsuka-europe-crm.veevavault.com/ui/#object/sent_email__v/VBLZ025E82HG3T1", "SE-000285362")</f>
        <v>SE-000285362</v>
      </c>
      <c r="D19328" s="1" t="s">
        <v>0</v>
      </c>
      <c r="E19328" s="2">
        <v>0</v>
      </c>
      <c r="F19328" s="2">
        <v>0</v>
      </c>
      <c r="G19328" s="2">
        <v>0</v>
      </c>
      <c r="H19328" s="1" t="s">
        <v>0</v>
      </c>
      <c r="I19328" s="2">
        <v>0</v>
      </c>
      <c r="J19328" s="1">
        <v>45939.464745370373</v>
      </c>
    </row>
    <row r="19329" spans="1:10" x14ac:dyDescent="0.2">
      <c r="A19329" s="4" t="s">
        <v>1</v>
      </c>
      <c r="B193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29" s="3" t="str">
        <f>HYPERLINK("https://otsuka-europe-crm.veevavault.com/ui/#object/sent_email__v/VBLZ025E82HG3YL", "SE-000285363")</f>
        <v>SE-000285363</v>
      </c>
      <c r="D19329" s="1">
        <v>45940.950370370374</v>
      </c>
      <c r="E19329" s="2">
        <v>1</v>
      </c>
      <c r="F19329" s="2">
        <v>2</v>
      </c>
      <c r="G19329" s="2">
        <v>0</v>
      </c>
      <c r="H19329" s="1" t="s">
        <v>0</v>
      </c>
      <c r="I19329" s="2">
        <v>0</v>
      </c>
      <c r="J19329" s="1">
        <v>45939.464884259258</v>
      </c>
    </row>
    <row r="19330" spans="1:10" x14ac:dyDescent="0.2">
      <c r="A19330" s="4" t="s">
        <v>1</v>
      </c>
      <c r="B193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30" s="3" t="str">
        <f>HYPERLINK("https://otsuka-europe-crm.veevavault.com/ui/#object/sent_email__v/VBLZ025E82HG1KI", "SE-000285364")</f>
        <v>SE-000285364</v>
      </c>
      <c r="D19330" s="1">
        <v>45939.559976851851</v>
      </c>
      <c r="E19330" s="2">
        <v>1</v>
      </c>
      <c r="F19330" s="2">
        <v>1</v>
      </c>
      <c r="G19330" s="2">
        <v>0</v>
      </c>
      <c r="H19330" s="1" t="s">
        <v>0</v>
      </c>
      <c r="I19330" s="2">
        <v>0</v>
      </c>
      <c r="J19330" s="1">
        <v>45939.465069444443</v>
      </c>
    </row>
    <row r="19331" spans="1:10" x14ac:dyDescent="0.2">
      <c r="A19331" s="4" t="s">
        <v>1</v>
      </c>
      <c r="B193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31" s="3" t="str">
        <f>HYPERLINK("https://otsuka-europe-crm.veevavault.com/ui/#object/sent_email__v/VBLZ025E82HG41D", "SE-000285365")</f>
        <v>SE-000285365</v>
      </c>
      <c r="D19331" s="1">
        <v>45939.55982638889</v>
      </c>
      <c r="E19331" s="2">
        <v>1</v>
      </c>
      <c r="F19331" s="2">
        <v>1</v>
      </c>
      <c r="G19331" s="2">
        <v>0</v>
      </c>
      <c r="H19331" s="1" t="s">
        <v>0</v>
      </c>
      <c r="I19331" s="2">
        <v>0</v>
      </c>
      <c r="J19331" s="1">
        <v>45939.465300925927</v>
      </c>
    </row>
    <row r="19332" spans="1:10" x14ac:dyDescent="0.2">
      <c r="A19332" s="4" t="s">
        <v>1</v>
      </c>
      <c r="B193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32" s="3" t="str">
        <f>HYPERLINK("https://otsuka-europe-crm.veevavault.com/ui/#object/sent_email__v/VBLZ025E82HG49P", "SE-000285366")</f>
        <v>SE-000285366</v>
      </c>
      <c r="D19332" s="1">
        <v>45962.6950462963</v>
      </c>
      <c r="E19332" s="2">
        <v>1</v>
      </c>
      <c r="F19332" s="2">
        <v>6</v>
      </c>
      <c r="G19332" s="2">
        <v>0</v>
      </c>
      <c r="H19332" s="1" t="s">
        <v>0</v>
      </c>
      <c r="I19332" s="2">
        <v>0</v>
      </c>
      <c r="J19332" s="1">
        <v>45939.465520833335</v>
      </c>
    </row>
    <row r="19333" spans="1:10" x14ac:dyDescent="0.2">
      <c r="A19333" s="4" t="s">
        <v>1</v>
      </c>
      <c r="B193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33" s="3" t="str">
        <f>HYPERLINK("https://otsuka-europe-crm.veevavault.com/ui/#object/sent_email__v/VBLZ025E82HG4F9", "SE-000285367")</f>
        <v>SE-000285367</v>
      </c>
      <c r="D19333" s="1" t="s">
        <v>0</v>
      </c>
      <c r="E19333" s="2">
        <v>0</v>
      </c>
      <c r="F19333" s="2">
        <v>0</v>
      </c>
      <c r="G19333" s="2">
        <v>0</v>
      </c>
      <c r="H19333" s="1" t="s">
        <v>0</v>
      </c>
      <c r="I19333" s="2">
        <v>0</v>
      </c>
      <c r="J19333" s="1">
        <v>45939.465891203705</v>
      </c>
    </row>
    <row r="19334" spans="1:10" x14ac:dyDescent="0.2">
      <c r="A19334" s="4" t="s">
        <v>1</v>
      </c>
      <c r="B193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34" s="3" t="str">
        <f>HYPERLINK("https://otsuka-europe-crm.veevavault.com/ui/#object/sent_email__v/VBLZ025E82HG675", "SE-000285371")</f>
        <v>SE-000285371</v>
      </c>
      <c r="D19334" s="1">
        <v>45939.972534722219</v>
      </c>
      <c r="E19334" s="2">
        <v>1</v>
      </c>
      <c r="F19334" s="2">
        <v>2</v>
      </c>
      <c r="G19334" s="2">
        <v>0</v>
      </c>
      <c r="H19334" s="1" t="s">
        <v>0</v>
      </c>
      <c r="I19334" s="2">
        <v>0</v>
      </c>
      <c r="J19334" s="1">
        <v>45939.481041666666</v>
      </c>
    </row>
    <row r="19335" spans="1:10" x14ac:dyDescent="0.2">
      <c r="A19335" s="4" t="s">
        <v>1</v>
      </c>
      <c r="B193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35" s="3" t="str">
        <f>HYPERLINK("https://otsuka-europe-crm.veevavault.com/ui/#object/sent_email__v/VBLZ025E82HG69Y", "SE-000285372")</f>
        <v>SE-000285372</v>
      </c>
      <c r="D19335" s="1" t="s">
        <v>0</v>
      </c>
      <c r="E19335" s="2">
        <v>0</v>
      </c>
      <c r="F19335" s="2">
        <v>0</v>
      </c>
      <c r="G19335" s="2">
        <v>0</v>
      </c>
      <c r="H19335" s="1" t="s">
        <v>0</v>
      </c>
      <c r="I19335" s="2">
        <v>0</v>
      </c>
      <c r="J19335" s="1">
        <v>45939.486620370371</v>
      </c>
    </row>
    <row r="19336" spans="1:10" x14ac:dyDescent="0.2">
      <c r="A19336" s="4" t="s">
        <v>1</v>
      </c>
      <c r="B193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36" s="3" t="str">
        <f>HYPERLINK("https://otsuka-europe-crm.veevavault.com/ui/#object/sent_email__v/VBLZ025E82HG779", "SE-000285374")</f>
        <v>SE-000285374</v>
      </c>
      <c r="D19336" s="1">
        <v>45939.901122685187</v>
      </c>
      <c r="E19336" s="2">
        <v>1</v>
      </c>
      <c r="F19336" s="2">
        <v>1</v>
      </c>
      <c r="G19336" s="2">
        <v>0</v>
      </c>
      <c r="H19336" s="1" t="s">
        <v>0</v>
      </c>
      <c r="I19336" s="2">
        <v>0</v>
      </c>
      <c r="J19336" s="1">
        <v>45939.490949074076</v>
      </c>
    </row>
    <row r="19337" spans="1:10" x14ac:dyDescent="0.2">
      <c r="A19337" s="4" t="s">
        <v>1</v>
      </c>
      <c r="B193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37" s="3" t="str">
        <f>HYPERLINK("https://otsuka-europe-crm.veevavault.com/ui/#object/sent_email__v/VBLZ025E82HG7A1", "SE-000285375")</f>
        <v>SE-000285375</v>
      </c>
      <c r="D19337" s="1">
        <v>45944.709687499999</v>
      </c>
      <c r="E19337" s="2">
        <v>1</v>
      </c>
      <c r="F19337" s="2">
        <v>1</v>
      </c>
      <c r="G19337" s="2">
        <v>0</v>
      </c>
      <c r="H19337" s="1" t="s">
        <v>0</v>
      </c>
      <c r="I19337" s="2">
        <v>0</v>
      </c>
      <c r="J19337" s="1">
        <v>45939.491481481484</v>
      </c>
    </row>
    <row r="19338" spans="1:10" x14ac:dyDescent="0.2">
      <c r="A19338" s="4" t="s">
        <v>1</v>
      </c>
      <c r="B193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38" s="3" t="str">
        <f>HYPERLINK("https://otsuka-europe-crm.veevavault.com/ui/#object/sent_email__v/VBLZ025E82HG7NX", "SE-000285380")</f>
        <v>SE-000285380</v>
      </c>
      <c r="D19338" s="1">
        <v>45939.52621527778</v>
      </c>
      <c r="E19338" s="2">
        <v>1</v>
      </c>
      <c r="F19338" s="2">
        <v>2</v>
      </c>
      <c r="G19338" s="2">
        <v>0</v>
      </c>
      <c r="H19338" s="1" t="s">
        <v>0</v>
      </c>
      <c r="I19338" s="2">
        <v>0</v>
      </c>
      <c r="J19338" s="1">
        <v>45939.492800925924</v>
      </c>
    </row>
    <row r="19339" spans="1:10" x14ac:dyDescent="0.2">
      <c r="A19339" s="4" t="s">
        <v>1</v>
      </c>
      <c r="B193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39" s="3" t="str">
        <f>HYPERLINK("https://otsuka-europe-crm.veevavault.com/ui/#object/sent_email__v/VBLZ025E82HG7TH", "SE-000285381")</f>
        <v>SE-000285381</v>
      </c>
      <c r="D19339" s="1" t="s">
        <v>0</v>
      </c>
      <c r="E19339" s="2">
        <v>0</v>
      </c>
      <c r="F19339" s="2">
        <v>0</v>
      </c>
      <c r="G19339" s="2">
        <v>0</v>
      </c>
      <c r="H19339" s="1" t="s">
        <v>0</v>
      </c>
      <c r="I19339" s="2">
        <v>0</v>
      </c>
      <c r="J19339" s="1">
        <v>45939.493125000001</v>
      </c>
    </row>
    <row r="19340" spans="1:10" x14ac:dyDescent="0.2">
      <c r="A19340" s="4" t="s">
        <v>1</v>
      </c>
      <c r="B193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40" s="3" t="str">
        <f>HYPERLINK("https://otsuka-europe-crm.veevavault.com/ui/#object/sent_email__v/VBLZ025E82HG7W9", "SE-000285382")</f>
        <v>SE-000285382</v>
      </c>
      <c r="D19340" s="1">
        <v>45939.685891203706</v>
      </c>
      <c r="E19340" s="2">
        <v>1</v>
      </c>
      <c r="F19340" s="2">
        <v>1</v>
      </c>
      <c r="G19340" s="2">
        <v>0</v>
      </c>
      <c r="H19340" s="1" t="s">
        <v>0</v>
      </c>
      <c r="I19340" s="2">
        <v>0</v>
      </c>
      <c r="J19340" s="1">
        <v>45939.493483796294</v>
      </c>
    </row>
    <row r="19341" spans="1:10" x14ac:dyDescent="0.2">
      <c r="A19341" s="4" t="s">
        <v>1</v>
      </c>
      <c r="B193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41" s="3" t="str">
        <f>HYPERLINK("https://otsuka-europe-crm.veevavault.com/ui/#object/sent_email__v/VBLZ025E82HG87D", "SE-000285386")</f>
        <v>SE-000285386</v>
      </c>
      <c r="D19341" s="1" t="s">
        <v>0</v>
      </c>
      <c r="E19341" s="2">
        <v>0</v>
      </c>
      <c r="F19341" s="2">
        <v>0</v>
      </c>
      <c r="G19341" s="2">
        <v>0</v>
      </c>
      <c r="H19341" s="1" t="s">
        <v>0</v>
      </c>
      <c r="I19341" s="2">
        <v>0</v>
      </c>
      <c r="J19341" s="1">
        <v>45939.493958333333</v>
      </c>
    </row>
    <row r="19342" spans="1:10" x14ac:dyDescent="0.2">
      <c r="A19342" s="4" t="s">
        <v>1</v>
      </c>
      <c r="B193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42" s="3" t="str">
        <f>HYPERLINK("https://otsuka-europe-crm.veevavault.com/ui/#object/sent_email__v/VBLZ025E82HG8IH", "SE-000285387")</f>
        <v>SE-000285387</v>
      </c>
      <c r="D19342" s="1" t="s">
        <v>0</v>
      </c>
      <c r="E19342" s="2">
        <v>0</v>
      </c>
      <c r="F19342" s="2">
        <v>0</v>
      </c>
      <c r="G19342" s="2">
        <v>0</v>
      </c>
      <c r="H19342" s="1" t="s">
        <v>0</v>
      </c>
      <c r="I19342" s="2">
        <v>0</v>
      </c>
      <c r="J19342" s="1">
        <v>45939.496423611112</v>
      </c>
    </row>
    <row r="19343" spans="1:10" x14ac:dyDescent="0.2">
      <c r="A19343" s="4" t="s">
        <v>1</v>
      </c>
      <c r="B193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43" s="3" t="str">
        <f>HYPERLINK("https://otsuka-europe-crm.veevavault.com/ui/#object/sent_email__v/VBLZ025E82HG8O1", "SE-000285388")</f>
        <v>SE-000285388</v>
      </c>
      <c r="D19343" s="1" t="s">
        <v>0</v>
      </c>
      <c r="E19343" s="2">
        <v>0</v>
      </c>
      <c r="F19343" s="2">
        <v>0</v>
      </c>
      <c r="G19343" s="2">
        <v>0</v>
      </c>
      <c r="H19343" s="1" t="s">
        <v>0</v>
      </c>
      <c r="I19343" s="2">
        <v>0</v>
      </c>
      <c r="J19343" s="1">
        <v>45939.496979166666</v>
      </c>
    </row>
    <row r="19344" spans="1:10" x14ac:dyDescent="0.2">
      <c r="A19344" s="4" t="s">
        <v>1</v>
      </c>
      <c r="B193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44" s="3" t="str">
        <f>HYPERLINK("https://otsuka-europe-crm.veevavault.com/ui/#object/sent_email__v/VBLZ025E82HG8WD", "SE-000285391")</f>
        <v>SE-000285391</v>
      </c>
      <c r="D19344" s="1" t="s">
        <v>0</v>
      </c>
      <c r="E19344" s="2">
        <v>0</v>
      </c>
      <c r="F19344" s="2">
        <v>0</v>
      </c>
      <c r="G19344" s="2">
        <v>0</v>
      </c>
      <c r="H19344" s="1" t="s">
        <v>0</v>
      </c>
      <c r="I19344" s="2">
        <v>0</v>
      </c>
      <c r="J19344" s="1">
        <v>45939.497349537036</v>
      </c>
    </row>
    <row r="19345" spans="1:10" x14ac:dyDescent="0.2">
      <c r="A19345" s="4" t="s">
        <v>1</v>
      </c>
      <c r="B193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45" s="3" t="str">
        <f>HYPERLINK("https://otsuka-europe-crm.veevavault.com/ui/#object/sent_email__v/VBLZ025E82HG97H", "SE-000285392")</f>
        <v>SE-000285392</v>
      </c>
      <c r="D19345" s="1">
        <v>45940.241539351853</v>
      </c>
      <c r="E19345" s="2">
        <v>1</v>
      </c>
      <c r="F19345" s="2">
        <v>2</v>
      </c>
      <c r="G19345" s="2">
        <v>0</v>
      </c>
      <c r="H19345" s="1" t="s">
        <v>0</v>
      </c>
      <c r="I19345" s="2">
        <v>0</v>
      </c>
      <c r="J19345" s="1">
        <v>45939.49927083333</v>
      </c>
    </row>
    <row r="19346" spans="1:10" x14ac:dyDescent="0.2">
      <c r="A19346" s="4" t="s">
        <v>1</v>
      </c>
      <c r="B193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46" s="3" t="str">
        <f>HYPERLINK("https://otsuka-europe-crm.veevavault.com/ui/#object/sent_email__v/VBLZ025E82HGLXT", "SE-000285411")</f>
        <v>SE-000285411</v>
      </c>
      <c r="D19346" s="1" t="s">
        <v>0</v>
      </c>
      <c r="E19346" s="2">
        <v>0</v>
      </c>
      <c r="F19346" s="2">
        <v>0</v>
      </c>
      <c r="G19346" s="2">
        <v>0</v>
      </c>
      <c r="H19346" s="1" t="s">
        <v>0</v>
      </c>
      <c r="I19346" s="2">
        <v>0</v>
      </c>
      <c r="J19346" s="1">
        <v>45939.647083333337</v>
      </c>
    </row>
    <row r="19347" spans="1:10" x14ac:dyDescent="0.2">
      <c r="A19347" s="4" t="s">
        <v>1</v>
      </c>
      <c r="B193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47" s="3" t="str">
        <f>HYPERLINK("https://otsuka-europe-crm.veevavault.com/ui/#object/sent_email__v/VBLZ025E82HGLXU", "SE-000285412")</f>
        <v>SE-000285412</v>
      </c>
      <c r="D19347" s="1" t="s">
        <v>0</v>
      </c>
      <c r="E19347" s="2">
        <v>0</v>
      </c>
      <c r="F19347" s="2">
        <v>0</v>
      </c>
      <c r="G19347" s="2">
        <v>0</v>
      </c>
      <c r="H19347" s="1" t="s">
        <v>0</v>
      </c>
      <c r="I19347" s="2">
        <v>0</v>
      </c>
      <c r="J19347" s="1">
        <v>45939.647083333337</v>
      </c>
    </row>
    <row r="19348" spans="1:10" x14ac:dyDescent="0.2">
      <c r="A19348" s="4" t="s">
        <v>1</v>
      </c>
      <c r="B193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48" s="3" t="str">
        <f>HYPERLINK("https://otsuka-europe-crm.veevavault.com/ui/#object/sent_email__v/VBLZ025E82HGLXV", "SE-000285413")</f>
        <v>SE-000285413</v>
      </c>
      <c r="D19348" s="1" t="s">
        <v>0</v>
      </c>
      <c r="E19348" s="2">
        <v>0</v>
      </c>
      <c r="F19348" s="2">
        <v>0</v>
      </c>
      <c r="G19348" s="2">
        <v>0</v>
      </c>
      <c r="H19348" s="1" t="s">
        <v>0</v>
      </c>
      <c r="I19348" s="2">
        <v>0</v>
      </c>
      <c r="J19348" s="1">
        <v>45939.647106481483</v>
      </c>
    </row>
    <row r="19349" spans="1:10" x14ac:dyDescent="0.2">
      <c r="A19349" s="4" t="s">
        <v>1</v>
      </c>
      <c r="B193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49" s="3" t="str">
        <f>HYPERLINK("https://otsuka-europe-crm.veevavault.com/ui/#object/sent_email__v/VBLZ025E82HGLXW", "SE-000285414")</f>
        <v>SE-000285414</v>
      </c>
      <c r="D19349" s="1" t="s">
        <v>0</v>
      </c>
      <c r="E19349" s="2">
        <v>0</v>
      </c>
      <c r="F19349" s="2">
        <v>0</v>
      </c>
      <c r="G19349" s="2">
        <v>0</v>
      </c>
      <c r="H19349" s="1" t="s">
        <v>0</v>
      </c>
      <c r="I19349" s="2">
        <v>0</v>
      </c>
      <c r="J19349" s="1">
        <v>45939.647106481483</v>
      </c>
    </row>
    <row r="19350" spans="1:10" x14ac:dyDescent="0.2">
      <c r="A19350" s="4" t="s">
        <v>1</v>
      </c>
      <c r="B193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50" s="3" t="str">
        <f>HYPERLINK("https://otsuka-europe-crm.veevavault.com/ui/#object/sent_email__v/VBLZ025E82HGLXX", "SE-000285415")</f>
        <v>SE-000285415</v>
      </c>
      <c r="D19350" s="1" t="s">
        <v>0</v>
      </c>
      <c r="E19350" s="2">
        <v>0</v>
      </c>
      <c r="F19350" s="2">
        <v>0</v>
      </c>
      <c r="G19350" s="2">
        <v>0</v>
      </c>
      <c r="H19350" s="1" t="s">
        <v>0</v>
      </c>
      <c r="I19350" s="2">
        <v>0</v>
      </c>
      <c r="J19350" s="1">
        <v>45939.647106481483</v>
      </c>
    </row>
    <row r="19351" spans="1:10" x14ac:dyDescent="0.2">
      <c r="A19351" s="4" t="s">
        <v>1</v>
      </c>
      <c r="B193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51" s="3" t="str">
        <f>HYPERLINK("https://otsuka-europe-crm.veevavault.com/ui/#object/sent_email__v/VBLZ025E82HGLXY", "SE-000285416")</f>
        <v>SE-000285416</v>
      </c>
      <c r="D19351" s="1" t="s">
        <v>0</v>
      </c>
      <c r="E19351" s="2">
        <v>0</v>
      </c>
      <c r="F19351" s="2">
        <v>0</v>
      </c>
      <c r="G19351" s="2">
        <v>0</v>
      </c>
      <c r="H19351" s="1" t="s">
        <v>0</v>
      </c>
      <c r="I19351" s="2">
        <v>0</v>
      </c>
      <c r="J19351" s="1">
        <v>45939.647129629629</v>
      </c>
    </row>
    <row r="19352" spans="1:10" x14ac:dyDescent="0.2">
      <c r="A19352" s="4" t="s">
        <v>1</v>
      </c>
      <c r="B193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52" s="3" t="str">
        <f>HYPERLINK("https://otsuka-europe-crm.veevavault.com/ui/#object/sent_email__v/VBLZ025E82HGLXZ", "SE-000285417")</f>
        <v>SE-000285417</v>
      </c>
      <c r="D19352" s="1">
        <v>45939.663715277777</v>
      </c>
      <c r="E19352" s="2">
        <v>1</v>
      </c>
      <c r="F19352" s="2">
        <v>1</v>
      </c>
      <c r="G19352" s="2">
        <v>0</v>
      </c>
      <c r="H19352" s="1" t="s">
        <v>0</v>
      </c>
      <c r="I19352" s="2">
        <v>0</v>
      </c>
      <c r="J19352" s="1">
        <v>45939.647118055553</v>
      </c>
    </row>
    <row r="19353" spans="1:10" x14ac:dyDescent="0.2">
      <c r="A19353" s="4" t="s">
        <v>1</v>
      </c>
      <c r="B193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53" s="3" t="str">
        <f>HYPERLINK("https://otsuka-europe-crm.veevavault.com/ui/#object/sent_email__v/VBLZ025E82HGLY0", "SE-000285418")</f>
        <v>SE-000285418</v>
      </c>
      <c r="D19353" s="1">
        <v>45939.806828703702</v>
      </c>
      <c r="E19353" s="2">
        <v>1</v>
      </c>
      <c r="F19353" s="2">
        <v>1</v>
      </c>
      <c r="G19353" s="2">
        <v>0</v>
      </c>
      <c r="H19353" s="1" t="s">
        <v>0</v>
      </c>
      <c r="I19353" s="2">
        <v>0</v>
      </c>
      <c r="J19353" s="1">
        <v>45939.647141203706</v>
      </c>
    </row>
    <row r="19354" spans="1:10" x14ac:dyDescent="0.2">
      <c r="A19354" s="4" t="s">
        <v>1</v>
      </c>
      <c r="B193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54" s="3" t="str">
        <f>HYPERLINK("https://otsuka-europe-crm.veevavault.com/ui/#object/sent_email__v/VBLZ025E82HGLY1", "SE-000285419")</f>
        <v>SE-000285419</v>
      </c>
      <c r="D19354" s="1" t="s">
        <v>0</v>
      </c>
      <c r="E19354" s="2">
        <v>0</v>
      </c>
      <c r="F19354" s="2">
        <v>0</v>
      </c>
      <c r="G19354" s="2">
        <v>0</v>
      </c>
      <c r="H19354" s="1" t="s">
        <v>0</v>
      </c>
      <c r="I19354" s="2">
        <v>0</v>
      </c>
      <c r="J19354" s="1">
        <v>45939.647141203706</v>
      </c>
    </row>
    <row r="19355" spans="1:10" x14ac:dyDescent="0.2">
      <c r="A19355" s="4" t="s">
        <v>1</v>
      </c>
      <c r="B193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55" s="3" t="str">
        <f>HYPERLINK("https://otsuka-europe-crm.veevavault.com/ui/#object/sent_email__v/VBLZ025E82HGLY2", "SE-000285420")</f>
        <v>SE-000285420</v>
      </c>
      <c r="D19355" s="1" t="s">
        <v>0</v>
      </c>
      <c r="E19355" s="2">
        <v>0</v>
      </c>
      <c r="F19355" s="2">
        <v>0</v>
      </c>
      <c r="G19355" s="2">
        <v>0</v>
      </c>
      <c r="H19355" s="1" t="s">
        <v>0</v>
      </c>
      <c r="I19355" s="2">
        <v>0</v>
      </c>
      <c r="J19355" s="1">
        <v>45939.647175925929</v>
      </c>
    </row>
    <row r="19356" spans="1:10" x14ac:dyDescent="0.2">
      <c r="A19356" s="4" t="s">
        <v>1</v>
      </c>
      <c r="B193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56" s="3" t="str">
        <f>HYPERLINK("https://otsuka-europe-crm.veevavault.com/ui/#object/sent_email__v/VBLZ025E82HGLY3", "SE-000285421")</f>
        <v>SE-000285421</v>
      </c>
      <c r="D19356" s="1">
        <v>45943.361388888887</v>
      </c>
      <c r="E19356" s="2">
        <v>1</v>
      </c>
      <c r="F19356" s="2">
        <v>1</v>
      </c>
      <c r="G19356" s="2">
        <v>1</v>
      </c>
      <c r="H19356" s="1">
        <v>45943.361388888887</v>
      </c>
      <c r="I19356" s="2">
        <v>1</v>
      </c>
      <c r="J19356" s="1">
        <v>45939.647175925929</v>
      </c>
    </row>
    <row r="19357" spans="1:10" x14ac:dyDescent="0.2">
      <c r="A19357" s="4" t="s">
        <v>1</v>
      </c>
      <c r="B193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57" s="3" t="str">
        <f>HYPERLINK("https://otsuka-europe-crm.veevavault.com/ui/#object/sent_email__v/VBLZ025E82HGLY4", "SE-000285422")</f>
        <v>SE-000285422</v>
      </c>
      <c r="D19357" s="1" t="s">
        <v>0</v>
      </c>
      <c r="E19357" s="2">
        <v>0</v>
      </c>
      <c r="F19357" s="2">
        <v>0</v>
      </c>
      <c r="G19357" s="2">
        <v>0</v>
      </c>
      <c r="H19357" s="1" t="s">
        <v>0</v>
      </c>
      <c r="I19357" s="2">
        <v>0</v>
      </c>
      <c r="J19357" s="1">
        <v>45939.647187499999</v>
      </c>
    </row>
    <row r="19358" spans="1:10" x14ac:dyDescent="0.2">
      <c r="A19358" s="4" t="s">
        <v>1</v>
      </c>
      <c r="B193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58" s="3" t="str">
        <f>HYPERLINK("https://otsuka-europe-crm.veevavault.com/ui/#object/sent_email__v/VBLZ025E82HGLY5", "SE-000285423")</f>
        <v>SE-000285423</v>
      </c>
      <c r="D19358" s="1">
        <v>45939.650555555556</v>
      </c>
      <c r="E19358" s="2">
        <v>1</v>
      </c>
      <c r="F19358" s="2">
        <v>1</v>
      </c>
      <c r="G19358" s="2">
        <v>0</v>
      </c>
      <c r="H19358" s="1" t="s">
        <v>0</v>
      </c>
      <c r="I19358" s="2">
        <v>0</v>
      </c>
      <c r="J19358" s="1">
        <v>45939.647187499999</v>
      </c>
    </row>
    <row r="19359" spans="1:10" x14ac:dyDescent="0.2">
      <c r="A19359" s="4" t="s">
        <v>1</v>
      </c>
      <c r="B193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59" s="3" t="str">
        <f>HYPERLINK("https://otsuka-europe-crm.veevavault.com/ui/#object/sent_email__v/VBLZ025E82HGLY6", "SE-000285424")</f>
        <v>SE-000285424</v>
      </c>
      <c r="D19359" s="1">
        <v>45939.955081018517</v>
      </c>
      <c r="E19359" s="2">
        <v>1</v>
      </c>
      <c r="F19359" s="2">
        <v>1</v>
      </c>
      <c r="G19359" s="2">
        <v>0</v>
      </c>
      <c r="H19359" s="1" t="s">
        <v>0</v>
      </c>
      <c r="I19359" s="2">
        <v>0</v>
      </c>
      <c r="J19359" s="1">
        <v>45939.647187499999</v>
      </c>
    </row>
    <row r="19360" spans="1:10" x14ac:dyDescent="0.2">
      <c r="A19360" s="4" t="s">
        <v>1</v>
      </c>
      <c r="B193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60" s="3" t="str">
        <f>HYPERLINK("https://otsuka-europe-crm.veevavault.com/ui/#object/sent_email__v/VBLZ025E82HGLY7", "SE-000285425")</f>
        <v>SE-000285425</v>
      </c>
      <c r="D19360" s="1" t="s">
        <v>0</v>
      </c>
      <c r="E19360" s="2">
        <v>0</v>
      </c>
      <c r="F19360" s="2">
        <v>0</v>
      </c>
      <c r="G19360" s="2">
        <v>0</v>
      </c>
      <c r="H19360" s="1" t="s">
        <v>0</v>
      </c>
      <c r="I19360" s="2">
        <v>0</v>
      </c>
      <c r="J19360" s="1">
        <v>45939.647199074076</v>
      </c>
    </row>
    <row r="19361" spans="1:10" x14ac:dyDescent="0.2">
      <c r="A19361" s="4" t="s">
        <v>1</v>
      </c>
      <c r="B193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61" s="3" t="str">
        <f>HYPERLINK("https://otsuka-europe-crm.veevavault.com/ui/#object/sent_email__v/VBLZ025E82HGLY8", "SE-000285426")</f>
        <v>SE-000285426</v>
      </c>
      <c r="D19361" s="1" t="s">
        <v>0</v>
      </c>
      <c r="E19361" s="2">
        <v>0</v>
      </c>
      <c r="F19361" s="2">
        <v>0</v>
      </c>
      <c r="G19361" s="2">
        <v>0</v>
      </c>
      <c r="H19361" s="1" t="s">
        <v>0</v>
      </c>
      <c r="I19361" s="2">
        <v>0</v>
      </c>
      <c r="J19361" s="1">
        <v>45939.647210648145</v>
      </c>
    </row>
    <row r="19362" spans="1:10" x14ac:dyDescent="0.2">
      <c r="A19362" s="4" t="s">
        <v>1</v>
      </c>
      <c r="B193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62" s="3" t="str">
        <f>HYPERLINK("https://otsuka-europe-crm.veevavault.com/ui/#object/sent_email__v/VBLZ025E82HGLY9", "SE-000285427")</f>
        <v>SE-000285427</v>
      </c>
      <c r="D19362" s="1" t="s">
        <v>0</v>
      </c>
      <c r="E19362" s="2">
        <v>0</v>
      </c>
      <c r="F19362" s="2">
        <v>0</v>
      </c>
      <c r="G19362" s="2">
        <v>0</v>
      </c>
      <c r="H19362" s="1" t="s">
        <v>0</v>
      </c>
      <c r="I19362" s="2">
        <v>0</v>
      </c>
      <c r="J19362" s="1">
        <v>45939.647222222222</v>
      </c>
    </row>
    <row r="19363" spans="1:10" x14ac:dyDescent="0.2">
      <c r="A19363" s="4" t="s">
        <v>1</v>
      </c>
      <c r="B193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63" s="3" t="str">
        <f>HYPERLINK("https://otsuka-europe-crm.veevavault.com/ui/#object/sent_email__v/VBLZ025E82HGLYA", "SE-000285428")</f>
        <v>SE-000285428</v>
      </c>
      <c r="D19363" s="1" t="s">
        <v>0</v>
      </c>
      <c r="E19363" s="2">
        <v>0</v>
      </c>
      <c r="F19363" s="2">
        <v>0</v>
      </c>
      <c r="G19363" s="2">
        <v>0</v>
      </c>
      <c r="H19363" s="1" t="s">
        <v>0</v>
      </c>
      <c r="I19363" s="2">
        <v>0</v>
      </c>
      <c r="J19363" s="1">
        <v>45939.647233796299</v>
      </c>
    </row>
    <row r="19364" spans="1:10" x14ac:dyDescent="0.2">
      <c r="A19364" s="4" t="s">
        <v>1</v>
      </c>
      <c r="B193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64" s="3" t="str">
        <f>HYPERLINK("https://otsuka-europe-crm.veevavault.com/ui/#object/sent_email__v/VBLZ025E82HGLYB", "SE-000285429")</f>
        <v>SE-000285429</v>
      </c>
      <c r="D19364" s="1" t="s">
        <v>0</v>
      </c>
      <c r="E19364" s="2">
        <v>0</v>
      </c>
      <c r="F19364" s="2">
        <v>0</v>
      </c>
      <c r="G19364" s="2">
        <v>0</v>
      </c>
      <c r="H19364" s="1" t="s">
        <v>0</v>
      </c>
      <c r="I19364" s="2">
        <v>0</v>
      </c>
      <c r="J19364" s="1">
        <v>45939.647245370368</v>
      </c>
    </row>
    <row r="19365" spans="1:10" x14ac:dyDescent="0.2">
      <c r="A19365" s="4" t="s">
        <v>1</v>
      </c>
      <c r="B193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65" s="3" t="str">
        <f>HYPERLINK("https://otsuka-europe-crm.veevavault.com/ui/#object/sent_email__v/VBLZ025E82HGLYC", "SE-000285430")</f>
        <v>SE-000285430</v>
      </c>
      <c r="D19365" s="1" t="s">
        <v>0</v>
      </c>
      <c r="E19365" s="2">
        <v>0</v>
      </c>
      <c r="F19365" s="2">
        <v>0</v>
      </c>
      <c r="G19365" s="2">
        <v>0</v>
      </c>
      <c r="H19365" s="1" t="s">
        <v>0</v>
      </c>
      <c r="I19365" s="2">
        <v>0</v>
      </c>
      <c r="J19365" s="1">
        <v>45939.647245370368</v>
      </c>
    </row>
    <row r="19366" spans="1:10" x14ac:dyDescent="0.2">
      <c r="A19366" s="4" t="s">
        <v>1</v>
      </c>
      <c r="B193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66" s="3" t="str">
        <f>HYPERLINK("https://otsuka-europe-crm.veevavault.com/ui/#object/sent_email__v/VBLZ025E82HGLYD", "SE-000285431")</f>
        <v>SE-000285431</v>
      </c>
      <c r="D19366" s="1" t="s">
        <v>0</v>
      </c>
      <c r="E19366" s="2">
        <v>0</v>
      </c>
      <c r="F19366" s="2">
        <v>0</v>
      </c>
      <c r="G19366" s="2">
        <v>0</v>
      </c>
      <c r="H19366" s="1" t="s">
        <v>0</v>
      </c>
      <c r="I19366" s="2">
        <v>0</v>
      </c>
      <c r="J19366" s="1">
        <v>45939.647256944445</v>
      </c>
    </row>
    <row r="19367" spans="1:10" x14ac:dyDescent="0.2">
      <c r="A19367" s="4" t="s">
        <v>1</v>
      </c>
      <c r="B193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67" s="3" t="str">
        <f>HYPERLINK("https://otsuka-europe-crm.veevavault.com/ui/#object/sent_email__v/VBLZ025E82HGLYE", "SE-000285432")</f>
        <v>SE-000285432</v>
      </c>
      <c r="D19367" s="1" t="s">
        <v>0</v>
      </c>
      <c r="E19367" s="2">
        <v>0</v>
      </c>
      <c r="F19367" s="2">
        <v>0</v>
      </c>
      <c r="G19367" s="2">
        <v>0</v>
      </c>
      <c r="H19367" s="1" t="s">
        <v>0</v>
      </c>
      <c r="I19367" s="2">
        <v>0</v>
      </c>
      <c r="J19367" s="1">
        <v>45939.647268518522</v>
      </c>
    </row>
    <row r="19368" spans="1:10" x14ac:dyDescent="0.2">
      <c r="A19368" s="4" t="s">
        <v>1</v>
      </c>
      <c r="B193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68" s="3" t="str">
        <f>HYPERLINK("https://otsuka-europe-crm.veevavault.com/ui/#object/sent_email__v/VBLZ025E82HGLYF", "SE-000285433")</f>
        <v>SE-000285433</v>
      </c>
      <c r="D19368" s="1">
        <v>45939.740902777776</v>
      </c>
      <c r="E19368" s="2">
        <v>1</v>
      </c>
      <c r="F19368" s="2">
        <v>1</v>
      </c>
      <c r="G19368" s="2">
        <v>0</v>
      </c>
      <c r="H19368" s="1" t="s">
        <v>0</v>
      </c>
      <c r="I19368" s="2">
        <v>0</v>
      </c>
      <c r="J19368" s="1">
        <v>45939.647280092591</v>
      </c>
    </row>
    <row r="19369" spans="1:10" x14ac:dyDescent="0.2">
      <c r="A19369" s="4" t="s">
        <v>1</v>
      </c>
      <c r="B193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69" s="3" t="str">
        <f>HYPERLINK("https://otsuka-europe-crm.veevavault.com/ui/#object/sent_email__v/VBLZ025E82HGLYG", "SE-000285434")</f>
        <v>SE-000285434</v>
      </c>
      <c r="D19369" s="1" t="s">
        <v>0</v>
      </c>
      <c r="E19369" s="2">
        <v>0</v>
      </c>
      <c r="F19369" s="2">
        <v>0</v>
      </c>
      <c r="G19369" s="2">
        <v>0</v>
      </c>
      <c r="H19369" s="1" t="s">
        <v>0</v>
      </c>
      <c r="I19369" s="2">
        <v>0</v>
      </c>
      <c r="J19369" s="1">
        <v>45939.647291666668</v>
      </c>
    </row>
    <row r="19370" spans="1:10" x14ac:dyDescent="0.2">
      <c r="A19370" s="4" t="s">
        <v>1</v>
      </c>
      <c r="B193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70" s="3" t="str">
        <f>HYPERLINK("https://otsuka-europe-crm.veevavault.com/ui/#object/sent_email__v/VBLZ025E82HGLYH", "SE-000285435")</f>
        <v>SE-000285435</v>
      </c>
      <c r="D19370" s="1">
        <v>45939.689629629633</v>
      </c>
      <c r="E19370" s="2">
        <v>1</v>
      </c>
      <c r="F19370" s="2">
        <v>2</v>
      </c>
      <c r="G19370" s="2">
        <v>0</v>
      </c>
      <c r="H19370" s="1" t="s">
        <v>0</v>
      </c>
      <c r="I19370" s="2">
        <v>0</v>
      </c>
      <c r="J19370" s="1">
        <v>45939.647303240738</v>
      </c>
    </row>
    <row r="19371" spans="1:10" x14ac:dyDescent="0.2">
      <c r="A19371" s="4" t="s">
        <v>1</v>
      </c>
      <c r="B193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71" s="3" t="str">
        <f>HYPERLINK("https://otsuka-europe-crm.veevavault.com/ui/#object/sent_email__v/VBLZ025E82HGLYI", "SE-000285436")</f>
        <v>SE-000285436</v>
      </c>
      <c r="D19371" s="1" t="s">
        <v>0</v>
      </c>
      <c r="E19371" s="2">
        <v>0</v>
      </c>
      <c r="F19371" s="2">
        <v>0</v>
      </c>
      <c r="G19371" s="2">
        <v>0</v>
      </c>
      <c r="H19371" s="1" t="s">
        <v>0</v>
      </c>
      <c r="I19371" s="2">
        <v>0</v>
      </c>
      <c r="J19371" s="1">
        <v>45939.647314814814</v>
      </c>
    </row>
    <row r="19372" spans="1:10" x14ac:dyDescent="0.2">
      <c r="A19372" s="4" t="s">
        <v>1</v>
      </c>
      <c r="B193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72" s="3" t="str">
        <f>HYPERLINK("https://otsuka-europe-crm.veevavault.com/ui/#object/sent_email__v/VBLZ025E82HGLYJ", "SE-000285437")</f>
        <v>SE-000285437</v>
      </c>
      <c r="D19372" s="1" t="s">
        <v>0</v>
      </c>
      <c r="E19372" s="2">
        <v>0</v>
      </c>
      <c r="F19372" s="2">
        <v>0</v>
      </c>
      <c r="G19372" s="2">
        <v>0</v>
      </c>
      <c r="H19372" s="1" t="s">
        <v>0</v>
      </c>
      <c r="I19372" s="2">
        <v>0</v>
      </c>
      <c r="J19372" s="1">
        <v>45939.647326388891</v>
      </c>
    </row>
    <row r="19373" spans="1:10" x14ac:dyDescent="0.2">
      <c r="A19373" s="4" t="s">
        <v>1</v>
      </c>
      <c r="B193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73" s="3" t="str">
        <f>HYPERLINK("https://otsuka-europe-crm.veevavault.com/ui/#object/sent_email__v/VBLZ025E82HGLYK", "SE-000285438")</f>
        <v>SE-000285438</v>
      </c>
      <c r="D19373" s="1" t="s">
        <v>0</v>
      </c>
      <c r="E19373" s="2">
        <v>0</v>
      </c>
      <c r="F19373" s="2">
        <v>0</v>
      </c>
      <c r="G19373" s="2">
        <v>0</v>
      </c>
      <c r="H19373" s="1" t="s">
        <v>0</v>
      </c>
      <c r="I19373" s="2">
        <v>0</v>
      </c>
      <c r="J19373" s="1">
        <v>45939.647326388891</v>
      </c>
    </row>
    <row r="19374" spans="1:10" x14ac:dyDescent="0.2">
      <c r="A19374" s="4" t="s">
        <v>1</v>
      </c>
      <c r="B193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74" s="3" t="str">
        <f>HYPERLINK("https://otsuka-europe-crm.veevavault.com/ui/#object/sent_email__v/VBLZ025E82HGLYL", "SE-000285439")</f>
        <v>SE-000285439</v>
      </c>
      <c r="D19374" s="1">
        <v>45939.657638888886</v>
      </c>
      <c r="E19374" s="2">
        <v>1</v>
      </c>
      <c r="F19374" s="2">
        <v>1</v>
      </c>
      <c r="G19374" s="2">
        <v>0</v>
      </c>
      <c r="H19374" s="1" t="s">
        <v>0</v>
      </c>
      <c r="I19374" s="2">
        <v>0</v>
      </c>
      <c r="J19374" s="1">
        <v>45939.647337962961</v>
      </c>
    </row>
    <row r="19375" spans="1:10" x14ac:dyDescent="0.2">
      <c r="A19375" s="4" t="s">
        <v>1</v>
      </c>
      <c r="B193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75" s="3" t="str">
        <f>HYPERLINK("https://otsuka-europe-crm.veevavault.com/ui/#object/sent_email__v/VBLZ025E82HGLYM", "SE-000285440")</f>
        <v>SE-000285440</v>
      </c>
      <c r="D19375" s="1" t="s">
        <v>0</v>
      </c>
      <c r="E19375" s="2">
        <v>0</v>
      </c>
      <c r="F19375" s="2">
        <v>0</v>
      </c>
      <c r="G19375" s="2">
        <v>0</v>
      </c>
      <c r="H19375" s="1" t="s">
        <v>0</v>
      </c>
      <c r="I19375" s="2">
        <v>0</v>
      </c>
      <c r="J19375" s="1">
        <v>45939.647349537037</v>
      </c>
    </row>
    <row r="19376" spans="1:10" x14ac:dyDescent="0.2">
      <c r="A19376" s="4" t="s">
        <v>1</v>
      </c>
      <c r="B193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76" s="3" t="str">
        <f>HYPERLINK("https://otsuka-europe-crm.veevavault.com/ui/#object/sent_email__v/VBLZ025E82HGLYN", "SE-000285441")</f>
        <v>SE-000285441</v>
      </c>
      <c r="D19376" s="1" t="s">
        <v>0</v>
      </c>
      <c r="E19376" s="2">
        <v>0</v>
      </c>
      <c r="F19376" s="2">
        <v>0</v>
      </c>
      <c r="G19376" s="2">
        <v>0</v>
      </c>
      <c r="H19376" s="1" t="s">
        <v>0</v>
      </c>
      <c r="I19376" s="2">
        <v>0</v>
      </c>
      <c r="J19376" s="1">
        <v>45939.647361111114</v>
      </c>
    </row>
    <row r="19377" spans="1:10" x14ac:dyDescent="0.2">
      <c r="A19377" s="4" t="s">
        <v>1</v>
      </c>
      <c r="B193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77" s="3" t="str">
        <f>HYPERLINK("https://otsuka-europe-crm.veevavault.com/ui/#object/sent_email__v/VBLZ025E82HGLYO", "SE-000285442")</f>
        <v>SE-000285442</v>
      </c>
      <c r="D19377" s="1" t="s">
        <v>0</v>
      </c>
      <c r="E19377" s="2">
        <v>0</v>
      </c>
      <c r="F19377" s="2">
        <v>0</v>
      </c>
      <c r="G19377" s="2">
        <v>0</v>
      </c>
      <c r="H19377" s="1" t="s">
        <v>0</v>
      </c>
      <c r="I19377" s="2">
        <v>0</v>
      </c>
      <c r="J19377" s="1">
        <v>45939.647372685184</v>
      </c>
    </row>
    <row r="19378" spans="1:10" x14ac:dyDescent="0.2">
      <c r="A19378" s="4" t="s">
        <v>1</v>
      </c>
      <c r="B193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78" s="3" t="str">
        <f>HYPERLINK("https://otsuka-europe-crm.veevavault.com/ui/#object/sent_email__v/VBLZ025E82HGLYP", "SE-000285443")</f>
        <v>SE-000285443</v>
      </c>
      <c r="D19378" s="1">
        <v>45940.266087962962</v>
      </c>
      <c r="E19378" s="2">
        <v>1</v>
      </c>
      <c r="F19378" s="2">
        <v>1</v>
      </c>
      <c r="G19378" s="2">
        <v>0</v>
      </c>
      <c r="H19378" s="1" t="s">
        <v>0</v>
      </c>
      <c r="I19378" s="2">
        <v>0</v>
      </c>
      <c r="J19378" s="1">
        <v>45939.64738425926</v>
      </c>
    </row>
    <row r="19379" spans="1:10" x14ac:dyDescent="0.2">
      <c r="A19379" s="4" t="s">
        <v>1</v>
      </c>
      <c r="B193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79" s="3" t="str">
        <f>HYPERLINK("https://otsuka-europe-crm.veevavault.com/ui/#object/sent_email__v/VBLZ025E82HGLYQ", "SE-000285444")</f>
        <v>SE-000285444</v>
      </c>
      <c r="D19379" s="1">
        <v>45939.733032407406</v>
      </c>
      <c r="E19379" s="2">
        <v>1</v>
      </c>
      <c r="F19379" s="2">
        <v>1</v>
      </c>
      <c r="G19379" s="2">
        <v>0</v>
      </c>
      <c r="H19379" s="1" t="s">
        <v>0</v>
      </c>
      <c r="I19379" s="2">
        <v>0</v>
      </c>
      <c r="J19379" s="1">
        <v>45939.647511574076</v>
      </c>
    </row>
    <row r="19380" spans="1:10" x14ac:dyDescent="0.2">
      <c r="A19380" s="4" t="s">
        <v>1</v>
      </c>
      <c r="B193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80" s="3" t="str">
        <f>HYPERLINK("https://otsuka-europe-crm.veevavault.com/ui/#object/sent_email__v/VBLZ025E82HGLYR", "SE-000285445")</f>
        <v>SE-000285445</v>
      </c>
      <c r="D19380" s="1" t="s">
        <v>0</v>
      </c>
      <c r="E19380" s="2">
        <v>0</v>
      </c>
      <c r="F19380" s="2">
        <v>0</v>
      </c>
      <c r="G19380" s="2">
        <v>0</v>
      </c>
      <c r="H19380" s="1" t="s">
        <v>0</v>
      </c>
      <c r="I19380" s="2">
        <v>0</v>
      </c>
      <c r="J19380" s="1">
        <v>45939.647523148145</v>
      </c>
    </row>
    <row r="19381" spans="1:10" x14ac:dyDescent="0.2">
      <c r="A19381" s="4" t="s">
        <v>1</v>
      </c>
      <c r="B193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81" s="3" t="str">
        <f>HYPERLINK("https://otsuka-europe-crm.veevavault.com/ui/#object/sent_email__v/VBLZ025E82HGLYS", "SE-000285446")</f>
        <v>SE-000285446</v>
      </c>
      <c r="D19381" s="1" t="s">
        <v>0</v>
      </c>
      <c r="E19381" s="2">
        <v>0</v>
      </c>
      <c r="F19381" s="2">
        <v>0</v>
      </c>
      <c r="G19381" s="2">
        <v>0</v>
      </c>
      <c r="H19381" s="1" t="s">
        <v>0</v>
      </c>
      <c r="I19381" s="2">
        <v>0</v>
      </c>
      <c r="J19381" s="1">
        <v>45939.647523148145</v>
      </c>
    </row>
    <row r="19382" spans="1:10" x14ac:dyDescent="0.2">
      <c r="A19382" s="4" t="s">
        <v>1</v>
      </c>
      <c r="B193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82" s="3" t="str">
        <f>HYPERLINK("https://otsuka-europe-crm.veevavault.com/ui/#object/sent_email__v/VBLZ025E82HGLYT", "SE-000285447")</f>
        <v>SE-000285447</v>
      </c>
      <c r="D19382" s="1">
        <v>45939.852638888886</v>
      </c>
      <c r="E19382" s="2">
        <v>1</v>
      </c>
      <c r="F19382" s="2">
        <v>1</v>
      </c>
      <c r="G19382" s="2">
        <v>0</v>
      </c>
      <c r="H19382" s="1" t="s">
        <v>0</v>
      </c>
      <c r="I19382" s="2">
        <v>0</v>
      </c>
      <c r="J19382" s="1">
        <v>45939.647534722222</v>
      </c>
    </row>
    <row r="19383" spans="1:10" x14ac:dyDescent="0.2">
      <c r="A19383" s="4" t="s">
        <v>1</v>
      </c>
      <c r="B193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83" s="3" t="str">
        <f>HYPERLINK("https://otsuka-europe-crm.veevavault.com/ui/#object/sent_email__v/VBLZ025E82HGLYU", "SE-000285448")</f>
        <v>SE-000285448</v>
      </c>
      <c r="D19383" s="1">
        <v>45946.311539351853</v>
      </c>
      <c r="E19383" s="2">
        <v>1</v>
      </c>
      <c r="F19383" s="2">
        <v>1</v>
      </c>
      <c r="G19383" s="2">
        <v>0</v>
      </c>
      <c r="H19383" s="1" t="s">
        <v>0</v>
      </c>
      <c r="I19383" s="2">
        <v>0</v>
      </c>
      <c r="J19383" s="1">
        <v>45939.647546296299</v>
      </c>
    </row>
    <row r="19384" spans="1:10" x14ac:dyDescent="0.2">
      <c r="A19384" s="4" t="s">
        <v>1</v>
      </c>
      <c r="B193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84" s="3" t="str">
        <f>HYPERLINK("https://otsuka-europe-crm.veevavault.com/ui/#object/sent_email__v/VBLZ025E82HGLYV", "SE-000285449")</f>
        <v>SE-000285449</v>
      </c>
      <c r="D19384" s="1">
        <v>45939.923946759256</v>
      </c>
      <c r="E19384" s="2">
        <v>1</v>
      </c>
      <c r="F19384" s="2">
        <v>1</v>
      </c>
      <c r="G19384" s="2">
        <v>0</v>
      </c>
      <c r="H19384" s="1" t="s">
        <v>0</v>
      </c>
      <c r="I19384" s="2">
        <v>0</v>
      </c>
      <c r="J19384" s="1">
        <v>45939.647534722222</v>
      </c>
    </row>
    <row r="19385" spans="1:10" x14ac:dyDescent="0.2">
      <c r="A19385" s="4" t="s">
        <v>1</v>
      </c>
      <c r="B193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85" s="3" t="str">
        <f>HYPERLINK("https://otsuka-europe-crm.veevavault.com/ui/#object/sent_email__v/VBLZ025E82HGLYW", "SE-000285450")</f>
        <v>SE-000285450</v>
      </c>
      <c r="D19385" s="1" t="s">
        <v>0</v>
      </c>
      <c r="E19385" s="2">
        <v>0</v>
      </c>
      <c r="F19385" s="2">
        <v>0</v>
      </c>
      <c r="G19385" s="2">
        <v>0</v>
      </c>
      <c r="H19385" s="1" t="s">
        <v>0</v>
      </c>
      <c r="I19385" s="2">
        <v>0</v>
      </c>
      <c r="J19385" s="1">
        <v>45939.647534722222</v>
      </c>
    </row>
    <row r="19386" spans="1:10" x14ac:dyDescent="0.2">
      <c r="A19386" s="4" t="s">
        <v>1</v>
      </c>
      <c r="B193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86" s="3" t="str">
        <f>HYPERLINK("https://otsuka-europe-crm.veevavault.com/ui/#object/sent_email__v/VBLZ025E82HGLYX", "SE-000285451")</f>
        <v>SE-000285451</v>
      </c>
      <c r="D19386" s="1">
        <v>45940.523125</v>
      </c>
      <c r="E19386" s="2">
        <v>1</v>
      </c>
      <c r="F19386" s="2">
        <v>2</v>
      </c>
      <c r="G19386" s="2">
        <v>0</v>
      </c>
      <c r="H19386" s="1" t="s">
        <v>0</v>
      </c>
      <c r="I19386" s="2">
        <v>0</v>
      </c>
      <c r="J19386" s="1">
        <v>45939.647546296299</v>
      </c>
    </row>
    <row r="19387" spans="1:10" x14ac:dyDescent="0.2">
      <c r="A19387" s="4" t="s">
        <v>1</v>
      </c>
      <c r="B193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87" s="3" t="str">
        <f>HYPERLINK("https://otsuka-europe-crm.veevavault.com/ui/#object/sent_email__v/VBLZ025E82HGLYY", "SE-000285452")</f>
        <v>SE-000285452</v>
      </c>
      <c r="D19387" s="1" t="s">
        <v>0</v>
      </c>
      <c r="E19387" s="2">
        <v>0</v>
      </c>
      <c r="F19387" s="2">
        <v>0</v>
      </c>
      <c r="G19387" s="2">
        <v>0</v>
      </c>
      <c r="H19387" s="1" t="s">
        <v>0</v>
      </c>
      <c r="I19387" s="2">
        <v>0</v>
      </c>
      <c r="J19387" s="1">
        <v>45939.647557870368</v>
      </c>
    </row>
    <row r="19388" spans="1:10" x14ac:dyDescent="0.2">
      <c r="A19388" s="4" t="s">
        <v>1</v>
      </c>
      <c r="B193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88" s="3" t="str">
        <f>HYPERLINK("https://otsuka-europe-crm.veevavault.com/ui/#object/sent_email__v/VBLZ025E82HGLYZ", "SE-000285453")</f>
        <v>SE-000285453</v>
      </c>
      <c r="D19388" s="1">
        <v>45939.972326388888</v>
      </c>
      <c r="E19388" s="2">
        <v>1</v>
      </c>
      <c r="F19388" s="2">
        <v>2</v>
      </c>
      <c r="G19388" s="2">
        <v>0</v>
      </c>
      <c r="H19388" s="1" t="s">
        <v>0</v>
      </c>
      <c r="I19388" s="2">
        <v>0</v>
      </c>
      <c r="J19388" s="1">
        <v>45939.647569444445</v>
      </c>
    </row>
    <row r="19389" spans="1:10" x14ac:dyDescent="0.2">
      <c r="A19389" s="4" t="s">
        <v>1</v>
      </c>
      <c r="B193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89" s="3" t="str">
        <f>HYPERLINK("https://otsuka-europe-crm.veevavault.com/ui/#object/sent_email__v/VBLZ025E82HGLZ0", "SE-000285454")</f>
        <v>SE-000285454</v>
      </c>
      <c r="D19389" s="1" t="s">
        <v>0</v>
      </c>
      <c r="E19389" s="2">
        <v>0</v>
      </c>
      <c r="F19389" s="2">
        <v>0</v>
      </c>
      <c r="G19389" s="2">
        <v>0</v>
      </c>
      <c r="H19389" s="1" t="s">
        <v>0</v>
      </c>
      <c r="I19389" s="2">
        <v>0</v>
      </c>
      <c r="J19389" s="1">
        <v>45939.647534722222</v>
      </c>
    </row>
    <row r="19390" spans="1:10" x14ac:dyDescent="0.2">
      <c r="A19390" s="4" t="s">
        <v>1</v>
      </c>
      <c r="B193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90" s="3" t="str">
        <f>HYPERLINK("https://otsuka-europe-crm.veevavault.com/ui/#object/sent_email__v/VBLZ025E82HGLZ1", "SE-000285455")</f>
        <v>SE-000285455</v>
      </c>
      <c r="D19390" s="1" t="s">
        <v>0</v>
      </c>
      <c r="E19390" s="2">
        <v>0</v>
      </c>
      <c r="F19390" s="2">
        <v>0</v>
      </c>
      <c r="G19390" s="2">
        <v>0</v>
      </c>
      <c r="H19390" s="1" t="s">
        <v>0</v>
      </c>
      <c r="I19390" s="2">
        <v>0</v>
      </c>
      <c r="J19390" s="1">
        <v>45939.647557870368</v>
      </c>
    </row>
    <row r="19391" spans="1:10" x14ac:dyDescent="0.2">
      <c r="A19391" s="4" t="s">
        <v>1</v>
      </c>
      <c r="B193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91" s="3" t="str">
        <f>HYPERLINK("https://otsuka-europe-crm.veevavault.com/ui/#object/sent_email__v/VBLZ025E82HGLZ2", "SE-000285456")</f>
        <v>SE-000285456</v>
      </c>
      <c r="D19391" s="1">
        <v>45940.000289351854</v>
      </c>
      <c r="E19391" s="2">
        <v>1</v>
      </c>
      <c r="F19391" s="2">
        <v>1</v>
      </c>
      <c r="G19391" s="2">
        <v>1</v>
      </c>
      <c r="H19391" s="1">
        <v>45940.00677083333</v>
      </c>
      <c r="I19391" s="2">
        <v>3</v>
      </c>
      <c r="J19391" s="1">
        <v>45939.647557870368</v>
      </c>
    </row>
    <row r="19392" spans="1:10" x14ac:dyDescent="0.2">
      <c r="A19392" s="4" t="s">
        <v>1</v>
      </c>
      <c r="B193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92" s="3" t="str">
        <f>HYPERLINK("https://otsuka-europe-crm.veevavault.com/ui/#object/sent_email__v/VBLZ025E82HGLZ3", "SE-000285457")</f>
        <v>SE-000285457</v>
      </c>
      <c r="D19392" s="1" t="s">
        <v>0</v>
      </c>
      <c r="E19392" s="2">
        <v>0</v>
      </c>
      <c r="F19392" s="2">
        <v>0</v>
      </c>
      <c r="G19392" s="2">
        <v>0</v>
      </c>
      <c r="H19392" s="1" t="s">
        <v>0</v>
      </c>
      <c r="I19392" s="2">
        <v>0</v>
      </c>
      <c r="J19392" s="1">
        <v>45939.647557870368</v>
      </c>
    </row>
    <row r="19393" spans="1:10" x14ac:dyDescent="0.2">
      <c r="A19393" s="4" t="s">
        <v>1</v>
      </c>
      <c r="B193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93" s="3" t="str">
        <f>HYPERLINK("https://otsuka-europe-crm.veevavault.com/ui/#object/sent_email__v/VBLZ025E82HGLZ4", "SE-000285458")</f>
        <v>SE-000285458</v>
      </c>
      <c r="D19393" s="1" t="s">
        <v>0</v>
      </c>
      <c r="E19393" s="2">
        <v>0</v>
      </c>
      <c r="F19393" s="2">
        <v>0</v>
      </c>
      <c r="G19393" s="2">
        <v>0</v>
      </c>
      <c r="H19393" s="1" t="s">
        <v>0</v>
      </c>
      <c r="I19393" s="2">
        <v>0</v>
      </c>
      <c r="J19393" s="1">
        <v>45939.647523148145</v>
      </c>
    </row>
    <row r="19394" spans="1:10" x14ac:dyDescent="0.2">
      <c r="A19394" s="4" t="s">
        <v>1</v>
      </c>
      <c r="B193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94" s="3" t="str">
        <f>HYPERLINK("https://otsuka-europe-crm.veevavault.com/ui/#object/sent_email__v/VBLZ025E82HGLZ5", "SE-000285459")</f>
        <v>SE-000285459</v>
      </c>
      <c r="D19394" s="1" t="s">
        <v>0</v>
      </c>
      <c r="E19394" s="2">
        <v>0</v>
      </c>
      <c r="F19394" s="2">
        <v>0</v>
      </c>
      <c r="G19394" s="2">
        <v>0</v>
      </c>
      <c r="H19394" s="1" t="s">
        <v>0</v>
      </c>
      <c r="I19394" s="2">
        <v>0</v>
      </c>
      <c r="J19394" s="1">
        <v>45939.647546296299</v>
      </c>
    </row>
    <row r="19395" spans="1:10" x14ac:dyDescent="0.2">
      <c r="A19395" s="4" t="s">
        <v>1</v>
      </c>
      <c r="B193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95" s="3" t="str">
        <f>HYPERLINK("https://otsuka-europe-crm.veevavault.com/ui/#object/sent_email__v/VBLZ025E82HGLZ6", "SE-000285460")</f>
        <v>SE-000285460</v>
      </c>
      <c r="D19395" s="1" t="s">
        <v>0</v>
      </c>
      <c r="E19395" s="2">
        <v>0</v>
      </c>
      <c r="F19395" s="2">
        <v>0</v>
      </c>
      <c r="G19395" s="2">
        <v>0</v>
      </c>
      <c r="H19395" s="1" t="s">
        <v>0</v>
      </c>
      <c r="I19395" s="2">
        <v>0</v>
      </c>
      <c r="J19395" s="1">
        <v>45939.647557870368</v>
      </c>
    </row>
    <row r="19396" spans="1:10" x14ac:dyDescent="0.2">
      <c r="A19396" s="4" t="s">
        <v>1</v>
      </c>
      <c r="B193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96" s="3" t="str">
        <f>HYPERLINK("https://otsuka-europe-crm.veevavault.com/ui/#object/sent_email__v/VBLZ025E82HGLZ7", "SE-000285461")</f>
        <v>SE-000285461</v>
      </c>
      <c r="D19396" s="1">
        <v>45940.010775462964</v>
      </c>
      <c r="E19396" s="2">
        <v>1</v>
      </c>
      <c r="F19396" s="2">
        <v>1</v>
      </c>
      <c r="G19396" s="2">
        <v>0</v>
      </c>
      <c r="H19396" s="1" t="s">
        <v>0</v>
      </c>
      <c r="I19396" s="2">
        <v>0</v>
      </c>
      <c r="J19396" s="1">
        <v>45939.647557870368</v>
      </c>
    </row>
    <row r="19397" spans="1:10" x14ac:dyDescent="0.2">
      <c r="A19397" s="4" t="s">
        <v>1</v>
      </c>
      <c r="B193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97" s="3" t="str">
        <f>HYPERLINK("https://otsuka-europe-crm.veevavault.com/ui/#object/sent_email__v/VBLZ025E82HGLZ8", "SE-000285462")</f>
        <v>SE-000285462</v>
      </c>
      <c r="D19397" s="1" t="s">
        <v>0</v>
      </c>
      <c r="E19397" s="2">
        <v>0</v>
      </c>
      <c r="F19397" s="2">
        <v>0</v>
      </c>
      <c r="G19397" s="2">
        <v>0</v>
      </c>
      <c r="H19397" s="1" t="s">
        <v>0</v>
      </c>
      <c r="I19397" s="2">
        <v>0</v>
      </c>
      <c r="J19397" s="1">
        <v>45939.647581018522</v>
      </c>
    </row>
    <row r="19398" spans="1:10" x14ac:dyDescent="0.2">
      <c r="A19398" s="4" t="s">
        <v>1</v>
      </c>
      <c r="B193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98" s="3" t="str">
        <f>HYPERLINK("https://otsuka-europe-crm.veevavault.com/ui/#object/sent_email__v/VBLZ025E82HGLZ9", "SE-000285463")</f>
        <v>SE-000285463</v>
      </c>
      <c r="D19398" s="1" t="s">
        <v>0</v>
      </c>
      <c r="E19398" s="2">
        <v>0</v>
      </c>
      <c r="F19398" s="2">
        <v>0</v>
      </c>
      <c r="G19398" s="2">
        <v>0</v>
      </c>
      <c r="H19398" s="1" t="s">
        <v>0</v>
      </c>
      <c r="I19398" s="2">
        <v>0</v>
      </c>
      <c r="J19398" s="1">
        <v>45939.647569444445</v>
      </c>
    </row>
    <row r="19399" spans="1:10" x14ac:dyDescent="0.2">
      <c r="A19399" s="4" t="s">
        <v>1</v>
      </c>
      <c r="B193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399" s="3" t="str">
        <f>HYPERLINK("https://otsuka-europe-crm.veevavault.com/ui/#object/sent_email__v/VBLZ025E82HGLZA", "SE-000285464")</f>
        <v>SE-000285464</v>
      </c>
      <c r="D19399" s="1" t="s">
        <v>0</v>
      </c>
      <c r="E19399" s="2">
        <v>0</v>
      </c>
      <c r="F19399" s="2">
        <v>0</v>
      </c>
      <c r="G19399" s="2">
        <v>0</v>
      </c>
      <c r="H19399" s="1" t="s">
        <v>0</v>
      </c>
      <c r="I19399" s="2">
        <v>0</v>
      </c>
      <c r="J19399" s="1">
        <v>45939.647604166668</v>
      </c>
    </row>
    <row r="19400" spans="1:10" x14ac:dyDescent="0.2">
      <c r="A19400" s="4" t="s">
        <v>1</v>
      </c>
      <c r="B194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00" s="3" t="str">
        <f>HYPERLINK("https://otsuka-europe-crm.veevavault.com/ui/#object/sent_email__v/VBLZ025E82HGLZB", "SE-000285465")</f>
        <v>SE-000285465</v>
      </c>
      <c r="D19400" s="1" t="s">
        <v>0</v>
      </c>
      <c r="E19400" s="2">
        <v>0</v>
      </c>
      <c r="F19400" s="2">
        <v>0</v>
      </c>
      <c r="G19400" s="2">
        <v>0</v>
      </c>
      <c r="H19400" s="1" t="s">
        <v>0</v>
      </c>
      <c r="I19400" s="2">
        <v>0</v>
      </c>
      <c r="J19400" s="1">
        <v>45939.647592592592</v>
      </c>
    </row>
    <row r="19401" spans="1:10" x14ac:dyDescent="0.2">
      <c r="A19401" s="4" t="s">
        <v>1</v>
      </c>
      <c r="B194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01" s="3" t="str">
        <f>HYPERLINK("https://otsuka-europe-crm.veevavault.com/ui/#object/sent_email__v/VBLZ025E82HGLZC", "SE-000285466")</f>
        <v>SE-000285466</v>
      </c>
      <c r="D19401" s="1" t="s">
        <v>0</v>
      </c>
      <c r="E19401" s="2">
        <v>0</v>
      </c>
      <c r="F19401" s="2">
        <v>0</v>
      </c>
      <c r="G19401" s="2">
        <v>0</v>
      </c>
      <c r="H19401" s="1" t="s">
        <v>0</v>
      </c>
      <c r="I19401" s="2">
        <v>0</v>
      </c>
      <c r="J19401" s="1">
        <v>45939.647604166668</v>
      </c>
    </row>
    <row r="19402" spans="1:10" x14ac:dyDescent="0.2">
      <c r="A19402" s="4" t="s">
        <v>1</v>
      </c>
      <c r="B194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02" s="3" t="str">
        <f>HYPERLINK("https://otsuka-europe-crm.veevavault.com/ui/#object/sent_email__v/VBLZ025E82HGLZD", "SE-000285467")</f>
        <v>SE-000285467</v>
      </c>
      <c r="D19402" s="1">
        <v>45939.648599537039</v>
      </c>
      <c r="E19402" s="2">
        <v>1</v>
      </c>
      <c r="F19402" s="2">
        <v>1</v>
      </c>
      <c r="G19402" s="2">
        <v>0</v>
      </c>
      <c r="H19402" s="1" t="s">
        <v>0</v>
      </c>
      <c r="I19402" s="2">
        <v>0</v>
      </c>
      <c r="J19402" s="1">
        <v>45939.647604166668</v>
      </c>
    </row>
    <row r="19403" spans="1:10" x14ac:dyDescent="0.2">
      <c r="A19403" s="4" t="s">
        <v>1</v>
      </c>
      <c r="B194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03" s="3" t="str">
        <f>HYPERLINK("https://otsuka-europe-crm.veevavault.com/ui/#object/sent_email__v/VBLZ025E82HGLZE", "SE-000285468")</f>
        <v>SE-000285468</v>
      </c>
      <c r="D19403" s="1" t="s">
        <v>0</v>
      </c>
      <c r="E19403" s="2">
        <v>0</v>
      </c>
      <c r="F19403" s="2">
        <v>0</v>
      </c>
      <c r="G19403" s="2">
        <v>0</v>
      </c>
      <c r="H19403" s="1" t="s">
        <v>0</v>
      </c>
      <c r="I19403" s="2">
        <v>0</v>
      </c>
      <c r="J19403" s="1">
        <v>45939.647627314815</v>
      </c>
    </row>
    <row r="19404" spans="1:10" x14ac:dyDescent="0.2">
      <c r="A19404" s="4" t="s">
        <v>1</v>
      </c>
      <c r="B194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04" s="3" t="str">
        <f>HYPERLINK("https://otsuka-europe-crm.veevavault.com/ui/#object/sent_email__v/VBLZ025E82HGLZF", "SE-000285469")</f>
        <v>SE-000285469</v>
      </c>
      <c r="D19404" s="1" t="s">
        <v>0</v>
      </c>
      <c r="E19404" s="2">
        <v>0</v>
      </c>
      <c r="F19404" s="2">
        <v>0</v>
      </c>
      <c r="G19404" s="2">
        <v>0</v>
      </c>
      <c r="H19404" s="1" t="s">
        <v>0</v>
      </c>
      <c r="I19404" s="2">
        <v>0</v>
      </c>
      <c r="J19404" s="1">
        <v>45939.647627314815</v>
      </c>
    </row>
    <row r="19405" spans="1:10" x14ac:dyDescent="0.2">
      <c r="A19405" s="4" t="s">
        <v>1</v>
      </c>
      <c r="B194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05" s="3" t="str">
        <f>HYPERLINK("https://otsuka-europe-crm.veevavault.com/ui/#object/sent_email__v/VBLZ025E82HGLZG", "SE-000285470")</f>
        <v>SE-000285470</v>
      </c>
      <c r="D19405" s="1">
        <v>45940.613587962966</v>
      </c>
      <c r="E19405" s="2">
        <v>1</v>
      </c>
      <c r="F19405" s="2">
        <v>2</v>
      </c>
      <c r="G19405" s="2">
        <v>0</v>
      </c>
      <c r="H19405" s="1" t="s">
        <v>0</v>
      </c>
      <c r="I19405" s="2">
        <v>0</v>
      </c>
      <c r="J19405" s="1">
        <v>45939.647638888891</v>
      </c>
    </row>
    <row r="19406" spans="1:10" x14ac:dyDescent="0.2">
      <c r="A19406" s="4" t="s">
        <v>1</v>
      </c>
      <c r="B194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06" s="3" t="str">
        <f>HYPERLINK("https://otsuka-europe-crm.veevavault.com/ui/#object/sent_email__v/VBLZ025E82HGLZH", "SE-000285471")</f>
        <v>SE-000285471</v>
      </c>
      <c r="D19406" s="1" t="s">
        <v>0</v>
      </c>
      <c r="E19406" s="2">
        <v>0</v>
      </c>
      <c r="F19406" s="2">
        <v>0</v>
      </c>
      <c r="G19406" s="2">
        <v>0</v>
      </c>
      <c r="H19406" s="1" t="s">
        <v>0</v>
      </c>
      <c r="I19406" s="2">
        <v>0</v>
      </c>
      <c r="J19406" s="1">
        <v>45939.647650462961</v>
      </c>
    </row>
    <row r="19407" spans="1:10" x14ac:dyDescent="0.2">
      <c r="A19407" s="4" t="s">
        <v>1</v>
      </c>
      <c r="B194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07" s="3" t="str">
        <f>HYPERLINK("https://otsuka-europe-crm.veevavault.com/ui/#object/sent_email__v/VBLZ025E82HGLZI", "SE-000285472")</f>
        <v>SE-000285472</v>
      </c>
      <c r="D19407" s="1" t="s">
        <v>0</v>
      </c>
      <c r="E19407" s="2">
        <v>0</v>
      </c>
      <c r="F19407" s="2">
        <v>0</v>
      </c>
      <c r="G19407" s="2">
        <v>0</v>
      </c>
      <c r="H19407" s="1" t="s">
        <v>0</v>
      </c>
      <c r="I19407" s="2">
        <v>0</v>
      </c>
      <c r="J19407" s="1">
        <v>45939.647662037038</v>
      </c>
    </row>
    <row r="19408" spans="1:10" x14ac:dyDescent="0.2">
      <c r="A19408" s="4" t="s">
        <v>1</v>
      </c>
      <c r="B194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08" s="3" t="str">
        <f>HYPERLINK("https://otsuka-europe-crm.veevavault.com/ui/#object/sent_email__v/VBLZ025E82HGLZJ", "SE-000285473")</f>
        <v>SE-000285473</v>
      </c>
      <c r="D19408" s="1">
        <v>45939.998425925929</v>
      </c>
      <c r="E19408" s="2">
        <v>1</v>
      </c>
      <c r="F19408" s="2">
        <v>1</v>
      </c>
      <c r="G19408" s="2">
        <v>0</v>
      </c>
      <c r="H19408" s="1" t="s">
        <v>0</v>
      </c>
      <c r="I19408" s="2">
        <v>0</v>
      </c>
      <c r="J19408" s="1">
        <v>45939.647673611114</v>
      </c>
    </row>
    <row r="19409" spans="1:10" x14ac:dyDescent="0.2">
      <c r="A19409" s="4" t="s">
        <v>1</v>
      </c>
      <c r="B194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09" s="3" t="str">
        <f>HYPERLINK("https://otsuka-europe-crm.veevavault.com/ui/#object/sent_email__v/VBLZ025E82HGLZK", "SE-000285474")</f>
        <v>SE-000285474</v>
      </c>
      <c r="D19409" s="1" t="s">
        <v>0</v>
      </c>
      <c r="E19409" s="2">
        <v>0</v>
      </c>
      <c r="F19409" s="2">
        <v>0</v>
      </c>
      <c r="G19409" s="2">
        <v>0</v>
      </c>
      <c r="H19409" s="1" t="s">
        <v>0</v>
      </c>
      <c r="I19409" s="2">
        <v>0</v>
      </c>
      <c r="J19409" s="1">
        <v>45939.647685185184</v>
      </c>
    </row>
    <row r="19410" spans="1:10" x14ac:dyDescent="0.2">
      <c r="A19410" s="4" t="s">
        <v>1</v>
      </c>
      <c r="B194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10" s="3" t="str">
        <f>HYPERLINK("https://otsuka-europe-crm.veevavault.com/ui/#object/sent_email__v/VBLZ025E82HGLZL", "SE-000285475")</f>
        <v>SE-000285475</v>
      </c>
      <c r="D19410" s="1">
        <v>45952.615069444444</v>
      </c>
      <c r="E19410" s="2">
        <v>1</v>
      </c>
      <c r="F19410" s="2">
        <v>2</v>
      </c>
      <c r="G19410" s="2">
        <v>0</v>
      </c>
      <c r="H19410" s="1" t="s">
        <v>0</v>
      </c>
      <c r="I19410" s="2">
        <v>0</v>
      </c>
      <c r="J19410" s="1">
        <v>45939.647696759261</v>
      </c>
    </row>
    <row r="19411" spans="1:10" x14ac:dyDescent="0.2">
      <c r="A19411" s="4" t="s">
        <v>1</v>
      </c>
      <c r="B194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11" s="3" t="str">
        <f>HYPERLINK("https://otsuka-europe-crm.veevavault.com/ui/#object/sent_email__v/VBLZ025E82HGLZM", "SE-000285476")</f>
        <v>SE-000285476</v>
      </c>
      <c r="D19411" s="1" t="s">
        <v>0</v>
      </c>
      <c r="E19411" s="2">
        <v>0</v>
      </c>
      <c r="F19411" s="2">
        <v>0</v>
      </c>
      <c r="G19411" s="2">
        <v>0</v>
      </c>
      <c r="H19411" s="1" t="s">
        <v>0</v>
      </c>
      <c r="I19411" s="2">
        <v>0</v>
      </c>
      <c r="J19411" s="1">
        <v>45939.647696759261</v>
      </c>
    </row>
    <row r="19412" spans="1:10" x14ac:dyDescent="0.2">
      <c r="A19412" s="4" t="s">
        <v>1</v>
      </c>
      <c r="B194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12" s="3" t="str">
        <f>HYPERLINK("https://otsuka-europe-crm.veevavault.com/ui/#object/sent_email__v/VBLZ025E82HGLZN", "SE-000285477")</f>
        <v>SE-000285477</v>
      </c>
      <c r="D19412" s="1" t="s">
        <v>0</v>
      </c>
      <c r="E19412" s="2">
        <v>0</v>
      </c>
      <c r="F19412" s="2">
        <v>0</v>
      </c>
      <c r="G19412" s="2">
        <v>0</v>
      </c>
      <c r="H19412" s="1" t="s">
        <v>0</v>
      </c>
      <c r="I19412" s="2">
        <v>0</v>
      </c>
      <c r="J19412" s="1">
        <v>45939.64770833333</v>
      </c>
    </row>
    <row r="19413" spans="1:10" x14ac:dyDescent="0.2">
      <c r="A19413" s="4" t="s">
        <v>1</v>
      </c>
      <c r="B194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13" s="3" t="str">
        <f>HYPERLINK("https://otsuka-europe-crm.veevavault.com/ui/#object/sent_email__v/VBLZ025E82HGLZO", "SE-000285478")</f>
        <v>SE-000285478</v>
      </c>
      <c r="D19413" s="1" t="s">
        <v>0</v>
      </c>
      <c r="E19413" s="2">
        <v>0</v>
      </c>
      <c r="F19413" s="2">
        <v>0</v>
      </c>
      <c r="G19413" s="2">
        <v>0</v>
      </c>
      <c r="H19413" s="1" t="s">
        <v>0</v>
      </c>
      <c r="I19413" s="2">
        <v>0</v>
      </c>
      <c r="J19413" s="1">
        <v>45939.647719907407</v>
      </c>
    </row>
    <row r="19414" spans="1:10" x14ac:dyDescent="0.2">
      <c r="A19414" s="4" t="s">
        <v>1</v>
      </c>
      <c r="B194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14" s="3" t="str">
        <f>HYPERLINK("https://otsuka-europe-crm.veevavault.com/ui/#object/sent_email__v/VBLZ025E82HGLZP", "SE-000285479")</f>
        <v>SE-000285479</v>
      </c>
      <c r="D19414" s="1" t="s">
        <v>0</v>
      </c>
      <c r="E19414" s="2">
        <v>0</v>
      </c>
      <c r="F19414" s="2">
        <v>0</v>
      </c>
      <c r="G19414" s="2">
        <v>0</v>
      </c>
      <c r="H19414" s="1" t="s">
        <v>0</v>
      </c>
      <c r="I19414" s="2">
        <v>0</v>
      </c>
      <c r="J19414" s="1">
        <v>45939.647731481484</v>
      </c>
    </row>
    <row r="19415" spans="1:10" x14ac:dyDescent="0.2">
      <c r="A19415" s="4" t="s">
        <v>1</v>
      </c>
      <c r="B194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15" s="3" t="str">
        <f>HYPERLINK("https://otsuka-europe-crm.veevavault.com/ui/#object/sent_email__v/VBLZ025E82HGLZQ", "SE-000285480")</f>
        <v>SE-000285480</v>
      </c>
      <c r="D19415" s="1" t="s">
        <v>0</v>
      </c>
      <c r="E19415" s="2">
        <v>0</v>
      </c>
      <c r="F19415" s="2">
        <v>0</v>
      </c>
      <c r="G19415" s="2">
        <v>0</v>
      </c>
      <c r="H19415" s="1" t="s">
        <v>0</v>
      </c>
      <c r="I19415" s="2">
        <v>0</v>
      </c>
      <c r="J19415" s="1">
        <v>45939.647743055553</v>
      </c>
    </row>
    <row r="19416" spans="1:10" x14ac:dyDescent="0.2">
      <c r="A19416" s="4" t="s">
        <v>1</v>
      </c>
      <c r="B194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16" s="3" t="str">
        <f>HYPERLINK("https://otsuka-europe-crm.veevavault.com/ui/#object/sent_email__v/VBLZ025E82HGLZR", "SE-000285481")</f>
        <v>SE-000285481</v>
      </c>
      <c r="D19416" s="1" t="s">
        <v>0</v>
      </c>
      <c r="E19416" s="2">
        <v>0</v>
      </c>
      <c r="F19416" s="2">
        <v>0</v>
      </c>
      <c r="G19416" s="2">
        <v>0</v>
      </c>
      <c r="H19416" s="1" t="s">
        <v>0</v>
      </c>
      <c r="I19416" s="2">
        <v>0</v>
      </c>
      <c r="J19416" s="1">
        <v>45939.64775462963</v>
      </c>
    </row>
    <row r="19417" spans="1:10" x14ac:dyDescent="0.2">
      <c r="A19417" s="4" t="s">
        <v>1</v>
      </c>
      <c r="B194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17" s="3" t="str">
        <f>HYPERLINK("https://otsuka-europe-crm.veevavault.com/ui/#object/sent_email__v/VBLZ025E82HGLZS", "SE-000285482")</f>
        <v>SE-000285482</v>
      </c>
      <c r="D19417" s="1">
        <v>45939.715648148151</v>
      </c>
      <c r="E19417" s="2">
        <v>1</v>
      </c>
      <c r="F19417" s="2">
        <v>1</v>
      </c>
      <c r="G19417" s="2">
        <v>0</v>
      </c>
      <c r="H19417" s="1" t="s">
        <v>0</v>
      </c>
      <c r="I19417" s="2">
        <v>0</v>
      </c>
      <c r="J19417" s="1">
        <v>45939.647766203707</v>
      </c>
    </row>
    <row r="19418" spans="1:10" x14ac:dyDescent="0.2">
      <c r="A19418" s="4" t="s">
        <v>1</v>
      </c>
      <c r="B194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18" s="3" t="str">
        <f>HYPERLINK("https://otsuka-europe-crm.veevavault.com/ui/#object/sent_email__v/VBLZ025E82HGLZT", "SE-000285483")</f>
        <v>SE-000285483</v>
      </c>
      <c r="D19418" s="1" t="s">
        <v>0</v>
      </c>
      <c r="E19418" s="2">
        <v>0</v>
      </c>
      <c r="F19418" s="2">
        <v>0</v>
      </c>
      <c r="G19418" s="2">
        <v>0</v>
      </c>
      <c r="H19418" s="1" t="s">
        <v>0</v>
      </c>
      <c r="I19418" s="2">
        <v>0</v>
      </c>
      <c r="J19418" s="1">
        <v>45939.647766203707</v>
      </c>
    </row>
    <row r="19419" spans="1:10" x14ac:dyDescent="0.2">
      <c r="A19419" s="4" t="s">
        <v>1</v>
      </c>
      <c r="B194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19" s="3" t="str">
        <f>HYPERLINK("https://otsuka-europe-crm.veevavault.com/ui/#object/sent_email__v/VBLZ025E82HGLZU", "SE-000285484")</f>
        <v>SE-000285484</v>
      </c>
      <c r="D19419" s="1" t="s">
        <v>0</v>
      </c>
      <c r="E19419" s="2">
        <v>0</v>
      </c>
      <c r="F19419" s="2">
        <v>0</v>
      </c>
      <c r="G19419" s="2">
        <v>0</v>
      </c>
      <c r="H19419" s="1" t="s">
        <v>0</v>
      </c>
      <c r="I19419" s="2">
        <v>0</v>
      </c>
      <c r="J19419" s="1">
        <v>45939.647777777776</v>
      </c>
    </row>
    <row r="19420" spans="1:10" x14ac:dyDescent="0.2">
      <c r="A19420" s="4" t="s">
        <v>1</v>
      </c>
      <c r="B194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20" s="3" t="str">
        <f>HYPERLINK("https://otsuka-europe-crm.veevavault.com/ui/#object/sent_email__v/VBLZ025E82HGLZV", "SE-000285485")</f>
        <v>SE-000285485</v>
      </c>
      <c r="D19420" s="1" t="s">
        <v>0</v>
      </c>
      <c r="E19420" s="2">
        <v>0</v>
      </c>
      <c r="F19420" s="2">
        <v>0</v>
      </c>
      <c r="G19420" s="2">
        <v>0</v>
      </c>
      <c r="H19420" s="1" t="s">
        <v>0</v>
      </c>
      <c r="I19420" s="2">
        <v>0</v>
      </c>
      <c r="J19420" s="1">
        <v>45939.647789351853</v>
      </c>
    </row>
    <row r="19421" spans="1:10" x14ac:dyDescent="0.2">
      <c r="A19421" s="4" t="s">
        <v>1</v>
      </c>
      <c r="B194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21" s="3" t="str">
        <f>HYPERLINK("https://otsuka-europe-crm.veevavault.com/ui/#object/sent_email__v/VBLZ025E82HGLZW", "SE-000285486")</f>
        <v>SE-000285486</v>
      </c>
      <c r="D19421" s="1" t="s">
        <v>0</v>
      </c>
      <c r="E19421" s="2">
        <v>0</v>
      </c>
      <c r="F19421" s="2">
        <v>0</v>
      </c>
      <c r="G19421" s="2">
        <v>0</v>
      </c>
      <c r="H19421" s="1" t="s">
        <v>0</v>
      </c>
      <c r="I19421" s="2">
        <v>0</v>
      </c>
      <c r="J19421" s="1">
        <v>45939.647800925923</v>
      </c>
    </row>
    <row r="19422" spans="1:10" x14ac:dyDescent="0.2">
      <c r="A19422" s="4" t="s">
        <v>1</v>
      </c>
      <c r="B194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22" s="3" t="str">
        <f>HYPERLINK("https://otsuka-europe-crm.veevavault.com/ui/#object/sent_email__v/VBLZ025E82HGLZX", "SE-000285487")</f>
        <v>SE-000285487</v>
      </c>
      <c r="D19422" s="1" t="s">
        <v>0</v>
      </c>
      <c r="E19422" s="2">
        <v>0</v>
      </c>
      <c r="F19422" s="2">
        <v>0</v>
      </c>
      <c r="G19422" s="2">
        <v>0</v>
      </c>
      <c r="H19422" s="1" t="s">
        <v>0</v>
      </c>
      <c r="I19422" s="2">
        <v>0</v>
      </c>
      <c r="J19422" s="1">
        <v>45939.647812499999</v>
      </c>
    </row>
    <row r="19423" spans="1:10" x14ac:dyDescent="0.2">
      <c r="A19423" s="4" t="s">
        <v>1</v>
      </c>
      <c r="B194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23" s="3" t="str">
        <f>HYPERLINK("https://otsuka-europe-crm.veevavault.com/ui/#object/sent_email__v/VBLZ025E82HGLZY", "SE-000285488")</f>
        <v>SE-000285488</v>
      </c>
      <c r="D19423" s="1" t="s">
        <v>0</v>
      </c>
      <c r="E19423" s="2">
        <v>0</v>
      </c>
      <c r="F19423" s="2">
        <v>0</v>
      </c>
      <c r="G19423" s="2">
        <v>0</v>
      </c>
      <c r="H19423" s="1" t="s">
        <v>0</v>
      </c>
      <c r="I19423" s="2">
        <v>0</v>
      </c>
      <c r="J19423" s="1">
        <v>45939.647824074076</v>
      </c>
    </row>
    <row r="19424" spans="1:10" x14ac:dyDescent="0.2">
      <c r="A19424" s="4" t="s">
        <v>1</v>
      </c>
      <c r="B194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24" s="3" t="str">
        <f>HYPERLINK("https://otsuka-europe-crm.veevavault.com/ui/#object/sent_email__v/VBLZ025E82HGLZZ", "SE-000285489")</f>
        <v>SE-000285489</v>
      </c>
      <c r="D19424" s="1" t="s">
        <v>0</v>
      </c>
      <c r="E19424" s="2">
        <v>0</v>
      </c>
      <c r="F19424" s="2">
        <v>0</v>
      </c>
      <c r="G19424" s="2">
        <v>0</v>
      </c>
      <c r="H19424" s="1" t="s">
        <v>0</v>
      </c>
      <c r="I19424" s="2">
        <v>0</v>
      </c>
      <c r="J19424" s="1">
        <v>45939.647835648146</v>
      </c>
    </row>
    <row r="19425" spans="1:10" x14ac:dyDescent="0.2">
      <c r="A19425" s="4" t="s">
        <v>1</v>
      </c>
      <c r="B194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25" s="3" t="str">
        <f>HYPERLINK("https://otsuka-europe-crm.veevavault.com/ui/#object/sent_email__v/VBLZ025E82HGM00", "SE-000285490")</f>
        <v>SE-000285490</v>
      </c>
      <c r="D19425" s="1">
        <v>45946.626157407409</v>
      </c>
      <c r="E19425" s="2">
        <v>1</v>
      </c>
      <c r="F19425" s="2">
        <v>2</v>
      </c>
      <c r="G19425" s="2">
        <v>0</v>
      </c>
      <c r="H19425" s="1" t="s">
        <v>0</v>
      </c>
      <c r="I19425" s="2">
        <v>0</v>
      </c>
      <c r="J19425" s="1">
        <v>45939.647847222222</v>
      </c>
    </row>
    <row r="19426" spans="1:10" x14ac:dyDescent="0.2">
      <c r="A19426" s="4" t="s">
        <v>1</v>
      </c>
      <c r="B194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26" s="3" t="str">
        <f>HYPERLINK("https://otsuka-europe-crm.veevavault.com/ui/#object/sent_email__v/VBLZ025E82HGM01", "SE-000285491")</f>
        <v>SE-000285491</v>
      </c>
      <c r="D19426" s="1" t="s">
        <v>0</v>
      </c>
      <c r="E19426" s="2">
        <v>0</v>
      </c>
      <c r="F19426" s="2">
        <v>0</v>
      </c>
      <c r="G19426" s="2">
        <v>0</v>
      </c>
      <c r="H19426" s="1" t="s">
        <v>0</v>
      </c>
      <c r="I19426" s="2">
        <v>0</v>
      </c>
      <c r="J19426" s="1">
        <v>45939.647858796299</v>
      </c>
    </row>
    <row r="19427" spans="1:10" x14ac:dyDescent="0.2">
      <c r="A19427" s="4" t="s">
        <v>1</v>
      </c>
      <c r="B194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27" s="3" t="str">
        <f>HYPERLINK("https://otsuka-europe-crm.veevavault.com/ui/#object/sent_email__v/VBLZ025E82HGM02", "SE-000285492")</f>
        <v>SE-000285492</v>
      </c>
      <c r="D19427" s="1">
        <v>45939.895532407405</v>
      </c>
      <c r="E19427" s="2">
        <v>1</v>
      </c>
      <c r="F19427" s="2">
        <v>1</v>
      </c>
      <c r="G19427" s="2">
        <v>0</v>
      </c>
      <c r="H19427" s="1" t="s">
        <v>0</v>
      </c>
      <c r="I19427" s="2">
        <v>0</v>
      </c>
      <c r="J19427" s="1">
        <v>45939.647870370369</v>
      </c>
    </row>
    <row r="19428" spans="1:10" x14ac:dyDescent="0.2">
      <c r="A19428" s="4" t="s">
        <v>1</v>
      </c>
      <c r="B194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28" s="3" t="str">
        <f>HYPERLINK("https://otsuka-europe-crm.veevavault.com/ui/#object/sent_email__v/VBLZ025E82HGM03", "SE-000285493")</f>
        <v>SE-000285493</v>
      </c>
      <c r="D19428" s="1">
        <v>45951.732824074075</v>
      </c>
      <c r="E19428" s="2">
        <v>1</v>
      </c>
      <c r="F19428" s="2">
        <v>2</v>
      </c>
      <c r="G19428" s="2">
        <v>0</v>
      </c>
      <c r="H19428" s="1" t="s">
        <v>0</v>
      </c>
      <c r="I19428" s="2">
        <v>0</v>
      </c>
      <c r="J19428" s="1">
        <v>45939.647881944446</v>
      </c>
    </row>
    <row r="19429" spans="1:10" x14ac:dyDescent="0.2">
      <c r="A19429" s="4" t="s">
        <v>1</v>
      </c>
      <c r="B194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29" s="3" t="str">
        <f>HYPERLINK("https://otsuka-europe-crm.veevavault.com/ui/#object/sent_email__v/VBLZ025E82HGM04", "SE-000285494")</f>
        <v>SE-000285494</v>
      </c>
      <c r="D19429" s="1">
        <v>45939.709745370368</v>
      </c>
      <c r="E19429" s="2">
        <v>1</v>
      </c>
      <c r="F19429" s="2">
        <v>1</v>
      </c>
      <c r="G19429" s="2">
        <v>0</v>
      </c>
      <c r="H19429" s="1" t="s">
        <v>0</v>
      </c>
      <c r="I19429" s="2">
        <v>0</v>
      </c>
      <c r="J19429" s="1">
        <v>45939.647893518515</v>
      </c>
    </row>
    <row r="19430" spans="1:10" x14ac:dyDescent="0.2">
      <c r="A19430" s="4" t="s">
        <v>1</v>
      </c>
      <c r="B194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30" s="3" t="str">
        <f>HYPERLINK("https://otsuka-europe-crm.veevavault.com/ui/#object/sent_email__v/VBLZ025E82HGM05", "SE-000285495")</f>
        <v>SE-000285495</v>
      </c>
      <c r="D19430" s="1">
        <v>45975.431296296294</v>
      </c>
      <c r="E19430" s="2">
        <v>1</v>
      </c>
      <c r="F19430" s="2">
        <v>4</v>
      </c>
      <c r="G19430" s="2">
        <v>0</v>
      </c>
      <c r="H19430" s="1" t="s">
        <v>0</v>
      </c>
      <c r="I19430" s="2">
        <v>0</v>
      </c>
      <c r="J19430" s="1">
        <v>45939.647905092592</v>
      </c>
    </row>
    <row r="19431" spans="1:10" x14ac:dyDescent="0.2">
      <c r="A19431" s="4" t="s">
        <v>1</v>
      </c>
      <c r="B194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31" s="3" t="str">
        <f>HYPERLINK("https://otsuka-europe-crm.veevavault.com/ui/#object/sent_email__v/VBLZ025E82HGM06", "SE-000285496")</f>
        <v>SE-000285496</v>
      </c>
      <c r="D19431" s="1" t="s">
        <v>0</v>
      </c>
      <c r="E19431" s="2">
        <v>0</v>
      </c>
      <c r="F19431" s="2">
        <v>0</v>
      </c>
      <c r="G19431" s="2">
        <v>0</v>
      </c>
      <c r="H19431" s="1" t="s">
        <v>0</v>
      </c>
      <c r="I19431" s="2">
        <v>0</v>
      </c>
      <c r="J19431" s="1">
        <v>45939.647905092592</v>
      </c>
    </row>
    <row r="19432" spans="1:10" x14ac:dyDescent="0.2">
      <c r="A19432" s="4" t="s">
        <v>1</v>
      </c>
      <c r="B194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32" s="3" t="str">
        <f>HYPERLINK("https://otsuka-europe-crm.veevavault.com/ui/#object/sent_email__v/VBLZ025E82HGM07", "SE-000285497")</f>
        <v>SE-000285497</v>
      </c>
      <c r="D19432" s="1" t="s">
        <v>0</v>
      </c>
      <c r="E19432" s="2">
        <v>0</v>
      </c>
      <c r="F19432" s="2">
        <v>0</v>
      </c>
      <c r="G19432" s="2">
        <v>0</v>
      </c>
      <c r="H19432" s="1" t="s">
        <v>0</v>
      </c>
      <c r="I19432" s="2">
        <v>0</v>
      </c>
      <c r="J19432" s="1">
        <v>45939.647928240738</v>
      </c>
    </row>
    <row r="19433" spans="1:10" x14ac:dyDescent="0.2">
      <c r="A19433" s="4" t="s">
        <v>1</v>
      </c>
      <c r="B194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33" s="3" t="str">
        <f>HYPERLINK("https://otsuka-europe-crm.veevavault.com/ui/#object/sent_email__v/VBLZ025E82HGM08", "SE-000285498")</f>
        <v>SE-000285498</v>
      </c>
      <c r="D19433" s="1" t="s">
        <v>0</v>
      </c>
      <c r="E19433" s="2">
        <v>0</v>
      </c>
      <c r="F19433" s="2">
        <v>0</v>
      </c>
      <c r="G19433" s="2">
        <v>0</v>
      </c>
      <c r="H19433" s="1" t="s">
        <v>0</v>
      </c>
      <c r="I19433" s="2">
        <v>0</v>
      </c>
      <c r="J19433" s="1">
        <v>45939.647928240738</v>
      </c>
    </row>
    <row r="19434" spans="1:10" x14ac:dyDescent="0.2">
      <c r="A19434" s="4" t="s">
        <v>1</v>
      </c>
      <c r="B194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34" s="3" t="str">
        <f>HYPERLINK("https://otsuka-europe-crm.veevavault.com/ui/#object/sent_email__v/VBLZ025E82HGM09", "SE-000285499")</f>
        <v>SE-000285499</v>
      </c>
      <c r="D19434" s="1" t="s">
        <v>0</v>
      </c>
      <c r="E19434" s="2">
        <v>0</v>
      </c>
      <c r="F19434" s="2">
        <v>0</v>
      </c>
      <c r="G19434" s="2">
        <v>0</v>
      </c>
      <c r="H19434" s="1" t="s">
        <v>0</v>
      </c>
      <c r="I19434" s="2">
        <v>0</v>
      </c>
      <c r="J19434" s="1">
        <v>45939.647939814815</v>
      </c>
    </row>
    <row r="19435" spans="1:10" x14ac:dyDescent="0.2">
      <c r="A19435" s="4" t="s">
        <v>1</v>
      </c>
      <c r="B194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35" s="3" t="str">
        <f>HYPERLINK("https://otsuka-europe-crm.veevavault.com/ui/#object/sent_email__v/VBLZ025E82HGM0A", "SE-000285500")</f>
        <v>SE-000285500</v>
      </c>
      <c r="D19435" s="1" t="s">
        <v>0</v>
      </c>
      <c r="E19435" s="2">
        <v>0</v>
      </c>
      <c r="F19435" s="2">
        <v>0</v>
      </c>
      <c r="G19435" s="2">
        <v>0</v>
      </c>
      <c r="H19435" s="1" t="s">
        <v>0</v>
      </c>
      <c r="I19435" s="2">
        <v>0</v>
      </c>
      <c r="J19435" s="1">
        <v>45939.647951388892</v>
      </c>
    </row>
    <row r="19436" spans="1:10" x14ac:dyDescent="0.2">
      <c r="A19436" s="4" t="s">
        <v>1</v>
      </c>
      <c r="B194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36" s="3" t="str">
        <f>HYPERLINK("https://otsuka-europe-crm.veevavault.com/ui/#object/sent_email__v/VBLZ025E82HGM0B", "SE-000285501")</f>
        <v>SE-000285501</v>
      </c>
      <c r="D19436" s="1" t="s">
        <v>0</v>
      </c>
      <c r="E19436" s="2">
        <v>0</v>
      </c>
      <c r="F19436" s="2">
        <v>0</v>
      </c>
      <c r="G19436" s="2">
        <v>0</v>
      </c>
      <c r="H19436" s="1" t="s">
        <v>0</v>
      </c>
      <c r="I19436" s="2">
        <v>0</v>
      </c>
      <c r="J19436" s="1">
        <v>45939.647951388892</v>
      </c>
    </row>
    <row r="19437" spans="1:10" x14ac:dyDescent="0.2">
      <c r="A19437" s="4" t="s">
        <v>1</v>
      </c>
      <c r="B194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37" s="3" t="str">
        <f>HYPERLINK("https://otsuka-europe-crm.veevavault.com/ui/#object/sent_email__v/VBLZ025E82HGM0C", "SE-000285502")</f>
        <v>SE-000285502</v>
      </c>
      <c r="D19437" s="1" t="s">
        <v>0</v>
      </c>
      <c r="E19437" s="2">
        <v>0</v>
      </c>
      <c r="F19437" s="2">
        <v>0</v>
      </c>
      <c r="G19437" s="2">
        <v>0</v>
      </c>
      <c r="H19437" s="1" t="s">
        <v>0</v>
      </c>
      <c r="I19437" s="2">
        <v>0</v>
      </c>
      <c r="J19437" s="1">
        <v>45939.647962962961</v>
      </c>
    </row>
    <row r="19438" spans="1:10" x14ac:dyDescent="0.2">
      <c r="A19438" s="4" t="s">
        <v>1</v>
      </c>
      <c r="B194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38" s="3" t="str">
        <f>HYPERLINK("https://otsuka-europe-crm.veevavault.com/ui/#object/sent_email__v/VBLZ025E82HGM0D", "SE-000285503")</f>
        <v>SE-000285503</v>
      </c>
      <c r="D19438" s="1">
        <v>45944.317210648151</v>
      </c>
      <c r="E19438" s="2">
        <v>1</v>
      </c>
      <c r="F19438" s="2">
        <v>1</v>
      </c>
      <c r="G19438" s="2">
        <v>0</v>
      </c>
      <c r="H19438" s="1" t="s">
        <v>0</v>
      </c>
      <c r="I19438" s="2">
        <v>0</v>
      </c>
      <c r="J19438" s="1">
        <v>45939.647974537038</v>
      </c>
    </row>
    <row r="19439" spans="1:10" x14ac:dyDescent="0.2">
      <c r="A19439" s="4" t="s">
        <v>1</v>
      </c>
      <c r="B194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39" s="3" t="str">
        <f>HYPERLINK("https://otsuka-europe-crm.veevavault.com/ui/#object/sent_email__v/VBLZ025E82HGM0E", "SE-000285504")</f>
        <v>SE-000285504</v>
      </c>
      <c r="D19439" s="1">
        <v>45939.786030092589</v>
      </c>
      <c r="E19439" s="2">
        <v>1</v>
      </c>
      <c r="F19439" s="2">
        <v>1</v>
      </c>
      <c r="G19439" s="2">
        <v>0</v>
      </c>
      <c r="H19439" s="1" t="s">
        <v>0</v>
      </c>
      <c r="I19439" s="2">
        <v>0</v>
      </c>
      <c r="J19439" s="1">
        <v>45939.647986111115</v>
      </c>
    </row>
    <row r="19440" spans="1:10" x14ac:dyDescent="0.2">
      <c r="A19440" s="4" t="s">
        <v>1</v>
      </c>
      <c r="B194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40" s="3" t="str">
        <f>HYPERLINK("https://otsuka-europe-crm.veevavault.com/ui/#object/sent_email__v/VBLZ025E82HGM0F", "SE-000285505")</f>
        <v>SE-000285505</v>
      </c>
      <c r="D19440" s="1" t="s">
        <v>0</v>
      </c>
      <c r="E19440" s="2">
        <v>0</v>
      </c>
      <c r="F19440" s="2">
        <v>0</v>
      </c>
      <c r="G19440" s="2">
        <v>0</v>
      </c>
      <c r="H19440" s="1" t="s">
        <v>0</v>
      </c>
      <c r="I19440" s="2">
        <v>0</v>
      </c>
      <c r="J19440" s="1">
        <v>45939.647997685184</v>
      </c>
    </row>
    <row r="19441" spans="1:10" x14ac:dyDescent="0.2">
      <c r="A19441" s="4" t="s">
        <v>1</v>
      </c>
      <c r="B194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41" s="3" t="str">
        <f>HYPERLINK("https://otsuka-europe-crm.veevavault.com/ui/#object/sent_email__v/VBLZ025E82HGM0G", "SE-000285506")</f>
        <v>SE-000285506</v>
      </c>
      <c r="D19441" s="1">
        <v>45981.684895833336</v>
      </c>
      <c r="E19441" s="2">
        <v>1</v>
      </c>
      <c r="F19441" s="2">
        <v>1</v>
      </c>
      <c r="G19441" s="2">
        <v>0</v>
      </c>
      <c r="H19441" s="1" t="s">
        <v>0</v>
      </c>
      <c r="I19441" s="2">
        <v>0</v>
      </c>
      <c r="J19441" s="1">
        <v>45939.648009259261</v>
      </c>
    </row>
    <row r="19442" spans="1:10" x14ac:dyDescent="0.2">
      <c r="A19442" s="4" t="s">
        <v>1</v>
      </c>
      <c r="B194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42" s="3" t="str">
        <f>HYPERLINK("https://otsuka-europe-crm.veevavault.com/ui/#object/sent_email__v/VBLZ025E82HGM0H", "SE-000285507")</f>
        <v>SE-000285507</v>
      </c>
      <c r="D19442" s="1" t="s">
        <v>0</v>
      </c>
      <c r="E19442" s="2">
        <v>0</v>
      </c>
      <c r="F19442" s="2">
        <v>0</v>
      </c>
      <c r="G19442" s="2">
        <v>0</v>
      </c>
      <c r="H19442" s="1" t="s">
        <v>0</v>
      </c>
      <c r="I19442" s="2">
        <v>0</v>
      </c>
      <c r="J19442" s="1">
        <v>45939.648009259261</v>
      </c>
    </row>
    <row r="19443" spans="1:10" x14ac:dyDescent="0.2">
      <c r="A19443" s="4" t="s">
        <v>1</v>
      </c>
      <c r="B194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43" s="3" t="str">
        <f>HYPERLINK("https://otsuka-europe-crm.veevavault.com/ui/#object/sent_email__v/VBLZ025E82HGM0I", "SE-000285508")</f>
        <v>SE-000285508</v>
      </c>
      <c r="D19443" s="1" t="s">
        <v>0</v>
      </c>
      <c r="E19443" s="2">
        <v>0</v>
      </c>
      <c r="F19443" s="2">
        <v>0</v>
      </c>
      <c r="G19443" s="2">
        <v>0</v>
      </c>
      <c r="H19443" s="1" t="s">
        <v>0</v>
      </c>
      <c r="I19443" s="2">
        <v>0</v>
      </c>
      <c r="J19443" s="1">
        <v>45939.648020833331</v>
      </c>
    </row>
    <row r="19444" spans="1:10" x14ac:dyDescent="0.2">
      <c r="A19444" s="4" t="s">
        <v>1</v>
      </c>
      <c r="B194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44" s="3" t="str">
        <f>HYPERLINK("https://otsuka-europe-crm.veevavault.com/ui/#object/sent_email__v/VBLZ025E82HGM0J", "SE-000285509")</f>
        <v>SE-000285509</v>
      </c>
      <c r="D19444" s="1" t="s">
        <v>0</v>
      </c>
      <c r="E19444" s="2">
        <v>0</v>
      </c>
      <c r="F19444" s="2">
        <v>0</v>
      </c>
      <c r="G19444" s="2">
        <v>0</v>
      </c>
      <c r="H19444" s="1" t="s">
        <v>0</v>
      </c>
      <c r="I19444" s="2">
        <v>0</v>
      </c>
      <c r="J19444" s="1">
        <v>45939.648032407407</v>
      </c>
    </row>
    <row r="19445" spans="1:10" x14ac:dyDescent="0.2">
      <c r="A19445" s="4" t="s">
        <v>1</v>
      </c>
      <c r="B194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45" s="3" t="str">
        <f>HYPERLINK("https://otsuka-europe-crm.veevavault.com/ui/#object/sent_email__v/VBLZ025E82HGM0K", "SE-000285510")</f>
        <v>SE-000285510</v>
      </c>
      <c r="D19445" s="1" t="s">
        <v>0</v>
      </c>
      <c r="E19445" s="2">
        <v>0</v>
      </c>
      <c r="F19445" s="2">
        <v>0</v>
      </c>
      <c r="G19445" s="2">
        <v>0</v>
      </c>
      <c r="H19445" s="1" t="s">
        <v>0</v>
      </c>
      <c r="I19445" s="2">
        <v>0</v>
      </c>
      <c r="J19445" s="1">
        <v>45939.648043981484</v>
      </c>
    </row>
    <row r="19446" spans="1:10" x14ac:dyDescent="0.2">
      <c r="A19446" s="4" t="s">
        <v>1</v>
      </c>
      <c r="B194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46" s="3" t="str">
        <f>HYPERLINK("https://otsuka-europe-crm.veevavault.com/ui/#object/sent_email__v/VBLZ025E82HGM0L", "SE-000285511")</f>
        <v>SE-000285511</v>
      </c>
      <c r="D19446" s="1">
        <v>45939.770185185182</v>
      </c>
      <c r="E19446" s="2">
        <v>1</v>
      </c>
      <c r="F19446" s="2">
        <v>1</v>
      </c>
      <c r="G19446" s="2">
        <v>0</v>
      </c>
      <c r="H19446" s="1" t="s">
        <v>0</v>
      </c>
      <c r="I19446" s="2">
        <v>0</v>
      </c>
      <c r="J19446" s="1">
        <v>45939.648055555554</v>
      </c>
    </row>
    <row r="19447" spans="1:10" x14ac:dyDescent="0.2">
      <c r="A19447" s="4" t="s">
        <v>1</v>
      </c>
      <c r="B194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47" s="3" t="str">
        <f>HYPERLINK("https://otsuka-europe-crm.veevavault.com/ui/#object/sent_email__v/VBLZ025E82HGM0M", "SE-000285512")</f>
        <v>SE-000285512</v>
      </c>
      <c r="D19447" s="1">
        <v>45939.861712962964</v>
      </c>
      <c r="E19447" s="2">
        <v>1</v>
      </c>
      <c r="F19447" s="2">
        <v>5</v>
      </c>
      <c r="G19447" s="2">
        <v>0</v>
      </c>
      <c r="H19447" s="1" t="s">
        <v>0</v>
      </c>
      <c r="I19447" s="2">
        <v>0</v>
      </c>
      <c r="J19447" s="1">
        <v>45939.64806712963</v>
      </c>
    </row>
    <row r="19448" spans="1:10" x14ac:dyDescent="0.2">
      <c r="A19448" s="4" t="s">
        <v>1</v>
      </c>
      <c r="B194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48" s="3" t="str">
        <f>HYPERLINK("https://otsuka-europe-crm.veevavault.com/ui/#object/sent_email__v/VBLZ025E82HGM0N", "SE-000285513")</f>
        <v>SE-000285513</v>
      </c>
      <c r="D19448" s="1">
        <v>45939.975381944445</v>
      </c>
      <c r="E19448" s="2">
        <v>1</v>
      </c>
      <c r="F19448" s="2">
        <v>2</v>
      </c>
      <c r="G19448" s="2">
        <v>1</v>
      </c>
      <c r="H19448" s="1">
        <v>45939.975601851853</v>
      </c>
      <c r="I19448" s="2">
        <v>1</v>
      </c>
      <c r="J19448" s="1">
        <v>45939.64806712963</v>
      </c>
    </row>
    <row r="19449" spans="1:10" x14ac:dyDescent="0.2">
      <c r="A19449" s="4" t="s">
        <v>1</v>
      </c>
      <c r="B194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49" s="3" t="str">
        <f>HYPERLINK("https://otsuka-europe-crm.veevavault.com/ui/#object/sent_email__v/VBLZ025E82HGM0O", "SE-000285514")</f>
        <v>SE-000285514</v>
      </c>
      <c r="D19449" s="1">
        <v>45939.653437499997</v>
      </c>
      <c r="E19449" s="2">
        <v>1</v>
      </c>
      <c r="F19449" s="2">
        <v>2</v>
      </c>
      <c r="G19449" s="2">
        <v>0</v>
      </c>
      <c r="H19449" s="1" t="s">
        <v>0</v>
      </c>
      <c r="I19449" s="2">
        <v>0</v>
      </c>
      <c r="J19449" s="1">
        <v>45939.648078703707</v>
      </c>
    </row>
    <row r="19450" spans="1:10" x14ac:dyDescent="0.2">
      <c r="A19450" s="4" t="s">
        <v>1</v>
      </c>
      <c r="B194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50" s="3" t="str">
        <f>HYPERLINK("https://otsuka-europe-crm.veevavault.com/ui/#object/sent_email__v/VBLZ025E82HGM0P", "SE-000285515")</f>
        <v>SE-000285515</v>
      </c>
      <c r="D19450" s="1">
        <v>45940.094699074078</v>
      </c>
      <c r="E19450" s="2">
        <v>1</v>
      </c>
      <c r="F19450" s="2">
        <v>1</v>
      </c>
      <c r="G19450" s="2">
        <v>0</v>
      </c>
      <c r="H19450" s="1" t="s">
        <v>0</v>
      </c>
      <c r="I19450" s="2">
        <v>0</v>
      </c>
      <c r="J19450" s="1">
        <v>45939.648090277777</v>
      </c>
    </row>
    <row r="19451" spans="1:10" x14ac:dyDescent="0.2">
      <c r="A19451" s="4" t="s">
        <v>1</v>
      </c>
      <c r="B194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51" s="3" t="str">
        <f>HYPERLINK("https://otsuka-europe-crm.veevavault.com/ui/#object/sent_email__v/VBLZ025E82HGM0Q", "SE-000285516")</f>
        <v>SE-000285516</v>
      </c>
      <c r="D19451" s="1">
        <v>45939.82099537037</v>
      </c>
      <c r="E19451" s="2">
        <v>1</v>
      </c>
      <c r="F19451" s="2">
        <v>1</v>
      </c>
      <c r="G19451" s="2">
        <v>0</v>
      </c>
      <c r="H19451" s="1" t="s">
        <v>0</v>
      </c>
      <c r="I19451" s="2">
        <v>0</v>
      </c>
      <c r="J19451" s="1">
        <v>45939.648101851853</v>
      </c>
    </row>
    <row r="19452" spans="1:10" x14ac:dyDescent="0.2">
      <c r="A19452" s="4" t="s">
        <v>1</v>
      </c>
      <c r="B194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52" s="3" t="str">
        <f>HYPERLINK("https://otsuka-europe-crm.veevavault.com/ui/#object/sent_email__v/VBLZ025E82HGM0R", "SE-000285517")</f>
        <v>SE-000285517</v>
      </c>
      <c r="D19452" s="1">
        <v>45940.307245370372</v>
      </c>
      <c r="E19452" s="2">
        <v>1</v>
      </c>
      <c r="F19452" s="2">
        <v>2</v>
      </c>
      <c r="G19452" s="2">
        <v>0</v>
      </c>
      <c r="H19452" s="1" t="s">
        <v>0</v>
      </c>
      <c r="I19452" s="2">
        <v>0</v>
      </c>
      <c r="J19452" s="1">
        <v>45939.648113425923</v>
      </c>
    </row>
    <row r="19453" spans="1:10" x14ac:dyDescent="0.2">
      <c r="A19453" s="4" t="s">
        <v>1</v>
      </c>
      <c r="B194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53" s="3" t="str">
        <f>HYPERLINK("https://otsuka-europe-crm.veevavault.com/ui/#object/sent_email__v/VBLZ025E82HGM0S", "SE-000285518")</f>
        <v>SE-000285518</v>
      </c>
      <c r="D19453" s="1">
        <v>45939.680763888886</v>
      </c>
      <c r="E19453" s="2">
        <v>1</v>
      </c>
      <c r="F19453" s="2">
        <v>1</v>
      </c>
      <c r="G19453" s="2">
        <v>0</v>
      </c>
      <c r="H19453" s="1" t="s">
        <v>0</v>
      </c>
      <c r="I19453" s="2">
        <v>0</v>
      </c>
      <c r="J19453" s="1">
        <v>45939.648125</v>
      </c>
    </row>
    <row r="19454" spans="1:10" x14ac:dyDescent="0.2">
      <c r="A19454" s="4" t="s">
        <v>1</v>
      </c>
      <c r="B194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54" s="3" t="str">
        <f>HYPERLINK("https://otsuka-europe-crm.veevavault.com/ui/#object/sent_email__v/VBLZ025E82HGM0T", "SE-000285519")</f>
        <v>SE-000285519</v>
      </c>
      <c r="D19454" s="1" t="s">
        <v>0</v>
      </c>
      <c r="E19454" s="2">
        <v>0</v>
      </c>
      <c r="F19454" s="2">
        <v>0</v>
      </c>
      <c r="G19454" s="2">
        <v>0</v>
      </c>
      <c r="H19454" s="1" t="s">
        <v>0</v>
      </c>
      <c r="I19454" s="2">
        <v>0</v>
      </c>
      <c r="J19454" s="1">
        <v>45939.648136574076</v>
      </c>
    </row>
    <row r="19455" spans="1:10" x14ac:dyDescent="0.2">
      <c r="A19455" s="4" t="s">
        <v>1</v>
      </c>
      <c r="B194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55" s="3" t="str">
        <f>HYPERLINK("https://otsuka-europe-crm.veevavault.com/ui/#object/sent_email__v/VBLZ025E82HGM0U", "SE-000285520")</f>
        <v>SE-000285520</v>
      </c>
      <c r="D19455" s="1">
        <v>45953.081006944441</v>
      </c>
      <c r="E19455" s="2">
        <v>1</v>
      </c>
      <c r="F19455" s="2">
        <v>1</v>
      </c>
      <c r="G19455" s="2">
        <v>0</v>
      </c>
      <c r="H19455" s="1" t="s">
        <v>0</v>
      </c>
      <c r="I19455" s="2">
        <v>0</v>
      </c>
      <c r="J19455" s="1">
        <v>45939.648136574076</v>
      </c>
    </row>
    <row r="19456" spans="1:10" x14ac:dyDescent="0.2">
      <c r="A19456" s="4" t="s">
        <v>1</v>
      </c>
      <c r="B194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56" s="3" t="str">
        <f>HYPERLINK("https://otsuka-europe-crm.veevavault.com/ui/#object/sent_email__v/VBLZ025E82HGM0V", "SE-000285521")</f>
        <v>SE-000285521</v>
      </c>
      <c r="D19456" s="1">
        <v>45939.956412037034</v>
      </c>
      <c r="E19456" s="2">
        <v>1</v>
      </c>
      <c r="F19456" s="2">
        <v>2</v>
      </c>
      <c r="G19456" s="2">
        <v>0</v>
      </c>
      <c r="H19456" s="1" t="s">
        <v>0</v>
      </c>
      <c r="I19456" s="2">
        <v>0</v>
      </c>
      <c r="J19456" s="1">
        <v>45939.648148148146</v>
      </c>
    </row>
    <row r="19457" spans="1:10" x14ac:dyDescent="0.2">
      <c r="A19457" s="4" t="s">
        <v>1</v>
      </c>
      <c r="B194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57" s="3" t="str">
        <f>HYPERLINK("https://otsuka-europe-crm.veevavault.com/ui/#object/sent_email__v/VBLZ025E82HGM0W", "SE-000285522")</f>
        <v>SE-000285522</v>
      </c>
      <c r="D19457" s="1">
        <v>45939.703553240739</v>
      </c>
      <c r="E19457" s="2">
        <v>1</v>
      </c>
      <c r="F19457" s="2">
        <v>1</v>
      </c>
      <c r="G19457" s="2">
        <v>0</v>
      </c>
      <c r="H19457" s="1" t="s">
        <v>0</v>
      </c>
      <c r="I19457" s="2">
        <v>0</v>
      </c>
      <c r="J19457" s="1">
        <v>45939.6481712963</v>
      </c>
    </row>
    <row r="19458" spans="1:10" x14ac:dyDescent="0.2">
      <c r="A19458" s="4" t="s">
        <v>1</v>
      </c>
      <c r="B194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58" s="3" t="str">
        <f>HYPERLINK("https://otsuka-europe-crm.veevavault.com/ui/#object/sent_email__v/VBLZ025E82HGM0X", "SE-000285523")</f>
        <v>SE-000285523</v>
      </c>
      <c r="D19458" s="1" t="s">
        <v>0</v>
      </c>
      <c r="E19458" s="2">
        <v>0</v>
      </c>
      <c r="F19458" s="2">
        <v>0</v>
      </c>
      <c r="G19458" s="2">
        <v>0</v>
      </c>
      <c r="H19458" s="1" t="s">
        <v>0</v>
      </c>
      <c r="I19458" s="2">
        <v>0</v>
      </c>
      <c r="J19458" s="1">
        <v>45939.648182870369</v>
      </c>
    </row>
    <row r="19459" spans="1:10" x14ac:dyDescent="0.2">
      <c r="A19459" s="4" t="s">
        <v>1</v>
      </c>
      <c r="B194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59" s="3" t="str">
        <f>HYPERLINK("https://otsuka-europe-crm.veevavault.com/ui/#object/sent_email__v/VBLZ025E82HGM0Y", "SE-000285524")</f>
        <v>SE-000285524</v>
      </c>
      <c r="D19459" s="1">
        <v>45939.659085648149</v>
      </c>
      <c r="E19459" s="2">
        <v>1</v>
      </c>
      <c r="F19459" s="2">
        <v>1</v>
      </c>
      <c r="G19459" s="2">
        <v>0</v>
      </c>
      <c r="H19459" s="1" t="s">
        <v>0</v>
      </c>
      <c r="I19459" s="2">
        <v>0</v>
      </c>
      <c r="J19459" s="1">
        <v>45939.648194444446</v>
      </c>
    </row>
    <row r="19460" spans="1:10" x14ac:dyDescent="0.2">
      <c r="A19460" s="4" t="s">
        <v>1</v>
      </c>
      <c r="B194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60" s="3" t="str">
        <f>HYPERLINK("https://otsuka-europe-crm.veevavault.com/ui/#object/sent_email__v/VBLZ025E82HGM0Z", "SE-000285525")</f>
        <v>SE-000285525</v>
      </c>
      <c r="D19460" s="1" t="s">
        <v>0</v>
      </c>
      <c r="E19460" s="2">
        <v>0</v>
      </c>
      <c r="F19460" s="2">
        <v>0</v>
      </c>
      <c r="G19460" s="2">
        <v>0</v>
      </c>
      <c r="H19460" s="1" t="s">
        <v>0</v>
      </c>
      <c r="I19460" s="2">
        <v>0</v>
      </c>
      <c r="J19460" s="1">
        <v>45939.648206018515</v>
      </c>
    </row>
    <row r="19461" spans="1:10" x14ac:dyDescent="0.2">
      <c r="A19461" s="4" t="s">
        <v>1</v>
      </c>
      <c r="B194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61" s="3" t="str">
        <f>HYPERLINK("https://otsuka-europe-crm.veevavault.com/ui/#object/sent_email__v/VBLZ025E82HGM10", "SE-000285526")</f>
        <v>SE-000285526</v>
      </c>
      <c r="D19461" s="1" t="s">
        <v>0</v>
      </c>
      <c r="E19461" s="2">
        <v>0</v>
      </c>
      <c r="F19461" s="2">
        <v>0</v>
      </c>
      <c r="G19461" s="2">
        <v>0</v>
      </c>
      <c r="H19461" s="1" t="s">
        <v>0</v>
      </c>
      <c r="I19461" s="2">
        <v>0</v>
      </c>
      <c r="J19461" s="1">
        <v>45939.648206018515</v>
      </c>
    </row>
    <row r="19462" spans="1:10" x14ac:dyDescent="0.2">
      <c r="A19462" s="4" t="s">
        <v>1</v>
      </c>
      <c r="B194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62" s="3" t="str">
        <f>HYPERLINK("https://otsuka-europe-crm.veevavault.com/ui/#object/sent_email__v/VBLZ025E82HGM11", "SE-000285527")</f>
        <v>SE-000285527</v>
      </c>
      <c r="D19462" s="1" t="s">
        <v>0</v>
      </c>
      <c r="E19462" s="2">
        <v>0</v>
      </c>
      <c r="F19462" s="2">
        <v>0</v>
      </c>
      <c r="G19462" s="2">
        <v>0</v>
      </c>
      <c r="H19462" s="1" t="s">
        <v>0</v>
      </c>
      <c r="I19462" s="2">
        <v>0</v>
      </c>
      <c r="J19462" s="1">
        <v>45939.648217592592</v>
      </c>
    </row>
    <row r="19463" spans="1:10" x14ac:dyDescent="0.2">
      <c r="A19463" s="4" t="s">
        <v>1</v>
      </c>
      <c r="B194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63" s="3" t="str">
        <f>HYPERLINK("https://otsuka-europe-crm.veevavault.com/ui/#object/sent_email__v/VBLZ025E82HGM12", "SE-000285528")</f>
        <v>SE-000285528</v>
      </c>
      <c r="D19463" s="1" t="s">
        <v>0</v>
      </c>
      <c r="E19463" s="2">
        <v>0</v>
      </c>
      <c r="F19463" s="2">
        <v>0</v>
      </c>
      <c r="G19463" s="2">
        <v>0</v>
      </c>
      <c r="H19463" s="1" t="s">
        <v>0</v>
      </c>
      <c r="I19463" s="2">
        <v>0</v>
      </c>
      <c r="J19463" s="1">
        <v>45939.648240740738</v>
      </c>
    </row>
    <row r="19464" spans="1:10" x14ac:dyDescent="0.2">
      <c r="A19464" s="4" t="s">
        <v>1</v>
      </c>
      <c r="B194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64" s="3" t="str">
        <f>HYPERLINK("https://otsuka-europe-crm.veevavault.com/ui/#object/sent_email__v/VBLZ025E82HGM13", "SE-000285529")</f>
        <v>SE-000285529</v>
      </c>
      <c r="D19464" s="1" t="s">
        <v>0</v>
      </c>
      <c r="E19464" s="2">
        <v>0</v>
      </c>
      <c r="F19464" s="2">
        <v>0</v>
      </c>
      <c r="G19464" s="2">
        <v>0</v>
      </c>
      <c r="H19464" s="1" t="s">
        <v>0</v>
      </c>
      <c r="I19464" s="2">
        <v>0</v>
      </c>
      <c r="J19464" s="1">
        <v>45939.648240740738</v>
      </c>
    </row>
    <row r="19465" spans="1:10" x14ac:dyDescent="0.2">
      <c r="A19465" s="4" t="s">
        <v>1</v>
      </c>
      <c r="B194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65" s="3" t="str">
        <f>HYPERLINK("https://otsuka-europe-crm.veevavault.com/ui/#object/sent_email__v/VBLZ025E82HGM14", "SE-000285530")</f>
        <v>SE-000285530</v>
      </c>
      <c r="D19465" s="1" t="s">
        <v>0</v>
      </c>
      <c r="E19465" s="2">
        <v>0</v>
      </c>
      <c r="F19465" s="2">
        <v>0</v>
      </c>
      <c r="G19465" s="2">
        <v>0</v>
      </c>
      <c r="H19465" s="1" t="s">
        <v>0</v>
      </c>
      <c r="I19465" s="2">
        <v>0</v>
      </c>
      <c r="J19465" s="1">
        <v>45939.648252314815</v>
      </c>
    </row>
    <row r="19466" spans="1:10" x14ac:dyDescent="0.2">
      <c r="A19466" s="4" t="s">
        <v>1</v>
      </c>
      <c r="B194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66" s="3" t="str">
        <f>HYPERLINK("https://otsuka-europe-crm.veevavault.com/ui/#object/sent_email__v/VBLZ025E82HGM15", "SE-000285531")</f>
        <v>SE-000285531</v>
      </c>
      <c r="D19466" s="1" t="s">
        <v>0</v>
      </c>
      <c r="E19466" s="2">
        <v>0</v>
      </c>
      <c r="F19466" s="2">
        <v>0</v>
      </c>
      <c r="G19466" s="2">
        <v>0</v>
      </c>
      <c r="H19466" s="1" t="s">
        <v>0</v>
      </c>
      <c r="I19466" s="2">
        <v>0</v>
      </c>
      <c r="J19466" s="1">
        <v>45939.648263888892</v>
      </c>
    </row>
    <row r="19467" spans="1:10" x14ac:dyDescent="0.2">
      <c r="A19467" s="4" t="s">
        <v>1</v>
      </c>
      <c r="B194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67" s="3" t="str">
        <f>HYPERLINK("https://otsuka-europe-crm.veevavault.com/ui/#object/sent_email__v/VBLZ025E82HGM16", "SE-000285532")</f>
        <v>SE-000285532</v>
      </c>
      <c r="D19467" s="1">
        <v>45939.978541666664</v>
      </c>
      <c r="E19467" s="2">
        <v>1</v>
      </c>
      <c r="F19467" s="2">
        <v>3</v>
      </c>
      <c r="G19467" s="2">
        <v>0</v>
      </c>
      <c r="H19467" s="1" t="s">
        <v>0</v>
      </c>
      <c r="I19467" s="2">
        <v>0</v>
      </c>
      <c r="J19467" s="1">
        <v>45939.648275462961</v>
      </c>
    </row>
    <row r="19468" spans="1:10" x14ac:dyDescent="0.2">
      <c r="A19468" s="4" t="s">
        <v>1</v>
      </c>
      <c r="B194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68" s="3" t="str">
        <f>HYPERLINK("https://otsuka-europe-crm.veevavault.com/ui/#object/sent_email__v/VBLZ025E82HGM17", "SE-000285533")</f>
        <v>SE-000285533</v>
      </c>
      <c r="D19468" s="1">
        <v>45944.807430555556</v>
      </c>
      <c r="E19468" s="2">
        <v>1</v>
      </c>
      <c r="F19468" s="2">
        <v>2</v>
      </c>
      <c r="G19468" s="2">
        <v>0</v>
      </c>
      <c r="H19468" s="1" t="s">
        <v>0</v>
      </c>
      <c r="I19468" s="2">
        <v>0</v>
      </c>
      <c r="J19468" s="1">
        <v>45939.648275462961</v>
      </c>
    </row>
    <row r="19469" spans="1:10" x14ac:dyDescent="0.2">
      <c r="A19469" s="4" t="s">
        <v>1</v>
      </c>
      <c r="B194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69" s="3" t="str">
        <f>HYPERLINK("https://otsuka-europe-crm.veevavault.com/ui/#object/sent_email__v/VBLZ025E82HGM18", "SE-000285534")</f>
        <v>SE-000285534</v>
      </c>
      <c r="D19469" s="1">
        <v>45939.869895833333</v>
      </c>
      <c r="E19469" s="2">
        <v>1</v>
      </c>
      <c r="F19469" s="2">
        <v>1</v>
      </c>
      <c r="G19469" s="2">
        <v>0</v>
      </c>
      <c r="H19469" s="1" t="s">
        <v>0</v>
      </c>
      <c r="I19469" s="2">
        <v>0</v>
      </c>
      <c r="J19469" s="1">
        <v>45939.648287037038</v>
      </c>
    </row>
    <row r="19470" spans="1:10" x14ac:dyDescent="0.2">
      <c r="A19470" s="4" t="s">
        <v>1</v>
      </c>
      <c r="B194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70" s="3" t="str">
        <f>HYPERLINK("https://otsuka-europe-crm.veevavault.com/ui/#object/sent_email__v/VBLZ025E82HGM19", "SE-000285535")</f>
        <v>SE-000285535</v>
      </c>
      <c r="D19470" s="1">
        <v>45945.318252314813</v>
      </c>
      <c r="E19470" s="2">
        <v>1</v>
      </c>
      <c r="F19470" s="2">
        <v>1</v>
      </c>
      <c r="G19470" s="2">
        <v>0</v>
      </c>
      <c r="H19470" s="1" t="s">
        <v>0</v>
      </c>
      <c r="I19470" s="2">
        <v>0</v>
      </c>
      <c r="J19470" s="1">
        <v>45939.648310185185</v>
      </c>
    </row>
    <row r="19471" spans="1:10" x14ac:dyDescent="0.2">
      <c r="A19471" s="4" t="s">
        <v>1</v>
      </c>
      <c r="B194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71" s="3" t="str">
        <f>HYPERLINK("https://otsuka-europe-crm.veevavault.com/ui/#object/sent_email__v/VBLZ025E82HGM1A", "SE-000285536")</f>
        <v>SE-000285536</v>
      </c>
      <c r="D19471" s="1">
        <v>45942.540567129632</v>
      </c>
      <c r="E19471" s="2">
        <v>1</v>
      </c>
      <c r="F19471" s="2">
        <v>1</v>
      </c>
      <c r="G19471" s="2">
        <v>0</v>
      </c>
      <c r="H19471" s="1" t="s">
        <v>0</v>
      </c>
      <c r="I19471" s="2">
        <v>0</v>
      </c>
      <c r="J19471" s="1">
        <v>45939.648310185185</v>
      </c>
    </row>
    <row r="19472" spans="1:10" x14ac:dyDescent="0.2">
      <c r="A19472" s="4" t="s">
        <v>1</v>
      </c>
      <c r="B194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72" s="3" t="str">
        <f>HYPERLINK("https://otsuka-europe-crm.veevavault.com/ui/#object/sent_email__v/VBLZ025E82HGM1B", "SE-000285537")</f>
        <v>SE-000285537</v>
      </c>
      <c r="D19472" s="1" t="s">
        <v>0</v>
      </c>
      <c r="E19472" s="2">
        <v>0</v>
      </c>
      <c r="F19472" s="2">
        <v>0</v>
      </c>
      <c r="G19472" s="2">
        <v>0</v>
      </c>
      <c r="H19472" s="1" t="s">
        <v>0</v>
      </c>
      <c r="I19472" s="2">
        <v>0</v>
      </c>
      <c r="J19472" s="1">
        <v>45939.648321759261</v>
      </c>
    </row>
    <row r="19473" spans="1:10" x14ac:dyDescent="0.2">
      <c r="A19473" s="4" t="s">
        <v>1</v>
      </c>
      <c r="B194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73" s="3" t="str">
        <f>HYPERLINK("https://otsuka-europe-crm.veevavault.com/ui/#object/sent_email__v/VBLZ025E82HGM1C", "SE-000285538")</f>
        <v>SE-000285538</v>
      </c>
      <c r="D19473" s="1">
        <v>45939.785057870373</v>
      </c>
      <c r="E19473" s="2">
        <v>1</v>
      </c>
      <c r="F19473" s="2">
        <v>1</v>
      </c>
      <c r="G19473" s="2">
        <v>0</v>
      </c>
      <c r="H19473" s="1" t="s">
        <v>0</v>
      </c>
      <c r="I19473" s="2">
        <v>0</v>
      </c>
      <c r="J19473" s="1">
        <v>45939.648333333331</v>
      </c>
    </row>
    <row r="19474" spans="1:10" x14ac:dyDescent="0.2">
      <c r="A19474" s="4" t="s">
        <v>1</v>
      </c>
      <c r="B194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74" s="3" t="str">
        <f>HYPERLINK("https://otsuka-europe-crm.veevavault.com/ui/#object/sent_email__v/VBLZ025E82HGM1D", "SE-000285539")</f>
        <v>SE-000285539</v>
      </c>
      <c r="D19474" s="1">
        <v>45940.052141203705</v>
      </c>
      <c r="E19474" s="2">
        <v>1</v>
      </c>
      <c r="F19474" s="2">
        <v>1</v>
      </c>
      <c r="G19474" s="2">
        <v>0</v>
      </c>
      <c r="H19474" s="1" t="s">
        <v>0</v>
      </c>
      <c r="I19474" s="2">
        <v>0</v>
      </c>
      <c r="J19474" s="1">
        <v>45939.648333333331</v>
      </c>
    </row>
    <row r="19475" spans="1:10" x14ac:dyDescent="0.2">
      <c r="A19475" s="4" t="s">
        <v>1</v>
      </c>
      <c r="B194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75" s="3" t="str">
        <f>HYPERLINK("https://otsuka-europe-crm.veevavault.com/ui/#object/sent_email__v/VBLZ025E82HGM1E", "SE-000285540")</f>
        <v>SE-000285540</v>
      </c>
      <c r="D19475" s="1">
        <v>45940.459976851853</v>
      </c>
      <c r="E19475" s="2">
        <v>1</v>
      </c>
      <c r="F19475" s="2">
        <v>1</v>
      </c>
      <c r="G19475" s="2">
        <v>0</v>
      </c>
      <c r="H19475" s="1" t="s">
        <v>0</v>
      </c>
      <c r="I19475" s="2">
        <v>0</v>
      </c>
      <c r="J19475" s="1">
        <v>45939.648344907408</v>
      </c>
    </row>
    <row r="19476" spans="1:10" x14ac:dyDescent="0.2">
      <c r="A19476" s="4" t="s">
        <v>1</v>
      </c>
      <c r="B194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76" s="3" t="str">
        <f>HYPERLINK("https://otsuka-europe-crm.veevavault.com/ui/#object/sent_email__v/VBLZ025E82HGM1F", "SE-000285541")</f>
        <v>SE-000285541</v>
      </c>
      <c r="D19476" s="1" t="s">
        <v>0</v>
      </c>
      <c r="E19476" s="2">
        <v>0</v>
      </c>
      <c r="F19476" s="2">
        <v>0</v>
      </c>
      <c r="G19476" s="2">
        <v>0</v>
      </c>
      <c r="H19476" s="1" t="s">
        <v>0</v>
      </c>
      <c r="I19476" s="2">
        <v>0</v>
      </c>
      <c r="J19476" s="1">
        <v>45939.648368055554</v>
      </c>
    </row>
    <row r="19477" spans="1:10" x14ac:dyDescent="0.2">
      <c r="A19477" s="4" t="s">
        <v>1</v>
      </c>
      <c r="B194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77" s="3" t="str">
        <f>HYPERLINK("https://otsuka-europe-crm.veevavault.com/ui/#object/sent_email__v/VBLZ025E82HGM1G", "SE-000285542")</f>
        <v>SE-000285542</v>
      </c>
      <c r="D19477" s="1" t="s">
        <v>0</v>
      </c>
      <c r="E19477" s="2">
        <v>0</v>
      </c>
      <c r="F19477" s="2">
        <v>0</v>
      </c>
      <c r="G19477" s="2">
        <v>0</v>
      </c>
      <c r="H19477" s="1" t="s">
        <v>0</v>
      </c>
      <c r="I19477" s="2">
        <v>0</v>
      </c>
      <c r="J19477" s="1">
        <v>45939.648368055554</v>
      </c>
    </row>
    <row r="19478" spans="1:10" x14ac:dyDescent="0.2">
      <c r="A19478" s="4" t="s">
        <v>1</v>
      </c>
      <c r="B194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78" s="3" t="str">
        <f>HYPERLINK("https://otsuka-europe-crm.veevavault.com/ui/#object/sent_email__v/VBLZ025E82HGM1H", "SE-000285543")</f>
        <v>SE-000285543</v>
      </c>
      <c r="D19478" s="1">
        <v>45939.650625000002</v>
      </c>
      <c r="E19478" s="2">
        <v>1</v>
      </c>
      <c r="F19478" s="2">
        <v>2</v>
      </c>
      <c r="G19478" s="2">
        <v>0</v>
      </c>
      <c r="H19478" s="1" t="s">
        <v>0</v>
      </c>
      <c r="I19478" s="2">
        <v>0</v>
      </c>
      <c r="J19478" s="1">
        <v>45939.648379629631</v>
      </c>
    </row>
    <row r="19479" spans="1:10" x14ac:dyDescent="0.2">
      <c r="A19479" s="4" t="s">
        <v>1</v>
      </c>
      <c r="B194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79" s="3" t="str">
        <f>HYPERLINK("https://otsuka-europe-crm.veevavault.com/ui/#object/sent_email__v/VBLZ025E82HGM1I", "SE-000285544")</f>
        <v>SE-000285544</v>
      </c>
      <c r="D19479" s="1">
        <v>45940.254247685189</v>
      </c>
      <c r="E19479" s="2">
        <v>1</v>
      </c>
      <c r="F19479" s="2">
        <v>6</v>
      </c>
      <c r="G19479" s="2">
        <v>0</v>
      </c>
      <c r="H19479" s="1" t="s">
        <v>0</v>
      </c>
      <c r="I19479" s="2">
        <v>0</v>
      </c>
      <c r="J19479" s="1">
        <v>45939.6483912037</v>
      </c>
    </row>
    <row r="19480" spans="1:10" x14ac:dyDescent="0.2">
      <c r="A19480" s="4" t="s">
        <v>1</v>
      </c>
      <c r="B194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80" s="3" t="str">
        <f>HYPERLINK("https://otsuka-europe-crm.veevavault.com/ui/#object/sent_email__v/VBLZ025E82HGM1J", "SE-000285545")</f>
        <v>SE-000285545</v>
      </c>
      <c r="D19480" s="1" t="s">
        <v>0</v>
      </c>
      <c r="E19480" s="2">
        <v>0</v>
      </c>
      <c r="F19480" s="2">
        <v>0</v>
      </c>
      <c r="G19480" s="2">
        <v>0</v>
      </c>
      <c r="H19480" s="1" t="s">
        <v>0</v>
      </c>
      <c r="I19480" s="2">
        <v>0</v>
      </c>
      <c r="J19480" s="1">
        <v>45939.6483912037</v>
      </c>
    </row>
    <row r="19481" spans="1:10" x14ac:dyDescent="0.2">
      <c r="A19481" s="4" t="s">
        <v>1</v>
      </c>
      <c r="B194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81" s="3" t="str">
        <f>HYPERLINK("https://otsuka-europe-crm.veevavault.com/ui/#object/sent_email__v/VBLZ025E82HGM1K", "SE-000285546")</f>
        <v>SE-000285546</v>
      </c>
      <c r="D19481" s="1" t="s">
        <v>0</v>
      </c>
      <c r="E19481" s="2">
        <v>0</v>
      </c>
      <c r="F19481" s="2">
        <v>0</v>
      </c>
      <c r="G19481" s="2">
        <v>0</v>
      </c>
      <c r="H19481" s="1" t="s">
        <v>0</v>
      </c>
      <c r="I19481" s="2">
        <v>0</v>
      </c>
      <c r="J19481" s="1">
        <v>45939.648402777777</v>
      </c>
    </row>
    <row r="19482" spans="1:10" x14ac:dyDescent="0.2">
      <c r="A19482" s="4" t="s">
        <v>1</v>
      </c>
      <c r="B194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82" s="3" t="str">
        <f>HYPERLINK("https://otsuka-europe-crm.veevavault.com/ui/#object/sent_email__v/VBLZ025E82HGM1L", "SE-000285547")</f>
        <v>SE-000285547</v>
      </c>
      <c r="D19482" s="1" t="s">
        <v>0</v>
      </c>
      <c r="E19482" s="2">
        <v>0</v>
      </c>
      <c r="F19482" s="2">
        <v>0</v>
      </c>
      <c r="G19482" s="2">
        <v>0</v>
      </c>
      <c r="H19482" s="1" t="s">
        <v>0</v>
      </c>
      <c r="I19482" s="2">
        <v>0</v>
      </c>
      <c r="J19482" s="1">
        <v>45939.648414351854</v>
      </c>
    </row>
    <row r="19483" spans="1:10" x14ac:dyDescent="0.2">
      <c r="A19483" s="4" t="s">
        <v>1</v>
      </c>
      <c r="B194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83" s="3" t="str">
        <f>HYPERLINK("https://otsuka-europe-crm.veevavault.com/ui/#object/sent_email__v/VBLZ025E82HGM1M", "SE-000285548")</f>
        <v>SE-000285548</v>
      </c>
      <c r="D19483" s="1">
        <v>45939.799583333333</v>
      </c>
      <c r="E19483" s="2">
        <v>1</v>
      </c>
      <c r="F19483" s="2">
        <v>1</v>
      </c>
      <c r="G19483" s="2">
        <v>0</v>
      </c>
      <c r="H19483" s="1" t="s">
        <v>0</v>
      </c>
      <c r="I19483" s="2">
        <v>0</v>
      </c>
      <c r="J19483" s="1">
        <v>45939.6484375</v>
      </c>
    </row>
    <row r="19484" spans="1:10" x14ac:dyDescent="0.2">
      <c r="A19484" s="4" t="s">
        <v>1</v>
      </c>
      <c r="B194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84" s="3" t="str">
        <f>HYPERLINK("https://otsuka-europe-crm.veevavault.com/ui/#object/sent_email__v/VBLZ025E82HGM1N", "SE-000285549")</f>
        <v>SE-000285549</v>
      </c>
      <c r="D19484" s="1">
        <v>45939.778819444444</v>
      </c>
      <c r="E19484" s="2">
        <v>1</v>
      </c>
      <c r="F19484" s="2">
        <v>1</v>
      </c>
      <c r="G19484" s="2">
        <v>0</v>
      </c>
      <c r="H19484" s="1" t="s">
        <v>0</v>
      </c>
      <c r="I19484" s="2">
        <v>0</v>
      </c>
      <c r="J19484" s="1">
        <v>45939.6484375</v>
      </c>
    </row>
    <row r="19485" spans="1:10" x14ac:dyDescent="0.2">
      <c r="A19485" s="4" t="s">
        <v>1</v>
      </c>
      <c r="B194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85" s="3" t="str">
        <f>HYPERLINK("https://otsuka-europe-crm.veevavault.com/ui/#object/sent_email__v/VBLZ025E82HGM1O", "SE-000285550")</f>
        <v>SE-000285550</v>
      </c>
      <c r="D19485" s="1" t="s">
        <v>0</v>
      </c>
      <c r="E19485" s="2">
        <v>0</v>
      </c>
      <c r="F19485" s="2">
        <v>0</v>
      </c>
      <c r="G19485" s="2">
        <v>0</v>
      </c>
      <c r="H19485" s="1" t="s">
        <v>0</v>
      </c>
      <c r="I19485" s="2">
        <v>0</v>
      </c>
      <c r="J19485" s="1">
        <v>45939.648449074077</v>
      </c>
    </row>
    <row r="19486" spans="1:10" x14ac:dyDescent="0.2">
      <c r="A19486" s="4" t="s">
        <v>1</v>
      </c>
      <c r="B194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86" s="3" t="str">
        <f>HYPERLINK("https://otsuka-europe-crm.veevavault.com/ui/#object/sent_email__v/VBLZ025E82HGM1P", "SE-000285551")</f>
        <v>SE-000285551</v>
      </c>
      <c r="D19486" s="1" t="s">
        <v>0</v>
      </c>
      <c r="E19486" s="2">
        <v>0</v>
      </c>
      <c r="F19486" s="2">
        <v>0</v>
      </c>
      <c r="G19486" s="2">
        <v>0</v>
      </c>
      <c r="H19486" s="1" t="s">
        <v>0</v>
      </c>
      <c r="I19486" s="2">
        <v>0</v>
      </c>
      <c r="J19486" s="1">
        <v>45939.648460648146</v>
      </c>
    </row>
    <row r="19487" spans="1:10" x14ac:dyDescent="0.2">
      <c r="A19487" s="4" t="s">
        <v>1</v>
      </c>
      <c r="B194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87" s="3" t="str">
        <f>HYPERLINK("https://otsuka-europe-crm.veevavault.com/ui/#object/sent_email__v/VBLZ025E82HGM1Q", "SE-000285552")</f>
        <v>SE-000285552</v>
      </c>
      <c r="D19487" s="1" t="s">
        <v>0</v>
      </c>
      <c r="E19487" s="2">
        <v>0</v>
      </c>
      <c r="F19487" s="2">
        <v>0</v>
      </c>
      <c r="G19487" s="2">
        <v>0</v>
      </c>
      <c r="H19487" s="1" t="s">
        <v>0</v>
      </c>
      <c r="I19487" s="2">
        <v>0</v>
      </c>
      <c r="J19487" s="1">
        <v>45939.6484837963</v>
      </c>
    </row>
    <row r="19488" spans="1:10" x14ac:dyDescent="0.2">
      <c r="A19488" s="4" t="s">
        <v>1</v>
      </c>
      <c r="B194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88" s="3" t="str">
        <f>HYPERLINK("https://otsuka-europe-crm.veevavault.com/ui/#object/sent_email__v/VBLZ025E82HGM1R", "SE-000285553")</f>
        <v>SE-000285553</v>
      </c>
      <c r="D19488" s="1">
        <v>45945.816701388889</v>
      </c>
      <c r="E19488" s="2">
        <v>1</v>
      </c>
      <c r="F19488" s="2">
        <v>3</v>
      </c>
      <c r="G19488" s="2">
        <v>0</v>
      </c>
      <c r="H19488" s="1" t="s">
        <v>0</v>
      </c>
      <c r="I19488" s="2">
        <v>0</v>
      </c>
      <c r="J19488" s="1">
        <v>45939.648495370369</v>
      </c>
    </row>
    <row r="19489" spans="1:10" x14ac:dyDescent="0.2">
      <c r="A19489" s="4" t="s">
        <v>1</v>
      </c>
      <c r="B194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89" s="3" t="str">
        <f>HYPERLINK("https://otsuka-europe-crm.veevavault.com/ui/#object/sent_email__v/VBLZ025E82HGM1S", "SE-000285554")</f>
        <v>SE-000285554</v>
      </c>
      <c r="D19489" s="1">
        <v>46006.837094907409</v>
      </c>
      <c r="E19489" s="2">
        <v>1</v>
      </c>
      <c r="F19489" s="2">
        <v>4</v>
      </c>
      <c r="G19489" s="2">
        <v>0</v>
      </c>
      <c r="H19489" s="1" t="s">
        <v>0</v>
      </c>
      <c r="I19489" s="2">
        <v>0</v>
      </c>
      <c r="J19489" s="1">
        <v>45939.648506944446</v>
      </c>
    </row>
    <row r="19490" spans="1:10" x14ac:dyDescent="0.2">
      <c r="A19490" s="4" t="s">
        <v>1</v>
      </c>
      <c r="B194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90" s="3" t="str">
        <f>HYPERLINK("https://otsuka-europe-crm.veevavault.com/ui/#object/sent_email__v/VBLZ025E82HGM1T", "SE-000285555")</f>
        <v>SE-000285555</v>
      </c>
      <c r="D19490" s="1" t="s">
        <v>0</v>
      </c>
      <c r="E19490" s="2">
        <v>0</v>
      </c>
      <c r="F19490" s="2">
        <v>0</v>
      </c>
      <c r="G19490" s="2">
        <v>0</v>
      </c>
      <c r="H19490" s="1" t="s">
        <v>0</v>
      </c>
      <c r="I19490" s="2">
        <v>0</v>
      </c>
      <c r="J19490" s="1">
        <v>45939.648506944446</v>
      </c>
    </row>
    <row r="19491" spans="1:10" x14ac:dyDescent="0.2">
      <c r="A19491" s="4" t="s">
        <v>1</v>
      </c>
      <c r="B194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91" s="3" t="str">
        <f>HYPERLINK("https://otsuka-europe-crm.veevavault.com/ui/#object/sent_email__v/VBLZ025E82HGM1U", "SE-000285556")</f>
        <v>SE-000285556</v>
      </c>
      <c r="D19491" s="1" t="s">
        <v>0</v>
      </c>
      <c r="E19491" s="2">
        <v>0</v>
      </c>
      <c r="F19491" s="2">
        <v>0</v>
      </c>
      <c r="G19491" s="2">
        <v>0</v>
      </c>
      <c r="H19491" s="1" t="s">
        <v>0</v>
      </c>
      <c r="I19491" s="2">
        <v>0</v>
      </c>
      <c r="J19491" s="1">
        <v>45939.648518518516</v>
      </c>
    </row>
    <row r="19492" spans="1:10" x14ac:dyDescent="0.2">
      <c r="A19492" s="4" t="s">
        <v>1</v>
      </c>
      <c r="B194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92" s="3" t="str">
        <f>HYPERLINK("https://otsuka-europe-crm.veevavault.com/ui/#object/sent_email__v/VBLZ025E82HGM1V", "SE-000285557")</f>
        <v>SE-000285557</v>
      </c>
      <c r="D19492" s="1" t="s">
        <v>0</v>
      </c>
      <c r="E19492" s="2">
        <v>0</v>
      </c>
      <c r="F19492" s="2">
        <v>0</v>
      </c>
      <c r="G19492" s="2">
        <v>0</v>
      </c>
      <c r="H19492" s="1" t="s">
        <v>0</v>
      </c>
      <c r="I19492" s="2">
        <v>0</v>
      </c>
      <c r="J19492" s="1">
        <v>45939.648541666669</v>
      </c>
    </row>
    <row r="19493" spans="1:10" x14ac:dyDescent="0.2">
      <c r="A19493" s="4" t="s">
        <v>1</v>
      </c>
      <c r="B194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93" s="3" t="str">
        <f>HYPERLINK("https://otsuka-europe-crm.veevavault.com/ui/#object/sent_email__v/VBLZ025E82HGM1W", "SE-000285558")</f>
        <v>SE-000285558</v>
      </c>
      <c r="D19493" s="1">
        <v>45939.687314814815</v>
      </c>
      <c r="E19493" s="2">
        <v>1</v>
      </c>
      <c r="F19493" s="2">
        <v>1</v>
      </c>
      <c r="G19493" s="2">
        <v>0</v>
      </c>
      <c r="H19493" s="1" t="s">
        <v>0</v>
      </c>
      <c r="I19493" s="2">
        <v>0</v>
      </c>
      <c r="J19493" s="1">
        <v>45939.648553240739</v>
      </c>
    </row>
    <row r="19494" spans="1:10" x14ac:dyDescent="0.2">
      <c r="A19494" s="4" t="s">
        <v>1</v>
      </c>
      <c r="B194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94" s="3" t="str">
        <f>HYPERLINK("https://otsuka-europe-crm.veevavault.com/ui/#object/sent_email__v/VBLZ025E82HGM1X", "SE-000285559")</f>
        <v>SE-000285559</v>
      </c>
      <c r="D19494" s="1" t="s">
        <v>0</v>
      </c>
      <c r="E19494" s="2">
        <v>0</v>
      </c>
      <c r="F19494" s="2">
        <v>0</v>
      </c>
      <c r="G19494" s="2">
        <v>0</v>
      </c>
      <c r="H19494" s="1" t="s">
        <v>0</v>
      </c>
      <c r="I19494" s="2">
        <v>0</v>
      </c>
      <c r="J19494" s="1">
        <v>45939.648553240739</v>
      </c>
    </row>
    <row r="19495" spans="1:10" x14ac:dyDescent="0.2">
      <c r="A19495" s="4" t="s">
        <v>1</v>
      </c>
      <c r="B194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95" s="3" t="str">
        <f>HYPERLINK("https://otsuka-europe-crm.veevavault.com/ui/#object/sent_email__v/VBLZ025E82HGM1Y", "SE-000285560")</f>
        <v>SE-000285560</v>
      </c>
      <c r="D19495" s="1" t="s">
        <v>0</v>
      </c>
      <c r="E19495" s="2">
        <v>0</v>
      </c>
      <c r="F19495" s="2">
        <v>0</v>
      </c>
      <c r="G19495" s="2">
        <v>0</v>
      </c>
      <c r="H19495" s="1" t="s">
        <v>0</v>
      </c>
      <c r="I19495" s="2">
        <v>0</v>
      </c>
      <c r="J19495" s="1">
        <v>45939.648564814815</v>
      </c>
    </row>
    <row r="19496" spans="1:10" x14ac:dyDescent="0.2">
      <c r="A19496" s="4" t="s">
        <v>1</v>
      </c>
      <c r="B194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96" s="3" t="str">
        <f>HYPERLINK("https://otsuka-europe-crm.veevavault.com/ui/#object/sent_email__v/VBLZ025E82HGM1Z", "SE-000285561")</f>
        <v>SE-000285561</v>
      </c>
      <c r="D19496" s="1">
        <v>45939.891851851855</v>
      </c>
      <c r="E19496" s="2">
        <v>1</v>
      </c>
      <c r="F19496" s="2">
        <v>17</v>
      </c>
      <c r="G19496" s="2">
        <v>0</v>
      </c>
      <c r="H19496" s="1" t="s">
        <v>0</v>
      </c>
      <c r="I19496" s="2">
        <v>0</v>
      </c>
      <c r="J19496" s="1">
        <v>45939.648576388892</v>
      </c>
    </row>
    <row r="19497" spans="1:10" x14ac:dyDescent="0.2">
      <c r="A19497" s="4" t="s">
        <v>1</v>
      </c>
      <c r="B194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97" s="3" t="str">
        <f>HYPERLINK("https://otsuka-europe-crm.veevavault.com/ui/#object/sent_email__v/VBLZ025E82HGM20", "SE-000285562")</f>
        <v>SE-000285562</v>
      </c>
      <c r="D19497" s="1">
        <v>45939.699166666665</v>
      </c>
      <c r="E19497" s="2">
        <v>1</v>
      </c>
      <c r="F19497" s="2">
        <v>1</v>
      </c>
      <c r="G19497" s="2">
        <v>0</v>
      </c>
      <c r="H19497" s="1" t="s">
        <v>0</v>
      </c>
      <c r="I19497" s="2">
        <v>0</v>
      </c>
      <c r="J19497" s="1">
        <v>45939.648576388892</v>
      </c>
    </row>
    <row r="19498" spans="1:10" x14ac:dyDescent="0.2">
      <c r="A19498" s="4" t="s">
        <v>1</v>
      </c>
      <c r="B194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98" s="3" t="str">
        <f>HYPERLINK("https://otsuka-europe-crm.veevavault.com/ui/#object/sent_email__v/VBLZ025E82HGM21", "SE-000285563")</f>
        <v>SE-000285563</v>
      </c>
      <c r="D19498" s="1" t="s">
        <v>0</v>
      </c>
      <c r="E19498" s="2">
        <v>0</v>
      </c>
      <c r="F19498" s="2">
        <v>0</v>
      </c>
      <c r="G19498" s="2">
        <v>0</v>
      </c>
      <c r="H19498" s="1" t="s">
        <v>0</v>
      </c>
      <c r="I19498" s="2">
        <v>0</v>
      </c>
      <c r="J19498" s="1">
        <v>45939.648587962962</v>
      </c>
    </row>
    <row r="19499" spans="1:10" x14ac:dyDescent="0.2">
      <c r="A19499" s="4" t="s">
        <v>1</v>
      </c>
      <c r="B194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499" s="3" t="str">
        <f>HYPERLINK("https://otsuka-europe-crm.veevavault.com/ui/#object/sent_email__v/VBLZ025E82HGM22", "SE-000285564")</f>
        <v>SE-000285564</v>
      </c>
      <c r="D19499" s="1" t="s">
        <v>0</v>
      </c>
      <c r="E19499" s="2">
        <v>0</v>
      </c>
      <c r="F19499" s="2">
        <v>0</v>
      </c>
      <c r="G19499" s="2">
        <v>0</v>
      </c>
      <c r="H19499" s="1" t="s">
        <v>0</v>
      </c>
      <c r="I19499" s="2">
        <v>0</v>
      </c>
      <c r="J19499" s="1">
        <v>45939.648599537039</v>
      </c>
    </row>
    <row r="19500" spans="1:10" x14ac:dyDescent="0.2">
      <c r="A19500" s="4" t="s">
        <v>1</v>
      </c>
      <c r="B195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00" s="3" t="str">
        <f>HYPERLINK("https://otsuka-europe-crm.veevavault.com/ui/#object/sent_email__v/VBLZ025E82HGM23", "SE-000285565")</f>
        <v>SE-000285565</v>
      </c>
      <c r="D19500" s="1" t="s">
        <v>0</v>
      </c>
      <c r="E19500" s="2">
        <v>0</v>
      </c>
      <c r="F19500" s="2">
        <v>0</v>
      </c>
      <c r="G19500" s="2">
        <v>0</v>
      </c>
      <c r="H19500" s="1" t="s">
        <v>0</v>
      </c>
      <c r="I19500" s="2">
        <v>0</v>
      </c>
      <c r="J19500" s="1">
        <v>45939.648622685185</v>
      </c>
    </row>
    <row r="19501" spans="1:10" x14ac:dyDescent="0.2">
      <c r="A19501" s="4" t="s">
        <v>1</v>
      </c>
      <c r="B195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01" s="3" t="str">
        <f>HYPERLINK("https://otsuka-europe-crm.veevavault.com/ui/#object/sent_email__v/VBLZ025E82HGM24", "SE-000285566")</f>
        <v>SE-000285566</v>
      </c>
      <c r="D19501" s="1" t="s">
        <v>0</v>
      </c>
      <c r="E19501" s="2">
        <v>0</v>
      </c>
      <c r="F19501" s="2">
        <v>0</v>
      </c>
      <c r="G19501" s="2">
        <v>0</v>
      </c>
      <c r="H19501" s="1" t="s">
        <v>0</v>
      </c>
      <c r="I19501" s="2">
        <v>0</v>
      </c>
      <c r="J19501" s="1">
        <v>45939.648622685185</v>
      </c>
    </row>
    <row r="19502" spans="1:10" x14ac:dyDescent="0.2">
      <c r="A19502" s="4" t="s">
        <v>1</v>
      </c>
      <c r="B195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02" s="3" t="str">
        <f>HYPERLINK("https://otsuka-europe-crm.veevavault.com/ui/#object/sent_email__v/VBLZ025E82HGM25", "SE-000285567")</f>
        <v>SE-000285567</v>
      </c>
      <c r="D19502" s="1" t="s">
        <v>0</v>
      </c>
      <c r="E19502" s="2">
        <v>0</v>
      </c>
      <c r="F19502" s="2">
        <v>0</v>
      </c>
      <c r="G19502" s="2">
        <v>0</v>
      </c>
      <c r="H19502" s="1" t="s">
        <v>0</v>
      </c>
      <c r="I19502" s="2">
        <v>0</v>
      </c>
      <c r="J19502" s="1">
        <v>45939.648634259262</v>
      </c>
    </row>
    <row r="19503" spans="1:10" x14ac:dyDescent="0.2">
      <c r="A19503" s="4" t="s">
        <v>1</v>
      </c>
      <c r="B195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03" s="3" t="str">
        <f>HYPERLINK("https://otsuka-europe-crm.veevavault.com/ui/#object/sent_email__v/VBLZ025E82HGM26", "SE-000285568")</f>
        <v>SE-000285568</v>
      </c>
      <c r="D19503" s="1" t="s">
        <v>0</v>
      </c>
      <c r="E19503" s="2">
        <v>0</v>
      </c>
      <c r="F19503" s="2">
        <v>0</v>
      </c>
      <c r="G19503" s="2">
        <v>0</v>
      </c>
      <c r="H19503" s="1" t="s">
        <v>0</v>
      </c>
      <c r="I19503" s="2">
        <v>0</v>
      </c>
      <c r="J19503" s="1">
        <v>45939.648645833331</v>
      </c>
    </row>
    <row r="19504" spans="1:10" x14ac:dyDescent="0.2">
      <c r="A19504" s="4" t="s">
        <v>1</v>
      </c>
      <c r="B195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04" s="3" t="str">
        <f>HYPERLINK("https://otsuka-europe-crm.veevavault.com/ui/#object/sent_email__v/VBLZ025E82HGM27", "SE-000285569")</f>
        <v>SE-000285569</v>
      </c>
      <c r="D19504" s="1" t="s">
        <v>0</v>
      </c>
      <c r="E19504" s="2">
        <v>0</v>
      </c>
      <c r="F19504" s="2">
        <v>0</v>
      </c>
      <c r="G19504" s="2">
        <v>0</v>
      </c>
      <c r="H19504" s="1" t="s">
        <v>0</v>
      </c>
      <c r="I19504" s="2">
        <v>0</v>
      </c>
      <c r="J19504" s="1">
        <v>45939.648657407408</v>
      </c>
    </row>
    <row r="19505" spans="1:10" x14ac:dyDescent="0.2">
      <c r="A19505" s="4" t="s">
        <v>1</v>
      </c>
      <c r="B195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05" s="3" t="str">
        <f>HYPERLINK("https://otsuka-europe-crm.veevavault.com/ui/#object/sent_email__v/VBLZ025E82HGM28", "SE-000285570")</f>
        <v>SE-000285570</v>
      </c>
      <c r="D19505" s="1" t="s">
        <v>0</v>
      </c>
      <c r="E19505" s="2">
        <v>0</v>
      </c>
      <c r="F19505" s="2">
        <v>0</v>
      </c>
      <c r="G19505" s="2">
        <v>0</v>
      </c>
      <c r="H19505" s="1" t="s">
        <v>0</v>
      </c>
      <c r="I19505" s="2">
        <v>0</v>
      </c>
      <c r="J19505" s="1">
        <v>45939.648668981485</v>
      </c>
    </row>
    <row r="19506" spans="1:10" x14ac:dyDescent="0.2">
      <c r="A19506" s="4" t="s">
        <v>1</v>
      </c>
      <c r="B195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06" s="3" t="str">
        <f>HYPERLINK("https://otsuka-europe-crm.veevavault.com/ui/#object/sent_email__v/VBLZ025E82HGM29", "SE-000285571")</f>
        <v>SE-000285571</v>
      </c>
      <c r="D19506" s="1">
        <v>45944.367789351854</v>
      </c>
      <c r="E19506" s="2">
        <v>1</v>
      </c>
      <c r="F19506" s="2">
        <v>1</v>
      </c>
      <c r="G19506" s="2">
        <v>0</v>
      </c>
      <c r="H19506" s="1" t="s">
        <v>0</v>
      </c>
      <c r="I19506" s="2">
        <v>0</v>
      </c>
      <c r="J19506" s="1">
        <v>45939.648668981485</v>
      </c>
    </row>
    <row r="19507" spans="1:10" x14ac:dyDescent="0.2">
      <c r="A19507" s="4" t="s">
        <v>1</v>
      </c>
      <c r="B195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07" s="3" t="str">
        <f>HYPERLINK("https://otsuka-europe-crm.veevavault.com/ui/#object/sent_email__v/VBLZ025E82HGM2A", "SE-000285572")</f>
        <v>SE-000285572</v>
      </c>
      <c r="D19507" s="1" t="s">
        <v>0</v>
      </c>
      <c r="E19507" s="2">
        <v>0</v>
      </c>
      <c r="F19507" s="2">
        <v>0</v>
      </c>
      <c r="G19507" s="2">
        <v>0</v>
      </c>
      <c r="H19507" s="1" t="s">
        <v>0</v>
      </c>
      <c r="I19507" s="2">
        <v>0</v>
      </c>
      <c r="J19507" s="1">
        <v>45939.648680555554</v>
      </c>
    </row>
    <row r="19508" spans="1:10" x14ac:dyDescent="0.2">
      <c r="A19508" s="4" t="s">
        <v>1</v>
      </c>
      <c r="B195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08" s="3" t="str">
        <f>HYPERLINK("https://otsuka-europe-crm.veevavault.com/ui/#object/sent_email__v/VBLZ025E82HGM2B", "SE-000285573")</f>
        <v>SE-000285573</v>
      </c>
      <c r="D19508" s="1" t="s">
        <v>0</v>
      </c>
      <c r="E19508" s="2">
        <v>0</v>
      </c>
      <c r="F19508" s="2">
        <v>0</v>
      </c>
      <c r="G19508" s="2">
        <v>0</v>
      </c>
      <c r="H19508" s="1" t="s">
        <v>0</v>
      </c>
      <c r="I19508" s="2">
        <v>0</v>
      </c>
      <c r="J19508" s="1">
        <v>45939.648692129631</v>
      </c>
    </row>
    <row r="19509" spans="1:10" x14ac:dyDescent="0.2">
      <c r="A19509" s="4" t="s">
        <v>1</v>
      </c>
      <c r="B195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09" s="3" t="str">
        <f>HYPERLINK("https://otsuka-europe-crm.veevavault.com/ui/#object/sent_email__v/VBLZ025E82HGM2C", "SE-000285574")</f>
        <v>SE-000285574</v>
      </c>
      <c r="D19509" s="1">
        <v>45939.977418981478</v>
      </c>
      <c r="E19509" s="2">
        <v>1</v>
      </c>
      <c r="F19509" s="2">
        <v>1</v>
      </c>
      <c r="G19509" s="2">
        <v>0</v>
      </c>
      <c r="H19509" s="1" t="s">
        <v>0</v>
      </c>
      <c r="I19509" s="2">
        <v>0</v>
      </c>
      <c r="J19509" s="1">
        <v>45939.6487037037</v>
      </c>
    </row>
    <row r="19510" spans="1:10" x14ac:dyDescent="0.2">
      <c r="A19510" s="4" t="s">
        <v>1</v>
      </c>
      <c r="B195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10" s="3" t="str">
        <f>HYPERLINK("https://otsuka-europe-crm.veevavault.com/ui/#object/sent_email__v/VBLZ025E82HGM2D", "SE-000285575")</f>
        <v>SE-000285575</v>
      </c>
      <c r="D19510" s="1" t="s">
        <v>0</v>
      </c>
      <c r="E19510" s="2">
        <v>0</v>
      </c>
      <c r="F19510" s="2">
        <v>0</v>
      </c>
      <c r="G19510" s="2">
        <v>0</v>
      </c>
      <c r="H19510" s="1" t="s">
        <v>0</v>
      </c>
      <c r="I19510" s="2">
        <v>0</v>
      </c>
      <c r="J19510" s="1">
        <v>45939.648715277777</v>
      </c>
    </row>
    <row r="19511" spans="1:10" x14ac:dyDescent="0.2">
      <c r="A19511" s="4" t="s">
        <v>1</v>
      </c>
      <c r="B195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11" s="3" t="str">
        <f>HYPERLINK("https://otsuka-europe-crm.veevavault.com/ui/#object/sent_email__v/VBLZ025E82HGM2E", "SE-000285576")</f>
        <v>SE-000285576</v>
      </c>
      <c r="D19511" s="1" t="s">
        <v>0</v>
      </c>
      <c r="E19511" s="2">
        <v>0</v>
      </c>
      <c r="F19511" s="2">
        <v>0</v>
      </c>
      <c r="G19511" s="2">
        <v>0</v>
      </c>
      <c r="H19511" s="1" t="s">
        <v>0</v>
      </c>
      <c r="I19511" s="2">
        <v>0</v>
      </c>
      <c r="J19511" s="1">
        <v>45939.648726851854</v>
      </c>
    </row>
    <row r="19512" spans="1:10" x14ac:dyDescent="0.2">
      <c r="A19512" s="4" t="s">
        <v>1</v>
      </c>
      <c r="B195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12" s="3" t="str">
        <f>HYPERLINK("https://otsuka-europe-crm.veevavault.com/ui/#object/sent_email__v/VBLZ025E82HGM2F", "SE-000285577")</f>
        <v>SE-000285577</v>
      </c>
      <c r="D19512" s="1">
        <v>45939.720995370371</v>
      </c>
      <c r="E19512" s="2">
        <v>1</v>
      </c>
      <c r="F19512" s="2">
        <v>2</v>
      </c>
      <c r="G19512" s="2">
        <v>0</v>
      </c>
      <c r="H19512" s="1" t="s">
        <v>0</v>
      </c>
      <c r="I19512" s="2">
        <v>0</v>
      </c>
      <c r="J19512" s="1">
        <v>45939.648738425924</v>
      </c>
    </row>
    <row r="19513" spans="1:10" x14ac:dyDescent="0.2">
      <c r="A19513" s="4" t="s">
        <v>1</v>
      </c>
      <c r="B195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13" s="3" t="str">
        <f>HYPERLINK("https://otsuka-europe-crm.veevavault.com/ui/#object/sent_email__v/VBLZ025E82HGM2G", "SE-000285578")</f>
        <v>SE-000285578</v>
      </c>
      <c r="D19513" s="1" t="s">
        <v>0</v>
      </c>
      <c r="E19513" s="2">
        <v>0</v>
      </c>
      <c r="F19513" s="2">
        <v>0</v>
      </c>
      <c r="G19513" s="2">
        <v>0</v>
      </c>
      <c r="H19513" s="1" t="s">
        <v>0</v>
      </c>
      <c r="I19513" s="2">
        <v>0</v>
      </c>
      <c r="J19513" s="1">
        <v>45939.648738425924</v>
      </c>
    </row>
    <row r="19514" spans="1:10" x14ac:dyDescent="0.2">
      <c r="A19514" s="4" t="s">
        <v>1</v>
      </c>
      <c r="B195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14" s="3" t="str">
        <f>HYPERLINK("https://otsuka-europe-crm.veevavault.com/ui/#object/sent_email__v/VBLZ025E82HGM2H", "SE-000285579")</f>
        <v>SE-000285579</v>
      </c>
      <c r="D19514" s="1">
        <v>45939.670949074076</v>
      </c>
      <c r="E19514" s="2">
        <v>1</v>
      </c>
      <c r="F19514" s="2">
        <v>1</v>
      </c>
      <c r="G19514" s="2">
        <v>0</v>
      </c>
      <c r="H19514" s="1" t="s">
        <v>0</v>
      </c>
      <c r="I19514" s="2">
        <v>0</v>
      </c>
      <c r="J19514" s="1">
        <v>45939.648761574077</v>
      </c>
    </row>
    <row r="19515" spans="1:10" x14ac:dyDescent="0.2">
      <c r="A19515" s="4" t="s">
        <v>1</v>
      </c>
      <c r="B195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15" s="3" t="str">
        <f>HYPERLINK("https://otsuka-europe-crm.veevavault.com/ui/#object/sent_email__v/VBLZ025E82HGM2I", "SE-000285580")</f>
        <v>SE-000285580</v>
      </c>
      <c r="D19515" s="1">
        <v>45939.714675925927</v>
      </c>
      <c r="E19515" s="2">
        <v>1</v>
      </c>
      <c r="F19515" s="2">
        <v>2</v>
      </c>
      <c r="G19515" s="2">
        <v>0</v>
      </c>
      <c r="H19515" s="1" t="s">
        <v>0</v>
      </c>
      <c r="I19515" s="2">
        <v>0</v>
      </c>
      <c r="J19515" s="1">
        <v>45939.648784722223</v>
      </c>
    </row>
    <row r="19516" spans="1:10" x14ac:dyDescent="0.2">
      <c r="A19516" s="4" t="s">
        <v>1</v>
      </c>
      <c r="B195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16" s="3" t="str">
        <f>HYPERLINK("https://otsuka-europe-crm.veevavault.com/ui/#object/sent_email__v/VBLZ025E82HGM2J", "SE-000285581")</f>
        <v>SE-000285581</v>
      </c>
      <c r="D19516" s="1" t="s">
        <v>0</v>
      </c>
      <c r="E19516" s="2">
        <v>0</v>
      </c>
      <c r="F19516" s="2">
        <v>0</v>
      </c>
      <c r="G19516" s="2">
        <v>0</v>
      </c>
      <c r="H19516" s="1" t="s">
        <v>0</v>
      </c>
      <c r="I19516" s="2">
        <v>0</v>
      </c>
      <c r="J19516" s="1">
        <v>45939.648773148147</v>
      </c>
    </row>
    <row r="19517" spans="1:10" x14ac:dyDescent="0.2">
      <c r="A19517" s="4" t="s">
        <v>1</v>
      </c>
      <c r="B195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17" s="3" t="str">
        <f>HYPERLINK("https://otsuka-europe-crm.veevavault.com/ui/#object/sent_email__v/VBLZ025E82HGM2K", "SE-000285582")</f>
        <v>SE-000285582</v>
      </c>
      <c r="D19517" s="1" t="s">
        <v>0</v>
      </c>
      <c r="E19517" s="2">
        <v>0</v>
      </c>
      <c r="F19517" s="2">
        <v>0</v>
      </c>
      <c r="G19517" s="2">
        <v>0</v>
      </c>
      <c r="H19517" s="1" t="s">
        <v>0</v>
      </c>
      <c r="I19517" s="2">
        <v>0</v>
      </c>
      <c r="J19517" s="1">
        <v>45939.648784722223</v>
      </c>
    </row>
    <row r="19518" spans="1:10" x14ac:dyDescent="0.2">
      <c r="A19518" s="4" t="s">
        <v>1</v>
      </c>
      <c r="B195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18" s="3" t="str">
        <f>HYPERLINK("https://otsuka-europe-crm.veevavault.com/ui/#object/sent_email__v/VBLZ025E82HGM2L", "SE-000285583")</f>
        <v>SE-000285583</v>
      </c>
      <c r="D19518" s="1">
        <v>45939.675532407404</v>
      </c>
      <c r="E19518" s="2">
        <v>1</v>
      </c>
      <c r="F19518" s="2">
        <v>2</v>
      </c>
      <c r="G19518" s="2">
        <v>0</v>
      </c>
      <c r="H19518" s="1" t="s">
        <v>0</v>
      </c>
      <c r="I19518" s="2">
        <v>0</v>
      </c>
      <c r="J19518" s="1">
        <v>45939.648796296293</v>
      </c>
    </row>
    <row r="19519" spans="1:10" x14ac:dyDescent="0.2">
      <c r="A19519" s="4" t="s">
        <v>1</v>
      </c>
      <c r="B195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19" s="3" t="str">
        <f>HYPERLINK("https://otsuka-europe-crm.veevavault.com/ui/#object/sent_email__v/VBLZ025E82HGM2M", "SE-000285584")</f>
        <v>SE-000285584</v>
      </c>
      <c r="D19519" s="1">
        <v>45939.650810185187</v>
      </c>
      <c r="E19519" s="2">
        <v>1</v>
      </c>
      <c r="F19519" s="2">
        <v>2</v>
      </c>
      <c r="G19519" s="2">
        <v>0</v>
      </c>
      <c r="H19519" s="1" t="s">
        <v>0</v>
      </c>
      <c r="I19519" s="2">
        <v>0</v>
      </c>
      <c r="J19519" s="1">
        <v>45939.64880787037</v>
      </c>
    </row>
    <row r="19520" spans="1:10" x14ac:dyDescent="0.2">
      <c r="A19520" s="4" t="s">
        <v>1</v>
      </c>
      <c r="B195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20" s="3" t="str">
        <f>HYPERLINK("https://otsuka-europe-crm.veevavault.com/ui/#object/sent_email__v/VBLZ025E82HGM2N", "SE-000285585")</f>
        <v>SE-000285585</v>
      </c>
      <c r="D19520" s="1" t="s">
        <v>0</v>
      </c>
      <c r="E19520" s="2">
        <v>0</v>
      </c>
      <c r="F19520" s="2">
        <v>0</v>
      </c>
      <c r="G19520" s="2">
        <v>0</v>
      </c>
      <c r="H19520" s="1" t="s">
        <v>0</v>
      </c>
      <c r="I19520" s="2">
        <v>0</v>
      </c>
      <c r="J19520" s="1">
        <v>45939.648819444446</v>
      </c>
    </row>
    <row r="19521" spans="1:10" x14ac:dyDescent="0.2">
      <c r="A19521" s="4" t="s">
        <v>1</v>
      </c>
      <c r="B195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21" s="3" t="str">
        <f>HYPERLINK("https://otsuka-europe-crm.veevavault.com/ui/#object/sent_email__v/VBLZ025E82HGM2O", "SE-000285586")</f>
        <v>SE-000285586</v>
      </c>
      <c r="D19521" s="1">
        <v>45940.286909722221</v>
      </c>
      <c r="E19521" s="2">
        <v>1</v>
      </c>
      <c r="F19521" s="2">
        <v>1</v>
      </c>
      <c r="G19521" s="2">
        <v>1</v>
      </c>
      <c r="H19521" s="1">
        <v>45940.295810185184</v>
      </c>
      <c r="I19521" s="2">
        <v>1</v>
      </c>
      <c r="J19521" s="1">
        <v>45939.648831018516</v>
      </c>
    </row>
    <row r="19522" spans="1:10" x14ac:dyDescent="0.2">
      <c r="A19522" s="4" t="s">
        <v>1</v>
      </c>
      <c r="B195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22" s="3" t="str">
        <f>HYPERLINK("https://otsuka-europe-crm.veevavault.com/ui/#object/sent_email__v/VBLZ025E82HGM2P", "SE-000285587")</f>
        <v>SE-000285587</v>
      </c>
      <c r="D19522" s="1" t="s">
        <v>0</v>
      </c>
      <c r="E19522" s="2">
        <v>0</v>
      </c>
      <c r="F19522" s="2">
        <v>0</v>
      </c>
      <c r="G19522" s="2">
        <v>0</v>
      </c>
      <c r="H19522" s="1" t="s">
        <v>0</v>
      </c>
      <c r="I19522" s="2">
        <v>0</v>
      </c>
      <c r="J19522" s="1">
        <v>45939.648842592593</v>
      </c>
    </row>
    <row r="19523" spans="1:10" x14ac:dyDescent="0.2">
      <c r="A19523" s="4" t="s">
        <v>1</v>
      </c>
      <c r="B195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23" s="3" t="str">
        <f>HYPERLINK("https://otsuka-europe-crm.veevavault.com/ui/#object/sent_email__v/VBLZ025E82HGM2Q", "SE-000285588")</f>
        <v>SE-000285588</v>
      </c>
      <c r="D19523" s="1" t="s">
        <v>0</v>
      </c>
      <c r="E19523" s="2">
        <v>0</v>
      </c>
      <c r="F19523" s="2">
        <v>0</v>
      </c>
      <c r="G19523" s="2">
        <v>0</v>
      </c>
      <c r="H19523" s="1" t="s">
        <v>0</v>
      </c>
      <c r="I19523" s="2">
        <v>0</v>
      </c>
      <c r="J19523" s="1">
        <v>45939.648842592593</v>
      </c>
    </row>
    <row r="19524" spans="1:10" x14ac:dyDescent="0.2">
      <c r="A19524" s="4" t="s">
        <v>1</v>
      </c>
      <c r="B195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24" s="3" t="str">
        <f>HYPERLINK("https://otsuka-europe-crm.veevavault.com/ui/#object/sent_email__v/VBLZ025E82HGM2R", "SE-000285589")</f>
        <v>SE-000285589</v>
      </c>
      <c r="D19524" s="1">
        <v>45940.291516203702</v>
      </c>
      <c r="E19524" s="2">
        <v>1</v>
      </c>
      <c r="F19524" s="2">
        <v>1</v>
      </c>
      <c r="G19524" s="2">
        <v>0</v>
      </c>
      <c r="H19524" s="1" t="s">
        <v>0</v>
      </c>
      <c r="I19524" s="2">
        <v>0</v>
      </c>
      <c r="J19524" s="1">
        <v>45939.648854166669</v>
      </c>
    </row>
    <row r="19525" spans="1:10" x14ac:dyDescent="0.2">
      <c r="A19525" s="4" t="s">
        <v>1</v>
      </c>
      <c r="B195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25" s="3" t="str">
        <f>HYPERLINK("https://otsuka-europe-crm.veevavault.com/ui/#object/sent_email__v/VBLZ025E82HGM2S", "SE-000285590")</f>
        <v>SE-000285590</v>
      </c>
      <c r="D19525" s="1" t="s">
        <v>0</v>
      </c>
      <c r="E19525" s="2">
        <v>0</v>
      </c>
      <c r="F19525" s="2">
        <v>0</v>
      </c>
      <c r="G19525" s="2">
        <v>0</v>
      </c>
      <c r="H19525" s="1" t="s">
        <v>0</v>
      </c>
      <c r="I19525" s="2">
        <v>0</v>
      </c>
      <c r="J19525" s="1">
        <v>45939.648865740739</v>
      </c>
    </row>
    <row r="19526" spans="1:10" x14ac:dyDescent="0.2">
      <c r="A19526" s="4" t="s">
        <v>1</v>
      </c>
      <c r="B195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26" s="3" t="str">
        <f>HYPERLINK("https://otsuka-europe-crm.veevavault.com/ui/#object/sent_email__v/VBLZ025E82HGM2T", "SE-000285591")</f>
        <v>SE-000285591</v>
      </c>
      <c r="D19526" s="1" t="s">
        <v>0</v>
      </c>
      <c r="E19526" s="2">
        <v>0</v>
      </c>
      <c r="F19526" s="2">
        <v>0</v>
      </c>
      <c r="G19526" s="2">
        <v>0</v>
      </c>
      <c r="H19526" s="1" t="s">
        <v>0</v>
      </c>
      <c r="I19526" s="2">
        <v>0</v>
      </c>
      <c r="J19526" s="1">
        <v>45939.648877314816</v>
      </c>
    </row>
    <row r="19527" spans="1:10" x14ac:dyDescent="0.2">
      <c r="A19527" s="4" t="s">
        <v>1</v>
      </c>
      <c r="B195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27" s="3" t="str">
        <f>HYPERLINK("https://otsuka-europe-crm.veevavault.com/ui/#object/sent_email__v/VBLZ025E82HGM2U", "SE-000285592")</f>
        <v>SE-000285592</v>
      </c>
      <c r="D19527" s="1" t="s">
        <v>0</v>
      </c>
      <c r="E19527" s="2">
        <v>0</v>
      </c>
      <c r="F19527" s="2">
        <v>0</v>
      </c>
      <c r="G19527" s="2">
        <v>0</v>
      </c>
      <c r="H19527" s="1" t="s">
        <v>0</v>
      </c>
      <c r="I19527" s="2">
        <v>0</v>
      </c>
      <c r="J19527" s="1">
        <v>45939.648888888885</v>
      </c>
    </row>
    <row r="19528" spans="1:10" x14ac:dyDescent="0.2">
      <c r="A19528" s="4" t="s">
        <v>1</v>
      </c>
      <c r="B195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28" s="3" t="str">
        <f>HYPERLINK("https://otsuka-europe-crm.veevavault.com/ui/#object/sent_email__v/VBLZ025E82HGM2V", "SE-000285593")</f>
        <v>SE-000285593</v>
      </c>
      <c r="D19528" s="1" t="s">
        <v>0</v>
      </c>
      <c r="E19528" s="2">
        <v>0</v>
      </c>
      <c r="F19528" s="2">
        <v>0</v>
      </c>
      <c r="G19528" s="2">
        <v>0</v>
      </c>
      <c r="H19528" s="1" t="s">
        <v>0</v>
      </c>
      <c r="I19528" s="2">
        <v>0</v>
      </c>
      <c r="J19528" s="1">
        <v>45939.648900462962</v>
      </c>
    </row>
    <row r="19529" spans="1:10" x14ac:dyDescent="0.2">
      <c r="A19529" s="4" t="s">
        <v>1</v>
      </c>
      <c r="B195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29" s="3" t="str">
        <f>HYPERLINK("https://otsuka-europe-crm.veevavault.com/ui/#object/sent_email__v/VBLZ025E82HGM2W", "SE-000285594")</f>
        <v>SE-000285594</v>
      </c>
      <c r="D19529" s="1" t="s">
        <v>0</v>
      </c>
      <c r="E19529" s="2">
        <v>0</v>
      </c>
      <c r="F19529" s="2">
        <v>0</v>
      </c>
      <c r="G19529" s="2">
        <v>0</v>
      </c>
      <c r="H19529" s="1" t="s">
        <v>0</v>
      </c>
      <c r="I19529" s="2">
        <v>0</v>
      </c>
      <c r="J19529" s="1">
        <v>45939.648900462962</v>
      </c>
    </row>
    <row r="19530" spans="1:10" x14ac:dyDescent="0.2">
      <c r="A19530" s="4" t="s">
        <v>1</v>
      </c>
      <c r="B195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30" s="3" t="str">
        <f>HYPERLINK("https://otsuka-europe-crm.veevavault.com/ui/#object/sent_email__v/VBLZ025E82HGM2X", "SE-000285595")</f>
        <v>SE-000285595</v>
      </c>
      <c r="D19530" s="1">
        <v>45939.903009259258</v>
      </c>
      <c r="E19530" s="2">
        <v>1</v>
      </c>
      <c r="F19530" s="2">
        <v>1</v>
      </c>
      <c r="G19530" s="2">
        <v>0</v>
      </c>
      <c r="H19530" s="1" t="s">
        <v>0</v>
      </c>
      <c r="I19530" s="2">
        <v>0</v>
      </c>
      <c r="J19530" s="1">
        <v>45939.648923611108</v>
      </c>
    </row>
    <row r="19531" spans="1:10" x14ac:dyDescent="0.2">
      <c r="A19531" s="4" t="s">
        <v>1</v>
      </c>
      <c r="B195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31" s="3" t="str">
        <f>HYPERLINK("https://otsuka-europe-crm.veevavault.com/ui/#object/sent_email__v/VBLZ025E82HGM2Y", "SE-000285596")</f>
        <v>SE-000285596</v>
      </c>
      <c r="D19531" s="1">
        <v>45939.892384259256</v>
      </c>
      <c r="E19531" s="2">
        <v>1</v>
      </c>
      <c r="F19531" s="2">
        <v>1</v>
      </c>
      <c r="G19531" s="2">
        <v>0</v>
      </c>
      <c r="H19531" s="1" t="s">
        <v>0</v>
      </c>
      <c r="I19531" s="2">
        <v>0</v>
      </c>
      <c r="J19531" s="1">
        <v>45939.648923611108</v>
      </c>
    </row>
    <row r="19532" spans="1:10" x14ac:dyDescent="0.2">
      <c r="A19532" s="4" t="s">
        <v>1</v>
      </c>
      <c r="B195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32" s="3" t="str">
        <f>HYPERLINK("https://otsuka-europe-crm.veevavault.com/ui/#object/sent_email__v/VBLZ025E82HGM2Z", "SE-000285597")</f>
        <v>SE-000285597</v>
      </c>
      <c r="D19532" s="1" t="s">
        <v>0</v>
      </c>
      <c r="E19532" s="2">
        <v>0</v>
      </c>
      <c r="F19532" s="2">
        <v>0</v>
      </c>
      <c r="G19532" s="2">
        <v>0</v>
      </c>
      <c r="H19532" s="1" t="s">
        <v>0</v>
      </c>
      <c r="I19532" s="2">
        <v>0</v>
      </c>
      <c r="J19532" s="1">
        <v>45939.648935185185</v>
      </c>
    </row>
    <row r="19533" spans="1:10" x14ac:dyDescent="0.2">
      <c r="A19533" s="4" t="s">
        <v>1</v>
      </c>
      <c r="B195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33" s="3" t="str">
        <f>HYPERLINK("https://otsuka-europe-crm.veevavault.com/ui/#object/sent_email__v/VBLZ025E82HGM30", "SE-000285598")</f>
        <v>SE-000285598</v>
      </c>
      <c r="D19533" s="1" t="s">
        <v>0</v>
      </c>
      <c r="E19533" s="2">
        <v>0</v>
      </c>
      <c r="F19533" s="2">
        <v>0</v>
      </c>
      <c r="G19533" s="2">
        <v>0</v>
      </c>
      <c r="H19533" s="1" t="s">
        <v>0</v>
      </c>
      <c r="I19533" s="2">
        <v>0</v>
      </c>
      <c r="J19533" s="1">
        <v>45939.648946759262</v>
      </c>
    </row>
    <row r="19534" spans="1:10" x14ac:dyDescent="0.2">
      <c r="A19534" s="4" t="s">
        <v>1</v>
      </c>
      <c r="B195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34" s="3" t="str">
        <f>HYPERLINK("https://otsuka-europe-crm.veevavault.com/ui/#object/sent_email__v/VBLZ025E82HGM31", "SE-000285599")</f>
        <v>SE-000285599</v>
      </c>
      <c r="D19534" s="1">
        <v>45964.842858796299</v>
      </c>
      <c r="E19534" s="2">
        <v>1</v>
      </c>
      <c r="F19534" s="2">
        <v>2</v>
      </c>
      <c r="G19534" s="2">
        <v>0</v>
      </c>
      <c r="H19534" s="1" t="s">
        <v>0</v>
      </c>
      <c r="I19534" s="2">
        <v>0</v>
      </c>
      <c r="J19534" s="1">
        <v>45939.648958333331</v>
      </c>
    </row>
    <row r="19535" spans="1:10" x14ac:dyDescent="0.2">
      <c r="A19535" s="4" t="s">
        <v>1</v>
      </c>
      <c r="B195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35" s="3" t="str">
        <f>HYPERLINK("https://otsuka-europe-crm.veevavault.com/ui/#object/sent_email__v/VBLZ025E82HGM32", "SE-000285600")</f>
        <v>SE-000285600</v>
      </c>
      <c r="D19535" s="1">
        <v>45939.688437500001</v>
      </c>
      <c r="E19535" s="2">
        <v>1</v>
      </c>
      <c r="F19535" s="2">
        <v>1</v>
      </c>
      <c r="G19535" s="2">
        <v>0</v>
      </c>
      <c r="H19535" s="1" t="s">
        <v>0</v>
      </c>
      <c r="I19535" s="2">
        <v>0</v>
      </c>
      <c r="J19535" s="1">
        <v>45939.648969907408</v>
      </c>
    </row>
    <row r="19536" spans="1:10" x14ac:dyDescent="0.2">
      <c r="A19536" s="4" t="s">
        <v>1</v>
      </c>
      <c r="B195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36" s="3" t="str">
        <f>HYPERLINK("https://otsuka-europe-crm.veevavault.com/ui/#object/sent_email__v/VBLZ025E82HGM33", "SE-000285601")</f>
        <v>SE-000285601</v>
      </c>
      <c r="D19536" s="1">
        <v>45940.124236111114</v>
      </c>
      <c r="E19536" s="2">
        <v>1</v>
      </c>
      <c r="F19536" s="2">
        <v>2</v>
      </c>
      <c r="G19536" s="2">
        <v>0</v>
      </c>
      <c r="H19536" s="1" t="s">
        <v>0</v>
      </c>
      <c r="I19536" s="2">
        <v>0</v>
      </c>
      <c r="J19536" s="1">
        <v>45939.648981481485</v>
      </c>
    </row>
    <row r="19537" spans="1:10" x14ac:dyDescent="0.2">
      <c r="A19537" s="4" t="s">
        <v>1</v>
      </c>
      <c r="B195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37" s="3" t="str">
        <f>HYPERLINK("https://otsuka-europe-crm.veevavault.com/ui/#object/sent_email__v/VBLZ025E82HGM34", "SE-000285602")</f>
        <v>SE-000285602</v>
      </c>
      <c r="D19537" s="1" t="s">
        <v>0</v>
      </c>
      <c r="E19537" s="2">
        <v>0</v>
      </c>
      <c r="F19537" s="2">
        <v>0</v>
      </c>
      <c r="G19537" s="2">
        <v>0</v>
      </c>
      <c r="H19537" s="1" t="s">
        <v>0</v>
      </c>
      <c r="I19537" s="2">
        <v>0</v>
      </c>
      <c r="J19537" s="1">
        <v>45939.648993055554</v>
      </c>
    </row>
    <row r="19538" spans="1:10" x14ac:dyDescent="0.2">
      <c r="A19538" s="4" t="s">
        <v>1</v>
      </c>
      <c r="B195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38" s="3" t="str">
        <f>HYPERLINK("https://otsuka-europe-crm.veevavault.com/ui/#object/sent_email__v/VBLZ025E82HGM35", "SE-000285603")</f>
        <v>SE-000285603</v>
      </c>
      <c r="D19538" s="1" t="s">
        <v>0</v>
      </c>
      <c r="E19538" s="2">
        <v>0</v>
      </c>
      <c r="F19538" s="2">
        <v>0</v>
      </c>
      <c r="G19538" s="2">
        <v>0</v>
      </c>
      <c r="H19538" s="1" t="s">
        <v>0</v>
      </c>
      <c r="I19538" s="2">
        <v>0</v>
      </c>
      <c r="J19538" s="1">
        <v>45939.648993055554</v>
      </c>
    </row>
    <row r="19539" spans="1:10" x14ac:dyDescent="0.2">
      <c r="A19539" s="4" t="s">
        <v>1</v>
      </c>
      <c r="B195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39" s="3" t="str">
        <f>HYPERLINK("https://otsuka-europe-crm.veevavault.com/ui/#object/sent_email__v/VBLZ025E82HGM36", "SE-000285604")</f>
        <v>SE-000285604</v>
      </c>
      <c r="D19539" s="1">
        <v>45942.373657407406</v>
      </c>
      <c r="E19539" s="2">
        <v>1</v>
      </c>
      <c r="F19539" s="2">
        <v>2</v>
      </c>
      <c r="G19539" s="2">
        <v>0</v>
      </c>
      <c r="H19539" s="1" t="s">
        <v>0</v>
      </c>
      <c r="I19539" s="2">
        <v>0</v>
      </c>
      <c r="J19539" s="1">
        <v>45939.649004629631</v>
      </c>
    </row>
    <row r="19540" spans="1:10" x14ac:dyDescent="0.2">
      <c r="A19540" s="4" t="s">
        <v>1</v>
      </c>
      <c r="B195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40" s="3" t="str">
        <f>HYPERLINK("https://otsuka-europe-crm.veevavault.com/ui/#object/sent_email__v/VBLZ025E82HGM37", "SE-000285605")</f>
        <v>SE-000285605</v>
      </c>
      <c r="D19540" s="1" t="s">
        <v>0</v>
      </c>
      <c r="E19540" s="2">
        <v>0</v>
      </c>
      <c r="F19540" s="2">
        <v>0</v>
      </c>
      <c r="G19540" s="2">
        <v>0</v>
      </c>
      <c r="H19540" s="1" t="s">
        <v>0</v>
      </c>
      <c r="I19540" s="2">
        <v>0</v>
      </c>
      <c r="J19540" s="1">
        <v>45939.649016203701</v>
      </c>
    </row>
    <row r="19541" spans="1:10" x14ac:dyDescent="0.2">
      <c r="A19541" s="4" t="s">
        <v>1</v>
      </c>
      <c r="B195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41" s="3" t="str">
        <f>HYPERLINK("https://otsuka-europe-crm.veevavault.com/ui/#object/sent_email__v/VBLZ025E82HGM38", "SE-000285606")</f>
        <v>SE-000285606</v>
      </c>
      <c r="D19541" s="1" t="s">
        <v>0</v>
      </c>
      <c r="E19541" s="2">
        <v>0</v>
      </c>
      <c r="F19541" s="2">
        <v>0</v>
      </c>
      <c r="G19541" s="2">
        <v>0</v>
      </c>
      <c r="H19541" s="1" t="s">
        <v>0</v>
      </c>
      <c r="I19541" s="2">
        <v>0</v>
      </c>
      <c r="J19541" s="1">
        <v>45939.649027777778</v>
      </c>
    </row>
    <row r="19542" spans="1:10" x14ac:dyDescent="0.2">
      <c r="A19542" s="4" t="s">
        <v>1</v>
      </c>
      <c r="B195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42" s="3" t="str">
        <f>HYPERLINK("https://otsuka-europe-crm.veevavault.com/ui/#object/sent_email__v/VBLZ025E82HGM39", "SE-000285607")</f>
        <v>SE-000285607</v>
      </c>
      <c r="D19542" s="1">
        <v>45939.807129629633</v>
      </c>
      <c r="E19542" s="2">
        <v>1</v>
      </c>
      <c r="F19542" s="2">
        <v>2</v>
      </c>
      <c r="G19542" s="2">
        <v>0</v>
      </c>
      <c r="H19542" s="1" t="s">
        <v>0</v>
      </c>
      <c r="I19542" s="2">
        <v>0</v>
      </c>
      <c r="J19542" s="1">
        <v>45939.649039351854</v>
      </c>
    </row>
    <row r="19543" spans="1:10" x14ac:dyDescent="0.2">
      <c r="A19543" s="4" t="s">
        <v>1</v>
      </c>
      <c r="B195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43" s="3" t="str">
        <f>HYPERLINK("https://otsuka-europe-crm.veevavault.com/ui/#object/sent_email__v/VBLZ025E82HGM3A", "SE-000285608")</f>
        <v>SE-000285608</v>
      </c>
      <c r="D19543" s="1" t="s">
        <v>0</v>
      </c>
      <c r="E19543" s="2">
        <v>0</v>
      </c>
      <c r="F19543" s="2">
        <v>0</v>
      </c>
      <c r="G19543" s="2">
        <v>0</v>
      </c>
      <c r="H19543" s="1" t="s">
        <v>0</v>
      </c>
      <c r="I19543" s="2">
        <v>0</v>
      </c>
      <c r="J19543" s="1">
        <v>45939.649039351854</v>
      </c>
    </row>
    <row r="19544" spans="1:10" x14ac:dyDescent="0.2">
      <c r="A19544" s="4" t="s">
        <v>1</v>
      </c>
      <c r="B195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44" s="3" t="str">
        <f>HYPERLINK("https://otsuka-europe-crm.veevavault.com/ui/#object/sent_email__v/VBLZ025E82HGM3B", "SE-000285609")</f>
        <v>SE-000285609</v>
      </c>
      <c r="D19544" s="1" t="s">
        <v>0</v>
      </c>
      <c r="E19544" s="2">
        <v>0</v>
      </c>
      <c r="F19544" s="2">
        <v>0</v>
      </c>
      <c r="G19544" s="2">
        <v>0</v>
      </c>
      <c r="H19544" s="1" t="s">
        <v>0</v>
      </c>
      <c r="I19544" s="2">
        <v>0</v>
      </c>
      <c r="J19544" s="1">
        <v>45939.649050925924</v>
      </c>
    </row>
    <row r="19545" spans="1:10" x14ac:dyDescent="0.2">
      <c r="A19545" s="4" t="s">
        <v>1</v>
      </c>
      <c r="B195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45" s="3" t="str">
        <f>HYPERLINK("https://otsuka-europe-crm.veevavault.com/ui/#object/sent_email__v/VBLZ025E82HGM3C", "SE-000285610")</f>
        <v>SE-000285610</v>
      </c>
      <c r="D19545" s="1">
        <v>45939.856377314813</v>
      </c>
      <c r="E19545" s="2">
        <v>1</v>
      </c>
      <c r="F19545" s="2">
        <v>1</v>
      </c>
      <c r="G19545" s="2">
        <v>0</v>
      </c>
      <c r="H19545" s="1" t="s">
        <v>0</v>
      </c>
      <c r="I19545" s="2">
        <v>0</v>
      </c>
      <c r="J19545" s="1">
        <v>45939.649062500001</v>
      </c>
    </row>
    <row r="19546" spans="1:10" x14ac:dyDescent="0.2">
      <c r="A19546" s="4" t="s">
        <v>1</v>
      </c>
      <c r="B195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46" s="3" t="str">
        <f>HYPERLINK("https://otsuka-europe-crm.veevavault.com/ui/#object/sent_email__v/VBLZ025E82HGM3D", "SE-000285611")</f>
        <v>SE-000285611</v>
      </c>
      <c r="D19546" s="1" t="s">
        <v>0</v>
      </c>
      <c r="E19546" s="2">
        <v>0</v>
      </c>
      <c r="F19546" s="2">
        <v>0</v>
      </c>
      <c r="G19546" s="2">
        <v>0</v>
      </c>
      <c r="H19546" s="1" t="s">
        <v>0</v>
      </c>
      <c r="I19546" s="2">
        <v>0</v>
      </c>
      <c r="J19546" s="1">
        <v>45939.649074074077</v>
      </c>
    </row>
    <row r="19547" spans="1:10" x14ac:dyDescent="0.2">
      <c r="A19547" s="4" t="s">
        <v>1</v>
      </c>
      <c r="B195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47" s="3" t="str">
        <f>HYPERLINK("https://otsuka-europe-crm.veevavault.com/ui/#object/sent_email__v/VBLZ025E82HGM3E", "SE-000285612")</f>
        <v>SE-000285612</v>
      </c>
      <c r="D19547" s="1" t="s">
        <v>0</v>
      </c>
      <c r="E19547" s="2">
        <v>0</v>
      </c>
      <c r="F19547" s="2">
        <v>0</v>
      </c>
      <c r="G19547" s="2">
        <v>0</v>
      </c>
      <c r="H19547" s="1" t="s">
        <v>0</v>
      </c>
      <c r="I19547" s="2">
        <v>0</v>
      </c>
      <c r="J19547" s="1">
        <v>45939.649085648147</v>
      </c>
    </row>
    <row r="19548" spans="1:10" x14ac:dyDescent="0.2">
      <c r="A19548" s="4" t="s">
        <v>1</v>
      </c>
      <c r="B195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48" s="3" t="str">
        <f>HYPERLINK("https://otsuka-europe-crm.veevavault.com/ui/#object/sent_email__v/VBLZ025E82HGM3F", "SE-000285613")</f>
        <v>SE-000285613</v>
      </c>
      <c r="D19548" s="1" t="s">
        <v>0</v>
      </c>
      <c r="E19548" s="2">
        <v>0</v>
      </c>
      <c r="F19548" s="2">
        <v>0</v>
      </c>
      <c r="G19548" s="2">
        <v>0</v>
      </c>
      <c r="H19548" s="1" t="s">
        <v>0</v>
      </c>
      <c r="I19548" s="2">
        <v>0</v>
      </c>
      <c r="J19548" s="1">
        <v>45939.649097222224</v>
      </c>
    </row>
    <row r="19549" spans="1:10" x14ac:dyDescent="0.2">
      <c r="A19549" s="4" t="s">
        <v>1</v>
      </c>
      <c r="B195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49" s="3" t="str">
        <f>HYPERLINK("https://otsuka-europe-crm.veevavault.com/ui/#object/sent_email__v/VBLZ025E82HGM3G", "SE-000285614")</f>
        <v>SE-000285614</v>
      </c>
      <c r="D19549" s="1" t="s">
        <v>0</v>
      </c>
      <c r="E19549" s="2">
        <v>0</v>
      </c>
      <c r="F19549" s="2">
        <v>0</v>
      </c>
      <c r="G19549" s="2">
        <v>0</v>
      </c>
      <c r="H19549" s="1" t="s">
        <v>0</v>
      </c>
      <c r="I19549" s="2">
        <v>0</v>
      </c>
      <c r="J19549" s="1">
        <v>45939.649108796293</v>
      </c>
    </row>
    <row r="19550" spans="1:10" x14ac:dyDescent="0.2">
      <c r="A19550" s="4" t="s">
        <v>1</v>
      </c>
      <c r="B195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50" s="3" t="str">
        <f>HYPERLINK("https://otsuka-europe-crm.veevavault.com/ui/#object/sent_email__v/VBLZ025E82HGM3H", "SE-000285615")</f>
        <v>SE-000285615</v>
      </c>
      <c r="D19550" s="1" t="s">
        <v>0</v>
      </c>
      <c r="E19550" s="2">
        <v>0</v>
      </c>
      <c r="F19550" s="2">
        <v>0</v>
      </c>
      <c r="G19550" s="2">
        <v>0</v>
      </c>
      <c r="H19550" s="1" t="s">
        <v>0</v>
      </c>
      <c r="I19550" s="2">
        <v>0</v>
      </c>
      <c r="J19550" s="1">
        <v>45939.649108796293</v>
      </c>
    </row>
    <row r="19551" spans="1:10" x14ac:dyDescent="0.2">
      <c r="A19551" s="4" t="s">
        <v>1</v>
      </c>
      <c r="B195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51" s="3" t="str">
        <f>HYPERLINK("https://otsuka-europe-crm.veevavault.com/ui/#object/sent_email__v/VBLZ025E82HGM3I", "SE-000285616")</f>
        <v>SE-000285616</v>
      </c>
      <c r="D19551" s="1" t="s">
        <v>0</v>
      </c>
      <c r="E19551" s="2">
        <v>0</v>
      </c>
      <c r="F19551" s="2">
        <v>0</v>
      </c>
      <c r="G19551" s="2">
        <v>0</v>
      </c>
      <c r="H19551" s="1" t="s">
        <v>0</v>
      </c>
      <c r="I19551" s="2">
        <v>0</v>
      </c>
      <c r="J19551" s="1">
        <v>45939.649131944447</v>
      </c>
    </row>
    <row r="19552" spans="1:10" x14ac:dyDescent="0.2">
      <c r="A19552" s="4" t="s">
        <v>1</v>
      </c>
      <c r="B195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52" s="3" t="str">
        <f>HYPERLINK("https://otsuka-europe-crm.veevavault.com/ui/#object/sent_email__v/VBLZ025E82HGM3J", "SE-000285617")</f>
        <v>SE-000285617</v>
      </c>
      <c r="D19552" s="1" t="s">
        <v>0</v>
      </c>
      <c r="E19552" s="2">
        <v>0</v>
      </c>
      <c r="F19552" s="2">
        <v>0</v>
      </c>
      <c r="G19552" s="2">
        <v>0</v>
      </c>
      <c r="H19552" s="1" t="s">
        <v>0</v>
      </c>
      <c r="I19552" s="2">
        <v>0</v>
      </c>
      <c r="J19552" s="1">
        <v>45939.649131944447</v>
      </c>
    </row>
    <row r="19553" spans="1:10" x14ac:dyDescent="0.2">
      <c r="A19553" s="4" t="s">
        <v>1</v>
      </c>
      <c r="B195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53" s="3" t="str">
        <f>HYPERLINK("https://otsuka-europe-crm.veevavault.com/ui/#object/sent_email__v/VBLZ025E82HGM3K", "SE-000285618")</f>
        <v>SE-000285618</v>
      </c>
      <c r="D19553" s="1">
        <v>45939.732777777775</v>
      </c>
      <c r="E19553" s="2">
        <v>1</v>
      </c>
      <c r="F19553" s="2">
        <v>1</v>
      </c>
      <c r="G19553" s="2">
        <v>0</v>
      </c>
      <c r="H19553" s="1" t="s">
        <v>0</v>
      </c>
      <c r="I19553" s="2">
        <v>0</v>
      </c>
      <c r="J19553" s="1">
        <v>45939.649143518516</v>
      </c>
    </row>
    <row r="19554" spans="1:10" x14ac:dyDescent="0.2">
      <c r="A19554" s="4" t="s">
        <v>1</v>
      </c>
      <c r="B195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54" s="3" t="str">
        <f>HYPERLINK("https://otsuka-europe-crm.veevavault.com/ui/#object/sent_email__v/VBLZ025E82HGM3L", "SE-000285619")</f>
        <v>SE-000285619</v>
      </c>
      <c r="D19554" s="1" t="s">
        <v>0</v>
      </c>
      <c r="E19554" s="2">
        <v>0</v>
      </c>
      <c r="F19554" s="2">
        <v>0</v>
      </c>
      <c r="G19554" s="2">
        <v>0</v>
      </c>
      <c r="H19554" s="1" t="s">
        <v>0</v>
      </c>
      <c r="I19554" s="2">
        <v>0</v>
      </c>
      <c r="J19554" s="1">
        <v>45939.649155092593</v>
      </c>
    </row>
    <row r="19555" spans="1:10" x14ac:dyDescent="0.2">
      <c r="A19555" s="4" t="s">
        <v>1</v>
      </c>
      <c r="B195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55" s="3" t="str">
        <f>HYPERLINK("https://otsuka-europe-crm.veevavault.com/ui/#object/sent_email__v/VBLZ025E82HGM3M", "SE-000285620")</f>
        <v>SE-000285620</v>
      </c>
      <c r="D19555" s="1">
        <v>45939.657893518517</v>
      </c>
      <c r="E19555" s="2">
        <v>1</v>
      </c>
      <c r="F19555" s="2">
        <v>1</v>
      </c>
      <c r="G19555" s="2">
        <v>0</v>
      </c>
      <c r="H19555" s="1" t="s">
        <v>0</v>
      </c>
      <c r="I19555" s="2">
        <v>0</v>
      </c>
      <c r="J19555" s="1">
        <v>45939.649155092593</v>
      </c>
    </row>
    <row r="19556" spans="1:10" x14ac:dyDescent="0.2">
      <c r="A19556" s="4" t="s">
        <v>1</v>
      </c>
      <c r="B195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56" s="3" t="str">
        <f>HYPERLINK("https://otsuka-europe-crm.veevavault.com/ui/#object/sent_email__v/VBLZ025E82HGM3N", "SE-000285621")</f>
        <v>SE-000285621</v>
      </c>
      <c r="D19556" s="1" t="s">
        <v>0</v>
      </c>
      <c r="E19556" s="2">
        <v>0</v>
      </c>
      <c r="F19556" s="2">
        <v>0</v>
      </c>
      <c r="G19556" s="2">
        <v>0</v>
      </c>
      <c r="H19556" s="1" t="s">
        <v>0</v>
      </c>
      <c r="I19556" s="2">
        <v>0</v>
      </c>
      <c r="J19556" s="1">
        <v>45939.649178240739</v>
      </c>
    </row>
    <row r="19557" spans="1:10" x14ac:dyDescent="0.2">
      <c r="A19557" s="4" t="s">
        <v>1</v>
      </c>
      <c r="B195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57" s="3" t="str">
        <f>HYPERLINK("https://otsuka-europe-crm.veevavault.com/ui/#object/sent_email__v/VBLZ025E82HGM3O", "SE-000285622")</f>
        <v>SE-000285622</v>
      </c>
      <c r="D19557" s="1">
        <v>45942.43273148148</v>
      </c>
      <c r="E19557" s="2">
        <v>1</v>
      </c>
      <c r="F19557" s="2">
        <v>2</v>
      </c>
      <c r="G19557" s="2">
        <v>0</v>
      </c>
      <c r="H19557" s="1" t="s">
        <v>0</v>
      </c>
      <c r="I19557" s="2">
        <v>0</v>
      </c>
      <c r="J19557" s="1">
        <v>45939.649178240739</v>
      </c>
    </row>
    <row r="19558" spans="1:10" x14ac:dyDescent="0.2">
      <c r="A19558" s="4" t="s">
        <v>1</v>
      </c>
      <c r="B195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58" s="3" t="str">
        <f>HYPERLINK("https://otsuka-europe-crm.veevavault.com/ui/#object/sent_email__v/VBLZ025E82HGM3P", "SE-000285623")</f>
        <v>SE-000285623</v>
      </c>
      <c r="D19558" s="1" t="s">
        <v>0</v>
      </c>
      <c r="E19558" s="2">
        <v>0</v>
      </c>
      <c r="F19558" s="2">
        <v>0</v>
      </c>
      <c r="G19558" s="2">
        <v>0</v>
      </c>
      <c r="H19558" s="1" t="s">
        <v>0</v>
      </c>
      <c r="I19558" s="2">
        <v>0</v>
      </c>
      <c r="J19558" s="1">
        <v>45939.649189814816</v>
      </c>
    </row>
    <row r="19559" spans="1:10" x14ac:dyDescent="0.2">
      <c r="A19559" s="4" t="s">
        <v>1</v>
      </c>
      <c r="B195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59" s="3" t="str">
        <f>HYPERLINK("https://otsuka-europe-crm.veevavault.com/ui/#object/sent_email__v/VBLZ025E82HGM3Q", "SE-000285624")</f>
        <v>SE-000285624</v>
      </c>
      <c r="D19559" s="1" t="s">
        <v>0</v>
      </c>
      <c r="E19559" s="2">
        <v>0</v>
      </c>
      <c r="F19559" s="2">
        <v>0</v>
      </c>
      <c r="G19559" s="2">
        <v>0</v>
      </c>
      <c r="H19559" s="1" t="s">
        <v>0</v>
      </c>
      <c r="I19559" s="2">
        <v>0</v>
      </c>
      <c r="J19559" s="1">
        <v>45939.649201388886</v>
      </c>
    </row>
    <row r="19560" spans="1:10" x14ac:dyDescent="0.2">
      <c r="A19560" s="4" t="s">
        <v>1</v>
      </c>
      <c r="B195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60" s="3" t="str">
        <f>HYPERLINK("https://otsuka-europe-crm.veevavault.com/ui/#object/sent_email__v/VBLZ025E82HGM3R", "SE-000285625")</f>
        <v>SE-000285625</v>
      </c>
      <c r="D19560" s="1" t="s">
        <v>0</v>
      </c>
      <c r="E19560" s="2">
        <v>0</v>
      </c>
      <c r="F19560" s="2">
        <v>0</v>
      </c>
      <c r="G19560" s="2">
        <v>0</v>
      </c>
      <c r="H19560" s="1" t="s">
        <v>0</v>
      </c>
      <c r="I19560" s="2">
        <v>0</v>
      </c>
      <c r="J19560" s="1">
        <v>45939.649212962962</v>
      </c>
    </row>
    <row r="19561" spans="1:10" x14ac:dyDescent="0.2">
      <c r="A19561" s="4" t="s">
        <v>1</v>
      </c>
      <c r="B195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61" s="3" t="str">
        <f>HYPERLINK("https://otsuka-europe-crm.veevavault.com/ui/#object/sent_email__v/VBLZ025E82HGM3S", "SE-000285626")</f>
        <v>SE-000285626</v>
      </c>
      <c r="D19561" s="1">
        <v>45940.455277777779</v>
      </c>
      <c r="E19561" s="2">
        <v>1</v>
      </c>
      <c r="F19561" s="2">
        <v>1</v>
      </c>
      <c r="G19561" s="2">
        <v>0</v>
      </c>
      <c r="H19561" s="1" t="s">
        <v>0</v>
      </c>
      <c r="I19561" s="2">
        <v>0</v>
      </c>
      <c r="J19561" s="1">
        <v>45939.649224537039</v>
      </c>
    </row>
    <row r="19562" spans="1:10" x14ac:dyDescent="0.2">
      <c r="A19562" s="4" t="s">
        <v>1</v>
      </c>
      <c r="B195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62" s="3" t="str">
        <f>HYPERLINK("https://otsuka-europe-crm.veevavault.com/ui/#object/sent_email__v/VBLZ025E82HGM3T", "SE-000285627")</f>
        <v>SE-000285627</v>
      </c>
      <c r="D19562" s="1" t="s">
        <v>0</v>
      </c>
      <c r="E19562" s="2">
        <v>0</v>
      </c>
      <c r="F19562" s="2">
        <v>0</v>
      </c>
      <c r="G19562" s="2">
        <v>0</v>
      </c>
      <c r="H19562" s="1" t="s">
        <v>0</v>
      </c>
      <c r="I19562" s="2">
        <v>0</v>
      </c>
      <c r="J19562" s="1">
        <v>45939.649236111109</v>
      </c>
    </row>
    <row r="19563" spans="1:10" x14ac:dyDescent="0.2">
      <c r="A19563" s="4" t="s">
        <v>1</v>
      </c>
      <c r="B195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63" s="3" t="str">
        <f>HYPERLINK("https://otsuka-europe-crm.veevavault.com/ui/#object/sent_email__v/VBLZ025E82HGM3U", "SE-000285628")</f>
        <v>SE-000285628</v>
      </c>
      <c r="D19563" s="1">
        <v>45939.740069444444</v>
      </c>
      <c r="E19563" s="2">
        <v>1</v>
      </c>
      <c r="F19563" s="2">
        <v>1</v>
      </c>
      <c r="G19563" s="2">
        <v>0</v>
      </c>
      <c r="H19563" s="1" t="s">
        <v>0</v>
      </c>
      <c r="I19563" s="2">
        <v>0</v>
      </c>
      <c r="J19563" s="1">
        <v>45939.649247685185</v>
      </c>
    </row>
    <row r="19564" spans="1:10" x14ac:dyDescent="0.2">
      <c r="A19564" s="4" t="s">
        <v>1</v>
      </c>
      <c r="B195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64" s="3" t="str">
        <f>HYPERLINK("https://otsuka-europe-crm.veevavault.com/ui/#object/sent_email__v/VBLZ025E82HGM3V", "SE-000285629")</f>
        <v>SE-000285629</v>
      </c>
      <c r="D19564" s="1" t="s">
        <v>0</v>
      </c>
      <c r="E19564" s="2">
        <v>0</v>
      </c>
      <c r="F19564" s="2">
        <v>0</v>
      </c>
      <c r="G19564" s="2">
        <v>0</v>
      </c>
      <c r="H19564" s="1" t="s">
        <v>0</v>
      </c>
      <c r="I19564" s="2">
        <v>0</v>
      </c>
      <c r="J19564" s="1">
        <v>45939.649259259262</v>
      </c>
    </row>
    <row r="19565" spans="1:10" x14ac:dyDescent="0.2">
      <c r="A19565" s="4" t="s">
        <v>1</v>
      </c>
      <c r="B195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65" s="3" t="str">
        <f>HYPERLINK("https://otsuka-europe-crm.veevavault.com/ui/#object/sent_email__v/VBLZ025E82HGM3W", "SE-000285630")</f>
        <v>SE-000285630</v>
      </c>
      <c r="D19565" s="1" t="s">
        <v>0</v>
      </c>
      <c r="E19565" s="2">
        <v>0</v>
      </c>
      <c r="F19565" s="2">
        <v>0</v>
      </c>
      <c r="G19565" s="2">
        <v>0</v>
      </c>
      <c r="H19565" s="1" t="s">
        <v>0</v>
      </c>
      <c r="I19565" s="2">
        <v>0</v>
      </c>
      <c r="J19565" s="1">
        <v>45939.649259259262</v>
      </c>
    </row>
    <row r="19566" spans="1:10" x14ac:dyDescent="0.2">
      <c r="A19566" s="4" t="s">
        <v>1</v>
      </c>
      <c r="B195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66" s="3" t="str">
        <f>HYPERLINK("https://otsuka-europe-crm.veevavault.com/ui/#object/sent_email__v/VBLZ025E82HGM3X", "SE-000285631")</f>
        <v>SE-000285631</v>
      </c>
      <c r="D19566" s="1">
        <v>45941.341967592591</v>
      </c>
      <c r="E19566" s="2">
        <v>1</v>
      </c>
      <c r="F19566" s="2">
        <v>1</v>
      </c>
      <c r="G19566" s="2">
        <v>0</v>
      </c>
      <c r="H19566" s="1" t="s">
        <v>0</v>
      </c>
      <c r="I19566" s="2">
        <v>0</v>
      </c>
      <c r="J19566" s="1">
        <v>45939.649270833332</v>
      </c>
    </row>
    <row r="19567" spans="1:10" x14ac:dyDescent="0.2">
      <c r="A19567" s="4" t="s">
        <v>1</v>
      </c>
      <c r="B195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67" s="3" t="str">
        <f>HYPERLINK("https://otsuka-europe-crm.veevavault.com/ui/#object/sent_email__v/VBLZ025E82HGM3Y", "SE-000285632")</f>
        <v>SE-000285632</v>
      </c>
      <c r="D19567" s="1" t="s">
        <v>0</v>
      </c>
      <c r="E19567" s="2">
        <v>0</v>
      </c>
      <c r="F19567" s="2">
        <v>0</v>
      </c>
      <c r="G19567" s="2">
        <v>0</v>
      </c>
      <c r="H19567" s="1" t="s">
        <v>0</v>
      </c>
      <c r="I19567" s="2">
        <v>0</v>
      </c>
      <c r="J19567" s="1">
        <v>45939.649282407408</v>
      </c>
    </row>
    <row r="19568" spans="1:10" x14ac:dyDescent="0.2">
      <c r="A19568" s="4" t="s">
        <v>1</v>
      </c>
      <c r="B195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68" s="3" t="str">
        <f>HYPERLINK("https://otsuka-europe-crm.veevavault.com/ui/#object/sent_email__v/VBLZ025E82HGM3Z", "SE-000285633")</f>
        <v>SE-000285633</v>
      </c>
      <c r="D19568" s="1">
        <v>45939.65079861111</v>
      </c>
      <c r="E19568" s="2">
        <v>1</v>
      </c>
      <c r="F19568" s="2">
        <v>1</v>
      </c>
      <c r="G19568" s="2">
        <v>0</v>
      </c>
      <c r="H19568" s="1" t="s">
        <v>0</v>
      </c>
      <c r="I19568" s="2">
        <v>0</v>
      </c>
      <c r="J19568" s="1">
        <v>45939.649293981478</v>
      </c>
    </row>
    <row r="19569" spans="1:10" x14ac:dyDescent="0.2">
      <c r="A19569" s="4" t="s">
        <v>1</v>
      </c>
      <c r="B195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69" s="3" t="str">
        <f>HYPERLINK("https://otsuka-europe-crm.veevavault.com/ui/#object/sent_email__v/VBLZ025E82HGM40", "SE-000285634")</f>
        <v>SE-000285634</v>
      </c>
      <c r="D19569" s="1" t="s">
        <v>0</v>
      </c>
      <c r="E19569" s="2">
        <v>0</v>
      </c>
      <c r="F19569" s="2">
        <v>0</v>
      </c>
      <c r="G19569" s="2">
        <v>0</v>
      </c>
      <c r="H19569" s="1" t="s">
        <v>0</v>
      </c>
      <c r="I19569" s="2">
        <v>0</v>
      </c>
      <c r="J19569" s="1">
        <v>45939.649305555555</v>
      </c>
    </row>
    <row r="19570" spans="1:10" x14ac:dyDescent="0.2">
      <c r="A19570" s="4" t="s">
        <v>1</v>
      </c>
      <c r="B195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70" s="3" t="str">
        <f>HYPERLINK("https://otsuka-europe-crm.veevavault.com/ui/#object/sent_email__v/VBLZ025E82HGM41", "SE-000285635")</f>
        <v>SE-000285635</v>
      </c>
      <c r="D19570" s="1" t="s">
        <v>0</v>
      </c>
      <c r="E19570" s="2">
        <v>0</v>
      </c>
      <c r="F19570" s="2">
        <v>0</v>
      </c>
      <c r="G19570" s="2">
        <v>0</v>
      </c>
      <c r="H19570" s="1" t="s">
        <v>0</v>
      </c>
      <c r="I19570" s="2">
        <v>0</v>
      </c>
      <c r="J19570" s="1">
        <v>45939.649305555555</v>
      </c>
    </row>
    <row r="19571" spans="1:10" x14ac:dyDescent="0.2">
      <c r="A19571" s="4" t="s">
        <v>1</v>
      </c>
      <c r="B195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71" s="3" t="str">
        <f>HYPERLINK("https://otsuka-europe-crm.veevavault.com/ui/#object/sent_email__v/VBLZ025E82HGM42", "SE-000285636")</f>
        <v>SE-000285636</v>
      </c>
      <c r="D19571" s="1">
        <v>45939.852650462963</v>
      </c>
      <c r="E19571" s="2">
        <v>1</v>
      </c>
      <c r="F19571" s="2">
        <v>1</v>
      </c>
      <c r="G19571" s="2">
        <v>0</v>
      </c>
      <c r="H19571" s="1" t="s">
        <v>0</v>
      </c>
      <c r="I19571" s="2">
        <v>0</v>
      </c>
      <c r="J19571" s="1">
        <v>45939.649317129632</v>
      </c>
    </row>
    <row r="19572" spans="1:10" x14ac:dyDescent="0.2">
      <c r="A19572" s="4" t="s">
        <v>1</v>
      </c>
      <c r="B195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72" s="3" t="str">
        <f>HYPERLINK("https://otsuka-europe-crm.veevavault.com/ui/#object/sent_email__v/VBLZ025E82HGM43", "SE-000285637")</f>
        <v>SE-000285637</v>
      </c>
      <c r="D19572" s="1" t="s">
        <v>0</v>
      </c>
      <c r="E19572" s="2">
        <v>0</v>
      </c>
      <c r="F19572" s="2">
        <v>0</v>
      </c>
      <c r="G19572" s="2">
        <v>0</v>
      </c>
      <c r="H19572" s="1" t="s">
        <v>0</v>
      </c>
      <c r="I19572" s="2">
        <v>0</v>
      </c>
      <c r="J19572" s="1">
        <v>45939.649328703701</v>
      </c>
    </row>
    <row r="19573" spans="1:10" x14ac:dyDescent="0.2">
      <c r="A19573" s="4" t="s">
        <v>1</v>
      </c>
      <c r="B195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73" s="3" t="str">
        <f>HYPERLINK("https://otsuka-europe-crm.veevavault.com/ui/#object/sent_email__v/VBLZ025E82HGM44", "SE-000285638")</f>
        <v>SE-000285638</v>
      </c>
      <c r="D19573" s="1">
        <v>45939.719965277778</v>
      </c>
      <c r="E19573" s="2">
        <v>1</v>
      </c>
      <c r="F19573" s="2">
        <v>1</v>
      </c>
      <c r="G19573" s="2">
        <v>0</v>
      </c>
      <c r="H19573" s="1" t="s">
        <v>0</v>
      </c>
      <c r="I19573" s="2">
        <v>0</v>
      </c>
      <c r="J19573" s="1">
        <v>45939.649340277778</v>
      </c>
    </row>
    <row r="19574" spans="1:10" x14ac:dyDescent="0.2">
      <c r="A19574" s="4" t="s">
        <v>1</v>
      </c>
      <c r="B195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74" s="3" t="str">
        <f>HYPERLINK("https://otsuka-europe-crm.veevavault.com/ui/#object/sent_email__v/VBLZ025E82HGM45", "SE-000285639")</f>
        <v>SE-000285639</v>
      </c>
      <c r="D19574" s="1" t="s">
        <v>0</v>
      </c>
      <c r="E19574" s="2">
        <v>0</v>
      </c>
      <c r="F19574" s="2">
        <v>0</v>
      </c>
      <c r="G19574" s="2">
        <v>0</v>
      </c>
      <c r="H19574" s="1" t="s">
        <v>0</v>
      </c>
      <c r="I19574" s="2">
        <v>0</v>
      </c>
      <c r="J19574" s="1">
        <v>45939.649363425924</v>
      </c>
    </row>
    <row r="19575" spans="1:10" x14ac:dyDescent="0.2">
      <c r="A19575" s="4" t="s">
        <v>1</v>
      </c>
      <c r="B195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75" s="3" t="str">
        <f>HYPERLINK("https://otsuka-europe-crm.veevavault.com/ui/#object/sent_email__v/VBLZ025E82HGM46", "SE-000285640")</f>
        <v>SE-000285640</v>
      </c>
      <c r="D19575" s="1">
        <v>45939.665983796294</v>
      </c>
      <c r="E19575" s="2">
        <v>1</v>
      </c>
      <c r="F19575" s="2">
        <v>2</v>
      </c>
      <c r="G19575" s="2">
        <v>0</v>
      </c>
      <c r="H19575" s="1" t="s">
        <v>0</v>
      </c>
      <c r="I19575" s="2">
        <v>0</v>
      </c>
      <c r="J19575" s="1">
        <v>45939.649363425924</v>
      </c>
    </row>
    <row r="19576" spans="1:10" x14ac:dyDescent="0.2">
      <c r="A19576" s="4" t="s">
        <v>1</v>
      </c>
      <c r="B195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76" s="3" t="str">
        <f>HYPERLINK("https://otsuka-europe-crm.veevavault.com/ui/#object/sent_email__v/VBLZ025E82HGM47", "SE-000285641")</f>
        <v>SE-000285641</v>
      </c>
      <c r="D19576" s="1">
        <v>45940.622002314813</v>
      </c>
      <c r="E19576" s="2">
        <v>1</v>
      </c>
      <c r="F19576" s="2">
        <v>1</v>
      </c>
      <c r="G19576" s="2">
        <v>0</v>
      </c>
      <c r="H19576" s="1" t="s">
        <v>0</v>
      </c>
      <c r="I19576" s="2">
        <v>0</v>
      </c>
      <c r="J19576" s="1">
        <v>45939.649375000001</v>
      </c>
    </row>
    <row r="19577" spans="1:10" x14ac:dyDescent="0.2">
      <c r="A19577" s="4" t="s">
        <v>1</v>
      </c>
      <c r="B195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77" s="3" t="str">
        <f>HYPERLINK("https://otsuka-europe-crm.veevavault.com/ui/#object/sent_email__v/VBLZ025E82HGM48", "SE-000285642")</f>
        <v>SE-000285642</v>
      </c>
      <c r="D19577" s="1">
        <v>45940.258298611108</v>
      </c>
      <c r="E19577" s="2">
        <v>1</v>
      </c>
      <c r="F19577" s="2">
        <v>1</v>
      </c>
      <c r="G19577" s="2">
        <v>0</v>
      </c>
      <c r="H19577" s="1" t="s">
        <v>0</v>
      </c>
      <c r="I19577" s="2">
        <v>0</v>
      </c>
      <c r="J19577" s="1">
        <v>45939.649386574078</v>
      </c>
    </row>
    <row r="19578" spans="1:10" x14ac:dyDescent="0.2">
      <c r="A19578" s="4" t="s">
        <v>1</v>
      </c>
      <c r="B195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78" s="3" t="str">
        <f>HYPERLINK("https://otsuka-europe-crm.veevavault.com/ui/#object/sent_email__v/VBLZ025E82HGM49", "SE-000285643")</f>
        <v>SE-000285643</v>
      </c>
      <c r="D19578" s="1" t="s">
        <v>0</v>
      </c>
      <c r="E19578" s="2">
        <v>0</v>
      </c>
      <c r="F19578" s="2">
        <v>0</v>
      </c>
      <c r="G19578" s="2">
        <v>0</v>
      </c>
      <c r="H19578" s="1" t="s">
        <v>0</v>
      </c>
      <c r="I19578" s="2">
        <v>0</v>
      </c>
      <c r="J19578" s="1">
        <v>45939.649398148147</v>
      </c>
    </row>
    <row r="19579" spans="1:10" x14ac:dyDescent="0.2">
      <c r="A19579" s="4" t="s">
        <v>1</v>
      </c>
      <c r="B195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79" s="3" t="str">
        <f>HYPERLINK("https://otsuka-europe-crm.veevavault.com/ui/#object/sent_email__v/VBLZ025E82HGM4A", "SE-000285644")</f>
        <v>SE-000285644</v>
      </c>
      <c r="D19579" s="1">
        <v>45945.976805555554</v>
      </c>
      <c r="E19579" s="2">
        <v>1</v>
      </c>
      <c r="F19579" s="2">
        <v>1</v>
      </c>
      <c r="G19579" s="2">
        <v>0</v>
      </c>
      <c r="H19579" s="1" t="s">
        <v>0</v>
      </c>
      <c r="I19579" s="2">
        <v>0</v>
      </c>
      <c r="J19579" s="1">
        <v>45939.649409722224</v>
      </c>
    </row>
    <row r="19580" spans="1:10" x14ac:dyDescent="0.2">
      <c r="A19580" s="4" t="s">
        <v>1</v>
      </c>
      <c r="B195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80" s="3" t="str">
        <f>HYPERLINK("https://otsuka-europe-crm.veevavault.com/ui/#object/sent_email__v/VBLZ025E82HGM4B", "SE-000285645")</f>
        <v>SE-000285645</v>
      </c>
      <c r="D19580" s="1">
        <v>45941.625358796293</v>
      </c>
      <c r="E19580" s="2">
        <v>1</v>
      </c>
      <c r="F19580" s="2">
        <v>1</v>
      </c>
      <c r="G19580" s="2">
        <v>0</v>
      </c>
      <c r="H19580" s="1" t="s">
        <v>0</v>
      </c>
      <c r="I19580" s="2">
        <v>0</v>
      </c>
      <c r="J19580" s="1">
        <v>45939.649409722224</v>
      </c>
    </row>
    <row r="19581" spans="1:10" x14ac:dyDescent="0.2">
      <c r="A19581" s="4" t="s">
        <v>1</v>
      </c>
      <c r="B195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81" s="3" t="str">
        <f>HYPERLINK("https://otsuka-europe-crm.veevavault.com/ui/#object/sent_email__v/VBLZ025E82HGM4C", "SE-000285646")</f>
        <v>SE-000285646</v>
      </c>
      <c r="D19581" s="1">
        <v>45939.666817129626</v>
      </c>
      <c r="E19581" s="2">
        <v>1</v>
      </c>
      <c r="F19581" s="2">
        <v>3</v>
      </c>
      <c r="G19581" s="2">
        <v>0</v>
      </c>
      <c r="H19581" s="1" t="s">
        <v>0</v>
      </c>
      <c r="I19581" s="2">
        <v>0</v>
      </c>
      <c r="J19581" s="1">
        <v>45939.649421296293</v>
      </c>
    </row>
    <row r="19582" spans="1:10" x14ac:dyDescent="0.2">
      <c r="A19582" s="4" t="s">
        <v>1</v>
      </c>
      <c r="B195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82" s="3" t="str">
        <f>HYPERLINK("https://otsuka-europe-crm.veevavault.com/ui/#object/sent_email__v/VBLZ025E82HGM4D", "SE-000285647")</f>
        <v>SE-000285647</v>
      </c>
      <c r="D19582" s="1" t="s">
        <v>0</v>
      </c>
      <c r="E19582" s="2">
        <v>0</v>
      </c>
      <c r="F19582" s="2">
        <v>0</v>
      </c>
      <c r="G19582" s="2">
        <v>0</v>
      </c>
      <c r="H19582" s="1" t="s">
        <v>0</v>
      </c>
      <c r="I19582" s="2">
        <v>0</v>
      </c>
      <c r="J19582" s="1">
        <v>45939.64943287037</v>
      </c>
    </row>
    <row r="19583" spans="1:10" x14ac:dyDescent="0.2">
      <c r="A19583" s="4" t="s">
        <v>1</v>
      </c>
      <c r="B195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83" s="3" t="str">
        <f>HYPERLINK("https://otsuka-europe-crm.veevavault.com/ui/#object/sent_email__v/VBLZ025E82HGM4E", "SE-000285648")</f>
        <v>SE-000285648</v>
      </c>
      <c r="D19583" s="1">
        <v>45947.617268518516</v>
      </c>
      <c r="E19583" s="2">
        <v>1</v>
      </c>
      <c r="F19583" s="2">
        <v>1</v>
      </c>
      <c r="G19583" s="2">
        <v>0</v>
      </c>
      <c r="H19583" s="1" t="s">
        <v>0</v>
      </c>
      <c r="I19583" s="2">
        <v>0</v>
      </c>
      <c r="J19583" s="1">
        <v>45939.649456018517</v>
      </c>
    </row>
    <row r="19584" spans="1:10" x14ac:dyDescent="0.2">
      <c r="A19584" s="4" t="s">
        <v>1</v>
      </c>
      <c r="B195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84" s="3" t="str">
        <f>HYPERLINK("https://otsuka-europe-crm.veevavault.com/ui/#object/sent_email__v/VBLZ025E82HGM4F", "SE-000285649")</f>
        <v>SE-000285649</v>
      </c>
      <c r="D19584" s="1">
        <v>45940.303287037037</v>
      </c>
      <c r="E19584" s="2">
        <v>1</v>
      </c>
      <c r="F19584" s="2">
        <v>1</v>
      </c>
      <c r="G19584" s="2">
        <v>0</v>
      </c>
      <c r="H19584" s="1" t="s">
        <v>0</v>
      </c>
      <c r="I19584" s="2">
        <v>0</v>
      </c>
      <c r="J19584" s="1">
        <v>45939.649456018517</v>
      </c>
    </row>
    <row r="19585" spans="1:10" x14ac:dyDescent="0.2">
      <c r="A19585" s="4" t="s">
        <v>1</v>
      </c>
      <c r="B195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85" s="3" t="str">
        <f>HYPERLINK("https://otsuka-europe-crm.veevavault.com/ui/#object/sent_email__v/VBLZ025E82HGM4G", "SE-000285650")</f>
        <v>SE-000285650</v>
      </c>
      <c r="D19585" s="1" t="s">
        <v>0</v>
      </c>
      <c r="E19585" s="2">
        <v>0</v>
      </c>
      <c r="F19585" s="2">
        <v>0</v>
      </c>
      <c r="G19585" s="2">
        <v>0</v>
      </c>
      <c r="H19585" s="1" t="s">
        <v>0</v>
      </c>
      <c r="I19585" s="2">
        <v>0</v>
      </c>
      <c r="J19585" s="1">
        <v>45939.649467592593</v>
      </c>
    </row>
    <row r="19586" spans="1:10" x14ac:dyDescent="0.2">
      <c r="A19586" s="4" t="s">
        <v>1</v>
      </c>
      <c r="B195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86" s="3" t="str">
        <f>HYPERLINK("https://otsuka-europe-crm.veevavault.com/ui/#object/sent_email__v/VBLZ025E82HGMBP", "SE-000285651")</f>
        <v>SE-000285651</v>
      </c>
      <c r="D19586" s="1">
        <v>45939.665833333333</v>
      </c>
      <c r="E19586" s="2">
        <v>1</v>
      </c>
      <c r="F19586" s="2">
        <v>4</v>
      </c>
      <c r="G19586" s="2">
        <v>0</v>
      </c>
      <c r="H19586" s="1" t="s">
        <v>0</v>
      </c>
      <c r="I19586" s="2">
        <v>0</v>
      </c>
      <c r="J19586" s="1">
        <v>45939.649212962962</v>
      </c>
    </row>
    <row r="19587" spans="1:10" x14ac:dyDescent="0.2">
      <c r="A19587" s="4" t="s">
        <v>1</v>
      </c>
      <c r="B195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87" s="3" t="str">
        <f>HYPERLINK("https://otsuka-europe-crm.veevavault.com/ui/#object/sent_email__v/VBLZ025E82HGMBQ", "SE-000285652")</f>
        <v>SE-000285652</v>
      </c>
      <c r="D19587" s="1" t="s">
        <v>0</v>
      </c>
      <c r="E19587" s="2">
        <v>0</v>
      </c>
      <c r="F19587" s="2">
        <v>0</v>
      </c>
      <c r="G19587" s="2">
        <v>0</v>
      </c>
      <c r="H19587" s="1" t="s">
        <v>0</v>
      </c>
      <c r="I19587" s="2">
        <v>0</v>
      </c>
      <c r="J19587" s="1">
        <v>45939.649224537039</v>
      </c>
    </row>
    <row r="19588" spans="1:10" x14ac:dyDescent="0.2">
      <c r="A19588" s="4" t="s">
        <v>1</v>
      </c>
      <c r="B195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88" s="3" t="str">
        <f>HYPERLINK("https://otsuka-europe-crm.veevavault.com/ui/#object/sent_email__v/VBLZ025E82HGMBR", "SE-000285653")</f>
        <v>SE-000285653</v>
      </c>
      <c r="D19588" s="1" t="s">
        <v>0</v>
      </c>
      <c r="E19588" s="2">
        <v>0</v>
      </c>
      <c r="F19588" s="2">
        <v>0</v>
      </c>
      <c r="G19588" s="2">
        <v>0</v>
      </c>
      <c r="H19588" s="1" t="s">
        <v>0</v>
      </c>
      <c r="I19588" s="2">
        <v>0</v>
      </c>
      <c r="J19588" s="1">
        <v>45939.649236111109</v>
      </c>
    </row>
    <row r="19589" spans="1:10" x14ac:dyDescent="0.2">
      <c r="A19589" s="4" t="s">
        <v>1</v>
      </c>
      <c r="B195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89" s="3" t="str">
        <f>HYPERLINK("https://otsuka-europe-crm.veevavault.com/ui/#object/sent_email__v/VBLZ025E82HGMBS", "SE-000285654")</f>
        <v>SE-000285654</v>
      </c>
      <c r="D19589" s="1">
        <v>45939.869895833333</v>
      </c>
      <c r="E19589" s="2">
        <v>1</v>
      </c>
      <c r="F19589" s="2">
        <v>1</v>
      </c>
      <c r="G19589" s="2">
        <v>0</v>
      </c>
      <c r="H19589" s="1" t="s">
        <v>0</v>
      </c>
      <c r="I19589" s="2">
        <v>0</v>
      </c>
      <c r="J19589" s="1">
        <v>45939.649247685185</v>
      </c>
    </row>
    <row r="19590" spans="1:10" x14ac:dyDescent="0.2">
      <c r="A19590" s="4" t="s">
        <v>1</v>
      </c>
      <c r="B195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90" s="3" t="str">
        <f>HYPERLINK("https://otsuka-europe-crm.veevavault.com/ui/#object/sent_email__v/VBLZ025E82HGMBT", "SE-000285655")</f>
        <v>SE-000285655</v>
      </c>
      <c r="D19590" s="1">
        <v>45939.977418981478</v>
      </c>
      <c r="E19590" s="2">
        <v>1</v>
      </c>
      <c r="F19590" s="2">
        <v>1</v>
      </c>
      <c r="G19590" s="2">
        <v>0</v>
      </c>
      <c r="H19590" s="1" t="s">
        <v>0</v>
      </c>
      <c r="I19590" s="2">
        <v>0</v>
      </c>
      <c r="J19590" s="1">
        <v>45939.649259259262</v>
      </c>
    </row>
    <row r="19591" spans="1:10" x14ac:dyDescent="0.2">
      <c r="A19591" s="4" t="s">
        <v>1</v>
      </c>
      <c r="B195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91" s="3" t="str">
        <f>HYPERLINK("https://otsuka-europe-crm.veevavault.com/ui/#object/sent_email__v/VBLZ025E82HGMBU", "SE-000285656")</f>
        <v>SE-000285656</v>
      </c>
      <c r="D19591" s="1">
        <v>45941.341967592591</v>
      </c>
      <c r="E19591" s="2">
        <v>1</v>
      </c>
      <c r="F19591" s="2">
        <v>1</v>
      </c>
      <c r="G19591" s="2">
        <v>0</v>
      </c>
      <c r="H19591" s="1" t="s">
        <v>0</v>
      </c>
      <c r="I19591" s="2">
        <v>0</v>
      </c>
      <c r="J19591" s="1">
        <v>45939.649270833332</v>
      </c>
    </row>
    <row r="19592" spans="1:10" x14ac:dyDescent="0.2">
      <c r="A19592" s="4" t="s">
        <v>1</v>
      </c>
      <c r="B195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92" s="3" t="str">
        <f>HYPERLINK("https://otsuka-europe-crm.veevavault.com/ui/#object/sent_email__v/VBLZ025E82HGMBV", "SE-000285657")</f>
        <v>SE-000285657</v>
      </c>
      <c r="D19592" s="1" t="s">
        <v>0</v>
      </c>
      <c r="E19592" s="2">
        <v>0</v>
      </c>
      <c r="F19592" s="2">
        <v>0</v>
      </c>
      <c r="G19592" s="2">
        <v>0</v>
      </c>
      <c r="H19592" s="1" t="s">
        <v>0</v>
      </c>
      <c r="I19592" s="2">
        <v>0</v>
      </c>
      <c r="J19592" s="1">
        <v>45939.649282407408</v>
      </c>
    </row>
    <row r="19593" spans="1:10" x14ac:dyDescent="0.2">
      <c r="A19593" s="4" t="s">
        <v>1</v>
      </c>
      <c r="B195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93" s="3" t="str">
        <f>HYPERLINK("https://otsuka-europe-crm.veevavault.com/ui/#object/sent_email__v/VBLZ025E82HGMBW", "SE-000285658")</f>
        <v>SE-000285658</v>
      </c>
      <c r="D19593" s="1">
        <v>45939.891851851855</v>
      </c>
      <c r="E19593" s="2">
        <v>1</v>
      </c>
      <c r="F19593" s="2">
        <v>17</v>
      </c>
      <c r="G19593" s="2">
        <v>0</v>
      </c>
      <c r="H19593" s="1" t="s">
        <v>0</v>
      </c>
      <c r="I19593" s="2">
        <v>0</v>
      </c>
      <c r="J19593" s="1">
        <v>45939.649293981478</v>
      </c>
    </row>
    <row r="19594" spans="1:10" x14ac:dyDescent="0.2">
      <c r="A19594" s="4" t="s">
        <v>1</v>
      </c>
      <c r="B195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94" s="3" t="str">
        <f>HYPERLINK("https://otsuka-europe-crm.veevavault.com/ui/#object/sent_email__v/VBLZ025E82HGMBX", "SE-000285659")</f>
        <v>SE-000285659</v>
      </c>
      <c r="D19594" s="1">
        <v>45939.82099537037</v>
      </c>
      <c r="E19594" s="2">
        <v>1</v>
      </c>
      <c r="F19594" s="2">
        <v>1</v>
      </c>
      <c r="G19594" s="2">
        <v>0</v>
      </c>
      <c r="H19594" s="1" t="s">
        <v>0</v>
      </c>
      <c r="I19594" s="2">
        <v>0</v>
      </c>
      <c r="J19594" s="1">
        <v>45939.649293981478</v>
      </c>
    </row>
    <row r="19595" spans="1:10" x14ac:dyDescent="0.2">
      <c r="A19595" s="4" t="s">
        <v>1</v>
      </c>
      <c r="B195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95" s="3" t="str">
        <f>HYPERLINK("https://otsuka-europe-crm.veevavault.com/ui/#object/sent_email__v/VBLZ025E82HGMBY", "SE-000285660")</f>
        <v>SE-000285660</v>
      </c>
      <c r="D19595" s="1" t="s">
        <v>0</v>
      </c>
      <c r="E19595" s="2">
        <v>0</v>
      </c>
      <c r="F19595" s="2">
        <v>0</v>
      </c>
      <c r="G19595" s="2">
        <v>0</v>
      </c>
      <c r="H19595" s="1" t="s">
        <v>0</v>
      </c>
      <c r="I19595" s="2">
        <v>0</v>
      </c>
      <c r="J19595" s="1">
        <v>45939.649305555555</v>
      </c>
    </row>
    <row r="19596" spans="1:10" x14ac:dyDescent="0.2">
      <c r="A19596" s="4" t="s">
        <v>1</v>
      </c>
      <c r="B195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96" s="3" t="str">
        <f>HYPERLINK("https://otsuka-europe-crm.veevavault.com/ui/#object/sent_email__v/VBLZ025E82HGMBZ", "SE-000285661")</f>
        <v>SE-000285661</v>
      </c>
      <c r="D19596" s="1" t="s">
        <v>0</v>
      </c>
      <c r="E19596" s="2">
        <v>0</v>
      </c>
      <c r="F19596" s="2">
        <v>0</v>
      </c>
      <c r="G19596" s="2">
        <v>0</v>
      </c>
      <c r="H19596" s="1" t="s">
        <v>0</v>
      </c>
      <c r="I19596" s="2">
        <v>0</v>
      </c>
      <c r="J19596" s="1">
        <v>45939.649317129632</v>
      </c>
    </row>
    <row r="19597" spans="1:10" x14ac:dyDescent="0.2">
      <c r="A19597" s="4" t="s">
        <v>1</v>
      </c>
      <c r="B195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97" s="3" t="str">
        <f>HYPERLINK("https://otsuka-europe-crm.veevavault.com/ui/#object/sent_email__v/VBLZ025E82HGMC0", "SE-000285662")</f>
        <v>SE-000285662</v>
      </c>
      <c r="D19597" s="1" t="s">
        <v>0</v>
      </c>
      <c r="E19597" s="2">
        <v>0</v>
      </c>
      <c r="F19597" s="2">
        <v>0</v>
      </c>
      <c r="G19597" s="2">
        <v>0</v>
      </c>
      <c r="H19597" s="1" t="s">
        <v>0</v>
      </c>
      <c r="I19597" s="2">
        <v>0</v>
      </c>
      <c r="J19597" s="1">
        <v>45939.649328703701</v>
      </c>
    </row>
    <row r="19598" spans="1:10" x14ac:dyDescent="0.2">
      <c r="A19598" s="4" t="s">
        <v>1</v>
      </c>
      <c r="B195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98" s="3" t="str">
        <f>HYPERLINK("https://otsuka-europe-crm.veevavault.com/ui/#object/sent_email__v/VBLZ025E82HGMC1", "SE-000285663")</f>
        <v>SE-000285663</v>
      </c>
      <c r="D19598" s="1" t="s">
        <v>0</v>
      </c>
      <c r="E19598" s="2">
        <v>0</v>
      </c>
      <c r="F19598" s="2">
        <v>0</v>
      </c>
      <c r="G19598" s="2">
        <v>0</v>
      </c>
      <c r="H19598" s="1" t="s">
        <v>0</v>
      </c>
      <c r="I19598" s="2">
        <v>0</v>
      </c>
      <c r="J19598" s="1">
        <v>45939.649340277778</v>
      </c>
    </row>
    <row r="19599" spans="1:10" x14ac:dyDescent="0.2">
      <c r="A19599" s="4" t="s">
        <v>1</v>
      </c>
      <c r="B195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599" s="3" t="str">
        <f>HYPERLINK("https://otsuka-europe-crm.veevavault.com/ui/#object/sent_email__v/VBLZ025E82HGMC2", "SE-000285664")</f>
        <v>SE-000285664</v>
      </c>
      <c r="D19599" s="1" t="s">
        <v>0</v>
      </c>
      <c r="E19599" s="2">
        <v>0</v>
      </c>
      <c r="F19599" s="2">
        <v>0</v>
      </c>
      <c r="G19599" s="2">
        <v>0</v>
      </c>
      <c r="H19599" s="1" t="s">
        <v>0</v>
      </c>
      <c r="I19599" s="2">
        <v>0</v>
      </c>
      <c r="J19599" s="1">
        <v>45939.649340277778</v>
      </c>
    </row>
    <row r="19600" spans="1:10" x14ac:dyDescent="0.2">
      <c r="A19600" s="4" t="s">
        <v>1</v>
      </c>
      <c r="B196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00" s="3" t="str">
        <f>HYPERLINK("https://otsuka-europe-crm.veevavault.com/ui/#object/sent_email__v/VBLZ025E82HGMC3", "SE-000285665")</f>
        <v>SE-000285665</v>
      </c>
      <c r="D19600" s="1" t="s">
        <v>0</v>
      </c>
      <c r="E19600" s="2">
        <v>0</v>
      </c>
      <c r="F19600" s="2">
        <v>0</v>
      </c>
      <c r="G19600" s="2">
        <v>0</v>
      </c>
      <c r="H19600" s="1" t="s">
        <v>0</v>
      </c>
      <c r="I19600" s="2">
        <v>0</v>
      </c>
      <c r="J19600" s="1">
        <v>45939.649363425924</v>
      </c>
    </row>
    <row r="19601" spans="1:10" x14ac:dyDescent="0.2">
      <c r="A19601" s="4" t="s">
        <v>1</v>
      </c>
      <c r="B196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01" s="3" t="str">
        <f>HYPERLINK("https://otsuka-europe-crm.veevavault.com/ui/#object/sent_email__v/VBLZ025E82HGMC4", "SE-000285666")</f>
        <v>SE-000285666</v>
      </c>
      <c r="D19601" s="1" t="s">
        <v>0</v>
      </c>
      <c r="E19601" s="2">
        <v>0</v>
      </c>
      <c r="F19601" s="2">
        <v>0</v>
      </c>
      <c r="G19601" s="2">
        <v>0</v>
      </c>
      <c r="H19601" s="1" t="s">
        <v>0</v>
      </c>
      <c r="I19601" s="2">
        <v>0</v>
      </c>
      <c r="J19601" s="1">
        <v>45939.649363425924</v>
      </c>
    </row>
    <row r="19602" spans="1:10" x14ac:dyDescent="0.2">
      <c r="A19602" s="4" t="s">
        <v>1</v>
      </c>
      <c r="B196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02" s="3" t="str">
        <f>HYPERLINK("https://otsuka-europe-crm.veevavault.com/ui/#object/sent_email__v/VBLZ025E82HGMC5", "SE-000285667")</f>
        <v>SE-000285667</v>
      </c>
      <c r="D19602" s="1" t="s">
        <v>0</v>
      </c>
      <c r="E19602" s="2">
        <v>0</v>
      </c>
      <c r="F19602" s="2">
        <v>0</v>
      </c>
      <c r="G19602" s="2">
        <v>0</v>
      </c>
      <c r="H19602" s="1" t="s">
        <v>0</v>
      </c>
      <c r="I19602" s="2">
        <v>0</v>
      </c>
      <c r="J19602" s="1">
        <v>45939.649375000001</v>
      </c>
    </row>
    <row r="19603" spans="1:10" x14ac:dyDescent="0.2">
      <c r="A19603" s="4" t="s">
        <v>1</v>
      </c>
      <c r="B196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03" s="3" t="str">
        <f>HYPERLINK("https://otsuka-europe-crm.veevavault.com/ui/#object/sent_email__v/VBLZ025E82HGMC6", "SE-000285668")</f>
        <v>SE-000285668</v>
      </c>
      <c r="D19603" s="1">
        <v>45946.311574074076</v>
      </c>
      <c r="E19603" s="2">
        <v>1</v>
      </c>
      <c r="F19603" s="2">
        <v>1</v>
      </c>
      <c r="G19603" s="2">
        <v>0</v>
      </c>
      <c r="H19603" s="1" t="s">
        <v>0</v>
      </c>
      <c r="I19603" s="2">
        <v>0</v>
      </c>
      <c r="J19603" s="1">
        <v>45939.649386574078</v>
      </c>
    </row>
    <row r="19604" spans="1:10" x14ac:dyDescent="0.2">
      <c r="A19604" s="4" t="s">
        <v>1</v>
      </c>
      <c r="B196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04" s="3" t="str">
        <f>HYPERLINK("https://otsuka-europe-crm.veevavault.com/ui/#object/sent_email__v/VBLZ025E82HGMC7", "SE-000285669")</f>
        <v>SE-000285669</v>
      </c>
      <c r="D19604" s="1" t="s">
        <v>0</v>
      </c>
      <c r="E19604" s="2">
        <v>0</v>
      </c>
      <c r="F19604" s="2">
        <v>0</v>
      </c>
      <c r="G19604" s="2">
        <v>0</v>
      </c>
      <c r="H19604" s="1" t="s">
        <v>0</v>
      </c>
      <c r="I19604" s="2">
        <v>0</v>
      </c>
      <c r="J19604" s="1">
        <v>45939.649398148147</v>
      </c>
    </row>
    <row r="19605" spans="1:10" x14ac:dyDescent="0.2">
      <c r="A19605" s="4" t="s">
        <v>1</v>
      </c>
      <c r="B196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05" s="3" t="str">
        <f>HYPERLINK("https://otsuka-europe-crm.veevavault.com/ui/#object/sent_email__v/VBLZ025E82HGMC8", "SE-000285670")</f>
        <v>SE-000285670</v>
      </c>
      <c r="D19605" s="1" t="s">
        <v>0</v>
      </c>
      <c r="E19605" s="2">
        <v>0</v>
      </c>
      <c r="F19605" s="2">
        <v>0</v>
      </c>
      <c r="G19605" s="2">
        <v>0</v>
      </c>
      <c r="H19605" s="1" t="s">
        <v>0</v>
      </c>
      <c r="I19605" s="2">
        <v>0</v>
      </c>
      <c r="J19605" s="1">
        <v>45939.649409722224</v>
      </c>
    </row>
    <row r="19606" spans="1:10" x14ac:dyDescent="0.2">
      <c r="A19606" s="4" t="s">
        <v>1</v>
      </c>
      <c r="B196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06" s="3" t="str">
        <f>HYPERLINK("https://otsuka-europe-crm.veevavault.com/ui/#object/sent_email__v/VBLZ025E82HGMC9", "SE-000285671")</f>
        <v>SE-000285671</v>
      </c>
      <c r="D19606" s="1">
        <v>45939.688437500001</v>
      </c>
      <c r="E19606" s="2">
        <v>1</v>
      </c>
      <c r="F19606" s="2">
        <v>1</v>
      </c>
      <c r="G19606" s="2">
        <v>0</v>
      </c>
      <c r="H19606" s="1" t="s">
        <v>0</v>
      </c>
      <c r="I19606" s="2">
        <v>0</v>
      </c>
      <c r="J19606" s="1">
        <v>45939.649421296293</v>
      </c>
    </row>
    <row r="19607" spans="1:10" x14ac:dyDescent="0.2">
      <c r="A19607" s="4" t="s">
        <v>1</v>
      </c>
      <c r="B196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07" s="3" t="str">
        <f>HYPERLINK("https://otsuka-europe-crm.veevavault.com/ui/#object/sent_email__v/VBLZ025E82HGMCA", "SE-000285672")</f>
        <v>SE-000285672</v>
      </c>
      <c r="D19607" s="1">
        <v>45940.042071759257</v>
      </c>
      <c r="E19607" s="2">
        <v>1</v>
      </c>
      <c r="F19607" s="2">
        <v>1</v>
      </c>
      <c r="G19607" s="2">
        <v>1</v>
      </c>
      <c r="H19607" s="1">
        <v>45940.042083333334</v>
      </c>
      <c r="I19607" s="2">
        <v>2</v>
      </c>
      <c r="J19607" s="1">
        <v>45939.64943287037</v>
      </c>
    </row>
    <row r="19608" spans="1:10" x14ac:dyDescent="0.2">
      <c r="A19608" s="4" t="s">
        <v>1</v>
      </c>
      <c r="B196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08" s="3" t="str">
        <f>HYPERLINK("https://otsuka-europe-crm.veevavault.com/ui/#object/sent_email__v/VBLZ025E82HGMCB", "SE-000285673")</f>
        <v>SE-000285673</v>
      </c>
      <c r="D19608" s="1" t="s">
        <v>0</v>
      </c>
      <c r="E19608" s="2">
        <v>0</v>
      </c>
      <c r="F19608" s="2">
        <v>0</v>
      </c>
      <c r="G19608" s="2">
        <v>0</v>
      </c>
      <c r="H19608" s="1" t="s">
        <v>0</v>
      </c>
      <c r="I19608" s="2">
        <v>0</v>
      </c>
      <c r="J19608" s="1">
        <v>45939.64943287037</v>
      </c>
    </row>
    <row r="19609" spans="1:10" x14ac:dyDescent="0.2">
      <c r="A19609" s="4" t="s">
        <v>1</v>
      </c>
      <c r="B196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09" s="3" t="str">
        <f>HYPERLINK("https://otsuka-europe-crm.veevavault.com/ui/#object/sent_email__v/VBLZ025E82HGMCC", "SE-000285674")</f>
        <v>SE-000285674</v>
      </c>
      <c r="D19609" s="1" t="s">
        <v>0</v>
      </c>
      <c r="E19609" s="2">
        <v>0</v>
      </c>
      <c r="F19609" s="2">
        <v>0</v>
      </c>
      <c r="G19609" s="2">
        <v>0</v>
      </c>
      <c r="H19609" s="1" t="s">
        <v>0</v>
      </c>
      <c r="I19609" s="2">
        <v>0</v>
      </c>
      <c r="J19609" s="1">
        <v>45939.649444444447</v>
      </c>
    </row>
    <row r="19610" spans="1:10" x14ac:dyDescent="0.2">
      <c r="A19610" s="4" t="s">
        <v>1</v>
      </c>
      <c r="B196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10" s="3" t="str">
        <f>HYPERLINK("https://otsuka-europe-crm.veevavault.com/ui/#object/sent_email__v/VBLZ025E82HGMCD", "SE-000285675")</f>
        <v>SE-000285675</v>
      </c>
      <c r="D19610" s="1" t="s">
        <v>0</v>
      </c>
      <c r="E19610" s="2">
        <v>0</v>
      </c>
      <c r="F19610" s="2">
        <v>0</v>
      </c>
      <c r="G19610" s="2">
        <v>0</v>
      </c>
      <c r="H19610" s="1" t="s">
        <v>0</v>
      </c>
      <c r="I19610" s="2">
        <v>0</v>
      </c>
      <c r="J19610" s="1">
        <v>45939.649456018517</v>
      </c>
    </row>
    <row r="19611" spans="1:10" x14ac:dyDescent="0.2">
      <c r="A19611" s="4" t="s">
        <v>1</v>
      </c>
      <c r="B196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11" s="3" t="str">
        <f>HYPERLINK("https://otsuka-europe-crm.veevavault.com/ui/#object/sent_email__v/VBLZ025E82HGMCE", "SE-000285676")</f>
        <v>SE-000285676</v>
      </c>
      <c r="D19611" s="1">
        <v>45945.976805555554</v>
      </c>
      <c r="E19611" s="2">
        <v>1</v>
      </c>
      <c r="F19611" s="2">
        <v>1</v>
      </c>
      <c r="G19611" s="2">
        <v>0</v>
      </c>
      <c r="H19611" s="1" t="s">
        <v>0</v>
      </c>
      <c r="I19611" s="2">
        <v>0</v>
      </c>
      <c r="J19611" s="1">
        <v>45939.649467592593</v>
      </c>
    </row>
    <row r="19612" spans="1:10" x14ac:dyDescent="0.2">
      <c r="A19612" s="4" t="s">
        <v>1</v>
      </c>
      <c r="B196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12" s="3" t="str">
        <f>HYPERLINK("https://otsuka-europe-crm.veevavault.com/ui/#object/sent_email__v/VBLZ025E82HGMCF", "SE-000285677")</f>
        <v>SE-000285677</v>
      </c>
      <c r="D19612" s="1" t="s">
        <v>0</v>
      </c>
      <c r="E19612" s="2">
        <v>0</v>
      </c>
      <c r="F19612" s="2">
        <v>0</v>
      </c>
      <c r="G19612" s="2">
        <v>0</v>
      </c>
      <c r="H19612" s="1" t="s">
        <v>0</v>
      </c>
      <c r="I19612" s="2">
        <v>0</v>
      </c>
      <c r="J19612" s="1">
        <v>45939.64949074074</v>
      </c>
    </row>
    <row r="19613" spans="1:10" x14ac:dyDescent="0.2">
      <c r="A19613" s="4" t="s">
        <v>1</v>
      </c>
      <c r="B196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13" s="3" t="str">
        <f>HYPERLINK("https://otsuka-europe-crm.veevavault.com/ui/#object/sent_email__v/VBLZ025E82HGMCG", "SE-000285678")</f>
        <v>SE-000285678</v>
      </c>
      <c r="D19613" s="1">
        <v>45975.431296296294</v>
      </c>
      <c r="E19613" s="2">
        <v>1</v>
      </c>
      <c r="F19613" s="2">
        <v>4</v>
      </c>
      <c r="G19613" s="2">
        <v>0</v>
      </c>
      <c r="H19613" s="1" t="s">
        <v>0</v>
      </c>
      <c r="I19613" s="2">
        <v>0</v>
      </c>
      <c r="J19613" s="1">
        <v>45939.64949074074</v>
      </c>
    </row>
    <row r="19614" spans="1:10" x14ac:dyDescent="0.2">
      <c r="A19614" s="4" t="s">
        <v>1</v>
      </c>
      <c r="B196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14" s="3" t="str">
        <f>HYPERLINK("https://otsuka-europe-crm.veevavault.com/ui/#object/sent_email__v/VBLZ025E82HGMCH", "SE-000285679")</f>
        <v>SE-000285679</v>
      </c>
      <c r="D19614" s="1">
        <v>45940.523125</v>
      </c>
      <c r="E19614" s="2">
        <v>1</v>
      </c>
      <c r="F19614" s="2">
        <v>2</v>
      </c>
      <c r="G19614" s="2">
        <v>0</v>
      </c>
      <c r="H19614" s="1" t="s">
        <v>0</v>
      </c>
      <c r="I19614" s="2">
        <v>0</v>
      </c>
      <c r="J19614" s="1">
        <v>45939.64949074074</v>
      </c>
    </row>
    <row r="19615" spans="1:10" x14ac:dyDescent="0.2">
      <c r="A19615" s="4" t="s">
        <v>1</v>
      </c>
      <c r="B196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15" s="3" t="str">
        <f>HYPERLINK("https://otsuka-europe-crm.veevavault.com/ui/#object/sent_email__v/VBLZ025E82HGMCI", "SE-000285680")</f>
        <v>SE-000285680</v>
      </c>
      <c r="D19615" s="1" t="s">
        <v>0</v>
      </c>
      <c r="E19615" s="2">
        <v>0</v>
      </c>
      <c r="F19615" s="2">
        <v>0</v>
      </c>
      <c r="G19615" s="2">
        <v>0</v>
      </c>
      <c r="H19615" s="1" t="s">
        <v>0</v>
      </c>
      <c r="I19615" s="2">
        <v>0</v>
      </c>
      <c r="J19615" s="1">
        <v>45939.649502314816</v>
      </c>
    </row>
    <row r="19616" spans="1:10" x14ac:dyDescent="0.2">
      <c r="A19616" s="4" t="s">
        <v>1</v>
      </c>
      <c r="B196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16" s="3" t="str">
        <f>HYPERLINK("https://otsuka-europe-crm.veevavault.com/ui/#object/sent_email__v/VBLZ025E82HGMCJ", "SE-000285681")</f>
        <v>SE-000285681</v>
      </c>
      <c r="D19616" s="1" t="s">
        <v>0</v>
      </c>
      <c r="E19616" s="2">
        <v>0</v>
      </c>
      <c r="F19616" s="2">
        <v>0</v>
      </c>
      <c r="G19616" s="2">
        <v>0</v>
      </c>
      <c r="H19616" s="1" t="s">
        <v>0</v>
      </c>
      <c r="I19616" s="2">
        <v>0</v>
      </c>
      <c r="J19616" s="1">
        <v>45939.649525462963</v>
      </c>
    </row>
    <row r="19617" spans="1:10" x14ac:dyDescent="0.2">
      <c r="A19617" s="4" t="s">
        <v>1</v>
      </c>
      <c r="B196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17" s="3" t="str">
        <f>HYPERLINK("https://otsuka-europe-crm.veevavault.com/ui/#object/sent_email__v/VBLZ025E82HGMCK", "SE-000285682")</f>
        <v>SE-000285682</v>
      </c>
      <c r="D19617" s="1">
        <v>45939.663715277777</v>
      </c>
      <c r="E19617" s="2">
        <v>1</v>
      </c>
      <c r="F19617" s="2">
        <v>1</v>
      </c>
      <c r="G19617" s="2">
        <v>0</v>
      </c>
      <c r="H19617" s="1" t="s">
        <v>0</v>
      </c>
      <c r="I19617" s="2">
        <v>0</v>
      </c>
      <c r="J19617" s="1">
        <v>45939.649525462963</v>
      </c>
    </row>
    <row r="19618" spans="1:10" x14ac:dyDescent="0.2">
      <c r="A19618" s="4" t="s">
        <v>1</v>
      </c>
      <c r="B196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18" s="3" t="str">
        <f>HYPERLINK("https://otsuka-europe-crm.veevavault.com/ui/#object/sent_email__v/VBLZ025E82HGMCL", "SE-000285683")</f>
        <v>SE-000285683</v>
      </c>
      <c r="D19618" s="1" t="s">
        <v>0</v>
      </c>
      <c r="E19618" s="2">
        <v>0</v>
      </c>
      <c r="F19618" s="2">
        <v>0</v>
      </c>
      <c r="G19618" s="2">
        <v>0</v>
      </c>
      <c r="H19618" s="1" t="s">
        <v>0</v>
      </c>
      <c r="I19618" s="2">
        <v>0</v>
      </c>
      <c r="J19618" s="1">
        <v>45939.649537037039</v>
      </c>
    </row>
    <row r="19619" spans="1:10" x14ac:dyDescent="0.2">
      <c r="A19619" s="4" t="s">
        <v>1</v>
      </c>
      <c r="B196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19" s="3" t="str">
        <f>HYPERLINK("https://otsuka-europe-crm.veevavault.com/ui/#object/sent_email__v/VBLZ025E82HGMCM", "SE-000285684")</f>
        <v>SE-000285684</v>
      </c>
      <c r="D19619" s="1" t="s">
        <v>0</v>
      </c>
      <c r="E19619" s="2">
        <v>0</v>
      </c>
      <c r="F19619" s="2">
        <v>0</v>
      </c>
      <c r="G19619" s="2">
        <v>0</v>
      </c>
      <c r="H19619" s="1" t="s">
        <v>0</v>
      </c>
      <c r="I19619" s="2">
        <v>0</v>
      </c>
      <c r="J19619" s="1">
        <v>45939.649548611109</v>
      </c>
    </row>
    <row r="19620" spans="1:10" x14ac:dyDescent="0.2">
      <c r="A19620" s="4" t="s">
        <v>1</v>
      </c>
      <c r="B196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20" s="3" t="str">
        <f>HYPERLINK("https://otsuka-europe-crm.veevavault.com/ui/#object/sent_email__v/VBLZ025E82HGMCN", "SE-000285685")</f>
        <v>SE-000285685</v>
      </c>
      <c r="D19620" s="1" t="s">
        <v>0</v>
      </c>
      <c r="E19620" s="2">
        <v>0</v>
      </c>
      <c r="F19620" s="2">
        <v>0</v>
      </c>
      <c r="G19620" s="2">
        <v>0</v>
      </c>
      <c r="H19620" s="1" t="s">
        <v>0</v>
      </c>
      <c r="I19620" s="2">
        <v>0</v>
      </c>
      <c r="J19620" s="1">
        <v>45939.649560185186</v>
      </c>
    </row>
    <row r="19621" spans="1:10" x14ac:dyDescent="0.2">
      <c r="A19621" s="4" t="s">
        <v>1</v>
      </c>
      <c r="B196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21" s="3" t="str">
        <f>HYPERLINK("https://otsuka-europe-crm.veevavault.com/ui/#object/sent_email__v/VBLZ025E82HGMCO", "SE-000285686")</f>
        <v>SE-000285686</v>
      </c>
      <c r="D19621" s="1">
        <v>45939.895532407405</v>
      </c>
      <c r="E19621" s="2">
        <v>1</v>
      </c>
      <c r="F19621" s="2">
        <v>1</v>
      </c>
      <c r="G19621" s="2">
        <v>0</v>
      </c>
      <c r="H19621" s="1" t="s">
        <v>0</v>
      </c>
      <c r="I19621" s="2">
        <v>0</v>
      </c>
      <c r="J19621" s="1">
        <v>45939.649571759262</v>
      </c>
    </row>
    <row r="19622" spans="1:10" x14ac:dyDescent="0.2">
      <c r="A19622" s="4" t="s">
        <v>1</v>
      </c>
      <c r="B196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22" s="3" t="str">
        <f>HYPERLINK("https://otsuka-europe-crm.veevavault.com/ui/#object/sent_email__v/VBLZ025E82HGMCP", "SE-000285687")</f>
        <v>SE-000285687</v>
      </c>
      <c r="D19622" s="1">
        <v>45939.680821759262</v>
      </c>
      <c r="E19622" s="2">
        <v>1</v>
      </c>
      <c r="F19622" s="2">
        <v>1</v>
      </c>
      <c r="G19622" s="2">
        <v>0</v>
      </c>
      <c r="H19622" s="1" t="s">
        <v>0</v>
      </c>
      <c r="I19622" s="2">
        <v>0</v>
      </c>
      <c r="J19622" s="1">
        <v>45939.649571759262</v>
      </c>
    </row>
    <row r="19623" spans="1:10" x14ac:dyDescent="0.2">
      <c r="A19623" s="4" t="s">
        <v>1</v>
      </c>
      <c r="B196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23" s="3" t="str">
        <f>HYPERLINK("https://otsuka-europe-crm.veevavault.com/ui/#object/sent_email__v/VBLZ025E82HGMCQ", "SE-000285688")</f>
        <v>SE-000285688</v>
      </c>
      <c r="D19623" s="1">
        <v>45939.740057870367</v>
      </c>
      <c r="E19623" s="2">
        <v>1</v>
      </c>
      <c r="F19623" s="2">
        <v>1</v>
      </c>
      <c r="G19623" s="2">
        <v>0</v>
      </c>
      <c r="H19623" s="1" t="s">
        <v>0</v>
      </c>
      <c r="I19623" s="2">
        <v>0</v>
      </c>
      <c r="J19623" s="1">
        <v>45939.649583333332</v>
      </c>
    </row>
    <row r="19624" spans="1:10" x14ac:dyDescent="0.2">
      <c r="A19624" s="4" t="s">
        <v>1</v>
      </c>
      <c r="B196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24" s="3" t="str">
        <f>HYPERLINK("https://otsuka-europe-crm.veevavault.com/ui/#object/sent_email__v/VBLZ025E82HGMCR", "SE-000285689")</f>
        <v>SE-000285689</v>
      </c>
      <c r="D19624" s="1" t="s">
        <v>0</v>
      </c>
      <c r="E19624" s="2">
        <v>0</v>
      </c>
      <c r="F19624" s="2">
        <v>0</v>
      </c>
      <c r="G19624" s="2">
        <v>0</v>
      </c>
      <c r="H19624" s="1" t="s">
        <v>0</v>
      </c>
      <c r="I19624" s="2">
        <v>0</v>
      </c>
      <c r="J19624" s="1">
        <v>45939.649594907409</v>
      </c>
    </row>
    <row r="19625" spans="1:10" x14ac:dyDescent="0.2">
      <c r="A19625" s="4" t="s">
        <v>1</v>
      </c>
      <c r="B196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25" s="3" t="str">
        <f>HYPERLINK("https://otsuka-europe-crm.veevavault.com/ui/#object/sent_email__v/VBLZ025E82HGMCS", "SE-000285690")</f>
        <v>SE-000285690</v>
      </c>
      <c r="D19625" s="1">
        <v>45942.540567129632</v>
      </c>
      <c r="E19625" s="2">
        <v>1</v>
      </c>
      <c r="F19625" s="2">
        <v>1</v>
      </c>
      <c r="G19625" s="2">
        <v>0</v>
      </c>
      <c r="H19625" s="1" t="s">
        <v>0</v>
      </c>
      <c r="I19625" s="2">
        <v>0</v>
      </c>
      <c r="J19625" s="1">
        <v>45939.649606481478</v>
      </c>
    </row>
    <row r="19626" spans="1:10" x14ac:dyDescent="0.2">
      <c r="A19626" s="4" t="s">
        <v>1</v>
      </c>
      <c r="B196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26" s="3" t="str">
        <f>HYPERLINK("https://otsuka-europe-crm.veevavault.com/ui/#object/sent_email__v/VBLZ025E82HGMCT", "SE-000285691")</f>
        <v>SE-000285691</v>
      </c>
      <c r="D19626" s="1" t="s">
        <v>0</v>
      </c>
      <c r="E19626" s="2">
        <v>0</v>
      </c>
      <c r="F19626" s="2">
        <v>0</v>
      </c>
      <c r="G19626" s="2">
        <v>0</v>
      </c>
      <c r="H19626" s="1" t="s">
        <v>0</v>
      </c>
      <c r="I19626" s="2">
        <v>0</v>
      </c>
      <c r="J19626" s="1">
        <v>45939.649629629632</v>
      </c>
    </row>
    <row r="19627" spans="1:10" x14ac:dyDescent="0.2">
      <c r="A19627" s="4" t="s">
        <v>1</v>
      </c>
      <c r="B196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27" s="3" t="str">
        <f>HYPERLINK("https://otsuka-europe-crm.veevavault.com/ui/#object/sent_email__v/VBLZ025E82HGMCU", "SE-000285692")</f>
        <v>SE-000285692</v>
      </c>
      <c r="D19627" s="1" t="s">
        <v>0</v>
      </c>
      <c r="E19627" s="2">
        <v>0</v>
      </c>
      <c r="F19627" s="2">
        <v>0</v>
      </c>
      <c r="G19627" s="2">
        <v>0</v>
      </c>
      <c r="H19627" s="1" t="s">
        <v>0</v>
      </c>
      <c r="I19627" s="2">
        <v>0</v>
      </c>
      <c r="J19627" s="1">
        <v>45939.649629629632</v>
      </c>
    </row>
    <row r="19628" spans="1:10" x14ac:dyDescent="0.2">
      <c r="A19628" s="4" t="s">
        <v>1</v>
      </c>
      <c r="B196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28" s="3" t="str">
        <f>HYPERLINK("https://otsuka-europe-crm.veevavault.com/ui/#object/sent_email__v/VBLZ025E82HGMCV", "SE-000285693")</f>
        <v>SE-000285693</v>
      </c>
      <c r="D19628" s="1">
        <v>45946.626145833332</v>
      </c>
      <c r="E19628" s="2">
        <v>1</v>
      </c>
      <c r="F19628" s="2">
        <v>1</v>
      </c>
      <c r="G19628" s="2">
        <v>0</v>
      </c>
      <c r="H19628" s="1" t="s">
        <v>0</v>
      </c>
      <c r="I19628" s="2">
        <v>0</v>
      </c>
      <c r="J19628" s="1">
        <v>45939.649629629632</v>
      </c>
    </row>
    <row r="19629" spans="1:10" x14ac:dyDescent="0.2">
      <c r="A19629" s="4" t="s">
        <v>1</v>
      </c>
      <c r="B196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29" s="3" t="str">
        <f>HYPERLINK("https://otsuka-europe-crm.veevavault.com/ui/#object/sent_email__v/VBLZ025E82HGMCW", "SE-000285694")</f>
        <v>SE-000285694</v>
      </c>
      <c r="D19629" s="1" t="s">
        <v>0</v>
      </c>
      <c r="E19629" s="2">
        <v>0</v>
      </c>
      <c r="F19629" s="2">
        <v>0</v>
      </c>
      <c r="G19629" s="2">
        <v>0</v>
      </c>
      <c r="H19629" s="1" t="s">
        <v>0</v>
      </c>
      <c r="I19629" s="2">
        <v>0</v>
      </c>
      <c r="J19629" s="1">
        <v>45939.649652777778</v>
      </c>
    </row>
    <row r="19630" spans="1:10" x14ac:dyDescent="0.2">
      <c r="A19630" s="4" t="s">
        <v>1</v>
      </c>
      <c r="B196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30" s="3" t="str">
        <f>HYPERLINK("https://otsuka-europe-crm.veevavault.com/ui/#object/sent_email__v/VBLZ025E82HGMCX", "SE-000285695")</f>
        <v>SE-000285695</v>
      </c>
      <c r="D19630" s="1" t="s">
        <v>0</v>
      </c>
      <c r="E19630" s="2">
        <v>0</v>
      </c>
      <c r="F19630" s="2">
        <v>0</v>
      </c>
      <c r="G19630" s="2">
        <v>0</v>
      </c>
      <c r="H19630" s="1" t="s">
        <v>0</v>
      </c>
      <c r="I19630" s="2">
        <v>0</v>
      </c>
      <c r="J19630" s="1">
        <v>45939.649652777778</v>
      </c>
    </row>
    <row r="19631" spans="1:10" x14ac:dyDescent="0.2">
      <c r="A19631" s="4" t="s">
        <v>1</v>
      </c>
      <c r="B196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31" s="3" t="str">
        <f>HYPERLINK("https://otsuka-europe-crm.veevavault.com/ui/#object/sent_email__v/VBLZ025E82HGMCY", "SE-000285696")</f>
        <v>SE-000285696</v>
      </c>
      <c r="D19631" s="1">
        <v>45945.816701388889</v>
      </c>
      <c r="E19631" s="2">
        <v>1</v>
      </c>
      <c r="F19631" s="2">
        <v>3</v>
      </c>
      <c r="G19631" s="2">
        <v>0</v>
      </c>
      <c r="H19631" s="1" t="s">
        <v>0</v>
      </c>
      <c r="I19631" s="2">
        <v>0</v>
      </c>
      <c r="J19631" s="1">
        <v>45939.649664351855</v>
      </c>
    </row>
    <row r="19632" spans="1:10" x14ac:dyDescent="0.2">
      <c r="A19632" s="4" t="s">
        <v>1</v>
      </c>
      <c r="B196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32" s="3" t="str">
        <f>HYPERLINK("https://otsuka-europe-crm.veevavault.com/ui/#object/sent_email__v/VBLZ025E82HGMCZ", "SE-000285697")</f>
        <v>SE-000285697</v>
      </c>
      <c r="D19632" s="1" t="s">
        <v>0</v>
      </c>
      <c r="E19632" s="2">
        <v>0</v>
      </c>
      <c r="F19632" s="2">
        <v>0</v>
      </c>
      <c r="G19632" s="2">
        <v>0</v>
      </c>
      <c r="H19632" s="1" t="s">
        <v>0</v>
      </c>
      <c r="I19632" s="2">
        <v>0</v>
      </c>
      <c r="J19632" s="1">
        <v>45939.649675925924</v>
      </c>
    </row>
    <row r="19633" spans="1:10" x14ac:dyDescent="0.2">
      <c r="A19633" s="4" t="s">
        <v>1</v>
      </c>
      <c r="B196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33" s="3" t="str">
        <f>HYPERLINK("https://otsuka-europe-crm.veevavault.com/ui/#object/sent_email__v/VBLZ025E82HGMD0", "SE-000285698")</f>
        <v>SE-000285698</v>
      </c>
      <c r="D19633" s="1" t="s">
        <v>0</v>
      </c>
      <c r="E19633" s="2">
        <v>0</v>
      </c>
      <c r="F19633" s="2">
        <v>0</v>
      </c>
      <c r="G19633" s="2">
        <v>0</v>
      </c>
      <c r="H19633" s="1" t="s">
        <v>0</v>
      </c>
      <c r="I19633" s="2">
        <v>0</v>
      </c>
      <c r="J19633" s="1">
        <v>45939.649687500001</v>
      </c>
    </row>
    <row r="19634" spans="1:10" x14ac:dyDescent="0.2">
      <c r="A19634" s="4" t="s">
        <v>1</v>
      </c>
      <c r="B196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34" s="3" t="str">
        <f>HYPERLINK("https://otsuka-europe-crm.veevavault.com/ui/#object/sent_email__v/VBLZ025E82HGMD1", "SE-000285699")</f>
        <v>SE-000285699</v>
      </c>
      <c r="D19634" s="1" t="s">
        <v>0</v>
      </c>
      <c r="E19634" s="2">
        <v>0</v>
      </c>
      <c r="F19634" s="2">
        <v>0</v>
      </c>
      <c r="G19634" s="2">
        <v>0</v>
      </c>
      <c r="H19634" s="1" t="s">
        <v>0</v>
      </c>
      <c r="I19634" s="2">
        <v>0</v>
      </c>
      <c r="J19634" s="1">
        <v>45939.649699074071</v>
      </c>
    </row>
    <row r="19635" spans="1:10" x14ac:dyDescent="0.2">
      <c r="A19635" s="4" t="s">
        <v>1</v>
      </c>
      <c r="B196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35" s="3" t="str">
        <f>HYPERLINK("https://otsuka-europe-crm.veevavault.com/ui/#object/sent_email__v/VBLZ025E82HGMD2", "SE-000285700")</f>
        <v>SE-000285700</v>
      </c>
      <c r="D19635" s="1">
        <v>45939.694351851853</v>
      </c>
      <c r="E19635" s="2">
        <v>1</v>
      </c>
      <c r="F19635" s="2">
        <v>1</v>
      </c>
      <c r="G19635" s="2">
        <v>0</v>
      </c>
      <c r="H19635" s="1" t="s">
        <v>0</v>
      </c>
      <c r="I19635" s="2">
        <v>0</v>
      </c>
      <c r="J19635" s="1">
        <v>45939.649699074071</v>
      </c>
    </row>
    <row r="19636" spans="1:10" x14ac:dyDescent="0.2">
      <c r="A19636" s="4" t="s">
        <v>1</v>
      </c>
      <c r="B196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36" s="3" t="str">
        <f>HYPERLINK("https://otsuka-europe-crm.veevavault.com/ui/#object/sent_email__v/VBLZ025E82HGMD3", "SE-000285701")</f>
        <v>SE-000285701</v>
      </c>
      <c r="D19636" s="1" t="s">
        <v>0</v>
      </c>
      <c r="E19636" s="2">
        <v>0</v>
      </c>
      <c r="F19636" s="2">
        <v>0</v>
      </c>
      <c r="G19636" s="2">
        <v>0</v>
      </c>
      <c r="H19636" s="1" t="s">
        <v>0</v>
      </c>
      <c r="I19636" s="2">
        <v>0</v>
      </c>
      <c r="J19636" s="1">
        <v>45939.649710648147</v>
      </c>
    </row>
    <row r="19637" spans="1:10" x14ac:dyDescent="0.2">
      <c r="A19637" s="4" t="s">
        <v>1</v>
      </c>
      <c r="B196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37" s="3" t="str">
        <f>HYPERLINK("https://otsuka-europe-crm.veevavault.com/ui/#object/sent_email__v/VBLZ025E82HGMD4", "SE-000285702")</f>
        <v>SE-000285702</v>
      </c>
      <c r="D19637" s="1" t="s">
        <v>0</v>
      </c>
      <c r="E19637" s="2">
        <v>0</v>
      </c>
      <c r="F19637" s="2">
        <v>0</v>
      </c>
      <c r="G19637" s="2">
        <v>0</v>
      </c>
      <c r="H19637" s="1" t="s">
        <v>0</v>
      </c>
      <c r="I19637" s="2">
        <v>0</v>
      </c>
      <c r="J19637" s="1">
        <v>45939.649722222224</v>
      </c>
    </row>
    <row r="19638" spans="1:10" x14ac:dyDescent="0.2">
      <c r="A19638" s="4" t="s">
        <v>1</v>
      </c>
      <c r="B196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38" s="3" t="str">
        <f>HYPERLINK("https://otsuka-europe-crm.veevavault.com/ui/#object/sent_email__v/VBLZ025E82HGMD5", "SE-000285703")</f>
        <v>SE-000285703</v>
      </c>
      <c r="D19638" s="1">
        <v>45940.321226851855</v>
      </c>
      <c r="E19638" s="2">
        <v>1</v>
      </c>
      <c r="F19638" s="2">
        <v>2</v>
      </c>
      <c r="G19638" s="2">
        <v>0</v>
      </c>
      <c r="H19638" s="1" t="s">
        <v>0</v>
      </c>
      <c r="I19638" s="2">
        <v>0</v>
      </c>
      <c r="J19638" s="1">
        <v>45939.649722222224</v>
      </c>
    </row>
    <row r="19639" spans="1:10" x14ac:dyDescent="0.2">
      <c r="A19639" s="4" t="s">
        <v>1</v>
      </c>
      <c r="B196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39" s="3" t="str">
        <f>HYPERLINK("https://otsuka-europe-crm.veevavault.com/ui/#object/sent_email__v/VBLZ025E82HGMD6", "SE-000285704")</f>
        <v>SE-000285704</v>
      </c>
      <c r="D19639" s="1" t="s">
        <v>0</v>
      </c>
      <c r="E19639" s="2">
        <v>0</v>
      </c>
      <c r="F19639" s="2">
        <v>0</v>
      </c>
      <c r="G19639" s="2">
        <v>0</v>
      </c>
      <c r="H19639" s="1" t="s">
        <v>0</v>
      </c>
      <c r="I19639" s="2">
        <v>0</v>
      </c>
      <c r="J19639" s="1">
        <v>45939.649756944447</v>
      </c>
    </row>
    <row r="19640" spans="1:10" x14ac:dyDescent="0.2">
      <c r="A19640" s="4" t="s">
        <v>1</v>
      </c>
      <c r="B196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40" s="3" t="str">
        <f>HYPERLINK("https://otsuka-europe-crm.veevavault.com/ui/#object/sent_email__v/VBLZ025E82HGMD7", "SE-000285705")</f>
        <v>SE-000285705</v>
      </c>
      <c r="D19640" s="1">
        <v>45947.617256944446</v>
      </c>
      <c r="E19640" s="2">
        <v>1</v>
      </c>
      <c r="F19640" s="2">
        <v>1</v>
      </c>
      <c r="G19640" s="2">
        <v>0</v>
      </c>
      <c r="H19640" s="1" t="s">
        <v>0</v>
      </c>
      <c r="I19640" s="2">
        <v>0</v>
      </c>
      <c r="J19640" s="1">
        <v>45939.649756944447</v>
      </c>
    </row>
    <row r="19641" spans="1:10" x14ac:dyDescent="0.2">
      <c r="A19641" s="4" t="s">
        <v>1</v>
      </c>
      <c r="B196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41" s="3" t="str">
        <f>HYPERLINK("https://otsuka-europe-crm.veevavault.com/ui/#object/sent_email__v/VBLZ025E82HGMD8", "SE-000285706")</f>
        <v>SE-000285706</v>
      </c>
      <c r="D19641" s="1" t="s">
        <v>0</v>
      </c>
      <c r="E19641" s="2">
        <v>0</v>
      </c>
      <c r="F19641" s="2">
        <v>0</v>
      </c>
      <c r="G19641" s="2">
        <v>0</v>
      </c>
      <c r="H19641" s="1" t="s">
        <v>0</v>
      </c>
      <c r="I19641" s="2">
        <v>0</v>
      </c>
      <c r="J19641" s="1">
        <v>45939.649768518517</v>
      </c>
    </row>
    <row r="19642" spans="1:10" x14ac:dyDescent="0.2">
      <c r="A19642" s="4" t="s">
        <v>1</v>
      </c>
      <c r="B196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42" s="3" t="str">
        <f>HYPERLINK("https://otsuka-europe-crm.veevavault.com/ui/#object/sent_email__v/VBLZ025E82HGMD9", "SE-000285707")</f>
        <v>SE-000285707</v>
      </c>
      <c r="D19642" s="1" t="s">
        <v>0</v>
      </c>
      <c r="E19642" s="2">
        <v>0</v>
      </c>
      <c r="F19642" s="2">
        <v>0</v>
      </c>
      <c r="G19642" s="2">
        <v>0</v>
      </c>
      <c r="H19642" s="1" t="s">
        <v>0</v>
      </c>
      <c r="I19642" s="2">
        <v>0</v>
      </c>
      <c r="J19642" s="1">
        <v>45939.649768518517</v>
      </c>
    </row>
    <row r="19643" spans="1:10" x14ac:dyDescent="0.2">
      <c r="A19643" s="4" t="s">
        <v>1</v>
      </c>
      <c r="B196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43" s="3" t="str">
        <f>HYPERLINK("https://otsuka-europe-crm.veevavault.com/ui/#object/sent_email__v/VBLZ025E82HGMDA", "SE-000285708")</f>
        <v>SE-000285708</v>
      </c>
      <c r="D19643" s="1" t="s">
        <v>0</v>
      </c>
      <c r="E19643" s="2">
        <v>0</v>
      </c>
      <c r="F19643" s="2">
        <v>0</v>
      </c>
      <c r="G19643" s="2">
        <v>0</v>
      </c>
      <c r="H19643" s="1" t="s">
        <v>0</v>
      </c>
      <c r="I19643" s="2">
        <v>0</v>
      </c>
      <c r="J19643" s="1">
        <v>45939.649780092594</v>
      </c>
    </row>
    <row r="19644" spans="1:10" x14ac:dyDescent="0.2">
      <c r="A19644" s="4" t="s">
        <v>1</v>
      </c>
      <c r="B196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44" s="3" t="str">
        <f>HYPERLINK("https://otsuka-europe-crm.veevavault.com/ui/#object/sent_email__v/VBLZ025E82HGMDB", "SE-000285709")</f>
        <v>SE-000285709</v>
      </c>
      <c r="D19644" s="1" t="s">
        <v>0</v>
      </c>
      <c r="E19644" s="2">
        <v>0</v>
      </c>
      <c r="F19644" s="2">
        <v>0</v>
      </c>
      <c r="G19644" s="2">
        <v>0</v>
      </c>
      <c r="H19644" s="1" t="s">
        <v>0</v>
      </c>
      <c r="I19644" s="2">
        <v>0</v>
      </c>
      <c r="J19644" s="1">
        <v>45939.649791666663</v>
      </c>
    </row>
    <row r="19645" spans="1:10" x14ac:dyDescent="0.2">
      <c r="A19645" s="4" t="s">
        <v>1</v>
      </c>
      <c r="B196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45" s="3" t="str">
        <f>HYPERLINK("https://otsuka-europe-crm.veevavault.com/ui/#object/sent_email__v/VBLZ025E82HGMDC", "SE-000285710")</f>
        <v>SE-000285710</v>
      </c>
      <c r="D19645" s="1">
        <v>45940.124236111114</v>
      </c>
      <c r="E19645" s="2">
        <v>1</v>
      </c>
      <c r="F19645" s="2">
        <v>1</v>
      </c>
      <c r="G19645" s="2">
        <v>0</v>
      </c>
      <c r="H19645" s="1" t="s">
        <v>0</v>
      </c>
      <c r="I19645" s="2">
        <v>0</v>
      </c>
      <c r="J19645" s="1">
        <v>45939.64980324074</v>
      </c>
    </row>
    <row r="19646" spans="1:10" x14ac:dyDescent="0.2">
      <c r="A19646" s="4" t="s">
        <v>1</v>
      </c>
      <c r="B196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46" s="3" t="str">
        <f>HYPERLINK("https://otsuka-europe-crm.veevavault.com/ui/#object/sent_email__v/VBLZ025E82HGMDD", "SE-000285711")</f>
        <v>SE-000285711</v>
      </c>
      <c r="D19646" s="1">
        <v>45939.730347222219</v>
      </c>
      <c r="E19646" s="2">
        <v>1</v>
      </c>
      <c r="F19646" s="2">
        <v>1</v>
      </c>
      <c r="G19646" s="2">
        <v>0</v>
      </c>
      <c r="H19646" s="1" t="s">
        <v>0</v>
      </c>
      <c r="I19646" s="2">
        <v>0</v>
      </c>
      <c r="J19646" s="1">
        <v>45939.649814814817</v>
      </c>
    </row>
    <row r="19647" spans="1:10" x14ac:dyDescent="0.2">
      <c r="A19647" s="4" t="s">
        <v>1</v>
      </c>
      <c r="B196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47" s="3" t="str">
        <f>HYPERLINK("https://otsuka-europe-crm.veevavault.com/ui/#object/sent_email__v/VBLZ025E82HGMDE", "SE-000285712")</f>
        <v>SE-000285712</v>
      </c>
      <c r="D19647" s="1" t="s">
        <v>0</v>
      </c>
      <c r="E19647" s="2">
        <v>0</v>
      </c>
      <c r="F19647" s="2">
        <v>0</v>
      </c>
      <c r="G19647" s="2">
        <v>0</v>
      </c>
      <c r="H19647" s="1" t="s">
        <v>0</v>
      </c>
      <c r="I19647" s="2">
        <v>0</v>
      </c>
      <c r="J19647" s="1">
        <v>45939.649826388886</v>
      </c>
    </row>
    <row r="19648" spans="1:10" x14ac:dyDescent="0.2">
      <c r="A19648" s="4" t="s">
        <v>1</v>
      </c>
      <c r="B196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48" s="3" t="str">
        <f>HYPERLINK("https://otsuka-europe-crm.veevavault.com/ui/#object/sent_email__v/VBLZ025E82HGMDF", "SE-000285713")</f>
        <v>SE-000285713</v>
      </c>
      <c r="D19648" s="1">
        <v>45939.827974537038</v>
      </c>
      <c r="E19648" s="2">
        <v>1</v>
      </c>
      <c r="F19648" s="2">
        <v>1</v>
      </c>
      <c r="G19648" s="2">
        <v>0</v>
      </c>
      <c r="H19648" s="1" t="s">
        <v>0</v>
      </c>
      <c r="I19648" s="2">
        <v>0</v>
      </c>
      <c r="J19648" s="1">
        <v>45939.649826388886</v>
      </c>
    </row>
    <row r="19649" spans="1:10" x14ac:dyDescent="0.2">
      <c r="A19649" s="4" t="s">
        <v>1</v>
      </c>
      <c r="B196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49" s="3" t="str">
        <f>HYPERLINK("https://otsuka-europe-crm.veevavault.com/ui/#object/sent_email__v/VBLZ025E82HGMDG", "SE-000285714")</f>
        <v>SE-000285714</v>
      </c>
      <c r="D19649" s="1" t="s">
        <v>0</v>
      </c>
      <c r="E19649" s="2">
        <v>0</v>
      </c>
      <c r="F19649" s="2">
        <v>0</v>
      </c>
      <c r="G19649" s="2">
        <v>0</v>
      </c>
      <c r="H19649" s="1" t="s">
        <v>0</v>
      </c>
      <c r="I19649" s="2">
        <v>0</v>
      </c>
      <c r="J19649" s="1">
        <v>45939.649837962963</v>
      </c>
    </row>
    <row r="19650" spans="1:10" x14ac:dyDescent="0.2">
      <c r="A19650" s="4" t="s">
        <v>1</v>
      </c>
      <c r="B196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50" s="3" t="str">
        <f>HYPERLINK("https://otsuka-europe-crm.veevavault.com/ui/#object/sent_email__v/VBLZ025E82HGMDH", "SE-000285715")</f>
        <v>SE-000285715</v>
      </c>
      <c r="D19650" s="1" t="s">
        <v>0</v>
      </c>
      <c r="E19650" s="2">
        <v>0</v>
      </c>
      <c r="F19650" s="2">
        <v>0</v>
      </c>
      <c r="G19650" s="2">
        <v>0</v>
      </c>
      <c r="H19650" s="1" t="s">
        <v>0</v>
      </c>
      <c r="I19650" s="2">
        <v>0</v>
      </c>
      <c r="J19650" s="1">
        <v>45939.64984953704</v>
      </c>
    </row>
    <row r="19651" spans="1:10" x14ac:dyDescent="0.2">
      <c r="A19651" s="4" t="s">
        <v>1</v>
      </c>
      <c r="B196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51" s="3" t="str">
        <f>HYPERLINK("https://otsuka-europe-crm.veevavault.com/ui/#object/sent_email__v/VBLZ025E82HGMDI", "SE-000285716")</f>
        <v>SE-000285716</v>
      </c>
      <c r="D19651" s="1" t="s">
        <v>0</v>
      </c>
      <c r="E19651" s="2">
        <v>0</v>
      </c>
      <c r="F19651" s="2">
        <v>0</v>
      </c>
      <c r="G19651" s="2">
        <v>0</v>
      </c>
      <c r="H19651" s="1" t="s">
        <v>0</v>
      </c>
      <c r="I19651" s="2">
        <v>0</v>
      </c>
      <c r="J19651" s="1">
        <v>45939.649861111109</v>
      </c>
    </row>
    <row r="19652" spans="1:10" x14ac:dyDescent="0.2">
      <c r="A19652" s="4" t="s">
        <v>1</v>
      </c>
      <c r="B196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52" s="3" t="str">
        <f>HYPERLINK("https://otsuka-europe-crm.veevavault.com/ui/#object/sent_email__v/VBLZ025E82HGMDJ", "SE-000285717")</f>
        <v>SE-000285717</v>
      </c>
      <c r="D19652" s="1">
        <v>45939.657511574071</v>
      </c>
      <c r="E19652" s="2">
        <v>1</v>
      </c>
      <c r="F19652" s="2">
        <v>1</v>
      </c>
      <c r="G19652" s="2">
        <v>0</v>
      </c>
      <c r="H19652" s="1" t="s">
        <v>0</v>
      </c>
      <c r="I19652" s="2">
        <v>0</v>
      </c>
      <c r="J19652" s="1">
        <v>45939.649872685186</v>
      </c>
    </row>
    <row r="19653" spans="1:10" x14ac:dyDescent="0.2">
      <c r="A19653" s="4" t="s">
        <v>1</v>
      </c>
      <c r="B196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53" s="3" t="str">
        <f>HYPERLINK("https://otsuka-europe-crm.veevavault.com/ui/#object/sent_email__v/VBLZ025E82HGMDK", "SE-000285718")</f>
        <v>SE-000285718</v>
      </c>
      <c r="D19653" s="1">
        <v>45939.657604166663</v>
      </c>
      <c r="E19653" s="2">
        <v>1</v>
      </c>
      <c r="F19653" s="2">
        <v>1</v>
      </c>
      <c r="G19653" s="2">
        <v>0</v>
      </c>
      <c r="H19653" s="1" t="s">
        <v>0</v>
      </c>
      <c r="I19653" s="2">
        <v>0</v>
      </c>
      <c r="J19653" s="1">
        <v>45939.649872685186</v>
      </c>
    </row>
    <row r="19654" spans="1:10" x14ac:dyDescent="0.2">
      <c r="A19654" s="4" t="s">
        <v>1</v>
      </c>
      <c r="B196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54" s="3" t="str">
        <f>HYPERLINK("https://otsuka-europe-crm.veevavault.com/ui/#object/sent_email__v/VBLZ025E82HGMDL", "SE-000285719")</f>
        <v>SE-000285719</v>
      </c>
      <c r="D19654" s="1" t="s">
        <v>0</v>
      </c>
      <c r="E19654" s="2">
        <v>0</v>
      </c>
      <c r="F19654" s="2">
        <v>0</v>
      </c>
      <c r="G19654" s="2">
        <v>0</v>
      </c>
      <c r="H19654" s="1" t="s">
        <v>0</v>
      </c>
      <c r="I19654" s="2">
        <v>0</v>
      </c>
      <c r="J19654" s="1">
        <v>45939.649895833332</v>
      </c>
    </row>
    <row r="19655" spans="1:10" x14ac:dyDescent="0.2">
      <c r="A19655" s="4" t="s">
        <v>1</v>
      </c>
      <c r="B196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55" s="3" t="str">
        <f>HYPERLINK("https://otsuka-europe-crm.veevavault.com/ui/#object/sent_email__v/VBLZ025E82HGMDM", "SE-000285720")</f>
        <v>SE-000285720</v>
      </c>
      <c r="D19655" s="1">
        <v>45953.081006944441</v>
      </c>
      <c r="E19655" s="2">
        <v>1</v>
      </c>
      <c r="F19655" s="2">
        <v>1</v>
      </c>
      <c r="G19655" s="2">
        <v>0</v>
      </c>
      <c r="H19655" s="1" t="s">
        <v>0</v>
      </c>
      <c r="I19655" s="2">
        <v>0</v>
      </c>
      <c r="J19655" s="1">
        <v>45939.649895833332</v>
      </c>
    </row>
    <row r="19656" spans="1:10" x14ac:dyDescent="0.2">
      <c r="A19656" s="4" t="s">
        <v>1</v>
      </c>
      <c r="B196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56" s="3" t="str">
        <f>HYPERLINK("https://otsuka-europe-crm.veevavault.com/ui/#object/sent_email__v/VBLZ025E82HGMDN", "SE-000285721")</f>
        <v>SE-000285721</v>
      </c>
      <c r="D19656" s="1">
        <v>45939.856377314813</v>
      </c>
      <c r="E19656" s="2">
        <v>1</v>
      </c>
      <c r="F19656" s="2">
        <v>1</v>
      </c>
      <c r="G19656" s="2">
        <v>0</v>
      </c>
      <c r="H19656" s="1" t="s">
        <v>0</v>
      </c>
      <c r="I19656" s="2">
        <v>0</v>
      </c>
      <c r="J19656" s="1">
        <v>45939.649907407409</v>
      </c>
    </row>
    <row r="19657" spans="1:10" x14ac:dyDescent="0.2">
      <c r="A19657" s="4" t="s">
        <v>1</v>
      </c>
      <c r="B196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57" s="3" t="str">
        <f>HYPERLINK("https://otsuka-europe-crm.veevavault.com/ui/#object/sent_email__v/VBLZ025E82HGMDO", "SE-000285722")</f>
        <v>SE-000285722</v>
      </c>
      <c r="D19657" s="1" t="s">
        <v>0</v>
      </c>
      <c r="E19657" s="2">
        <v>0</v>
      </c>
      <c r="F19657" s="2">
        <v>0</v>
      </c>
      <c r="G19657" s="2">
        <v>0</v>
      </c>
      <c r="H19657" s="1" t="s">
        <v>0</v>
      </c>
      <c r="I19657" s="2">
        <v>0</v>
      </c>
      <c r="J19657" s="1">
        <v>45939.649918981479</v>
      </c>
    </row>
    <row r="19658" spans="1:10" x14ac:dyDescent="0.2">
      <c r="A19658" s="4" t="s">
        <v>1</v>
      </c>
      <c r="B196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58" s="3" t="str">
        <f>HYPERLINK("https://otsuka-europe-crm.veevavault.com/ui/#object/sent_email__v/VBLZ025E82HGMDP", "SE-000285723")</f>
        <v>SE-000285723</v>
      </c>
      <c r="D19658" s="1">
        <v>45939.720023148147</v>
      </c>
      <c r="E19658" s="2">
        <v>1</v>
      </c>
      <c r="F19658" s="2">
        <v>1</v>
      </c>
      <c r="G19658" s="2">
        <v>0</v>
      </c>
      <c r="H19658" s="1" t="s">
        <v>0</v>
      </c>
      <c r="I19658" s="2">
        <v>0</v>
      </c>
      <c r="J19658" s="1">
        <v>45939.649930555555</v>
      </c>
    </row>
    <row r="19659" spans="1:10" x14ac:dyDescent="0.2">
      <c r="A19659" s="4" t="s">
        <v>1</v>
      </c>
      <c r="B196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59" s="3" t="str">
        <f>HYPERLINK("https://otsuka-europe-crm.veevavault.com/ui/#object/sent_email__v/VBLZ025E82HGMDQ", "SE-000285724")</f>
        <v>SE-000285724</v>
      </c>
      <c r="D19659" s="1" t="s">
        <v>0</v>
      </c>
      <c r="E19659" s="2">
        <v>0</v>
      </c>
      <c r="F19659" s="2">
        <v>0</v>
      </c>
      <c r="G19659" s="2">
        <v>0</v>
      </c>
      <c r="H19659" s="1" t="s">
        <v>0</v>
      </c>
      <c r="I19659" s="2">
        <v>0</v>
      </c>
      <c r="J19659" s="1">
        <v>45939.649942129632</v>
      </c>
    </row>
    <row r="19660" spans="1:10" x14ac:dyDescent="0.2">
      <c r="A19660" s="4" t="s">
        <v>1</v>
      </c>
      <c r="B196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60" s="3" t="str">
        <f>HYPERLINK("https://otsuka-europe-crm.veevavault.com/ui/#object/sent_email__v/VBLZ025E82HGMDR", "SE-000285725")</f>
        <v>SE-000285725</v>
      </c>
      <c r="D19660" s="1" t="s">
        <v>0</v>
      </c>
      <c r="E19660" s="2">
        <v>0</v>
      </c>
      <c r="F19660" s="2">
        <v>0</v>
      </c>
      <c r="G19660" s="2">
        <v>0</v>
      </c>
      <c r="H19660" s="1" t="s">
        <v>0</v>
      </c>
      <c r="I19660" s="2">
        <v>0</v>
      </c>
      <c r="J19660" s="1">
        <v>45939.649953703702</v>
      </c>
    </row>
    <row r="19661" spans="1:10" x14ac:dyDescent="0.2">
      <c r="A19661" s="4" t="s">
        <v>1</v>
      </c>
      <c r="B196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61" s="3" t="str">
        <f>HYPERLINK("https://otsuka-europe-crm.veevavault.com/ui/#object/sent_email__v/VBLZ025E82HGMDS", "SE-000285726")</f>
        <v>SE-000285726</v>
      </c>
      <c r="D19661" s="1">
        <v>45940.004374999997</v>
      </c>
      <c r="E19661" s="2">
        <v>1</v>
      </c>
      <c r="F19661" s="2">
        <v>1</v>
      </c>
      <c r="G19661" s="2">
        <v>1</v>
      </c>
      <c r="H19661" s="1">
        <v>45941.391053240739</v>
      </c>
      <c r="I19661" s="2">
        <v>5</v>
      </c>
      <c r="J19661" s="1">
        <v>45939.649976851855</v>
      </c>
    </row>
    <row r="19662" spans="1:10" x14ac:dyDescent="0.2">
      <c r="A19662" s="4" t="s">
        <v>1</v>
      </c>
      <c r="B196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62" s="3" t="str">
        <f>HYPERLINK("https://otsuka-europe-crm.veevavault.com/ui/#object/sent_email__v/VBLZ025E82HGMDT", "SE-000285727")</f>
        <v>SE-000285727</v>
      </c>
      <c r="D19662" s="1" t="s">
        <v>0</v>
      </c>
      <c r="E19662" s="2">
        <v>0</v>
      </c>
      <c r="F19662" s="2">
        <v>0</v>
      </c>
      <c r="G19662" s="2">
        <v>0</v>
      </c>
      <c r="H19662" s="1" t="s">
        <v>0</v>
      </c>
      <c r="I19662" s="2">
        <v>0</v>
      </c>
      <c r="J19662" s="1">
        <v>45939.649976851855</v>
      </c>
    </row>
    <row r="19663" spans="1:10" x14ac:dyDescent="0.2">
      <c r="A19663" s="4" t="s">
        <v>1</v>
      </c>
      <c r="B196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63" s="3" t="str">
        <f>HYPERLINK("https://otsuka-europe-crm.veevavault.com/ui/#object/sent_email__v/VBLZ025E82HGMDU", "SE-000285728")</f>
        <v>SE-000285728</v>
      </c>
      <c r="D19663" s="1">
        <v>45952.615069444444</v>
      </c>
      <c r="E19663" s="2">
        <v>1</v>
      </c>
      <c r="F19663" s="2">
        <v>2</v>
      </c>
      <c r="G19663" s="2">
        <v>0</v>
      </c>
      <c r="H19663" s="1" t="s">
        <v>0</v>
      </c>
      <c r="I19663" s="2">
        <v>0</v>
      </c>
      <c r="J19663" s="1">
        <v>45939.649988425925</v>
      </c>
    </row>
    <row r="19664" spans="1:10" x14ac:dyDescent="0.2">
      <c r="A19664" s="4" t="s">
        <v>1</v>
      </c>
      <c r="B196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64" s="3" t="str">
        <f>HYPERLINK("https://otsuka-europe-crm.veevavault.com/ui/#object/sent_email__v/VBLZ025E82HGMDV", "SE-000285729")</f>
        <v>SE-000285729</v>
      </c>
      <c r="D19664" s="1">
        <v>45940.266087962962</v>
      </c>
      <c r="E19664" s="2">
        <v>1</v>
      </c>
      <c r="F19664" s="2">
        <v>1</v>
      </c>
      <c r="G19664" s="2">
        <v>0</v>
      </c>
      <c r="H19664" s="1" t="s">
        <v>0</v>
      </c>
      <c r="I19664" s="2">
        <v>0</v>
      </c>
      <c r="J19664" s="1">
        <v>45939.650011574071</v>
      </c>
    </row>
    <row r="19665" spans="1:10" x14ac:dyDescent="0.2">
      <c r="A19665" s="4" t="s">
        <v>1</v>
      </c>
      <c r="B196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65" s="3" t="str">
        <f>HYPERLINK("https://otsuka-europe-crm.veevavault.com/ui/#object/sent_email__v/VBLZ025E82HGMDW", "SE-000285730")</f>
        <v>SE-000285730</v>
      </c>
      <c r="D19665" s="1" t="s">
        <v>0</v>
      </c>
      <c r="E19665" s="2">
        <v>0</v>
      </c>
      <c r="F19665" s="2">
        <v>0</v>
      </c>
      <c r="G19665" s="2">
        <v>0</v>
      </c>
      <c r="H19665" s="1" t="s">
        <v>0</v>
      </c>
      <c r="I19665" s="2">
        <v>0</v>
      </c>
      <c r="J19665" s="1">
        <v>45939.650011574071</v>
      </c>
    </row>
    <row r="19666" spans="1:10" x14ac:dyDescent="0.2">
      <c r="A19666" s="4" t="s">
        <v>1</v>
      </c>
      <c r="B196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66" s="3" t="str">
        <f>HYPERLINK("https://otsuka-europe-crm.veevavault.com/ui/#object/sent_email__v/VBLZ025E82HGMDX", "SE-000285731")</f>
        <v>SE-000285731</v>
      </c>
      <c r="D19666" s="1">
        <v>45939.799583333333</v>
      </c>
      <c r="E19666" s="2">
        <v>1</v>
      </c>
      <c r="F19666" s="2">
        <v>1</v>
      </c>
      <c r="G19666" s="2">
        <v>0</v>
      </c>
      <c r="H19666" s="1" t="s">
        <v>0</v>
      </c>
      <c r="I19666" s="2">
        <v>0</v>
      </c>
      <c r="J19666" s="1">
        <v>45939.650011574071</v>
      </c>
    </row>
    <row r="19667" spans="1:10" x14ac:dyDescent="0.2">
      <c r="A19667" s="4" t="s">
        <v>1</v>
      </c>
      <c r="B196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67" s="3" t="str">
        <f>HYPERLINK("https://otsuka-europe-crm.veevavault.com/ui/#object/sent_email__v/VBLZ025E82HGMDY", "SE-000285732")</f>
        <v>SE-000285732</v>
      </c>
      <c r="D19667" s="1" t="s">
        <v>0</v>
      </c>
      <c r="E19667" s="2">
        <v>0</v>
      </c>
      <c r="F19667" s="2">
        <v>0</v>
      </c>
      <c r="G19667" s="2">
        <v>0</v>
      </c>
      <c r="H19667" s="1" t="s">
        <v>0</v>
      </c>
      <c r="I19667" s="2">
        <v>0</v>
      </c>
      <c r="J19667" s="1">
        <v>45939.650023148148</v>
      </c>
    </row>
    <row r="19668" spans="1:10" x14ac:dyDescent="0.2">
      <c r="A19668" s="4" t="s">
        <v>1</v>
      </c>
      <c r="B196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68" s="3" t="str">
        <f>HYPERLINK("https://otsuka-europe-crm.veevavault.com/ui/#object/sent_email__v/VBLZ025E82HGMDZ", "SE-000285733")</f>
        <v>SE-000285733</v>
      </c>
      <c r="D19668" s="1" t="s">
        <v>0</v>
      </c>
      <c r="E19668" s="2">
        <v>0</v>
      </c>
      <c r="F19668" s="2">
        <v>0</v>
      </c>
      <c r="G19668" s="2">
        <v>0</v>
      </c>
      <c r="H19668" s="1" t="s">
        <v>0</v>
      </c>
      <c r="I19668" s="2">
        <v>0</v>
      </c>
      <c r="J19668" s="1">
        <v>45939.650034722225</v>
      </c>
    </row>
    <row r="19669" spans="1:10" x14ac:dyDescent="0.2">
      <c r="A19669" s="4" t="s">
        <v>1</v>
      </c>
      <c r="B196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69" s="3" t="str">
        <f>HYPERLINK("https://otsuka-europe-crm.veevavault.com/ui/#object/sent_email__v/VBLZ025E82HGME0", "SE-000285734")</f>
        <v>SE-000285734</v>
      </c>
      <c r="D19669" s="1">
        <v>45939.806226851855</v>
      </c>
      <c r="E19669" s="2">
        <v>1</v>
      </c>
      <c r="F19669" s="2">
        <v>1</v>
      </c>
      <c r="G19669" s="2">
        <v>0</v>
      </c>
      <c r="H19669" s="1" t="s">
        <v>0</v>
      </c>
      <c r="I19669" s="2">
        <v>0</v>
      </c>
      <c r="J19669" s="1">
        <v>45939.650046296294</v>
      </c>
    </row>
    <row r="19670" spans="1:10" x14ac:dyDescent="0.2">
      <c r="A19670" s="4" t="s">
        <v>1</v>
      </c>
      <c r="B196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70" s="3" t="str">
        <f>HYPERLINK("https://otsuka-europe-crm.veevavault.com/ui/#object/sent_email__v/VBLZ025E82HGME1", "SE-000285735")</f>
        <v>SE-000285735</v>
      </c>
      <c r="D19670" s="1" t="s">
        <v>0</v>
      </c>
      <c r="E19670" s="2">
        <v>0</v>
      </c>
      <c r="F19670" s="2">
        <v>0</v>
      </c>
      <c r="G19670" s="2">
        <v>0</v>
      </c>
      <c r="H19670" s="1" t="s">
        <v>0</v>
      </c>
      <c r="I19670" s="2">
        <v>0</v>
      </c>
      <c r="J19670" s="1">
        <v>45939.650046296294</v>
      </c>
    </row>
    <row r="19671" spans="1:10" x14ac:dyDescent="0.2">
      <c r="A19671" s="4" t="s">
        <v>1</v>
      </c>
      <c r="B196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71" s="3" t="str">
        <f>HYPERLINK("https://otsuka-europe-crm.veevavault.com/ui/#object/sent_email__v/VBLZ025E82HGME2", "SE-000285736")</f>
        <v>SE-000285736</v>
      </c>
      <c r="D19671" s="1" t="s">
        <v>0</v>
      </c>
      <c r="E19671" s="2">
        <v>0</v>
      </c>
      <c r="F19671" s="2">
        <v>0</v>
      </c>
      <c r="G19671" s="2">
        <v>0</v>
      </c>
      <c r="H19671" s="1" t="s">
        <v>0</v>
      </c>
      <c r="I19671" s="2">
        <v>0</v>
      </c>
      <c r="J19671" s="1">
        <v>45939.650057870371</v>
      </c>
    </row>
    <row r="19672" spans="1:10" x14ac:dyDescent="0.2">
      <c r="A19672" s="4" t="s">
        <v>1</v>
      </c>
      <c r="B196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72" s="3" t="str">
        <f>HYPERLINK("https://otsuka-europe-crm.veevavault.com/ui/#object/sent_email__v/VBLZ025E82HGME3", "SE-000285737")</f>
        <v>SE-000285737</v>
      </c>
      <c r="D19672" s="1" t="s">
        <v>0</v>
      </c>
      <c r="E19672" s="2">
        <v>0</v>
      </c>
      <c r="F19672" s="2">
        <v>0</v>
      </c>
      <c r="G19672" s="2">
        <v>0</v>
      </c>
      <c r="H19672" s="1" t="s">
        <v>0</v>
      </c>
      <c r="I19672" s="2">
        <v>0</v>
      </c>
      <c r="J19672" s="1">
        <v>45939.650069444448</v>
      </c>
    </row>
    <row r="19673" spans="1:10" x14ac:dyDescent="0.2">
      <c r="A19673" s="4" t="s">
        <v>1</v>
      </c>
      <c r="B196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73" s="3" t="str">
        <f>HYPERLINK("https://otsuka-europe-crm.veevavault.com/ui/#object/sent_email__v/VBLZ025E82HGME4", "SE-000285738")</f>
        <v>SE-000285738</v>
      </c>
      <c r="D19673" s="1" t="s">
        <v>0</v>
      </c>
      <c r="E19673" s="2">
        <v>0</v>
      </c>
      <c r="F19673" s="2">
        <v>0</v>
      </c>
      <c r="G19673" s="2">
        <v>0</v>
      </c>
      <c r="H19673" s="1" t="s">
        <v>0</v>
      </c>
      <c r="I19673" s="2">
        <v>0</v>
      </c>
      <c r="J19673" s="1">
        <v>45939.650081018517</v>
      </c>
    </row>
    <row r="19674" spans="1:10" x14ac:dyDescent="0.2">
      <c r="A19674" s="4" t="s">
        <v>1</v>
      </c>
      <c r="B196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74" s="3" t="str">
        <f>HYPERLINK("https://otsuka-europe-crm.veevavault.com/ui/#object/sent_email__v/VBLZ025E82HGME5", "SE-000285739")</f>
        <v>SE-000285739</v>
      </c>
      <c r="D19674" s="1" t="s">
        <v>0</v>
      </c>
      <c r="E19674" s="2">
        <v>0</v>
      </c>
      <c r="F19674" s="2">
        <v>0</v>
      </c>
      <c r="G19674" s="2">
        <v>0</v>
      </c>
      <c r="H19674" s="1" t="s">
        <v>0</v>
      </c>
      <c r="I19674" s="2">
        <v>0</v>
      </c>
      <c r="J19674" s="1">
        <v>45939.650092592594</v>
      </c>
    </row>
    <row r="19675" spans="1:10" x14ac:dyDescent="0.2">
      <c r="A19675" s="4" t="s">
        <v>1</v>
      </c>
      <c r="B196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75" s="3" t="str">
        <f>HYPERLINK("https://otsuka-europe-crm.veevavault.com/ui/#object/sent_email__v/VBLZ025E82HGME6", "SE-000285740")</f>
        <v>SE-000285740</v>
      </c>
      <c r="D19675" s="1" t="s">
        <v>0</v>
      </c>
      <c r="E19675" s="2">
        <v>0</v>
      </c>
      <c r="F19675" s="2">
        <v>0</v>
      </c>
      <c r="G19675" s="2">
        <v>0</v>
      </c>
      <c r="H19675" s="1" t="s">
        <v>0</v>
      </c>
      <c r="I19675" s="2">
        <v>0</v>
      </c>
      <c r="J19675" s="1">
        <v>45939.650104166663</v>
      </c>
    </row>
    <row r="19676" spans="1:10" x14ac:dyDescent="0.2">
      <c r="A19676" s="4" t="s">
        <v>1</v>
      </c>
      <c r="B196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76" s="3" t="str">
        <f>HYPERLINK("https://otsuka-europe-crm.veevavault.com/ui/#object/sent_email__v/VBLZ025E82HGME7", "SE-000285741")</f>
        <v>SE-000285741</v>
      </c>
      <c r="D19676" s="1" t="s">
        <v>0</v>
      </c>
      <c r="E19676" s="2">
        <v>0</v>
      </c>
      <c r="F19676" s="2">
        <v>0</v>
      </c>
      <c r="G19676" s="2">
        <v>0</v>
      </c>
      <c r="H19676" s="1" t="s">
        <v>0</v>
      </c>
      <c r="I19676" s="2">
        <v>0</v>
      </c>
      <c r="J19676" s="1">
        <v>45939.65011574074</v>
      </c>
    </row>
    <row r="19677" spans="1:10" x14ac:dyDescent="0.2">
      <c r="A19677" s="4" t="s">
        <v>1</v>
      </c>
      <c r="B196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77" s="3" t="str">
        <f>HYPERLINK("https://otsuka-europe-crm.veevavault.com/ui/#object/sent_email__v/VBLZ025E82HGME8", "SE-000285742")</f>
        <v>SE-000285742</v>
      </c>
      <c r="D19677" s="1" t="s">
        <v>0</v>
      </c>
      <c r="E19677" s="2">
        <v>0</v>
      </c>
      <c r="F19677" s="2">
        <v>0</v>
      </c>
      <c r="G19677" s="2">
        <v>0</v>
      </c>
      <c r="H19677" s="1" t="s">
        <v>0</v>
      </c>
      <c r="I19677" s="2">
        <v>0</v>
      </c>
      <c r="J19677" s="1">
        <v>45939.650127314817</v>
      </c>
    </row>
    <row r="19678" spans="1:10" x14ac:dyDescent="0.2">
      <c r="A19678" s="4" t="s">
        <v>1</v>
      </c>
      <c r="B196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78" s="3" t="str">
        <f>HYPERLINK("https://otsuka-europe-crm.veevavault.com/ui/#object/sent_email__v/VBLZ025E82HGME9", "SE-000285743")</f>
        <v>SE-000285743</v>
      </c>
      <c r="D19678" s="1" t="s">
        <v>0</v>
      </c>
      <c r="E19678" s="2">
        <v>0</v>
      </c>
      <c r="F19678" s="2">
        <v>0</v>
      </c>
      <c r="G19678" s="2">
        <v>0</v>
      </c>
      <c r="H19678" s="1" t="s">
        <v>0</v>
      </c>
      <c r="I19678" s="2">
        <v>0</v>
      </c>
      <c r="J19678" s="1">
        <v>45939.650138888886</v>
      </c>
    </row>
    <row r="19679" spans="1:10" x14ac:dyDescent="0.2">
      <c r="A19679" s="4" t="s">
        <v>1</v>
      </c>
      <c r="B196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79" s="3" t="str">
        <f>HYPERLINK("https://otsuka-europe-crm.veevavault.com/ui/#object/sent_email__v/VBLZ025E82HGMEA", "SE-000285744")</f>
        <v>SE-000285744</v>
      </c>
      <c r="D19679" s="1" t="s">
        <v>0</v>
      </c>
      <c r="E19679" s="2">
        <v>0</v>
      </c>
      <c r="F19679" s="2">
        <v>0</v>
      </c>
      <c r="G19679" s="2">
        <v>0</v>
      </c>
      <c r="H19679" s="1" t="s">
        <v>0</v>
      </c>
      <c r="I19679" s="2">
        <v>0</v>
      </c>
      <c r="J19679" s="1">
        <v>45939.650150462963</v>
      </c>
    </row>
    <row r="19680" spans="1:10" x14ac:dyDescent="0.2">
      <c r="A19680" s="4" t="s">
        <v>1</v>
      </c>
      <c r="B196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80" s="3" t="str">
        <f>HYPERLINK("https://otsuka-europe-crm.veevavault.com/ui/#object/sent_email__v/VBLZ025E82HGMEB", "SE-000285745")</f>
        <v>SE-000285745</v>
      </c>
      <c r="D19680" s="1" t="s">
        <v>0</v>
      </c>
      <c r="E19680" s="2">
        <v>0</v>
      </c>
      <c r="F19680" s="2">
        <v>0</v>
      </c>
      <c r="G19680" s="2">
        <v>0</v>
      </c>
      <c r="H19680" s="1" t="s">
        <v>0</v>
      </c>
      <c r="I19680" s="2">
        <v>0</v>
      </c>
      <c r="J19680" s="1">
        <v>45939.650150462963</v>
      </c>
    </row>
    <row r="19681" spans="1:10" x14ac:dyDescent="0.2">
      <c r="A19681" s="4" t="s">
        <v>1</v>
      </c>
      <c r="B196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81" s="3" t="str">
        <f>HYPERLINK("https://otsuka-europe-crm.veevavault.com/ui/#object/sent_email__v/VBLZ025E82HGMEC", "SE-000285746")</f>
        <v>SE-000285746</v>
      </c>
      <c r="D19681" s="1">
        <v>45939.709803240738</v>
      </c>
      <c r="E19681" s="2">
        <v>1</v>
      </c>
      <c r="F19681" s="2">
        <v>1</v>
      </c>
      <c r="G19681" s="2">
        <v>0</v>
      </c>
      <c r="H19681" s="1" t="s">
        <v>0</v>
      </c>
      <c r="I19681" s="2">
        <v>0</v>
      </c>
      <c r="J19681" s="1">
        <v>45939.650173611109</v>
      </c>
    </row>
    <row r="19682" spans="1:10" x14ac:dyDescent="0.2">
      <c r="A19682" s="4" t="s">
        <v>1</v>
      </c>
      <c r="B196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82" s="3" t="str">
        <f>HYPERLINK("https://otsuka-europe-crm.veevavault.com/ui/#object/sent_email__v/VBLZ025E82HGMED", "SE-000285747")</f>
        <v>SE-000285747</v>
      </c>
      <c r="D19682" s="1" t="s">
        <v>0</v>
      </c>
      <c r="E19682" s="2">
        <v>0</v>
      </c>
      <c r="F19682" s="2">
        <v>0</v>
      </c>
      <c r="G19682" s="2">
        <v>0</v>
      </c>
      <c r="H19682" s="1" t="s">
        <v>0</v>
      </c>
      <c r="I19682" s="2">
        <v>0</v>
      </c>
      <c r="J19682" s="1">
        <v>45939.650173611109</v>
      </c>
    </row>
    <row r="19683" spans="1:10" x14ac:dyDescent="0.2">
      <c r="A19683" s="4" t="s">
        <v>1</v>
      </c>
      <c r="B196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83" s="3" t="str">
        <f>HYPERLINK("https://otsuka-europe-crm.veevavault.com/ui/#object/sent_email__v/VBLZ025E82HGMEE", "SE-000285748")</f>
        <v>SE-000285748</v>
      </c>
      <c r="D19683" s="1" t="s">
        <v>0</v>
      </c>
      <c r="E19683" s="2">
        <v>0</v>
      </c>
      <c r="F19683" s="2">
        <v>0</v>
      </c>
      <c r="G19683" s="2">
        <v>0</v>
      </c>
      <c r="H19683" s="1" t="s">
        <v>0</v>
      </c>
      <c r="I19683" s="2">
        <v>0</v>
      </c>
      <c r="J19683" s="1">
        <v>45939.650185185186</v>
      </c>
    </row>
    <row r="19684" spans="1:10" x14ac:dyDescent="0.2">
      <c r="A19684" s="4" t="s">
        <v>1</v>
      </c>
      <c r="B196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84" s="3" t="str">
        <f>HYPERLINK("https://otsuka-europe-crm.veevavault.com/ui/#object/sent_email__v/VBLZ025E82HGMEF", "SE-000285749")</f>
        <v>SE-000285749</v>
      </c>
      <c r="D19684" s="1" t="s">
        <v>0</v>
      </c>
      <c r="E19684" s="2">
        <v>0</v>
      </c>
      <c r="F19684" s="2">
        <v>0</v>
      </c>
      <c r="G19684" s="2">
        <v>0</v>
      </c>
      <c r="H19684" s="1" t="s">
        <v>0</v>
      </c>
      <c r="I19684" s="2">
        <v>0</v>
      </c>
      <c r="J19684" s="1">
        <v>45939.650196759256</v>
      </c>
    </row>
    <row r="19685" spans="1:10" x14ac:dyDescent="0.2">
      <c r="A19685" s="4" t="s">
        <v>1</v>
      </c>
      <c r="B196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85" s="3" t="str">
        <f>HYPERLINK("https://otsuka-europe-crm.veevavault.com/ui/#object/sent_email__v/VBLZ025E82HGMEG", "SE-000285750")</f>
        <v>SE-000285750</v>
      </c>
      <c r="D19685" s="1" t="s">
        <v>0</v>
      </c>
      <c r="E19685" s="2">
        <v>0</v>
      </c>
      <c r="F19685" s="2">
        <v>0</v>
      </c>
      <c r="G19685" s="2">
        <v>0</v>
      </c>
      <c r="H19685" s="1" t="s">
        <v>0</v>
      </c>
      <c r="I19685" s="2">
        <v>0</v>
      </c>
      <c r="J19685" s="1">
        <v>45939.650196759256</v>
      </c>
    </row>
    <row r="19686" spans="1:10" x14ac:dyDescent="0.2">
      <c r="A19686" s="4" t="s">
        <v>1</v>
      </c>
      <c r="B196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86" s="3" t="str">
        <f>HYPERLINK("https://otsuka-europe-crm.veevavault.com/ui/#object/sent_email__v/VBLZ025E82HGMEH", "SE-000285751")</f>
        <v>SE-000285751</v>
      </c>
      <c r="D19686" s="1">
        <v>45939.903009259258</v>
      </c>
      <c r="E19686" s="2">
        <v>1</v>
      </c>
      <c r="F19686" s="2">
        <v>1</v>
      </c>
      <c r="G19686" s="2">
        <v>0</v>
      </c>
      <c r="H19686" s="1" t="s">
        <v>0</v>
      </c>
      <c r="I19686" s="2">
        <v>0</v>
      </c>
      <c r="J19686" s="1">
        <v>45939.650208333333</v>
      </c>
    </row>
    <row r="19687" spans="1:10" x14ac:dyDescent="0.2">
      <c r="A19687" s="4" t="s">
        <v>1</v>
      </c>
      <c r="B196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87" s="3" t="str">
        <f>HYPERLINK("https://otsuka-europe-crm.veevavault.com/ui/#object/sent_email__v/VBLZ025E82HGMEI", "SE-000285752")</f>
        <v>SE-000285752</v>
      </c>
      <c r="D19687" s="1" t="s">
        <v>0</v>
      </c>
      <c r="E19687" s="2">
        <v>0</v>
      </c>
      <c r="F19687" s="2">
        <v>0</v>
      </c>
      <c r="G19687" s="2">
        <v>0</v>
      </c>
      <c r="H19687" s="1" t="s">
        <v>0</v>
      </c>
      <c r="I19687" s="2">
        <v>0</v>
      </c>
      <c r="J19687" s="1">
        <v>45939.650219907409</v>
      </c>
    </row>
    <row r="19688" spans="1:10" x14ac:dyDescent="0.2">
      <c r="A19688" s="4" t="s">
        <v>1</v>
      </c>
      <c r="B196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88" s="3" t="str">
        <f>HYPERLINK("https://otsuka-europe-crm.veevavault.com/ui/#object/sent_email__v/VBLZ025E82HGMEJ", "SE-000285753")</f>
        <v>SE-000285753</v>
      </c>
      <c r="D19688" s="1">
        <v>45939.978541666664</v>
      </c>
      <c r="E19688" s="2">
        <v>1</v>
      </c>
      <c r="F19688" s="2">
        <v>3</v>
      </c>
      <c r="G19688" s="2">
        <v>0</v>
      </c>
      <c r="H19688" s="1" t="s">
        <v>0</v>
      </c>
      <c r="I19688" s="2">
        <v>0</v>
      </c>
      <c r="J19688" s="1">
        <v>45939.650243055556</v>
      </c>
    </row>
    <row r="19689" spans="1:10" x14ac:dyDescent="0.2">
      <c r="A19689" s="4" t="s">
        <v>1</v>
      </c>
      <c r="B196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89" s="3" t="str">
        <f>HYPERLINK("https://otsuka-europe-crm.veevavault.com/ui/#object/sent_email__v/VBLZ025E82HGMEK", "SE-000285754")</f>
        <v>SE-000285754</v>
      </c>
      <c r="D19689" s="1">
        <v>45939.666817129626</v>
      </c>
      <c r="E19689" s="2">
        <v>1</v>
      </c>
      <c r="F19689" s="2">
        <v>3</v>
      </c>
      <c r="G19689" s="2">
        <v>0</v>
      </c>
      <c r="H19689" s="1" t="s">
        <v>0</v>
      </c>
      <c r="I19689" s="2">
        <v>0</v>
      </c>
      <c r="J19689" s="1">
        <v>45939.650243055556</v>
      </c>
    </row>
    <row r="19690" spans="1:10" x14ac:dyDescent="0.2">
      <c r="A19690" s="4" t="s">
        <v>1</v>
      </c>
      <c r="B196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90" s="3" t="str">
        <f>HYPERLINK("https://otsuka-europe-crm.veevavault.com/ui/#object/sent_email__v/VBLZ025E82HGMEL", "SE-000285755")</f>
        <v>SE-000285755</v>
      </c>
      <c r="D19690" s="1" t="s">
        <v>0</v>
      </c>
      <c r="E19690" s="2">
        <v>0</v>
      </c>
      <c r="F19690" s="2">
        <v>0</v>
      </c>
      <c r="G19690" s="2">
        <v>0</v>
      </c>
      <c r="H19690" s="1" t="s">
        <v>0</v>
      </c>
      <c r="I19690" s="2">
        <v>0</v>
      </c>
      <c r="J19690" s="1">
        <v>45939.650243055556</v>
      </c>
    </row>
    <row r="19691" spans="1:10" x14ac:dyDescent="0.2">
      <c r="A19691" s="4" t="s">
        <v>1</v>
      </c>
      <c r="B196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91" s="3" t="str">
        <f>HYPERLINK("https://otsuka-europe-crm.veevavault.com/ui/#object/sent_email__v/VBLZ025E82HGMEM", "SE-000285756")</f>
        <v>SE-000285756</v>
      </c>
      <c r="D19691" s="1" t="s">
        <v>0</v>
      </c>
      <c r="E19691" s="2">
        <v>0</v>
      </c>
      <c r="F19691" s="2">
        <v>0</v>
      </c>
      <c r="G19691" s="2">
        <v>0</v>
      </c>
      <c r="H19691" s="1" t="s">
        <v>0</v>
      </c>
      <c r="I19691" s="2">
        <v>0</v>
      </c>
      <c r="J19691" s="1">
        <v>45939.650254629632</v>
      </c>
    </row>
    <row r="19692" spans="1:10" x14ac:dyDescent="0.2">
      <c r="A19692" s="4" t="s">
        <v>1</v>
      </c>
      <c r="B196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92" s="3" t="str">
        <f>HYPERLINK("https://otsuka-europe-crm.veevavault.com/ui/#object/sent_email__v/VBLZ025E82HGMEN", "SE-000285757")</f>
        <v>SE-000285757</v>
      </c>
      <c r="D19692" s="1" t="s">
        <v>0</v>
      </c>
      <c r="E19692" s="2">
        <v>0</v>
      </c>
      <c r="F19692" s="2">
        <v>0</v>
      </c>
      <c r="G19692" s="2">
        <v>0</v>
      </c>
      <c r="H19692" s="1" t="s">
        <v>0</v>
      </c>
      <c r="I19692" s="2">
        <v>0</v>
      </c>
      <c r="J19692" s="1">
        <v>45939.650266203702</v>
      </c>
    </row>
    <row r="19693" spans="1:10" x14ac:dyDescent="0.2">
      <c r="A19693" s="4" t="s">
        <v>1</v>
      </c>
      <c r="B196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93" s="3" t="str">
        <f>HYPERLINK("https://otsuka-europe-crm.veevavault.com/ui/#object/sent_email__v/VBLZ025E82HGMEO", "SE-000285758")</f>
        <v>SE-000285758</v>
      </c>
      <c r="D19693" s="1">
        <v>45939.689780092594</v>
      </c>
      <c r="E19693" s="2">
        <v>1</v>
      </c>
      <c r="F19693" s="2">
        <v>2</v>
      </c>
      <c r="G19693" s="2">
        <v>0</v>
      </c>
      <c r="H19693" s="1" t="s">
        <v>0</v>
      </c>
      <c r="I19693" s="2">
        <v>0</v>
      </c>
      <c r="J19693" s="1">
        <v>45939.650277777779</v>
      </c>
    </row>
    <row r="19694" spans="1:10" x14ac:dyDescent="0.2">
      <c r="A19694" s="4" t="s">
        <v>1</v>
      </c>
      <c r="B196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94" s="3" t="str">
        <f>HYPERLINK("https://otsuka-europe-crm.veevavault.com/ui/#object/sent_email__v/VBLZ025E82HGMEP", "SE-000285759")</f>
        <v>SE-000285759</v>
      </c>
      <c r="D19694" s="1" t="s">
        <v>0</v>
      </c>
      <c r="E19694" s="2">
        <v>0</v>
      </c>
      <c r="F19694" s="2">
        <v>0</v>
      </c>
      <c r="G19694" s="2">
        <v>0</v>
      </c>
      <c r="H19694" s="1" t="s">
        <v>0</v>
      </c>
      <c r="I19694" s="2">
        <v>0</v>
      </c>
      <c r="J19694" s="1">
        <v>45939.650289351855</v>
      </c>
    </row>
    <row r="19695" spans="1:10" x14ac:dyDescent="0.2">
      <c r="A19695" s="4" t="s">
        <v>1</v>
      </c>
      <c r="B196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95" s="3" t="str">
        <f>HYPERLINK("https://otsuka-europe-crm.veevavault.com/ui/#object/sent_email__v/VBLZ025E82HGMEQ", "SE-000285760")</f>
        <v>SE-000285760</v>
      </c>
      <c r="D19695" s="1" t="s">
        <v>0</v>
      </c>
      <c r="E19695" s="2">
        <v>0</v>
      </c>
      <c r="F19695" s="2">
        <v>0</v>
      </c>
      <c r="G19695" s="2">
        <v>0</v>
      </c>
      <c r="H19695" s="1" t="s">
        <v>0</v>
      </c>
      <c r="I19695" s="2">
        <v>0</v>
      </c>
      <c r="J19695" s="1">
        <v>45939.650300925925</v>
      </c>
    </row>
    <row r="19696" spans="1:10" x14ac:dyDescent="0.2">
      <c r="A19696" s="4" t="s">
        <v>1</v>
      </c>
      <c r="B196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96" s="3" t="str">
        <f>HYPERLINK("https://otsuka-europe-crm.veevavault.com/ui/#object/sent_email__v/VBLZ025E82HGMER", "SE-000285761")</f>
        <v>SE-000285761</v>
      </c>
      <c r="D19696" s="1" t="s">
        <v>0</v>
      </c>
      <c r="E19696" s="2">
        <v>0</v>
      </c>
      <c r="F19696" s="2">
        <v>0</v>
      </c>
      <c r="G19696" s="2">
        <v>0</v>
      </c>
      <c r="H19696" s="1" t="s">
        <v>0</v>
      </c>
      <c r="I19696" s="2">
        <v>0</v>
      </c>
      <c r="J19696" s="1">
        <v>45939.650300925925</v>
      </c>
    </row>
    <row r="19697" spans="1:10" x14ac:dyDescent="0.2">
      <c r="A19697" s="4" t="s">
        <v>1</v>
      </c>
      <c r="B196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97" s="3" t="str">
        <f>HYPERLINK("https://otsuka-europe-crm.veevavault.com/ui/#object/sent_email__v/VBLZ025E82HGMES", "SE-000285762")</f>
        <v>SE-000285762</v>
      </c>
      <c r="D19697" s="1">
        <v>45939.785057870373</v>
      </c>
      <c r="E19697" s="2">
        <v>1</v>
      </c>
      <c r="F19697" s="2">
        <v>1</v>
      </c>
      <c r="G19697" s="2">
        <v>0</v>
      </c>
      <c r="H19697" s="1" t="s">
        <v>0</v>
      </c>
      <c r="I19697" s="2">
        <v>0</v>
      </c>
      <c r="J19697" s="1">
        <v>45939.650312500002</v>
      </c>
    </row>
    <row r="19698" spans="1:10" x14ac:dyDescent="0.2">
      <c r="A19698" s="4" t="s">
        <v>1</v>
      </c>
      <c r="B196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98" s="3" t="str">
        <f>HYPERLINK("https://otsuka-europe-crm.veevavault.com/ui/#object/sent_email__v/VBLZ025E82HGMET", "SE-000285763")</f>
        <v>SE-000285763</v>
      </c>
      <c r="D19698" s="1" t="s">
        <v>0</v>
      </c>
      <c r="E19698" s="2">
        <v>0</v>
      </c>
      <c r="F19698" s="2">
        <v>0</v>
      </c>
      <c r="G19698" s="2">
        <v>0</v>
      </c>
      <c r="H19698" s="1" t="s">
        <v>0</v>
      </c>
      <c r="I19698" s="2">
        <v>0</v>
      </c>
      <c r="J19698" s="1">
        <v>45939.650324074071</v>
      </c>
    </row>
    <row r="19699" spans="1:10" x14ac:dyDescent="0.2">
      <c r="A19699" s="4" t="s">
        <v>1</v>
      </c>
      <c r="B196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699" s="3" t="str">
        <f>HYPERLINK("https://otsuka-europe-crm.veevavault.com/ui/#object/sent_email__v/VBLZ025E82HGMEU", "SE-000285764")</f>
        <v>SE-000285764</v>
      </c>
      <c r="D19699" s="1">
        <v>45942.43304398148</v>
      </c>
      <c r="E19699" s="2">
        <v>1</v>
      </c>
      <c r="F19699" s="2">
        <v>2</v>
      </c>
      <c r="G19699" s="2">
        <v>0</v>
      </c>
      <c r="H19699" s="1" t="s">
        <v>0</v>
      </c>
      <c r="I19699" s="2">
        <v>0</v>
      </c>
      <c r="J19699" s="1">
        <v>45939.650335648148</v>
      </c>
    </row>
    <row r="19700" spans="1:10" x14ac:dyDescent="0.2">
      <c r="A19700" s="4" t="s">
        <v>1</v>
      </c>
      <c r="B197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00" s="3" t="str">
        <f>HYPERLINK("https://otsuka-europe-crm.veevavault.com/ui/#object/sent_email__v/VBLZ025E82HGMEV", "SE-000285765")</f>
        <v>SE-000285765</v>
      </c>
      <c r="D19700" s="1" t="s">
        <v>0</v>
      </c>
      <c r="E19700" s="2">
        <v>0</v>
      </c>
      <c r="F19700" s="2">
        <v>0</v>
      </c>
      <c r="G19700" s="2">
        <v>0</v>
      </c>
      <c r="H19700" s="1" t="s">
        <v>0</v>
      </c>
      <c r="I19700" s="2">
        <v>0</v>
      </c>
      <c r="J19700" s="1">
        <v>45939.650347222225</v>
      </c>
    </row>
    <row r="19701" spans="1:10" x14ac:dyDescent="0.2">
      <c r="A19701" s="4" t="s">
        <v>1</v>
      </c>
      <c r="B197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01" s="3" t="str">
        <f>HYPERLINK("https://otsuka-europe-crm.veevavault.com/ui/#object/sent_email__v/VBLZ025E82HGMEW", "SE-000285766")</f>
        <v>SE-000285766</v>
      </c>
      <c r="D19701" s="1" t="s">
        <v>0</v>
      </c>
      <c r="E19701" s="2">
        <v>0</v>
      </c>
      <c r="F19701" s="2">
        <v>0</v>
      </c>
      <c r="G19701" s="2">
        <v>0</v>
      </c>
      <c r="H19701" s="1" t="s">
        <v>0</v>
      </c>
      <c r="I19701" s="2">
        <v>0</v>
      </c>
      <c r="J19701" s="1">
        <v>45939.650358796294</v>
      </c>
    </row>
    <row r="19702" spans="1:10" x14ac:dyDescent="0.2">
      <c r="A19702" s="4" t="s">
        <v>1</v>
      </c>
      <c r="B197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02" s="3" t="str">
        <f>HYPERLINK("https://otsuka-europe-crm.veevavault.com/ui/#object/sent_email__v/VBLZ025E82HGMEX", "SE-000285767")</f>
        <v>SE-000285767</v>
      </c>
      <c r="D19702" s="1" t="s">
        <v>0</v>
      </c>
      <c r="E19702" s="2">
        <v>0</v>
      </c>
      <c r="F19702" s="2">
        <v>0</v>
      </c>
      <c r="G19702" s="2">
        <v>0</v>
      </c>
      <c r="H19702" s="1" t="s">
        <v>0</v>
      </c>
      <c r="I19702" s="2">
        <v>0</v>
      </c>
      <c r="J19702" s="1">
        <v>45939.650370370371</v>
      </c>
    </row>
    <row r="19703" spans="1:10" x14ac:dyDescent="0.2">
      <c r="A19703" s="4" t="s">
        <v>1</v>
      </c>
      <c r="B197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03" s="3" t="str">
        <f>HYPERLINK("https://otsuka-europe-crm.veevavault.com/ui/#object/sent_email__v/VBLZ025E82HGMEY", "SE-000285768")</f>
        <v>SE-000285768</v>
      </c>
      <c r="D19703" s="1" t="s">
        <v>0</v>
      </c>
      <c r="E19703" s="2">
        <v>0</v>
      </c>
      <c r="F19703" s="2">
        <v>0</v>
      </c>
      <c r="G19703" s="2">
        <v>0</v>
      </c>
      <c r="H19703" s="1" t="s">
        <v>0</v>
      </c>
      <c r="I19703" s="2">
        <v>0</v>
      </c>
      <c r="J19703" s="1">
        <v>45939.650381944448</v>
      </c>
    </row>
    <row r="19704" spans="1:10" x14ac:dyDescent="0.2">
      <c r="A19704" s="4" t="s">
        <v>1</v>
      </c>
      <c r="B197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04" s="3" t="str">
        <f>HYPERLINK("https://otsuka-europe-crm.veevavault.com/ui/#object/sent_email__v/VBLZ025E82HGMEZ", "SE-000285769")</f>
        <v>SE-000285769</v>
      </c>
      <c r="D19704" s="1" t="s">
        <v>0</v>
      </c>
      <c r="E19704" s="2">
        <v>0</v>
      </c>
      <c r="F19704" s="2">
        <v>0</v>
      </c>
      <c r="G19704" s="2">
        <v>0</v>
      </c>
      <c r="H19704" s="1" t="s">
        <v>0</v>
      </c>
      <c r="I19704" s="2">
        <v>0</v>
      </c>
      <c r="J19704" s="1">
        <v>45939.650393518517</v>
      </c>
    </row>
    <row r="19705" spans="1:10" x14ac:dyDescent="0.2">
      <c r="A19705" s="4" t="s">
        <v>1</v>
      </c>
      <c r="B197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05" s="3" t="str">
        <f>HYPERLINK("https://otsuka-europe-crm.veevavault.com/ui/#object/sent_email__v/VBLZ025E82HGMF0", "SE-000285770")</f>
        <v>SE-000285770</v>
      </c>
      <c r="D19705" s="1">
        <v>45939.786076388889</v>
      </c>
      <c r="E19705" s="2">
        <v>1</v>
      </c>
      <c r="F19705" s="2">
        <v>1</v>
      </c>
      <c r="G19705" s="2">
        <v>0</v>
      </c>
      <c r="H19705" s="1" t="s">
        <v>0</v>
      </c>
      <c r="I19705" s="2">
        <v>0</v>
      </c>
      <c r="J19705" s="1">
        <v>45939.650393518517</v>
      </c>
    </row>
    <row r="19706" spans="1:10" x14ac:dyDescent="0.2">
      <c r="A19706" s="4" t="s">
        <v>1</v>
      </c>
      <c r="B197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06" s="3" t="str">
        <f>HYPERLINK("https://otsuka-europe-crm.veevavault.com/ui/#object/sent_email__v/VBLZ025E82HGMF1", "SE-000285771")</f>
        <v>SE-000285771</v>
      </c>
      <c r="D19706" s="1" t="s">
        <v>0</v>
      </c>
      <c r="E19706" s="2">
        <v>0</v>
      </c>
      <c r="F19706" s="2">
        <v>0</v>
      </c>
      <c r="G19706" s="2">
        <v>0</v>
      </c>
      <c r="H19706" s="1" t="s">
        <v>0</v>
      </c>
      <c r="I19706" s="2">
        <v>0</v>
      </c>
      <c r="J19706" s="1">
        <v>45939.650405092594</v>
      </c>
    </row>
    <row r="19707" spans="1:10" x14ac:dyDescent="0.2">
      <c r="A19707" s="4" t="s">
        <v>1</v>
      </c>
      <c r="B197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07" s="3" t="str">
        <f>HYPERLINK("https://otsuka-europe-crm.veevavault.com/ui/#object/sent_email__v/VBLZ025E82HGMF2", "SE-000285772")</f>
        <v>SE-000285772</v>
      </c>
      <c r="D19707" s="1">
        <v>45941.524756944447</v>
      </c>
      <c r="E19707" s="2">
        <v>1</v>
      </c>
      <c r="F19707" s="2">
        <v>1</v>
      </c>
      <c r="G19707" s="2">
        <v>0</v>
      </c>
      <c r="H19707" s="1" t="s">
        <v>0</v>
      </c>
      <c r="I19707" s="2">
        <v>0</v>
      </c>
      <c r="J19707" s="1">
        <v>45939.650416666664</v>
      </c>
    </row>
    <row r="19708" spans="1:10" x14ac:dyDescent="0.2">
      <c r="A19708" s="4" t="s">
        <v>1</v>
      </c>
      <c r="B197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08" s="3" t="str">
        <f>HYPERLINK("https://otsuka-europe-crm.veevavault.com/ui/#object/sent_email__v/VBLZ025E82HGMF3", "SE-000285773")</f>
        <v>SE-000285773</v>
      </c>
      <c r="D19708" s="1" t="s">
        <v>0</v>
      </c>
      <c r="E19708" s="2">
        <v>0</v>
      </c>
      <c r="F19708" s="2">
        <v>0</v>
      </c>
      <c r="G19708" s="2">
        <v>0</v>
      </c>
      <c r="H19708" s="1" t="s">
        <v>0</v>
      </c>
      <c r="I19708" s="2">
        <v>0</v>
      </c>
      <c r="J19708" s="1">
        <v>45939.65042824074</v>
      </c>
    </row>
    <row r="19709" spans="1:10" x14ac:dyDescent="0.2">
      <c r="A19709" s="4" t="s">
        <v>1</v>
      </c>
      <c r="B197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09" s="3" t="str">
        <f>HYPERLINK("https://otsuka-europe-crm.veevavault.com/ui/#object/sent_email__v/VBLZ025E82HGMF4", "SE-000285774")</f>
        <v>SE-000285774</v>
      </c>
      <c r="D19709" s="1">
        <v>45940.254247685189</v>
      </c>
      <c r="E19709" s="2">
        <v>1</v>
      </c>
      <c r="F19709" s="2">
        <v>6</v>
      </c>
      <c r="G19709" s="2">
        <v>0</v>
      </c>
      <c r="H19709" s="1" t="s">
        <v>0</v>
      </c>
      <c r="I19709" s="2">
        <v>0</v>
      </c>
      <c r="J19709" s="1">
        <v>45939.650439814817</v>
      </c>
    </row>
    <row r="19710" spans="1:10" x14ac:dyDescent="0.2">
      <c r="A19710" s="4" t="s">
        <v>1</v>
      </c>
      <c r="B197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10" s="3" t="str">
        <f>HYPERLINK("https://otsuka-europe-crm.veevavault.com/ui/#object/sent_email__v/VBLZ025E82HGMF5", "SE-000285775")</f>
        <v>SE-000285775</v>
      </c>
      <c r="D19710" s="1">
        <v>45940.094699074078</v>
      </c>
      <c r="E19710" s="2">
        <v>1</v>
      </c>
      <c r="F19710" s="2">
        <v>1</v>
      </c>
      <c r="G19710" s="2">
        <v>0</v>
      </c>
      <c r="H19710" s="1" t="s">
        <v>0</v>
      </c>
      <c r="I19710" s="2">
        <v>0</v>
      </c>
      <c r="J19710" s="1">
        <v>45939.650439814817</v>
      </c>
    </row>
    <row r="19711" spans="1:10" x14ac:dyDescent="0.2">
      <c r="A19711" s="4" t="s">
        <v>1</v>
      </c>
      <c r="B197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11" s="3" t="str">
        <f>HYPERLINK("https://otsuka-europe-crm.veevavault.com/ui/#object/sent_email__v/VBLZ025E82HGMF6", "SE-000285776")</f>
        <v>SE-000285776</v>
      </c>
      <c r="D19711" s="1" t="s">
        <v>0</v>
      </c>
      <c r="E19711" s="2">
        <v>0</v>
      </c>
      <c r="F19711" s="2">
        <v>0</v>
      </c>
      <c r="G19711" s="2">
        <v>0</v>
      </c>
      <c r="H19711" s="1" t="s">
        <v>0</v>
      </c>
      <c r="I19711" s="2">
        <v>0</v>
      </c>
      <c r="J19711" s="1">
        <v>45939.650451388887</v>
      </c>
    </row>
    <row r="19712" spans="1:10" x14ac:dyDescent="0.2">
      <c r="A19712" s="4" t="s">
        <v>1</v>
      </c>
      <c r="B197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12" s="3" t="str">
        <f>HYPERLINK("https://otsuka-europe-crm.veevavault.com/ui/#object/sent_email__v/VBLZ025E82HGMF7", "SE-000285777")</f>
        <v>SE-000285777</v>
      </c>
      <c r="D19712" s="1" t="s">
        <v>0</v>
      </c>
      <c r="E19712" s="2">
        <v>0</v>
      </c>
      <c r="F19712" s="2">
        <v>0</v>
      </c>
      <c r="G19712" s="2">
        <v>0</v>
      </c>
      <c r="H19712" s="1" t="s">
        <v>0</v>
      </c>
      <c r="I19712" s="2">
        <v>0</v>
      </c>
      <c r="J19712" s="1">
        <v>45939.650462962964</v>
      </c>
    </row>
    <row r="19713" spans="1:10" x14ac:dyDescent="0.2">
      <c r="A19713" s="4" t="s">
        <v>1</v>
      </c>
      <c r="B197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13" s="3" t="str">
        <f>HYPERLINK("https://otsuka-europe-crm.veevavault.com/ui/#object/sent_email__v/VBLZ025E82HGMF8", "SE-000285778")</f>
        <v>SE-000285778</v>
      </c>
      <c r="D19713" s="1">
        <v>45939.877696759257</v>
      </c>
      <c r="E19713" s="2">
        <v>1</v>
      </c>
      <c r="F19713" s="2">
        <v>1</v>
      </c>
      <c r="G19713" s="2">
        <v>0</v>
      </c>
      <c r="H19713" s="1" t="s">
        <v>0</v>
      </c>
      <c r="I19713" s="2">
        <v>0</v>
      </c>
      <c r="J19713" s="1">
        <v>45939.65047453704</v>
      </c>
    </row>
    <row r="19714" spans="1:10" x14ac:dyDescent="0.2">
      <c r="A19714" s="4" t="s">
        <v>1</v>
      </c>
      <c r="B197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14" s="3" t="str">
        <f>HYPERLINK("https://otsuka-europe-crm.veevavault.com/ui/#object/sent_email__v/VBLZ025E82HGMF9", "SE-000285779")</f>
        <v>SE-000285779</v>
      </c>
      <c r="D19714" s="1" t="s">
        <v>0</v>
      </c>
      <c r="E19714" s="2">
        <v>0</v>
      </c>
      <c r="F19714" s="2">
        <v>0</v>
      </c>
      <c r="G19714" s="2">
        <v>0</v>
      </c>
      <c r="H19714" s="1" t="s">
        <v>0</v>
      </c>
      <c r="I19714" s="2">
        <v>0</v>
      </c>
      <c r="J19714" s="1">
        <v>45939.65048611111</v>
      </c>
    </row>
    <row r="19715" spans="1:10" x14ac:dyDescent="0.2">
      <c r="A19715" s="4" t="s">
        <v>1</v>
      </c>
      <c r="B197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15" s="3" t="str">
        <f>HYPERLINK("https://otsuka-europe-crm.veevavault.com/ui/#object/sent_email__v/VBLZ025E82HGMFA", "SE-000285780")</f>
        <v>SE-000285780</v>
      </c>
      <c r="D19715" s="1" t="s">
        <v>0</v>
      </c>
      <c r="E19715" s="2">
        <v>0</v>
      </c>
      <c r="F19715" s="2">
        <v>0</v>
      </c>
      <c r="G19715" s="2">
        <v>0</v>
      </c>
      <c r="H19715" s="1" t="s">
        <v>0</v>
      </c>
      <c r="I19715" s="2">
        <v>0</v>
      </c>
      <c r="J19715" s="1">
        <v>45939.650497685187</v>
      </c>
    </row>
    <row r="19716" spans="1:10" x14ac:dyDescent="0.2">
      <c r="A19716" s="4" t="s">
        <v>1</v>
      </c>
      <c r="B197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16" s="3" t="str">
        <f>HYPERLINK("https://otsuka-europe-crm.veevavault.com/ui/#object/sent_email__v/VBLZ025E82HGMFB", "SE-000285781")</f>
        <v>SE-000285781</v>
      </c>
      <c r="D19716" s="1">
        <v>45939.65347222222</v>
      </c>
      <c r="E19716" s="2">
        <v>1</v>
      </c>
      <c r="F19716" s="2">
        <v>2</v>
      </c>
      <c r="G19716" s="2">
        <v>0</v>
      </c>
      <c r="H19716" s="1" t="s">
        <v>0</v>
      </c>
      <c r="I19716" s="2">
        <v>0</v>
      </c>
      <c r="J19716" s="1">
        <v>45939.650497685187</v>
      </c>
    </row>
    <row r="19717" spans="1:10" x14ac:dyDescent="0.2">
      <c r="A19717" s="4" t="s">
        <v>1</v>
      </c>
      <c r="B197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17" s="3" t="str">
        <f>HYPERLINK("https://otsuka-europe-crm.veevavault.com/ui/#object/sent_email__v/VBLZ025E82HGMFC", "SE-000285782")</f>
        <v>SE-000285782</v>
      </c>
      <c r="D19717" s="1">
        <v>45939.65766203704</v>
      </c>
      <c r="E19717" s="2">
        <v>1</v>
      </c>
      <c r="F19717" s="2">
        <v>1</v>
      </c>
      <c r="G19717" s="2">
        <v>0</v>
      </c>
      <c r="H19717" s="1" t="s">
        <v>0</v>
      </c>
      <c r="I19717" s="2">
        <v>0</v>
      </c>
      <c r="J19717" s="1">
        <v>45939.650509259256</v>
      </c>
    </row>
    <row r="19718" spans="1:10" x14ac:dyDescent="0.2">
      <c r="A19718" s="4" t="s">
        <v>1</v>
      </c>
      <c r="B197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18" s="3" t="str">
        <f>HYPERLINK("https://otsuka-europe-crm.veevavault.com/ui/#object/sent_email__v/VBLZ025E82HGMFD", "SE-000285783")</f>
        <v>SE-000285783</v>
      </c>
      <c r="D19718" s="1" t="s">
        <v>0</v>
      </c>
      <c r="E19718" s="2">
        <v>0</v>
      </c>
      <c r="F19718" s="2">
        <v>0</v>
      </c>
      <c r="G19718" s="2">
        <v>0</v>
      </c>
      <c r="H19718" s="1" t="s">
        <v>0</v>
      </c>
      <c r="I19718" s="2">
        <v>0</v>
      </c>
      <c r="J19718" s="1">
        <v>45939.650520833333</v>
      </c>
    </row>
    <row r="19719" spans="1:10" x14ac:dyDescent="0.2">
      <c r="A19719" s="4" t="s">
        <v>1</v>
      </c>
      <c r="B197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19" s="3" t="str">
        <f>HYPERLINK("https://otsuka-europe-crm.veevavault.com/ui/#object/sent_email__v/VBLZ025E82HGMFE", "SE-000285784")</f>
        <v>SE-000285784</v>
      </c>
      <c r="D19719" s="1">
        <v>45964.842870370368</v>
      </c>
      <c r="E19719" s="2">
        <v>1</v>
      </c>
      <c r="F19719" s="2">
        <v>2</v>
      </c>
      <c r="G19719" s="2">
        <v>0</v>
      </c>
      <c r="H19719" s="1" t="s">
        <v>0</v>
      </c>
      <c r="I19719" s="2">
        <v>0</v>
      </c>
      <c r="J19719" s="1">
        <v>45939.65053240741</v>
      </c>
    </row>
    <row r="19720" spans="1:10" x14ac:dyDescent="0.2">
      <c r="A19720" s="4" t="s">
        <v>1</v>
      </c>
      <c r="B197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20" s="3" t="str">
        <f>HYPERLINK("https://otsuka-europe-crm.veevavault.com/ui/#object/sent_email__v/VBLZ025E82HGMFF", "SE-000285785")</f>
        <v>SE-000285785</v>
      </c>
      <c r="D19720" s="1" t="s">
        <v>0</v>
      </c>
      <c r="E19720" s="2">
        <v>0</v>
      </c>
      <c r="F19720" s="2">
        <v>0</v>
      </c>
      <c r="G19720" s="2">
        <v>0</v>
      </c>
      <c r="H19720" s="1" t="s">
        <v>0</v>
      </c>
      <c r="I19720" s="2">
        <v>0</v>
      </c>
      <c r="J19720" s="1">
        <v>45939.650555555556</v>
      </c>
    </row>
    <row r="19721" spans="1:10" x14ac:dyDescent="0.2">
      <c r="A19721" s="4" t="s">
        <v>1</v>
      </c>
      <c r="B197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21" s="3" t="str">
        <f>HYPERLINK("https://otsuka-europe-crm.veevavault.com/ui/#object/sent_email__v/VBLZ025E82HGMFG", "SE-000285786")</f>
        <v>SE-000285786</v>
      </c>
      <c r="D19721" s="1" t="s">
        <v>0</v>
      </c>
      <c r="E19721" s="2">
        <v>0</v>
      </c>
      <c r="F19721" s="2">
        <v>0</v>
      </c>
      <c r="G19721" s="2">
        <v>0</v>
      </c>
      <c r="H19721" s="1" t="s">
        <v>0</v>
      </c>
      <c r="I19721" s="2">
        <v>0</v>
      </c>
      <c r="J19721" s="1">
        <v>45939.650567129633</v>
      </c>
    </row>
    <row r="19722" spans="1:10" x14ac:dyDescent="0.2">
      <c r="A19722" s="4" t="s">
        <v>1</v>
      </c>
      <c r="B197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22" s="3" t="str">
        <f>HYPERLINK("https://otsuka-europe-crm.veevavault.com/ui/#object/sent_email__v/VBLZ025E82HGMFH", "SE-000285787")</f>
        <v>SE-000285787</v>
      </c>
      <c r="D19722" s="1" t="s">
        <v>0</v>
      </c>
      <c r="E19722" s="2">
        <v>0</v>
      </c>
      <c r="F19722" s="2">
        <v>0</v>
      </c>
      <c r="G19722" s="2">
        <v>0</v>
      </c>
      <c r="H19722" s="1" t="s">
        <v>0</v>
      </c>
      <c r="I19722" s="2">
        <v>0</v>
      </c>
      <c r="J19722" s="1">
        <v>45939.650567129633</v>
      </c>
    </row>
    <row r="19723" spans="1:10" x14ac:dyDescent="0.2">
      <c r="A19723" s="4" t="s">
        <v>1</v>
      </c>
      <c r="B197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23" s="3" t="str">
        <f>HYPERLINK("https://otsuka-europe-crm.veevavault.com/ui/#object/sent_email__v/VBLZ025E82HGMFI", "SE-000285788")</f>
        <v>SE-000285788</v>
      </c>
      <c r="D19723" s="1" t="s">
        <v>0</v>
      </c>
      <c r="E19723" s="2">
        <v>0</v>
      </c>
      <c r="F19723" s="2">
        <v>0</v>
      </c>
      <c r="G19723" s="2">
        <v>0</v>
      </c>
      <c r="H19723" s="1" t="s">
        <v>0</v>
      </c>
      <c r="I19723" s="2">
        <v>0</v>
      </c>
      <c r="J19723" s="1">
        <v>45939.650578703702</v>
      </c>
    </row>
    <row r="19724" spans="1:10" x14ac:dyDescent="0.2">
      <c r="A19724" s="4" t="s">
        <v>1</v>
      </c>
      <c r="B197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24" s="3" t="str">
        <f>HYPERLINK("https://otsuka-europe-crm.veevavault.com/ui/#object/sent_email__v/VBLZ025E82HGMFJ", "SE-000285789")</f>
        <v>SE-000285789</v>
      </c>
      <c r="D19724" s="1">
        <v>45939.665972222225</v>
      </c>
      <c r="E19724" s="2">
        <v>1</v>
      </c>
      <c r="F19724" s="2">
        <v>2</v>
      </c>
      <c r="G19724" s="2">
        <v>0</v>
      </c>
      <c r="H19724" s="1" t="s">
        <v>0</v>
      </c>
      <c r="I19724" s="2">
        <v>0</v>
      </c>
      <c r="J19724" s="1">
        <v>45939.650590277779</v>
      </c>
    </row>
    <row r="19725" spans="1:10" x14ac:dyDescent="0.2">
      <c r="A19725" s="4" t="s">
        <v>1</v>
      </c>
      <c r="B197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25" s="3" t="str">
        <f>HYPERLINK("https://otsuka-europe-crm.veevavault.com/ui/#object/sent_email__v/VBLZ025E82HGMFK", "SE-000285790")</f>
        <v>SE-000285790</v>
      </c>
      <c r="D19725" s="1" t="s">
        <v>0</v>
      </c>
      <c r="E19725" s="2">
        <v>0</v>
      </c>
      <c r="F19725" s="2">
        <v>0</v>
      </c>
      <c r="G19725" s="2">
        <v>0</v>
      </c>
      <c r="H19725" s="1" t="s">
        <v>0</v>
      </c>
      <c r="I19725" s="2">
        <v>0</v>
      </c>
      <c r="J19725" s="1">
        <v>45939.650590277779</v>
      </c>
    </row>
    <row r="19726" spans="1:10" x14ac:dyDescent="0.2">
      <c r="A19726" s="4" t="s">
        <v>1</v>
      </c>
      <c r="B197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26" s="3" t="str">
        <f>HYPERLINK("https://otsuka-europe-crm.veevavault.com/ui/#object/sent_email__v/VBLZ025E82HGMFL", "SE-000285791")</f>
        <v>SE-000285791</v>
      </c>
      <c r="D19726" s="1" t="s">
        <v>0</v>
      </c>
      <c r="E19726" s="2">
        <v>0</v>
      </c>
      <c r="F19726" s="2">
        <v>0</v>
      </c>
      <c r="G19726" s="2">
        <v>0</v>
      </c>
      <c r="H19726" s="1" t="s">
        <v>0</v>
      </c>
      <c r="I19726" s="2">
        <v>0</v>
      </c>
      <c r="J19726" s="1">
        <v>45939.650613425925</v>
      </c>
    </row>
    <row r="19727" spans="1:10" x14ac:dyDescent="0.2">
      <c r="A19727" s="4" t="s">
        <v>1</v>
      </c>
      <c r="B197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27" s="3" t="str">
        <f>HYPERLINK("https://otsuka-europe-crm.veevavault.com/ui/#object/sent_email__v/VBLZ025E82HGMFM", "SE-000285792")</f>
        <v>SE-000285792</v>
      </c>
      <c r="D19727" s="1" t="s">
        <v>0</v>
      </c>
      <c r="E19727" s="2">
        <v>0</v>
      </c>
      <c r="F19727" s="2">
        <v>0</v>
      </c>
      <c r="G19727" s="2">
        <v>0</v>
      </c>
      <c r="H19727" s="1" t="s">
        <v>0</v>
      </c>
      <c r="I19727" s="2">
        <v>0</v>
      </c>
      <c r="J19727" s="1">
        <v>45939.650613425925</v>
      </c>
    </row>
    <row r="19728" spans="1:10" x14ac:dyDescent="0.2">
      <c r="A19728" s="4" t="s">
        <v>1</v>
      </c>
      <c r="B197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28" s="3" t="str">
        <f>HYPERLINK("https://otsuka-europe-crm.veevavault.com/ui/#object/sent_email__v/VBLZ025E82HGMFN", "SE-000285793")</f>
        <v>SE-000285793</v>
      </c>
      <c r="D19728" s="1">
        <v>45944.367766203701</v>
      </c>
      <c r="E19728" s="2">
        <v>1</v>
      </c>
      <c r="F19728" s="2">
        <v>1</v>
      </c>
      <c r="G19728" s="2">
        <v>0</v>
      </c>
      <c r="H19728" s="1" t="s">
        <v>0</v>
      </c>
      <c r="I19728" s="2">
        <v>0</v>
      </c>
      <c r="J19728" s="1">
        <v>45939.650625000002</v>
      </c>
    </row>
    <row r="19729" spans="1:10" x14ac:dyDescent="0.2">
      <c r="A19729" s="4" t="s">
        <v>1</v>
      </c>
      <c r="B197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29" s="3" t="str">
        <f>HYPERLINK("https://otsuka-europe-crm.veevavault.com/ui/#object/sent_email__v/VBLZ025E82HGMFO", "SE-000285794")</f>
        <v>SE-000285794</v>
      </c>
      <c r="D19729" s="1">
        <v>45939.741087962961</v>
      </c>
      <c r="E19729" s="2">
        <v>1</v>
      </c>
      <c r="F19729" s="2">
        <v>1</v>
      </c>
      <c r="G19729" s="2">
        <v>0</v>
      </c>
      <c r="H19729" s="1" t="s">
        <v>0</v>
      </c>
      <c r="I19729" s="2">
        <v>0</v>
      </c>
      <c r="J19729" s="1">
        <v>45939.650648148148</v>
      </c>
    </row>
    <row r="19730" spans="1:10" x14ac:dyDescent="0.2">
      <c r="A19730" s="4" t="s">
        <v>1</v>
      </c>
      <c r="B197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30" s="3" t="str">
        <f>HYPERLINK("https://otsuka-europe-crm.veevavault.com/ui/#object/sent_email__v/VBLZ025E82HGMFP", "SE-000285795")</f>
        <v>SE-000285795</v>
      </c>
      <c r="D19730" s="1" t="s">
        <v>0</v>
      </c>
      <c r="E19730" s="2">
        <v>0</v>
      </c>
      <c r="F19730" s="2">
        <v>0</v>
      </c>
      <c r="G19730" s="2">
        <v>0</v>
      </c>
      <c r="H19730" s="1" t="s">
        <v>0</v>
      </c>
      <c r="I19730" s="2">
        <v>0</v>
      </c>
      <c r="J19730" s="1">
        <v>45939.650648148148</v>
      </c>
    </row>
    <row r="19731" spans="1:10" x14ac:dyDescent="0.2">
      <c r="A19731" s="4" t="s">
        <v>1</v>
      </c>
      <c r="B197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31" s="3" t="str">
        <f>HYPERLINK("https://otsuka-europe-crm.veevavault.com/ui/#object/sent_email__v/VBLZ025E82HGMFQ", "SE-000285796")</f>
        <v>SE-000285796</v>
      </c>
      <c r="D19731" s="1" t="s">
        <v>0</v>
      </c>
      <c r="E19731" s="2">
        <v>0</v>
      </c>
      <c r="F19731" s="2">
        <v>0</v>
      </c>
      <c r="G19731" s="2">
        <v>0</v>
      </c>
      <c r="H19731" s="1" t="s">
        <v>0</v>
      </c>
      <c r="I19731" s="2">
        <v>0</v>
      </c>
      <c r="J19731" s="1">
        <v>45939.650671296295</v>
      </c>
    </row>
    <row r="19732" spans="1:10" x14ac:dyDescent="0.2">
      <c r="A19732" s="4" t="s">
        <v>1</v>
      </c>
      <c r="B197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32" s="3" t="str">
        <f>HYPERLINK("https://otsuka-europe-crm.veevavault.com/ui/#object/sent_email__v/VBLZ025E82HGMFR", "SE-000285797")</f>
        <v>SE-000285797</v>
      </c>
      <c r="D19732" s="1" t="s">
        <v>0</v>
      </c>
      <c r="E19732" s="2">
        <v>0</v>
      </c>
      <c r="F19732" s="2">
        <v>0</v>
      </c>
      <c r="G19732" s="2">
        <v>0</v>
      </c>
      <c r="H19732" s="1" t="s">
        <v>0</v>
      </c>
      <c r="I19732" s="2">
        <v>0</v>
      </c>
      <c r="J19732" s="1">
        <v>45939.650671296295</v>
      </c>
    </row>
    <row r="19733" spans="1:10" x14ac:dyDescent="0.2">
      <c r="A19733" s="4" t="s">
        <v>1</v>
      </c>
      <c r="B197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33" s="3" t="str">
        <f>HYPERLINK("https://otsuka-europe-crm.veevavault.com/ui/#object/sent_email__v/VBLZ025E82HGMFS", "SE-000285798")</f>
        <v>SE-000285798</v>
      </c>
      <c r="D19733" s="1" t="s">
        <v>0</v>
      </c>
      <c r="E19733" s="2">
        <v>0</v>
      </c>
      <c r="F19733" s="2">
        <v>0</v>
      </c>
      <c r="G19733" s="2">
        <v>0</v>
      </c>
      <c r="H19733" s="1" t="s">
        <v>0</v>
      </c>
      <c r="I19733" s="2">
        <v>0</v>
      </c>
      <c r="J19733" s="1">
        <v>45939.650682870371</v>
      </c>
    </row>
    <row r="19734" spans="1:10" x14ac:dyDescent="0.2">
      <c r="A19734" s="4" t="s">
        <v>1</v>
      </c>
      <c r="B197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34" s="3" t="str">
        <f>HYPERLINK("https://otsuka-europe-crm.veevavault.com/ui/#object/sent_email__v/VBLZ025E82HGMFT", "SE-000285799")</f>
        <v>SE-000285799</v>
      </c>
      <c r="D19734" s="1" t="s">
        <v>0</v>
      </c>
      <c r="E19734" s="2">
        <v>0</v>
      </c>
      <c r="F19734" s="2">
        <v>0</v>
      </c>
      <c r="G19734" s="2">
        <v>0</v>
      </c>
      <c r="H19734" s="1" t="s">
        <v>0</v>
      </c>
      <c r="I19734" s="2">
        <v>0</v>
      </c>
      <c r="J19734" s="1">
        <v>45939.650694444441</v>
      </c>
    </row>
    <row r="19735" spans="1:10" x14ac:dyDescent="0.2">
      <c r="A19735" s="4" t="s">
        <v>1</v>
      </c>
      <c r="B197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35" s="3" t="str">
        <f>HYPERLINK("https://otsuka-europe-crm.veevavault.com/ui/#object/sent_email__v/VBLZ025E82HGMFU", "SE-000285800")</f>
        <v>SE-000285800</v>
      </c>
      <c r="D19735" s="1">
        <v>45939.852638888886</v>
      </c>
      <c r="E19735" s="2">
        <v>1</v>
      </c>
      <c r="F19735" s="2">
        <v>1</v>
      </c>
      <c r="G19735" s="2">
        <v>1</v>
      </c>
      <c r="H19735" s="1">
        <v>45939.852893518517</v>
      </c>
      <c r="I19735" s="2">
        <v>1</v>
      </c>
      <c r="J19735" s="1">
        <v>45939.650706018518</v>
      </c>
    </row>
    <row r="19736" spans="1:10" x14ac:dyDescent="0.2">
      <c r="A19736" s="4" t="s">
        <v>1</v>
      </c>
      <c r="B197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36" s="3" t="str">
        <f>HYPERLINK("https://otsuka-europe-crm.veevavault.com/ui/#object/sent_email__v/VBLZ025E82HGMFV", "SE-000285801")</f>
        <v>SE-000285801</v>
      </c>
      <c r="D19736" s="1" t="s">
        <v>0</v>
      </c>
      <c r="E19736" s="2">
        <v>0</v>
      </c>
      <c r="F19736" s="2">
        <v>0</v>
      </c>
      <c r="G19736" s="2">
        <v>0</v>
      </c>
      <c r="H19736" s="1" t="s">
        <v>0</v>
      </c>
      <c r="I19736" s="2">
        <v>0</v>
      </c>
      <c r="J19736" s="1">
        <v>45939.650706018518</v>
      </c>
    </row>
    <row r="19737" spans="1:10" x14ac:dyDescent="0.2">
      <c r="A19737" s="4" t="s">
        <v>1</v>
      </c>
      <c r="B197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37" s="3" t="str">
        <f>HYPERLINK("https://otsuka-europe-crm.veevavault.com/ui/#object/sent_email__v/VBLZ025E82HGMFW", "SE-000285802")</f>
        <v>SE-000285802</v>
      </c>
      <c r="D19737" s="1" t="s">
        <v>0</v>
      </c>
      <c r="E19737" s="2">
        <v>0</v>
      </c>
      <c r="F19737" s="2">
        <v>0</v>
      </c>
      <c r="G19737" s="2">
        <v>0</v>
      </c>
      <c r="H19737" s="1" t="s">
        <v>0</v>
      </c>
      <c r="I19737" s="2">
        <v>0</v>
      </c>
      <c r="J19737" s="1">
        <v>45939.650717592594</v>
      </c>
    </row>
    <row r="19738" spans="1:10" x14ac:dyDescent="0.2">
      <c r="A19738" s="4" t="s">
        <v>1</v>
      </c>
      <c r="B197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38" s="3" t="str">
        <f>HYPERLINK("https://otsuka-europe-crm.veevavault.com/ui/#object/sent_email__v/VBLZ025E82HGMFX", "SE-000285803")</f>
        <v>SE-000285803</v>
      </c>
      <c r="D19738" s="1" t="s">
        <v>0</v>
      </c>
      <c r="E19738" s="2">
        <v>0</v>
      </c>
      <c r="F19738" s="2">
        <v>0</v>
      </c>
      <c r="G19738" s="2">
        <v>0</v>
      </c>
      <c r="H19738" s="1" t="s">
        <v>0</v>
      </c>
      <c r="I19738" s="2">
        <v>0</v>
      </c>
      <c r="J19738" s="1">
        <v>45939.650740740741</v>
      </c>
    </row>
    <row r="19739" spans="1:10" x14ac:dyDescent="0.2">
      <c r="A19739" s="4" t="s">
        <v>1</v>
      </c>
      <c r="B197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39" s="3" t="str">
        <f>HYPERLINK("https://otsuka-europe-crm.veevavault.com/ui/#object/sent_email__v/VBLZ025E82HGMFY", "SE-000285804")</f>
        <v>SE-000285804</v>
      </c>
      <c r="D19739" s="1">
        <v>45940.052141203705</v>
      </c>
      <c r="E19739" s="2">
        <v>1</v>
      </c>
      <c r="F19739" s="2">
        <v>1</v>
      </c>
      <c r="G19739" s="2">
        <v>0</v>
      </c>
      <c r="H19739" s="1" t="s">
        <v>0</v>
      </c>
      <c r="I19739" s="2">
        <v>0</v>
      </c>
      <c r="J19739" s="1">
        <v>45939.650729166664</v>
      </c>
    </row>
    <row r="19740" spans="1:10" x14ac:dyDescent="0.2">
      <c r="A19740" s="4" t="s">
        <v>1</v>
      </c>
      <c r="B197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40" s="3" t="str">
        <f>HYPERLINK("https://otsuka-europe-crm.veevavault.com/ui/#object/sent_email__v/VBLZ025E82HGMFZ", "SE-000285805")</f>
        <v>SE-000285805</v>
      </c>
      <c r="D19740" s="1">
        <v>45939.703564814816</v>
      </c>
      <c r="E19740" s="2">
        <v>1</v>
      </c>
      <c r="F19740" s="2">
        <v>1</v>
      </c>
      <c r="G19740" s="2">
        <v>0</v>
      </c>
      <c r="H19740" s="1" t="s">
        <v>0</v>
      </c>
      <c r="I19740" s="2">
        <v>0</v>
      </c>
      <c r="J19740" s="1">
        <v>45939.650752314818</v>
      </c>
    </row>
    <row r="19741" spans="1:10" x14ac:dyDescent="0.2">
      <c r="A19741" s="4" t="s">
        <v>1</v>
      </c>
      <c r="B197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41" s="3" t="str">
        <f>HYPERLINK("https://otsuka-europe-crm.veevavault.com/ui/#object/sent_email__v/VBLZ025E82HGMG0", "SE-000285806")</f>
        <v>SE-000285806</v>
      </c>
      <c r="D19741" s="1" t="s">
        <v>0</v>
      </c>
      <c r="E19741" s="2">
        <v>0</v>
      </c>
      <c r="F19741" s="2">
        <v>0</v>
      </c>
      <c r="G19741" s="2">
        <v>0</v>
      </c>
      <c r="H19741" s="1" t="s">
        <v>0</v>
      </c>
      <c r="I19741" s="2">
        <v>0</v>
      </c>
      <c r="J19741" s="1">
        <v>45939.650752314818</v>
      </c>
    </row>
    <row r="19742" spans="1:10" x14ac:dyDescent="0.2">
      <c r="A19742" s="4" t="s">
        <v>1</v>
      </c>
      <c r="B197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42" s="3" t="str">
        <f>HYPERLINK("https://otsuka-europe-crm.veevavault.com/ui/#object/sent_email__v/VBLZ025E82HGMG1", "SE-000285807")</f>
        <v>SE-000285807</v>
      </c>
      <c r="D19742" s="1" t="s">
        <v>0</v>
      </c>
      <c r="E19742" s="2">
        <v>0</v>
      </c>
      <c r="F19742" s="2">
        <v>0</v>
      </c>
      <c r="G19742" s="2">
        <v>0</v>
      </c>
      <c r="H19742" s="1" t="s">
        <v>0</v>
      </c>
      <c r="I19742" s="2">
        <v>0</v>
      </c>
      <c r="J19742" s="1">
        <v>45939.650763888887</v>
      </c>
    </row>
    <row r="19743" spans="1:10" x14ac:dyDescent="0.2">
      <c r="A19743" s="4" t="s">
        <v>1</v>
      </c>
      <c r="B197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43" s="3" t="str">
        <f>HYPERLINK("https://otsuka-europe-crm.veevavault.com/ui/#object/sent_email__v/VBLZ025E82HGMG2", "SE-000285808")</f>
        <v>SE-000285808</v>
      </c>
      <c r="D19743" s="1" t="s">
        <v>0</v>
      </c>
      <c r="E19743" s="2">
        <v>0</v>
      </c>
      <c r="F19743" s="2">
        <v>0</v>
      </c>
      <c r="G19743" s="2">
        <v>0</v>
      </c>
      <c r="H19743" s="1" t="s">
        <v>0</v>
      </c>
      <c r="I19743" s="2">
        <v>0</v>
      </c>
      <c r="J19743" s="1">
        <v>45939.650775462964</v>
      </c>
    </row>
    <row r="19744" spans="1:10" x14ac:dyDescent="0.2">
      <c r="A19744" s="4" t="s">
        <v>1</v>
      </c>
      <c r="B197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44" s="3" t="str">
        <f>HYPERLINK("https://otsuka-europe-crm.veevavault.com/ui/#object/sent_email__v/VBLZ025E82HGMG3", "SE-000285809")</f>
        <v>SE-000285809</v>
      </c>
      <c r="D19744" s="1" t="s">
        <v>0</v>
      </c>
      <c r="E19744" s="2">
        <v>0</v>
      </c>
      <c r="F19744" s="2">
        <v>0</v>
      </c>
      <c r="G19744" s="2">
        <v>0</v>
      </c>
      <c r="H19744" s="1" t="s">
        <v>0</v>
      </c>
      <c r="I19744" s="2">
        <v>0</v>
      </c>
      <c r="J19744" s="1">
        <v>45939.650787037041</v>
      </c>
    </row>
    <row r="19745" spans="1:10" x14ac:dyDescent="0.2">
      <c r="A19745" s="4" t="s">
        <v>1</v>
      </c>
      <c r="B197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45" s="3" t="str">
        <f>HYPERLINK("https://otsuka-europe-crm.veevavault.com/ui/#object/sent_email__v/VBLZ025E82HGMG4", "SE-000285810")</f>
        <v>SE-000285810</v>
      </c>
      <c r="D19745" s="1" t="s">
        <v>0</v>
      </c>
      <c r="E19745" s="2">
        <v>0</v>
      </c>
      <c r="F19745" s="2">
        <v>0</v>
      </c>
      <c r="G19745" s="2">
        <v>0</v>
      </c>
      <c r="H19745" s="1" t="s">
        <v>0</v>
      </c>
      <c r="I19745" s="2">
        <v>0</v>
      </c>
      <c r="J19745" s="1">
        <v>45939.65079861111</v>
      </c>
    </row>
    <row r="19746" spans="1:10" x14ac:dyDescent="0.2">
      <c r="A19746" s="4" t="s">
        <v>1</v>
      </c>
      <c r="B197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46" s="3" t="str">
        <f>HYPERLINK("https://otsuka-europe-crm.veevavault.com/ui/#object/sent_email__v/VBLZ025E82HGMG5", "SE-000285811")</f>
        <v>SE-000285811</v>
      </c>
      <c r="D19746" s="1" t="s">
        <v>0</v>
      </c>
      <c r="E19746" s="2">
        <v>0</v>
      </c>
      <c r="F19746" s="2">
        <v>0</v>
      </c>
      <c r="G19746" s="2">
        <v>0</v>
      </c>
      <c r="H19746" s="1" t="s">
        <v>0</v>
      </c>
      <c r="I19746" s="2">
        <v>0</v>
      </c>
      <c r="J19746" s="1">
        <v>45939.650810185187</v>
      </c>
    </row>
    <row r="19747" spans="1:10" x14ac:dyDescent="0.2">
      <c r="A19747" s="4" t="s">
        <v>1</v>
      </c>
      <c r="B197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47" s="3" t="str">
        <f>HYPERLINK("https://otsuka-europe-crm.veevavault.com/ui/#object/sent_email__v/VBLZ025E82HGMG6", "SE-000285812")</f>
        <v>SE-000285812</v>
      </c>
      <c r="D19747" s="1">
        <v>45939.67564814815</v>
      </c>
      <c r="E19747" s="2">
        <v>1</v>
      </c>
      <c r="F19747" s="2">
        <v>2</v>
      </c>
      <c r="G19747" s="2">
        <v>0</v>
      </c>
      <c r="H19747" s="1" t="s">
        <v>0</v>
      </c>
      <c r="I19747" s="2">
        <v>0</v>
      </c>
      <c r="J19747" s="1">
        <v>45939.650821759256</v>
      </c>
    </row>
    <row r="19748" spans="1:10" x14ac:dyDescent="0.2">
      <c r="A19748" s="4" t="s">
        <v>1</v>
      </c>
      <c r="B197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48" s="3" t="str">
        <f>HYPERLINK("https://otsuka-europe-crm.veevavault.com/ui/#object/sent_email__v/VBLZ025E82HGMG7", "SE-000285813")</f>
        <v>SE-000285813</v>
      </c>
      <c r="D19748" s="1" t="s">
        <v>0</v>
      </c>
      <c r="E19748" s="2">
        <v>0</v>
      </c>
      <c r="F19748" s="2">
        <v>0</v>
      </c>
      <c r="G19748" s="2">
        <v>0</v>
      </c>
      <c r="H19748" s="1" t="s">
        <v>0</v>
      </c>
      <c r="I19748" s="2">
        <v>0</v>
      </c>
      <c r="J19748" s="1">
        <v>45939.650833333333</v>
      </c>
    </row>
    <row r="19749" spans="1:10" x14ac:dyDescent="0.2">
      <c r="A19749" s="4" t="s">
        <v>1</v>
      </c>
      <c r="B197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49" s="3" t="str">
        <f>HYPERLINK("https://otsuka-europe-crm.veevavault.com/ui/#object/sent_email__v/VBLZ025E82HGMG8", "SE-000285814")</f>
        <v>SE-000285814</v>
      </c>
      <c r="D19749" s="1">
        <v>45939.956412037034</v>
      </c>
      <c r="E19749" s="2">
        <v>1</v>
      </c>
      <c r="F19749" s="2">
        <v>1</v>
      </c>
      <c r="G19749" s="2">
        <v>0</v>
      </c>
      <c r="H19749" s="1" t="s">
        <v>0</v>
      </c>
      <c r="I19749" s="2">
        <v>0</v>
      </c>
      <c r="J19749" s="1">
        <v>45939.650833333333</v>
      </c>
    </row>
    <row r="19750" spans="1:10" x14ac:dyDescent="0.2">
      <c r="A19750" s="4" t="s">
        <v>1</v>
      </c>
      <c r="B197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50" s="3" t="str">
        <f>HYPERLINK("https://otsuka-europe-crm.veevavault.com/ui/#object/sent_email__v/VBLZ025E82HGMG9", "SE-000285815")</f>
        <v>SE-000285815</v>
      </c>
      <c r="D19750" s="1" t="s">
        <v>0</v>
      </c>
      <c r="E19750" s="2">
        <v>0</v>
      </c>
      <c r="F19750" s="2">
        <v>0</v>
      </c>
      <c r="G19750" s="2">
        <v>0</v>
      </c>
      <c r="H19750" s="1" t="s">
        <v>0</v>
      </c>
      <c r="I19750" s="2">
        <v>0</v>
      </c>
      <c r="J19750" s="1">
        <v>45939.65084490741</v>
      </c>
    </row>
    <row r="19751" spans="1:10" x14ac:dyDescent="0.2">
      <c r="A19751" s="4" t="s">
        <v>1</v>
      </c>
      <c r="B197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51" s="3" t="str">
        <f>HYPERLINK("https://otsuka-europe-crm.veevavault.com/ui/#object/sent_email__v/VBLZ025E82HGMGA", "SE-000285816")</f>
        <v>SE-000285816</v>
      </c>
      <c r="D19751" s="1" t="s">
        <v>0</v>
      </c>
      <c r="E19751" s="2">
        <v>0</v>
      </c>
      <c r="F19751" s="2">
        <v>0</v>
      </c>
      <c r="G19751" s="2">
        <v>0</v>
      </c>
      <c r="H19751" s="1" t="s">
        <v>0</v>
      </c>
      <c r="I19751" s="2">
        <v>0</v>
      </c>
      <c r="J19751" s="1">
        <v>45939.650856481479</v>
      </c>
    </row>
    <row r="19752" spans="1:10" x14ac:dyDescent="0.2">
      <c r="A19752" s="4" t="s">
        <v>1</v>
      </c>
      <c r="B197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52" s="3" t="str">
        <f>HYPERLINK("https://otsuka-europe-crm.veevavault.com/ui/#object/sent_email__v/VBLZ025E82HGMGB", "SE-000285817")</f>
        <v>SE-000285817</v>
      </c>
      <c r="D19752" s="1">
        <v>45939.714618055557</v>
      </c>
      <c r="E19752" s="2">
        <v>1</v>
      </c>
      <c r="F19752" s="2">
        <v>2</v>
      </c>
      <c r="G19752" s="2">
        <v>0</v>
      </c>
      <c r="H19752" s="1" t="s">
        <v>0</v>
      </c>
      <c r="I19752" s="2">
        <v>0</v>
      </c>
      <c r="J19752" s="1">
        <v>45939.650868055556</v>
      </c>
    </row>
    <row r="19753" spans="1:10" x14ac:dyDescent="0.2">
      <c r="A19753" s="4" t="s">
        <v>1</v>
      </c>
      <c r="B197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53" s="3" t="str">
        <f>HYPERLINK("https://otsuka-europe-crm.veevavault.com/ui/#object/sent_email__v/VBLZ025E82HGMGC", "SE-000285818")</f>
        <v>SE-000285818</v>
      </c>
      <c r="D19753" s="1" t="s">
        <v>0</v>
      </c>
      <c r="E19753" s="2">
        <v>0</v>
      </c>
      <c r="F19753" s="2">
        <v>0</v>
      </c>
      <c r="G19753" s="2">
        <v>0</v>
      </c>
      <c r="H19753" s="1" t="s">
        <v>0</v>
      </c>
      <c r="I19753" s="2">
        <v>0</v>
      </c>
      <c r="J19753" s="1">
        <v>45939.650879629633</v>
      </c>
    </row>
    <row r="19754" spans="1:10" x14ac:dyDescent="0.2">
      <c r="A19754" s="4" t="s">
        <v>1</v>
      </c>
      <c r="B197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54" s="3" t="str">
        <f>HYPERLINK("https://otsuka-europe-crm.veevavault.com/ui/#object/sent_email__v/VBLZ025E82HGMGD", "SE-000285819")</f>
        <v>SE-000285819</v>
      </c>
      <c r="D19754" s="1" t="s">
        <v>0</v>
      </c>
      <c r="E19754" s="2">
        <v>0</v>
      </c>
      <c r="F19754" s="2">
        <v>0</v>
      </c>
      <c r="G19754" s="2">
        <v>0</v>
      </c>
      <c r="H19754" s="1" t="s">
        <v>0</v>
      </c>
      <c r="I19754" s="2">
        <v>0</v>
      </c>
      <c r="J19754" s="1">
        <v>45939.650891203702</v>
      </c>
    </row>
    <row r="19755" spans="1:10" x14ac:dyDescent="0.2">
      <c r="A19755" s="4" t="s">
        <v>1</v>
      </c>
      <c r="B197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55" s="3" t="str">
        <f>HYPERLINK("https://otsuka-europe-crm.veevavault.com/ui/#object/sent_email__v/VBLZ025E82HGMGE", "SE-000285820")</f>
        <v>SE-000285820</v>
      </c>
      <c r="D19755" s="1" t="s">
        <v>0</v>
      </c>
      <c r="E19755" s="2">
        <v>0</v>
      </c>
      <c r="F19755" s="2">
        <v>0</v>
      </c>
      <c r="G19755" s="2">
        <v>0</v>
      </c>
      <c r="H19755" s="1" t="s">
        <v>0</v>
      </c>
      <c r="I19755" s="2">
        <v>0</v>
      </c>
      <c r="J19755" s="1">
        <v>45939.650891203702</v>
      </c>
    </row>
    <row r="19756" spans="1:10" x14ac:dyDescent="0.2">
      <c r="A19756" s="4" t="s">
        <v>1</v>
      </c>
      <c r="B197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56" s="3" t="str">
        <f>HYPERLINK("https://otsuka-europe-crm.veevavault.com/ui/#object/sent_email__v/VBLZ025E82HGMGF", "SE-000285821")</f>
        <v>SE-000285821</v>
      </c>
      <c r="D19756" s="1">
        <v>45939.921550925923</v>
      </c>
      <c r="E19756" s="2">
        <v>1</v>
      </c>
      <c r="F19756" s="2">
        <v>1</v>
      </c>
      <c r="G19756" s="2">
        <v>0</v>
      </c>
      <c r="H19756" s="1" t="s">
        <v>0</v>
      </c>
      <c r="I19756" s="2">
        <v>0</v>
      </c>
      <c r="J19756" s="1">
        <v>45939.650902777779</v>
      </c>
    </row>
    <row r="19757" spans="1:10" x14ac:dyDescent="0.2">
      <c r="A19757" s="4" t="s">
        <v>1</v>
      </c>
      <c r="B197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57" s="3" t="str">
        <f>HYPERLINK("https://otsuka-europe-crm.veevavault.com/ui/#object/sent_email__v/VBLZ025E82HGMGG", "SE-000285822")</f>
        <v>SE-000285822</v>
      </c>
      <c r="D19757" s="1" t="s">
        <v>0</v>
      </c>
      <c r="E19757" s="2">
        <v>0</v>
      </c>
      <c r="F19757" s="2">
        <v>0</v>
      </c>
      <c r="G19757" s="2">
        <v>0</v>
      </c>
      <c r="H19757" s="1" t="s">
        <v>0</v>
      </c>
      <c r="I19757" s="2">
        <v>0</v>
      </c>
      <c r="J19757" s="1">
        <v>45939.650914351849</v>
      </c>
    </row>
    <row r="19758" spans="1:10" x14ac:dyDescent="0.2">
      <c r="A19758" s="4" t="s">
        <v>1</v>
      </c>
      <c r="B197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58" s="3" t="str">
        <f>HYPERLINK("https://otsuka-europe-crm.veevavault.com/ui/#object/sent_email__v/VBLZ025E82HGMGH", "SE-000285823")</f>
        <v>SE-000285823</v>
      </c>
      <c r="D19758" s="1" t="s">
        <v>0</v>
      </c>
      <c r="E19758" s="2">
        <v>0</v>
      </c>
      <c r="F19758" s="2">
        <v>0</v>
      </c>
      <c r="G19758" s="2">
        <v>0</v>
      </c>
      <c r="H19758" s="1" t="s">
        <v>0</v>
      </c>
      <c r="I19758" s="2">
        <v>0</v>
      </c>
      <c r="J19758" s="1">
        <v>45939.650925925926</v>
      </c>
    </row>
    <row r="19759" spans="1:10" x14ac:dyDescent="0.2">
      <c r="A19759" s="4" t="s">
        <v>1</v>
      </c>
      <c r="B197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59" s="3" t="str">
        <f>HYPERLINK("https://otsuka-europe-crm.veevavault.com/ui/#object/sent_email__v/VBLZ025E82HGMGI", "SE-000285824")</f>
        <v>SE-000285824</v>
      </c>
      <c r="D19759" s="1" t="s">
        <v>0</v>
      </c>
      <c r="E19759" s="2">
        <v>0</v>
      </c>
      <c r="F19759" s="2">
        <v>0</v>
      </c>
      <c r="G19759" s="2">
        <v>0</v>
      </c>
      <c r="H19759" s="1" t="s">
        <v>0</v>
      </c>
      <c r="I19759" s="2">
        <v>0</v>
      </c>
      <c r="J19759" s="1">
        <v>45939.650937500002</v>
      </c>
    </row>
    <row r="19760" spans="1:10" x14ac:dyDescent="0.2">
      <c r="A19760" s="4" t="s">
        <v>1</v>
      </c>
      <c r="B197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60" s="3" t="str">
        <f>HYPERLINK("https://otsuka-europe-crm.veevavault.com/ui/#object/sent_email__v/VBLZ025E82HGMGJ", "SE-000285825")</f>
        <v>SE-000285825</v>
      </c>
      <c r="D19760" s="1" t="s">
        <v>0</v>
      </c>
      <c r="E19760" s="2">
        <v>0</v>
      </c>
      <c r="F19760" s="2">
        <v>0</v>
      </c>
      <c r="G19760" s="2">
        <v>0</v>
      </c>
      <c r="H19760" s="1" t="s">
        <v>0</v>
      </c>
      <c r="I19760" s="2">
        <v>0</v>
      </c>
      <c r="J19760" s="1">
        <v>45939.650937500002</v>
      </c>
    </row>
    <row r="19761" spans="1:10" x14ac:dyDescent="0.2">
      <c r="A19761" s="4" t="s">
        <v>1</v>
      </c>
      <c r="B197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61" s="3" t="str">
        <f>HYPERLINK("https://otsuka-europe-crm.veevavault.com/ui/#object/sent_email__v/VBLZ025E82HGMGK", "SE-000285826")</f>
        <v>SE-000285826</v>
      </c>
      <c r="D19761" s="1" t="s">
        <v>0</v>
      </c>
      <c r="E19761" s="2">
        <v>0</v>
      </c>
      <c r="F19761" s="2">
        <v>0</v>
      </c>
      <c r="G19761" s="2">
        <v>0</v>
      </c>
      <c r="H19761" s="1" t="s">
        <v>0</v>
      </c>
      <c r="I19761" s="2">
        <v>0</v>
      </c>
      <c r="J19761" s="1">
        <v>45939.650949074072</v>
      </c>
    </row>
    <row r="19762" spans="1:10" x14ac:dyDescent="0.2">
      <c r="A19762" s="4" t="s">
        <v>1</v>
      </c>
      <c r="B197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62" s="3" t="str">
        <f>HYPERLINK("https://otsuka-europe-crm.veevavault.com/ui/#object/sent_email__v/VBLZ025E82HGMGL", "SE-000285827")</f>
        <v>SE-000285827</v>
      </c>
      <c r="D19762" s="1">
        <v>45940.245173611111</v>
      </c>
      <c r="E19762" s="2">
        <v>1</v>
      </c>
      <c r="F19762" s="2">
        <v>1</v>
      </c>
      <c r="G19762" s="2">
        <v>0</v>
      </c>
      <c r="H19762" s="1" t="s">
        <v>0</v>
      </c>
      <c r="I19762" s="2">
        <v>0</v>
      </c>
      <c r="J19762" s="1">
        <v>45939.650960648149</v>
      </c>
    </row>
    <row r="19763" spans="1:10" x14ac:dyDescent="0.2">
      <c r="A19763" s="4" t="s">
        <v>1</v>
      </c>
      <c r="B197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63" s="3" t="str">
        <f>HYPERLINK("https://otsuka-europe-crm.veevavault.com/ui/#object/sent_email__v/VBLZ025E82HGMGM", "SE-000285828")</f>
        <v>SE-000285828</v>
      </c>
      <c r="D19763" s="1">
        <v>45981.684895833336</v>
      </c>
      <c r="E19763" s="2">
        <v>1</v>
      </c>
      <c r="F19763" s="2">
        <v>1</v>
      </c>
      <c r="G19763" s="2">
        <v>0</v>
      </c>
      <c r="H19763" s="1" t="s">
        <v>0</v>
      </c>
      <c r="I19763" s="2">
        <v>0</v>
      </c>
      <c r="J19763" s="1">
        <v>45939.650972222225</v>
      </c>
    </row>
    <row r="19764" spans="1:10" x14ac:dyDescent="0.2">
      <c r="A19764" s="4" t="s">
        <v>1</v>
      </c>
      <c r="B197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64" s="3" t="str">
        <f>HYPERLINK("https://otsuka-europe-crm.veevavault.com/ui/#object/sent_email__v/VBLZ025E82HGMGN", "SE-000285829")</f>
        <v>SE-000285829</v>
      </c>
      <c r="D19764" s="1" t="s">
        <v>0</v>
      </c>
      <c r="E19764" s="2">
        <v>0</v>
      </c>
      <c r="F19764" s="2">
        <v>0</v>
      </c>
      <c r="G19764" s="2">
        <v>0</v>
      </c>
      <c r="H19764" s="1" t="s">
        <v>0</v>
      </c>
      <c r="I19764" s="2">
        <v>0</v>
      </c>
      <c r="J19764" s="1">
        <v>45939.650983796295</v>
      </c>
    </row>
    <row r="19765" spans="1:10" x14ac:dyDescent="0.2">
      <c r="A19765" s="4" t="s">
        <v>1</v>
      </c>
      <c r="B197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65" s="3" t="str">
        <f>HYPERLINK("https://otsuka-europe-crm.veevavault.com/ui/#object/sent_email__v/VBLZ025E82HGMGO", "SE-000285830")</f>
        <v>SE-000285830</v>
      </c>
      <c r="D19765" s="1">
        <v>45939.923935185187</v>
      </c>
      <c r="E19765" s="2">
        <v>1</v>
      </c>
      <c r="F19765" s="2">
        <v>1</v>
      </c>
      <c r="G19765" s="2">
        <v>0</v>
      </c>
      <c r="H19765" s="1" t="s">
        <v>0</v>
      </c>
      <c r="I19765" s="2">
        <v>0</v>
      </c>
      <c r="J19765" s="1">
        <v>45939.650995370372</v>
      </c>
    </row>
    <row r="19766" spans="1:10" x14ac:dyDescent="0.2">
      <c r="A19766" s="4" t="s">
        <v>1</v>
      </c>
      <c r="B197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66" s="3" t="str">
        <f>HYPERLINK("https://otsuka-europe-crm.veevavault.com/ui/#object/sent_email__v/VBLZ025E82HGMGP", "SE-000285831")</f>
        <v>SE-000285831</v>
      </c>
      <c r="D19766" s="1">
        <v>45939.687349537038</v>
      </c>
      <c r="E19766" s="2">
        <v>1</v>
      </c>
      <c r="F19766" s="2">
        <v>1</v>
      </c>
      <c r="G19766" s="2">
        <v>0</v>
      </c>
      <c r="H19766" s="1" t="s">
        <v>0</v>
      </c>
      <c r="I19766" s="2">
        <v>0</v>
      </c>
      <c r="J19766" s="1">
        <v>45939.651006944441</v>
      </c>
    </row>
    <row r="19767" spans="1:10" x14ac:dyDescent="0.2">
      <c r="A19767" s="4" t="s">
        <v>1</v>
      </c>
      <c r="B197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67" s="3" t="str">
        <f>HYPERLINK("https://otsuka-europe-crm.veevavault.com/ui/#object/sent_email__v/VBLZ025E82HGMGQ", "SE-000285832")</f>
        <v>SE-000285832</v>
      </c>
      <c r="D19767" s="1" t="s">
        <v>0</v>
      </c>
      <c r="E19767" s="2">
        <v>0</v>
      </c>
      <c r="F19767" s="2">
        <v>0</v>
      </c>
      <c r="G19767" s="2">
        <v>0</v>
      </c>
      <c r="H19767" s="1" t="s">
        <v>0</v>
      </c>
      <c r="I19767" s="2">
        <v>0</v>
      </c>
      <c r="J19767" s="1">
        <v>45939.651018518518</v>
      </c>
    </row>
    <row r="19768" spans="1:10" x14ac:dyDescent="0.2">
      <c r="A19768" s="4" t="s">
        <v>1</v>
      </c>
      <c r="B197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68" s="3" t="str">
        <f>HYPERLINK("https://otsuka-europe-crm.veevavault.com/ui/#object/sent_email__v/VBLZ025E82HGMGR", "SE-000285833")</f>
        <v>SE-000285833</v>
      </c>
      <c r="D19768" s="1" t="s">
        <v>0</v>
      </c>
      <c r="E19768" s="2">
        <v>0</v>
      </c>
      <c r="F19768" s="2">
        <v>0</v>
      </c>
      <c r="G19768" s="2">
        <v>0</v>
      </c>
      <c r="H19768" s="1" t="s">
        <v>0</v>
      </c>
      <c r="I19768" s="2">
        <v>0</v>
      </c>
      <c r="J19768" s="1">
        <v>45939.651030092595</v>
      </c>
    </row>
    <row r="19769" spans="1:10" x14ac:dyDescent="0.2">
      <c r="A19769" s="4" t="s">
        <v>1</v>
      </c>
      <c r="B197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69" s="3" t="str">
        <f>HYPERLINK("https://otsuka-europe-crm.veevavault.com/ui/#object/sent_email__v/VBLZ025E82HGMGS", "SE-000285834")</f>
        <v>SE-000285834</v>
      </c>
      <c r="D19769" s="1">
        <v>45942.373657407406</v>
      </c>
      <c r="E19769" s="2">
        <v>1</v>
      </c>
      <c r="F19769" s="2">
        <v>2</v>
      </c>
      <c r="G19769" s="2">
        <v>0</v>
      </c>
      <c r="H19769" s="1" t="s">
        <v>0</v>
      </c>
      <c r="I19769" s="2">
        <v>0</v>
      </c>
      <c r="J19769" s="1">
        <v>45939.651041666664</v>
      </c>
    </row>
    <row r="19770" spans="1:10" x14ac:dyDescent="0.2">
      <c r="A19770" s="4" t="s">
        <v>1</v>
      </c>
      <c r="B197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70" s="3" t="str">
        <f>HYPERLINK("https://otsuka-europe-crm.veevavault.com/ui/#object/sent_email__v/VBLZ025E82HGMGT", "SE-000285835")</f>
        <v>SE-000285835</v>
      </c>
      <c r="D19770" s="1">
        <v>45940.455324074072</v>
      </c>
      <c r="E19770" s="2">
        <v>1</v>
      </c>
      <c r="F19770" s="2">
        <v>1</v>
      </c>
      <c r="G19770" s="2">
        <v>0</v>
      </c>
      <c r="H19770" s="1" t="s">
        <v>0</v>
      </c>
      <c r="I19770" s="2">
        <v>0</v>
      </c>
      <c r="J19770" s="1">
        <v>45939.651041666664</v>
      </c>
    </row>
    <row r="19771" spans="1:10" x14ac:dyDescent="0.2">
      <c r="A19771" s="4" t="s">
        <v>1</v>
      </c>
      <c r="B197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71" s="3" t="str">
        <f>HYPERLINK("https://otsuka-europe-crm.veevavault.com/ui/#object/sent_email__v/VBLZ025E82HGMGU", "SE-000285836")</f>
        <v>SE-000285836</v>
      </c>
      <c r="D19771" s="1">
        <v>45940.010775462964</v>
      </c>
      <c r="E19771" s="2">
        <v>1</v>
      </c>
      <c r="F19771" s="2">
        <v>1</v>
      </c>
      <c r="G19771" s="2">
        <v>0</v>
      </c>
      <c r="H19771" s="1" t="s">
        <v>0</v>
      </c>
      <c r="I19771" s="2">
        <v>0</v>
      </c>
      <c r="J19771" s="1">
        <v>45939.651053240741</v>
      </c>
    </row>
    <row r="19772" spans="1:10" x14ac:dyDescent="0.2">
      <c r="A19772" s="4" t="s">
        <v>1</v>
      </c>
      <c r="B197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72" s="3" t="str">
        <f>HYPERLINK("https://otsuka-europe-crm.veevavault.com/ui/#object/sent_email__v/VBLZ025E82HGMGV", "SE-000285837")</f>
        <v>SE-000285837</v>
      </c>
      <c r="D19772" s="1">
        <v>45940.303437499999</v>
      </c>
      <c r="E19772" s="2">
        <v>1</v>
      </c>
      <c r="F19772" s="2">
        <v>1</v>
      </c>
      <c r="G19772" s="2">
        <v>0</v>
      </c>
      <c r="H19772" s="1" t="s">
        <v>0</v>
      </c>
      <c r="I19772" s="2">
        <v>0</v>
      </c>
      <c r="J19772" s="1">
        <v>45939.651064814818</v>
      </c>
    </row>
    <row r="19773" spans="1:10" x14ac:dyDescent="0.2">
      <c r="A19773" s="4" t="s">
        <v>1</v>
      </c>
      <c r="B197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73" s="3" t="str">
        <f>HYPERLINK("https://otsuka-europe-crm.veevavault.com/ui/#object/sent_email__v/VBLZ025E82HGMGW", "SE-000285838")</f>
        <v>SE-000285838</v>
      </c>
      <c r="D19773" s="1" t="s">
        <v>0</v>
      </c>
      <c r="E19773" s="2">
        <v>0</v>
      </c>
      <c r="F19773" s="2">
        <v>0</v>
      </c>
      <c r="G19773" s="2">
        <v>0</v>
      </c>
      <c r="H19773" s="1" t="s">
        <v>0</v>
      </c>
      <c r="I19773" s="2">
        <v>0</v>
      </c>
      <c r="J19773" s="1">
        <v>45939.651076388887</v>
      </c>
    </row>
    <row r="19774" spans="1:10" x14ac:dyDescent="0.2">
      <c r="A19774" s="4" t="s">
        <v>1</v>
      </c>
      <c r="B197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74" s="3" t="str">
        <f>HYPERLINK("https://otsuka-europe-crm.veevavault.com/ui/#object/sent_email__v/VBLZ025E82HGMGX", "SE-000285839")</f>
        <v>SE-000285839</v>
      </c>
      <c r="D19774" s="1" t="s">
        <v>0</v>
      </c>
      <c r="E19774" s="2">
        <v>0</v>
      </c>
      <c r="F19774" s="2">
        <v>0</v>
      </c>
      <c r="G19774" s="2">
        <v>0</v>
      </c>
      <c r="H19774" s="1" t="s">
        <v>0</v>
      </c>
      <c r="I19774" s="2">
        <v>0</v>
      </c>
      <c r="J19774" s="1">
        <v>45939.651087962964</v>
      </c>
    </row>
    <row r="19775" spans="1:10" x14ac:dyDescent="0.2">
      <c r="A19775" s="4" t="s">
        <v>1</v>
      </c>
      <c r="B197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75" s="3" t="str">
        <f>HYPERLINK("https://otsuka-europe-crm.veevavault.com/ui/#object/sent_email__v/VBLZ025E82HGMGY", "SE-000285840")</f>
        <v>SE-000285840</v>
      </c>
      <c r="D19775" s="1">
        <v>45951.732824074075</v>
      </c>
      <c r="E19775" s="2">
        <v>1</v>
      </c>
      <c r="F19775" s="2">
        <v>2</v>
      </c>
      <c r="G19775" s="2">
        <v>0</v>
      </c>
      <c r="H19775" s="1" t="s">
        <v>0</v>
      </c>
      <c r="I19775" s="2">
        <v>0</v>
      </c>
      <c r="J19775" s="1">
        <v>45939.651099537034</v>
      </c>
    </row>
    <row r="19776" spans="1:10" x14ac:dyDescent="0.2">
      <c r="A19776" s="4" t="s">
        <v>1</v>
      </c>
      <c r="B197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76" s="3" t="str">
        <f>HYPERLINK("https://otsuka-europe-crm.veevavault.com/ui/#object/sent_email__v/VBLZ025E82HGMGZ", "SE-000285841")</f>
        <v>SE-000285841</v>
      </c>
      <c r="D19776" s="1" t="s">
        <v>0</v>
      </c>
      <c r="E19776" s="2">
        <v>0</v>
      </c>
      <c r="F19776" s="2">
        <v>0</v>
      </c>
      <c r="G19776" s="2">
        <v>0</v>
      </c>
      <c r="H19776" s="1" t="s">
        <v>0</v>
      </c>
      <c r="I19776" s="2">
        <v>0</v>
      </c>
      <c r="J19776" s="1">
        <v>45939.651099537034</v>
      </c>
    </row>
    <row r="19777" spans="1:10" x14ac:dyDescent="0.2">
      <c r="A19777" s="4" t="s">
        <v>1</v>
      </c>
      <c r="B197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77" s="3" t="str">
        <f>HYPERLINK("https://otsuka-europe-crm.veevavault.com/ui/#object/sent_email__v/VBLZ025E82HGMH0", "SE-000285842")</f>
        <v>SE-000285842</v>
      </c>
      <c r="D19777" s="1" t="s">
        <v>0</v>
      </c>
      <c r="E19777" s="2">
        <v>0</v>
      </c>
      <c r="F19777" s="2">
        <v>0</v>
      </c>
      <c r="G19777" s="2">
        <v>0</v>
      </c>
      <c r="H19777" s="1" t="s">
        <v>0</v>
      </c>
      <c r="I19777" s="2">
        <v>0</v>
      </c>
      <c r="J19777" s="1">
        <v>45939.65111111111</v>
      </c>
    </row>
    <row r="19778" spans="1:10" x14ac:dyDescent="0.2">
      <c r="A19778" s="4" t="s">
        <v>1</v>
      </c>
      <c r="B197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78" s="3" t="str">
        <f>HYPERLINK("https://otsuka-europe-crm.veevavault.com/ui/#object/sent_email__v/VBLZ025E82HGMH1", "SE-000285843")</f>
        <v>SE-000285843</v>
      </c>
      <c r="D19778" s="1" t="s">
        <v>0</v>
      </c>
      <c r="E19778" s="2">
        <v>0</v>
      </c>
      <c r="F19778" s="2">
        <v>0</v>
      </c>
      <c r="G19778" s="2">
        <v>0</v>
      </c>
      <c r="H19778" s="1" t="s">
        <v>0</v>
      </c>
      <c r="I19778" s="2">
        <v>0</v>
      </c>
      <c r="J19778" s="1">
        <v>45939.651122685187</v>
      </c>
    </row>
    <row r="19779" spans="1:10" x14ac:dyDescent="0.2">
      <c r="A19779" s="4" t="s">
        <v>1</v>
      </c>
      <c r="B197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79" s="3" t="str">
        <f>HYPERLINK("https://otsuka-europe-crm.veevavault.com/ui/#object/sent_email__v/VBLZ025E82HGMH2", "SE-000285844")</f>
        <v>SE-000285844</v>
      </c>
      <c r="D19779" s="1">
        <v>45939.65357638889</v>
      </c>
      <c r="E19779" s="2">
        <v>1</v>
      </c>
      <c r="F19779" s="2">
        <v>1</v>
      </c>
      <c r="G19779" s="2">
        <v>0</v>
      </c>
      <c r="H19779" s="1" t="s">
        <v>0</v>
      </c>
      <c r="I19779" s="2">
        <v>0</v>
      </c>
      <c r="J19779" s="1">
        <v>45939.651134259257</v>
      </c>
    </row>
    <row r="19780" spans="1:10" x14ac:dyDescent="0.2">
      <c r="A19780" s="4" t="s">
        <v>1</v>
      </c>
      <c r="B197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80" s="3" t="str">
        <f>HYPERLINK("https://otsuka-europe-crm.veevavault.com/ui/#object/sent_email__v/VBLZ025E82HGMH3", "SE-000285845")</f>
        <v>SE-000285845</v>
      </c>
      <c r="D19780" s="1" t="s">
        <v>0</v>
      </c>
      <c r="E19780" s="2">
        <v>0</v>
      </c>
      <c r="F19780" s="2">
        <v>0</v>
      </c>
      <c r="G19780" s="2">
        <v>0</v>
      </c>
      <c r="H19780" s="1" t="s">
        <v>0</v>
      </c>
      <c r="I19780" s="2">
        <v>0</v>
      </c>
      <c r="J19780" s="1">
        <v>45939.651145833333</v>
      </c>
    </row>
    <row r="19781" spans="1:10" x14ac:dyDescent="0.2">
      <c r="A19781" s="4" t="s">
        <v>1</v>
      </c>
      <c r="B197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81" s="3" t="str">
        <f>HYPERLINK("https://otsuka-europe-crm.veevavault.com/ui/#object/sent_email__v/VBLZ025E82HGMH4", "SE-000285846")</f>
        <v>SE-000285846</v>
      </c>
      <c r="D19781" s="1">
        <v>45952.233715277776</v>
      </c>
      <c r="E19781" s="2">
        <v>1</v>
      </c>
      <c r="F19781" s="2">
        <v>14</v>
      </c>
      <c r="G19781" s="2">
        <v>0</v>
      </c>
      <c r="H19781" s="1" t="s">
        <v>0</v>
      </c>
      <c r="I19781" s="2">
        <v>0</v>
      </c>
      <c r="J19781" s="1">
        <v>45939.65115740741</v>
      </c>
    </row>
    <row r="19782" spans="1:10" x14ac:dyDescent="0.2">
      <c r="A19782" s="4" t="s">
        <v>1</v>
      </c>
      <c r="B197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82" s="3" t="str">
        <f>HYPERLINK("https://otsuka-europe-crm.veevavault.com/ui/#object/sent_email__v/VBLZ025E82HGMH5", "SE-000285847")</f>
        <v>SE-000285847</v>
      </c>
      <c r="D19782" s="1">
        <v>45939.955081018517</v>
      </c>
      <c r="E19782" s="2">
        <v>1</v>
      </c>
      <c r="F19782" s="2">
        <v>2</v>
      </c>
      <c r="G19782" s="2">
        <v>0</v>
      </c>
      <c r="H19782" s="1" t="s">
        <v>0</v>
      </c>
      <c r="I19782" s="2">
        <v>0</v>
      </c>
      <c r="J19782" s="1">
        <v>45939.65115740741</v>
      </c>
    </row>
    <row r="19783" spans="1:10" x14ac:dyDescent="0.2">
      <c r="A19783" s="4" t="s">
        <v>1</v>
      </c>
      <c r="B197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83" s="3" t="str">
        <f>HYPERLINK("https://otsuka-europe-crm.veevavault.com/ui/#object/sent_email__v/VBLZ025E82HGMH6", "SE-000285848")</f>
        <v>SE-000285848</v>
      </c>
      <c r="D19783" s="1">
        <v>45939.732592592591</v>
      </c>
      <c r="E19783" s="2">
        <v>1</v>
      </c>
      <c r="F19783" s="2">
        <v>1</v>
      </c>
      <c r="G19783" s="2">
        <v>0</v>
      </c>
      <c r="H19783" s="1" t="s">
        <v>0</v>
      </c>
      <c r="I19783" s="2">
        <v>0</v>
      </c>
      <c r="J19783" s="1">
        <v>45939.65116898148</v>
      </c>
    </row>
    <row r="19784" spans="1:10" x14ac:dyDescent="0.2">
      <c r="A19784" s="4" t="s">
        <v>1</v>
      </c>
      <c r="B197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84" s="3" t="str">
        <f>HYPERLINK("https://otsuka-europe-crm.veevavault.com/ui/#object/sent_email__v/VBLZ025E82HGMH7", "SE-000285849")</f>
        <v>SE-000285849</v>
      </c>
      <c r="D19784" s="1">
        <v>45940.621898148151</v>
      </c>
      <c r="E19784" s="2">
        <v>1</v>
      </c>
      <c r="F19784" s="2">
        <v>1</v>
      </c>
      <c r="G19784" s="2">
        <v>0</v>
      </c>
      <c r="H19784" s="1" t="s">
        <v>0</v>
      </c>
      <c r="I19784" s="2">
        <v>0</v>
      </c>
      <c r="J19784" s="1">
        <v>45939.651180555556</v>
      </c>
    </row>
    <row r="19785" spans="1:10" x14ac:dyDescent="0.2">
      <c r="A19785" s="4" t="s">
        <v>1</v>
      </c>
      <c r="B197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85" s="3" t="str">
        <f>HYPERLINK("https://otsuka-europe-crm.veevavault.com/ui/#object/sent_email__v/VBLZ025E82HGMH8", "SE-000285850")</f>
        <v>SE-000285850</v>
      </c>
      <c r="D19785" s="1">
        <v>45939.892372685186</v>
      </c>
      <c r="E19785" s="2">
        <v>1</v>
      </c>
      <c r="F19785" s="2">
        <v>1</v>
      </c>
      <c r="G19785" s="2">
        <v>0</v>
      </c>
      <c r="H19785" s="1" t="s">
        <v>0</v>
      </c>
      <c r="I19785" s="2">
        <v>0</v>
      </c>
      <c r="J19785" s="1">
        <v>45939.651192129626</v>
      </c>
    </row>
    <row r="19786" spans="1:10" x14ac:dyDescent="0.2">
      <c r="A19786" s="4" t="s">
        <v>1</v>
      </c>
      <c r="B197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86" s="3" t="str">
        <f>HYPERLINK("https://otsuka-europe-crm.veevavault.com/ui/#object/sent_email__v/VBLZ025E82HGMH9", "SE-000285851")</f>
        <v>SE-000285851</v>
      </c>
      <c r="D19786" s="1">
        <v>45992.502511574072</v>
      </c>
      <c r="E19786" s="2">
        <v>1</v>
      </c>
      <c r="F19786" s="2">
        <v>3</v>
      </c>
      <c r="G19786" s="2">
        <v>1</v>
      </c>
      <c r="H19786" s="1">
        <v>45992.502569444441</v>
      </c>
      <c r="I19786" s="2">
        <v>2</v>
      </c>
      <c r="J19786" s="1">
        <v>45939.651203703703</v>
      </c>
    </row>
    <row r="19787" spans="1:10" x14ac:dyDescent="0.2">
      <c r="A19787" s="4" t="s">
        <v>1</v>
      </c>
      <c r="B197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87" s="3" t="str">
        <f>HYPERLINK("https://otsuka-europe-crm.veevavault.com/ui/#object/sent_email__v/VBLZ025E82HGMHA", "SE-000285852")</f>
        <v>SE-000285852</v>
      </c>
      <c r="D19787" s="1" t="s">
        <v>0</v>
      </c>
      <c r="E19787" s="2">
        <v>0</v>
      </c>
      <c r="F19787" s="2">
        <v>0</v>
      </c>
      <c r="G19787" s="2">
        <v>0</v>
      </c>
      <c r="H19787" s="1" t="s">
        <v>0</v>
      </c>
      <c r="I19787" s="2">
        <v>0</v>
      </c>
      <c r="J19787" s="1">
        <v>45939.65121527778</v>
      </c>
    </row>
    <row r="19788" spans="1:10" x14ac:dyDescent="0.2">
      <c r="A19788" s="4" t="s">
        <v>1</v>
      </c>
      <c r="B197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88" s="3" t="str">
        <f>HYPERLINK("https://otsuka-europe-crm.veevavault.com/ui/#object/sent_email__v/VBLZ025E82HGMHB", "SE-000285853")</f>
        <v>SE-000285853</v>
      </c>
      <c r="D19788" s="1" t="s">
        <v>0</v>
      </c>
      <c r="E19788" s="2">
        <v>0</v>
      </c>
      <c r="F19788" s="2">
        <v>0</v>
      </c>
      <c r="G19788" s="2">
        <v>0</v>
      </c>
      <c r="H19788" s="1" t="s">
        <v>0</v>
      </c>
      <c r="I19788" s="2">
        <v>0</v>
      </c>
      <c r="J19788" s="1">
        <v>45939.651226851849</v>
      </c>
    </row>
    <row r="19789" spans="1:10" x14ac:dyDescent="0.2">
      <c r="A19789" s="4" t="s">
        <v>1</v>
      </c>
      <c r="B197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89" s="3" t="str">
        <f>HYPERLINK("https://otsuka-europe-crm.veevavault.com/ui/#object/sent_email__v/VBLZ025E82HGMHC", "SE-000285854")</f>
        <v>SE-000285854</v>
      </c>
      <c r="D19789" s="1" t="s">
        <v>0</v>
      </c>
      <c r="E19789" s="2">
        <v>0</v>
      </c>
      <c r="F19789" s="2">
        <v>0</v>
      </c>
      <c r="G19789" s="2">
        <v>0</v>
      </c>
      <c r="H19789" s="1" t="s">
        <v>0</v>
      </c>
      <c r="I19789" s="2">
        <v>0</v>
      </c>
      <c r="J19789" s="1">
        <v>45939.651238425926</v>
      </c>
    </row>
    <row r="19790" spans="1:10" x14ac:dyDescent="0.2">
      <c r="A19790" s="4" t="s">
        <v>1</v>
      </c>
      <c r="B197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90" s="3" t="str">
        <f>HYPERLINK("https://otsuka-europe-crm.veevavault.com/ui/#object/sent_email__v/VBLZ025E82HGMHD", "SE-000285855")</f>
        <v>SE-000285855</v>
      </c>
      <c r="D19790" s="1" t="s">
        <v>0</v>
      </c>
      <c r="E19790" s="2">
        <v>0</v>
      </c>
      <c r="F19790" s="2">
        <v>0</v>
      </c>
      <c r="G19790" s="2">
        <v>0</v>
      </c>
      <c r="H19790" s="1" t="s">
        <v>0</v>
      </c>
      <c r="I19790" s="2">
        <v>0</v>
      </c>
      <c r="J19790" s="1">
        <v>45939.651238425926</v>
      </c>
    </row>
    <row r="19791" spans="1:10" x14ac:dyDescent="0.2">
      <c r="A19791" s="4" t="s">
        <v>1</v>
      </c>
      <c r="B197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91" s="3" t="str">
        <f>HYPERLINK("https://otsuka-europe-crm.veevavault.com/ui/#object/sent_email__v/VBLZ025E82HGMHE", "SE-000285856")</f>
        <v>SE-000285856</v>
      </c>
      <c r="D19791" s="1" t="s">
        <v>0</v>
      </c>
      <c r="E19791" s="2">
        <v>0</v>
      </c>
      <c r="F19791" s="2">
        <v>0</v>
      </c>
      <c r="G19791" s="2">
        <v>0</v>
      </c>
      <c r="H19791" s="1" t="s">
        <v>0</v>
      </c>
      <c r="I19791" s="2">
        <v>0</v>
      </c>
      <c r="J19791" s="1">
        <v>45939.651250000003</v>
      </c>
    </row>
    <row r="19792" spans="1:10" x14ac:dyDescent="0.2">
      <c r="A19792" s="4" t="s">
        <v>1</v>
      </c>
      <c r="B197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92" s="3" t="str">
        <f>HYPERLINK("https://otsuka-europe-crm.veevavault.com/ui/#object/sent_email__v/VBLZ025E82HGMHF", "SE-000285857")</f>
        <v>SE-000285857</v>
      </c>
      <c r="D19792" s="1" t="s">
        <v>0</v>
      </c>
      <c r="E19792" s="2">
        <v>0</v>
      </c>
      <c r="F19792" s="2">
        <v>0</v>
      </c>
      <c r="G19792" s="2">
        <v>0</v>
      </c>
      <c r="H19792" s="1" t="s">
        <v>0</v>
      </c>
      <c r="I19792" s="2">
        <v>0</v>
      </c>
      <c r="J19792" s="1">
        <v>45939.651261574072</v>
      </c>
    </row>
    <row r="19793" spans="1:10" x14ac:dyDescent="0.2">
      <c r="A19793" s="4" t="s">
        <v>1</v>
      </c>
      <c r="B197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93" s="3" t="str">
        <f>HYPERLINK("https://otsuka-europe-crm.veevavault.com/ui/#object/sent_email__v/VBLZ025E82HGMHG", "SE-000285858")</f>
        <v>SE-000285858</v>
      </c>
      <c r="D19793" s="1">
        <v>45940.329143518517</v>
      </c>
      <c r="E19793" s="2">
        <v>1</v>
      </c>
      <c r="F19793" s="2">
        <v>1</v>
      </c>
      <c r="G19793" s="2">
        <v>0</v>
      </c>
      <c r="H19793" s="1" t="s">
        <v>0</v>
      </c>
      <c r="I19793" s="2">
        <v>0</v>
      </c>
      <c r="J19793" s="1">
        <v>45939.651273148149</v>
      </c>
    </row>
    <row r="19794" spans="1:10" x14ac:dyDescent="0.2">
      <c r="A19794" s="4" t="s">
        <v>1</v>
      </c>
      <c r="B197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94" s="3" t="str">
        <f>HYPERLINK("https://otsuka-europe-crm.veevavault.com/ui/#object/sent_email__v/VBLZ025E82HGMHH", "SE-000285859")</f>
        <v>SE-000285859</v>
      </c>
      <c r="D19794" s="1">
        <v>45940.295671296299</v>
      </c>
      <c r="E19794" s="2">
        <v>1</v>
      </c>
      <c r="F19794" s="2">
        <v>1</v>
      </c>
      <c r="G19794" s="2">
        <v>0</v>
      </c>
      <c r="H19794" s="1" t="s">
        <v>0</v>
      </c>
      <c r="I19794" s="2">
        <v>0</v>
      </c>
      <c r="J19794" s="1">
        <v>45939.651284722226</v>
      </c>
    </row>
    <row r="19795" spans="1:10" x14ac:dyDescent="0.2">
      <c r="A19795" s="4" t="s">
        <v>1</v>
      </c>
      <c r="B197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95" s="3" t="str">
        <f>HYPERLINK("https://otsuka-europe-crm.veevavault.com/ui/#object/sent_email__v/VBLZ025E82HGMHI", "SE-000285860")</f>
        <v>SE-000285860</v>
      </c>
      <c r="D19795" s="1" t="s">
        <v>0</v>
      </c>
      <c r="E19795" s="2">
        <v>0</v>
      </c>
      <c r="F19795" s="2">
        <v>0</v>
      </c>
      <c r="G19795" s="2">
        <v>0</v>
      </c>
      <c r="H19795" s="1" t="s">
        <v>0</v>
      </c>
      <c r="I19795" s="2">
        <v>0</v>
      </c>
      <c r="J19795" s="1">
        <v>45939.651296296295</v>
      </c>
    </row>
    <row r="19796" spans="1:10" x14ac:dyDescent="0.2">
      <c r="A19796" s="4" t="s">
        <v>1</v>
      </c>
      <c r="B197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96" s="3" t="str">
        <f>HYPERLINK("https://otsuka-europe-crm.veevavault.com/ui/#object/sent_email__v/VBLZ025E82HGMHJ", "SE-000285861")</f>
        <v>SE-000285861</v>
      </c>
      <c r="D19796" s="1">
        <v>45939.936354166668</v>
      </c>
      <c r="E19796" s="2">
        <v>1</v>
      </c>
      <c r="F19796" s="2">
        <v>1</v>
      </c>
      <c r="G19796" s="2">
        <v>0</v>
      </c>
      <c r="H19796" s="1" t="s">
        <v>0</v>
      </c>
      <c r="I19796" s="2">
        <v>0</v>
      </c>
      <c r="J19796" s="1">
        <v>45939.651307870372</v>
      </c>
    </row>
    <row r="19797" spans="1:10" x14ac:dyDescent="0.2">
      <c r="A19797" s="4" t="s">
        <v>1</v>
      </c>
      <c r="B197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97" s="3" t="str">
        <f>HYPERLINK("https://otsuka-europe-crm.veevavault.com/ui/#object/sent_email__v/VBLZ025E82HGMHK", "SE-000285862")</f>
        <v>SE-000285862</v>
      </c>
      <c r="D19797" s="1" t="s">
        <v>0</v>
      </c>
      <c r="E19797" s="2">
        <v>0</v>
      </c>
      <c r="F19797" s="2">
        <v>0</v>
      </c>
      <c r="G19797" s="2">
        <v>0</v>
      </c>
      <c r="H19797" s="1" t="s">
        <v>0</v>
      </c>
      <c r="I19797" s="2">
        <v>0</v>
      </c>
      <c r="J19797" s="1">
        <v>45939.651307870372</v>
      </c>
    </row>
    <row r="19798" spans="1:10" x14ac:dyDescent="0.2">
      <c r="A19798" s="4" t="s">
        <v>1</v>
      </c>
      <c r="B197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98" s="3" t="str">
        <f>HYPERLINK("https://otsuka-europe-crm.veevavault.com/ui/#object/sent_email__v/VBLZ025E82HGMHL", "SE-000285863")</f>
        <v>SE-000285863</v>
      </c>
      <c r="D19798" s="1">
        <v>45939.852650462963</v>
      </c>
      <c r="E19798" s="2">
        <v>1</v>
      </c>
      <c r="F19798" s="2">
        <v>1</v>
      </c>
      <c r="G19798" s="2">
        <v>0</v>
      </c>
      <c r="H19798" s="1" t="s">
        <v>0</v>
      </c>
      <c r="I19798" s="2">
        <v>0</v>
      </c>
      <c r="J19798" s="1">
        <v>45939.651331018518</v>
      </c>
    </row>
    <row r="19799" spans="1:10" x14ac:dyDescent="0.2">
      <c r="A19799" s="4" t="s">
        <v>1</v>
      </c>
      <c r="B197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799" s="3" t="str">
        <f>HYPERLINK("https://otsuka-europe-crm.veevavault.com/ui/#object/sent_email__v/VBLZ025E82HGMHM", "SE-000285864")</f>
        <v>SE-000285864</v>
      </c>
      <c r="D19799" s="1">
        <v>45939.664375</v>
      </c>
      <c r="E19799" s="2">
        <v>1</v>
      </c>
      <c r="F19799" s="2">
        <v>1</v>
      </c>
      <c r="G19799" s="2">
        <v>0</v>
      </c>
      <c r="H19799" s="1" t="s">
        <v>0</v>
      </c>
      <c r="I19799" s="2">
        <v>0</v>
      </c>
      <c r="J19799" s="1">
        <v>45939.651331018518</v>
      </c>
    </row>
    <row r="19800" spans="1:10" x14ac:dyDescent="0.2">
      <c r="A19800" s="4" t="s">
        <v>1</v>
      </c>
      <c r="B198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00" s="3" t="str">
        <f>HYPERLINK("https://otsuka-europe-crm.veevavault.com/ui/#object/sent_email__v/VBLZ025E82HGMHN", "SE-000285865")</f>
        <v>SE-000285865</v>
      </c>
      <c r="D19800" s="1" t="s">
        <v>0</v>
      </c>
      <c r="E19800" s="2">
        <v>0</v>
      </c>
      <c r="F19800" s="2">
        <v>0</v>
      </c>
      <c r="G19800" s="2">
        <v>0</v>
      </c>
      <c r="H19800" s="1" t="s">
        <v>0</v>
      </c>
      <c r="I19800" s="2">
        <v>0</v>
      </c>
      <c r="J19800" s="1">
        <v>45939.651354166665</v>
      </c>
    </row>
    <row r="19801" spans="1:10" x14ac:dyDescent="0.2">
      <c r="A19801" s="4" t="s">
        <v>1</v>
      </c>
      <c r="B198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01" s="3" t="str">
        <f>HYPERLINK("https://otsuka-europe-crm.veevavault.com/ui/#object/sent_email__v/VBLZ025E82HGMHO", "SE-000285866")</f>
        <v>SE-000285866</v>
      </c>
      <c r="D19801" s="1" t="s">
        <v>0</v>
      </c>
      <c r="E19801" s="2">
        <v>0</v>
      </c>
      <c r="F19801" s="2">
        <v>0</v>
      </c>
      <c r="G19801" s="2">
        <v>0</v>
      </c>
      <c r="H19801" s="1" t="s">
        <v>0</v>
      </c>
      <c r="I19801" s="2">
        <v>0</v>
      </c>
      <c r="J19801" s="1">
        <v>45939.651354166665</v>
      </c>
    </row>
    <row r="19802" spans="1:10" x14ac:dyDescent="0.2">
      <c r="A19802" s="4" t="s">
        <v>1</v>
      </c>
      <c r="B198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02" s="3" t="str">
        <f>HYPERLINK("https://otsuka-europe-crm.veevavault.com/ui/#object/sent_email__v/VBLZ025E82HGMHP", "SE-000285867")</f>
        <v>SE-000285867</v>
      </c>
      <c r="D19802" s="1" t="s">
        <v>0</v>
      </c>
      <c r="E19802" s="2">
        <v>0</v>
      </c>
      <c r="F19802" s="2">
        <v>0</v>
      </c>
      <c r="G19802" s="2">
        <v>0</v>
      </c>
      <c r="H19802" s="1" t="s">
        <v>0</v>
      </c>
      <c r="I19802" s="2">
        <v>0</v>
      </c>
      <c r="J19802" s="1">
        <v>45939.651365740741</v>
      </c>
    </row>
    <row r="19803" spans="1:10" x14ac:dyDescent="0.2">
      <c r="A19803" s="4" t="s">
        <v>1</v>
      </c>
      <c r="B198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03" s="3" t="str">
        <f>HYPERLINK("https://otsuka-europe-crm.veevavault.com/ui/#object/sent_email__v/VBLZ025E82HGMHQ", "SE-000285868")</f>
        <v>SE-000285868</v>
      </c>
      <c r="D19803" s="1">
        <v>45940.258298611108</v>
      </c>
      <c r="E19803" s="2">
        <v>1</v>
      </c>
      <c r="F19803" s="2">
        <v>1</v>
      </c>
      <c r="G19803" s="2">
        <v>0</v>
      </c>
      <c r="H19803" s="1" t="s">
        <v>0</v>
      </c>
      <c r="I19803" s="2">
        <v>0</v>
      </c>
      <c r="J19803" s="1">
        <v>45939.651365740741</v>
      </c>
    </row>
    <row r="19804" spans="1:10" x14ac:dyDescent="0.2">
      <c r="A19804" s="4" t="s">
        <v>1</v>
      </c>
      <c r="B198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04" s="3" t="str">
        <f>HYPERLINK("https://otsuka-europe-crm.veevavault.com/ui/#object/sent_email__v/VBLZ025E82HGMHR", "SE-000285869")</f>
        <v>SE-000285869</v>
      </c>
      <c r="D19804" s="1">
        <v>45939.807129629633</v>
      </c>
      <c r="E19804" s="2">
        <v>1</v>
      </c>
      <c r="F19804" s="2">
        <v>2</v>
      </c>
      <c r="G19804" s="2">
        <v>0</v>
      </c>
      <c r="H19804" s="1" t="s">
        <v>0</v>
      </c>
      <c r="I19804" s="2">
        <v>0</v>
      </c>
      <c r="J19804" s="1">
        <v>45939.651377314818</v>
      </c>
    </row>
    <row r="19805" spans="1:10" x14ac:dyDescent="0.2">
      <c r="A19805" s="4" t="s">
        <v>1</v>
      </c>
      <c r="B198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05" s="3" t="str">
        <f>HYPERLINK("https://otsuka-europe-crm.veevavault.com/ui/#object/sent_email__v/VBLZ025E82HGMHS", "SE-000285870")</f>
        <v>SE-000285870</v>
      </c>
      <c r="D19805" s="1">
        <v>45939.699282407404</v>
      </c>
      <c r="E19805" s="2">
        <v>1</v>
      </c>
      <c r="F19805" s="2">
        <v>1</v>
      </c>
      <c r="G19805" s="2">
        <v>0</v>
      </c>
      <c r="H19805" s="1" t="s">
        <v>0</v>
      </c>
      <c r="I19805" s="2">
        <v>0</v>
      </c>
      <c r="J19805" s="1">
        <v>45939.651400462964</v>
      </c>
    </row>
    <row r="19806" spans="1:10" x14ac:dyDescent="0.2">
      <c r="A19806" s="4" t="s">
        <v>1</v>
      </c>
      <c r="B198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06" s="3" t="str">
        <f>HYPERLINK("https://otsuka-europe-crm.veevavault.com/ui/#object/sent_email__v/VBLZ025E82HGMHT", "SE-000285871")</f>
        <v>SE-000285871</v>
      </c>
      <c r="D19806" s="1" t="s">
        <v>0</v>
      </c>
      <c r="E19806" s="2">
        <v>0</v>
      </c>
      <c r="F19806" s="2">
        <v>0</v>
      </c>
      <c r="G19806" s="2">
        <v>0</v>
      </c>
      <c r="H19806" s="1" t="s">
        <v>0</v>
      </c>
      <c r="I19806" s="2">
        <v>0</v>
      </c>
      <c r="J19806" s="1">
        <v>45939.651400462964</v>
      </c>
    </row>
    <row r="19807" spans="1:10" x14ac:dyDescent="0.2">
      <c r="A19807" s="4" t="s">
        <v>1</v>
      </c>
      <c r="B198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07" s="3" t="str">
        <f>HYPERLINK("https://otsuka-europe-crm.veevavault.com/ui/#object/sent_email__v/VBLZ025E82HGMHU", "SE-000285872")</f>
        <v>SE-000285872</v>
      </c>
      <c r="D19807" s="1">
        <v>45951.411215277774</v>
      </c>
      <c r="E19807" s="2">
        <v>1</v>
      </c>
      <c r="F19807" s="2">
        <v>2</v>
      </c>
      <c r="G19807" s="2">
        <v>0</v>
      </c>
      <c r="H19807" s="1" t="s">
        <v>0</v>
      </c>
      <c r="I19807" s="2">
        <v>0</v>
      </c>
      <c r="J19807" s="1">
        <v>45939.651400462964</v>
      </c>
    </row>
    <row r="19808" spans="1:10" x14ac:dyDescent="0.2">
      <c r="A19808" s="4" t="s">
        <v>1</v>
      </c>
      <c r="B198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08" s="3" t="str">
        <f>HYPERLINK("https://otsuka-europe-crm.veevavault.com/ui/#object/sent_email__v/VBLZ025E82HGMHV", "SE-000285873")</f>
        <v>SE-000285873</v>
      </c>
      <c r="D19808" s="1">
        <v>45939.72320601852</v>
      </c>
      <c r="E19808" s="2">
        <v>1</v>
      </c>
      <c r="F19808" s="2">
        <v>1</v>
      </c>
      <c r="G19808" s="2">
        <v>0</v>
      </c>
      <c r="H19808" s="1" t="s">
        <v>0</v>
      </c>
      <c r="I19808" s="2">
        <v>0</v>
      </c>
      <c r="J19808" s="1">
        <v>45939.651412037034</v>
      </c>
    </row>
    <row r="19809" spans="1:10" x14ac:dyDescent="0.2">
      <c r="A19809" s="4" t="s">
        <v>1</v>
      </c>
      <c r="B198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09" s="3" t="str">
        <f>HYPERLINK("https://otsuka-europe-crm.veevavault.com/ui/#object/sent_email__v/VBLZ025E82HGMHW", "SE-000285874")</f>
        <v>SE-000285874</v>
      </c>
      <c r="D19809" s="1" t="s">
        <v>0</v>
      </c>
      <c r="E19809" s="2">
        <v>0</v>
      </c>
      <c r="F19809" s="2">
        <v>0</v>
      </c>
      <c r="G19809" s="2">
        <v>0</v>
      </c>
      <c r="H19809" s="1" t="s">
        <v>0</v>
      </c>
      <c r="I19809" s="2">
        <v>0</v>
      </c>
      <c r="J19809" s="1">
        <v>45939.651423611111</v>
      </c>
    </row>
    <row r="19810" spans="1:10" x14ac:dyDescent="0.2">
      <c r="A19810" s="4" t="s">
        <v>1</v>
      </c>
      <c r="B198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10" s="3" t="str">
        <f>HYPERLINK("https://otsuka-europe-crm.veevavault.com/ui/#object/sent_email__v/VBLZ025E82HGMHX", "SE-000285875")</f>
        <v>SE-000285875</v>
      </c>
      <c r="D19810" s="1" t="s">
        <v>0</v>
      </c>
      <c r="E19810" s="2">
        <v>0</v>
      </c>
      <c r="F19810" s="2">
        <v>0</v>
      </c>
      <c r="G19810" s="2">
        <v>0</v>
      </c>
      <c r="H19810" s="1" t="s">
        <v>0</v>
      </c>
      <c r="I19810" s="2">
        <v>0</v>
      </c>
      <c r="J19810" s="1">
        <v>45939.651435185187</v>
      </c>
    </row>
    <row r="19811" spans="1:10" x14ac:dyDescent="0.2">
      <c r="A19811" s="4" t="s">
        <v>1</v>
      </c>
      <c r="B198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11" s="3" t="str">
        <f>HYPERLINK("https://otsuka-europe-crm.veevavault.com/ui/#object/sent_email__v/VBLZ025E82HGMHY", "SE-000285876")</f>
        <v>SE-000285876</v>
      </c>
      <c r="D19811" s="1">
        <v>45941.625358796293</v>
      </c>
      <c r="E19811" s="2">
        <v>1</v>
      </c>
      <c r="F19811" s="2">
        <v>1</v>
      </c>
      <c r="G19811" s="2">
        <v>0</v>
      </c>
      <c r="H19811" s="1" t="s">
        <v>0</v>
      </c>
      <c r="I19811" s="2">
        <v>0</v>
      </c>
      <c r="J19811" s="1">
        <v>45939.651446759257</v>
      </c>
    </row>
    <row r="19812" spans="1:10" x14ac:dyDescent="0.2">
      <c r="A19812" s="4" t="s">
        <v>1</v>
      </c>
      <c r="B198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12" s="3" t="str">
        <f>HYPERLINK("https://otsuka-europe-crm.veevavault.com/ui/#object/sent_email__v/VBLZ025E82HGMHZ", "SE-000285877")</f>
        <v>SE-000285877</v>
      </c>
      <c r="D19812" s="1">
        <v>45979.595671296294</v>
      </c>
      <c r="E19812" s="2">
        <v>1</v>
      </c>
      <c r="F19812" s="2">
        <v>5</v>
      </c>
      <c r="G19812" s="2">
        <v>0</v>
      </c>
      <c r="H19812" s="1" t="s">
        <v>0</v>
      </c>
      <c r="I19812" s="2">
        <v>0</v>
      </c>
      <c r="J19812" s="1">
        <v>45939.651458333334</v>
      </c>
    </row>
    <row r="19813" spans="1:10" x14ac:dyDescent="0.2">
      <c r="A19813" s="4" t="s">
        <v>1</v>
      </c>
      <c r="B198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13" s="3" t="str">
        <f>HYPERLINK("https://otsuka-europe-crm.veevavault.com/ui/#object/sent_email__v/VBLZ025E82HGMI0", "SE-000285878")</f>
        <v>SE-000285878</v>
      </c>
      <c r="D19813" s="1" t="s">
        <v>0</v>
      </c>
      <c r="E19813" s="2">
        <v>0</v>
      </c>
      <c r="F19813" s="2">
        <v>0</v>
      </c>
      <c r="G19813" s="2">
        <v>0</v>
      </c>
      <c r="H19813" s="1" t="s">
        <v>0</v>
      </c>
      <c r="I19813" s="2">
        <v>0</v>
      </c>
      <c r="J19813" s="1">
        <v>45939.651469907411</v>
      </c>
    </row>
    <row r="19814" spans="1:10" x14ac:dyDescent="0.2">
      <c r="A19814" s="4" t="s">
        <v>1</v>
      </c>
      <c r="B198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14" s="3" t="str">
        <f>HYPERLINK("https://otsuka-europe-crm.veevavault.com/ui/#object/sent_email__v/VBLZ025E82HGMI1", "SE-000285879")</f>
        <v>SE-000285879</v>
      </c>
      <c r="D19814" s="1" t="s">
        <v>0</v>
      </c>
      <c r="E19814" s="2">
        <v>0</v>
      </c>
      <c r="F19814" s="2">
        <v>0</v>
      </c>
      <c r="G19814" s="2">
        <v>0</v>
      </c>
      <c r="H19814" s="1" t="s">
        <v>0</v>
      </c>
      <c r="I19814" s="2">
        <v>0</v>
      </c>
      <c r="J19814" s="1">
        <v>45939.65148148148</v>
      </c>
    </row>
    <row r="19815" spans="1:10" x14ac:dyDescent="0.2">
      <c r="A19815" s="4" t="s">
        <v>1</v>
      </c>
      <c r="B198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15" s="3" t="str">
        <f>HYPERLINK("https://otsuka-europe-crm.veevavault.com/ui/#object/sent_email__v/VBLZ025E82HGMI2", "SE-000285880")</f>
        <v>SE-000285880</v>
      </c>
      <c r="D19815" s="1">
        <v>45944.317210648151</v>
      </c>
      <c r="E19815" s="2">
        <v>1</v>
      </c>
      <c r="F19815" s="2">
        <v>1</v>
      </c>
      <c r="G19815" s="2">
        <v>0</v>
      </c>
      <c r="H19815" s="1" t="s">
        <v>0</v>
      </c>
      <c r="I19815" s="2">
        <v>0</v>
      </c>
      <c r="J19815" s="1">
        <v>45939.65148148148</v>
      </c>
    </row>
    <row r="19816" spans="1:10" x14ac:dyDescent="0.2">
      <c r="A19816" s="4" t="s">
        <v>1</v>
      </c>
      <c r="B198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16" s="3" t="str">
        <f>HYPERLINK("https://otsuka-europe-crm.veevavault.com/ui/#object/sent_email__v/VBLZ025E82HGMI3", "SE-000285881")</f>
        <v>SE-000285881</v>
      </c>
      <c r="D19816" s="1" t="s">
        <v>0</v>
      </c>
      <c r="E19816" s="2">
        <v>0</v>
      </c>
      <c r="F19816" s="2">
        <v>0</v>
      </c>
      <c r="G19816" s="2">
        <v>0</v>
      </c>
      <c r="H19816" s="1" t="s">
        <v>0</v>
      </c>
      <c r="I19816" s="2">
        <v>0</v>
      </c>
      <c r="J19816" s="1">
        <v>45939.651493055557</v>
      </c>
    </row>
    <row r="19817" spans="1:10" x14ac:dyDescent="0.2">
      <c r="A19817" s="4" t="s">
        <v>1</v>
      </c>
      <c r="B198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17" s="3" t="str">
        <f>HYPERLINK("https://otsuka-europe-crm.veevavault.com/ui/#object/sent_email__v/VBLZ025E82HGMI4", "SE-000285882")</f>
        <v>SE-000285882</v>
      </c>
      <c r="D19817" s="1" t="s">
        <v>0</v>
      </c>
      <c r="E19817" s="2">
        <v>0</v>
      </c>
      <c r="F19817" s="2">
        <v>0</v>
      </c>
      <c r="G19817" s="2">
        <v>0</v>
      </c>
      <c r="H19817" s="1" t="s">
        <v>0</v>
      </c>
      <c r="I19817" s="2">
        <v>0</v>
      </c>
      <c r="J19817" s="1">
        <v>45939.651504629626</v>
      </c>
    </row>
    <row r="19818" spans="1:10" x14ac:dyDescent="0.2">
      <c r="A19818" s="4" t="s">
        <v>1</v>
      </c>
      <c r="B198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18" s="3" t="str">
        <f>HYPERLINK("https://otsuka-europe-crm.veevavault.com/ui/#object/sent_email__v/VBLZ025E82HGMI5", "SE-000285883")</f>
        <v>SE-000285883</v>
      </c>
      <c r="D19818" s="1">
        <v>45939.881909722222</v>
      </c>
      <c r="E19818" s="2">
        <v>1</v>
      </c>
      <c r="F19818" s="2">
        <v>1</v>
      </c>
      <c r="G19818" s="2">
        <v>0</v>
      </c>
      <c r="H19818" s="1" t="s">
        <v>0</v>
      </c>
      <c r="I19818" s="2">
        <v>0</v>
      </c>
      <c r="J19818" s="1">
        <v>45939.651516203703</v>
      </c>
    </row>
    <row r="19819" spans="1:10" x14ac:dyDescent="0.2">
      <c r="A19819" s="4" t="s">
        <v>1</v>
      </c>
      <c r="B198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19" s="3" t="str">
        <f>HYPERLINK("https://otsuka-europe-crm.veevavault.com/ui/#object/sent_email__v/VBLZ025E82HGMMT", "SE-000285884")</f>
        <v>SE-000285884</v>
      </c>
      <c r="D19819" s="1">
        <v>45939.892384259256</v>
      </c>
      <c r="E19819" s="2">
        <v>1</v>
      </c>
      <c r="F19819" s="2">
        <v>1</v>
      </c>
      <c r="G19819" s="2">
        <v>0</v>
      </c>
      <c r="H19819" s="1" t="s">
        <v>0</v>
      </c>
      <c r="I19819" s="2">
        <v>0</v>
      </c>
      <c r="J19819" s="1">
        <v>45939.651099537034</v>
      </c>
    </row>
    <row r="19820" spans="1:10" x14ac:dyDescent="0.2">
      <c r="A19820" s="4" t="s">
        <v>1</v>
      </c>
      <c r="B198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20" s="3" t="str">
        <f>HYPERLINK("https://otsuka-europe-crm.veevavault.com/ui/#object/sent_email__v/VBLZ025E82HGMMU", "SE-000285885")</f>
        <v>SE-000285885</v>
      </c>
      <c r="D19820" s="1" t="s">
        <v>0</v>
      </c>
      <c r="E19820" s="2">
        <v>0</v>
      </c>
      <c r="F19820" s="2">
        <v>0</v>
      </c>
      <c r="G19820" s="2">
        <v>0</v>
      </c>
      <c r="H19820" s="1" t="s">
        <v>0</v>
      </c>
      <c r="I19820" s="2">
        <v>0</v>
      </c>
      <c r="J19820" s="1">
        <v>45939.650937500002</v>
      </c>
    </row>
    <row r="19821" spans="1:10" x14ac:dyDescent="0.2">
      <c r="A19821" s="4" t="s">
        <v>1</v>
      </c>
      <c r="B198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21" s="3" t="str">
        <f>HYPERLINK("https://otsuka-europe-crm.veevavault.com/ui/#object/sent_email__v/VBLZ025E82HGMMV", "SE-000285886")</f>
        <v>SE-000285886</v>
      </c>
      <c r="D19821" s="1" t="s">
        <v>0</v>
      </c>
      <c r="E19821" s="2">
        <v>0</v>
      </c>
      <c r="F19821" s="2">
        <v>0</v>
      </c>
      <c r="G19821" s="2">
        <v>0</v>
      </c>
      <c r="H19821" s="1" t="s">
        <v>0</v>
      </c>
      <c r="I19821" s="2">
        <v>0</v>
      </c>
      <c r="J19821" s="1">
        <v>45939.651099537034</v>
      </c>
    </row>
    <row r="19822" spans="1:10" x14ac:dyDescent="0.2">
      <c r="A19822" s="4" t="s">
        <v>1</v>
      </c>
      <c r="B198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22" s="3" t="str">
        <f>HYPERLINK("https://otsuka-europe-crm.veevavault.com/ui/#object/sent_email__v/VBLZ025E82HGMMW", "SE-000285887")</f>
        <v>SE-000285887</v>
      </c>
      <c r="D19822" s="1">
        <v>45939.852638888886</v>
      </c>
      <c r="E19822" s="2">
        <v>1</v>
      </c>
      <c r="F19822" s="2">
        <v>1</v>
      </c>
      <c r="G19822" s="2">
        <v>0</v>
      </c>
      <c r="H19822" s="1" t="s">
        <v>0</v>
      </c>
      <c r="I19822" s="2">
        <v>0</v>
      </c>
      <c r="J19822" s="1">
        <v>45939.650914351849</v>
      </c>
    </row>
    <row r="19823" spans="1:10" x14ac:dyDescent="0.2">
      <c r="A19823" s="4" t="s">
        <v>1</v>
      </c>
      <c r="B198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23" s="3" t="str">
        <f>HYPERLINK("https://otsuka-europe-crm.veevavault.com/ui/#object/sent_email__v/VBLZ025E82HGMMX", "SE-000285888")</f>
        <v>SE-000285888</v>
      </c>
      <c r="D19823" s="1" t="s">
        <v>0</v>
      </c>
      <c r="E19823" s="2">
        <v>0</v>
      </c>
      <c r="F19823" s="2">
        <v>0</v>
      </c>
      <c r="G19823" s="2">
        <v>0</v>
      </c>
      <c r="H19823" s="1" t="s">
        <v>0</v>
      </c>
      <c r="I19823" s="2">
        <v>0</v>
      </c>
      <c r="J19823" s="1">
        <v>45939.65111111111</v>
      </c>
    </row>
    <row r="19824" spans="1:10" x14ac:dyDescent="0.2">
      <c r="A19824" s="4" t="s">
        <v>1</v>
      </c>
      <c r="B198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24" s="3" t="str">
        <f>HYPERLINK("https://otsuka-europe-crm.veevavault.com/ui/#object/sent_email__v/VBLZ025E82HGMMY", "SE-000285889")</f>
        <v>SE-000285889</v>
      </c>
      <c r="D19824" s="1" t="s">
        <v>0</v>
      </c>
      <c r="E19824" s="2">
        <v>0</v>
      </c>
      <c r="F19824" s="2">
        <v>0</v>
      </c>
      <c r="G19824" s="2">
        <v>0</v>
      </c>
      <c r="H19824" s="1" t="s">
        <v>0</v>
      </c>
      <c r="I19824" s="2">
        <v>0</v>
      </c>
      <c r="J19824" s="1">
        <v>45939.650949074072</v>
      </c>
    </row>
    <row r="19825" spans="1:10" x14ac:dyDescent="0.2">
      <c r="A19825" s="4" t="s">
        <v>1</v>
      </c>
      <c r="B198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25" s="3" t="str">
        <f>HYPERLINK("https://otsuka-europe-crm.veevavault.com/ui/#object/sent_email__v/VBLZ025E82HGMMZ", "SE-000285890")</f>
        <v>SE-000285890</v>
      </c>
      <c r="D19825" s="1">
        <v>45941.524687500001</v>
      </c>
      <c r="E19825" s="2">
        <v>1</v>
      </c>
      <c r="F19825" s="2">
        <v>1</v>
      </c>
      <c r="G19825" s="2">
        <v>0</v>
      </c>
      <c r="H19825" s="1" t="s">
        <v>0</v>
      </c>
      <c r="I19825" s="2">
        <v>0</v>
      </c>
      <c r="J19825" s="1">
        <v>45939.651087962964</v>
      </c>
    </row>
    <row r="19826" spans="1:10" x14ac:dyDescent="0.2">
      <c r="A19826" s="4" t="s">
        <v>1</v>
      </c>
      <c r="B198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26" s="3" t="str">
        <f>HYPERLINK("https://otsuka-europe-crm.veevavault.com/ui/#object/sent_email__v/VBLZ025E82HGMN0", "SE-000285891")</f>
        <v>SE-000285891</v>
      </c>
      <c r="D19826" s="1">
        <v>45939.661620370367</v>
      </c>
      <c r="E19826" s="2">
        <v>1</v>
      </c>
      <c r="F19826" s="2">
        <v>1</v>
      </c>
      <c r="G19826" s="2">
        <v>0</v>
      </c>
      <c r="H19826" s="1" t="s">
        <v>0</v>
      </c>
      <c r="I19826" s="2">
        <v>0</v>
      </c>
      <c r="J19826" s="1">
        <v>45939.650949074072</v>
      </c>
    </row>
    <row r="19827" spans="1:10" x14ac:dyDescent="0.2">
      <c r="A19827" s="4" t="s">
        <v>1</v>
      </c>
      <c r="B198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27" s="3" t="str">
        <f>HYPERLINK("https://otsuka-europe-crm.veevavault.com/ui/#object/sent_email__v/VBLZ025E82HGMN1", "SE-000285892")</f>
        <v>SE-000285892</v>
      </c>
      <c r="D19827" s="1" t="s">
        <v>0</v>
      </c>
      <c r="E19827" s="2">
        <v>0</v>
      </c>
      <c r="F19827" s="2">
        <v>0</v>
      </c>
      <c r="G19827" s="2">
        <v>0</v>
      </c>
      <c r="H19827" s="1" t="s">
        <v>0</v>
      </c>
      <c r="I19827" s="2">
        <v>0</v>
      </c>
      <c r="J19827" s="1">
        <v>45939.651122685187</v>
      </c>
    </row>
    <row r="19828" spans="1:10" x14ac:dyDescent="0.2">
      <c r="A19828" s="4" t="s">
        <v>1</v>
      </c>
      <c r="B198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28" s="3" t="str">
        <f>HYPERLINK("https://otsuka-europe-crm.veevavault.com/ui/#object/sent_email__v/VBLZ025E82HGMN2", "SE-000285893")</f>
        <v>SE-000285893</v>
      </c>
      <c r="D19828" s="1" t="s">
        <v>0</v>
      </c>
      <c r="E19828" s="2">
        <v>0</v>
      </c>
      <c r="F19828" s="2">
        <v>0</v>
      </c>
      <c r="G19828" s="2">
        <v>0</v>
      </c>
      <c r="H19828" s="1" t="s">
        <v>0</v>
      </c>
      <c r="I19828" s="2">
        <v>0</v>
      </c>
      <c r="J19828" s="1">
        <v>45939.650960648149</v>
      </c>
    </row>
    <row r="19829" spans="1:10" x14ac:dyDescent="0.2">
      <c r="A19829" s="4" t="s">
        <v>1</v>
      </c>
      <c r="B198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29" s="3" t="str">
        <f>HYPERLINK("https://otsuka-europe-crm.veevavault.com/ui/#object/sent_email__v/VBLZ025E82HGMN3", "SE-000285894")</f>
        <v>SE-000285894</v>
      </c>
      <c r="D19829" s="1">
        <v>45939.73978009259</v>
      </c>
      <c r="E19829" s="2">
        <v>1</v>
      </c>
      <c r="F19829" s="2">
        <v>1</v>
      </c>
      <c r="G19829" s="2">
        <v>0</v>
      </c>
      <c r="H19829" s="1" t="s">
        <v>0</v>
      </c>
      <c r="I19829" s="2">
        <v>0</v>
      </c>
      <c r="J19829" s="1">
        <v>45939.651134259257</v>
      </c>
    </row>
    <row r="19830" spans="1:10" x14ac:dyDescent="0.2">
      <c r="A19830" s="4" t="s">
        <v>1</v>
      </c>
      <c r="B198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30" s="3" t="str">
        <f>HYPERLINK("https://otsuka-europe-crm.veevavault.com/ui/#object/sent_email__v/VBLZ025E82HGMN4", "SE-000285895")</f>
        <v>SE-000285895</v>
      </c>
      <c r="D19830" s="1">
        <v>45940.258298611108</v>
      </c>
      <c r="E19830" s="2">
        <v>1</v>
      </c>
      <c r="F19830" s="2">
        <v>1</v>
      </c>
      <c r="G19830" s="2">
        <v>0</v>
      </c>
      <c r="H19830" s="1" t="s">
        <v>0</v>
      </c>
      <c r="I19830" s="2">
        <v>0</v>
      </c>
      <c r="J19830" s="1">
        <v>45939.650983796295</v>
      </c>
    </row>
    <row r="19831" spans="1:10" x14ac:dyDescent="0.2">
      <c r="A19831" s="4" t="s">
        <v>1</v>
      </c>
      <c r="B198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31" s="3" t="str">
        <f>HYPERLINK("https://otsuka-europe-crm.veevavault.com/ui/#object/sent_email__v/VBLZ025E82HGMN5", "SE-000285896")</f>
        <v>SE-000285896</v>
      </c>
      <c r="D19831" s="1">
        <v>45939.827974537038</v>
      </c>
      <c r="E19831" s="2">
        <v>1</v>
      </c>
      <c r="F19831" s="2">
        <v>1</v>
      </c>
      <c r="G19831" s="2">
        <v>0</v>
      </c>
      <c r="H19831" s="1" t="s">
        <v>0</v>
      </c>
      <c r="I19831" s="2">
        <v>0</v>
      </c>
      <c r="J19831" s="1">
        <v>45939.651041666664</v>
      </c>
    </row>
    <row r="19832" spans="1:10" x14ac:dyDescent="0.2">
      <c r="A19832" s="4" t="s">
        <v>1</v>
      </c>
      <c r="B198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32" s="3" t="str">
        <f>HYPERLINK("https://otsuka-europe-crm.veevavault.com/ui/#object/sent_email__v/VBLZ025E82HGMN6", "SE-000285897")</f>
        <v>SE-000285897</v>
      </c>
      <c r="D19832" s="1">
        <v>45942.373657407406</v>
      </c>
      <c r="E19832" s="2">
        <v>1</v>
      </c>
      <c r="F19832" s="2">
        <v>2</v>
      </c>
      <c r="G19832" s="2">
        <v>0</v>
      </c>
      <c r="H19832" s="1" t="s">
        <v>0</v>
      </c>
      <c r="I19832" s="2">
        <v>0</v>
      </c>
      <c r="J19832" s="1">
        <v>45939.651192129626</v>
      </c>
    </row>
    <row r="19833" spans="1:10" x14ac:dyDescent="0.2">
      <c r="A19833" s="4" t="s">
        <v>1</v>
      </c>
      <c r="B198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33" s="3" t="str">
        <f>HYPERLINK("https://otsuka-europe-crm.veevavault.com/ui/#object/sent_email__v/VBLZ025E82HGMN7", "SE-000285898")</f>
        <v>SE-000285898</v>
      </c>
      <c r="D19833" s="1">
        <v>45939.70988425926</v>
      </c>
      <c r="E19833" s="2">
        <v>1</v>
      </c>
      <c r="F19833" s="2">
        <v>1</v>
      </c>
      <c r="G19833" s="2">
        <v>0</v>
      </c>
      <c r="H19833" s="1" t="s">
        <v>0</v>
      </c>
      <c r="I19833" s="2">
        <v>0</v>
      </c>
      <c r="J19833" s="1">
        <v>45939.651030092595</v>
      </c>
    </row>
    <row r="19834" spans="1:10" x14ac:dyDescent="0.2">
      <c r="A19834" s="4" t="s">
        <v>1</v>
      </c>
      <c r="B198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34" s="3" t="str">
        <f>HYPERLINK("https://otsuka-europe-crm.veevavault.com/ui/#object/sent_email__v/VBLZ025E82HGMN8", "SE-000285899")</f>
        <v>SE-000285899</v>
      </c>
      <c r="D19834" s="1">
        <v>45939.688437500001</v>
      </c>
      <c r="E19834" s="2">
        <v>1</v>
      </c>
      <c r="F19834" s="2">
        <v>1</v>
      </c>
      <c r="G19834" s="2">
        <v>0</v>
      </c>
      <c r="H19834" s="1" t="s">
        <v>0</v>
      </c>
      <c r="I19834" s="2">
        <v>0</v>
      </c>
      <c r="J19834" s="1">
        <v>45939.651192129626</v>
      </c>
    </row>
    <row r="19835" spans="1:10" x14ac:dyDescent="0.2">
      <c r="A19835" s="4" t="s">
        <v>1</v>
      </c>
      <c r="B198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35" s="3" t="str">
        <f>HYPERLINK("https://otsuka-europe-crm.veevavault.com/ui/#object/sent_email__v/VBLZ025E82HGMN9", "SE-000285900")</f>
        <v>SE-000285900</v>
      </c>
      <c r="D19835" s="1">
        <v>45944.367696759262</v>
      </c>
      <c r="E19835" s="2">
        <v>1</v>
      </c>
      <c r="F19835" s="2">
        <v>1</v>
      </c>
      <c r="G19835" s="2">
        <v>0</v>
      </c>
      <c r="H19835" s="1" t="s">
        <v>0</v>
      </c>
      <c r="I19835" s="2">
        <v>0</v>
      </c>
      <c r="J19835" s="1">
        <v>45939.651053240741</v>
      </c>
    </row>
    <row r="19836" spans="1:10" x14ac:dyDescent="0.2">
      <c r="A19836" s="4" t="s">
        <v>1</v>
      </c>
      <c r="B198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36" s="3" t="str">
        <f>HYPERLINK("https://otsuka-europe-crm.veevavault.com/ui/#object/sent_email__v/VBLZ025E82HGMNA", "SE-000285901")</f>
        <v>SE-000285901</v>
      </c>
      <c r="D19836" s="1">
        <v>45939.956412037034</v>
      </c>
      <c r="E19836" s="2">
        <v>1</v>
      </c>
      <c r="F19836" s="2">
        <v>1</v>
      </c>
      <c r="G19836" s="2">
        <v>0</v>
      </c>
      <c r="H19836" s="1" t="s">
        <v>0</v>
      </c>
      <c r="I19836" s="2">
        <v>0</v>
      </c>
      <c r="J19836" s="1">
        <v>45939.65121527778</v>
      </c>
    </row>
    <row r="19837" spans="1:10" x14ac:dyDescent="0.2">
      <c r="A19837" s="4" t="s">
        <v>1</v>
      </c>
      <c r="B198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37" s="3" t="str">
        <f>HYPERLINK("https://otsuka-europe-crm.veevavault.com/ui/#object/sent_email__v/VBLZ025E82HGMNB", "SE-000285902")</f>
        <v>SE-000285902</v>
      </c>
      <c r="D19837" s="1">
        <v>45939.711875000001</v>
      </c>
      <c r="E19837" s="2">
        <v>1</v>
      </c>
      <c r="F19837" s="2">
        <v>1</v>
      </c>
      <c r="G19837" s="2">
        <v>0</v>
      </c>
      <c r="H19837" s="1" t="s">
        <v>0</v>
      </c>
      <c r="I19837" s="2">
        <v>0</v>
      </c>
      <c r="J19837" s="1">
        <v>45939.651064814818</v>
      </c>
    </row>
    <row r="19838" spans="1:10" x14ac:dyDescent="0.2">
      <c r="A19838" s="4" t="s">
        <v>1</v>
      </c>
      <c r="B198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38" s="3" t="str">
        <f>HYPERLINK("https://otsuka-europe-crm.veevavault.com/ui/#object/sent_email__v/VBLZ025E82HGMNC", "SE-000285903")</f>
        <v>SE-000285903</v>
      </c>
      <c r="D19838" s="1" t="s">
        <v>0</v>
      </c>
      <c r="E19838" s="2">
        <v>0</v>
      </c>
      <c r="F19838" s="2">
        <v>0</v>
      </c>
      <c r="G19838" s="2">
        <v>0</v>
      </c>
      <c r="H19838" s="1" t="s">
        <v>0</v>
      </c>
      <c r="I19838" s="2">
        <v>0</v>
      </c>
      <c r="J19838" s="1">
        <v>45939.651203703703</v>
      </c>
    </row>
    <row r="19839" spans="1:10" x14ac:dyDescent="0.2">
      <c r="A19839" s="4" t="s">
        <v>1</v>
      </c>
      <c r="B198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39" s="3" t="str">
        <f>HYPERLINK("https://otsuka-europe-crm.veevavault.com/ui/#object/sent_email__v/VBLZ025E82HGMND", "SE-000285904")</f>
        <v>SE-000285904</v>
      </c>
      <c r="D19839" s="1">
        <v>45940.564120370371</v>
      </c>
      <c r="E19839" s="2">
        <v>1</v>
      </c>
      <c r="F19839" s="2">
        <v>1</v>
      </c>
      <c r="G19839" s="2">
        <v>1</v>
      </c>
      <c r="H19839" s="1">
        <v>45940.565324074072</v>
      </c>
      <c r="I19839" s="2">
        <v>2</v>
      </c>
      <c r="J19839" s="1">
        <v>45939.651041666664</v>
      </c>
    </row>
    <row r="19840" spans="1:10" x14ac:dyDescent="0.2">
      <c r="A19840" s="4" t="s">
        <v>1</v>
      </c>
      <c r="B198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40" s="3" t="str">
        <f>HYPERLINK("https://otsuka-europe-crm.veevavault.com/ui/#object/sent_email__v/VBLZ025E82HGMNE", "SE-000285905")</f>
        <v>SE-000285905</v>
      </c>
      <c r="D19840" s="1">
        <v>45951.579016203701</v>
      </c>
      <c r="E19840" s="2">
        <v>1</v>
      </c>
      <c r="F19840" s="2">
        <v>2</v>
      </c>
      <c r="G19840" s="2">
        <v>0</v>
      </c>
      <c r="H19840" s="1" t="s">
        <v>0</v>
      </c>
      <c r="I19840" s="2">
        <v>0</v>
      </c>
      <c r="J19840" s="1">
        <v>45939.651006944441</v>
      </c>
    </row>
    <row r="19841" spans="1:10" x14ac:dyDescent="0.2">
      <c r="A19841" s="4" t="s">
        <v>1</v>
      </c>
      <c r="B198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41" s="3" t="str">
        <f>HYPERLINK("https://otsuka-europe-crm.veevavault.com/ui/#object/sent_email__v/VBLZ025E82HGMNF", "SE-000285906")</f>
        <v>SE-000285906</v>
      </c>
      <c r="D19841" s="1" t="s">
        <v>0</v>
      </c>
      <c r="E19841" s="2">
        <v>0</v>
      </c>
      <c r="F19841" s="2">
        <v>0</v>
      </c>
      <c r="G19841" s="2">
        <v>0</v>
      </c>
      <c r="H19841" s="1" t="s">
        <v>0</v>
      </c>
      <c r="I19841" s="2">
        <v>0</v>
      </c>
      <c r="J19841" s="1">
        <v>45939.65116898148</v>
      </c>
    </row>
    <row r="19842" spans="1:10" x14ac:dyDescent="0.2">
      <c r="A19842" s="4" t="s">
        <v>1</v>
      </c>
      <c r="B198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42" s="3" t="str">
        <f>HYPERLINK("https://otsuka-europe-crm.veevavault.com/ui/#object/sent_email__v/VBLZ025E82HGMNG", "SE-000285907")</f>
        <v>SE-000285907</v>
      </c>
      <c r="D19842" s="1" t="s">
        <v>0</v>
      </c>
      <c r="E19842" s="2">
        <v>0</v>
      </c>
      <c r="F19842" s="2">
        <v>0</v>
      </c>
      <c r="G19842" s="2">
        <v>0</v>
      </c>
      <c r="H19842" s="1" t="s">
        <v>0</v>
      </c>
      <c r="I19842" s="2">
        <v>0</v>
      </c>
      <c r="J19842" s="1">
        <v>45939.650972222225</v>
      </c>
    </row>
    <row r="19843" spans="1:10" x14ac:dyDescent="0.2">
      <c r="A19843" s="4" t="s">
        <v>1</v>
      </c>
      <c r="B198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43" s="3" t="str">
        <f>HYPERLINK("https://otsuka-europe-crm.veevavault.com/ui/#object/sent_email__v/VBLZ025E82HGMNH", "SE-000285908")</f>
        <v>SE-000285908</v>
      </c>
      <c r="D19843" s="1">
        <v>45940.245173611111</v>
      </c>
      <c r="E19843" s="2">
        <v>1</v>
      </c>
      <c r="F19843" s="2">
        <v>1</v>
      </c>
      <c r="G19843" s="2">
        <v>0</v>
      </c>
      <c r="H19843" s="1" t="s">
        <v>0</v>
      </c>
      <c r="I19843" s="2">
        <v>0</v>
      </c>
      <c r="J19843" s="1">
        <v>45939.651122685187</v>
      </c>
    </row>
    <row r="19844" spans="1:10" x14ac:dyDescent="0.2">
      <c r="A19844" s="4" t="s">
        <v>1</v>
      </c>
      <c r="B198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44" s="3" t="str">
        <f>HYPERLINK("https://otsuka-europe-crm.veevavault.com/ui/#object/sent_email__v/VBLZ025E82HGMNI", "SE-000285909")</f>
        <v>SE-000285909</v>
      </c>
      <c r="D19844" s="1" t="s">
        <v>0</v>
      </c>
      <c r="E19844" s="2">
        <v>0</v>
      </c>
      <c r="F19844" s="2">
        <v>0</v>
      </c>
      <c r="G19844" s="2">
        <v>0</v>
      </c>
      <c r="H19844" s="1" t="s">
        <v>0</v>
      </c>
      <c r="I19844" s="2">
        <v>0</v>
      </c>
      <c r="J19844" s="1">
        <v>45939.651006944441</v>
      </c>
    </row>
    <row r="19845" spans="1:10" x14ac:dyDescent="0.2">
      <c r="A19845" s="4" t="s">
        <v>1</v>
      </c>
      <c r="B198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45" s="3" t="str">
        <f>HYPERLINK("https://otsuka-europe-crm.veevavault.com/ui/#object/sent_email__v/VBLZ025E82HGMNJ", "SE-000285910")</f>
        <v>SE-000285910</v>
      </c>
      <c r="D19845" s="1" t="s">
        <v>0</v>
      </c>
      <c r="E19845" s="2">
        <v>0</v>
      </c>
      <c r="F19845" s="2">
        <v>0</v>
      </c>
      <c r="G19845" s="2">
        <v>0</v>
      </c>
      <c r="H19845" s="1" t="s">
        <v>0</v>
      </c>
      <c r="I19845" s="2">
        <v>0</v>
      </c>
      <c r="J19845" s="1">
        <v>45939.651180555556</v>
      </c>
    </row>
    <row r="19846" spans="1:10" x14ac:dyDescent="0.2">
      <c r="A19846" s="4" t="s">
        <v>1</v>
      </c>
      <c r="B198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46" s="3" t="str">
        <f>HYPERLINK("https://otsuka-europe-crm.veevavault.com/ui/#object/sent_email__v/VBLZ025E82HGMNK", "SE-000285911")</f>
        <v>SE-000285911</v>
      </c>
      <c r="D19846" s="1" t="s">
        <v>0</v>
      </c>
      <c r="E19846" s="2">
        <v>0</v>
      </c>
      <c r="F19846" s="2">
        <v>0</v>
      </c>
      <c r="G19846" s="2">
        <v>0</v>
      </c>
      <c r="H19846" s="1" t="s">
        <v>0</v>
      </c>
      <c r="I19846" s="2">
        <v>0</v>
      </c>
      <c r="J19846" s="1">
        <v>45939.651018518518</v>
      </c>
    </row>
    <row r="19847" spans="1:10" x14ac:dyDescent="0.2">
      <c r="A19847" s="4" t="s">
        <v>1</v>
      </c>
      <c r="B198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47" s="3" t="str">
        <f>HYPERLINK("https://otsuka-europe-crm.veevavault.com/ui/#object/sent_email__v/VBLZ025E82HGMNL", "SE-000285912")</f>
        <v>SE-000285912</v>
      </c>
      <c r="D19847" s="1" t="s">
        <v>0</v>
      </c>
      <c r="E19847" s="2">
        <v>0</v>
      </c>
      <c r="F19847" s="2">
        <v>0</v>
      </c>
      <c r="G19847" s="2">
        <v>0</v>
      </c>
      <c r="H19847" s="1" t="s">
        <v>0</v>
      </c>
      <c r="I19847" s="2">
        <v>0</v>
      </c>
      <c r="J19847" s="1">
        <v>45939.65116898148</v>
      </c>
    </row>
    <row r="19848" spans="1:10" x14ac:dyDescent="0.2">
      <c r="A19848" s="4" t="s">
        <v>1</v>
      </c>
      <c r="B198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48" s="3" t="str">
        <f>HYPERLINK("https://otsuka-europe-crm.veevavault.com/ui/#object/sent_email__v/VBLZ025E82HGMNM", "SE-000285913")</f>
        <v>SE-000285913</v>
      </c>
      <c r="D19848" s="1">
        <v>45945.318229166667</v>
      </c>
      <c r="E19848" s="2">
        <v>1</v>
      </c>
      <c r="F19848" s="2">
        <v>1</v>
      </c>
      <c r="G19848" s="2">
        <v>0</v>
      </c>
      <c r="H19848" s="1" t="s">
        <v>0</v>
      </c>
      <c r="I19848" s="2">
        <v>0</v>
      </c>
      <c r="J19848" s="1">
        <v>45939.650914351849</v>
      </c>
    </row>
    <row r="19849" spans="1:10" x14ac:dyDescent="0.2">
      <c r="A19849" s="4" t="s">
        <v>1</v>
      </c>
      <c r="B198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49" s="3" t="str">
        <f>HYPERLINK("https://otsuka-europe-crm.veevavault.com/ui/#object/sent_email__v/VBLZ025E82HGMNN", "SE-000285914")</f>
        <v>SE-000285914</v>
      </c>
      <c r="D19849" s="1" t="s">
        <v>0</v>
      </c>
      <c r="E19849" s="2">
        <v>0</v>
      </c>
      <c r="F19849" s="2">
        <v>0</v>
      </c>
      <c r="G19849" s="2">
        <v>0</v>
      </c>
      <c r="H19849" s="1" t="s">
        <v>0</v>
      </c>
      <c r="I19849" s="2">
        <v>0</v>
      </c>
      <c r="J19849" s="1">
        <v>45939.651076388887</v>
      </c>
    </row>
    <row r="19850" spans="1:10" x14ac:dyDescent="0.2">
      <c r="A19850" s="4" t="s">
        <v>1</v>
      </c>
      <c r="B198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50" s="3" t="str">
        <f>HYPERLINK("https://otsuka-europe-crm.veevavault.com/ui/#object/sent_email__v/VBLZ025E82HGMNO", "SE-000285915")</f>
        <v>SE-000285915</v>
      </c>
      <c r="D19850" s="1" t="s">
        <v>0</v>
      </c>
      <c r="E19850" s="2">
        <v>0</v>
      </c>
      <c r="F19850" s="2">
        <v>0</v>
      </c>
      <c r="G19850" s="2">
        <v>0</v>
      </c>
      <c r="H19850" s="1" t="s">
        <v>0</v>
      </c>
      <c r="I19850" s="2">
        <v>0</v>
      </c>
      <c r="J19850" s="1">
        <v>45939.650925925926</v>
      </c>
    </row>
    <row r="19851" spans="1:10" x14ac:dyDescent="0.2">
      <c r="A19851" s="4" t="s">
        <v>1</v>
      </c>
      <c r="B198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51" s="3" t="str">
        <f>HYPERLINK("https://otsuka-europe-crm.veevavault.com/ui/#object/sent_email__v/VBLZ025E82HGMNP", "SE-000285916")</f>
        <v>SE-000285916</v>
      </c>
      <c r="D19851" s="1">
        <v>45945.976805555554</v>
      </c>
      <c r="E19851" s="2">
        <v>1</v>
      </c>
      <c r="F19851" s="2">
        <v>1</v>
      </c>
      <c r="G19851" s="2">
        <v>0</v>
      </c>
      <c r="H19851" s="1" t="s">
        <v>0</v>
      </c>
      <c r="I19851" s="2">
        <v>0</v>
      </c>
      <c r="J19851" s="1">
        <v>45939.65115740741</v>
      </c>
    </row>
    <row r="19852" spans="1:10" x14ac:dyDescent="0.2">
      <c r="A19852" s="4" t="s">
        <v>1</v>
      </c>
      <c r="B198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52" s="3" t="str">
        <f>HYPERLINK("https://otsuka-europe-crm.veevavault.com/ui/#object/sent_email__v/VBLZ025E82HGMNQ", "SE-000285917")</f>
        <v>SE-000285917</v>
      </c>
      <c r="D19852" s="1">
        <v>45939.651400462964</v>
      </c>
      <c r="E19852" s="2">
        <v>1</v>
      </c>
      <c r="F19852" s="2">
        <v>2</v>
      </c>
      <c r="G19852" s="2">
        <v>0</v>
      </c>
      <c r="H19852" s="1" t="s">
        <v>0</v>
      </c>
      <c r="I19852" s="2">
        <v>0</v>
      </c>
      <c r="J19852" s="1">
        <v>45939.650995370372</v>
      </c>
    </row>
    <row r="19853" spans="1:10" x14ac:dyDescent="0.2">
      <c r="A19853" s="4" t="s">
        <v>1</v>
      </c>
      <c r="B198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53" s="3" t="str">
        <f>HYPERLINK("https://otsuka-europe-crm.veevavault.com/ui/#object/sent_email__v/VBLZ025E82HGMNR", "SE-000285918")</f>
        <v>SE-000285918</v>
      </c>
      <c r="D19853" s="1">
        <v>45939.895543981482</v>
      </c>
      <c r="E19853" s="2">
        <v>1</v>
      </c>
      <c r="F19853" s="2">
        <v>1</v>
      </c>
      <c r="G19853" s="2">
        <v>0</v>
      </c>
      <c r="H19853" s="1" t="s">
        <v>0</v>
      </c>
      <c r="I19853" s="2">
        <v>0</v>
      </c>
      <c r="J19853" s="1">
        <v>45939.651145833333</v>
      </c>
    </row>
    <row r="19854" spans="1:10" x14ac:dyDescent="0.2">
      <c r="A19854" s="4" t="s">
        <v>1</v>
      </c>
      <c r="B198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54" s="3" t="str">
        <f>HYPERLINK("https://otsuka-europe-crm.veevavault.com/ui/#object/sent_email__v/VBLZ025E82HGMNS", "SE-000285919")</f>
        <v>SE-000285919</v>
      </c>
      <c r="D19854" s="1" t="s">
        <v>0</v>
      </c>
      <c r="E19854" s="2">
        <v>0</v>
      </c>
      <c r="F19854" s="2">
        <v>0</v>
      </c>
      <c r="G19854" s="2">
        <v>0</v>
      </c>
      <c r="H19854" s="1" t="s">
        <v>0</v>
      </c>
      <c r="I19854" s="2">
        <v>0</v>
      </c>
      <c r="J19854" s="1">
        <v>45939.650972222225</v>
      </c>
    </row>
    <row r="19855" spans="1:10" x14ac:dyDescent="0.2">
      <c r="A19855" s="4" t="s">
        <v>1</v>
      </c>
      <c r="B198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55" s="3" t="str">
        <f>HYPERLINK("https://otsuka-europe-crm.veevavault.com/ui/#object/sent_email__v/VBLZ025E82HGO95", "SE-000285923")</f>
        <v>SE-000285923</v>
      </c>
      <c r="D19855" s="1">
        <v>45939.711145833331</v>
      </c>
      <c r="E19855" s="2">
        <v>1</v>
      </c>
      <c r="F19855" s="2">
        <v>2</v>
      </c>
      <c r="G19855" s="2">
        <v>0</v>
      </c>
      <c r="H19855" s="1" t="s">
        <v>0</v>
      </c>
      <c r="I19855" s="2">
        <v>0</v>
      </c>
      <c r="J19855" s="1">
        <v>45939.674525462964</v>
      </c>
    </row>
    <row r="19856" spans="1:10" x14ac:dyDescent="0.2">
      <c r="A19856" s="4" t="s">
        <v>1</v>
      </c>
      <c r="B198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56" s="3" t="str">
        <f>HYPERLINK("https://otsuka-europe-crm.veevavault.com/ui/#object/sent_email__v/VBLZ025E82HGO96", "SE-000285924")</f>
        <v>SE-000285924</v>
      </c>
      <c r="D19856" s="1" t="s">
        <v>0</v>
      </c>
      <c r="E19856" s="2">
        <v>0</v>
      </c>
      <c r="F19856" s="2">
        <v>0</v>
      </c>
      <c r="G19856" s="2">
        <v>0</v>
      </c>
      <c r="H19856" s="1" t="s">
        <v>0</v>
      </c>
      <c r="I19856" s="2">
        <v>0</v>
      </c>
      <c r="J19856" s="1">
        <v>45939.674537037034</v>
      </c>
    </row>
    <row r="19857" spans="1:10" x14ac:dyDescent="0.2">
      <c r="A19857" s="4" t="s">
        <v>1</v>
      </c>
      <c r="B198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57" s="3" t="str">
        <f>HYPERLINK("https://otsuka-europe-crm.veevavault.com/ui/#object/sent_email__v/VBLZ025E82HGO97", "SE-000285925")</f>
        <v>SE-000285925</v>
      </c>
      <c r="D19857" s="1" t="s">
        <v>0</v>
      </c>
      <c r="E19857" s="2">
        <v>0</v>
      </c>
      <c r="F19857" s="2">
        <v>0</v>
      </c>
      <c r="G19857" s="2">
        <v>0</v>
      </c>
      <c r="H19857" s="1" t="s">
        <v>0</v>
      </c>
      <c r="I19857" s="2">
        <v>0</v>
      </c>
      <c r="J19857" s="1">
        <v>45939.674537037034</v>
      </c>
    </row>
    <row r="19858" spans="1:10" x14ac:dyDescent="0.2">
      <c r="A19858" s="4" t="s">
        <v>1</v>
      </c>
      <c r="B198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58" s="3" t="str">
        <f>HYPERLINK("https://otsuka-europe-crm.veevavault.com/ui/#object/sent_email__v/VBLZ025E82HGO98", "SE-000285926")</f>
        <v>SE-000285926</v>
      </c>
      <c r="D19858" s="1">
        <v>45939.814629629633</v>
      </c>
      <c r="E19858" s="2">
        <v>1</v>
      </c>
      <c r="F19858" s="2">
        <v>1</v>
      </c>
      <c r="G19858" s="2">
        <v>0</v>
      </c>
      <c r="H19858" s="1" t="s">
        <v>0</v>
      </c>
      <c r="I19858" s="2">
        <v>0</v>
      </c>
      <c r="J19858" s="1">
        <v>45939.674537037034</v>
      </c>
    </row>
    <row r="19859" spans="1:10" x14ac:dyDescent="0.2">
      <c r="A19859" s="4" t="s">
        <v>1</v>
      </c>
      <c r="B198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59" s="3" t="str">
        <f>HYPERLINK("https://otsuka-europe-crm.veevavault.com/ui/#object/sent_email__v/VBLZ025E82HGO99", "SE-000285927")</f>
        <v>SE-000285927</v>
      </c>
      <c r="D19859" s="1">
        <v>45939.674687500003</v>
      </c>
      <c r="E19859" s="2">
        <v>1</v>
      </c>
      <c r="F19859" s="2">
        <v>1</v>
      </c>
      <c r="G19859" s="2">
        <v>1</v>
      </c>
      <c r="H19859" s="1">
        <v>45939.674780092595</v>
      </c>
      <c r="I19859" s="2">
        <v>3</v>
      </c>
      <c r="J19859" s="1">
        <v>45939.674560185187</v>
      </c>
    </row>
    <row r="19860" spans="1:10" x14ac:dyDescent="0.2">
      <c r="A19860" s="4" t="s">
        <v>1</v>
      </c>
      <c r="B198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60" s="3" t="str">
        <f>HYPERLINK("https://otsuka-europe-crm.veevavault.com/ui/#object/sent_email__v/VBLZ025E82HGO9A", "SE-000285928")</f>
        <v>SE-000285928</v>
      </c>
      <c r="D19860" s="1" t="s">
        <v>0</v>
      </c>
      <c r="E19860" s="2">
        <v>0</v>
      </c>
      <c r="F19860" s="2">
        <v>0</v>
      </c>
      <c r="G19860" s="2">
        <v>0</v>
      </c>
      <c r="H19860" s="1" t="s">
        <v>0</v>
      </c>
      <c r="I19860" s="2">
        <v>0</v>
      </c>
      <c r="J19860" s="1">
        <v>45939.674560185187</v>
      </c>
    </row>
    <row r="19861" spans="1:10" x14ac:dyDescent="0.2">
      <c r="A19861" s="4" t="s">
        <v>1</v>
      </c>
      <c r="B198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61" s="3" t="str">
        <f>HYPERLINK("https://otsuka-europe-crm.veevavault.com/ui/#object/sent_email__v/VBLZ025E82HGO9B", "SE-000285929")</f>
        <v>SE-000285929</v>
      </c>
      <c r="D19861" s="1" t="s">
        <v>0</v>
      </c>
      <c r="E19861" s="2">
        <v>0</v>
      </c>
      <c r="F19861" s="2">
        <v>0</v>
      </c>
      <c r="G19861" s="2">
        <v>0</v>
      </c>
      <c r="H19861" s="1" t="s">
        <v>0</v>
      </c>
      <c r="I19861" s="2">
        <v>0</v>
      </c>
      <c r="J19861" s="1">
        <v>45939.674571759257</v>
      </c>
    </row>
    <row r="19862" spans="1:10" x14ac:dyDescent="0.2">
      <c r="A19862" s="4" t="s">
        <v>1</v>
      </c>
      <c r="B198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62" s="3" t="str">
        <f>HYPERLINK("https://otsuka-europe-crm.veevavault.com/ui/#object/sent_email__v/VBLZ025E82HGO9C", "SE-000285930")</f>
        <v>SE-000285930</v>
      </c>
      <c r="D19862" s="1">
        <v>45939.676388888889</v>
      </c>
      <c r="E19862" s="2">
        <v>1</v>
      </c>
      <c r="F19862" s="2">
        <v>1</v>
      </c>
      <c r="G19862" s="2">
        <v>0</v>
      </c>
      <c r="H19862" s="1" t="s">
        <v>0</v>
      </c>
      <c r="I19862" s="2">
        <v>0</v>
      </c>
      <c r="J19862" s="1">
        <v>45939.674583333333</v>
      </c>
    </row>
    <row r="19863" spans="1:10" x14ac:dyDescent="0.2">
      <c r="A19863" s="4" t="s">
        <v>1</v>
      </c>
      <c r="B198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63" s="3" t="str">
        <f>HYPERLINK("https://otsuka-europe-crm.veevavault.com/ui/#object/sent_email__v/VBLZ025E82HGO9D", "SE-000285931")</f>
        <v>SE-000285931</v>
      </c>
      <c r="D19863" s="1">
        <v>45944.758738425924</v>
      </c>
      <c r="E19863" s="2">
        <v>1</v>
      </c>
      <c r="F19863" s="2">
        <v>3</v>
      </c>
      <c r="G19863" s="2">
        <v>0</v>
      </c>
      <c r="H19863" s="1" t="s">
        <v>0</v>
      </c>
      <c r="I19863" s="2">
        <v>0</v>
      </c>
      <c r="J19863" s="1">
        <v>45939.674583333333</v>
      </c>
    </row>
    <row r="19864" spans="1:10" x14ac:dyDescent="0.2">
      <c r="A19864" s="4" t="s">
        <v>1</v>
      </c>
      <c r="B198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64" s="3" t="str">
        <f>HYPERLINK("https://otsuka-europe-crm.veevavault.com/ui/#object/sent_email__v/VBLZ025E82HGO9E", "SE-000285932")</f>
        <v>SE-000285932</v>
      </c>
      <c r="D19864" s="1">
        <v>45939.750347222223</v>
      </c>
      <c r="E19864" s="2">
        <v>1</v>
      </c>
      <c r="F19864" s="2">
        <v>2</v>
      </c>
      <c r="G19864" s="2">
        <v>0</v>
      </c>
      <c r="H19864" s="1" t="s">
        <v>0</v>
      </c>
      <c r="I19864" s="2">
        <v>0</v>
      </c>
      <c r="J19864" s="1">
        <v>45939.67459490741</v>
      </c>
    </row>
    <row r="19865" spans="1:10" x14ac:dyDescent="0.2">
      <c r="A19865" s="4" t="s">
        <v>1</v>
      </c>
      <c r="B198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65" s="3" t="str">
        <f>HYPERLINK("https://otsuka-europe-crm.veevavault.com/ui/#object/sent_email__v/VBLZ025E82HGO9F", "SE-000285933")</f>
        <v>SE-000285933</v>
      </c>
      <c r="D19865" s="1">
        <v>45939.87400462963</v>
      </c>
      <c r="E19865" s="2">
        <v>1</v>
      </c>
      <c r="F19865" s="2">
        <v>1</v>
      </c>
      <c r="G19865" s="2">
        <v>0</v>
      </c>
      <c r="H19865" s="1" t="s">
        <v>0</v>
      </c>
      <c r="I19865" s="2">
        <v>0</v>
      </c>
      <c r="J19865" s="1">
        <v>45939.67460648148</v>
      </c>
    </row>
    <row r="19866" spans="1:10" x14ac:dyDescent="0.2">
      <c r="A19866" s="4" t="s">
        <v>1</v>
      </c>
      <c r="B198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66" s="3" t="str">
        <f>HYPERLINK("https://otsuka-europe-crm.veevavault.com/ui/#object/sent_email__v/VBLZ025E82HGO9G", "SE-000285934")</f>
        <v>SE-000285934</v>
      </c>
      <c r="D19866" s="1">
        <v>45939.857129629629</v>
      </c>
      <c r="E19866" s="2">
        <v>1</v>
      </c>
      <c r="F19866" s="2">
        <v>1</v>
      </c>
      <c r="G19866" s="2">
        <v>0</v>
      </c>
      <c r="H19866" s="1" t="s">
        <v>0</v>
      </c>
      <c r="I19866" s="2">
        <v>0</v>
      </c>
      <c r="J19866" s="1">
        <v>45939.674618055556</v>
      </c>
    </row>
    <row r="19867" spans="1:10" x14ac:dyDescent="0.2">
      <c r="A19867" s="4" t="s">
        <v>1</v>
      </c>
      <c r="B198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67" s="3" t="str">
        <f>HYPERLINK("https://otsuka-europe-crm.veevavault.com/ui/#object/sent_email__v/VBLZ025E82HGO9H", "SE-000285935")</f>
        <v>SE-000285935</v>
      </c>
      <c r="D19867" s="1" t="s">
        <v>0</v>
      </c>
      <c r="E19867" s="2">
        <v>0</v>
      </c>
      <c r="F19867" s="2">
        <v>0</v>
      </c>
      <c r="G19867" s="2">
        <v>0</v>
      </c>
      <c r="H19867" s="1" t="s">
        <v>0</v>
      </c>
      <c r="I19867" s="2">
        <v>0</v>
      </c>
      <c r="J19867" s="1">
        <v>45939.674629629626</v>
      </c>
    </row>
    <row r="19868" spans="1:10" x14ac:dyDescent="0.2">
      <c r="A19868" s="4" t="s">
        <v>1</v>
      </c>
      <c r="B198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68" s="3" t="str">
        <f>HYPERLINK("https://otsuka-europe-crm.veevavault.com/ui/#object/sent_email__v/VBLZ025E82HGP99", "SE-000285936")</f>
        <v>SE-000285936</v>
      </c>
      <c r="D19868" s="1">
        <v>45939.687951388885</v>
      </c>
      <c r="E19868" s="2">
        <v>1</v>
      </c>
      <c r="F19868" s="2">
        <v>2</v>
      </c>
      <c r="G19868" s="2">
        <v>0</v>
      </c>
      <c r="H19868" s="1" t="s">
        <v>0</v>
      </c>
      <c r="I19868" s="2">
        <v>0</v>
      </c>
      <c r="J19868" s="1">
        <v>45939.677453703705</v>
      </c>
    </row>
    <row r="19869" spans="1:10" x14ac:dyDescent="0.2">
      <c r="A19869" s="4" t="s">
        <v>1</v>
      </c>
      <c r="B198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69" s="3" t="str">
        <f>HYPERLINK("https://otsuka-europe-crm.veevavault.com/ui/#object/sent_email__v/VBLZ025E82HGP9A", "SE-000285937")</f>
        <v>SE-000285937</v>
      </c>
      <c r="D19869" s="1">
        <v>45942.521643518521</v>
      </c>
      <c r="E19869" s="2">
        <v>1</v>
      </c>
      <c r="F19869" s="2">
        <v>2</v>
      </c>
      <c r="G19869" s="2">
        <v>0</v>
      </c>
      <c r="H19869" s="1" t="s">
        <v>0</v>
      </c>
      <c r="I19869" s="2">
        <v>0</v>
      </c>
      <c r="J19869" s="1">
        <v>45939.677453703705</v>
      </c>
    </row>
    <row r="19870" spans="1:10" x14ac:dyDescent="0.2">
      <c r="A19870" s="4" t="s">
        <v>1</v>
      </c>
      <c r="B198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70" s="3" t="str">
        <f>HYPERLINK("https://otsuka-europe-crm.veevavault.com/ui/#object/sent_email__v/VBLZ025E82HGP9B", "SE-000285938")</f>
        <v>SE-000285938</v>
      </c>
      <c r="D19870" s="1">
        <v>45939.724791666667</v>
      </c>
      <c r="E19870" s="2">
        <v>1</v>
      </c>
      <c r="F19870" s="2">
        <v>1</v>
      </c>
      <c r="G19870" s="2">
        <v>0</v>
      </c>
      <c r="H19870" s="1" t="s">
        <v>0</v>
      </c>
      <c r="I19870" s="2">
        <v>0</v>
      </c>
      <c r="J19870" s="1">
        <v>45939.677453703705</v>
      </c>
    </row>
    <row r="19871" spans="1:10" x14ac:dyDescent="0.2">
      <c r="A19871" s="4" t="s">
        <v>1</v>
      </c>
      <c r="B198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71" s="3" t="str">
        <f>HYPERLINK("https://otsuka-europe-crm.veevavault.com/ui/#object/sent_email__v/VBLZ025E82HGP9C", "SE-000285939")</f>
        <v>SE-000285939</v>
      </c>
      <c r="D19871" s="1" t="s">
        <v>0</v>
      </c>
      <c r="E19871" s="2">
        <v>0</v>
      </c>
      <c r="F19871" s="2">
        <v>0</v>
      </c>
      <c r="G19871" s="2">
        <v>0</v>
      </c>
      <c r="H19871" s="1" t="s">
        <v>0</v>
      </c>
      <c r="I19871" s="2">
        <v>0</v>
      </c>
      <c r="J19871" s="1">
        <v>45939.677476851852</v>
      </c>
    </row>
    <row r="19872" spans="1:10" x14ac:dyDescent="0.2">
      <c r="A19872" s="4" t="s">
        <v>1</v>
      </c>
      <c r="B198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72" s="3" t="str">
        <f>HYPERLINK("https://otsuka-europe-crm.veevavault.com/ui/#object/sent_email__v/VBLZ025E82HGP9D", "SE-000285940")</f>
        <v>SE-000285940</v>
      </c>
      <c r="D19872" s="1">
        <v>45939.943553240744</v>
      </c>
      <c r="E19872" s="2">
        <v>1</v>
      </c>
      <c r="F19872" s="2">
        <v>1</v>
      </c>
      <c r="G19872" s="2">
        <v>0</v>
      </c>
      <c r="H19872" s="1" t="s">
        <v>0</v>
      </c>
      <c r="I19872" s="2">
        <v>0</v>
      </c>
      <c r="J19872" s="1">
        <v>45939.677476851852</v>
      </c>
    </row>
    <row r="19873" spans="1:10" x14ac:dyDescent="0.2">
      <c r="A19873" s="4" t="s">
        <v>1</v>
      </c>
      <c r="B198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73" s="3" t="str">
        <f>HYPERLINK("https://otsuka-europe-crm.veevavault.com/ui/#object/sent_email__v/VBLZ025E82HGP9E", "SE-000285941")</f>
        <v>SE-000285941</v>
      </c>
      <c r="D19873" s="1">
        <v>45940.270092592589</v>
      </c>
      <c r="E19873" s="2">
        <v>1</v>
      </c>
      <c r="F19873" s="2">
        <v>4</v>
      </c>
      <c r="G19873" s="2">
        <v>0</v>
      </c>
      <c r="H19873" s="1" t="s">
        <v>0</v>
      </c>
      <c r="I19873" s="2">
        <v>0</v>
      </c>
      <c r="J19873" s="1">
        <v>45939.677499999998</v>
      </c>
    </row>
    <row r="19874" spans="1:10" x14ac:dyDescent="0.2">
      <c r="A19874" s="4" t="s">
        <v>1</v>
      </c>
      <c r="B198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74" s="3" t="str">
        <f>HYPERLINK("https://otsuka-europe-crm.veevavault.com/ui/#object/sent_email__v/VBLZ025E82HGP9F", "SE-000285942")</f>
        <v>SE-000285942</v>
      </c>
      <c r="D19874" s="1" t="s">
        <v>0</v>
      </c>
      <c r="E19874" s="2">
        <v>0</v>
      </c>
      <c r="F19874" s="2">
        <v>0</v>
      </c>
      <c r="G19874" s="2">
        <v>0</v>
      </c>
      <c r="H19874" s="1" t="s">
        <v>0</v>
      </c>
      <c r="I19874" s="2">
        <v>0</v>
      </c>
      <c r="J19874" s="1">
        <v>45939.677511574075</v>
      </c>
    </row>
    <row r="19875" spans="1:10" x14ac:dyDescent="0.2">
      <c r="A19875" s="4" t="s">
        <v>1</v>
      </c>
      <c r="B198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75" s="3" t="str">
        <f>HYPERLINK("https://otsuka-europe-crm.veevavault.com/ui/#object/sent_email__v/VBLZ025E82HGP9G", "SE-000285943")</f>
        <v>SE-000285943</v>
      </c>
      <c r="D19875" s="1">
        <v>45939.677615740744</v>
      </c>
      <c r="E19875" s="2">
        <v>1</v>
      </c>
      <c r="F19875" s="2">
        <v>1</v>
      </c>
      <c r="G19875" s="2">
        <v>0</v>
      </c>
      <c r="H19875" s="1" t="s">
        <v>0</v>
      </c>
      <c r="I19875" s="2">
        <v>0</v>
      </c>
      <c r="J19875" s="1">
        <v>45939.677523148152</v>
      </c>
    </row>
    <row r="19876" spans="1:10" x14ac:dyDescent="0.2">
      <c r="A19876" s="4" t="s">
        <v>1</v>
      </c>
      <c r="B198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76" s="3" t="str">
        <f>HYPERLINK("https://otsuka-europe-crm.veevavault.com/ui/#object/sent_email__v/VBLZ025E82HGQVL", "SE-000285944")</f>
        <v>SE-000285944</v>
      </c>
      <c r="D19876" s="1" t="s">
        <v>0</v>
      </c>
      <c r="E19876" s="2">
        <v>0</v>
      </c>
      <c r="F19876" s="2">
        <v>0</v>
      </c>
      <c r="G19876" s="2">
        <v>0</v>
      </c>
      <c r="H19876" s="1" t="s">
        <v>0</v>
      </c>
      <c r="I19876" s="2">
        <v>0</v>
      </c>
      <c r="J19876" s="1">
        <v>45939.686793981484</v>
      </c>
    </row>
    <row r="19877" spans="1:10" x14ac:dyDescent="0.2">
      <c r="A19877" s="4" t="s">
        <v>1</v>
      </c>
      <c r="B198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77" s="3" t="str">
        <f>HYPERLINK("https://otsuka-europe-crm.veevavault.com/ui/#object/sent_email__v/VBLZ025E82HGQVM", "SE-000285945")</f>
        <v>SE-000285945</v>
      </c>
      <c r="D19877" s="1" t="s">
        <v>0</v>
      </c>
      <c r="E19877" s="2">
        <v>0</v>
      </c>
      <c r="F19877" s="2">
        <v>0</v>
      </c>
      <c r="G19877" s="2">
        <v>0</v>
      </c>
      <c r="H19877" s="1" t="s">
        <v>0</v>
      </c>
      <c r="I19877" s="2">
        <v>0</v>
      </c>
      <c r="J19877" s="1">
        <v>45939.686805555553</v>
      </c>
    </row>
    <row r="19878" spans="1:10" x14ac:dyDescent="0.2">
      <c r="A19878" s="4" t="s">
        <v>1</v>
      </c>
      <c r="B198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78" s="3" t="str">
        <f>HYPERLINK("https://otsuka-europe-crm.veevavault.com/ui/#object/sent_email__v/VBLZ025E82HGQVN", "SE-000285946")</f>
        <v>SE-000285946</v>
      </c>
      <c r="D19878" s="1" t="s">
        <v>0</v>
      </c>
      <c r="E19878" s="2">
        <v>0</v>
      </c>
      <c r="F19878" s="2">
        <v>0</v>
      </c>
      <c r="G19878" s="2">
        <v>0</v>
      </c>
      <c r="H19878" s="1" t="s">
        <v>0</v>
      </c>
      <c r="I19878" s="2">
        <v>0</v>
      </c>
      <c r="J19878" s="1">
        <v>45939.686805555553</v>
      </c>
    </row>
    <row r="19879" spans="1:10" x14ac:dyDescent="0.2">
      <c r="A19879" s="4" t="s">
        <v>1</v>
      </c>
      <c r="B198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79" s="3" t="str">
        <f>HYPERLINK("https://otsuka-europe-crm.veevavault.com/ui/#object/sent_email__v/VBLZ025E82HGQVO", "SE-000285947")</f>
        <v>SE-000285947</v>
      </c>
      <c r="D19879" s="1">
        <v>45940.343865740739</v>
      </c>
      <c r="E19879" s="2">
        <v>1</v>
      </c>
      <c r="F19879" s="2">
        <v>2</v>
      </c>
      <c r="G19879" s="2">
        <v>0</v>
      </c>
      <c r="H19879" s="1" t="s">
        <v>0</v>
      </c>
      <c r="I19879" s="2">
        <v>0</v>
      </c>
      <c r="J19879" s="1">
        <v>45939.686828703707</v>
      </c>
    </row>
    <row r="19880" spans="1:10" x14ac:dyDescent="0.2">
      <c r="A19880" s="4" t="s">
        <v>1</v>
      </c>
      <c r="B198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80" s="3" t="str">
        <f>HYPERLINK("https://otsuka-europe-crm.veevavault.com/ui/#object/sent_email__v/VBLZ025E82HGQVP", "SE-000285948")</f>
        <v>SE-000285948</v>
      </c>
      <c r="D19880" s="1" t="s">
        <v>0</v>
      </c>
      <c r="E19880" s="2">
        <v>0</v>
      </c>
      <c r="F19880" s="2">
        <v>0</v>
      </c>
      <c r="G19880" s="2">
        <v>0</v>
      </c>
      <c r="H19880" s="1" t="s">
        <v>0</v>
      </c>
      <c r="I19880" s="2">
        <v>0</v>
      </c>
      <c r="J19880" s="1">
        <v>45939.686828703707</v>
      </c>
    </row>
    <row r="19881" spans="1:10" x14ac:dyDescent="0.2">
      <c r="A19881" s="4" t="s">
        <v>1</v>
      </c>
      <c r="B198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81" s="3" t="str">
        <f>HYPERLINK("https://otsuka-europe-crm.veevavault.com/ui/#object/sent_email__v/VBLZ025E82HGQVQ", "SE-000285949")</f>
        <v>SE-000285949</v>
      </c>
      <c r="D19881" s="1" t="s">
        <v>0</v>
      </c>
      <c r="E19881" s="2">
        <v>0</v>
      </c>
      <c r="F19881" s="2">
        <v>0</v>
      </c>
      <c r="G19881" s="2">
        <v>0</v>
      </c>
      <c r="H19881" s="1" t="s">
        <v>0</v>
      </c>
      <c r="I19881" s="2">
        <v>0</v>
      </c>
      <c r="J19881" s="1">
        <v>45939.686840277776</v>
      </c>
    </row>
    <row r="19882" spans="1:10" x14ac:dyDescent="0.2">
      <c r="A19882" s="4" t="s">
        <v>1</v>
      </c>
      <c r="B198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82" s="3" t="str">
        <f>HYPERLINK("https://otsuka-europe-crm.veevavault.com/ui/#object/sent_email__v/VBLZ025E82HGQVR", "SE-000285950")</f>
        <v>SE-000285950</v>
      </c>
      <c r="D19882" s="1">
        <v>45940.090300925927</v>
      </c>
      <c r="E19882" s="2">
        <v>1</v>
      </c>
      <c r="F19882" s="2">
        <v>1</v>
      </c>
      <c r="G19882" s="2">
        <v>0</v>
      </c>
      <c r="H19882" s="1" t="s">
        <v>0</v>
      </c>
      <c r="I19882" s="2">
        <v>0</v>
      </c>
      <c r="J19882" s="1">
        <v>45939.686851851853</v>
      </c>
    </row>
    <row r="19883" spans="1:10" x14ac:dyDescent="0.2">
      <c r="A19883" s="4" t="s">
        <v>1</v>
      </c>
      <c r="B198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83" s="3" t="str">
        <f>HYPERLINK("https://otsuka-europe-crm.veevavault.com/ui/#object/sent_email__v/VBLZ025E82HGQVS", "SE-000285951")</f>
        <v>SE-000285951</v>
      </c>
      <c r="D19883" s="1" t="s">
        <v>0</v>
      </c>
      <c r="E19883" s="2">
        <v>0</v>
      </c>
      <c r="F19883" s="2">
        <v>0</v>
      </c>
      <c r="G19883" s="2">
        <v>0</v>
      </c>
      <c r="H19883" s="1" t="s">
        <v>0</v>
      </c>
      <c r="I19883" s="2">
        <v>0</v>
      </c>
      <c r="J19883" s="1">
        <v>45939.686851851853</v>
      </c>
    </row>
    <row r="19884" spans="1:10" x14ac:dyDescent="0.2">
      <c r="A19884" s="4" t="s">
        <v>1</v>
      </c>
      <c r="B198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84" s="3" t="str">
        <f>HYPERLINK("https://otsuka-europe-crm.veevavault.com/ui/#object/sent_email__v/VBLZ025E82HGQVT", "SE-000285952")</f>
        <v>SE-000285952</v>
      </c>
      <c r="D19884" s="1" t="s">
        <v>0</v>
      </c>
      <c r="E19884" s="2">
        <v>0</v>
      </c>
      <c r="F19884" s="2">
        <v>0</v>
      </c>
      <c r="G19884" s="2">
        <v>0</v>
      </c>
      <c r="H19884" s="1" t="s">
        <v>0</v>
      </c>
      <c r="I19884" s="2">
        <v>0</v>
      </c>
      <c r="J19884" s="1">
        <v>45939.686863425923</v>
      </c>
    </row>
    <row r="19885" spans="1:10" x14ac:dyDescent="0.2">
      <c r="A19885" s="4" t="s">
        <v>1</v>
      </c>
      <c r="B198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85" s="3" t="str">
        <f>HYPERLINK("https://otsuka-europe-crm.veevavault.com/ui/#object/sent_email__v/VBLZ025E82HGQVU", "SE-000285953")</f>
        <v>SE-000285953</v>
      </c>
      <c r="D19885" s="1">
        <v>45939.904895833337</v>
      </c>
      <c r="E19885" s="2">
        <v>1</v>
      </c>
      <c r="F19885" s="2">
        <v>1</v>
      </c>
      <c r="G19885" s="2">
        <v>0</v>
      </c>
      <c r="H19885" s="1" t="s">
        <v>0</v>
      </c>
      <c r="I19885" s="2">
        <v>0</v>
      </c>
      <c r="J19885" s="1">
        <v>45939.686874999999</v>
      </c>
    </row>
    <row r="19886" spans="1:10" x14ac:dyDescent="0.2">
      <c r="A19886" s="4" t="s">
        <v>1</v>
      </c>
      <c r="B198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86" s="3" t="str">
        <f>HYPERLINK("https://otsuka-europe-crm.veevavault.com/ui/#object/sent_email__v/VBLZ025E82HGQVV", "SE-000285954")</f>
        <v>SE-000285954</v>
      </c>
      <c r="D19886" s="1" t="s">
        <v>0</v>
      </c>
      <c r="E19886" s="2">
        <v>0</v>
      </c>
      <c r="F19886" s="2">
        <v>0</v>
      </c>
      <c r="G19886" s="2">
        <v>0</v>
      </c>
      <c r="H19886" s="1" t="s">
        <v>0</v>
      </c>
      <c r="I19886" s="2">
        <v>0</v>
      </c>
      <c r="J19886" s="1">
        <v>45939.686874999999</v>
      </c>
    </row>
    <row r="19887" spans="1:10" x14ac:dyDescent="0.2">
      <c r="A19887" s="4" t="s">
        <v>1</v>
      </c>
      <c r="B198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87" s="3" t="str">
        <f>HYPERLINK("https://otsuka-europe-crm.veevavault.com/ui/#object/sent_email__v/VBLZ025E82HGQVW", "SE-000285955")</f>
        <v>SE-000285955</v>
      </c>
      <c r="D19887" s="1" t="s">
        <v>0</v>
      </c>
      <c r="E19887" s="2">
        <v>0</v>
      </c>
      <c r="F19887" s="2">
        <v>0</v>
      </c>
      <c r="G19887" s="2">
        <v>0</v>
      </c>
      <c r="H19887" s="1" t="s">
        <v>0</v>
      </c>
      <c r="I19887" s="2">
        <v>0</v>
      </c>
      <c r="J19887" s="1">
        <v>45939.686886574076</v>
      </c>
    </row>
    <row r="19888" spans="1:10" x14ac:dyDescent="0.2">
      <c r="A19888" s="4" t="s">
        <v>1</v>
      </c>
      <c r="B198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88" s="3" t="str">
        <f>HYPERLINK("https://otsuka-europe-crm.veevavault.com/ui/#object/sent_email__v/VBLZ025E82HGQVX", "SE-000285956")</f>
        <v>SE-000285956</v>
      </c>
      <c r="D19888" s="1" t="s">
        <v>0</v>
      </c>
      <c r="E19888" s="2">
        <v>0</v>
      </c>
      <c r="F19888" s="2">
        <v>0</v>
      </c>
      <c r="G19888" s="2">
        <v>0</v>
      </c>
      <c r="H19888" s="1" t="s">
        <v>0</v>
      </c>
      <c r="I19888" s="2">
        <v>0</v>
      </c>
      <c r="J19888" s="1">
        <v>45939.686898148146</v>
      </c>
    </row>
    <row r="19889" spans="1:10" x14ac:dyDescent="0.2">
      <c r="A19889" s="4" t="s">
        <v>1</v>
      </c>
      <c r="B198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89" s="3" t="str">
        <f>HYPERLINK("https://otsuka-europe-crm.veevavault.com/ui/#object/sent_email__v/VBLZ025E82HGQVY", "SE-000285957")</f>
        <v>SE-000285957</v>
      </c>
      <c r="D19889" s="1" t="s">
        <v>0</v>
      </c>
      <c r="E19889" s="2">
        <v>0</v>
      </c>
      <c r="F19889" s="2">
        <v>0</v>
      </c>
      <c r="G19889" s="2">
        <v>0</v>
      </c>
      <c r="H19889" s="1" t="s">
        <v>0</v>
      </c>
      <c r="I19889" s="2">
        <v>0</v>
      </c>
      <c r="J19889" s="1">
        <v>45939.686909722222</v>
      </c>
    </row>
    <row r="19890" spans="1:10" x14ac:dyDescent="0.2">
      <c r="A19890" s="4" t="s">
        <v>1</v>
      </c>
      <c r="B198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90" s="3" t="str">
        <f>HYPERLINK("https://otsuka-europe-crm.veevavault.com/ui/#object/sent_email__v/VBLZ025E82HGQVZ", "SE-000285958")</f>
        <v>SE-000285958</v>
      </c>
      <c r="D19890" s="1" t="s">
        <v>0</v>
      </c>
      <c r="E19890" s="2">
        <v>0</v>
      </c>
      <c r="F19890" s="2">
        <v>0</v>
      </c>
      <c r="G19890" s="2">
        <v>0</v>
      </c>
      <c r="H19890" s="1" t="s">
        <v>0</v>
      </c>
      <c r="I19890" s="2">
        <v>0</v>
      </c>
      <c r="J19890" s="1">
        <v>45939.686921296299</v>
      </c>
    </row>
    <row r="19891" spans="1:10" x14ac:dyDescent="0.2">
      <c r="A19891" s="4" t="s">
        <v>1</v>
      </c>
      <c r="B198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91" s="3" t="str">
        <f>HYPERLINK("https://otsuka-europe-crm.veevavault.com/ui/#object/sent_email__v/VBLZ025E82HGQW0", "SE-000285959")</f>
        <v>SE-000285959</v>
      </c>
      <c r="D19891" s="1" t="s">
        <v>0</v>
      </c>
      <c r="E19891" s="2">
        <v>0</v>
      </c>
      <c r="F19891" s="2">
        <v>0</v>
      </c>
      <c r="G19891" s="2">
        <v>0</v>
      </c>
      <c r="H19891" s="1" t="s">
        <v>0</v>
      </c>
      <c r="I19891" s="2">
        <v>0</v>
      </c>
      <c r="J19891" s="1">
        <v>45939.686932870369</v>
      </c>
    </row>
    <row r="19892" spans="1:10" x14ac:dyDescent="0.2">
      <c r="A19892" s="4" t="s">
        <v>1</v>
      </c>
      <c r="B198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92" s="3" t="str">
        <f>HYPERLINK("https://otsuka-europe-crm.veevavault.com/ui/#object/sent_email__v/VBLZ025E82HGQW1", "SE-000285960")</f>
        <v>SE-000285960</v>
      </c>
      <c r="D19892" s="1">
        <v>45939.809189814812</v>
      </c>
      <c r="E19892" s="2">
        <v>1</v>
      </c>
      <c r="F19892" s="2">
        <v>1</v>
      </c>
      <c r="G19892" s="2">
        <v>0</v>
      </c>
      <c r="H19892" s="1" t="s">
        <v>0</v>
      </c>
      <c r="I19892" s="2">
        <v>0</v>
      </c>
      <c r="J19892" s="1">
        <v>45939.686944444446</v>
      </c>
    </row>
    <row r="19893" spans="1:10" x14ac:dyDescent="0.2">
      <c r="A19893" s="4" t="s">
        <v>1</v>
      </c>
      <c r="B198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93" s="3" t="str">
        <f>HYPERLINK("https://otsuka-europe-crm.veevavault.com/ui/#object/sent_email__v/VBLZ025E82HGQYD", "SE-000285961")</f>
        <v>SE-000285961</v>
      </c>
      <c r="D19893" s="1">
        <v>45939.80909722222</v>
      </c>
      <c r="E19893" s="2">
        <v>1</v>
      </c>
      <c r="F19893" s="2">
        <v>1</v>
      </c>
      <c r="G19893" s="2">
        <v>0</v>
      </c>
      <c r="H19893" s="1" t="s">
        <v>0</v>
      </c>
      <c r="I19893" s="2">
        <v>0</v>
      </c>
      <c r="J19893" s="1">
        <v>45939.687013888892</v>
      </c>
    </row>
    <row r="19894" spans="1:10" x14ac:dyDescent="0.2">
      <c r="A19894" s="4" t="s">
        <v>1</v>
      </c>
      <c r="B198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94" s="3" t="str">
        <f>HYPERLINK("https://otsuka-europe-crm.veevavault.com/ui/#object/sent_email__v/VBLZ025E82HGQYE", "SE-000285962")</f>
        <v>SE-000285962</v>
      </c>
      <c r="D19894" s="1">
        <v>45944.319502314815</v>
      </c>
      <c r="E19894" s="2">
        <v>1</v>
      </c>
      <c r="F19894" s="2">
        <v>3</v>
      </c>
      <c r="G19894" s="2">
        <v>0</v>
      </c>
      <c r="H19894" s="1" t="s">
        <v>0</v>
      </c>
      <c r="I19894" s="2">
        <v>0</v>
      </c>
      <c r="J19894" s="1">
        <v>45939.687025462961</v>
      </c>
    </row>
    <row r="19895" spans="1:10" x14ac:dyDescent="0.2">
      <c r="A19895" s="4" t="s">
        <v>1</v>
      </c>
      <c r="B198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95" s="3" t="str">
        <f>HYPERLINK("https://otsuka-europe-crm.veevavault.com/ui/#object/sent_email__v/VBLZ025E82HGQYF", "SE-000285963")</f>
        <v>SE-000285963</v>
      </c>
      <c r="D19895" s="1">
        <v>45940.557233796295</v>
      </c>
      <c r="E19895" s="2">
        <v>1</v>
      </c>
      <c r="F19895" s="2">
        <v>1</v>
      </c>
      <c r="G19895" s="2">
        <v>0</v>
      </c>
      <c r="H19895" s="1" t="s">
        <v>0</v>
      </c>
      <c r="I19895" s="2">
        <v>0</v>
      </c>
      <c r="J19895" s="1">
        <v>45939.687048611115</v>
      </c>
    </row>
    <row r="19896" spans="1:10" x14ac:dyDescent="0.2">
      <c r="A19896" s="4" t="s">
        <v>1</v>
      </c>
      <c r="B198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96" s="3" t="str">
        <f>HYPERLINK("https://otsuka-europe-crm.veevavault.com/ui/#object/sent_email__v/VBLZ025E82HGQYG", "SE-000285964")</f>
        <v>SE-000285964</v>
      </c>
      <c r="D19896" s="1" t="s">
        <v>0</v>
      </c>
      <c r="E19896" s="2">
        <v>0</v>
      </c>
      <c r="F19896" s="2">
        <v>0</v>
      </c>
      <c r="G19896" s="2">
        <v>0</v>
      </c>
      <c r="H19896" s="1" t="s">
        <v>0</v>
      </c>
      <c r="I19896" s="2">
        <v>0</v>
      </c>
      <c r="J19896" s="1">
        <v>45939.687048611115</v>
      </c>
    </row>
    <row r="19897" spans="1:10" x14ac:dyDescent="0.2">
      <c r="A19897" s="4" t="s">
        <v>1</v>
      </c>
      <c r="B198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97" s="3" t="str">
        <f>HYPERLINK("https://otsuka-europe-crm.veevavault.com/ui/#object/sent_email__v/VBLZ025E82HGQYH", "SE-000285965")</f>
        <v>SE-000285965</v>
      </c>
      <c r="D19897" s="1" t="s">
        <v>0</v>
      </c>
      <c r="E19897" s="2">
        <v>0</v>
      </c>
      <c r="F19897" s="2">
        <v>0</v>
      </c>
      <c r="G19897" s="2">
        <v>0</v>
      </c>
      <c r="H19897" s="1" t="s">
        <v>0</v>
      </c>
      <c r="I19897" s="2">
        <v>0</v>
      </c>
      <c r="J19897" s="1">
        <v>45939.687060185184</v>
      </c>
    </row>
    <row r="19898" spans="1:10" x14ac:dyDescent="0.2">
      <c r="A19898" s="4" t="s">
        <v>1</v>
      </c>
      <c r="B198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98" s="3" t="str">
        <f>HYPERLINK("https://otsuka-europe-crm.veevavault.com/ui/#object/sent_email__v/VBLZ025E82HGQYI", "SE-000285966")</f>
        <v>SE-000285966</v>
      </c>
      <c r="D19898" s="1" t="s">
        <v>0</v>
      </c>
      <c r="E19898" s="2">
        <v>0</v>
      </c>
      <c r="F19898" s="2">
        <v>0</v>
      </c>
      <c r="G19898" s="2">
        <v>0</v>
      </c>
      <c r="H19898" s="1" t="s">
        <v>0</v>
      </c>
      <c r="I19898" s="2">
        <v>0</v>
      </c>
      <c r="J19898" s="1">
        <v>45939.687071759261</v>
      </c>
    </row>
    <row r="19899" spans="1:10" x14ac:dyDescent="0.2">
      <c r="A19899" s="4" t="s">
        <v>1</v>
      </c>
      <c r="B198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899" s="3" t="str">
        <f>HYPERLINK("https://otsuka-europe-crm.veevavault.com/ui/#object/sent_email__v/VBLZ025E82HGQYJ", "SE-000285967")</f>
        <v>SE-000285967</v>
      </c>
      <c r="D19899" s="1">
        <v>45939.904675925929</v>
      </c>
      <c r="E19899" s="2">
        <v>1</v>
      </c>
      <c r="F19899" s="2">
        <v>1</v>
      </c>
      <c r="G19899" s="2">
        <v>0</v>
      </c>
      <c r="H19899" s="1" t="s">
        <v>0</v>
      </c>
      <c r="I19899" s="2">
        <v>0</v>
      </c>
      <c r="J19899" s="1">
        <v>45939.687071759261</v>
      </c>
    </row>
    <row r="19900" spans="1:10" x14ac:dyDescent="0.2">
      <c r="A19900" s="4" t="s">
        <v>1</v>
      </c>
      <c r="B199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00" s="3" t="str">
        <f>HYPERLINK("https://otsuka-europe-crm.veevavault.com/ui/#object/sent_email__v/VBLZ025E82HGQYK", "SE-000285968")</f>
        <v>SE-000285968</v>
      </c>
      <c r="D19900" s="1" t="s">
        <v>0</v>
      </c>
      <c r="E19900" s="2">
        <v>0</v>
      </c>
      <c r="F19900" s="2">
        <v>0</v>
      </c>
      <c r="G19900" s="2">
        <v>0</v>
      </c>
      <c r="H19900" s="1" t="s">
        <v>0</v>
      </c>
      <c r="I19900" s="2">
        <v>0</v>
      </c>
      <c r="J19900" s="1">
        <v>45939.687083333331</v>
      </c>
    </row>
    <row r="19901" spans="1:10" x14ac:dyDescent="0.2">
      <c r="A19901" s="4" t="s">
        <v>1</v>
      </c>
      <c r="B199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01" s="3" t="str">
        <f>HYPERLINK("https://otsuka-europe-crm.veevavault.com/ui/#object/sent_email__v/VBLZ025E82HGQYL", "SE-000285969")</f>
        <v>SE-000285969</v>
      </c>
      <c r="D19901" s="1">
        <v>45940.090312499997</v>
      </c>
      <c r="E19901" s="2">
        <v>1</v>
      </c>
      <c r="F19901" s="2">
        <v>1</v>
      </c>
      <c r="G19901" s="2">
        <v>0</v>
      </c>
      <c r="H19901" s="1" t="s">
        <v>0</v>
      </c>
      <c r="I19901" s="2">
        <v>0</v>
      </c>
      <c r="J19901" s="1">
        <v>45939.687094907407</v>
      </c>
    </row>
    <row r="19902" spans="1:10" x14ac:dyDescent="0.2">
      <c r="A19902" s="4" t="s">
        <v>1</v>
      </c>
      <c r="B199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02" s="3" t="str">
        <f>HYPERLINK("https://otsuka-europe-crm.veevavault.com/ui/#object/sent_email__v/VBLZ025E82HGQYM", "SE-000285970")</f>
        <v>SE-000285970</v>
      </c>
      <c r="D19902" s="1" t="s">
        <v>0</v>
      </c>
      <c r="E19902" s="2">
        <v>0</v>
      </c>
      <c r="F19902" s="2">
        <v>0</v>
      </c>
      <c r="G19902" s="2">
        <v>0</v>
      </c>
      <c r="H19902" s="1" t="s">
        <v>0</v>
      </c>
      <c r="I19902" s="2">
        <v>0</v>
      </c>
      <c r="J19902" s="1">
        <v>45939.687106481484</v>
      </c>
    </row>
    <row r="19903" spans="1:10" x14ac:dyDescent="0.2">
      <c r="A19903" s="4" t="s">
        <v>1</v>
      </c>
      <c r="B199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03" s="3" t="str">
        <f>HYPERLINK("https://otsuka-europe-crm.veevavault.com/ui/#object/sent_email__v/VBLZ025E82HGQYN", "SE-000285971")</f>
        <v>SE-000285971</v>
      </c>
      <c r="D19903" s="1">
        <v>45940.3437962963</v>
      </c>
      <c r="E19903" s="2">
        <v>1</v>
      </c>
      <c r="F19903" s="2">
        <v>2</v>
      </c>
      <c r="G19903" s="2">
        <v>0</v>
      </c>
      <c r="H19903" s="1" t="s">
        <v>0</v>
      </c>
      <c r="I19903" s="2">
        <v>0</v>
      </c>
      <c r="J19903" s="1">
        <v>45939.687106481484</v>
      </c>
    </row>
    <row r="19904" spans="1:10" x14ac:dyDescent="0.2">
      <c r="A19904" s="4" t="s">
        <v>1</v>
      </c>
      <c r="B199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04" s="3" t="str">
        <f>HYPERLINK("https://otsuka-europe-crm.veevavault.com/ui/#object/sent_email__v/VBLZ025E82HGQYO", "SE-000285972")</f>
        <v>SE-000285972</v>
      </c>
      <c r="D19904" s="1" t="s">
        <v>0</v>
      </c>
      <c r="E19904" s="2">
        <v>0</v>
      </c>
      <c r="F19904" s="2">
        <v>0</v>
      </c>
      <c r="G19904" s="2">
        <v>0</v>
      </c>
      <c r="H19904" s="1" t="s">
        <v>0</v>
      </c>
      <c r="I19904" s="2">
        <v>0</v>
      </c>
      <c r="J19904" s="1">
        <v>45939.687118055554</v>
      </c>
    </row>
    <row r="19905" spans="1:10" x14ac:dyDescent="0.2">
      <c r="A19905" s="4" t="s">
        <v>1</v>
      </c>
      <c r="B199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05" s="3" t="str">
        <f>HYPERLINK("https://otsuka-europe-crm.veevavault.com/ui/#object/sent_email__v/VBLZ025E82HGQYP", "SE-000285973")</f>
        <v>SE-000285973</v>
      </c>
      <c r="D19905" s="1" t="s">
        <v>0</v>
      </c>
      <c r="E19905" s="2">
        <v>0</v>
      </c>
      <c r="F19905" s="2">
        <v>0</v>
      </c>
      <c r="G19905" s="2">
        <v>0</v>
      </c>
      <c r="H19905" s="1" t="s">
        <v>0</v>
      </c>
      <c r="I19905" s="2">
        <v>0</v>
      </c>
      <c r="J19905" s="1">
        <v>45939.68712962963</v>
      </c>
    </row>
    <row r="19906" spans="1:10" x14ac:dyDescent="0.2">
      <c r="A19906" s="4" t="s">
        <v>1</v>
      </c>
      <c r="B199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06" s="3" t="str">
        <f>HYPERLINK("https://otsuka-europe-crm.veevavault.com/ui/#object/sent_email__v/VBLZ025E82HGQYQ", "SE-000285974")</f>
        <v>SE-000285974</v>
      </c>
      <c r="D19906" s="1" t="s">
        <v>0</v>
      </c>
      <c r="E19906" s="2">
        <v>0</v>
      </c>
      <c r="F19906" s="2">
        <v>0</v>
      </c>
      <c r="G19906" s="2">
        <v>0</v>
      </c>
      <c r="H19906" s="1" t="s">
        <v>0</v>
      </c>
      <c r="I19906" s="2">
        <v>0</v>
      </c>
      <c r="J19906" s="1">
        <v>45939.687141203707</v>
      </c>
    </row>
    <row r="19907" spans="1:10" x14ac:dyDescent="0.2">
      <c r="A19907" s="4" t="s">
        <v>1</v>
      </c>
      <c r="B199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07" s="3" t="str">
        <f>HYPERLINK("https://otsuka-europe-crm.veevavault.com/ui/#object/sent_email__v/VBLZ025E82HGQYR", "SE-000285975")</f>
        <v>SE-000285975</v>
      </c>
      <c r="D19907" s="1" t="s">
        <v>0</v>
      </c>
      <c r="E19907" s="2">
        <v>0</v>
      </c>
      <c r="F19907" s="2">
        <v>0</v>
      </c>
      <c r="G19907" s="2">
        <v>0</v>
      </c>
      <c r="H19907" s="1" t="s">
        <v>0</v>
      </c>
      <c r="I19907" s="2">
        <v>0</v>
      </c>
      <c r="J19907" s="1">
        <v>45939.687152777777</v>
      </c>
    </row>
    <row r="19908" spans="1:10" x14ac:dyDescent="0.2">
      <c r="A19908" s="4" t="s">
        <v>1</v>
      </c>
      <c r="B199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08" s="3" t="str">
        <f>HYPERLINK("https://otsuka-europe-crm.veevavault.com/ui/#object/sent_email__v/VBLZ025E82HGQYS", "SE-000285976")</f>
        <v>SE-000285976</v>
      </c>
      <c r="D19908" s="1" t="s">
        <v>0</v>
      </c>
      <c r="E19908" s="2">
        <v>0</v>
      </c>
      <c r="F19908" s="2">
        <v>0</v>
      </c>
      <c r="G19908" s="2">
        <v>0</v>
      </c>
      <c r="H19908" s="1" t="s">
        <v>0</v>
      </c>
      <c r="I19908" s="2">
        <v>0</v>
      </c>
      <c r="J19908" s="1">
        <v>45939.687164351853</v>
      </c>
    </row>
    <row r="19909" spans="1:10" x14ac:dyDescent="0.2">
      <c r="A19909" s="4" t="s">
        <v>1</v>
      </c>
      <c r="B199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09" s="3" t="str">
        <f>HYPERLINK("https://otsuka-europe-crm.veevavault.com/ui/#object/sent_email__v/VBLZ025E82HGQYT", "SE-000285977")</f>
        <v>SE-000285977</v>
      </c>
      <c r="D19909" s="1" t="s">
        <v>0</v>
      </c>
      <c r="E19909" s="2">
        <v>0</v>
      </c>
      <c r="F19909" s="2">
        <v>0</v>
      </c>
      <c r="G19909" s="2">
        <v>0</v>
      </c>
      <c r="H19909" s="1" t="s">
        <v>0</v>
      </c>
      <c r="I19909" s="2">
        <v>0</v>
      </c>
      <c r="J19909" s="1">
        <v>45939.687175925923</v>
      </c>
    </row>
    <row r="19910" spans="1:10" x14ac:dyDescent="0.2">
      <c r="A19910" s="4" t="s">
        <v>1</v>
      </c>
      <c r="B199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10" s="3" t="str">
        <f>HYPERLINK("https://otsuka-europe-crm.veevavault.com/ui/#object/sent_email__v/VBLZ025E82HGTVX", "SE-000285978")</f>
        <v>SE-000285978</v>
      </c>
      <c r="D19910" s="1">
        <v>45940.769421296296</v>
      </c>
      <c r="E19910" s="2">
        <v>1</v>
      </c>
      <c r="F19910" s="2">
        <v>1</v>
      </c>
      <c r="G19910" s="2">
        <v>0</v>
      </c>
      <c r="H19910" s="1" t="s">
        <v>0</v>
      </c>
      <c r="I19910" s="2">
        <v>0</v>
      </c>
      <c r="J19910" s="1">
        <v>45939.713368055556</v>
      </c>
    </row>
    <row r="19911" spans="1:10" x14ac:dyDescent="0.2">
      <c r="A19911" s="4" t="s">
        <v>1</v>
      </c>
      <c r="B199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11" s="3" t="str">
        <f>HYPERLINK("https://otsuka-europe-crm.veevavault.com/ui/#object/sent_email__v/VBLZ025E82HGTVY", "SE-000285979")</f>
        <v>SE-000285979</v>
      </c>
      <c r="D19911" s="1">
        <v>45959.461701388886</v>
      </c>
      <c r="E19911" s="2">
        <v>1</v>
      </c>
      <c r="F19911" s="2">
        <v>3</v>
      </c>
      <c r="G19911" s="2">
        <v>0</v>
      </c>
      <c r="H19911" s="1" t="s">
        <v>0</v>
      </c>
      <c r="I19911" s="2">
        <v>0</v>
      </c>
      <c r="J19911" s="1">
        <v>45939.713368055556</v>
      </c>
    </row>
    <row r="19912" spans="1:10" x14ac:dyDescent="0.2">
      <c r="A19912" s="4" t="s">
        <v>1</v>
      </c>
      <c r="B199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12" s="3" t="str">
        <f>HYPERLINK("https://otsuka-europe-crm.veevavault.com/ui/#object/sent_email__v/VBLZ025E82HGTVZ", "SE-000285980")</f>
        <v>SE-000285980</v>
      </c>
      <c r="D19912" s="1">
        <v>45940.670798611114</v>
      </c>
      <c r="E19912" s="2">
        <v>1</v>
      </c>
      <c r="F19912" s="2">
        <v>2</v>
      </c>
      <c r="G19912" s="2">
        <v>0</v>
      </c>
      <c r="H19912" s="1" t="s">
        <v>0</v>
      </c>
      <c r="I19912" s="2">
        <v>0</v>
      </c>
      <c r="J19912" s="1">
        <v>45939.713368055556</v>
      </c>
    </row>
    <row r="19913" spans="1:10" x14ac:dyDescent="0.2">
      <c r="A19913" s="4" t="s">
        <v>1</v>
      </c>
      <c r="B199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13" s="3" t="str">
        <f>HYPERLINK("https://otsuka-europe-crm.veevavault.com/ui/#object/sent_email__v/VBLZ025E82HGTW0", "SE-000285981")</f>
        <v>SE-000285981</v>
      </c>
      <c r="D19913" s="1">
        <v>45939.741967592592</v>
      </c>
      <c r="E19913" s="2">
        <v>1</v>
      </c>
      <c r="F19913" s="2">
        <v>1</v>
      </c>
      <c r="G19913" s="2">
        <v>1</v>
      </c>
      <c r="H19913" s="1">
        <v>45939.743796296294</v>
      </c>
      <c r="I19913" s="2">
        <v>3</v>
      </c>
      <c r="J19913" s="1">
        <v>45939.713379629633</v>
      </c>
    </row>
    <row r="19914" spans="1:10" x14ac:dyDescent="0.2">
      <c r="A19914" s="4" t="s">
        <v>1</v>
      </c>
      <c r="B199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14" s="3" t="str">
        <f>HYPERLINK("https://otsuka-europe-crm.veevavault.com/ui/#object/sent_email__v/VBLZ025E82HGTW1", "SE-000285982")</f>
        <v>SE-000285982</v>
      </c>
      <c r="D19914" s="1">
        <v>45939.872314814813</v>
      </c>
      <c r="E19914" s="2">
        <v>1</v>
      </c>
      <c r="F19914" s="2">
        <v>2</v>
      </c>
      <c r="G19914" s="2">
        <v>0</v>
      </c>
      <c r="H19914" s="1" t="s">
        <v>0</v>
      </c>
      <c r="I19914" s="2">
        <v>0</v>
      </c>
      <c r="J19914" s="1">
        <v>45939.713391203702</v>
      </c>
    </row>
    <row r="19915" spans="1:10" x14ac:dyDescent="0.2">
      <c r="A19915" s="4" t="s">
        <v>1</v>
      </c>
      <c r="B199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15" s="3" t="str">
        <f>HYPERLINK("https://otsuka-europe-crm.veevavault.com/ui/#object/sent_email__v/VBLZ025E82HGTW2", "SE-000285983")</f>
        <v>SE-000285983</v>
      </c>
      <c r="D19915" s="1" t="s">
        <v>0</v>
      </c>
      <c r="E19915" s="2">
        <v>0</v>
      </c>
      <c r="F19915" s="2">
        <v>0</v>
      </c>
      <c r="G19915" s="2">
        <v>0</v>
      </c>
      <c r="H19915" s="1" t="s">
        <v>0</v>
      </c>
      <c r="I19915" s="2">
        <v>0</v>
      </c>
      <c r="J19915" s="1">
        <v>45939.713391203702</v>
      </c>
    </row>
    <row r="19916" spans="1:10" x14ac:dyDescent="0.2">
      <c r="A19916" s="4" t="s">
        <v>1</v>
      </c>
      <c r="B199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16" s="3" t="str">
        <f>HYPERLINK("https://otsuka-europe-crm.veevavault.com/ui/#object/sent_email__v/VBLZ025E82HGTW3", "SE-000285984")</f>
        <v>SE-000285984</v>
      </c>
      <c r="D19916" s="1" t="s">
        <v>0</v>
      </c>
      <c r="E19916" s="2">
        <v>0</v>
      </c>
      <c r="F19916" s="2">
        <v>0</v>
      </c>
      <c r="G19916" s="2">
        <v>0</v>
      </c>
      <c r="H19916" s="1" t="s">
        <v>0</v>
      </c>
      <c r="I19916" s="2">
        <v>0</v>
      </c>
      <c r="J19916" s="1">
        <v>45939.713425925926</v>
      </c>
    </row>
    <row r="19917" spans="1:10" x14ac:dyDescent="0.2">
      <c r="A19917" s="4" t="s">
        <v>1</v>
      </c>
      <c r="B199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17" s="3" t="str">
        <f>HYPERLINK("https://otsuka-europe-crm.veevavault.com/ui/#object/sent_email__v/VBLZ025E82HGTW4", "SE-000285985")</f>
        <v>SE-000285985</v>
      </c>
      <c r="D19917" s="1">
        <v>45943.621331018519</v>
      </c>
      <c r="E19917" s="2">
        <v>1</v>
      </c>
      <c r="F19917" s="2">
        <v>2</v>
      </c>
      <c r="G19917" s="2">
        <v>0</v>
      </c>
      <c r="H19917" s="1" t="s">
        <v>0</v>
      </c>
      <c r="I19917" s="2">
        <v>0</v>
      </c>
      <c r="J19917" s="1">
        <v>45939.713414351849</v>
      </c>
    </row>
    <row r="19918" spans="1:10" x14ac:dyDescent="0.2">
      <c r="A19918" s="4" t="s">
        <v>1</v>
      </c>
      <c r="B199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18" s="3" t="str">
        <f>HYPERLINK("https://otsuka-europe-crm.veevavault.com/ui/#object/sent_email__v/VBLZ025E82HGTW5", "SE-000285986")</f>
        <v>SE-000285986</v>
      </c>
      <c r="D19918" s="1" t="s">
        <v>0</v>
      </c>
      <c r="E19918" s="2">
        <v>0</v>
      </c>
      <c r="F19918" s="2">
        <v>0</v>
      </c>
      <c r="G19918" s="2">
        <v>0</v>
      </c>
      <c r="H19918" s="1" t="s">
        <v>0</v>
      </c>
      <c r="I19918" s="2">
        <v>0</v>
      </c>
      <c r="J19918" s="1">
        <v>45939.713425925926</v>
      </c>
    </row>
    <row r="19919" spans="1:10" x14ac:dyDescent="0.2">
      <c r="A19919" s="4" t="s">
        <v>1</v>
      </c>
      <c r="B199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19" s="3" t="str">
        <f>HYPERLINK("https://otsuka-europe-crm.veevavault.com/ui/#object/sent_email__v/VBLZ025E82HGTW6", "SE-000285987")</f>
        <v>SE-000285987</v>
      </c>
      <c r="D19919" s="1" t="s">
        <v>0</v>
      </c>
      <c r="E19919" s="2">
        <v>0</v>
      </c>
      <c r="F19919" s="2">
        <v>0</v>
      </c>
      <c r="G19919" s="2">
        <v>0</v>
      </c>
      <c r="H19919" s="1" t="s">
        <v>0</v>
      </c>
      <c r="I19919" s="2">
        <v>0</v>
      </c>
      <c r="J19919" s="1">
        <v>45939.713437500002</v>
      </c>
    </row>
    <row r="19920" spans="1:10" x14ac:dyDescent="0.2">
      <c r="A19920" s="4" t="s">
        <v>1</v>
      </c>
      <c r="B199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20" s="3" t="str">
        <f>HYPERLINK("https://otsuka-europe-crm.veevavault.com/ui/#object/sent_email__v/VBLZ025E82HGTW7", "SE-000285988")</f>
        <v>SE-000285988</v>
      </c>
      <c r="D19920" s="1">
        <v>45939.96943287037</v>
      </c>
      <c r="E19920" s="2">
        <v>1</v>
      </c>
      <c r="F19920" s="2">
        <v>1</v>
      </c>
      <c r="G19920" s="2">
        <v>0</v>
      </c>
      <c r="H19920" s="1" t="s">
        <v>0</v>
      </c>
      <c r="I19920" s="2">
        <v>0</v>
      </c>
      <c r="J19920" s="1">
        <v>45939.713449074072</v>
      </c>
    </row>
    <row r="19921" spans="1:10" x14ac:dyDescent="0.2">
      <c r="A19921" s="4" t="s">
        <v>1</v>
      </c>
      <c r="B199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21" s="3" t="str">
        <f>HYPERLINK("https://otsuka-europe-crm.veevavault.com/ui/#object/sent_email__v/VBLZ025E82HGTW8", "SE-000285989")</f>
        <v>SE-000285989</v>
      </c>
      <c r="D19921" s="1" t="s">
        <v>0</v>
      </c>
      <c r="E19921" s="2">
        <v>0</v>
      </c>
      <c r="F19921" s="2">
        <v>0</v>
      </c>
      <c r="G19921" s="2">
        <v>0</v>
      </c>
      <c r="H19921" s="1" t="s">
        <v>0</v>
      </c>
      <c r="I19921" s="2">
        <v>0</v>
      </c>
      <c r="J19921" s="1">
        <v>45939.713460648149</v>
      </c>
    </row>
    <row r="19922" spans="1:10" x14ac:dyDescent="0.2">
      <c r="A19922" s="4" t="s">
        <v>1</v>
      </c>
      <c r="B199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22" s="3" t="str">
        <f>HYPERLINK("https://otsuka-europe-crm.veevavault.com/ui/#object/sent_email__v/VBLZ025E82HGTW9", "SE-000285990")</f>
        <v>SE-000285990</v>
      </c>
      <c r="D19922" s="1">
        <v>45939.841817129629</v>
      </c>
      <c r="E19922" s="2">
        <v>1</v>
      </c>
      <c r="F19922" s="2">
        <v>2</v>
      </c>
      <c r="G19922" s="2">
        <v>0</v>
      </c>
      <c r="H19922" s="1" t="s">
        <v>0</v>
      </c>
      <c r="I19922" s="2">
        <v>0</v>
      </c>
      <c r="J19922" s="1">
        <v>45939.713472222225</v>
      </c>
    </row>
    <row r="19923" spans="1:10" x14ac:dyDescent="0.2">
      <c r="A19923" s="4" t="s">
        <v>1</v>
      </c>
      <c r="B199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23" s="3" t="str">
        <f>HYPERLINK("https://otsuka-europe-crm.veevavault.com/ui/#object/sent_email__v/VBLZ025E82HGTWA", "SE-000285991")</f>
        <v>SE-000285991</v>
      </c>
      <c r="D19923" s="1">
        <v>45940.57</v>
      </c>
      <c r="E19923" s="2">
        <v>1</v>
      </c>
      <c r="F19923" s="2">
        <v>2</v>
      </c>
      <c r="G19923" s="2">
        <v>0</v>
      </c>
      <c r="H19923" s="1" t="s">
        <v>0</v>
      </c>
      <c r="I19923" s="2">
        <v>0</v>
      </c>
      <c r="J19923" s="1">
        <v>45939.713472222225</v>
      </c>
    </row>
    <row r="19924" spans="1:10" x14ac:dyDescent="0.2">
      <c r="A19924" s="4" t="s">
        <v>1</v>
      </c>
      <c r="B199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24" s="3" t="str">
        <f>HYPERLINK("https://otsuka-europe-crm.veevavault.com/ui/#object/sent_email__v/VBLZ025E82HGTWB", "SE-000285992")</f>
        <v>SE-000285992</v>
      </c>
      <c r="D19924" s="1">
        <v>45939.969131944446</v>
      </c>
      <c r="E19924" s="2">
        <v>1</v>
      </c>
      <c r="F19924" s="2">
        <v>1</v>
      </c>
      <c r="G19924" s="2">
        <v>0</v>
      </c>
      <c r="H19924" s="1" t="s">
        <v>0</v>
      </c>
      <c r="I19924" s="2">
        <v>0</v>
      </c>
      <c r="J19924" s="1">
        <v>45939.713483796295</v>
      </c>
    </row>
    <row r="19925" spans="1:10" x14ac:dyDescent="0.2">
      <c r="A19925" s="4" t="s">
        <v>1</v>
      </c>
      <c r="B199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25" s="3" t="str">
        <f>HYPERLINK("https://otsuka-europe-crm.veevavault.com/ui/#object/sent_email__v/VBLZ025E82HGTWC", "SE-000285993")</f>
        <v>SE-000285993</v>
      </c>
      <c r="D19925" s="1">
        <v>45945.763043981482</v>
      </c>
      <c r="E19925" s="2">
        <v>1</v>
      </c>
      <c r="F19925" s="2">
        <v>4</v>
      </c>
      <c r="G19925" s="2">
        <v>0</v>
      </c>
      <c r="H19925" s="1" t="s">
        <v>0</v>
      </c>
      <c r="I19925" s="2">
        <v>0</v>
      </c>
      <c r="J19925" s="1">
        <v>45939.713495370372</v>
      </c>
    </row>
    <row r="19926" spans="1:10" x14ac:dyDescent="0.2">
      <c r="A19926" s="4" t="s">
        <v>1</v>
      </c>
      <c r="B199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26" s="3" t="str">
        <f>HYPERLINK("https://otsuka-europe-crm.veevavault.com/ui/#object/sent_email__v/VBLZ025E82HGTWD", "SE-000285994")</f>
        <v>SE-000285994</v>
      </c>
      <c r="D19926" s="1">
        <v>45939.715856481482</v>
      </c>
      <c r="E19926" s="2">
        <v>1</v>
      </c>
      <c r="F19926" s="2">
        <v>2</v>
      </c>
      <c r="G19926" s="2">
        <v>0</v>
      </c>
      <c r="H19926" s="1" t="s">
        <v>0</v>
      </c>
      <c r="I19926" s="2">
        <v>0</v>
      </c>
      <c r="J19926" s="1">
        <v>45939.713506944441</v>
      </c>
    </row>
    <row r="19927" spans="1:10" x14ac:dyDescent="0.2">
      <c r="A19927" s="4" t="s">
        <v>1</v>
      </c>
      <c r="B199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27" s="3" t="str">
        <f>HYPERLINK("https://otsuka-europe-crm.veevavault.com/ui/#object/sent_email__v/VBLZ025E82HGTWE", "SE-000285995")</f>
        <v>SE-000285995</v>
      </c>
      <c r="D19927" s="1" t="s">
        <v>0</v>
      </c>
      <c r="E19927" s="2">
        <v>0</v>
      </c>
      <c r="F19927" s="2">
        <v>0</v>
      </c>
      <c r="G19927" s="2">
        <v>0</v>
      </c>
      <c r="H19927" s="1" t="s">
        <v>0</v>
      </c>
      <c r="I19927" s="2">
        <v>0</v>
      </c>
      <c r="J19927" s="1">
        <v>45939.713518518518</v>
      </c>
    </row>
    <row r="19928" spans="1:10" x14ac:dyDescent="0.2">
      <c r="A19928" s="4" t="s">
        <v>1</v>
      </c>
      <c r="B199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28" s="3" t="str">
        <f>HYPERLINK("https://otsuka-europe-crm.veevavault.com/ui/#object/sent_email__v/VBLZ025E82HGTWF", "SE-000285996")</f>
        <v>SE-000285996</v>
      </c>
      <c r="D19928" s="1">
        <v>45939.85565972222</v>
      </c>
      <c r="E19928" s="2">
        <v>1</v>
      </c>
      <c r="F19928" s="2">
        <v>1</v>
      </c>
      <c r="G19928" s="2">
        <v>0</v>
      </c>
      <c r="H19928" s="1" t="s">
        <v>0</v>
      </c>
      <c r="I19928" s="2">
        <v>0</v>
      </c>
      <c r="J19928" s="1">
        <v>45939.713530092595</v>
      </c>
    </row>
    <row r="19929" spans="1:10" x14ac:dyDescent="0.2">
      <c r="A19929" s="4" t="s">
        <v>1</v>
      </c>
      <c r="B199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29" s="3" t="str">
        <f>HYPERLINK("https://otsuka-europe-crm.veevavault.com/ui/#object/sent_email__v/VBLZ025E82HGTWG", "SE-000285997")</f>
        <v>SE-000285997</v>
      </c>
      <c r="D19929" s="1" t="s">
        <v>0</v>
      </c>
      <c r="E19929" s="2">
        <v>0</v>
      </c>
      <c r="F19929" s="2">
        <v>0</v>
      </c>
      <c r="G19929" s="2">
        <v>0</v>
      </c>
      <c r="H19929" s="1" t="s">
        <v>0</v>
      </c>
      <c r="I19929" s="2">
        <v>0</v>
      </c>
      <c r="J19929" s="1">
        <v>45939.713530092595</v>
      </c>
    </row>
    <row r="19930" spans="1:10" x14ac:dyDescent="0.2">
      <c r="A19930" s="4" t="s">
        <v>1</v>
      </c>
      <c r="B199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30" s="3" t="str">
        <f>HYPERLINK("https://otsuka-europe-crm.veevavault.com/ui/#object/sent_email__v/VBLZ025E82HGTWH", "SE-000285998")</f>
        <v>SE-000285998</v>
      </c>
      <c r="D19930" s="1" t="s">
        <v>0</v>
      </c>
      <c r="E19930" s="2">
        <v>0</v>
      </c>
      <c r="F19930" s="2">
        <v>0</v>
      </c>
      <c r="G19930" s="2">
        <v>0</v>
      </c>
      <c r="H19930" s="1" t="s">
        <v>0</v>
      </c>
      <c r="I19930" s="2">
        <v>0</v>
      </c>
      <c r="J19930" s="1">
        <v>45939.713541666664</v>
      </c>
    </row>
    <row r="19931" spans="1:10" x14ac:dyDescent="0.2">
      <c r="A19931" s="4" t="s">
        <v>1</v>
      </c>
      <c r="B199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31" s="3" t="str">
        <f>HYPERLINK("https://otsuka-europe-crm.veevavault.com/ui/#object/sent_email__v/VBLZ025E82HGTWI", "SE-000285999")</f>
        <v>SE-000285999</v>
      </c>
      <c r="D19931" s="1">
        <v>45939.726620370369</v>
      </c>
      <c r="E19931" s="2">
        <v>1</v>
      </c>
      <c r="F19931" s="2">
        <v>1</v>
      </c>
      <c r="G19931" s="2">
        <v>0</v>
      </c>
      <c r="H19931" s="1" t="s">
        <v>0</v>
      </c>
      <c r="I19931" s="2">
        <v>0</v>
      </c>
      <c r="J19931" s="1">
        <v>45939.713553240741</v>
      </c>
    </row>
    <row r="19932" spans="1:10" x14ac:dyDescent="0.2">
      <c r="A19932" s="4" t="s">
        <v>1</v>
      </c>
      <c r="B199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32" s="3" t="str">
        <f>HYPERLINK("https://otsuka-europe-crm.veevavault.com/ui/#object/sent_email__v/VBLZ025E82HGTWJ", "SE-000286000")</f>
        <v>SE-000286000</v>
      </c>
      <c r="D19932" s="1" t="s">
        <v>0</v>
      </c>
      <c r="E19932" s="2">
        <v>0</v>
      </c>
      <c r="F19932" s="2">
        <v>0</v>
      </c>
      <c r="G19932" s="2">
        <v>0</v>
      </c>
      <c r="H19932" s="1" t="s">
        <v>0</v>
      </c>
      <c r="I19932" s="2">
        <v>0</v>
      </c>
      <c r="J19932" s="1">
        <v>45939.713564814818</v>
      </c>
    </row>
    <row r="19933" spans="1:10" x14ac:dyDescent="0.2">
      <c r="A19933" s="4" t="s">
        <v>1</v>
      </c>
      <c r="B199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33" s="3" t="str">
        <f>HYPERLINK("https://otsuka-europe-crm.veevavault.com/ui/#object/sent_email__v/VBLZ025E82HGTWK", "SE-000286001")</f>
        <v>SE-000286001</v>
      </c>
      <c r="D19933" s="1" t="s">
        <v>0</v>
      </c>
      <c r="E19933" s="2">
        <v>0</v>
      </c>
      <c r="F19933" s="2">
        <v>0</v>
      </c>
      <c r="G19933" s="2">
        <v>0</v>
      </c>
      <c r="H19933" s="1" t="s">
        <v>0</v>
      </c>
      <c r="I19933" s="2">
        <v>0</v>
      </c>
      <c r="J19933" s="1">
        <v>45939.713564814818</v>
      </c>
    </row>
    <row r="19934" spans="1:10" x14ac:dyDescent="0.2">
      <c r="A19934" s="4" t="s">
        <v>1</v>
      </c>
      <c r="B199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34" s="3" t="str">
        <f>HYPERLINK("https://otsuka-europe-crm.veevavault.com/ui/#object/sent_email__v/VBLZ025E82HGTWL", "SE-000286002")</f>
        <v>SE-000286002</v>
      </c>
      <c r="D19934" s="1">
        <v>45940.92292824074</v>
      </c>
      <c r="E19934" s="2">
        <v>1</v>
      </c>
      <c r="F19934" s="2">
        <v>1</v>
      </c>
      <c r="G19934" s="2">
        <v>0</v>
      </c>
      <c r="H19934" s="1" t="s">
        <v>0</v>
      </c>
      <c r="I19934" s="2">
        <v>0</v>
      </c>
      <c r="J19934" s="1">
        <v>45939.713576388887</v>
      </c>
    </row>
    <row r="19935" spans="1:10" x14ac:dyDescent="0.2">
      <c r="A19935" s="4" t="s">
        <v>1</v>
      </c>
      <c r="B199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35" s="3" t="str">
        <f>HYPERLINK("https://otsuka-europe-crm.veevavault.com/ui/#object/sent_email__v/VBLZ025E82HGTWM", "SE-000286003")</f>
        <v>SE-000286003</v>
      </c>
      <c r="D19935" s="1">
        <v>45939.949895833335</v>
      </c>
      <c r="E19935" s="2">
        <v>1</v>
      </c>
      <c r="F19935" s="2">
        <v>2</v>
      </c>
      <c r="G19935" s="2">
        <v>0</v>
      </c>
      <c r="H19935" s="1" t="s">
        <v>0</v>
      </c>
      <c r="I19935" s="2">
        <v>0</v>
      </c>
      <c r="J19935" s="1">
        <v>45939.713599537034</v>
      </c>
    </row>
    <row r="19936" spans="1:10" x14ac:dyDescent="0.2">
      <c r="A19936" s="4" t="s">
        <v>1</v>
      </c>
      <c r="B199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36" s="3" t="str">
        <f>HYPERLINK("https://otsuka-europe-crm.veevavault.com/ui/#object/sent_email__v/VBLZ025E82HGTWN", "SE-000286004")</f>
        <v>SE-000286004</v>
      </c>
      <c r="D19936" s="1" t="s">
        <v>0</v>
      </c>
      <c r="E19936" s="2">
        <v>0</v>
      </c>
      <c r="F19936" s="2">
        <v>0</v>
      </c>
      <c r="G19936" s="2">
        <v>0</v>
      </c>
      <c r="H19936" s="1" t="s">
        <v>0</v>
      </c>
      <c r="I19936" s="2">
        <v>0</v>
      </c>
      <c r="J19936" s="1">
        <v>45939.713599537034</v>
      </c>
    </row>
    <row r="19937" spans="1:10" x14ac:dyDescent="0.2">
      <c r="A19937" s="4" t="s">
        <v>1</v>
      </c>
      <c r="B199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37" s="3" t="str">
        <f>HYPERLINK("https://otsuka-europe-crm.veevavault.com/ui/#object/sent_email__v/VBLZ025E82HGTWO", "SE-000286005")</f>
        <v>SE-000286005</v>
      </c>
      <c r="D19937" s="1" t="s">
        <v>0</v>
      </c>
      <c r="E19937" s="2">
        <v>0</v>
      </c>
      <c r="F19937" s="2">
        <v>0</v>
      </c>
      <c r="G19937" s="2">
        <v>0</v>
      </c>
      <c r="H19937" s="1" t="s">
        <v>0</v>
      </c>
      <c r="I19937" s="2">
        <v>0</v>
      </c>
      <c r="J19937" s="1">
        <v>45939.71361111111</v>
      </c>
    </row>
    <row r="19938" spans="1:10" x14ac:dyDescent="0.2">
      <c r="A19938" s="4" t="s">
        <v>1</v>
      </c>
      <c r="B199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38" s="3" t="str">
        <f>HYPERLINK("https://otsuka-europe-crm.veevavault.com/ui/#object/sent_email__v/VBLZ025E82HGTWP", "SE-000286006")</f>
        <v>SE-000286006</v>
      </c>
      <c r="D19938" s="1" t="s">
        <v>0</v>
      </c>
      <c r="E19938" s="2">
        <v>0</v>
      </c>
      <c r="F19938" s="2">
        <v>0</v>
      </c>
      <c r="G19938" s="2">
        <v>0</v>
      </c>
      <c r="H19938" s="1" t="s">
        <v>0</v>
      </c>
      <c r="I19938" s="2">
        <v>0</v>
      </c>
      <c r="J19938" s="1">
        <v>45939.713622685187</v>
      </c>
    </row>
    <row r="19939" spans="1:10" x14ac:dyDescent="0.2">
      <c r="A19939" s="4" t="s">
        <v>1</v>
      </c>
      <c r="B199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39" s="3" t="str">
        <f>HYPERLINK("https://otsuka-europe-crm.veevavault.com/ui/#object/sent_email__v/VBLZ025E82HGTWQ", "SE-000286007")</f>
        <v>SE-000286007</v>
      </c>
      <c r="D19939" s="1" t="s">
        <v>0</v>
      </c>
      <c r="E19939" s="2">
        <v>0</v>
      </c>
      <c r="F19939" s="2">
        <v>0</v>
      </c>
      <c r="G19939" s="2">
        <v>0</v>
      </c>
      <c r="H19939" s="1" t="s">
        <v>0</v>
      </c>
      <c r="I19939" s="2">
        <v>0</v>
      </c>
      <c r="J19939" s="1">
        <v>45939.713622685187</v>
      </c>
    </row>
    <row r="19940" spans="1:10" x14ac:dyDescent="0.2">
      <c r="A19940" s="4" t="s">
        <v>1</v>
      </c>
      <c r="B199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40" s="3" t="str">
        <f>HYPERLINK("https://otsuka-europe-crm.veevavault.com/ui/#object/sent_email__v/VBLZ025E82HGTWR", "SE-000286008")</f>
        <v>SE-000286008</v>
      </c>
      <c r="D19940" s="1" t="s">
        <v>0</v>
      </c>
      <c r="E19940" s="2">
        <v>0</v>
      </c>
      <c r="F19940" s="2">
        <v>0</v>
      </c>
      <c r="G19940" s="2">
        <v>0</v>
      </c>
      <c r="H19940" s="1" t="s">
        <v>0</v>
      </c>
      <c r="I19940" s="2">
        <v>0</v>
      </c>
      <c r="J19940" s="1">
        <v>45939.713634259257</v>
      </c>
    </row>
    <row r="19941" spans="1:10" x14ac:dyDescent="0.2">
      <c r="A19941" s="4" t="s">
        <v>1</v>
      </c>
      <c r="B199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41" s="3" t="str">
        <f>HYPERLINK("https://otsuka-europe-crm.veevavault.com/ui/#object/sent_email__v/VBLZ025E82HGTWS", "SE-000286009")</f>
        <v>SE-000286009</v>
      </c>
      <c r="D19941" s="1" t="s">
        <v>0</v>
      </c>
      <c r="E19941" s="2">
        <v>0</v>
      </c>
      <c r="F19941" s="2">
        <v>0</v>
      </c>
      <c r="G19941" s="2">
        <v>0</v>
      </c>
      <c r="H19941" s="1" t="s">
        <v>0</v>
      </c>
      <c r="I19941" s="2">
        <v>0</v>
      </c>
      <c r="J19941" s="1">
        <v>45939.713645833333</v>
      </c>
    </row>
    <row r="19942" spans="1:10" x14ac:dyDescent="0.2">
      <c r="A19942" s="4" t="s">
        <v>1</v>
      </c>
      <c r="B199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42" s="3" t="str">
        <f>HYPERLINK("https://otsuka-europe-crm.veevavault.com/ui/#object/sent_email__v/VBLZ025E82HGTWT", "SE-000286010")</f>
        <v>SE-000286010</v>
      </c>
      <c r="D19942" s="1">
        <v>45940.305995370371</v>
      </c>
      <c r="E19942" s="2">
        <v>1</v>
      </c>
      <c r="F19942" s="2">
        <v>2</v>
      </c>
      <c r="G19942" s="2">
        <v>0</v>
      </c>
      <c r="H19942" s="1" t="s">
        <v>0</v>
      </c>
      <c r="I19942" s="2">
        <v>0</v>
      </c>
      <c r="J19942" s="1">
        <v>45939.71365740741</v>
      </c>
    </row>
    <row r="19943" spans="1:10" x14ac:dyDescent="0.2">
      <c r="A19943" s="4" t="s">
        <v>1</v>
      </c>
      <c r="B199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43" s="3" t="str">
        <f>HYPERLINK("https://otsuka-europe-crm.veevavault.com/ui/#object/sent_email__v/VBLZ025E82HGTWU", "SE-000286011")</f>
        <v>SE-000286011</v>
      </c>
      <c r="D19943" s="1" t="s">
        <v>0</v>
      </c>
      <c r="E19943" s="2">
        <v>0</v>
      </c>
      <c r="F19943" s="2">
        <v>0</v>
      </c>
      <c r="G19943" s="2">
        <v>0</v>
      </c>
      <c r="H19943" s="1" t="s">
        <v>0</v>
      </c>
      <c r="I19943" s="2">
        <v>0</v>
      </c>
      <c r="J19943" s="1">
        <v>45939.71366898148</v>
      </c>
    </row>
    <row r="19944" spans="1:10" x14ac:dyDescent="0.2">
      <c r="A19944" s="4" t="s">
        <v>1</v>
      </c>
      <c r="B199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44" s="3" t="str">
        <f>HYPERLINK("https://otsuka-europe-crm.veevavault.com/ui/#object/sent_email__v/VBLZ025E82HGTWV", "SE-000286012")</f>
        <v>SE-000286012</v>
      </c>
      <c r="D19944" s="1" t="s">
        <v>0</v>
      </c>
      <c r="E19944" s="2">
        <v>0</v>
      </c>
      <c r="F19944" s="2">
        <v>0</v>
      </c>
      <c r="G19944" s="2">
        <v>0</v>
      </c>
      <c r="H19944" s="1" t="s">
        <v>0</v>
      </c>
      <c r="I19944" s="2">
        <v>0</v>
      </c>
      <c r="J19944" s="1">
        <v>45939.713680555556</v>
      </c>
    </row>
    <row r="19945" spans="1:10" x14ac:dyDescent="0.2">
      <c r="A19945" s="4" t="s">
        <v>1</v>
      </c>
      <c r="B199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45" s="3" t="str">
        <f>HYPERLINK("https://otsuka-europe-crm.veevavault.com/ui/#object/sent_email__v/VBLZ025E82HGTWW", "SE-000286013")</f>
        <v>SE-000286013</v>
      </c>
      <c r="D19945" s="1">
        <v>45939.874861111108</v>
      </c>
      <c r="E19945" s="2">
        <v>1</v>
      </c>
      <c r="F19945" s="2">
        <v>3</v>
      </c>
      <c r="G19945" s="2">
        <v>0</v>
      </c>
      <c r="H19945" s="1" t="s">
        <v>0</v>
      </c>
      <c r="I19945" s="2">
        <v>0</v>
      </c>
      <c r="J19945" s="1">
        <v>45939.713692129626</v>
      </c>
    </row>
    <row r="19946" spans="1:10" x14ac:dyDescent="0.2">
      <c r="A19946" s="4" t="s">
        <v>1</v>
      </c>
      <c r="B199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46" s="3" t="str">
        <f>HYPERLINK("https://otsuka-europe-crm.veevavault.com/ui/#object/sent_email__v/VBLZ025E82HGTWX", "SE-000286014")</f>
        <v>SE-000286014</v>
      </c>
      <c r="D19946" s="1" t="s">
        <v>0</v>
      </c>
      <c r="E19946" s="2">
        <v>0</v>
      </c>
      <c r="F19946" s="2">
        <v>0</v>
      </c>
      <c r="G19946" s="2">
        <v>0</v>
      </c>
      <c r="H19946" s="1" t="s">
        <v>0</v>
      </c>
      <c r="I19946" s="2">
        <v>0</v>
      </c>
      <c r="J19946" s="1">
        <v>45939.713703703703</v>
      </c>
    </row>
    <row r="19947" spans="1:10" x14ac:dyDescent="0.2">
      <c r="A19947" s="4" t="s">
        <v>1</v>
      </c>
      <c r="B199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47" s="3" t="str">
        <f>HYPERLINK("https://otsuka-europe-crm.veevavault.com/ui/#object/sent_email__v/VBLZ025E82HGTWY", "SE-000286015")</f>
        <v>SE-000286015</v>
      </c>
      <c r="D19947" s="1" t="s">
        <v>0</v>
      </c>
      <c r="E19947" s="2">
        <v>0</v>
      </c>
      <c r="F19947" s="2">
        <v>0</v>
      </c>
      <c r="G19947" s="2">
        <v>0</v>
      </c>
      <c r="H19947" s="1" t="s">
        <v>0</v>
      </c>
      <c r="I19947" s="2">
        <v>0</v>
      </c>
      <c r="J19947" s="1">
        <v>45939.713703703703</v>
      </c>
    </row>
    <row r="19948" spans="1:10" x14ac:dyDescent="0.2">
      <c r="A19948" s="4" t="s">
        <v>1</v>
      </c>
      <c r="B199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48" s="3" t="str">
        <f>HYPERLINK("https://otsuka-europe-crm.veevavault.com/ui/#object/sent_email__v/VBLZ025E82HGTWZ", "SE-000286016")</f>
        <v>SE-000286016</v>
      </c>
      <c r="D19948" s="1">
        <v>45960.785821759258</v>
      </c>
      <c r="E19948" s="2">
        <v>1</v>
      </c>
      <c r="F19948" s="2">
        <v>1</v>
      </c>
      <c r="G19948" s="2">
        <v>0</v>
      </c>
      <c r="H19948" s="1" t="s">
        <v>0</v>
      </c>
      <c r="I19948" s="2">
        <v>0</v>
      </c>
      <c r="J19948" s="1">
        <v>45939.71371527778</v>
      </c>
    </row>
    <row r="19949" spans="1:10" x14ac:dyDescent="0.2">
      <c r="A19949" s="4" t="s">
        <v>1</v>
      </c>
      <c r="B199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49" s="3" t="str">
        <f>HYPERLINK("https://otsuka-europe-crm.veevavault.com/ui/#object/sent_email__v/VBLZ025E82HGTX0", "SE-000286017")</f>
        <v>SE-000286017</v>
      </c>
      <c r="D19949" s="1" t="s">
        <v>0</v>
      </c>
      <c r="E19949" s="2">
        <v>0</v>
      </c>
      <c r="F19949" s="2">
        <v>0</v>
      </c>
      <c r="G19949" s="2">
        <v>0</v>
      </c>
      <c r="H19949" s="1" t="s">
        <v>0</v>
      </c>
      <c r="I19949" s="2">
        <v>0</v>
      </c>
      <c r="J19949" s="1">
        <v>45939.71371527778</v>
      </c>
    </row>
    <row r="19950" spans="1:10" x14ac:dyDescent="0.2">
      <c r="A19950" s="4" t="s">
        <v>1</v>
      </c>
      <c r="B199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50" s="3" t="str">
        <f>HYPERLINK("https://otsuka-europe-crm.veevavault.com/ui/#object/sent_email__v/VBLZ025E82HGTX1", "SE-000286018")</f>
        <v>SE-000286018</v>
      </c>
      <c r="D19950" s="1">
        <v>45939.942719907405</v>
      </c>
      <c r="E19950" s="2">
        <v>1</v>
      </c>
      <c r="F19950" s="2">
        <v>2</v>
      </c>
      <c r="G19950" s="2">
        <v>1</v>
      </c>
      <c r="H19950" s="1">
        <v>45939.942766203705</v>
      </c>
      <c r="I19950" s="2">
        <v>1</v>
      </c>
      <c r="J19950" s="1">
        <v>45939.713726851849</v>
      </c>
    </row>
    <row r="19951" spans="1:10" x14ac:dyDescent="0.2">
      <c r="A19951" s="4" t="s">
        <v>1</v>
      </c>
      <c r="B199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51" s="3" t="str">
        <f>HYPERLINK("https://otsuka-europe-crm.veevavault.com/ui/#object/sent_email__v/VBLZ025E82HGTX2", "SE-000286019")</f>
        <v>SE-000286019</v>
      </c>
      <c r="D19951" s="1">
        <v>45964.996111111112</v>
      </c>
      <c r="E19951" s="2">
        <v>1</v>
      </c>
      <c r="F19951" s="2">
        <v>2</v>
      </c>
      <c r="G19951" s="2">
        <v>0</v>
      </c>
      <c r="H19951" s="1" t="s">
        <v>0</v>
      </c>
      <c r="I19951" s="2">
        <v>0</v>
      </c>
      <c r="J19951" s="1">
        <v>45939.713738425926</v>
      </c>
    </row>
    <row r="19952" spans="1:10" x14ac:dyDescent="0.2">
      <c r="A19952" s="4" t="s">
        <v>1</v>
      </c>
      <c r="B199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52" s="3" t="str">
        <f>HYPERLINK("https://otsuka-europe-crm.veevavault.com/ui/#object/sent_email__v/VBLZ025E82HGTX3", "SE-000286020")</f>
        <v>SE-000286020</v>
      </c>
      <c r="D19952" s="1">
        <v>45939.831076388888</v>
      </c>
      <c r="E19952" s="2">
        <v>1</v>
      </c>
      <c r="F19952" s="2">
        <v>1</v>
      </c>
      <c r="G19952" s="2">
        <v>0</v>
      </c>
      <c r="H19952" s="1" t="s">
        <v>0</v>
      </c>
      <c r="I19952" s="2">
        <v>0</v>
      </c>
      <c r="J19952" s="1">
        <v>45939.713750000003</v>
      </c>
    </row>
    <row r="19953" spans="1:10" x14ac:dyDescent="0.2">
      <c r="A19953" s="4" t="s">
        <v>1</v>
      </c>
      <c r="B199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53" s="3" t="str">
        <f>HYPERLINK("https://otsuka-europe-crm.veevavault.com/ui/#object/sent_email__v/VBLZ025E82HGTX4", "SE-000286021")</f>
        <v>SE-000286021</v>
      </c>
      <c r="D19953" s="1">
        <v>45939.732152777775</v>
      </c>
      <c r="E19953" s="2">
        <v>1</v>
      </c>
      <c r="F19953" s="2">
        <v>1</v>
      </c>
      <c r="G19953" s="2">
        <v>0</v>
      </c>
      <c r="H19953" s="1" t="s">
        <v>0</v>
      </c>
      <c r="I19953" s="2">
        <v>0</v>
      </c>
      <c r="J19953" s="1">
        <v>45939.713761574072</v>
      </c>
    </row>
    <row r="19954" spans="1:10" x14ac:dyDescent="0.2">
      <c r="A19954" s="4" t="s">
        <v>1</v>
      </c>
      <c r="B199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54" s="3" t="str">
        <f>HYPERLINK("https://otsuka-europe-crm.veevavault.com/ui/#object/sent_email__v/VBLZ025E82HGTX5", "SE-000286022")</f>
        <v>SE-000286022</v>
      </c>
      <c r="D19954" s="1" t="s">
        <v>0</v>
      </c>
      <c r="E19954" s="2">
        <v>0</v>
      </c>
      <c r="F19954" s="2">
        <v>0</v>
      </c>
      <c r="G19954" s="2">
        <v>0</v>
      </c>
      <c r="H19954" s="1" t="s">
        <v>0</v>
      </c>
      <c r="I19954" s="2">
        <v>0</v>
      </c>
      <c r="J19954" s="1">
        <v>45939.713773148149</v>
      </c>
    </row>
    <row r="19955" spans="1:10" x14ac:dyDescent="0.2">
      <c r="A19955" s="4" t="s">
        <v>1</v>
      </c>
      <c r="B199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55" s="3" t="str">
        <f>HYPERLINK("https://otsuka-europe-crm.veevavault.com/ui/#object/sent_email__v/VBLZ025E82HGTX6", "SE-000286023")</f>
        <v>SE-000286023</v>
      </c>
      <c r="D19955" s="1">
        <v>45949.105995370373</v>
      </c>
      <c r="E19955" s="2">
        <v>1</v>
      </c>
      <c r="F19955" s="2">
        <v>2</v>
      </c>
      <c r="G19955" s="2">
        <v>0</v>
      </c>
      <c r="H19955" s="1" t="s">
        <v>0</v>
      </c>
      <c r="I19955" s="2">
        <v>0</v>
      </c>
      <c r="J19955" s="1">
        <v>45939.713784722226</v>
      </c>
    </row>
    <row r="19956" spans="1:10" x14ac:dyDescent="0.2">
      <c r="A19956" s="4" t="s">
        <v>1</v>
      </c>
      <c r="B199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56" s="3" t="str">
        <f>HYPERLINK("https://otsuka-europe-crm.veevavault.com/ui/#object/sent_email__v/VBLZ025E82HGTX7", "SE-000286024")</f>
        <v>SE-000286024</v>
      </c>
      <c r="D19956" s="1">
        <v>45939.848958333336</v>
      </c>
      <c r="E19956" s="2">
        <v>1</v>
      </c>
      <c r="F19956" s="2">
        <v>1</v>
      </c>
      <c r="G19956" s="2">
        <v>0</v>
      </c>
      <c r="H19956" s="1" t="s">
        <v>0</v>
      </c>
      <c r="I19956" s="2">
        <v>0</v>
      </c>
      <c r="J19956" s="1">
        <v>45939.713796296295</v>
      </c>
    </row>
    <row r="19957" spans="1:10" x14ac:dyDescent="0.2">
      <c r="A19957" s="4" t="s">
        <v>1</v>
      </c>
      <c r="B199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57" s="3" t="str">
        <f>HYPERLINK("https://otsuka-europe-crm.veevavault.com/ui/#object/sent_email__v/VBLZ025E82HGTX8", "SE-000286025")</f>
        <v>SE-000286025</v>
      </c>
      <c r="D19957" s="1">
        <v>45940.372465277775</v>
      </c>
      <c r="E19957" s="2">
        <v>1</v>
      </c>
      <c r="F19957" s="2">
        <v>1</v>
      </c>
      <c r="G19957" s="2">
        <v>0</v>
      </c>
      <c r="H19957" s="1" t="s">
        <v>0</v>
      </c>
      <c r="I19957" s="2">
        <v>0</v>
      </c>
      <c r="J19957" s="1">
        <v>45939.713796296295</v>
      </c>
    </row>
    <row r="19958" spans="1:10" x14ac:dyDescent="0.2">
      <c r="A19958" s="4" t="s">
        <v>1</v>
      </c>
      <c r="B199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58" s="3" t="str">
        <f>HYPERLINK("https://otsuka-europe-crm.veevavault.com/ui/#object/sent_email__v/VBLZ025E82HGTX9", "SE-000286026")</f>
        <v>SE-000286026</v>
      </c>
      <c r="D19958" s="1">
        <v>45949.603645833333</v>
      </c>
      <c r="E19958" s="2">
        <v>1</v>
      </c>
      <c r="F19958" s="2">
        <v>4</v>
      </c>
      <c r="G19958" s="2">
        <v>0</v>
      </c>
      <c r="H19958" s="1" t="s">
        <v>0</v>
      </c>
      <c r="I19958" s="2">
        <v>0</v>
      </c>
      <c r="J19958" s="1">
        <v>45939.713807870372</v>
      </c>
    </row>
    <row r="19959" spans="1:10" x14ac:dyDescent="0.2">
      <c r="A19959" s="4" t="s">
        <v>1</v>
      </c>
      <c r="B199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59" s="3" t="str">
        <f>HYPERLINK("https://otsuka-europe-crm.veevavault.com/ui/#object/sent_email__v/VBLZ025E82HGTXA", "SE-000286027")</f>
        <v>SE-000286027</v>
      </c>
      <c r="D19959" s="1">
        <v>45939.713912037034</v>
      </c>
      <c r="E19959" s="2">
        <v>1</v>
      </c>
      <c r="F19959" s="2">
        <v>1</v>
      </c>
      <c r="G19959" s="2">
        <v>0</v>
      </c>
      <c r="H19959" s="1" t="s">
        <v>0</v>
      </c>
      <c r="I19959" s="2">
        <v>0</v>
      </c>
      <c r="J19959" s="1">
        <v>45939.713819444441</v>
      </c>
    </row>
    <row r="19960" spans="1:10" x14ac:dyDescent="0.2">
      <c r="A19960" s="4" t="s">
        <v>1</v>
      </c>
      <c r="B199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60" s="3" t="str">
        <f>HYPERLINK("https://otsuka-europe-crm.veevavault.com/ui/#object/sent_email__v/VBLZ025E82HGTXB", "SE-000286028")</f>
        <v>SE-000286028</v>
      </c>
      <c r="D19960" s="1" t="s">
        <v>0</v>
      </c>
      <c r="E19960" s="2">
        <v>0</v>
      </c>
      <c r="F19960" s="2">
        <v>0</v>
      </c>
      <c r="G19960" s="2">
        <v>0</v>
      </c>
      <c r="H19960" s="1" t="s">
        <v>0</v>
      </c>
      <c r="I19960" s="2">
        <v>0</v>
      </c>
      <c r="J19960" s="1">
        <v>45939.713819444441</v>
      </c>
    </row>
    <row r="19961" spans="1:10" x14ac:dyDescent="0.2">
      <c r="A19961" s="4" t="s">
        <v>1</v>
      </c>
      <c r="B199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61" s="3" t="str">
        <f>HYPERLINK("https://otsuka-europe-crm.veevavault.com/ui/#object/sent_email__v/VBLZ025E82HGTXC", "SE-000286029")</f>
        <v>SE-000286029</v>
      </c>
      <c r="D19961" s="1" t="s">
        <v>0</v>
      </c>
      <c r="E19961" s="2">
        <v>0</v>
      </c>
      <c r="F19961" s="2">
        <v>0</v>
      </c>
      <c r="G19961" s="2">
        <v>0</v>
      </c>
      <c r="H19961" s="1" t="s">
        <v>0</v>
      </c>
      <c r="I19961" s="2">
        <v>0</v>
      </c>
      <c r="J19961" s="1">
        <v>45939.713831018518</v>
      </c>
    </row>
    <row r="19962" spans="1:10" x14ac:dyDescent="0.2">
      <c r="A19962" s="4" t="s">
        <v>1</v>
      </c>
      <c r="B199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62" s="3" t="str">
        <f>HYPERLINK("https://otsuka-europe-crm.veevavault.com/ui/#object/sent_email__v/VBLZ025E82HGTXD", "SE-000286030")</f>
        <v>SE-000286030</v>
      </c>
      <c r="D19962" s="1">
        <v>45946.875590277778</v>
      </c>
      <c r="E19962" s="2">
        <v>1</v>
      </c>
      <c r="F19962" s="2">
        <v>2</v>
      </c>
      <c r="G19962" s="2">
        <v>0</v>
      </c>
      <c r="H19962" s="1" t="s">
        <v>0</v>
      </c>
      <c r="I19962" s="2">
        <v>0</v>
      </c>
      <c r="J19962" s="1">
        <v>45939.713842592595</v>
      </c>
    </row>
    <row r="19963" spans="1:10" x14ac:dyDescent="0.2">
      <c r="A19963" s="4" t="s">
        <v>1</v>
      </c>
      <c r="B199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63" s="3" t="str">
        <f>HYPERLINK("https://otsuka-europe-crm.veevavault.com/ui/#object/sent_email__v/VBLZ025E82HGTXE", "SE-000286031")</f>
        <v>SE-000286031</v>
      </c>
      <c r="D19963" s="1" t="s">
        <v>0</v>
      </c>
      <c r="E19963" s="2">
        <v>0</v>
      </c>
      <c r="F19963" s="2">
        <v>0</v>
      </c>
      <c r="G19963" s="2">
        <v>0</v>
      </c>
      <c r="H19963" s="1" t="s">
        <v>0</v>
      </c>
      <c r="I19963" s="2">
        <v>0</v>
      </c>
      <c r="J19963" s="1">
        <v>45939.713854166665</v>
      </c>
    </row>
    <row r="19964" spans="1:10" x14ac:dyDescent="0.2">
      <c r="A19964" s="4" t="s">
        <v>1</v>
      </c>
      <c r="B199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64" s="3" t="str">
        <f>HYPERLINK("https://otsuka-europe-crm.veevavault.com/ui/#object/sent_email__v/VBLZ025E82HGTXF", "SE-000286032")</f>
        <v>SE-000286032</v>
      </c>
      <c r="D19964" s="1">
        <v>45958.913449074076</v>
      </c>
      <c r="E19964" s="2">
        <v>1</v>
      </c>
      <c r="F19964" s="2">
        <v>2</v>
      </c>
      <c r="G19964" s="2">
        <v>0</v>
      </c>
      <c r="H19964" s="1" t="s">
        <v>0</v>
      </c>
      <c r="I19964" s="2">
        <v>0</v>
      </c>
      <c r="J19964" s="1">
        <v>45939.713865740741</v>
      </c>
    </row>
    <row r="19965" spans="1:10" x14ac:dyDescent="0.2">
      <c r="A19965" s="4" t="s">
        <v>1</v>
      </c>
      <c r="B199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65" s="3" t="str">
        <f>HYPERLINK("https://otsuka-europe-crm.veevavault.com/ui/#object/sent_email__v/VBLZ025E82HGTXG", "SE-000286033")</f>
        <v>SE-000286033</v>
      </c>
      <c r="D19965" s="1" t="s">
        <v>0</v>
      </c>
      <c r="E19965" s="2">
        <v>0</v>
      </c>
      <c r="F19965" s="2">
        <v>0</v>
      </c>
      <c r="G19965" s="2">
        <v>0</v>
      </c>
      <c r="H19965" s="1" t="s">
        <v>0</v>
      </c>
      <c r="I19965" s="2">
        <v>0</v>
      </c>
      <c r="J19965" s="1">
        <v>45939.713877314818</v>
      </c>
    </row>
    <row r="19966" spans="1:10" x14ac:dyDescent="0.2">
      <c r="A19966" s="4" t="s">
        <v>1</v>
      </c>
      <c r="B199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66" s="3" t="str">
        <f>HYPERLINK("https://otsuka-europe-crm.veevavault.com/ui/#object/sent_email__v/VBLZ025E82HGTXH", "SE-000286034")</f>
        <v>SE-000286034</v>
      </c>
      <c r="D19966" s="1" t="s">
        <v>0</v>
      </c>
      <c r="E19966" s="2">
        <v>0</v>
      </c>
      <c r="F19966" s="2">
        <v>0</v>
      </c>
      <c r="G19966" s="2">
        <v>0</v>
      </c>
      <c r="H19966" s="1" t="s">
        <v>0</v>
      </c>
      <c r="I19966" s="2">
        <v>0</v>
      </c>
      <c r="J19966" s="1">
        <v>45939.713877314818</v>
      </c>
    </row>
    <row r="19967" spans="1:10" x14ac:dyDescent="0.2">
      <c r="A19967" s="4" t="s">
        <v>1</v>
      </c>
      <c r="B199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67" s="3" t="str">
        <f>HYPERLINK("https://otsuka-europe-crm.veevavault.com/ui/#object/sent_email__v/VBLZ025E82HGTXI", "SE-000286035")</f>
        <v>SE-000286035</v>
      </c>
      <c r="D19967" s="1" t="s">
        <v>0</v>
      </c>
      <c r="E19967" s="2">
        <v>0</v>
      </c>
      <c r="F19967" s="2">
        <v>0</v>
      </c>
      <c r="G19967" s="2">
        <v>0</v>
      </c>
      <c r="H19967" s="1" t="s">
        <v>0</v>
      </c>
      <c r="I19967" s="2">
        <v>0</v>
      </c>
      <c r="J19967" s="1">
        <v>45939.713888888888</v>
      </c>
    </row>
    <row r="19968" spans="1:10" x14ac:dyDescent="0.2">
      <c r="A19968" s="4" t="s">
        <v>1</v>
      </c>
      <c r="B199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68" s="3" t="str">
        <f>HYPERLINK("https://otsuka-europe-crm.veevavault.com/ui/#object/sent_email__v/VBLZ025E82HGTXJ", "SE-000286036")</f>
        <v>SE-000286036</v>
      </c>
      <c r="D19968" s="1">
        <v>45939.987361111111</v>
      </c>
      <c r="E19968" s="2">
        <v>1</v>
      </c>
      <c r="F19968" s="2">
        <v>1</v>
      </c>
      <c r="G19968" s="2">
        <v>0</v>
      </c>
      <c r="H19968" s="1" t="s">
        <v>0</v>
      </c>
      <c r="I19968" s="2">
        <v>0</v>
      </c>
      <c r="J19968" s="1">
        <v>45939.713900462964</v>
      </c>
    </row>
    <row r="19969" spans="1:10" x14ac:dyDescent="0.2">
      <c r="A19969" s="4" t="s">
        <v>1</v>
      </c>
      <c r="B199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69" s="3" t="str">
        <f>HYPERLINK("https://otsuka-europe-crm.veevavault.com/ui/#object/sent_email__v/VBLZ025E82HGTXK", "SE-000286037")</f>
        <v>SE-000286037</v>
      </c>
      <c r="D19969" s="1">
        <v>45941.570601851854</v>
      </c>
      <c r="E19969" s="2">
        <v>1</v>
      </c>
      <c r="F19969" s="2">
        <v>3</v>
      </c>
      <c r="G19969" s="2">
        <v>0</v>
      </c>
      <c r="H19969" s="1" t="s">
        <v>0</v>
      </c>
      <c r="I19969" s="2">
        <v>0</v>
      </c>
      <c r="J19969" s="1">
        <v>45939.713912037034</v>
      </c>
    </row>
    <row r="19970" spans="1:10" x14ac:dyDescent="0.2">
      <c r="A19970" s="4" t="s">
        <v>1</v>
      </c>
      <c r="B199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70" s="3" t="str">
        <f>HYPERLINK("https://otsuka-europe-crm.veevavault.com/ui/#object/sent_email__v/VBLZ025E82HGTXL", "SE-000286038")</f>
        <v>SE-000286038</v>
      </c>
      <c r="D19970" s="1" t="s">
        <v>0</v>
      </c>
      <c r="E19970" s="2">
        <v>0</v>
      </c>
      <c r="F19970" s="2">
        <v>0</v>
      </c>
      <c r="G19970" s="2">
        <v>0</v>
      </c>
      <c r="H19970" s="1" t="s">
        <v>0</v>
      </c>
      <c r="I19970" s="2">
        <v>0</v>
      </c>
      <c r="J19970" s="1">
        <v>45939.713912037034</v>
      </c>
    </row>
    <row r="19971" spans="1:10" x14ac:dyDescent="0.2">
      <c r="A19971" s="4" t="s">
        <v>1</v>
      </c>
      <c r="B199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71" s="3" t="str">
        <f>HYPERLINK("https://otsuka-europe-crm.veevavault.com/ui/#object/sent_email__v/VBLZ025E82HGTXM", "SE-000286039")</f>
        <v>SE-000286039</v>
      </c>
      <c r="D19971" s="1">
        <v>45939.881932870368</v>
      </c>
      <c r="E19971" s="2">
        <v>1</v>
      </c>
      <c r="F19971" s="2">
        <v>1</v>
      </c>
      <c r="G19971" s="2">
        <v>0</v>
      </c>
      <c r="H19971" s="1" t="s">
        <v>0</v>
      </c>
      <c r="I19971" s="2">
        <v>0</v>
      </c>
      <c r="J19971" s="1">
        <v>45939.713935185187</v>
      </c>
    </row>
    <row r="19972" spans="1:10" x14ac:dyDescent="0.2">
      <c r="A19972" s="4" t="s">
        <v>1</v>
      </c>
      <c r="B199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72" s="3" t="str">
        <f>HYPERLINK("https://otsuka-europe-crm.veevavault.com/ui/#object/sent_email__v/VBLZ025E82HGTXN", "SE-000286040")</f>
        <v>SE-000286040</v>
      </c>
      <c r="D19972" s="1">
        <v>45942.949907407405</v>
      </c>
      <c r="E19972" s="2">
        <v>1</v>
      </c>
      <c r="F19972" s="2">
        <v>2</v>
      </c>
      <c r="G19972" s="2">
        <v>0</v>
      </c>
      <c r="H19972" s="1" t="s">
        <v>0</v>
      </c>
      <c r="I19972" s="2">
        <v>0</v>
      </c>
      <c r="J19972" s="1">
        <v>45939.713946759257</v>
      </c>
    </row>
    <row r="19973" spans="1:10" x14ac:dyDescent="0.2">
      <c r="A19973" s="4" t="s">
        <v>1</v>
      </c>
      <c r="B199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73" s="3" t="str">
        <f>HYPERLINK("https://otsuka-europe-crm.veevavault.com/ui/#object/sent_email__v/VBLZ025E82HGTXO", "SE-000286041")</f>
        <v>SE-000286041</v>
      </c>
      <c r="D19973" s="1" t="s">
        <v>0</v>
      </c>
      <c r="E19973" s="2">
        <v>0</v>
      </c>
      <c r="F19973" s="2">
        <v>0</v>
      </c>
      <c r="G19973" s="2">
        <v>0</v>
      </c>
      <c r="H19973" s="1" t="s">
        <v>0</v>
      </c>
      <c r="I19973" s="2">
        <v>0</v>
      </c>
      <c r="J19973" s="1">
        <v>45939.713958333334</v>
      </c>
    </row>
    <row r="19974" spans="1:10" x14ac:dyDescent="0.2">
      <c r="A19974" s="4" t="s">
        <v>1</v>
      </c>
      <c r="B199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74" s="3" t="str">
        <f>HYPERLINK("https://otsuka-europe-crm.veevavault.com/ui/#object/sent_email__v/VBLZ025E82HGTXP", "SE-000286042")</f>
        <v>SE-000286042</v>
      </c>
      <c r="D19974" s="1">
        <v>45941.559444444443</v>
      </c>
      <c r="E19974" s="2">
        <v>1</v>
      </c>
      <c r="F19974" s="2">
        <v>1</v>
      </c>
      <c r="G19974" s="2">
        <v>0</v>
      </c>
      <c r="H19974" s="1" t="s">
        <v>0</v>
      </c>
      <c r="I19974" s="2">
        <v>0</v>
      </c>
      <c r="J19974" s="1">
        <v>45939.713969907411</v>
      </c>
    </row>
    <row r="19975" spans="1:10" x14ac:dyDescent="0.2">
      <c r="A19975" s="4" t="s">
        <v>1</v>
      </c>
      <c r="B199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75" s="3" t="str">
        <f>HYPERLINK("https://otsuka-europe-crm.veevavault.com/ui/#object/sent_email__v/VBLZ025E82HGTXQ", "SE-000286043")</f>
        <v>SE-000286043</v>
      </c>
      <c r="D19975" s="1" t="s">
        <v>0</v>
      </c>
      <c r="E19975" s="2">
        <v>0</v>
      </c>
      <c r="F19975" s="2">
        <v>0</v>
      </c>
      <c r="G19975" s="2">
        <v>0</v>
      </c>
      <c r="H19975" s="1" t="s">
        <v>0</v>
      </c>
      <c r="I19975" s="2">
        <v>0</v>
      </c>
      <c r="J19975" s="1">
        <v>45939.71398148148</v>
      </c>
    </row>
    <row r="19976" spans="1:10" x14ac:dyDescent="0.2">
      <c r="A19976" s="4" t="s">
        <v>1</v>
      </c>
      <c r="B199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76" s="3" t="str">
        <f>HYPERLINK("https://otsuka-europe-crm.veevavault.com/ui/#object/sent_email__v/VBLZ025E82HGTXR", "SE-000286044")</f>
        <v>SE-000286044</v>
      </c>
      <c r="D19976" s="1">
        <v>45939.770601851851</v>
      </c>
      <c r="E19976" s="2">
        <v>1</v>
      </c>
      <c r="F19976" s="2">
        <v>2</v>
      </c>
      <c r="G19976" s="2">
        <v>0</v>
      </c>
      <c r="H19976" s="1" t="s">
        <v>0</v>
      </c>
      <c r="I19976" s="2">
        <v>0</v>
      </c>
      <c r="J19976" s="1">
        <v>45939.713993055557</v>
      </c>
    </row>
    <row r="19977" spans="1:10" x14ac:dyDescent="0.2">
      <c r="A19977" s="4" t="s">
        <v>1</v>
      </c>
      <c r="B199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77" s="3" t="str">
        <f>HYPERLINK("https://otsuka-europe-crm.veevavault.com/ui/#object/sent_email__v/VBLZ025E82HGTXS", "SE-000286045")</f>
        <v>SE-000286045</v>
      </c>
      <c r="D19977" s="1" t="s">
        <v>0</v>
      </c>
      <c r="E19977" s="2">
        <v>0</v>
      </c>
      <c r="F19977" s="2">
        <v>0</v>
      </c>
      <c r="G19977" s="2">
        <v>0</v>
      </c>
      <c r="H19977" s="1" t="s">
        <v>0</v>
      </c>
      <c r="I19977" s="2">
        <v>0</v>
      </c>
      <c r="J19977" s="1">
        <v>45939.713993055557</v>
      </c>
    </row>
    <row r="19978" spans="1:10" x14ac:dyDescent="0.2">
      <c r="A19978" s="4" t="s">
        <v>1</v>
      </c>
      <c r="B199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78" s="3" t="str">
        <f>HYPERLINK("https://otsuka-europe-crm.veevavault.com/ui/#object/sent_email__v/VBLZ025E82HGTXT", "SE-000286046")</f>
        <v>SE-000286046</v>
      </c>
      <c r="D19978" s="1">
        <v>45940.677754629629</v>
      </c>
      <c r="E19978" s="2">
        <v>1</v>
      </c>
      <c r="F19978" s="2">
        <v>2</v>
      </c>
      <c r="G19978" s="2">
        <v>0</v>
      </c>
      <c r="H19978" s="1" t="s">
        <v>0</v>
      </c>
      <c r="I19978" s="2">
        <v>0</v>
      </c>
      <c r="J19978" s="1">
        <v>45939.714004629626</v>
      </c>
    </row>
    <row r="19979" spans="1:10" x14ac:dyDescent="0.2">
      <c r="A19979" s="4" t="s">
        <v>1</v>
      </c>
      <c r="B199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79" s="3" t="str">
        <f>HYPERLINK("https://otsuka-europe-crm.veevavault.com/ui/#object/sent_email__v/VBLZ025E82HGTXU", "SE-000286047")</f>
        <v>SE-000286047</v>
      </c>
      <c r="D19979" s="1" t="s">
        <v>0</v>
      </c>
      <c r="E19979" s="2">
        <v>0</v>
      </c>
      <c r="F19979" s="2">
        <v>0</v>
      </c>
      <c r="G19979" s="2">
        <v>0</v>
      </c>
      <c r="H19979" s="1" t="s">
        <v>0</v>
      </c>
      <c r="I19979" s="2">
        <v>0</v>
      </c>
      <c r="J19979" s="1">
        <v>45939.714016203703</v>
      </c>
    </row>
    <row r="19980" spans="1:10" x14ac:dyDescent="0.2">
      <c r="A19980" s="4" t="s">
        <v>1</v>
      </c>
      <c r="B199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80" s="3" t="str">
        <f>HYPERLINK("https://otsuka-europe-crm.veevavault.com/ui/#object/sent_email__v/VBLZ025E82HGTXV", "SE-000286048")</f>
        <v>SE-000286048</v>
      </c>
      <c r="D19980" s="1" t="s">
        <v>0</v>
      </c>
      <c r="E19980" s="2">
        <v>0</v>
      </c>
      <c r="F19980" s="2">
        <v>0</v>
      </c>
      <c r="G19980" s="2">
        <v>0</v>
      </c>
      <c r="H19980" s="1" t="s">
        <v>0</v>
      </c>
      <c r="I19980" s="2">
        <v>0</v>
      </c>
      <c r="J19980" s="1">
        <v>45939.71402777778</v>
      </c>
    </row>
    <row r="19981" spans="1:10" x14ac:dyDescent="0.2">
      <c r="A19981" s="4" t="s">
        <v>1</v>
      </c>
      <c r="B199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81" s="3" t="str">
        <f>HYPERLINK("https://otsuka-europe-crm.veevavault.com/ui/#object/sent_email__v/VBLZ025E82HGTXW", "SE-000286049")</f>
        <v>SE-000286049</v>
      </c>
      <c r="D19981" s="1" t="s">
        <v>0</v>
      </c>
      <c r="E19981" s="2">
        <v>0</v>
      </c>
      <c r="F19981" s="2">
        <v>0</v>
      </c>
      <c r="G19981" s="2">
        <v>0</v>
      </c>
      <c r="H19981" s="1" t="s">
        <v>0</v>
      </c>
      <c r="I19981" s="2">
        <v>0</v>
      </c>
      <c r="J19981" s="1">
        <v>45939.714039351849</v>
      </c>
    </row>
    <row r="19982" spans="1:10" x14ac:dyDescent="0.2">
      <c r="A19982" s="4" t="s">
        <v>1</v>
      </c>
      <c r="B199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82" s="3" t="str">
        <f>HYPERLINK("https://otsuka-europe-crm.veevavault.com/ui/#object/sent_email__v/VBLZ025E82HGTXX", "SE-000286050")</f>
        <v>SE-000286050</v>
      </c>
      <c r="D19982" s="1" t="s">
        <v>0</v>
      </c>
      <c r="E19982" s="2">
        <v>0</v>
      </c>
      <c r="F19982" s="2">
        <v>0</v>
      </c>
      <c r="G19982" s="2">
        <v>0</v>
      </c>
      <c r="H19982" s="1" t="s">
        <v>0</v>
      </c>
      <c r="I19982" s="2">
        <v>0</v>
      </c>
      <c r="J19982" s="1">
        <v>45939.714050925926</v>
      </c>
    </row>
    <row r="19983" spans="1:10" x14ac:dyDescent="0.2">
      <c r="A19983" s="4" t="s">
        <v>1</v>
      </c>
      <c r="B199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83" s="3" t="str">
        <f>HYPERLINK("https://otsuka-europe-crm.veevavault.com/ui/#object/sent_email__v/VBLZ025E82HGTXY", "SE-000286051")</f>
        <v>SE-000286051</v>
      </c>
      <c r="D19983" s="1">
        <v>45940.308067129627</v>
      </c>
      <c r="E19983" s="2">
        <v>1</v>
      </c>
      <c r="F19983" s="2">
        <v>4</v>
      </c>
      <c r="G19983" s="2">
        <v>1</v>
      </c>
      <c r="H19983" s="1">
        <v>45940.308495370373</v>
      </c>
      <c r="I19983" s="2">
        <v>2</v>
      </c>
      <c r="J19983" s="1">
        <v>45939.714062500003</v>
      </c>
    </row>
    <row r="19984" spans="1:10" x14ac:dyDescent="0.2">
      <c r="A19984" s="4" t="s">
        <v>1</v>
      </c>
      <c r="B199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84" s="3" t="str">
        <f>HYPERLINK("https://otsuka-europe-crm.veevavault.com/ui/#object/sent_email__v/VBLZ025E82HGTXZ", "SE-000286052")</f>
        <v>SE-000286052</v>
      </c>
      <c r="D19984" s="1" t="s">
        <v>0</v>
      </c>
      <c r="E19984" s="2">
        <v>0</v>
      </c>
      <c r="F19984" s="2">
        <v>0</v>
      </c>
      <c r="G19984" s="2">
        <v>0</v>
      </c>
      <c r="H19984" s="1" t="s">
        <v>0</v>
      </c>
      <c r="I19984" s="2">
        <v>0</v>
      </c>
      <c r="J19984" s="1">
        <v>45939.714074074072</v>
      </c>
    </row>
    <row r="19985" spans="1:10" x14ac:dyDescent="0.2">
      <c r="A19985" s="4" t="s">
        <v>1</v>
      </c>
      <c r="B199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85" s="3" t="str">
        <f>HYPERLINK("https://otsuka-europe-crm.veevavault.com/ui/#object/sent_email__v/VBLZ025E82HGTY0", "SE-000286053")</f>
        <v>SE-000286053</v>
      </c>
      <c r="D19985" s="1">
        <v>45942.513854166667</v>
      </c>
      <c r="E19985" s="2">
        <v>1</v>
      </c>
      <c r="F19985" s="2">
        <v>4</v>
      </c>
      <c r="G19985" s="2">
        <v>0</v>
      </c>
      <c r="H19985" s="1" t="s">
        <v>0</v>
      </c>
      <c r="I19985" s="2">
        <v>0</v>
      </c>
      <c r="J19985" s="1">
        <v>45939.714085648149</v>
      </c>
    </row>
    <row r="19986" spans="1:10" x14ac:dyDescent="0.2">
      <c r="A19986" s="4" t="s">
        <v>1</v>
      </c>
      <c r="B199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86" s="3" t="str">
        <f>HYPERLINK("https://otsuka-europe-crm.veevavault.com/ui/#object/sent_email__v/VBLZ025E82HGTY1", "SE-000286054")</f>
        <v>SE-000286054</v>
      </c>
      <c r="D19986" s="1" t="s">
        <v>0</v>
      </c>
      <c r="E19986" s="2">
        <v>0</v>
      </c>
      <c r="F19986" s="2">
        <v>0</v>
      </c>
      <c r="G19986" s="2">
        <v>0</v>
      </c>
      <c r="H19986" s="1" t="s">
        <v>0</v>
      </c>
      <c r="I19986" s="2">
        <v>0</v>
      </c>
      <c r="J19986" s="1">
        <v>45939.714097222219</v>
      </c>
    </row>
    <row r="19987" spans="1:10" x14ac:dyDescent="0.2">
      <c r="A19987" s="4" t="s">
        <v>1</v>
      </c>
      <c r="B199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87" s="3" t="str">
        <f>HYPERLINK("https://otsuka-europe-crm.veevavault.com/ui/#object/sent_email__v/VBLZ025E82HGTY2", "SE-000286055")</f>
        <v>SE-000286055</v>
      </c>
      <c r="D19987" s="1" t="s">
        <v>0</v>
      </c>
      <c r="E19987" s="2">
        <v>0</v>
      </c>
      <c r="F19987" s="2">
        <v>0</v>
      </c>
      <c r="G19987" s="2">
        <v>0</v>
      </c>
      <c r="H19987" s="1" t="s">
        <v>0</v>
      </c>
      <c r="I19987" s="2">
        <v>0</v>
      </c>
      <c r="J19987" s="1">
        <v>45939.714108796295</v>
      </c>
    </row>
    <row r="19988" spans="1:10" x14ac:dyDescent="0.2">
      <c r="A19988" s="4" t="s">
        <v>1</v>
      </c>
      <c r="B199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88" s="3" t="str">
        <f>HYPERLINK("https://otsuka-europe-crm.veevavault.com/ui/#object/sent_email__v/VBLZ025E82HGTY3", "SE-000286056")</f>
        <v>SE-000286056</v>
      </c>
      <c r="D19988" s="1">
        <v>45964.375868055555</v>
      </c>
      <c r="E19988" s="2">
        <v>1</v>
      </c>
      <c r="F19988" s="2">
        <v>2</v>
      </c>
      <c r="G19988" s="2">
        <v>0</v>
      </c>
      <c r="H19988" s="1" t="s">
        <v>0</v>
      </c>
      <c r="I19988" s="2">
        <v>0</v>
      </c>
      <c r="J19988" s="1">
        <v>45939.714108796295</v>
      </c>
    </row>
    <row r="19989" spans="1:10" x14ac:dyDescent="0.2">
      <c r="A19989" s="4" t="s">
        <v>1</v>
      </c>
      <c r="B199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89" s="3" t="str">
        <f>HYPERLINK("https://otsuka-europe-crm.veevavault.com/ui/#object/sent_email__v/VBLZ025E82HGTY4", "SE-000286057")</f>
        <v>SE-000286057</v>
      </c>
      <c r="D19989" s="1">
        <v>45941.778611111113</v>
      </c>
      <c r="E19989" s="2">
        <v>1</v>
      </c>
      <c r="F19989" s="2">
        <v>1</v>
      </c>
      <c r="G19989" s="2">
        <v>0</v>
      </c>
      <c r="H19989" s="1" t="s">
        <v>0</v>
      </c>
      <c r="I19989" s="2">
        <v>0</v>
      </c>
      <c r="J19989" s="1">
        <v>45939.714131944442</v>
      </c>
    </row>
    <row r="19990" spans="1:10" x14ac:dyDescent="0.2">
      <c r="A19990" s="4" t="s">
        <v>1</v>
      </c>
      <c r="B199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90" s="3" t="str">
        <f>HYPERLINK("https://otsuka-europe-crm.veevavault.com/ui/#object/sent_email__v/VBLZ025E82HGTY5", "SE-000286058")</f>
        <v>SE-000286058</v>
      </c>
      <c r="D19990" s="1" t="s">
        <v>0</v>
      </c>
      <c r="E19990" s="2">
        <v>0</v>
      </c>
      <c r="F19990" s="2">
        <v>0</v>
      </c>
      <c r="G19990" s="2">
        <v>0</v>
      </c>
      <c r="H19990" s="1" t="s">
        <v>0</v>
      </c>
      <c r="I19990" s="2">
        <v>0</v>
      </c>
      <c r="J19990" s="1">
        <v>45939.714131944442</v>
      </c>
    </row>
    <row r="19991" spans="1:10" x14ac:dyDescent="0.2">
      <c r="A19991" s="4" t="s">
        <v>1</v>
      </c>
      <c r="B199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91" s="3" t="str">
        <f>HYPERLINK("https://otsuka-europe-crm.veevavault.com/ui/#object/sent_email__v/VBLZ025E82HGTY6", "SE-000286059")</f>
        <v>SE-000286059</v>
      </c>
      <c r="D19991" s="1">
        <v>45941.311215277776</v>
      </c>
      <c r="E19991" s="2">
        <v>1</v>
      </c>
      <c r="F19991" s="2">
        <v>1</v>
      </c>
      <c r="G19991" s="2">
        <v>0</v>
      </c>
      <c r="H19991" s="1" t="s">
        <v>0</v>
      </c>
      <c r="I19991" s="2">
        <v>0</v>
      </c>
      <c r="J19991" s="1">
        <v>45939.714143518519</v>
      </c>
    </row>
    <row r="19992" spans="1:10" x14ac:dyDescent="0.2">
      <c r="A19992" s="4" t="s">
        <v>1</v>
      </c>
      <c r="B199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92" s="3" t="str">
        <f>HYPERLINK("https://otsuka-europe-crm.veevavault.com/ui/#object/sent_email__v/VBLZ025E82HGTY7", "SE-000286060")</f>
        <v>SE-000286060</v>
      </c>
      <c r="D19992" s="1">
        <v>45943.719872685186</v>
      </c>
      <c r="E19992" s="2">
        <v>1</v>
      </c>
      <c r="F19992" s="2">
        <v>4</v>
      </c>
      <c r="G19992" s="2">
        <v>0</v>
      </c>
      <c r="H19992" s="1" t="s">
        <v>0</v>
      </c>
      <c r="I19992" s="2">
        <v>0</v>
      </c>
      <c r="J19992" s="1">
        <v>45939.714143518519</v>
      </c>
    </row>
    <row r="19993" spans="1:10" x14ac:dyDescent="0.2">
      <c r="A19993" s="4" t="s">
        <v>1</v>
      </c>
      <c r="B199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93" s="3" t="str">
        <f>HYPERLINK("https://otsuka-europe-crm.veevavault.com/ui/#object/sent_email__v/VBLZ025E82HGTY8", "SE-000286061")</f>
        <v>SE-000286061</v>
      </c>
      <c r="D19993" s="1">
        <v>45948.817037037035</v>
      </c>
      <c r="E19993" s="2">
        <v>1</v>
      </c>
      <c r="F19993" s="2">
        <v>8</v>
      </c>
      <c r="G19993" s="2">
        <v>0</v>
      </c>
      <c r="H19993" s="1" t="s">
        <v>0</v>
      </c>
      <c r="I19993" s="2">
        <v>0</v>
      </c>
      <c r="J19993" s="1">
        <v>45939.714155092595</v>
      </c>
    </row>
    <row r="19994" spans="1:10" x14ac:dyDescent="0.2">
      <c r="A19994" s="4" t="s">
        <v>1</v>
      </c>
      <c r="B199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94" s="3" t="str">
        <f>HYPERLINK("https://otsuka-europe-crm.veevavault.com/ui/#object/sent_email__v/VBLZ025E82HGTY9", "SE-000286062")</f>
        <v>SE-000286062</v>
      </c>
      <c r="D19994" s="1">
        <v>45939.746759259258</v>
      </c>
      <c r="E19994" s="2">
        <v>1</v>
      </c>
      <c r="F19994" s="2">
        <v>2</v>
      </c>
      <c r="G19994" s="2">
        <v>1</v>
      </c>
      <c r="H19994" s="1">
        <v>45939.746805555558</v>
      </c>
      <c r="I19994" s="2">
        <v>1</v>
      </c>
      <c r="J19994" s="1">
        <v>45939.714166666665</v>
      </c>
    </row>
    <row r="19995" spans="1:10" x14ac:dyDescent="0.2">
      <c r="A19995" s="4" t="s">
        <v>1</v>
      </c>
      <c r="B199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95" s="3" t="str">
        <f>HYPERLINK("https://otsuka-europe-crm.veevavault.com/ui/#object/sent_email__v/VBLZ025E82HGTYA", "SE-000286063")</f>
        <v>SE-000286063</v>
      </c>
      <c r="D19995" s="1">
        <v>45939.747175925928</v>
      </c>
      <c r="E19995" s="2">
        <v>1</v>
      </c>
      <c r="F19995" s="2">
        <v>1</v>
      </c>
      <c r="G19995" s="2">
        <v>0</v>
      </c>
      <c r="H19995" s="1" t="s">
        <v>0</v>
      </c>
      <c r="I19995" s="2">
        <v>0</v>
      </c>
      <c r="J19995" s="1">
        <v>45939.714178240742</v>
      </c>
    </row>
    <row r="19996" spans="1:10" x14ac:dyDescent="0.2">
      <c r="A19996" s="4" t="s">
        <v>1</v>
      </c>
      <c r="B199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96" s="3" t="str">
        <f>HYPERLINK("https://otsuka-europe-crm.veevavault.com/ui/#object/sent_email__v/VBLZ025E82HGTYB", "SE-000286064")</f>
        <v>SE-000286064</v>
      </c>
      <c r="D19996" s="1">
        <v>45941.287118055552</v>
      </c>
      <c r="E19996" s="2">
        <v>1</v>
      </c>
      <c r="F19996" s="2">
        <v>2</v>
      </c>
      <c r="G19996" s="2">
        <v>1</v>
      </c>
      <c r="H19996" s="1">
        <v>45939.786678240744</v>
      </c>
      <c r="I19996" s="2">
        <v>1</v>
      </c>
      <c r="J19996" s="1">
        <v>45939.714189814818</v>
      </c>
    </row>
    <row r="19997" spans="1:10" x14ac:dyDescent="0.2">
      <c r="A19997" s="4" t="s">
        <v>1</v>
      </c>
      <c r="B199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97" s="3" t="str">
        <f>HYPERLINK("https://otsuka-europe-crm.veevavault.com/ui/#object/sent_email__v/VBLZ025E82HGTYC", "SE-000286065")</f>
        <v>SE-000286065</v>
      </c>
      <c r="D19997" s="1">
        <v>45944.018136574072</v>
      </c>
      <c r="E19997" s="2">
        <v>1</v>
      </c>
      <c r="F19997" s="2">
        <v>2</v>
      </c>
      <c r="G19997" s="2">
        <v>0</v>
      </c>
      <c r="H19997" s="1" t="s">
        <v>0</v>
      </c>
      <c r="I19997" s="2">
        <v>0</v>
      </c>
      <c r="J19997" s="1">
        <v>45939.714201388888</v>
      </c>
    </row>
    <row r="19998" spans="1:10" x14ac:dyDescent="0.2">
      <c r="A19998" s="4" t="s">
        <v>1</v>
      </c>
      <c r="B199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98" s="3" t="str">
        <f>HYPERLINK("https://otsuka-europe-crm.veevavault.com/ui/#object/sent_email__v/VBLZ025E82HGTYD", "SE-000286066")</f>
        <v>SE-000286066</v>
      </c>
      <c r="D19998" s="1">
        <v>45940.299108796295</v>
      </c>
      <c r="E19998" s="2">
        <v>1</v>
      </c>
      <c r="F19998" s="2">
        <v>1</v>
      </c>
      <c r="G19998" s="2">
        <v>0</v>
      </c>
      <c r="H19998" s="1" t="s">
        <v>0</v>
      </c>
      <c r="I19998" s="2">
        <v>0</v>
      </c>
      <c r="J19998" s="1">
        <v>45939.714212962965</v>
      </c>
    </row>
    <row r="19999" spans="1:10" x14ac:dyDescent="0.2">
      <c r="A19999" s="4" t="s">
        <v>1</v>
      </c>
      <c r="B199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19999" s="3" t="str">
        <f>HYPERLINK("https://otsuka-europe-crm.veevavault.com/ui/#object/sent_email__v/VBLZ025E82HGTYE", "SE-000286067")</f>
        <v>SE-000286067</v>
      </c>
      <c r="D19999" s="1" t="s">
        <v>0</v>
      </c>
      <c r="E19999" s="2">
        <v>0</v>
      </c>
      <c r="F19999" s="2">
        <v>0</v>
      </c>
      <c r="G19999" s="2">
        <v>0</v>
      </c>
      <c r="H19999" s="1" t="s">
        <v>0</v>
      </c>
      <c r="I19999" s="2">
        <v>0</v>
      </c>
      <c r="J19999" s="1">
        <v>45939.714212962965</v>
      </c>
    </row>
    <row r="20000" spans="1:10" x14ac:dyDescent="0.2">
      <c r="A20000" s="4" t="s">
        <v>1</v>
      </c>
      <c r="B200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00" s="3" t="str">
        <f>HYPERLINK("https://otsuka-europe-crm.veevavault.com/ui/#object/sent_email__v/VBLZ025E82HGTYF", "SE-000286068")</f>
        <v>SE-000286068</v>
      </c>
      <c r="D20000" s="1" t="s">
        <v>0</v>
      </c>
      <c r="E20000" s="2">
        <v>0</v>
      </c>
      <c r="F20000" s="2">
        <v>0</v>
      </c>
      <c r="G20000" s="2">
        <v>0</v>
      </c>
      <c r="H20000" s="1" t="s">
        <v>0</v>
      </c>
      <c r="I20000" s="2">
        <v>0</v>
      </c>
      <c r="J20000" s="1">
        <v>45939.714224537034</v>
      </c>
    </row>
    <row r="20001" spans="1:10" x14ac:dyDescent="0.2">
      <c r="A20001" s="4" t="s">
        <v>1</v>
      </c>
      <c r="B200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01" s="3" t="str">
        <f>HYPERLINK("https://otsuka-europe-crm.veevavault.com/ui/#object/sent_email__v/VBLZ025E82HGTYG", "SE-000286069")</f>
        <v>SE-000286069</v>
      </c>
      <c r="D20001" s="1">
        <v>45939.9375</v>
      </c>
      <c r="E20001" s="2">
        <v>1</v>
      </c>
      <c r="F20001" s="2">
        <v>1</v>
      </c>
      <c r="G20001" s="2">
        <v>0</v>
      </c>
      <c r="H20001" s="1" t="s">
        <v>0</v>
      </c>
      <c r="I20001" s="2">
        <v>0</v>
      </c>
      <c r="J20001" s="1">
        <v>45939.714236111111</v>
      </c>
    </row>
    <row r="20002" spans="1:10" x14ac:dyDescent="0.2">
      <c r="A20002" s="4" t="s">
        <v>1</v>
      </c>
      <c r="B200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02" s="3" t="str">
        <f>HYPERLINK("https://otsuka-europe-crm.veevavault.com/ui/#object/sent_email__v/VBLZ025E82HGTYH", "SE-000286070")</f>
        <v>SE-000286070</v>
      </c>
      <c r="D20002" s="1" t="s">
        <v>0</v>
      </c>
      <c r="E20002" s="2">
        <v>0</v>
      </c>
      <c r="F20002" s="2">
        <v>0</v>
      </c>
      <c r="G20002" s="2">
        <v>0</v>
      </c>
      <c r="H20002" s="1" t="s">
        <v>0</v>
      </c>
      <c r="I20002" s="2">
        <v>0</v>
      </c>
      <c r="J20002" s="1">
        <v>45939.714236111111</v>
      </c>
    </row>
    <row r="20003" spans="1:10" x14ac:dyDescent="0.2">
      <c r="A20003" s="4" t="s">
        <v>1</v>
      </c>
      <c r="B200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03" s="3" t="str">
        <f>HYPERLINK("https://otsuka-europe-crm.veevavault.com/ui/#object/sent_email__v/VBLZ025E82HGTYI", "SE-000286071")</f>
        <v>SE-000286071</v>
      </c>
      <c r="D20003" s="1">
        <v>45940.939236111109</v>
      </c>
      <c r="E20003" s="2">
        <v>1</v>
      </c>
      <c r="F20003" s="2">
        <v>1</v>
      </c>
      <c r="G20003" s="2">
        <v>0</v>
      </c>
      <c r="H20003" s="1" t="s">
        <v>0</v>
      </c>
      <c r="I20003" s="2">
        <v>0</v>
      </c>
      <c r="J20003" s="1">
        <v>45939.714247685188</v>
      </c>
    </row>
    <row r="20004" spans="1:10" x14ac:dyDescent="0.2">
      <c r="A20004" s="4" t="s">
        <v>1</v>
      </c>
      <c r="B200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04" s="3" t="str">
        <f>HYPERLINK("https://otsuka-europe-crm.veevavault.com/ui/#object/sent_email__v/VBLZ025E82HGTYJ", "SE-000286072")</f>
        <v>SE-000286072</v>
      </c>
      <c r="D20004" s="1" t="s">
        <v>0</v>
      </c>
      <c r="E20004" s="2">
        <v>0</v>
      </c>
      <c r="F20004" s="2">
        <v>0</v>
      </c>
      <c r="G20004" s="2">
        <v>0</v>
      </c>
      <c r="H20004" s="1" t="s">
        <v>0</v>
      </c>
      <c r="I20004" s="2">
        <v>0</v>
      </c>
      <c r="J20004" s="1">
        <v>45939.714259259257</v>
      </c>
    </row>
    <row r="20005" spans="1:10" x14ac:dyDescent="0.2">
      <c r="A20005" s="4" t="s">
        <v>1</v>
      </c>
      <c r="B200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05" s="3" t="str">
        <f>HYPERLINK("https://otsuka-europe-crm.veevavault.com/ui/#object/sent_email__v/VBLZ025E82HGTYK", "SE-000286073")</f>
        <v>SE-000286073</v>
      </c>
      <c r="D20005" s="1" t="s">
        <v>0</v>
      </c>
      <c r="E20005" s="2">
        <v>0</v>
      </c>
      <c r="F20005" s="2">
        <v>0</v>
      </c>
      <c r="G20005" s="2">
        <v>0</v>
      </c>
      <c r="H20005" s="1" t="s">
        <v>0</v>
      </c>
      <c r="I20005" s="2">
        <v>0</v>
      </c>
      <c r="J20005" s="1">
        <v>45939.714270833334</v>
      </c>
    </row>
    <row r="20006" spans="1:10" x14ac:dyDescent="0.2">
      <c r="A20006" s="4" t="s">
        <v>1</v>
      </c>
      <c r="B200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06" s="3" t="str">
        <f>HYPERLINK("https://otsuka-europe-crm.veevavault.com/ui/#object/sent_email__v/VBLZ025E82HGTYL", "SE-000286074")</f>
        <v>SE-000286074</v>
      </c>
      <c r="D20006" s="1" t="s">
        <v>0</v>
      </c>
      <c r="E20006" s="2">
        <v>0</v>
      </c>
      <c r="F20006" s="2">
        <v>0</v>
      </c>
      <c r="G20006" s="2">
        <v>0</v>
      </c>
      <c r="H20006" s="1" t="s">
        <v>0</v>
      </c>
      <c r="I20006" s="2">
        <v>0</v>
      </c>
      <c r="J20006" s="1">
        <v>45939.714282407411</v>
      </c>
    </row>
    <row r="20007" spans="1:10" x14ac:dyDescent="0.2">
      <c r="A20007" s="4" t="s">
        <v>1</v>
      </c>
      <c r="B200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07" s="3" t="str">
        <f>HYPERLINK("https://otsuka-europe-crm.veevavault.com/ui/#object/sent_email__v/VBLZ025E82HGTYM", "SE-000286075")</f>
        <v>SE-000286075</v>
      </c>
      <c r="D20007" s="1">
        <v>45940.420127314814</v>
      </c>
      <c r="E20007" s="2">
        <v>1</v>
      </c>
      <c r="F20007" s="2">
        <v>2</v>
      </c>
      <c r="G20007" s="2">
        <v>0</v>
      </c>
      <c r="H20007" s="1" t="s">
        <v>0</v>
      </c>
      <c r="I20007" s="2">
        <v>0</v>
      </c>
      <c r="J20007" s="1">
        <v>45939.71429398148</v>
      </c>
    </row>
    <row r="20008" spans="1:10" x14ac:dyDescent="0.2">
      <c r="A20008" s="4" t="s">
        <v>1</v>
      </c>
      <c r="B200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08" s="3" t="str">
        <f>HYPERLINK("https://otsuka-europe-crm.veevavault.com/ui/#object/sent_email__v/VBLZ025E82HGTYN", "SE-000286076")</f>
        <v>SE-000286076</v>
      </c>
      <c r="D20008" s="1" t="s">
        <v>0</v>
      </c>
      <c r="E20008" s="2">
        <v>0</v>
      </c>
      <c r="F20008" s="2">
        <v>0</v>
      </c>
      <c r="G20008" s="2">
        <v>0</v>
      </c>
      <c r="H20008" s="1" t="s">
        <v>0</v>
      </c>
      <c r="I20008" s="2">
        <v>0</v>
      </c>
      <c r="J20008" s="1">
        <v>45939.71429398148</v>
      </c>
    </row>
    <row r="20009" spans="1:10" x14ac:dyDescent="0.2">
      <c r="A20009" s="4" t="s">
        <v>1</v>
      </c>
      <c r="B200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09" s="3" t="str">
        <f>HYPERLINK("https://otsuka-europe-crm.veevavault.com/ui/#object/sent_email__v/VBLZ025E82HGTYO", "SE-000286077")</f>
        <v>SE-000286077</v>
      </c>
      <c r="D20009" s="1">
        <v>45944.360682870371</v>
      </c>
      <c r="E20009" s="2">
        <v>1</v>
      </c>
      <c r="F20009" s="2">
        <v>2</v>
      </c>
      <c r="G20009" s="2">
        <v>0</v>
      </c>
      <c r="H20009" s="1" t="s">
        <v>0</v>
      </c>
      <c r="I20009" s="2">
        <v>0</v>
      </c>
      <c r="J20009" s="1">
        <v>45939.714305555557</v>
      </c>
    </row>
    <row r="20010" spans="1:10" x14ac:dyDescent="0.2">
      <c r="A20010" s="4" t="s">
        <v>1</v>
      </c>
      <c r="B200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10" s="3" t="str">
        <f>HYPERLINK("https://otsuka-europe-crm.veevavault.com/ui/#object/sent_email__v/VBLZ025E82HGTYP", "SE-000286078")</f>
        <v>SE-000286078</v>
      </c>
      <c r="D20010" s="1">
        <v>45977.725046296298</v>
      </c>
      <c r="E20010" s="2">
        <v>1</v>
      </c>
      <c r="F20010" s="2">
        <v>3</v>
      </c>
      <c r="G20010" s="2">
        <v>0</v>
      </c>
      <c r="H20010" s="1" t="s">
        <v>0</v>
      </c>
      <c r="I20010" s="2">
        <v>0</v>
      </c>
      <c r="J20010" s="1">
        <v>45939.714317129627</v>
      </c>
    </row>
    <row r="20011" spans="1:10" x14ac:dyDescent="0.2">
      <c r="A20011" s="4" t="s">
        <v>1</v>
      </c>
      <c r="B200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11" s="3" t="str">
        <f>HYPERLINK("https://otsuka-europe-crm.veevavault.com/ui/#object/sent_email__v/VBLZ025E82HGTYQ", "SE-000286079")</f>
        <v>SE-000286079</v>
      </c>
      <c r="D20011" s="1">
        <v>45940.69872685185</v>
      </c>
      <c r="E20011" s="2">
        <v>1</v>
      </c>
      <c r="F20011" s="2">
        <v>1</v>
      </c>
      <c r="G20011" s="2">
        <v>0</v>
      </c>
      <c r="H20011" s="1" t="s">
        <v>0</v>
      </c>
      <c r="I20011" s="2">
        <v>0</v>
      </c>
      <c r="J20011" s="1">
        <v>45939.71434027778</v>
      </c>
    </row>
    <row r="20012" spans="1:10" x14ac:dyDescent="0.2">
      <c r="A20012" s="4" t="s">
        <v>1</v>
      </c>
      <c r="B200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12" s="3" t="str">
        <f>HYPERLINK("https://otsuka-europe-crm.veevavault.com/ui/#object/sent_email__v/VBLZ025E82HGTYR", "SE-000286080")</f>
        <v>SE-000286080</v>
      </c>
      <c r="D20012" s="1">
        <v>45940.520960648151</v>
      </c>
      <c r="E20012" s="2">
        <v>1</v>
      </c>
      <c r="F20012" s="2">
        <v>3</v>
      </c>
      <c r="G20012" s="2">
        <v>0</v>
      </c>
      <c r="H20012" s="1" t="s">
        <v>0</v>
      </c>
      <c r="I20012" s="2">
        <v>0</v>
      </c>
      <c r="J20012" s="1">
        <v>45939.714328703703</v>
      </c>
    </row>
    <row r="20013" spans="1:10" x14ac:dyDescent="0.2">
      <c r="A20013" s="4" t="s">
        <v>1</v>
      </c>
      <c r="B200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13" s="3" t="str">
        <f>HYPERLINK("https://otsuka-europe-crm.veevavault.com/ui/#object/sent_email__v/VBLZ025E82HGTYS", "SE-000286081")</f>
        <v>SE-000286081</v>
      </c>
      <c r="D20013" s="1">
        <v>45946.65221064815</v>
      </c>
      <c r="E20013" s="2">
        <v>1</v>
      </c>
      <c r="F20013" s="2">
        <v>1</v>
      </c>
      <c r="G20013" s="2">
        <v>0</v>
      </c>
      <c r="H20013" s="1" t="s">
        <v>0</v>
      </c>
      <c r="I20013" s="2">
        <v>0</v>
      </c>
      <c r="J20013" s="1">
        <v>45939.71435185185</v>
      </c>
    </row>
    <row r="20014" spans="1:10" x14ac:dyDescent="0.2">
      <c r="A20014" s="4" t="s">
        <v>1</v>
      </c>
      <c r="B200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14" s="3" t="str">
        <f>HYPERLINK("https://otsuka-europe-crm.veevavault.com/ui/#object/sent_email__v/VBLZ025E82HGTYT", "SE-000286082")</f>
        <v>SE-000286082</v>
      </c>
      <c r="D20014" s="1" t="s">
        <v>0</v>
      </c>
      <c r="E20014" s="2">
        <v>0</v>
      </c>
      <c r="F20014" s="2">
        <v>0</v>
      </c>
      <c r="G20014" s="2">
        <v>0</v>
      </c>
      <c r="H20014" s="1" t="s">
        <v>0</v>
      </c>
      <c r="I20014" s="2">
        <v>0</v>
      </c>
      <c r="J20014" s="1">
        <v>45939.71435185185</v>
      </c>
    </row>
    <row r="20015" spans="1:10" x14ac:dyDescent="0.2">
      <c r="A20015" s="4" t="s">
        <v>1</v>
      </c>
      <c r="B200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15" s="3" t="str">
        <f>HYPERLINK("https://otsuka-europe-crm.veevavault.com/ui/#object/sent_email__v/VBLZ025E82HGTYU", "SE-000286083")</f>
        <v>SE-000286083</v>
      </c>
      <c r="D20015" s="1" t="s">
        <v>0</v>
      </c>
      <c r="E20015" s="2">
        <v>0</v>
      </c>
      <c r="F20015" s="2">
        <v>0</v>
      </c>
      <c r="G20015" s="2">
        <v>0</v>
      </c>
      <c r="H20015" s="1" t="s">
        <v>0</v>
      </c>
      <c r="I20015" s="2">
        <v>0</v>
      </c>
      <c r="J20015" s="1">
        <v>45939.714363425926</v>
      </c>
    </row>
    <row r="20016" spans="1:10" x14ac:dyDescent="0.2">
      <c r="A20016" s="4" t="s">
        <v>1</v>
      </c>
      <c r="B200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16" s="3" t="str">
        <f>HYPERLINK("https://otsuka-europe-crm.veevavault.com/ui/#object/sent_email__v/VBLZ025E82HGTYV", "SE-000286084")</f>
        <v>SE-000286084</v>
      </c>
      <c r="D20016" s="1">
        <v>45945.873888888891</v>
      </c>
      <c r="E20016" s="2">
        <v>1</v>
      </c>
      <c r="F20016" s="2">
        <v>2</v>
      </c>
      <c r="G20016" s="2">
        <v>1</v>
      </c>
      <c r="H20016" s="1">
        <v>45939.72991898148</v>
      </c>
      <c r="I20016" s="2">
        <v>4</v>
      </c>
      <c r="J20016" s="1">
        <v>45939.714375000003</v>
      </c>
    </row>
    <row r="20017" spans="1:10" x14ac:dyDescent="0.2">
      <c r="A20017" s="4" t="s">
        <v>1</v>
      </c>
      <c r="B200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17" s="3" t="str">
        <f>HYPERLINK("https://otsuka-europe-crm.veevavault.com/ui/#object/sent_email__v/VBLZ025E82HGTYW", "SE-000286085")</f>
        <v>SE-000286085</v>
      </c>
      <c r="D20017" s="1" t="s">
        <v>0</v>
      </c>
      <c r="E20017" s="2">
        <v>0</v>
      </c>
      <c r="F20017" s="2">
        <v>0</v>
      </c>
      <c r="G20017" s="2">
        <v>0</v>
      </c>
      <c r="H20017" s="1" t="s">
        <v>0</v>
      </c>
      <c r="I20017" s="2">
        <v>0</v>
      </c>
      <c r="J20017" s="1">
        <v>45939.714386574073</v>
      </c>
    </row>
    <row r="20018" spans="1:10" x14ac:dyDescent="0.2">
      <c r="A20018" s="4" t="s">
        <v>1</v>
      </c>
      <c r="B200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18" s="3" t="str">
        <f>HYPERLINK("https://otsuka-europe-crm.veevavault.com/ui/#object/sent_email__v/VBLZ025E82HGTYX", "SE-000286086")</f>
        <v>SE-000286086</v>
      </c>
      <c r="D20018" s="1">
        <v>45940.537939814814</v>
      </c>
      <c r="E20018" s="2">
        <v>1</v>
      </c>
      <c r="F20018" s="2">
        <v>2</v>
      </c>
      <c r="G20018" s="2">
        <v>0</v>
      </c>
      <c r="H20018" s="1" t="s">
        <v>0</v>
      </c>
      <c r="I20018" s="2">
        <v>0</v>
      </c>
      <c r="J20018" s="1">
        <v>45939.714398148149</v>
      </c>
    </row>
    <row r="20019" spans="1:10" x14ac:dyDescent="0.2">
      <c r="A20019" s="4" t="s">
        <v>1</v>
      </c>
      <c r="B200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19" s="3" t="str">
        <f>HYPERLINK("https://otsuka-europe-crm.veevavault.com/ui/#object/sent_email__v/VBLZ025E82HGTYY", "SE-000286087")</f>
        <v>SE-000286087</v>
      </c>
      <c r="D20019" s="1">
        <v>45939.839594907404</v>
      </c>
      <c r="E20019" s="2">
        <v>1</v>
      </c>
      <c r="F20019" s="2">
        <v>1</v>
      </c>
      <c r="G20019" s="2">
        <v>0</v>
      </c>
      <c r="H20019" s="1" t="s">
        <v>0</v>
      </c>
      <c r="I20019" s="2">
        <v>0</v>
      </c>
      <c r="J20019" s="1">
        <v>45939.714398148149</v>
      </c>
    </row>
    <row r="20020" spans="1:10" x14ac:dyDescent="0.2">
      <c r="A20020" s="4" t="s">
        <v>1</v>
      </c>
      <c r="B200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20" s="3" t="str">
        <f>HYPERLINK("https://otsuka-europe-crm.veevavault.com/ui/#object/sent_email__v/VBLZ025E82HGTYZ", "SE-000286088")</f>
        <v>SE-000286088</v>
      </c>
      <c r="D20020" s="1" t="s">
        <v>0</v>
      </c>
      <c r="E20020" s="2">
        <v>0</v>
      </c>
      <c r="F20020" s="2">
        <v>0</v>
      </c>
      <c r="G20020" s="2">
        <v>0</v>
      </c>
      <c r="H20020" s="1" t="s">
        <v>0</v>
      </c>
      <c r="I20020" s="2">
        <v>0</v>
      </c>
      <c r="J20020" s="1">
        <v>45939.714409722219</v>
      </c>
    </row>
    <row r="20021" spans="1:10" x14ac:dyDescent="0.2">
      <c r="A20021" s="4" t="s">
        <v>1</v>
      </c>
      <c r="B200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21" s="3" t="str">
        <f>HYPERLINK("https://otsuka-europe-crm.veevavault.com/ui/#object/sent_email__v/VBLZ025E82HGTZ0", "SE-000286089")</f>
        <v>SE-000286089</v>
      </c>
      <c r="D20021" s="1" t="s">
        <v>0</v>
      </c>
      <c r="E20021" s="2">
        <v>0</v>
      </c>
      <c r="F20021" s="2">
        <v>0</v>
      </c>
      <c r="G20021" s="2">
        <v>0</v>
      </c>
      <c r="H20021" s="1" t="s">
        <v>0</v>
      </c>
      <c r="I20021" s="2">
        <v>0</v>
      </c>
      <c r="J20021" s="1">
        <v>45939.714421296296</v>
      </c>
    </row>
    <row r="20022" spans="1:10" x14ac:dyDescent="0.2">
      <c r="A20022" s="4" t="s">
        <v>1</v>
      </c>
      <c r="B200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22" s="3" t="str">
        <f>HYPERLINK("https://otsuka-europe-crm.veevavault.com/ui/#object/sent_email__v/VBLZ025E82HGTZ1", "SE-000286090")</f>
        <v>SE-000286090</v>
      </c>
      <c r="D20022" s="1" t="s">
        <v>0</v>
      </c>
      <c r="E20022" s="2">
        <v>0</v>
      </c>
      <c r="F20022" s="2">
        <v>0</v>
      </c>
      <c r="G20022" s="2">
        <v>0</v>
      </c>
      <c r="H20022" s="1" t="s">
        <v>0</v>
      </c>
      <c r="I20022" s="2">
        <v>0</v>
      </c>
      <c r="J20022" s="1">
        <v>45939.714432870373</v>
      </c>
    </row>
    <row r="20023" spans="1:10" x14ac:dyDescent="0.2">
      <c r="A20023" s="4" t="s">
        <v>1</v>
      </c>
      <c r="B200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23" s="3" t="str">
        <f>HYPERLINK("https://otsuka-europe-crm.veevavault.com/ui/#object/sent_email__v/VBLZ025E82HGTZ2", "SE-000286091")</f>
        <v>SE-000286091</v>
      </c>
      <c r="D20023" s="1" t="s">
        <v>0</v>
      </c>
      <c r="E20023" s="2">
        <v>0</v>
      </c>
      <c r="F20023" s="2">
        <v>0</v>
      </c>
      <c r="G20023" s="2">
        <v>0</v>
      </c>
      <c r="H20023" s="1" t="s">
        <v>0</v>
      </c>
      <c r="I20023" s="2">
        <v>0</v>
      </c>
      <c r="J20023" s="1">
        <v>45939.714444444442</v>
      </c>
    </row>
    <row r="20024" spans="1:10" x14ac:dyDescent="0.2">
      <c r="A20024" s="4" t="s">
        <v>1</v>
      </c>
      <c r="B200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24" s="3" t="str">
        <f>HYPERLINK("https://otsuka-europe-crm.veevavault.com/ui/#object/sent_email__v/VBLZ025E82HGTZ3", "SE-000286092")</f>
        <v>SE-000286092</v>
      </c>
      <c r="D20024" s="1">
        <v>45940.352951388886</v>
      </c>
      <c r="E20024" s="2">
        <v>1</v>
      </c>
      <c r="F20024" s="2">
        <v>1</v>
      </c>
      <c r="G20024" s="2">
        <v>0</v>
      </c>
      <c r="H20024" s="1" t="s">
        <v>0</v>
      </c>
      <c r="I20024" s="2">
        <v>0</v>
      </c>
      <c r="J20024" s="1">
        <v>45939.714456018519</v>
      </c>
    </row>
    <row r="20025" spans="1:10" x14ac:dyDescent="0.2">
      <c r="A20025" s="4" t="s">
        <v>1</v>
      </c>
      <c r="B200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25" s="3" t="str">
        <f>HYPERLINK("https://otsuka-europe-crm.veevavault.com/ui/#object/sent_email__v/VBLZ025E82HGTZ4", "SE-000286093")</f>
        <v>SE-000286093</v>
      </c>
      <c r="D20025" s="1" t="s">
        <v>0</v>
      </c>
      <c r="E20025" s="2">
        <v>0</v>
      </c>
      <c r="F20025" s="2">
        <v>0</v>
      </c>
      <c r="G20025" s="2">
        <v>0</v>
      </c>
      <c r="H20025" s="1" t="s">
        <v>0</v>
      </c>
      <c r="I20025" s="2">
        <v>0</v>
      </c>
      <c r="J20025" s="1">
        <v>45939.714467592596</v>
      </c>
    </row>
    <row r="20026" spans="1:10" x14ac:dyDescent="0.2">
      <c r="A20026" s="4" t="s">
        <v>1</v>
      </c>
      <c r="B200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26" s="3" t="str">
        <f>HYPERLINK("https://otsuka-europe-crm.veevavault.com/ui/#object/sent_email__v/VBLZ025E82HGTZ5", "SE-000286094")</f>
        <v>SE-000286094</v>
      </c>
      <c r="D20026" s="1" t="s">
        <v>0</v>
      </c>
      <c r="E20026" s="2">
        <v>0</v>
      </c>
      <c r="F20026" s="2">
        <v>0</v>
      </c>
      <c r="G20026" s="2">
        <v>0</v>
      </c>
      <c r="H20026" s="1" t="s">
        <v>0</v>
      </c>
      <c r="I20026" s="2">
        <v>0</v>
      </c>
      <c r="J20026" s="1">
        <v>45939.714467592596</v>
      </c>
    </row>
    <row r="20027" spans="1:10" x14ac:dyDescent="0.2">
      <c r="A20027" s="4" t="s">
        <v>1</v>
      </c>
      <c r="B200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27" s="3" t="str">
        <f>HYPERLINK("https://otsuka-europe-crm.veevavault.com/ui/#object/sent_email__v/VBLZ025E82HGTZ6", "SE-000286095")</f>
        <v>SE-000286095</v>
      </c>
      <c r="D20027" s="1">
        <v>45949.532488425924</v>
      </c>
      <c r="E20027" s="2">
        <v>1</v>
      </c>
      <c r="F20027" s="2">
        <v>1</v>
      </c>
      <c r="G20027" s="2">
        <v>0</v>
      </c>
      <c r="H20027" s="1" t="s">
        <v>0</v>
      </c>
      <c r="I20027" s="2">
        <v>0</v>
      </c>
      <c r="J20027" s="1">
        <v>45939.714490740742</v>
      </c>
    </row>
    <row r="20028" spans="1:10" x14ac:dyDescent="0.2">
      <c r="A20028" s="4" t="s">
        <v>1</v>
      </c>
      <c r="B200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28" s="3" t="str">
        <f>HYPERLINK("https://otsuka-europe-crm.veevavault.com/ui/#object/sent_email__v/VBLZ025E82HGTZ7", "SE-000286096")</f>
        <v>SE-000286096</v>
      </c>
      <c r="D20028" s="1">
        <v>45939.71837962963</v>
      </c>
      <c r="E20028" s="2">
        <v>1</v>
      </c>
      <c r="F20028" s="2">
        <v>1</v>
      </c>
      <c r="G20028" s="2">
        <v>0</v>
      </c>
      <c r="H20028" s="1" t="s">
        <v>0</v>
      </c>
      <c r="I20028" s="2">
        <v>0</v>
      </c>
      <c r="J20028" s="1">
        <v>45939.714490740742</v>
      </c>
    </row>
    <row r="20029" spans="1:10" x14ac:dyDescent="0.2">
      <c r="A20029" s="4" t="s">
        <v>1</v>
      </c>
      <c r="B200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29" s="3" t="str">
        <f>HYPERLINK("https://otsuka-europe-crm.veevavault.com/ui/#object/sent_email__v/VBLZ025E82HGTZ8", "SE-000286097")</f>
        <v>SE-000286097</v>
      </c>
      <c r="D20029" s="1">
        <v>45939.751226851855</v>
      </c>
      <c r="E20029" s="2">
        <v>1</v>
      </c>
      <c r="F20029" s="2">
        <v>2</v>
      </c>
      <c r="G20029" s="2">
        <v>0</v>
      </c>
      <c r="H20029" s="1" t="s">
        <v>0</v>
      </c>
      <c r="I20029" s="2">
        <v>0</v>
      </c>
      <c r="J20029" s="1">
        <v>45939.714502314811</v>
      </c>
    </row>
    <row r="20030" spans="1:10" x14ac:dyDescent="0.2">
      <c r="A20030" s="4" t="s">
        <v>1</v>
      </c>
      <c r="B200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30" s="3" t="str">
        <f>HYPERLINK("https://otsuka-europe-crm.veevavault.com/ui/#object/sent_email__v/VBLZ025E82HGTZ9", "SE-000286098")</f>
        <v>SE-000286098</v>
      </c>
      <c r="D20030" s="1" t="s">
        <v>0</v>
      </c>
      <c r="E20030" s="2">
        <v>0</v>
      </c>
      <c r="F20030" s="2">
        <v>0</v>
      </c>
      <c r="G20030" s="2">
        <v>0</v>
      </c>
      <c r="H20030" s="1" t="s">
        <v>0</v>
      </c>
      <c r="I20030" s="2">
        <v>0</v>
      </c>
      <c r="J20030" s="1">
        <v>45939.714513888888</v>
      </c>
    </row>
    <row r="20031" spans="1:10" x14ac:dyDescent="0.2">
      <c r="A20031" s="4" t="s">
        <v>1</v>
      </c>
      <c r="B200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31" s="3" t="str">
        <f>HYPERLINK("https://otsuka-europe-crm.veevavault.com/ui/#object/sent_email__v/VBLZ025E82HGTZA", "SE-000286099")</f>
        <v>SE-000286099</v>
      </c>
      <c r="D20031" s="1" t="s">
        <v>0</v>
      </c>
      <c r="E20031" s="2">
        <v>0</v>
      </c>
      <c r="F20031" s="2">
        <v>0</v>
      </c>
      <c r="G20031" s="2">
        <v>0</v>
      </c>
      <c r="H20031" s="1" t="s">
        <v>0</v>
      </c>
      <c r="I20031" s="2">
        <v>0</v>
      </c>
      <c r="J20031" s="1">
        <v>45939.714525462965</v>
      </c>
    </row>
    <row r="20032" spans="1:10" x14ac:dyDescent="0.2">
      <c r="A20032" s="4" t="s">
        <v>1</v>
      </c>
      <c r="B200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32" s="3" t="str">
        <f>HYPERLINK("https://otsuka-europe-crm.veevavault.com/ui/#object/sent_email__v/VBLZ025E82HGTZB", "SE-000286100")</f>
        <v>SE-000286100</v>
      </c>
      <c r="D20032" s="1">
        <v>45947.689328703702</v>
      </c>
      <c r="E20032" s="2">
        <v>1</v>
      </c>
      <c r="F20032" s="2">
        <v>3</v>
      </c>
      <c r="G20032" s="2">
        <v>0</v>
      </c>
      <c r="H20032" s="1" t="s">
        <v>0</v>
      </c>
      <c r="I20032" s="2">
        <v>0</v>
      </c>
      <c r="J20032" s="1">
        <v>45939.714537037034</v>
      </c>
    </row>
    <row r="20033" spans="1:10" x14ac:dyDescent="0.2">
      <c r="A20033" s="4" t="s">
        <v>1</v>
      </c>
      <c r="B200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33" s="3" t="str">
        <f>HYPERLINK("https://otsuka-europe-crm.veevavault.com/ui/#object/sent_email__v/VBLZ025E82HH5M5", "SE-000286310")</f>
        <v>SE-000286310</v>
      </c>
      <c r="D20033" s="1" t="s">
        <v>0</v>
      </c>
      <c r="E20033" s="2">
        <v>0</v>
      </c>
      <c r="F20033" s="2">
        <v>0</v>
      </c>
      <c r="G20033" s="2">
        <v>0</v>
      </c>
      <c r="H20033" s="1" t="s">
        <v>0</v>
      </c>
      <c r="I20033" s="2">
        <v>0</v>
      </c>
      <c r="J20033" s="1">
        <v>45940.397291666668</v>
      </c>
    </row>
    <row r="20034" spans="1:10" x14ac:dyDescent="0.2">
      <c r="A20034" s="4" t="s">
        <v>1</v>
      </c>
      <c r="B200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34" s="3" t="str">
        <f>HYPERLINK("https://otsuka-europe-crm.veevavault.com/ui/#object/sent_email__v/VBLZ025E82HH5M6", "SE-000286311")</f>
        <v>SE-000286311</v>
      </c>
      <c r="D20034" s="1">
        <v>45941.587766203702</v>
      </c>
      <c r="E20034" s="2">
        <v>1</v>
      </c>
      <c r="F20034" s="2">
        <v>3</v>
      </c>
      <c r="G20034" s="2">
        <v>0</v>
      </c>
      <c r="H20034" s="1" t="s">
        <v>0</v>
      </c>
      <c r="I20034" s="2">
        <v>0</v>
      </c>
      <c r="J20034" s="1">
        <v>45940.397129629629</v>
      </c>
    </row>
    <row r="20035" spans="1:10" x14ac:dyDescent="0.2">
      <c r="A20035" s="4" t="s">
        <v>1</v>
      </c>
      <c r="B200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35" s="3" t="str">
        <f>HYPERLINK("https://otsuka-europe-crm.veevavault.com/ui/#object/sent_email__v/VBLZ025E82HH5M7", "SE-000286312")</f>
        <v>SE-000286312</v>
      </c>
      <c r="D20035" s="1">
        <v>45940.425497685188</v>
      </c>
      <c r="E20035" s="2">
        <v>1</v>
      </c>
      <c r="F20035" s="2">
        <v>3</v>
      </c>
      <c r="G20035" s="2">
        <v>0</v>
      </c>
      <c r="H20035" s="1" t="s">
        <v>0</v>
      </c>
      <c r="I20035" s="2">
        <v>0</v>
      </c>
      <c r="J20035" s="1">
        <v>45940.397303240738</v>
      </c>
    </row>
    <row r="20036" spans="1:10" x14ac:dyDescent="0.2">
      <c r="A20036" s="4" t="s">
        <v>1</v>
      </c>
      <c r="B200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36" s="3" t="str">
        <f>HYPERLINK("https://otsuka-europe-crm.veevavault.com/ui/#object/sent_email__v/VBLZ025E82HH5M8", "SE-000286313")</f>
        <v>SE-000286313</v>
      </c>
      <c r="D20036" s="1">
        <v>45940.421863425923</v>
      </c>
      <c r="E20036" s="2">
        <v>1</v>
      </c>
      <c r="F20036" s="2">
        <v>1</v>
      </c>
      <c r="G20036" s="2">
        <v>0</v>
      </c>
      <c r="H20036" s="1" t="s">
        <v>0</v>
      </c>
      <c r="I20036" s="2">
        <v>0</v>
      </c>
      <c r="J20036" s="1">
        <v>45940.397129629629</v>
      </c>
    </row>
    <row r="20037" spans="1:10" x14ac:dyDescent="0.2">
      <c r="A20037" s="4" t="s">
        <v>1</v>
      </c>
      <c r="B200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37" s="3" t="str">
        <f>HYPERLINK("https://otsuka-europe-crm.veevavault.com/ui/#object/sent_email__v/VBLZ025E82HH5M9", "SE-000286314")</f>
        <v>SE-000286314</v>
      </c>
      <c r="D20037" s="1">
        <v>45940.421400462961</v>
      </c>
      <c r="E20037" s="2">
        <v>1</v>
      </c>
      <c r="F20037" s="2">
        <v>1</v>
      </c>
      <c r="G20037" s="2">
        <v>0</v>
      </c>
      <c r="H20037" s="1" t="s">
        <v>0</v>
      </c>
      <c r="I20037" s="2">
        <v>0</v>
      </c>
      <c r="J20037" s="1">
        <v>45940.397326388891</v>
      </c>
    </row>
    <row r="20038" spans="1:10" x14ac:dyDescent="0.2">
      <c r="A20038" s="4" t="s">
        <v>1</v>
      </c>
      <c r="B200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38" s="3" t="str">
        <f>HYPERLINK("https://otsuka-europe-crm.veevavault.com/ui/#object/sent_email__v/VBLZ025E82HH5MA", "SE-000286315")</f>
        <v>SE-000286315</v>
      </c>
      <c r="D20038" s="1" t="s">
        <v>0</v>
      </c>
      <c r="E20038" s="2">
        <v>0</v>
      </c>
      <c r="F20038" s="2">
        <v>0</v>
      </c>
      <c r="G20038" s="2">
        <v>0</v>
      </c>
      <c r="H20038" s="1" t="s">
        <v>0</v>
      </c>
      <c r="I20038" s="2">
        <v>0</v>
      </c>
      <c r="J20038" s="1">
        <v>45940.39707175926</v>
      </c>
    </row>
    <row r="20039" spans="1:10" x14ac:dyDescent="0.2">
      <c r="A20039" s="4" t="s">
        <v>1</v>
      </c>
      <c r="B200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39" s="3" t="str">
        <f>HYPERLINK("https://otsuka-europe-crm.veevavault.com/ui/#object/sent_email__v/VBLZ025E82HH5MB", "SE-000286316")</f>
        <v>SE-000286316</v>
      </c>
      <c r="D20039" s="1">
        <v>46073.430613425924</v>
      </c>
      <c r="E20039" s="2">
        <v>1</v>
      </c>
      <c r="F20039" s="2">
        <v>4</v>
      </c>
      <c r="G20039" s="2">
        <v>0</v>
      </c>
      <c r="H20039" s="1" t="s">
        <v>0</v>
      </c>
      <c r="I20039" s="2">
        <v>0</v>
      </c>
      <c r="J20039" s="1">
        <v>45940.397245370368</v>
      </c>
    </row>
    <row r="20040" spans="1:10" x14ac:dyDescent="0.2">
      <c r="A20040" s="4" t="s">
        <v>1</v>
      </c>
      <c r="B200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40" s="3" t="str">
        <f>HYPERLINK("https://otsuka-europe-crm.veevavault.com/ui/#object/sent_email__v/VBLZ025E82HH5MC", "SE-000286317")</f>
        <v>SE-000286317</v>
      </c>
      <c r="D20040" s="1" t="s">
        <v>0</v>
      </c>
      <c r="E20040" s="2">
        <v>0</v>
      </c>
      <c r="F20040" s="2">
        <v>0</v>
      </c>
      <c r="G20040" s="2">
        <v>0</v>
      </c>
      <c r="H20040" s="1" t="s">
        <v>0</v>
      </c>
      <c r="I20040" s="2">
        <v>0</v>
      </c>
      <c r="J20040" s="1">
        <v>45940.397048611114</v>
      </c>
    </row>
    <row r="20041" spans="1:10" x14ac:dyDescent="0.2">
      <c r="A20041" s="4" t="s">
        <v>1</v>
      </c>
      <c r="B200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41" s="3" t="str">
        <f>HYPERLINK("https://otsuka-europe-crm.veevavault.com/ui/#object/sent_email__v/VBLZ025E82HH5MD", "SE-000286318")</f>
        <v>SE-000286318</v>
      </c>
      <c r="D20041" s="1">
        <v>45943.974108796298</v>
      </c>
      <c r="E20041" s="2">
        <v>1</v>
      </c>
      <c r="F20041" s="2">
        <v>5</v>
      </c>
      <c r="G20041" s="2">
        <v>0</v>
      </c>
      <c r="H20041" s="1" t="s">
        <v>0</v>
      </c>
      <c r="I20041" s="2">
        <v>0</v>
      </c>
      <c r="J20041" s="1">
        <v>45940.397210648145</v>
      </c>
    </row>
    <row r="20042" spans="1:10" x14ac:dyDescent="0.2">
      <c r="A20042" s="4" t="s">
        <v>1</v>
      </c>
      <c r="B200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42" s="3" t="str">
        <f>HYPERLINK("https://otsuka-europe-crm.veevavault.com/ui/#object/sent_email__v/VBLZ025E82HH5ME", "SE-000286319")</f>
        <v>SE-000286319</v>
      </c>
      <c r="D20042" s="1">
        <v>45996.472708333335</v>
      </c>
      <c r="E20042" s="2">
        <v>1</v>
      </c>
      <c r="F20042" s="2">
        <v>3</v>
      </c>
      <c r="G20042" s="2">
        <v>0</v>
      </c>
      <c r="H20042" s="1" t="s">
        <v>0</v>
      </c>
      <c r="I20042" s="2">
        <v>0</v>
      </c>
      <c r="J20042" s="1">
        <v>45940.397048611114</v>
      </c>
    </row>
    <row r="20043" spans="1:10" x14ac:dyDescent="0.2">
      <c r="A20043" s="4" t="s">
        <v>1</v>
      </c>
      <c r="B200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43" s="3" t="str">
        <f>HYPERLINK("https://otsuka-europe-crm.veevavault.com/ui/#object/sent_email__v/VBLZ025E82HH5MF", "SE-000286320")</f>
        <v>SE-000286320</v>
      </c>
      <c r="D20043" s="1">
        <v>45940.408483796295</v>
      </c>
      <c r="E20043" s="2">
        <v>1</v>
      </c>
      <c r="F20043" s="2">
        <v>2</v>
      </c>
      <c r="G20043" s="2">
        <v>0</v>
      </c>
      <c r="H20043" s="1" t="s">
        <v>0</v>
      </c>
      <c r="I20043" s="2">
        <v>0</v>
      </c>
      <c r="J20043" s="1">
        <v>45940.397175925929</v>
      </c>
    </row>
    <row r="20044" spans="1:10" x14ac:dyDescent="0.2">
      <c r="A20044" s="4" t="s">
        <v>1</v>
      </c>
      <c r="B200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44" s="3" t="str">
        <f>HYPERLINK("https://otsuka-europe-crm.veevavault.com/ui/#object/sent_email__v/VBLZ025E82HH5MG", "SE-000286321")</f>
        <v>SE-000286321</v>
      </c>
      <c r="D20044" s="1" t="s">
        <v>0</v>
      </c>
      <c r="E20044" s="2">
        <v>0</v>
      </c>
      <c r="F20044" s="2">
        <v>0</v>
      </c>
      <c r="G20044" s="2">
        <v>0</v>
      </c>
      <c r="H20044" s="1" t="s">
        <v>0</v>
      </c>
      <c r="I20044" s="2">
        <v>0</v>
      </c>
      <c r="J20044" s="1">
        <v>45940.397048611114</v>
      </c>
    </row>
    <row r="20045" spans="1:10" x14ac:dyDescent="0.2">
      <c r="A20045" s="4" t="s">
        <v>1</v>
      </c>
      <c r="B200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45" s="3" t="str">
        <f>HYPERLINK("https://otsuka-europe-crm.veevavault.com/ui/#object/sent_email__v/VBLZ025E82HH5MH", "SE-000286322")</f>
        <v>SE-000286322</v>
      </c>
      <c r="D20045" s="1" t="s">
        <v>0</v>
      </c>
      <c r="E20045" s="2">
        <v>0</v>
      </c>
      <c r="F20045" s="2">
        <v>0</v>
      </c>
      <c r="G20045" s="2">
        <v>0</v>
      </c>
      <c r="H20045" s="1" t="s">
        <v>0</v>
      </c>
      <c r="I20045" s="2">
        <v>0</v>
      </c>
      <c r="J20045" s="1">
        <v>45940.397199074076</v>
      </c>
    </row>
    <row r="20046" spans="1:10" x14ac:dyDescent="0.2">
      <c r="A20046" s="4" t="s">
        <v>1</v>
      </c>
      <c r="B200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46" s="3" t="str">
        <f>HYPERLINK("https://otsuka-europe-crm.veevavault.com/ui/#object/sent_email__v/VBLZ025E82HH5MI", "SE-000286323")</f>
        <v>SE-000286323</v>
      </c>
      <c r="D20046" s="1" t="s">
        <v>0</v>
      </c>
      <c r="E20046" s="2">
        <v>0</v>
      </c>
      <c r="F20046" s="2">
        <v>0</v>
      </c>
      <c r="G20046" s="2">
        <v>0</v>
      </c>
      <c r="H20046" s="1" t="s">
        <v>0</v>
      </c>
      <c r="I20046" s="2">
        <v>0</v>
      </c>
      <c r="J20046" s="1">
        <v>45940.397083333337</v>
      </c>
    </row>
    <row r="20047" spans="1:10" x14ac:dyDescent="0.2">
      <c r="A20047" s="4" t="s">
        <v>1</v>
      </c>
      <c r="B200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47" s="3" t="str">
        <f>HYPERLINK("https://otsuka-europe-crm.veevavault.com/ui/#object/sent_email__v/VBLZ025E82HH5MJ", "SE-000286324")</f>
        <v>SE-000286324</v>
      </c>
      <c r="D20047" s="1" t="s">
        <v>0</v>
      </c>
      <c r="E20047" s="2">
        <v>0</v>
      </c>
      <c r="F20047" s="2">
        <v>0</v>
      </c>
      <c r="G20047" s="2">
        <v>0</v>
      </c>
      <c r="H20047" s="1" t="s">
        <v>0</v>
      </c>
      <c r="I20047" s="2">
        <v>0</v>
      </c>
      <c r="J20047" s="1">
        <v>45940.397256944445</v>
      </c>
    </row>
    <row r="20048" spans="1:10" x14ac:dyDescent="0.2">
      <c r="A20048" s="4" t="s">
        <v>1</v>
      </c>
      <c r="B200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48" s="3" t="str">
        <f>HYPERLINK("https://otsuka-europe-crm.veevavault.com/ui/#object/sent_email__v/VBLZ025E82HH5MK", "SE-000286325")</f>
        <v>SE-000286325</v>
      </c>
      <c r="D20048" s="1">
        <v>45965.514861111114</v>
      </c>
      <c r="E20048" s="2">
        <v>1</v>
      </c>
      <c r="F20048" s="2">
        <v>1</v>
      </c>
      <c r="G20048" s="2">
        <v>0</v>
      </c>
      <c r="H20048" s="1" t="s">
        <v>0</v>
      </c>
      <c r="I20048" s="2">
        <v>0</v>
      </c>
      <c r="J20048" s="1">
        <v>45940.397060185183</v>
      </c>
    </row>
    <row r="20049" spans="1:10" x14ac:dyDescent="0.2">
      <c r="A20049" s="4" t="s">
        <v>1</v>
      </c>
      <c r="B200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49" s="3" t="str">
        <f>HYPERLINK("https://otsuka-europe-crm.veevavault.com/ui/#object/sent_email__v/VBLZ025E82HH5ML", "SE-000286326")</f>
        <v>SE-000286326</v>
      </c>
      <c r="D20049" s="1">
        <v>45945.996203703704</v>
      </c>
      <c r="E20049" s="2">
        <v>1</v>
      </c>
      <c r="F20049" s="2">
        <v>2</v>
      </c>
      <c r="G20049" s="2">
        <v>0</v>
      </c>
      <c r="H20049" s="1" t="s">
        <v>0</v>
      </c>
      <c r="I20049" s="2">
        <v>0</v>
      </c>
      <c r="J20049" s="1">
        <v>45940.397245370368</v>
      </c>
    </row>
    <row r="20050" spans="1:10" x14ac:dyDescent="0.2">
      <c r="A20050" s="4" t="s">
        <v>1</v>
      </c>
      <c r="B200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50" s="3" t="str">
        <f>HYPERLINK("https://otsuka-europe-crm.veevavault.com/ui/#object/sent_email__v/VBLZ025E82HH5MM", "SE-000286327")</f>
        <v>SE-000286327</v>
      </c>
      <c r="D20050" s="1">
        <v>45940.784861111111</v>
      </c>
      <c r="E20050" s="2">
        <v>1</v>
      </c>
      <c r="F20050" s="2">
        <v>3</v>
      </c>
      <c r="G20050" s="2">
        <v>0</v>
      </c>
      <c r="H20050" s="1" t="s">
        <v>0</v>
      </c>
      <c r="I20050" s="2">
        <v>0</v>
      </c>
      <c r="J20050" s="1">
        <v>45940.397094907406</v>
      </c>
    </row>
    <row r="20051" spans="1:10" x14ac:dyDescent="0.2">
      <c r="A20051" s="4" t="s">
        <v>1</v>
      </c>
      <c r="B200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51" s="3" t="str">
        <f>HYPERLINK("https://otsuka-europe-crm.veevavault.com/ui/#object/sent_email__v/VBLZ025E82HH5MN", "SE-000286328")</f>
        <v>SE-000286328</v>
      </c>
      <c r="D20051" s="1" t="s">
        <v>0</v>
      </c>
      <c r="E20051" s="2">
        <v>0</v>
      </c>
      <c r="F20051" s="2">
        <v>0</v>
      </c>
      <c r="G20051" s="2">
        <v>0</v>
      </c>
      <c r="H20051" s="1" t="s">
        <v>0</v>
      </c>
      <c r="I20051" s="2">
        <v>0</v>
      </c>
      <c r="J20051" s="1">
        <v>45940.397280092591</v>
      </c>
    </row>
    <row r="20052" spans="1:10" x14ac:dyDescent="0.2">
      <c r="A20052" s="4" t="s">
        <v>1</v>
      </c>
      <c r="B200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52" s="3" t="str">
        <f>HYPERLINK("https://otsuka-europe-crm.veevavault.com/ui/#object/sent_email__v/VBLZ025E82HH5MO", "SE-000286329")</f>
        <v>SE-000286329</v>
      </c>
      <c r="D20052" s="1">
        <v>45942.043564814812</v>
      </c>
      <c r="E20052" s="2">
        <v>1</v>
      </c>
      <c r="F20052" s="2">
        <v>2</v>
      </c>
      <c r="G20052" s="2">
        <v>0</v>
      </c>
      <c r="H20052" s="1" t="s">
        <v>0</v>
      </c>
      <c r="I20052" s="2">
        <v>0</v>
      </c>
      <c r="J20052" s="1">
        <v>45940.397094907406</v>
      </c>
    </row>
    <row r="20053" spans="1:10" x14ac:dyDescent="0.2">
      <c r="A20053" s="4" t="s">
        <v>1</v>
      </c>
      <c r="B200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53" s="3" t="str">
        <f>HYPERLINK("https://otsuka-europe-crm.veevavault.com/ui/#object/sent_email__v/VBLZ025E82HH5MP", "SE-000286330")</f>
        <v>SE-000286330</v>
      </c>
      <c r="D20053" s="1" t="s">
        <v>0</v>
      </c>
      <c r="E20053" s="2">
        <v>0</v>
      </c>
      <c r="F20053" s="2">
        <v>0</v>
      </c>
      <c r="G20053" s="2">
        <v>0</v>
      </c>
      <c r="H20053" s="1" t="s">
        <v>0</v>
      </c>
      <c r="I20053" s="2">
        <v>0</v>
      </c>
      <c r="J20053" s="1">
        <v>45940.397268518522</v>
      </c>
    </row>
    <row r="20054" spans="1:10" x14ac:dyDescent="0.2">
      <c r="A20054" s="4" t="s">
        <v>1</v>
      </c>
      <c r="B200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54" s="3" t="str">
        <f>HYPERLINK("https://otsuka-europe-crm.veevavault.com/ui/#object/sent_email__v/VBLZ025E82HH5MQ", "SE-000286331")</f>
        <v>SE-000286331</v>
      </c>
      <c r="D20054" s="1">
        <v>45940.640833333331</v>
      </c>
      <c r="E20054" s="2">
        <v>1</v>
      </c>
      <c r="F20054" s="2">
        <v>4</v>
      </c>
      <c r="G20054" s="2">
        <v>0</v>
      </c>
      <c r="H20054" s="1" t="s">
        <v>0</v>
      </c>
      <c r="I20054" s="2">
        <v>0</v>
      </c>
      <c r="J20054" s="1">
        <v>45940.397280092591</v>
      </c>
    </row>
    <row r="20055" spans="1:10" x14ac:dyDescent="0.2">
      <c r="A20055" s="4" t="s">
        <v>1</v>
      </c>
      <c r="B200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55" s="3" t="str">
        <f>HYPERLINK("https://otsuka-europe-crm.veevavault.com/ui/#object/sent_email__v/VBLZ025E82HH5MR", "SE-000286332")</f>
        <v>SE-000286332</v>
      </c>
      <c r="D20055" s="1" t="s">
        <v>0</v>
      </c>
      <c r="E20055" s="2">
        <v>0</v>
      </c>
      <c r="F20055" s="2">
        <v>0</v>
      </c>
      <c r="G20055" s="2">
        <v>0</v>
      </c>
      <c r="H20055" s="1" t="s">
        <v>0</v>
      </c>
      <c r="I20055" s="2">
        <v>0</v>
      </c>
      <c r="J20055" s="1">
        <v>45940.397106481483</v>
      </c>
    </row>
    <row r="20056" spans="1:10" x14ac:dyDescent="0.2">
      <c r="A20056" s="4" t="s">
        <v>1</v>
      </c>
      <c r="B200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56" s="3" t="str">
        <f>HYPERLINK("https://otsuka-europe-crm.veevavault.com/ui/#object/sent_email__v/VBLZ025E82HH5MS", "SE-000286333")</f>
        <v>SE-000286333</v>
      </c>
      <c r="D20056" s="1">
        <v>45941.143182870372</v>
      </c>
      <c r="E20056" s="2">
        <v>1</v>
      </c>
      <c r="F20056" s="2">
        <v>1</v>
      </c>
      <c r="G20056" s="2">
        <v>0</v>
      </c>
      <c r="H20056" s="1" t="s">
        <v>0</v>
      </c>
      <c r="I20056" s="2">
        <v>0</v>
      </c>
      <c r="J20056" s="1">
        <v>45940.397141203706</v>
      </c>
    </row>
    <row r="20057" spans="1:10" x14ac:dyDescent="0.2">
      <c r="A20057" s="4" t="s">
        <v>1</v>
      </c>
      <c r="B200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57" s="3" t="str">
        <f>HYPERLINK("https://otsuka-europe-crm.veevavault.com/ui/#object/sent_email__v/VBLZ025E82HH5MT", "SE-000286334")</f>
        <v>SE-000286334</v>
      </c>
      <c r="D20057" s="1">
        <v>45941.470729166664</v>
      </c>
      <c r="E20057" s="2">
        <v>1</v>
      </c>
      <c r="F20057" s="2">
        <v>1</v>
      </c>
      <c r="G20057" s="2">
        <v>0</v>
      </c>
      <c r="H20057" s="1" t="s">
        <v>0</v>
      </c>
      <c r="I20057" s="2">
        <v>0</v>
      </c>
      <c r="J20057" s="1">
        <v>45940.397314814814</v>
      </c>
    </row>
    <row r="20058" spans="1:10" x14ac:dyDescent="0.2">
      <c r="A20058" s="4" t="s">
        <v>1</v>
      </c>
      <c r="B200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58" s="3" t="str">
        <f>HYPERLINK("https://otsuka-europe-crm.veevavault.com/ui/#object/sent_email__v/VBLZ025E82HH5MU", "SE-000286335")</f>
        <v>SE-000286335</v>
      </c>
      <c r="D20058" s="1" t="s">
        <v>0</v>
      </c>
      <c r="E20058" s="2">
        <v>0</v>
      </c>
      <c r="F20058" s="2">
        <v>0</v>
      </c>
      <c r="G20058" s="2">
        <v>0</v>
      </c>
      <c r="H20058" s="1" t="s">
        <v>0</v>
      </c>
      <c r="I20058" s="2">
        <v>0</v>
      </c>
      <c r="J20058" s="1">
        <v>45940.397164351853</v>
      </c>
    </row>
    <row r="20059" spans="1:10" x14ac:dyDescent="0.2">
      <c r="A20059" s="4" t="s">
        <v>1</v>
      </c>
      <c r="B200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59" s="3" t="str">
        <f>HYPERLINK("https://otsuka-europe-crm.veevavault.com/ui/#object/sent_email__v/VBLZ025E82HH5MV", "SE-000286336")</f>
        <v>SE-000286336</v>
      </c>
      <c r="D20059" s="1">
        <v>45940.921724537038</v>
      </c>
      <c r="E20059" s="2">
        <v>1</v>
      </c>
      <c r="F20059" s="2">
        <v>3</v>
      </c>
      <c r="G20059" s="2">
        <v>0</v>
      </c>
      <c r="H20059" s="1" t="s">
        <v>0</v>
      </c>
      <c r="I20059" s="2">
        <v>0</v>
      </c>
      <c r="J20059" s="1">
        <v>45940.397349537037</v>
      </c>
    </row>
    <row r="20060" spans="1:10" x14ac:dyDescent="0.2">
      <c r="A20060" s="4" t="s">
        <v>1</v>
      </c>
      <c r="B200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60" s="3" t="str">
        <f>HYPERLINK("https://otsuka-europe-crm.veevavault.com/ui/#object/sent_email__v/VBLZ025E82HH5MW", "SE-000286337")</f>
        <v>SE-000286337</v>
      </c>
      <c r="D20060" s="1">
        <v>45940.480266203704</v>
      </c>
      <c r="E20060" s="2">
        <v>1</v>
      </c>
      <c r="F20060" s="2">
        <v>1</v>
      </c>
      <c r="G20060" s="2">
        <v>0</v>
      </c>
      <c r="H20060" s="1" t="s">
        <v>0</v>
      </c>
      <c r="I20060" s="2">
        <v>0</v>
      </c>
      <c r="J20060" s="1">
        <v>45940.397141203706</v>
      </c>
    </row>
    <row r="20061" spans="1:10" x14ac:dyDescent="0.2">
      <c r="A20061" s="4" t="s">
        <v>1</v>
      </c>
      <c r="B200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61" s="3" t="str">
        <f>HYPERLINK("https://otsuka-europe-crm.veevavault.com/ui/#object/sent_email__v/VBLZ025E82HH5MX", "SE-000286338")</f>
        <v>SE-000286338</v>
      </c>
      <c r="D20061" s="1">
        <v>45941.306018518517</v>
      </c>
      <c r="E20061" s="2">
        <v>1</v>
      </c>
      <c r="F20061" s="2">
        <v>1</v>
      </c>
      <c r="G20061" s="2">
        <v>0</v>
      </c>
      <c r="H20061" s="1" t="s">
        <v>0</v>
      </c>
      <c r="I20061" s="2">
        <v>0</v>
      </c>
      <c r="J20061" s="1">
        <v>45940.397337962961</v>
      </c>
    </row>
    <row r="20062" spans="1:10" x14ac:dyDescent="0.2">
      <c r="A20062" s="4" t="s">
        <v>1</v>
      </c>
      <c r="B200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62" s="3" t="str">
        <f>HYPERLINK("https://otsuka-europe-crm.veevavault.com/ui/#object/sent_email__v/VBLZ025E82HH5MY", "SE-000286339")</f>
        <v>SE-000286339</v>
      </c>
      <c r="D20062" s="1" t="s">
        <v>0</v>
      </c>
      <c r="E20062" s="2">
        <v>0</v>
      </c>
      <c r="F20062" s="2">
        <v>0</v>
      </c>
      <c r="G20062" s="2">
        <v>0</v>
      </c>
      <c r="H20062" s="1" t="s">
        <v>0</v>
      </c>
      <c r="I20062" s="2">
        <v>0</v>
      </c>
      <c r="J20062" s="1">
        <v>45940.397164351853</v>
      </c>
    </row>
    <row r="20063" spans="1:10" x14ac:dyDescent="0.2">
      <c r="A20063" s="4" t="s">
        <v>1</v>
      </c>
      <c r="B200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63" s="3" t="str">
        <f>HYPERLINK("https://otsuka-europe-crm.veevavault.com/ui/#object/sent_email__v/VBLZ025E82HH5MZ", "SE-000286340")</f>
        <v>SE-000286340</v>
      </c>
      <c r="D20063" s="1" t="s">
        <v>0</v>
      </c>
      <c r="E20063" s="2">
        <v>0</v>
      </c>
      <c r="F20063" s="2">
        <v>0</v>
      </c>
      <c r="G20063" s="2">
        <v>0</v>
      </c>
      <c r="H20063" s="1" t="s">
        <v>0</v>
      </c>
      <c r="I20063" s="2">
        <v>0</v>
      </c>
      <c r="J20063" s="1">
        <v>45940.397361111114</v>
      </c>
    </row>
    <row r="20064" spans="1:10" x14ac:dyDescent="0.2">
      <c r="A20064" s="4" t="s">
        <v>1</v>
      </c>
      <c r="B200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64" s="3" t="str">
        <f>HYPERLINK("https://otsuka-europe-crm.veevavault.com/ui/#object/sent_email__v/VBLZ025E82HH5N0", "SE-000286341")</f>
        <v>SE-000286341</v>
      </c>
      <c r="D20064" s="1" t="s">
        <v>0</v>
      </c>
      <c r="E20064" s="2">
        <v>0</v>
      </c>
      <c r="F20064" s="2">
        <v>0</v>
      </c>
      <c r="G20064" s="2">
        <v>0</v>
      </c>
      <c r="H20064" s="1" t="s">
        <v>0</v>
      </c>
      <c r="I20064" s="2">
        <v>0</v>
      </c>
      <c r="J20064" s="1">
        <v>45940.397175925929</v>
      </c>
    </row>
    <row r="20065" spans="1:10" x14ac:dyDescent="0.2">
      <c r="A20065" s="4" t="s">
        <v>1</v>
      </c>
      <c r="B200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65" s="3" t="str">
        <f>HYPERLINK("https://otsuka-europe-crm.veevavault.com/ui/#object/sent_email__v/VBLZ025E82HH5N1", "SE-000286342")</f>
        <v>SE-000286342</v>
      </c>
      <c r="D20065" s="1">
        <v>45941.234664351854</v>
      </c>
      <c r="E20065" s="2">
        <v>1</v>
      </c>
      <c r="F20065" s="2">
        <v>1</v>
      </c>
      <c r="G20065" s="2">
        <v>0</v>
      </c>
      <c r="H20065" s="1" t="s">
        <v>0</v>
      </c>
      <c r="I20065" s="2">
        <v>0</v>
      </c>
      <c r="J20065" s="1">
        <v>45940.397037037037</v>
      </c>
    </row>
    <row r="20066" spans="1:10" x14ac:dyDescent="0.2">
      <c r="A20066" s="4" t="s">
        <v>1</v>
      </c>
      <c r="B200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66" s="3" t="str">
        <f>HYPERLINK("https://otsuka-europe-crm.veevavault.com/ui/#object/sent_email__v/VBLZ025E82HH5N2", "SE-000286343")</f>
        <v>SE-000286343</v>
      </c>
      <c r="D20066" s="1">
        <v>45941.4062037037</v>
      </c>
      <c r="E20066" s="2">
        <v>1</v>
      </c>
      <c r="F20066" s="2">
        <v>1</v>
      </c>
      <c r="G20066" s="2">
        <v>0</v>
      </c>
      <c r="H20066" s="1" t="s">
        <v>0</v>
      </c>
      <c r="I20066" s="2">
        <v>0</v>
      </c>
      <c r="J20066" s="1">
        <v>45940.39707175926</v>
      </c>
    </row>
    <row r="20067" spans="1:10" x14ac:dyDescent="0.2">
      <c r="A20067" s="4" t="s">
        <v>1</v>
      </c>
      <c r="B200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67" s="3" t="str">
        <f>HYPERLINK("https://otsuka-europe-crm.veevavault.com/ui/#object/sent_email__v/VBLZ025E82HH5N3", "SE-000286344")</f>
        <v>SE-000286344</v>
      </c>
      <c r="D20067" s="1" t="s">
        <v>0</v>
      </c>
      <c r="E20067" s="2">
        <v>0</v>
      </c>
      <c r="F20067" s="2">
        <v>0</v>
      </c>
      <c r="G20067" s="2">
        <v>0</v>
      </c>
      <c r="H20067" s="1" t="s">
        <v>0</v>
      </c>
      <c r="I20067" s="2">
        <v>0</v>
      </c>
      <c r="J20067" s="1">
        <v>45940.397199074076</v>
      </c>
    </row>
    <row r="20068" spans="1:10" x14ac:dyDescent="0.2">
      <c r="A20068" s="4" t="s">
        <v>1</v>
      </c>
      <c r="B200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68" s="3" t="str">
        <f>HYPERLINK("https://otsuka-europe-crm.veevavault.com/ui/#object/sent_email__v/VBLZ025E82HH5N4", "SE-000286345")</f>
        <v>SE-000286345</v>
      </c>
      <c r="D20068" s="1" t="s">
        <v>0</v>
      </c>
      <c r="E20068" s="2">
        <v>0</v>
      </c>
      <c r="F20068" s="2">
        <v>0</v>
      </c>
      <c r="G20068" s="2">
        <v>0</v>
      </c>
      <c r="H20068" s="1" t="s">
        <v>0</v>
      </c>
      <c r="I20068" s="2">
        <v>0</v>
      </c>
      <c r="J20068" s="1">
        <v>45940.397048611114</v>
      </c>
    </row>
    <row r="20069" spans="1:10" x14ac:dyDescent="0.2">
      <c r="A20069" s="4" t="s">
        <v>1</v>
      </c>
      <c r="B200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69" s="3" t="str">
        <f>HYPERLINK("https://otsuka-europe-crm.veevavault.com/ui/#object/sent_email__v/VBLZ025E82HH5N5", "SE-000286346")</f>
        <v>SE-000286346</v>
      </c>
      <c r="D20069" s="1">
        <v>45940.426747685182</v>
      </c>
      <c r="E20069" s="2">
        <v>1</v>
      </c>
      <c r="F20069" s="2">
        <v>2</v>
      </c>
      <c r="G20069" s="2">
        <v>0</v>
      </c>
      <c r="H20069" s="1" t="s">
        <v>0</v>
      </c>
      <c r="I20069" s="2">
        <v>0</v>
      </c>
      <c r="J20069" s="1">
        <v>45940.397187499999</v>
      </c>
    </row>
    <row r="20070" spans="1:10" x14ac:dyDescent="0.2">
      <c r="A20070" s="4" t="s">
        <v>1</v>
      </c>
      <c r="B200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70" s="3" t="str">
        <f>HYPERLINK("https://otsuka-europe-crm.veevavault.com/ui/#object/sent_email__v/VBLZ025E82HH5N6", "SE-000286347")</f>
        <v>SE-000286347</v>
      </c>
      <c r="D20070" s="1" t="s">
        <v>0</v>
      </c>
      <c r="E20070" s="2">
        <v>0</v>
      </c>
      <c r="F20070" s="2">
        <v>0</v>
      </c>
      <c r="G20070" s="2">
        <v>0</v>
      </c>
      <c r="H20070" s="1" t="s">
        <v>0</v>
      </c>
      <c r="I20070" s="2">
        <v>0</v>
      </c>
      <c r="J20070" s="1">
        <v>45940.397037037037</v>
      </c>
    </row>
    <row r="20071" spans="1:10" x14ac:dyDescent="0.2">
      <c r="A20071" s="4" t="s">
        <v>1</v>
      </c>
      <c r="B200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71" s="3" t="str">
        <f>HYPERLINK("https://otsuka-europe-crm.veevavault.com/ui/#object/sent_email__v/VBLZ025E82HH5N7", "SE-000286348")</f>
        <v>SE-000286348</v>
      </c>
      <c r="D20071" s="1">
        <v>45940.488888888889</v>
      </c>
      <c r="E20071" s="2">
        <v>1</v>
      </c>
      <c r="F20071" s="2">
        <v>2</v>
      </c>
      <c r="G20071" s="2">
        <v>0</v>
      </c>
      <c r="H20071" s="1" t="s">
        <v>0</v>
      </c>
      <c r="I20071" s="2">
        <v>0</v>
      </c>
      <c r="J20071" s="1">
        <v>45940.397222222222</v>
      </c>
    </row>
    <row r="20072" spans="1:10" x14ac:dyDescent="0.2">
      <c r="A20072" s="4" t="s">
        <v>1</v>
      </c>
      <c r="B200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72" s="3" t="str">
        <f>HYPERLINK("https://otsuka-europe-crm.veevavault.com/ui/#object/sent_email__v/VBLZ025E82HH5N8", "SE-000286349")</f>
        <v>SE-000286349</v>
      </c>
      <c r="D20072" s="1">
        <v>45940.515833333331</v>
      </c>
      <c r="E20072" s="2">
        <v>1</v>
      </c>
      <c r="F20072" s="2">
        <v>3</v>
      </c>
      <c r="G20072" s="2">
        <v>0</v>
      </c>
      <c r="H20072" s="1" t="s">
        <v>0</v>
      </c>
      <c r="I20072" s="2">
        <v>0</v>
      </c>
      <c r="J20072" s="1">
        <v>45940.397048611114</v>
      </c>
    </row>
    <row r="20073" spans="1:10" x14ac:dyDescent="0.2">
      <c r="A20073" s="4" t="s">
        <v>1</v>
      </c>
      <c r="B200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73" s="3" t="str">
        <f>HYPERLINK("https://otsuka-europe-crm.veevavault.com/ui/#object/sent_email__v/VBLZ025E82HH5N9", "SE-000286350")</f>
        <v>SE-000286350</v>
      </c>
      <c r="D20073" s="1">
        <v>45941.422094907408</v>
      </c>
      <c r="E20073" s="2">
        <v>1</v>
      </c>
      <c r="F20073" s="2">
        <v>1</v>
      </c>
      <c r="G20073" s="2">
        <v>0</v>
      </c>
      <c r="H20073" s="1" t="s">
        <v>0</v>
      </c>
      <c r="I20073" s="2">
        <v>0</v>
      </c>
      <c r="J20073" s="1">
        <v>45940.397245370368</v>
      </c>
    </row>
    <row r="20074" spans="1:10" x14ac:dyDescent="0.2">
      <c r="A20074" s="4" t="s">
        <v>1</v>
      </c>
      <c r="B200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74" s="3" t="str">
        <f>HYPERLINK("https://otsuka-europe-crm.veevavault.com/ui/#object/sent_email__v/VBLZ025E82HH5NA", "SE-000286351")</f>
        <v>SE-000286351</v>
      </c>
      <c r="D20074" s="1">
        <v>45940.451631944445</v>
      </c>
      <c r="E20074" s="2">
        <v>1</v>
      </c>
      <c r="F20074" s="2">
        <v>1</v>
      </c>
      <c r="G20074" s="2">
        <v>0</v>
      </c>
      <c r="H20074" s="1" t="s">
        <v>0</v>
      </c>
      <c r="I20074" s="2">
        <v>0</v>
      </c>
      <c r="J20074" s="1">
        <v>45940.397060185183</v>
      </c>
    </row>
    <row r="20075" spans="1:10" x14ac:dyDescent="0.2">
      <c r="A20075" s="4" t="s">
        <v>1</v>
      </c>
      <c r="B200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75" s="3" t="str">
        <f>HYPERLINK("https://otsuka-europe-crm.veevavault.com/ui/#object/sent_email__v/VBLZ025E82HH5NB", "SE-000286352")</f>
        <v>SE-000286352</v>
      </c>
      <c r="D20075" s="1">
        <v>45940.583229166667</v>
      </c>
      <c r="E20075" s="2">
        <v>1</v>
      </c>
      <c r="F20075" s="2">
        <v>2</v>
      </c>
      <c r="G20075" s="2">
        <v>0</v>
      </c>
      <c r="H20075" s="1" t="s">
        <v>0</v>
      </c>
      <c r="I20075" s="2">
        <v>0</v>
      </c>
      <c r="J20075" s="1">
        <v>45940.397164351853</v>
      </c>
    </row>
    <row r="20076" spans="1:10" x14ac:dyDescent="0.2">
      <c r="A20076" s="4" t="s">
        <v>1</v>
      </c>
      <c r="B200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76" s="3" t="str">
        <f>HYPERLINK("https://otsuka-europe-crm.veevavault.com/ui/#object/sent_email__v/VBLZ025E82HH5NC", "SE-000286353")</f>
        <v>SE-000286353</v>
      </c>
      <c r="D20076" s="1">
        <v>45940.402326388888</v>
      </c>
      <c r="E20076" s="2">
        <v>1</v>
      </c>
      <c r="F20076" s="2">
        <v>1</v>
      </c>
      <c r="G20076" s="2">
        <v>0</v>
      </c>
      <c r="H20076" s="1" t="s">
        <v>0</v>
      </c>
      <c r="I20076" s="2">
        <v>0</v>
      </c>
      <c r="J20076" s="1">
        <v>45940.397326388891</v>
      </c>
    </row>
    <row r="20077" spans="1:10" x14ac:dyDescent="0.2">
      <c r="A20077" s="4" t="s">
        <v>1</v>
      </c>
      <c r="B200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77" s="3" t="str">
        <f>HYPERLINK("https://otsuka-europe-crm.veevavault.com/ui/#object/sent_email__v/VBLZ025E82HH5UH", "SE-000286354")</f>
        <v>SE-000286354</v>
      </c>
      <c r="D20077" s="1">
        <v>45942.938935185186</v>
      </c>
      <c r="E20077" s="2">
        <v>1</v>
      </c>
      <c r="F20077" s="2">
        <v>3</v>
      </c>
      <c r="G20077" s="2">
        <v>0</v>
      </c>
      <c r="H20077" s="1" t="s">
        <v>0</v>
      </c>
      <c r="I20077" s="2">
        <v>0</v>
      </c>
      <c r="J20077" s="1">
        <v>45940.398125</v>
      </c>
    </row>
    <row r="20078" spans="1:10" x14ac:dyDescent="0.2">
      <c r="A20078" s="4" t="s">
        <v>1</v>
      </c>
      <c r="B200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78" s="3" t="str">
        <f>HYPERLINK("https://otsuka-europe-crm.veevavault.com/ui/#object/sent_email__v/VBLZ025E82HH5UI", "SE-000286355")</f>
        <v>SE-000286355</v>
      </c>
      <c r="D20078" s="1">
        <v>45940.404814814814</v>
      </c>
      <c r="E20078" s="2">
        <v>1</v>
      </c>
      <c r="F20078" s="2">
        <v>1</v>
      </c>
      <c r="G20078" s="2">
        <v>0</v>
      </c>
      <c r="H20078" s="1" t="s">
        <v>0</v>
      </c>
      <c r="I20078" s="2">
        <v>0</v>
      </c>
      <c r="J20078" s="1">
        <v>45940.398240740738</v>
      </c>
    </row>
    <row r="20079" spans="1:10" x14ac:dyDescent="0.2">
      <c r="A20079" s="4" t="s">
        <v>1</v>
      </c>
      <c r="B200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79" s="3" t="str">
        <f>HYPERLINK("https://otsuka-europe-crm.veevavault.com/ui/#object/sent_email__v/VBLZ025E82HH5UJ", "SE-000286356")</f>
        <v>SE-000286356</v>
      </c>
      <c r="D20079" s="1" t="s">
        <v>0</v>
      </c>
      <c r="E20079" s="2">
        <v>0</v>
      </c>
      <c r="F20079" s="2">
        <v>0</v>
      </c>
      <c r="G20079" s="2">
        <v>0</v>
      </c>
      <c r="H20079" s="1" t="s">
        <v>0</v>
      </c>
      <c r="I20079" s="2">
        <v>0</v>
      </c>
      <c r="J20079" s="1">
        <v>45940.398333333331</v>
      </c>
    </row>
    <row r="20080" spans="1:10" x14ac:dyDescent="0.2">
      <c r="A20080" s="4" t="s">
        <v>1</v>
      </c>
      <c r="B200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80" s="3" t="str">
        <f>HYPERLINK("https://otsuka-europe-crm.veevavault.com/ui/#object/sent_email__v/VBLZ025E82HH5UK", "SE-000286357")</f>
        <v>SE-000286357</v>
      </c>
      <c r="D20080" s="1" t="s">
        <v>0</v>
      </c>
      <c r="E20080" s="2">
        <v>0</v>
      </c>
      <c r="F20080" s="2">
        <v>0</v>
      </c>
      <c r="G20080" s="2">
        <v>0</v>
      </c>
      <c r="H20080" s="1" t="s">
        <v>0</v>
      </c>
      <c r="I20080" s="2">
        <v>0</v>
      </c>
      <c r="J20080" s="1">
        <v>45940.3984375</v>
      </c>
    </row>
    <row r="20081" spans="1:10" x14ac:dyDescent="0.2">
      <c r="A20081" s="4" t="s">
        <v>1</v>
      </c>
      <c r="B200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81" s="3" t="str">
        <f>HYPERLINK("https://otsuka-europe-crm.veevavault.com/ui/#object/sent_email__v/VBLZ025E82HH5UL", "SE-000286358")</f>
        <v>SE-000286358</v>
      </c>
      <c r="D20081" s="1" t="s">
        <v>0</v>
      </c>
      <c r="E20081" s="2">
        <v>0</v>
      </c>
      <c r="F20081" s="2">
        <v>0</v>
      </c>
      <c r="G20081" s="2">
        <v>0</v>
      </c>
      <c r="H20081" s="1" t="s">
        <v>0</v>
      </c>
      <c r="I20081" s="2">
        <v>0</v>
      </c>
      <c r="J20081" s="1">
        <v>45940.398078703707</v>
      </c>
    </row>
    <row r="20082" spans="1:10" x14ac:dyDescent="0.2">
      <c r="A20082" s="4" t="s">
        <v>1</v>
      </c>
      <c r="B200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82" s="3" t="str">
        <f>HYPERLINK("https://otsuka-europe-crm.veevavault.com/ui/#object/sent_email__v/VBLZ025E82HH5UM", "SE-000286359")</f>
        <v>SE-000286359</v>
      </c>
      <c r="D20082" s="1">
        <v>45940.412511574075</v>
      </c>
      <c r="E20082" s="2">
        <v>1</v>
      </c>
      <c r="F20082" s="2">
        <v>1</v>
      </c>
      <c r="G20082" s="2">
        <v>0</v>
      </c>
      <c r="H20082" s="1" t="s">
        <v>0</v>
      </c>
      <c r="I20082" s="2">
        <v>0</v>
      </c>
      <c r="J20082" s="1">
        <v>45940.398217592592</v>
      </c>
    </row>
    <row r="20083" spans="1:10" x14ac:dyDescent="0.2">
      <c r="A20083" s="4" t="s">
        <v>1</v>
      </c>
      <c r="B200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83" s="3" t="str">
        <f>HYPERLINK("https://otsuka-europe-crm.veevavault.com/ui/#object/sent_email__v/VBLZ025E82HH5UN", "SE-000286360")</f>
        <v>SE-000286360</v>
      </c>
      <c r="D20083" s="1" t="s">
        <v>0</v>
      </c>
      <c r="E20083" s="2">
        <v>0</v>
      </c>
      <c r="F20083" s="2">
        <v>0</v>
      </c>
      <c r="G20083" s="2">
        <v>0</v>
      </c>
      <c r="H20083" s="1" t="s">
        <v>0</v>
      </c>
      <c r="I20083" s="2">
        <v>0</v>
      </c>
      <c r="J20083" s="1">
        <v>45940.398368055554</v>
      </c>
    </row>
    <row r="20084" spans="1:10" x14ac:dyDescent="0.2">
      <c r="A20084" s="4" t="s">
        <v>1</v>
      </c>
      <c r="B200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84" s="3" t="str">
        <f>HYPERLINK("https://otsuka-europe-crm.veevavault.com/ui/#object/sent_email__v/VBLZ025E82HH5UO", "SE-000286361")</f>
        <v>SE-000286361</v>
      </c>
      <c r="D20084" s="1" t="s">
        <v>0</v>
      </c>
      <c r="E20084" s="2">
        <v>0</v>
      </c>
      <c r="F20084" s="2">
        <v>0</v>
      </c>
      <c r="G20084" s="2">
        <v>0</v>
      </c>
      <c r="H20084" s="1" t="s">
        <v>0</v>
      </c>
      <c r="I20084" s="2">
        <v>0</v>
      </c>
      <c r="J20084" s="1">
        <v>45940.398055555554</v>
      </c>
    </row>
    <row r="20085" spans="1:10" x14ac:dyDescent="0.2">
      <c r="A20085" s="4" t="s">
        <v>1</v>
      </c>
      <c r="B200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85" s="3" t="str">
        <f>HYPERLINK("https://otsuka-europe-crm.veevavault.com/ui/#object/sent_email__v/VBLZ025E82HH5UP", "SE-000286362")</f>
        <v>SE-000286362</v>
      </c>
      <c r="D20085" s="1" t="s">
        <v>0</v>
      </c>
      <c r="E20085" s="2">
        <v>0</v>
      </c>
      <c r="F20085" s="2">
        <v>0</v>
      </c>
      <c r="G20085" s="2">
        <v>0</v>
      </c>
      <c r="H20085" s="1" t="s">
        <v>0</v>
      </c>
      <c r="I20085" s="2">
        <v>0</v>
      </c>
      <c r="J20085" s="1">
        <v>45940.398159722223</v>
      </c>
    </row>
    <row r="20086" spans="1:10" x14ac:dyDescent="0.2">
      <c r="A20086" s="4" t="s">
        <v>1</v>
      </c>
      <c r="B200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86" s="3" t="str">
        <f>HYPERLINK("https://otsuka-europe-crm.veevavault.com/ui/#object/sent_email__v/VBLZ025E82HH5UQ", "SE-000286363")</f>
        <v>SE-000286363</v>
      </c>
      <c r="D20086" s="1" t="s">
        <v>0</v>
      </c>
      <c r="E20086" s="2">
        <v>0</v>
      </c>
      <c r="F20086" s="2">
        <v>0</v>
      </c>
      <c r="G20086" s="2">
        <v>0</v>
      </c>
      <c r="H20086" s="1" t="s">
        <v>0</v>
      </c>
      <c r="I20086" s="2">
        <v>0</v>
      </c>
      <c r="J20086" s="1">
        <v>45940.398298611108</v>
      </c>
    </row>
    <row r="20087" spans="1:10" x14ac:dyDescent="0.2">
      <c r="A20087" s="4" t="s">
        <v>1</v>
      </c>
      <c r="B200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87" s="3" t="str">
        <f>HYPERLINK("https://otsuka-europe-crm.veevavault.com/ui/#object/sent_email__v/VBLZ025E82HH5UR", "SE-000286364")</f>
        <v>SE-000286364</v>
      </c>
      <c r="D20087" s="1" t="s">
        <v>0</v>
      </c>
      <c r="E20087" s="2">
        <v>0</v>
      </c>
      <c r="F20087" s="2">
        <v>0</v>
      </c>
      <c r="G20087" s="2">
        <v>0</v>
      </c>
      <c r="H20087" s="1" t="s">
        <v>0</v>
      </c>
      <c r="I20087" s="2">
        <v>0</v>
      </c>
      <c r="J20087" s="1">
        <v>45940.398414351854</v>
      </c>
    </row>
    <row r="20088" spans="1:10" x14ac:dyDescent="0.2">
      <c r="A20088" s="4" t="s">
        <v>1</v>
      </c>
      <c r="B200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88" s="3" t="str">
        <f>HYPERLINK("https://otsuka-europe-crm.veevavault.com/ui/#object/sent_email__v/VBLZ025E82HH5US", "SE-000286365")</f>
        <v>SE-000286365</v>
      </c>
      <c r="D20088" s="1" t="s">
        <v>0</v>
      </c>
      <c r="E20088" s="2">
        <v>0</v>
      </c>
      <c r="F20088" s="2">
        <v>0</v>
      </c>
      <c r="G20088" s="2">
        <v>0</v>
      </c>
      <c r="H20088" s="1" t="s">
        <v>0</v>
      </c>
      <c r="I20088" s="2">
        <v>0</v>
      </c>
      <c r="J20088" s="1">
        <v>45940.398055555554</v>
      </c>
    </row>
    <row r="20089" spans="1:10" x14ac:dyDescent="0.2">
      <c r="A20089" s="4" t="s">
        <v>1</v>
      </c>
      <c r="B200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89" s="3" t="str">
        <f>HYPERLINK("https://otsuka-europe-crm.veevavault.com/ui/#object/sent_email__v/VBLZ025E82HH5UT", "SE-000286366")</f>
        <v>SE-000286366</v>
      </c>
      <c r="D20089" s="1">
        <v>45943.912743055553</v>
      </c>
      <c r="E20089" s="2">
        <v>1</v>
      </c>
      <c r="F20089" s="2">
        <v>3</v>
      </c>
      <c r="G20089" s="2">
        <v>0</v>
      </c>
      <c r="H20089" s="1" t="s">
        <v>0</v>
      </c>
      <c r="I20089" s="2">
        <v>0</v>
      </c>
      <c r="J20089" s="1">
        <v>45940.3981712963</v>
      </c>
    </row>
    <row r="20090" spans="1:10" x14ac:dyDescent="0.2">
      <c r="A20090" s="4" t="s">
        <v>1</v>
      </c>
      <c r="B200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90" s="3" t="str">
        <f>HYPERLINK("https://otsuka-europe-crm.veevavault.com/ui/#object/sent_email__v/VBLZ025E82HH5UU", "SE-000286367")</f>
        <v>SE-000286367</v>
      </c>
      <c r="D20090" s="1" t="s">
        <v>0</v>
      </c>
      <c r="E20090" s="2">
        <v>0</v>
      </c>
      <c r="F20090" s="2">
        <v>0</v>
      </c>
      <c r="G20090" s="2">
        <v>0</v>
      </c>
      <c r="H20090" s="1" t="s">
        <v>0</v>
      </c>
      <c r="I20090" s="2">
        <v>0</v>
      </c>
      <c r="J20090" s="1">
        <v>45940.398344907408</v>
      </c>
    </row>
    <row r="20091" spans="1:10" x14ac:dyDescent="0.2">
      <c r="A20091" s="4" t="s">
        <v>1</v>
      </c>
      <c r="B200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91" s="3" t="str">
        <f>HYPERLINK("https://otsuka-europe-crm.veevavault.com/ui/#object/sent_email__v/VBLZ025E82HH5UV", "SE-000286368")</f>
        <v>SE-000286368</v>
      </c>
      <c r="D20091" s="1">
        <v>45940.45108796296</v>
      </c>
      <c r="E20091" s="2">
        <v>1</v>
      </c>
      <c r="F20091" s="2">
        <v>1</v>
      </c>
      <c r="G20091" s="2">
        <v>0</v>
      </c>
      <c r="H20091" s="1" t="s">
        <v>0</v>
      </c>
      <c r="I20091" s="2">
        <v>0</v>
      </c>
      <c r="J20091" s="1">
        <v>45940.398449074077</v>
      </c>
    </row>
    <row r="20092" spans="1:10" x14ac:dyDescent="0.2">
      <c r="A20092" s="4" t="s">
        <v>1</v>
      </c>
      <c r="B200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92" s="3" t="str">
        <f>HYPERLINK("https://otsuka-europe-crm.veevavault.com/ui/#object/sent_email__v/VBLZ025E82HH5UW", "SE-000286369")</f>
        <v>SE-000286369</v>
      </c>
      <c r="D20092" s="1">
        <v>45940.3984375</v>
      </c>
      <c r="E20092" s="2">
        <v>1</v>
      </c>
      <c r="F20092" s="2">
        <v>1</v>
      </c>
      <c r="G20092" s="2">
        <v>0</v>
      </c>
      <c r="H20092" s="1" t="s">
        <v>0</v>
      </c>
      <c r="I20092" s="2">
        <v>0</v>
      </c>
      <c r="J20092" s="1">
        <v>45940.398101851853</v>
      </c>
    </row>
    <row r="20093" spans="1:10" x14ac:dyDescent="0.2">
      <c r="A20093" s="4" t="s">
        <v>1</v>
      </c>
      <c r="B200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93" s="3" t="str">
        <f>HYPERLINK("https://otsuka-europe-crm.veevavault.com/ui/#object/sent_email__v/VBLZ025E82HH5UX", "SE-000286370")</f>
        <v>SE-000286370</v>
      </c>
      <c r="D20093" s="1">
        <v>45940.431111111109</v>
      </c>
      <c r="E20093" s="2">
        <v>1</v>
      </c>
      <c r="F20093" s="2">
        <v>1</v>
      </c>
      <c r="G20093" s="2">
        <v>1</v>
      </c>
      <c r="H20093" s="1">
        <v>45940.431203703702</v>
      </c>
      <c r="I20093" s="2">
        <v>1</v>
      </c>
      <c r="J20093" s="1">
        <v>45940.398217592592</v>
      </c>
    </row>
    <row r="20094" spans="1:10" x14ac:dyDescent="0.2">
      <c r="A20094" s="4" t="s">
        <v>1</v>
      </c>
      <c r="B200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94" s="3" t="str">
        <f>HYPERLINK("https://otsuka-europe-crm.veevavault.com/ui/#object/sent_email__v/VBLZ025E82HH5UY", "SE-000286371")</f>
        <v>SE-000286371</v>
      </c>
      <c r="D20094" s="1" t="s">
        <v>0</v>
      </c>
      <c r="E20094" s="2">
        <v>0</v>
      </c>
      <c r="F20094" s="2">
        <v>0</v>
      </c>
      <c r="G20094" s="2">
        <v>0</v>
      </c>
      <c r="H20094" s="1" t="s">
        <v>0</v>
      </c>
      <c r="I20094" s="2">
        <v>0</v>
      </c>
      <c r="J20094" s="1">
        <v>45940.398333333331</v>
      </c>
    </row>
    <row r="20095" spans="1:10" x14ac:dyDescent="0.2">
      <c r="A20095" s="4" t="s">
        <v>1</v>
      </c>
      <c r="B200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95" s="3" t="str">
        <f>HYPERLINK("https://otsuka-europe-crm.veevavault.com/ui/#object/sent_email__v/VBLZ025E82HH5UZ", "SE-000286372")</f>
        <v>SE-000286372</v>
      </c>
      <c r="D20095" s="1">
        <v>45940.563969907409</v>
      </c>
      <c r="E20095" s="2">
        <v>1</v>
      </c>
      <c r="F20095" s="2">
        <v>1</v>
      </c>
      <c r="G20095" s="2">
        <v>0</v>
      </c>
      <c r="H20095" s="1" t="s">
        <v>0</v>
      </c>
      <c r="I20095" s="2">
        <v>0</v>
      </c>
      <c r="J20095" s="1">
        <v>45940.398449074077</v>
      </c>
    </row>
    <row r="20096" spans="1:10" x14ac:dyDescent="0.2">
      <c r="A20096" s="4" t="s">
        <v>1</v>
      </c>
      <c r="B200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96" s="3" t="str">
        <f>HYPERLINK("https://otsuka-europe-crm.veevavault.com/ui/#object/sent_email__v/VBLZ025E82HH5V0", "SE-000286373")</f>
        <v>SE-000286373</v>
      </c>
      <c r="D20096" s="1" t="s">
        <v>0</v>
      </c>
      <c r="E20096" s="2">
        <v>0</v>
      </c>
      <c r="F20096" s="2">
        <v>0</v>
      </c>
      <c r="G20096" s="2">
        <v>0</v>
      </c>
      <c r="H20096" s="1" t="s">
        <v>0</v>
      </c>
      <c r="I20096" s="2">
        <v>0</v>
      </c>
      <c r="J20096" s="1">
        <v>45940.398194444446</v>
      </c>
    </row>
    <row r="20097" spans="1:10" x14ac:dyDescent="0.2">
      <c r="A20097" s="4" t="s">
        <v>1</v>
      </c>
      <c r="B200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97" s="3" t="str">
        <f>HYPERLINK("https://otsuka-europe-crm.veevavault.com/ui/#object/sent_email__v/VBLZ025E82HH5V1", "SE-000286374")</f>
        <v>SE-000286374</v>
      </c>
      <c r="D20097" s="1">
        <v>45942.756365740737</v>
      </c>
      <c r="E20097" s="2">
        <v>1</v>
      </c>
      <c r="F20097" s="2">
        <v>3</v>
      </c>
      <c r="G20097" s="2">
        <v>0</v>
      </c>
      <c r="H20097" s="1" t="s">
        <v>0</v>
      </c>
      <c r="I20097" s="2">
        <v>0</v>
      </c>
      <c r="J20097" s="1">
        <v>45940.398310185185</v>
      </c>
    </row>
    <row r="20098" spans="1:10" x14ac:dyDescent="0.2">
      <c r="A20098" s="4" t="s">
        <v>1</v>
      </c>
      <c r="B200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98" s="3" t="str">
        <f>HYPERLINK("https://otsuka-europe-crm.veevavault.com/ui/#object/sent_email__v/VBLZ025E82HH5V2", "SE-000286375")</f>
        <v>SE-000286375</v>
      </c>
      <c r="D20098" s="1">
        <v>45940.496944444443</v>
      </c>
      <c r="E20098" s="2">
        <v>1</v>
      </c>
      <c r="F20098" s="2">
        <v>1</v>
      </c>
      <c r="G20098" s="2">
        <v>0</v>
      </c>
      <c r="H20098" s="1" t="s">
        <v>0</v>
      </c>
      <c r="I20098" s="2">
        <v>0</v>
      </c>
      <c r="J20098" s="1">
        <v>45940.398425925923</v>
      </c>
    </row>
    <row r="20099" spans="1:10" x14ac:dyDescent="0.2">
      <c r="A20099" s="4" t="s">
        <v>1</v>
      </c>
      <c r="B200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099" s="3" t="str">
        <f>HYPERLINK("https://otsuka-europe-crm.veevavault.com/ui/#object/sent_email__v/VBLZ025E82HH5V3", "SE-000286376")</f>
        <v>SE-000286376</v>
      </c>
      <c r="D20099" s="1">
        <v>45943.605185185188</v>
      </c>
      <c r="E20099" s="2">
        <v>1</v>
      </c>
      <c r="F20099" s="2">
        <v>8</v>
      </c>
      <c r="G20099" s="2">
        <v>0</v>
      </c>
      <c r="H20099" s="1" t="s">
        <v>0</v>
      </c>
      <c r="I20099" s="2">
        <v>0</v>
      </c>
      <c r="J20099" s="1">
        <v>45940.398078703707</v>
      </c>
    </row>
    <row r="20100" spans="1:10" x14ac:dyDescent="0.2">
      <c r="A20100" s="4" t="s">
        <v>1</v>
      </c>
      <c r="B201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00" s="3" t="str">
        <f>HYPERLINK("https://otsuka-europe-crm.veevavault.com/ui/#object/sent_email__v/VBLZ025E82HH5V4", "SE-000286377")</f>
        <v>SE-000286377</v>
      </c>
      <c r="D20100" s="1">
        <v>45940.44121527778</v>
      </c>
      <c r="E20100" s="2">
        <v>1</v>
      </c>
      <c r="F20100" s="2">
        <v>1</v>
      </c>
      <c r="G20100" s="2">
        <v>0</v>
      </c>
      <c r="H20100" s="1" t="s">
        <v>0</v>
      </c>
      <c r="I20100" s="2">
        <v>0</v>
      </c>
      <c r="J20100" s="1">
        <v>45940.398194444446</v>
      </c>
    </row>
    <row r="20101" spans="1:10" x14ac:dyDescent="0.2">
      <c r="A20101" s="4" t="s">
        <v>1</v>
      </c>
      <c r="B201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01" s="3" t="str">
        <f>HYPERLINK("https://otsuka-europe-crm.veevavault.com/ui/#object/sent_email__v/VBLZ025E82HH5V5", "SE-000286378")</f>
        <v>SE-000286378</v>
      </c>
      <c r="D20101" s="1" t="s">
        <v>0</v>
      </c>
      <c r="E20101" s="2">
        <v>0</v>
      </c>
      <c r="F20101" s="2">
        <v>0</v>
      </c>
      <c r="G20101" s="2">
        <v>0</v>
      </c>
      <c r="H20101" s="1" t="s">
        <v>0</v>
      </c>
      <c r="I20101" s="2">
        <v>0</v>
      </c>
      <c r="J20101" s="1">
        <v>45940.398321759261</v>
      </c>
    </row>
    <row r="20102" spans="1:10" x14ac:dyDescent="0.2">
      <c r="A20102" s="4" t="s">
        <v>1</v>
      </c>
      <c r="B201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02" s="3" t="str">
        <f>HYPERLINK("https://otsuka-europe-crm.veevavault.com/ui/#object/sent_email__v/VBLZ025E82HH5V6", "SE-000286379")</f>
        <v>SE-000286379</v>
      </c>
      <c r="D20102" s="1">
        <v>45940.489236111112</v>
      </c>
      <c r="E20102" s="2">
        <v>1</v>
      </c>
      <c r="F20102" s="2">
        <v>1</v>
      </c>
      <c r="G20102" s="2">
        <v>0</v>
      </c>
      <c r="H20102" s="1" t="s">
        <v>0</v>
      </c>
      <c r="I20102" s="2">
        <v>0</v>
      </c>
      <c r="J20102" s="1">
        <v>45940.398414351854</v>
      </c>
    </row>
    <row r="20103" spans="1:10" x14ac:dyDescent="0.2">
      <c r="A20103" s="4" t="s">
        <v>1</v>
      </c>
      <c r="B201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03" s="3" t="str">
        <f>HYPERLINK("https://otsuka-europe-crm.veevavault.com/ui/#object/sent_email__v/VBLZ025E82HH5V7", "SE-000286380")</f>
        <v>SE-000286380</v>
      </c>
      <c r="D20103" s="1">
        <v>45942.94190972222</v>
      </c>
      <c r="E20103" s="2">
        <v>1</v>
      </c>
      <c r="F20103" s="2">
        <v>2</v>
      </c>
      <c r="G20103" s="2">
        <v>0</v>
      </c>
      <c r="H20103" s="1" t="s">
        <v>0</v>
      </c>
      <c r="I20103" s="2">
        <v>0</v>
      </c>
      <c r="J20103" s="1">
        <v>45940.398078703707</v>
      </c>
    </row>
    <row r="20104" spans="1:10" x14ac:dyDescent="0.2">
      <c r="A20104" s="4" t="s">
        <v>1</v>
      </c>
      <c r="B201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04" s="3" t="str">
        <f>HYPERLINK("https://otsuka-europe-crm.veevavault.com/ui/#object/sent_email__v/VBLZ025E82HH5V8", "SE-000286381")</f>
        <v>SE-000286381</v>
      </c>
      <c r="D20104" s="1">
        <v>45953.045787037037</v>
      </c>
      <c r="E20104" s="2">
        <v>1</v>
      </c>
      <c r="F20104" s="2">
        <v>1</v>
      </c>
      <c r="G20104" s="2">
        <v>0</v>
      </c>
      <c r="H20104" s="1" t="s">
        <v>0</v>
      </c>
      <c r="I20104" s="2">
        <v>0</v>
      </c>
      <c r="J20104" s="1">
        <v>45940.398148148146</v>
      </c>
    </row>
    <row r="20105" spans="1:10" x14ac:dyDescent="0.2">
      <c r="A20105" s="4" t="s">
        <v>1</v>
      </c>
      <c r="B201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05" s="3" t="str">
        <f>HYPERLINK("https://otsuka-europe-crm.veevavault.com/ui/#object/sent_email__v/VBLZ025E82HH5V9", "SE-000286382")</f>
        <v>SE-000286382</v>
      </c>
      <c r="D20105" s="1" t="s">
        <v>0</v>
      </c>
      <c r="E20105" s="2">
        <v>0</v>
      </c>
      <c r="F20105" s="2">
        <v>0</v>
      </c>
      <c r="G20105" s="2">
        <v>0</v>
      </c>
      <c r="H20105" s="1" t="s">
        <v>0</v>
      </c>
      <c r="I20105" s="2">
        <v>0</v>
      </c>
      <c r="J20105" s="1">
        <v>45940.398263888892</v>
      </c>
    </row>
    <row r="20106" spans="1:10" x14ac:dyDescent="0.2">
      <c r="A20106" s="4" t="s">
        <v>1</v>
      </c>
      <c r="B201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06" s="3" t="str">
        <f>HYPERLINK("https://otsuka-europe-crm.veevavault.com/ui/#object/sent_email__v/VBLZ025E82HH5VA", "SE-000286383")</f>
        <v>SE-000286383</v>
      </c>
      <c r="D20106" s="1" t="s">
        <v>0</v>
      </c>
      <c r="E20106" s="2">
        <v>0</v>
      </c>
      <c r="F20106" s="2">
        <v>0</v>
      </c>
      <c r="G20106" s="2">
        <v>0</v>
      </c>
      <c r="H20106" s="1" t="s">
        <v>0</v>
      </c>
      <c r="I20106" s="2">
        <v>0</v>
      </c>
      <c r="J20106" s="1">
        <v>45940.398402777777</v>
      </c>
    </row>
    <row r="20107" spans="1:10" x14ac:dyDescent="0.2">
      <c r="A20107" s="4" t="s">
        <v>1</v>
      </c>
      <c r="B201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07" s="3" t="str">
        <f>HYPERLINK("https://otsuka-europe-crm.veevavault.com/ui/#object/sent_email__v/VBLZ025E82HH5VB", "SE-000286384")</f>
        <v>SE-000286384</v>
      </c>
      <c r="D20107" s="1" t="s">
        <v>0</v>
      </c>
      <c r="E20107" s="2">
        <v>0</v>
      </c>
      <c r="F20107" s="2">
        <v>0</v>
      </c>
      <c r="G20107" s="2">
        <v>0</v>
      </c>
      <c r="H20107" s="1" t="s">
        <v>0</v>
      </c>
      <c r="I20107" s="2">
        <v>0</v>
      </c>
      <c r="J20107" s="1">
        <v>45940.398032407407</v>
      </c>
    </row>
    <row r="20108" spans="1:10" x14ac:dyDescent="0.2">
      <c r="A20108" s="4" t="s">
        <v>1</v>
      </c>
      <c r="B201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08" s="3" t="str">
        <f>HYPERLINK("https://otsuka-europe-crm.veevavault.com/ui/#object/sent_email__v/VBLZ025E82HH5VC", "SE-000286385")</f>
        <v>SE-000286385</v>
      </c>
      <c r="D20108" s="1">
        <v>45941.778298611112</v>
      </c>
      <c r="E20108" s="2">
        <v>1</v>
      </c>
      <c r="F20108" s="2">
        <v>1</v>
      </c>
      <c r="G20108" s="2">
        <v>0</v>
      </c>
      <c r="H20108" s="1" t="s">
        <v>0</v>
      </c>
      <c r="I20108" s="2">
        <v>0</v>
      </c>
      <c r="J20108" s="1">
        <v>45940.398182870369</v>
      </c>
    </row>
    <row r="20109" spans="1:10" x14ac:dyDescent="0.2">
      <c r="A20109" s="4" t="s">
        <v>1</v>
      </c>
      <c r="B201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09" s="3" t="str">
        <f>HYPERLINK("https://otsuka-europe-crm.veevavault.com/ui/#object/sent_email__v/VBLZ025E82HH5VD", "SE-000286386")</f>
        <v>SE-000286386</v>
      </c>
      <c r="D20109" s="1">
        <v>45940.549930555557</v>
      </c>
      <c r="E20109" s="2">
        <v>1</v>
      </c>
      <c r="F20109" s="2">
        <v>1</v>
      </c>
      <c r="G20109" s="2">
        <v>1</v>
      </c>
      <c r="H20109" s="1">
        <v>45940.550115740742</v>
      </c>
      <c r="I20109" s="2">
        <v>1</v>
      </c>
      <c r="J20109" s="1">
        <v>45940.398298611108</v>
      </c>
    </row>
    <row r="20110" spans="1:10" x14ac:dyDescent="0.2">
      <c r="A20110" s="4" t="s">
        <v>1</v>
      </c>
      <c r="B201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10" s="3" t="str">
        <f>HYPERLINK("https://otsuka-europe-crm.veevavault.com/ui/#object/sent_email__v/VBLZ025E82HH5VE", "SE-000286387")</f>
        <v>SE-000286387</v>
      </c>
      <c r="D20110" s="1">
        <v>45941.386782407404</v>
      </c>
      <c r="E20110" s="2">
        <v>1</v>
      </c>
      <c r="F20110" s="2">
        <v>2</v>
      </c>
      <c r="G20110" s="2">
        <v>0</v>
      </c>
      <c r="H20110" s="1" t="s">
        <v>0</v>
      </c>
      <c r="I20110" s="2">
        <v>0</v>
      </c>
      <c r="J20110" s="1">
        <v>45940.398356481484</v>
      </c>
    </row>
    <row r="20111" spans="1:10" x14ac:dyDescent="0.2">
      <c r="A20111" s="4" t="s">
        <v>1</v>
      </c>
      <c r="B201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11" s="3" t="str">
        <f>HYPERLINK("https://otsuka-europe-crm.veevavault.com/ui/#object/sent_email__v/VBLZ025E82HH5VF", "SE-000286388")</f>
        <v>SE-000286388</v>
      </c>
      <c r="D20111" s="1">
        <v>45960.379282407404</v>
      </c>
      <c r="E20111" s="2">
        <v>1</v>
      </c>
      <c r="F20111" s="2">
        <v>2</v>
      </c>
      <c r="G20111" s="2">
        <v>0</v>
      </c>
      <c r="H20111" s="1" t="s">
        <v>0</v>
      </c>
      <c r="I20111" s="2">
        <v>0</v>
      </c>
      <c r="J20111" s="1">
        <v>45940.3984837963</v>
      </c>
    </row>
    <row r="20112" spans="1:10" x14ac:dyDescent="0.2">
      <c r="A20112" s="4" t="s">
        <v>1</v>
      </c>
      <c r="B201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12" s="3" t="str">
        <f>HYPERLINK("https://otsuka-europe-crm.veevavault.com/ui/#object/sent_email__v/VBLZ025E82HH5VG", "SE-000286389")</f>
        <v>SE-000286389</v>
      </c>
      <c r="D20112" s="1" t="s">
        <v>0</v>
      </c>
      <c r="E20112" s="2">
        <v>0</v>
      </c>
      <c r="F20112" s="2">
        <v>0</v>
      </c>
      <c r="G20112" s="2">
        <v>0</v>
      </c>
      <c r="H20112" s="1" t="s">
        <v>0</v>
      </c>
      <c r="I20112" s="2">
        <v>0</v>
      </c>
      <c r="J20112" s="1">
        <v>45940.398125</v>
      </c>
    </row>
    <row r="20113" spans="1:10" x14ac:dyDescent="0.2">
      <c r="A20113" s="4" t="s">
        <v>1</v>
      </c>
      <c r="B201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13" s="3" t="str">
        <f>HYPERLINK("https://otsuka-europe-crm.veevavault.com/ui/#object/sent_email__v/VBLZ025E82HH5VH", "SE-000286390")</f>
        <v>SE-000286390</v>
      </c>
      <c r="D20113" s="1">
        <v>45940.590208333335</v>
      </c>
      <c r="E20113" s="2">
        <v>1</v>
      </c>
      <c r="F20113" s="2">
        <v>7</v>
      </c>
      <c r="G20113" s="2">
        <v>0</v>
      </c>
      <c r="H20113" s="1" t="s">
        <v>0</v>
      </c>
      <c r="I20113" s="2">
        <v>0</v>
      </c>
      <c r="J20113" s="1">
        <v>45940.398252314815</v>
      </c>
    </row>
    <row r="20114" spans="1:10" x14ac:dyDescent="0.2">
      <c r="A20114" s="4" t="s">
        <v>1</v>
      </c>
      <c r="B201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14" s="3" t="str">
        <f>HYPERLINK("https://otsuka-europe-crm.veevavault.com/ui/#object/sent_email__v/VBLZ025E82HH5VI", "SE-000286391")</f>
        <v>SE-000286391</v>
      </c>
      <c r="D20114" s="1" t="s">
        <v>0</v>
      </c>
      <c r="E20114" s="2">
        <v>0</v>
      </c>
      <c r="F20114" s="2">
        <v>0</v>
      </c>
      <c r="G20114" s="2">
        <v>0</v>
      </c>
      <c r="H20114" s="1" t="s">
        <v>0</v>
      </c>
      <c r="I20114" s="2">
        <v>0</v>
      </c>
      <c r="J20114" s="1">
        <v>45940.398379629631</v>
      </c>
    </row>
    <row r="20115" spans="1:10" x14ac:dyDescent="0.2">
      <c r="A20115" s="4" t="s">
        <v>1</v>
      </c>
      <c r="B201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15" s="3" t="str">
        <f>HYPERLINK("https://otsuka-europe-crm.veevavault.com/ui/#object/sent_email__v/VBLZ025E82HH5VJ", "SE-000286392")</f>
        <v>SE-000286392</v>
      </c>
      <c r="D20115" s="1" t="s">
        <v>0</v>
      </c>
      <c r="E20115" s="2">
        <v>0</v>
      </c>
      <c r="F20115" s="2">
        <v>0</v>
      </c>
      <c r="G20115" s="2">
        <v>0</v>
      </c>
      <c r="H20115" s="1" t="s">
        <v>0</v>
      </c>
      <c r="I20115" s="2">
        <v>0</v>
      </c>
      <c r="J20115" s="1">
        <v>45940.398495370369</v>
      </c>
    </row>
    <row r="20116" spans="1:10" x14ac:dyDescent="0.2">
      <c r="A20116" s="4" t="s">
        <v>1</v>
      </c>
      <c r="B201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16" s="3" t="str">
        <f>HYPERLINK("https://otsuka-europe-crm.veevavault.com/ui/#object/sent_email__v/VBLZ025E82HH5VK", "SE-000286393")</f>
        <v>SE-000286393</v>
      </c>
      <c r="D20116" s="1">
        <v>45942.472094907411</v>
      </c>
      <c r="E20116" s="2">
        <v>1</v>
      </c>
      <c r="F20116" s="2">
        <v>1</v>
      </c>
      <c r="G20116" s="2">
        <v>0</v>
      </c>
      <c r="H20116" s="1" t="s">
        <v>0</v>
      </c>
      <c r="I20116" s="2">
        <v>0</v>
      </c>
      <c r="J20116" s="1">
        <v>45940.398090277777</v>
      </c>
    </row>
    <row r="20117" spans="1:10" x14ac:dyDescent="0.2">
      <c r="A20117" s="4" t="s">
        <v>1</v>
      </c>
      <c r="B201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17" s="3" t="str">
        <f>HYPERLINK("https://otsuka-europe-crm.veevavault.com/ui/#object/sent_email__v/VBLZ025E82HH5VL", "SE-000286394")</f>
        <v>SE-000286394</v>
      </c>
      <c r="D20117" s="1">
        <v>45986.691770833335</v>
      </c>
      <c r="E20117" s="2">
        <v>1</v>
      </c>
      <c r="F20117" s="2">
        <v>2</v>
      </c>
      <c r="G20117" s="2">
        <v>1</v>
      </c>
      <c r="H20117" s="1">
        <v>45959.330370370371</v>
      </c>
      <c r="I20117" s="2">
        <v>1</v>
      </c>
      <c r="J20117" s="1">
        <v>45940.398263888892</v>
      </c>
    </row>
    <row r="20118" spans="1:10" x14ac:dyDescent="0.2">
      <c r="A20118" s="4" t="s">
        <v>1</v>
      </c>
      <c r="B201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18" s="3" t="str">
        <f>HYPERLINK("https://otsuka-europe-crm.veevavault.com/ui/#object/sent_email__v/VBLZ025E82HH5VM", "SE-000286395")</f>
        <v>SE-000286395</v>
      </c>
      <c r="D20118" s="1">
        <v>45940.486793981479</v>
      </c>
      <c r="E20118" s="2">
        <v>1</v>
      </c>
      <c r="F20118" s="2">
        <v>3</v>
      </c>
      <c r="G20118" s="2">
        <v>0</v>
      </c>
      <c r="H20118" s="1" t="s">
        <v>0</v>
      </c>
      <c r="I20118" s="2">
        <v>0</v>
      </c>
      <c r="J20118" s="1">
        <v>45940.398379629631</v>
      </c>
    </row>
    <row r="20119" spans="1:10" x14ac:dyDescent="0.2">
      <c r="A20119" s="4" t="s">
        <v>1</v>
      </c>
      <c r="B201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19" s="3" t="str">
        <f>HYPERLINK("https://otsuka-europe-crm.veevavault.com/ui/#object/sent_email__v/VBLZ025E82HH5VN", "SE-000286396")</f>
        <v>SE-000286396</v>
      </c>
      <c r="D20119" s="1">
        <v>45940.398553240739</v>
      </c>
      <c r="E20119" s="2">
        <v>1</v>
      </c>
      <c r="F20119" s="2">
        <v>1</v>
      </c>
      <c r="G20119" s="2">
        <v>0</v>
      </c>
      <c r="H20119" s="1" t="s">
        <v>0</v>
      </c>
      <c r="I20119" s="2">
        <v>0</v>
      </c>
      <c r="J20119" s="1">
        <v>45940.3984837963</v>
      </c>
    </row>
    <row r="20120" spans="1:10" x14ac:dyDescent="0.2">
      <c r="A20120" s="4" t="s">
        <v>1</v>
      </c>
      <c r="B201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20" s="3" t="str">
        <f>HYPERLINK("https://otsuka-europe-crm.veevavault.com/ui/#object/sent_email__v/VBLZ025E82HH5VO", "SE-000286397")</f>
        <v>SE-000286397</v>
      </c>
      <c r="D20120" s="1" t="s">
        <v>0</v>
      </c>
      <c r="E20120" s="2">
        <v>0</v>
      </c>
      <c r="F20120" s="2">
        <v>0</v>
      </c>
      <c r="G20120" s="2">
        <v>0</v>
      </c>
      <c r="H20120" s="1" t="s">
        <v>0</v>
      </c>
      <c r="I20120" s="2">
        <v>0</v>
      </c>
      <c r="J20120" s="1">
        <v>45940.398136574076</v>
      </c>
    </row>
    <row r="20121" spans="1:10" x14ac:dyDescent="0.2">
      <c r="A20121" s="4" t="s">
        <v>1</v>
      </c>
      <c r="B201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21" s="3" t="str">
        <f>HYPERLINK("https://otsuka-europe-crm.veevavault.com/ui/#object/sent_email__v/VBLZ025E82HH5VP", "SE-000286398")</f>
        <v>SE-000286398</v>
      </c>
      <c r="D20121" s="1">
        <v>45940.540416666663</v>
      </c>
      <c r="E20121" s="2">
        <v>1</v>
      </c>
      <c r="F20121" s="2">
        <v>1</v>
      </c>
      <c r="G20121" s="2">
        <v>0</v>
      </c>
      <c r="H20121" s="1" t="s">
        <v>0</v>
      </c>
      <c r="I20121" s="2">
        <v>0</v>
      </c>
      <c r="J20121" s="1">
        <v>45940.398252314815</v>
      </c>
    </row>
    <row r="20122" spans="1:10" x14ac:dyDescent="0.2">
      <c r="A20122" s="4" t="s">
        <v>1</v>
      </c>
      <c r="B201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22" s="3" t="str">
        <f>HYPERLINK("https://otsuka-europe-crm.veevavault.com/ui/#object/sent_email__v/VBLZ025E82HH5VQ", "SE-000286399")</f>
        <v>SE-000286399</v>
      </c>
      <c r="D20122" s="1">
        <v>45940.424305555556</v>
      </c>
      <c r="E20122" s="2">
        <v>1</v>
      </c>
      <c r="F20122" s="2">
        <v>4</v>
      </c>
      <c r="G20122" s="2">
        <v>0</v>
      </c>
      <c r="H20122" s="1" t="s">
        <v>0</v>
      </c>
      <c r="I20122" s="2">
        <v>0</v>
      </c>
      <c r="J20122" s="1">
        <v>45940.398275462961</v>
      </c>
    </row>
    <row r="20123" spans="1:10" x14ac:dyDescent="0.2">
      <c r="A20123" s="4" t="s">
        <v>1</v>
      </c>
      <c r="B201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23" s="3" t="str">
        <f>HYPERLINK("https://otsuka-europe-crm.veevavault.com/ui/#object/sent_email__v/VBLZ025E82HH5VR", "SE-000286400")</f>
        <v>SE-000286400</v>
      </c>
      <c r="D20123" s="1">
        <v>45940.635601851849</v>
      </c>
      <c r="E20123" s="2">
        <v>1</v>
      </c>
      <c r="F20123" s="2">
        <v>1</v>
      </c>
      <c r="G20123" s="2">
        <v>0</v>
      </c>
      <c r="H20123" s="1" t="s">
        <v>0</v>
      </c>
      <c r="I20123" s="2">
        <v>0</v>
      </c>
      <c r="J20123" s="1">
        <v>45940.3983912037</v>
      </c>
    </row>
    <row r="20124" spans="1:10" x14ac:dyDescent="0.2">
      <c r="A20124" s="4" t="s">
        <v>1</v>
      </c>
      <c r="B201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24" s="3" t="str">
        <f>HYPERLINK("https://otsuka-europe-crm.veevavault.com/ui/#object/sent_email__v/VBLZ025E82HH5VS", "SE-000286401")</f>
        <v>SE-000286401</v>
      </c>
      <c r="D20124" s="1">
        <v>45940.42046296296</v>
      </c>
      <c r="E20124" s="2">
        <v>1</v>
      </c>
      <c r="F20124" s="2">
        <v>1</v>
      </c>
      <c r="G20124" s="2">
        <v>0</v>
      </c>
      <c r="H20124" s="1" t="s">
        <v>0</v>
      </c>
      <c r="I20124" s="2">
        <v>0</v>
      </c>
      <c r="J20124" s="1">
        <v>45940.398043981484</v>
      </c>
    </row>
    <row r="20125" spans="1:10" x14ac:dyDescent="0.2">
      <c r="A20125" s="4" t="s">
        <v>1</v>
      </c>
      <c r="B201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25" s="3" t="str">
        <f>HYPERLINK("https://otsuka-europe-crm.veevavault.com/ui/#object/sent_email__v/VBLZ025E82HH5VT", "SE-000286402")</f>
        <v>SE-000286402</v>
      </c>
      <c r="D20125" s="1">
        <v>45965.955358796295</v>
      </c>
      <c r="E20125" s="2">
        <v>1</v>
      </c>
      <c r="F20125" s="2">
        <v>2</v>
      </c>
      <c r="G20125" s="2">
        <v>0</v>
      </c>
      <c r="H20125" s="1" t="s">
        <v>0</v>
      </c>
      <c r="I20125" s="2">
        <v>0</v>
      </c>
      <c r="J20125" s="1">
        <v>45940.398159722223</v>
      </c>
    </row>
    <row r="20126" spans="1:10" x14ac:dyDescent="0.2">
      <c r="A20126" s="4" t="s">
        <v>1</v>
      </c>
      <c r="B201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26" s="3" t="str">
        <f>HYPERLINK("https://otsuka-europe-crm.veevavault.com/ui/#object/sent_email__v/VBLZ025E82HH5VU", "SE-000286403")</f>
        <v>SE-000286403</v>
      </c>
      <c r="D20126" s="1" t="s">
        <v>0</v>
      </c>
      <c r="E20126" s="2">
        <v>0</v>
      </c>
      <c r="F20126" s="2">
        <v>0</v>
      </c>
      <c r="G20126" s="2">
        <v>0</v>
      </c>
      <c r="H20126" s="1" t="s">
        <v>0</v>
      </c>
      <c r="I20126" s="2">
        <v>0</v>
      </c>
      <c r="J20126" s="1">
        <v>45940.398287037038</v>
      </c>
    </row>
    <row r="20127" spans="1:10" x14ac:dyDescent="0.2">
      <c r="A20127" s="4" t="s">
        <v>1</v>
      </c>
      <c r="B201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27" s="3" t="str">
        <f>HYPERLINK("https://otsuka-europe-crm.veevavault.com/ui/#object/sent_email__v/VBLZ025E82HH5VV", "SE-000286404")</f>
        <v>SE-000286404</v>
      </c>
      <c r="D20127" s="1" t="s">
        <v>0</v>
      </c>
      <c r="E20127" s="2">
        <v>0</v>
      </c>
      <c r="F20127" s="2">
        <v>0</v>
      </c>
      <c r="G20127" s="2">
        <v>0</v>
      </c>
      <c r="H20127" s="1" t="s">
        <v>0</v>
      </c>
      <c r="I20127" s="2">
        <v>0</v>
      </c>
      <c r="J20127" s="1">
        <v>45940.3984837963</v>
      </c>
    </row>
    <row r="20128" spans="1:10" x14ac:dyDescent="0.2">
      <c r="A20128" s="4" t="s">
        <v>1</v>
      </c>
      <c r="B201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28" s="3" t="str">
        <f>HYPERLINK("https://otsuka-europe-crm.veevavault.com/ui/#object/sent_email__v/VBLZ025E82HH5VW", "SE-000286405")</f>
        <v>SE-000286405</v>
      </c>
      <c r="D20128" s="1">
        <v>45941.509340277778</v>
      </c>
      <c r="E20128" s="2">
        <v>1</v>
      </c>
      <c r="F20128" s="2">
        <v>2</v>
      </c>
      <c r="G20128" s="2">
        <v>0</v>
      </c>
      <c r="H20128" s="1" t="s">
        <v>0</v>
      </c>
      <c r="I20128" s="2">
        <v>0</v>
      </c>
      <c r="J20128" s="1">
        <v>45940.398113425923</v>
      </c>
    </row>
    <row r="20129" spans="1:10" x14ac:dyDescent="0.2">
      <c r="A20129" s="4" t="s">
        <v>1</v>
      </c>
      <c r="B201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29" s="3" t="str">
        <f>HYPERLINK("https://otsuka-europe-crm.veevavault.com/ui/#object/sent_email__v/VBLZ025E82HH5VX", "SE-000286406")</f>
        <v>SE-000286406</v>
      </c>
      <c r="D20129" s="1" t="s">
        <v>0</v>
      </c>
      <c r="E20129" s="2">
        <v>0</v>
      </c>
      <c r="F20129" s="2">
        <v>0</v>
      </c>
      <c r="G20129" s="2">
        <v>0</v>
      </c>
      <c r="H20129" s="1" t="s">
        <v>0</v>
      </c>
      <c r="I20129" s="2">
        <v>0</v>
      </c>
      <c r="J20129" s="1">
        <v>45940.398229166669</v>
      </c>
    </row>
    <row r="20130" spans="1:10" x14ac:dyDescent="0.2">
      <c r="A20130" s="4" t="s">
        <v>1</v>
      </c>
      <c r="B201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30" s="3" t="str">
        <f>HYPERLINK("https://otsuka-europe-crm.veevavault.com/ui/#object/sent_email__v/VBLZ025E82HH5VY", "SE-000286407")</f>
        <v>SE-000286407</v>
      </c>
      <c r="D20130" s="1">
        <v>45940.415960648148</v>
      </c>
      <c r="E20130" s="2">
        <v>1</v>
      </c>
      <c r="F20130" s="2">
        <v>2</v>
      </c>
      <c r="G20130" s="2">
        <v>0</v>
      </c>
      <c r="H20130" s="1" t="s">
        <v>0</v>
      </c>
      <c r="I20130" s="2">
        <v>0</v>
      </c>
      <c r="J20130" s="1">
        <v>45940.398344907408</v>
      </c>
    </row>
    <row r="20131" spans="1:10" x14ac:dyDescent="0.2">
      <c r="A20131" s="4" t="s">
        <v>1</v>
      </c>
      <c r="B201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31" s="3" t="str">
        <f>HYPERLINK("https://otsuka-europe-crm.veevavault.com/ui/#object/sent_email__v/VBLZ025E82HH5VZ", "SE-000286408")</f>
        <v>SE-000286408</v>
      </c>
      <c r="D20131" s="1">
        <v>45940.839606481481</v>
      </c>
      <c r="E20131" s="2">
        <v>1</v>
      </c>
      <c r="F20131" s="2">
        <v>1</v>
      </c>
      <c r="G20131" s="2">
        <v>0</v>
      </c>
      <c r="H20131" s="1" t="s">
        <v>0</v>
      </c>
      <c r="I20131" s="2">
        <v>0</v>
      </c>
      <c r="J20131" s="1">
        <v>45940.398460648146</v>
      </c>
    </row>
    <row r="20132" spans="1:10" x14ac:dyDescent="0.2">
      <c r="A20132" s="4" t="s">
        <v>1</v>
      </c>
      <c r="B201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32" s="3" t="str">
        <f>HYPERLINK("https://otsuka-europe-crm.veevavault.com/ui/#object/sent_email__v/VBLZ025E82HH601", "SE-000286409")</f>
        <v>SE-000286409</v>
      </c>
      <c r="D20132" s="1">
        <v>45942.787291666667</v>
      </c>
      <c r="E20132" s="2">
        <v>1</v>
      </c>
      <c r="F20132" s="2">
        <v>3</v>
      </c>
      <c r="G20132" s="2">
        <v>0</v>
      </c>
      <c r="H20132" s="1" t="s">
        <v>0</v>
      </c>
      <c r="I20132" s="2">
        <v>0</v>
      </c>
      <c r="J20132" s="1">
        <v>45940.399305555555</v>
      </c>
    </row>
    <row r="20133" spans="1:10" x14ac:dyDescent="0.2">
      <c r="A20133" s="4" t="s">
        <v>1</v>
      </c>
      <c r="B201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33" s="3" t="str">
        <f>HYPERLINK("https://otsuka-europe-crm.veevavault.com/ui/#object/sent_email__v/VBLZ025E82HH602", "SE-000286410")</f>
        <v>SE-000286410</v>
      </c>
      <c r="D20133" s="1" t="s">
        <v>0</v>
      </c>
      <c r="E20133" s="2">
        <v>0</v>
      </c>
      <c r="F20133" s="2">
        <v>0</v>
      </c>
      <c r="G20133" s="2">
        <v>0</v>
      </c>
      <c r="H20133" s="1" t="s">
        <v>0</v>
      </c>
      <c r="I20133" s="2">
        <v>0</v>
      </c>
      <c r="J20133" s="1">
        <v>45940.399317129632</v>
      </c>
    </row>
    <row r="20134" spans="1:10" x14ac:dyDescent="0.2">
      <c r="A20134" s="4" t="s">
        <v>1</v>
      </c>
      <c r="B201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34" s="3" t="str">
        <f>HYPERLINK("https://otsuka-europe-crm.veevavault.com/ui/#object/sent_email__v/VBLZ025E82HH603", "SE-000286411")</f>
        <v>SE-000286411</v>
      </c>
      <c r="D20134" s="1">
        <v>45941.287118055552</v>
      </c>
      <c r="E20134" s="2">
        <v>1</v>
      </c>
      <c r="F20134" s="2">
        <v>1</v>
      </c>
      <c r="G20134" s="2">
        <v>0</v>
      </c>
      <c r="H20134" s="1" t="s">
        <v>0</v>
      </c>
      <c r="I20134" s="2">
        <v>0</v>
      </c>
      <c r="J20134" s="1">
        <v>45940.399317129632</v>
      </c>
    </row>
    <row r="20135" spans="1:10" x14ac:dyDescent="0.2">
      <c r="A20135" s="4" t="s">
        <v>1</v>
      </c>
      <c r="B201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35" s="3" t="str">
        <f>HYPERLINK("https://otsuka-europe-crm.veevavault.com/ui/#object/sent_email__v/VBLZ025E82HH604", "SE-000286412")</f>
        <v>SE-000286412</v>
      </c>
      <c r="D20135" s="1">
        <v>45943.008206018516</v>
      </c>
      <c r="E20135" s="2">
        <v>1</v>
      </c>
      <c r="F20135" s="2">
        <v>2</v>
      </c>
      <c r="G20135" s="2">
        <v>0</v>
      </c>
      <c r="H20135" s="1" t="s">
        <v>0</v>
      </c>
      <c r="I20135" s="2">
        <v>0</v>
      </c>
      <c r="J20135" s="1">
        <v>45940.399259259262</v>
      </c>
    </row>
    <row r="20136" spans="1:10" x14ac:dyDescent="0.2">
      <c r="A20136" s="4" t="s">
        <v>1</v>
      </c>
      <c r="B201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36" s="3" t="str">
        <f>HYPERLINK("https://otsuka-europe-crm.veevavault.com/ui/#object/sent_email__v/VBLZ025E82HH605", "SE-000286413")</f>
        <v>SE-000286413</v>
      </c>
      <c r="D20136" s="1" t="s">
        <v>0</v>
      </c>
      <c r="E20136" s="2">
        <v>0</v>
      </c>
      <c r="F20136" s="2">
        <v>0</v>
      </c>
      <c r="G20136" s="2">
        <v>0</v>
      </c>
      <c r="H20136" s="1" t="s">
        <v>0</v>
      </c>
      <c r="I20136" s="2">
        <v>0</v>
      </c>
      <c r="J20136" s="1">
        <v>45940.399340277778</v>
      </c>
    </row>
    <row r="20137" spans="1:10" x14ac:dyDescent="0.2">
      <c r="A20137" s="4" t="s">
        <v>1</v>
      </c>
      <c r="B201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37" s="3" t="str">
        <f>HYPERLINK("https://otsuka-europe-crm.veevavault.com/ui/#object/sent_email__v/VBLZ025E82HH606", "SE-000286414")</f>
        <v>SE-000286414</v>
      </c>
      <c r="D20137" s="1" t="s">
        <v>0</v>
      </c>
      <c r="E20137" s="2">
        <v>0</v>
      </c>
      <c r="F20137" s="2">
        <v>0</v>
      </c>
      <c r="G20137" s="2">
        <v>0</v>
      </c>
      <c r="H20137" s="1" t="s">
        <v>0</v>
      </c>
      <c r="I20137" s="2">
        <v>0</v>
      </c>
      <c r="J20137" s="1">
        <v>45940.399351851855</v>
      </c>
    </row>
    <row r="20138" spans="1:10" x14ac:dyDescent="0.2">
      <c r="A20138" s="4" t="s">
        <v>1</v>
      </c>
      <c r="B201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38" s="3" t="str">
        <f>HYPERLINK("https://otsuka-europe-crm.veevavault.com/ui/#object/sent_email__v/VBLZ025E82HH607", "SE-000286415")</f>
        <v>SE-000286415</v>
      </c>
      <c r="D20138" s="1" t="s">
        <v>0</v>
      </c>
      <c r="E20138" s="2">
        <v>0</v>
      </c>
      <c r="F20138" s="2">
        <v>0</v>
      </c>
      <c r="G20138" s="2">
        <v>0</v>
      </c>
      <c r="H20138" s="1" t="s">
        <v>0</v>
      </c>
      <c r="I20138" s="2">
        <v>0</v>
      </c>
      <c r="J20138" s="1">
        <v>45940.399293981478</v>
      </c>
    </row>
    <row r="20139" spans="1:10" x14ac:dyDescent="0.2">
      <c r="A20139" s="4" t="s">
        <v>1</v>
      </c>
      <c r="B201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39" s="3" t="str">
        <f>HYPERLINK("https://otsuka-europe-crm.veevavault.com/ui/#object/sent_email__v/VBLZ025E82HH608", "SE-000286416")</f>
        <v>SE-000286416</v>
      </c>
      <c r="D20139" s="1" t="s">
        <v>0</v>
      </c>
      <c r="E20139" s="2">
        <v>0</v>
      </c>
      <c r="F20139" s="2">
        <v>0</v>
      </c>
      <c r="G20139" s="2">
        <v>0</v>
      </c>
      <c r="H20139" s="1" t="s">
        <v>0</v>
      </c>
      <c r="I20139" s="2">
        <v>0</v>
      </c>
      <c r="J20139" s="1">
        <v>45940.399340277778</v>
      </c>
    </row>
    <row r="20140" spans="1:10" x14ac:dyDescent="0.2">
      <c r="A20140" s="4" t="s">
        <v>1</v>
      </c>
      <c r="B201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40" s="3" t="str">
        <f>HYPERLINK("https://otsuka-europe-crm.veevavault.com/ui/#object/sent_email__v/VBLZ025E82HH609", "SE-000286417")</f>
        <v>SE-000286417</v>
      </c>
      <c r="D20140" s="1">
        <v>45941.038425925923</v>
      </c>
      <c r="E20140" s="2">
        <v>1</v>
      </c>
      <c r="F20140" s="2">
        <v>1</v>
      </c>
      <c r="G20140" s="2">
        <v>0</v>
      </c>
      <c r="H20140" s="1" t="s">
        <v>0</v>
      </c>
      <c r="I20140" s="2">
        <v>0</v>
      </c>
      <c r="J20140" s="1">
        <v>45940.399178240739</v>
      </c>
    </row>
    <row r="20141" spans="1:10" x14ac:dyDescent="0.2">
      <c r="A20141" s="4" t="s">
        <v>1</v>
      </c>
      <c r="B201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41" s="3" t="str">
        <f>HYPERLINK("https://otsuka-europe-crm.veevavault.com/ui/#object/sent_email__v/VBLZ025E82HH60A", "SE-000286418")</f>
        <v>SE-000286418</v>
      </c>
      <c r="D20141" s="1">
        <v>45940.436666666668</v>
      </c>
      <c r="E20141" s="2">
        <v>1</v>
      </c>
      <c r="F20141" s="2">
        <v>1</v>
      </c>
      <c r="G20141" s="2">
        <v>0</v>
      </c>
      <c r="H20141" s="1" t="s">
        <v>0</v>
      </c>
      <c r="I20141" s="2">
        <v>0</v>
      </c>
      <c r="J20141" s="1">
        <v>45940.39916666667</v>
      </c>
    </row>
    <row r="20142" spans="1:10" x14ac:dyDescent="0.2">
      <c r="A20142" s="4" t="s">
        <v>1</v>
      </c>
      <c r="B201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42" s="3" t="str">
        <f>HYPERLINK("https://otsuka-europe-crm.veevavault.com/ui/#object/sent_email__v/VBLZ025E82HH60B", "SE-000286419")</f>
        <v>SE-000286419</v>
      </c>
      <c r="D20142" s="1">
        <v>45952.842789351853</v>
      </c>
      <c r="E20142" s="2">
        <v>1</v>
      </c>
      <c r="F20142" s="2">
        <v>2</v>
      </c>
      <c r="G20142" s="2">
        <v>0</v>
      </c>
      <c r="H20142" s="1" t="s">
        <v>0</v>
      </c>
      <c r="I20142" s="2">
        <v>0</v>
      </c>
      <c r="J20142" s="1">
        <v>45940.399178240739</v>
      </c>
    </row>
    <row r="20143" spans="1:10" x14ac:dyDescent="0.2">
      <c r="A20143" s="4" t="s">
        <v>1</v>
      </c>
      <c r="B201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43" s="3" t="str">
        <f>HYPERLINK("https://otsuka-europe-crm.veevavault.com/ui/#object/sent_email__v/VBLZ025E82HH60C", "SE-000286420")</f>
        <v>SE-000286420</v>
      </c>
      <c r="D20143" s="1" t="s">
        <v>0</v>
      </c>
      <c r="E20143" s="2">
        <v>0</v>
      </c>
      <c r="F20143" s="2">
        <v>0</v>
      </c>
      <c r="G20143" s="2">
        <v>0</v>
      </c>
      <c r="H20143" s="1" t="s">
        <v>0</v>
      </c>
      <c r="I20143" s="2">
        <v>0</v>
      </c>
      <c r="J20143" s="1">
        <v>45940.399189814816</v>
      </c>
    </row>
    <row r="20144" spans="1:10" x14ac:dyDescent="0.2">
      <c r="A20144" s="4" t="s">
        <v>1</v>
      </c>
      <c r="B201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44" s="3" t="str">
        <f>HYPERLINK("https://otsuka-europe-crm.veevavault.com/ui/#object/sent_email__v/VBLZ025E82HH60D", "SE-000286421")</f>
        <v>SE-000286421</v>
      </c>
      <c r="D20144" s="1" t="s">
        <v>0</v>
      </c>
      <c r="E20144" s="2">
        <v>0</v>
      </c>
      <c r="F20144" s="2">
        <v>0</v>
      </c>
      <c r="G20144" s="2">
        <v>0</v>
      </c>
      <c r="H20144" s="1" t="s">
        <v>0</v>
      </c>
      <c r="I20144" s="2">
        <v>0</v>
      </c>
      <c r="J20144" s="1">
        <v>45940.399293981478</v>
      </c>
    </row>
    <row r="20145" spans="1:10" x14ac:dyDescent="0.2">
      <c r="A20145" s="4" t="s">
        <v>1</v>
      </c>
      <c r="B201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45" s="3" t="str">
        <f>HYPERLINK("https://otsuka-europe-crm.veevavault.com/ui/#object/sent_email__v/VBLZ025E82HH60E", "SE-000286422")</f>
        <v>SE-000286422</v>
      </c>
      <c r="D20145" s="1">
        <v>45940.560289351852</v>
      </c>
      <c r="E20145" s="2">
        <v>1</v>
      </c>
      <c r="F20145" s="2">
        <v>2</v>
      </c>
      <c r="G20145" s="2">
        <v>0</v>
      </c>
      <c r="H20145" s="1" t="s">
        <v>0</v>
      </c>
      <c r="I20145" s="2">
        <v>0</v>
      </c>
      <c r="J20145" s="1">
        <v>45940.399282407408</v>
      </c>
    </row>
    <row r="20146" spans="1:10" x14ac:dyDescent="0.2">
      <c r="A20146" s="4" t="s">
        <v>1</v>
      </c>
      <c r="B201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46" s="3" t="str">
        <f>HYPERLINK("https://otsuka-europe-crm.veevavault.com/ui/#object/sent_email__v/VBLZ025E82HH60F", "SE-000286423")</f>
        <v>SE-000286423</v>
      </c>
      <c r="D20146" s="1" t="s">
        <v>0</v>
      </c>
      <c r="E20146" s="2">
        <v>0</v>
      </c>
      <c r="F20146" s="2">
        <v>0</v>
      </c>
      <c r="G20146" s="2">
        <v>0</v>
      </c>
      <c r="H20146" s="1" t="s">
        <v>0</v>
      </c>
      <c r="I20146" s="2">
        <v>0</v>
      </c>
      <c r="J20146" s="1">
        <v>45940.399270833332</v>
      </c>
    </row>
    <row r="20147" spans="1:10" x14ac:dyDescent="0.2">
      <c r="A20147" s="4" t="s">
        <v>1</v>
      </c>
      <c r="B201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47" s="3" t="str">
        <f>HYPERLINK("https://otsuka-europe-crm.veevavault.com/ui/#object/sent_email__v/VBLZ025E82HH60G", "SE-000286424")</f>
        <v>SE-000286424</v>
      </c>
      <c r="D20147" s="1">
        <v>45940.409409722219</v>
      </c>
      <c r="E20147" s="2">
        <v>1</v>
      </c>
      <c r="F20147" s="2">
        <v>1</v>
      </c>
      <c r="G20147" s="2">
        <v>0</v>
      </c>
      <c r="H20147" s="1" t="s">
        <v>0</v>
      </c>
      <c r="I20147" s="2">
        <v>0</v>
      </c>
      <c r="J20147" s="1">
        <v>45940.399270833332</v>
      </c>
    </row>
    <row r="20148" spans="1:10" x14ac:dyDescent="0.2">
      <c r="A20148" s="4" t="s">
        <v>1</v>
      </c>
      <c r="B201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48" s="3" t="str">
        <f>HYPERLINK("https://otsuka-europe-crm.veevavault.com/ui/#object/sent_email__v/VBLZ025E82HH60H", "SE-000286425")</f>
        <v>SE-000286425</v>
      </c>
      <c r="D20148" s="1">
        <v>45940.471712962964</v>
      </c>
      <c r="E20148" s="2">
        <v>1</v>
      </c>
      <c r="F20148" s="2">
        <v>1</v>
      </c>
      <c r="G20148" s="2">
        <v>0</v>
      </c>
      <c r="H20148" s="1" t="s">
        <v>0</v>
      </c>
      <c r="I20148" s="2">
        <v>0</v>
      </c>
      <c r="J20148" s="1">
        <v>45940.399236111109</v>
      </c>
    </row>
    <row r="20149" spans="1:10" x14ac:dyDescent="0.2">
      <c r="A20149" s="4" t="s">
        <v>1</v>
      </c>
      <c r="B201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49" s="3" t="str">
        <f>HYPERLINK("https://otsuka-europe-crm.veevavault.com/ui/#object/sent_email__v/VBLZ025E82HH60I", "SE-000286426")</f>
        <v>SE-000286426</v>
      </c>
      <c r="D20149" s="1">
        <v>45960.726493055554</v>
      </c>
      <c r="E20149" s="2">
        <v>1</v>
      </c>
      <c r="F20149" s="2">
        <v>4</v>
      </c>
      <c r="G20149" s="2">
        <v>0</v>
      </c>
      <c r="H20149" s="1" t="s">
        <v>0</v>
      </c>
      <c r="I20149" s="2">
        <v>0</v>
      </c>
      <c r="J20149" s="1">
        <v>45940.399236111109</v>
      </c>
    </row>
    <row r="20150" spans="1:10" x14ac:dyDescent="0.2">
      <c r="A20150" s="4" t="s">
        <v>1</v>
      </c>
      <c r="B201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50" s="3" t="str">
        <f>HYPERLINK("https://otsuka-europe-crm.veevavault.com/ui/#object/sent_email__v/VBLZ025E82HH60J", "SE-000286427")</f>
        <v>SE-000286427</v>
      </c>
      <c r="D20150" s="1">
        <v>45945.534432870372</v>
      </c>
      <c r="E20150" s="2">
        <v>1</v>
      </c>
      <c r="F20150" s="2">
        <v>1</v>
      </c>
      <c r="G20150" s="2">
        <v>0</v>
      </c>
      <c r="H20150" s="1" t="s">
        <v>0</v>
      </c>
      <c r="I20150" s="2">
        <v>0</v>
      </c>
      <c r="J20150" s="1">
        <v>45940.399247685185</v>
      </c>
    </row>
    <row r="20151" spans="1:10" x14ac:dyDescent="0.2">
      <c r="A20151" s="4" t="s">
        <v>1</v>
      </c>
      <c r="B201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51" s="3" t="str">
        <f>HYPERLINK("https://otsuka-europe-crm.veevavault.com/ui/#object/sent_email__v/VBLZ025E82HH60K", "SE-000286428")</f>
        <v>SE-000286428</v>
      </c>
      <c r="D20151" s="1" t="s">
        <v>0</v>
      </c>
      <c r="E20151" s="2">
        <v>0</v>
      </c>
      <c r="F20151" s="2">
        <v>0</v>
      </c>
      <c r="G20151" s="2">
        <v>0</v>
      </c>
      <c r="H20151" s="1" t="s">
        <v>0</v>
      </c>
      <c r="I20151" s="2">
        <v>0</v>
      </c>
      <c r="J20151" s="1">
        <v>45940.399212962962</v>
      </c>
    </row>
    <row r="20152" spans="1:10" x14ac:dyDescent="0.2">
      <c r="A20152" s="4" t="s">
        <v>1</v>
      </c>
      <c r="B201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52" s="3" t="str">
        <f>HYPERLINK("https://otsuka-europe-crm.veevavault.com/ui/#object/sent_email__v/VBLZ025E82HH60L", "SE-000286429")</f>
        <v>SE-000286429</v>
      </c>
      <c r="D20152" s="1" t="s">
        <v>0</v>
      </c>
      <c r="E20152" s="2">
        <v>0</v>
      </c>
      <c r="F20152" s="2">
        <v>0</v>
      </c>
      <c r="G20152" s="2">
        <v>0</v>
      </c>
      <c r="H20152" s="1" t="s">
        <v>0</v>
      </c>
      <c r="I20152" s="2">
        <v>0</v>
      </c>
      <c r="J20152" s="1">
        <v>45940.399224537039</v>
      </c>
    </row>
    <row r="20153" spans="1:10" x14ac:dyDescent="0.2">
      <c r="A20153" s="4" t="s">
        <v>1</v>
      </c>
      <c r="B201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53" s="3" t="str">
        <f>HYPERLINK("https://otsuka-europe-crm.veevavault.com/ui/#object/sent_email__v/VBLZ025E82HH60M", "SE-000286430")</f>
        <v>SE-000286430</v>
      </c>
      <c r="D20153" s="1" t="s">
        <v>0</v>
      </c>
      <c r="E20153" s="2">
        <v>0</v>
      </c>
      <c r="F20153" s="2">
        <v>0</v>
      </c>
      <c r="G20153" s="2">
        <v>0</v>
      </c>
      <c r="H20153" s="1" t="s">
        <v>0</v>
      </c>
      <c r="I20153" s="2">
        <v>0</v>
      </c>
      <c r="J20153" s="1">
        <v>45940.399201388886</v>
      </c>
    </row>
    <row r="20154" spans="1:10" x14ac:dyDescent="0.2">
      <c r="A20154" s="4" t="s">
        <v>1</v>
      </c>
      <c r="B201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54" s="3" t="str">
        <f>HYPERLINK("https://otsuka-europe-crm.veevavault.com/ui/#object/sent_email__v/VBLZ025E82HH60N", "SE-000286431")</f>
        <v>SE-000286431</v>
      </c>
      <c r="D20154" s="1">
        <v>45940.542453703703</v>
      </c>
      <c r="E20154" s="2">
        <v>1</v>
      </c>
      <c r="F20154" s="2">
        <v>2</v>
      </c>
      <c r="G20154" s="2">
        <v>0</v>
      </c>
      <c r="H20154" s="1" t="s">
        <v>0</v>
      </c>
      <c r="I20154" s="2">
        <v>0</v>
      </c>
      <c r="J20154" s="1">
        <v>45940.399201388886</v>
      </c>
    </row>
    <row r="20155" spans="1:10" x14ac:dyDescent="0.2">
      <c r="A20155" s="4" t="s">
        <v>1</v>
      </c>
      <c r="B201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55" s="3" t="str">
        <f>HYPERLINK("https://otsuka-europe-crm.veevavault.com/ui/#object/sent_email__v/VBLZ025E82HHIF9", "SE-000286518")</f>
        <v>SE-000286518</v>
      </c>
      <c r="D20155" s="1" t="s">
        <v>0</v>
      </c>
      <c r="E20155" s="2">
        <v>0</v>
      </c>
      <c r="F20155" s="2">
        <v>0</v>
      </c>
      <c r="G20155" s="2">
        <v>0</v>
      </c>
      <c r="H20155" s="1" t="s">
        <v>0</v>
      </c>
      <c r="I20155" s="2">
        <v>0</v>
      </c>
      <c r="J20155" s="1">
        <v>45940.514074074075</v>
      </c>
    </row>
    <row r="20156" spans="1:10" x14ac:dyDescent="0.2">
      <c r="A20156" s="4" t="s">
        <v>1</v>
      </c>
      <c r="B201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56" s="3" t="str">
        <f>HYPERLINK("https://otsuka-europe-crm.veevavault.com/ui/#object/sent_email__v/VBLZ025E82HHSRH", "SE-000286550")</f>
        <v>SE-000286550</v>
      </c>
      <c r="D20156" s="1">
        <v>45941.952650462961</v>
      </c>
      <c r="E20156" s="2">
        <v>1</v>
      </c>
      <c r="F20156" s="2">
        <v>1</v>
      </c>
      <c r="G20156" s="2">
        <v>0</v>
      </c>
      <c r="H20156" s="1" t="s">
        <v>0</v>
      </c>
      <c r="I20156" s="2">
        <v>0</v>
      </c>
      <c r="J20156" s="1">
        <v>45940.645752314813</v>
      </c>
    </row>
    <row r="20157" spans="1:10" x14ac:dyDescent="0.2">
      <c r="A20157" s="4" t="s">
        <v>1</v>
      </c>
      <c r="B201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57" s="3" t="str">
        <f>HYPERLINK("https://otsuka-europe-crm.veevavault.com/ui/#object/sent_email__v/VBLZ025E82HK8VP", "SE-000287176")</f>
        <v>SE-000287176</v>
      </c>
      <c r="D20157" s="1" t="s">
        <v>0</v>
      </c>
      <c r="E20157" s="2">
        <v>0</v>
      </c>
      <c r="F20157" s="2">
        <v>0</v>
      </c>
      <c r="G20157" s="2">
        <v>0</v>
      </c>
      <c r="H20157" s="1" t="s">
        <v>0</v>
      </c>
      <c r="I20157" s="2">
        <v>0</v>
      </c>
      <c r="J20157" s="1">
        <v>45944.563854166663</v>
      </c>
    </row>
    <row r="20158" spans="1:10" x14ac:dyDescent="0.2">
      <c r="A20158" s="4" t="s">
        <v>1</v>
      </c>
      <c r="B201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58" s="3" t="str">
        <f>HYPERLINK("https://otsuka-europe-crm.veevavault.com/ui/#object/sent_email__v/VBLZ025E82HKQUX", "SE-000287563")</f>
        <v>SE-000287563</v>
      </c>
      <c r="D20158" s="1">
        <v>45945.983194444445</v>
      </c>
      <c r="E20158" s="2">
        <v>1</v>
      </c>
      <c r="F20158" s="2">
        <v>1</v>
      </c>
      <c r="G20158" s="2">
        <v>0</v>
      </c>
      <c r="H20158" s="1" t="s">
        <v>0</v>
      </c>
      <c r="I20158" s="2">
        <v>0</v>
      </c>
      <c r="J20158" s="1">
        <v>45945.364999999998</v>
      </c>
    </row>
    <row r="20159" spans="1:10" x14ac:dyDescent="0.2">
      <c r="A20159" s="4" t="s">
        <v>1</v>
      </c>
      <c r="B201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59" s="3" t="str">
        <f>HYPERLINK("https://otsuka-europe-crm.veevavault.com/ui/#object/sent_email__v/VBLZ025E82HKQUY", "SE-000287564")</f>
        <v>SE-000287564</v>
      </c>
      <c r="D20159" s="1" t="s">
        <v>0</v>
      </c>
      <c r="E20159" s="2">
        <v>0</v>
      </c>
      <c r="F20159" s="2">
        <v>0</v>
      </c>
      <c r="G20159" s="2">
        <v>0</v>
      </c>
      <c r="H20159" s="1" t="s">
        <v>0</v>
      </c>
      <c r="I20159" s="2">
        <v>0</v>
      </c>
      <c r="J20159" s="1">
        <v>45945.365034722221</v>
      </c>
    </row>
    <row r="20160" spans="1:10" x14ac:dyDescent="0.2">
      <c r="A20160" s="4" t="s">
        <v>1</v>
      </c>
      <c r="B201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60" s="3" t="str">
        <f>HYPERLINK("https://otsuka-europe-crm.veevavault.com/ui/#object/sent_email__v/VBLZ025E82HKQUZ", "SE-000287565")</f>
        <v>SE-000287565</v>
      </c>
      <c r="D20160" s="1" t="s">
        <v>0</v>
      </c>
      <c r="E20160" s="2">
        <v>0</v>
      </c>
      <c r="F20160" s="2">
        <v>0</v>
      </c>
      <c r="G20160" s="2">
        <v>0</v>
      </c>
      <c r="H20160" s="1" t="s">
        <v>0</v>
      </c>
      <c r="I20160" s="2">
        <v>0</v>
      </c>
      <c r="J20160" s="1">
        <v>45945.365034722221</v>
      </c>
    </row>
    <row r="20161" spans="1:10" x14ac:dyDescent="0.2">
      <c r="A20161" s="4" t="s">
        <v>1</v>
      </c>
      <c r="B201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61" s="3" t="str">
        <f>HYPERLINK("https://otsuka-europe-crm.veevavault.com/ui/#object/sent_email__v/VBLZ025E82HKR39", "SE-000287566")</f>
        <v>SE-000287566</v>
      </c>
      <c r="D20161" s="1">
        <v>45946.620532407411</v>
      </c>
      <c r="E20161" s="2">
        <v>1</v>
      </c>
      <c r="F20161" s="2">
        <v>2</v>
      </c>
      <c r="G20161" s="2">
        <v>0</v>
      </c>
      <c r="H20161" s="1" t="s">
        <v>0</v>
      </c>
      <c r="I20161" s="2">
        <v>0</v>
      </c>
      <c r="J20161" s="1">
        <v>45945.365972222222</v>
      </c>
    </row>
    <row r="20162" spans="1:10" x14ac:dyDescent="0.2">
      <c r="A20162" s="4" t="s">
        <v>1</v>
      </c>
      <c r="B201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62" s="3" t="str">
        <f>HYPERLINK("https://otsuka-europe-crm.veevavault.com/ui/#object/sent_email__v/VBLZ025E82HKR3A", "SE-000287567")</f>
        <v>SE-000287567</v>
      </c>
      <c r="D20162" s="1">
        <v>45945.617395833331</v>
      </c>
      <c r="E20162" s="2">
        <v>1</v>
      </c>
      <c r="F20162" s="2">
        <v>6</v>
      </c>
      <c r="G20162" s="2">
        <v>0</v>
      </c>
      <c r="H20162" s="1" t="s">
        <v>0</v>
      </c>
      <c r="I20162" s="2">
        <v>0</v>
      </c>
      <c r="J20162" s="1">
        <v>45945.365972222222</v>
      </c>
    </row>
    <row r="20163" spans="1:10" x14ac:dyDescent="0.2">
      <c r="A20163" s="4" t="s">
        <v>1</v>
      </c>
      <c r="B201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63" s="3" t="str">
        <f>HYPERLINK("https://otsuka-europe-crm.veevavault.com/ui/#object/sent_email__v/VBLZ025E82HKR3B", "SE-000287568")</f>
        <v>SE-000287568</v>
      </c>
      <c r="D20163" s="1">
        <v>45950.841064814813</v>
      </c>
      <c r="E20163" s="2">
        <v>1</v>
      </c>
      <c r="F20163" s="2">
        <v>1</v>
      </c>
      <c r="G20163" s="2">
        <v>0</v>
      </c>
      <c r="H20163" s="1" t="s">
        <v>0</v>
      </c>
      <c r="I20163" s="2">
        <v>0</v>
      </c>
      <c r="J20163" s="1">
        <v>45945.365972222222</v>
      </c>
    </row>
    <row r="20164" spans="1:10" x14ac:dyDescent="0.2">
      <c r="A20164" s="4" t="s">
        <v>1</v>
      </c>
      <c r="B201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64" s="3" t="str">
        <f>HYPERLINK("https://otsuka-europe-crm.veevavault.com/ui/#object/sent_email__v/VBLZ025E82HKR3C", "SE-000287569")</f>
        <v>SE-000287569</v>
      </c>
      <c r="D20164" s="1">
        <v>45945.694444444445</v>
      </c>
      <c r="E20164" s="2">
        <v>1</v>
      </c>
      <c r="F20164" s="2">
        <v>1</v>
      </c>
      <c r="G20164" s="2">
        <v>0</v>
      </c>
      <c r="H20164" s="1" t="s">
        <v>0</v>
      </c>
      <c r="I20164" s="2">
        <v>0</v>
      </c>
      <c r="J20164" s="1">
        <v>45945.365995370368</v>
      </c>
    </row>
    <row r="20165" spans="1:10" x14ac:dyDescent="0.2">
      <c r="A20165" s="4" t="s">
        <v>1</v>
      </c>
      <c r="B201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65" s="3" t="str">
        <f>HYPERLINK("https://otsuka-europe-crm.veevavault.com/ui/#object/sent_email__v/VBLZ025E82HKR3D", "SE-000287570")</f>
        <v>SE-000287570</v>
      </c>
      <c r="D20165" s="1">
        <v>45945.605891203704</v>
      </c>
      <c r="E20165" s="2">
        <v>1</v>
      </c>
      <c r="F20165" s="2">
        <v>1</v>
      </c>
      <c r="G20165" s="2">
        <v>0</v>
      </c>
      <c r="H20165" s="1" t="s">
        <v>0</v>
      </c>
      <c r="I20165" s="2">
        <v>0</v>
      </c>
      <c r="J20165" s="1">
        <v>45945.365983796299</v>
      </c>
    </row>
    <row r="20166" spans="1:10" x14ac:dyDescent="0.2">
      <c r="A20166" s="4" t="s">
        <v>1</v>
      </c>
      <c r="B201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66" s="3" t="str">
        <f>HYPERLINK("https://otsuka-europe-crm.veevavault.com/ui/#object/sent_email__v/VBLZ025E82HKR3E", "SE-000287571")</f>
        <v>SE-000287571</v>
      </c>
      <c r="D20166" s="1" t="s">
        <v>0</v>
      </c>
      <c r="E20166" s="2">
        <v>0</v>
      </c>
      <c r="F20166" s="2">
        <v>0</v>
      </c>
      <c r="G20166" s="2">
        <v>0</v>
      </c>
      <c r="H20166" s="1" t="s">
        <v>0</v>
      </c>
      <c r="I20166" s="2">
        <v>0</v>
      </c>
      <c r="J20166" s="1">
        <v>45945.366018518522</v>
      </c>
    </row>
    <row r="20167" spans="1:10" x14ac:dyDescent="0.2">
      <c r="A20167" s="4" t="s">
        <v>1</v>
      </c>
      <c r="B201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67" s="3" t="str">
        <f>HYPERLINK("https://otsuka-europe-crm.veevavault.com/ui/#object/sent_email__v/VBLZ025E82HKR3F", "SE-000287572")</f>
        <v>SE-000287572</v>
      </c>
      <c r="D20167" s="1">
        <v>45964.576932870368</v>
      </c>
      <c r="E20167" s="2">
        <v>1</v>
      </c>
      <c r="F20167" s="2">
        <v>2</v>
      </c>
      <c r="G20167" s="2">
        <v>0</v>
      </c>
      <c r="H20167" s="1" t="s">
        <v>0</v>
      </c>
      <c r="I20167" s="2">
        <v>0</v>
      </c>
      <c r="J20167" s="1">
        <v>45945.366030092591</v>
      </c>
    </row>
    <row r="20168" spans="1:10" x14ac:dyDescent="0.2">
      <c r="A20168" s="4" t="s">
        <v>1</v>
      </c>
      <c r="B201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68" s="3" t="str">
        <f>HYPERLINK("https://otsuka-europe-crm.veevavault.com/ui/#object/sent_email__v/VBLZ025E82HKR8T", "SE-000287573")</f>
        <v>SE-000287573</v>
      </c>
      <c r="D20168" s="1">
        <v>45945.40457175926</v>
      </c>
      <c r="E20168" s="2">
        <v>1</v>
      </c>
      <c r="F20168" s="2">
        <v>1</v>
      </c>
      <c r="G20168" s="2">
        <v>0</v>
      </c>
      <c r="H20168" s="1" t="s">
        <v>0</v>
      </c>
      <c r="I20168" s="2">
        <v>0</v>
      </c>
      <c r="J20168" s="1">
        <v>45945.366840277777</v>
      </c>
    </row>
    <row r="20169" spans="1:10" x14ac:dyDescent="0.2">
      <c r="A20169" s="4" t="s">
        <v>1</v>
      </c>
      <c r="B201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69" s="3" t="str">
        <f>HYPERLINK("https://otsuka-europe-crm.veevavault.com/ui/#object/sent_email__v/VBLZ025E82HKR8U", "SE-000287574")</f>
        <v>SE-000287574</v>
      </c>
      <c r="D20169" s="1" t="s">
        <v>0</v>
      </c>
      <c r="E20169" s="2">
        <v>0</v>
      </c>
      <c r="F20169" s="2">
        <v>0</v>
      </c>
      <c r="G20169" s="2">
        <v>0</v>
      </c>
      <c r="H20169" s="1" t="s">
        <v>0</v>
      </c>
      <c r="I20169" s="2">
        <v>0</v>
      </c>
      <c r="J20169" s="1">
        <v>45945.366851851853</v>
      </c>
    </row>
    <row r="20170" spans="1:10" x14ac:dyDescent="0.2">
      <c r="A20170" s="4" t="s">
        <v>1</v>
      </c>
      <c r="B201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70" s="3" t="str">
        <f>HYPERLINK("https://otsuka-europe-crm.veevavault.com/ui/#object/sent_email__v/VBLZ025E82HKR8V", "SE-000287575")</f>
        <v>SE-000287575</v>
      </c>
      <c r="D20170" s="1">
        <v>45945.367060185185</v>
      </c>
      <c r="E20170" s="2">
        <v>1</v>
      </c>
      <c r="F20170" s="2">
        <v>1</v>
      </c>
      <c r="G20170" s="2">
        <v>0</v>
      </c>
      <c r="H20170" s="1" t="s">
        <v>0</v>
      </c>
      <c r="I20170" s="2">
        <v>0</v>
      </c>
      <c r="J20170" s="1">
        <v>45945.366851851853</v>
      </c>
    </row>
    <row r="20171" spans="1:10" x14ac:dyDescent="0.2">
      <c r="A20171" s="4" t="s">
        <v>1</v>
      </c>
      <c r="B201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71" s="3" t="str">
        <f>HYPERLINK("https://otsuka-europe-crm.veevavault.com/ui/#object/sent_email__v/VBLZ025E82HKR8W", "SE-000287576")</f>
        <v>SE-000287576</v>
      </c>
      <c r="D20171" s="1">
        <v>45945.560520833336</v>
      </c>
      <c r="E20171" s="2">
        <v>1</v>
      </c>
      <c r="F20171" s="2">
        <v>1</v>
      </c>
      <c r="G20171" s="2">
        <v>1</v>
      </c>
      <c r="H20171" s="1">
        <v>45945.560520833336</v>
      </c>
      <c r="I20171" s="2">
        <v>1</v>
      </c>
      <c r="J20171" s="1">
        <v>45945.366863425923</v>
      </c>
    </row>
    <row r="20172" spans="1:10" x14ac:dyDescent="0.2">
      <c r="A20172" s="4" t="s">
        <v>1</v>
      </c>
      <c r="B201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72" s="3" t="str">
        <f>HYPERLINK("https://otsuka-europe-crm.veevavault.com/ui/#object/sent_email__v/VBLZ025E82HKRH5", "SE-000287577")</f>
        <v>SE-000287577</v>
      </c>
      <c r="D20172" s="1" t="s">
        <v>0</v>
      </c>
      <c r="E20172" s="2">
        <v>0</v>
      </c>
      <c r="F20172" s="2">
        <v>0</v>
      </c>
      <c r="G20172" s="2">
        <v>0</v>
      </c>
      <c r="H20172" s="1" t="s">
        <v>0</v>
      </c>
      <c r="I20172" s="2">
        <v>0</v>
      </c>
      <c r="J20172" s="1">
        <v>45945.367708333331</v>
      </c>
    </row>
    <row r="20173" spans="1:10" x14ac:dyDescent="0.2">
      <c r="A20173" s="4" t="s">
        <v>1</v>
      </c>
      <c r="B201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73" s="3" t="str">
        <f>HYPERLINK("https://otsuka-europe-crm.veevavault.com/ui/#object/sent_email__v/VBLZ025E82HKRH6", "SE-000287578")</f>
        <v>SE-000287578</v>
      </c>
      <c r="D20173" s="1" t="s">
        <v>0</v>
      </c>
      <c r="E20173" s="2">
        <v>0</v>
      </c>
      <c r="F20173" s="2">
        <v>0</v>
      </c>
      <c r="G20173" s="2">
        <v>0</v>
      </c>
      <c r="H20173" s="1" t="s">
        <v>0</v>
      </c>
      <c r="I20173" s="2">
        <v>0</v>
      </c>
      <c r="J20173" s="1">
        <v>45945.367708333331</v>
      </c>
    </row>
    <row r="20174" spans="1:10" x14ac:dyDescent="0.2">
      <c r="A20174" s="4" t="s">
        <v>1</v>
      </c>
      <c r="B201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74" s="3" t="str">
        <f>HYPERLINK("https://otsuka-europe-crm.veevavault.com/ui/#object/sent_email__v/VBLZ025E82HKRH7", "SE-000287579")</f>
        <v>SE-000287579</v>
      </c>
      <c r="D20174" s="1">
        <v>45949.795092592591</v>
      </c>
      <c r="E20174" s="2">
        <v>1</v>
      </c>
      <c r="F20174" s="2">
        <v>4</v>
      </c>
      <c r="G20174" s="2">
        <v>0</v>
      </c>
      <c r="H20174" s="1" t="s">
        <v>0</v>
      </c>
      <c r="I20174" s="2">
        <v>0</v>
      </c>
      <c r="J20174" s="1">
        <v>45945.367719907408</v>
      </c>
    </row>
    <row r="20175" spans="1:10" x14ac:dyDescent="0.2">
      <c r="A20175" s="4" t="s">
        <v>1</v>
      </c>
      <c r="B201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75" s="3" t="str">
        <f>HYPERLINK("https://otsuka-europe-crm.veevavault.com/ui/#object/sent_email__v/VBLZ025E82HKW11", "SE-000287760")</f>
        <v>SE-000287760</v>
      </c>
      <c r="D20175" s="1">
        <v>45945.600740740738</v>
      </c>
      <c r="E20175" s="2">
        <v>1</v>
      </c>
      <c r="F20175" s="2">
        <v>2</v>
      </c>
      <c r="G20175" s="2">
        <v>0</v>
      </c>
      <c r="H20175" s="1" t="s">
        <v>0</v>
      </c>
      <c r="I20175" s="2">
        <v>0</v>
      </c>
      <c r="J20175" s="1">
        <v>45945.404409722221</v>
      </c>
    </row>
    <row r="20176" spans="1:10" x14ac:dyDescent="0.2">
      <c r="A20176" s="4" t="s">
        <v>1</v>
      </c>
      <c r="B201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76" s="3" t="str">
        <f>HYPERLINK("https://otsuka-europe-crm.veevavault.com/ui/#object/sent_email__v/VBLZ025E82HKW12", "SE-000287761")</f>
        <v>SE-000287761</v>
      </c>
      <c r="D20176" s="1" t="s">
        <v>0</v>
      </c>
      <c r="E20176" s="2">
        <v>0</v>
      </c>
      <c r="F20176" s="2">
        <v>0</v>
      </c>
      <c r="G20176" s="2">
        <v>0</v>
      </c>
      <c r="H20176" s="1" t="s">
        <v>0</v>
      </c>
      <c r="I20176" s="2">
        <v>0</v>
      </c>
      <c r="J20176" s="1">
        <v>45945.404421296298</v>
      </c>
    </row>
    <row r="20177" spans="1:10" x14ac:dyDescent="0.2">
      <c r="A20177" s="4" t="s">
        <v>1</v>
      </c>
      <c r="B201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77" s="3" t="str">
        <f>HYPERLINK("https://otsuka-europe-crm.veevavault.com/ui/#object/sent_email__v/VBLZ025E82HKW13", "SE-000287762")</f>
        <v>SE-000287762</v>
      </c>
      <c r="D20177" s="1">
        <v>45957.728912037041</v>
      </c>
      <c r="E20177" s="2">
        <v>1</v>
      </c>
      <c r="F20177" s="2">
        <v>2</v>
      </c>
      <c r="G20177" s="2">
        <v>0</v>
      </c>
      <c r="H20177" s="1" t="s">
        <v>0</v>
      </c>
      <c r="I20177" s="2">
        <v>0</v>
      </c>
      <c r="J20177" s="1">
        <v>45945.404421296298</v>
      </c>
    </row>
    <row r="20178" spans="1:10" x14ac:dyDescent="0.2">
      <c r="A20178" s="4" t="s">
        <v>1</v>
      </c>
      <c r="B201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78" s="3" t="str">
        <f>HYPERLINK("https://otsuka-europe-crm.veevavault.com/ui/#object/sent_email__v/VBLZ025E82HKW14", "SE-000287763")</f>
        <v>SE-000287763</v>
      </c>
      <c r="D20178" s="1" t="s">
        <v>0</v>
      </c>
      <c r="E20178" s="2">
        <v>0</v>
      </c>
      <c r="F20178" s="2">
        <v>0</v>
      </c>
      <c r="G20178" s="2">
        <v>0</v>
      </c>
      <c r="H20178" s="1" t="s">
        <v>0</v>
      </c>
      <c r="I20178" s="2">
        <v>0</v>
      </c>
      <c r="J20178" s="1">
        <v>45945.404421296298</v>
      </c>
    </row>
    <row r="20179" spans="1:10" x14ac:dyDescent="0.2">
      <c r="A20179" s="4" t="s">
        <v>1</v>
      </c>
      <c r="B201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79" s="3" t="str">
        <f>HYPERLINK("https://otsuka-europe-crm.veevavault.com/ui/#object/sent_email__v/VBLZ025E82HKW15", "SE-000287764")</f>
        <v>SE-000287764</v>
      </c>
      <c r="D20179" s="1">
        <v>45945.956099537034</v>
      </c>
      <c r="E20179" s="2">
        <v>1</v>
      </c>
      <c r="F20179" s="2">
        <v>1</v>
      </c>
      <c r="G20179" s="2">
        <v>0</v>
      </c>
      <c r="H20179" s="1" t="s">
        <v>0</v>
      </c>
      <c r="I20179" s="2">
        <v>0</v>
      </c>
      <c r="J20179" s="1">
        <v>45945.404444444444</v>
      </c>
    </row>
    <row r="20180" spans="1:10" x14ac:dyDescent="0.2">
      <c r="A20180" s="4" t="s">
        <v>1</v>
      </c>
      <c r="B201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80" s="3" t="str">
        <f>HYPERLINK("https://otsuka-europe-crm.veevavault.com/ui/#object/sent_email__v/VBLZ025E82HKW16", "SE-000287765")</f>
        <v>SE-000287765</v>
      </c>
      <c r="D20180" s="1">
        <v>45945.434432870374</v>
      </c>
      <c r="E20180" s="2">
        <v>1</v>
      </c>
      <c r="F20180" s="2">
        <v>2</v>
      </c>
      <c r="G20180" s="2">
        <v>0</v>
      </c>
      <c r="H20180" s="1" t="s">
        <v>0</v>
      </c>
      <c r="I20180" s="2">
        <v>0</v>
      </c>
      <c r="J20180" s="1">
        <v>45945.404432870368</v>
      </c>
    </row>
    <row r="20181" spans="1:10" x14ac:dyDescent="0.2">
      <c r="A20181" s="4" t="s">
        <v>1</v>
      </c>
      <c r="B201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81" s="3" t="str">
        <f>HYPERLINK("https://otsuka-europe-crm.veevavault.com/ui/#object/sent_email__v/VBLZ025E82HKW17", "SE-000287766")</f>
        <v>SE-000287766</v>
      </c>
      <c r="D20181" s="1">
        <v>45945.59034722222</v>
      </c>
      <c r="E20181" s="2">
        <v>1</v>
      </c>
      <c r="F20181" s="2">
        <v>2</v>
      </c>
      <c r="G20181" s="2">
        <v>0</v>
      </c>
      <c r="H20181" s="1" t="s">
        <v>0</v>
      </c>
      <c r="I20181" s="2">
        <v>0</v>
      </c>
      <c r="J20181" s="1">
        <v>45945.404444444444</v>
      </c>
    </row>
    <row r="20182" spans="1:10" x14ac:dyDescent="0.2">
      <c r="A20182" s="4" t="s">
        <v>1</v>
      </c>
      <c r="B201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82" s="3" t="str">
        <f>HYPERLINK("https://otsuka-europe-crm.veevavault.com/ui/#object/sent_email__v/VBLZ025E82HKW18", "SE-000287767")</f>
        <v>SE-000287767</v>
      </c>
      <c r="D20182" s="1" t="s">
        <v>0</v>
      </c>
      <c r="E20182" s="2">
        <v>0</v>
      </c>
      <c r="F20182" s="2">
        <v>0</v>
      </c>
      <c r="G20182" s="2">
        <v>0</v>
      </c>
      <c r="H20182" s="1" t="s">
        <v>0</v>
      </c>
      <c r="I20182" s="2">
        <v>0</v>
      </c>
      <c r="J20182" s="1">
        <v>45945.404456018521</v>
      </c>
    </row>
    <row r="20183" spans="1:10" x14ac:dyDescent="0.2">
      <c r="A20183" s="4" t="s">
        <v>1</v>
      </c>
      <c r="B201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83" s="3" t="str">
        <f>HYPERLINK("https://otsuka-europe-crm.veevavault.com/ui/#object/sent_email__v/VBLZ025E82HKW19", "SE-000287768")</f>
        <v>SE-000287768</v>
      </c>
      <c r="D20183" s="1">
        <v>45945.410740740743</v>
      </c>
      <c r="E20183" s="2">
        <v>1</v>
      </c>
      <c r="F20183" s="2">
        <v>1</v>
      </c>
      <c r="G20183" s="2">
        <v>0</v>
      </c>
      <c r="H20183" s="1" t="s">
        <v>0</v>
      </c>
      <c r="I20183" s="2">
        <v>0</v>
      </c>
      <c r="J20183" s="1">
        <v>45945.404467592591</v>
      </c>
    </row>
    <row r="20184" spans="1:10" x14ac:dyDescent="0.2">
      <c r="A20184" s="4" t="s">
        <v>1</v>
      </c>
      <c r="B201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84" s="3" t="str">
        <f>HYPERLINK("https://otsuka-europe-crm.veevavault.com/ui/#object/sent_email__v/VBLZ025E82HKW1A", "SE-000287769")</f>
        <v>SE-000287769</v>
      </c>
      <c r="D20184" s="1" t="s">
        <v>0</v>
      </c>
      <c r="E20184" s="2">
        <v>0</v>
      </c>
      <c r="F20184" s="2">
        <v>0</v>
      </c>
      <c r="G20184" s="2">
        <v>0</v>
      </c>
      <c r="H20184" s="1" t="s">
        <v>0</v>
      </c>
      <c r="I20184" s="2">
        <v>0</v>
      </c>
      <c r="J20184" s="1">
        <v>45945.404479166667</v>
      </c>
    </row>
    <row r="20185" spans="1:10" x14ac:dyDescent="0.2">
      <c r="A20185" s="4" t="s">
        <v>1</v>
      </c>
      <c r="B201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85" s="3" t="str">
        <f>HYPERLINK("https://otsuka-europe-crm.veevavault.com/ui/#object/sent_email__v/VBLZ025E82HKW1B", "SE-000287770")</f>
        <v>SE-000287770</v>
      </c>
      <c r="D20185" s="1" t="s">
        <v>0</v>
      </c>
      <c r="E20185" s="2">
        <v>0</v>
      </c>
      <c r="F20185" s="2">
        <v>0</v>
      </c>
      <c r="G20185" s="2">
        <v>0</v>
      </c>
      <c r="H20185" s="1" t="s">
        <v>0</v>
      </c>
      <c r="I20185" s="2">
        <v>0</v>
      </c>
      <c r="J20185" s="1">
        <v>45945.404490740744</v>
      </c>
    </row>
    <row r="20186" spans="1:10" x14ac:dyDescent="0.2">
      <c r="A20186" s="4" t="s">
        <v>1</v>
      </c>
      <c r="B201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86" s="3" t="str">
        <f>HYPERLINK("https://otsuka-europe-crm.veevavault.com/ui/#object/sent_email__v/VBLZ025E82HKW1C", "SE-000287771")</f>
        <v>SE-000287771</v>
      </c>
      <c r="D20186" s="1">
        <v>45948.76122685185</v>
      </c>
      <c r="E20186" s="2">
        <v>1</v>
      </c>
      <c r="F20186" s="2">
        <v>2</v>
      </c>
      <c r="G20186" s="2">
        <v>0</v>
      </c>
      <c r="H20186" s="1" t="s">
        <v>0</v>
      </c>
      <c r="I20186" s="2">
        <v>0</v>
      </c>
      <c r="J20186" s="1">
        <v>45945.404490740744</v>
      </c>
    </row>
    <row r="20187" spans="1:10" x14ac:dyDescent="0.2">
      <c r="A20187" s="4" t="s">
        <v>1</v>
      </c>
      <c r="B201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87" s="3" t="str">
        <f>HYPERLINK("https://otsuka-europe-crm.veevavault.com/ui/#object/sent_email__v/VBLZ025E82HKW1D", "SE-000287772")</f>
        <v>SE-000287772</v>
      </c>
      <c r="D20187" s="1">
        <v>45945.673078703701</v>
      </c>
      <c r="E20187" s="2">
        <v>1</v>
      </c>
      <c r="F20187" s="2">
        <v>2</v>
      </c>
      <c r="G20187" s="2">
        <v>0</v>
      </c>
      <c r="H20187" s="1" t="s">
        <v>0</v>
      </c>
      <c r="I20187" s="2">
        <v>0</v>
      </c>
      <c r="J20187" s="1">
        <v>45945.404502314814</v>
      </c>
    </row>
    <row r="20188" spans="1:10" x14ac:dyDescent="0.2">
      <c r="A20188" s="4" t="s">
        <v>1</v>
      </c>
      <c r="B201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88" s="3" t="str">
        <f>HYPERLINK("https://otsuka-europe-crm.veevavault.com/ui/#object/sent_email__v/VBLZ025E82HKW1E", "SE-000287773")</f>
        <v>SE-000287773</v>
      </c>
      <c r="D20188" s="1">
        <v>45945.493067129632</v>
      </c>
      <c r="E20188" s="2">
        <v>1</v>
      </c>
      <c r="F20188" s="2">
        <v>1</v>
      </c>
      <c r="G20188" s="2">
        <v>0</v>
      </c>
      <c r="H20188" s="1" t="s">
        <v>0</v>
      </c>
      <c r="I20188" s="2">
        <v>0</v>
      </c>
      <c r="J20188" s="1">
        <v>45945.404513888891</v>
      </c>
    </row>
    <row r="20189" spans="1:10" x14ac:dyDescent="0.2">
      <c r="A20189" s="4" t="s">
        <v>1</v>
      </c>
      <c r="B201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89" s="3" t="str">
        <f>HYPERLINK("https://otsuka-europe-crm.veevavault.com/ui/#object/sent_email__v/VBLZ025E82HKW1F", "SE-000287774")</f>
        <v>SE-000287774</v>
      </c>
      <c r="D20189" s="1">
        <v>45970.030104166668</v>
      </c>
      <c r="E20189" s="2">
        <v>1</v>
      </c>
      <c r="F20189" s="2">
        <v>3</v>
      </c>
      <c r="G20189" s="2">
        <v>0</v>
      </c>
      <c r="H20189" s="1" t="s">
        <v>0</v>
      </c>
      <c r="I20189" s="2">
        <v>0</v>
      </c>
      <c r="J20189" s="1">
        <v>45945.40452546296</v>
      </c>
    </row>
    <row r="20190" spans="1:10" x14ac:dyDescent="0.2">
      <c r="A20190" s="4" t="s">
        <v>1</v>
      </c>
      <c r="B201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90" s="3" t="str">
        <f>HYPERLINK("https://otsuka-europe-crm.veevavault.com/ui/#object/sent_email__v/VBLZ025E82HM6MT", "SE-000287899")</f>
        <v>SE-000287899</v>
      </c>
      <c r="D20190" s="1">
        <v>45946.750196759262</v>
      </c>
      <c r="E20190" s="2">
        <v>1</v>
      </c>
      <c r="F20190" s="2">
        <v>2</v>
      </c>
      <c r="G20190" s="2">
        <v>0</v>
      </c>
      <c r="H20190" s="1" t="s">
        <v>0</v>
      </c>
      <c r="I20190" s="2">
        <v>0</v>
      </c>
      <c r="J20190" s="1">
        <v>45946.430914351855</v>
      </c>
    </row>
    <row r="20191" spans="1:10" x14ac:dyDescent="0.2">
      <c r="A20191" s="4" t="s">
        <v>1</v>
      </c>
      <c r="B201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91" s="3" t="str">
        <f>HYPERLINK("https://otsuka-europe-crm.veevavault.com/ui/#object/sent_email__v/VBLZ025E82HMXHH", "SE-000287956")</f>
        <v>SE-000287956</v>
      </c>
      <c r="D20191" s="1">
        <v>45950.727581018517</v>
      </c>
      <c r="E20191" s="2">
        <v>1</v>
      </c>
      <c r="F20191" s="2">
        <v>2</v>
      </c>
      <c r="G20191" s="2">
        <v>1</v>
      </c>
      <c r="H20191" s="1">
        <v>45950.727638888886</v>
      </c>
      <c r="I20191" s="2">
        <v>1</v>
      </c>
      <c r="J20191" s="1">
        <v>45946.69798611111</v>
      </c>
    </row>
    <row r="20192" spans="1:10" x14ac:dyDescent="0.2">
      <c r="A20192" s="4" t="s">
        <v>1</v>
      </c>
      <c r="B201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92" s="3" t="str">
        <f>HYPERLINK("https://otsuka-europe-crm.veevavault.com/ui/#object/sent_email__v/VBLZ025E82HN2CH", "SE-000287977")</f>
        <v>SE-000287977</v>
      </c>
      <c r="D20192" s="1">
        <v>45949.373807870368</v>
      </c>
      <c r="E20192" s="2">
        <v>1</v>
      </c>
      <c r="F20192" s="2">
        <v>2</v>
      </c>
      <c r="G20192" s="2">
        <v>0</v>
      </c>
      <c r="H20192" s="1" t="s">
        <v>0</v>
      </c>
      <c r="I20192" s="2">
        <v>0</v>
      </c>
      <c r="J20192" s="1">
        <v>45947.419386574074</v>
      </c>
    </row>
    <row r="20193" spans="1:10" x14ac:dyDescent="0.2">
      <c r="A20193" s="4" t="s">
        <v>1</v>
      </c>
      <c r="B201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93" s="3" t="str">
        <f>HYPERLINK("https://otsuka-europe-crm.veevavault.com/ui/#object/sent_email__v/VBLZ025E82HNIUX", "SE-000288002")</f>
        <v>SE-000288002</v>
      </c>
      <c r="D20193" s="1">
        <v>45959.398379629631</v>
      </c>
      <c r="E20193" s="2">
        <v>1</v>
      </c>
      <c r="F20193" s="2">
        <v>1</v>
      </c>
      <c r="G20193" s="2">
        <v>1</v>
      </c>
      <c r="H20193" s="1">
        <v>45959.398379629631</v>
      </c>
      <c r="I20193" s="2">
        <v>1</v>
      </c>
      <c r="J20193" s="1">
        <v>45947.491712962961</v>
      </c>
    </row>
    <row r="20194" spans="1:10" x14ac:dyDescent="0.2">
      <c r="A20194" s="4" t="s">
        <v>1</v>
      </c>
      <c r="B201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94" s="3" t="str">
        <f>HYPERLINK("https://otsuka-europe-crm.veevavault.com/ui/#object/sent_email__v/VBLZ025E82HNN0X", "SE-000288011")</f>
        <v>SE-000288011</v>
      </c>
      <c r="D20194" s="1">
        <v>45947.591539351852</v>
      </c>
      <c r="E20194" s="2">
        <v>1</v>
      </c>
      <c r="F20194" s="2">
        <v>4</v>
      </c>
      <c r="G20194" s="2">
        <v>0</v>
      </c>
      <c r="H20194" s="1" t="s">
        <v>0</v>
      </c>
      <c r="I20194" s="2">
        <v>0</v>
      </c>
      <c r="J20194" s="1">
        <v>45947.535682870373</v>
      </c>
    </row>
    <row r="20195" spans="1:10" x14ac:dyDescent="0.2">
      <c r="A20195" s="4" t="s">
        <v>1</v>
      </c>
      <c r="B201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95" s="3" t="str">
        <f>HYPERLINK("https://otsuka-europe-crm.veevavault.com/ui/#object/sent_email__v/VBLZ025E82HNN6H", "SE-000288012")</f>
        <v>SE-000288012</v>
      </c>
      <c r="D20195" s="1">
        <v>45950.464780092596</v>
      </c>
      <c r="E20195" s="2">
        <v>1</v>
      </c>
      <c r="F20195" s="2">
        <v>10</v>
      </c>
      <c r="G20195" s="2">
        <v>1</v>
      </c>
      <c r="H20195" s="1">
        <v>45947.537754629629</v>
      </c>
      <c r="I20195" s="2">
        <v>14</v>
      </c>
      <c r="J20195" s="1">
        <v>45947.537418981483</v>
      </c>
    </row>
    <row r="20196" spans="1:10" x14ac:dyDescent="0.2">
      <c r="A20196" s="4" t="s">
        <v>1</v>
      </c>
      <c r="B201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96" s="3" t="str">
        <f>HYPERLINK("https://otsuka-europe-crm.veevavault.com/ui/#object/sent_email__v/VBLZ025E82HOFF5", "SE-000288111")</f>
        <v>SE-000288111</v>
      </c>
      <c r="D20196" s="1" t="s">
        <v>0</v>
      </c>
      <c r="E20196" s="2">
        <v>0</v>
      </c>
      <c r="F20196" s="2">
        <v>0</v>
      </c>
      <c r="G20196" s="2">
        <v>0</v>
      </c>
      <c r="H20196" s="1" t="s">
        <v>0</v>
      </c>
      <c r="I20196" s="2">
        <v>0</v>
      </c>
      <c r="J20196" s="1">
        <v>45950.349282407406</v>
      </c>
    </row>
    <row r="20197" spans="1:10" x14ac:dyDescent="0.2">
      <c r="A20197" s="4" t="s">
        <v>1</v>
      </c>
      <c r="B201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97" s="3" t="str">
        <f>HYPERLINK("https://otsuka-europe-crm.veevavault.com/ui/#object/sent_email__v/VBLZ025E82HOFF6", "SE-000288112")</f>
        <v>SE-000288112</v>
      </c>
      <c r="D20197" s="1" t="s">
        <v>0</v>
      </c>
      <c r="E20197" s="2">
        <v>0</v>
      </c>
      <c r="F20197" s="2">
        <v>0</v>
      </c>
      <c r="G20197" s="2">
        <v>0</v>
      </c>
      <c r="H20197" s="1" t="s">
        <v>0</v>
      </c>
      <c r="I20197" s="2">
        <v>0</v>
      </c>
      <c r="J20197" s="1">
        <v>45950.349293981482</v>
      </c>
    </row>
    <row r="20198" spans="1:10" x14ac:dyDescent="0.2">
      <c r="A20198" s="4" t="s">
        <v>1</v>
      </c>
      <c r="B201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98" s="3" t="str">
        <f>HYPERLINK("https://otsuka-europe-crm.veevavault.com/ui/#object/sent_email__v/VBLZ025E82HOKQT", "SE-000288148")</f>
        <v>SE-000288148</v>
      </c>
      <c r="D20198" s="1">
        <v>45950.388506944444</v>
      </c>
      <c r="E20198" s="2">
        <v>1</v>
      </c>
      <c r="F20198" s="2">
        <v>1</v>
      </c>
      <c r="G20198" s="2">
        <v>0</v>
      </c>
      <c r="H20198" s="1" t="s">
        <v>0</v>
      </c>
      <c r="I20198" s="2">
        <v>0</v>
      </c>
      <c r="J20198" s="1">
        <v>45950.388402777775</v>
      </c>
    </row>
    <row r="20199" spans="1:10" x14ac:dyDescent="0.2">
      <c r="A20199" s="4" t="s">
        <v>1</v>
      </c>
      <c r="B201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199" s="3" t="str">
        <f>HYPERLINK("https://otsuka-europe-crm.veevavault.com/ui/#object/sent_email__v/VBLZ025E82HOKQU", "SE-000288149")</f>
        <v>SE-000288149</v>
      </c>
      <c r="D20199" s="1">
        <v>45951.079560185186</v>
      </c>
      <c r="E20199" s="2">
        <v>1</v>
      </c>
      <c r="F20199" s="2">
        <v>1</v>
      </c>
      <c r="G20199" s="2">
        <v>0</v>
      </c>
      <c r="H20199" s="1" t="s">
        <v>0</v>
      </c>
      <c r="I20199" s="2">
        <v>0</v>
      </c>
      <c r="J20199" s="1">
        <v>45950.388414351852</v>
      </c>
    </row>
    <row r="20200" spans="1:10" x14ac:dyDescent="0.2">
      <c r="A20200" s="4" t="s">
        <v>1</v>
      </c>
      <c r="B202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00" s="3" t="str">
        <f>HYPERLINK("https://otsuka-europe-crm.veevavault.com/ui/#object/sent_email__v/VBLZ025E82HOKQV", "SE-000288150")</f>
        <v>SE-000288150</v>
      </c>
      <c r="D20200" s="1" t="s">
        <v>0</v>
      </c>
      <c r="E20200" s="2">
        <v>0</v>
      </c>
      <c r="F20200" s="2">
        <v>0</v>
      </c>
      <c r="G20200" s="2">
        <v>0</v>
      </c>
      <c r="H20200" s="1" t="s">
        <v>0</v>
      </c>
      <c r="I20200" s="2">
        <v>0</v>
      </c>
      <c r="J20200" s="1">
        <v>45950.388414351852</v>
      </c>
    </row>
    <row r="20201" spans="1:10" x14ac:dyDescent="0.2">
      <c r="A20201" s="4" t="s">
        <v>1</v>
      </c>
      <c r="B202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01" s="3" t="str">
        <f>HYPERLINK("https://otsuka-europe-crm.veevavault.com/ui/#object/sent_email__v/VBLZ025E82HOKQW", "SE-000288151")</f>
        <v>SE-000288151</v>
      </c>
      <c r="D20201" s="1" t="s">
        <v>0</v>
      </c>
      <c r="E20201" s="2">
        <v>0</v>
      </c>
      <c r="F20201" s="2">
        <v>0</v>
      </c>
      <c r="G20201" s="2">
        <v>0</v>
      </c>
      <c r="H20201" s="1" t="s">
        <v>0</v>
      </c>
      <c r="I20201" s="2">
        <v>0</v>
      </c>
      <c r="J20201" s="1">
        <v>45950.388425925928</v>
      </c>
    </row>
    <row r="20202" spans="1:10" x14ac:dyDescent="0.2">
      <c r="A20202" s="4" t="s">
        <v>1</v>
      </c>
      <c r="B202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02" s="3" t="str">
        <f>HYPERLINK("https://otsuka-europe-crm.veevavault.com/ui/#object/sent_email__v/VBLZ025E82HOKQX", "SE-000288152")</f>
        <v>SE-000288152</v>
      </c>
      <c r="D20202" s="1">
        <v>45950.653784722221</v>
      </c>
      <c r="E20202" s="2">
        <v>1</v>
      </c>
      <c r="F20202" s="2">
        <v>1</v>
      </c>
      <c r="G20202" s="2">
        <v>0</v>
      </c>
      <c r="H20202" s="1" t="s">
        <v>0</v>
      </c>
      <c r="I20202" s="2">
        <v>0</v>
      </c>
      <c r="J20202" s="1">
        <v>45950.388449074075</v>
      </c>
    </row>
    <row r="20203" spans="1:10" x14ac:dyDescent="0.2">
      <c r="A20203" s="4" t="s">
        <v>1</v>
      </c>
      <c r="B202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03" s="3" t="str">
        <f>HYPERLINK("https://otsuka-europe-crm.veevavault.com/ui/#object/sent_email__v/VBLZ025E82HOKQY", "SE-000288153")</f>
        <v>SE-000288153</v>
      </c>
      <c r="D20203" s="1" t="s">
        <v>0</v>
      </c>
      <c r="E20203" s="2">
        <v>0</v>
      </c>
      <c r="F20203" s="2">
        <v>0</v>
      </c>
      <c r="G20203" s="2">
        <v>0</v>
      </c>
      <c r="H20203" s="1" t="s">
        <v>0</v>
      </c>
      <c r="I20203" s="2">
        <v>0</v>
      </c>
      <c r="J20203" s="1">
        <v>45950.388460648152</v>
      </c>
    </row>
    <row r="20204" spans="1:10" x14ac:dyDescent="0.2">
      <c r="A20204" s="4" t="s">
        <v>1</v>
      </c>
      <c r="B202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04" s="3" t="str">
        <f>HYPERLINK("https://otsuka-europe-crm.veevavault.com/ui/#object/sent_email__v/VBLZ025E82HOKQZ", "SE-000288154")</f>
        <v>SE-000288154</v>
      </c>
      <c r="D20204" s="1">
        <v>45950.596782407411</v>
      </c>
      <c r="E20204" s="2">
        <v>1</v>
      </c>
      <c r="F20204" s="2">
        <v>2</v>
      </c>
      <c r="G20204" s="2">
        <v>0</v>
      </c>
      <c r="H20204" s="1" t="s">
        <v>0</v>
      </c>
      <c r="I20204" s="2">
        <v>0</v>
      </c>
      <c r="J20204" s="1">
        <v>45950.388460648152</v>
      </c>
    </row>
    <row r="20205" spans="1:10" x14ac:dyDescent="0.2">
      <c r="A20205" s="4" t="s">
        <v>1</v>
      </c>
      <c r="B202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05" s="3" t="str">
        <f>HYPERLINK("https://otsuka-europe-crm.veevavault.com/ui/#object/sent_email__v/VBLZ025E82HOKR0", "SE-000288155")</f>
        <v>SE-000288155</v>
      </c>
      <c r="D20205" s="1" t="s">
        <v>0</v>
      </c>
      <c r="E20205" s="2">
        <v>0</v>
      </c>
      <c r="F20205" s="2">
        <v>0</v>
      </c>
      <c r="G20205" s="2">
        <v>0</v>
      </c>
      <c r="H20205" s="1" t="s">
        <v>0</v>
      </c>
      <c r="I20205" s="2">
        <v>0</v>
      </c>
      <c r="J20205" s="1">
        <v>45950.38853009259</v>
      </c>
    </row>
    <row r="20206" spans="1:10" x14ac:dyDescent="0.2">
      <c r="A20206" s="4" t="s">
        <v>1</v>
      </c>
      <c r="B202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06" s="3" t="str">
        <f>HYPERLINK("https://otsuka-europe-crm.veevavault.com/ui/#object/sent_email__v/VBLZ025E82HOKR1", "SE-000288156")</f>
        <v>SE-000288156</v>
      </c>
      <c r="D20206" s="1">
        <v>45950.523576388892</v>
      </c>
      <c r="E20206" s="2">
        <v>1</v>
      </c>
      <c r="F20206" s="2">
        <v>2</v>
      </c>
      <c r="G20206" s="2">
        <v>0</v>
      </c>
      <c r="H20206" s="1" t="s">
        <v>0</v>
      </c>
      <c r="I20206" s="2">
        <v>0</v>
      </c>
      <c r="J20206" s="1">
        <v>45950.388472222221</v>
      </c>
    </row>
    <row r="20207" spans="1:10" x14ac:dyDescent="0.2">
      <c r="A20207" s="4" t="s">
        <v>1</v>
      </c>
      <c r="B202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07" s="3" t="str">
        <f>HYPERLINK("https://otsuka-europe-crm.veevavault.com/ui/#object/sent_email__v/VBLZ025E82HOKR2", "SE-000288157")</f>
        <v>SE-000288157</v>
      </c>
      <c r="D20207" s="1">
        <v>45950.388865740744</v>
      </c>
      <c r="E20207" s="2">
        <v>1</v>
      </c>
      <c r="F20207" s="2">
        <v>1</v>
      </c>
      <c r="G20207" s="2">
        <v>1</v>
      </c>
      <c r="H20207" s="1">
        <v>45950.38890046296</v>
      </c>
      <c r="I20207" s="2">
        <v>1</v>
      </c>
      <c r="J20207" s="1">
        <v>45950.38853009259</v>
      </c>
    </row>
    <row r="20208" spans="1:10" x14ac:dyDescent="0.2">
      <c r="A20208" s="4" t="s">
        <v>1</v>
      </c>
      <c r="B202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08" s="3" t="str">
        <f>HYPERLINK("https://otsuka-europe-crm.veevavault.com/ui/#object/sent_email__v/VBLZ025E82HOKR3", "SE-000288158")</f>
        <v>SE-000288158</v>
      </c>
      <c r="D20208" s="1">
        <v>45950.390902777777</v>
      </c>
      <c r="E20208" s="2">
        <v>1</v>
      </c>
      <c r="F20208" s="2">
        <v>1</v>
      </c>
      <c r="G20208" s="2">
        <v>0</v>
      </c>
      <c r="H20208" s="1" t="s">
        <v>0</v>
      </c>
      <c r="I20208" s="2">
        <v>0</v>
      </c>
      <c r="J20208" s="1">
        <v>45950.388495370367</v>
      </c>
    </row>
    <row r="20209" spans="1:10" x14ac:dyDescent="0.2">
      <c r="A20209" s="4" t="s">
        <v>1</v>
      </c>
      <c r="B202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09" s="3" t="str">
        <f>HYPERLINK("https://otsuka-europe-crm.veevavault.com/ui/#object/sent_email__v/VBLZ025E82HOKR4", "SE-000288159")</f>
        <v>SE-000288159</v>
      </c>
      <c r="D20209" s="1" t="s">
        <v>0</v>
      </c>
      <c r="E20209" s="2">
        <v>0</v>
      </c>
      <c r="F20209" s="2">
        <v>0</v>
      </c>
      <c r="G20209" s="2">
        <v>0</v>
      </c>
      <c r="H20209" s="1" t="s">
        <v>0</v>
      </c>
      <c r="I20209" s="2">
        <v>0</v>
      </c>
      <c r="J20209" s="1">
        <v>45950.388506944444</v>
      </c>
    </row>
    <row r="20210" spans="1:10" x14ac:dyDescent="0.2">
      <c r="A20210" s="4" t="s">
        <v>1</v>
      </c>
      <c r="B202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10" s="3" t="str">
        <f>HYPERLINK("https://otsuka-europe-crm.veevavault.com/ui/#object/sent_email__v/VBLZ025E82HOKR5", "SE-000288160")</f>
        <v>SE-000288160</v>
      </c>
      <c r="D20210" s="1">
        <v>45970.585868055554</v>
      </c>
      <c r="E20210" s="2">
        <v>1</v>
      </c>
      <c r="F20210" s="2">
        <v>6</v>
      </c>
      <c r="G20210" s="2">
        <v>0</v>
      </c>
      <c r="H20210" s="1" t="s">
        <v>0</v>
      </c>
      <c r="I20210" s="2">
        <v>0</v>
      </c>
      <c r="J20210" s="1">
        <v>45950.388518518521</v>
      </c>
    </row>
    <row r="20211" spans="1:10" x14ac:dyDescent="0.2">
      <c r="A20211" s="4" t="s">
        <v>1</v>
      </c>
      <c r="B202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11" s="3" t="str">
        <f>HYPERLINK("https://otsuka-europe-crm.veevavault.com/ui/#object/sent_email__v/VBLZ025E82HOKR6", "SE-000288161")</f>
        <v>SE-000288161</v>
      </c>
      <c r="D20211" s="1">
        <v>45950.67864583333</v>
      </c>
      <c r="E20211" s="2">
        <v>1</v>
      </c>
      <c r="F20211" s="2">
        <v>3</v>
      </c>
      <c r="G20211" s="2">
        <v>0</v>
      </c>
      <c r="H20211" s="1" t="s">
        <v>0</v>
      </c>
      <c r="I20211" s="2">
        <v>0</v>
      </c>
      <c r="J20211" s="1">
        <v>45950.38853009259</v>
      </c>
    </row>
    <row r="20212" spans="1:10" x14ac:dyDescent="0.2">
      <c r="A20212" s="4" t="s">
        <v>1</v>
      </c>
      <c r="B202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12" s="3" t="str">
        <f>HYPERLINK("https://otsuka-europe-crm.veevavault.com/ui/#object/sent_email__v/VBLZ025E82HOKR7", "SE-000288162")</f>
        <v>SE-000288162</v>
      </c>
      <c r="D20212" s="1" t="s">
        <v>0</v>
      </c>
      <c r="E20212" s="2">
        <v>0</v>
      </c>
      <c r="F20212" s="2">
        <v>0</v>
      </c>
      <c r="G20212" s="2">
        <v>0</v>
      </c>
      <c r="H20212" s="1" t="s">
        <v>0</v>
      </c>
      <c r="I20212" s="2">
        <v>0</v>
      </c>
      <c r="J20212" s="1">
        <v>45950.388541666667</v>
      </c>
    </row>
    <row r="20213" spans="1:10" x14ac:dyDescent="0.2">
      <c r="A20213" s="4" t="s">
        <v>1</v>
      </c>
      <c r="B202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13" s="3" t="str">
        <f>HYPERLINK("https://otsuka-europe-crm.veevavault.com/ui/#object/sent_email__v/VBLZ025E82HOKR8", "SE-000288163")</f>
        <v>SE-000288163</v>
      </c>
      <c r="D20213" s="1">
        <v>45965.931840277779</v>
      </c>
      <c r="E20213" s="2">
        <v>1</v>
      </c>
      <c r="F20213" s="2">
        <v>3</v>
      </c>
      <c r="G20213" s="2">
        <v>0</v>
      </c>
      <c r="H20213" s="1" t="s">
        <v>0</v>
      </c>
      <c r="I20213" s="2">
        <v>0</v>
      </c>
      <c r="J20213" s="1">
        <v>45950.388553240744</v>
      </c>
    </row>
    <row r="20214" spans="1:10" x14ac:dyDescent="0.2">
      <c r="A20214" s="4" t="s">
        <v>1</v>
      </c>
      <c r="B202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14" s="3" t="str">
        <f>HYPERLINK("https://otsuka-europe-crm.veevavault.com/ui/#object/sent_email__v/VBLZ025E82HOKR9", "SE-000288164")</f>
        <v>SE-000288164</v>
      </c>
      <c r="D20214" s="1" t="s">
        <v>0</v>
      </c>
      <c r="E20214" s="2">
        <v>0</v>
      </c>
      <c r="F20214" s="2">
        <v>0</v>
      </c>
      <c r="G20214" s="2">
        <v>0</v>
      </c>
      <c r="H20214" s="1" t="s">
        <v>0</v>
      </c>
      <c r="I20214" s="2">
        <v>0</v>
      </c>
      <c r="J20214" s="1">
        <v>45950.388553240744</v>
      </c>
    </row>
    <row r="20215" spans="1:10" x14ac:dyDescent="0.2">
      <c r="A20215" s="4" t="s">
        <v>1</v>
      </c>
      <c r="B202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15" s="3" t="str">
        <f>HYPERLINK("https://otsuka-europe-crm.veevavault.com/ui/#object/sent_email__v/VBLZ025E82HOKRA", "SE-000288165")</f>
        <v>SE-000288165</v>
      </c>
      <c r="D20215" s="1">
        <v>45950.846006944441</v>
      </c>
      <c r="E20215" s="2">
        <v>1</v>
      </c>
      <c r="F20215" s="2">
        <v>1</v>
      </c>
      <c r="G20215" s="2">
        <v>0</v>
      </c>
      <c r="H20215" s="1" t="s">
        <v>0</v>
      </c>
      <c r="I20215" s="2">
        <v>0</v>
      </c>
      <c r="J20215" s="1">
        <v>45950.388564814813</v>
      </c>
    </row>
    <row r="20216" spans="1:10" x14ac:dyDescent="0.2">
      <c r="A20216" s="4" t="s">
        <v>1</v>
      </c>
      <c r="B202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16" s="3" t="str">
        <f>HYPERLINK("https://otsuka-europe-crm.veevavault.com/ui/#object/sent_email__v/VBLZ025E82HOKRB", "SE-000288166")</f>
        <v>SE-000288166</v>
      </c>
      <c r="D20216" s="1">
        <v>45950.487974537034</v>
      </c>
      <c r="E20216" s="2">
        <v>1</v>
      </c>
      <c r="F20216" s="2">
        <v>2</v>
      </c>
      <c r="G20216" s="2">
        <v>0</v>
      </c>
      <c r="H20216" s="1" t="s">
        <v>0</v>
      </c>
      <c r="I20216" s="2">
        <v>0</v>
      </c>
      <c r="J20216" s="1">
        <v>45950.38857638889</v>
      </c>
    </row>
    <row r="20217" spans="1:10" x14ac:dyDescent="0.2">
      <c r="A20217" s="4" t="s">
        <v>1</v>
      </c>
      <c r="B202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17" s="3" t="str">
        <f>HYPERLINK("https://otsuka-europe-crm.veevavault.com/ui/#object/sent_email__v/VBLZ025E82HOKRC", "SE-000288167")</f>
        <v>SE-000288167</v>
      </c>
      <c r="D20217" s="1">
        <v>45951.539305555554</v>
      </c>
      <c r="E20217" s="2">
        <v>1</v>
      </c>
      <c r="F20217" s="2">
        <v>2</v>
      </c>
      <c r="G20217" s="2">
        <v>0</v>
      </c>
      <c r="H20217" s="1" t="s">
        <v>0</v>
      </c>
      <c r="I20217" s="2">
        <v>0</v>
      </c>
      <c r="J20217" s="1">
        <v>45950.38858796296</v>
      </c>
    </row>
    <row r="20218" spans="1:10" x14ac:dyDescent="0.2">
      <c r="A20218" s="4" t="s">
        <v>1</v>
      </c>
      <c r="B202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18" s="3" t="str">
        <f>HYPERLINK("https://otsuka-europe-crm.veevavault.com/ui/#object/sent_email__v/VBLZ025E82HOKRD", "SE-000288168")</f>
        <v>SE-000288168</v>
      </c>
      <c r="D20218" s="1">
        <v>45952.573078703703</v>
      </c>
      <c r="E20218" s="2">
        <v>1</v>
      </c>
      <c r="F20218" s="2">
        <v>5</v>
      </c>
      <c r="G20218" s="2">
        <v>0</v>
      </c>
      <c r="H20218" s="1" t="s">
        <v>0</v>
      </c>
      <c r="I20218" s="2">
        <v>0</v>
      </c>
      <c r="J20218" s="1">
        <v>45950.388611111113</v>
      </c>
    </row>
    <row r="20219" spans="1:10" x14ac:dyDescent="0.2">
      <c r="A20219" s="4" t="s">
        <v>1</v>
      </c>
      <c r="B202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19" s="3" t="str">
        <f>HYPERLINK("https://otsuka-europe-crm.veevavault.com/ui/#object/sent_email__v/VBLZ025E82HOKRE", "SE-000288169")</f>
        <v>SE-000288169</v>
      </c>
      <c r="D20219" s="1">
        <v>45950.446134259262</v>
      </c>
      <c r="E20219" s="2">
        <v>1</v>
      </c>
      <c r="F20219" s="2">
        <v>14</v>
      </c>
      <c r="G20219" s="2">
        <v>0</v>
      </c>
      <c r="H20219" s="1" t="s">
        <v>0</v>
      </c>
      <c r="I20219" s="2">
        <v>0</v>
      </c>
      <c r="J20219" s="1">
        <v>45950.388599537036</v>
      </c>
    </row>
    <row r="20220" spans="1:10" x14ac:dyDescent="0.2">
      <c r="A20220" s="4" t="s">
        <v>1</v>
      </c>
      <c r="B202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20" s="3" t="str">
        <f>HYPERLINK("https://otsuka-europe-crm.veevavault.com/ui/#object/sent_email__v/VBLZ025E82HOKRF", "SE-000288170")</f>
        <v>SE-000288170</v>
      </c>
      <c r="D20220" s="1" t="s">
        <v>0</v>
      </c>
      <c r="E20220" s="2">
        <v>0</v>
      </c>
      <c r="F20220" s="2">
        <v>0</v>
      </c>
      <c r="G20220" s="2">
        <v>0</v>
      </c>
      <c r="H20220" s="1" t="s">
        <v>0</v>
      </c>
      <c r="I20220" s="2">
        <v>0</v>
      </c>
      <c r="J20220" s="1">
        <v>45950.388611111113</v>
      </c>
    </row>
    <row r="20221" spans="1:10" x14ac:dyDescent="0.2">
      <c r="A20221" s="4" t="s">
        <v>1</v>
      </c>
      <c r="B202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21" s="3" t="str">
        <f>HYPERLINK("https://otsuka-europe-crm.veevavault.com/ui/#object/sent_email__v/VBLZ025E82HOKRG", "SE-000288171")</f>
        <v>SE-000288171</v>
      </c>
      <c r="D20221" s="1">
        <v>45950.517094907409</v>
      </c>
      <c r="E20221" s="2">
        <v>1</v>
      </c>
      <c r="F20221" s="2">
        <v>2</v>
      </c>
      <c r="G20221" s="2">
        <v>0</v>
      </c>
      <c r="H20221" s="1" t="s">
        <v>0</v>
      </c>
      <c r="I20221" s="2">
        <v>0</v>
      </c>
      <c r="J20221" s="1">
        <v>45950.388622685183</v>
      </c>
    </row>
    <row r="20222" spans="1:10" x14ac:dyDescent="0.2">
      <c r="A20222" s="4" t="s">
        <v>1</v>
      </c>
      <c r="B202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22" s="3" t="str">
        <f>HYPERLINK("https://otsuka-europe-crm.veevavault.com/ui/#object/sent_email__v/VBLZ025E82HOKRH", "SE-000288172")</f>
        <v>SE-000288172</v>
      </c>
      <c r="D20222" s="1" t="s">
        <v>0</v>
      </c>
      <c r="E20222" s="2">
        <v>0</v>
      </c>
      <c r="F20222" s="2">
        <v>0</v>
      </c>
      <c r="G20222" s="2">
        <v>0</v>
      </c>
      <c r="H20222" s="1" t="s">
        <v>0</v>
      </c>
      <c r="I20222" s="2">
        <v>0</v>
      </c>
      <c r="J20222" s="1">
        <v>45950.38863425926</v>
      </c>
    </row>
    <row r="20223" spans="1:10" x14ac:dyDescent="0.2">
      <c r="A20223" s="4" t="s">
        <v>1</v>
      </c>
      <c r="B202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23" s="3" t="str">
        <f>HYPERLINK("https://otsuka-europe-crm.veevavault.com/ui/#object/sent_email__v/VBLZ025E82HOKRI", "SE-000288173")</f>
        <v>SE-000288173</v>
      </c>
      <c r="D20223" s="1" t="s">
        <v>0</v>
      </c>
      <c r="E20223" s="2">
        <v>0</v>
      </c>
      <c r="F20223" s="2">
        <v>0</v>
      </c>
      <c r="G20223" s="2">
        <v>0</v>
      </c>
      <c r="H20223" s="1" t="s">
        <v>0</v>
      </c>
      <c r="I20223" s="2">
        <v>0</v>
      </c>
      <c r="J20223" s="1">
        <v>45950.388645833336</v>
      </c>
    </row>
    <row r="20224" spans="1:10" x14ac:dyDescent="0.2">
      <c r="A20224" s="4" t="s">
        <v>1</v>
      </c>
      <c r="B202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24" s="3" t="str">
        <f>HYPERLINK("https://otsuka-europe-crm.veevavault.com/ui/#object/sent_email__v/VBLZ025E82HOKRJ", "SE-000288174")</f>
        <v>SE-000288174</v>
      </c>
      <c r="D20224" s="1" t="s">
        <v>0</v>
      </c>
      <c r="E20224" s="2">
        <v>0</v>
      </c>
      <c r="F20224" s="2">
        <v>0</v>
      </c>
      <c r="G20224" s="2">
        <v>0</v>
      </c>
      <c r="H20224" s="1" t="s">
        <v>0</v>
      </c>
      <c r="I20224" s="2">
        <v>0</v>
      </c>
      <c r="J20224" s="1">
        <v>45950.388645833336</v>
      </c>
    </row>
    <row r="20225" spans="1:10" x14ac:dyDescent="0.2">
      <c r="A20225" s="4" t="s">
        <v>1</v>
      </c>
      <c r="B202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25" s="3" t="str">
        <f>HYPERLINK("https://otsuka-europe-crm.veevavault.com/ui/#object/sent_email__v/VBLZ025E82HOKRK", "SE-000288175")</f>
        <v>SE-000288175</v>
      </c>
      <c r="D20225" s="1">
        <v>45950.405439814815</v>
      </c>
      <c r="E20225" s="2">
        <v>1</v>
      </c>
      <c r="F20225" s="2">
        <v>1</v>
      </c>
      <c r="G20225" s="2">
        <v>0</v>
      </c>
      <c r="H20225" s="1" t="s">
        <v>0</v>
      </c>
      <c r="I20225" s="2">
        <v>0</v>
      </c>
      <c r="J20225" s="1">
        <v>45950.388657407406</v>
      </c>
    </row>
    <row r="20226" spans="1:10" x14ac:dyDescent="0.2">
      <c r="A20226" s="4" t="s">
        <v>1</v>
      </c>
      <c r="B202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26" s="3" t="str">
        <f>HYPERLINK("https://otsuka-europe-crm.veevavault.com/ui/#object/sent_email__v/VBLZ025E82HOKRL", "SE-000288176")</f>
        <v>SE-000288176</v>
      </c>
      <c r="D20226" s="1">
        <v>45950.432511574072</v>
      </c>
      <c r="E20226" s="2">
        <v>1</v>
      </c>
      <c r="F20226" s="2">
        <v>2</v>
      </c>
      <c r="G20226" s="2">
        <v>0</v>
      </c>
      <c r="H20226" s="1" t="s">
        <v>0</v>
      </c>
      <c r="I20226" s="2">
        <v>0</v>
      </c>
      <c r="J20226" s="1">
        <v>45950.388668981483</v>
      </c>
    </row>
    <row r="20227" spans="1:10" x14ac:dyDescent="0.2">
      <c r="A20227" s="4" t="s">
        <v>1</v>
      </c>
      <c r="B202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27" s="3" t="str">
        <f>HYPERLINK("https://otsuka-europe-crm.veevavault.com/ui/#object/sent_email__v/VBLZ025E82HOKRM", "SE-000288177")</f>
        <v>SE-000288177</v>
      </c>
      <c r="D20227" s="1" t="s">
        <v>0</v>
      </c>
      <c r="E20227" s="2">
        <v>0</v>
      </c>
      <c r="F20227" s="2">
        <v>0</v>
      </c>
      <c r="G20227" s="2">
        <v>0</v>
      </c>
      <c r="H20227" s="1" t="s">
        <v>0</v>
      </c>
      <c r="I20227" s="2">
        <v>0</v>
      </c>
      <c r="J20227" s="1">
        <v>45950.388680555552</v>
      </c>
    </row>
    <row r="20228" spans="1:10" x14ac:dyDescent="0.2">
      <c r="A20228" s="4" t="s">
        <v>1</v>
      </c>
      <c r="B202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28" s="3" t="str">
        <f>HYPERLINK("https://otsuka-europe-crm.veevavault.com/ui/#object/sent_email__v/VBLZ025E82HOKRN", "SE-000288178")</f>
        <v>SE-000288178</v>
      </c>
      <c r="D20228" s="1" t="s">
        <v>0</v>
      </c>
      <c r="E20228" s="2">
        <v>0</v>
      </c>
      <c r="F20228" s="2">
        <v>0</v>
      </c>
      <c r="G20228" s="2">
        <v>0</v>
      </c>
      <c r="H20228" s="1" t="s">
        <v>0</v>
      </c>
      <c r="I20228" s="2">
        <v>0</v>
      </c>
      <c r="J20228" s="1">
        <v>45950.388680555552</v>
      </c>
    </row>
    <row r="20229" spans="1:10" x14ac:dyDescent="0.2">
      <c r="A20229" s="4" t="s">
        <v>1</v>
      </c>
      <c r="B202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29" s="3" t="str">
        <f>HYPERLINK("https://otsuka-europe-crm.veevavault.com/ui/#object/sent_email__v/VBLZ025E82HOKRO", "SE-000288179")</f>
        <v>SE-000288179</v>
      </c>
      <c r="D20229" s="1" t="s">
        <v>0</v>
      </c>
      <c r="E20229" s="2">
        <v>0</v>
      </c>
      <c r="F20229" s="2">
        <v>0</v>
      </c>
      <c r="G20229" s="2">
        <v>0</v>
      </c>
      <c r="H20229" s="1" t="s">
        <v>0</v>
      </c>
      <c r="I20229" s="2">
        <v>0</v>
      </c>
      <c r="J20229" s="1">
        <v>45950.388692129629</v>
      </c>
    </row>
    <row r="20230" spans="1:10" x14ac:dyDescent="0.2">
      <c r="A20230" s="4" t="s">
        <v>1</v>
      </c>
      <c r="B202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30" s="3" t="str">
        <f>HYPERLINK("https://otsuka-europe-crm.veevavault.com/ui/#object/sent_email__v/VBLZ025E82HOKRP", "SE-000288180")</f>
        <v>SE-000288180</v>
      </c>
      <c r="D20230" s="1">
        <v>45994.667557870373</v>
      </c>
      <c r="E20230" s="2">
        <v>1</v>
      </c>
      <c r="F20230" s="2">
        <v>4</v>
      </c>
      <c r="G20230" s="2">
        <v>0</v>
      </c>
      <c r="H20230" s="1" t="s">
        <v>0</v>
      </c>
      <c r="I20230" s="2">
        <v>0</v>
      </c>
      <c r="J20230" s="1">
        <v>45950.388703703706</v>
      </c>
    </row>
    <row r="20231" spans="1:10" x14ac:dyDescent="0.2">
      <c r="A20231" s="4" t="s">
        <v>1</v>
      </c>
      <c r="B202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31" s="3" t="str">
        <f>HYPERLINK("https://otsuka-europe-crm.veevavault.com/ui/#object/sent_email__v/VBLZ025E82HOKRQ", "SE-000288181")</f>
        <v>SE-000288181</v>
      </c>
      <c r="D20231" s="1">
        <v>45950.898495370369</v>
      </c>
      <c r="E20231" s="2">
        <v>1</v>
      </c>
      <c r="F20231" s="2">
        <v>1</v>
      </c>
      <c r="G20231" s="2">
        <v>0</v>
      </c>
      <c r="H20231" s="1" t="s">
        <v>0</v>
      </c>
      <c r="I20231" s="2">
        <v>0</v>
      </c>
      <c r="J20231" s="1">
        <v>45950.388715277775</v>
      </c>
    </row>
    <row r="20232" spans="1:10" x14ac:dyDescent="0.2">
      <c r="A20232" s="4" t="s">
        <v>1</v>
      </c>
      <c r="B202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32" s="3" t="str">
        <f>HYPERLINK("https://otsuka-europe-crm.veevavault.com/ui/#object/sent_email__v/VBLZ025E82HOKRR", "SE-000288182")</f>
        <v>SE-000288182</v>
      </c>
      <c r="D20232" s="1">
        <v>45950.563622685186</v>
      </c>
      <c r="E20232" s="2">
        <v>1</v>
      </c>
      <c r="F20232" s="2">
        <v>1</v>
      </c>
      <c r="G20232" s="2">
        <v>0</v>
      </c>
      <c r="H20232" s="1" t="s">
        <v>0</v>
      </c>
      <c r="I20232" s="2">
        <v>0</v>
      </c>
      <c r="J20232" s="1">
        <v>45950.388726851852</v>
      </c>
    </row>
    <row r="20233" spans="1:10" x14ac:dyDescent="0.2">
      <c r="A20233" s="4" t="s">
        <v>1</v>
      </c>
      <c r="B202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33" s="3" t="str">
        <f>HYPERLINK("https://otsuka-europe-crm.veevavault.com/ui/#object/sent_email__v/VBLZ025E82HOKRS", "SE-000288183")</f>
        <v>SE-000288183</v>
      </c>
      <c r="D20233" s="1">
        <v>45950.436886574076</v>
      </c>
      <c r="E20233" s="2">
        <v>1</v>
      </c>
      <c r="F20233" s="2">
        <v>3</v>
      </c>
      <c r="G20233" s="2">
        <v>0</v>
      </c>
      <c r="H20233" s="1" t="s">
        <v>0</v>
      </c>
      <c r="I20233" s="2">
        <v>0</v>
      </c>
      <c r="J20233" s="1">
        <v>45950.388738425929</v>
      </c>
    </row>
    <row r="20234" spans="1:10" x14ac:dyDescent="0.2">
      <c r="A20234" s="4" t="s">
        <v>1</v>
      </c>
      <c r="B202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34" s="3" t="str">
        <f>HYPERLINK("https://otsuka-europe-crm.veevavault.com/ui/#object/sent_email__v/VBLZ025E82HOKRT", "SE-000288184")</f>
        <v>SE-000288184</v>
      </c>
      <c r="D20234" s="1">
        <v>45950.485648148147</v>
      </c>
      <c r="E20234" s="2">
        <v>1</v>
      </c>
      <c r="F20234" s="2">
        <v>1</v>
      </c>
      <c r="G20234" s="2">
        <v>0</v>
      </c>
      <c r="H20234" s="1" t="s">
        <v>0</v>
      </c>
      <c r="I20234" s="2">
        <v>0</v>
      </c>
      <c r="J20234" s="1">
        <v>45950.388738425929</v>
      </c>
    </row>
    <row r="20235" spans="1:10" x14ac:dyDescent="0.2">
      <c r="A20235" s="4" t="s">
        <v>1</v>
      </c>
      <c r="B202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35" s="3" t="str">
        <f>HYPERLINK("https://otsuka-europe-crm.veevavault.com/ui/#object/sent_email__v/VBLZ025E82HOKRU", "SE-000288185")</f>
        <v>SE-000288185</v>
      </c>
      <c r="D20235" s="1" t="s">
        <v>0</v>
      </c>
      <c r="E20235" s="2">
        <v>0</v>
      </c>
      <c r="F20235" s="2">
        <v>0</v>
      </c>
      <c r="G20235" s="2">
        <v>0</v>
      </c>
      <c r="H20235" s="1" t="s">
        <v>0</v>
      </c>
      <c r="I20235" s="2">
        <v>0</v>
      </c>
      <c r="J20235" s="1">
        <v>45950.388749999998</v>
      </c>
    </row>
    <row r="20236" spans="1:10" x14ac:dyDescent="0.2">
      <c r="A20236" s="4" t="s">
        <v>1</v>
      </c>
      <c r="B202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36" s="3" t="str">
        <f>HYPERLINK("https://otsuka-europe-crm.veevavault.com/ui/#object/sent_email__v/VBLZ025E82HOKRV", "SE-000288186")</f>
        <v>SE-000288186</v>
      </c>
      <c r="D20236" s="1">
        <v>45950.668298611112</v>
      </c>
      <c r="E20236" s="2">
        <v>1</v>
      </c>
      <c r="F20236" s="2">
        <v>2</v>
      </c>
      <c r="G20236" s="2">
        <v>0</v>
      </c>
      <c r="H20236" s="1" t="s">
        <v>0</v>
      </c>
      <c r="I20236" s="2">
        <v>0</v>
      </c>
      <c r="J20236" s="1">
        <v>45950.388761574075</v>
      </c>
    </row>
    <row r="20237" spans="1:10" x14ac:dyDescent="0.2">
      <c r="A20237" s="4" t="s">
        <v>1</v>
      </c>
      <c r="B202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37" s="3" t="str">
        <f>HYPERLINK("https://otsuka-europe-crm.veevavault.com/ui/#object/sent_email__v/VBLZ025E82HOKRW", "SE-000288187")</f>
        <v>SE-000288187</v>
      </c>
      <c r="D20237" s="1" t="s">
        <v>0</v>
      </c>
      <c r="E20237" s="2">
        <v>0</v>
      </c>
      <c r="F20237" s="2">
        <v>0</v>
      </c>
      <c r="G20237" s="2">
        <v>0</v>
      </c>
      <c r="H20237" s="1" t="s">
        <v>0</v>
      </c>
      <c r="I20237" s="2">
        <v>0</v>
      </c>
      <c r="J20237" s="1">
        <v>45950.388773148145</v>
      </c>
    </row>
    <row r="20238" spans="1:10" x14ac:dyDescent="0.2">
      <c r="A20238" s="4" t="s">
        <v>1</v>
      </c>
      <c r="B202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38" s="3" t="str">
        <f>HYPERLINK("https://otsuka-europe-crm.veevavault.com/ui/#object/sent_email__v/VBLZ025E82HOKRX", "SE-000288188")</f>
        <v>SE-000288188</v>
      </c>
      <c r="D20238" s="1">
        <v>45953.053206018521</v>
      </c>
      <c r="E20238" s="2">
        <v>1</v>
      </c>
      <c r="F20238" s="2">
        <v>2</v>
      </c>
      <c r="G20238" s="2">
        <v>0</v>
      </c>
      <c r="H20238" s="1" t="s">
        <v>0</v>
      </c>
      <c r="I20238" s="2">
        <v>0</v>
      </c>
      <c r="J20238" s="1">
        <v>45950.388784722221</v>
      </c>
    </row>
    <row r="20239" spans="1:10" x14ac:dyDescent="0.2">
      <c r="A20239" s="4" t="s">
        <v>1</v>
      </c>
      <c r="B202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39" s="3" t="str">
        <f>HYPERLINK("https://otsuka-europe-crm.veevavault.com/ui/#object/sent_email__v/VBLZ025E82HOKRY", "SE-000288189")</f>
        <v>SE-000288189</v>
      </c>
      <c r="D20239" s="1">
        <v>45950.67732638889</v>
      </c>
      <c r="E20239" s="2">
        <v>1</v>
      </c>
      <c r="F20239" s="2">
        <v>1</v>
      </c>
      <c r="G20239" s="2">
        <v>0</v>
      </c>
      <c r="H20239" s="1" t="s">
        <v>0</v>
      </c>
      <c r="I20239" s="2">
        <v>0</v>
      </c>
      <c r="J20239" s="1">
        <v>45950.388784722221</v>
      </c>
    </row>
    <row r="20240" spans="1:10" x14ac:dyDescent="0.2">
      <c r="A20240" s="4" t="s">
        <v>1</v>
      </c>
      <c r="B202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40" s="3" t="str">
        <f>HYPERLINK("https://otsuka-europe-crm.veevavault.com/ui/#object/sent_email__v/VBLZ025E82HOKRZ", "SE-000288190")</f>
        <v>SE-000288190</v>
      </c>
      <c r="D20240" s="1" t="s">
        <v>0</v>
      </c>
      <c r="E20240" s="2">
        <v>0</v>
      </c>
      <c r="F20240" s="2">
        <v>0</v>
      </c>
      <c r="G20240" s="2">
        <v>0</v>
      </c>
      <c r="H20240" s="1" t="s">
        <v>0</v>
      </c>
      <c r="I20240" s="2">
        <v>0</v>
      </c>
      <c r="J20240" s="1">
        <v>45950.388796296298</v>
      </c>
    </row>
    <row r="20241" spans="1:10" x14ac:dyDescent="0.2">
      <c r="A20241" s="4" t="s">
        <v>1</v>
      </c>
      <c r="B202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41" s="3" t="str">
        <f>HYPERLINK("https://otsuka-europe-crm.veevavault.com/ui/#object/sent_email__v/VBLZ025E82HOKS0", "SE-000288191")</f>
        <v>SE-000288191</v>
      </c>
      <c r="D20241" s="1">
        <v>45951.035671296297</v>
      </c>
      <c r="E20241" s="2">
        <v>1</v>
      </c>
      <c r="F20241" s="2">
        <v>1</v>
      </c>
      <c r="G20241" s="2">
        <v>0</v>
      </c>
      <c r="H20241" s="1" t="s">
        <v>0</v>
      </c>
      <c r="I20241" s="2">
        <v>0</v>
      </c>
      <c r="J20241" s="1">
        <v>45950.388807870368</v>
      </c>
    </row>
    <row r="20242" spans="1:10" x14ac:dyDescent="0.2">
      <c r="A20242" s="4" t="s">
        <v>1</v>
      </c>
      <c r="B202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42" s="3" t="str">
        <f>HYPERLINK("https://otsuka-europe-crm.veevavault.com/ui/#object/sent_email__v/VBLZ025E82HOKX6", "SE-000288272")</f>
        <v>SE-000288272</v>
      </c>
      <c r="D20242" s="1">
        <v>46070.259872685187</v>
      </c>
      <c r="E20242" s="2">
        <v>1</v>
      </c>
      <c r="F20242" s="2">
        <v>2</v>
      </c>
      <c r="G20242" s="2">
        <v>0</v>
      </c>
      <c r="H20242" s="1" t="s">
        <v>0</v>
      </c>
      <c r="I20242" s="2">
        <v>0</v>
      </c>
      <c r="J20242" s="1">
        <v>45950.397175925929</v>
      </c>
    </row>
    <row r="20243" spans="1:10" x14ac:dyDescent="0.2">
      <c r="A20243" s="4" t="s">
        <v>1</v>
      </c>
      <c r="B202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43" s="3" t="str">
        <f>HYPERLINK("https://otsuka-europe-crm.veevavault.com/ui/#object/sent_email__v/VBLZ025E82HOKX7", "SE-000288273")</f>
        <v>SE-000288273</v>
      </c>
      <c r="D20243" s="1">
        <v>45968.138414351852</v>
      </c>
      <c r="E20243" s="2">
        <v>1</v>
      </c>
      <c r="F20243" s="2">
        <v>2</v>
      </c>
      <c r="G20243" s="2">
        <v>0</v>
      </c>
      <c r="H20243" s="1" t="s">
        <v>0</v>
      </c>
      <c r="I20243" s="2">
        <v>0</v>
      </c>
      <c r="J20243" s="1">
        <v>45950.397199074076</v>
      </c>
    </row>
    <row r="20244" spans="1:10" x14ac:dyDescent="0.2">
      <c r="A20244" s="4" t="s">
        <v>1</v>
      </c>
      <c r="B202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44" s="3" t="str">
        <f>HYPERLINK("https://otsuka-europe-crm.veevavault.com/ui/#object/sent_email__v/VBLZ025E82HOKX8", "SE-000288274")</f>
        <v>SE-000288274</v>
      </c>
      <c r="D20244" s="1">
        <v>45950.405798611115</v>
      </c>
      <c r="E20244" s="2">
        <v>1</v>
      </c>
      <c r="F20244" s="2">
        <v>1</v>
      </c>
      <c r="G20244" s="2">
        <v>0</v>
      </c>
      <c r="H20244" s="1" t="s">
        <v>0</v>
      </c>
      <c r="I20244" s="2">
        <v>0</v>
      </c>
      <c r="J20244" s="1">
        <v>45950.397187499999</v>
      </c>
    </row>
    <row r="20245" spans="1:10" x14ac:dyDescent="0.2">
      <c r="A20245" s="4" t="s">
        <v>1</v>
      </c>
      <c r="B202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45" s="3" t="str">
        <f>HYPERLINK("https://otsuka-europe-crm.veevavault.com/ui/#object/sent_email__v/VBLZ025E82HOKX9", "SE-000288275")</f>
        <v>SE-000288275</v>
      </c>
      <c r="D20245" s="1">
        <v>45950.499513888892</v>
      </c>
      <c r="E20245" s="2">
        <v>1</v>
      </c>
      <c r="F20245" s="2">
        <v>2</v>
      </c>
      <c r="G20245" s="2">
        <v>0</v>
      </c>
      <c r="H20245" s="1" t="s">
        <v>0</v>
      </c>
      <c r="I20245" s="2">
        <v>0</v>
      </c>
      <c r="J20245" s="1">
        <v>45950.397199074076</v>
      </c>
    </row>
    <row r="20246" spans="1:10" x14ac:dyDescent="0.2">
      <c r="A20246" s="4" t="s">
        <v>1</v>
      </c>
      <c r="B202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46" s="3" t="str">
        <f>HYPERLINK("https://otsuka-europe-crm.veevavault.com/ui/#object/sent_email__v/VBLZ025E82HOKXA", "SE-000288276")</f>
        <v>SE-000288276</v>
      </c>
      <c r="D20246" s="1" t="s">
        <v>0</v>
      </c>
      <c r="E20246" s="2">
        <v>0</v>
      </c>
      <c r="F20246" s="2">
        <v>0</v>
      </c>
      <c r="G20246" s="2">
        <v>0</v>
      </c>
      <c r="H20246" s="1" t="s">
        <v>0</v>
      </c>
      <c r="I20246" s="2">
        <v>0</v>
      </c>
      <c r="J20246" s="1">
        <v>45950.397222222222</v>
      </c>
    </row>
    <row r="20247" spans="1:10" x14ac:dyDescent="0.2">
      <c r="A20247" s="4" t="s">
        <v>1</v>
      </c>
      <c r="B202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47" s="3" t="str">
        <f>HYPERLINK("https://otsuka-europe-crm.veevavault.com/ui/#object/sent_email__v/VBLZ025E82HOKXB", "SE-000288277")</f>
        <v>SE-000288277</v>
      </c>
      <c r="D20247" s="1">
        <v>45951.931400462963</v>
      </c>
      <c r="E20247" s="2">
        <v>1</v>
      </c>
      <c r="F20247" s="2">
        <v>2</v>
      </c>
      <c r="G20247" s="2">
        <v>0</v>
      </c>
      <c r="H20247" s="1" t="s">
        <v>0</v>
      </c>
      <c r="I20247" s="2">
        <v>0</v>
      </c>
      <c r="J20247" s="1">
        <v>45950.397210648145</v>
      </c>
    </row>
    <row r="20248" spans="1:10" x14ac:dyDescent="0.2">
      <c r="A20248" s="4" t="s">
        <v>1</v>
      </c>
      <c r="B202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48" s="3" t="str">
        <f>HYPERLINK("https://otsuka-europe-crm.veevavault.com/ui/#object/sent_email__v/VBLZ025E82HOKXC", "SE-000288278")</f>
        <v>SE-000288278</v>
      </c>
      <c r="D20248" s="1">
        <v>45951.970949074072</v>
      </c>
      <c r="E20248" s="2">
        <v>1</v>
      </c>
      <c r="F20248" s="2">
        <v>1</v>
      </c>
      <c r="G20248" s="2">
        <v>0</v>
      </c>
      <c r="H20248" s="1" t="s">
        <v>0</v>
      </c>
      <c r="I20248" s="2">
        <v>0</v>
      </c>
      <c r="J20248" s="1">
        <v>45950.397222222222</v>
      </c>
    </row>
    <row r="20249" spans="1:10" x14ac:dyDescent="0.2">
      <c r="A20249" s="4" t="s">
        <v>1</v>
      </c>
      <c r="B202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49" s="3" t="str">
        <f>HYPERLINK("https://otsuka-europe-crm.veevavault.com/ui/#object/sent_email__v/VBLZ025E82HOKXD", "SE-000288279")</f>
        <v>SE-000288279</v>
      </c>
      <c r="D20249" s="1">
        <v>45950.925497685188</v>
      </c>
      <c r="E20249" s="2">
        <v>1</v>
      </c>
      <c r="F20249" s="2">
        <v>1</v>
      </c>
      <c r="G20249" s="2">
        <v>0</v>
      </c>
      <c r="H20249" s="1" t="s">
        <v>0</v>
      </c>
      <c r="I20249" s="2">
        <v>0</v>
      </c>
      <c r="J20249" s="1">
        <v>45950.397222222222</v>
      </c>
    </row>
    <row r="20250" spans="1:10" x14ac:dyDescent="0.2">
      <c r="A20250" s="4" t="s">
        <v>1</v>
      </c>
      <c r="B202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50" s="3" t="str">
        <f>HYPERLINK("https://otsuka-europe-crm.veevavault.com/ui/#object/sent_email__v/VBLZ025E82HOKXE", "SE-000288280")</f>
        <v>SE-000288280</v>
      </c>
      <c r="D20250" s="1">
        <v>45959.947812500002</v>
      </c>
      <c r="E20250" s="2">
        <v>1</v>
      </c>
      <c r="F20250" s="2">
        <v>1</v>
      </c>
      <c r="G20250" s="2">
        <v>0</v>
      </c>
      <c r="H20250" s="1" t="s">
        <v>0</v>
      </c>
      <c r="I20250" s="2">
        <v>0</v>
      </c>
      <c r="J20250" s="1">
        <v>45950.397245370368</v>
      </c>
    </row>
    <row r="20251" spans="1:10" x14ac:dyDescent="0.2">
      <c r="A20251" s="4" t="s">
        <v>1</v>
      </c>
      <c r="B202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51" s="3" t="str">
        <f>HYPERLINK("https://otsuka-europe-crm.veevavault.com/ui/#object/sent_email__v/VBLZ025E82HOKXF", "SE-000288281")</f>
        <v>SE-000288281</v>
      </c>
      <c r="D20251" s="1" t="s">
        <v>0</v>
      </c>
      <c r="E20251" s="2">
        <v>0</v>
      </c>
      <c r="F20251" s="2">
        <v>0</v>
      </c>
      <c r="G20251" s="2">
        <v>0</v>
      </c>
      <c r="H20251" s="1" t="s">
        <v>0</v>
      </c>
      <c r="I20251" s="2">
        <v>0</v>
      </c>
      <c r="J20251" s="1">
        <v>45950.397256944445</v>
      </c>
    </row>
    <row r="20252" spans="1:10" x14ac:dyDescent="0.2">
      <c r="A20252" s="4" t="s">
        <v>1</v>
      </c>
      <c r="B202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52" s="3" t="str">
        <f>HYPERLINK("https://otsuka-europe-crm.veevavault.com/ui/#object/sent_email__v/VBLZ025E82HOKXG", "SE-000288282")</f>
        <v>SE-000288282</v>
      </c>
      <c r="D20252" s="1">
        <v>45950.906354166669</v>
      </c>
      <c r="E20252" s="2">
        <v>1</v>
      </c>
      <c r="F20252" s="2">
        <v>1</v>
      </c>
      <c r="G20252" s="2">
        <v>0</v>
      </c>
      <c r="H20252" s="1" t="s">
        <v>0</v>
      </c>
      <c r="I20252" s="2">
        <v>0</v>
      </c>
      <c r="J20252" s="1">
        <v>45950.397256944445</v>
      </c>
    </row>
    <row r="20253" spans="1:10" x14ac:dyDescent="0.2">
      <c r="A20253" s="4" t="s">
        <v>1</v>
      </c>
      <c r="B202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53" s="3" t="str">
        <f>HYPERLINK("https://otsuka-europe-crm.veevavault.com/ui/#object/sent_email__v/VBLZ025E82HOKXH", "SE-000288283")</f>
        <v>SE-000288283</v>
      </c>
      <c r="D20253" s="1">
        <v>45950.45040509259</v>
      </c>
      <c r="E20253" s="2">
        <v>1</v>
      </c>
      <c r="F20253" s="2">
        <v>4</v>
      </c>
      <c r="G20253" s="2">
        <v>1</v>
      </c>
      <c r="H20253" s="1">
        <v>45950.413935185185</v>
      </c>
      <c r="I20253" s="2">
        <v>1</v>
      </c>
      <c r="J20253" s="1">
        <v>45950.397268518522</v>
      </c>
    </row>
    <row r="20254" spans="1:10" x14ac:dyDescent="0.2">
      <c r="A20254" s="4" t="s">
        <v>1</v>
      </c>
      <c r="B202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54" s="3" t="str">
        <f>HYPERLINK("https://otsuka-europe-crm.veevavault.com/ui/#object/sent_email__v/VBLZ025E82HOKXI", "SE-000288284")</f>
        <v>SE-000288284</v>
      </c>
      <c r="D20254" s="1" t="s">
        <v>0</v>
      </c>
      <c r="E20254" s="2">
        <v>0</v>
      </c>
      <c r="F20254" s="2">
        <v>0</v>
      </c>
      <c r="G20254" s="2">
        <v>0</v>
      </c>
      <c r="H20254" s="1" t="s">
        <v>0</v>
      </c>
      <c r="I20254" s="2">
        <v>0</v>
      </c>
      <c r="J20254" s="1">
        <v>45950.397291666668</v>
      </c>
    </row>
    <row r="20255" spans="1:10" x14ac:dyDescent="0.2">
      <c r="A20255" s="4" t="s">
        <v>1</v>
      </c>
      <c r="B202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55" s="3" t="str">
        <f>HYPERLINK("https://otsuka-europe-crm.veevavault.com/ui/#object/sent_email__v/VBLZ025E82HOKXJ", "SE-000288285")</f>
        <v>SE-000288285</v>
      </c>
      <c r="D20255" s="1" t="s">
        <v>0</v>
      </c>
      <c r="E20255" s="2">
        <v>0</v>
      </c>
      <c r="F20255" s="2">
        <v>0</v>
      </c>
      <c r="G20255" s="2">
        <v>0</v>
      </c>
      <c r="H20255" s="1" t="s">
        <v>0</v>
      </c>
      <c r="I20255" s="2">
        <v>0</v>
      </c>
      <c r="J20255" s="1">
        <v>45950.397291666668</v>
      </c>
    </row>
    <row r="20256" spans="1:10" x14ac:dyDescent="0.2">
      <c r="A20256" s="4" t="s">
        <v>1</v>
      </c>
      <c r="B202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56" s="3" t="str">
        <f>HYPERLINK("https://otsuka-europe-crm.veevavault.com/ui/#object/sent_email__v/VBLZ025E82HOKXK", "SE-000288286")</f>
        <v>SE-000288286</v>
      </c>
      <c r="D20256" s="1">
        <v>45953.397581018522</v>
      </c>
      <c r="E20256" s="2">
        <v>1</v>
      </c>
      <c r="F20256" s="2">
        <v>1</v>
      </c>
      <c r="G20256" s="2">
        <v>0</v>
      </c>
      <c r="H20256" s="1" t="s">
        <v>0</v>
      </c>
      <c r="I20256" s="2">
        <v>0</v>
      </c>
      <c r="J20256" s="1">
        <v>45950.397303240738</v>
      </c>
    </row>
    <row r="20257" spans="1:10" x14ac:dyDescent="0.2">
      <c r="A20257" s="4" t="s">
        <v>1</v>
      </c>
      <c r="B202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57" s="3" t="str">
        <f>HYPERLINK("https://otsuka-europe-crm.veevavault.com/ui/#object/sent_email__v/VBLZ025E82HOKXL", "SE-000288287")</f>
        <v>SE-000288287</v>
      </c>
      <c r="D20257" s="1">
        <v>45950.426018518519</v>
      </c>
      <c r="E20257" s="2">
        <v>1</v>
      </c>
      <c r="F20257" s="2">
        <v>2</v>
      </c>
      <c r="G20257" s="2">
        <v>0</v>
      </c>
      <c r="H20257" s="1" t="s">
        <v>0</v>
      </c>
      <c r="I20257" s="2">
        <v>0</v>
      </c>
      <c r="J20257" s="1">
        <v>45950.397303240738</v>
      </c>
    </row>
    <row r="20258" spans="1:10" x14ac:dyDescent="0.2">
      <c r="A20258" s="4" t="s">
        <v>1</v>
      </c>
      <c r="B202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58" s="3" t="str">
        <f>HYPERLINK("https://otsuka-europe-crm.veevavault.com/ui/#object/sent_email__v/VBLZ025E82HOKXM", "SE-000288288")</f>
        <v>SE-000288288</v>
      </c>
      <c r="D20258" s="1">
        <v>45951.308506944442</v>
      </c>
      <c r="E20258" s="2">
        <v>1</v>
      </c>
      <c r="F20258" s="2">
        <v>3</v>
      </c>
      <c r="G20258" s="2">
        <v>0</v>
      </c>
      <c r="H20258" s="1" t="s">
        <v>0</v>
      </c>
      <c r="I20258" s="2">
        <v>0</v>
      </c>
      <c r="J20258" s="1">
        <v>45950.397326388891</v>
      </c>
    </row>
    <row r="20259" spans="1:10" x14ac:dyDescent="0.2">
      <c r="A20259" s="4" t="s">
        <v>1</v>
      </c>
      <c r="B202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59" s="3" t="str">
        <f>HYPERLINK("https://otsuka-europe-crm.veevavault.com/ui/#object/sent_email__v/VBLZ025E82HOKXN", "SE-000288289")</f>
        <v>SE-000288289</v>
      </c>
      <c r="D20259" s="1" t="s">
        <v>0</v>
      </c>
      <c r="E20259" s="2">
        <v>0</v>
      </c>
      <c r="F20259" s="2">
        <v>0</v>
      </c>
      <c r="G20259" s="2">
        <v>0</v>
      </c>
      <c r="H20259" s="1" t="s">
        <v>0</v>
      </c>
      <c r="I20259" s="2">
        <v>0</v>
      </c>
      <c r="J20259" s="1">
        <v>45950.397326388891</v>
      </c>
    </row>
    <row r="20260" spans="1:10" x14ac:dyDescent="0.2">
      <c r="A20260" s="4" t="s">
        <v>1</v>
      </c>
      <c r="B202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60" s="3" t="str">
        <f>HYPERLINK("https://otsuka-europe-crm.veevavault.com/ui/#object/sent_email__v/VBLZ025E82HOKXO", "SE-000288290")</f>
        <v>SE-000288290</v>
      </c>
      <c r="D20260" s="1">
        <v>45950.543321759258</v>
      </c>
      <c r="E20260" s="2">
        <v>1</v>
      </c>
      <c r="F20260" s="2">
        <v>1</v>
      </c>
      <c r="G20260" s="2">
        <v>0</v>
      </c>
      <c r="H20260" s="1" t="s">
        <v>0</v>
      </c>
      <c r="I20260" s="2">
        <v>0</v>
      </c>
      <c r="J20260" s="1">
        <v>45950.397337962961</v>
      </c>
    </row>
    <row r="20261" spans="1:10" x14ac:dyDescent="0.2">
      <c r="A20261" s="4" t="s">
        <v>1</v>
      </c>
      <c r="B202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61" s="3" t="str">
        <f>HYPERLINK("https://otsuka-europe-crm.veevavault.com/ui/#object/sent_email__v/VBLZ025E82HOKXP", "SE-000288291")</f>
        <v>SE-000288291</v>
      </c>
      <c r="D20261" s="1">
        <v>45950.502650462964</v>
      </c>
      <c r="E20261" s="2">
        <v>1</v>
      </c>
      <c r="F20261" s="2">
        <v>1</v>
      </c>
      <c r="G20261" s="2">
        <v>0</v>
      </c>
      <c r="H20261" s="1" t="s">
        <v>0</v>
      </c>
      <c r="I20261" s="2">
        <v>0</v>
      </c>
      <c r="J20261" s="1">
        <v>45950.397349537037</v>
      </c>
    </row>
    <row r="20262" spans="1:10" x14ac:dyDescent="0.2">
      <c r="A20262" s="4" t="s">
        <v>1</v>
      </c>
      <c r="B202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62" s="3" t="str">
        <f>HYPERLINK("https://otsuka-europe-crm.veevavault.com/ui/#object/sent_email__v/VBLZ025E82HOKXQ", "SE-000288292")</f>
        <v>SE-000288292</v>
      </c>
      <c r="D20262" s="1">
        <v>45950.637314814812</v>
      </c>
      <c r="E20262" s="2">
        <v>1</v>
      </c>
      <c r="F20262" s="2">
        <v>2</v>
      </c>
      <c r="G20262" s="2">
        <v>0</v>
      </c>
      <c r="H20262" s="1" t="s">
        <v>0</v>
      </c>
      <c r="I20262" s="2">
        <v>0</v>
      </c>
      <c r="J20262" s="1">
        <v>45950.397361111114</v>
      </c>
    </row>
    <row r="20263" spans="1:10" x14ac:dyDescent="0.2">
      <c r="A20263" s="4" t="s">
        <v>1</v>
      </c>
      <c r="B202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63" s="3" t="str">
        <f>HYPERLINK("https://otsuka-europe-crm.veevavault.com/ui/#object/sent_email__v/VBLZ025E82HOKXR", "SE-000288293")</f>
        <v>SE-000288293</v>
      </c>
      <c r="D20263" s="1" t="s">
        <v>0</v>
      </c>
      <c r="E20263" s="2">
        <v>0</v>
      </c>
      <c r="F20263" s="2">
        <v>0</v>
      </c>
      <c r="G20263" s="2">
        <v>0</v>
      </c>
      <c r="H20263" s="1" t="s">
        <v>0</v>
      </c>
      <c r="I20263" s="2">
        <v>0</v>
      </c>
      <c r="J20263" s="1">
        <v>45950.397361111114</v>
      </c>
    </row>
    <row r="20264" spans="1:10" x14ac:dyDescent="0.2">
      <c r="A20264" s="4" t="s">
        <v>1</v>
      </c>
      <c r="B202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64" s="3" t="str">
        <f>HYPERLINK("https://otsuka-europe-crm.veevavault.com/ui/#object/sent_email__v/VBLZ025E82HOKXS", "SE-000288294")</f>
        <v>SE-000288294</v>
      </c>
      <c r="D20264" s="1" t="s">
        <v>0</v>
      </c>
      <c r="E20264" s="2">
        <v>0</v>
      </c>
      <c r="F20264" s="2">
        <v>0</v>
      </c>
      <c r="G20264" s="2">
        <v>0</v>
      </c>
      <c r="H20264" s="1" t="s">
        <v>0</v>
      </c>
      <c r="I20264" s="2">
        <v>0</v>
      </c>
      <c r="J20264" s="1">
        <v>45950.397372685184</v>
      </c>
    </row>
    <row r="20265" spans="1:10" x14ac:dyDescent="0.2">
      <c r="A20265" s="4" t="s">
        <v>1</v>
      </c>
      <c r="B202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65" s="3" t="str">
        <f>HYPERLINK("https://otsuka-europe-crm.veevavault.com/ui/#object/sent_email__v/VBLZ025E82HOKXT", "SE-000288295")</f>
        <v>SE-000288295</v>
      </c>
      <c r="D20265" s="1">
        <v>45960.759618055556</v>
      </c>
      <c r="E20265" s="2">
        <v>1</v>
      </c>
      <c r="F20265" s="2">
        <v>1</v>
      </c>
      <c r="G20265" s="2">
        <v>0</v>
      </c>
      <c r="H20265" s="1" t="s">
        <v>0</v>
      </c>
      <c r="I20265" s="2">
        <v>0</v>
      </c>
      <c r="J20265" s="1">
        <v>45950.39738425926</v>
      </c>
    </row>
    <row r="20266" spans="1:10" x14ac:dyDescent="0.2">
      <c r="A20266" s="4" t="s">
        <v>1</v>
      </c>
      <c r="B202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66" s="3" t="str">
        <f>HYPERLINK("https://otsuka-europe-crm.veevavault.com/ui/#object/sent_email__v/VBLZ025E82HOKXU", "SE-000288296")</f>
        <v>SE-000288296</v>
      </c>
      <c r="D20266" s="1">
        <v>45950.436249999999</v>
      </c>
      <c r="E20266" s="2">
        <v>1</v>
      </c>
      <c r="F20266" s="2">
        <v>1</v>
      </c>
      <c r="G20266" s="2">
        <v>0</v>
      </c>
      <c r="H20266" s="1" t="s">
        <v>0</v>
      </c>
      <c r="I20266" s="2">
        <v>0</v>
      </c>
      <c r="J20266" s="1">
        <v>45950.39739583333</v>
      </c>
    </row>
    <row r="20267" spans="1:10" x14ac:dyDescent="0.2">
      <c r="A20267" s="4" t="s">
        <v>1</v>
      </c>
      <c r="B202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67" s="3" t="str">
        <f>HYPERLINK("https://otsuka-europe-crm.veevavault.com/ui/#object/sent_email__v/VBLZ025E82HOKXV", "SE-000288297")</f>
        <v>SE-000288297</v>
      </c>
      <c r="D20267" s="1">
        <v>45950.400335648148</v>
      </c>
      <c r="E20267" s="2">
        <v>1</v>
      </c>
      <c r="F20267" s="2">
        <v>2</v>
      </c>
      <c r="G20267" s="2">
        <v>0</v>
      </c>
      <c r="H20267" s="1" t="s">
        <v>0</v>
      </c>
      <c r="I20267" s="2">
        <v>0</v>
      </c>
      <c r="J20267" s="1">
        <v>45950.397407407407</v>
      </c>
    </row>
    <row r="20268" spans="1:10" x14ac:dyDescent="0.2">
      <c r="A20268" s="4" t="s">
        <v>1</v>
      </c>
      <c r="B202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68" s="3" t="str">
        <f>HYPERLINK("https://otsuka-europe-crm.veevavault.com/ui/#object/sent_email__v/VBLZ025E82HOKXW", "SE-000288298")</f>
        <v>SE-000288298</v>
      </c>
      <c r="D20268" s="1">
        <v>45950.547962962963</v>
      </c>
      <c r="E20268" s="2">
        <v>1</v>
      </c>
      <c r="F20268" s="2">
        <v>2</v>
      </c>
      <c r="G20268" s="2">
        <v>0</v>
      </c>
      <c r="H20268" s="1" t="s">
        <v>0</v>
      </c>
      <c r="I20268" s="2">
        <v>0</v>
      </c>
      <c r="J20268" s="1">
        <v>45950.397407407407</v>
      </c>
    </row>
    <row r="20269" spans="1:10" x14ac:dyDescent="0.2">
      <c r="A20269" s="4" t="s">
        <v>1</v>
      </c>
      <c r="B202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69" s="3" t="str">
        <f>HYPERLINK("https://otsuka-europe-crm.veevavault.com/ui/#object/sent_email__v/VBLZ025E82HOKXX", "SE-000288299")</f>
        <v>SE-000288299</v>
      </c>
      <c r="D20269" s="1" t="s">
        <v>0</v>
      </c>
      <c r="E20269" s="2">
        <v>0</v>
      </c>
      <c r="F20269" s="2">
        <v>0</v>
      </c>
      <c r="G20269" s="2">
        <v>0</v>
      </c>
      <c r="H20269" s="1" t="s">
        <v>0</v>
      </c>
      <c r="I20269" s="2">
        <v>0</v>
      </c>
      <c r="J20269" s="1">
        <v>45950.397418981483</v>
      </c>
    </row>
    <row r="20270" spans="1:10" x14ac:dyDescent="0.2">
      <c r="A20270" s="4" t="s">
        <v>1</v>
      </c>
      <c r="B202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70" s="3" t="str">
        <f>HYPERLINK("https://otsuka-europe-crm.veevavault.com/ui/#object/sent_email__v/VBLZ025E82HOKXY", "SE-000288300")</f>
        <v>SE-000288300</v>
      </c>
      <c r="D20270" s="1">
        <v>45951.474479166667</v>
      </c>
      <c r="E20270" s="2">
        <v>1</v>
      </c>
      <c r="F20270" s="2">
        <v>2</v>
      </c>
      <c r="G20270" s="2">
        <v>0</v>
      </c>
      <c r="H20270" s="1" t="s">
        <v>0</v>
      </c>
      <c r="I20270" s="2">
        <v>0</v>
      </c>
      <c r="J20270" s="1">
        <v>45950.397430555553</v>
      </c>
    </row>
    <row r="20271" spans="1:10" x14ac:dyDescent="0.2">
      <c r="A20271" s="4" t="s">
        <v>1</v>
      </c>
      <c r="B202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71" s="3" t="str">
        <f>HYPERLINK("https://otsuka-europe-crm.veevavault.com/ui/#object/sent_email__v/VBLZ025E82HOKXZ", "SE-000288301")</f>
        <v>SE-000288301</v>
      </c>
      <c r="D20271" s="1">
        <v>46067.637962962966</v>
      </c>
      <c r="E20271" s="2">
        <v>1</v>
      </c>
      <c r="F20271" s="2">
        <v>2</v>
      </c>
      <c r="G20271" s="2">
        <v>0</v>
      </c>
      <c r="H20271" s="1" t="s">
        <v>0</v>
      </c>
      <c r="I20271" s="2">
        <v>0</v>
      </c>
      <c r="J20271" s="1">
        <v>45950.39744212963</v>
      </c>
    </row>
    <row r="20272" spans="1:10" x14ac:dyDescent="0.2">
      <c r="A20272" s="4" t="s">
        <v>1</v>
      </c>
      <c r="B202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72" s="3" t="str">
        <f>HYPERLINK("https://otsuka-europe-crm.veevavault.com/ui/#object/sent_email__v/VBLZ025E82HOKY0", "SE-000288302")</f>
        <v>SE-000288302</v>
      </c>
      <c r="D20272" s="1">
        <v>45952.372777777775</v>
      </c>
      <c r="E20272" s="2">
        <v>1</v>
      </c>
      <c r="F20272" s="2">
        <v>3</v>
      </c>
      <c r="G20272" s="2">
        <v>0</v>
      </c>
      <c r="H20272" s="1" t="s">
        <v>0</v>
      </c>
      <c r="I20272" s="2">
        <v>0</v>
      </c>
      <c r="J20272" s="1">
        <v>45950.397453703707</v>
      </c>
    </row>
    <row r="20273" spans="1:10" x14ac:dyDescent="0.2">
      <c r="A20273" s="4" t="s">
        <v>1</v>
      </c>
      <c r="B202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73" s="3" t="str">
        <f>HYPERLINK("https://otsuka-europe-crm.veevavault.com/ui/#object/sent_email__v/VBLZ025E82HOKY1", "SE-000288303")</f>
        <v>SE-000288303</v>
      </c>
      <c r="D20273" s="1">
        <v>45950.450173611112</v>
      </c>
      <c r="E20273" s="2">
        <v>1</v>
      </c>
      <c r="F20273" s="2">
        <v>3</v>
      </c>
      <c r="G20273" s="2">
        <v>0</v>
      </c>
      <c r="H20273" s="1" t="s">
        <v>0</v>
      </c>
      <c r="I20273" s="2">
        <v>0</v>
      </c>
      <c r="J20273" s="1">
        <v>45950.397465277776</v>
      </c>
    </row>
    <row r="20274" spans="1:10" x14ac:dyDescent="0.2">
      <c r="A20274" s="4" t="s">
        <v>1</v>
      </c>
      <c r="B202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74" s="3" t="str">
        <f>HYPERLINK("https://otsuka-europe-crm.veevavault.com/ui/#object/sent_email__v/VBLZ025E82HOKY2", "SE-000288304")</f>
        <v>SE-000288304</v>
      </c>
      <c r="D20274" s="1" t="s">
        <v>0</v>
      </c>
      <c r="E20274" s="2">
        <v>0</v>
      </c>
      <c r="F20274" s="2">
        <v>0</v>
      </c>
      <c r="G20274" s="2">
        <v>0</v>
      </c>
      <c r="H20274" s="1" t="s">
        <v>0</v>
      </c>
      <c r="I20274" s="2">
        <v>0</v>
      </c>
      <c r="J20274" s="1">
        <v>45950.397476851853</v>
      </c>
    </row>
    <row r="20275" spans="1:10" x14ac:dyDescent="0.2">
      <c r="A20275" s="4" t="s">
        <v>1</v>
      </c>
      <c r="B202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75" s="3" t="str">
        <f>HYPERLINK("https://otsuka-europe-crm.veevavault.com/ui/#object/sent_email__v/VBLZ025E82HOKY3", "SE-000288305")</f>
        <v>SE-000288305</v>
      </c>
      <c r="D20275" s="1">
        <v>45951.325127314813</v>
      </c>
      <c r="E20275" s="2">
        <v>1</v>
      </c>
      <c r="F20275" s="2">
        <v>3</v>
      </c>
      <c r="G20275" s="2">
        <v>1</v>
      </c>
      <c r="H20275" s="1">
        <v>45950.616006944445</v>
      </c>
      <c r="I20275" s="2">
        <v>2</v>
      </c>
      <c r="J20275" s="1">
        <v>45950.397488425922</v>
      </c>
    </row>
    <row r="20276" spans="1:10" x14ac:dyDescent="0.2">
      <c r="A20276" s="4" t="s">
        <v>1</v>
      </c>
      <c r="B202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76" s="3" t="str">
        <f>HYPERLINK("https://otsuka-europe-crm.veevavault.com/ui/#object/sent_email__v/VBLZ025E82HOKY4", "SE-000288306")</f>
        <v>SE-000288306</v>
      </c>
      <c r="D20276" s="1">
        <v>45950.798194444447</v>
      </c>
      <c r="E20276" s="2">
        <v>1</v>
      </c>
      <c r="F20276" s="2">
        <v>1</v>
      </c>
      <c r="G20276" s="2">
        <v>0</v>
      </c>
      <c r="H20276" s="1" t="s">
        <v>0</v>
      </c>
      <c r="I20276" s="2">
        <v>0</v>
      </c>
      <c r="J20276" s="1">
        <v>45950.397488425922</v>
      </c>
    </row>
    <row r="20277" spans="1:10" x14ac:dyDescent="0.2">
      <c r="A20277" s="4" t="s">
        <v>1</v>
      </c>
      <c r="B202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77" s="3" t="str">
        <f>HYPERLINK("https://otsuka-europe-crm.veevavault.com/ui/#object/sent_email__v/VBLZ025E82HOKY5", "SE-000288307")</f>
        <v>SE-000288307</v>
      </c>
      <c r="D20277" s="1" t="s">
        <v>0</v>
      </c>
      <c r="E20277" s="2">
        <v>0</v>
      </c>
      <c r="F20277" s="2">
        <v>0</v>
      </c>
      <c r="G20277" s="2">
        <v>0</v>
      </c>
      <c r="H20277" s="1" t="s">
        <v>0</v>
      </c>
      <c r="I20277" s="2">
        <v>0</v>
      </c>
      <c r="J20277" s="1">
        <v>45950.397499999999</v>
      </c>
    </row>
    <row r="20278" spans="1:10" x14ac:dyDescent="0.2">
      <c r="A20278" s="4" t="s">
        <v>1</v>
      </c>
      <c r="B202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78" s="3" t="str">
        <f>HYPERLINK("https://otsuka-europe-crm.veevavault.com/ui/#object/sent_email__v/VBLZ025E82HOKY6", "SE-000288308")</f>
        <v>SE-000288308</v>
      </c>
      <c r="D20278" s="1">
        <v>45950.691041666665</v>
      </c>
      <c r="E20278" s="2">
        <v>1</v>
      </c>
      <c r="F20278" s="2">
        <v>1</v>
      </c>
      <c r="G20278" s="2">
        <v>0</v>
      </c>
      <c r="H20278" s="1" t="s">
        <v>0</v>
      </c>
      <c r="I20278" s="2">
        <v>0</v>
      </c>
      <c r="J20278" s="1">
        <v>45950.397511574076</v>
      </c>
    </row>
    <row r="20279" spans="1:10" x14ac:dyDescent="0.2">
      <c r="A20279" s="4" t="s">
        <v>1</v>
      </c>
      <c r="B202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79" s="3" t="str">
        <f>HYPERLINK("https://otsuka-europe-crm.veevavault.com/ui/#object/sent_email__v/VBLZ025E82HOKY7", "SE-000288309")</f>
        <v>SE-000288309</v>
      </c>
      <c r="D20279" s="1">
        <v>45950.445787037039</v>
      </c>
      <c r="E20279" s="2">
        <v>1</v>
      </c>
      <c r="F20279" s="2">
        <v>2</v>
      </c>
      <c r="G20279" s="2">
        <v>0</v>
      </c>
      <c r="H20279" s="1" t="s">
        <v>0</v>
      </c>
      <c r="I20279" s="2">
        <v>0</v>
      </c>
      <c r="J20279" s="1">
        <v>45950.397523148145</v>
      </c>
    </row>
    <row r="20280" spans="1:10" x14ac:dyDescent="0.2">
      <c r="A20280" s="4" t="s">
        <v>1</v>
      </c>
      <c r="B202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80" s="3" t="str">
        <f>HYPERLINK("https://otsuka-europe-crm.veevavault.com/ui/#object/sent_email__v/VBLZ025E82HOKY8", "SE-000288310")</f>
        <v>SE-000288310</v>
      </c>
      <c r="D20280" s="1" t="s">
        <v>0</v>
      </c>
      <c r="E20280" s="2">
        <v>0</v>
      </c>
      <c r="F20280" s="2">
        <v>0</v>
      </c>
      <c r="G20280" s="2">
        <v>0</v>
      </c>
      <c r="H20280" s="1" t="s">
        <v>0</v>
      </c>
      <c r="I20280" s="2">
        <v>0</v>
      </c>
      <c r="J20280" s="1">
        <v>45950.397523148145</v>
      </c>
    </row>
    <row r="20281" spans="1:10" x14ac:dyDescent="0.2">
      <c r="A20281" s="4" t="s">
        <v>1</v>
      </c>
      <c r="B202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81" s="3" t="str">
        <f>HYPERLINK("https://otsuka-europe-crm.veevavault.com/ui/#object/sent_email__v/VBLZ025E82HOKY9", "SE-000288311")</f>
        <v>SE-000288311</v>
      </c>
      <c r="D20281" s="1" t="s">
        <v>0</v>
      </c>
      <c r="E20281" s="2">
        <v>0</v>
      </c>
      <c r="F20281" s="2">
        <v>0</v>
      </c>
      <c r="G20281" s="2">
        <v>0</v>
      </c>
      <c r="H20281" s="1" t="s">
        <v>0</v>
      </c>
      <c r="I20281" s="2">
        <v>0</v>
      </c>
      <c r="J20281" s="1">
        <v>45950.397534722222</v>
      </c>
    </row>
    <row r="20282" spans="1:10" x14ac:dyDescent="0.2">
      <c r="A20282" s="4" t="s">
        <v>1</v>
      </c>
      <c r="B202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82" s="3" t="str">
        <f>HYPERLINK("https://otsuka-europe-crm.veevavault.com/ui/#object/sent_email__v/VBLZ025E82HOKYA", "SE-000288312")</f>
        <v>SE-000288312</v>
      </c>
      <c r="D20282" s="1">
        <v>45950.398379629631</v>
      </c>
      <c r="E20282" s="2">
        <v>1</v>
      </c>
      <c r="F20282" s="2">
        <v>2</v>
      </c>
      <c r="G20282" s="2">
        <v>0</v>
      </c>
      <c r="H20282" s="1" t="s">
        <v>0</v>
      </c>
      <c r="I20282" s="2">
        <v>0</v>
      </c>
      <c r="J20282" s="1">
        <v>45950.397557870368</v>
      </c>
    </row>
    <row r="20283" spans="1:10" x14ac:dyDescent="0.2">
      <c r="A20283" s="4" t="s">
        <v>1</v>
      </c>
      <c r="B202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83" s="3" t="str">
        <f>HYPERLINK("https://otsuka-europe-crm.veevavault.com/ui/#object/sent_email__v/VBLZ025E82HOKYB", "SE-000288313")</f>
        <v>SE-000288313</v>
      </c>
      <c r="D20283" s="1">
        <v>45984.342083333337</v>
      </c>
      <c r="E20283" s="2">
        <v>1</v>
      </c>
      <c r="F20283" s="2">
        <v>3</v>
      </c>
      <c r="G20283" s="2">
        <v>0</v>
      </c>
      <c r="H20283" s="1" t="s">
        <v>0</v>
      </c>
      <c r="I20283" s="2">
        <v>0</v>
      </c>
      <c r="J20283" s="1">
        <v>45950.397557870368</v>
      </c>
    </row>
    <row r="20284" spans="1:10" x14ac:dyDescent="0.2">
      <c r="A20284" s="4" t="s">
        <v>1</v>
      </c>
      <c r="B202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84" s="3" t="str">
        <f>HYPERLINK("https://otsuka-europe-crm.veevavault.com/ui/#object/sent_email__v/VBLZ025E82HOKYC", "SE-000288314")</f>
        <v>SE-000288314</v>
      </c>
      <c r="D20284" s="1" t="s">
        <v>0</v>
      </c>
      <c r="E20284" s="2">
        <v>0</v>
      </c>
      <c r="F20284" s="2">
        <v>0</v>
      </c>
      <c r="G20284" s="2">
        <v>0</v>
      </c>
      <c r="H20284" s="1" t="s">
        <v>0</v>
      </c>
      <c r="I20284" s="2">
        <v>0</v>
      </c>
      <c r="J20284" s="1">
        <v>45950.397569444445</v>
      </c>
    </row>
    <row r="20285" spans="1:10" x14ac:dyDescent="0.2">
      <c r="A20285" s="4" t="s">
        <v>1</v>
      </c>
      <c r="B202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85" s="3" t="str">
        <f>HYPERLINK("https://otsuka-europe-crm.veevavault.com/ui/#object/sent_email__v/VBLZ025E82HOKYD", "SE-000288315")</f>
        <v>SE-000288315</v>
      </c>
      <c r="D20285" s="1" t="s">
        <v>0</v>
      </c>
      <c r="E20285" s="2">
        <v>0</v>
      </c>
      <c r="F20285" s="2">
        <v>0</v>
      </c>
      <c r="G20285" s="2">
        <v>0</v>
      </c>
      <c r="H20285" s="1" t="s">
        <v>0</v>
      </c>
      <c r="I20285" s="2">
        <v>0</v>
      </c>
      <c r="J20285" s="1">
        <v>45950.397581018522</v>
      </c>
    </row>
    <row r="20286" spans="1:10" x14ac:dyDescent="0.2">
      <c r="A20286" s="4" t="s">
        <v>1</v>
      </c>
      <c r="B202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86" s="3" t="str">
        <f>HYPERLINK("https://otsuka-europe-crm.veevavault.com/ui/#object/sent_email__v/VBLZ025E82HOKYE", "SE-000288316")</f>
        <v>SE-000288316</v>
      </c>
      <c r="D20286" s="1" t="s">
        <v>0</v>
      </c>
      <c r="E20286" s="2">
        <v>0</v>
      </c>
      <c r="F20286" s="2">
        <v>0</v>
      </c>
      <c r="G20286" s="2">
        <v>0</v>
      </c>
      <c r="H20286" s="1" t="s">
        <v>0</v>
      </c>
      <c r="I20286" s="2">
        <v>0</v>
      </c>
      <c r="J20286" s="1">
        <v>45950.397592592592</v>
      </c>
    </row>
    <row r="20287" spans="1:10" x14ac:dyDescent="0.2">
      <c r="A20287" s="4" t="s">
        <v>1</v>
      </c>
      <c r="B202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87" s="3" t="str">
        <f>HYPERLINK("https://otsuka-europe-crm.veevavault.com/ui/#object/sent_email__v/VBLZ025E82HOKYF", "SE-000288317")</f>
        <v>SE-000288317</v>
      </c>
      <c r="D20287" s="1" t="s">
        <v>0</v>
      </c>
      <c r="E20287" s="2">
        <v>0</v>
      </c>
      <c r="F20287" s="2">
        <v>0</v>
      </c>
      <c r="G20287" s="2">
        <v>0</v>
      </c>
      <c r="H20287" s="1" t="s">
        <v>0</v>
      </c>
      <c r="I20287" s="2">
        <v>0</v>
      </c>
      <c r="J20287" s="1">
        <v>45950.397604166668</v>
      </c>
    </row>
    <row r="20288" spans="1:10" x14ac:dyDescent="0.2">
      <c r="A20288" s="4" t="s">
        <v>1</v>
      </c>
      <c r="B202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88" s="3" t="str">
        <f>HYPERLINK("https://otsuka-europe-crm.veevavault.com/ui/#object/sent_email__v/VBLZ025E82HOKYG", "SE-000288318")</f>
        <v>SE-000288318</v>
      </c>
      <c r="D20288" s="1">
        <v>45950.456782407404</v>
      </c>
      <c r="E20288" s="2">
        <v>1</v>
      </c>
      <c r="F20288" s="2">
        <v>2</v>
      </c>
      <c r="G20288" s="2">
        <v>0</v>
      </c>
      <c r="H20288" s="1" t="s">
        <v>0</v>
      </c>
      <c r="I20288" s="2">
        <v>0</v>
      </c>
      <c r="J20288" s="1">
        <v>45950.397615740738</v>
      </c>
    </row>
    <row r="20289" spans="1:10" x14ac:dyDescent="0.2">
      <c r="A20289" s="4" t="s">
        <v>1</v>
      </c>
      <c r="B202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89" s="3" t="str">
        <f>HYPERLINK("https://otsuka-europe-crm.veevavault.com/ui/#object/sent_email__v/VBLZ025E82HOMWL", "SE-000288351")</f>
        <v>SE-000288351</v>
      </c>
      <c r="D20289" s="1">
        <v>45975.652777777781</v>
      </c>
      <c r="E20289" s="2">
        <v>1</v>
      </c>
      <c r="F20289" s="2">
        <v>3</v>
      </c>
      <c r="G20289" s="2">
        <v>0</v>
      </c>
      <c r="H20289" s="1" t="s">
        <v>0</v>
      </c>
      <c r="I20289" s="2">
        <v>0</v>
      </c>
      <c r="J20289" s="1">
        <v>45950.405277777776</v>
      </c>
    </row>
    <row r="20290" spans="1:10" x14ac:dyDescent="0.2">
      <c r="A20290" s="4" t="s">
        <v>1</v>
      </c>
      <c r="B202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90" s="3" t="str">
        <f>HYPERLINK("https://otsuka-europe-crm.veevavault.com/ui/#object/sent_email__v/VBLZ025E82HOMWM", "SE-000288352")</f>
        <v>SE-000288352</v>
      </c>
      <c r="D20290" s="1" t="s">
        <v>0</v>
      </c>
      <c r="E20290" s="2">
        <v>0</v>
      </c>
      <c r="F20290" s="2">
        <v>0</v>
      </c>
      <c r="G20290" s="2">
        <v>0</v>
      </c>
      <c r="H20290" s="1" t="s">
        <v>0</v>
      </c>
      <c r="I20290" s="2">
        <v>0</v>
      </c>
      <c r="J20290" s="1">
        <v>45950.405289351853</v>
      </c>
    </row>
    <row r="20291" spans="1:10" x14ac:dyDescent="0.2">
      <c r="A20291" s="4" t="s">
        <v>1</v>
      </c>
      <c r="B202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91" s="3" t="str">
        <f>HYPERLINK("https://otsuka-europe-crm.veevavault.com/ui/#object/sent_email__v/VBLZ025E82HOMWN", "SE-000288353")</f>
        <v>SE-000288353</v>
      </c>
      <c r="D20291" s="1" t="s">
        <v>0</v>
      </c>
      <c r="E20291" s="2">
        <v>0</v>
      </c>
      <c r="F20291" s="2">
        <v>0</v>
      </c>
      <c r="G20291" s="2">
        <v>0</v>
      </c>
      <c r="H20291" s="1" t="s">
        <v>0</v>
      </c>
      <c r="I20291" s="2">
        <v>0</v>
      </c>
      <c r="J20291" s="1">
        <v>45950.405300925922</v>
      </c>
    </row>
    <row r="20292" spans="1:10" x14ac:dyDescent="0.2">
      <c r="A20292" s="4" t="s">
        <v>1</v>
      </c>
      <c r="B202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92" s="3" t="str">
        <f>HYPERLINK("https://otsuka-europe-crm.veevavault.com/ui/#object/sent_email__v/VBLZ025E82HOMWO", "SE-000288354")</f>
        <v>SE-000288354</v>
      </c>
      <c r="D20292" s="1">
        <v>45951.264444444445</v>
      </c>
      <c r="E20292" s="2">
        <v>1</v>
      </c>
      <c r="F20292" s="2">
        <v>3</v>
      </c>
      <c r="G20292" s="2">
        <v>0</v>
      </c>
      <c r="H20292" s="1" t="s">
        <v>0</v>
      </c>
      <c r="I20292" s="2">
        <v>0</v>
      </c>
      <c r="J20292" s="1">
        <v>45950.405300925922</v>
      </c>
    </row>
    <row r="20293" spans="1:10" x14ac:dyDescent="0.2">
      <c r="A20293" s="4" t="s">
        <v>1</v>
      </c>
      <c r="B202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93" s="3" t="str">
        <f>HYPERLINK("https://otsuka-europe-crm.veevavault.com/ui/#object/sent_email__v/VBLZ025E82HOMWP", "SE-000288355")</f>
        <v>SE-000288355</v>
      </c>
      <c r="D20293" s="1">
        <v>45952.344039351854</v>
      </c>
      <c r="E20293" s="2">
        <v>1</v>
      </c>
      <c r="F20293" s="2">
        <v>3</v>
      </c>
      <c r="G20293" s="2">
        <v>0</v>
      </c>
      <c r="H20293" s="1" t="s">
        <v>0</v>
      </c>
      <c r="I20293" s="2">
        <v>0</v>
      </c>
      <c r="J20293" s="1">
        <v>45950.405300925922</v>
      </c>
    </row>
    <row r="20294" spans="1:10" x14ac:dyDescent="0.2">
      <c r="A20294" s="4" t="s">
        <v>1</v>
      </c>
      <c r="B202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94" s="3" t="str">
        <f>HYPERLINK("https://otsuka-europe-crm.veevavault.com/ui/#object/sent_email__v/VBLZ025E82HOMWQ", "SE-000288356")</f>
        <v>SE-000288356</v>
      </c>
      <c r="D20294" s="1">
        <v>45950.420474537037</v>
      </c>
      <c r="E20294" s="2">
        <v>1</v>
      </c>
      <c r="F20294" s="2">
        <v>1</v>
      </c>
      <c r="G20294" s="2">
        <v>0</v>
      </c>
      <c r="H20294" s="1" t="s">
        <v>0</v>
      </c>
      <c r="I20294" s="2">
        <v>0</v>
      </c>
      <c r="J20294" s="1">
        <v>45950.405312499999</v>
      </c>
    </row>
    <row r="20295" spans="1:10" x14ac:dyDescent="0.2">
      <c r="A20295" s="4" t="s">
        <v>1</v>
      </c>
      <c r="B202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95" s="3" t="str">
        <f>HYPERLINK("https://otsuka-europe-crm.veevavault.com/ui/#object/sent_email__v/VBLZ025E82HOMWR", "SE-000288357")</f>
        <v>SE-000288357</v>
      </c>
      <c r="D20295" s="1" t="s">
        <v>0</v>
      </c>
      <c r="E20295" s="2">
        <v>0</v>
      </c>
      <c r="F20295" s="2">
        <v>0</v>
      </c>
      <c r="G20295" s="2">
        <v>0</v>
      </c>
      <c r="H20295" s="1" t="s">
        <v>0</v>
      </c>
      <c r="I20295" s="2">
        <v>0</v>
      </c>
      <c r="J20295" s="1">
        <v>45950.405347222222</v>
      </c>
    </row>
    <row r="20296" spans="1:10" x14ac:dyDescent="0.2">
      <c r="A20296" s="4" t="s">
        <v>1</v>
      </c>
      <c r="B202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96" s="3" t="str">
        <f>HYPERLINK("https://otsuka-europe-crm.veevavault.com/ui/#object/sent_email__v/VBLZ025E82HOMWS", "SE-000288358")</f>
        <v>SE-000288358</v>
      </c>
      <c r="D20296" s="1">
        <v>45950.844317129631</v>
      </c>
      <c r="E20296" s="2">
        <v>1</v>
      </c>
      <c r="F20296" s="2">
        <v>2</v>
      </c>
      <c r="G20296" s="2">
        <v>0</v>
      </c>
      <c r="H20296" s="1" t="s">
        <v>0</v>
      </c>
      <c r="I20296" s="2">
        <v>0</v>
      </c>
      <c r="J20296" s="1">
        <v>45950.405347222222</v>
      </c>
    </row>
    <row r="20297" spans="1:10" x14ac:dyDescent="0.2">
      <c r="A20297" s="4" t="s">
        <v>1</v>
      </c>
      <c r="B202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97" s="3" t="str">
        <f>HYPERLINK("https://otsuka-europe-crm.veevavault.com/ui/#object/sent_email__v/VBLZ025E82HOMWT", "SE-000288359")</f>
        <v>SE-000288359</v>
      </c>
      <c r="D20297" s="1">
        <v>45950.406990740739</v>
      </c>
      <c r="E20297" s="2">
        <v>1</v>
      </c>
      <c r="F20297" s="2">
        <v>1</v>
      </c>
      <c r="G20297" s="2">
        <v>0</v>
      </c>
      <c r="H20297" s="1" t="s">
        <v>0</v>
      </c>
      <c r="I20297" s="2">
        <v>0</v>
      </c>
      <c r="J20297" s="1">
        <v>45950.405347222222</v>
      </c>
    </row>
    <row r="20298" spans="1:10" x14ac:dyDescent="0.2">
      <c r="A20298" s="4" t="s">
        <v>1</v>
      </c>
      <c r="B202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98" s="3" t="str">
        <f>HYPERLINK("https://otsuka-europe-crm.veevavault.com/ui/#object/sent_email__v/VBLZ025E82HOMWU", "SE-000288360")</f>
        <v>SE-000288360</v>
      </c>
      <c r="D20298" s="1" t="s">
        <v>0</v>
      </c>
      <c r="E20298" s="2">
        <v>0</v>
      </c>
      <c r="F20298" s="2">
        <v>0</v>
      </c>
      <c r="G20298" s="2">
        <v>0</v>
      </c>
      <c r="H20298" s="1" t="s">
        <v>0</v>
      </c>
      <c r="I20298" s="2">
        <v>0</v>
      </c>
      <c r="J20298" s="1">
        <v>45950.405347222222</v>
      </c>
    </row>
    <row r="20299" spans="1:10" x14ac:dyDescent="0.2">
      <c r="A20299" s="4" t="s">
        <v>1</v>
      </c>
      <c r="B202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299" s="3" t="str">
        <f>HYPERLINK("https://otsuka-europe-crm.veevavault.com/ui/#object/sent_email__v/VBLZ025E82HOMWV", "SE-000288361")</f>
        <v>SE-000288361</v>
      </c>
      <c r="D20299" s="1">
        <v>45950.525324074071</v>
      </c>
      <c r="E20299" s="2">
        <v>1</v>
      </c>
      <c r="F20299" s="2">
        <v>1</v>
      </c>
      <c r="G20299" s="2">
        <v>0</v>
      </c>
      <c r="H20299" s="1" t="s">
        <v>0</v>
      </c>
      <c r="I20299" s="2">
        <v>0</v>
      </c>
      <c r="J20299" s="1">
        <v>45950.405381944445</v>
      </c>
    </row>
    <row r="20300" spans="1:10" x14ac:dyDescent="0.2">
      <c r="A20300" s="4" t="s">
        <v>1</v>
      </c>
      <c r="B203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00" s="3" t="str">
        <f>HYPERLINK("https://otsuka-europe-crm.veevavault.com/ui/#object/sent_email__v/VBLZ025E82HOMWW", "SE-000288362")</f>
        <v>SE-000288362</v>
      </c>
      <c r="D20300" s="1" t="s">
        <v>0</v>
      </c>
      <c r="E20300" s="2">
        <v>0</v>
      </c>
      <c r="F20300" s="2">
        <v>0</v>
      </c>
      <c r="G20300" s="2">
        <v>0</v>
      </c>
      <c r="H20300" s="1" t="s">
        <v>0</v>
      </c>
      <c r="I20300" s="2">
        <v>0</v>
      </c>
      <c r="J20300" s="1">
        <v>45950.405370370368</v>
      </c>
    </row>
    <row r="20301" spans="1:10" x14ac:dyDescent="0.2">
      <c r="A20301" s="4" t="s">
        <v>1</v>
      </c>
      <c r="B203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01" s="3" t="str">
        <f>HYPERLINK("https://otsuka-europe-crm.veevavault.com/ui/#object/sent_email__v/VBLZ025E82HOMWX", "SE-000288363")</f>
        <v>SE-000288363</v>
      </c>
      <c r="D20301" s="1">
        <v>45951.646041666667</v>
      </c>
      <c r="E20301" s="2">
        <v>1</v>
      </c>
      <c r="F20301" s="2">
        <v>1</v>
      </c>
      <c r="G20301" s="2">
        <v>0</v>
      </c>
      <c r="H20301" s="1" t="s">
        <v>0</v>
      </c>
      <c r="I20301" s="2">
        <v>0</v>
      </c>
      <c r="J20301" s="1">
        <v>45950.405393518522</v>
      </c>
    </row>
    <row r="20302" spans="1:10" x14ac:dyDescent="0.2">
      <c r="A20302" s="4" t="s">
        <v>1</v>
      </c>
      <c r="B203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02" s="3" t="str">
        <f>HYPERLINK("https://otsuka-europe-crm.veevavault.com/ui/#object/sent_email__v/VBLZ025E82HOMWY", "SE-000288364")</f>
        <v>SE-000288364</v>
      </c>
      <c r="D20302" s="1">
        <v>45967.688067129631</v>
      </c>
      <c r="E20302" s="2">
        <v>1</v>
      </c>
      <c r="F20302" s="2">
        <v>20</v>
      </c>
      <c r="G20302" s="2">
        <v>1</v>
      </c>
      <c r="H20302" s="1">
        <v>45952.750011574077</v>
      </c>
      <c r="I20302" s="2">
        <v>2</v>
      </c>
      <c r="J20302" s="1">
        <v>45950.405393518522</v>
      </c>
    </row>
    <row r="20303" spans="1:10" x14ac:dyDescent="0.2">
      <c r="A20303" s="4" t="s">
        <v>1</v>
      </c>
      <c r="B203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03" s="3" t="str">
        <f>HYPERLINK("https://otsuka-europe-crm.veevavault.com/ui/#object/sent_email__v/VBLZ025E82HOMWZ", "SE-000288365")</f>
        <v>SE-000288365</v>
      </c>
      <c r="D20303" s="1">
        <v>45950.943356481483</v>
      </c>
      <c r="E20303" s="2">
        <v>1</v>
      </c>
      <c r="F20303" s="2">
        <v>2</v>
      </c>
      <c r="G20303" s="2">
        <v>0</v>
      </c>
      <c r="H20303" s="1" t="s">
        <v>0</v>
      </c>
      <c r="I20303" s="2">
        <v>0</v>
      </c>
      <c r="J20303" s="1">
        <v>45950.405405092592</v>
      </c>
    </row>
    <row r="20304" spans="1:10" x14ac:dyDescent="0.2">
      <c r="A20304" s="4" t="s">
        <v>1</v>
      </c>
      <c r="B203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04" s="3" t="str">
        <f>HYPERLINK("https://otsuka-europe-crm.veevavault.com/ui/#object/sent_email__v/VBLZ025E82HOMX0", "SE-000288366")</f>
        <v>SE-000288366</v>
      </c>
      <c r="D20304" s="1">
        <v>45950.496655092589</v>
      </c>
      <c r="E20304" s="2">
        <v>1</v>
      </c>
      <c r="F20304" s="2">
        <v>1</v>
      </c>
      <c r="G20304" s="2">
        <v>0</v>
      </c>
      <c r="H20304" s="1" t="s">
        <v>0</v>
      </c>
      <c r="I20304" s="2">
        <v>0</v>
      </c>
      <c r="J20304" s="1">
        <v>45950.405405092592</v>
      </c>
    </row>
    <row r="20305" spans="1:10" x14ac:dyDescent="0.2">
      <c r="A20305" s="4" t="s">
        <v>1</v>
      </c>
      <c r="B203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05" s="3" t="str">
        <f>HYPERLINK("https://otsuka-europe-crm.veevavault.com/ui/#object/sent_email__v/VBLZ025E82HOMX1", "SE-000288367")</f>
        <v>SE-000288367</v>
      </c>
      <c r="D20305" s="1" t="s">
        <v>0</v>
      </c>
      <c r="E20305" s="2">
        <v>0</v>
      </c>
      <c r="F20305" s="2">
        <v>0</v>
      </c>
      <c r="G20305" s="2">
        <v>0</v>
      </c>
      <c r="H20305" s="1" t="s">
        <v>0</v>
      </c>
      <c r="I20305" s="2">
        <v>0</v>
      </c>
      <c r="J20305" s="1">
        <v>45950.405416666668</v>
      </c>
    </row>
    <row r="20306" spans="1:10" x14ac:dyDescent="0.2">
      <c r="A20306" s="4" t="s">
        <v>1</v>
      </c>
      <c r="B203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06" s="3" t="str">
        <f>HYPERLINK("https://otsuka-europe-crm.veevavault.com/ui/#object/sent_email__v/VBLZ025E82HOMX2", "SE-000288368")</f>
        <v>SE-000288368</v>
      </c>
      <c r="D20306" s="1" t="s">
        <v>0</v>
      </c>
      <c r="E20306" s="2">
        <v>0</v>
      </c>
      <c r="F20306" s="2">
        <v>0</v>
      </c>
      <c r="G20306" s="2">
        <v>0</v>
      </c>
      <c r="H20306" s="1" t="s">
        <v>0</v>
      </c>
      <c r="I20306" s="2">
        <v>0</v>
      </c>
      <c r="J20306" s="1">
        <v>45950.405428240738</v>
      </c>
    </row>
    <row r="20307" spans="1:10" x14ac:dyDescent="0.2">
      <c r="A20307" s="4" t="s">
        <v>1</v>
      </c>
      <c r="B203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07" s="3" t="str">
        <f>HYPERLINK("https://otsuka-europe-crm.veevavault.com/ui/#object/sent_email__v/VBLZ025E82HOMX3", "SE-000288369")</f>
        <v>SE-000288369</v>
      </c>
      <c r="D20307" s="1" t="s">
        <v>0</v>
      </c>
      <c r="E20307" s="2">
        <v>0</v>
      </c>
      <c r="F20307" s="2">
        <v>0</v>
      </c>
      <c r="G20307" s="2">
        <v>0</v>
      </c>
      <c r="H20307" s="1" t="s">
        <v>0</v>
      </c>
      <c r="I20307" s="2">
        <v>0</v>
      </c>
      <c r="J20307" s="1">
        <v>45950.405439814815</v>
      </c>
    </row>
    <row r="20308" spans="1:10" x14ac:dyDescent="0.2">
      <c r="A20308" s="4" t="s">
        <v>1</v>
      </c>
      <c r="B203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08" s="3" t="str">
        <f>HYPERLINK("https://otsuka-europe-crm.veevavault.com/ui/#object/sent_email__v/VBLZ025E82HOMX4", "SE-000288370")</f>
        <v>SE-000288370</v>
      </c>
      <c r="D20308" s="1">
        <v>45951.273287037038</v>
      </c>
      <c r="E20308" s="2">
        <v>1</v>
      </c>
      <c r="F20308" s="2">
        <v>1</v>
      </c>
      <c r="G20308" s="2">
        <v>0</v>
      </c>
      <c r="H20308" s="1" t="s">
        <v>0</v>
      </c>
      <c r="I20308" s="2">
        <v>0</v>
      </c>
      <c r="J20308" s="1">
        <v>45950.405462962961</v>
      </c>
    </row>
    <row r="20309" spans="1:10" x14ac:dyDescent="0.2">
      <c r="A20309" s="4" t="s">
        <v>1</v>
      </c>
      <c r="B203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09" s="3" t="str">
        <f>HYPERLINK("https://otsuka-europe-crm.veevavault.com/ui/#object/sent_email__v/VBLZ025E82HOMX5", "SE-000288371")</f>
        <v>SE-000288371</v>
      </c>
      <c r="D20309" s="1" t="s">
        <v>0</v>
      </c>
      <c r="E20309" s="2">
        <v>0</v>
      </c>
      <c r="F20309" s="2">
        <v>0</v>
      </c>
      <c r="G20309" s="2">
        <v>0</v>
      </c>
      <c r="H20309" s="1" t="s">
        <v>0</v>
      </c>
      <c r="I20309" s="2">
        <v>0</v>
      </c>
      <c r="J20309" s="1">
        <v>45950.405462962961</v>
      </c>
    </row>
    <row r="20310" spans="1:10" x14ac:dyDescent="0.2">
      <c r="A20310" s="4" t="s">
        <v>1</v>
      </c>
      <c r="B203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10" s="3" t="str">
        <f>HYPERLINK("https://otsuka-europe-crm.veevavault.com/ui/#object/sent_email__v/VBLZ025E82HOMX6", "SE-000288372")</f>
        <v>SE-000288372</v>
      </c>
      <c r="D20310" s="1">
        <v>45950.647824074076</v>
      </c>
      <c r="E20310" s="2">
        <v>1</v>
      </c>
      <c r="F20310" s="2">
        <v>2</v>
      </c>
      <c r="G20310" s="2">
        <v>0</v>
      </c>
      <c r="H20310" s="1" t="s">
        <v>0</v>
      </c>
      <c r="I20310" s="2">
        <v>0</v>
      </c>
      <c r="J20310" s="1">
        <v>45950.405462962961</v>
      </c>
    </row>
    <row r="20311" spans="1:10" x14ac:dyDescent="0.2">
      <c r="A20311" s="4" t="s">
        <v>1</v>
      </c>
      <c r="B203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11" s="3" t="str">
        <f>HYPERLINK("https://otsuka-europe-crm.veevavault.com/ui/#object/sent_email__v/VBLZ025E82HOMX7", "SE-000288373")</f>
        <v>SE-000288373</v>
      </c>
      <c r="D20311" s="1">
        <v>45951.305266203701</v>
      </c>
      <c r="E20311" s="2">
        <v>1</v>
      </c>
      <c r="F20311" s="2">
        <v>2</v>
      </c>
      <c r="G20311" s="2">
        <v>0</v>
      </c>
      <c r="H20311" s="1" t="s">
        <v>0</v>
      </c>
      <c r="I20311" s="2">
        <v>0</v>
      </c>
      <c r="J20311" s="1">
        <v>45950.405474537038</v>
      </c>
    </row>
    <row r="20312" spans="1:10" x14ac:dyDescent="0.2">
      <c r="A20312" s="4" t="s">
        <v>1</v>
      </c>
      <c r="B203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12" s="3" t="str">
        <f>HYPERLINK("https://otsuka-europe-crm.veevavault.com/ui/#object/sent_email__v/VBLZ025E82HOMX8", "SE-000288374")</f>
        <v>SE-000288374</v>
      </c>
      <c r="D20312" s="1">
        <v>45986.706284722219</v>
      </c>
      <c r="E20312" s="2">
        <v>1</v>
      </c>
      <c r="F20312" s="2">
        <v>2</v>
      </c>
      <c r="G20312" s="2">
        <v>0</v>
      </c>
      <c r="H20312" s="1" t="s">
        <v>0</v>
      </c>
      <c r="I20312" s="2">
        <v>0</v>
      </c>
      <c r="J20312" s="1">
        <v>45950.405486111114</v>
      </c>
    </row>
    <row r="20313" spans="1:10" x14ac:dyDescent="0.2">
      <c r="A20313" s="4" t="s">
        <v>1</v>
      </c>
      <c r="B203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13" s="3" t="str">
        <f>HYPERLINK("https://otsuka-europe-crm.veevavault.com/ui/#object/sent_email__v/VBLZ025E82HOMX9", "SE-000288375")</f>
        <v>SE-000288375</v>
      </c>
      <c r="D20313" s="1">
        <v>45950.608240740738</v>
      </c>
      <c r="E20313" s="2">
        <v>1</v>
      </c>
      <c r="F20313" s="2">
        <v>1</v>
      </c>
      <c r="G20313" s="2">
        <v>0</v>
      </c>
      <c r="H20313" s="1" t="s">
        <v>0</v>
      </c>
      <c r="I20313" s="2">
        <v>0</v>
      </c>
      <c r="J20313" s="1">
        <v>45950.405497685184</v>
      </c>
    </row>
    <row r="20314" spans="1:10" x14ac:dyDescent="0.2">
      <c r="A20314" s="4" t="s">
        <v>1</v>
      </c>
      <c r="B203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14" s="3" t="str">
        <f>HYPERLINK("https://otsuka-europe-crm.veevavault.com/ui/#object/sent_email__v/VBLZ025E82HOMXA", "SE-000288376")</f>
        <v>SE-000288376</v>
      </c>
      <c r="D20314" s="1" t="s">
        <v>0</v>
      </c>
      <c r="E20314" s="2">
        <v>0</v>
      </c>
      <c r="F20314" s="2">
        <v>0</v>
      </c>
      <c r="G20314" s="2">
        <v>0</v>
      </c>
      <c r="H20314" s="1" t="s">
        <v>0</v>
      </c>
      <c r="I20314" s="2">
        <v>0</v>
      </c>
      <c r="J20314" s="1">
        <v>45950.405509259261</v>
      </c>
    </row>
    <row r="20315" spans="1:10" x14ac:dyDescent="0.2">
      <c r="A20315" s="4" t="s">
        <v>1</v>
      </c>
      <c r="B203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15" s="3" t="str">
        <f>HYPERLINK("https://otsuka-europe-crm.veevavault.com/ui/#object/sent_email__v/VBLZ025E82HOMXB", "SE-000288377")</f>
        <v>SE-000288377</v>
      </c>
      <c r="D20315" s="1">
        <v>45950.784814814811</v>
      </c>
      <c r="E20315" s="2">
        <v>1</v>
      </c>
      <c r="F20315" s="2">
        <v>1</v>
      </c>
      <c r="G20315" s="2">
        <v>0</v>
      </c>
      <c r="H20315" s="1" t="s">
        <v>0</v>
      </c>
      <c r="I20315" s="2">
        <v>0</v>
      </c>
      <c r="J20315" s="1">
        <v>45950.40552083333</v>
      </c>
    </row>
    <row r="20316" spans="1:10" x14ac:dyDescent="0.2">
      <c r="A20316" s="4" t="s">
        <v>1</v>
      </c>
      <c r="B203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16" s="3" t="str">
        <f>HYPERLINK("https://otsuka-europe-crm.veevavault.com/ui/#object/sent_email__v/VBLZ025E82HOMXC", "SE-000288378")</f>
        <v>SE-000288378</v>
      </c>
      <c r="D20316" s="1" t="s">
        <v>0</v>
      </c>
      <c r="E20316" s="2">
        <v>0</v>
      </c>
      <c r="F20316" s="2">
        <v>0</v>
      </c>
      <c r="G20316" s="2">
        <v>0</v>
      </c>
      <c r="H20316" s="1" t="s">
        <v>0</v>
      </c>
      <c r="I20316" s="2">
        <v>0</v>
      </c>
      <c r="J20316" s="1">
        <v>45950.40552083333</v>
      </c>
    </row>
    <row r="20317" spans="1:10" x14ac:dyDescent="0.2">
      <c r="A20317" s="4" t="s">
        <v>1</v>
      </c>
      <c r="B203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17" s="3" t="str">
        <f>HYPERLINK("https://otsuka-europe-crm.veevavault.com/ui/#object/sent_email__v/VBLZ025E82HOMXD", "SE-000288379")</f>
        <v>SE-000288379</v>
      </c>
      <c r="D20317" s="1">
        <v>45951.300810185188</v>
      </c>
      <c r="E20317" s="2">
        <v>1</v>
      </c>
      <c r="F20317" s="2">
        <v>3</v>
      </c>
      <c r="G20317" s="2">
        <v>0</v>
      </c>
      <c r="H20317" s="1" t="s">
        <v>0</v>
      </c>
      <c r="I20317" s="2">
        <v>0</v>
      </c>
      <c r="J20317" s="1">
        <v>45950.405543981484</v>
      </c>
    </row>
    <row r="20318" spans="1:10" x14ac:dyDescent="0.2">
      <c r="A20318" s="4" t="s">
        <v>1</v>
      </c>
      <c r="B203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18" s="3" t="str">
        <f>HYPERLINK("https://otsuka-europe-crm.veevavault.com/ui/#object/sent_email__v/VBLZ025E82HOMXE", "SE-000288380")</f>
        <v>SE-000288380</v>
      </c>
      <c r="D20318" s="1">
        <v>45950.584664351853</v>
      </c>
      <c r="E20318" s="2">
        <v>1</v>
      </c>
      <c r="F20318" s="2">
        <v>1</v>
      </c>
      <c r="G20318" s="2">
        <v>0</v>
      </c>
      <c r="H20318" s="1" t="s">
        <v>0</v>
      </c>
      <c r="I20318" s="2">
        <v>0</v>
      </c>
      <c r="J20318" s="1">
        <v>45950.405543981484</v>
      </c>
    </row>
    <row r="20319" spans="1:10" x14ac:dyDescent="0.2">
      <c r="A20319" s="4" t="s">
        <v>1</v>
      </c>
      <c r="B203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19" s="3" t="str">
        <f>HYPERLINK("https://otsuka-europe-crm.veevavault.com/ui/#object/sent_email__v/VBLZ025E82HOMXF", "SE-000288381")</f>
        <v>SE-000288381</v>
      </c>
      <c r="D20319" s="1">
        <v>45985.480613425927</v>
      </c>
      <c r="E20319" s="2">
        <v>1</v>
      </c>
      <c r="F20319" s="2">
        <v>4</v>
      </c>
      <c r="G20319" s="2">
        <v>0</v>
      </c>
      <c r="H20319" s="1" t="s">
        <v>0</v>
      </c>
      <c r="I20319" s="2">
        <v>0</v>
      </c>
      <c r="J20319" s="1">
        <v>45950.405555555553</v>
      </c>
    </row>
    <row r="20320" spans="1:10" x14ac:dyDescent="0.2">
      <c r="A20320" s="4" t="s">
        <v>1</v>
      </c>
      <c r="B203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20" s="3" t="str">
        <f>HYPERLINK("https://otsuka-europe-crm.veevavault.com/ui/#object/sent_email__v/VBLZ025E82HOMXG", "SE-000288382")</f>
        <v>SE-000288382</v>
      </c>
      <c r="D20320" s="1">
        <v>45967.580914351849</v>
      </c>
      <c r="E20320" s="2">
        <v>1</v>
      </c>
      <c r="F20320" s="2">
        <v>4</v>
      </c>
      <c r="G20320" s="2">
        <v>0</v>
      </c>
      <c r="H20320" s="1" t="s">
        <v>0</v>
      </c>
      <c r="I20320" s="2">
        <v>0</v>
      </c>
      <c r="J20320" s="1">
        <v>45950.40556712963</v>
      </c>
    </row>
    <row r="20321" spans="1:10" x14ac:dyDescent="0.2">
      <c r="A20321" s="4" t="s">
        <v>1</v>
      </c>
      <c r="B203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21" s="3" t="str">
        <f>HYPERLINK("https://otsuka-europe-crm.veevavault.com/ui/#object/sent_email__v/VBLZ025E82HOMXH", "SE-000288383")</f>
        <v>SE-000288383</v>
      </c>
      <c r="D20321" s="1">
        <v>45987.583599537036</v>
      </c>
      <c r="E20321" s="2">
        <v>1</v>
      </c>
      <c r="F20321" s="2">
        <v>2</v>
      </c>
      <c r="G20321" s="2">
        <v>1</v>
      </c>
      <c r="H20321" s="1">
        <v>45987.583749999998</v>
      </c>
      <c r="I20321" s="2">
        <v>1</v>
      </c>
      <c r="J20321" s="1">
        <v>45950.405578703707</v>
      </c>
    </row>
    <row r="20322" spans="1:10" x14ac:dyDescent="0.2">
      <c r="A20322" s="4" t="s">
        <v>1</v>
      </c>
      <c r="B203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22" s="3" t="str">
        <f>HYPERLINK("https://otsuka-europe-crm.veevavault.com/ui/#object/sent_email__v/VBLZ025E82HOMXI", "SE-000288384")</f>
        <v>SE-000288384</v>
      </c>
      <c r="D20322" s="1" t="s">
        <v>0</v>
      </c>
      <c r="E20322" s="2">
        <v>0</v>
      </c>
      <c r="F20322" s="2">
        <v>0</v>
      </c>
      <c r="G20322" s="2">
        <v>0</v>
      </c>
      <c r="H20322" s="1" t="s">
        <v>0</v>
      </c>
      <c r="I20322" s="2">
        <v>0</v>
      </c>
      <c r="J20322" s="1">
        <v>45950.405590277776</v>
      </c>
    </row>
    <row r="20323" spans="1:10" x14ac:dyDescent="0.2">
      <c r="A20323" s="4" t="s">
        <v>1</v>
      </c>
      <c r="B203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23" s="3" t="str">
        <f>HYPERLINK("https://otsuka-europe-crm.veevavault.com/ui/#object/sent_email__v/VBLZ025E82HOMXJ", "SE-000288385")</f>
        <v>SE-000288385</v>
      </c>
      <c r="D20323" s="1" t="s">
        <v>0</v>
      </c>
      <c r="E20323" s="2">
        <v>0</v>
      </c>
      <c r="F20323" s="2">
        <v>0</v>
      </c>
      <c r="G20323" s="2">
        <v>0</v>
      </c>
      <c r="H20323" s="1" t="s">
        <v>0</v>
      </c>
      <c r="I20323" s="2">
        <v>0</v>
      </c>
      <c r="J20323" s="1">
        <v>45950.405601851853</v>
      </c>
    </row>
    <row r="20324" spans="1:10" x14ac:dyDescent="0.2">
      <c r="A20324" s="4" t="s">
        <v>1</v>
      </c>
      <c r="B203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24" s="3" t="str">
        <f>HYPERLINK("https://otsuka-europe-crm.veevavault.com/ui/#object/sent_email__v/VBLZ025E82HOMXK", "SE-000288386")</f>
        <v>SE-000288386</v>
      </c>
      <c r="D20324" s="1">
        <v>45950.889664351853</v>
      </c>
      <c r="E20324" s="2">
        <v>1</v>
      </c>
      <c r="F20324" s="2">
        <v>2</v>
      </c>
      <c r="G20324" s="2">
        <v>0</v>
      </c>
      <c r="H20324" s="1" t="s">
        <v>0</v>
      </c>
      <c r="I20324" s="2">
        <v>0</v>
      </c>
      <c r="J20324" s="1">
        <v>45950.405601851853</v>
      </c>
    </row>
    <row r="20325" spans="1:10" x14ac:dyDescent="0.2">
      <c r="A20325" s="4" t="s">
        <v>1</v>
      </c>
      <c r="B203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25" s="3" t="str">
        <f>HYPERLINK("https://otsuka-europe-crm.veevavault.com/ui/#object/sent_email__v/VBLZ025E82HOMXL", "SE-000288387")</f>
        <v>SE-000288387</v>
      </c>
      <c r="D20325" s="1">
        <v>45950.772453703707</v>
      </c>
      <c r="E20325" s="2">
        <v>1</v>
      </c>
      <c r="F20325" s="2">
        <v>2</v>
      </c>
      <c r="G20325" s="2">
        <v>0</v>
      </c>
      <c r="H20325" s="1" t="s">
        <v>0</v>
      </c>
      <c r="I20325" s="2">
        <v>0</v>
      </c>
      <c r="J20325" s="1">
        <v>45950.405613425923</v>
      </c>
    </row>
    <row r="20326" spans="1:10" x14ac:dyDescent="0.2">
      <c r="A20326" s="4" t="s">
        <v>1</v>
      </c>
      <c r="B203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26" s="3" t="str">
        <f>HYPERLINK("https://otsuka-europe-crm.veevavault.com/ui/#object/sent_email__v/VBLZ025E82HOMXM", "SE-000288388")</f>
        <v>SE-000288388</v>
      </c>
      <c r="D20326" s="1" t="s">
        <v>0</v>
      </c>
      <c r="E20326" s="2">
        <v>0</v>
      </c>
      <c r="F20326" s="2">
        <v>0</v>
      </c>
      <c r="G20326" s="2">
        <v>0</v>
      </c>
      <c r="H20326" s="1" t="s">
        <v>0</v>
      </c>
      <c r="I20326" s="2">
        <v>0</v>
      </c>
      <c r="J20326" s="1">
        <v>45950.405624999999</v>
      </c>
    </row>
    <row r="20327" spans="1:10" x14ac:dyDescent="0.2">
      <c r="A20327" s="4" t="s">
        <v>1</v>
      </c>
      <c r="B203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27" s="3" t="str">
        <f>HYPERLINK("https://otsuka-europe-crm.veevavault.com/ui/#object/sent_email__v/VBLZ025E82HOO51", "SE-000288393")</f>
        <v>SE-000288393</v>
      </c>
      <c r="D20327" s="1">
        <v>45950.868067129632</v>
      </c>
      <c r="E20327" s="2">
        <v>1</v>
      </c>
      <c r="F20327" s="2">
        <v>3</v>
      </c>
      <c r="G20327" s="2">
        <v>0</v>
      </c>
      <c r="H20327" s="1" t="s">
        <v>0</v>
      </c>
      <c r="I20327" s="2">
        <v>0</v>
      </c>
      <c r="J20327" s="1">
        <v>45950.41646990741</v>
      </c>
    </row>
    <row r="20328" spans="1:10" x14ac:dyDescent="0.2">
      <c r="A20328" s="4" t="s">
        <v>1</v>
      </c>
      <c r="B203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28" s="3" t="str">
        <f>HYPERLINK("https://otsuka-europe-crm.veevavault.com/ui/#object/sent_email__v/VBLZ025E82HOO52", "SE-000288394")</f>
        <v>SE-000288394</v>
      </c>
      <c r="D20328" s="1">
        <v>45964.585798611108</v>
      </c>
      <c r="E20328" s="2">
        <v>1</v>
      </c>
      <c r="F20328" s="2">
        <v>2</v>
      </c>
      <c r="G20328" s="2">
        <v>0</v>
      </c>
      <c r="H20328" s="1" t="s">
        <v>0</v>
      </c>
      <c r="I20328" s="2">
        <v>0</v>
      </c>
      <c r="J20328" s="1">
        <v>45950.416446759256</v>
      </c>
    </row>
    <row r="20329" spans="1:10" x14ac:dyDescent="0.2">
      <c r="A20329" s="4" t="s">
        <v>1</v>
      </c>
      <c r="B203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29" s="3" t="str">
        <f>HYPERLINK("https://otsuka-europe-crm.veevavault.com/ui/#object/sent_email__v/VBLZ025E82HOO53", "SE-000288395")</f>
        <v>SE-000288395</v>
      </c>
      <c r="D20329" s="1">
        <v>45964.290289351855</v>
      </c>
      <c r="E20329" s="2">
        <v>1</v>
      </c>
      <c r="F20329" s="2">
        <v>13</v>
      </c>
      <c r="G20329" s="2">
        <v>0</v>
      </c>
      <c r="H20329" s="1" t="s">
        <v>0</v>
      </c>
      <c r="I20329" s="2">
        <v>0</v>
      </c>
      <c r="J20329" s="1">
        <v>45950.41646990741</v>
      </c>
    </row>
    <row r="20330" spans="1:10" x14ac:dyDescent="0.2">
      <c r="A20330" s="4" t="s">
        <v>1</v>
      </c>
      <c r="B203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30" s="3" t="str">
        <f>HYPERLINK("https://otsuka-europe-crm.veevavault.com/ui/#object/sent_email__v/VBLZ025E82HOO54", "SE-000288396")</f>
        <v>SE-000288396</v>
      </c>
      <c r="D20330" s="1">
        <v>45950.862557870372</v>
      </c>
      <c r="E20330" s="2">
        <v>1</v>
      </c>
      <c r="F20330" s="2">
        <v>3</v>
      </c>
      <c r="G20330" s="2">
        <v>0</v>
      </c>
      <c r="H20330" s="1" t="s">
        <v>0</v>
      </c>
      <c r="I20330" s="2">
        <v>0</v>
      </c>
      <c r="J20330" s="1">
        <v>45950.41646990741</v>
      </c>
    </row>
    <row r="20331" spans="1:10" x14ac:dyDescent="0.2">
      <c r="A20331" s="4" t="s">
        <v>1</v>
      </c>
      <c r="B203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31" s="3" t="str">
        <f>HYPERLINK("https://otsuka-europe-crm.veevavault.com/ui/#object/sent_email__v/VBLZ025E82HOO55", "SE-000288397")</f>
        <v>SE-000288397</v>
      </c>
      <c r="D20331" s="1" t="s">
        <v>0</v>
      </c>
      <c r="E20331" s="2">
        <v>0</v>
      </c>
      <c r="F20331" s="2">
        <v>0</v>
      </c>
      <c r="G20331" s="2">
        <v>0</v>
      </c>
      <c r="H20331" s="1" t="s">
        <v>0</v>
      </c>
      <c r="I20331" s="2">
        <v>0</v>
      </c>
      <c r="J20331" s="1">
        <v>45950.41646990741</v>
      </c>
    </row>
    <row r="20332" spans="1:10" x14ac:dyDescent="0.2">
      <c r="A20332" s="4" t="s">
        <v>1</v>
      </c>
      <c r="B203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32" s="3" t="str">
        <f>HYPERLINK("https://otsuka-europe-crm.veevavault.com/ui/#object/sent_email__v/VBLZ025E82HOO56", "SE-000288398")</f>
        <v>SE-000288398</v>
      </c>
      <c r="D20332" s="1">
        <v>45975.372916666667</v>
      </c>
      <c r="E20332" s="2">
        <v>1</v>
      </c>
      <c r="F20332" s="2">
        <v>5</v>
      </c>
      <c r="G20332" s="2">
        <v>0</v>
      </c>
      <c r="H20332" s="1" t="s">
        <v>0</v>
      </c>
      <c r="I20332" s="2">
        <v>0</v>
      </c>
      <c r="J20332" s="1">
        <v>45950.416481481479</v>
      </c>
    </row>
    <row r="20333" spans="1:10" x14ac:dyDescent="0.2">
      <c r="A20333" s="4" t="s">
        <v>1</v>
      </c>
      <c r="B203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33" s="3" t="str">
        <f>HYPERLINK("https://otsuka-europe-crm.veevavault.com/ui/#object/sent_email__v/VBLZ025E82HOO57", "SE-000288399")</f>
        <v>SE-000288399</v>
      </c>
      <c r="D20333" s="1" t="s">
        <v>0</v>
      </c>
      <c r="E20333" s="2">
        <v>0</v>
      </c>
      <c r="F20333" s="2">
        <v>0</v>
      </c>
      <c r="G20333" s="2">
        <v>0</v>
      </c>
      <c r="H20333" s="1" t="s">
        <v>0</v>
      </c>
      <c r="I20333" s="2">
        <v>0</v>
      </c>
      <c r="J20333" s="1">
        <v>45950.416481481479</v>
      </c>
    </row>
    <row r="20334" spans="1:10" x14ac:dyDescent="0.2">
      <c r="A20334" s="4" t="s">
        <v>1</v>
      </c>
      <c r="B203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34" s="3" t="str">
        <f>HYPERLINK("https://otsuka-europe-crm.veevavault.com/ui/#object/sent_email__v/VBLZ025E82HOO58", "SE-000288400")</f>
        <v>SE-000288400</v>
      </c>
      <c r="D20334" s="1">
        <v>45950.435995370368</v>
      </c>
      <c r="E20334" s="2">
        <v>1</v>
      </c>
      <c r="F20334" s="2">
        <v>1</v>
      </c>
      <c r="G20334" s="2">
        <v>0</v>
      </c>
      <c r="H20334" s="1" t="s">
        <v>0</v>
      </c>
      <c r="I20334" s="2">
        <v>0</v>
      </c>
      <c r="J20334" s="1">
        <v>45950.41646990741</v>
      </c>
    </row>
    <row r="20335" spans="1:10" x14ac:dyDescent="0.2">
      <c r="A20335" s="4" t="s">
        <v>1</v>
      </c>
      <c r="B203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35" s="3" t="str">
        <f>HYPERLINK("https://otsuka-europe-crm.veevavault.com/ui/#object/sent_email__v/VBLZ025E82HOO59", "SE-000288401")</f>
        <v>SE-000288401</v>
      </c>
      <c r="D20335" s="1">
        <v>45957.681921296295</v>
      </c>
      <c r="E20335" s="2">
        <v>1</v>
      </c>
      <c r="F20335" s="2">
        <v>2</v>
      </c>
      <c r="G20335" s="2">
        <v>0</v>
      </c>
      <c r="H20335" s="1" t="s">
        <v>0</v>
      </c>
      <c r="I20335" s="2">
        <v>0</v>
      </c>
      <c r="J20335" s="1">
        <v>45950.416493055556</v>
      </c>
    </row>
    <row r="20336" spans="1:10" x14ac:dyDescent="0.2">
      <c r="A20336" s="4" t="s">
        <v>1</v>
      </c>
      <c r="B203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36" s="3" t="str">
        <f>HYPERLINK("https://otsuka-europe-crm.veevavault.com/ui/#object/sent_email__v/VBLZ025E82HOO5A", "SE-000288402")</f>
        <v>SE-000288402</v>
      </c>
      <c r="D20336" s="1">
        <v>45951.75377314815</v>
      </c>
      <c r="E20336" s="2">
        <v>1</v>
      </c>
      <c r="F20336" s="2">
        <v>2</v>
      </c>
      <c r="G20336" s="2">
        <v>0</v>
      </c>
      <c r="H20336" s="1" t="s">
        <v>0</v>
      </c>
      <c r="I20336" s="2">
        <v>0</v>
      </c>
      <c r="J20336" s="1">
        <v>45950.416481481479</v>
      </c>
    </row>
    <row r="20337" spans="1:10" x14ac:dyDescent="0.2">
      <c r="A20337" s="4" t="s">
        <v>1</v>
      </c>
      <c r="B203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37" s="3" t="str">
        <f>HYPERLINK("https://otsuka-europe-crm.veevavault.com/ui/#object/sent_email__v/VBLZ025E82HOO5B", "SE-000288403")</f>
        <v>SE-000288403</v>
      </c>
      <c r="D20337" s="1">
        <v>45951.343518518515</v>
      </c>
      <c r="E20337" s="2">
        <v>1</v>
      </c>
      <c r="F20337" s="2">
        <v>1</v>
      </c>
      <c r="G20337" s="2">
        <v>0</v>
      </c>
      <c r="H20337" s="1" t="s">
        <v>0</v>
      </c>
      <c r="I20337" s="2">
        <v>0</v>
      </c>
      <c r="J20337" s="1">
        <v>45950.41646990741</v>
      </c>
    </row>
    <row r="20338" spans="1:10" x14ac:dyDescent="0.2">
      <c r="A20338" s="4" t="s">
        <v>1</v>
      </c>
      <c r="B203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38" s="3" t="str">
        <f>HYPERLINK("https://otsuka-europe-crm.veevavault.com/ui/#object/sent_email__v/VBLZ025E82HOO5C", "SE-000288404")</f>
        <v>SE-000288404</v>
      </c>
      <c r="D20338" s="1" t="s">
        <v>0</v>
      </c>
      <c r="E20338" s="2">
        <v>0</v>
      </c>
      <c r="F20338" s="2">
        <v>0</v>
      </c>
      <c r="G20338" s="2">
        <v>0</v>
      </c>
      <c r="H20338" s="1" t="s">
        <v>0</v>
      </c>
      <c r="I20338" s="2">
        <v>0</v>
      </c>
      <c r="J20338" s="1">
        <v>45950.416493055556</v>
      </c>
    </row>
    <row r="20339" spans="1:10" x14ac:dyDescent="0.2">
      <c r="A20339" s="4" t="s">
        <v>1</v>
      </c>
      <c r="B203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39" s="3" t="str">
        <f>HYPERLINK("https://otsuka-europe-crm.veevavault.com/ui/#object/sent_email__v/VBLZ025E82HOO5D", "SE-000288405")</f>
        <v>SE-000288405</v>
      </c>
      <c r="D20339" s="1" t="s">
        <v>0</v>
      </c>
      <c r="E20339" s="2">
        <v>0</v>
      </c>
      <c r="F20339" s="2">
        <v>0</v>
      </c>
      <c r="G20339" s="2">
        <v>0</v>
      </c>
      <c r="H20339" s="1" t="s">
        <v>0</v>
      </c>
      <c r="I20339" s="2">
        <v>0</v>
      </c>
      <c r="J20339" s="1">
        <v>45950.416481481479</v>
      </c>
    </row>
    <row r="20340" spans="1:10" x14ac:dyDescent="0.2">
      <c r="A20340" s="4" t="s">
        <v>1</v>
      </c>
      <c r="B203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40" s="3" t="str">
        <f>HYPERLINK("https://otsuka-europe-crm.veevavault.com/ui/#object/sent_email__v/VBLZ025E82HOO5E", "SE-000288406")</f>
        <v>SE-000288406</v>
      </c>
      <c r="D20340" s="1">
        <v>45950.419456018521</v>
      </c>
      <c r="E20340" s="2">
        <v>1</v>
      </c>
      <c r="F20340" s="2">
        <v>1</v>
      </c>
      <c r="G20340" s="2">
        <v>0</v>
      </c>
      <c r="H20340" s="1" t="s">
        <v>0</v>
      </c>
      <c r="I20340" s="2">
        <v>0</v>
      </c>
      <c r="J20340" s="1">
        <v>45950.416493055556</v>
      </c>
    </row>
    <row r="20341" spans="1:10" x14ac:dyDescent="0.2">
      <c r="A20341" s="4" t="s">
        <v>1</v>
      </c>
      <c r="B203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41" s="3" t="str">
        <f>HYPERLINK("https://otsuka-europe-crm.veevavault.com/ui/#object/sent_email__v/VBLZ025E82HOO5F", "SE-000288407")</f>
        <v>SE-000288407</v>
      </c>
      <c r="D20341" s="1">
        <v>45950.420891203707</v>
      </c>
      <c r="E20341" s="2">
        <v>1</v>
      </c>
      <c r="F20341" s="2">
        <v>3</v>
      </c>
      <c r="G20341" s="2">
        <v>0</v>
      </c>
      <c r="H20341" s="1" t="s">
        <v>0</v>
      </c>
      <c r="I20341" s="2">
        <v>0</v>
      </c>
      <c r="J20341" s="1">
        <v>45950.416504629633</v>
      </c>
    </row>
    <row r="20342" spans="1:10" x14ac:dyDescent="0.2">
      <c r="A20342" s="4" t="s">
        <v>1</v>
      </c>
      <c r="B203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42" s="3" t="str">
        <f>HYPERLINK("https://otsuka-europe-crm.veevavault.com/ui/#object/sent_email__v/VBLZ025E82HOO5G", "SE-000288408")</f>
        <v>SE-000288408</v>
      </c>
      <c r="D20342" s="1">
        <v>45950.445543981485</v>
      </c>
      <c r="E20342" s="2">
        <v>1</v>
      </c>
      <c r="F20342" s="2">
        <v>1</v>
      </c>
      <c r="G20342" s="2">
        <v>0</v>
      </c>
      <c r="H20342" s="1" t="s">
        <v>0</v>
      </c>
      <c r="I20342" s="2">
        <v>0</v>
      </c>
      <c r="J20342" s="1">
        <v>45950.416516203702</v>
      </c>
    </row>
    <row r="20343" spans="1:10" x14ac:dyDescent="0.2">
      <c r="A20343" s="4" t="s">
        <v>1</v>
      </c>
      <c r="B203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43" s="3" t="str">
        <f>HYPERLINK("https://otsuka-europe-crm.veevavault.com/ui/#object/sent_email__v/VBLZ025E82HOO5H", "SE-000288409")</f>
        <v>SE-000288409</v>
      </c>
      <c r="D20343" s="1">
        <v>45950.51</v>
      </c>
      <c r="E20343" s="2">
        <v>1</v>
      </c>
      <c r="F20343" s="2">
        <v>11</v>
      </c>
      <c r="G20343" s="2">
        <v>0</v>
      </c>
      <c r="H20343" s="1" t="s">
        <v>0</v>
      </c>
      <c r="I20343" s="2">
        <v>0</v>
      </c>
      <c r="J20343" s="1">
        <v>45950.416527777779</v>
      </c>
    </row>
    <row r="20344" spans="1:10" x14ac:dyDescent="0.2">
      <c r="A20344" s="4" t="s">
        <v>1</v>
      </c>
      <c r="B203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44" s="3" t="str">
        <f>HYPERLINK("https://otsuka-europe-crm.veevavault.com/ui/#object/sent_email__v/VBLZ025E82HOO5I", "SE-000288410")</f>
        <v>SE-000288410</v>
      </c>
      <c r="D20344" s="1">
        <v>45951.321377314816</v>
      </c>
      <c r="E20344" s="2">
        <v>1</v>
      </c>
      <c r="F20344" s="2">
        <v>2</v>
      </c>
      <c r="G20344" s="2">
        <v>0</v>
      </c>
      <c r="H20344" s="1" t="s">
        <v>0</v>
      </c>
      <c r="I20344" s="2">
        <v>0</v>
      </c>
      <c r="J20344" s="1">
        <v>45950.416539351849</v>
      </c>
    </row>
    <row r="20345" spans="1:10" x14ac:dyDescent="0.2">
      <c r="A20345" s="4" t="s">
        <v>1</v>
      </c>
      <c r="B203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45" s="3" t="str">
        <f>HYPERLINK("https://otsuka-europe-crm.veevavault.com/ui/#object/sent_email__v/VBLZ025E82HOO5J", "SE-000288411")</f>
        <v>SE-000288411</v>
      </c>
      <c r="D20345" s="1">
        <v>45950.95820601852</v>
      </c>
      <c r="E20345" s="2">
        <v>1</v>
      </c>
      <c r="F20345" s="2">
        <v>2</v>
      </c>
      <c r="G20345" s="2">
        <v>0</v>
      </c>
      <c r="H20345" s="1" t="s">
        <v>0</v>
      </c>
      <c r="I20345" s="2">
        <v>0</v>
      </c>
      <c r="J20345" s="1">
        <v>45950.416550925926</v>
      </c>
    </row>
    <row r="20346" spans="1:10" x14ac:dyDescent="0.2">
      <c r="A20346" s="4" t="s">
        <v>1</v>
      </c>
      <c r="B203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46" s="3" t="str">
        <f>HYPERLINK("https://otsuka-europe-crm.veevavault.com/ui/#object/sent_email__v/VBLZ025E82HOO5K", "SE-000288412")</f>
        <v>SE-000288412</v>
      </c>
      <c r="D20346" s="1">
        <v>45951.433333333334</v>
      </c>
      <c r="E20346" s="2">
        <v>1</v>
      </c>
      <c r="F20346" s="2">
        <v>5</v>
      </c>
      <c r="G20346" s="2">
        <v>0</v>
      </c>
      <c r="H20346" s="1" t="s">
        <v>0</v>
      </c>
      <c r="I20346" s="2">
        <v>0</v>
      </c>
      <c r="J20346" s="1">
        <v>45950.416562500002</v>
      </c>
    </row>
    <row r="20347" spans="1:10" x14ac:dyDescent="0.2">
      <c r="A20347" s="4" t="s">
        <v>1</v>
      </c>
      <c r="B203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47" s="3" t="str">
        <f>HYPERLINK("https://otsuka-europe-crm.veevavault.com/ui/#object/sent_email__v/VBLZ025E82HOO5L", "SE-000288413")</f>
        <v>SE-000288413</v>
      </c>
      <c r="D20347" s="1">
        <v>45950.456863425927</v>
      </c>
      <c r="E20347" s="2">
        <v>1</v>
      </c>
      <c r="F20347" s="2">
        <v>1</v>
      </c>
      <c r="G20347" s="2">
        <v>0</v>
      </c>
      <c r="H20347" s="1" t="s">
        <v>0</v>
      </c>
      <c r="I20347" s="2">
        <v>0</v>
      </c>
      <c r="J20347" s="1">
        <v>45950.416562500002</v>
      </c>
    </row>
    <row r="20348" spans="1:10" x14ac:dyDescent="0.2">
      <c r="A20348" s="4" t="s">
        <v>1</v>
      </c>
      <c r="B203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48" s="3" t="str">
        <f>HYPERLINK("https://otsuka-europe-crm.veevavault.com/ui/#object/sent_email__v/VBLZ025E82HOO5M", "SE-000288414")</f>
        <v>SE-000288414</v>
      </c>
      <c r="D20348" s="1">
        <v>45950.470891203702</v>
      </c>
      <c r="E20348" s="2">
        <v>1</v>
      </c>
      <c r="F20348" s="2">
        <v>2</v>
      </c>
      <c r="G20348" s="2">
        <v>0</v>
      </c>
      <c r="H20348" s="1" t="s">
        <v>0</v>
      </c>
      <c r="I20348" s="2">
        <v>0</v>
      </c>
      <c r="J20348" s="1">
        <v>45950.416574074072</v>
      </c>
    </row>
    <row r="20349" spans="1:10" x14ac:dyDescent="0.2">
      <c r="A20349" s="4" t="s">
        <v>1</v>
      </c>
      <c r="B203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49" s="3" t="str">
        <f>HYPERLINK("https://otsuka-europe-crm.veevavault.com/ui/#object/sent_email__v/VBLZ025E82HOO5N", "SE-000288415")</f>
        <v>SE-000288415</v>
      </c>
      <c r="D20349" s="1" t="s">
        <v>0</v>
      </c>
      <c r="E20349" s="2">
        <v>0</v>
      </c>
      <c r="F20349" s="2">
        <v>0</v>
      </c>
      <c r="G20349" s="2">
        <v>0</v>
      </c>
      <c r="H20349" s="1" t="s">
        <v>0</v>
      </c>
      <c r="I20349" s="2">
        <v>0</v>
      </c>
      <c r="J20349" s="1">
        <v>45950.416585648149</v>
      </c>
    </row>
    <row r="20350" spans="1:10" x14ac:dyDescent="0.2">
      <c r="A20350" s="4" t="s">
        <v>1</v>
      </c>
      <c r="B203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50" s="3" t="str">
        <f>HYPERLINK("https://otsuka-europe-crm.veevavault.com/ui/#object/sent_email__v/VBLZ025E82HOO5O", "SE-000288416")</f>
        <v>SE-000288416</v>
      </c>
      <c r="D20350" s="1">
        <v>45962.989085648151</v>
      </c>
      <c r="E20350" s="2">
        <v>1</v>
      </c>
      <c r="F20350" s="2">
        <v>2</v>
      </c>
      <c r="G20350" s="2">
        <v>0</v>
      </c>
      <c r="H20350" s="1" t="s">
        <v>0</v>
      </c>
      <c r="I20350" s="2">
        <v>0</v>
      </c>
      <c r="J20350" s="1">
        <v>45950.416585648149</v>
      </c>
    </row>
    <row r="20351" spans="1:10" x14ac:dyDescent="0.2">
      <c r="A20351" s="4" t="s">
        <v>1</v>
      </c>
      <c r="B203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51" s="3" t="str">
        <f>HYPERLINK("https://otsuka-europe-crm.veevavault.com/ui/#object/sent_email__v/VBLZ025E82HOO5P", "SE-000288417")</f>
        <v>SE-000288417</v>
      </c>
      <c r="D20351" s="1">
        <v>45968.12300925926</v>
      </c>
      <c r="E20351" s="2">
        <v>1</v>
      </c>
      <c r="F20351" s="2">
        <v>2</v>
      </c>
      <c r="G20351" s="2">
        <v>0</v>
      </c>
      <c r="H20351" s="1" t="s">
        <v>0</v>
      </c>
      <c r="I20351" s="2">
        <v>0</v>
      </c>
      <c r="J20351" s="1">
        <v>45950.416597222225</v>
      </c>
    </row>
    <row r="20352" spans="1:10" x14ac:dyDescent="0.2">
      <c r="A20352" s="4" t="s">
        <v>1</v>
      </c>
      <c r="B203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52" s="3" t="str">
        <f>HYPERLINK("https://otsuka-europe-crm.veevavault.com/ui/#object/sent_email__v/VBLZ025E82HOO5Q", "SE-000288418")</f>
        <v>SE-000288418</v>
      </c>
      <c r="D20352" s="1" t="s">
        <v>0</v>
      </c>
      <c r="E20352" s="2">
        <v>0</v>
      </c>
      <c r="F20352" s="2">
        <v>0</v>
      </c>
      <c r="G20352" s="2">
        <v>0</v>
      </c>
      <c r="H20352" s="1" t="s">
        <v>0</v>
      </c>
      <c r="I20352" s="2">
        <v>0</v>
      </c>
      <c r="J20352" s="1">
        <v>45950.416608796295</v>
      </c>
    </row>
    <row r="20353" spans="1:10" x14ac:dyDescent="0.2">
      <c r="A20353" s="4" t="s">
        <v>1</v>
      </c>
      <c r="B203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53" s="3" t="str">
        <f>HYPERLINK("https://otsuka-europe-crm.veevavault.com/ui/#object/sent_email__v/VBLZ025E82HOO5R", "SE-000288419")</f>
        <v>SE-000288419</v>
      </c>
      <c r="D20353" s="1" t="s">
        <v>0</v>
      </c>
      <c r="E20353" s="2">
        <v>0</v>
      </c>
      <c r="F20353" s="2">
        <v>0</v>
      </c>
      <c r="G20353" s="2">
        <v>0</v>
      </c>
      <c r="H20353" s="1" t="s">
        <v>0</v>
      </c>
      <c r="I20353" s="2">
        <v>0</v>
      </c>
      <c r="J20353" s="1">
        <v>45950.416620370372</v>
      </c>
    </row>
    <row r="20354" spans="1:10" x14ac:dyDescent="0.2">
      <c r="A20354" s="4" t="s">
        <v>1</v>
      </c>
      <c r="B203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54" s="3" t="str">
        <f>HYPERLINK("https://otsuka-europe-crm.veevavault.com/ui/#object/sent_email__v/VBLZ025E82HOO5S", "SE-000288420")</f>
        <v>SE-000288420</v>
      </c>
      <c r="D20354" s="1">
        <v>45950.70584490741</v>
      </c>
      <c r="E20354" s="2">
        <v>1</v>
      </c>
      <c r="F20354" s="2">
        <v>2</v>
      </c>
      <c r="G20354" s="2">
        <v>0</v>
      </c>
      <c r="H20354" s="1" t="s">
        <v>0</v>
      </c>
      <c r="I20354" s="2">
        <v>0</v>
      </c>
      <c r="J20354" s="1">
        <v>45950.416631944441</v>
      </c>
    </row>
    <row r="20355" spans="1:10" x14ac:dyDescent="0.2">
      <c r="A20355" s="4" t="s">
        <v>1</v>
      </c>
      <c r="B203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55" s="3" t="str">
        <f>HYPERLINK("https://otsuka-europe-crm.veevavault.com/ui/#object/sent_email__v/VBLZ025E82HOO5T", "SE-000288421")</f>
        <v>SE-000288421</v>
      </c>
      <c r="D20355" s="1">
        <v>45950.799745370372</v>
      </c>
      <c r="E20355" s="2">
        <v>1</v>
      </c>
      <c r="F20355" s="2">
        <v>3</v>
      </c>
      <c r="G20355" s="2">
        <v>0</v>
      </c>
      <c r="H20355" s="1" t="s">
        <v>0</v>
      </c>
      <c r="I20355" s="2">
        <v>0</v>
      </c>
      <c r="J20355" s="1">
        <v>45950.416631944441</v>
      </c>
    </row>
    <row r="20356" spans="1:10" x14ac:dyDescent="0.2">
      <c r="A20356" s="4" t="s">
        <v>1</v>
      </c>
      <c r="B203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56" s="3" t="str">
        <f>HYPERLINK("https://otsuka-europe-crm.veevavault.com/ui/#object/sent_email__v/VBLZ025E82HOO5U", "SE-000288422")</f>
        <v>SE-000288422</v>
      </c>
      <c r="D20356" s="1">
        <v>45950.786365740743</v>
      </c>
      <c r="E20356" s="2">
        <v>1</v>
      </c>
      <c r="F20356" s="2">
        <v>1</v>
      </c>
      <c r="G20356" s="2">
        <v>0</v>
      </c>
      <c r="H20356" s="1" t="s">
        <v>0</v>
      </c>
      <c r="I20356" s="2">
        <v>0</v>
      </c>
      <c r="J20356" s="1">
        <v>45950.416643518518</v>
      </c>
    </row>
    <row r="20357" spans="1:10" x14ac:dyDescent="0.2">
      <c r="A20357" s="4" t="s">
        <v>1</v>
      </c>
      <c r="B203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57" s="3" t="str">
        <f>HYPERLINK("https://otsuka-europe-crm.veevavault.com/ui/#object/sent_email__v/VBLZ025E82HOO5V", "SE-000288423")</f>
        <v>SE-000288423</v>
      </c>
      <c r="D20357" s="1" t="s">
        <v>0</v>
      </c>
      <c r="E20357" s="2">
        <v>0</v>
      </c>
      <c r="F20357" s="2">
        <v>0</v>
      </c>
      <c r="G20357" s="2">
        <v>0</v>
      </c>
      <c r="H20357" s="1" t="s">
        <v>0</v>
      </c>
      <c r="I20357" s="2">
        <v>0</v>
      </c>
      <c r="J20357" s="1">
        <v>45950.416655092595</v>
      </c>
    </row>
    <row r="20358" spans="1:10" x14ac:dyDescent="0.2">
      <c r="A20358" s="4" t="s">
        <v>1</v>
      </c>
      <c r="B203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58" s="3" t="str">
        <f>HYPERLINK("https://otsuka-europe-crm.veevavault.com/ui/#object/sent_email__v/VBLZ025E82HOO5W", "SE-000288424")</f>
        <v>SE-000288424</v>
      </c>
      <c r="D20358" s="1">
        <v>45950.722638888888</v>
      </c>
      <c r="E20358" s="2">
        <v>1</v>
      </c>
      <c r="F20358" s="2">
        <v>3</v>
      </c>
      <c r="G20358" s="2">
        <v>0</v>
      </c>
      <c r="H20358" s="1" t="s">
        <v>0</v>
      </c>
      <c r="I20358" s="2">
        <v>0</v>
      </c>
      <c r="J20358" s="1">
        <v>45950.416666666664</v>
      </c>
    </row>
    <row r="20359" spans="1:10" x14ac:dyDescent="0.2">
      <c r="A20359" s="4" t="s">
        <v>1</v>
      </c>
      <c r="B203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59" s="3" t="str">
        <f>HYPERLINK("https://otsuka-europe-crm.veevavault.com/ui/#object/sent_email__v/VBLZ025E82HOO5X", "SE-000288425")</f>
        <v>SE-000288425</v>
      </c>
      <c r="D20359" s="1">
        <v>45950.805312500001</v>
      </c>
      <c r="E20359" s="2">
        <v>1</v>
      </c>
      <c r="F20359" s="2">
        <v>1</v>
      </c>
      <c r="G20359" s="2">
        <v>0</v>
      </c>
      <c r="H20359" s="1" t="s">
        <v>0</v>
      </c>
      <c r="I20359" s="2">
        <v>0</v>
      </c>
      <c r="J20359" s="1">
        <v>45950.416678240741</v>
      </c>
    </row>
    <row r="20360" spans="1:10" x14ac:dyDescent="0.2">
      <c r="A20360" s="4" t="s">
        <v>1</v>
      </c>
      <c r="B203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60" s="3" t="str">
        <f>HYPERLINK("https://otsuka-europe-crm.veevavault.com/ui/#object/sent_email__v/VBLZ025E82HOO5Y", "SE-000288426")</f>
        <v>SE-000288426</v>
      </c>
      <c r="D20360" s="1">
        <v>45950.815370370372</v>
      </c>
      <c r="E20360" s="2">
        <v>1</v>
      </c>
      <c r="F20360" s="2">
        <v>2</v>
      </c>
      <c r="G20360" s="2">
        <v>0</v>
      </c>
      <c r="H20360" s="1" t="s">
        <v>0</v>
      </c>
      <c r="I20360" s="2">
        <v>0</v>
      </c>
      <c r="J20360" s="1">
        <v>45950.416678240741</v>
      </c>
    </row>
    <row r="20361" spans="1:10" x14ac:dyDescent="0.2">
      <c r="A20361" s="4" t="s">
        <v>1</v>
      </c>
      <c r="B203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61" s="3" t="str">
        <f>HYPERLINK("https://otsuka-europe-crm.veevavault.com/ui/#object/sent_email__v/VBLZ025E82HOO5Z", "SE-000288427")</f>
        <v>SE-000288427</v>
      </c>
      <c r="D20361" s="1">
        <v>45950.50508101852</v>
      </c>
      <c r="E20361" s="2">
        <v>1</v>
      </c>
      <c r="F20361" s="2">
        <v>1</v>
      </c>
      <c r="G20361" s="2">
        <v>0</v>
      </c>
      <c r="H20361" s="1" t="s">
        <v>0</v>
      </c>
      <c r="I20361" s="2">
        <v>0</v>
      </c>
      <c r="J20361" s="1">
        <v>45950.416689814818</v>
      </c>
    </row>
    <row r="20362" spans="1:10" x14ac:dyDescent="0.2">
      <c r="A20362" s="4" t="s">
        <v>1</v>
      </c>
      <c r="B203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62" s="3" t="str">
        <f>HYPERLINK("https://otsuka-europe-crm.veevavault.com/ui/#object/sent_email__v/VBLZ025E82HOO60", "SE-000288428")</f>
        <v>SE-000288428</v>
      </c>
      <c r="D20362" s="1" t="s">
        <v>0</v>
      </c>
      <c r="E20362" s="2">
        <v>0</v>
      </c>
      <c r="F20362" s="2">
        <v>0</v>
      </c>
      <c r="G20362" s="2">
        <v>0</v>
      </c>
      <c r="H20362" s="1" t="s">
        <v>0</v>
      </c>
      <c r="I20362" s="2">
        <v>0</v>
      </c>
      <c r="J20362" s="1">
        <v>45950.416701388887</v>
      </c>
    </row>
    <row r="20363" spans="1:10" x14ac:dyDescent="0.2">
      <c r="A20363" s="4" t="s">
        <v>1</v>
      </c>
      <c r="B203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63" s="3" t="str">
        <f>HYPERLINK("https://otsuka-europe-crm.veevavault.com/ui/#object/sent_email__v/VBLZ025E82HOO61", "SE-000288429")</f>
        <v>SE-000288429</v>
      </c>
      <c r="D20363" s="1">
        <v>45950.420277777775</v>
      </c>
      <c r="E20363" s="2">
        <v>1</v>
      </c>
      <c r="F20363" s="2">
        <v>1</v>
      </c>
      <c r="G20363" s="2">
        <v>0</v>
      </c>
      <c r="H20363" s="1" t="s">
        <v>0</v>
      </c>
      <c r="I20363" s="2">
        <v>0</v>
      </c>
      <c r="J20363" s="1">
        <v>45950.416712962964</v>
      </c>
    </row>
    <row r="20364" spans="1:10" x14ac:dyDescent="0.2">
      <c r="A20364" s="4" t="s">
        <v>1</v>
      </c>
      <c r="B203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64" s="3" t="str">
        <f>HYPERLINK("https://otsuka-europe-crm.veevavault.com/ui/#object/sent_email__v/VBLZ025E82HOO62", "SE-000288430")</f>
        <v>SE-000288430</v>
      </c>
      <c r="D20364" s="1">
        <v>45979.67769675926</v>
      </c>
      <c r="E20364" s="2">
        <v>1</v>
      </c>
      <c r="F20364" s="2">
        <v>4</v>
      </c>
      <c r="G20364" s="2">
        <v>0</v>
      </c>
      <c r="H20364" s="1" t="s">
        <v>0</v>
      </c>
      <c r="I20364" s="2">
        <v>0</v>
      </c>
      <c r="J20364" s="1">
        <v>45950.416724537034</v>
      </c>
    </row>
    <row r="20365" spans="1:10" x14ac:dyDescent="0.2">
      <c r="A20365" s="4" t="s">
        <v>1</v>
      </c>
      <c r="B203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65" s="3" t="str">
        <f>HYPERLINK("https://otsuka-europe-crm.veevavault.com/ui/#object/sent_email__v/VBLZ025E82HOO63", "SE-000288431")</f>
        <v>SE-000288431</v>
      </c>
      <c r="D20365" s="1">
        <v>45950.85837962963</v>
      </c>
      <c r="E20365" s="2">
        <v>1</v>
      </c>
      <c r="F20365" s="2">
        <v>3</v>
      </c>
      <c r="G20365" s="2">
        <v>1</v>
      </c>
      <c r="H20365" s="1">
        <v>45950.443159722221</v>
      </c>
      <c r="I20365" s="2">
        <v>1</v>
      </c>
      <c r="J20365" s="1">
        <v>45950.41673611111</v>
      </c>
    </row>
    <row r="20366" spans="1:10" x14ac:dyDescent="0.2">
      <c r="A20366" s="4" t="s">
        <v>1</v>
      </c>
      <c r="B203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66" s="3" t="str">
        <f>HYPERLINK("https://otsuka-europe-crm.veevavault.com/ui/#object/sent_email__v/VBLZ025E82HOO64", "SE-000288432")</f>
        <v>SE-000288432</v>
      </c>
      <c r="D20366" s="1">
        <v>45953.575578703705</v>
      </c>
      <c r="E20366" s="2">
        <v>1</v>
      </c>
      <c r="F20366" s="2">
        <v>3</v>
      </c>
      <c r="G20366" s="2">
        <v>0</v>
      </c>
      <c r="H20366" s="1" t="s">
        <v>0</v>
      </c>
      <c r="I20366" s="2">
        <v>0</v>
      </c>
      <c r="J20366" s="1">
        <v>45950.416747685187</v>
      </c>
    </row>
    <row r="20367" spans="1:10" x14ac:dyDescent="0.2">
      <c r="A20367" s="4" t="s">
        <v>1</v>
      </c>
      <c r="B203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67" s="3" t="str">
        <f>HYPERLINK("https://otsuka-europe-crm.veevavault.com/ui/#object/sent_email__v/VBLZ025E82HOO65", "SE-000288433")</f>
        <v>SE-000288433</v>
      </c>
      <c r="D20367" s="1">
        <v>45950.578136574077</v>
      </c>
      <c r="E20367" s="2">
        <v>1</v>
      </c>
      <c r="F20367" s="2">
        <v>1</v>
      </c>
      <c r="G20367" s="2">
        <v>0</v>
      </c>
      <c r="H20367" s="1" t="s">
        <v>0</v>
      </c>
      <c r="I20367" s="2">
        <v>0</v>
      </c>
      <c r="J20367" s="1">
        <v>45950.416759259257</v>
      </c>
    </row>
    <row r="20368" spans="1:10" x14ac:dyDescent="0.2">
      <c r="A20368" s="4" t="s">
        <v>1</v>
      </c>
      <c r="B203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68" s="3" t="str">
        <f>HYPERLINK("https://otsuka-europe-crm.veevavault.com/ui/#object/sent_email__v/VBLZ025E82HOO66", "SE-000288434")</f>
        <v>SE-000288434</v>
      </c>
      <c r="D20368" s="1" t="s">
        <v>0</v>
      </c>
      <c r="E20368" s="2">
        <v>0</v>
      </c>
      <c r="F20368" s="2">
        <v>0</v>
      </c>
      <c r="G20368" s="2">
        <v>0</v>
      </c>
      <c r="H20368" s="1" t="s">
        <v>0</v>
      </c>
      <c r="I20368" s="2">
        <v>0</v>
      </c>
      <c r="J20368" s="1">
        <v>45950.416759259257</v>
      </c>
    </row>
    <row r="20369" spans="1:10" x14ac:dyDescent="0.2">
      <c r="A20369" s="4" t="s">
        <v>1</v>
      </c>
      <c r="B203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69" s="3" t="str">
        <f>HYPERLINK("https://otsuka-europe-crm.veevavault.com/ui/#object/sent_email__v/VBLZ025E82HOO67", "SE-000288435")</f>
        <v>SE-000288435</v>
      </c>
      <c r="D20369" s="1" t="s">
        <v>0</v>
      </c>
      <c r="E20369" s="2">
        <v>0</v>
      </c>
      <c r="F20369" s="2">
        <v>0</v>
      </c>
      <c r="G20369" s="2">
        <v>0</v>
      </c>
      <c r="H20369" s="1" t="s">
        <v>0</v>
      </c>
      <c r="I20369" s="2">
        <v>0</v>
      </c>
      <c r="J20369" s="1">
        <v>45950.416770833333</v>
      </c>
    </row>
    <row r="20370" spans="1:10" x14ac:dyDescent="0.2">
      <c r="A20370" s="4" t="s">
        <v>1</v>
      </c>
      <c r="B203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70" s="3" t="str">
        <f>HYPERLINK("https://otsuka-europe-crm.veevavault.com/ui/#object/sent_email__v/VBLZ025E82HOO68", "SE-000288436")</f>
        <v>SE-000288436</v>
      </c>
      <c r="D20370" s="1">
        <v>45952.377523148149</v>
      </c>
      <c r="E20370" s="2">
        <v>1</v>
      </c>
      <c r="F20370" s="2">
        <v>2</v>
      </c>
      <c r="G20370" s="2">
        <v>0</v>
      </c>
      <c r="H20370" s="1" t="s">
        <v>0</v>
      </c>
      <c r="I20370" s="2">
        <v>0</v>
      </c>
      <c r="J20370" s="1">
        <v>45950.41678240741</v>
      </c>
    </row>
    <row r="20371" spans="1:10" x14ac:dyDescent="0.2">
      <c r="A20371" s="4" t="s">
        <v>1</v>
      </c>
      <c r="B203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71" s="3" t="str">
        <f>HYPERLINK("https://otsuka-europe-crm.veevavault.com/ui/#object/sent_email__v/VBLZ025E82HOO69", "SE-000288437")</f>
        <v>SE-000288437</v>
      </c>
      <c r="D20371" s="1">
        <v>45950.445798611108</v>
      </c>
      <c r="E20371" s="2">
        <v>1</v>
      </c>
      <c r="F20371" s="2">
        <v>1</v>
      </c>
      <c r="G20371" s="2">
        <v>0</v>
      </c>
      <c r="H20371" s="1" t="s">
        <v>0</v>
      </c>
      <c r="I20371" s="2">
        <v>0</v>
      </c>
      <c r="J20371" s="1">
        <v>45950.41679398148</v>
      </c>
    </row>
    <row r="20372" spans="1:10" x14ac:dyDescent="0.2">
      <c r="A20372" s="4" t="s">
        <v>1</v>
      </c>
      <c r="B203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72" s="3" t="str">
        <f>HYPERLINK("https://otsuka-europe-crm.veevavault.com/ui/#object/sent_email__v/VBLZ025E82HOO6A", "SE-000288438")</f>
        <v>SE-000288438</v>
      </c>
      <c r="D20372" s="1" t="s">
        <v>0</v>
      </c>
      <c r="E20372" s="2">
        <v>0</v>
      </c>
      <c r="F20372" s="2">
        <v>0</v>
      </c>
      <c r="G20372" s="2">
        <v>0</v>
      </c>
      <c r="H20372" s="1" t="s">
        <v>0</v>
      </c>
      <c r="I20372" s="2">
        <v>0</v>
      </c>
      <c r="J20372" s="1">
        <v>45950.416805555556</v>
      </c>
    </row>
    <row r="20373" spans="1:10" x14ac:dyDescent="0.2">
      <c r="A20373" s="4" t="s">
        <v>1</v>
      </c>
      <c r="B203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73" s="3" t="str">
        <f>HYPERLINK("https://otsuka-europe-crm.veevavault.com/ui/#object/sent_email__v/VBLZ025E82HOOOH", "SE-000288439")</f>
        <v>SE-000288439</v>
      </c>
      <c r="D20373" s="1">
        <v>46049.701701388891</v>
      </c>
      <c r="E20373" s="2">
        <v>1</v>
      </c>
      <c r="F20373" s="2">
        <v>1</v>
      </c>
      <c r="G20373" s="2">
        <v>0</v>
      </c>
      <c r="H20373" s="1" t="s">
        <v>0</v>
      </c>
      <c r="I20373" s="2">
        <v>0</v>
      </c>
      <c r="J20373" s="1">
        <v>45950.421238425923</v>
      </c>
    </row>
    <row r="20374" spans="1:10" x14ac:dyDescent="0.2">
      <c r="A20374" s="4" t="s">
        <v>1</v>
      </c>
      <c r="B203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74" s="3" t="str">
        <f>HYPERLINK("https://otsuka-europe-crm.veevavault.com/ui/#object/sent_email__v/VBLZ025E82HOOOI", "SE-000288440")</f>
        <v>SE-000288440</v>
      </c>
      <c r="D20374" s="1">
        <v>45950.547511574077</v>
      </c>
      <c r="E20374" s="2">
        <v>1</v>
      </c>
      <c r="F20374" s="2">
        <v>1</v>
      </c>
      <c r="G20374" s="2">
        <v>0</v>
      </c>
      <c r="H20374" s="1" t="s">
        <v>0</v>
      </c>
      <c r="I20374" s="2">
        <v>0</v>
      </c>
      <c r="J20374" s="1">
        <v>45950.421238425923</v>
      </c>
    </row>
    <row r="20375" spans="1:10" x14ac:dyDescent="0.2">
      <c r="A20375" s="4" t="s">
        <v>1</v>
      </c>
      <c r="B203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75" s="3" t="str">
        <f>HYPERLINK("https://otsuka-europe-crm.veevavault.com/ui/#object/sent_email__v/VBLZ025E82HOOOJ", "SE-000288441")</f>
        <v>SE-000288441</v>
      </c>
      <c r="D20375" s="1">
        <v>45950.539131944446</v>
      </c>
      <c r="E20375" s="2">
        <v>1</v>
      </c>
      <c r="F20375" s="2">
        <v>2</v>
      </c>
      <c r="G20375" s="2">
        <v>0</v>
      </c>
      <c r="H20375" s="1" t="s">
        <v>0</v>
      </c>
      <c r="I20375" s="2">
        <v>0</v>
      </c>
      <c r="J20375" s="1">
        <v>45950.421238425923</v>
      </c>
    </row>
    <row r="20376" spans="1:10" x14ac:dyDescent="0.2">
      <c r="A20376" s="4" t="s">
        <v>1</v>
      </c>
      <c r="B203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76" s="3" t="str">
        <f>HYPERLINK("https://otsuka-europe-crm.veevavault.com/ui/#object/sent_email__v/VBLZ025E82HOOOK", "SE-000288442")</f>
        <v>SE-000288442</v>
      </c>
      <c r="D20376" s="1">
        <v>45950.601469907408</v>
      </c>
      <c r="E20376" s="2">
        <v>1</v>
      </c>
      <c r="F20376" s="2">
        <v>3</v>
      </c>
      <c r="G20376" s="2">
        <v>0</v>
      </c>
      <c r="H20376" s="1" t="s">
        <v>0</v>
      </c>
      <c r="I20376" s="2">
        <v>0</v>
      </c>
      <c r="J20376" s="1">
        <v>45950.421261574076</v>
      </c>
    </row>
    <row r="20377" spans="1:10" x14ac:dyDescent="0.2">
      <c r="A20377" s="4" t="s">
        <v>1</v>
      </c>
      <c r="B203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77" s="3" t="str">
        <f>HYPERLINK("https://otsuka-europe-crm.veevavault.com/ui/#object/sent_email__v/VBLZ025E82HOOOL", "SE-000288443")</f>
        <v>SE-000288443</v>
      </c>
      <c r="D20377" s="1">
        <v>45950.465312499997</v>
      </c>
      <c r="E20377" s="2">
        <v>1</v>
      </c>
      <c r="F20377" s="2">
        <v>1</v>
      </c>
      <c r="G20377" s="2">
        <v>0</v>
      </c>
      <c r="H20377" s="1" t="s">
        <v>0</v>
      </c>
      <c r="I20377" s="2">
        <v>0</v>
      </c>
      <c r="J20377" s="1">
        <v>45950.421273148146</v>
      </c>
    </row>
    <row r="20378" spans="1:10" x14ac:dyDescent="0.2">
      <c r="A20378" s="4" t="s">
        <v>1</v>
      </c>
      <c r="B203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78" s="3" t="str">
        <f>HYPERLINK("https://otsuka-europe-crm.veevavault.com/ui/#object/sent_email__v/VBLZ025E82HOOOM", "SE-000288444")</f>
        <v>SE-000288444</v>
      </c>
      <c r="D20378" s="1" t="s">
        <v>0</v>
      </c>
      <c r="E20378" s="2">
        <v>0</v>
      </c>
      <c r="F20378" s="2">
        <v>0</v>
      </c>
      <c r="G20378" s="2">
        <v>0</v>
      </c>
      <c r="H20378" s="1" t="s">
        <v>0</v>
      </c>
      <c r="I20378" s="2">
        <v>0</v>
      </c>
      <c r="J20378" s="1">
        <v>45950.421261574076</v>
      </c>
    </row>
    <row r="20379" spans="1:10" x14ac:dyDescent="0.2">
      <c r="A20379" s="4" t="s">
        <v>1</v>
      </c>
      <c r="B203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79" s="3" t="str">
        <f>HYPERLINK("https://otsuka-europe-crm.veevavault.com/ui/#object/sent_email__v/VBLZ025E82HOOON", "SE-000288445")</f>
        <v>SE-000288445</v>
      </c>
      <c r="D20379" s="1">
        <v>45950.680196759262</v>
      </c>
      <c r="E20379" s="2">
        <v>1</v>
      </c>
      <c r="F20379" s="2">
        <v>2</v>
      </c>
      <c r="G20379" s="2">
        <v>0</v>
      </c>
      <c r="H20379" s="1" t="s">
        <v>0</v>
      </c>
      <c r="I20379" s="2">
        <v>0</v>
      </c>
      <c r="J20379" s="1">
        <v>45950.421284722222</v>
      </c>
    </row>
    <row r="20380" spans="1:10" x14ac:dyDescent="0.2">
      <c r="A20380" s="4" t="s">
        <v>1</v>
      </c>
      <c r="B203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80" s="3" t="str">
        <f>HYPERLINK("https://otsuka-europe-crm.veevavault.com/ui/#object/sent_email__v/VBLZ025E82HOOOO", "SE-000288446")</f>
        <v>SE-000288446</v>
      </c>
      <c r="D20380" s="1" t="s">
        <v>0</v>
      </c>
      <c r="E20380" s="2">
        <v>0</v>
      </c>
      <c r="F20380" s="2">
        <v>0</v>
      </c>
      <c r="G20380" s="2">
        <v>0</v>
      </c>
      <c r="H20380" s="1" t="s">
        <v>0</v>
      </c>
      <c r="I20380" s="2">
        <v>0</v>
      </c>
      <c r="J20380" s="1">
        <v>45950.421284722222</v>
      </c>
    </row>
    <row r="20381" spans="1:10" x14ac:dyDescent="0.2">
      <c r="A20381" s="4" t="s">
        <v>1</v>
      </c>
      <c r="B203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81" s="3" t="str">
        <f>HYPERLINK("https://otsuka-europe-crm.veevavault.com/ui/#object/sent_email__v/VBLZ025E82HOOOP", "SE-000288447")</f>
        <v>SE-000288447</v>
      </c>
      <c r="D20381" s="1">
        <v>45950.504259259258</v>
      </c>
      <c r="E20381" s="2">
        <v>1</v>
      </c>
      <c r="F20381" s="2">
        <v>1</v>
      </c>
      <c r="G20381" s="2">
        <v>0</v>
      </c>
      <c r="H20381" s="1" t="s">
        <v>0</v>
      </c>
      <c r="I20381" s="2">
        <v>0</v>
      </c>
      <c r="J20381" s="1">
        <v>45950.421296296299</v>
      </c>
    </row>
    <row r="20382" spans="1:10" x14ac:dyDescent="0.2">
      <c r="A20382" s="4" t="s">
        <v>1</v>
      </c>
      <c r="B203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82" s="3" t="str">
        <f>HYPERLINK("https://otsuka-europe-crm.veevavault.com/ui/#object/sent_email__v/VBLZ025E82HOOOQ", "SE-000288448")</f>
        <v>SE-000288448</v>
      </c>
      <c r="D20382" s="1">
        <v>45950.421481481484</v>
      </c>
      <c r="E20382" s="2">
        <v>1</v>
      </c>
      <c r="F20382" s="2">
        <v>2</v>
      </c>
      <c r="G20382" s="2">
        <v>0</v>
      </c>
      <c r="H20382" s="1" t="s">
        <v>0</v>
      </c>
      <c r="I20382" s="2">
        <v>0</v>
      </c>
      <c r="J20382" s="1">
        <v>45950.421319444446</v>
      </c>
    </row>
    <row r="20383" spans="1:10" x14ac:dyDescent="0.2">
      <c r="A20383" s="4" t="s">
        <v>1</v>
      </c>
      <c r="B203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83" s="3" t="str">
        <f>HYPERLINK("https://otsuka-europe-crm.veevavault.com/ui/#object/sent_email__v/VBLZ025E82HOOOR", "SE-000288449")</f>
        <v>SE-000288449</v>
      </c>
      <c r="D20383" s="1">
        <v>45950.735381944447</v>
      </c>
      <c r="E20383" s="2">
        <v>1</v>
      </c>
      <c r="F20383" s="2">
        <v>1</v>
      </c>
      <c r="G20383" s="2">
        <v>0</v>
      </c>
      <c r="H20383" s="1" t="s">
        <v>0</v>
      </c>
      <c r="I20383" s="2">
        <v>0</v>
      </c>
      <c r="J20383" s="1">
        <v>45950.421331018515</v>
      </c>
    </row>
    <row r="20384" spans="1:10" x14ac:dyDescent="0.2">
      <c r="A20384" s="4" t="s">
        <v>1</v>
      </c>
      <c r="B203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84" s="3" t="str">
        <f>HYPERLINK("https://otsuka-europe-crm.veevavault.com/ui/#object/sent_email__v/VBLZ025E82HOOOS", "SE-000288450")</f>
        <v>SE-000288450</v>
      </c>
      <c r="D20384" s="1">
        <v>45950.425532407404</v>
      </c>
      <c r="E20384" s="2">
        <v>1</v>
      </c>
      <c r="F20384" s="2">
        <v>1</v>
      </c>
      <c r="G20384" s="2">
        <v>0</v>
      </c>
      <c r="H20384" s="1" t="s">
        <v>0</v>
      </c>
      <c r="I20384" s="2">
        <v>0</v>
      </c>
      <c r="J20384" s="1">
        <v>45950.421331018515</v>
      </c>
    </row>
    <row r="20385" spans="1:10" x14ac:dyDescent="0.2">
      <c r="A20385" s="4" t="s">
        <v>1</v>
      </c>
      <c r="B203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85" s="3" t="str">
        <f>HYPERLINK("https://otsuka-europe-crm.veevavault.com/ui/#object/sent_email__v/VBLZ025E82HOOOT", "SE-000288451")</f>
        <v>SE-000288451</v>
      </c>
      <c r="D20385" s="1">
        <v>45972.803923611114</v>
      </c>
      <c r="E20385" s="2">
        <v>1</v>
      </c>
      <c r="F20385" s="2">
        <v>8</v>
      </c>
      <c r="G20385" s="2">
        <v>0</v>
      </c>
      <c r="H20385" s="1" t="s">
        <v>0</v>
      </c>
      <c r="I20385" s="2">
        <v>0</v>
      </c>
      <c r="J20385" s="1">
        <v>45950.421331018515</v>
      </c>
    </row>
    <row r="20386" spans="1:10" x14ac:dyDescent="0.2">
      <c r="A20386" s="4" t="s">
        <v>1</v>
      </c>
      <c r="B203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86" s="3" t="str">
        <f>HYPERLINK("https://otsuka-europe-crm.veevavault.com/ui/#object/sent_email__v/VBLZ025E82HOOOU", "SE-000288452")</f>
        <v>SE-000288452</v>
      </c>
      <c r="D20386" s="1">
        <v>45951.475902777776</v>
      </c>
      <c r="E20386" s="2">
        <v>1</v>
      </c>
      <c r="F20386" s="2">
        <v>3</v>
      </c>
      <c r="G20386" s="2">
        <v>0</v>
      </c>
      <c r="H20386" s="1" t="s">
        <v>0</v>
      </c>
      <c r="I20386" s="2">
        <v>0</v>
      </c>
      <c r="J20386" s="1">
        <v>45950.421342592592</v>
      </c>
    </row>
    <row r="20387" spans="1:10" x14ac:dyDescent="0.2">
      <c r="A20387" s="4" t="s">
        <v>1</v>
      </c>
      <c r="B203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87" s="3" t="str">
        <f>HYPERLINK("https://otsuka-europe-crm.veevavault.com/ui/#object/sent_email__v/VBLZ025E82HOOOV", "SE-000288453")</f>
        <v>SE-000288453</v>
      </c>
      <c r="D20387" s="1">
        <v>45950.572060185186</v>
      </c>
      <c r="E20387" s="2">
        <v>1</v>
      </c>
      <c r="F20387" s="2">
        <v>1</v>
      </c>
      <c r="G20387" s="2">
        <v>0</v>
      </c>
      <c r="H20387" s="1" t="s">
        <v>0</v>
      </c>
      <c r="I20387" s="2">
        <v>0</v>
      </c>
      <c r="J20387" s="1">
        <v>45950.421365740738</v>
      </c>
    </row>
    <row r="20388" spans="1:10" x14ac:dyDescent="0.2">
      <c r="A20388" s="4" t="s">
        <v>1</v>
      </c>
      <c r="B203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88" s="3" t="str">
        <f>HYPERLINK("https://otsuka-europe-crm.veevavault.com/ui/#object/sent_email__v/VBLZ025E82HOOOW", "SE-000288454")</f>
        <v>SE-000288454</v>
      </c>
      <c r="D20388" s="1">
        <v>45950.429895833331</v>
      </c>
      <c r="E20388" s="2">
        <v>1</v>
      </c>
      <c r="F20388" s="2">
        <v>1</v>
      </c>
      <c r="G20388" s="2">
        <v>0</v>
      </c>
      <c r="H20388" s="1" t="s">
        <v>0</v>
      </c>
      <c r="I20388" s="2">
        <v>0</v>
      </c>
      <c r="J20388" s="1">
        <v>45950.421365740738</v>
      </c>
    </row>
    <row r="20389" spans="1:10" x14ac:dyDescent="0.2">
      <c r="A20389" s="4" t="s">
        <v>1</v>
      </c>
      <c r="B203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89" s="3" t="str">
        <f>HYPERLINK("https://otsuka-europe-crm.veevavault.com/ui/#object/sent_email__v/VBLZ025E82HOOOX", "SE-000288455")</f>
        <v>SE-000288455</v>
      </c>
      <c r="D20389" s="1">
        <v>45950.427152777775</v>
      </c>
      <c r="E20389" s="2">
        <v>1</v>
      </c>
      <c r="F20389" s="2">
        <v>1</v>
      </c>
      <c r="G20389" s="2">
        <v>0</v>
      </c>
      <c r="H20389" s="1" t="s">
        <v>0</v>
      </c>
      <c r="I20389" s="2">
        <v>0</v>
      </c>
      <c r="J20389" s="1">
        <v>45950.421377314815</v>
      </c>
    </row>
    <row r="20390" spans="1:10" x14ac:dyDescent="0.2">
      <c r="A20390" s="4" t="s">
        <v>1</v>
      </c>
      <c r="B203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90" s="3" t="str">
        <f>HYPERLINK("https://otsuka-europe-crm.veevavault.com/ui/#object/sent_email__v/VBLZ025E82HOZPP", "SE-000288511")</f>
        <v>SE-000288511</v>
      </c>
      <c r="D20390" s="1">
        <v>45951.514733796299</v>
      </c>
      <c r="E20390" s="2">
        <v>1</v>
      </c>
      <c r="F20390" s="2">
        <v>2</v>
      </c>
      <c r="G20390" s="2">
        <v>0</v>
      </c>
      <c r="H20390" s="1" t="s">
        <v>0</v>
      </c>
      <c r="I20390" s="2">
        <v>0</v>
      </c>
      <c r="J20390" s="1">
        <v>45950.479166666664</v>
      </c>
    </row>
    <row r="20391" spans="1:10" x14ac:dyDescent="0.2">
      <c r="A20391" s="4" t="s">
        <v>1</v>
      </c>
      <c r="B203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91" s="3" t="str">
        <f>HYPERLINK("https://otsuka-europe-crm.veevavault.com/ui/#object/sent_email__v/VBLZ025E82HPQPX", "SE-000288720")</f>
        <v>SE-000288720</v>
      </c>
      <c r="D20391" s="1">
        <v>45950.96398148148</v>
      </c>
      <c r="E20391" s="2">
        <v>1</v>
      </c>
      <c r="F20391" s="2">
        <v>1</v>
      </c>
      <c r="G20391" s="2">
        <v>0</v>
      </c>
      <c r="H20391" s="1" t="s">
        <v>0</v>
      </c>
      <c r="I20391" s="2">
        <v>0</v>
      </c>
      <c r="J20391" s="1">
        <v>45950.873865740738</v>
      </c>
    </row>
    <row r="20392" spans="1:10" x14ac:dyDescent="0.2">
      <c r="A20392" s="4" t="s">
        <v>1</v>
      </c>
      <c r="B203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92" s="3" t="str">
        <f>HYPERLINK("https://otsuka-europe-crm.veevavault.com/ui/#object/sent_email__v/VBLZ025E82HPQPY", "SE-000288721")</f>
        <v>SE-000288721</v>
      </c>
      <c r="D20392" s="1">
        <v>45951.56082175926</v>
      </c>
      <c r="E20392" s="2">
        <v>1</v>
      </c>
      <c r="F20392" s="2">
        <v>1</v>
      </c>
      <c r="G20392" s="2">
        <v>0</v>
      </c>
      <c r="H20392" s="1" t="s">
        <v>0</v>
      </c>
      <c r="I20392" s="2">
        <v>0</v>
      </c>
      <c r="J20392" s="1">
        <v>45950.873865740738</v>
      </c>
    </row>
    <row r="20393" spans="1:10" x14ac:dyDescent="0.2">
      <c r="A20393" s="4" t="s">
        <v>1</v>
      </c>
      <c r="B203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93" s="3" t="str">
        <f>HYPERLINK("https://otsuka-europe-crm.veevavault.com/ui/#object/sent_email__v/VBLZ025E82HPQPZ", "SE-000288722")</f>
        <v>SE-000288722</v>
      </c>
      <c r="D20393" s="1" t="s">
        <v>0</v>
      </c>
      <c r="E20393" s="2">
        <v>0</v>
      </c>
      <c r="F20393" s="2">
        <v>0</v>
      </c>
      <c r="G20393" s="2">
        <v>0</v>
      </c>
      <c r="H20393" s="1" t="s">
        <v>0</v>
      </c>
      <c r="I20393" s="2">
        <v>0</v>
      </c>
      <c r="J20393" s="1">
        <v>45950.873865740738</v>
      </c>
    </row>
    <row r="20394" spans="1:10" x14ac:dyDescent="0.2">
      <c r="A20394" s="4" t="s">
        <v>1</v>
      </c>
      <c r="B203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94" s="3" t="str">
        <f>HYPERLINK("https://otsuka-europe-crm.veevavault.com/ui/#object/sent_email__v/VBLZ025E82HPQQ0", "SE-000288723")</f>
        <v>SE-000288723</v>
      </c>
      <c r="D20394" s="1" t="s">
        <v>0</v>
      </c>
      <c r="E20394" s="2">
        <v>0</v>
      </c>
      <c r="F20394" s="2">
        <v>0</v>
      </c>
      <c r="G20394" s="2">
        <v>0</v>
      </c>
      <c r="H20394" s="1" t="s">
        <v>0</v>
      </c>
      <c r="I20394" s="2">
        <v>0</v>
      </c>
      <c r="J20394" s="1">
        <v>45950.873888888891</v>
      </c>
    </row>
    <row r="20395" spans="1:10" x14ac:dyDescent="0.2">
      <c r="A20395" s="4" t="s">
        <v>1</v>
      </c>
      <c r="B203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95" s="3" t="str">
        <f>HYPERLINK("https://otsuka-europe-crm.veevavault.com/ui/#object/sent_email__v/VBLZ025E82HPQQ1", "SE-000288724")</f>
        <v>SE-000288724</v>
      </c>
      <c r="D20395" s="1">
        <v>45959.739340277774</v>
      </c>
      <c r="E20395" s="2">
        <v>1</v>
      </c>
      <c r="F20395" s="2">
        <v>2</v>
      </c>
      <c r="G20395" s="2">
        <v>1</v>
      </c>
      <c r="H20395" s="1">
        <v>45953.573136574072</v>
      </c>
      <c r="I20395" s="2">
        <v>1</v>
      </c>
      <c r="J20395" s="1">
        <v>45950.873888888891</v>
      </c>
    </row>
    <row r="20396" spans="1:10" x14ac:dyDescent="0.2">
      <c r="A20396" s="4" t="s">
        <v>1</v>
      </c>
      <c r="B203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96" s="3" t="str">
        <f>HYPERLINK("https://otsuka-europe-crm.veevavault.com/ui/#object/sent_email__v/VBLZ025E82HPQQ2", "SE-000288725")</f>
        <v>SE-000288725</v>
      </c>
      <c r="D20396" s="1" t="s">
        <v>0</v>
      </c>
      <c r="E20396" s="2">
        <v>0</v>
      </c>
      <c r="F20396" s="2">
        <v>0</v>
      </c>
      <c r="G20396" s="2">
        <v>0</v>
      </c>
      <c r="H20396" s="1" t="s">
        <v>0</v>
      </c>
      <c r="I20396" s="2">
        <v>0</v>
      </c>
      <c r="J20396" s="1">
        <v>45950.873888888891</v>
      </c>
    </row>
    <row r="20397" spans="1:10" x14ac:dyDescent="0.2">
      <c r="A20397" s="4" t="s">
        <v>1</v>
      </c>
      <c r="B203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97" s="3" t="str">
        <f>HYPERLINK("https://otsuka-europe-crm.veevavault.com/ui/#object/sent_email__v/VBLZ025E82HPQQ3", "SE-000288726")</f>
        <v>SE-000288726</v>
      </c>
      <c r="D20397" s="1">
        <v>45950.879548611112</v>
      </c>
      <c r="E20397" s="2">
        <v>1</v>
      </c>
      <c r="F20397" s="2">
        <v>1</v>
      </c>
      <c r="G20397" s="2">
        <v>0</v>
      </c>
      <c r="H20397" s="1" t="s">
        <v>0</v>
      </c>
      <c r="I20397" s="2">
        <v>0</v>
      </c>
      <c r="J20397" s="1">
        <v>45950.873888888891</v>
      </c>
    </row>
    <row r="20398" spans="1:10" x14ac:dyDescent="0.2">
      <c r="A20398" s="4" t="s">
        <v>1</v>
      </c>
      <c r="B203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98" s="3" t="str">
        <f>HYPERLINK("https://otsuka-europe-crm.veevavault.com/ui/#object/sent_email__v/VBLZ025E82HPQQ4", "SE-000288727")</f>
        <v>SE-000288727</v>
      </c>
      <c r="D20398" s="1">
        <v>45950.991550925923</v>
      </c>
      <c r="E20398" s="2">
        <v>1</v>
      </c>
      <c r="F20398" s="2">
        <v>2</v>
      </c>
      <c r="G20398" s="2">
        <v>0</v>
      </c>
      <c r="H20398" s="1" t="s">
        <v>0</v>
      </c>
      <c r="I20398" s="2">
        <v>0</v>
      </c>
      <c r="J20398" s="1">
        <v>45950.873912037037</v>
      </c>
    </row>
    <row r="20399" spans="1:10" x14ac:dyDescent="0.2">
      <c r="A20399" s="4" t="s">
        <v>1</v>
      </c>
      <c r="B203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399" s="3" t="str">
        <f>HYPERLINK("https://otsuka-europe-crm.veevavault.com/ui/#object/sent_email__v/VBLZ025E82HPQQ5", "SE-000288728")</f>
        <v>SE-000288728</v>
      </c>
      <c r="D20399" s="1">
        <v>45951.44902777778</v>
      </c>
      <c r="E20399" s="2">
        <v>1</v>
      </c>
      <c r="F20399" s="2">
        <v>1</v>
      </c>
      <c r="G20399" s="2">
        <v>0</v>
      </c>
      <c r="H20399" s="1" t="s">
        <v>0</v>
      </c>
      <c r="I20399" s="2">
        <v>0</v>
      </c>
      <c r="J20399" s="1">
        <v>45950.873912037037</v>
      </c>
    </row>
    <row r="20400" spans="1:10" x14ac:dyDescent="0.2">
      <c r="A20400" s="4" t="s">
        <v>1</v>
      </c>
      <c r="B204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00" s="3" t="str">
        <f>HYPERLINK("https://otsuka-europe-crm.veevavault.com/ui/#object/sent_email__v/VBLZ025E82HPQQ6", "SE-000288729")</f>
        <v>SE-000288729</v>
      </c>
      <c r="D20400" s="1">
        <v>45950.875949074078</v>
      </c>
      <c r="E20400" s="2">
        <v>1</v>
      </c>
      <c r="F20400" s="2">
        <v>1</v>
      </c>
      <c r="G20400" s="2">
        <v>0</v>
      </c>
      <c r="H20400" s="1" t="s">
        <v>0</v>
      </c>
      <c r="I20400" s="2">
        <v>0</v>
      </c>
      <c r="J20400" s="1">
        <v>45950.873923611114</v>
      </c>
    </row>
    <row r="20401" spans="1:10" x14ac:dyDescent="0.2">
      <c r="A20401" s="4" t="s">
        <v>1</v>
      </c>
      <c r="B204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01" s="3" t="str">
        <f>HYPERLINK("https://otsuka-europe-crm.veevavault.com/ui/#object/sent_email__v/VBLZ025E82HPQQ7", "SE-000288730")</f>
        <v>SE-000288730</v>
      </c>
      <c r="D20401" s="1">
        <v>45997.550671296296</v>
      </c>
      <c r="E20401" s="2">
        <v>1</v>
      </c>
      <c r="F20401" s="2">
        <v>2</v>
      </c>
      <c r="G20401" s="2">
        <v>0</v>
      </c>
      <c r="H20401" s="1" t="s">
        <v>0</v>
      </c>
      <c r="I20401" s="2">
        <v>0</v>
      </c>
      <c r="J20401" s="1">
        <v>45950.873935185184</v>
      </c>
    </row>
    <row r="20402" spans="1:10" x14ac:dyDescent="0.2">
      <c r="A20402" s="4" t="s">
        <v>1</v>
      </c>
      <c r="B204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02" s="3" t="str">
        <f>HYPERLINK("https://otsuka-europe-crm.veevavault.com/ui/#object/sent_email__v/VBLZ025E82HPQQ8", "SE-000288731")</f>
        <v>SE-000288731</v>
      </c>
      <c r="D20402" s="1" t="s">
        <v>0</v>
      </c>
      <c r="E20402" s="2">
        <v>0</v>
      </c>
      <c r="F20402" s="2">
        <v>0</v>
      </c>
      <c r="G20402" s="2">
        <v>0</v>
      </c>
      <c r="H20402" s="1" t="s">
        <v>0</v>
      </c>
      <c r="I20402" s="2">
        <v>0</v>
      </c>
      <c r="J20402" s="1">
        <v>45950.873935185184</v>
      </c>
    </row>
    <row r="20403" spans="1:10" x14ac:dyDescent="0.2">
      <c r="A20403" s="4" t="s">
        <v>1</v>
      </c>
      <c r="B204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03" s="3" t="str">
        <f>HYPERLINK("https://otsuka-europe-crm.veevavault.com/ui/#object/sent_email__v/VBLZ025E82HPQQ9", "SE-000288732")</f>
        <v>SE-000288732</v>
      </c>
      <c r="D20403" s="1" t="s">
        <v>0</v>
      </c>
      <c r="E20403" s="2">
        <v>0</v>
      </c>
      <c r="F20403" s="2">
        <v>0</v>
      </c>
      <c r="G20403" s="2">
        <v>0</v>
      </c>
      <c r="H20403" s="1" t="s">
        <v>0</v>
      </c>
      <c r="I20403" s="2">
        <v>0</v>
      </c>
      <c r="J20403" s="1">
        <v>45950.87394675926</v>
      </c>
    </row>
    <row r="20404" spans="1:10" x14ac:dyDescent="0.2">
      <c r="A20404" s="4" t="s">
        <v>1</v>
      </c>
      <c r="B204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04" s="3" t="str">
        <f>HYPERLINK("https://otsuka-europe-crm.veevavault.com/ui/#object/sent_email__v/VBLZ025E82HPQQA", "SE-000288733")</f>
        <v>SE-000288733</v>
      </c>
      <c r="D20404" s="1">
        <v>45964.961759259262</v>
      </c>
      <c r="E20404" s="2">
        <v>1</v>
      </c>
      <c r="F20404" s="2">
        <v>4</v>
      </c>
      <c r="G20404" s="2">
        <v>0</v>
      </c>
      <c r="H20404" s="1" t="s">
        <v>0</v>
      </c>
      <c r="I20404" s="2">
        <v>0</v>
      </c>
      <c r="J20404" s="1">
        <v>45950.873969907407</v>
      </c>
    </row>
    <row r="20405" spans="1:10" x14ac:dyDescent="0.2">
      <c r="A20405" s="4" t="s">
        <v>1</v>
      </c>
      <c r="B204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05" s="3" t="str">
        <f>HYPERLINK("https://otsuka-europe-crm.veevavault.com/ui/#object/sent_email__v/VBLZ025E82HPQQB", "SE-000288734")</f>
        <v>SE-000288734</v>
      </c>
      <c r="D20405" s="1">
        <v>45950.933055555557</v>
      </c>
      <c r="E20405" s="2">
        <v>1</v>
      </c>
      <c r="F20405" s="2">
        <v>4</v>
      </c>
      <c r="G20405" s="2">
        <v>1</v>
      </c>
      <c r="H20405" s="1">
        <v>45950.933113425926</v>
      </c>
      <c r="I20405" s="2">
        <v>1</v>
      </c>
      <c r="J20405" s="1">
        <v>45950.873969907407</v>
      </c>
    </row>
    <row r="20406" spans="1:10" x14ac:dyDescent="0.2">
      <c r="A20406" s="4" t="s">
        <v>1</v>
      </c>
      <c r="B204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06" s="3" t="str">
        <f>HYPERLINK("https://otsuka-europe-crm.veevavault.com/ui/#object/sent_email__v/VBLZ025E82HPQQC", "SE-000288735")</f>
        <v>SE-000288735</v>
      </c>
      <c r="D20406" s="1">
        <v>45951.595069444447</v>
      </c>
      <c r="E20406" s="2">
        <v>1</v>
      </c>
      <c r="F20406" s="2">
        <v>1</v>
      </c>
      <c r="G20406" s="2">
        <v>0</v>
      </c>
      <c r="H20406" s="1" t="s">
        <v>0</v>
      </c>
      <c r="I20406" s="2">
        <v>0</v>
      </c>
      <c r="J20406" s="1">
        <v>45950.873981481483</v>
      </c>
    </row>
    <row r="20407" spans="1:10" x14ac:dyDescent="0.2">
      <c r="A20407" s="4" t="s">
        <v>1</v>
      </c>
      <c r="B204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07" s="3" t="str">
        <f>HYPERLINK("https://otsuka-europe-crm.veevavault.com/ui/#object/sent_email__v/VBLZ025E82HPQQD", "SE-000288736")</f>
        <v>SE-000288736</v>
      </c>
      <c r="D20407" s="1">
        <v>45969.767094907409</v>
      </c>
      <c r="E20407" s="2">
        <v>1</v>
      </c>
      <c r="F20407" s="2">
        <v>3</v>
      </c>
      <c r="G20407" s="2">
        <v>0</v>
      </c>
      <c r="H20407" s="1" t="s">
        <v>0</v>
      </c>
      <c r="I20407" s="2">
        <v>0</v>
      </c>
      <c r="J20407" s="1">
        <v>45950.87400462963</v>
      </c>
    </row>
    <row r="20408" spans="1:10" x14ac:dyDescent="0.2">
      <c r="A20408" s="4" t="s">
        <v>1</v>
      </c>
      <c r="B204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08" s="3" t="str">
        <f>HYPERLINK("https://otsuka-europe-crm.veevavault.com/ui/#object/sent_email__v/VBLZ025E82HPQQE", "SE-000288737")</f>
        <v>SE-000288737</v>
      </c>
      <c r="D20408" s="1">
        <v>45951.70585648148</v>
      </c>
      <c r="E20408" s="2">
        <v>1</v>
      </c>
      <c r="F20408" s="2">
        <v>4</v>
      </c>
      <c r="G20408" s="2">
        <v>0</v>
      </c>
      <c r="H20408" s="1" t="s">
        <v>0</v>
      </c>
      <c r="I20408" s="2">
        <v>0</v>
      </c>
      <c r="J20408" s="1">
        <v>45950.87400462963</v>
      </c>
    </row>
    <row r="20409" spans="1:10" x14ac:dyDescent="0.2">
      <c r="A20409" s="4" t="s">
        <v>1</v>
      </c>
      <c r="B204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09" s="3" t="str">
        <f>HYPERLINK("https://otsuka-europe-crm.veevavault.com/ui/#object/sent_email__v/VBLZ025E82HPQQF", "SE-000288738")</f>
        <v>SE-000288738</v>
      </c>
      <c r="D20409" s="1">
        <v>45953.522199074076</v>
      </c>
      <c r="E20409" s="2">
        <v>1</v>
      </c>
      <c r="F20409" s="2">
        <v>1</v>
      </c>
      <c r="G20409" s="2">
        <v>0</v>
      </c>
      <c r="H20409" s="1" t="s">
        <v>0</v>
      </c>
      <c r="I20409" s="2">
        <v>0</v>
      </c>
      <c r="J20409" s="1">
        <v>45950.87400462963</v>
      </c>
    </row>
    <row r="20410" spans="1:10" x14ac:dyDescent="0.2">
      <c r="A20410" s="4" t="s">
        <v>1</v>
      </c>
      <c r="B204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10" s="3" t="str">
        <f>HYPERLINK("https://otsuka-europe-crm.veevavault.com/ui/#object/sent_email__v/VBLZ025E82HPQQG", "SE-000288739")</f>
        <v>SE-000288739</v>
      </c>
      <c r="D20410" s="1" t="s">
        <v>0</v>
      </c>
      <c r="E20410" s="2">
        <v>0</v>
      </c>
      <c r="F20410" s="2">
        <v>0</v>
      </c>
      <c r="G20410" s="2">
        <v>0</v>
      </c>
      <c r="H20410" s="1" t="s">
        <v>0</v>
      </c>
      <c r="I20410" s="2">
        <v>0</v>
      </c>
      <c r="J20410" s="1">
        <v>45950.874016203707</v>
      </c>
    </row>
    <row r="20411" spans="1:10" x14ac:dyDescent="0.2">
      <c r="A20411" s="4" t="s">
        <v>1</v>
      </c>
      <c r="B204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11" s="3" t="str">
        <f>HYPERLINK("https://otsuka-europe-crm.veevavault.com/ui/#object/sent_email__v/VBLZ025E82HPQQH", "SE-000288740")</f>
        <v>SE-000288740</v>
      </c>
      <c r="D20411" s="1">
        <v>45966.649097222224</v>
      </c>
      <c r="E20411" s="2">
        <v>1</v>
      </c>
      <c r="F20411" s="2">
        <v>2</v>
      </c>
      <c r="G20411" s="2">
        <v>0</v>
      </c>
      <c r="H20411" s="1" t="s">
        <v>0</v>
      </c>
      <c r="I20411" s="2">
        <v>0</v>
      </c>
      <c r="J20411" s="1">
        <v>45950.874027777776</v>
      </c>
    </row>
    <row r="20412" spans="1:10" x14ac:dyDescent="0.2">
      <c r="A20412" s="4" t="s">
        <v>1</v>
      </c>
      <c r="B204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12" s="3" t="str">
        <f>HYPERLINK("https://otsuka-europe-crm.veevavault.com/ui/#object/sent_email__v/VBLZ025E82HPQQI", "SE-000288741")</f>
        <v>SE-000288741</v>
      </c>
      <c r="D20412" s="1">
        <v>45951.807824074072</v>
      </c>
      <c r="E20412" s="2">
        <v>1</v>
      </c>
      <c r="F20412" s="2">
        <v>2</v>
      </c>
      <c r="G20412" s="2">
        <v>0</v>
      </c>
      <c r="H20412" s="1" t="s">
        <v>0</v>
      </c>
      <c r="I20412" s="2">
        <v>0</v>
      </c>
      <c r="J20412" s="1">
        <v>45950.874039351853</v>
      </c>
    </row>
    <row r="20413" spans="1:10" x14ac:dyDescent="0.2">
      <c r="A20413" s="4" t="s">
        <v>1</v>
      </c>
      <c r="B204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13" s="3" t="str">
        <f>HYPERLINK("https://otsuka-europe-crm.veevavault.com/ui/#object/sent_email__v/VBLZ025E82HPQQJ", "SE-000288742")</f>
        <v>SE-000288742</v>
      </c>
      <c r="D20413" s="1">
        <v>45951.017280092594</v>
      </c>
      <c r="E20413" s="2">
        <v>1</v>
      </c>
      <c r="F20413" s="2">
        <v>1</v>
      </c>
      <c r="G20413" s="2">
        <v>0</v>
      </c>
      <c r="H20413" s="1" t="s">
        <v>0</v>
      </c>
      <c r="I20413" s="2">
        <v>0</v>
      </c>
      <c r="J20413" s="1">
        <v>45950.874039351853</v>
      </c>
    </row>
    <row r="20414" spans="1:10" x14ac:dyDescent="0.2">
      <c r="A20414" s="4" t="s">
        <v>1</v>
      </c>
      <c r="B204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14" s="3" t="str">
        <f>HYPERLINK("https://otsuka-europe-crm.veevavault.com/ui/#object/sent_email__v/VBLZ025E82HPQQK", "SE-000288743")</f>
        <v>SE-000288743</v>
      </c>
      <c r="D20414" s="1" t="s">
        <v>0</v>
      </c>
      <c r="E20414" s="2">
        <v>0</v>
      </c>
      <c r="F20414" s="2">
        <v>0</v>
      </c>
      <c r="G20414" s="2">
        <v>0</v>
      </c>
      <c r="H20414" s="1" t="s">
        <v>0</v>
      </c>
      <c r="I20414" s="2">
        <v>0</v>
      </c>
      <c r="J20414" s="1">
        <v>45950.874050925922</v>
      </c>
    </row>
    <row r="20415" spans="1:10" x14ac:dyDescent="0.2">
      <c r="A20415" s="4" t="s">
        <v>1</v>
      </c>
      <c r="B204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15" s="3" t="str">
        <f>HYPERLINK("https://otsuka-europe-crm.veevavault.com/ui/#object/sent_email__v/VBLZ025E82HPQQL", "SE-000288744")</f>
        <v>SE-000288744</v>
      </c>
      <c r="D20415" s="1">
        <v>45951.339537037034</v>
      </c>
      <c r="E20415" s="2">
        <v>1</v>
      </c>
      <c r="F20415" s="2">
        <v>2</v>
      </c>
      <c r="G20415" s="2">
        <v>0</v>
      </c>
      <c r="H20415" s="1" t="s">
        <v>0</v>
      </c>
      <c r="I20415" s="2">
        <v>0</v>
      </c>
      <c r="J20415" s="1">
        <v>45950.874062499999</v>
      </c>
    </row>
    <row r="20416" spans="1:10" x14ac:dyDescent="0.2">
      <c r="A20416" s="4" t="s">
        <v>1</v>
      </c>
      <c r="B204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16" s="3" t="str">
        <f>HYPERLINK("https://otsuka-europe-crm.veevavault.com/ui/#object/sent_email__v/VBLZ025E82HPQQM", "SE-000288745")</f>
        <v>SE-000288745</v>
      </c>
      <c r="D20416" s="1">
        <v>45953.983425925922</v>
      </c>
      <c r="E20416" s="2">
        <v>1</v>
      </c>
      <c r="F20416" s="2">
        <v>5</v>
      </c>
      <c r="G20416" s="2">
        <v>0</v>
      </c>
      <c r="H20416" s="1" t="s">
        <v>0</v>
      </c>
      <c r="I20416" s="2">
        <v>0</v>
      </c>
      <c r="J20416" s="1">
        <v>45950.874074074076</v>
      </c>
    </row>
    <row r="20417" spans="1:10" x14ac:dyDescent="0.2">
      <c r="A20417" s="4" t="s">
        <v>1</v>
      </c>
      <c r="B204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17" s="3" t="str">
        <f>HYPERLINK("https://otsuka-europe-crm.veevavault.com/ui/#object/sent_email__v/VBLZ025E82HPQQN", "SE-000288746")</f>
        <v>SE-000288746</v>
      </c>
      <c r="D20417" s="1" t="s">
        <v>0</v>
      </c>
      <c r="E20417" s="2">
        <v>0</v>
      </c>
      <c r="F20417" s="2">
        <v>0</v>
      </c>
      <c r="G20417" s="2">
        <v>0</v>
      </c>
      <c r="H20417" s="1" t="s">
        <v>0</v>
      </c>
      <c r="I20417" s="2">
        <v>0</v>
      </c>
      <c r="J20417" s="1">
        <v>45950.874085648145</v>
      </c>
    </row>
    <row r="20418" spans="1:10" x14ac:dyDescent="0.2">
      <c r="A20418" s="4" t="s">
        <v>1</v>
      </c>
      <c r="B204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18" s="3" t="str">
        <f>HYPERLINK("https://otsuka-europe-crm.veevavault.com/ui/#object/sent_email__v/VBLZ025E82HPQQO", "SE-000288747")</f>
        <v>SE-000288747</v>
      </c>
      <c r="D20418" s="1" t="s">
        <v>0</v>
      </c>
      <c r="E20418" s="2">
        <v>0</v>
      </c>
      <c r="F20418" s="2">
        <v>0</v>
      </c>
      <c r="G20418" s="2">
        <v>0</v>
      </c>
      <c r="H20418" s="1" t="s">
        <v>0</v>
      </c>
      <c r="I20418" s="2">
        <v>0</v>
      </c>
      <c r="J20418" s="1">
        <v>45950.874085648145</v>
      </c>
    </row>
    <row r="20419" spans="1:10" x14ac:dyDescent="0.2">
      <c r="A20419" s="4" t="s">
        <v>1</v>
      </c>
      <c r="B204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19" s="3" t="str">
        <f>HYPERLINK("https://otsuka-europe-crm.veevavault.com/ui/#object/sent_email__v/VBLZ025E82HPQQP", "SE-000288748")</f>
        <v>SE-000288748</v>
      </c>
      <c r="D20419" s="1">
        <v>45953.89916666667</v>
      </c>
      <c r="E20419" s="2">
        <v>1</v>
      </c>
      <c r="F20419" s="2">
        <v>2</v>
      </c>
      <c r="G20419" s="2">
        <v>0</v>
      </c>
      <c r="H20419" s="1" t="s">
        <v>0</v>
      </c>
      <c r="I20419" s="2">
        <v>0</v>
      </c>
      <c r="J20419" s="1">
        <v>45950.874097222222</v>
      </c>
    </row>
    <row r="20420" spans="1:10" x14ac:dyDescent="0.2">
      <c r="A20420" s="4" t="s">
        <v>1</v>
      </c>
      <c r="B204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20" s="3" t="str">
        <f>HYPERLINK("https://otsuka-europe-crm.veevavault.com/ui/#object/sent_email__v/VBLZ025E82HPQQQ", "SE-000288749")</f>
        <v>SE-000288749</v>
      </c>
      <c r="D20420" s="1">
        <v>45951.449374999997</v>
      </c>
      <c r="E20420" s="2">
        <v>1</v>
      </c>
      <c r="F20420" s="2">
        <v>1</v>
      </c>
      <c r="G20420" s="2">
        <v>0</v>
      </c>
      <c r="H20420" s="1" t="s">
        <v>0</v>
      </c>
      <c r="I20420" s="2">
        <v>0</v>
      </c>
      <c r="J20420" s="1">
        <v>45950.874108796299</v>
      </c>
    </row>
    <row r="20421" spans="1:10" x14ac:dyDescent="0.2">
      <c r="A20421" s="4" t="s">
        <v>1</v>
      </c>
      <c r="B204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21" s="3" t="str">
        <f>HYPERLINK("https://otsuka-europe-crm.veevavault.com/ui/#object/sent_email__v/VBLZ025E82HPQQR", "SE-000288750")</f>
        <v>SE-000288750</v>
      </c>
      <c r="D20421" s="1">
        <v>45951.339432870373</v>
      </c>
      <c r="E20421" s="2">
        <v>1</v>
      </c>
      <c r="F20421" s="2">
        <v>1</v>
      </c>
      <c r="G20421" s="2">
        <v>0</v>
      </c>
      <c r="H20421" s="1" t="s">
        <v>0</v>
      </c>
      <c r="I20421" s="2">
        <v>0</v>
      </c>
      <c r="J20421" s="1">
        <v>45950.874120370368</v>
      </c>
    </row>
    <row r="20422" spans="1:10" x14ac:dyDescent="0.2">
      <c r="A20422" s="4" t="s">
        <v>1</v>
      </c>
      <c r="B204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22" s="3" t="str">
        <f>HYPERLINK("https://otsuka-europe-crm.veevavault.com/ui/#object/sent_email__v/VBLZ025E82HPQQS", "SE-000288751")</f>
        <v>SE-000288751</v>
      </c>
      <c r="D20422" s="1">
        <v>45950.878229166665</v>
      </c>
      <c r="E20422" s="2">
        <v>1</v>
      </c>
      <c r="F20422" s="2">
        <v>2</v>
      </c>
      <c r="G20422" s="2">
        <v>0</v>
      </c>
      <c r="H20422" s="1" t="s">
        <v>0</v>
      </c>
      <c r="I20422" s="2">
        <v>0</v>
      </c>
      <c r="J20422" s="1">
        <v>45950.874131944445</v>
      </c>
    </row>
    <row r="20423" spans="1:10" x14ac:dyDescent="0.2">
      <c r="A20423" s="4" t="s">
        <v>1</v>
      </c>
      <c r="B204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23" s="3" t="str">
        <f>HYPERLINK("https://otsuka-europe-crm.veevavault.com/ui/#object/sent_email__v/VBLZ025E82HPQQT", "SE-000288752")</f>
        <v>SE-000288752</v>
      </c>
      <c r="D20423" s="1">
        <v>45951.18582175926</v>
      </c>
      <c r="E20423" s="2">
        <v>1</v>
      </c>
      <c r="F20423" s="2">
        <v>1</v>
      </c>
      <c r="G20423" s="2">
        <v>0</v>
      </c>
      <c r="H20423" s="1" t="s">
        <v>0</v>
      </c>
      <c r="I20423" s="2">
        <v>0</v>
      </c>
      <c r="J20423" s="1">
        <v>45950.874131944445</v>
      </c>
    </row>
    <row r="20424" spans="1:10" x14ac:dyDescent="0.2">
      <c r="A20424" s="4" t="s">
        <v>1</v>
      </c>
      <c r="B204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24" s="3" t="str">
        <f>HYPERLINK("https://otsuka-europe-crm.veevavault.com/ui/#object/sent_email__v/VBLZ025E82HPQQU", "SE-000288753")</f>
        <v>SE-000288753</v>
      </c>
      <c r="D20424" s="1">
        <v>45950.923067129632</v>
      </c>
      <c r="E20424" s="2">
        <v>1</v>
      </c>
      <c r="F20424" s="2">
        <v>2</v>
      </c>
      <c r="G20424" s="2">
        <v>0</v>
      </c>
      <c r="H20424" s="1" t="s">
        <v>0</v>
      </c>
      <c r="I20424" s="2">
        <v>0</v>
      </c>
      <c r="J20424" s="1">
        <v>45950.874143518522</v>
      </c>
    </row>
    <row r="20425" spans="1:10" x14ac:dyDescent="0.2">
      <c r="A20425" s="4" t="s">
        <v>1</v>
      </c>
      <c r="B204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25" s="3" t="str">
        <f>HYPERLINK("https://otsuka-europe-crm.veevavault.com/ui/#object/sent_email__v/VBLZ025E82HPQQV", "SE-000288754")</f>
        <v>SE-000288754</v>
      </c>
      <c r="D20425" s="1">
        <v>45951.283449074072</v>
      </c>
      <c r="E20425" s="2">
        <v>1</v>
      </c>
      <c r="F20425" s="2">
        <v>1</v>
      </c>
      <c r="G20425" s="2">
        <v>0</v>
      </c>
      <c r="H20425" s="1" t="s">
        <v>0</v>
      </c>
      <c r="I20425" s="2">
        <v>0</v>
      </c>
      <c r="J20425" s="1">
        <v>45950.874178240738</v>
      </c>
    </row>
    <row r="20426" spans="1:10" x14ac:dyDescent="0.2">
      <c r="A20426" s="4" t="s">
        <v>1</v>
      </c>
      <c r="B204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26" s="3" t="str">
        <f>HYPERLINK("https://otsuka-europe-crm.veevavault.com/ui/#object/sent_email__v/VBLZ025E82HPQQW", "SE-000288755")</f>
        <v>SE-000288755</v>
      </c>
      <c r="D20426" s="1">
        <v>45953.315023148149</v>
      </c>
      <c r="E20426" s="2">
        <v>1</v>
      </c>
      <c r="F20426" s="2">
        <v>1</v>
      </c>
      <c r="G20426" s="2">
        <v>0</v>
      </c>
      <c r="H20426" s="1" t="s">
        <v>0</v>
      </c>
      <c r="I20426" s="2">
        <v>0</v>
      </c>
      <c r="J20426" s="1">
        <v>45950.874166666668</v>
      </c>
    </row>
    <row r="20427" spans="1:10" x14ac:dyDescent="0.2">
      <c r="A20427" s="4" t="s">
        <v>1</v>
      </c>
      <c r="B204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27" s="3" t="str">
        <f>HYPERLINK("https://otsuka-europe-crm.veevavault.com/ui/#object/sent_email__v/VBLZ025E82HPQQX", "SE-000288756")</f>
        <v>SE-000288756</v>
      </c>
      <c r="D20427" s="1">
        <v>45951.358402777776</v>
      </c>
      <c r="E20427" s="2">
        <v>1</v>
      </c>
      <c r="F20427" s="2">
        <v>1</v>
      </c>
      <c r="G20427" s="2">
        <v>0</v>
      </c>
      <c r="H20427" s="1" t="s">
        <v>0</v>
      </c>
      <c r="I20427" s="2">
        <v>0</v>
      </c>
      <c r="J20427" s="1">
        <v>45950.874178240738</v>
      </c>
    </row>
    <row r="20428" spans="1:10" x14ac:dyDescent="0.2">
      <c r="A20428" s="4" t="s">
        <v>1</v>
      </c>
      <c r="B204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28" s="3" t="str">
        <f>HYPERLINK("https://otsuka-europe-crm.veevavault.com/ui/#object/sent_email__v/VBLZ025E82HPQQY", "SE-000288757")</f>
        <v>SE-000288757</v>
      </c>
      <c r="D20428" s="1">
        <v>45950.942974537036</v>
      </c>
      <c r="E20428" s="2">
        <v>1</v>
      </c>
      <c r="F20428" s="2">
        <v>1</v>
      </c>
      <c r="G20428" s="2">
        <v>0</v>
      </c>
      <c r="H20428" s="1" t="s">
        <v>0</v>
      </c>
      <c r="I20428" s="2">
        <v>0</v>
      </c>
      <c r="J20428" s="1">
        <v>45950.874178240738</v>
      </c>
    </row>
    <row r="20429" spans="1:10" x14ac:dyDescent="0.2">
      <c r="A20429" s="4" t="s">
        <v>1</v>
      </c>
      <c r="B204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29" s="3" t="str">
        <f>HYPERLINK("https://otsuka-europe-crm.veevavault.com/ui/#object/sent_email__v/VBLZ025E82HPQQZ", "SE-000288758")</f>
        <v>SE-000288758</v>
      </c>
      <c r="D20429" s="1">
        <v>45951.228750000002</v>
      </c>
      <c r="E20429" s="2">
        <v>1</v>
      </c>
      <c r="F20429" s="2">
        <v>2</v>
      </c>
      <c r="G20429" s="2">
        <v>0</v>
      </c>
      <c r="H20429" s="1" t="s">
        <v>0</v>
      </c>
      <c r="I20429" s="2">
        <v>0</v>
      </c>
      <c r="J20429" s="1">
        <v>45950.874201388891</v>
      </c>
    </row>
    <row r="20430" spans="1:10" x14ac:dyDescent="0.2">
      <c r="A20430" s="4" t="s">
        <v>1</v>
      </c>
      <c r="B204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30" s="3" t="str">
        <f>HYPERLINK("https://otsuka-europe-crm.veevavault.com/ui/#object/sent_email__v/VBLZ025E82HPQR0", "SE-000288759")</f>
        <v>SE-000288759</v>
      </c>
      <c r="D20430" s="1">
        <v>45951.340439814812</v>
      </c>
      <c r="E20430" s="2">
        <v>1</v>
      </c>
      <c r="F20430" s="2">
        <v>1</v>
      </c>
      <c r="G20430" s="2">
        <v>0</v>
      </c>
      <c r="H20430" s="1" t="s">
        <v>0</v>
      </c>
      <c r="I20430" s="2">
        <v>0</v>
      </c>
      <c r="J20430" s="1">
        <v>45950.874201388891</v>
      </c>
    </row>
    <row r="20431" spans="1:10" x14ac:dyDescent="0.2">
      <c r="A20431" s="4" t="s">
        <v>1</v>
      </c>
      <c r="B204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31" s="3" t="str">
        <f>HYPERLINK("https://otsuka-europe-crm.veevavault.com/ui/#object/sent_email__v/VBLZ025E82HPQR1", "SE-000288760")</f>
        <v>SE-000288760</v>
      </c>
      <c r="D20431" s="1" t="s">
        <v>0</v>
      </c>
      <c r="E20431" s="2">
        <v>0</v>
      </c>
      <c r="F20431" s="2">
        <v>0</v>
      </c>
      <c r="G20431" s="2">
        <v>0</v>
      </c>
      <c r="H20431" s="1" t="s">
        <v>0</v>
      </c>
      <c r="I20431" s="2">
        <v>0</v>
      </c>
      <c r="J20431" s="1">
        <v>45950.874212962961</v>
      </c>
    </row>
    <row r="20432" spans="1:10" x14ac:dyDescent="0.2">
      <c r="A20432" s="4" t="s">
        <v>1</v>
      </c>
      <c r="B204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32" s="3" t="str">
        <f>HYPERLINK("https://otsuka-europe-crm.veevavault.com/ui/#object/sent_email__v/VBLZ025E82HPQR2", "SE-000288761")</f>
        <v>SE-000288761</v>
      </c>
      <c r="D20432" s="1">
        <v>45971.273159722223</v>
      </c>
      <c r="E20432" s="2">
        <v>1</v>
      </c>
      <c r="F20432" s="2">
        <v>3</v>
      </c>
      <c r="G20432" s="2">
        <v>0</v>
      </c>
      <c r="H20432" s="1" t="s">
        <v>0</v>
      </c>
      <c r="I20432" s="2">
        <v>0</v>
      </c>
      <c r="J20432" s="1">
        <v>45950.874224537038</v>
      </c>
    </row>
    <row r="20433" spans="1:10" x14ac:dyDescent="0.2">
      <c r="A20433" s="4" t="s">
        <v>1</v>
      </c>
      <c r="B204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33" s="3" t="str">
        <f>HYPERLINK("https://otsuka-europe-crm.veevavault.com/ui/#object/sent_email__v/VBLZ025E82HPQR3", "SE-000288762")</f>
        <v>SE-000288762</v>
      </c>
      <c r="D20433" s="1">
        <v>45951.240624999999</v>
      </c>
      <c r="E20433" s="2">
        <v>1</v>
      </c>
      <c r="F20433" s="2">
        <v>1</v>
      </c>
      <c r="G20433" s="2">
        <v>0</v>
      </c>
      <c r="H20433" s="1" t="s">
        <v>0</v>
      </c>
      <c r="I20433" s="2">
        <v>0</v>
      </c>
      <c r="J20433" s="1">
        <v>45950.874224537038</v>
      </c>
    </row>
    <row r="20434" spans="1:10" x14ac:dyDescent="0.2">
      <c r="A20434" s="4" t="s">
        <v>1</v>
      </c>
      <c r="B204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34" s="3" t="str">
        <f>HYPERLINK("https://otsuka-europe-crm.veevavault.com/ui/#object/sent_email__v/VBLZ025E82HPQR4", "SE-000288763")</f>
        <v>SE-000288763</v>
      </c>
      <c r="D20434" s="1">
        <v>45950.886736111112</v>
      </c>
      <c r="E20434" s="2">
        <v>1</v>
      </c>
      <c r="F20434" s="2">
        <v>1</v>
      </c>
      <c r="G20434" s="2">
        <v>0</v>
      </c>
      <c r="H20434" s="1" t="s">
        <v>0</v>
      </c>
      <c r="I20434" s="2">
        <v>0</v>
      </c>
      <c r="J20434" s="1">
        <v>45950.874236111114</v>
      </c>
    </row>
    <row r="20435" spans="1:10" x14ac:dyDescent="0.2">
      <c r="A20435" s="4" t="s">
        <v>1</v>
      </c>
      <c r="B204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35" s="3" t="str">
        <f>HYPERLINK("https://otsuka-europe-crm.veevavault.com/ui/#object/sent_email__v/VBLZ025E82HPQR5", "SE-000288764")</f>
        <v>SE-000288764</v>
      </c>
      <c r="D20435" s="1">
        <v>45951.272187499999</v>
      </c>
      <c r="E20435" s="2">
        <v>1</v>
      </c>
      <c r="F20435" s="2">
        <v>1</v>
      </c>
      <c r="G20435" s="2">
        <v>0</v>
      </c>
      <c r="H20435" s="1" t="s">
        <v>0</v>
      </c>
      <c r="I20435" s="2">
        <v>0</v>
      </c>
      <c r="J20435" s="1">
        <v>45950.874247685184</v>
      </c>
    </row>
    <row r="20436" spans="1:10" x14ac:dyDescent="0.2">
      <c r="A20436" s="4" t="s">
        <v>1</v>
      </c>
      <c r="B204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36" s="3" t="str">
        <f>HYPERLINK("https://otsuka-europe-crm.veevavault.com/ui/#object/sent_email__v/VBLZ025E82HPQR6", "SE-000288765")</f>
        <v>SE-000288765</v>
      </c>
      <c r="D20436" s="1">
        <v>45950.887129629627</v>
      </c>
      <c r="E20436" s="2">
        <v>1</v>
      </c>
      <c r="F20436" s="2">
        <v>1</v>
      </c>
      <c r="G20436" s="2">
        <v>0</v>
      </c>
      <c r="H20436" s="1" t="s">
        <v>0</v>
      </c>
      <c r="I20436" s="2">
        <v>0</v>
      </c>
      <c r="J20436" s="1">
        <v>45950.874259259261</v>
      </c>
    </row>
    <row r="20437" spans="1:10" x14ac:dyDescent="0.2">
      <c r="A20437" s="4" t="s">
        <v>1</v>
      </c>
      <c r="B204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37" s="3" t="str">
        <f>HYPERLINK("https://otsuka-europe-crm.veevavault.com/ui/#object/sent_email__v/VBLZ025E82HPQR7", "SE-000288766")</f>
        <v>SE-000288766</v>
      </c>
      <c r="D20437" s="1">
        <v>45958.37568287037</v>
      </c>
      <c r="E20437" s="2">
        <v>1</v>
      </c>
      <c r="F20437" s="2">
        <v>10</v>
      </c>
      <c r="G20437" s="2">
        <v>1</v>
      </c>
      <c r="H20437" s="1">
        <v>45950.934317129628</v>
      </c>
      <c r="I20437" s="2">
        <v>1</v>
      </c>
      <c r="J20437" s="1">
        <v>45950.87427083333</v>
      </c>
    </row>
    <row r="20438" spans="1:10" x14ac:dyDescent="0.2">
      <c r="A20438" s="4" t="s">
        <v>1</v>
      </c>
      <c r="B204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38" s="3" t="str">
        <f>HYPERLINK("https://otsuka-europe-crm.veevavault.com/ui/#object/sent_email__v/VBLZ025E82HPQR8", "SE-000288767")</f>
        <v>SE-000288767</v>
      </c>
      <c r="D20438" s="1">
        <v>45960.638819444444</v>
      </c>
      <c r="E20438" s="2">
        <v>1</v>
      </c>
      <c r="F20438" s="2">
        <v>2</v>
      </c>
      <c r="G20438" s="2">
        <v>0</v>
      </c>
      <c r="H20438" s="1" t="s">
        <v>0</v>
      </c>
      <c r="I20438" s="2">
        <v>0</v>
      </c>
      <c r="J20438" s="1">
        <v>45950.87427083333</v>
      </c>
    </row>
    <row r="20439" spans="1:10" x14ac:dyDescent="0.2">
      <c r="A20439" s="4" t="s">
        <v>1</v>
      </c>
      <c r="B204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39" s="3" t="str">
        <f>HYPERLINK("https://otsuka-europe-crm.veevavault.com/ui/#object/sent_email__v/VBLZ025E82HPQR9", "SE-000288768")</f>
        <v>SE-000288768</v>
      </c>
      <c r="D20439" s="1" t="s">
        <v>0</v>
      </c>
      <c r="E20439" s="2">
        <v>0</v>
      </c>
      <c r="F20439" s="2">
        <v>0</v>
      </c>
      <c r="G20439" s="2">
        <v>0</v>
      </c>
      <c r="H20439" s="1" t="s">
        <v>0</v>
      </c>
      <c r="I20439" s="2">
        <v>0</v>
      </c>
      <c r="J20439" s="1">
        <v>45950.874282407407</v>
      </c>
    </row>
    <row r="20440" spans="1:10" x14ac:dyDescent="0.2">
      <c r="A20440" s="4" t="s">
        <v>1</v>
      </c>
      <c r="B204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40" s="3" t="str">
        <f>HYPERLINK("https://otsuka-europe-crm.veevavault.com/ui/#object/sent_email__v/VBLZ025E82HPQRA", "SE-000288769")</f>
        <v>SE-000288769</v>
      </c>
      <c r="D20440" s="1">
        <v>45950.878310185188</v>
      </c>
      <c r="E20440" s="2">
        <v>1</v>
      </c>
      <c r="F20440" s="2">
        <v>1</v>
      </c>
      <c r="G20440" s="2">
        <v>0</v>
      </c>
      <c r="H20440" s="1" t="s">
        <v>0</v>
      </c>
      <c r="I20440" s="2">
        <v>0</v>
      </c>
      <c r="J20440" s="1">
        <v>45950.874293981484</v>
      </c>
    </row>
    <row r="20441" spans="1:10" x14ac:dyDescent="0.2">
      <c r="A20441" s="4" t="s">
        <v>1</v>
      </c>
      <c r="B204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41" s="3" t="str">
        <f>HYPERLINK("https://otsuka-europe-crm.veevavault.com/ui/#object/sent_email__v/VBLZ025E82HPQRB", "SE-000288770")</f>
        <v>SE-000288770</v>
      </c>
      <c r="D20441" s="1">
        <v>45950.923113425924</v>
      </c>
      <c r="E20441" s="2">
        <v>1</v>
      </c>
      <c r="F20441" s="2">
        <v>1</v>
      </c>
      <c r="G20441" s="2">
        <v>0</v>
      </c>
      <c r="H20441" s="1" t="s">
        <v>0</v>
      </c>
      <c r="I20441" s="2">
        <v>0</v>
      </c>
      <c r="J20441" s="1">
        <v>45950.874305555553</v>
      </c>
    </row>
    <row r="20442" spans="1:10" x14ac:dyDescent="0.2">
      <c r="A20442" s="4" t="s">
        <v>1</v>
      </c>
      <c r="B204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42" s="3" t="str">
        <f>HYPERLINK("https://otsuka-europe-crm.veevavault.com/ui/#object/sent_email__v/VBLZ025E82HPQRC", "SE-000288771")</f>
        <v>SE-000288771</v>
      </c>
      <c r="D20442" s="1">
        <v>45950.903402777774</v>
      </c>
      <c r="E20442" s="2">
        <v>1</v>
      </c>
      <c r="F20442" s="2">
        <v>1</v>
      </c>
      <c r="G20442" s="2">
        <v>1</v>
      </c>
      <c r="H20442" s="1">
        <v>45950.903807870367</v>
      </c>
      <c r="I20442" s="2">
        <v>1</v>
      </c>
      <c r="J20442" s="1">
        <v>45950.87431712963</v>
      </c>
    </row>
    <row r="20443" spans="1:10" x14ac:dyDescent="0.2">
      <c r="A20443" s="4" t="s">
        <v>1</v>
      </c>
      <c r="B204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43" s="3" t="str">
        <f>HYPERLINK("https://otsuka-europe-crm.veevavault.com/ui/#object/sent_email__v/VBLZ025E82HPQRD", "SE-000288772")</f>
        <v>SE-000288772</v>
      </c>
      <c r="D20443" s="1" t="s">
        <v>0</v>
      </c>
      <c r="E20443" s="2">
        <v>0</v>
      </c>
      <c r="F20443" s="2">
        <v>0</v>
      </c>
      <c r="G20443" s="2">
        <v>0</v>
      </c>
      <c r="H20443" s="1" t="s">
        <v>0</v>
      </c>
      <c r="I20443" s="2">
        <v>0</v>
      </c>
      <c r="J20443" s="1">
        <v>45950.874328703707</v>
      </c>
    </row>
    <row r="20444" spans="1:10" x14ac:dyDescent="0.2">
      <c r="A20444" s="4" t="s">
        <v>1</v>
      </c>
      <c r="B204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44" s="3" t="str">
        <f>HYPERLINK("https://otsuka-europe-crm.veevavault.com/ui/#object/sent_email__v/VBLZ025E82HPQRE", "SE-000288773")</f>
        <v>SE-000288773</v>
      </c>
      <c r="D20444" s="1" t="s">
        <v>0</v>
      </c>
      <c r="E20444" s="2">
        <v>0</v>
      </c>
      <c r="F20444" s="2">
        <v>0</v>
      </c>
      <c r="G20444" s="2">
        <v>0</v>
      </c>
      <c r="H20444" s="1" t="s">
        <v>0</v>
      </c>
      <c r="I20444" s="2">
        <v>0</v>
      </c>
      <c r="J20444" s="1">
        <v>45950.874328703707</v>
      </c>
    </row>
    <row r="20445" spans="1:10" x14ac:dyDescent="0.2">
      <c r="A20445" s="4" t="s">
        <v>1</v>
      </c>
      <c r="B204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45" s="3" t="str">
        <f>HYPERLINK("https://otsuka-europe-crm.veevavault.com/ui/#object/sent_email__v/VBLZ025E82HPQRF", "SE-000288774")</f>
        <v>SE-000288774</v>
      </c>
      <c r="D20445" s="1">
        <v>45950.879201388889</v>
      </c>
      <c r="E20445" s="2">
        <v>1</v>
      </c>
      <c r="F20445" s="2">
        <v>1</v>
      </c>
      <c r="G20445" s="2">
        <v>0</v>
      </c>
      <c r="H20445" s="1" t="s">
        <v>0</v>
      </c>
      <c r="I20445" s="2">
        <v>0</v>
      </c>
      <c r="J20445" s="1">
        <v>45950.874340277776</v>
      </c>
    </row>
    <row r="20446" spans="1:10" x14ac:dyDescent="0.2">
      <c r="A20446" s="4" t="s">
        <v>1</v>
      </c>
      <c r="B204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46" s="3" t="str">
        <f>HYPERLINK("https://otsuka-europe-crm.veevavault.com/ui/#object/sent_email__v/VBLZ025E82HPQRG", "SE-000288775")</f>
        <v>SE-000288775</v>
      </c>
      <c r="D20446" s="1" t="s">
        <v>0</v>
      </c>
      <c r="E20446" s="2">
        <v>0</v>
      </c>
      <c r="F20446" s="2">
        <v>0</v>
      </c>
      <c r="G20446" s="2">
        <v>0</v>
      </c>
      <c r="H20446" s="1" t="s">
        <v>0</v>
      </c>
      <c r="I20446" s="2">
        <v>0</v>
      </c>
      <c r="J20446" s="1">
        <v>45950.874351851853</v>
      </c>
    </row>
    <row r="20447" spans="1:10" x14ac:dyDescent="0.2">
      <c r="A20447" s="4" t="s">
        <v>1</v>
      </c>
      <c r="B204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47" s="3" t="str">
        <f>HYPERLINK("https://otsuka-europe-crm.veevavault.com/ui/#object/sent_email__v/VBLZ025E82HPQRH", "SE-000288776")</f>
        <v>SE-000288776</v>
      </c>
      <c r="D20447" s="1">
        <v>45951.809502314813</v>
      </c>
      <c r="E20447" s="2">
        <v>1</v>
      </c>
      <c r="F20447" s="2">
        <v>1</v>
      </c>
      <c r="G20447" s="2">
        <v>0</v>
      </c>
      <c r="H20447" s="1" t="s">
        <v>0</v>
      </c>
      <c r="I20447" s="2">
        <v>0</v>
      </c>
      <c r="J20447" s="1">
        <v>45950.874351851853</v>
      </c>
    </row>
    <row r="20448" spans="1:10" x14ac:dyDescent="0.2">
      <c r="A20448" s="4" t="s">
        <v>1</v>
      </c>
      <c r="B204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48" s="3" t="str">
        <f>HYPERLINK("https://otsuka-europe-crm.veevavault.com/ui/#object/sent_email__v/VBLZ025E82HPQRI", "SE-000288777")</f>
        <v>SE-000288777</v>
      </c>
      <c r="D20448" s="1">
        <v>46038.809560185182</v>
      </c>
      <c r="E20448" s="2">
        <v>1</v>
      </c>
      <c r="F20448" s="2">
        <v>3</v>
      </c>
      <c r="G20448" s="2">
        <v>0</v>
      </c>
      <c r="H20448" s="1" t="s">
        <v>0</v>
      </c>
      <c r="I20448" s="2">
        <v>0</v>
      </c>
      <c r="J20448" s="1">
        <v>45950.874363425923</v>
      </c>
    </row>
    <row r="20449" spans="1:10" x14ac:dyDescent="0.2">
      <c r="A20449" s="4" t="s">
        <v>1</v>
      </c>
      <c r="B204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49" s="3" t="str">
        <f>HYPERLINK("https://otsuka-europe-crm.veevavault.com/ui/#object/sent_email__v/VBLZ025E82HPQRJ", "SE-000288778")</f>
        <v>SE-000288778</v>
      </c>
      <c r="D20449" s="1">
        <v>45961.623402777775</v>
      </c>
      <c r="E20449" s="2">
        <v>1</v>
      </c>
      <c r="F20449" s="2">
        <v>5</v>
      </c>
      <c r="G20449" s="2">
        <v>0</v>
      </c>
      <c r="H20449" s="1" t="s">
        <v>0</v>
      </c>
      <c r="I20449" s="2">
        <v>0</v>
      </c>
      <c r="J20449" s="1">
        <v>45950.874374999999</v>
      </c>
    </row>
    <row r="20450" spans="1:10" x14ac:dyDescent="0.2">
      <c r="A20450" s="4" t="s">
        <v>1</v>
      </c>
      <c r="B204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50" s="3" t="str">
        <f>HYPERLINK("https://otsuka-europe-crm.veevavault.com/ui/#object/sent_email__v/VBLZ025E82HPQRK", "SE-000288779")</f>
        <v>SE-000288779</v>
      </c>
      <c r="D20450" s="1" t="s">
        <v>0</v>
      </c>
      <c r="E20450" s="2">
        <v>0</v>
      </c>
      <c r="F20450" s="2">
        <v>0</v>
      </c>
      <c r="G20450" s="2">
        <v>0</v>
      </c>
      <c r="H20450" s="1" t="s">
        <v>0</v>
      </c>
      <c r="I20450" s="2">
        <v>0</v>
      </c>
      <c r="J20450" s="1">
        <v>45950.874386574076</v>
      </c>
    </row>
    <row r="20451" spans="1:10" x14ac:dyDescent="0.2">
      <c r="A20451" s="4" t="s">
        <v>1</v>
      </c>
      <c r="B204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51" s="3" t="str">
        <f>HYPERLINK("https://otsuka-europe-crm.veevavault.com/ui/#object/sent_email__v/VBLZ025E82HPQRL", "SE-000288780")</f>
        <v>SE-000288780</v>
      </c>
      <c r="D20451" s="1">
        <v>45951.399421296293</v>
      </c>
      <c r="E20451" s="2">
        <v>1</v>
      </c>
      <c r="F20451" s="2">
        <v>1</v>
      </c>
      <c r="G20451" s="2">
        <v>0</v>
      </c>
      <c r="H20451" s="1" t="s">
        <v>0</v>
      </c>
      <c r="I20451" s="2">
        <v>0</v>
      </c>
      <c r="J20451" s="1">
        <v>45950.874398148146</v>
      </c>
    </row>
    <row r="20452" spans="1:10" x14ac:dyDescent="0.2">
      <c r="A20452" s="4" t="s">
        <v>1</v>
      </c>
      <c r="B204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52" s="3" t="str">
        <f>HYPERLINK("https://otsuka-europe-crm.veevavault.com/ui/#object/sent_email__v/VBLZ025E82HPQRM", "SE-000288781")</f>
        <v>SE-000288781</v>
      </c>
      <c r="D20452" s="1" t="s">
        <v>0</v>
      </c>
      <c r="E20452" s="2">
        <v>0</v>
      </c>
      <c r="F20452" s="2">
        <v>0</v>
      </c>
      <c r="G20452" s="2">
        <v>0</v>
      </c>
      <c r="H20452" s="1" t="s">
        <v>0</v>
      </c>
      <c r="I20452" s="2">
        <v>0</v>
      </c>
      <c r="J20452" s="1">
        <v>45950.874409722222</v>
      </c>
    </row>
    <row r="20453" spans="1:10" x14ac:dyDescent="0.2">
      <c r="A20453" s="4" t="s">
        <v>1</v>
      </c>
      <c r="B204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53" s="3" t="str">
        <f>HYPERLINK("https://otsuka-europe-crm.veevavault.com/ui/#object/sent_email__v/VBLZ025E82HPQRN", "SE-000288782")</f>
        <v>SE-000288782</v>
      </c>
      <c r="D20453" s="1" t="s">
        <v>0</v>
      </c>
      <c r="E20453" s="2">
        <v>0</v>
      </c>
      <c r="F20453" s="2">
        <v>0</v>
      </c>
      <c r="G20453" s="2">
        <v>0</v>
      </c>
      <c r="H20453" s="1" t="s">
        <v>0</v>
      </c>
      <c r="I20453" s="2">
        <v>0</v>
      </c>
      <c r="J20453" s="1">
        <v>45950.874421296299</v>
      </c>
    </row>
    <row r="20454" spans="1:10" x14ac:dyDescent="0.2">
      <c r="A20454" s="4" t="s">
        <v>1</v>
      </c>
      <c r="B204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54" s="3" t="str">
        <f>HYPERLINK("https://otsuka-europe-crm.veevavault.com/ui/#object/sent_email__v/VBLZ025E82HPQRO", "SE-000288783")</f>
        <v>SE-000288783</v>
      </c>
      <c r="D20454" s="1" t="s">
        <v>0</v>
      </c>
      <c r="E20454" s="2">
        <v>0</v>
      </c>
      <c r="F20454" s="2">
        <v>0</v>
      </c>
      <c r="G20454" s="2">
        <v>0</v>
      </c>
      <c r="H20454" s="1" t="s">
        <v>0</v>
      </c>
      <c r="I20454" s="2">
        <v>0</v>
      </c>
      <c r="J20454" s="1">
        <v>45950.874421296299</v>
      </c>
    </row>
    <row r="20455" spans="1:10" x14ac:dyDescent="0.2">
      <c r="A20455" s="4" t="s">
        <v>1</v>
      </c>
      <c r="B204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55" s="3" t="str">
        <f>HYPERLINK("https://otsuka-europe-crm.veevavault.com/ui/#object/sent_email__v/VBLZ025E82HPQRP", "SE-000288784")</f>
        <v>SE-000288784</v>
      </c>
      <c r="D20455" s="1">
        <v>45950.877997685187</v>
      </c>
      <c r="E20455" s="2">
        <v>1</v>
      </c>
      <c r="F20455" s="2">
        <v>1</v>
      </c>
      <c r="G20455" s="2">
        <v>0</v>
      </c>
      <c r="H20455" s="1" t="s">
        <v>0</v>
      </c>
      <c r="I20455" s="2">
        <v>0</v>
      </c>
      <c r="J20455" s="1">
        <v>45950.874432870369</v>
      </c>
    </row>
    <row r="20456" spans="1:10" x14ac:dyDescent="0.2">
      <c r="A20456" s="4" t="s">
        <v>1</v>
      </c>
      <c r="B204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56" s="3" t="str">
        <f>HYPERLINK("https://otsuka-europe-crm.veevavault.com/ui/#object/sent_email__v/VBLZ025E82HPQRQ", "SE-000288785")</f>
        <v>SE-000288785</v>
      </c>
      <c r="D20456" s="1">
        <v>45950.986863425926</v>
      </c>
      <c r="E20456" s="2">
        <v>1</v>
      </c>
      <c r="F20456" s="2">
        <v>3</v>
      </c>
      <c r="G20456" s="2">
        <v>0</v>
      </c>
      <c r="H20456" s="1" t="s">
        <v>0</v>
      </c>
      <c r="I20456" s="2">
        <v>0</v>
      </c>
      <c r="J20456" s="1">
        <v>45950.874444444446</v>
      </c>
    </row>
    <row r="20457" spans="1:10" x14ac:dyDescent="0.2">
      <c r="A20457" s="4" t="s">
        <v>1</v>
      </c>
      <c r="B204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57" s="3" t="str">
        <f>HYPERLINK("https://otsuka-europe-crm.veevavault.com/ui/#object/sent_email__v/VBLZ025E82HPQRR", "SE-000288786")</f>
        <v>SE-000288786</v>
      </c>
      <c r="D20457" s="1" t="s">
        <v>0</v>
      </c>
      <c r="E20457" s="2">
        <v>0</v>
      </c>
      <c r="F20457" s="2">
        <v>0</v>
      </c>
      <c r="G20457" s="2">
        <v>0</v>
      </c>
      <c r="H20457" s="1" t="s">
        <v>0</v>
      </c>
      <c r="I20457" s="2">
        <v>0</v>
      </c>
      <c r="J20457" s="1">
        <v>45950.874456018515</v>
      </c>
    </row>
    <row r="20458" spans="1:10" x14ac:dyDescent="0.2">
      <c r="A20458" s="4" t="s">
        <v>1</v>
      </c>
      <c r="B204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58" s="3" t="str">
        <f>HYPERLINK("https://otsuka-europe-crm.veevavault.com/ui/#object/sent_email__v/VBLZ025E82HPQRS", "SE-000288787")</f>
        <v>SE-000288787</v>
      </c>
      <c r="D20458" s="1">
        <v>45951.309432870374</v>
      </c>
      <c r="E20458" s="2">
        <v>1</v>
      </c>
      <c r="F20458" s="2">
        <v>1</v>
      </c>
      <c r="G20458" s="2">
        <v>0</v>
      </c>
      <c r="H20458" s="1" t="s">
        <v>0</v>
      </c>
      <c r="I20458" s="2">
        <v>0</v>
      </c>
      <c r="J20458" s="1">
        <v>45950.874467592592</v>
      </c>
    </row>
    <row r="20459" spans="1:10" x14ac:dyDescent="0.2">
      <c r="A20459" s="4" t="s">
        <v>1</v>
      </c>
      <c r="B204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59" s="3" t="str">
        <f>HYPERLINK("https://otsuka-europe-crm.veevavault.com/ui/#object/sent_email__v/VBLZ025E82HPQRT", "SE-000288788")</f>
        <v>SE-000288788</v>
      </c>
      <c r="D20459" s="1">
        <v>45950.911180555559</v>
      </c>
      <c r="E20459" s="2">
        <v>1</v>
      </c>
      <c r="F20459" s="2">
        <v>1</v>
      </c>
      <c r="G20459" s="2">
        <v>0</v>
      </c>
      <c r="H20459" s="1" t="s">
        <v>0</v>
      </c>
      <c r="I20459" s="2">
        <v>0</v>
      </c>
      <c r="J20459" s="1">
        <v>45950.874479166669</v>
      </c>
    </row>
    <row r="20460" spans="1:10" x14ac:dyDescent="0.2">
      <c r="A20460" s="4" t="s">
        <v>1</v>
      </c>
      <c r="B204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60" s="3" t="str">
        <f>HYPERLINK("https://otsuka-europe-crm.veevavault.com/ui/#object/sent_email__v/VBLZ025E82HPQRU", "SE-000288789")</f>
        <v>SE-000288789</v>
      </c>
      <c r="D20460" s="1" t="s">
        <v>0</v>
      </c>
      <c r="E20460" s="2">
        <v>0</v>
      </c>
      <c r="F20460" s="2">
        <v>0</v>
      </c>
      <c r="G20460" s="2">
        <v>0</v>
      </c>
      <c r="H20460" s="1" t="s">
        <v>0</v>
      </c>
      <c r="I20460" s="2">
        <v>0</v>
      </c>
      <c r="J20460" s="1">
        <v>45950.874479166669</v>
      </c>
    </row>
    <row r="20461" spans="1:10" x14ac:dyDescent="0.2">
      <c r="A20461" s="4" t="s">
        <v>1</v>
      </c>
      <c r="B204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61" s="3" t="str">
        <f>HYPERLINK("https://otsuka-europe-crm.veevavault.com/ui/#object/sent_email__v/VBLZ025E82HPQRV", "SE-000288790")</f>
        <v>SE-000288790</v>
      </c>
      <c r="D20461" s="1">
        <v>45951.462488425925</v>
      </c>
      <c r="E20461" s="2">
        <v>1</v>
      </c>
      <c r="F20461" s="2">
        <v>3</v>
      </c>
      <c r="G20461" s="2">
        <v>0</v>
      </c>
      <c r="H20461" s="1" t="s">
        <v>0</v>
      </c>
      <c r="I20461" s="2">
        <v>0</v>
      </c>
      <c r="J20461" s="1">
        <v>45950.874502314815</v>
      </c>
    </row>
    <row r="20462" spans="1:10" x14ac:dyDescent="0.2">
      <c r="A20462" s="4" t="s">
        <v>1</v>
      </c>
      <c r="B204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62" s="3" t="str">
        <f>HYPERLINK("https://otsuka-europe-crm.veevavault.com/ui/#object/sent_email__v/VBLZ025E82HPQRW", "SE-000288791")</f>
        <v>SE-000288791</v>
      </c>
      <c r="D20462" s="1">
        <v>45957.708252314813</v>
      </c>
      <c r="E20462" s="2">
        <v>1</v>
      </c>
      <c r="F20462" s="2">
        <v>4</v>
      </c>
      <c r="G20462" s="2">
        <v>0</v>
      </c>
      <c r="H20462" s="1" t="s">
        <v>0</v>
      </c>
      <c r="I20462" s="2">
        <v>0</v>
      </c>
      <c r="J20462" s="1">
        <v>45950.874502314815</v>
      </c>
    </row>
    <row r="20463" spans="1:10" x14ac:dyDescent="0.2">
      <c r="A20463" s="4" t="s">
        <v>1</v>
      </c>
      <c r="B204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63" s="3" t="str">
        <f>HYPERLINK("https://otsuka-europe-crm.veevavault.com/ui/#object/sent_email__v/VBLZ025E82HPQRX", "SE-000288792")</f>
        <v>SE-000288792</v>
      </c>
      <c r="D20463" s="1">
        <v>45951.005312499998</v>
      </c>
      <c r="E20463" s="2">
        <v>1</v>
      </c>
      <c r="F20463" s="2">
        <v>1</v>
      </c>
      <c r="G20463" s="2">
        <v>0</v>
      </c>
      <c r="H20463" s="1" t="s">
        <v>0</v>
      </c>
      <c r="I20463" s="2">
        <v>0</v>
      </c>
      <c r="J20463" s="1">
        <v>45950.874513888892</v>
      </c>
    </row>
    <row r="20464" spans="1:10" x14ac:dyDescent="0.2">
      <c r="A20464" s="4" t="s">
        <v>1</v>
      </c>
      <c r="B204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64" s="3" t="str">
        <f>HYPERLINK("https://otsuka-europe-crm.veevavault.com/ui/#object/sent_email__v/VBLZ025E82HPQRY", "SE-000288793")</f>
        <v>SE-000288793</v>
      </c>
      <c r="D20464" s="1">
        <v>45971.346342592595</v>
      </c>
      <c r="E20464" s="2">
        <v>1</v>
      </c>
      <c r="F20464" s="2">
        <v>1</v>
      </c>
      <c r="G20464" s="2">
        <v>0</v>
      </c>
      <c r="H20464" s="1" t="s">
        <v>0</v>
      </c>
      <c r="I20464" s="2">
        <v>0</v>
      </c>
      <c r="J20464" s="1">
        <v>45950.874525462961</v>
      </c>
    </row>
    <row r="20465" spans="1:10" x14ac:dyDescent="0.2">
      <c r="A20465" s="4" t="s">
        <v>1</v>
      </c>
      <c r="B204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65" s="3" t="str">
        <f>HYPERLINK("https://otsuka-europe-crm.veevavault.com/ui/#object/sent_email__v/VBLZ025E82HPQRZ", "SE-000288794")</f>
        <v>SE-000288794</v>
      </c>
      <c r="D20465" s="1">
        <v>45992.762488425928</v>
      </c>
      <c r="E20465" s="2">
        <v>1</v>
      </c>
      <c r="F20465" s="2">
        <v>5</v>
      </c>
      <c r="G20465" s="2">
        <v>0</v>
      </c>
      <c r="H20465" s="1" t="s">
        <v>0</v>
      </c>
      <c r="I20465" s="2">
        <v>0</v>
      </c>
      <c r="J20465" s="1">
        <v>45950.874537037038</v>
      </c>
    </row>
    <row r="20466" spans="1:10" x14ac:dyDescent="0.2">
      <c r="A20466" s="4" t="s">
        <v>1</v>
      </c>
      <c r="B204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66" s="3" t="str">
        <f>HYPERLINK("https://otsuka-europe-crm.veevavault.com/ui/#object/sent_email__v/VBLZ025E82HPQS0", "SE-000288795")</f>
        <v>SE-000288795</v>
      </c>
      <c r="D20466" s="1" t="s">
        <v>0</v>
      </c>
      <c r="E20466" s="2">
        <v>0</v>
      </c>
      <c r="F20466" s="2">
        <v>0</v>
      </c>
      <c r="G20466" s="2">
        <v>0</v>
      </c>
      <c r="H20466" s="1" t="s">
        <v>0</v>
      </c>
      <c r="I20466" s="2">
        <v>0</v>
      </c>
      <c r="J20466" s="1">
        <v>45950.874537037038</v>
      </c>
    </row>
    <row r="20467" spans="1:10" x14ac:dyDescent="0.2">
      <c r="A20467" s="4" t="s">
        <v>1</v>
      </c>
      <c r="B204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67" s="3" t="str">
        <f>HYPERLINK("https://otsuka-europe-crm.veevavault.com/ui/#object/sent_email__v/VBLZ025E82HPQS1", "SE-000288796")</f>
        <v>SE-000288796</v>
      </c>
      <c r="D20467" s="1">
        <v>45950.874780092592</v>
      </c>
      <c r="E20467" s="2">
        <v>1</v>
      </c>
      <c r="F20467" s="2">
        <v>1</v>
      </c>
      <c r="G20467" s="2">
        <v>0</v>
      </c>
      <c r="H20467" s="1" t="s">
        <v>0</v>
      </c>
      <c r="I20467" s="2">
        <v>0</v>
      </c>
      <c r="J20467" s="1">
        <v>45950.874548611115</v>
      </c>
    </row>
    <row r="20468" spans="1:10" x14ac:dyDescent="0.2">
      <c r="A20468" s="4" t="s">
        <v>1</v>
      </c>
      <c r="B204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68" s="3" t="str">
        <f>HYPERLINK("https://otsuka-europe-crm.veevavault.com/ui/#object/sent_email__v/VBLZ025E82HPQS2", "SE-000288797")</f>
        <v>SE-000288797</v>
      </c>
      <c r="D20468" s="1">
        <v>45951.445451388892</v>
      </c>
      <c r="E20468" s="2">
        <v>1</v>
      </c>
      <c r="F20468" s="2">
        <v>1</v>
      </c>
      <c r="G20468" s="2">
        <v>1</v>
      </c>
      <c r="H20468" s="1">
        <v>45951.445509259262</v>
      </c>
      <c r="I20468" s="2">
        <v>1</v>
      </c>
      <c r="J20468" s="1">
        <v>45950.874560185184</v>
      </c>
    </row>
    <row r="20469" spans="1:10" x14ac:dyDescent="0.2">
      <c r="A20469" s="4" t="s">
        <v>1</v>
      </c>
      <c r="B204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69" s="3" t="str">
        <f>HYPERLINK("https://otsuka-europe-crm.veevavault.com/ui/#object/sent_email__v/VBLZ025E82HPQS3", "SE-000288798")</f>
        <v>SE-000288798</v>
      </c>
      <c r="D20469" s="1">
        <v>45951.366284722222</v>
      </c>
      <c r="E20469" s="2">
        <v>1</v>
      </c>
      <c r="F20469" s="2">
        <v>2</v>
      </c>
      <c r="G20469" s="2">
        <v>0</v>
      </c>
      <c r="H20469" s="1" t="s">
        <v>0</v>
      </c>
      <c r="I20469" s="2">
        <v>0</v>
      </c>
      <c r="J20469" s="1">
        <v>45950.874571759261</v>
      </c>
    </row>
    <row r="20470" spans="1:10" x14ac:dyDescent="0.2">
      <c r="A20470" s="4" t="s">
        <v>1</v>
      </c>
      <c r="B204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70" s="3" t="str">
        <f>HYPERLINK("https://otsuka-europe-crm.veevavault.com/ui/#object/sent_email__v/VBLZ025E82HPQS4", "SE-000288799")</f>
        <v>SE-000288799</v>
      </c>
      <c r="D20470" s="1">
        <v>45951.924861111111</v>
      </c>
      <c r="E20470" s="2">
        <v>1</v>
      </c>
      <c r="F20470" s="2">
        <v>1</v>
      </c>
      <c r="G20470" s="2">
        <v>0</v>
      </c>
      <c r="H20470" s="1" t="s">
        <v>0</v>
      </c>
      <c r="I20470" s="2">
        <v>0</v>
      </c>
      <c r="J20470" s="1">
        <v>45950.874583333331</v>
      </c>
    </row>
    <row r="20471" spans="1:10" x14ac:dyDescent="0.2">
      <c r="A20471" s="4" t="s">
        <v>1</v>
      </c>
      <c r="B204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71" s="3" t="str">
        <f>HYPERLINK("https://otsuka-europe-crm.veevavault.com/ui/#object/sent_email__v/VBLZ025E82HPQS5", "SE-000288800")</f>
        <v>SE-000288800</v>
      </c>
      <c r="D20471" s="1">
        <v>45950.891782407409</v>
      </c>
      <c r="E20471" s="2">
        <v>1</v>
      </c>
      <c r="F20471" s="2">
        <v>2</v>
      </c>
      <c r="G20471" s="2">
        <v>0</v>
      </c>
      <c r="H20471" s="1" t="s">
        <v>0</v>
      </c>
      <c r="I20471" s="2">
        <v>0</v>
      </c>
      <c r="J20471" s="1">
        <v>45950.874594907407</v>
      </c>
    </row>
    <row r="20472" spans="1:10" x14ac:dyDescent="0.2">
      <c r="A20472" s="4" t="s">
        <v>1</v>
      </c>
      <c r="B204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72" s="3" t="str">
        <f>HYPERLINK("https://otsuka-europe-crm.veevavault.com/ui/#object/sent_email__v/VBLZ025E82HPQS6", "SE-000288801")</f>
        <v>SE-000288801</v>
      </c>
      <c r="D20472" s="1">
        <v>45950.996874999997</v>
      </c>
      <c r="E20472" s="2">
        <v>1</v>
      </c>
      <c r="F20472" s="2">
        <v>1</v>
      </c>
      <c r="G20472" s="2">
        <v>0</v>
      </c>
      <c r="H20472" s="1" t="s">
        <v>0</v>
      </c>
      <c r="I20472" s="2">
        <v>0</v>
      </c>
      <c r="J20472" s="1">
        <v>45950.874594907407</v>
      </c>
    </row>
    <row r="20473" spans="1:10" x14ac:dyDescent="0.2">
      <c r="A20473" s="4" t="s">
        <v>1</v>
      </c>
      <c r="B204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73" s="3" t="str">
        <f>HYPERLINK("https://otsuka-europe-crm.veevavault.com/ui/#object/sent_email__v/VBLZ025E82HPQS7", "SE-000288802")</f>
        <v>SE-000288802</v>
      </c>
      <c r="D20473" s="1">
        <v>45950.95994212963</v>
      </c>
      <c r="E20473" s="2">
        <v>1</v>
      </c>
      <c r="F20473" s="2">
        <v>1</v>
      </c>
      <c r="G20473" s="2">
        <v>0</v>
      </c>
      <c r="H20473" s="1" t="s">
        <v>0</v>
      </c>
      <c r="I20473" s="2">
        <v>0</v>
      </c>
      <c r="J20473" s="1">
        <v>45950.874606481484</v>
      </c>
    </row>
    <row r="20474" spans="1:10" x14ac:dyDescent="0.2">
      <c r="A20474" s="4" t="s">
        <v>1</v>
      </c>
      <c r="B204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74" s="3" t="str">
        <f>HYPERLINK("https://otsuka-europe-crm.veevavault.com/ui/#object/sent_email__v/VBLZ025E82HPQS8", "SE-000288803")</f>
        <v>SE-000288803</v>
      </c>
      <c r="D20474" s="1">
        <v>45951.917453703703</v>
      </c>
      <c r="E20474" s="2">
        <v>1</v>
      </c>
      <c r="F20474" s="2">
        <v>2</v>
      </c>
      <c r="G20474" s="2">
        <v>0</v>
      </c>
      <c r="H20474" s="1" t="s">
        <v>0</v>
      </c>
      <c r="I20474" s="2">
        <v>0</v>
      </c>
      <c r="J20474" s="1">
        <v>45950.874618055554</v>
      </c>
    </row>
    <row r="20475" spans="1:10" x14ac:dyDescent="0.2">
      <c r="A20475" s="4" t="s">
        <v>1</v>
      </c>
      <c r="B204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75" s="3" t="str">
        <f>HYPERLINK("https://otsuka-europe-crm.veevavault.com/ui/#object/sent_email__v/VBLZ025E82HPQS9", "SE-000288804")</f>
        <v>SE-000288804</v>
      </c>
      <c r="D20475" s="1">
        <v>45962.342256944445</v>
      </c>
      <c r="E20475" s="2">
        <v>1</v>
      </c>
      <c r="F20475" s="2">
        <v>1</v>
      </c>
      <c r="G20475" s="2">
        <v>0</v>
      </c>
      <c r="H20475" s="1" t="s">
        <v>0</v>
      </c>
      <c r="I20475" s="2">
        <v>0</v>
      </c>
      <c r="J20475" s="1">
        <v>45950.87462962963</v>
      </c>
    </row>
    <row r="20476" spans="1:10" x14ac:dyDescent="0.2">
      <c r="A20476" s="4" t="s">
        <v>1</v>
      </c>
      <c r="B204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76" s="3" t="str">
        <f>HYPERLINK("https://otsuka-europe-crm.veevavault.com/ui/#object/sent_email__v/VBLZ025E82HPQSA", "SE-000288805")</f>
        <v>SE-000288805</v>
      </c>
      <c r="D20476" s="1">
        <v>45950.875011574077</v>
      </c>
      <c r="E20476" s="2">
        <v>1</v>
      </c>
      <c r="F20476" s="2">
        <v>1</v>
      </c>
      <c r="G20476" s="2">
        <v>0</v>
      </c>
      <c r="H20476" s="1" t="s">
        <v>0</v>
      </c>
      <c r="I20476" s="2">
        <v>0</v>
      </c>
      <c r="J20476" s="1">
        <v>45950.87462962963</v>
      </c>
    </row>
    <row r="20477" spans="1:10" x14ac:dyDescent="0.2">
      <c r="A20477" s="4" t="s">
        <v>1</v>
      </c>
      <c r="B204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77" s="3" t="str">
        <f>HYPERLINK("https://otsuka-europe-crm.veevavault.com/ui/#object/sent_email__v/VBLZ025E82HPQSP", "SE-000288806")</f>
        <v>SE-000288806</v>
      </c>
      <c r="D20477" s="1">
        <v>45951.265474537038</v>
      </c>
      <c r="E20477" s="2">
        <v>1</v>
      </c>
      <c r="F20477" s="2">
        <v>1</v>
      </c>
      <c r="G20477" s="2">
        <v>0</v>
      </c>
      <c r="H20477" s="1" t="s">
        <v>0</v>
      </c>
      <c r="I20477" s="2">
        <v>0</v>
      </c>
      <c r="J20477" s="1">
        <v>45950.875335648147</v>
      </c>
    </row>
    <row r="20478" spans="1:10" x14ac:dyDescent="0.2">
      <c r="A20478" s="4" t="s">
        <v>1</v>
      </c>
      <c r="B204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78" s="3" t="str">
        <f>HYPERLINK("https://otsuka-europe-crm.veevavault.com/ui/#object/sent_email__v/VBLZ025E82HPQSQ", "SE-000288807")</f>
        <v>SE-000288807</v>
      </c>
      <c r="D20478" s="1">
        <v>45951.313981481479</v>
      </c>
      <c r="E20478" s="2">
        <v>1</v>
      </c>
      <c r="F20478" s="2">
        <v>1</v>
      </c>
      <c r="G20478" s="2">
        <v>0</v>
      </c>
      <c r="H20478" s="1" t="s">
        <v>0</v>
      </c>
      <c r="I20478" s="2">
        <v>0</v>
      </c>
      <c r="J20478" s="1">
        <v>45950.875335648147</v>
      </c>
    </row>
    <row r="20479" spans="1:10" x14ac:dyDescent="0.2">
      <c r="A20479" s="4" t="s">
        <v>1</v>
      </c>
      <c r="B204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79" s="3" t="str">
        <f>HYPERLINK("https://otsuka-europe-crm.veevavault.com/ui/#object/sent_email__v/VBLZ025E82HPQSR", "SE-000288808")</f>
        <v>SE-000288808</v>
      </c>
      <c r="D20479" s="1">
        <v>45950.875960648147</v>
      </c>
      <c r="E20479" s="2">
        <v>1</v>
      </c>
      <c r="F20479" s="2">
        <v>1</v>
      </c>
      <c r="G20479" s="2">
        <v>0</v>
      </c>
      <c r="H20479" s="1" t="s">
        <v>0</v>
      </c>
      <c r="I20479" s="2">
        <v>0</v>
      </c>
      <c r="J20479" s="1">
        <v>45950.875347222223</v>
      </c>
    </row>
    <row r="20480" spans="1:10" x14ac:dyDescent="0.2">
      <c r="A20480" s="4" t="s">
        <v>1</v>
      </c>
      <c r="B204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80" s="3" t="str">
        <f>HYPERLINK("https://otsuka-europe-crm.veevavault.com/ui/#object/sent_email__v/VBLZ025E82HPQSS", "SE-000288809")</f>
        <v>SE-000288809</v>
      </c>
      <c r="D20480" s="1" t="s">
        <v>0</v>
      </c>
      <c r="E20480" s="2">
        <v>0</v>
      </c>
      <c r="F20480" s="2">
        <v>0</v>
      </c>
      <c r="G20480" s="2">
        <v>0</v>
      </c>
      <c r="H20480" s="1" t="s">
        <v>0</v>
      </c>
      <c r="I20480" s="2">
        <v>0</v>
      </c>
      <c r="J20480" s="1">
        <v>45950.875347222223</v>
      </c>
    </row>
    <row r="20481" spans="1:10" x14ac:dyDescent="0.2">
      <c r="A20481" s="4" t="s">
        <v>1</v>
      </c>
      <c r="B204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81" s="3" t="str">
        <f>HYPERLINK("https://otsuka-europe-crm.veevavault.com/ui/#object/sent_email__v/VBLZ025E82HPQST", "SE-000288810")</f>
        <v>SE-000288810</v>
      </c>
      <c r="D20481" s="1" t="s">
        <v>0</v>
      </c>
      <c r="E20481" s="2">
        <v>0</v>
      </c>
      <c r="F20481" s="2">
        <v>0</v>
      </c>
      <c r="G20481" s="2">
        <v>0</v>
      </c>
      <c r="H20481" s="1" t="s">
        <v>0</v>
      </c>
      <c r="I20481" s="2">
        <v>0</v>
      </c>
      <c r="J20481" s="1">
        <v>45950.875347222223</v>
      </c>
    </row>
    <row r="20482" spans="1:10" x14ac:dyDescent="0.2">
      <c r="A20482" s="4" t="s">
        <v>1</v>
      </c>
      <c r="B204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82" s="3" t="str">
        <f>HYPERLINK("https://otsuka-europe-crm.veevavault.com/ui/#object/sent_email__v/VBLZ025E82HPQSU", "SE-000288811")</f>
        <v>SE-000288811</v>
      </c>
      <c r="D20482" s="1">
        <v>45951.026597222219</v>
      </c>
      <c r="E20482" s="2">
        <v>1</v>
      </c>
      <c r="F20482" s="2">
        <v>1</v>
      </c>
      <c r="G20482" s="2">
        <v>0</v>
      </c>
      <c r="H20482" s="1" t="s">
        <v>0</v>
      </c>
      <c r="I20482" s="2">
        <v>0</v>
      </c>
      <c r="J20482" s="1">
        <v>45950.875358796293</v>
      </c>
    </row>
    <row r="20483" spans="1:10" x14ac:dyDescent="0.2">
      <c r="A20483" s="4" t="s">
        <v>1</v>
      </c>
      <c r="B204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83" s="3" t="str">
        <f>HYPERLINK("https://otsuka-europe-crm.veevavault.com/ui/#object/sent_email__v/VBLZ025E82HPQSV", "SE-000288812")</f>
        <v>SE-000288812</v>
      </c>
      <c r="D20483" s="1">
        <v>45951.27380787037</v>
      </c>
      <c r="E20483" s="2">
        <v>1</v>
      </c>
      <c r="F20483" s="2">
        <v>1</v>
      </c>
      <c r="G20483" s="2">
        <v>0</v>
      </c>
      <c r="H20483" s="1" t="s">
        <v>0</v>
      </c>
      <c r="I20483" s="2">
        <v>0</v>
      </c>
      <c r="J20483" s="1">
        <v>45950.87537037037</v>
      </c>
    </row>
    <row r="20484" spans="1:10" x14ac:dyDescent="0.2">
      <c r="A20484" s="4" t="s">
        <v>1</v>
      </c>
      <c r="B204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84" s="3" t="str">
        <f>HYPERLINK("https://otsuka-europe-crm.veevavault.com/ui/#object/sent_email__v/VBLZ025E82HPQSW", "SE-000288813")</f>
        <v>SE-000288813</v>
      </c>
      <c r="D20484" s="1">
        <v>45950.878067129626</v>
      </c>
      <c r="E20484" s="2">
        <v>1</v>
      </c>
      <c r="F20484" s="2">
        <v>2</v>
      </c>
      <c r="G20484" s="2">
        <v>0</v>
      </c>
      <c r="H20484" s="1" t="s">
        <v>0</v>
      </c>
      <c r="I20484" s="2">
        <v>0</v>
      </c>
      <c r="J20484" s="1">
        <v>45950.875381944446</v>
      </c>
    </row>
    <row r="20485" spans="1:10" x14ac:dyDescent="0.2">
      <c r="A20485" s="4" t="s">
        <v>1</v>
      </c>
      <c r="B204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85" s="3" t="str">
        <f>HYPERLINK("https://otsuka-europe-crm.veevavault.com/ui/#object/sent_email__v/VBLZ025E82HPQSX", "SE-000288814")</f>
        <v>SE-000288814</v>
      </c>
      <c r="D20485" s="1">
        <v>45952.016018518516</v>
      </c>
      <c r="E20485" s="2">
        <v>1</v>
      </c>
      <c r="F20485" s="2">
        <v>1</v>
      </c>
      <c r="G20485" s="2">
        <v>0</v>
      </c>
      <c r="H20485" s="1" t="s">
        <v>0</v>
      </c>
      <c r="I20485" s="2">
        <v>0</v>
      </c>
      <c r="J20485" s="1">
        <v>45950.875381944446</v>
      </c>
    </row>
    <row r="20486" spans="1:10" x14ac:dyDescent="0.2">
      <c r="A20486" s="4" t="s">
        <v>1</v>
      </c>
      <c r="B204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86" s="3" t="str">
        <f>HYPERLINK("https://otsuka-europe-crm.veevavault.com/ui/#object/sent_email__v/VBLZ025E82HPQSY", "SE-000288815")</f>
        <v>SE-000288815</v>
      </c>
      <c r="D20486" s="1">
        <v>45951.355254629627</v>
      </c>
      <c r="E20486" s="2">
        <v>1</v>
      </c>
      <c r="F20486" s="2">
        <v>3</v>
      </c>
      <c r="G20486" s="2">
        <v>0</v>
      </c>
      <c r="H20486" s="1" t="s">
        <v>0</v>
      </c>
      <c r="I20486" s="2">
        <v>0</v>
      </c>
      <c r="J20486" s="1">
        <v>45950.875416666669</v>
      </c>
    </row>
    <row r="20487" spans="1:10" x14ac:dyDescent="0.2">
      <c r="A20487" s="4" t="s">
        <v>1</v>
      </c>
      <c r="B204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87" s="3" t="str">
        <f>HYPERLINK("https://otsuka-europe-crm.veevavault.com/ui/#object/sent_email__v/VBLZ025E82HPQSZ", "SE-000288816")</f>
        <v>SE-000288816</v>
      </c>
      <c r="D20487" s="1">
        <v>45950.875532407408</v>
      </c>
      <c r="E20487" s="2">
        <v>1</v>
      </c>
      <c r="F20487" s="2">
        <v>1</v>
      </c>
      <c r="G20487" s="2">
        <v>0</v>
      </c>
      <c r="H20487" s="1" t="s">
        <v>0</v>
      </c>
      <c r="I20487" s="2">
        <v>0</v>
      </c>
      <c r="J20487" s="1">
        <v>45950.875428240739</v>
      </c>
    </row>
    <row r="20488" spans="1:10" x14ac:dyDescent="0.2">
      <c r="A20488" s="4" t="s">
        <v>1</v>
      </c>
      <c r="B204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88" s="3" t="str">
        <f>HYPERLINK("https://otsuka-europe-crm.veevavault.com/ui/#object/sent_email__v/VBLZ025E82HPQT0", "SE-000288817")</f>
        <v>SE-000288817</v>
      </c>
      <c r="D20488" s="1" t="s">
        <v>0</v>
      </c>
      <c r="E20488" s="2">
        <v>0</v>
      </c>
      <c r="F20488" s="2">
        <v>0</v>
      </c>
      <c r="G20488" s="2">
        <v>0</v>
      </c>
      <c r="H20488" s="1" t="s">
        <v>0</v>
      </c>
      <c r="I20488" s="2">
        <v>0</v>
      </c>
      <c r="J20488" s="1">
        <v>45950.875428240739</v>
      </c>
    </row>
    <row r="20489" spans="1:10" x14ac:dyDescent="0.2">
      <c r="A20489" s="4" t="s">
        <v>1</v>
      </c>
      <c r="B204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89" s="3" t="str">
        <f>HYPERLINK("https://otsuka-europe-crm.veevavault.com/ui/#object/sent_email__v/VBLZ025E82HPQT1", "SE-000288818")</f>
        <v>SE-000288818</v>
      </c>
      <c r="D20489" s="1">
        <v>45950.919490740744</v>
      </c>
      <c r="E20489" s="2">
        <v>1</v>
      </c>
      <c r="F20489" s="2">
        <v>2</v>
      </c>
      <c r="G20489" s="2">
        <v>0</v>
      </c>
      <c r="H20489" s="1" t="s">
        <v>0</v>
      </c>
      <c r="I20489" s="2">
        <v>0</v>
      </c>
      <c r="J20489" s="1">
        <v>45950.875439814816</v>
      </c>
    </row>
    <row r="20490" spans="1:10" x14ac:dyDescent="0.2">
      <c r="A20490" s="4" t="s">
        <v>1</v>
      </c>
      <c r="B204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90" s="3" t="str">
        <f>HYPERLINK("https://otsuka-europe-crm.veevavault.com/ui/#object/sent_email__v/VBLZ025E82HPQT2", "SE-000288819")</f>
        <v>SE-000288819</v>
      </c>
      <c r="D20490" s="1">
        <v>45951.314270833333</v>
      </c>
      <c r="E20490" s="2">
        <v>1</v>
      </c>
      <c r="F20490" s="2">
        <v>5</v>
      </c>
      <c r="G20490" s="2">
        <v>1</v>
      </c>
      <c r="H20490" s="1">
        <v>45951.314456018517</v>
      </c>
      <c r="I20490" s="2">
        <v>1</v>
      </c>
      <c r="J20490" s="1">
        <v>45950.875439814816</v>
      </c>
    </row>
    <row r="20491" spans="1:10" x14ac:dyDescent="0.2">
      <c r="A20491" s="4" t="s">
        <v>1</v>
      </c>
      <c r="B204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91" s="3" t="str">
        <f>HYPERLINK("https://otsuka-europe-crm.veevavault.com/ui/#object/sent_email__v/VBLZ025E82HPQT3", "SE-000288820")</f>
        <v>SE-000288820</v>
      </c>
      <c r="D20491" s="1">
        <v>45950.942488425928</v>
      </c>
      <c r="E20491" s="2">
        <v>1</v>
      </c>
      <c r="F20491" s="2">
        <v>1</v>
      </c>
      <c r="G20491" s="2">
        <v>0</v>
      </c>
      <c r="H20491" s="1" t="s">
        <v>0</v>
      </c>
      <c r="I20491" s="2">
        <v>0</v>
      </c>
      <c r="J20491" s="1">
        <v>45950.875451388885</v>
      </c>
    </row>
    <row r="20492" spans="1:10" x14ac:dyDescent="0.2">
      <c r="A20492" s="4" t="s">
        <v>1</v>
      </c>
      <c r="B204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92" s="3" t="str">
        <f>HYPERLINK("https://otsuka-europe-crm.veevavault.com/ui/#object/sent_email__v/VBLZ025E82HPQT4", "SE-000288821")</f>
        <v>SE-000288821</v>
      </c>
      <c r="D20492" s="1">
        <v>45951.278287037036</v>
      </c>
      <c r="E20492" s="2">
        <v>1</v>
      </c>
      <c r="F20492" s="2">
        <v>2</v>
      </c>
      <c r="G20492" s="2">
        <v>0</v>
      </c>
      <c r="H20492" s="1" t="s">
        <v>0</v>
      </c>
      <c r="I20492" s="2">
        <v>0</v>
      </c>
      <c r="J20492" s="1">
        <v>45950.875451388885</v>
      </c>
    </row>
    <row r="20493" spans="1:10" x14ac:dyDescent="0.2">
      <c r="A20493" s="4" t="s">
        <v>1</v>
      </c>
      <c r="B204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93" s="3" t="str">
        <f>HYPERLINK("https://otsuka-europe-crm.veevavault.com/ui/#object/sent_email__v/VBLZ025E82HPQT5", "SE-000288822")</f>
        <v>SE-000288822</v>
      </c>
      <c r="D20493" s="1">
        <v>45950.976979166669</v>
      </c>
      <c r="E20493" s="2">
        <v>1</v>
      </c>
      <c r="F20493" s="2">
        <v>1</v>
      </c>
      <c r="G20493" s="2">
        <v>0</v>
      </c>
      <c r="H20493" s="1" t="s">
        <v>0</v>
      </c>
      <c r="I20493" s="2">
        <v>0</v>
      </c>
      <c r="J20493" s="1">
        <v>45950.875462962962</v>
      </c>
    </row>
    <row r="20494" spans="1:10" x14ac:dyDescent="0.2">
      <c r="A20494" s="4" t="s">
        <v>1</v>
      </c>
      <c r="B204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94" s="3" t="str">
        <f>HYPERLINK("https://otsuka-europe-crm.veevavault.com/ui/#object/sent_email__v/VBLZ025E82HPQT6", "SE-000288823")</f>
        <v>SE-000288823</v>
      </c>
      <c r="D20494" s="1">
        <v>45950.875625000001</v>
      </c>
      <c r="E20494" s="2">
        <v>1</v>
      </c>
      <c r="F20494" s="2">
        <v>1</v>
      </c>
      <c r="G20494" s="2">
        <v>0</v>
      </c>
      <c r="H20494" s="1" t="s">
        <v>0</v>
      </c>
      <c r="I20494" s="2">
        <v>0</v>
      </c>
      <c r="J20494" s="1">
        <v>45950.875474537039</v>
      </c>
    </row>
    <row r="20495" spans="1:10" x14ac:dyDescent="0.2">
      <c r="A20495" s="4" t="s">
        <v>1</v>
      </c>
      <c r="B204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95" s="3" t="str">
        <f>HYPERLINK("https://otsuka-europe-crm.veevavault.com/ui/#object/sent_email__v/VBLZ025E82HPQT7", "SE-000288824")</f>
        <v>SE-000288824</v>
      </c>
      <c r="D20495" s="1">
        <v>45950.896851851852</v>
      </c>
      <c r="E20495" s="2">
        <v>1</v>
      </c>
      <c r="F20495" s="2">
        <v>2</v>
      </c>
      <c r="G20495" s="2">
        <v>1</v>
      </c>
      <c r="H20495" s="1">
        <v>45950.896736111114</v>
      </c>
      <c r="I20495" s="2">
        <v>1</v>
      </c>
      <c r="J20495" s="1">
        <v>45950.875474537039</v>
      </c>
    </row>
    <row r="20496" spans="1:10" x14ac:dyDescent="0.2">
      <c r="A20496" s="4" t="s">
        <v>1</v>
      </c>
      <c r="B204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96" s="3" t="str">
        <f>HYPERLINK("https://otsuka-europe-crm.veevavault.com/ui/#object/sent_email__v/VBLZ025E82HPQT8", "SE-000288825")</f>
        <v>SE-000288825</v>
      </c>
      <c r="D20496" s="1">
        <v>45951.424976851849</v>
      </c>
      <c r="E20496" s="2">
        <v>1</v>
      </c>
      <c r="F20496" s="2">
        <v>2</v>
      </c>
      <c r="G20496" s="2">
        <v>0</v>
      </c>
      <c r="H20496" s="1" t="s">
        <v>0</v>
      </c>
      <c r="I20496" s="2">
        <v>0</v>
      </c>
      <c r="J20496" s="1">
        <v>45950.875497685185</v>
      </c>
    </row>
    <row r="20497" spans="1:10" x14ac:dyDescent="0.2">
      <c r="A20497" s="4" t="s">
        <v>1</v>
      </c>
      <c r="B204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97" s="3" t="str">
        <f>HYPERLINK("https://otsuka-europe-crm.veevavault.com/ui/#object/sent_email__v/VBLZ025E82HPQT9", "SE-000288826")</f>
        <v>SE-000288826</v>
      </c>
      <c r="D20497" s="1">
        <v>45951.651099537034</v>
      </c>
      <c r="E20497" s="2">
        <v>1</v>
      </c>
      <c r="F20497" s="2">
        <v>1</v>
      </c>
      <c r="G20497" s="2">
        <v>0</v>
      </c>
      <c r="H20497" s="1" t="s">
        <v>0</v>
      </c>
      <c r="I20497" s="2">
        <v>0</v>
      </c>
      <c r="J20497" s="1">
        <v>45950.875497685185</v>
      </c>
    </row>
    <row r="20498" spans="1:10" x14ac:dyDescent="0.2">
      <c r="A20498" s="4" t="s">
        <v>1</v>
      </c>
      <c r="B204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98" s="3" t="str">
        <f>HYPERLINK("https://otsuka-europe-crm.veevavault.com/ui/#object/sent_email__v/VBLZ025E82HPQTA", "SE-000288827")</f>
        <v>SE-000288827</v>
      </c>
      <c r="D20498" s="1">
        <v>45950.887442129628</v>
      </c>
      <c r="E20498" s="2">
        <v>1</v>
      </c>
      <c r="F20498" s="2">
        <v>2</v>
      </c>
      <c r="G20498" s="2">
        <v>0</v>
      </c>
      <c r="H20498" s="1" t="s">
        <v>0</v>
      </c>
      <c r="I20498" s="2">
        <v>0</v>
      </c>
      <c r="J20498" s="1">
        <v>45950.875509259262</v>
      </c>
    </row>
    <row r="20499" spans="1:10" x14ac:dyDescent="0.2">
      <c r="A20499" s="4" t="s">
        <v>1</v>
      </c>
      <c r="B204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499" s="3" t="str">
        <f>HYPERLINK("https://otsuka-europe-crm.veevavault.com/ui/#object/sent_email__v/VBLZ025E82HPQTB", "SE-000288828")</f>
        <v>SE-000288828</v>
      </c>
      <c r="D20499" s="1" t="s">
        <v>0</v>
      </c>
      <c r="E20499" s="2">
        <v>0</v>
      </c>
      <c r="F20499" s="2">
        <v>0</v>
      </c>
      <c r="G20499" s="2">
        <v>0</v>
      </c>
      <c r="H20499" s="1" t="s">
        <v>0</v>
      </c>
      <c r="I20499" s="2">
        <v>0</v>
      </c>
      <c r="J20499" s="1">
        <v>45950.875520833331</v>
      </c>
    </row>
    <row r="20500" spans="1:10" x14ac:dyDescent="0.2">
      <c r="A20500" s="4" t="s">
        <v>1</v>
      </c>
      <c r="B205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00" s="3" t="str">
        <f>HYPERLINK("https://otsuka-europe-crm.veevavault.com/ui/#object/sent_email__v/VBLZ025E82HPQTC", "SE-000288829")</f>
        <v>SE-000288829</v>
      </c>
      <c r="D20500" s="1">
        <v>45953.319548611114</v>
      </c>
      <c r="E20500" s="2">
        <v>1</v>
      </c>
      <c r="F20500" s="2">
        <v>4</v>
      </c>
      <c r="G20500" s="2">
        <v>0</v>
      </c>
      <c r="H20500" s="1" t="s">
        <v>0</v>
      </c>
      <c r="I20500" s="2">
        <v>0</v>
      </c>
      <c r="J20500" s="1">
        <v>45950.875532407408</v>
      </c>
    </row>
    <row r="20501" spans="1:10" x14ac:dyDescent="0.2">
      <c r="A20501" s="4" t="s">
        <v>1</v>
      </c>
      <c r="B205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01" s="3" t="str">
        <f>HYPERLINK("https://otsuka-europe-crm.veevavault.com/ui/#object/sent_email__v/VBLZ025E82HPQTD", "SE-000288830")</f>
        <v>SE-000288830</v>
      </c>
      <c r="D20501" s="1" t="s">
        <v>0</v>
      </c>
      <c r="E20501" s="2">
        <v>0</v>
      </c>
      <c r="F20501" s="2">
        <v>0</v>
      </c>
      <c r="G20501" s="2">
        <v>0</v>
      </c>
      <c r="H20501" s="1" t="s">
        <v>0</v>
      </c>
      <c r="I20501" s="2">
        <v>0</v>
      </c>
      <c r="J20501" s="1">
        <v>45950.875532407408</v>
      </c>
    </row>
    <row r="20502" spans="1:10" x14ac:dyDescent="0.2">
      <c r="A20502" s="4" t="s">
        <v>1</v>
      </c>
      <c r="B205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02" s="3" t="str">
        <f>HYPERLINK("https://otsuka-europe-crm.veevavault.com/ui/#object/sent_email__v/VBLZ025E82HPQTE", "SE-000288831")</f>
        <v>SE-000288831</v>
      </c>
      <c r="D20502" s="1" t="s">
        <v>0</v>
      </c>
      <c r="E20502" s="2">
        <v>0</v>
      </c>
      <c r="F20502" s="2">
        <v>0</v>
      </c>
      <c r="G20502" s="2">
        <v>0</v>
      </c>
      <c r="H20502" s="1" t="s">
        <v>0</v>
      </c>
      <c r="I20502" s="2">
        <v>0</v>
      </c>
      <c r="J20502" s="1">
        <v>45950.875543981485</v>
      </c>
    </row>
    <row r="20503" spans="1:10" x14ac:dyDescent="0.2">
      <c r="A20503" s="4" t="s">
        <v>1</v>
      </c>
      <c r="B205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03" s="3" t="str">
        <f>HYPERLINK("https://otsuka-europe-crm.veevavault.com/ui/#object/sent_email__v/VBLZ025E82HPQTF", "SE-000288832")</f>
        <v>SE-000288832</v>
      </c>
      <c r="D20503" s="1">
        <v>45951.557268518518</v>
      </c>
      <c r="E20503" s="2">
        <v>1</v>
      </c>
      <c r="F20503" s="2">
        <v>1</v>
      </c>
      <c r="G20503" s="2">
        <v>0</v>
      </c>
      <c r="H20503" s="1" t="s">
        <v>0</v>
      </c>
      <c r="I20503" s="2">
        <v>0</v>
      </c>
      <c r="J20503" s="1">
        <v>45950.875555555554</v>
      </c>
    </row>
    <row r="20504" spans="1:10" x14ac:dyDescent="0.2">
      <c r="A20504" s="4" t="s">
        <v>1</v>
      </c>
      <c r="B205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04" s="3" t="str">
        <f>HYPERLINK("https://otsuka-europe-crm.veevavault.com/ui/#object/sent_email__v/VBLZ025E82HPQTG", "SE-000288833")</f>
        <v>SE-000288833</v>
      </c>
      <c r="D20504" s="1">
        <v>45951.731736111113</v>
      </c>
      <c r="E20504" s="2">
        <v>1</v>
      </c>
      <c r="F20504" s="2">
        <v>1</v>
      </c>
      <c r="G20504" s="2">
        <v>0</v>
      </c>
      <c r="H20504" s="1" t="s">
        <v>0</v>
      </c>
      <c r="I20504" s="2">
        <v>0</v>
      </c>
      <c r="J20504" s="1">
        <v>45950.875567129631</v>
      </c>
    </row>
    <row r="20505" spans="1:10" x14ac:dyDescent="0.2">
      <c r="A20505" s="4" t="s">
        <v>1</v>
      </c>
      <c r="B205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05" s="3" t="str">
        <f>HYPERLINK("https://otsuka-europe-crm.veevavault.com/ui/#object/sent_email__v/VBLZ025E82HPQTH", "SE-000288834")</f>
        <v>SE-000288834</v>
      </c>
      <c r="D20505" s="1">
        <v>45950.880324074074</v>
      </c>
      <c r="E20505" s="2">
        <v>1</v>
      </c>
      <c r="F20505" s="2">
        <v>1</v>
      </c>
      <c r="G20505" s="2">
        <v>0</v>
      </c>
      <c r="H20505" s="1" t="s">
        <v>0</v>
      </c>
      <c r="I20505" s="2">
        <v>0</v>
      </c>
      <c r="J20505" s="1">
        <v>45950.875578703701</v>
      </c>
    </row>
    <row r="20506" spans="1:10" x14ac:dyDescent="0.2">
      <c r="A20506" s="4" t="s">
        <v>1</v>
      </c>
      <c r="B205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06" s="3" t="str">
        <f>HYPERLINK("https://otsuka-europe-crm.veevavault.com/ui/#object/sent_email__v/VBLZ025E82HQ6JD", "SE-000288961")</f>
        <v>SE-000288961</v>
      </c>
      <c r="D20506" s="1">
        <v>45962.6952662037</v>
      </c>
      <c r="E20506" s="2">
        <v>1</v>
      </c>
      <c r="F20506" s="2">
        <v>2</v>
      </c>
      <c r="G20506" s="2">
        <v>0</v>
      </c>
      <c r="H20506" s="1" t="s">
        <v>0</v>
      </c>
      <c r="I20506" s="2">
        <v>0</v>
      </c>
      <c r="J20506" s="1">
        <v>45951.44636574074</v>
      </c>
    </row>
    <row r="20507" spans="1:10" x14ac:dyDescent="0.2">
      <c r="A20507" s="4" t="s">
        <v>1</v>
      </c>
      <c r="B205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07" s="3" t="str">
        <f>HYPERLINK("https://otsuka-europe-crm.veevavault.com/ui/#object/sent_email__v/VBLZ025E82HSSAD", "SE-000290504")</f>
        <v>SE-000290504</v>
      </c>
      <c r="D20507" s="1">
        <v>45953.707013888888</v>
      </c>
      <c r="E20507" s="2">
        <v>1</v>
      </c>
      <c r="F20507" s="2">
        <v>1</v>
      </c>
      <c r="G20507" s="2">
        <v>0</v>
      </c>
      <c r="H20507" s="1" t="s">
        <v>0</v>
      </c>
      <c r="I20507" s="2">
        <v>0</v>
      </c>
      <c r="J20507" s="1">
        <v>45953.660543981481</v>
      </c>
    </row>
    <row r="20508" spans="1:10" x14ac:dyDescent="0.2">
      <c r="A20508" s="4" t="s">
        <v>1</v>
      </c>
      <c r="B205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08" s="3" t="str">
        <f>HYPERLINK("https://otsuka-europe-crm.veevavault.com/ui/#object/sent_email__v/VBLZ025E82HSSIP", "SE-000290507")</f>
        <v>SE-000290507</v>
      </c>
      <c r="D20508" s="1">
        <v>45953.669108796297</v>
      </c>
      <c r="E20508" s="2">
        <v>1</v>
      </c>
      <c r="F20508" s="2">
        <v>2</v>
      </c>
      <c r="G20508" s="2">
        <v>0</v>
      </c>
      <c r="H20508" s="1" t="s">
        <v>0</v>
      </c>
      <c r="I20508" s="2">
        <v>0</v>
      </c>
      <c r="J20508" s="1">
        <v>45953.661319444444</v>
      </c>
    </row>
    <row r="20509" spans="1:10" x14ac:dyDescent="0.2">
      <c r="A20509" s="4" t="s">
        <v>1</v>
      </c>
      <c r="B205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09" s="3" t="str">
        <f>HYPERLINK("https://otsuka-europe-crm.veevavault.com/ui/#object/sent_email__v/VBLZ025E82HSSO9", "SE-000290509")</f>
        <v>SE-000290509</v>
      </c>
      <c r="D20509" s="1">
        <v>45953.663032407407</v>
      </c>
      <c r="E20509" s="2">
        <v>1</v>
      </c>
      <c r="F20509" s="2">
        <v>2</v>
      </c>
      <c r="G20509" s="2">
        <v>0</v>
      </c>
      <c r="H20509" s="1" t="s">
        <v>0</v>
      </c>
      <c r="I20509" s="2">
        <v>0</v>
      </c>
      <c r="J20509" s="1">
        <v>45953.66170138889</v>
      </c>
    </row>
    <row r="20510" spans="1:10" x14ac:dyDescent="0.2">
      <c r="A20510" s="4" t="s">
        <v>1</v>
      </c>
      <c r="B205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10" s="3" t="str">
        <f>HYPERLINK("https://otsuka-europe-crm.veevavault.com/ui/#object/sent_email__v/VBLZ025E82HSSZD", "SE-000290511")</f>
        <v>SE-000290511</v>
      </c>
      <c r="D20510" s="1" t="s">
        <v>0</v>
      </c>
      <c r="E20510" s="2">
        <v>0</v>
      </c>
      <c r="F20510" s="2">
        <v>0</v>
      </c>
      <c r="G20510" s="2">
        <v>0</v>
      </c>
      <c r="H20510" s="1" t="s">
        <v>0</v>
      </c>
      <c r="I20510" s="2">
        <v>0</v>
      </c>
      <c r="J20510" s="1">
        <v>45953.662060185183</v>
      </c>
    </row>
    <row r="20511" spans="1:10" x14ac:dyDescent="0.2">
      <c r="A20511" s="4" t="s">
        <v>1</v>
      </c>
      <c r="B205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11" s="3" t="str">
        <f>HYPERLINK("https://otsuka-europe-crm.veevavault.com/ui/#object/sent_email__v/VBLZ025E82HST4X", "SE-000290513")</f>
        <v>SE-000290513</v>
      </c>
      <c r="D20511" s="1" t="s">
        <v>0</v>
      </c>
      <c r="E20511" s="2">
        <v>0</v>
      </c>
      <c r="F20511" s="2">
        <v>0</v>
      </c>
      <c r="G20511" s="2">
        <v>0</v>
      </c>
      <c r="H20511" s="1" t="s">
        <v>0</v>
      </c>
      <c r="I20511" s="2">
        <v>0</v>
      </c>
      <c r="J20511" s="1">
        <v>45953.662534722222</v>
      </c>
    </row>
    <row r="20512" spans="1:10" x14ac:dyDescent="0.2">
      <c r="A20512" s="4" t="s">
        <v>1</v>
      </c>
      <c r="B205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12" s="3" t="str">
        <f>HYPERLINK("https://otsuka-europe-crm.veevavault.com/ui/#object/sent_email__v/VBLZ025E82HSTAH", "SE-000290515")</f>
        <v>SE-000290515</v>
      </c>
      <c r="D20512" s="1" t="s">
        <v>0</v>
      </c>
      <c r="E20512" s="2">
        <v>0</v>
      </c>
      <c r="F20512" s="2">
        <v>0</v>
      </c>
      <c r="G20512" s="2">
        <v>0</v>
      </c>
      <c r="H20512" s="1" t="s">
        <v>0</v>
      </c>
      <c r="I20512" s="2">
        <v>0</v>
      </c>
      <c r="J20512" s="1">
        <v>45953.662870370368</v>
      </c>
    </row>
    <row r="20513" spans="1:10" x14ac:dyDescent="0.2">
      <c r="A20513" s="4" t="s">
        <v>1</v>
      </c>
      <c r="B205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13" s="3" t="str">
        <f>HYPERLINK("https://otsuka-europe-crm.veevavault.com/ui/#object/sent_email__v/VBLZ025E82HSTG1", "SE-000290517")</f>
        <v>SE-000290517</v>
      </c>
      <c r="D20513" s="1">
        <v>45953.673692129632</v>
      </c>
      <c r="E20513" s="2">
        <v>1</v>
      </c>
      <c r="F20513" s="2">
        <v>2</v>
      </c>
      <c r="G20513" s="2">
        <v>0</v>
      </c>
      <c r="H20513" s="1" t="s">
        <v>0</v>
      </c>
      <c r="I20513" s="2">
        <v>0</v>
      </c>
      <c r="J20513" s="1">
        <v>45953.663321759261</v>
      </c>
    </row>
    <row r="20514" spans="1:10" x14ac:dyDescent="0.2">
      <c r="A20514" s="4" t="s">
        <v>1</v>
      </c>
      <c r="B205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14" s="3" t="str">
        <f>HYPERLINK("https://otsuka-europe-crm.veevavault.com/ui/#object/sent_email__v/VBL000000001029", "SE-001377714")</f>
        <v>SE-001377714</v>
      </c>
      <c r="D20514" s="1">
        <v>45957.916863425926</v>
      </c>
      <c r="E20514" s="2">
        <v>1</v>
      </c>
      <c r="F20514" s="2">
        <v>1</v>
      </c>
      <c r="G20514" s="2">
        <v>0</v>
      </c>
      <c r="H20514" s="1" t="s">
        <v>0</v>
      </c>
      <c r="I20514" s="2">
        <v>0</v>
      </c>
      <c r="J20514" s="1">
        <v>45957.498136574075</v>
      </c>
    </row>
    <row r="20515" spans="1:10" x14ac:dyDescent="0.2">
      <c r="A20515" s="4" t="s">
        <v>1</v>
      </c>
      <c r="B205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15" s="3" t="str">
        <f>HYPERLINK("https://otsuka-europe-crm.veevavault.com/ui/#object/sent_email__v/VBL000000001030", "SE-001377715")</f>
        <v>SE-001377715</v>
      </c>
      <c r="D20515" s="1" t="s">
        <v>0</v>
      </c>
      <c r="E20515" s="2">
        <v>0</v>
      </c>
      <c r="F20515" s="2">
        <v>0</v>
      </c>
      <c r="G20515" s="2">
        <v>0</v>
      </c>
      <c r="H20515" s="1" t="s">
        <v>0</v>
      </c>
      <c r="I20515" s="2">
        <v>0</v>
      </c>
      <c r="J20515" s="1">
        <v>45957.498206018521</v>
      </c>
    </row>
    <row r="20516" spans="1:10" x14ac:dyDescent="0.2">
      <c r="A20516" s="4" t="s">
        <v>1</v>
      </c>
      <c r="B205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16" s="3" t="str">
        <f>HYPERLINK("https://otsuka-europe-crm.veevavault.com/ui/#object/sent_email__v/VBL000000001031", "SE-001377716")</f>
        <v>SE-001377716</v>
      </c>
      <c r="D20516" s="1" t="s">
        <v>0</v>
      </c>
      <c r="E20516" s="2">
        <v>0</v>
      </c>
      <c r="F20516" s="2">
        <v>0</v>
      </c>
      <c r="G20516" s="2">
        <v>0</v>
      </c>
      <c r="H20516" s="1" t="s">
        <v>0</v>
      </c>
      <c r="I20516" s="2">
        <v>0</v>
      </c>
      <c r="J20516" s="1">
        <v>45957.49827546296</v>
      </c>
    </row>
    <row r="20517" spans="1:10" x14ac:dyDescent="0.2">
      <c r="A20517" s="4" t="s">
        <v>1</v>
      </c>
      <c r="B205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17" s="3" t="str">
        <f>HYPERLINK("https://otsuka-europe-crm.veevavault.com/ui/#object/sent_email__v/VBL000000001032", "SE-001377717")</f>
        <v>SE-001377717</v>
      </c>
      <c r="D20517" s="1">
        <v>45957.582314814812</v>
      </c>
      <c r="E20517" s="2">
        <v>1</v>
      </c>
      <c r="F20517" s="2">
        <v>1</v>
      </c>
      <c r="G20517" s="2">
        <v>0</v>
      </c>
      <c r="H20517" s="1" t="s">
        <v>0</v>
      </c>
      <c r="I20517" s="2">
        <v>0</v>
      </c>
      <c r="J20517" s="1">
        <v>45957.498356481483</v>
      </c>
    </row>
    <row r="20518" spans="1:10" x14ac:dyDescent="0.2">
      <c r="A20518" s="4" t="s">
        <v>1</v>
      </c>
      <c r="B205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18" s="3" t="str">
        <f>HYPERLINK("https://otsuka-europe-crm.veevavault.com/ui/#object/sent_email__v/VBL000000001033", "SE-001377718")</f>
        <v>SE-001377718</v>
      </c>
      <c r="D20518" s="1" t="s">
        <v>0</v>
      </c>
      <c r="E20518" s="2">
        <v>0</v>
      </c>
      <c r="F20518" s="2">
        <v>0</v>
      </c>
      <c r="G20518" s="2">
        <v>0</v>
      </c>
      <c r="H20518" s="1" t="s">
        <v>0</v>
      </c>
      <c r="I20518" s="2">
        <v>0</v>
      </c>
      <c r="J20518" s="1">
        <v>45957.498414351852</v>
      </c>
    </row>
    <row r="20519" spans="1:10" x14ac:dyDescent="0.2">
      <c r="A20519" s="4" t="s">
        <v>1</v>
      </c>
      <c r="B205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19" s="3" t="str">
        <f>HYPERLINK("https://otsuka-europe-crm.veevavault.com/ui/#object/sent_email__v/VBL000000001034", "SE-001377719")</f>
        <v>SE-001377719</v>
      </c>
      <c r="D20519" s="1" t="s">
        <v>0</v>
      </c>
      <c r="E20519" s="2">
        <v>0</v>
      </c>
      <c r="F20519" s="2">
        <v>0</v>
      </c>
      <c r="G20519" s="2">
        <v>0</v>
      </c>
      <c r="H20519" s="1" t="s">
        <v>0</v>
      </c>
      <c r="I20519" s="2">
        <v>0</v>
      </c>
      <c r="J20519" s="1">
        <v>45957.498483796298</v>
      </c>
    </row>
    <row r="20520" spans="1:10" x14ac:dyDescent="0.2">
      <c r="A20520" s="4" t="s">
        <v>1</v>
      </c>
      <c r="B205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20" s="3" t="str">
        <f>HYPERLINK("https://otsuka-europe-crm.veevavault.com/ui/#object/sent_email__v/VBL000000001035", "SE-001377720")</f>
        <v>SE-001377720</v>
      </c>
      <c r="D20520" s="1" t="s">
        <v>0</v>
      </c>
      <c r="E20520" s="2">
        <v>0</v>
      </c>
      <c r="F20520" s="2">
        <v>0</v>
      </c>
      <c r="G20520" s="2">
        <v>0</v>
      </c>
      <c r="H20520" s="1" t="s">
        <v>0</v>
      </c>
      <c r="I20520" s="2">
        <v>0</v>
      </c>
      <c r="J20520" s="1">
        <v>45957.498553240737</v>
      </c>
    </row>
    <row r="20521" spans="1:10" x14ac:dyDescent="0.2">
      <c r="A20521" s="4" t="s">
        <v>1</v>
      </c>
      <c r="B205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21" s="3" t="str">
        <f>HYPERLINK("https://otsuka-europe-crm.veevavault.com/ui/#object/sent_email__v/VBL000000001036", "SE-001377721")</f>
        <v>SE-001377721</v>
      </c>
      <c r="D20521" s="1" t="s">
        <v>0</v>
      </c>
      <c r="E20521" s="2">
        <v>0</v>
      </c>
      <c r="F20521" s="2">
        <v>0</v>
      </c>
      <c r="G20521" s="2">
        <v>0</v>
      </c>
      <c r="H20521" s="1" t="s">
        <v>0</v>
      </c>
      <c r="I20521" s="2">
        <v>0</v>
      </c>
      <c r="J20521" s="1">
        <v>45957.49863425926</v>
      </c>
    </row>
    <row r="20522" spans="1:10" x14ac:dyDescent="0.2">
      <c r="A20522" s="4" t="s">
        <v>1</v>
      </c>
      <c r="B205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22" s="3" t="str">
        <f>HYPERLINK("https://otsuka-europe-crm.veevavault.com/ui/#object/sent_email__v/VBL000000001037", "SE-001377722")</f>
        <v>SE-001377722</v>
      </c>
      <c r="D20522" s="1" t="s">
        <v>0</v>
      </c>
      <c r="E20522" s="2">
        <v>0</v>
      </c>
      <c r="F20522" s="2">
        <v>0</v>
      </c>
      <c r="G20522" s="2">
        <v>0</v>
      </c>
      <c r="H20522" s="1" t="s">
        <v>0</v>
      </c>
      <c r="I20522" s="2">
        <v>0</v>
      </c>
      <c r="J20522" s="1">
        <v>45957.498703703706</v>
      </c>
    </row>
    <row r="20523" spans="1:10" x14ac:dyDescent="0.2">
      <c r="A20523" s="4" t="s">
        <v>1</v>
      </c>
      <c r="B205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23" s="3" t="str">
        <f>HYPERLINK("https://otsuka-europe-crm.veevavault.com/ui/#object/sent_email__v/VBL000000001038", "SE-001377723")</f>
        <v>SE-001377723</v>
      </c>
      <c r="D20523" s="1">
        <v>45957.503819444442</v>
      </c>
      <c r="E20523" s="2">
        <v>1</v>
      </c>
      <c r="F20523" s="2">
        <v>2</v>
      </c>
      <c r="G20523" s="2">
        <v>0</v>
      </c>
      <c r="H20523" s="1" t="s">
        <v>0</v>
      </c>
      <c r="I20523" s="2">
        <v>0</v>
      </c>
      <c r="J20523" s="1">
        <v>45957.498773148145</v>
      </c>
    </row>
    <row r="20524" spans="1:10" x14ac:dyDescent="0.2">
      <c r="A20524" s="4" t="s">
        <v>1</v>
      </c>
      <c r="B205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24" s="3" t="str">
        <f>HYPERLINK("https://otsuka-europe-crm.veevavault.com/ui/#object/sent_email__v/VBL000000001039", "SE-001377724")</f>
        <v>SE-001377724</v>
      </c>
      <c r="D20524" s="1" t="s">
        <v>0</v>
      </c>
      <c r="E20524" s="2">
        <v>0</v>
      </c>
      <c r="F20524" s="2">
        <v>0</v>
      </c>
      <c r="G20524" s="2">
        <v>0</v>
      </c>
      <c r="H20524" s="1" t="s">
        <v>0</v>
      </c>
      <c r="I20524" s="2">
        <v>0</v>
      </c>
      <c r="J20524" s="1">
        <v>45957.498842592591</v>
      </c>
    </row>
    <row r="20525" spans="1:10" x14ac:dyDescent="0.2">
      <c r="A20525" s="4" t="s">
        <v>1</v>
      </c>
      <c r="B205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25" s="3" t="str">
        <f>HYPERLINK("https://otsuka-europe-crm.veevavault.com/ui/#object/sent_email__v/VBL000000001040", "SE-001377725")</f>
        <v>SE-001377725</v>
      </c>
      <c r="D20525" s="1">
        <v>45958.595578703702</v>
      </c>
      <c r="E20525" s="2">
        <v>1</v>
      </c>
      <c r="F20525" s="2">
        <v>1</v>
      </c>
      <c r="G20525" s="2">
        <v>0</v>
      </c>
      <c r="H20525" s="1" t="s">
        <v>0</v>
      </c>
      <c r="I20525" s="2">
        <v>0</v>
      </c>
      <c r="J20525" s="1">
        <v>45957.498912037037</v>
      </c>
    </row>
    <row r="20526" spans="1:10" x14ac:dyDescent="0.2">
      <c r="A20526" s="4" t="s">
        <v>1</v>
      </c>
      <c r="B205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26" s="3" t="str">
        <f>HYPERLINK("https://otsuka-europe-crm.veevavault.com/ui/#object/sent_email__v/VBL000000001041", "SE-001377726")</f>
        <v>SE-001377726</v>
      </c>
      <c r="D20526" s="1">
        <v>45957.73337962963</v>
      </c>
      <c r="E20526" s="2">
        <v>1</v>
      </c>
      <c r="F20526" s="2">
        <v>3</v>
      </c>
      <c r="G20526" s="2">
        <v>0</v>
      </c>
      <c r="H20526" s="1" t="s">
        <v>0</v>
      </c>
      <c r="I20526" s="2">
        <v>0</v>
      </c>
      <c r="J20526" s="1">
        <v>45957.49900462963</v>
      </c>
    </row>
    <row r="20527" spans="1:10" x14ac:dyDescent="0.2">
      <c r="A20527" s="4" t="s">
        <v>1</v>
      </c>
      <c r="B205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27" s="3" t="str">
        <f>HYPERLINK("https://otsuka-europe-crm.veevavault.com/ui/#object/sent_email__v/VBL000000001042", "SE-001377727")</f>
        <v>SE-001377727</v>
      </c>
      <c r="D20527" s="1" t="s">
        <v>0</v>
      </c>
      <c r="E20527" s="2">
        <v>0</v>
      </c>
      <c r="F20527" s="2">
        <v>0</v>
      </c>
      <c r="G20527" s="2">
        <v>0</v>
      </c>
      <c r="H20527" s="1" t="s">
        <v>0</v>
      </c>
      <c r="I20527" s="2">
        <v>0</v>
      </c>
      <c r="J20527" s="1">
        <v>45957.499074074076</v>
      </c>
    </row>
    <row r="20528" spans="1:10" x14ac:dyDescent="0.2">
      <c r="A20528" s="4" t="s">
        <v>1</v>
      </c>
      <c r="B205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28" s="3" t="str">
        <f>HYPERLINK("https://otsuka-europe-crm.veevavault.com/ui/#object/sent_email__v/VBL000000001043", "SE-001377728")</f>
        <v>SE-001377728</v>
      </c>
      <c r="D20528" s="1">
        <v>45957.98773148148</v>
      </c>
      <c r="E20528" s="2">
        <v>1</v>
      </c>
      <c r="F20528" s="2">
        <v>2</v>
      </c>
      <c r="G20528" s="2">
        <v>0</v>
      </c>
      <c r="H20528" s="1" t="s">
        <v>0</v>
      </c>
      <c r="I20528" s="2">
        <v>0</v>
      </c>
      <c r="J20528" s="1">
        <v>45957.499131944445</v>
      </c>
    </row>
    <row r="20529" spans="1:10" x14ac:dyDescent="0.2">
      <c r="A20529" s="4" t="s">
        <v>1</v>
      </c>
      <c r="B205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29" s="3" t="str">
        <f>HYPERLINK("https://otsuka-europe-crm.veevavault.com/ui/#object/sent_email__v/VBL000000001044", "SE-001377729")</f>
        <v>SE-001377729</v>
      </c>
      <c r="D20529" s="1">
        <v>46007.733182870368</v>
      </c>
      <c r="E20529" s="2">
        <v>1</v>
      </c>
      <c r="F20529" s="2">
        <v>4</v>
      </c>
      <c r="G20529" s="2">
        <v>0</v>
      </c>
      <c r="H20529" s="1" t="s">
        <v>0</v>
      </c>
      <c r="I20529" s="2">
        <v>0</v>
      </c>
      <c r="J20529" s="1">
        <v>45957.499212962961</v>
      </c>
    </row>
    <row r="20530" spans="1:10" x14ac:dyDescent="0.2">
      <c r="A20530" s="4" t="s">
        <v>1</v>
      </c>
      <c r="B205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30" s="3" t="str">
        <f>HYPERLINK("https://otsuka-europe-crm.veevavault.com/ui/#object/sent_email__v/VBL000000001045", "SE-001377730")</f>
        <v>SE-001377730</v>
      </c>
      <c r="D20530" s="1" t="s">
        <v>0</v>
      </c>
      <c r="E20530" s="2">
        <v>0</v>
      </c>
      <c r="F20530" s="2">
        <v>0</v>
      </c>
      <c r="G20530" s="2">
        <v>0</v>
      </c>
      <c r="H20530" s="1" t="s">
        <v>0</v>
      </c>
      <c r="I20530" s="2">
        <v>0</v>
      </c>
      <c r="J20530" s="1">
        <v>45957.49927083333</v>
      </c>
    </row>
    <row r="20531" spans="1:10" x14ac:dyDescent="0.2">
      <c r="A20531" s="4" t="s">
        <v>1</v>
      </c>
      <c r="B205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31" s="3" t="str">
        <f>HYPERLINK("https://otsuka-europe-crm.veevavault.com/ui/#object/sent_email__v/VBL000000001046", "SE-001377731")</f>
        <v>SE-001377731</v>
      </c>
      <c r="D20531" s="1">
        <v>45957.8046412037</v>
      </c>
      <c r="E20531" s="2">
        <v>1</v>
      </c>
      <c r="F20531" s="2">
        <v>2</v>
      </c>
      <c r="G20531" s="2">
        <v>0</v>
      </c>
      <c r="H20531" s="1" t="s">
        <v>0</v>
      </c>
      <c r="I20531" s="2">
        <v>0</v>
      </c>
      <c r="J20531" s="1">
        <v>45957.499340277776</v>
      </c>
    </row>
    <row r="20532" spans="1:10" x14ac:dyDescent="0.2">
      <c r="A20532" s="4" t="s">
        <v>1</v>
      </c>
      <c r="B205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32" s="3" t="str">
        <f>HYPERLINK("https://otsuka-europe-crm.veevavault.com/ui/#object/sent_email__v/VBL000000001047", "SE-001377732")</f>
        <v>SE-001377732</v>
      </c>
      <c r="D20532" s="1" t="s">
        <v>0</v>
      </c>
      <c r="E20532" s="2">
        <v>0</v>
      </c>
      <c r="F20532" s="2">
        <v>0</v>
      </c>
      <c r="G20532" s="2">
        <v>0</v>
      </c>
      <c r="H20532" s="1" t="s">
        <v>0</v>
      </c>
      <c r="I20532" s="2">
        <v>0</v>
      </c>
      <c r="J20532" s="1">
        <v>45957.499409722222</v>
      </c>
    </row>
    <row r="20533" spans="1:10" x14ac:dyDescent="0.2">
      <c r="A20533" s="4" t="s">
        <v>1</v>
      </c>
      <c r="B205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33" s="3" t="str">
        <f>HYPERLINK("https://otsuka-europe-crm.veevavault.com/ui/#object/sent_email__v/VBL000000001048", "SE-001377733")</f>
        <v>SE-001377733</v>
      </c>
      <c r="D20533" s="1">
        <v>45957.842488425929</v>
      </c>
      <c r="E20533" s="2">
        <v>1</v>
      </c>
      <c r="F20533" s="2">
        <v>2</v>
      </c>
      <c r="G20533" s="2">
        <v>0</v>
      </c>
      <c r="H20533" s="1" t="s">
        <v>0</v>
      </c>
      <c r="I20533" s="2">
        <v>0</v>
      </c>
      <c r="J20533" s="1">
        <v>45957.499479166669</v>
      </c>
    </row>
    <row r="20534" spans="1:10" x14ac:dyDescent="0.2">
      <c r="A20534" s="4" t="s">
        <v>1</v>
      </c>
      <c r="B205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34" s="3" t="str">
        <f>HYPERLINK("https://otsuka-europe-crm.veevavault.com/ui/#object/sent_email__v/VBL000000001049", "SE-001377734")</f>
        <v>SE-001377734</v>
      </c>
      <c r="D20534" s="1" t="s">
        <v>0</v>
      </c>
      <c r="E20534" s="2">
        <v>0</v>
      </c>
      <c r="F20534" s="2">
        <v>0</v>
      </c>
      <c r="G20534" s="2">
        <v>0</v>
      </c>
      <c r="H20534" s="1" t="s">
        <v>0</v>
      </c>
      <c r="I20534" s="2">
        <v>0</v>
      </c>
      <c r="J20534" s="1">
        <v>45957.499560185184</v>
      </c>
    </row>
    <row r="20535" spans="1:10" x14ac:dyDescent="0.2">
      <c r="A20535" s="4" t="s">
        <v>1</v>
      </c>
      <c r="B205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35" s="3" t="str">
        <f>HYPERLINK("https://otsuka-europe-crm.veevavault.com/ui/#object/sent_email__v/VBL000000001050", "SE-001377735")</f>
        <v>SE-001377735</v>
      </c>
      <c r="D20535" s="1">
        <v>45981.197870370372</v>
      </c>
      <c r="E20535" s="2">
        <v>1</v>
      </c>
      <c r="F20535" s="2">
        <v>3</v>
      </c>
      <c r="G20535" s="2">
        <v>0</v>
      </c>
      <c r="H20535" s="1" t="s">
        <v>0</v>
      </c>
      <c r="I20535" s="2">
        <v>0</v>
      </c>
      <c r="J20535" s="1">
        <v>45957.499618055554</v>
      </c>
    </row>
    <row r="20536" spans="1:10" x14ac:dyDescent="0.2">
      <c r="A20536" s="4" t="s">
        <v>1</v>
      </c>
      <c r="B205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36" s="3" t="str">
        <f>HYPERLINK("https://otsuka-europe-crm.veevavault.com/ui/#object/sent_email__v/VBL000000001051", "SE-001377736")</f>
        <v>SE-001377736</v>
      </c>
      <c r="D20536" s="1">
        <v>45957.650289351855</v>
      </c>
      <c r="E20536" s="2">
        <v>1</v>
      </c>
      <c r="F20536" s="2">
        <v>1</v>
      </c>
      <c r="G20536" s="2">
        <v>0</v>
      </c>
      <c r="H20536" s="1" t="s">
        <v>0</v>
      </c>
      <c r="I20536" s="2">
        <v>0</v>
      </c>
      <c r="J20536" s="1">
        <v>45957.4996875</v>
      </c>
    </row>
    <row r="20537" spans="1:10" x14ac:dyDescent="0.2">
      <c r="A20537" s="4" t="s">
        <v>1</v>
      </c>
      <c r="B205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37" s="3" t="str">
        <f>HYPERLINK("https://otsuka-europe-crm.veevavault.com/ui/#object/sent_email__v/VBL000000001052", "SE-001377737")</f>
        <v>SE-001377737</v>
      </c>
      <c r="D20537" s="1">
        <v>45957.504756944443</v>
      </c>
      <c r="E20537" s="2">
        <v>1</v>
      </c>
      <c r="F20537" s="2">
        <v>1</v>
      </c>
      <c r="G20537" s="2">
        <v>0</v>
      </c>
      <c r="H20537" s="1" t="s">
        <v>0</v>
      </c>
      <c r="I20537" s="2">
        <v>0</v>
      </c>
      <c r="J20537" s="1">
        <v>45957.499756944446</v>
      </c>
    </row>
    <row r="20538" spans="1:10" x14ac:dyDescent="0.2">
      <c r="A20538" s="4" t="s">
        <v>1</v>
      </c>
      <c r="B205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38" s="3" t="str">
        <f>HYPERLINK("https://otsuka-europe-crm.veevavault.com/ui/#object/sent_email__v/VBL000000001053", "SE-001377738")</f>
        <v>SE-001377738</v>
      </c>
      <c r="D20538" s="1" t="s">
        <v>0</v>
      </c>
      <c r="E20538" s="2">
        <v>0</v>
      </c>
      <c r="F20538" s="2">
        <v>0</v>
      </c>
      <c r="G20538" s="2">
        <v>0</v>
      </c>
      <c r="H20538" s="1" t="s">
        <v>0</v>
      </c>
      <c r="I20538" s="2">
        <v>0</v>
      </c>
      <c r="J20538" s="1">
        <v>45957.499826388892</v>
      </c>
    </row>
    <row r="20539" spans="1:10" x14ac:dyDescent="0.2">
      <c r="A20539" s="4" t="s">
        <v>1</v>
      </c>
      <c r="B205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39" s="3" t="str">
        <f>HYPERLINK("https://otsuka-europe-crm.veevavault.com/ui/#object/sent_email__v/VBL000000001054", "SE-001377739")</f>
        <v>SE-001377739</v>
      </c>
      <c r="D20539" s="1">
        <v>45981.613206018519</v>
      </c>
      <c r="E20539" s="2">
        <v>1</v>
      </c>
      <c r="F20539" s="2">
        <v>3</v>
      </c>
      <c r="G20539" s="2">
        <v>0</v>
      </c>
      <c r="H20539" s="1" t="s">
        <v>0</v>
      </c>
      <c r="I20539" s="2">
        <v>0</v>
      </c>
      <c r="J20539" s="1">
        <v>45957.499895833331</v>
      </c>
    </row>
    <row r="20540" spans="1:10" x14ac:dyDescent="0.2">
      <c r="A20540" s="4" t="s">
        <v>1</v>
      </c>
      <c r="B205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40" s="3" t="str">
        <f>HYPERLINK("https://otsuka-europe-crm.veevavault.com/ui/#object/sent_email__v/VBL000000001055", "SE-001377740")</f>
        <v>SE-001377740</v>
      </c>
      <c r="D20540" s="1">
        <v>45957.506435185183</v>
      </c>
      <c r="E20540" s="2">
        <v>1</v>
      </c>
      <c r="F20540" s="2">
        <v>1</v>
      </c>
      <c r="G20540" s="2">
        <v>0</v>
      </c>
      <c r="H20540" s="1" t="s">
        <v>0</v>
      </c>
      <c r="I20540" s="2">
        <v>0</v>
      </c>
      <c r="J20540" s="1">
        <v>45957.499976851854</v>
      </c>
    </row>
    <row r="20541" spans="1:10" x14ac:dyDescent="0.2">
      <c r="A20541" s="4" t="s">
        <v>1</v>
      </c>
      <c r="B205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41" s="3" t="str">
        <f>HYPERLINK("https://otsuka-europe-crm.veevavault.com/ui/#object/sent_email__v/VBL000000001056", "SE-001377741")</f>
        <v>SE-001377741</v>
      </c>
      <c r="D20541" s="1">
        <v>45987.791064814817</v>
      </c>
      <c r="E20541" s="2">
        <v>1</v>
      </c>
      <c r="F20541" s="2">
        <v>6</v>
      </c>
      <c r="G20541" s="2">
        <v>0</v>
      </c>
      <c r="H20541" s="1" t="s">
        <v>0</v>
      </c>
      <c r="I20541" s="2">
        <v>0</v>
      </c>
      <c r="J20541" s="1">
        <v>45957.500034722223</v>
      </c>
    </row>
    <row r="20542" spans="1:10" x14ac:dyDescent="0.2">
      <c r="A20542" s="4" t="s">
        <v>1</v>
      </c>
      <c r="B205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42" s="3" t="str">
        <f>HYPERLINK("https://otsuka-europe-crm.veevavault.com/ui/#object/sent_email__v/VBL000000001057", "SE-001377742")</f>
        <v>SE-001377742</v>
      </c>
      <c r="D20542" s="1" t="s">
        <v>0</v>
      </c>
      <c r="E20542" s="2">
        <v>0</v>
      </c>
      <c r="F20542" s="2">
        <v>0</v>
      </c>
      <c r="G20542" s="2">
        <v>0</v>
      </c>
      <c r="H20542" s="1" t="s">
        <v>0</v>
      </c>
      <c r="I20542" s="2">
        <v>0</v>
      </c>
      <c r="J20542" s="1">
        <v>45957.500092592592</v>
      </c>
    </row>
    <row r="20543" spans="1:10" x14ac:dyDescent="0.2">
      <c r="A20543" s="4" t="s">
        <v>1</v>
      </c>
      <c r="B205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43" s="3" t="str">
        <f>HYPERLINK("https://otsuka-europe-crm.veevavault.com/ui/#object/sent_email__v/VBL000000001058", "SE-001377743")</f>
        <v>SE-001377743</v>
      </c>
      <c r="D20543" s="1" t="s">
        <v>0</v>
      </c>
      <c r="E20543" s="2">
        <v>0</v>
      </c>
      <c r="F20543" s="2">
        <v>0</v>
      </c>
      <c r="G20543" s="2">
        <v>0</v>
      </c>
      <c r="H20543" s="1" t="s">
        <v>0</v>
      </c>
      <c r="I20543" s="2">
        <v>0</v>
      </c>
      <c r="J20543" s="1">
        <v>45957.500115740739</v>
      </c>
    </row>
    <row r="20544" spans="1:10" x14ac:dyDescent="0.2">
      <c r="A20544" s="4" t="s">
        <v>1</v>
      </c>
      <c r="B205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44" s="3" t="str">
        <f>HYPERLINK("https://otsuka-europe-crm.veevavault.com/ui/#object/sent_email__v/VBL000000001059", "SE-001377744")</f>
        <v>SE-001377744</v>
      </c>
      <c r="D20544" s="1" t="s">
        <v>0</v>
      </c>
      <c r="E20544" s="2">
        <v>0</v>
      </c>
      <c r="F20544" s="2">
        <v>0</v>
      </c>
      <c r="G20544" s="2">
        <v>0</v>
      </c>
      <c r="H20544" s="1" t="s">
        <v>0</v>
      </c>
      <c r="I20544" s="2">
        <v>0</v>
      </c>
      <c r="J20544" s="1">
        <v>45957.500185185185</v>
      </c>
    </row>
    <row r="20545" spans="1:10" x14ac:dyDescent="0.2">
      <c r="A20545" s="4" t="s">
        <v>1</v>
      </c>
      <c r="B205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45" s="3" t="str">
        <f>HYPERLINK("https://otsuka-europe-crm.veevavault.com/ui/#object/sent_email__v/VBL000000001060", "SE-001377745")</f>
        <v>SE-001377745</v>
      </c>
      <c r="D20545" s="1">
        <v>45959.240416666667</v>
      </c>
      <c r="E20545" s="2">
        <v>1</v>
      </c>
      <c r="F20545" s="2">
        <v>4</v>
      </c>
      <c r="G20545" s="2">
        <v>0</v>
      </c>
      <c r="H20545" s="1" t="s">
        <v>0</v>
      </c>
      <c r="I20545" s="2">
        <v>0</v>
      </c>
      <c r="J20545" s="1">
        <v>45957.500231481485</v>
      </c>
    </row>
    <row r="20546" spans="1:10" x14ac:dyDescent="0.2">
      <c r="A20546" s="4" t="s">
        <v>1</v>
      </c>
      <c r="B205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46" s="3" t="str">
        <f>HYPERLINK("https://otsuka-europe-crm.veevavault.com/ui/#object/sent_email__v/VBL000000001061", "SE-001377746")</f>
        <v>SE-001377746</v>
      </c>
      <c r="D20546" s="1" t="s">
        <v>0</v>
      </c>
      <c r="E20546" s="2">
        <v>0</v>
      </c>
      <c r="F20546" s="2">
        <v>0</v>
      </c>
      <c r="G20546" s="2">
        <v>0</v>
      </c>
      <c r="H20546" s="1" t="s">
        <v>0</v>
      </c>
      <c r="I20546" s="2">
        <v>0</v>
      </c>
      <c r="J20546" s="1">
        <v>45957.500300925924</v>
      </c>
    </row>
    <row r="20547" spans="1:10" x14ac:dyDescent="0.2">
      <c r="A20547" s="4" t="s">
        <v>1</v>
      </c>
      <c r="B205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47" s="3" t="str">
        <f>HYPERLINK("https://otsuka-europe-crm.veevavault.com/ui/#object/sent_email__v/VBL000000001062", "SE-001377747")</f>
        <v>SE-001377747</v>
      </c>
      <c r="D20547" s="1">
        <v>46015.502928240741</v>
      </c>
      <c r="E20547" s="2">
        <v>1</v>
      </c>
      <c r="F20547" s="2">
        <v>3</v>
      </c>
      <c r="G20547" s="2">
        <v>0</v>
      </c>
      <c r="H20547" s="1" t="s">
        <v>0</v>
      </c>
      <c r="I20547" s="2">
        <v>0</v>
      </c>
      <c r="J20547" s="1">
        <v>45957.500381944446</v>
      </c>
    </row>
    <row r="20548" spans="1:10" x14ac:dyDescent="0.2">
      <c r="A20548" s="4" t="s">
        <v>1</v>
      </c>
      <c r="B205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48" s="3" t="str">
        <f>HYPERLINK("https://otsuka-europe-crm.veevavault.com/ui/#object/sent_email__v/VBL000000001063", "SE-001377748")</f>
        <v>SE-001377748</v>
      </c>
      <c r="D20548" s="1" t="s">
        <v>0</v>
      </c>
      <c r="E20548" s="2">
        <v>0</v>
      </c>
      <c r="F20548" s="2">
        <v>0</v>
      </c>
      <c r="G20548" s="2">
        <v>0</v>
      </c>
      <c r="H20548" s="1" t="s">
        <v>0</v>
      </c>
      <c r="I20548" s="2">
        <v>0</v>
      </c>
      <c r="J20548" s="1">
        <v>45957.500451388885</v>
      </c>
    </row>
    <row r="20549" spans="1:10" x14ac:dyDescent="0.2">
      <c r="A20549" s="4" t="s">
        <v>1</v>
      </c>
      <c r="B205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49" s="3" t="str">
        <f>HYPERLINK("https://otsuka-europe-crm.veevavault.com/ui/#object/sent_email__v/VBL000000001064", "SE-001377749")</f>
        <v>SE-001377749</v>
      </c>
      <c r="D20549" s="1" t="s">
        <v>0</v>
      </c>
      <c r="E20549" s="2">
        <v>0</v>
      </c>
      <c r="F20549" s="2">
        <v>0</v>
      </c>
      <c r="G20549" s="2">
        <v>0</v>
      </c>
      <c r="H20549" s="1" t="s">
        <v>0</v>
      </c>
      <c r="I20549" s="2">
        <v>0</v>
      </c>
      <c r="J20549" s="1">
        <v>45957.500520833331</v>
      </c>
    </row>
    <row r="20550" spans="1:10" x14ac:dyDescent="0.2">
      <c r="A20550" s="4" t="s">
        <v>1</v>
      </c>
      <c r="B205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50" s="3" t="str">
        <f>HYPERLINK("https://otsuka-europe-crm.veevavault.com/ui/#object/sent_email__v/VBL000000001065", "SE-001377750")</f>
        <v>SE-001377750</v>
      </c>
      <c r="D20550" s="1" t="s">
        <v>0</v>
      </c>
      <c r="E20550" s="2">
        <v>0</v>
      </c>
      <c r="F20550" s="2">
        <v>0</v>
      </c>
      <c r="G20550" s="2">
        <v>0</v>
      </c>
      <c r="H20550" s="1" t="s">
        <v>0</v>
      </c>
      <c r="I20550" s="2">
        <v>0</v>
      </c>
      <c r="J20550" s="1">
        <v>45957.500590277778</v>
      </c>
    </row>
    <row r="20551" spans="1:10" x14ac:dyDescent="0.2">
      <c r="A20551" s="4" t="s">
        <v>1</v>
      </c>
      <c r="B205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51" s="3" t="str">
        <f>HYPERLINK("https://otsuka-europe-crm.veevavault.com/ui/#object/sent_email__v/VBL000000001066", "SE-001377751")</f>
        <v>SE-001377751</v>
      </c>
      <c r="D20551" s="1">
        <v>45959.721284722225</v>
      </c>
      <c r="E20551" s="2">
        <v>1</v>
      </c>
      <c r="F20551" s="2">
        <v>3</v>
      </c>
      <c r="G20551" s="2">
        <v>0</v>
      </c>
      <c r="H20551" s="1" t="s">
        <v>0</v>
      </c>
      <c r="I20551" s="2">
        <v>0</v>
      </c>
      <c r="J20551" s="1">
        <v>45957.500659722224</v>
      </c>
    </row>
    <row r="20552" spans="1:10" x14ac:dyDescent="0.2">
      <c r="A20552" s="4" t="s">
        <v>1</v>
      </c>
      <c r="B205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52" s="3" t="str">
        <f>HYPERLINK("https://otsuka-europe-crm.veevavault.com/ui/#object/sent_email__v/VBL000000001067", "SE-001377752")</f>
        <v>SE-001377752</v>
      </c>
      <c r="D20552" s="1">
        <v>45960.861944444441</v>
      </c>
      <c r="E20552" s="2">
        <v>1</v>
      </c>
      <c r="F20552" s="2">
        <v>2</v>
      </c>
      <c r="G20552" s="2">
        <v>0</v>
      </c>
      <c r="H20552" s="1" t="s">
        <v>0</v>
      </c>
      <c r="I20552" s="2">
        <v>0</v>
      </c>
      <c r="J20552" s="1">
        <v>45957.500740740739</v>
      </c>
    </row>
    <row r="20553" spans="1:10" x14ac:dyDescent="0.2">
      <c r="A20553" s="4" t="s">
        <v>1</v>
      </c>
      <c r="B205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53" s="3" t="str">
        <f>HYPERLINK("https://otsuka-europe-crm.veevavault.com/ui/#object/sent_email__v/VBL000000001068", "SE-001377753")</f>
        <v>SE-001377753</v>
      </c>
      <c r="D20553" s="1">
        <v>45986.58153935185</v>
      </c>
      <c r="E20553" s="2">
        <v>1</v>
      </c>
      <c r="F20553" s="2">
        <v>6</v>
      </c>
      <c r="G20553" s="2">
        <v>0</v>
      </c>
      <c r="H20553" s="1" t="s">
        <v>0</v>
      </c>
      <c r="I20553" s="2">
        <v>0</v>
      </c>
      <c r="J20553" s="1">
        <v>45957.500810185185</v>
      </c>
    </row>
    <row r="20554" spans="1:10" x14ac:dyDescent="0.2">
      <c r="A20554" s="4" t="s">
        <v>1</v>
      </c>
      <c r="B205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54" s="3" t="str">
        <f>HYPERLINK("https://otsuka-europe-crm.veevavault.com/ui/#object/sent_email__v/VBL000000001069", "SE-001377754")</f>
        <v>SE-001377754</v>
      </c>
      <c r="D20554" s="1">
        <v>45989.517187500001</v>
      </c>
      <c r="E20554" s="2">
        <v>1</v>
      </c>
      <c r="F20554" s="2">
        <v>5</v>
      </c>
      <c r="G20554" s="2">
        <v>0</v>
      </c>
      <c r="H20554" s="1" t="s">
        <v>0</v>
      </c>
      <c r="I20554" s="2">
        <v>0</v>
      </c>
      <c r="J20554" s="1">
        <v>45957.500868055555</v>
      </c>
    </row>
    <row r="20555" spans="1:10" x14ac:dyDescent="0.2">
      <c r="A20555" s="4" t="s">
        <v>1</v>
      </c>
      <c r="B205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55" s="3" t="str">
        <f>HYPERLINK("https://otsuka-europe-crm.veevavault.com/ui/#object/sent_email__v/VBL000000001070", "SE-001377755")</f>
        <v>SE-001377755</v>
      </c>
      <c r="D20555" s="1">
        <v>45957.649895833332</v>
      </c>
      <c r="E20555" s="2">
        <v>1</v>
      </c>
      <c r="F20555" s="2">
        <v>1</v>
      </c>
      <c r="G20555" s="2">
        <v>0</v>
      </c>
      <c r="H20555" s="1" t="s">
        <v>0</v>
      </c>
      <c r="I20555" s="2">
        <v>0</v>
      </c>
      <c r="J20555" s="1">
        <v>45957.500937500001</v>
      </c>
    </row>
    <row r="20556" spans="1:10" x14ac:dyDescent="0.2">
      <c r="A20556" s="4" t="s">
        <v>1</v>
      </c>
      <c r="B205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56" s="3" t="str">
        <f>HYPERLINK("https://otsuka-europe-crm.veevavault.com/ui/#object/sent_email__v/VBL000000001071", "SE-001377756")</f>
        <v>SE-001377756</v>
      </c>
      <c r="D20556" s="1" t="s">
        <v>0</v>
      </c>
      <c r="E20556" s="2">
        <v>0</v>
      </c>
      <c r="F20556" s="2">
        <v>0</v>
      </c>
      <c r="G20556" s="2">
        <v>0</v>
      </c>
      <c r="H20556" s="1" t="s">
        <v>0</v>
      </c>
      <c r="I20556" s="2">
        <v>0</v>
      </c>
      <c r="J20556" s="1">
        <v>45957.501006944447</v>
      </c>
    </row>
    <row r="20557" spans="1:10" x14ac:dyDescent="0.2">
      <c r="A20557" s="4" t="s">
        <v>1</v>
      </c>
      <c r="B205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57" s="3" t="str">
        <f>HYPERLINK("https://otsuka-europe-crm.veevavault.com/ui/#object/sent_email__v/VBL000000001072", "SE-001377757")</f>
        <v>SE-001377757</v>
      </c>
      <c r="D20557" s="1" t="s">
        <v>0</v>
      </c>
      <c r="E20557" s="2">
        <v>0</v>
      </c>
      <c r="F20557" s="2">
        <v>0</v>
      </c>
      <c r="G20557" s="2">
        <v>0</v>
      </c>
      <c r="H20557" s="1" t="s">
        <v>0</v>
      </c>
      <c r="I20557" s="2">
        <v>0</v>
      </c>
      <c r="J20557" s="1">
        <v>45957.501076388886</v>
      </c>
    </row>
    <row r="20558" spans="1:10" x14ac:dyDescent="0.2">
      <c r="A20558" s="4" t="s">
        <v>1</v>
      </c>
      <c r="B205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58" s="3" t="str">
        <f>HYPERLINK("https://otsuka-europe-crm.veevavault.com/ui/#object/sent_email__v/VBL000000001073", "SE-001377758")</f>
        <v>SE-001377758</v>
      </c>
      <c r="D20558" s="1">
        <v>45957.54314814815</v>
      </c>
      <c r="E20558" s="2">
        <v>1</v>
      </c>
      <c r="F20558" s="2">
        <v>2</v>
      </c>
      <c r="G20558" s="2">
        <v>0</v>
      </c>
      <c r="H20558" s="1" t="s">
        <v>0</v>
      </c>
      <c r="I20558" s="2">
        <v>0</v>
      </c>
      <c r="J20558" s="1">
        <v>45957.501157407409</v>
      </c>
    </row>
    <row r="20559" spans="1:10" x14ac:dyDescent="0.2">
      <c r="A20559" s="4" t="s">
        <v>1</v>
      </c>
      <c r="B205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59" s="3" t="str">
        <f>HYPERLINK("https://otsuka-europe-crm.veevavault.com/ui/#object/sent_email__v/VBL000000001074", "SE-001377759")</f>
        <v>SE-001377759</v>
      </c>
      <c r="D20559" s="1">
        <v>45960.849652777775</v>
      </c>
      <c r="E20559" s="2">
        <v>1</v>
      </c>
      <c r="F20559" s="2">
        <v>1</v>
      </c>
      <c r="G20559" s="2">
        <v>0</v>
      </c>
      <c r="H20559" s="1" t="s">
        <v>0</v>
      </c>
      <c r="I20559" s="2">
        <v>0</v>
      </c>
      <c r="J20559" s="1">
        <v>45957.501226851855</v>
      </c>
    </row>
    <row r="20560" spans="1:10" x14ac:dyDescent="0.2">
      <c r="A20560" s="4" t="s">
        <v>1</v>
      </c>
      <c r="B205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60" s="3" t="str">
        <f>HYPERLINK("https://otsuka-europe-crm.veevavault.com/ui/#object/sent_email__v/VBL000000001075", "SE-001377760")</f>
        <v>SE-001377760</v>
      </c>
      <c r="D20560" s="1">
        <v>45957.943692129629</v>
      </c>
      <c r="E20560" s="2">
        <v>1</v>
      </c>
      <c r="F20560" s="2">
        <v>1</v>
      </c>
      <c r="G20560" s="2">
        <v>0</v>
      </c>
      <c r="H20560" s="1" t="s">
        <v>0</v>
      </c>
      <c r="I20560" s="2">
        <v>0</v>
      </c>
      <c r="J20560" s="1">
        <v>45957.501296296294</v>
      </c>
    </row>
    <row r="20561" spans="1:10" x14ac:dyDescent="0.2">
      <c r="A20561" s="4" t="s">
        <v>1</v>
      </c>
      <c r="B205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61" s="3" t="str">
        <f>HYPERLINK("https://otsuka-europe-crm.veevavault.com/ui/#object/sent_email__v/VBL000000001076", "SE-001377761")</f>
        <v>SE-001377761</v>
      </c>
      <c r="D20561" s="1">
        <v>45963.457002314812</v>
      </c>
      <c r="E20561" s="2">
        <v>1</v>
      </c>
      <c r="F20561" s="2">
        <v>4</v>
      </c>
      <c r="G20561" s="2">
        <v>0</v>
      </c>
      <c r="H20561" s="1" t="s">
        <v>0</v>
      </c>
      <c r="I20561" s="2">
        <v>0</v>
      </c>
      <c r="J20561" s="1">
        <v>45957.50136574074</v>
      </c>
    </row>
    <row r="20562" spans="1:10" x14ac:dyDescent="0.2">
      <c r="A20562" s="4" t="s">
        <v>1</v>
      </c>
      <c r="B205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62" s="3" t="str">
        <f>HYPERLINK("https://otsuka-europe-crm.veevavault.com/ui/#object/sent_email__v/VBL000000001077", "SE-001377762")</f>
        <v>SE-001377762</v>
      </c>
      <c r="D20562" s="1" t="s">
        <v>0</v>
      </c>
      <c r="E20562" s="2">
        <v>0</v>
      </c>
      <c r="F20562" s="2">
        <v>0</v>
      </c>
      <c r="G20562" s="2">
        <v>0</v>
      </c>
      <c r="H20562" s="1" t="s">
        <v>0</v>
      </c>
      <c r="I20562" s="2">
        <v>0</v>
      </c>
      <c r="J20562" s="1">
        <v>45957.501446759263</v>
      </c>
    </row>
    <row r="20563" spans="1:10" x14ac:dyDescent="0.2">
      <c r="A20563" s="4" t="s">
        <v>1</v>
      </c>
      <c r="B205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63" s="3" t="str">
        <f>HYPERLINK("https://otsuka-europe-crm.veevavault.com/ui/#object/sent_email__v/VBL000000001078", "SE-001377763")</f>
        <v>SE-001377763</v>
      </c>
      <c r="D20563" s="1">
        <v>45957.519976851851</v>
      </c>
      <c r="E20563" s="2">
        <v>1</v>
      </c>
      <c r="F20563" s="2">
        <v>1</v>
      </c>
      <c r="G20563" s="2">
        <v>1</v>
      </c>
      <c r="H20563" s="1">
        <v>45958.486018518517</v>
      </c>
      <c r="I20563" s="2">
        <v>1</v>
      </c>
      <c r="J20563" s="1">
        <v>45957.501539351855</v>
      </c>
    </row>
    <row r="20564" spans="1:10" x14ac:dyDescent="0.2">
      <c r="A20564" s="4" t="s">
        <v>1</v>
      </c>
      <c r="B205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64" s="3" t="str">
        <f>HYPERLINK("https://otsuka-europe-crm.veevavault.com/ui/#object/sent_email__v/VBL000000001079", "SE-001377764")</f>
        <v>SE-001377764</v>
      </c>
      <c r="D20564" s="1">
        <v>45957.539629629631</v>
      </c>
      <c r="E20564" s="2">
        <v>1</v>
      </c>
      <c r="F20564" s="2">
        <v>2</v>
      </c>
      <c r="G20564" s="2">
        <v>0</v>
      </c>
      <c r="H20564" s="1" t="s">
        <v>0</v>
      </c>
      <c r="I20564" s="2">
        <v>0</v>
      </c>
      <c r="J20564" s="1">
        <v>45957.501597222225</v>
      </c>
    </row>
    <row r="20565" spans="1:10" x14ac:dyDescent="0.2">
      <c r="A20565" s="4" t="s">
        <v>1</v>
      </c>
      <c r="B205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65" s="3" t="str">
        <f>HYPERLINK("https://otsuka-europe-crm.veevavault.com/ui/#object/sent_email__v/VBL000000001080", "SE-001377765")</f>
        <v>SE-001377765</v>
      </c>
      <c r="D20565" s="1">
        <v>45980.39439814815</v>
      </c>
      <c r="E20565" s="2">
        <v>1</v>
      </c>
      <c r="F20565" s="2">
        <v>2</v>
      </c>
      <c r="G20565" s="2">
        <v>0</v>
      </c>
      <c r="H20565" s="1" t="s">
        <v>0</v>
      </c>
      <c r="I20565" s="2">
        <v>0</v>
      </c>
      <c r="J20565" s="1">
        <v>45957.501655092594</v>
      </c>
    </row>
    <row r="20566" spans="1:10" x14ac:dyDescent="0.2">
      <c r="A20566" s="4" t="s">
        <v>1</v>
      </c>
      <c r="B205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66" s="3" t="str">
        <f>HYPERLINK("https://otsuka-europe-crm.veevavault.com/ui/#object/sent_email__v/VBL000000001081", "SE-001377766")</f>
        <v>SE-001377766</v>
      </c>
      <c r="D20566" s="1">
        <v>46012.265289351853</v>
      </c>
      <c r="E20566" s="2">
        <v>1</v>
      </c>
      <c r="F20566" s="2">
        <v>2</v>
      </c>
      <c r="G20566" s="2">
        <v>0</v>
      </c>
      <c r="H20566" s="1" t="s">
        <v>0</v>
      </c>
      <c r="I20566" s="2">
        <v>0</v>
      </c>
      <c r="J20566" s="1">
        <v>45957.50172453704</v>
      </c>
    </row>
    <row r="20567" spans="1:10" x14ac:dyDescent="0.2">
      <c r="A20567" s="4" t="s">
        <v>1</v>
      </c>
      <c r="B205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67" s="3" t="str">
        <f>HYPERLINK("https://otsuka-europe-crm.veevavault.com/ui/#object/sent_email__v/VBL000000001082", "SE-001377767")</f>
        <v>SE-001377767</v>
      </c>
      <c r="D20567" s="1" t="s">
        <v>0</v>
      </c>
      <c r="E20567" s="2">
        <v>0</v>
      </c>
      <c r="F20567" s="2">
        <v>0</v>
      </c>
      <c r="G20567" s="2">
        <v>0</v>
      </c>
      <c r="H20567" s="1" t="s">
        <v>0</v>
      </c>
      <c r="I20567" s="2">
        <v>0</v>
      </c>
      <c r="J20567" s="1">
        <v>45957.501793981479</v>
      </c>
    </row>
    <row r="20568" spans="1:10" x14ac:dyDescent="0.2">
      <c r="A20568" s="4" t="s">
        <v>1</v>
      </c>
      <c r="B205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68" s="3" t="str">
        <f>HYPERLINK("https://otsuka-europe-crm.veevavault.com/ui/#object/sent_email__v/VBL000000001083", "SE-001377768")</f>
        <v>SE-001377768</v>
      </c>
      <c r="D20568" s="1" t="s">
        <v>0</v>
      </c>
      <c r="E20568" s="2">
        <v>0</v>
      </c>
      <c r="F20568" s="2">
        <v>0</v>
      </c>
      <c r="G20568" s="2">
        <v>0</v>
      </c>
      <c r="H20568" s="1" t="s">
        <v>0</v>
      </c>
      <c r="I20568" s="2">
        <v>0</v>
      </c>
      <c r="J20568" s="1">
        <v>45957.501875000002</v>
      </c>
    </row>
    <row r="20569" spans="1:10" x14ac:dyDescent="0.2">
      <c r="A20569" s="4" t="s">
        <v>1</v>
      </c>
      <c r="B205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69" s="3" t="str">
        <f>HYPERLINK("https://otsuka-europe-crm.veevavault.com/ui/#object/sent_email__v/VBL000000001084", "SE-001377769")</f>
        <v>SE-001377769</v>
      </c>
      <c r="D20569" s="1" t="s">
        <v>0</v>
      </c>
      <c r="E20569" s="2">
        <v>0</v>
      </c>
      <c r="F20569" s="2">
        <v>0</v>
      </c>
      <c r="G20569" s="2">
        <v>0</v>
      </c>
      <c r="H20569" s="1" t="s">
        <v>0</v>
      </c>
      <c r="I20569" s="2">
        <v>0</v>
      </c>
      <c r="J20569" s="1">
        <v>45957.501944444448</v>
      </c>
    </row>
    <row r="20570" spans="1:10" x14ac:dyDescent="0.2">
      <c r="A20570" s="4" t="s">
        <v>1</v>
      </c>
      <c r="B205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70" s="3" t="str">
        <f>HYPERLINK("https://otsuka-europe-crm.veevavault.com/ui/#object/sent_email__v/VBL000000001085", "SE-001377770")</f>
        <v>SE-001377770</v>
      </c>
      <c r="D20570" s="1">
        <v>45957.593622685185</v>
      </c>
      <c r="E20570" s="2">
        <v>1</v>
      </c>
      <c r="F20570" s="2">
        <v>1</v>
      </c>
      <c r="G20570" s="2">
        <v>0</v>
      </c>
      <c r="H20570" s="1" t="s">
        <v>0</v>
      </c>
      <c r="I20570" s="2">
        <v>0</v>
      </c>
      <c r="J20570" s="1">
        <v>45957.502013888887</v>
      </c>
    </row>
    <row r="20571" spans="1:10" x14ac:dyDescent="0.2">
      <c r="A20571" s="4" t="s">
        <v>1</v>
      </c>
      <c r="B205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71" s="3" t="str">
        <f>HYPERLINK("https://otsuka-europe-crm.veevavault.com/ui/#object/sent_email__v/VBL000000001086", "SE-001377771")</f>
        <v>SE-001377771</v>
      </c>
      <c r="D20571" s="1" t="s">
        <v>0</v>
      </c>
      <c r="E20571" s="2">
        <v>0</v>
      </c>
      <c r="F20571" s="2">
        <v>0</v>
      </c>
      <c r="G20571" s="2">
        <v>0</v>
      </c>
      <c r="H20571" s="1" t="s">
        <v>0</v>
      </c>
      <c r="I20571" s="2">
        <v>0</v>
      </c>
      <c r="J20571" s="1">
        <v>45957.502106481479</v>
      </c>
    </row>
    <row r="20572" spans="1:10" x14ac:dyDescent="0.2">
      <c r="A20572" s="4" t="s">
        <v>1</v>
      </c>
      <c r="B205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72" s="3" t="str">
        <f>HYPERLINK("https://otsuka-europe-crm.veevavault.com/ui/#object/sent_email__v/VBL000000001087", "SE-001377772")</f>
        <v>SE-001377772</v>
      </c>
      <c r="D20572" s="1">
        <v>45959.240925925929</v>
      </c>
      <c r="E20572" s="2">
        <v>1</v>
      </c>
      <c r="F20572" s="2">
        <v>5</v>
      </c>
      <c r="G20572" s="2">
        <v>0</v>
      </c>
      <c r="H20572" s="1" t="s">
        <v>0</v>
      </c>
      <c r="I20572" s="2">
        <v>0</v>
      </c>
      <c r="J20572" s="1">
        <v>45957.502187500002</v>
      </c>
    </row>
    <row r="20573" spans="1:10" x14ac:dyDescent="0.2">
      <c r="A20573" s="4" t="s">
        <v>1</v>
      </c>
      <c r="B205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73" s="3" t="str">
        <f>HYPERLINK("https://otsuka-europe-crm.veevavault.com/ui/#object/sent_email__v/VBL000000001088", "SE-001377773")</f>
        <v>SE-001377773</v>
      </c>
      <c r="D20573" s="1">
        <v>45973.739155092589</v>
      </c>
      <c r="E20573" s="2">
        <v>1</v>
      </c>
      <c r="F20573" s="2">
        <v>3</v>
      </c>
      <c r="G20573" s="2">
        <v>0</v>
      </c>
      <c r="H20573" s="1" t="s">
        <v>0</v>
      </c>
      <c r="I20573" s="2">
        <v>0</v>
      </c>
      <c r="J20573" s="1">
        <v>45957.502256944441</v>
      </c>
    </row>
    <row r="20574" spans="1:10" x14ac:dyDescent="0.2">
      <c r="A20574" s="4" t="s">
        <v>1</v>
      </c>
      <c r="B205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74" s="3" t="str">
        <f>HYPERLINK("https://otsuka-europe-crm.veevavault.com/ui/#object/sent_email__v/VBL000000001089", "SE-001377774")</f>
        <v>SE-001377774</v>
      </c>
      <c r="D20574" s="1">
        <v>45960.531377314815</v>
      </c>
      <c r="E20574" s="2">
        <v>1</v>
      </c>
      <c r="F20574" s="2">
        <v>5</v>
      </c>
      <c r="G20574" s="2">
        <v>0</v>
      </c>
      <c r="H20574" s="1" t="s">
        <v>0</v>
      </c>
      <c r="I20574" s="2">
        <v>0</v>
      </c>
      <c r="J20574" s="1">
        <v>45957.502337962964</v>
      </c>
    </row>
    <row r="20575" spans="1:10" x14ac:dyDescent="0.2">
      <c r="A20575" s="4" t="s">
        <v>1</v>
      </c>
      <c r="B205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75" s="3" t="str">
        <f>HYPERLINK("https://otsuka-europe-crm.veevavault.com/ui/#object/sent_email__v/VBL000000001090", "SE-001377775")</f>
        <v>SE-001377775</v>
      </c>
      <c r="D20575" s="1">
        <v>45957.505428240744</v>
      </c>
      <c r="E20575" s="2">
        <v>1</v>
      </c>
      <c r="F20575" s="2">
        <v>1</v>
      </c>
      <c r="G20575" s="2">
        <v>0</v>
      </c>
      <c r="H20575" s="1" t="s">
        <v>0</v>
      </c>
      <c r="I20575" s="2">
        <v>0</v>
      </c>
      <c r="J20575" s="1">
        <v>45957.502418981479</v>
      </c>
    </row>
    <row r="20576" spans="1:10" x14ac:dyDescent="0.2">
      <c r="A20576" s="4" t="s">
        <v>1</v>
      </c>
      <c r="B205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76" s="3" t="str">
        <f>HYPERLINK("https://otsuka-europe-crm.veevavault.com/ui/#object/sent_email__v/VBL000000001091", "SE-001377776")</f>
        <v>SE-001377776</v>
      </c>
      <c r="D20576" s="1">
        <v>45958.262800925928</v>
      </c>
      <c r="E20576" s="2">
        <v>1</v>
      </c>
      <c r="F20576" s="2">
        <v>1</v>
      </c>
      <c r="G20576" s="2">
        <v>1</v>
      </c>
      <c r="H20576" s="1">
        <v>45958.263472222221</v>
      </c>
      <c r="I20576" s="2">
        <v>1</v>
      </c>
      <c r="J20576" s="1">
        <v>45957.502476851849</v>
      </c>
    </row>
    <row r="20577" spans="1:10" x14ac:dyDescent="0.2">
      <c r="A20577" s="4" t="s">
        <v>1</v>
      </c>
      <c r="B205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77" s="3" t="str">
        <f>HYPERLINK("https://otsuka-europe-crm.veevavault.com/ui/#object/sent_email__v/VBL000000001092", "SE-001377777")</f>
        <v>SE-001377777</v>
      </c>
      <c r="D20577" s="1" t="s">
        <v>0</v>
      </c>
      <c r="E20577" s="2">
        <v>0</v>
      </c>
      <c r="F20577" s="2">
        <v>0</v>
      </c>
      <c r="G20577" s="2">
        <v>0</v>
      </c>
      <c r="H20577" s="1" t="s">
        <v>0</v>
      </c>
      <c r="I20577" s="2">
        <v>0</v>
      </c>
      <c r="J20577" s="1">
        <v>45957.502546296295</v>
      </c>
    </row>
    <row r="20578" spans="1:10" x14ac:dyDescent="0.2">
      <c r="A20578" s="4" t="s">
        <v>1</v>
      </c>
      <c r="B205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78" s="3" t="str">
        <f>HYPERLINK("https://otsuka-europe-crm.veevavault.com/ui/#object/sent_email__v/VBL000000001093", "SE-001377778")</f>
        <v>SE-001377778</v>
      </c>
      <c r="D20578" s="1">
        <v>45957.507835648146</v>
      </c>
      <c r="E20578" s="2">
        <v>1</v>
      </c>
      <c r="F20578" s="2">
        <v>1</v>
      </c>
      <c r="G20578" s="2">
        <v>0</v>
      </c>
      <c r="H20578" s="1" t="s">
        <v>0</v>
      </c>
      <c r="I20578" s="2">
        <v>0</v>
      </c>
      <c r="J20578" s="1">
        <v>45957.502615740741</v>
      </c>
    </row>
    <row r="20579" spans="1:10" x14ac:dyDescent="0.2">
      <c r="A20579" s="4" t="s">
        <v>1</v>
      </c>
      <c r="B205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79" s="3" t="str">
        <f>HYPERLINK("https://otsuka-europe-crm.veevavault.com/ui/#object/sent_email__v/VBL000000001094", "SE-001377779")</f>
        <v>SE-001377779</v>
      </c>
      <c r="D20579" s="1" t="s">
        <v>0</v>
      </c>
      <c r="E20579" s="2">
        <v>0</v>
      </c>
      <c r="F20579" s="2">
        <v>0</v>
      </c>
      <c r="G20579" s="2">
        <v>0</v>
      </c>
      <c r="H20579" s="1" t="s">
        <v>0</v>
      </c>
      <c r="I20579" s="2">
        <v>0</v>
      </c>
      <c r="J20579" s="1">
        <v>45957.502685185187</v>
      </c>
    </row>
    <row r="20580" spans="1:10" x14ac:dyDescent="0.2">
      <c r="A20580" s="4" t="s">
        <v>1</v>
      </c>
      <c r="B205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80" s="3" t="str">
        <f>HYPERLINK("https://otsuka-europe-crm.veevavault.com/ui/#object/sent_email__v/VBL000000001095", "SE-001377780")</f>
        <v>SE-001377780</v>
      </c>
      <c r="D20580" s="1">
        <v>45957.50439814815</v>
      </c>
      <c r="E20580" s="2">
        <v>1</v>
      </c>
      <c r="F20580" s="2">
        <v>1</v>
      </c>
      <c r="G20580" s="2">
        <v>0</v>
      </c>
      <c r="H20580" s="1" t="s">
        <v>0</v>
      </c>
      <c r="I20580" s="2">
        <v>0</v>
      </c>
      <c r="J20580" s="1">
        <v>45957.502766203703</v>
      </c>
    </row>
    <row r="20581" spans="1:10" x14ac:dyDescent="0.2">
      <c r="A20581" s="4" t="s">
        <v>1</v>
      </c>
      <c r="B205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81" s="3" t="str">
        <f>HYPERLINK("https://otsuka-europe-crm.veevavault.com/ui/#object/sent_email__v/VBL000000001096", "SE-001377781")</f>
        <v>SE-001377781</v>
      </c>
      <c r="D20581" s="1">
        <v>45957.531793981485</v>
      </c>
      <c r="E20581" s="2">
        <v>1</v>
      </c>
      <c r="F20581" s="2">
        <v>3</v>
      </c>
      <c r="G20581" s="2">
        <v>0</v>
      </c>
      <c r="H20581" s="1" t="s">
        <v>0</v>
      </c>
      <c r="I20581" s="2">
        <v>0</v>
      </c>
      <c r="J20581" s="1">
        <v>45957.502835648149</v>
      </c>
    </row>
    <row r="20582" spans="1:10" x14ac:dyDescent="0.2">
      <c r="A20582" s="4" t="s">
        <v>1</v>
      </c>
      <c r="B205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82" s="3" t="str">
        <f>HYPERLINK("https://otsuka-europe-crm.veevavault.com/ui/#object/sent_email__v/VBL000000001097", "SE-001377782")</f>
        <v>SE-001377782</v>
      </c>
      <c r="D20582" s="1">
        <v>45966.753993055558</v>
      </c>
      <c r="E20582" s="2">
        <v>1</v>
      </c>
      <c r="F20582" s="2">
        <v>3</v>
      </c>
      <c r="G20582" s="2">
        <v>0</v>
      </c>
      <c r="H20582" s="1" t="s">
        <v>0</v>
      </c>
      <c r="I20582" s="2">
        <v>0</v>
      </c>
      <c r="J20582" s="1">
        <v>45957.502905092595</v>
      </c>
    </row>
    <row r="20583" spans="1:10" x14ac:dyDescent="0.2">
      <c r="A20583" s="4" t="s">
        <v>1</v>
      </c>
      <c r="B205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83" s="3" t="str">
        <f>HYPERLINK("https://otsuka-europe-crm.veevavault.com/ui/#object/sent_email__v/VBL000000001098", "SE-001377783")</f>
        <v>SE-001377783</v>
      </c>
      <c r="D20583" s="1">
        <v>45957.744872685187</v>
      </c>
      <c r="E20583" s="2">
        <v>1</v>
      </c>
      <c r="F20583" s="2">
        <v>1</v>
      </c>
      <c r="G20583" s="2">
        <v>0</v>
      </c>
      <c r="H20583" s="1" t="s">
        <v>0</v>
      </c>
      <c r="I20583" s="2">
        <v>0</v>
      </c>
      <c r="J20583" s="1">
        <v>45957.502974537034</v>
      </c>
    </row>
    <row r="20584" spans="1:10" x14ac:dyDescent="0.2">
      <c r="A20584" s="4" t="s">
        <v>1</v>
      </c>
      <c r="B205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84" s="3" t="str">
        <f>HYPERLINK("https://otsuka-europe-crm.veevavault.com/ui/#object/sent_email__v/VBL000000001099", "SE-001377784")</f>
        <v>SE-001377784</v>
      </c>
      <c r="D20584" s="1">
        <v>45957.923425925925</v>
      </c>
      <c r="E20584" s="2">
        <v>1</v>
      </c>
      <c r="F20584" s="2">
        <v>3</v>
      </c>
      <c r="G20584" s="2">
        <v>0</v>
      </c>
      <c r="H20584" s="1" t="s">
        <v>0</v>
      </c>
      <c r="I20584" s="2">
        <v>0</v>
      </c>
      <c r="J20584" s="1">
        <v>45957.503055555557</v>
      </c>
    </row>
    <row r="20585" spans="1:10" x14ac:dyDescent="0.2">
      <c r="A20585" s="4" t="s">
        <v>1</v>
      </c>
      <c r="B205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85" s="3" t="str">
        <f>HYPERLINK("https://otsuka-europe-crm.veevavault.com/ui/#object/sent_email__v/VBL000000001100", "SE-001377785")</f>
        <v>SE-001377785</v>
      </c>
      <c r="D20585" s="1">
        <v>45957.573680555557</v>
      </c>
      <c r="E20585" s="2">
        <v>1</v>
      </c>
      <c r="F20585" s="2">
        <v>2</v>
      </c>
      <c r="G20585" s="2">
        <v>0</v>
      </c>
      <c r="H20585" s="1" t="s">
        <v>0</v>
      </c>
      <c r="I20585" s="2">
        <v>0</v>
      </c>
      <c r="J20585" s="1">
        <v>45957.503113425926</v>
      </c>
    </row>
    <row r="20586" spans="1:10" x14ac:dyDescent="0.2">
      <c r="A20586" s="4" t="s">
        <v>1</v>
      </c>
      <c r="B205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86" s="3" t="str">
        <f>HYPERLINK("https://otsuka-europe-crm.veevavault.com/ui/#object/sent_email__v/VBL000000001101", "SE-001377786")</f>
        <v>SE-001377786</v>
      </c>
      <c r="D20586" s="1" t="s">
        <v>0</v>
      </c>
      <c r="E20586" s="2">
        <v>0</v>
      </c>
      <c r="F20586" s="2">
        <v>0</v>
      </c>
      <c r="G20586" s="2">
        <v>0</v>
      </c>
      <c r="H20586" s="1" t="s">
        <v>0</v>
      </c>
      <c r="I20586" s="2">
        <v>0</v>
      </c>
      <c r="J20586" s="1">
        <v>45957.503206018519</v>
      </c>
    </row>
    <row r="20587" spans="1:10" x14ac:dyDescent="0.2">
      <c r="A20587" s="4" t="s">
        <v>1</v>
      </c>
      <c r="B205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87" s="3" t="str">
        <f>HYPERLINK("https://otsuka-europe-crm.veevavault.com/ui/#object/sent_email__v/VBL000000001102", "SE-001377787")</f>
        <v>SE-001377787</v>
      </c>
      <c r="D20587" s="1">
        <v>45985.568402777775</v>
      </c>
      <c r="E20587" s="2">
        <v>1</v>
      </c>
      <c r="F20587" s="2">
        <v>4</v>
      </c>
      <c r="G20587" s="2">
        <v>0</v>
      </c>
      <c r="H20587" s="1" t="s">
        <v>0</v>
      </c>
      <c r="I20587" s="2">
        <v>0</v>
      </c>
      <c r="J20587" s="1">
        <v>45957.503263888888</v>
      </c>
    </row>
    <row r="20588" spans="1:10" x14ac:dyDescent="0.2">
      <c r="A20588" s="4" t="s">
        <v>1</v>
      </c>
      <c r="B205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88" s="3" t="str">
        <f>HYPERLINK("https://otsuka-europe-crm.veevavault.com/ui/#object/sent_email__v/VBL000000001103", "SE-001377788")</f>
        <v>SE-001377788</v>
      </c>
      <c r="D20588" s="1">
        <v>45957.526076388887</v>
      </c>
      <c r="E20588" s="2">
        <v>1</v>
      </c>
      <c r="F20588" s="2">
        <v>1</v>
      </c>
      <c r="G20588" s="2">
        <v>0</v>
      </c>
      <c r="H20588" s="1" t="s">
        <v>0</v>
      </c>
      <c r="I20588" s="2">
        <v>0</v>
      </c>
      <c r="J20588" s="1">
        <v>45957.503333333334</v>
      </c>
    </row>
    <row r="20589" spans="1:10" x14ac:dyDescent="0.2">
      <c r="A20589" s="4" t="s">
        <v>1</v>
      </c>
      <c r="B205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89" s="3" t="str">
        <f>HYPERLINK("https://otsuka-europe-crm.veevavault.com/ui/#object/sent_email__v/VBL000000001104", "SE-001377789")</f>
        <v>SE-001377789</v>
      </c>
      <c r="D20589" s="1" t="s">
        <v>0</v>
      </c>
      <c r="E20589" s="2">
        <v>0</v>
      </c>
      <c r="F20589" s="2">
        <v>0</v>
      </c>
      <c r="G20589" s="2">
        <v>0</v>
      </c>
      <c r="H20589" s="1" t="s">
        <v>0</v>
      </c>
      <c r="I20589" s="2">
        <v>0</v>
      </c>
      <c r="J20589" s="1">
        <v>45957.511724537035</v>
      </c>
    </row>
    <row r="20590" spans="1:10" x14ac:dyDescent="0.2">
      <c r="A20590" s="4" t="s">
        <v>1</v>
      </c>
      <c r="B205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90" s="3" t="str">
        <f>HYPERLINK("https://otsuka-europe-crm.veevavault.com/ui/#object/sent_email__v/VBL000000001105", "SE-001377790")</f>
        <v>SE-001377790</v>
      </c>
      <c r="D20590" s="1">
        <v>45957.860995370371</v>
      </c>
      <c r="E20590" s="2">
        <v>1</v>
      </c>
      <c r="F20590" s="2">
        <v>1</v>
      </c>
      <c r="G20590" s="2">
        <v>0</v>
      </c>
      <c r="H20590" s="1" t="s">
        <v>0</v>
      </c>
      <c r="I20590" s="2">
        <v>0</v>
      </c>
      <c r="J20590" s="1">
        <v>45957.511759259258</v>
      </c>
    </row>
    <row r="20591" spans="1:10" x14ac:dyDescent="0.2">
      <c r="A20591" s="4" t="s">
        <v>1</v>
      </c>
      <c r="B205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91" s="3" t="str">
        <f>HYPERLINK("https://otsuka-europe-crm.veevavault.com/ui/#object/sent_email__v/VBL000000001106", "SE-001377791")</f>
        <v>SE-001377791</v>
      </c>
      <c r="D20591" s="1">
        <v>45957.516446759262</v>
      </c>
      <c r="E20591" s="2">
        <v>1</v>
      </c>
      <c r="F20591" s="2">
        <v>1</v>
      </c>
      <c r="G20591" s="2">
        <v>0</v>
      </c>
      <c r="H20591" s="1" t="s">
        <v>0</v>
      </c>
      <c r="I20591" s="2">
        <v>0</v>
      </c>
      <c r="J20591" s="1">
        <v>45957.512118055558</v>
      </c>
    </row>
    <row r="20592" spans="1:10" x14ac:dyDescent="0.2">
      <c r="A20592" s="4" t="s">
        <v>1</v>
      </c>
      <c r="B205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92" s="3" t="str">
        <f>HYPERLINK("https://otsuka-europe-crm.veevavault.com/ui/#object/sent_email__v/VBL000000001107", "SE-001377792")</f>
        <v>SE-001377792</v>
      </c>
      <c r="D20592" s="1">
        <v>45973.242083333331</v>
      </c>
      <c r="E20592" s="2">
        <v>1</v>
      </c>
      <c r="F20592" s="2">
        <v>4</v>
      </c>
      <c r="G20592" s="2">
        <v>0</v>
      </c>
      <c r="H20592" s="1" t="s">
        <v>0</v>
      </c>
      <c r="I20592" s="2">
        <v>0</v>
      </c>
      <c r="J20592" s="1">
        <v>45957.512175925927</v>
      </c>
    </row>
    <row r="20593" spans="1:10" x14ac:dyDescent="0.2">
      <c r="A20593" s="4" t="s">
        <v>1</v>
      </c>
      <c r="B205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93" s="3" t="str">
        <f>HYPERLINK("https://otsuka-europe-crm.veevavault.com/ui/#object/sent_email__v/VBL000000001108", "SE-001377793")</f>
        <v>SE-001377793</v>
      </c>
      <c r="D20593" s="1" t="s">
        <v>0</v>
      </c>
      <c r="E20593" s="2">
        <v>0</v>
      </c>
      <c r="F20593" s="2">
        <v>0</v>
      </c>
      <c r="G20593" s="2">
        <v>0</v>
      </c>
      <c r="H20593" s="1" t="s">
        <v>0</v>
      </c>
      <c r="I20593" s="2">
        <v>0</v>
      </c>
      <c r="J20593" s="1">
        <v>45957.512245370373</v>
      </c>
    </row>
    <row r="20594" spans="1:10" x14ac:dyDescent="0.2">
      <c r="A20594" s="4" t="s">
        <v>1</v>
      </c>
      <c r="B205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94" s="3" t="str">
        <f>HYPERLINK("https://otsuka-europe-crm.veevavault.com/ui/#object/sent_email__v/VBL000000001109", "SE-001377794")</f>
        <v>SE-001377794</v>
      </c>
      <c r="D20594" s="1" t="s">
        <v>0</v>
      </c>
      <c r="E20594" s="2">
        <v>0</v>
      </c>
      <c r="F20594" s="2">
        <v>0</v>
      </c>
      <c r="G20594" s="2">
        <v>0</v>
      </c>
      <c r="H20594" s="1" t="s">
        <v>0</v>
      </c>
      <c r="I20594" s="2">
        <v>0</v>
      </c>
      <c r="J20594" s="1">
        <v>45957.512314814812</v>
      </c>
    </row>
    <row r="20595" spans="1:10" x14ac:dyDescent="0.2">
      <c r="A20595" s="4" t="s">
        <v>1</v>
      </c>
      <c r="B205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95" s="3" t="str">
        <f>HYPERLINK("https://otsuka-europe-crm.veevavault.com/ui/#object/sent_email__v/VBL000000001110", "SE-001377795")</f>
        <v>SE-001377795</v>
      </c>
      <c r="D20595" s="1" t="s">
        <v>0</v>
      </c>
      <c r="E20595" s="2">
        <v>0</v>
      </c>
      <c r="F20595" s="2">
        <v>0</v>
      </c>
      <c r="G20595" s="2">
        <v>0</v>
      </c>
      <c r="H20595" s="1" t="s">
        <v>0</v>
      </c>
      <c r="I20595" s="2">
        <v>0</v>
      </c>
      <c r="J20595" s="1">
        <v>45957.512395833335</v>
      </c>
    </row>
    <row r="20596" spans="1:10" x14ac:dyDescent="0.2">
      <c r="A20596" s="4" t="s">
        <v>1</v>
      </c>
      <c r="B205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96" s="3" t="str">
        <f>HYPERLINK("https://otsuka-europe-crm.veevavault.com/ui/#object/sent_email__v/VBL000000001111", "SE-001377796")</f>
        <v>SE-001377796</v>
      </c>
      <c r="D20596" s="1">
        <v>45958.009525462963</v>
      </c>
      <c r="E20596" s="2">
        <v>1</v>
      </c>
      <c r="F20596" s="2">
        <v>1</v>
      </c>
      <c r="G20596" s="2">
        <v>0</v>
      </c>
      <c r="H20596" s="1" t="s">
        <v>0</v>
      </c>
      <c r="I20596" s="2">
        <v>0</v>
      </c>
      <c r="J20596" s="1">
        <v>45957.512465277781</v>
      </c>
    </row>
    <row r="20597" spans="1:10" x14ac:dyDescent="0.2">
      <c r="A20597" s="4" t="s">
        <v>1</v>
      </c>
      <c r="B205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97" s="3" t="str">
        <f>HYPERLINK("https://otsuka-europe-crm.veevavault.com/ui/#object/sent_email__v/VBL000000001112", "SE-001377797")</f>
        <v>SE-001377797</v>
      </c>
      <c r="D20597" s="1" t="s">
        <v>0</v>
      </c>
      <c r="E20597" s="2">
        <v>0</v>
      </c>
      <c r="F20597" s="2">
        <v>0</v>
      </c>
      <c r="G20597" s="2">
        <v>0</v>
      </c>
      <c r="H20597" s="1" t="s">
        <v>0</v>
      </c>
      <c r="I20597" s="2">
        <v>0</v>
      </c>
      <c r="J20597" s="1">
        <v>45957.51253472222</v>
      </c>
    </row>
    <row r="20598" spans="1:10" x14ac:dyDescent="0.2">
      <c r="A20598" s="4" t="s">
        <v>1</v>
      </c>
      <c r="B205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98" s="3" t="str">
        <f>HYPERLINK("https://otsuka-europe-crm.veevavault.com/ui/#object/sent_email__v/VBL000000001113", "SE-001377798")</f>
        <v>SE-001377798</v>
      </c>
      <c r="D20598" s="1">
        <v>45983.451516203706</v>
      </c>
      <c r="E20598" s="2">
        <v>1</v>
      </c>
      <c r="F20598" s="2">
        <v>2</v>
      </c>
      <c r="G20598" s="2">
        <v>0</v>
      </c>
      <c r="H20598" s="1" t="s">
        <v>0</v>
      </c>
      <c r="I20598" s="2">
        <v>0</v>
      </c>
      <c r="J20598" s="1">
        <v>45957.512604166666</v>
      </c>
    </row>
    <row r="20599" spans="1:10" x14ac:dyDescent="0.2">
      <c r="A20599" s="4" t="s">
        <v>1</v>
      </c>
      <c r="B205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599" s="3" t="str">
        <f>HYPERLINK("https://otsuka-europe-crm.veevavault.com/ui/#object/sent_email__v/VBL000000001114", "SE-001377799")</f>
        <v>SE-001377799</v>
      </c>
      <c r="D20599" s="1" t="s">
        <v>0</v>
      </c>
      <c r="E20599" s="2">
        <v>0</v>
      </c>
      <c r="F20599" s="2">
        <v>0</v>
      </c>
      <c r="G20599" s="2">
        <v>0</v>
      </c>
      <c r="H20599" s="1" t="s">
        <v>0</v>
      </c>
      <c r="I20599" s="2">
        <v>0</v>
      </c>
      <c r="J20599" s="1">
        <v>45957.512696759259</v>
      </c>
    </row>
    <row r="20600" spans="1:10" x14ac:dyDescent="0.2">
      <c r="A20600" s="4" t="s">
        <v>1</v>
      </c>
      <c r="B206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00" s="3" t="str">
        <f>HYPERLINK("https://otsuka-europe-crm.veevavault.com/ui/#object/sent_email__v/VBL000000001115", "SE-001377800")</f>
        <v>SE-001377800</v>
      </c>
      <c r="D20600" s="1">
        <v>45957.582800925928</v>
      </c>
      <c r="E20600" s="2">
        <v>1</v>
      </c>
      <c r="F20600" s="2">
        <v>1</v>
      </c>
      <c r="G20600" s="2">
        <v>0</v>
      </c>
      <c r="H20600" s="1" t="s">
        <v>0</v>
      </c>
      <c r="I20600" s="2">
        <v>0</v>
      </c>
      <c r="J20600" s="1">
        <v>45957.512754629628</v>
      </c>
    </row>
    <row r="20601" spans="1:10" x14ac:dyDescent="0.2">
      <c r="A20601" s="4" t="s">
        <v>1</v>
      </c>
      <c r="B206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01" s="3" t="str">
        <f>HYPERLINK("https://otsuka-europe-crm.veevavault.com/ui/#object/sent_email__v/VBL000000001116", "SE-001377801")</f>
        <v>SE-001377801</v>
      </c>
      <c r="D20601" s="1" t="s">
        <v>0</v>
      </c>
      <c r="E20601" s="2">
        <v>0</v>
      </c>
      <c r="F20601" s="2">
        <v>0</v>
      </c>
      <c r="G20601" s="2">
        <v>0</v>
      </c>
      <c r="H20601" s="1" t="s">
        <v>0</v>
      </c>
      <c r="I20601" s="2">
        <v>0</v>
      </c>
      <c r="J20601" s="1">
        <v>45957.512824074074</v>
      </c>
    </row>
    <row r="20602" spans="1:10" x14ac:dyDescent="0.2">
      <c r="A20602" s="4" t="s">
        <v>1</v>
      </c>
      <c r="B206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02" s="3" t="str">
        <f>HYPERLINK("https://otsuka-europe-crm.veevavault.com/ui/#object/sent_email__v/VBL000000001117", "SE-001377802")</f>
        <v>SE-001377802</v>
      </c>
      <c r="D20602" s="1">
        <v>45979.584513888891</v>
      </c>
      <c r="E20602" s="2">
        <v>1</v>
      </c>
      <c r="F20602" s="2">
        <v>6</v>
      </c>
      <c r="G20602" s="2">
        <v>0</v>
      </c>
      <c r="H20602" s="1" t="s">
        <v>0</v>
      </c>
      <c r="I20602" s="2">
        <v>0</v>
      </c>
      <c r="J20602" s="1">
        <v>45957.51289351852</v>
      </c>
    </row>
    <row r="20603" spans="1:10" x14ac:dyDescent="0.2">
      <c r="A20603" s="4" t="s">
        <v>1</v>
      </c>
      <c r="B206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03" s="3" t="str">
        <f>HYPERLINK("https://otsuka-europe-crm.veevavault.com/ui/#object/sent_email__v/VBL000000001118", "SE-001377803")</f>
        <v>SE-001377803</v>
      </c>
      <c r="D20603" s="1" t="s">
        <v>0</v>
      </c>
      <c r="E20603" s="2">
        <v>0</v>
      </c>
      <c r="F20603" s="2">
        <v>0</v>
      </c>
      <c r="G20603" s="2">
        <v>0</v>
      </c>
      <c r="H20603" s="1" t="s">
        <v>0</v>
      </c>
      <c r="I20603" s="2">
        <v>0</v>
      </c>
      <c r="J20603" s="1">
        <v>45957.512974537036</v>
      </c>
    </row>
    <row r="20604" spans="1:10" x14ac:dyDescent="0.2">
      <c r="A20604" s="4" t="s">
        <v>1</v>
      </c>
      <c r="B206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04" s="3" t="str">
        <f>HYPERLINK("https://otsuka-europe-crm.veevavault.com/ui/#object/sent_email__v/VBL000000001119", "SE-001377804")</f>
        <v>SE-001377804</v>
      </c>
      <c r="D20604" s="1" t="s">
        <v>0</v>
      </c>
      <c r="E20604" s="2">
        <v>0</v>
      </c>
      <c r="F20604" s="2">
        <v>0</v>
      </c>
      <c r="G20604" s="2">
        <v>0</v>
      </c>
      <c r="H20604" s="1" t="s">
        <v>0</v>
      </c>
      <c r="I20604" s="2">
        <v>0</v>
      </c>
      <c r="J20604" s="1">
        <v>45957.513043981482</v>
      </c>
    </row>
    <row r="20605" spans="1:10" x14ac:dyDescent="0.2">
      <c r="A20605" s="4" t="s">
        <v>1</v>
      </c>
      <c r="B206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05" s="3" t="str">
        <f>HYPERLINK("https://otsuka-europe-crm.veevavault.com/ui/#object/sent_email__v/VBL000000001120", "SE-001377805")</f>
        <v>SE-001377805</v>
      </c>
      <c r="D20605" s="1" t="s">
        <v>0</v>
      </c>
      <c r="E20605" s="2">
        <v>0</v>
      </c>
      <c r="F20605" s="2">
        <v>0</v>
      </c>
      <c r="G20605" s="2">
        <v>0</v>
      </c>
      <c r="H20605" s="1" t="s">
        <v>0</v>
      </c>
      <c r="I20605" s="2">
        <v>0</v>
      </c>
      <c r="J20605" s="1">
        <v>45957.513113425928</v>
      </c>
    </row>
    <row r="20606" spans="1:10" x14ac:dyDescent="0.2">
      <c r="A20606" s="4" t="s">
        <v>1</v>
      </c>
      <c r="B206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06" s="3" t="str">
        <f>HYPERLINK("https://otsuka-europe-crm.veevavault.com/ui/#object/sent_email__v/VBL000000001121", "SE-001377806")</f>
        <v>SE-001377806</v>
      </c>
      <c r="D20606" s="1" t="s">
        <v>0</v>
      </c>
      <c r="E20606" s="2">
        <v>0</v>
      </c>
      <c r="F20606" s="2">
        <v>0</v>
      </c>
      <c r="G20606" s="2">
        <v>0</v>
      </c>
      <c r="H20606" s="1" t="s">
        <v>0</v>
      </c>
      <c r="I20606" s="2">
        <v>0</v>
      </c>
      <c r="J20606" s="1">
        <v>45957.51321759259</v>
      </c>
    </row>
    <row r="20607" spans="1:10" x14ac:dyDescent="0.2">
      <c r="A20607" s="4" t="s">
        <v>1</v>
      </c>
      <c r="B206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07" s="3" t="str">
        <f>HYPERLINK("https://otsuka-europe-crm.veevavault.com/ui/#object/sent_email__v/VBL000000001122", "SE-001377807")</f>
        <v>SE-001377807</v>
      </c>
      <c r="D20607" s="1">
        <v>45957.52275462963</v>
      </c>
      <c r="E20607" s="2">
        <v>1</v>
      </c>
      <c r="F20607" s="2">
        <v>2</v>
      </c>
      <c r="G20607" s="2">
        <v>0</v>
      </c>
      <c r="H20607" s="1" t="s">
        <v>0</v>
      </c>
      <c r="I20607" s="2">
        <v>0</v>
      </c>
      <c r="J20607" s="1">
        <v>45957.51326388889</v>
      </c>
    </row>
    <row r="20608" spans="1:10" x14ac:dyDescent="0.2">
      <c r="A20608" s="4" t="s">
        <v>1</v>
      </c>
      <c r="B206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08" s="3" t="str">
        <f>HYPERLINK("https://otsuka-europe-crm.veevavault.com/ui/#object/sent_email__v/VBL000000001123", "SE-001377808")</f>
        <v>SE-001377808</v>
      </c>
      <c r="D20608" s="1" t="s">
        <v>0</v>
      </c>
      <c r="E20608" s="2">
        <v>0</v>
      </c>
      <c r="F20608" s="2">
        <v>0</v>
      </c>
      <c r="G20608" s="2">
        <v>0</v>
      </c>
      <c r="H20608" s="1" t="s">
        <v>0</v>
      </c>
      <c r="I20608" s="2">
        <v>0</v>
      </c>
      <c r="J20608" s="1">
        <v>45957.513321759259</v>
      </c>
    </row>
    <row r="20609" spans="1:10" x14ac:dyDescent="0.2">
      <c r="A20609" s="4" t="s">
        <v>1</v>
      </c>
      <c r="B206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09" s="3" t="str">
        <f>HYPERLINK("https://otsuka-europe-crm.veevavault.com/ui/#object/sent_email__v/VBL000000001124", "SE-001377809")</f>
        <v>SE-001377809</v>
      </c>
      <c r="D20609" s="1" t="s">
        <v>0</v>
      </c>
      <c r="E20609" s="2">
        <v>0</v>
      </c>
      <c r="F20609" s="2">
        <v>0</v>
      </c>
      <c r="G20609" s="2">
        <v>0</v>
      </c>
      <c r="H20609" s="1" t="s">
        <v>0</v>
      </c>
      <c r="I20609" s="2">
        <v>0</v>
      </c>
      <c r="J20609" s="1">
        <v>45957.513391203705</v>
      </c>
    </row>
    <row r="20610" spans="1:10" x14ac:dyDescent="0.2">
      <c r="A20610" s="4" t="s">
        <v>1</v>
      </c>
      <c r="B206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10" s="3" t="str">
        <f>HYPERLINK("https://otsuka-europe-crm.veevavault.com/ui/#object/sent_email__v/VBL000000001125", "SE-001377810")</f>
        <v>SE-001377810</v>
      </c>
      <c r="D20610" s="1" t="s">
        <v>0</v>
      </c>
      <c r="E20610" s="2">
        <v>0</v>
      </c>
      <c r="F20610" s="2">
        <v>0</v>
      </c>
      <c r="G20610" s="2">
        <v>0</v>
      </c>
      <c r="H20610" s="1" t="s">
        <v>0</v>
      </c>
      <c r="I20610" s="2">
        <v>0</v>
      </c>
      <c r="J20610" s="1">
        <v>45957.513460648152</v>
      </c>
    </row>
    <row r="20611" spans="1:10" x14ac:dyDescent="0.2">
      <c r="A20611" s="4" t="s">
        <v>1</v>
      </c>
      <c r="B206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11" s="3" t="str">
        <f>HYPERLINK("https://otsuka-europe-crm.veevavault.com/ui/#object/sent_email__v/VBL000000001126", "SE-001377811")</f>
        <v>SE-001377811</v>
      </c>
      <c r="D20611" s="1">
        <v>45974.622083333335</v>
      </c>
      <c r="E20611" s="2">
        <v>1</v>
      </c>
      <c r="F20611" s="2">
        <v>2</v>
      </c>
      <c r="G20611" s="2">
        <v>0</v>
      </c>
      <c r="H20611" s="1" t="s">
        <v>0</v>
      </c>
      <c r="I20611" s="2">
        <v>0</v>
      </c>
      <c r="J20611" s="1">
        <v>45957.513518518521</v>
      </c>
    </row>
    <row r="20612" spans="1:10" x14ac:dyDescent="0.2">
      <c r="A20612" s="4" t="s">
        <v>1</v>
      </c>
      <c r="B206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12" s="3" t="str">
        <f>HYPERLINK("https://otsuka-europe-crm.veevavault.com/ui/#object/sent_email__v/VBL000000001127", "SE-001377812")</f>
        <v>SE-001377812</v>
      </c>
      <c r="D20612" s="1" t="s">
        <v>0</v>
      </c>
      <c r="E20612" s="2">
        <v>0</v>
      </c>
      <c r="F20612" s="2">
        <v>0</v>
      </c>
      <c r="G20612" s="2">
        <v>0</v>
      </c>
      <c r="H20612" s="1" t="s">
        <v>0</v>
      </c>
      <c r="I20612" s="2">
        <v>0</v>
      </c>
      <c r="J20612" s="1">
        <v>45957.51358796296</v>
      </c>
    </row>
    <row r="20613" spans="1:10" x14ac:dyDescent="0.2">
      <c r="A20613" s="4" t="s">
        <v>1</v>
      </c>
      <c r="B206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13" s="3" t="str">
        <f>HYPERLINK("https://otsuka-europe-crm.veevavault.com/ui/#object/sent_email__v/VBL000000001128", "SE-001377813")</f>
        <v>SE-001377813</v>
      </c>
      <c r="D20613" s="1">
        <v>45958.33289351852</v>
      </c>
      <c r="E20613" s="2">
        <v>1</v>
      </c>
      <c r="F20613" s="2">
        <v>4</v>
      </c>
      <c r="G20613" s="2">
        <v>0</v>
      </c>
      <c r="H20613" s="1" t="s">
        <v>0</v>
      </c>
      <c r="I20613" s="2">
        <v>0</v>
      </c>
      <c r="J20613" s="1">
        <v>45957.513657407406</v>
      </c>
    </row>
    <row r="20614" spans="1:10" x14ac:dyDescent="0.2">
      <c r="A20614" s="4" t="s">
        <v>1</v>
      </c>
      <c r="B206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14" s="3" t="str">
        <f>HYPERLINK("https://otsuka-europe-crm.veevavault.com/ui/#object/sent_email__v/VBL000000001129", "SE-001377814")</f>
        <v>SE-001377814</v>
      </c>
      <c r="D20614" s="1">
        <v>45957.51666666667</v>
      </c>
      <c r="E20614" s="2">
        <v>1</v>
      </c>
      <c r="F20614" s="2">
        <v>2</v>
      </c>
      <c r="G20614" s="2">
        <v>0</v>
      </c>
      <c r="H20614" s="1" t="s">
        <v>0</v>
      </c>
      <c r="I20614" s="2">
        <v>0</v>
      </c>
      <c r="J20614" s="1">
        <v>45957.513726851852</v>
      </c>
    </row>
    <row r="20615" spans="1:10" x14ac:dyDescent="0.2">
      <c r="A20615" s="4" t="s">
        <v>1</v>
      </c>
      <c r="B206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15" s="3" t="str">
        <f>HYPERLINK("https://otsuka-europe-crm.veevavault.com/ui/#object/sent_email__v/VBL000000001130", "SE-001377815")</f>
        <v>SE-001377815</v>
      </c>
      <c r="D20615" s="1">
        <v>45980.383148148147</v>
      </c>
      <c r="E20615" s="2">
        <v>1</v>
      </c>
      <c r="F20615" s="2">
        <v>2</v>
      </c>
      <c r="G20615" s="2">
        <v>0</v>
      </c>
      <c r="H20615" s="1" t="s">
        <v>0</v>
      </c>
      <c r="I20615" s="2">
        <v>0</v>
      </c>
      <c r="J20615" s="1">
        <v>45957.513807870368</v>
      </c>
    </row>
    <row r="20616" spans="1:10" x14ac:dyDescent="0.2">
      <c r="A20616" s="4" t="s">
        <v>1</v>
      </c>
      <c r="B206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16" s="3" t="str">
        <f>HYPERLINK("https://otsuka-europe-crm.veevavault.com/ui/#object/sent_email__v/VBL000000001131", "SE-001377816")</f>
        <v>SE-001377816</v>
      </c>
      <c r="D20616" s="1" t="s">
        <v>0</v>
      </c>
      <c r="E20616" s="2">
        <v>0</v>
      </c>
      <c r="F20616" s="2">
        <v>0</v>
      </c>
      <c r="G20616" s="2">
        <v>0</v>
      </c>
      <c r="H20616" s="1" t="s">
        <v>0</v>
      </c>
      <c r="I20616" s="2">
        <v>0</v>
      </c>
      <c r="J20616" s="1">
        <v>45957.513865740744</v>
      </c>
    </row>
    <row r="20617" spans="1:10" x14ac:dyDescent="0.2">
      <c r="A20617" s="4" t="s">
        <v>1</v>
      </c>
      <c r="B206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17" s="3" t="str">
        <f>HYPERLINK("https://otsuka-europe-crm.veevavault.com/ui/#object/sent_email__v/VBL000000001132", "SE-001377817")</f>
        <v>SE-001377817</v>
      </c>
      <c r="D20617" s="1">
        <v>46000.606493055559</v>
      </c>
      <c r="E20617" s="2">
        <v>1</v>
      </c>
      <c r="F20617" s="2">
        <v>4</v>
      </c>
      <c r="G20617" s="2">
        <v>0</v>
      </c>
      <c r="H20617" s="1" t="s">
        <v>0</v>
      </c>
      <c r="I20617" s="2">
        <v>0</v>
      </c>
      <c r="J20617" s="1">
        <v>45957.513912037037</v>
      </c>
    </row>
    <row r="20618" spans="1:10" x14ac:dyDescent="0.2">
      <c r="A20618" s="4" t="s">
        <v>1</v>
      </c>
      <c r="B206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18" s="3" t="str">
        <f>HYPERLINK("https://otsuka-europe-crm.veevavault.com/ui/#object/sent_email__v/VBL000000001133", "SE-001377818")</f>
        <v>SE-001377818</v>
      </c>
      <c r="D20618" s="1" t="s">
        <v>0</v>
      </c>
      <c r="E20618" s="2">
        <v>0</v>
      </c>
      <c r="F20618" s="2">
        <v>0</v>
      </c>
      <c r="G20618" s="2">
        <v>0</v>
      </c>
      <c r="H20618" s="1" t="s">
        <v>0</v>
      </c>
      <c r="I20618" s="2">
        <v>0</v>
      </c>
      <c r="J20618" s="1">
        <v>45957.513958333337</v>
      </c>
    </row>
    <row r="20619" spans="1:10" x14ac:dyDescent="0.2">
      <c r="A20619" s="4" t="s">
        <v>1</v>
      </c>
      <c r="B206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19" s="3" t="str">
        <f>HYPERLINK("https://otsuka-europe-crm.veevavault.com/ui/#object/sent_email__v/VBL000000001134", "SE-001377819")</f>
        <v>SE-001377819</v>
      </c>
      <c r="D20619" s="1">
        <v>45957.564710648148</v>
      </c>
      <c r="E20619" s="2">
        <v>1</v>
      </c>
      <c r="F20619" s="2">
        <v>1</v>
      </c>
      <c r="G20619" s="2">
        <v>0</v>
      </c>
      <c r="H20619" s="1" t="s">
        <v>0</v>
      </c>
      <c r="I20619" s="2">
        <v>0</v>
      </c>
      <c r="J20619" s="1">
        <v>45957.513993055552</v>
      </c>
    </row>
    <row r="20620" spans="1:10" x14ac:dyDescent="0.2">
      <c r="A20620" s="4" t="s">
        <v>1</v>
      </c>
      <c r="B206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20" s="3" t="str">
        <f>HYPERLINK("https://otsuka-europe-crm.veevavault.com/ui/#object/sent_email__v/VBL000000001135", "SE-001377820")</f>
        <v>SE-001377820</v>
      </c>
      <c r="D20620" s="1">
        <v>45957.514317129629</v>
      </c>
      <c r="E20620" s="2">
        <v>1</v>
      </c>
      <c r="F20620" s="2">
        <v>1</v>
      </c>
      <c r="G20620" s="2">
        <v>0</v>
      </c>
      <c r="H20620" s="1" t="s">
        <v>0</v>
      </c>
      <c r="I20620" s="2">
        <v>0</v>
      </c>
      <c r="J20620" s="1">
        <v>45957.514027777775</v>
      </c>
    </row>
    <row r="20621" spans="1:10" x14ac:dyDescent="0.2">
      <c r="A20621" s="4" t="s">
        <v>1</v>
      </c>
      <c r="B206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21" s="3" t="str">
        <f>HYPERLINK("https://otsuka-europe-crm.veevavault.com/ui/#object/sent_email__v/VBL000000001136", "SE-001377821")</f>
        <v>SE-001377821</v>
      </c>
      <c r="D20621" s="1">
        <v>45957.531354166669</v>
      </c>
      <c r="E20621" s="2">
        <v>1</v>
      </c>
      <c r="F20621" s="2">
        <v>2</v>
      </c>
      <c r="G20621" s="2">
        <v>0</v>
      </c>
      <c r="H20621" s="1" t="s">
        <v>0</v>
      </c>
      <c r="I20621" s="2">
        <v>0</v>
      </c>
      <c r="J20621" s="1">
        <v>45957.514074074075</v>
      </c>
    </row>
    <row r="20622" spans="1:10" x14ac:dyDescent="0.2">
      <c r="A20622" s="4" t="s">
        <v>1</v>
      </c>
      <c r="B206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22" s="3" t="str">
        <f>HYPERLINK("https://otsuka-europe-crm.veevavault.com/ui/#object/sent_email__v/VBL000000001137", "SE-001377822")</f>
        <v>SE-001377822</v>
      </c>
      <c r="D20622" s="1" t="s">
        <v>0</v>
      </c>
      <c r="E20622" s="2">
        <v>0</v>
      </c>
      <c r="F20622" s="2">
        <v>0</v>
      </c>
      <c r="G20622" s="2">
        <v>0</v>
      </c>
      <c r="H20622" s="1" t="s">
        <v>0</v>
      </c>
      <c r="I20622" s="2">
        <v>0</v>
      </c>
      <c r="J20622" s="1">
        <v>45957.514120370368</v>
      </c>
    </row>
    <row r="20623" spans="1:10" x14ac:dyDescent="0.2">
      <c r="A20623" s="4" t="s">
        <v>1</v>
      </c>
      <c r="B206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23" s="3" t="str">
        <f>HYPERLINK("https://otsuka-europe-crm.veevavault.com/ui/#object/sent_email__v/VBL000000001138", "SE-001377823")</f>
        <v>SE-001377823</v>
      </c>
      <c r="D20623" s="1" t="s">
        <v>0</v>
      </c>
      <c r="E20623" s="2">
        <v>0</v>
      </c>
      <c r="F20623" s="2">
        <v>0</v>
      </c>
      <c r="G20623" s="2">
        <v>0</v>
      </c>
      <c r="H20623" s="1" t="s">
        <v>0</v>
      </c>
      <c r="I20623" s="2">
        <v>0</v>
      </c>
      <c r="J20623" s="1">
        <v>45957.514189814814</v>
      </c>
    </row>
    <row r="20624" spans="1:10" x14ac:dyDescent="0.2">
      <c r="A20624" s="4" t="s">
        <v>1</v>
      </c>
      <c r="B206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24" s="3" t="str">
        <f>HYPERLINK("https://otsuka-europe-crm.veevavault.com/ui/#object/sent_email__v/VBL000000001139", "SE-001377824")</f>
        <v>SE-001377824</v>
      </c>
      <c r="D20624" s="1">
        <v>45957.561597222222</v>
      </c>
      <c r="E20624" s="2">
        <v>1</v>
      </c>
      <c r="F20624" s="2">
        <v>2</v>
      </c>
      <c r="G20624" s="2">
        <v>0</v>
      </c>
      <c r="H20624" s="1" t="s">
        <v>0</v>
      </c>
      <c r="I20624" s="2">
        <v>0</v>
      </c>
      <c r="J20624" s="1">
        <v>45957.51425925926</v>
      </c>
    </row>
    <row r="20625" spans="1:10" x14ac:dyDescent="0.2">
      <c r="A20625" s="4" t="s">
        <v>1</v>
      </c>
      <c r="B206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25" s="3" t="str">
        <f>HYPERLINK("https://otsuka-europe-crm.veevavault.com/ui/#object/sent_email__v/VBL000000001140", "SE-001377825")</f>
        <v>SE-001377825</v>
      </c>
      <c r="D20625" s="1">
        <v>45958.277881944443</v>
      </c>
      <c r="E20625" s="2">
        <v>1</v>
      </c>
      <c r="F20625" s="2">
        <v>2</v>
      </c>
      <c r="G20625" s="2">
        <v>1</v>
      </c>
      <c r="H20625" s="1">
        <v>45958.277986111112</v>
      </c>
      <c r="I20625" s="2">
        <v>1</v>
      </c>
      <c r="J20625" s="1">
        <v>45957.514328703706</v>
      </c>
    </row>
    <row r="20626" spans="1:10" x14ac:dyDescent="0.2">
      <c r="A20626" s="4" t="s">
        <v>1</v>
      </c>
      <c r="B206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26" s="3" t="str">
        <f>HYPERLINK("https://otsuka-europe-crm.veevavault.com/ui/#object/sent_email__v/VBL000000001141", "SE-001377826")</f>
        <v>SE-001377826</v>
      </c>
      <c r="D20626" s="1" t="s">
        <v>0</v>
      </c>
      <c r="E20626" s="2">
        <v>0</v>
      </c>
      <c r="F20626" s="2">
        <v>0</v>
      </c>
      <c r="G20626" s="2">
        <v>0</v>
      </c>
      <c r="H20626" s="1" t="s">
        <v>0</v>
      </c>
      <c r="I20626" s="2">
        <v>0</v>
      </c>
      <c r="J20626" s="1">
        <v>45957.514398148145</v>
      </c>
    </row>
    <row r="20627" spans="1:10" x14ac:dyDescent="0.2">
      <c r="A20627" s="4" t="s">
        <v>1</v>
      </c>
      <c r="B206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27" s="3" t="str">
        <f>HYPERLINK("https://otsuka-europe-crm.veevavault.com/ui/#object/sent_email__v/VBL000000001142", "SE-001377827")</f>
        <v>SE-001377827</v>
      </c>
      <c r="D20627" s="1">
        <v>45957.817870370367</v>
      </c>
      <c r="E20627" s="2">
        <v>1</v>
      </c>
      <c r="F20627" s="2">
        <v>1</v>
      </c>
      <c r="G20627" s="2">
        <v>0</v>
      </c>
      <c r="H20627" s="1" t="s">
        <v>0</v>
      </c>
      <c r="I20627" s="2">
        <v>0</v>
      </c>
      <c r="J20627" s="1">
        <v>45957.514467592591</v>
      </c>
    </row>
    <row r="20628" spans="1:10" x14ac:dyDescent="0.2">
      <c r="A20628" s="4" t="s">
        <v>1</v>
      </c>
      <c r="B206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28" s="3" t="str">
        <f>HYPERLINK("https://otsuka-europe-crm.veevavault.com/ui/#object/sent_email__v/VBL000000001143", "SE-001377828")</f>
        <v>SE-001377828</v>
      </c>
      <c r="D20628" s="1" t="s">
        <v>0</v>
      </c>
      <c r="E20628" s="2">
        <v>0</v>
      </c>
      <c r="F20628" s="2">
        <v>0</v>
      </c>
      <c r="G20628" s="2">
        <v>0</v>
      </c>
      <c r="H20628" s="1" t="s">
        <v>0</v>
      </c>
      <c r="I20628" s="2">
        <v>0</v>
      </c>
      <c r="J20628" s="1">
        <v>45957.514525462961</v>
      </c>
    </row>
    <row r="20629" spans="1:10" x14ac:dyDescent="0.2">
      <c r="A20629" s="4" t="s">
        <v>1</v>
      </c>
      <c r="B206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29" s="3" t="str">
        <f>HYPERLINK("https://otsuka-europe-crm.veevavault.com/ui/#object/sent_email__v/VBL000000001144", "SE-001377829")</f>
        <v>SE-001377829</v>
      </c>
      <c r="D20629" s="1" t="s">
        <v>0</v>
      </c>
      <c r="E20629" s="2">
        <v>0</v>
      </c>
      <c r="F20629" s="2">
        <v>0</v>
      </c>
      <c r="G20629" s="2">
        <v>0</v>
      </c>
      <c r="H20629" s="1" t="s">
        <v>0</v>
      </c>
      <c r="I20629" s="2">
        <v>0</v>
      </c>
      <c r="J20629" s="1">
        <v>45957.514594907407</v>
      </c>
    </row>
    <row r="20630" spans="1:10" x14ac:dyDescent="0.2">
      <c r="A20630" s="4" t="s">
        <v>1</v>
      </c>
      <c r="B206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30" s="3" t="str">
        <f>HYPERLINK("https://otsuka-europe-crm.veevavault.com/ui/#object/sent_email__v/VBL000000001145", "SE-001377830")</f>
        <v>SE-001377830</v>
      </c>
      <c r="D20630" s="1" t="s">
        <v>0</v>
      </c>
      <c r="E20630" s="2">
        <v>0</v>
      </c>
      <c r="F20630" s="2">
        <v>0</v>
      </c>
      <c r="G20630" s="2">
        <v>0</v>
      </c>
      <c r="H20630" s="1" t="s">
        <v>0</v>
      </c>
      <c r="I20630" s="2">
        <v>0</v>
      </c>
      <c r="J20630" s="1">
        <v>45957.514687499999</v>
      </c>
    </row>
    <row r="20631" spans="1:10" x14ac:dyDescent="0.2">
      <c r="A20631" s="4" t="s">
        <v>1</v>
      </c>
      <c r="B206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31" s="3" t="str">
        <f>HYPERLINK("https://otsuka-europe-crm.veevavault.com/ui/#object/sent_email__v/VBL000000001146", "SE-001377831")</f>
        <v>SE-001377831</v>
      </c>
      <c r="D20631" s="1" t="s">
        <v>0</v>
      </c>
      <c r="E20631" s="2">
        <v>0</v>
      </c>
      <c r="F20631" s="2">
        <v>0</v>
      </c>
      <c r="G20631" s="2">
        <v>0</v>
      </c>
      <c r="H20631" s="1" t="s">
        <v>0</v>
      </c>
      <c r="I20631" s="2">
        <v>0</v>
      </c>
      <c r="J20631" s="1">
        <v>45957.514756944445</v>
      </c>
    </row>
    <row r="20632" spans="1:10" x14ac:dyDescent="0.2">
      <c r="A20632" s="4" t="s">
        <v>1</v>
      </c>
      <c r="B206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32" s="3" t="str">
        <f>HYPERLINK("https://otsuka-europe-crm.veevavault.com/ui/#object/sent_email__v/VBL000000001147", "SE-001377832")</f>
        <v>SE-001377832</v>
      </c>
      <c r="D20632" s="1" t="s">
        <v>0</v>
      </c>
      <c r="E20632" s="2">
        <v>0</v>
      </c>
      <c r="F20632" s="2">
        <v>0</v>
      </c>
      <c r="G20632" s="2">
        <v>0</v>
      </c>
      <c r="H20632" s="1" t="s">
        <v>0</v>
      </c>
      <c r="I20632" s="2">
        <v>0</v>
      </c>
      <c r="J20632" s="1">
        <v>45957.514837962961</v>
      </c>
    </row>
    <row r="20633" spans="1:10" x14ac:dyDescent="0.2">
      <c r="A20633" s="4" t="s">
        <v>1</v>
      </c>
      <c r="B206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33" s="3" t="str">
        <f>HYPERLINK("https://otsuka-europe-crm.veevavault.com/ui/#object/sent_email__v/VBL000000001148", "SE-001377833")</f>
        <v>SE-001377833</v>
      </c>
      <c r="D20633" s="1">
        <v>45962.04451388889</v>
      </c>
      <c r="E20633" s="2">
        <v>1</v>
      </c>
      <c r="F20633" s="2">
        <v>1</v>
      </c>
      <c r="G20633" s="2">
        <v>0</v>
      </c>
      <c r="H20633" s="1" t="s">
        <v>0</v>
      </c>
      <c r="I20633" s="2">
        <v>0</v>
      </c>
      <c r="J20633" s="1">
        <v>45957.51489583333</v>
      </c>
    </row>
    <row r="20634" spans="1:10" x14ac:dyDescent="0.2">
      <c r="A20634" s="4" t="s">
        <v>1</v>
      </c>
      <c r="B206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34" s="3" t="str">
        <f>HYPERLINK("https://otsuka-europe-crm.veevavault.com/ui/#object/sent_email__v/VBL000000001149", "SE-001377834")</f>
        <v>SE-001377834</v>
      </c>
      <c r="D20634" s="1" t="s">
        <v>0</v>
      </c>
      <c r="E20634" s="2">
        <v>0</v>
      </c>
      <c r="F20634" s="2">
        <v>0</v>
      </c>
      <c r="G20634" s="2">
        <v>0</v>
      </c>
      <c r="H20634" s="1" t="s">
        <v>0</v>
      </c>
      <c r="I20634" s="2">
        <v>0</v>
      </c>
      <c r="J20634" s="1">
        <v>45957.514965277776</v>
      </c>
    </row>
    <row r="20635" spans="1:10" x14ac:dyDescent="0.2">
      <c r="A20635" s="4" t="s">
        <v>1</v>
      </c>
      <c r="B206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35" s="3" t="str">
        <f>HYPERLINK("https://otsuka-europe-crm.veevavault.com/ui/#object/sent_email__v/VBL000000001150", "SE-001377835")</f>
        <v>SE-001377835</v>
      </c>
      <c r="D20635" s="1">
        <v>45995.415972222225</v>
      </c>
      <c r="E20635" s="2">
        <v>1</v>
      </c>
      <c r="F20635" s="2">
        <v>2</v>
      </c>
      <c r="G20635" s="2">
        <v>0</v>
      </c>
      <c r="H20635" s="1" t="s">
        <v>0</v>
      </c>
      <c r="I20635" s="2">
        <v>0</v>
      </c>
      <c r="J20635" s="1">
        <v>45957.515034722222</v>
      </c>
    </row>
    <row r="20636" spans="1:10" x14ac:dyDescent="0.2">
      <c r="A20636" s="4" t="s">
        <v>1</v>
      </c>
      <c r="B206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36" s="3" t="str">
        <f>HYPERLINK("https://otsuka-europe-crm.veevavault.com/ui/#object/sent_email__v/VBL000000001151", "SE-001377836")</f>
        <v>SE-001377836</v>
      </c>
      <c r="D20636" s="1">
        <v>45957.586817129632</v>
      </c>
      <c r="E20636" s="2">
        <v>1</v>
      </c>
      <c r="F20636" s="2">
        <v>5</v>
      </c>
      <c r="G20636" s="2">
        <v>0</v>
      </c>
      <c r="H20636" s="1" t="s">
        <v>0</v>
      </c>
      <c r="I20636" s="2">
        <v>0</v>
      </c>
      <c r="J20636" s="1">
        <v>45957.515104166669</v>
      </c>
    </row>
    <row r="20637" spans="1:10" x14ac:dyDescent="0.2">
      <c r="A20637" s="4" t="s">
        <v>1</v>
      </c>
      <c r="B206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37" s="3" t="str">
        <f>HYPERLINK("https://otsuka-europe-crm.veevavault.com/ui/#object/sent_email__v/VBL000000001152", "SE-001377837")</f>
        <v>SE-001377837</v>
      </c>
      <c r="D20637" s="1">
        <v>45971.418043981481</v>
      </c>
      <c r="E20637" s="2">
        <v>1</v>
      </c>
      <c r="F20637" s="2">
        <v>2</v>
      </c>
      <c r="G20637" s="2">
        <v>0</v>
      </c>
      <c r="H20637" s="1" t="s">
        <v>0</v>
      </c>
      <c r="I20637" s="2">
        <v>0</v>
      </c>
      <c r="J20637" s="1">
        <v>45957.515185185184</v>
      </c>
    </row>
    <row r="20638" spans="1:10" x14ac:dyDescent="0.2">
      <c r="A20638" s="4" t="s">
        <v>1</v>
      </c>
      <c r="B206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38" s="3" t="str">
        <f>HYPERLINK("https://otsuka-europe-crm.veevavault.com/ui/#object/sent_email__v/VBL000000001153", "SE-001377838")</f>
        <v>SE-001377838</v>
      </c>
      <c r="D20638" s="1">
        <v>45957.518472222226</v>
      </c>
      <c r="E20638" s="2">
        <v>1</v>
      </c>
      <c r="F20638" s="2">
        <v>2</v>
      </c>
      <c r="G20638" s="2">
        <v>0</v>
      </c>
      <c r="H20638" s="1" t="s">
        <v>0</v>
      </c>
      <c r="I20638" s="2">
        <v>0</v>
      </c>
      <c r="J20638" s="1">
        <v>45957.51525462963</v>
      </c>
    </row>
    <row r="20639" spans="1:10" x14ac:dyDescent="0.2">
      <c r="A20639" s="4" t="s">
        <v>1</v>
      </c>
      <c r="B206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39" s="3" t="str">
        <f>HYPERLINK("https://otsuka-europe-crm.veevavault.com/ui/#object/sent_email__v/VBL000000001154", "SE-001377839")</f>
        <v>SE-001377839</v>
      </c>
      <c r="D20639" s="1" t="s">
        <v>0</v>
      </c>
      <c r="E20639" s="2">
        <v>0</v>
      </c>
      <c r="F20639" s="2">
        <v>0</v>
      </c>
      <c r="G20639" s="2">
        <v>0</v>
      </c>
      <c r="H20639" s="1" t="s">
        <v>0</v>
      </c>
      <c r="I20639" s="2">
        <v>0</v>
      </c>
      <c r="J20639" s="1">
        <v>45957.515324074076</v>
      </c>
    </row>
    <row r="20640" spans="1:10" x14ac:dyDescent="0.2">
      <c r="A20640" s="4" t="s">
        <v>1</v>
      </c>
      <c r="B206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40" s="3" t="str">
        <f>HYPERLINK("https://otsuka-europe-crm.veevavault.com/ui/#object/sent_email__v/VBL000000001155", "SE-001377840")</f>
        <v>SE-001377840</v>
      </c>
      <c r="D20640" s="1" t="s">
        <v>0</v>
      </c>
      <c r="E20640" s="2">
        <v>0</v>
      </c>
      <c r="F20640" s="2">
        <v>0</v>
      </c>
      <c r="G20640" s="2">
        <v>0</v>
      </c>
      <c r="H20640" s="1" t="s">
        <v>0</v>
      </c>
      <c r="I20640" s="2">
        <v>0</v>
      </c>
      <c r="J20640" s="1">
        <v>45957.515393518515</v>
      </c>
    </row>
    <row r="20641" spans="1:10" x14ac:dyDescent="0.2">
      <c r="A20641" s="4" t="s">
        <v>1</v>
      </c>
      <c r="B206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41" s="3" t="str">
        <f>HYPERLINK("https://otsuka-europe-crm.veevavault.com/ui/#object/sent_email__v/VBL000000001156", "SE-001377841")</f>
        <v>SE-001377841</v>
      </c>
      <c r="D20641" s="1">
        <v>45957.516400462962</v>
      </c>
      <c r="E20641" s="2">
        <v>1</v>
      </c>
      <c r="F20641" s="2">
        <v>1</v>
      </c>
      <c r="G20641" s="2">
        <v>0</v>
      </c>
      <c r="H20641" s="1" t="s">
        <v>0</v>
      </c>
      <c r="I20641" s="2">
        <v>0</v>
      </c>
      <c r="J20641" s="1">
        <v>45957.515474537038</v>
      </c>
    </row>
    <row r="20642" spans="1:10" x14ac:dyDescent="0.2">
      <c r="A20642" s="4" t="s">
        <v>1</v>
      </c>
      <c r="B206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42" s="3" t="str">
        <f>HYPERLINK("https://otsuka-europe-crm.veevavault.com/ui/#object/sent_email__v/VBL000000001157", "SE-001377842")</f>
        <v>SE-001377842</v>
      </c>
      <c r="D20642" s="1">
        <v>45965.808807870373</v>
      </c>
      <c r="E20642" s="2">
        <v>1</v>
      </c>
      <c r="F20642" s="2">
        <v>1</v>
      </c>
      <c r="G20642" s="2">
        <v>0</v>
      </c>
      <c r="H20642" s="1" t="s">
        <v>0</v>
      </c>
      <c r="I20642" s="2">
        <v>0</v>
      </c>
      <c r="J20642" s="1">
        <v>45957.515532407408</v>
      </c>
    </row>
    <row r="20643" spans="1:10" x14ac:dyDescent="0.2">
      <c r="A20643" s="4" t="s">
        <v>1</v>
      </c>
      <c r="B206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43" s="3" t="str">
        <f>HYPERLINK("https://otsuka-europe-crm.veevavault.com/ui/#object/sent_email__v/VBL000000001158", "SE-001377843")</f>
        <v>SE-001377843</v>
      </c>
      <c r="D20643" s="1" t="s">
        <v>0</v>
      </c>
      <c r="E20643" s="2">
        <v>0</v>
      </c>
      <c r="F20643" s="2">
        <v>0</v>
      </c>
      <c r="G20643" s="2">
        <v>0</v>
      </c>
      <c r="H20643" s="1" t="s">
        <v>0</v>
      </c>
      <c r="I20643" s="2">
        <v>0</v>
      </c>
      <c r="J20643" s="1">
        <v>45957.515613425923</v>
      </c>
    </row>
    <row r="20644" spans="1:10" x14ac:dyDescent="0.2">
      <c r="A20644" s="4" t="s">
        <v>1</v>
      </c>
      <c r="B206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44" s="3" t="str">
        <f>HYPERLINK("https://otsuka-europe-crm.veevavault.com/ui/#object/sent_email__v/VBL000000001159", "SE-001377844")</f>
        <v>SE-001377844</v>
      </c>
      <c r="D20644" s="1">
        <v>46021.796053240738</v>
      </c>
      <c r="E20644" s="2">
        <v>1</v>
      </c>
      <c r="F20644" s="2">
        <v>13</v>
      </c>
      <c r="G20644" s="2">
        <v>1</v>
      </c>
      <c r="H20644" s="1">
        <v>45957.704756944448</v>
      </c>
      <c r="I20644" s="2">
        <v>1</v>
      </c>
      <c r="J20644" s="1">
        <v>45957.515682870369</v>
      </c>
    </row>
    <row r="20645" spans="1:10" x14ac:dyDescent="0.2">
      <c r="A20645" s="4" t="s">
        <v>1</v>
      </c>
      <c r="B206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45" s="3" t="str">
        <f>HYPERLINK("https://otsuka-europe-crm.veevavault.com/ui/#object/sent_email__v/VBL000000001160", "SE-001377845")</f>
        <v>SE-001377845</v>
      </c>
      <c r="D20645" s="1">
        <v>46058.487604166665</v>
      </c>
      <c r="E20645" s="2">
        <v>1</v>
      </c>
      <c r="F20645" s="2">
        <v>2</v>
      </c>
      <c r="G20645" s="2">
        <v>0</v>
      </c>
      <c r="H20645" s="1" t="s">
        <v>0</v>
      </c>
      <c r="I20645" s="2">
        <v>0</v>
      </c>
      <c r="J20645" s="1">
        <v>45957.515752314815</v>
      </c>
    </row>
    <row r="20646" spans="1:10" x14ac:dyDescent="0.2">
      <c r="A20646" s="4" t="s">
        <v>1</v>
      </c>
      <c r="B206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46" s="3" t="str">
        <f>HYPERLINK("https://otsuka-europe-crm.veevavault.com/ui/#object/sent_email__v/VBL000000001161", "SE-001377846")</f>
        <v>SE-001377846</v>
      </c>
      <c r="D20646" s="1" t="s">
        <v>0</v>
      </c>
      <c r="E20646" s="2">
        <v>0</v>
      </c>
      <c r="F20646" s="2">
        <v>0</v>
      </c>
      <c r="G20646" s="2">
        <v>0</v>
      </c>
      <c r="H20646" s="1" t="s">
        <v>0</v>
      </c>
      <c r="I20646" s="2">
        <v>0</v>
      </c>
      <c r="J20646" s="1">
        <v>45957.515821759262</v>
      </c>
    </row>
    <row r="20647" spans="1:10" x14ac:dyDescent="0.2">
      <c r="A20647" s="4" t="s">
        <v>1</v>
      </c>
      <c r="B206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47" s="3" t="str">
        <f>HYPERLINK("https://otsuka-europe-crm.veevavault.com/ui/#object/sent_email__v/VBL000000001162", "SE-001377847")</f>
        <v>SE-001377847</v>
      </c>
      <c r="D20647" s="1" t="s">
        <v>0</v>
      </c>
      <c r="E20647" s="2">
        <v>0</v>
      </c>
      <c r="F20647" s="2">
        <v>0</v>
      </c>
      <c r="G20647" s="2">
        <v>0</v>
      </c>
      <c r="H20647" s="1" t="s">
        <v>0</v>
      </c>
      <c r="I20647" s="2">
        <v>0</v>
      </c>
      <c r="J20647" s="1">
        <v>45957.5158912037</v>
      </c>
    </row>
    <row r="20648" spans="1:10" x14ac:dyDescent="0.2">
      <c r="A20648" s="4" t="s">
        <v>1</v>
      </c>
      <c r="B206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48" s="3" t="str">
        <f>HYPERLINK("https://otsuka-europe-crm.veevavault.com/ui/#object/sent_email__v/VBL000000001163", "SE-001377848")</f>
        <v>SE-001377848</v>
      </c>
      <c r="D20648" s="1" t="s">
        <v>0</v>
      </c>
      <c r="E20648" s="2">
        <v>0</v>
      </c>
      <c r="F20648" s="2">
        <v>0</v>
      </c>
      <c r="G20648" s="2">
        <v>0</v>
      </c>
      <c r="H20648" s="1" t="s">
        <v>0</v>
      </c>
      <c r="I20648" s="2">
        <v>0</v>
      </c>
      <c r="J20648" s="1">
        <v>45957.515972222223</v>
      </c>
    </row>
    <row r="20649" spans="1:10" x14ac:dyDescent="0.2">
      <c r="A20649" s="4" t="s">
        <v>1</v>
      </c>
      <c r="B206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49" s="3" t="str">
        <f>HYPERLINK("https://otsuka-europe-crm.veevavault.com/ui/#object/sent_email__v/VBL000000001164", "SE-001377849")</f>
        <v>SE-001377849</v>
      </c>
      <c r="D20649" s="1">
        <v>45987.89434027778</v>
      </c>
      <c r="E20649" s="2">
        <v>1</v>
      </c>
      <c r="F20649" s="2">
        <v>5</v>
      </c>
      <c r="G20649" s="2">
        <v>0</v>
      </c>
      <c r="H20649" s="1" t="s">
        <v>0</v>
      </c>
      <c r="I20649" s="2">
        <v>0</v>
      </c>
      <c r="J20649" s="1">
        <v>45957.516018518516</v>
      </c>
    </row>
    <row r="20650" spans="1:10" x14ac:dyDescent="0.2">
      <c r="A20650" s="4" t="s">
        <v>1</v>
      </c>
      <c r="B206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50" s="3" t="str">
        <f>HYPERLINK("https://otsuka-europe-crm.veevavault.com/ui/#object/sent_email__v/VBL000000001165", "SE-001377850")</f>
        <v>SE-001377850</v>
      </c>
      <c r="D20650" s="1">
        <v>45958.577523148146</v>
      </c>
      <c r="E20650" s="2">
        <v>1</v>
      </c>
      <c r="F20650" s="2">
        <v>1</v>
      </c>
      <c r="G20650" s="2">
        <v>0</v>
      </c>
      <c r="H20650" s="1" t="s">
        <v>0</v>
      </c>
      <c r="I20650" s="2">
        <v>0</v>
      </c>
      <c r="J20650" s="1">
        <v>45957.516087962962</v>
      </c>
    </row>
    <row r="20651" spans="1:10" x14ac:dyDescent="0.2">
      <c r="A20651" s="4" t="s">
        <v>1</v>
      </c>
      <c r="B206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51" s="3" t="str">
        <f>HYPERLINK("https://otsuka-europe-crm.veevavault.com/ui/#object/sent_email__v/VBL000000001166", "SE-001377851")</f>
        <v>SE-001377851</v>
      </c>
      <c r="D20651" s="1" t="s">
        <v>0</v>
      </c>
      <c r="E20651" s="2">
        <v>0</v>
      </c>
      <c r="F20651" s="2">
        <v>0</v>
      </c>
      <c r="G20651" s="2">
        <v>0</v>
      </c>
      <c r="H20651" s="1" t="s">
        <v>0</v>
      </c>
      <c r="I20651" s="2">
        <v>0</v>
      </c>
      <c r="J20651" s="1">
        <v>45957.516157407408</v>
      </c>
    </row>
    <row r="20652" spans="1:10" x14ac:dyDescent="0.2">
      <c r="A20652" s="4" t="s">
        <v>1</v>
      </c>
      <c r="B206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52" s="3" t="str">
        <f>HYPERLINK("https://otsuka-europe-crm.veevavault.com/ui/#object/sent_email__v/VBL000000001167", "SE-001377852")</f>
        <v>SE-001377852</v>
      </c>
      <c r="D20652" s="1" t="s">
        <v>0</v>
      </c>
      <c r="E20652" s="2">
        <v>0</v>
      </c>
      <c r="F20652" s="2">
        <v>0</v>
      </c>
      <c r="G20652" s="2">
        <v>0</v>
      </c>
      <c r="H20652" s="1" t="s">
        <v>0</v>
      </c>
      <c r="I20652" s="2">
        <v>0</v>
      </c>
      <c r="J20652" s="1">
        <v>45957.516238425924</v>
      </c>
    </row>
    <row r="20653" spans="1:10" x14ac:dyDescent="0.2">
      <c r="A20653" s="4" t="s">
        <v>1</v>
      </c>
      <c r="B206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53" s="3" t="str">
        <f>HYPERLINK("https://otsuka-europe-crm.veevavault.com/ui/#object/sent_email__v/VBL000000001168", "SE-001377853")</f>
        <v>SE-001377853</v>
      </c>
      <c r="D20653" s="1">
        <v>45958.859780092593</v>
      </c>
      <c r="E20653" s="2">
        <v>1</v>
      </c>
      <c r="F20653" s="2">
        <v>3</v>
      </c>
      <c r="G20653" s="2">
        <v>0</v>
      </c>
      <c r="H20653" s="1" t="s">
        <v>0</v>
      </c>
      <c r="I20653" s="2">
        <v>0</v>
      </c>
      <c r="J20653" s="1">
        <v>45957.516296296293</v>
      </c>
    </row>
    <row r="20654" spans="1:10" x14ac:dyDescent="0.2">
      <c r="A20654" s="4" t="s">
        <v>1</v>
      </c>
      <c r="B206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54" s="3" t="str">
        <f>HYPERLINK("https://otsuka-europe-crm.veevavault.com/ui/#object/sent_email__v/VBL000000001169", "SE-001377854")</f>
        <v>SE-001377854</v>
      </c>
      <c r="D20654" s="1">
        <v>45984.657916666663</v>
      </c>
      <c r="E20654" s="2">
        <v>1</v>
      </c>
      <c r="F20654" s="2">
        <v>3</v>
      </c>
      <c r="G20654" s="2">
        <v>0</v>
      </c>
      <c r="H20654" s="1" t="s">
        <v>0</v>
      </c>
      <c r="I20654" s="2">
        <v>0</v>
      </c>
      <c r="J20654" s="1">
        <v>45957.516365740739</v>
      </c>
    </row>
    <row r="20655" spans="1:10" x14ac:dyDescent="0.2">
      <c r="A20655" s="4" t="s">
        <v>1</v>
      </c>
      <c r="B206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55" s="3" t="str">
        <f>HYPERLINK("https://otsuka-europe-crm.veevavault.com/ui/#object/sent_email__v/VBL000000001170", "SE-001377855")</f>
        <v>SE-001377855</v>
      </c>
      <c r="D20655" s="1">
        <v>45983.64203703704</v>
      </c>
      <c r="E20655" s="2">
        <v>1</v>
      </c>
      <c r="F20655" s="2">
        <v>1</v>
      </c>
      <c r="G20655" s="2">
        <v>0</v>
      </c>
      <c r="H20655" s="1" t="s">
        <v>0</v>
      </c>
      <c r="I20655" s="2">
        <v>0</v>
      </c>
      <c r="J20655" s="1">
        <v>45957.516435185185</v>
      </c>
    </row>
    <row r="20656" spans="1:10" x14ac:dyDescent="0.2">
      <c r="A20656" s="4" t="s">
        <v>1</v>
      </c>
      <c r="B206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56" s="3" t="str">
        <f>HYPERLINK("https://otsuka-europe-crm.veevavault.com/ui/#object/sent_email__v/VBL000000001171", "SE-001377856")</f>
        <v>SE-001377856</v>
      </c>
      <c r="D20656" s="1">
        <v>45958.255868055552</v>
      </c>
      <c r="E20656" s="2">
        <v>1</v>
      </c>
      <c r="F20656" s="2">
        <v>1</v>
      </c>
      <c r="G20656" s="2">
        <v>0</v>
      </c>
      <c r="H20656" s="1" t="s">
        <v>0</v>
      </c>
      <c r="I20656" s="2">
        <v>0</v>
      </c>
      <c r="J20656" s="1">
        <v>45957.516493055555</v>
      </c>
    </row>
    <row r="20657" spans="1:10" x14ac:dyDescent="0.2">
      <c r="A20657" s="4" t="s">
        <v>1</v>
      </c>
      <c r="B206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57" s="3" t="str">
        <f>HYPERLINK("https://otsuka-europe-crm.veevavault.com/ui/#object/sent_email__v/VBL000000001172", "SE-001377857")</f>
        <v>SE-001377857</v>
      </c>
      <c r="D20657" s="1" t="s">
        <v>0</v>
      </c>
      <c r="E20657" s="2">
        <v>0</v>
      </c>
      <c r="F20657" s="2">
        <v>0</v>
      </c>
      <c r="G20657" s="2">
        <v>0</v>
      </c>
      <c r="H20657" s="1" t="s">
        <v>0</v>
      </c>
      <c r="I20657" s="2">
        <v>0</v>
      </c>
      <c r="J20657" s="1">
        <v>45957.516562500001</v>
      </c>
    </row>
    <row r="20658" spans="1:10" x14ac:dyDescent="0.2">
      <c r="A20658" s="4" t="s">
        <v>1</v>
      </c>
      <c r="B206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58" s="3" t="str">
        <f>HYPERLINK("https://otsuka-europe-crm.veevavault.com/ui/#object/sent_email__v/VBL000000001173", "SE-001377858")</f>
        <v>SE-001377858</v>
      </c>
      <c r="D20658" s="1">
        <v>45957.647118055553</v>
      </c>
      <c r="E20658" s="2">
        <v>1</v>
      </c>
      <c r="F20658" s="2">
        <v>1</v>
      </c>
      <c r="G20658" s="2">
        <v>0</v>
      </c>
      <c r="H20658" s="1" t="s">
        <v>0</v>
      </c>
      <c r="I20658" s="2">
        <v>0</v>
      </c>
      <c r="J20658" s="1">
        <v>45957.516631944447</v>
      </c>
    </row>
    <row r="20659" spans="1:10" x14ac:dyDescent="0.2">
      <c r="A20659" s="4" t="s">
        <v>1</v>
      </c>
      <c r="B206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59" s="3" t="str">
        <f>HYPERLINK("https://otsuka-europe-crm.veevavault.com/ui/#object/sent_email__v/VBL000000001174", "SE-001377859")</f>
        <v>SE-001377859</v>
      </c>
      <c r="D20659" s="1">
        <v>45959.93408564815</v>
      </c>
      <c r="E20659" s="2">
        <v>1</v>
      </c>
      <c r="F20659" s="2">
        <v>1</v>
      </c>
      <c r="G20659" s="2">
        <v>0</v>
      </c>
      <c r="H20659" s="1" t="s">
        <v>0</v>
      </c>
      <c r="I20659" s="2">
        <v>0</v>
      </c>
      <c r="J20659" s="1">
        <v>45957.516712962963</v>
      </c>
    </row>
    <row r="20660" spans="1:10" x14ac:dyDescent="0.2">
      <c r="A20660" s="4" t="s">
        <v>1</v>
      </c>
      <c r="B206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60" s="3" t="str">
        <f>HYPERLINK("https://otsuka-europe-crm.veevavault.com/ui/#object/sent_email__v/VBL000000001175", "SE-001377860")</f>
        <v>SE-001377860</v>
      </c>
      <c r="D20660" s="1" t="s">
        <v>0</v>
      </c>
      <c r="E20660" s="2">
        <v>0</v>
      </c>
      <c r="F20660" s="2">
        <v>0</v>
      </c>
      <c r="G20660" s="2">
        <v>0</v>
      </c>
      <c r="H20660" s="1" t="s">
        <v>0</v>
      </c>
      <c r="I20660" s="2">
        <v>0</v>
      </c>
      <c r="J20660" s="1">
        <v>45957.516770833332</v>
      </c>
    </row>
    <row r="20661" spans="1:10" x14ac:dyDescent="0.2">
      <c r="A20661" s="4" t="s">
        <v>1</v>
      </c>
      <c r="B206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61" s="3" t="str">
        <f>HYPERLINK("https://otsuka-europe-crm.veevavault.com/ui/#object/sent_email__v/VBL000000001176", "SE-001377861")</f>
        <v>SE-001377861</v>
      </c>
      <c r="D20661" s="1" t="s">
        <v>0</v>
      </c>
      <c r="E20661" s="2">
        <v>0</v>
      </c>
      <c r="F20661" s="2">
        <v>0</v>
      </c>
      <c r="G20661" s="2">
        <v>0</v>
      </c>
      <c r="H20661" s="1" t="s">
        <v>0</v>
      </c>
      <c r="I20661" s="2">
        <v>0</v>
      </c>
      <c r="J20661" s="1">
        <v>45957.516840277778</v>
      </c>
    </row>
    <row r="20662" spans="1:10" x14ac:dyDescent="0.2">
      <c r="A20662" s="4" t="s">
        <v>1</v>
      </c>
      <c r="B206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62" s="3" t="str">
        <f>HYPERLINK("https://otsuka-europe-crm.veevavault.com/ui/#object/sent_email__v/VBL000000001177", "SE-001377862")</f>
        <v>SE-001377862</v>
      </c>
      <c r="D20662" s="1">
        <v>45957.548831018517</v>
      </c>
      <c r="E20662" s="2">
        <v>1</v>
      </c>
      <c r="F20662" s="2">
        <v>1</v>
      </c>
      <c r="G20662" s="2">
        <v>0</v>
      </c>
      <c r="H20662" s="1" t="s">
        <v>0</v>
      </c>
      <c r="I20662" s="2">
        <v>0</v>
      </c>
      <c r="J20662" s="1">
        <v>45957.516909722224</v>
      </c>
    </row>
    <row r="20663" spans="1:10" x14ac:dyDescent="0.2">
      <c r="A20663" s="4" t="s">
        <v>1</v>
      </c>
      <c r="B206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63" s="3" t="str">
        <f>HYPERLINK("https://otsuka-europe-crm.veevavault.com/ui/#object/sent_email__v/VBL000000001178", "SE-001377863")</f>
        <v>SE-001377863</v>
      </c>
      <c r="D20663" s="1">
        <v>45958.017025462963</v>
      </c>
      <c r="E20663" s="2">
        <v>1</v>
      </c>
      <c r="F20663" s="2">
        <v>3</v>
      </c>
      <c r="G20663" s="2">
        <v>0</v>
      </c>
      <c r="H20663" s="1" t="s">
        <v>0</v>
      </c>
      <c r="I20663" s="2">
        <v>0</v>
      </c>
      <c r="J20663" s="1">
        <v>45957.51699074074</v>
      </c>
    </row>
    <row r="20664" spans="1:10" x14ac:dyDescent="0.2">
      <c r="A20664" s="4" t="s">
        <v>1</v>
      </c>
      <c r="B206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64" s="3" t="str">
        <f>HYPERLINK("https://otsuka-europe-crm.veevavault.com/ui/#object/sent_email__v/VBL000000001179", "SE-001377864")</f>
        <v>SE-001377864</v>
      </c>
      <c r="D20664" s="1" t="s">
        <v>0</v>
      </c>
      <c r="E20664" s="2">
        <v>0</v>
      </c>
      <c r="F20664" s="2">
        <v>0</v>
      </c>
      <c r="G20664" s="2">
        <v>0</v>
      </c>
      <c r="H20664" s="1" t="s">
        <v>0</v>
      </c>
      <c r="I20664" s="2">
        <v>0</v>
      </c>
      <c r="J20664" s="1">
        <v>45957.517048611109</v>
      </c>
    </row>
    <row r="20665" spans="1:10" x14ac:dyDescent="0.2">
      <c r="A20665" s="4" t="s">
        <v>1</v>
      </c>
      <c r="B206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65" s="3" t="str">
        <f>HYPERLINK("https://otsuka-europe-crm.veevavault.com/ui/#object/sent_email__v/VBL000000001180", "SE-001377865")</f>
        <v>SE-001377865</v>
      </c>
      <c r="D20665" s="1">
        <v>45958.277766203704</v>
      </c>
      <c r="E20665" s="2">
        <v>1</v>
      </c>
      <c r="F20665" s="2">
        <v>1</v>
      </c>
      <c r="G20665" s="2">
        <v>0</v>
      </c>
      <c r="H20665" s="1" t="s">
        <v>0</v>
      </c>
      <c r="I20665" s="2">
        <v>0</v>
      </c>
      <c r="J20665" s="1">
        <v>45957.517118055555</v>
      </c>
    </row>
    <row r="20666" spans="1:10" x14ac:dyDescent="0.2">
      <c r="A20666" s="4" t="s">
        <v>1</v>
      </c>
      <c r="B206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66" s="3" t="str">
        <f>HYPERLINK("https://otsuka-europe-crm.veevavault.com/ui/#object/sent_email__v/VBL000000001181", "SE-001377866")</f>
        <v>SE-001377866</v>
      </c>
      <c r="D20666" s="1">
        <v>45957.520405092589</v>
      </c>
      <c r="E20666" s="2">
        <v>1</v>
      </c>
      <c r="F20666" s="2">
        <v>1</v>
      </c>
      <c r="G20666" s="2">
        <v>0</v>
      </c>
      <c r="H20666" s="1" t="s">
        <v>0</v>
      </c>
      <c r="I20666" s="2">
        <v>0</v>
      </c>
      <c r="J20666" s="1">
        <v>45957.517187500001</v>
      </c>
    </row>
    <row r="20667" spans="1:10" x14ac:dyDescent="0.2">
      <c r="A20667" s="4" t="s">
        <v>1</v>
      </c>
      <c r="B206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67" s="3" t="str">
        <f>HYPERLINK("https://otsuka-europe-crm.veevavault.com/ui/#object/sent_email__v/VBL000000001182", "SE-001377867")</f>
        <v>SE-001377867</v>
      </c>
      <c r="D20667" s="1">
        <v>45957.620937500003</v>
      </c>
      <c r="E20667" s="2">
        <v>1</v>
      </c>
      <c r="F20667" s="2">
        <v>2</v>
      </c>
      <c r="G20667" s="2">
        <v>0</v>
      </c>
      <c r="H20667" s="1" t="s">
        <v>0</v>
      </c>
      <c r="I20667" s="2">
        <v>0</v>
      </c>
      <c r="J20667" s="1">
        <v>45957.517245370371</v>
      </c>
    </row>
    <row r="20668" spans="1:10" x14ac:dyDescent="0.2">
      <c r="A20668" s="4" t="s">
        <v>1</v>
      </c>
      <c r="B206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68" s="3" t="str">
        <f>HYPERLINK("https://otsuka-europe-crm.veevavault.com/ui/#object/sent_email__v/VBL000000001183", "SE-001377868")</f>
        <v>SE-001377868</v>
      </c>
      <c r="D20668" s="1">
        <v>45957.868738425925</v>
      </c>
      <c r="E20668" s="2">
        <v>1</v>
      </c>
      <c r="F20668" s="2">
        <v>1</v>
      </c>
      <c r="G20668" s="2">
        <v>0</v>
      </c>
      <c r="H20668" s="1" t="s">
        <v>0</v>
      </c>
      <c r="I20668" s="2">
        <v>0</v>
      </c>
      <c r="J20668" s="1">
        <v>45957.517326388886</v>
      </c>
    </row>
    <row r="20669" spans="1:10" x14ac:dyDescent="0.2">
      <c r="A20669" s="4" t="s">
        <v>1</v>
      </c>
      <c r="B206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69" s="3" t="str">
        <f>HYPERLINK("https://otsuka-europe-crm.veevavault.com/ui/#object/sent_email__v/VBL000000001184", "SE-001377869")</f>
        <v>SE-001377869</v>
      </c>
      <c r="D20669" s="1" t="s">
        <v>0</v>
      </c>
      <c r="E20669" s="2">
        <v>0</v>
      </c>
      <c r="F20669" s="2">
        <v>0</v>
      </c>
      <c r="G20669" s="2">
        <v>0</v>
      </c>
      <c r="H20669" s="1" t="s">
        <v>0</v>
      </c>
      <c r="I20669" s="2">
        <v>0</v>
      </c>
      <c r="J20669" s="1">
        <v>45957.517372685186</v>
      </c>
    </row>
    <row r="20670" spans="1:10" x14ac:dyDescent="0.2">
      <c r="A20670" s="4" t="s">
        <v>1</v>
      </c>
      <c r="B206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70" s="3" t="str">
        <f>HYPERLINK("https://otsuka-europe-crm.veevavault.com/ui/#object/sent_email__v/VBL000000001185", "SE-001377870")</f>
        <v>SE-001377870</v>
      </c>
      <c r="D20670" s="1">
        <v>45959.268229166664</v>
      </c>
      <c r="E20670" s="2">
        <v>1</v>
      </c>
      <c r="F20670" s="2">
        <v>1</v>
      </c>
      <c r="G20670" s="2">
        <v>0</v>
      </c>
      <c r="H20670" s="1" t="s">
        <v>0</v>
      </c>
      <c r="I20670" s="2">
        <v>0</v>
      </c>
      <c r="J20670" s="1">
        <v>45957.517430555556</v>
      </c>
    </row>
    <row r="20671" spans="1:10" x14ac:dyDescent="0.2">
      <c r="A20671" s="4" t="s">
        <v>1</v>
      </c>
      <c r="B206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71" s="3" t="str">
        <f>HYPERLINK("https://otsuka-europe-crm.veevavault.com/ui/#object/sent_email__v/VBL000000001186", "SE-001377871")</f>
        <v>SE-001377871</v>
      </c>
      <c r="D20671" s="1">
        <v>45957.686053240737</v>
      </c>
      <c r="E20671" s="2">
        <v>1</v>
      </c>
      <c r="F20671" s="2">
        <v>1</v>
      </c>
      <c r="G20671" s="2">
        <v>0</v>
      </c>
      <c r="H20671" s="1" t="s">
        <v>0</v>
      </c>
      <c r="I20671" s="2">
        <v>0</v>
      </c>
      <c r="J20671" s="1">
        <v>45957.517488425925</v>
      </c>
    </row>
    <row r="20672" spans="1:10" x14ac:dyDescent="0.2">
      <c r="A20672" s="4" t="s">
        <v>1</v>
      </c>
      <c r="B206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72" s="3" t="str">
        <f>HYPERLINK("https://otsuka-europe-crm.veevavault.com/ui/#object/sent_email__v/VBL000000001187", "SE-001377872")</f>
        <v>SE-001377872</v>
      </c>
      <c r="D20672" s="1">
        <v>45958.26185185185</v>
      </c>
      <c r="E20672" s="2">
        <v>1</v>
      </c>
      <c r="F20672" s="2">
        <v>2</v>
      </c>
      <c r="G20672" s="2">
        <v>0</v>
      </c>
      <c r="H20672" s="1" t="s">
        <v>0</v>
      </c>
      <c r="I20672" s="2">
        <v>0</v>
      </c>
      <c r="J20672" s="1">
        <v>45957.517511574071</v>
      </c>
    </row>
    <row r="20673" spans="1:10" x14ac:dyDescent="0.2">
      <c r="A20673" s="4" t="s">
        <v>1</v>
      </c>
      <c r="B206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73" s="3" t="str">
        <f>HYPERLINK("https://otsuka-europe-crm.veevavault.com/ui/#object/sent_email__v/VBL000000001188", "SE-001377873")</f>
        <v>SE-001377873</v>
      </c>
      <c r="D20673" s="1">
        <v>45957.525416666664</v>
      </c>
      <c r="E20673" s="2">
        <v>1</v>
      </c>
      <c r="F20673" s="2">
        <v>2</v>
      </c>
      <c r="G20673" s="2">
        <v>0</v>
      </c>
      <c r="H20673" s="1" t="s">
        <v>0</v>
      </c>
      <c r="I20673" s="2">
        <v>0</v>
      </c>
      <c r="J20673" s="1">
        <v>45957.517546296294</v>
      </c>
    </row>
    <row r="20674" spans="1:10" x14ac:dyDescent="0.2">
      <c r="A20674" s="4" t="s">
        <v>1</v>
      </c>
      <c r="B206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74" s="3" t="str">
        <f>HYPERLINK("https://otsuka-europe-crm.veevavault.com/ui/#object/sent_email__v/VBL000000001189", "SE-001377874")</f>
        <v>SE-001377874</v>
      </c>
      <c r="D20674" s="1">
        <v>45957.631076388891</v>
      </c>
      <c r="E20674" s="2">
        <v>1</v>
      </c>
      <c r="F20674" s="2">
        <v>3</v>
      </c>
      <c r="G20674" s="2">
        <v>0</v>
      </c>
      <c r="H20674" s="1" t="s">
        <v>0</v>
      </c>
      <c r="I20674" s="2">
        <v>0</v>
      </c>
      <c r="J20674" s="1">
        <v>45957.517604166664</v>
      </c>
    </row>
    <row r="20675" spans="1:10" x14ac:dyDescent="0.2">
      <c r="A20675" s="4" t="s">
        <v>1</v>
      </c>
      <c r="B206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75" s="3" t="str">
        <f>HYPERLINK("https://otsuka-europe-crm.veevavault.com/ui/#object/sent_email__v/VBL000000001190", "SE-001377875")</f>
        <v>SE-001377875</v>
      </c>
      <c r="D20675" s="1" t="s">
        <v>0</v>
      </c>
      <c r="E20675" s="2">
        <v>0</v>
      </c>
      <c r="F20675" s="2">
        <v>0</v>
      </c>
      <c r="G20675" s="2">
        <v>0</v>
      </c>
      <c r="H20675" s="1" t="s">
        <v>0</v>
      </c>
      <c r="I20675" s="2">
        <v>0</v>
      </c>
      <c r="J20675" s="1">
        <v>45957.517638888887</v>
      </c>
    </row>
    <row r="20676" spans="1:10" x14ac:dyDescent="0.2">
      <c r="A20676" s="4" t="s">
        <v>1</v>
      </c>
      <c r="B206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76" s="3" t="str">
        <f>HYPERLINK("https://otsuka-europe-crm.veevavault.com/ui/#object/sent_email__v/VBL000000001191", "SE-001377876")</f>
        <v>SE-001377876</v>
      </c>
      <c r="D20676" s="1">
        <v>45970.3827662037</v>
      </c>
      <c r="E20676" s="2">
        <v>1</v>
      </c>
      <c r="F20676" s="2">
        <v>2</v>
      </c>
      <c r="G20676" s="2">
        <v>0</v>
      </c>
      <c r="H20676" s="1" t="s">
        <v>0</v>
      </c>
      <c r="I20676" s="2">
        <v>0</v>
      </c>
      <c r="J20676" s="1">
        <v>45957.517708333333</v>
      </c>
    </row>
    <row r="20677" spans="1:10" x14ac:dyDescent="0.2">
      <c r="A20677" s="4" t="s">
        <v>1</v>
      </c>
      <c r="B206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77" s="3" t="str">
        <f>HYPERLINK("https://otsuka-europe-crm.veevavault.com/ui/#object/sent_email__v/VBL000000001192", "SE-001377877")</f>
        <v>SE-001377877</v>
      </c>
      <c r="D20677" s="1">
        <v>45957.694594907407</v>
      </c>
      <c r="E20677" s="2">
        <v>1</v>
      </c>
      <c r="F20677" s="2">
        <v>1</v>
      </c>
      <c r="G20677" s="2">
        <v>0</v>
      </c>
      <c r="H20677" s="1" t="s">
        <v>0</v>
      </c>
      <c r="I20677" s="2">
        <v>0</v>
      </c>
      <c r="J20677" s="1">
        <v>45957.517789351848</v>
      </c>
    </row>
    <row r="20678" spans="1:10" x14ac:dyDescent="0.2">
      <c r="A20678" s="4" t="s">
        <v>1</v>
      </c>
      <c r="B206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78" s="3" t="str">
        <f>HYPERLINK("https://otsuka-europe-crm.veevavault.com/ui/#object/sent_email__v/VBL000000001193", "SE-001377878")</f>
        <v>SE-001377878</v>
      </c>
      <c r="D20678" s="1">
        <v>45957.595081018517</v>
      </c>
      <c r="E20678" s="2">
        <v>1</v>
      </c>
      <c r="F20678" s="2">
        <v>2</v>
      </c>
      <c r="G20678" s="2">
        <v>0</v>
      </c>
      <c r="H20678" s="1" t="s">
        <v>0</v>
      </c>
      <c r="I20678" s="2">
        <v>0</v>
      </c>
      <c r="J20678" s="1">
        <v>45957.517847222225</v>
      </c>
    </row>
    <row r="20679" spans="1:10" x14ac:dyDescent="0.2">
      <c r="A20679" s="4" t="s">
        <v>1</v>
      </c>
      <c r="B206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79" s="3" t="str">
        <f>HYPERLINK("https://otsuka-europe-crm.veevavault.com/ui/#object/sent_email__v/VBL000000001194", "SE-001377879")</f>
        <v>SE-001377879</v>
      </c>
      <c r="D20679" s="1" t="s">
        <v>0</v>
      </c>
      <c r="E20679" s="2">
        <v>0</v>
      </c>
      <c r="F20679" s="2">
        <v>0</v>
      </c>
      <c r="G20679" s="2">
        <v>0</v>
      </c>
      <c r="H20679" s="1" t="s">
        <v>0</v>
      </c>
      <c r="I20679" s="2">
        <v>0</v>
      </c>
      <c r="J20679" s="1">
        <v>45957.517916666664</v>
      </c>
    </row>
    <row r="20680" spans="1:10" x14ac:dyDescent="0.2">
      <c r="A20680" s="4" t="s">
        <v>1</v>
      </c>
      <c r="B206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80" s="3" t="str">
        <f>HYPERLINK("https://otsuka-europe-crm.veevavault.com/ui/#object/sent_email__v/VBL000000001195", "SE-001377880")</f>
        <v>SE-001377880</v>
      </c>
      <c r="D20680" s="1">
        <v>45959.41615740741</v>
      </c>
      <c r="E20680" s="2">
        <v>1</v>
      </c>
      <c r="F20680" s="2">
        <v>1</v>
      </c>
      <c r="G20680" s="2">
        <v>0</v>
      </c>
      <c r="H20680" s="1" t="s">
        <v>0</v>
      </c>
      <c r="I20680" s="2">
        <v>0</v>
      </c>
      <c r="J20680" s="1">
        <v>45957.51798611111</v>
      </c>
    </row>
    <row r="20681" spans="1:10" x14ac:dyDescent="0.2">
      <c r="A20681" s="4" t="s">
        <v>1</v>
      </c>
      <c r="B206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81" s="3" t="str">
        <f>HYPERLINK("https://otsuka-europe-crm.veevavault.com/ui/#object/sent_email__v/VBL000000001196", "SE-001377881")</f>
        <v>SE-001377881</v>
      </c>
      <c r="D20681" s="1">
        <v>45957.880983796298</v>
      </c>
      <c r="E20681" s="2">
        <v>1</v>
      </c>
      <c r="F20681" s="2">
        <v>1</v>
      </c>
      <c r="G20681" s="2">
        <v>0</v>
      </c>
      <c r="H20681" s="1" t="s">
        <v>0</v>
      </c>
      <c r="I20681" s="2">
        <v>0</v>
      </c>
      <c r="J20681" s="1">
        <v>45957.518055555556</v>
      </c>
    </row>
    <row r="20682" spans="1:10" x14ac:dyDescent="0.2">
      <c r="A20682" s="4" t="s">
        <v>1</v>
      </c>
      <c r="B206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82" s="3" t="str">
        <f>HYPERLINK("https://otsuka-europe-crm.veevavault.com/ui/#object/sent_email__v/VBL000000001197", "SE-001377882")</f>
        <v>SE-001377882</v>
      </c>
      <c r="D20682" s="1" t="s">
        <v>0</v>
      </c>
      <c r="E20682" s="2">
        <v>0</v>
      </c>
      <c r="F20682" s="2">
        <v>0</v>
      </c>
      <c r="G20682" s="2">
        <v>0</v>
      </c>
      <c r="H20682" s="1" t="s">
        <v>0</v>
      </c>
      <c r="I20682" s="2">
        <v>0</v>
      </c>
      <c r="J20682" s="1">
        <v>45957.518125000002</v>
      </c>
    </row>
    <row r="20683" spans="1:10" x14ac:dyDescent="0.2">
      <c r="A20683" s="4" t="s">
        <v>1</v>
      </c>
      <c r="B206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83" s="3" t="str">
        <f>HYPERLINK("https://otsuka-europe-crm.veevavault.com/ui/#object/sent_email__v/VBL000000001198", "SE-001377883")</f>
        <v>SE-001377883</v>
      </c>
      <c r="D20683" s="1" t="s">
        <v>0</v>
      </c>
      <c r="E20683" s="2">
        <v>0</v>
      </c>
      <c r="F20683" s="2">
        <v>0</v>
      </c>
      <c r="G20683" s="2">
        <v>0</v>
      </c>
      <c r="H20683" s="1" t="s">
        <v>0</v>
      </c>
      <c r="I20683" s="2">
        <v>0</v>
      </c>
      <c r="J20683" s="1">
        <v>45957.518206018518</v>
      </c>
    </row>
    <row r="20684" spans="1:10" x14ac:dyDescent="0.2">
      <c r="A20684" s="4" t="s">
        <v>1</v>
      </c>
      <c r="B206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84" s="3" t="str">
        <f>HYPERLINK("https://otsuka-europe-crm.veevavault.com/ui/#object/sent_email__v/VBL000000001199", "SE-001377884")</f>
        <v>SE-001377884</v>
      </c>
      <c r="D20684" s="1">
        <v>45957.978090277778</v>
      </c>
      <c r="E20684" s="2">
        <v>1</v>
      </c>
      <c r="F20684" s="2">
        <v>2</v>
      </c>
      <c r="G20684" s="2">
        <v>0</v>
      </c>
      <c r="H20684" s="1" t="s">
        <v>0</v>
      </c>
      <c r="I20684" s="2">
        <v>0</v>
      </c>
      <c r="J20684" s="1">
        <v>45957.518263888887</v>
      </c>
    </row>
    <row r="20685" spans="1:10" x14ac:dyDescent="0.2">
      <c r="A20685" s="4" t="s">
        <v>1</v>
      </c>
      <c r="B206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85" s="3" t="str">
        <f>HYPERLINK("https://otsuka-europe-crm.veevavault.com/ui/#object/sent_email__v/VBL000000001200", "SE-001377885")</f>
        <v>SE-001377885</v>
      </c>
      <c r="D20685" s="1">
        <v>45970.404942129629</v>
      </c>
      <c r="E20685" s="2">
        <v>1</v>
      </c>
      <c r="F20685" s="2">
        <v>3</v>
      </c>
      <c r="G20685" s="2">
        <v>0</v>
      </c>
      <c r="H20685" s="1" t="s">
        <v>0</v>
      </c>
      <c r="I20685" s="2">
        <v>0</v>
      </c>
      <c r="J20685" s="1">
        <v>45957.518379629626</v>
      </c>
    </row>
    <row r="20686" spans="1:10" x14ac:dyDescent="0.2">
      <c r="A20686" s="4" t="s">
        <v>1</v>
      </c>
      <c r="B206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86" s="3" t="str">
        <f>HYPERLINK("https://otsuka-europe-crm.veevavault.com/ui/#object/sent_email__v/VBL000000001201", "SE-001377886")</f>
        <v>SE-001377886</v>
      </c>
      <c r="D20686" s="1" t="s">
        <v>0</v>
      </c>
      <c r="E20686" s="2">
        <v>0</v>
      </c>
      <c r="F20686" s="2">
        <v>0</v>
      </c>
      <c r="G20686" s="2">
        <v>0</v>
      </c>
      <c r="H20686" s="1" t="s">
        <v>0</v>
      </c>
      <c r="I20686" s="2">
        <v>0</v>
      </c>
      <c r="J20686" s="1">
        <v>45957.518460648149</v>
      </c>
    </row>
    <row r="20687" spans="1:10" x14ac:dyDescent="0.2">
      <c r="A20687" s="4" t="s">
        <v>1</v>
      </c>
      <c r="B206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87" s="3" t="str">
        <f>HYPERLINK("https://otsuka-europe-crm.veevavault.com/ui/#object/sent_email__v/VBL000000001202", "SE-001377887")</f>
        <v>SE-001377887</v>
      </c>
      <c r="D20687" s="1">
        <v>45960.363402777781</v>
      </c>
      <c r="E20687" s="2">
        <v>1</v>
      </c>
      <c r="F20687" s="2">
        <v>2</v>
      </c>
      <c r="G20687" s="2">
        <v>0</v>
      </c>
      <c r="H20687" s="1" t="s">
        <v>0</v>
      </c>
      <c r="I20687" s="2">
        <v>0</v>
      </c>
      <c r="J20687" s="1">
        <v>45957.518518518518</v>
      </c>
    </row>
    <row r="20688" spans="1:10" x14ac:dyDescent="0.2">
      <c r="A20688" s="4" t="s">
        <v>1</v>
      </c>
      <c r="B206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88" s="3" t="str">
        <f>HYPERLINK("https://otsuka-europe-crm.veevavault.com/ui/#object/sent_email__v/VBL000000001203", "SE-001377888")</f>
        <v>SE-001377888</v>
      </c>
      <c r="D20688" s="1" t="s">
        <v>0</v>
      </c>
      <c r="E20688" s="2">
        <v>0</v>
      </c>
      <c r="F20688" s="2">
        <v>0</v>
      </c>
      <c r="G20688" s="2">
        <v>0</v>
      </c>
      <c r="H20688" s="1" t="s">
        <v>0</v>
      </c>
      <c r="I20688" s="2">
        <v>0</v>
      </c>
      <c r="J20688" s="1">
        <v>45957.518599537034</v>
      </c>
    </row>
    <row r="20689" spans="1:10" x14ac:dyDescent="0.2">
      <c r="A20689" s="4" t="s">
        <v>1</v>
      </c>
      <c r="B206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89" s="3" t="str">
        <f>HYPERLINK("https://otsuka-europe-crm.veevavault.com/ui/#object/sent_email__v/VBL000000001204", "SE-001377889")</f>
        <v>SE-001377889</v>
      </c>
      <c r="D20689" s="1" t="s">
        <v>0</v>
      </c>
      <c r="E20689" s="2">
        <v>0</v>
      </c>
      <c r="F20689" s="2">
        <v>0</v>
      </c>
      <c r="G20689" s="2">
        <v>0</v>
      </c>
      <c r="H20689" s="1" t="s">
        <v>0</v>
      </c>
      <c r="I20689" s="2">
        <v>0</v>
      </c>
      <c r="J20689" s="1">
        <v>45957.51866898148</v>
      </c>
    </row>
    <row r="20690" spans="1:10" x14ac:dyDescent="0.2">
      <c r="A20690" s="4" t="s">
        <v>1</v>
      </c>
      <c r="B206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90" s="3" t="str">
        <f>HYPERLINK("https://otsuka-europe-crm.veevavault.com/ui/#object/sent_email__v/VBL000000002114", "SE-001378676")</f>
        <v>SE-001378676</v>
      </c>
      <c r="D20690" s="1">
        <v>46046.336886574078</v>
      </c>
      <c r="E20690" s="2">
        <v>1</v>
      </c>
      <c r="F20690" s="2">
        <v>2</v>
      </c>
      <c r="G20690" s="2">
        <v>0</v>
      </c>
      <c r="H20690" s="1" t="s">
        <v>0</v>
      </c>
      <c r="I20690" s="2">
        <v>0</v>
      </c>
      <c r="J20690" s="1">
        <v>45957.73945601852</v>
      </c>
    </row>
    <row r="20691" spans="1:10" x14ac:dyDescent="0.2">
      <c r="A20691" s="4" t="s">
        <v>1</v>
      </c>
      <c r="B206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91" s="3" t="str">
        <f>HYPERLINK("https://otsuka-europe-crm.veevavault.com/ui/#object/sent_email__v/VBL000000002115", "SE-001378677")</f>
        <v>SE-001378677</v>
      </c>
      <c r="D20691" s="1" t="s">
        <v>0</v>
      </c>
      <c r="E20691" s="2">
        <v>0</v>
      </c>
      <c r="F20691" s="2">
        <v>0</v>
      </c>
      <c r="G20691" s="2">
        <v>0</v>
      </c>
      <c r="H20691" s="1" t="s">
        <v>0</v>
      </c>
      <c r="I20691" s="2">
        <v>0</v>
      </c>
      <c r="J20691" s="1">
        <v>45957.73946759259</v>
      </c>
    </row>
    <row r="20692" spans="1:10" x14ac:dyDescent="0.2">
      <c r="A20692" s="4" t="s">
        <v>1</v>
      </c>
      <c r="B206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92" s="3" t="str">
        <f>HYPERLINK("https://otsuka-europe-crm.veevavault.com/ui/#object/sent_email__v/VBL000000002116", "SE-001378678")</f>
        <v>SE-001378678</v>
      </c>
      <c r="D20692" s="1">
        <v>45957.841087962966</v>
      </c>
      <c r="E20692" s="2">
        <v>1</v>
      </c>
      <c r="F20692" s="2">
        <v>1</v>
      </c>
      <c r="G20692" s="2">
        <v>0</v>
      </c>
      <c r="H20692" s="1" t="s">
        <v>0</v>
      </c>
      <c r="I20692" s="2">
        <v>0</v>
      </c>
      <c r="J20692" s="1">
        <v>45957.73951388889</v>
      </c>
    </row>
    <row r="20693" spans="1:10" x14ac:dyDescent="0.2">
      <c r="A20693" s="4" t="s">
        <v>1</v>
      </c>
      <c r="B206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93" s="3" t="str">
        <f>HYPERLINK("https://otsuka-europe-crm.veevavault.com/ui/#object/sent_email__v/VBL000000002117", "SE-001378679")</f>
        <v>SE-001378679</v>
      </c>
      <c r="D20693" s="1">
        <v>45980.463645833333</v>
      </c>
      <c r="E20693" s="2">
        <v>1</v>
      </c>
      <c r="F20693" s="2">
        <v>2</v>
      </c>
      <c r="G20693" s="2">
        <v>0</v>
      </c>
      <c r="H20693" s="1" t="s">
        <v>0</v>
      </c>
      <c r="I20693" s="2">
        <v>0</v>
      </c>
      <c r="J20693" s="1">
        <v>45957.739548611113</v>
      </c>
    </row>
    <row r="20694" spans="1:10" x14ac:dyDescent="0.2">
      <c r="A20694" s="4" t="s">
        <v>1</v>
      </c>
      <c r="B206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94" s="3" t="str">
        <f>HYPERLINK("https://otsuka-europe-crm.veevavault.com/ui/#object/sent_email__v/VBL000000002118", "SE-001378680")</f>
        <v>SE-001378680</v>
      </c>
      <c r="D20694" s="1">
        <v>45957.742928240739</v>
      </c>
      <c r="E20694" s="2">
        <v>1</v>
      </c>
      <c r="F20694" s="2">
        <v>1</v>
      </c>
      <c r="G20694" s="2">
        <v>0</v>
      </c>
      <c r="H20694" s="1" t="s">
        <v>0</v>
      </c>
      <c r="I20694" s="2">
        <v>0</v>
      </c>
      <c r="J20694" s="1">
        <v>45957.739594907405</v>
      </c>
    </row>
    <row r="20695" spans="1:10" x14ac:dyDescent="0.2">
      <c r="A20695" s="4" t="s">
        <v>1</v>
      </c>
      <c r="B206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95" s="3" t="str">
        <f>HYPERLINK("https://otsuka-europe-crm.veevavault.com/ui/#object/sent_email__v/VBL000000002119", "SE-001378681")</f>
        <v>SE-001378681</v>
      </c>
      <c r="D20695" s="1">
        <v>45958.385243055556</v>
      </c>
      <c r="E20695" s="2">
        <v>1</v>
      </c>
      <c r="F20695" s="2">
        <v>1</v>
      </c>
      <c r="G20695" s="2">
        <v>0</v>
      </c>
      <c r="H20695" s="1" t="s">
        <v>0</v>
      </c>
      <c r="I20695" s="2">
        <v>0</v>
      </c>
      <c r="J20695" s="1">
        <v>45957.739641203705</v>
      </c>
    </row>
    <row r="20696" spans="1:10" x14ac:dyDescent="0.2">
      <c r="A20696" s="4" t="s">
        <v>1</v>
      </c>
      <c r="B206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96" s="3" t="str">
        <f>HYPERLINK("https://otsuka-europe-crm.veevavault.com/ui/#object/sent_email__v/VBL000000002120", "SE-001378682")</f>
        <v>SE-001378682</v>
      </c>
      <c r="D20696" s="1">
        <v>45959.671157407407</v>
      </c>
      <c r="E20696" s="2">
        <v>1</v>
      </c>
      <c r="F20696" s="2">
        <v>3</v>
      </c>
      <c r="G20696" s="2">
        <v>0</v>
      </c>
      <c r="H20696" s="1" t="s">
        <v>0</v>
      </c>
      <c r="I20696" s="2">
        <v>0</v>
      </c>
      <c r="J20696" s="1">
        <v>45957.739675925928</v>
      </c>
    </row>
    <row r="20697" spans="1:10" x14ac:dyDescent="0.2">
      <c r="A20697" s="4" t="s">
        <v>1</v>
      </c>
      <c r="B206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97" s="3" t="str">
        <f>HYPERLINK("https://otsuka-europe-crm.veevavault.com/ui/#object/sent_email__v/VBL000000002121", "SE-001378683")</f>
        <v>SE-001378683</v>
      </c>
      <c r="D20697" s="1">
        <v>45957.746469907404</v>
      </c>
      <c r="E20697" s="2">
        <v>1</v>
      </c>
      <c r="F20697" s="2">
        <v>2</v>
      </c>
      <c r="G20697" s="2">
        <v>0</v>
      </c>
      <c r="H20697" s="1" t="s">
        <v>0</v>
      </c>
      <c r="I20697" s="2">
        <v>0</v>
      </c>
      <c r="J20697" s="1">
        <v>45957.739722222221</v>
      </c>
    </row>
    <row r="20698" spans="1:10" x14ac:dyDescent="0.2">
      <c r="A20698" s="4" t="s">
        <v>1</v>
      </c>
      <c r="B206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98" s="3" t="str">
        <f>HYPERLINK("https://otsuka-europe-crm.veevavault.com/ui/#object/sent_email__v/VBL000000002122", "SE-001378684")</f>
        <v>SE-001378684</v>
      </c>
      <c r="D20698" s="1">
        <v>45957.81753472222</v>
      </c>
      <c r="E20698" s="2">
        <v>1</v>
      </c>
      <c r="F20698" s="2">
        <v>2</v>
      </c>
      <c r="G20698" s="2">
        <v>0</v>
      </c>
      <c r="H20698" s="1" t="s">
        <v>0</v>
      </c>
      <c r="I20698" s="2">
        <v>0</v>
      </c>
      <c r="J20698" s="1">
        <v>45957.739768518521</v>
      </c>
    </row>
    <row r="20699" spans="1:10" x14ac:dyDescent="0.2">
      <c r="A20699" s="4" t="s">
        <v>1</v>
      </c>
      <c r="B206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699" s="3" t="str">
        <f>HYPERLINK("https://otsuka-europe-crm.veevavault.com/ui/#object/sent_email__v/VBL000000002123", "SE-001378685")</f>
        <v>SE-001378685</v>
      </c>
      <c r="D20699" s="1">
        <v>45958.894143518519</v>
      </c>
      <c r="E20699" s="2">
        <v>1</v>
      </c>
      <c r="F20699" s="2">
        <v>1</v>
      </c>
      <c r="G20699" s="2">
        <v>0</v>
      </c>
      <c r="H20699" s="1" t="s">
        <v>0</v>
      </c>
      <c r="I20699" s="2">
        <v>0</v>
      </c>
      <c r="J20699" s="1">
        <v>45957.739791666667</v>
      </c>
    </row>
    <row r="20700" spans="1:10" x14ac:dyDescent="0.2">
      <c r="A20700" s="4" t="s">
        <v>1</v>
      </c>
      <c r="B207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00" s="3" t="str">
        <f>HYPERLINK("https://otsuka-europe-crm.veevavault.com/ui/#object/sent_email__v/VBL000000002124", "SE-001378686")</f>
        <v>SE-001378686</v>
      </c>
      <c r="D20700" s="1" t="s">
        <v>0</v>
      </c>
      <c r="E20700" s="2">
        <v>0</v>
      </c>
      <c r="F20700" s="2">
        <v>0</v>
      </c>
      <c r="G20700" s="2">
        <v>0</v>
      </c>
      <c r="H20700" s="1" t="s">
        <v>0</v>
      </c>
      <c r="I20700" s="2">
        <v>0</v>
      </c>
      <c r="J20700" s="1">
        <v>45957.739837962959</v>
      </c>
    </row>
    <row r="20701" spans="1:10" x14ac:dyDescent="0.2">
      <c r="A20701" s="4" t="s">
        <v>1</v>
      </c>
      <c r="B207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01" s="3" t="str">
        <f>HYPERLINK("https://otsuka-europe-crm.veevavault.com/ui/#object/sent_email__v/VBL000000002125", "SE-001378687")</f>
        <v>SE-001378687</v>
      </c>
      <c r="D20701" s="1" t="s">
        <v>0</v>
      </c>
      <c r="E20701" s="2">
        <v>0</v>
      </c>
      <c r="F20701" s="2">
        <v>0</v>
      </c>
      <c r="G20701" s="2">
        <v>0</v>
      </c>
      <c r="H20701" s="1" t="s">
        <v>0</v>
      </c>
      <c r="I20701" s="2">
        <v>0</v>
      </c>
      <c r="J20701" s="1">
        <v>45957.739872685182</v>
      </c>
    </row>
    <row r="20702" spans="1:10" x14ac:dyDescent="0.2">
      <c r="A20702" s="4" t="s">
        <v>1</v>
      </c>
      <c r="B207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02" s="3" t="str">
        <f>HYPERLINK("https://otsuka-europe-crm.veevavault.com/ui/#object/sent_email__v/VBL000000002126", "SE-001378688")</f>
        <v>SE-001378688</v>
      </c>
      <c r="D20702" s="1" t="s">
        <v>0</v>
      </c>
      <c r="E20702" s="2">
        <v>0</v>
      </c>
      <c r="F20702" s="2">
        <v>0</v>
      </c>
      <c r="G20702" s="2">
        <v>0</v>
      </c>
      <c r="H20702" s="1" t="s">
        <v>0</v>
      </c>
      <c r="I20702" s="2">
        <v>0</v>
      </c>
      <c r="J20702" s="1">
        <v>45957.739918981482</v>
      </c>
    </row>
    <row r="20703" spans="1:10" x14ac:dyDescent="0.2">
      <c r="A20703" s="4" t="s">
        <v>1</v>
      </c>
      <c r="B207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03" s="3" t="str">
        <f>HYPERLINK("https://otsuka-europe-crm.veevavault.com/ui/#object/sent_email__v/VBL000000002127", "SE-001378689")</f>
        <v>SE-001378689</v>
      </c>
      <c r="D20703" s="1">
        <v>45957.806388888886</v>
      </c>
      <c r="E20703" s="2">
        <v>1</v>
      </c>
      <c r="F20703" s="2">
        <v>1</v>
      </c>
      <c r="G20703" s="2">
        <v>0</v>
      </c>
      <c r="H20703" s="1" t="s">
        <v>0</v>
      </c>
      <c r="I20703" s="2">
        <v>0</v>
      </c>
      <c r="J20703" s="1">
        <v>45957.739953703705</v>
      </c>
    </row>
    <row r="20704" spans="1:10" x14ac:dyDescent="0.2">
      <c r="A20704" s="4" t="s">
        <v>1</v>
      </c>
      <c r="B207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04" s="3" t="str">
        <f>HYPERLINK("https://otsuka-europe-crm.veevavault.com/ui/#object/sent_email__v/VBL000000002128", "SE-001378690")</f>
        <v>SE-001378690</v>
      </c>
      <c r="D20704" s="1">
        <v>45957.843993055554</v>
      </c>
      <c r="E20704" s="2">
        <v>1</v>
      </c>
      <c r="F20704" s="2">
        <v>1</v>
      </c>
      <c r="G20704" s="2">
        <v>0</v>
      </c>
      <c r="H20704" s="1" t="s">
        <v>0</v>
      </c>
      <c r="I20704" s="2">
        <v>0</v>
      </c>
      <c r="J20704" s="1">
        <v>45957.74</v>
      </c>
    </row>
    <row r="20705" spans="1:10" x14ac:dyDescent="0.2">
      <c r="A20705" s="4" t="s">
        <v>1</v>
      </c>
      <c r="B207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05" s="3" t="str">
        <f>HYPERLINK("https://otsuka-europe-crm.veevavault.com/ui/#object/sent_email__v/VBL000000002129", "SE-001378691")</f>
        <v>SE-001378691</v>
      </c>
      <c r="D20705" s="1">
        <v>45957.86917824074</v>
      </c>
      <c r="E20705" s="2">
        <v>1</v>
      </c>
      <c r="F20705" s="2">
        <v>1</v>
      </c>
      <c r="G20705" s="2">
        <v>0</v>
      </c>
      <c r="H20705" s="1" t="s">
        <v>0</v>
      </c>
      <c r="I20705" s="2">
        <v>0</v>
      </c>
      <c r="J20705" s="1">
        <v>45957.740034722221</v>
      </c>
    </row>
    <row r="20706" spans="1:10" x14ac:dyDescent="0.2">
      <c r="A20706" s="4" t="s">
        <v>1</v>
      </c>
      <c r="B207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06" s="3" t="str">
        <f>HYPERLINK("https://otsuka-europe-crm.veevavault.com/ui/#object/sent_email__v/VBL000000002130", "SE-001378692")</f>
        <v>SE-001378692</v>
      </c>
      <c r="D20706" s="1" t="s">
        <v>0</v>
      </c>
      <c r="E20706" s="2">
        <v>0</v>
      </c>
      <c r="F20706" s="2">
        <v>0</v>
      </c>
      <c r="G20706" s="2">
        <v>0</v>
      </c>
      <c r="H20706" s="1" t="s">
        <v>0</v>
      </c>
      <c r="I20706" s="2">
        <v>0</v>
      </c>
      <c r="J20706" s="1">
        <v>45957.740081018521</v>
      </c>
    </row>
    <row r="20707" spans="1:10" x14ac:dyDescent="0.2">
      <c r="A20707" s="4" t="s">
        <v>1</v>
      </c>
      <c r="B207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07" s="3" t="str">
        <f>HYPERLINK("https://otsuka-europe-crm.veevavault.com/ui/#object/sent_email__v/VBL000000002131", "SE-001378693")</f>
        <v>SE-001378693</v>
      </c>
      <c r="D20707" s="1">
        <v>45958.05201388889</v>
      </c>
      <c r="E20707" s="2">
        <v>1</v>
      </c>
      <c r="F20707" s="2">
        <v>1</v>
      </c>
      <c r="G20707" s="2">
        <v>0</v>
      </c>
      <c r="H20707" s="1" t="s">
        <v>0</v>
      </c>
      <c r="I20707" s="2">
        <v>0</v>
      </c>
      <c r="J20707" s="1">
        <v>45957.740069444444</v>
      </c>
    </row>
    <row r="20708" spans="1:10" x14ac:dyDescent="0.2">
      <c r="A20708" s="4" t="s">
        <v>1</v>
      </c>
      <c r="B207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08" s="3" t="str">
        <f>HYPERLINK("https://otsuka-europe-crm.veevavault.com/ui/#object/sent_email__v/VBL000000002132", "SE-001378694")</f>
        <v>SE-001378694</v>
      </c>
      <c r="D20708" s="1">
        <v>45958.911215277774</v>
      </c>
      <c r="E20708" s="2">
        <v>1</v>
      </c>
      <c r="F20708" s="2">
        <v>1</v>
      </c>
      <c r="G20708" s="2">
        <v>0</v>
      </c>
      <c r="H20708" s="1" t="s">
        <v>0</v>
      </c>
      <c r="I20708" s="2">
        <v>0</v>
      </c>
      <c r="J20708" s="1">
        <v>45957.740127314813</v>
      </c>
    </row>
    <row r="20709" spans="1:10" x14ac:dyDescent="0.2">
      <c r="A20709" s="4" t="s">
        <v>1</v>
      </c>
      <c r="B207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09" s="3" t="str">
        <f>HYPERLINK("https://otsuka-europe-crm.veevavault.com/ui/#object/sent_email__v/VBL000000002133", "SE-001378695")</f>
        <v>SE-001378695</v>
      </c>
      <c r="D20709" s="1" t="s">
        <v>0</v>
      </c>
      <c r="E20709" s="2">
        <v>0</v>
      </c>
      <c r="F20709" s="2">
        <v>0</v>
      </c>
      <c r="G20709" s="2">
        <v>0</v>
      </c>
      <c r="H20709" s="1" t="s">
        <v>0</v>
      </c>
      <c r="I20709" s="2">
        <v>0</v>
      </c>
      <c r="J20709" s="1">
        <v>45957.74015046296</v>
      </c>
    </row>
    <row r="20710" spans="1:10" x14ac:dyDescent="0.2">
      <c r="A20710" s="4" t="s">
        <v>1</v>
      </c>
      <c r="B207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10" s="3" t="str">
        <f>HYPERLINK("https://otsuka-europe-crm.veevavault.com/ui/#object/sent_email__v/VBL000000002134", "SE-001378696")</f>
        <v>SE-001378696</v>
      </c>
      <c r="D20710" s="1" t="s">
        <v>0</v>
      </c>
      <c r="E20710" s="2">
        <v>0</v>
      </c>
      <c r="F20710" s="2">
        <v>0</v>
      </c>
      <c r="G20710" s="2">
        <v>0</v>
      </c>
      <c r="H20710" s="1" t="s">
        <v>0</v>
      </c>
      <c r="I20710" s="2">
        <v>0</v>
      </c>
      <c r="J20710" s="1">
        <v>45957.740185185183</v>
      </c>
    </row>
    <row r="20711" spans="1:10" x14ac:dyDescent="0.2">
      <c r="A20711" s="4" t="s">
        <v>1</v>
      </c>
      <c r="B207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11" s="3" t="str">
        <f>HYPERLINK("https://otsuka-europe-crm.veevavault.com/ui/#object/sent_email__v/VBL000000002135", "SE-001378697")</f>
        <v>SE-001378697</v>
      </c>
      <c r="D20711" s="1">
        <v>45957.763009259259</v>
      </c>
      <c r="E20711" s="2">
        <v>1</v>
      </c>
      <c r="F20711" s="2">
        <v>1</v>
      </c>
      <c r="G20711" s="2">
        <v>0</v>
      </c>
      <c r="H20711" s="1" t="s">
        <v>0</v>
      </c>
      <c r="I20711" s="2">
        <v>0</v>
      </c>
      <c r="J20711" s="1">
        <v>45957.740243055552</v>
      </c>
    </row>
    <row r="20712" spans="1:10" x14ac:dyDescent="0.2">
      <c r="A20712" s="4" t="s">
        <v>1</v>
      </c>
      <c r="B207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12" s="3" t="str">
        <f>HYPERLINK("https://otsuka-europe-crm.veevavault.com/ui/#object/sent_email__v/VBL000000002136", "SE-001378698")</f>
        <v>SE-001378698</v>
      </c>
      <c r="D20712" s="1" t="s">
        <v>0</v>
      </c>
      <c r="E20712" s="2">
        <v>0</v>
      </c>
      <c r="F20712" s="2">
        <v>0</v>
      </c>
      <c r="G20712" s="2">
        <v>0</v>
      </c>
      <c r="H20712" s="1" t="s">
        <v>0</v>
      </c>
      <c r="I20712" s="2">
        <v>0</v>
      </c>
      <c r="J20712" s="1">
        <v>45957.740277777775</v>
      </c>
    </row>
    <row r="20713" spans="1:10" x14ac:dyDescent="0.2">
      <c r="A20713" s="4" t="s">
        <v>1</v>
      </c>
      <c r="B207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13" s="3" t="str">
        <f>HYPERLINK("https://otsuka-europe-crm.veevavault.com/ui/#object/sent_email__v/VBL000000002137", "SE-001378699")</f>
        <v>SE-001378699</v>
      </c>
      <c r="D20713" s="1">
        <v>45957.773946759262</v>
      </c>
      <c r="E20713" s="2">
        <v>1</v>
      </c>
      <c r="F20713" s="2">
        <v>1</v>
      </c>
      <c r="G20713" s="2">
        <v>0</v>
      </c>
      <c r="H20713" s="1" t="s">
        <v>0</v>
      </c>
      <c r="I20713" s="2">
        <v>0</v>
      </c>
      <c r="J20713" s="1">
        <v>45957.740324074075</v>
      </c>
    </row>
    <row r="20714" spans="1:10" x14ac:dyDescent="0.2">
      <c r="A20714" s="4" t="s">
        <v>1</v>
      </c>
      <c r="B207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14" s="3" t="str">
        <f>HYPERLINK("https://otsuka-europe-crm.veevavault.com/ui/#object/sent_email__v/VBL000000002138", "SE-001378700")</f>
        <v>SE-001378700</v>
      </c>
      <c r="D20714" s="1">
        <v>45957.753576388888</v>
      </c>
      <c r="E20714" s="2">
        <v>1</v>
      </c>
      <c r="F20714" s="2">
        <v>1</v>
      </c>
      <c r="G20714" s="2">
        <v>0</v>
      </c>
      <c r="H20714" s="1" t="s">
        <v>0</v>
      </c>
      <c r="I20714" s="2">
        <v>0</v>
      </c>
      <c r="J20714" s="1">
        <v>45957.740358796298</v>
      </c>
    </row>
    <row r="20715" spans="1:10" x14ac:dyDescent="0.2">
      <c r="A20715" s="4" t="s">
        <v>1</v>
      </c>
      <c r="B207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15" s="3" t="str">
        <f>HYPERLINK("https://otsuka-europe-crm.veevavault.com/ui/#object/sent_email__v/VBL000000001884", "SE-001378701")</f>
        <v>SE-001378701</v>
      </c>
      <c r="D20715" s="1" t="s">
        <v>0</v>
      </c>
      <c r="E20715" s="2">
        <v>0</v>
      </c>
      <c r="F20715" s="2">
        <v>0</v>
      </c>
      <c r="G20715" s="2">
        <v>0</v>
      </c>
      <c r="H20715" s="1" t="s">
        <v>0</v>
      </c>
      <c r="I20715" s="2">
        <v>0</v>
      </c>
      <c r="J20715" s="1">
        <v>45957.740787037037</v>
      </c>
    </row>
    <row r="20716" spans="1:10" x14ac:dyDescent="0.2">
      <c r="A20716" s="4" t="s">
        <v>1</v>
      </c>
      <c r="B207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16" s="3" t="str">
        <f>HYPERLINK("https://otsuka-europe-crm.veevavault.com/ui/#object/sent_email__v/VBL000000001885", "SE-001378702")</f>
        <v>SE-001378702</v>
      </c>
      <c r="D20716" s="1" t="s">
        <v>0</v>
      </c>
      <c r="E20716" s="2">
        <v>0</v>
      </c>
      <c r="F20716" s="2">
        <v>0</v>
      </c>
      <c r="G20716" s="2">
        <v>0</v>
      </c>
      <c r="H20716" s="1" t="s">
        <v>0</v>
      </c>
      <c r="I20716" s="2">
        <v>0</v>
      </c>
      <c r="J20716" s="1">
        <v>45957.74082175926</v>
      </c>
    </row>
    <row r="20717" spans="1:10" x14ac:dyDescent="0.2">
      <c r="A20717" s="4" t="s">
        <v>1</v>
      </c>
      <c r="B207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17" s="3" t="str">
        <f>HYPERLINK("https://otsuka-europe-crm.veevavault.com/ui/#object/sent_email__v/VBL000000001886", "SE-001378703")</f>
        <v>SE-001378703</v>
      </c>
      <c r="D20717" s="1">
        <v>45958.348611111112</v>
      </c>
      <c r="E20717" s="2">
        <v>1</v>
      </c>
      <c r="F20717" s="2">
        <v>6</v>
      </c>
      <c r="G20717" s="2">
        <v>0</v>
      </c>
      <c r="H20717" s="1" t="s">
        <v>0</v>
      </c>
      <c r="I20717" s="2">
        <v>0</v>
      </c>
      <c r="J20717" s="1">
        <v>45957.740856481483</v>
      </c>
    </row>
    <row r="20718" spans="1:10" x14ac:dyDescent="0.2">
      <c r="A20718" s="4" t="s">
        <v>1</v>
      </c>
      <c r="B207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18" s="3" t="str">
        <f>HYPERLINK("https://otsuka-europe-crm.veevavault.com/ui/#object/sent_email__v/VBL000000001887", "SE-001378704")</f>
        <v>SE-001378704</v>
      </c>
      <c r="D20718" s="1">
        <v>45958.356168981481</v>
      </c>
      <c r="E20718" s="2">
        <v>1</v>
      </c>
      <c r="F20718" s="2">
        <v>2</v>
      </c>
      <c r="G20718" s="2">
        <v>0</v>
      </c>
      <c r="H20718" s="1" t="s">
        <v>0</v>
      </c>
      <c r="I20718" s="2">
        <v>0</v>
      </c>
      <c r="J20718" s="1">
        <v>45957.740902777776</v>
      </c>
    </row>
    <row r="20719" spans="1:10" x14ac:dyDescent="0.2">
      <c r="A20719" s="4" t="s">
        <v>1</v>
      </c>
      <c r="B207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19" s="3" t="str">
        <f>HYPERLINK("https://otsuka-europe-crm.veevavault.com/ui/#object/sent_email__v/VBL000000001888", "SE-001378705")</f>
        <v>SE-001378705</v>
      </c>
      <c r="D20719" s="1">
        <v>46026.04724537037</v>
      </c>
      <c r="E20719" s="2">
        <v>1</v>
      </c>
      <c r="F20719" s="2">
        <v>3</v>
      </c>
      <c r="G20719" s="2">
        <v>0</v>
      </c>
      <c r="H20719" s="1" t="s">
        <v>0</v>
      </c>
      <c r="I20719" s="2">
        <v>0</v>
      </c>
      <c r="J20719" s="1">
        <v>45957.740937499999</v>
      </c>
    </row>
    <row r="20720" spans="1:10" x14ac:dyDescent="0.2">
      <c r="A20720" s="4" t="s">
        <v>1</v>
      </c>
      <c r="B207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20" s="3" t="str">
        <f>HYPERLINK("https://otsuka-europe-crm.veevavault.com/ui/#object/sent_email__v/VBL000000001889", "SE-001378706")</f>
        <v>SE-001378706</v>
      </c>
      <c r="D20720" s="1">
        <v>45958.246898148151</v>
      </c>
      <c r="E20720" s="2">
        <v>1</v>
      </c>
      <c r="F20720" s="2">
        <v>4</v>
      </c>
      <c r="G20720" s="2">
        <v>0</v>
      </c>
      <c r="H20720" s="1" t="s">
        <v>0</v>
      </c>
      <c r="I20720" s="2">
        <v>0</v>
      </c>
      <c r="J20720" s="1">
        <v>45957.740972222222</v>
      </c>
    </row>
    <row r="20721" spans="1:10" x14ac:dyDescent="0.2">
      <c r="A20721" s="4" t="s">
        <v>1</v>
      </c>
      <c r="B207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21" s="3" t="str">
        <f>HYPERLINK("https://otsuka-europe-crm.veevavault.com/ui/#object/sent_email__v/VBL000000001890", "SE-001378707")</f>
        <v>SE-001378707</v>
      </c>
      <c r="D20721" s="1">
        <v>45964.642106481479</v>
      </c>
      <c r="E20721" s="2">
        <v>1</v>
      </c>
      <c r="F20721" s="2">
        <v>2</v>
      </c>
      <c r="G20721" s="2">
        <v>0</v>
      </c>
      <c r="H20721" s="1" t="s">
        <v>0</v>
      </c>
      <c r="I20721" s="2">
        <v>0</v>
      </c>
      <c r="J20721" s="1">
        <v>45957.741030092591</v>
      </c>
    </row>
    <row r="20722" spans="1:10" x14ac:dyDescent="0.2">
      <c r="A20722" s="4" t="s">
        <v>1</v>
      </c>
      <c r="B207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22" s="3" t="str">
        <f>HYPERLINK("https://otsuka-europe-crm.veevavault.com/ui/#object/sent_email__v/VBL000000001891", "SE-001378708")</f>
        <v>SE-001378708</v>
      </c>
      <c r="D20722" s="1">
        <v>45960.896840277775</v>
      </c>
      <c r="E20722" s="2">
        <v>1</v>
      </c>
      <c r="F20722" s="2">
        <v>1</v>
      </c>
      <c r="G20722" s="2">
        <v>0</v>
      </c>
      <c r="H20722" s="1" t="s">
        <v>0</v>
      </c>
      <c r="I20722" s="2">
        <v>0</v>
      </c>
      <c r="J20722" s="1">
        <v>45957.741064814814</v>
      </c>
    </row>
    <row r="20723" spans="1:10" x14ac:dyDescent="0.2">
      <c r="A20723" s="4" t="s">
        <v>1</v>
      </c>
      <c r="B207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23" s="3" t="str">
        <f>HYPERLINK("https://otsuka-europe-crm.veevavault.com/ui/#object/sent_email__v/VBL000000001892", "SE-001378709")</f>
        <v>SE-001378709</v>
      </c>
      <c r="D20723" s="1">
        <v>45960.751527777778</v>
      </c>
      <c r="E20723" s="2">
        <v>1</v>
      </c>
      <c r="F20723" s="2">
        <v>3</v>
      </c>
      <c r="G20723" s="2">
        <v>0</v>
      </c>
      <c r="H20723" s="1" t="s">
        <v>0</v>
      </c>
      <c r="I20723" s="2">
        <v>0</v>
      </c>
      <c r="J20723" s="1">
        <v>45957.741099537037</v>
      </c>
    </row>
    <row r="20724" spans="1:10" x14ac:dyDescent="0.2">
      <c r="A20724" s="4" t="s">
        <v>1</v>
      </c>
      <c r="B207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24" s="3" t="str">
        <f>HYPERLINK("https://otsuka-europe-crm.veevavault.com/ui/#object/sent_email__v/VBL000000001893", "SE-001378710")</f>
        <v>SE-001378710</v>
      </c>
      <c r="D20724" s="1" t="s">
        <v>0</v>
      </c>
      <c r="E20724" s="2">
        <v>0</v>
      </c>
      <c r="F20724" s="2">
        <v>0</v>
      </c>
      <c r="G20724" s="2">
        <v>0</v>
      </c>
      <c r="H20724" s="1" t="s">
        <v>0</v>
      </c>
      <c r="I20724" s="2">
        <v>0</v>
      </c>
      <c r="J20724" s="1">
        <v>45957.74113425926</v>
      </c>
    </row>
    <row r="20725" spans="1:10" x14ac:dyDescent="0.2">
      <c r="A20725" s="4" t="s">
        <v>1</v>
      </c>
      <c r="B207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25" s="3" t="str">
        <f>HYPERLINK("https://otsuka-europe-crm.veevavault.com/ui/#object/sent_email__v/VBL000000001894", "SE-001378711")</f>
        <v>SE-001378711</v>
      </c>
      <c r="D20725" s="1">
        <v>45971.753275462965</v>
      </c>
      <c r="E20725" s="2">
        <v>1</v>
      </c>
      <c r="F20725" s="2">
        <v>3</v>
      </c>
      <c r="G20725" s="2">
        <v>0</v>
      </c>
      <c r="H20725" s="1" t="s">
        <v>0</v>
      </c>
      <c r="I20725" s="2">
        <v>0</v>
      </c>
      <c r="J20725" s="1">
        <v>45957.741180555553</v>
      </c>
    </row>
    <row r="20726" spans="1:10" x14ac:dyDescent="0.2">
      <c r="A20726" s="4" t="s">
        <v>1</v>
      </c>
      <c r="B207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26" s="3" t="str">
        <f>HYPERLINK("https://otsuka-europe-crm.veevavault.com/ui/#object/sent_email__v/VBL000000001895", "SE-001378712")</f>
        <v>SE-001378712</v>
      </c>
      <c r="D20726" s="1" t="s">
        <v>0</v>
      </c>
      <c r="E20726" s="2">
        <v>0</v>
      </c>
      <c r="F20726" s="2">
        <v>0</v>
      </c>
      <c r="G20726" s="2">
        <v>0</v>
      </c>
      <c r="H20726" s="1" t="s">
        <v>0</v>
      </c>
      <c r="I20726" s="2">
        <v>0</v>
      </c>
      <c r="J20726" s="1">
        <v>45957.741215277776</v>
      </c>
    </row>
    <row r="20727" spans="1:10" x14ac:dyDescent="0.2">
      <c r="A20727" s="4" t="s">
        <v>1</v>
      </c>
      <c r="B207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27" s="3" t="str">
        <f>HYPERLINK("https://otsuka-europe-crm.veevavault.com/ui/#object/sent_email__v/VBL000000001896", "SE-001378713")</f>
        <v>SE-001378713</v>
      </c>
      <c r="D20727" s="1">
        <v>45959.652939814812</v>
      </c>
      <c r="E20727" s="2">
        <v>1</v>
      </c>
      <c r="F20727" s="2">
        <v>3</v>
      </c>
      <c r="G20727" s="2">
        <v>0</v>
      </c>
      <c r="H20727" s="1" t="s">
        <v>0</v>
      </c>
      <c r="I20727" s="2">
        <v>0</v>
      </c>
      <c r="J20727" s="1">
        <v>45957.741249999999</v>
      </c>
    </row>
    <row r="20728" spans="1:10" x14ac:dyDescent="0.2">
      <c r="A20728" s="4" t="s">
        <v>1</v>
      </c>
      <c r="B207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28" s="3" t="str">
        <f>HYPERLINK("https://otsuka-europe-crm.veevavault.com/ui/#object/sent_email__v/VBL000000001897", "SE-001378714")</f>
        <v>SE-001378714</v>
      </c>
      <c r="D20728" s="1">
        <v>45958.919236111113</v>
      </c>
      <c r="E20728" s="2">
        <v>1</v>
      </c>
      <c r="F20728" s="2">
        <v>1</v>
      </c>
      <c r="G20728" s="2">
        <v>0</v>
      </c>
      <c r="H20728" s="1" t="s">
        <v>0</v>
      </c>
      <c r="I20728" s="2">
        <v>0</v>
      </c>
      <c r="J20728" s="1">
        <v>45957.741307870368</v>
      </c>
    </row>
    <row r="20729" spans="1:10" x14ac:dyDescent="0.2">
      <c r="A20729" s="4" t="s">
        <v>1</v>
      </c>
      <c r="B207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29" s="3" t="str">
        <f>HYPERLINK("https://otsuka-europe-crm.veevavault.com/ui/#object/sent_email__v/VBL000000001898", "SE-001378715")</f>
        <v>SE-001378715</v>
      </c>
      <c r="D20729" s="1" t="s">
        <v>0</v>
      </c>
      <c r="E20729" s="2">
        <v>0</v>
      </c>
      <c r="F20729" s="2">
        <v>0</v>
      </c>
      <c r="G20729" s="2">
        <v>0</v>
      </c>
      <c r="H20729" s="1" t="s">
        <v>0</v>
      </c>
      <c r="I20729" s="2">
        <v>0</v>
      </c>
      <c r="J20729" s="1">
        <v>45957.741342592592</v>
      </c>
    </row>
    <row r="20730" spans="1:10" x14ac:dyDescent="0.2">
      <c r="A20730" s="4" t="s">
        <v>1</v>
      </c>
      <c r="B207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30" s="3" t="str">
        <f>HYPERLINK("https://otsuka-europe-crm.veevavault.com/ui/#object/sent_email__v/VBL000000001899", "SE-001378716")</f>
        <v>SE-001378716</v>
      </c>
      <c r="D20730" s="1">
        <v>45962.627766203703</v>
      </c>
      <c r="E20730" s="2">
        <v>1</v>
      </c>
      <c r="F20730" s="2">
        <v>4</v>
      </c>
      <c r="G20730" s="2">
        <v>0</v>
      </c>
      <c r="H20730" s="1" t="s">
        <v>0</v>
      </c>
      <c r="I20730" s="2">
        <v>0</v>
      </c>
      <c r="J20730" s="1">
        <v>45957.741388888891</v>
      </c>
    </row>
    <row r="20731" spans="1:10" x14ac:dyDescent="0.2">
      <c r="A20731" s="4" t="s">
        <v>1</v>
      </c>
      <c r="B207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31" s="3" t="str">
        <f>HYPERLINK("https://otsuka-europe-crm.veevavault.com/ui/#object/sent_email__v/VBL000000001900", "SE-001378717")</f>
        <v>SE-001378717</v>
      </c>
      <c r="D20731" s="1">
        <v>45957.773275462961</v>
      </c>
      <c r="E20731" s="2">
        <v>1</v>
      </c>
      <c r="F20731" s="2">
        <v>1</v>
      </c>
      <c r="G20731" s="2">
        <v>0</v>
      </c>
      <c r="H20731" s="1" t="s">
        <v>0</v>
      </c>
      <c r="I20731" s="2">
        <v>0</v>
      </c>
      <c r="J20731" s="1">
        <v>45957.741423611114</v>
      </c>
    </row>
    <row r="20732" spans="1:10" x14ac:dyDescent="0.2">
      <c r="A20732" s="4" t="s">
        <v>1</v>
      </c>
      <c r="B207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32" s="3" t="str">
        <f>HYPERLINK("https://otsuka-europe-crm.veevavault.com/ui/#object/sent_email__v/VBL000000001901", "SE-001378718")</f>
        <v>SE-001378718</v>
      </c>
      <c r="D20732" s="1">
        <v>45957.788113425922</v>
      </c>
      <c r="E20732" s="2">
        <v>1</v>
      </c>
      <c r="F20732" s="2">
        <v>1</v>
      </c>
      <c r="G20732" s="2">
        <v>0</v>
      </c>
      <c r="H20732" s="1" t="s">
        <v>0</v>
      </c>
      <c r="I20732" s="2">
        <v>0</v>
      </c>
      <c r="J20732" s="1">
        <v>45957.741469907407</v>
      </c>
    </row>
    <row r="20733" spans="1:10" x14ac:dyDescent="0.2">
      <c r="A20733" s="4" t="s">
        <v>1</v>
      </c>
      <c r="B207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33" s="3" t="str">
        <f>HYPERLINK("https://otsuka-europe-crm.veevavault.com/ui/#object/sent_email__v/VBL000000001902", "SE-001378719")</f>
        <v>SE-001378719</v>
      </c>
      <c r="D20733" s="1" t="s">
        <v>0</v>
      </c>
      <c r="E20733" s="2">
        <v>0</v>
      </c>
      <c r="F20733" s="2">
        <v>0</v>
      </c>
      <c r="G20733" s="2">
        <v>0</v>
      </c>
      <c r="H20733" s="1" t="s">
        <v>0</v>
      </c>
      <c r="I20733" s="2">
        <v>0</v>
      </c>
      <c r="J20733" s="1">
        <v>45957.741099537037</v>
      </c>
    </row>
    <row r="20734" spans="1:10" x14ac:dyDescent="0.2">
      <c r="A20734" s="4" t="s">
        <v>1</v>
      </c>
      <c r="B207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34" s="3" t="str">
        <f>HYPERLINK("https://otsuka-europe-crm.veevavault.com/ui/#object/sent_email__v/VBL000000001903", "SE-001378720")</f>
        <v>SE-001378720</v>
      </c>
      <c r="D20734" s="1">
        <v>46069.302928240744</v>
      </c>
      <c r="E20734" s="2">
        <v>1</v>
      </c>
      <c r="F20734" s="2">
        <v>3</v>
      </c>
      <c r="G20734" s="2">
        <v>0</v>
      </c>
      <c r="H20734" s="1" t="s">
        <v>0</v>
      </c>
      <c r="I20734" s="2">
        <v>0</v>
      </c>
      <c r="J20734" s="1">
        <v>45957.74114583333</v>
      </c>
    </row>
    <row r="20735" spans="1:10" x14ac:dyDescent="0.2">
      <c r="A20735" s="4" t="s">
        <v>1</v>
      </c>
      <c r="B207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35" s="3" t="str">
        <f>HYPERLINK("https://otsuka-europe-crm.veevavault.com/ui/#object/sent_email__v/VBL000000002139", "SE-001378721")</f>
        <v>SE-001378721</v>
      </c>
      <c r="D20735" s="1">
        <v>45957.999942129631</v>
      </c>
      <c r="E20735" s="2">
        <v>1</v>
      </c>
      <c r="F20735" s="2">
        <v>1</v>
      </c>
      <c r="G20735" s="2">
        <v>0</v>
      </c>
      <c r="H20735" s="1" t="s">
        <v>0</v>
      </c>
      <c r="I20735" s="2">
        <v>0</v>
      </c>
      <c r="J20735" s="1">
        <v>45957.742013888892</v>
      </c>
    </row>
    <row r="20736" spans="1:10" x14ac:dyDescent="0.2">
      <c r="A20736" s="4" t="s">
        <v>1</v>
      </c>
      <c r="B207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36" s="3" t="str">
        <f>HYPERLINK("https://otsuka-europe-crm.veevavault.com/ui/#object/sent_email__v/VBL000000002140", "SE-001378722")</f>
        <v>SE-001378722</v>
      </c>
      <c r="D20736" s="1">
        <v>45960.930925925924</v>
      </c>
      <c r="E20736" s="2">
        <v>1</v>
      </c>
      <c r="F20736" s="2">
        <v>2</v>
      </c>
      <c r="G20736" s="2">
        <v>0</v>
      </c>
      <c r="H20736" s="1" t="s">
        <v>0</v>
      </c>
      <c r="I20736" s="2">
        <v>0</v>
      </c>
      <c r="J20736" s="1">
        <v>45957.742060185185</v>
      </c>
    </row>
    <row r="20737" spans="1:10" x14ac:dyDescent="0.2">
      <c r="A20737" s="4" t="s">
        <v>1</v>
      </c>
      <c r="B207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37" s="3" t="str">
        <f>HYPERLINK("https://otsuka-europe-crm.veevavault.com/ui/#object/sent_email__v/VBL000000002141", "SE-001378723")</f>
        <v>SE-001378723</v>
      </c>
      <c r="D20737" s="1">
        <v>45995.491701388892</v>
      </c>
      <c r="E20737" s="2">
        <v>1</v>
      </c>
      <c r="F20737" s="2">
        <v>8</v>
      </c>
      <c r="G20737" s="2">
        <v>0</v>
      </c>
      <c r="H20737" s="1" t="s">
        <v>0</v>
      </c>
      <c r="I20737" s="2">
        <v>0</v>
      </c>
      <c r="J20737" s="1">
        <v>45957.742083333331</v>
      </c>
    </row>
    <row r="20738" spans="1:10" x14ac:dyDescent="0.2">
      <c r="A20738" s="4" t="s">
        <v>1</v>
      </c>
      <c r="B207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38" s="3" t="str">
        <f>HYPERLINK("https://otsuka-europe-crm.veevavault.com/ui/#object/sent_email__v/VBL000000002142", "SE-001378724")</f>
        <v>SE-001378724</v>
      </c>
      <c r="D20738" s="1">
        <v>45959.332199074073</v>
      </c>
      <c r="E20738" s="2">
        <v>1</v>
      </c>
      <c r="F20738" s="2">
        <v>1</v>
      </c>
      <c r="G20738" s="2">
        <v>0</v>
      </c>
      <c r="H20738" s="1" t="s">
        <v>0</v>
      </c>
      <c r="I20738" s="2">
        <v>0</v>
      </c>
      <c r="J20738" s="1">
        <v>45957.742129629631</v>
      </c>
    </row>
    <row r="20739" spans="1:10" x14ac:dyDescent="0.2">
      <c r="A20739" s="4" t="s">
        <v>1</v>
      </c>
      <c r="B207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39" s="3" t="str">
        <f>HYPERLINK("https://otsuka-europe-crm.veevavault.com/ui/#object/sent_email__v/VBL000000002143", "SE-001378725")</f>
        <v>SE-001378725</v>
      </c>
      <c r="D20739" s="1">
        <v>45957.749409722222</v>
      </c>
      <c r="E20739" s="2">
        <v>1</v>
      </c>
      <c r="F20739" s="2">
        <v>1</v>
      </c>
      <c r="G20739" s="2">
        <v>0</v>
      </c>
      <c r="H20739" s="1" t="s">
        <v>0</v>
      </c>
      <c r="I20739" s="2">
        <v>0</v>
      </c>
      <c r="J20739" s="1">
        <v>45957.742164351854</v>
      </c>
    </row>
    <row r="20740" spans="1:10" x14ac:dyDescent="0.2">
      <c r="A20740" s="4" t="s">
        <v>1</v>
      </c>
      <c r="B207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40" s="3" t="str">
        <f>HYPERLINK("https://otsuka-europe-crm.veevavault.com/ui/#object/sent_email__v/VBL000000002144", "SE-001378726")</f>
        <v>SE-001378726</v>
      </c>
      <c r="D20740" s="1">
        <v>45957.894513888888</v>
      </c>
      <c r="E20740" s="2">
        <v>1</v>
      </c>
      <c r="F20740" s="2">
        <v>2</v>
      </c>
      <c r="G20740" s="2">
        <v>0</v>
      </c>
      <c r="H20740" s="1" t="s">
        <v>0</v>
      </c>
      <c r="I20740" s="2">
        <v>0</v>
      </c>
      <c r="J20740" s="1">
        <v>45957.742199074077</v>
      </c>
    </row>
    <row r="20741" spans="1:10" x14ac:dyDescent="0.2">
      <c r="A20741" s="4" t="s">
        <v>1</v>
      </c>
      <c r="B207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41" s="3" t="str">
        <f>HYPERLINK("https://otsuka-europe-crm.veevavault.com/ui/#object/sent_email__v/VBL000000002145", "SE-001378727")</f>
        <v>SE-001378727</v>
      </c>
      <c r="D20741" s="1">
        <v>45958.434942129628</v>
      </c>
      <c r="E20741" s="2">
        <v>1</v>
      </c>
      <c r="F20741" s="2">
        <v>1</v>
      </c>
      <c r="G20741" s="2">
        <v>0</v>
      </c>
      <c r="H20741" s="1" t="s">
        <v>0</v>
      </c>
      <c r="I20741" s="2">
        <v>0</v>
      </c>
      <c r="J20741" s="1">
        <v>45957.742245370369</v>
      </c>
    </row>
    <row r="20742" spans="1:10" x14ac:dyDescent="0.2">
      <c r="A20742" s="4" t="s">
        <v>1</v>
      </c>
      <c r="B207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42" s="3" t="str">
        <f>HYPERLINK("https://otsuka-europe-crm.veevavault.com/ui/#object/sent_email__v/VBL000000002146", "SE-001378728")</f>
        <v>SE-001378728</v>
      </c>
      <c r="D20742" s="1" t="s">
        <v>0</v>
      </c>
      <c r="E20742" s="2">
        <v>0</v>
      </c>
      <c r="F20742" s="2">
        <v>0</v>
      </c>
      <c r="G20742" s="2">
        <v>0</v>
      </c>
      <c r="H20742" s="1" t="s">
        <v>0</v>
      </c>
      <c r="I20742" s="2">
        <v>0</v>
      </c>
      <c r="J20742" s="1">
        <v>45957.742291666669</v>
      </c>
    </row>
    <row r="20743" spans="1:10" x14ac:dyDescent="0.2">
      <c r="A20743" s="4" t="s">
        <v>1</v>
      </c>
      <c r="B207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43" s="3" t="str">
        <f>HYPERLINK("https://otsuka-europe-crm.veevavault.com/ui/#object/sent_email__v/VBL000000002147", "SE-001378729")</f>
        <v>SE-001378729</v>
      </c>
      <c r="D20743" s="1">
        <v>45957.800636574073</v>
      </c>
      <c r="E20743" s="2">
        <v>1</v>
      </c>
      <c r="F20743" s="2">
        <v>2</v>
      </c>
      <c r="G20743" s="2">
        <v>0</v>
      </c>
      <c r="H20743" s="1" t="s">
        <v>0</v>
      </c>
      <c r="I20743" s="2">
        <v>0</v>
      </c>
      <c r="J20743" s="1">
        <v>45957.742326388892</v>
      </c>
    </row>
    <row r="20744" spans="1:10" x14ac:dyDescent="0.2">
      <c r="A20744" s="4" t="s">
        <v>1</v>
      </c>
      <c r="B207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44" s="3" t="str">
        <f>HYPERLINK("https://otsuka-europe-crm.veevavault.com/ui/#object/sent_email__v/VBL000000002148", "SE-001378730")</f>
        <v>SE-001378730</v>
      </c>
      <c r="D20744" s="1">
        <v>45958.72859953704</v>
      </c>
      <c r="E20744" s="2">
        <v>1</v>
      </c>
      <c r="F20744" s="2">
        <v>1</v>
      </c>
      <c r="G20744" s="2">
        <v>0</v>
      </c>
      <c r="H20744" s="1" t="s">
        <v>0</v>
      </c>
      <c r="I20744" s="2">
        <v>0</v>
      </c>
      <c r="J20744" s="1">
        <v>45957.742372685185</v>
      </c>
    </row>
    <row r="20745" spans="1:10" x14ac:dyDescent="0.2">
      <c r="A20745" s="4" t="s">
        <v>1</v>
      </c>
      <c r="B207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45" s="3" t="str">
        <f>HYPERLINK("https://otsuka-europe-crm.veevavault.com/ui/#object/sent_email__v/VBL000000002149", "SE-001378731")</f>
        <v>SE-001378731</v>
      </c>
      <c r="D20745" s="1" t="s">
        <v>0</v>
      </c>
      <c r="E20745" s="2">
        <v>0</v>
      </c>
      <c r="F20745" s="2">
        <v>0</v>
      </c>
      <c r="G20745" s="2">
        <v>0</v>
      </c>
      <c r="H20745" s="1" t="s">
        <v>0</v>
      </c>
      <c r="I20745" s="2">
        <v>0</v>
      </c>
      <c r="J20745" s="1">
        <v>45957.742407407408</v>
      </c>
    </row>
    <row r="20746" spans="1:10" x14ac:dyDescent="0.2">
      <c r="A20746" s="4" t="s">
        <v>1</v>
      </c>
      <c r="B207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46" s="3" t="str">
        <f>HYPERLINK("https://otsuka-europe-crm.veevavault.com/ui/#object/sent_email__v/VBL000000002150", "SE-001378732")</f>
        <v>SE-001378732</v>
      </c>
      <c r="D20746" s="1" t="s">
        <v>0</v>
      </c>
      <c r="E20746" s="2">
        <v>0</v>
      </c>
      <c r="F20746" s="2">
        <v>0</v>
      </c>
      <c r="G20746" s="2">
        <v>0</v>
      </c>
      <c r="H20746" s="1" t="s">
        <v>0</v>
      </c>
      <c r="I20746" s="2">
        <v>0</v>
      </c>
      <c r="J20746" s="1">
        <v>45957.742442129631</v>
      </c>
    </row>
    <row r="20747" spans="1:10" x14ac:dyDescent="0.2">
      <c r="A20747" s="4" t="s">
        <v>1</v>
      </c>
      <c r="B207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47" s="3" t="str">
        <f>HYPERLINK("https://otsuka-europe-crm.veevavault.com/ui/#object/sent_email__v/VBL000000002151", "SE-001378733")</f>
        <v>SE-001378733</v>
      </c>
      <c r="D20747" s="1" t="s">
        <v>0</v>
      </c>
      <c r="E20747" s="2">
        <v>0</v>
      </c>
      <c r="F20747" s="2">
        <v>0</v>
      </c>
      <c r="G20747" s="2">
        <v>0</v>
      </c>
      <c r="H20747" s="1" t="s">
        <v>0</v>
      </c>
      <c r="I20747" s="2">
        <v>0</v>
      </c>
      <c r="J20747" s="1">
        <v>45957.742476851854</v>
      </c>
    </row>
    <row r="20748" spans="1:10" x14ac:dyDescent="0.2">
      <c r="A20748" s="4" t="s">
        <v>1</v>
      </c>
      <c r="B207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48" s="3" t="str">
        <f>HYPERLINK("https://otsuka-europe-crm.veevavault.com/ui/#object/sent_email__v/VBL000000002152", "SE-001378734")</f>
        <v>SE-001378734</v>
      </c>
      <c r="D20748" s="1">
        <v>45957.917708333334</v>
      </c>
      <c r="E20748" s="2">
        <v>1</v>
      </c>
      <c r="F20748" s="2">
        <v>2</v>
      </c>
      <c r="G20748" s="2">
        <v>0</v>
      </c>
      <c r="H20748" s="1" t="s">
        <v>0</v>
      </c>
      <c r="I20748" s="2">
        <v>0</v>
      </c>
      <c r="J20748" s="1">
        <v>45957.742986111109</v>
      </c>
    </row>
    <row r="20749" spans="1:10" x14ac:dyDescent="0.2">
      <c r="A20749" s="4" t="s">
        <v>1</v>
      </c>
      <c r="B207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49" s="3" t="str">
        <f>HYPERLINK("https://otsuka-europe-crm.veevavault.com/ui/#object/sent_email__v/VBL000000002153", "SE-001378735")</f>
        <v>SE-001378735</v>
      </c>
      <c r="D20749" s="1" t="s">
        <v>0</v>
      </c>
      <c r="E20749" s="2">
        <v>0</v>
      </c>
      <c r="F20749" s="2">
        <v>0</v>
      </c>
      <c r="G20749" s="2">
        <v>0</v>
      </c>
      <c r="H20749" s="1" t="s">
        <v>0</v>
      </c>
      <c r="I20749" s="2">
        <v>0</v>
      </c>
      <c r="J20749" s="1">
        <v>45957.743020833332</v>
      </c>
    </row>
    <row r="20750" spans="1:10" x14ac:dyDescent="0.2">
      <c r="A20750" s="4" t="s">
        <v>1</v>
      </c>
      <c r="B207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50" s="3" t="str">
        <f>HYPERLINK("https://otsuka-europe-crm.veevavault.com/ui/#object/sent_email__v/VBL000000002154", "SE-001378736")</f>
        <v>SE-001378736</v>
      </c>
      <c r="D20750" s="1" t="s">
        <v>0</v>
      </c>
      <c r="E20750" s="2">
        <v>0</v>
      </c>
      <c r="F20750" s="2">
        <v>0</v>
      </c>
      <c r="G20750" s="2">
        <v>0</v>
      </c>
      <c r="H20750" s="1" t="s">
        <v>0</v>
      </c>
      <c r="I20750" s="2">
        <v>0</v>
      </c>
      <c r="J20750" s="1">
        <v>45957.743067129632</v>
      </c>
    </row>
    <row r="20751" spans="1:10" x14ac:dyDescent="0.2">
      <c r="A20751" s="4" t="s">
        <v>1</v>
      </c>
      <c r="B207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51" s="3" t="str">
        <f>HYPERLINK("https://otsuka-europe-crm.veevavault.com/ui/#object/sent_email__v/VBL000000002155", "SE-001378737")</f>
        <v>SE-001378737</v>
      </c>
      <c r="D20751" s="1" t="s">
        <v>0</v>
      </c>
      <c r="E20751" s="2">
        <v>0</v>
      </c>
      <c r="F20751" s="2">
        <v>0</v>
      </c>
      <c r="G20751" s="2">
        <v>0</v>
      </c>
      <c r="H20751" s="1" t="s">
        <v>0</v>
      </c>
      <c r="I20751" s="2">
        <v>0</v>
      </c>
      <c r="J20751" s="1">
        <v>45957.743101851855</v>
      </c>
    </row>
    <row r="20752" spans="1:10" x14ac:dyDescent="0.2">
      <c r="A20752" s="4" t="s">
        <v>1</v>
      </c>
      <c r="B207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52" s="3" t="str">
        <f>HYPERLINK("https://otsuka-europe-crm.veevavault.com/ui/#object/sent_email__v/VBL000000002156", "SE-001378738")</f>
        <v>SE-001378738</v>
      </c>
      <c r="D20752" s="1">
        <v>45958.014456018522</v>
      </c>
      <c r="E20752" s="2">
        <v>1</v>
      </c>
      <c r="F20752" s="2">
        <v>1</v>
      </c>
      <c r="G20752" s="2">
        <v>0</v>
      </c>
      <c r="H20752" s="1" t="s">
        <v>0</v>
      </c>
      <c r="I20752" s="2">
        <v>0</v>
      </c>
      <c r="J20752" s="1">
        <v>45957.743136574078</v>
      </c>
    </row>
    <row r="20753" spans="1:10" x14ac:dyDescent="0.2">
      <c r="A20753" s="4" t="s">
        <v>1</v>
      </c>
      <c r="B207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53" s="3" t="str">
        <f>HYPERLINK("https://otsuka-europe-crm.veevavault.com/ui/#object/sent_email__v/VBL000000002157", "SE-001378739")</f>
        <v>SE-001378739</v>
      </c>
      <c r="D20753" s="1">
        <v>45957.856122685182</v>
      </c>
      <c r="E20753" s="2">
        <v>1</v>
      </c>
      <c r="F20753" s="2">
        <v>2</v>
      </c>
      <c r="G20753" s="2">
        <v>1</v>
      </c>
      <c r="H20753" s="1">
        <v>45957.855983796297</v>
      </c>
      <c r="I20753" s="2">
        <v>1</v>
      </c>
      <c r="J20753" s="1">
        <v>45957.743194444447</v>
      </c>
    </row>
    <row r="20754" spans="1:10" x14ac:dyDescent="0.2">
      <c r="A20754" s="4" t="s">
        <v>1</v>
      </c>
      <c r="B207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54" s="3" t="str">
        <f>HYPERLINK("https://otsuka-europe-crm.veevavault.com/ui/#object/sent_email__v/VBL000000002158", "SE-001378740")</f>
        <v>SE-001378740</v>
      </c>
      <c r="D20754" s="1" t="s">
        <v>0</v>
      </c>
      <c r="E20754" s="2">
        <v>0</v>
      </c>
      <c r="F20754" s="2">
        <v>0</v>
      </c>
      <c r="G20754" s="2">
        <v>0</v>
      </c>
      <c r="H20754" s="1" t="s">
        <v>0</v>
      </c>
      <c r="I20754" s="2">
        <v>0</v>
      </c>
      <c r="J20754" s="1">
        <v>45957.743217592593</v>
      </c>
    </row>
    <row r="20755" spans="1:10" x14ac:dyDescent="0.2">
      <c r="A20755" s="4" t="s">
        <v>1</v>
      </c>
      <c r="B207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55" s="3" t="str">
        <f>HYPERLINK("https://otsuka-europe-crm.veevavault.com/ui/#object/sent_email__v/VBL000000002159", "SE-001378741")</f>
        <v>SE-001378741</v>
      </c>
      <c r="D20755" s="1">
        <v>45957.83829861111</v>
      </c>
      <c r="E20755" s="2">
        <v>1</v>
      </c>
      <c r="F20755" s="2">
        <v>1</v>
      </c>
      <c r="G20755" s="2">
        <v>0</v>
      </c>
      <c r="H20755" s="1" t="s">
        <v>0</v>
      </c>
      <c r="I20755" s="2">
        <v>0</v>
      </c>
      <c r="J20755" s="1">
        <v>45957.743263888886</v>
      </c>
    </row>
    <row r="20756" spans="1:10" x14ac:dyDescent="0.2">
      <c r="A20756" s="4" t="s">
        <v>1</v>
      </c>
      <c r="B207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56" s="3" t="str">
        <f>HYPERLINK("https://otsuka-europe-crm.veevavault.com/ui/#object/sent_email__v/VBL000000002160", "SE-001378742")</f>
        <v>SE-001378742</v>
      </c>
      <c r="D20756" s="1">
        <v>45957.743495370371</v>
      </c>
      <c r="E20756" s="2">
        <v>1</v>
      </c>
      <c r="F20756" s="2">
        <v>1</v>
      </c>
      <c r="G20756" s="2">
        <v>0</v>
      </c>
      <c r="H20756" s="1" t="s">
        <v>0</v>
      </c>
      <c r="I20756" s="2">
        <v>0</v>
      </c>
      <c r="J20756" s="1">
        <v>45957.743298611109</v>
      </c>
    </row>
    <row r="20757" spans="1:10" x14ac:dyDescent="0.2">
      <c r="A20757" s="4" t="s">
        <v>1</v>
      </c>
      <c r="B207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57" s="3" t="str">
        <f>HYPERLINK("https://otsuka-europe-crm.veevavault.com/ui/#object/sent_email__v/VBL000000002161", "SE-001378743")</f>
        <v>SE-001378743</v>
      </c>
      <c r="D20757" s="1" t="s">
        <v>0</v>
      </c>
      <c r="E20757" s="2">
        <v>0</v>
      </c>
      <c r="F20757" s="2">
        <v>0</v>
      </c>
      <c r="G20757" s="2">
        <v>0</v>
      </c>
      <c r="H20757" s="1" t="s">
        <v>0</v>
      </c>
      <c r="I20757" s="2">
        <v>0</v>
      </c>
      <c r="J20757" s="1">
        <v>45957.743344907409</v>
      </c>
    </row>
    <row r="20758" spans="1:10" x14ac:dyDescent="0.2">
      <c r="A20758" s="4" t="s">
        <v>1</v>
      </c>
      <c r="B207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58" s="3" t="str">
        <f>HYPERLINK("https://otsuka-europe-crm.veevavault.com/ui/#object/sent_email__v/VBL000000002162", "SE-001378744")</f>
        <v>SE-001378744</v>
      </c>
      <c r="D20758" s="1">
        <v>45957.743564814817</v>
      </c>
      <c r="E20758" s="2">
        <v>1</v>
      </c>
      <c r="F20758" s="2">
        <v>1</v>
      </c>
      <c r="G20758" s="2">
        <v>0</v>
      </c>
      <c r="H20758" s="1" t="s">
        <v>0</v>
      </c>
      <c r="I20758" s="2">
        <v>0</v>
      </c>
      <c r="J20758" s="1">
        <v>45957.743379629632</v>
      </c>
    </row>
    <row r="20759" spans="1:10" x14ac:dyDescent="0.2">
      <c r="A20759" s="4" t="s">
        <v>1</v>
      </c>
      <c r="B207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59" s="3" t="str">
        <f>HYPERLINK("https://otsuka-europe-crm.veevavault.com/ui/#object/sent_email__v/VBL000000002163", "SE-001378745")</f>
        <v>SE-001378745</v>
      </c>
      <c r="D20759" s="1">
        <v>45957.761678240742</v>
      </c>
      <c r="E20759" s="2">
        <v>1</v>
      </c>
      <c r="F20759" s="2">
        <v>1</v>
      </c>
      <c r="G20759" s="2">
        <v>0</v>
      </c>
      <c r="H20759" s="1" t="s">
        <v>0</v>
      </c>
      <c r="I20759" s="2">
        <v>0</v>
      </c>
      <c r="J20759" s="1">
        <v>45957.743414351855</v>
      </c>
    </row>
    <row r="20760" spans="1:10" x14ac:dyDescent="0.2">
      <c r="A20760" s="4" t="s">
        <v>1</v>
      </c>
      <c r="B207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60" s="3" t="str">
        <f>HYPERLINK("https://otsuka-europe-crm.veevavault.com/ui/#object/sent_email__v/VBL000000002164", "SE-001378746")</f>
        <v>SE-001378746</v>
      </c>
      <c r="D20760" s="1" t="s">
        <v>0</v>
      </c>
      <c r="E20760" s="2">
        <v>0</v>
      </c>
      <c r="F20760" s="2">
        <v>0</v>
      </c>
      <c r="G20760" s="2">
        <v>0</v>
      </c>
      <c r="H20760" s="1" t="s">
        <v>0</v>
      </c>
      <c r="I20760" s="2">
        <v>0</v>
      </c>
      <c r="J20760" s="1">
        <v>45957.744398148148</v>
      </c>
    </row>
    <row r="20761" spans="1:10" x14ac:dyDescent="0.2">
      <c r="A20761" s="4" t="s">
        <v>1</v>
      </c>
      <c r="B207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61" s="3" t="str">
        <f>HYPERLINK("https://otsuka-europe-crm.veevavault.com/ui/#object/sent_email__v/VBL000000002165", "SE-001378747")</f>
        <v>SE-001378747</v>
      </c>
      <c r="D20761" s="1">
        <v>45958.218854166669</v>
      </c>
      <c r="E20761" s="2">
        <v>1</v>
      </c>
      <c r="F20761" s="2">
        <v>1</v>
      </c>
      <c r="G20761" s="2">
        <v>0</v>
      </c>
      <c r="H20761" s="1" t="s">
        <v>0</v>
      </c>
      <c r="I20761" s="2">
        <v>0</v>
      </c>
      <c r="J20761" s="1">
        <v>45957.744421296295</v>
      </c>
    </row>
    <row r="20762" spans="1:10" x14ac:dyDescent="0.2">
      <c r="A20762" s="4" t="s">
        <v>1</v>
      </c>
      <c r="B207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62" s="3" t="str">
        <f>HYPERLINK("https://otsuka-europe-crm.veevavault.com/ui/#object/sent_email__v/VBL000000002166", "SE-001378748")</f>
        <v>SE-001378748</v>
      </c>
      <c r="D20762" s="1">
        <v>45957.864317129628</v>
      </c>
      <c r="E20762" s="2">
        <v>1</v>
      </c>
      <c r="F20762" s="2">
        <v>1</v>
      </c>
      <c r="G20762" s="2">
        <v>0</v>
      </c>
      <c r="H20762" s="1" t="s">
        <v>0</v>
      </c>
      <c r="I20762" s="2">
        <v>0</v>
      </c>
      <c r="J20762" s="1">
        <v>45957.744467592594</v>
      </c>
    </row>
    <row r="20763" spans="1:10" x14ac:dyDescent="0.2">
      <c r="A20763" s="4" t="s">
        <v>1</v>
      </c>
      <c r="B207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63" s="3" t="str">
        <f>HYPERLINK("https://otsuka-europe-crm.veevavault.com/ui/#object/sent_email__v/VBL000000002167", "SE-001378749")</f>
        <v>SE-001378749</v>
      </c>
      <c r="D20763" s="1">
        <v>45957.777199074073</v>
      </c>
      <c r="E20763" s="2">
        <v>1</v>
      </c>
      <c r="F20763" s="2">
        <v>1</v>
      </c>
      <c r="G20763" s="2">
        <v>0</v>
      </c>
      <c r="H20763" s="1" t="s">
        <v>0</v>
      </c>
      <c r="I20763" s="2">
        <v>0</v>
      </c>
      <c r="J20763" s="1">
        <v>45957.744502314818</v>
      </c>
    </row>
    <row r="20764" spans="1:10" x14ac:dyDescent="0.2">
      <c r="A20764" s="4" t="s">
        <v>1</v>
      </c>
      <c r="B207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64" s="3" t="str">
        <f>HYPERLINK("https://otsuka-europe-crm.veevavault.com/ui/#object/sent_email__v/VBL000000002168", "SE-001378750")</f>
        <v>SE-001378750</v>
      </c>
      <c r="D20764" s="1">
        <v>45971.912708333337</v>
      </c>
      <c r="E20764" s="2">
        <v>1</v>
      </c>
      <c r="F20764" s="2">
        <v>2</v>
      </c>
      <c r="G20764" s="2">
        <v>0</v>
      </c>
      <c r="H20764" s="1" t="s">
        <v>0</v>
      </c>
      <c r="I20764" s="2">
        <v>0</v>
      </c>
      <c r="J20764" s="1">
        <v>45957.74454861111</v>
      </c>
    </row>
    <row r="20765" spans="1:10" x14ac:dyDescent="0.2">
      <c r="A20765" s="4" t="s">
        <v>1</v>
      </c>
      <c r="B207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65" s="3" t="str">
        <f>HYPERLINK("https://otsuka-europe-crm.veevavault.com/ui/#object/sent_email__v/VBL000000002169", "SE-001378751")</f>
        <v>SE-001378751</v>
      </c>
      <c r="D20765" s="1" t="s">
        <v>0</v>
      </c>
      <c r="E20765" s="2">
        <v>0</v>
      </c>
      <c r="F20765" s="2">
        <v>0</v>
      </c>
      <c r="G20765" s="2">
        <v>0</v>
      </c>
      <c r="H20765" s="1" t="s">
        <v>0</v>
      </c>
      <c r="I20765" s="2">
        <v>0</v>
      </c>
      <c r="J20765" s="1">
        <v>45957.744583333333</v>
      </c>
    </row>
    <row r="20766" spans="1:10" x14ac:dyDescent="0.2">
      <c r="A20766" s="4" t="s">
        <v>1</v>
      </c>
      <c r="B207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66" s="3" t="str">
        <f>HYPERLINK("https://otsuka-europe-crm.veevavault.com/ui/#object/sent_email__v/VBL000000002170", "SE-001378752")</f>
        <v>SE-001378752</v>
      </c>
      <c r="D20766" s="1" t="s">
        <v>0</v>
      </c>
      <c r="E20766" s="2">
        <v>0</v>
      </c>
      <c r="F20766" s="2">
        <v>0</v>
      </c>
      <c r="G20766" s="2">
        <v>0</v>
      </c>
      <c r="H20766" s="1" t="s">
        <v>0</v>
      </c>
      <c r="I20766" s="2">
        <v>0</v>
      </c>
      <c r="J20766" s="1">
        <v>45957.744629629633</v>
      </c>
    </row>
    <row r="20767" spans="1:10" x14ac:dyDescent="0.2">
      <c r="A20767" s="4" t="s">
        <v>1</v>
      </c>
      <c r="B207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67" s="3" t="str">
        <f>HYPERLINK("https://otsuka-europe-crm.veevavault.com/ui/#object/sent_email__v/VBL000000002171", "SE-001378753")</f>
        <v>SE-001378753</v>
      </c>
      <c r="D20767" s="1" t="s">
        <v>0</v>
      </c>
      <c r="E20767" s="2">
        <v>0</v>
      </c>
      <c r="F20767" s="2">
        <v>0</v>
      </c>
      <c r="G20767" s="2">
        <v>0</v>
      </c>
      <c r="H20767" s="1" t="s">
        <v>0</v>
      </c>
      <c r="I20767" s="2">
        <v>0</v>
      </c>
      <c r="J20767" s="1">
        <v>45957.744664351849</v>
      </c>
    </row>
    <row r="20768" spans="1:10" x14ac:dyDescent="0.2">
      <c r="A20768" s="4" t="s">
        <v>1</v>
      </c>
      <c r="B207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68" s="3" t="str">
        <f>HYPERLINK("https://otsuka-europe-crm.veevavault.com/ui/#object/sent_email__v/VBL000000002172", "SE-001378754")</f>
        <v>SE-001378754</v>
      </c>
      <c r="D20768" s="1" t="s">
        <v>0</v>
      </c>
      <c r="E20768" s="2">
        <v>0</v>
      </c>
      <c r="F20768" s="2">
        <v>0</v>
      </c>
      <c r="G20768" s="2">
        <v>0</v>
      </c>
      <c r="H20768" s="1" t="s">
        <v>0</v>
      </c>
      <c r="I20768" s="2">
        <v>0</v>
      </c>
      <c r="J20768" s="1">
        <v>45957.744699074072</v>
      </c>
    </row>
    <row r="20769" spans="1:10" x14ac:dyDescent="0.2">
      <c r="A20769" s="4" t="s">
        <v>1</v>
      </c>
      <c r="B207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69" s="3" t="str">
        <f>HYPERLINK("https://otsuka-europe-crm.veevavault.com/ui/#object/sent_email__v/VBL000000002173", "SE-001378755")</f>
        <v>SE-001378755</v>
      </c>
      <c r="D20769" s="1">
        <v>45965.388067129628</v>
      </c>
      <c r="E20769" s="2">
        <v>1</v>
      </c>
      <c r="F20769" s="2">
        <v>3</v>
      </c>
      <c r="G20769" s="2">
        <v>1</v>
      </c>
      <c r="H20769" s="1">
        <v>45965.38826388889</v>
      </c>
      <c r="I20769" s="2">
        <v>2</v>
      </c>
      <c r="J20769" s="1">
        <v>45957.744745370372</v>
      </c>
    </row>
    <row r="20770" spans="1:10" x14ac:dyDescent="0.2">
      <c r="A20770" s="4" t="s">
        <v>1</v>
      </c>
      <c r="B207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70" s="3" t="str">
        <f>HYPERLINK("https://otsuka-europe-crm.veevavault.com/ui/#object/sent_email__v/VBL000000002174", "SE-001378756")</f>
        <v>SE-001378756</v>
      </c>
      <c r="D20770" s="1">
        <v>45957.839317129627</v>
      </c>
      <c r="E20770" s="2">
        <v>1</v>
      </c>
      <c r="F20770" s="2">
        <v>1</v>
      </c>
      <c r="G20770" s="2">
        <v>0</v>
      </c>
      <c r="H20770" s="1" t="s">
        <v>0</v>
      </c>
      <c r="I20770" s="2">
        <v>0</v>
      </c>
      <c r="J20770" s="1">
        <v>45957.744780092595</v>
      </c>
    </row>
    <row r="20771" spans="1:10" x14ac:dyDescent="0.2">
      <c r="A20771" s="4" t="s">
        <v>1</v>
      </c>
      <c r="B207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71" s="3" t="str">
        <f>HYPERLINK("https://otsuka-europe-crm.veevavault.com/ui/#object/sent_email__v/VBL000000002175", "SE-001378757")</f>
        <v>SE-001378757</v>
      </c>
      <c r="D20771" s="1">
        <v>46000.059930555559</v>
      </c>
      <c r="E20771" s="2">
        <v>1</v>
      </c>
      <c r="F20771" s="2">
        <v>1</v>
      </c>
      <c r="G20771" s="2">
        <v>0</v>
      </c>
      <c r="H20771" s="1" t="s">
        <v>0</v>
      </c>
      <c r="I20771" s="2">
        <v>0</v>
      </c>
      <c r="J20771" s="1">
        <v>45957.744837962964</v>
      </c>
    </row>
    <row r="20772" spans="1:10" x14ac:dyDescent="0.2">
      <c r="A20772" s="4" t="s">
        <v>1</v>
      </c>
      <c r="B207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72" s="3" t="str">
        <f>HYPERLINK("https://otsuka-europe-crm.veevavault.com/ui/#object/sent_email__v/VBL000000002176", "SE-001378758")</f>
        <v>SE-001378758</v>
      </c>
      <c r="D20772" s="1" t="s">
        <v>0</v>
      </c>
      <c r="E20772" s="2">
        <v>0</v>
      </c>
      <c r="F20772" s="2">
        <v>0</v>
      </c>
      <c r="G20772" s="2">
        <v>0</v>
      </c>
      <c r="H20772" s="1" t="s">
        <v>0</v>
      </c>
      <c r="I20772" s="2">
        <v>0</v>
      </c>
      <c r="J20772" s="1">
        <v>45957.74486111111</v>
      </c>
    </row>
    <row r="20773" spans="1:10" x14ac:dyDescent="0.2">
      <c r="A20773" s="4" t="s">
        <v>1</v>
      </c>
      <c r="B207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73" s="3" t="str">
        <f>HYPERLINK("https://otsuka-europe-crm.veevavault.com/ui/#object/sent_email__v/VBL000000002177", "SE-001378759")</f>
        <v>SE-001378759</v>
      </c>
      <c r="D20773" s="1">
        <v>45957.850173611114</v>
      </c>
      <c r="E20773" s="2">
        <v>1</v>
      </c>
      <c r="F20773" s="2">
        <v>1</v>
      </c>
      <c r="G20773" s="2">
        <v>0</v>
      </c>
      <c r="H20773" s="1" t="s">
        <v>0</v>
      </c>
      <c r="I20773" s="2">
        <v>0</v>
      </c>
      <c r="J20773" s="1">
        <v>45957.74490740741</v>
      </c>
    </row>
    <row r="20774" spans="1:10" x14ac:dyDescent="0.2">
      <c r="A20774" s="4" t="s">
        <v>1</v>
      </c>
      <c r="B207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74" s="3" t="str">
        <f>HYPERLINK("https://otsuka-europe-crm.veevavault.com/ui/#object/sent_email__v/VBL000000002178", "SE-001378760")</f>
        <v>SE-001378760</v>
      </c>
      <c r="D20774" s="1">
        <v>45957.790590277778</v>
      </c>
      <c r="E20774" s="2">
        <v>1</v>
      </c>
      <c r="F20774" s="2">
        <v>1</v>
      </c>
      <c r="G20774" s="2">
        <v>0</v>
      </c>
      <c r="H20774" s="1" t="s">
        <v>0</v>
      </c>
      <c r="I20774" s="2">
        <v>0</v>
      </c>
      <c r="J20774" s="1">
        <v>45957.744942129626</v>
      </c>
    </row>
    <row r="20775" spans="1:10" x14ac:dyDescent="0.2">
      <c r="A20775" s="4" t="s">
        <v>1</v>
      </c>
      <c r="B207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75" s="3" t="str">
        <f>HYPERLINK("https://otsuka-europe-crm.veevavault.com/ui/#object/sent_email__v/VBL000000002179", "SE-001378761")</f>
        <v>SE-001378761</v>
      </c>
      <c r="D20775" s="1" t="s">
        <v>0</v>
      </c>
      <c r="E20775" s="2">
        <v>0</v>
      </c>
      <c r="F20775" s="2">
        <v>0</v>
      </c>
      <c r="G20775" s="2">
        <v>0</v>
      </c>
      <c r="H20775" s="1" t="s">
        <v>0</v>
      </c>
      <c r="I20775" s="2">
        <v>0</v>
      </c>
      <c r="J20775" s="1">
        <v>45957.744976851849</v>
      </c>
    </row>
    <row r="20776" spans="1:10" x14ac:dyDescent="0.2">
      <c r="A20776" s="4" t="s">
        <v>1</v>
      </c>
      <c r="B207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76" s="3" t="str">
        <f>HYPERLINK("https://otsuka-europe-crm.veevavault.com/ui/#object/sent_email__v/VBL000000002180", "SE-001378762")</f>
        <v>SE-001378762</v>
      </c>
      <c r="D20776" s="1">
        <v>45957.757847222223</v>
      </c>
      <c r="E20776" s="2">
        <v>1</v>
      </c>
      <c r="F20776" s="2">
        <v>2</v>
      </c>
      <c r="G20776" s="2">
        <v>0</v>
      </c>
      <c r="H20776" s="1" t="s">
        <v>0</v>
      </c>
      <c r="I20776" s="2">
        <v>0</v>
      </c>
      <c r="J20776" s="1">
        <v>45957.745023148149</v>
      </c>
    </row>
    <row r="20777" spans="1:10" x14ac:dyDescent="0.2">
      <c r="A20777" s="4" t="s">
        <v>1</v>
      </c>
      <c r="B207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77" s="3" t="str">
        <f>HYPERLINK("https://otsuka-europe-crm.veevavault.com/ui/#object/sent_email__v/VBL000000002181", "SE-001378763")</f>
        <v>SE-001378763</v>
      </c>
      <c r="D20777" s="1">
        <v>45964.922881944447</v>
      </c>
      <c r="E20777" s="2">
        <v>1</v>
      </c>
      <c r="F20777" s="2">
        <v>2</v>
      </c>
      <c r="G20777" s="2">
        <v>0</v>
      </c>
      <c r="H20777" s="1" t="s">
        <v>0</v>
      </c>
      <c r="I20777" s="2">
        <v>0</v>
      </c>
      <c r="J20777" s="1">
        <v>45957.745057870372</v>
      </c>
    </row>
    <row r="20778" spans="1:10" x14ac:dyDescent="0.2">
      <c r="A20778" s="4" t="s">
        <v>1</v>
      </c>
      <c r="B207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78" s="3" t="str">
        <f>HYPERLINK("https://otsuka-europe-crm.veevavault.com/ui/#object/sent_email__v/VBL000000002182", "SE-001378764")</f>
        <v>SE-001378764</v>
      </c>
      <c r="D20778" s="1">
        <v>45958.708321759259</v>
      </c>
      <c r="E20778" s="2">
        <v>1</v>
      </c>
      <c r="F20778" s="2">
        <v>1</v>
      </c>
      <c r="G20778" s="2">
        <v>0</v>
      </c>
      <c r="H20778" s="1" t="s">
        <v>0</v>
      </c>
      <c r="I20778" s="2">
        <v>0</v>
      </c>
      <c r="J20778" s="1">
        <v>45957.745104166665</v>
      </c>
    </row>
    <row r="20779" spans="1:10" x14ac:dyDescent="0.2">
      <c r="A20779" s="4" t="s">
        <v>1</v>
      </c>
      <c r="B207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79" s="3" t="str">
        <f>HYPERLINK("https://otsuka-europe-crm.veevavault.com/ui/#object/sent_email__v/VBL000000002183", "SE-001378765")</f>
        <v>SE-001378765</v>
      </c>
      <c r="D20779" s="1" t="s">
        <v>0</v>
      </c>
      <c r="E20779" s="2">
        <v>0</v>
      </c>
      <c r="F20779" s="2">
        <v>0</v>
      </c>
      <c r="G20779" s="2">
        <v>0</v>
      </c>
      <c r="H20779" s="1" t="s">
        <v>0</v>
      </c>
      <c r="I20779" s="2">
        <v>0</v>
      </c>
      <c r="J20779" s="1">
        <v>45957.745138888888</v>
      </c>
    </row>
    <row r="20780" spans="1:10" x14ac:dyDescent="0.2">
      <c r="A20780" s="4" t="s">
        <v>1</v>
      </c>
      <c r="B207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80" s="3" t="str">
        <f>HYPERLINK("https://otsuka-europe-crm.veevavault.com/ui/#object/sent_email__v/VBL000000002184", "SE-001378766")</f>
        <v>SE-001378766</v>
      </c>
      <c r="D20780" s="1">
        <v>45958.514976851853</v>
      </c>
      <c r="E20780" s="2">
        <v>1</v>
      </c>
      <c r="F20780" s="2">
        <v>1</v>
      </c>
      <c r="G20780" s="2">
        <v>0</v>
      </c>
      <c r="H20780" s="1" t="s">
        <v>0</v>
      </c>
      <c r="I20780" s="2">
        <v>0</v>
      </c>
      <c r="J20780" s="1">
        <v>45957.745185185187</v>
      </c>
    </row>
    <row r="20781" spans="1:10" x14ac:dyDescent="0.2">
      <c r="A20781" s="4" t="s">
        <v>1</v>
      </c>
      <c r="B207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81" s="3" t="str">
        <f>HYPERLINK("https://otsuka-europe-crm.veevavault.com/ui/#object/sent_email__v/VBL000000002185", "SE-001378767")</f>
        <v>SE-001378767</v>
      </c>
      <c r="D20781" s="1">
        <v>45957.842476851853</v>
      </c>
      <c r="E20781" s="2">
        <v>1</v>
      </c>
      <c r="F20781" s="2">
        <v>1</v>
      </c>
      <c r="G20781" s="2">
        <v>0</v>
      </c>
      <c r="H20781" s="1" t="s">
        <v>0</v>
      </c>
      <c r="I20781" s="2">
        <v>0</v>
      </c>
      <c r="J20781" s="1">
        <v>45957.745219907411</v>
      </c>
    </row>
    <row r="20782" spans="1:10" x14ac:dyDescent="0.2">
      <c r="A20782" s="4" t="s">
        <v>1</v>
      </c>
      <c r="B207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82" s="3" t="str">
        <f>HYPERLINK("https://otsuka-europe-crm.veevavault.com/ui/#object/sent_email__v/VBL000000002186", "SE-001378768")</f>
        <v>SE-001378768</v>
      </c>
      <c r="D20782" s="1">
        <v>45962.775833333333</v>
      </c>
      <c r="E20782" s="2">
        <v>1</v>
      </c>
      <c r="F20782" s="2">
        <v>1</v>
      </c>
      <c r="G20782" s="2">
        <v>0</v>
      </c>
      <c r="H20782" s="1" t="s">
        <v>0</v>
      </c>
      <c r="I20782" s="2">
        <v>0</v>
      </c>
      <c r="J20782" s="1">
        <v>45957.745266203703</v>
      </c>
    </row>
    <row r="20783" spans="1:10" x14ac:dyDescent="0.2">
      <c r="A20783" s="4" t="s">
        <v>1</v>
      </c>
      <c r="B207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83" s="3" t="str">
        <f>HYPERLINK("https://otsuka-europe-crm.veevavault.com/ui/#object/sent_email__v/VBL000000002187", "SE-001378769")</f>
        <v>SE-001378769</v>
      </c>
      <c r="D20783" s="1">
        <v>45957.84579861111</v>
      </c>
      <c r="E20783" s="2">
        <v>1</v>
      </c>
      <c r="F20783" s="2">
        <v>2</v>
      </c>
      <c r="G20783" s="2">
        <v>0</v>
      </c>
      <c r="H20783" s="1" t="s">
        <v>0</v>
      </c>
      <c r="I20783" s="2">
        <v>0</v>
      </c>
      <c r="J20783" s="1">
        <v>45957.745300925926</v>
      </c>
    </row>
    <row r="20784" spans="1:10" x14ac:dyDescent="0.2">
      <c r="A20784" s="4" t="s">
        <v>1</v>
      </c>
      <c r="B207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84" s="3" t="str">
        <f>HYPERLINK("https://otsuka-europe-crm.veevavault.com/ui/#object/sent_email__v/VBL000000002188", "SE-001378770")</f>
        <v>SE-001378770</v>
      </c>
      <c r="D20784" s="1">
        <v>45957.86409722222</v>
      </c>
      <c r="E20784" s="2">
        <v>1</v>
      </c>
      <c r="F20784" s="2">
        <v>1</v>
      </c>
      <c r="G20784" s="2">
        <v>0</v>
      </c>
      <c r="H20784" s="1" t="s">
        <v>0</v>
      </c>
      <c r="I20784" s="2">
        <v>0</v>
      </c>
      <c r="J20784" s="1">
        <v>45957.745347222219</v>
      </c>
    </row>
    <row r="20785" spans="1:10" x14ac:dyDescent="0.2">
      <c r="A20785" s="4" t="s">
        <v>1</v>
      </c>
      <c r="B207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85" s="3" t="str">
        <f>HYPERLINK("https://otsuka-europe-crm.veevavault.com/ui/#object/sent_email__v/VBL000000002189", "SE-001378771")</f>
        <v>SE-001378771</v>
      </c>
      <c r="D20785" s="1" t="s">
        <v>0</v>
      </c>
      <c r="E20785" s="2">
        <v>0</v>
      </c>
      <c r="F20785" s="2">
        <v>0</v>
      </c>
      <c r="G20785" s="2">
        <v>0</v>
      </c>
      <c r="H20785" s="1" t="s">
        <v>0</v>
      </c>
      <c r="I20785" s="2">
        <v>0</v>
      </c>
      <c r="J20785" s="1">
        <v>45957.745393518519</v>
      </c>
    </row>
    <row r="20786" spans="1:10" x14ac:dyDescent="0.2">
      <c r="A20786" s="4" t="s">
        <v>1</v>
      </c>
      <c r="B207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86" s="3" t="str">
        <f>HYPERLINK("https://otsuka-europe-crm.veevavault.com/ui/#object/sent_email__v/VBL000000002190", "SE-001378772")</f>
        <v>SE-001378772</v>
      </c>
      <c r="D20786" s="1">
        <v>45986.492592592593</v>
      </c>
      <c r="E20786" s="2">
        <v>1</v>
      </c>
      <c r="F20786" s="2">
        <v>1</v>
      </c>
      <c r="G20786" s="2">
        <v>0</v>
      </c>
      <c r="H20786" s="1" t="s">
        <v>0</v>
      </c>
      <c r="I20786" s="2">
        <v>0</v>
      </c>
      <c r="J20786" s="1">
        <v>45957.745439814818</v>
      </c>
    </row>
    <row r="20787" spans="1:10" x14ac:dyDescent="0.2">
      <c r="A20787" s="4" t="s">
        <v>1</v>
      </c>
      <c r="B207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87" s="3" t="str">
        <f>HYPERLINK("https://otsuka-europe-crm.veevavault.com/ui/#object/sent_email__v/VBL000000002191", "SE-001378773")</f>
        <v>SE-001378773</v>
      </c>
      <c r="D20787" s="1">
        <v>45957.755150462966</v>
      </c>
      <c r="E20787" s="2">
        <v>1</v>
      </c>
      <c r="F20787" s="2">
        <v>1</v>
      </c>
      <c r="G20787" s="2">
        <v>0</v>
      </c>
      <c r="H20787" s="1" t="s">
        <v>0</v>
      </c>
      <c r="I20787" s="2">
        <v>0</v>
      </c>
      <c r="J20787" s="1">
        <v>45957.745474537034</v>
      </c>
    </row>
    <row r="20788" spans="1:10" x14ac:dyDescent="0.2">
      <c r="A20788" s="4" t="s">
        <v>1</v>
      </c>
      <c r="B207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88" s="3" t="str">
        <f>HYPERLINK("https://otsuka-europe-crm.veevavault.com/ui/#object/sent_email__v/VBL000000002192", "SE-001378774")</f>
        <v>SE-001378774</v>
      </c>
      <c r="D20788" s="1" t="s">
        <v>0</v>
      </c>
      <c r="E20788" s="2">
        <v>0</v>
      </c>
      <c r="F20788" s="2">
        <v>0</v>
      </c>
      <c r="G20788" s="2">
        <v>0</v>
      </c>
      <c r="H20788" s="1" t="s">
        <v>0</v>
      </c>
      <c r="I20788" s="2">
        <v>0</v>
      </c>
      <c r="J20788" s="1">
        <v>45957.745520833334</v>
      </c>
    </row>
    <row r="20789" spans="1:10" x14ac:dyDescent="0.2">
      <c r="A20789" s="4" t="s">
        <v>1</v>
      </c>
      <c r="B207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89" s="3" t="str">
        <f>HYPERLINK("https://otsuka-europe-crm.veevavault.com/ui/#object/sent_email__v/VBL000000002193", "SE-001378775")</f>
        <v>SE-001378775</v>
      </c>
      <c r="D20789" s="1">
        <v>45973.796331018515</v>
      </c>
      <c r="E20789" s="2">
        <v>1</v>
      </c>
      <c r="F20789" s="2">
        <v>3</v>
      </c>
      <c r="G20789" s="2">
        <v>0</v>
      </c>
      <c r="H20789" s="1" t="s">
        <v>0</v>
      </c>
      <c r="I20789" s="2">
        <v>0</v>
      </c>
      <c r="J20789" s="1">
        <v>45957.745555555557</v>
      </c>
    </row>
    <row r="20790" spans="1:10" x14ac:dyDescent="0.2">
      <c r="A20790" s="4" t="s">
        <v>1</v>
      </c>
      <c r="B207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90" s="3" t="str">
        <f>HYPERLINK("https://otsuka-europe-crm.veevavault.com/ui/#object/sent_email__v/VBL000000002194", "SE-001378776")</f>
        <v>SE-001378776</v>
      </c>
      <c r="D20790" s="1">
        <v>45978.980555555558</v>
      </c>
      <c r="E20790" s="2">
        <v>1</v>
      </c>
      <c r="F20790" s="2">
        <v>4</v>
      </c>
      <c r="G20790" s="2">
        <v>0</v>
      </c>
      <c r="H20790" s="1" t="s">
        <v>0</v>
      </c>
      <c r="I20790" s="2">
        <v>0</v>
      </c>
      <c r="J20790" s="1">
        <v>45957.74559027778</v>
      </c>
    </row>
    <row r="20791" spans="1:10" x14ac:dyDescent="0.2">
      <c r="A20791" s="4" t="s">
        <v>1</v>
      </c>
      <c r="B207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91" s="3" t="str">
        <f>HYPERLINK("https://otsuka-europe-crm.veevavault.com/ui/#object/sent_email__v/VBL000000002195", "SE-001378777")</f>
        <v>SE-001378777</v>
      </c>
      <c r="D20791" s="1" t="s">
        <v>0</v>
      </c>
      <c r="E20791" s="2">
        <v>0</v>
      </c>
      <c r="F20791" s="2">
        <v>0</v>
      </c>
      <c r="G20791" s="2">
        <v>0</v>
      </c>
      <c r="H20791" s="1" t="s">
        <v>0</v>
      </c>
      <c r="I20791" s="2">
        <v>0</v>
      </c>
      <c r="J20791" s="1">
        <v>45957.745636574073</v>
      </c>
    </row>
    <row r="20792" spans="1:10" x14ac:dyDescent="0.2">
      <c r="A20792" s="4" t="s">
        <v>1</v>
      </c>
      <c r="B207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92" s="3" t="str">
        <f>HYPERLINK("https://otsuka-europe-crm.veevavault.com/ui/#object/sent_email__v/VBL000000002196", "SE-001378778")</f>
        <v>SE-001378778</v>
      </c>
      <c r="D20792" s="1" t="s">
        <v>0</v>
      </c>
      <c r="E20792" s="2">
        <v>0</v>
      </c>
      <c r="F20792" s="2">
        <v>0</v>
      </c>
      <c r="G20792" s="2">
        <v>0</v>
      </c>
      <c r="H20792" s="1" t="s">
        <v>0</v>
      </c>
      <c r="I20792" s="2">
        <v>0</v>
      </c>
      <c r="J20792" s="1">
        <v>45957.745671296296</v>
      </c>
    </row>
    <row r="20793" spans="1:10" x14ac:dyDescent="0.2">
      <c r="A20793" s="4" t="s">
        <v>1</v>
      </c>
      <c r="B207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93" s="3" t="str">
        <f>HYPERLINK("https://otsuka-europe-crm.veevavault.com/ui/#object/sent_email__v/VBL000000001904", "SE-001378779")</f>
        <v>SE-001378779</v>
      </c>
      <c r="D20793" s="1">
        <v>45960.255578703705</v>
      </c>
      <c r="E20793" s="2">
        <v>1</v>
      </c>
      <c r="F20793" s="2">
        <v>1</v>
      </c>
      <c r="G20793" s="2">
        <v>0</v>
      </c>
      <c r="H20793" s="1" t="s">
        <v>0</v>
      </c>
      <c r="I20793" s="2">
        <v>0</v>
      </c>
      <c r="J20793" s="1">
        <v>45957.744699074072</v>
      </c>
    </row>
    <row r="20794" spans="1:10" x14ac:dyDescent="0.2">
      <c r="A20794" s="4" t="s">
        <v>1</v>
      </c>
      <c r="B207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94" s="3" t="str">
        <f>HYPERLINK("https://otsuka-europe-crm.veevavault.com/ui/#object/sent_email__v/VBL000000001905", "SE-001378780")</f>
        <v>SE-001378780</v>
      </c>
      <c r="D20794" s="1" t="s">
        <v>0</v>
      </c>
      <c r="E20794" s="2">
        <v>0</v>
      </c>
      <c r="F20794" s="2">
        <v>0</v>
      </c>
      <c r="G20794" s="2">
        <v>0</v>
      </c>
      <c r="H20794" s="1" t="s">
        <v>0</v>
      </c>
      <c r="I20794" s="2">
        <v>0</v>
      </c>
      <c r="J20794" s="1">
        <v>45957.744733796295</v>
      </c>
    </row>
    <row r="20795" spans="1:10" x14ac:dyDescent="0.2">
      <c r="A20795" s="4" t="s">
        <v>1</v>
      </c>
      <c r="B207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95" s="3" t="str">
        <f>HYPERLINK("https://otsuka-europe-crm.veevavault.com/ui/#object/sent_email__v/VBL000000001906", "SE-001378781")</f>
        <v>SE-001378781</v>
      </c>
      <c r="D20795" s="1" t="s">
        <v>0</v>
      </c>
      <c r="E20795" s="2">
        <v>0</v>
      </c>
      <c r="F20795" s="2">
        <v>0</v>
      </c>
      <c r="G20795" s="2">
        <v>0</v>
      </c>
      <c r="H20795" s="1" t="s">
        <v>0</v>
      </c>
      <c r="I20795" s="2">
        <v>0</v>
      </c>
      <c r="J20795" s="1">
        <v>45957.744768518518</v>
      </c>
    </row>
    <row r="20796" spans="1:10" x14ac:dyDescent="0.2">
      <c r="A20796" s="4" t="s">
        <v>1</v>
      </c>
      <c r="B207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96" s="3" t="str">
        <f>HYPERLINK("https://otsuka-europe-crm.veevavault.com/ui/#object/sent_email__v/VBL000000002199", "SE-001378786")</f>
        <v>SE-001378786</v>
      </c>
      <c r="D20796" s="1" t="s">
        <v>0</v>
      </c>
      <c r="E20796" s="2">
        <v>0</v>
      </c>
      <c r="F20796" s="2">
        <v>0</v>
      </c>
      <c r="G20796" s="2">
        <v>0</v>
      </c>
      <c r="H20796" s="1" t="s">
        <v>0</v>
      </c>
      <c r="I20796" s="2">
        <v>0</v>
      </c>
      <c r="J20796" s="1">
        <v>45958.374201388891</v>
      </c>
    </row>
    <row r="20797" spans="1:10" x14ac:dyDescent="0.2">
      <c r="A20797" s="4" t="s">
        <v>1</v>
      </c>
      <c r="B207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97" s="3" t="str">
        <f>HYPERLINK("https://otsuka-europe-crm.veevavault.com/ui/#object/sent_email__v/VBL000000002200", "SE-001378787")</f>
        <v>SE-001378787</v>
      </c>
      <c r="D20797" s="1">
        <v>45958.408148148148</v>
      </c>
      <c r="E20797" s="2">
        <v>1</v>
      </c>
      <c r="F20797" s="2">
        <v>1</v>
      </c>
      <c r="G20797" s="2">
        <v>0</v>
      </c>
      <c r="H20797" s="1" t="s">
        <v>0</v>
      </c>
      <c r="I20797" s="2">
        <v>0</v>
      </c>
      <c r="J20797" s="1">
        <v>45958.374282407407</v>
      </c>
    </row>
    <row r="20798" spans="1:10" x14ac:dyDescent="0.2">
      <c r="A20798" s="4" t="s">
        <v>1</v>
      </c>
      <c r="B207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98" s="3" t="str">
        <f>HYPERLINK("https://otsuka-europe-crm.veevavault.com/ui/#object/sent_email__v/VBL000000002201", "SE-001378788")</f>
        <v>SE-001378788</v>
      </c>
      <c r="D20798" s="1" t="s">
        <v>0</v>
      </c>
      <c r="E20798" s="2">
        <v>0</v>
      </c>
      <c r="F20798" s="2">
        <v>0</v>
      </c>
      <c r="G20798" s="2">
        <v>0</v>
      </c>
      <c r="H20798" s="1" t="s">
        <v>0</v>
      </c>
      <c r="I20798" s="2">
        <v>0</v>
      </c>
      <c r="J20798" s="1">
        <v>45958.374340277776</v>
      </c>
    </row>
    <row r="20799" spans="1:10" x14ac:dyDescent="0.2">
      <c r="A20799" s="4" t="s">
        <v>1</v>
      </c>
      <c r="B207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799" s="3" t="str">
        <f>HYPERLINK("https://otsuka-europe-crm.veevavault.com/ui/#object/sent_email__v/VBL000000002202", "SE-001378789")</f>
        <v>SE-001378789</v>
      </c>
      <c r="D20799" s="1" t="s">
        <v>0</v>
      </c>
      <c r="E20799" s="2">
        <v>0</v>
      </c>
      <c r="F20799" s="2">
        <v>0</v>
      </c>
      <c r="G20799" s="2">
        <v>0</v>
      </c>
      <c r="H20799" s="1" t="s">
        <v>0</v>
      </c>
      <c r="I20799" s="2">
        <v>0</v>
      </c>
      <c r="J20799" s="1">
        <v>45958.374421296299</v>
      </c>
    </row>
    <row r="20800" spans="1:10" x14ac:dyDescent="0.2">
      <c r="A20800" s="4" t="s">
        <v>1</v>
      </c>
      <c r="B208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00" s="3" t="str">
        <f>HYPERLINK("https://otsuka-europe-crm.veevavault.com/ui/#object/sent_email__v/VBL000000002203", "SE-001378790")</f>
        <v>SE-001378790</v>
      </c>
      <c r="D20800" s="1">
        <v>45964.866643518515</v>
      </c>
      <c r="E20800" s="2">
        <v>1</v>
      </c>
      <c r="F20800" s="2">
        <v>1</v>
      </c>
      <c r="G20800" s="2">
        <v>0</v>
      </c>
      <c r="H20800" s="1" t="s">
        <v>0</v>
      </c>
      <c r="I20800" s="2">
        <v>0</v>
      </c>
      <c r="J20800" s="1">
        <v>45958.374502314815</v>
      </c>
    </row>
    <row r="20801" spans="1:10" x14ac:dyDescent="0.2">
      <c r="A20801" s="4" t="s">
        <v>1</v>
      </c>
      <c r="B208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01" s="3" t="str">
        <f>HYPERLINK("https://otsuka-europe-crm.veevavault.com/ui/#object/sent_email__v/VBL000000002204", "SE-001378791")</f>
        <v>SE-001378791</v>
      </c>
      <c r="D20801" s="1">
        <v>45958.504675925928</v>
      </c>
      <c r="E20801" s="2">
        <v>1</v>
      </c>
      <c r="F20801" s="2">
        <v>1</v>
      </c>
      <c r="G20801" s="2">
        <v>0</v>
      </c>
      <c r="H20801" s="1" t="s">
        <v>0</v>
      </c>
      <c r="I20801" s="2">
        <v>0</v>
      </c>
      <c r="J20801" s="1">
        <v>45958.374571759261</v>
      </c>
    </row>
    <row r="20802" spans="1:10" x14ac:dyDescent="0.2">
      <c r="A20802" s="4" t="s">
        <v>1</v>
      </c>
      <c r="B208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02" s="3" t="str">
        <f>HYPERLINK("https://otsuka-europe-crm.veevavault.com/ui/#object/sent_email__v/VBL000000002205", "SE-001378792")</f>
        <v>SE-001378792</v>
      </c>
      <c r="D20802" s="1" t="s">
        <v>0</v>
      </c>
      <c r="E20802" s="2">
        <v>0</v>
      </c>
      <c r="F20802" s="2">
        <v>0</v>
      </c>
      <c r="G20802" s="2">
        <v>0</v>
      </c>
      <c r="H20802" s="1" t="s">
        <v>0</v>
      </c>
      <c r="I20802" s="2">
        <v>0</v>
      </c>
      <c r="J20802" s="1">
        <v>45958.37462962963</v>
      </c>
    </row>
    <row r="20803" spans="1:10" x14ac:dyDescent="0.2">
      <c r="A20803" s="4" t="s">
        <v>1</v>
      </c>
      <c r="B208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03" s="3" t="str">
        <f>HYPERLINK("https://otsuka-europe-crm.veevavault.com/ui/#object/sent_email__v/VBL000000002206", "SE-001378793")</f>
        <v>SE-001378793</v>
      </c>
      <c r="D20803" s="1">
        <v>45960.977349537039</v>
      </c>
      <c r="E20803" s="2">
        <v>1</v>
      </c>
      <c r="F20803" s="2">
        <v>2</v>
      </c>
      <c r="G20803" s="2">
        <v>0</v>
      </c>
      <c r="H20803" s="1" t="s">
        <v>0</v>
      </c>
      <c r="I20803" s="2">
        <v>0</v>
      </c>
      <c r="J20803" s="1">
        <v>45958.374699074076</v>
      </c>
    </row>
    <row r="20804" spans="1:10" x14ac:dyDescent="0.2">
      <c r="A20804" s="4" t="s">
        <v>1</v>
      </c>
      <c r="B208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04" s="3" t="str">
        <f>HYPERLINK("https://otsuka-europe-crm.veevavault.com/ui/#object/sent_email__v/VBL000000002207", "SE-001378794")</f>
        <v>SE-001378794</v>
      </c>
      <c r="D20804" s="1" t="s">
        <v>0</v>
      </c>
      <c r="E20804" s="2">
        <v>0</v>
      </c>
      <c r="F20804" s="2">
        <v>0</v>
      </c>
      <c r="G20804" s="2">
        <v>0</v>
      </c>
      <c r="H20804" s="1" t="s">
        <v>0</v>
      </c>
      <c r="I20804" s="2">
        <v>0</v>
      </c>
      <c r="J20804" s="1">
        <v>45958.374768518515</v>
      </c>
    </row>
    <row r="20805" spans="1:10" x14ac:dyDescent="0.2">
      <c r="A20805" s="4" t="s">
        <v>1</v>
      </c>
      <c r="B208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05" s="3" t="str">
        <f>HYPERLINK("https://otsuka-europe-crm.veevavault.com/ui/#object/sent_email__v/VBL000000002208", "SE-001378795")</f>
        <v>SE-001378795</v>
      </c>
      <c r="D20805" s="1">
        <v>45982.536643518521</v>
      </c>
      <c r="E20805" s="2">
        <v>1</v>
      </c>
      <c r="F20805" s="2">
        <v>1</v>
      </c>
      <c r="G20805" s="2">
        <v>0</v>
      </c>
      <c r="H20805" s="1" t="s">
        <v>0</v>
      </c>
      <c r="I20805" s="2">
        <v>0</v>
      </c>
      <c r="J20805" s="1">
        <v>45958.374837962961</v>
      </c>
    </row>
    <row r="20806" spans="1:10" x14ac:dyDescent="0.2">
      <c r="A20806" s="4" t="s">
        <v>1</v>
      </c>
      <c r="B208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06" s="3" t="str">
        <f>HYPERLINK("https://otsuka-europe-crm.veevavault.com/ui/#object/sent_email__v/VBL000000002209", "SE-001378796")</f>
        <v>SE-001378796</v>
      </c>
      <c r="D20806" s="1" t="s">
        <v>0</v>
      </c>
      <c r="E20806" s="2">
        <v>0</v>
      </c>
      <c r="F20806" s="2">
        <v>0</v>
      </c>
      <c r="G20806" s="2">
        <v>0</v>
      </c>
      <c r="H20806" s="1" t="s">
        <v>0</v>
      </c>
      <c r="I20806" s="2">
        <v>0</v>
      </c>
      <c r="J20806" s="1">
        <v>45958.374907407408</v>
      </c>
    </row>
    <row r="20807" spans="1:10" x14ac:dyDescent="0.2">
      <c r="A20807" s="4" t="s">
        <v>1</v>
      </c>
      <c r="B208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07" s="3" t="str">
        <f>HYPERLINK("https://otsuka-europe-crm.veevavault.com/ui/#object/sent_email__v/VBL000000002210", "SE-001378797")</f>
        <v>SE-001378797</v>
      </c>
      <c r="D20807" s="1" t="s">
        <v>0</v>
      </c>
      <c r="E20807" s="2">
        <v>0</v>
      </c>
      <c r="F20807" s="2">
        <v>0</v>
      </c>
      <c r="G20807" s="2">
        <v>0</v>
      </c>
      <c r="H20807" s="1" t="s">
        <v>0</v>
      </c>
      <c r="I20807" s="2">
        <v>0</v>
      </c>
      <c r="J20807" s="1">
        <v>45958.374988425923</v>
      </c>
    </row>
    <row r="20808" spans="1:10" x14ac:dyDescent="0.2">
      <c r="A20808" s="4" t="s">
        <v>1</v>
      </c>
      <c r="B208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08" s="3" t="str">
        <f>HYPERLINK("https://otsuka-europe-crm.veevavault.com/ui/#object/sent_email__v/VBL000000002211", "SE-001378798")</f>
        <v>SE-001378798</v>
      </c>
      <c r="D20808" s="1" t="s">
        <v>0</v>
      </c>
      <c r="E20808" s="2">
        <v>0</v>
      </c>
      <c r="F20808" s="2">
        <v>0</v>
      </c>
      <c r="G20808" s="2">
        <v>0</v>
      </c>
      <c r="H20808" s="1" t="s">
        <v>0</v>
      </c>
      <c r="I20808" s="2">
        <v>0</v>
      </c>
      <c r="J20808" s="1">
        <v>45958.375023148146</v>
      </c>
    </row>
    <row r="20809" spans="1:10" x14ac:dyDescent="0.2">
      <c r="A20809" s="4" t="s">
        <v>1</v>
      </c>
      <c r="B208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09" s="3" t="str">
        <f>HYPERLINK("https://otsuka-europe-crm.veevavault.com/ui/#object/sent_email__v/VBL000000002212", "SE-001378799")</f>
        <v>SE-001378799</v>
      </c>
      <c r="D20809" s="1">
        <v>45958.67728009259</v>
      </c>
      <c r="E20809" s="2">
        <v>1</v>
      </c>
      <c r="F20809" s="2">
        <v>1</v>
      </c>
      <c r="G20809" s="2">
        <v>0</v>
      </c>
      <c r="H20809" s="1" t="s">
        <v>0</v>
      </c>
      <c r="I20809" s="2">
        <v>0</v>
      </c>
      <c r="J20809" s="1">
        <v>45958.375092592592</v>
      </c>
    </row>
    <row r="20810" spans="1:10" x14ac:dyDescent="0.2">
      <c r="A20810" s="4" t="s">
        <v>1</v>
      </c>
      <c r="B208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10" s="3" t="str">
        <f>HYPERLINK("https://otsuka-europe-crm.veevavault.com/ui/#object/sent_email__v/VBL000000002213", "SE-001378800")</f>
        <v>SE-001378800</v>
      </c>
      <c r="D20810" s="1" t="s">
        <v>0</v>
      </c>
      <c r="E20810" s="2">
        <v>0</v>
      </c>
      <c r="F20810" s="2">
        <v>0</v>
      </c>
      <c r="G20810" s="2">
        <v>0</v>
      </c>
      <c r="H20810" s="1" t="s">
        <v>0</v>
      </c>
      <c r="I20810" s="2">
        <v>0</v>
      </c>
      <c r="J20810" s="1">
        <v>45958.375138888892</v>
      </c>
    </row>
    <row r="20811" spans="1:10" x14ac:dyDescent="0.2">
      <c r="A20811" s="4" t="s">
        <v>1</v>
      </c>
      <c r="B208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11" s="3" t="str">
        <f>HYPERLINK("https://otsuka-europe-crm.veevavault.com/ui/#object/sent_email__v/VBL000000002214", "SE-001378801")</f>
        <v>SE-001378801</v>
      </c>
      <c r="D20811" s="1">
        <v>45960.742430555554</v>
      </c>
      <c r="E20811" s="2">
        <v>1</v>
      </c>
      <c r="F20811" s="2">
        <v>2</v>
      </c>
      <c r="G20811" s="2">
        <v>0</v>
      </c>
      <c r="H20811" s="1" t="s">
        <v>0</v>
      </c>
      <c r="I20811" s="2">
        <v>0</v>
      </c>
      <c r="J20811" s="1">
        <v>45958.375162037039</v>
      </c>
    </row>
    <row r="20812" spans="1:10" x14ac:dyDescent="0.2">
      <c r="A20812" s="4" t="s">
        <v>1</v>
      </c>
      <c r="B208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12" s="3" t="str">
        <f>HYPERLINK("https://otsuka-europe-crm.veevavault.com/ui/#object/sent_email__v/VBL000000002215", "SE-001378802")</f>
        <v>SE-001378802</v>
      </c>
      <c r="D20812" s="1">
        <v>45965.381018518521</v>
      </c>
      <c r="E20812" s="2">
        <v>1</v>
      </c>
      <c r="F20812" s="2">
        <v>2</v>
      </c>
      <c r="G20812" s="2">
        <v>0</v>
      </c>
      <c r="H20812" s="1" t="s">
        <v>0</v>
      </c>
      <c r="I20812" s="2">
        <v>0</v>
      </c>
      <c r="J20812" s="1">
        <v>45958.375208333331</v>
      </c>
    </row>
    <row r="20813" spans="1:10" x14ac:dyDescent="0.2">
      <c r="A20813" s="4" t="s">
        <v>1</v>
      </c>
      <c r="B208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13" s="3" t="str">
        <f>HYPERLINK("https://otsuka-europe-crm.veevavault.com/ui/#object/sent_email__v/VBL000000002216", "SE-001378803")</f>
        <v>SE-001378803</v>
      </c>
      <c r="D20813" s="1">
        <v>45958.477372685185</v>
      </c>
      <c r="E20813" s="2">
        <v>1</v>
      </c>
      <c r="F20813" s="2">
        <v>1</v>
      </c>
      <c r="G20813" s="2">
        <v>0</v>
      </c>
      <c r="H20813" s="1" t="s">
        <v>0</v>
      </c>
      <c r="I20813" s="2">
        <v>0</v>
      </c>
      <c r="J20813" s="1">
        <v>45958.375243055554</v>
      </c>
    </row>
    <row r="20814" spans="1:10" x14ac:dyDescent="0.2">
      <c r="A20814" s="4" t="s">
        <v>1</v>
      </c>
      <c r="B208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14" s="3" t="str">
        <f>HYPERLINK("https://otsuka-europe-crm.veevavault.com/ui/#object/sent_email__v/VBL000000002217", "SE-001378804")</f>
        <v>SE-001378804</v>
      </c>
      <c r="D20814" s="1" t="s">
        <v>0</v>
      </c>
      <c r="E20814" s="2">
        <v>0</v>
      </c>
      <c r="F20814" s="2">
        <v>0</v>
      </c>
      <c r="G20814" s="2">
        <v>0</v>
      </c>
      <c r="H20814" s="1" t="s">
        <v>0</v>
      </c>
      <c r="I20814" s="2">
        <v>0</v>
      </c>
      <c r="J20814" s="1">
        <v>45958.375277777777</v>
      </c>
    </row>
    <row r="20815" spans="1:10" x14ac:dyDescent="0.2">
      <c r="A20815" s="4" t="s">
        <v>1</v>
      </c>
      <c r="B208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15" s="3" t="str">
        <f>HYPERLINK("https://otsuka-europe-crm.veevavault.com/ui/#object/sent_email__v/VBL000000002218", "SE-001378805")</f>
        <v>SE-001378805</v>
      </c>
      <c r="D20815" s="1" t="s">
        <v>0</v>
      </c>
      <c r="E20815" s="2">
        <v>0</v>
      </c>
      <c r="F20815" s="2">
        <v>0</v>
      </c>
      <c r="G20815" s="2">
        <v>0</v>
      </c>
      <c r="H20815" s="1" t="s">
        <v>0</v>
      </c>
      <c r="I20815" s="2">
        <v>0</v>
      </c>
      <c r="J20815" s="1">
        <v>45958.3753125</v>
      </c>
    </row>
    <row r="20816" spans="1:10" x14ac:dyDescent="0.2">
      <c r="A20816" s="4" t="s">
        <v>1</v>
      </c>
      <c r="B208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16" s="3" t="str">
        <f>HYPERLINK("https://otsuka-europe-crm.veevavault.com/ui/#object/sent_email__v/VBL000000002219", "SE-001378806")</f>
        <v>SE-001378806</v>
      </c>
      <c r="D20816" s="1">
        <v>45959.442916666667</v>
      </c>
      <c r="E20816" s="2">
        <v>1</v>
      </c>
      <c r="F20816" s="2">
        <v>2</v>
      </c>
      <c r="G20816" s="2">
        <v>1</v>
      </c>
      <c r="H20816" s="1">
        <v>45959.442997685182</v>
      </c>
      <c r="I20816" s="2">
        <v>1</v>
      </c>
      <c r="J20816" s="1">
        <v>45958.37537037037</v>
      </c>
    </row>
    <row r="20817" spans="1:10" x14ac:dyDescent="0.2">
      <c r="A20817" s="4" t="s">
        <v>1</v>
      </c>
      <c r="B208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17" s="3" t="str">
        <f>HYPERLINK("https://otsuka-europe-crm.veevavault.com/ui/#object/sent_email__v/VBL000000002220", "SE-001378807")</f>
        <v>SE-001378807</v>
      </c>
      <c r="D20817" s="1" t="s">
        <v>0</v>
      </c>
      <c r="E20817" s="2">
        <v>0</v>
      </c>
      <c r="F20817" s="2">
        <v>0</v>
      </c>
      <c r="G20817" s="2">
        <v>0</v>
      </c>
      <c r="H20817" s="1" t="s">
        <v>0</v>
      </c>
      <c r="I20817" s="2">
        <v>0</v>
      </c>
      <c r="J20817" s="1">
        <v>45958.375405092593</v>
      </c>
    </row>
    <row r="20818" spans="1:10" x14ac:dyDescent="0.2">
      <c r="A20818" s="4" t="s">
        <v>1</v>
      </c>
      <c r="B208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18" s="3" t="str">
        <f>HYPERLINK("https://otsuka-europe-crm.veevavault.com/ui/#object/sent_email__v/VBL000000002221", "SE-001378808")</f>
        <v>SE-001378808</v>
      </c>
      <c r="D20818" s="1" t="s">
        <v>0</v>
      </c>
      <c r="E20818" s="2">
        <v>0</v>
      </c>
      <c r="F20818" s="2">
        <v>0</v>
      </c>
      <c r="G20818" s="2">
        <v>0</v>
      </c>
      <c r="H20818" s="1" t="s">
        <v>0</v>
      </c>
      <c r="I20818" s="2">
        <v>0</v>
      </c>
      <c r="J20818" s="1">
        <v>45958.375451388885</v>
      </c>
    </row>
    <row r="20819" spans="1:10" x14ac:dyDescent="0.2">
      <c r="A20819" s="4" t="s">
        <v>1</v>
      </c>
      <c r="B208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19" s="3" t="str">
        <f>HYPERLINK("https://otsuka-europe-crm.veevavault.com/ui/#object/sent_email__v/VBL000000002222", "SE-001378809")</f>
        <v>SE-001378809</v>
      </c>
      <c r="D20819" s="1">
        <v>45958.380601851852</v>
      </c>
      <c r="E20819" s="2">
        <v>1</v>
      </c>
      <c r="F20819" s="2">
        <v>1</v>
      </c>
      <c r="G20819" s="2">
        <v>0</v>
      </c>
      <c r="H20819" s="1" t="s">
        <v>0</v>
      </c>
      <c r="I20819" s="2">
        <v>0</v>
      </c>
      <c r="J20819" s="1">
        <v>45958.375486111108</v>
      </c>
    </row>
    <row r="20820" spans="1:10" x14ac:dyDescent="0.2">
      <c r="A20820" s="4" t="s">
        <v>1</v>
      </c>
      <c r="B208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20" s="3" t="str">
        <f>HYPERLINK("https://otsuka-europe-crm.veevavault.com/ui/#object/sent_email__v/VBL000000002223", "SE-001378810")</f>
        <v>SE-001378810</v>
      </c>
      <c r="D20820" s="1" t="s">
        <v>0</v>
      </c>
      <c r="E20820" s="2">
        <v>0</v>
      </c>
      <c r="F20820" s="2">
        <v>0</v>
      </c>
      <c r="G20820" s="2">
        <v>0</v>
      </c>
      <c r="H20820" s="1" t="s">
        <v>0</v>
      </c>
      <c r="I20820" s="2">
        <v>0</v>
      </c>
      <c r="J20820" s="1">
        <v>45958.375532407408</v>
      </c>
    </row>
    <row r="20821" spans="1:10" x14ac:dyDescent="0.2">
      <c r="A20821" s="4" t="s">
        <v>1</v>
      </c>
      <c r="B208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21" s="3" t="str">
        <f>HYPERLINK("https://otsuka-europe-crm.veevavault.com/ui/#object/sent_email__v/VBL000000002224", "SE-001378811")</f>
        <v>SE-001378811</v>
      </c>
      <c r="D20821" s="1">
        <v>45958.702499999999</v>
      </c>
      <c r="E20821" s="2">
        <v>1</v>
      </c>
      <c r="F20821" s="2">
        <v>1</v>
      </c>
      <c r="G20821" s="2">
        <v>0</v>
      </c>
      <c r="H20821" s="1" t="s">
        <v>0</v>
      </c>
      <c r="I20821" s="2">
        <v>0</v>
      </c>
      <c r="J20821" s="1">
        <v>45958.375567129631</v>
      </c>
    </row>
    <row r="20822" spans="1:10" x14ac:dyDescent="0.2">
      <c r="A20822" s="4" t="s">
        <v>1</v>
      </c>
      <c r="B208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22" s="3" t="str">
        <f>HYPERLINK("https://otsuka-europe-crm.veevavault.com/ui/#object/sent_email__v/VBL000000002225", "SE-001378812")</f>
        <v>SE-001378812</v>
      </c>
      <c r="D20822" s="1">
        <v>45958.615694444445</v>
      </c>
      <c r="E20822" s="2">
        <v>1</v>
      </c>
      <c r="F20822" s="2">
        <v>2</v>
      </c>
      <c r="G20822" s="2">
        <v>0</v>
      </c>
      <c r="H20822" s="1" t="s">
        <v>0</v>
      </c>
      <c r="I20822" s="2">
        <v>0</v>
      </c>
      <c r="J20822" s="1">
        <v>45958.375613425924</v>
      </c>
    </row>
    <row r="20823" spans="1:10" x14ac:dyDescent="0.2">
      <c r="A20823" s="4" t="s">
        <v>1</v>
      </c>
      <c r="B208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23" s="3" t="str">
        <f>HYPERLINK("https://otsuka-europe-crm.veevavault.com/ui/#object/sent_email__v/VBL000000002226", "SE-001378813")</f>
        <v>SE-001378813</v>
      </c>
      <c r="D20823" s="1" t="s">
        <v>0</v>
      </c>
      <c r="E20823" s="2">
        <v>0</v>
      </c>
      <c r="F20823" s="2">
        <v>0</v>
      </c>
      <c r="G20823" s="2">
        <v>0</v>
      </c>
      <c r="H20823" s="1" t="s">
        <v>0</v>
      </c>
      <c r="I20823" s="2">
        <v>0</v>
      </c>
      <c r="J20823" s="1">
        <v>45958.375659722224</v>
      </c>
    </row>
    <row r="20824" spans="1:10" x14ac:dyDescent="0.2">
      <c r="A20824" s="4" t="s">
        <v>1</v>
      </c>
      <c r="B208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24" s="3" t="str">
        <f>HYPERLINK("https://otsuka-europe-crm.veevavault.com/ui/#object/sent_email__v/VBL000000002227", "SE-001378814")</f>
        <v>SE-001378814</v>
      </c>
      <c r="D20824" s="1" t="s">
        <v>0</v>
      </c>
      <c r="E20824" s="2">
        <v>0</v>
      </c>
      <c r="F20824" s="2">
        <v>0</v>
      </c>
      <c r="G20824" s="2">
        <v>0</v>
      </c>
      <c r="H20824" s="1" t="s">
        <v>0</v>
      </c>
      <c r="I20824" s="2">
        <v>0</v>
      </c>
      <c r="J20824" s="1">
        <v>45958.375717592593</v>
      </c>
    </row>
    <row r="20825" spans="1:10" x14ac:dyDescent="0.2">
      <c r="A20825" s="4" t="s">
        <v>1</v>
      </c>
      <c r="B208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25" s="3" t="str">
        <f>HYPERLINK("https://otsuka-europe-crm.veevavault.com/ui/#object/sent_email__v/VBL000000002228", "SE-001378815")</f>
        <v>SE-001378815</v>
      </c>
      <c r="D20825" s="1">
        <v>45958.375821759262</v>
      </c>
      <c r="E20825" s="2">
        <v>1</v>
      </c>
      <c r="F20825" s="2">
        <v>1</v>
      </c>
      <c r="G20825" s="2">
        <v>0</v>
      </c>
      <c r="H20825" s="1" t="s">
        <v>0</v>
      </c>
      <c r="I20825" s="2">
        <v>0</v>
      </c>
      <c r="J20825" s="1">
        <v>45958.375752314816</v>
      </c>
    </row>
    <row r="20826" spans="1:10" x14ac:dyDescent="0.2">
      <c r="A20826" s="4" t="s">
        <v>1</v>
      </c>
      <c r="B208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26" s="3" t="str">
        <f>HYPERLINK("https://otsuka-europe-crm.veevavault.com/ui/#object/sent_email__v/VBL000000002229", "SE-001378816")</f>
        <v>SE-001378816</v>
      </c>
      <c r="D20826" s="1" t="s">
        <v>0</v>
      </c>
      <c r="E20826" s="2">
        <v>0</v>
      </c>
      <c r="F20826" s="2">
        <v>0</v>
      </c>
      <c r="G20826" s="2">
        <v>0</v>
      </c>
      <c r="H20826" s="1" t="s">
        <v>0</v>
      </c>
      <c r="I20826" s="2">
        <v>0</v>
      </c>
      <c r="J20826" s="1">
        <v>45958.375798611109</v>
      </c>
    </row>
    <row r="20827" spans="1:10" x14ac:dyDescent="0.2">
      <c r="A20827" s="4" t="s">
        <v>1</v>
      </c>
      <c r="B208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27" s="3" t="str">
        <f>HYPERLINK("https://otsuka-europe-crm.veevavault.com/ui/#object/sent_email__v/VBL000000002230", "SE-001378817")</f>
        <v>SE-001378817</v>
      </c>
      <c r="D20827" s="1">
        <v>45958.482939814814</v>
      </c>
      <c r="E20827" s="2">
        <v>1</v>
      </c>
      <c r="F20827" s="2">
        <v>1</v>
      </c>
      <c r="G20827" s="2">
        <v>0</v>
      </c>
      <c r="H20827" s="1" t="s">
        <v>0</v>
      </c>
      <c r="I20827" s="2">
        <v>0</v>
      </c>
      <c r="J20827" s="1">
        <v>45958.375856481478</v>
      </c>
    </row>
    <row r="20828" spans="1:10" x14ac:dyDescent="0.2">
      <c r="A20828" s="4" t="s">
        <v>1</v>
      </c>
      <c r="B208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28" s="3" t="str">
        <f>HYPERLINK("https://otsuka-europe-crm.veevavault.com/ui/#object/sent_email__v/VBL000000002231", "SE-001378818")</f>
        <v>SE-001378818</v>
      </c>
      <c r="D20828" s="1">
        <v>45958.613935185182</v>
      </c>
      <c r="E20828" s="2">
        <v>1</v>
      </c>
      <c r="F20828" s="2">
        <v>2</v>
      </c>
      <c r="G20828" s="2">
        <v>0</v>
      </c>
      <c r="H20828" s="1" t="s">
        <v>0</v>
      </c>
      <c r="I20828" s="2">
        <v>0</v>
      </c>
      <c r="J20828" s="1">
        <v>45958.375879629632</v>
      </c>
    </row>
    <row r="20829" spans="1:10" x14ac:dyDescent="0.2">
      <c r="A20829" s="4" t="s">
        <v>1</v>
      </c>
      <c r="B208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29" s="3" t="str">
        <f>HYPERLINK("https://otsuka-europe-crm.veevavault.com/ui/#object/sent_email__v/VBL000000002232", "SE-001378819")</f>
        <v>SE-001378819</v>
      </c>
      <c r="D20829" s="1" t="s">
        <v>0</v>
      </c>
      <c r="E20829" s="2">
        <v>0</v>
      </c>
      <c r="F20829" s="2">
        <v>0</v>
      </c>
      <c r="G20829" s="2">
        <v>0</v>
      </c>
      <c r="H20829" s="1" t="s">
        <v>0</v>
      </c>
      <c r="I20829" s="2">
        <v>0</v>
      </c>
      <c r="J20829" s="1">
        <v>45958.375925925924</v>
      </c>
    </row>
    <row r="20830" spans="1:10" x14ac:dyDescent="0.2">
      <c r="A20830" s="4" t="s">
        <v>1</v>
      </c>
      <c r="B208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30" s="3" t="str">
        <f>HYPERLINK("https://otsuka-europe-crm.veevavault.com/ui/#object/sent_email__v/VBL000000002233", "SE-001378820")</f>
        <v>SE-001378820</v>
      </c>
      <c r="D20830" s="1">
        <v>45964.95721064815</v>
      </c>
      <c r="E20830" s="2">
        <v>1</v>
      </c>
      <c r="F20830" s="2">
        <v>2</v>
      </c>
      <c r="G20830" s="2">
        <v>0</v>
      </c>
      <c r="H20830" s="1" t="s">
        <v>0</v>
      </c>
      <c r="I20830" s="2">
        <v>0</v>
      </c>
      <c r="J20830" s="1">
        <v>45958.375960648147</v>
      </c>
    </row>
    <row r="20831" spans="1:10" x14ac:dyDescent="0.2">
      <c r="A20831" s="4" t="s">
        <v>1</v>
      </c>
      <c r="B208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31" s="3" t="str">
        <f>HYPERLINK("https://otsuka-europe-crm.veevavault.com/ui/#object/sent_email__v/VBL000000002234", "SE-001378821")</f>
        <v>SE-001378821</v>
      </c>
      <c r="D20831" s="1" t="s">
        <v>0</v>
      </c>
      <c r="E20831" s="2">
        <v>0</v>
      </c>
      <c r="F20831" s="2">
        <v>0</v>
      </c>
      <c r="G20831" s="2">
        <v>0</v>
      </c>
      <c r="H20831" s="1" t="s">
        <v>0</v>
      </c>
      <c r="I20831" s="2">
        <v>0</v>
      </c>
      <c r="J20831" s="1">
        <v>45958.376018518517</v>
      </c>
    </row>
    <row r="20832" spans="1:10" x14ac:dyDescent="0.2">
      <c r="A20832" s="4" t="s">
        <v>1</v>
      </c>
      <c r="B208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32" s="3" t="str">
        <f>HYPERLINK("https://otsuka-europe-crm.veevavault.com/ui/#object/sent_email__v/VBL000000002235", "SE-001378822")</f>
        <v>SE-001378822</v>
      </c>
      <c r="D20832" s="1" t="s">
        <v>0</v>
      </c>
      <c r="E20832" s="2">
        <v>0</v>
      </c>
      <c r="F20832" s="2">
        <v>0</v>
      </c>
      <c r="G20832" s="2">
        <v>0</v>
      </c>
      <c r="H20832" s="1" t="s">
        <v>0</v>
      </c>
      <c r="I20832" s="2">
        <v>0</v>
      </c>
      <c r="J20832" s="1">
        <v>45958.37605324074</v>
      </c>
    </row>
    <row r="20833" spans="1:10" x14ac:dyDescent="0.2">
      <c r="A20833" s="4" t="s">
        <v>1</v>
      </c>
      <c r="B208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33" s="3" t="str">
        <f>HYPERLINK("https://otsuka-europe-crm.veevavault.com/ui/#object/sent_email__v/VBL000000002236", "SE-001378823")</f>
        <v>SE-001378823</v>
      </c>
      <c r="D20833" s="1">
        <v>45986.808657407404</v>
      </c>
      <c r="E20833" s="2">
        <v>1</v>
      </c>
      <c r="F20833" s="2">
        <v>2</v>
      </c>
      <c r="G20833" s="2">
        <v>0</v>
      </c>
      <c r="H20833" s="1" t="s">
        <v>0</v>
      </c>
      <c r="I20833" s="2">
        <v>0</v>
      </c>
      <c r="J20833" s="1">
        <v>45958.376087962963</v>
      </c>
    </row>
    <row r="20834" spans="1:10" x14ac:dyDescent="0.2">
      <c r="A20834" s="4" t="s">
        <v>1</v>
      </c>
      <c r="B208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34" s="3" t="str">
        <f>HYPERLINK("https://otsuka-europe-crm.veevavault.com/ui/#object/sent_email__v/VBL000000002237", "SE-001378824")</f>
        <v>SE-001378824</v>
      </c>
      <c r="D20834" s="1">
        <v>45959.253831018519</v>
      </c>
      <c r="E20834" s="2">
        <v>1</v>
      </c>
      <c r="F20834" s="2">
        <v>2</v>
      </c>
      <c r="G20834" s="2">
        <v>0</v>
      </c>
      <c r="H20834" s="1" t="s">
        <v>0</v>
      </c>
      <c r="I20834" s="2">
        <v>0</v>
      </c>
      <c r="J20834" s="1">
        <v>45958.376145833332</v>
      </c>
    </row>
    <row r="20835" spans="1:10" x14ac:dyDescent="0.2">
      <c r="A20835" s="4" t="s">
        <v>1</v>
      </c>
      <c r="B208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35" s="3" t="str">
        <f>HYPERLINK("https://otsuka-europe-crm.veevavault.com/ui/#object/sent_email__v/VBL000000002238", "SE-001378825")</f>
        <v>SE-001378825</v>
      </c>
      <c r="D20835" s="1" t="s">
        <v>0</v>
      </c>
      <c r="E20835" s="2">
        <v>0</v>
      </c>
      <c r="F20835" s="2">
        <v>0</v>
      </c>
      <c r="G20835" s="2">
        <v>0</v>
      </c>
      <c r="H20835" s="1" t="s">
        <v>0</v>
      </c>
      <c r="I20835" s="2">
        <v>0</v>
      </c>
      <c r="J20835" s="1">
        <v>45958.376226851855</v>
      </c>
    </row>
    <row r="20836" spans="1:10" x14ac:dyDescent="0.2">
      <c r="A20836" s="4" t="s">
        <v>1</v>
      </c>
      <c r="B208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36" s="3" t="str">
        <f>HYPERLINK("https://otsuka-europe-crm.veevavault.com/ui/#object/sent_email__v/VBL000000002239", "SE-001378826")</f>
        <v>SE-001378826</v>
      </c>
      <c r="D20836" s="1">
        <v>45958.442129629628</v>
      </c>
      <c r="E20836" s="2">
        <v>1</v>
      </c>
      <c r="F20836" s="2">
        <v>2</v>
      </c>
      <c r="G20836" s="2">
        <v>1</v>
      </c>
      <c r="H20836" s="1">
        <v>45958.442615740743</v>
      </c>
      <c r="I20836" s="2">
        <v>2</v>
      </c>
      <c r="J20836" s="1">
        <v>45958.376296296294</v>
      </c>
    </row>
    <row r="20837" spans="1:10" x14ac:dyDescent="0.2">
      <c r="A20837" s="4" t="s">
        <v>1</v>
      </c>
      <c r="B208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37" s="3" t="str">
        <f>HYPERLINK("https://otsuka-europe-crm.veevavault.com/ui/#object/sent_email__v/VBL000000002240", "SE-001378827")</f>
        <v>SE-001378827</v>
      </c>
      <c r="D20837" s="1">
        <v>45958.611250000002</v>
      </c>
      <c r="E20837" s="2">
        <v>1</v>
      </c>
      <c r="F20837" s="2">
        <v>2</v>
      </c>
      <c r="G20837" s="2">
        <v>0</v>
      </c>
      <c r="H20837" s="1" t="s">
        <v>0</v>
      </c>
      <c r="I20837" s="2">
        <v>0</v>
      </c>
      <c r="J20837" s="1">
        <v>45958.376377314817</v>
      </c>
    </row>
    <row r="20838" spans="1:10" x14ac:dyDescent="0.2">
      <c r="A20838" s="4" t="s">
        <v>1</v>
      </c>
      <c r="B208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38" s="3" t="str">
        <f>HYPERLINK("https://otsuka-europe-crm.veevavault.com/ui/#object/sent_email__v/VBL000000002241", "SE-001378828")</f>
        <v>SE-001378828</v>
      </c>
      <c r="D20838" s="1" t="s">
        <v>0</v>
      </c>
      <c r="E20838" s="2">
        <v>0</v>
      </c>
      <c r="F20838" s="2">
        <v>0</v>
      </c>
      <c r="G20838" s="2">
        <v>0</v>
      </c>
      <c r="H20838" s="1" t="s">
        <v>0</v>
      </c>
      <c r="I20838" s="2">
        <v>0</v>
      </c>
      <c r="J20838" s="1">
        <v>45958.376435185186</v>
      </c>
    </row>
    <row r="20839" spans="1:10" x14ac:dyDescent="0.2">
      <c r="A20839" s="4" t="s">
        <v>1</v>
      </c>
      <c r="B208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39" s="3" t="str">
        <f>HYPERLINK("https://otsuka-europe-crm.veevavault.com/ui/#object/sent_email__v/VBL000000002242", "SE-001378829")</f>
        <v>SE-001378829</v>
      </c>
      <c r="D20839" s="1" t="s">
        <v>0</v>
      </c>
      <c r="E20839" s="2">
        <v>0</v>
      </c>
      <c r="F20839" s="2">
        <v>0</v>
      </c>
      <c r="G20839" s="2">
        <v>0</v>
      </c>
      <c r="H20839" s="1" t="s">
        <v>0</v>
      </c>
      <c r="I20839" s="2">
        <v>0</v>
      </c>
      <c r="J20839" s="1">
        <v>45958.376516203702</v>
      </c>
    </row>
    <row r="20840" spans="1:10" x14ac:dyDescent="0.2">
      <c r="A20840" s="4" t="s">
        <v>1</v>
      </c>
      <c r="B208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40" s="3" t="str">
        <f>HYPERLINK("https://otsuka-europe-crm.veevavault.com/ui/#object/sent_email__v/VBL000000002243", "SE-001378830")</f>
        <v>SE-001378830</v>
      </c>
      <c r="D20840" s="1" t="s">
        <v>0</v>
      </c>
      <c r="E20840" s="2">
        <v>0</v>
      </c>
      <c r="F20840" s="2">
        <v>0</v>
      </c>
      <c r="G20840" s="2">
        <v>0</v>
      </c>
      <c r="H20840" s="1" t="s">
        <v>0</v>
      </c>
      <c r="I20840" s="2">
        <v>0</v>
      </c>
      <c r="J20840" s="1">
        <v>45958.376597222225</v>
      </c>
    </row>
    <row r="20841" spans="1:10" x14ac:dyDescent="0.2">
      <c r="A20841" s="4" t="s">
        <v>1</v>
      </c>
      <c r="B208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41" s="3" t="str">
        <f>HYPERLINK("https://otsuka-europe-crm.veevavault.com/ui/#object/sent_email__v/VBL000000002244", "SE-001378831")</f>
        <v>SE-001378831</v>
      </c>
      <c r="D20841" s="1" t="s">
        <v>0</v>
      </c>
      <c r="E20841" s="2">
        <v>0</v>
      </c>
      <c r="F20841" s="2">
        <v>0</v>
      </c>
      <c r="G20841" s="2">
        <v>0</v>
      </c>
      <c r="H20841" s="1" t="s">
        <v>0</v>
      </c>
      <c r="I20841" s="2">
        <v>0</v>
      </c>
      <c r="J20841" s="1">
        <v>45958.376655092594</v>
      </c>
    </row>
    <row r="20842" spans="1:10" x14ac:dyDescent="0.2">
      <c r="A20842" s="4" t="s">
        <v>1</v>
      </c>
      <c r="B208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42" s="3" t="str">
        <f>HYPERLINK("https://otsuka-europe-crm.veevavault.com/ui/#object/sent_email__v/VBL000000002245", "SE-001378832")</f>
        <v>SE-001378832</v>
      </c>
      <c r="D20842" s="1">
        <v>45963.764976851853</v>
      </c>
      <c r="E20842" s="2">
        <v>1</v>
      </c>
      <c r="F20842" s="2">
        <v>2</v>
      </c>
      <c r="G20842" s="2">
        <v>0</v>
      </c>
      <c r="H20842" s="1" t="s">
        <v>0</v>
      </c>
      <c r="I20842" s="2">
        <v>0</v>
      </c>
      <c r="J20842" s="1">
        <v>45958.376736111109</v>
      </c>
    </row>
    <row r="20843" spans="1:10" x14ac:dyDescent="0.2">
      <c r="A20843" s="4" t="s">
        <v>1</v>
      </c>
      <c r="B208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43" s="3" t="str">
        <f>HYPERLINK("https://otsuka-europe-crm.veevavault.com/ui/#object/sent_email__v/VBL000000002246", "SE-001378833")</f>
        <v>SE-001378833</v>
      </c>
      <c r="D20843" s="1" t="s">
        <v>0</v>
      </c>
      <c r="E20843" s="2">
        <v>0</v>
      </c>
      <c r="F20843" s="2">
        <v>0</v>
      </c>
      <c r="G20843" s="2">
        <v>0</v>
      </c>
      <c r="H20843" s="1" t="s">
        <v>0</v>
      </c>
      <c r="I20843" s="2">
        <v>0</v>
      </c>
      <c r="J20843" s="1">
        <v>45958.376793981479</v>
      </c>
    </row>
    <row r="20844" spans="1:10" x14ac:dyDescent="0.2">
      <c r="A20844" s="4" t="s">
        <v>1</v>
      </c>
      <c r="B208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44" s="3" t="str">
        <f>HYPERLINK("https://otsuka-europe-crm.veevavault.com/ui/#object/sent_email__v/VBL000000002247", "SE-001378834")</f>
        <v>SE-001378834</v>
      </c>
      <c r="D20844" s="1" t="s">
        <v>0</v>
      </c>
      <c r="E20844" s="2">
        <v>0</v>
      </c>
      <c r="F20844" s="2">
        <v>0</v>
      </c>
      <c r="G20844" s="2">
        <v>0</v>
      </c>
      <c r="H20844" s="1" t="s">
        <v>0</v>
      </c>
      <c r="I20844" s="2">
        <v>0</v>
      </c>
      <c r="J20844" s="1">
        <v>45958.376863425925</v>
      </c>
    </row>
    <row r="20845" spans="1:10" x14ac:dyDescent="0.2">
      <c r="A20845" s="4" t="s">
        <v>1</v>
      </c>
      <c r="B208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45" s="3" t="str">
        <f>HYPERLINK("https://otsuka-europe-crm.veevavault.com/ui/#object/sent_email__v/VBL000000002248", "SE-001378835")</f>
        <v>SE-001378835</v>
      </c>
      <c r="D20845" s="1" t="s">
        <v>0</v>
      </c>
      <c r="E20845" s="2">
        <v>0</v>
      </c>
      <c r="F20845" s="2">
        <v>0</v>
      </c>
      <c r="G20845" s="2">
        <v>0</v>
      </c>
      <c r="H20845" s="1" t="s">
        <v>0</v>
      </c>
      <c r="I20845" s="2">
        <v>0</v>
      </c>
      <c r="J20845" s="1">
        <v>45958.376921296294</v>
      </c>
    </row>
    <row r="20846" spans="1:10" x14ac:dyDescent="0.2">
      <c r="A20846" s="4" t="s">
        <v>1</v>
      </c>
      <c r="B208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46" s="3" t="str">
        <f>HYPERLINK("https://otsuka-europe-crm.veevavault.com/ui/#object/sent_email__v/VBL000000002249", "SE-001378836")</f>
        <v>SE-001378836</v>
      </c>
      <c r="D20846" s="1" t="s">
        <v>0</v>
      </c>
      <c r="E20846" s="2">
        <v>0</v>
      </c>
      <c r="F20846" s="2">
        <v>0</v>
      </c>
      <c r="G20846" s="2">
        <v>0</v>
      </c>
      <c r="H20846" s="1" t="s">
        <v>0</v>
      </c>
      <c r="I20846" s="2">
        <v>0</v>
      </c>
      <c r="J20846" s="1">
        <v>45958.377002314817</v>
      </c>
    </row>
    <row r="20847" spans="1:10" x14ac:dyDescent="0.2">
      <c r="A20847" s="4" t="s">
        <v>1</v>
      </c>
      <c r="B208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47" s="3" t="str">
        <f>HYPERLINK("https://otsuka-europe-crm.veevavault.com/ui/#object/sent_email__v/VBL000000002250", "SE-001378837")</f>
        <v>SE-001378837</v>
      </c>
      <c r="D20847" s="1" t="s">
        <v>0</v>
      </c>
      <c r="E20847" s="2">
        <v>0</v>
      </c>
      <c r="F20847" s="2">
        <v>0</v>
      </c>
      <c r="G20847" s="2">
        <v>0</v>
      </c>
      <c r="H20847" s="1" t="s">
        <v>0</v>
      </c>
      <c r="I20847" s="2">
        <v>0</v>
      </c>
      <c r="J20847" s="1">
        <v>45958.377060185187</v>
      </c>
    </row>
    <row r="20848" spans="1:10" x14ac:dyDescent="0.2">
      <c r="A20848" s="4" t="s">
        <v>1</v>
      </c>
      <c r="B208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48" s="3" t="str">
        <f>HYPERLINK("https://otsuka-europe-crm.veevavault.com/ui/#object/sent_email__v/VBL000000002251", "SE-001378838")</f>
        <v>SE-001378838</v>
      </c>
      <c r="D20848" s="1">
        <v>45966.441736111112</v>
      </c>
      <c r="E20848" s="2">
        <v>1</v>
      </c>
      <c r="F20848" s="2">
        <v>2</v>
      </c>
      <c r="G20848" s="2">
        <v>0</v>
      </c>
      <c r="H20848" s="1" t="s">
        <v>0</v>
      </c>
      <c r="I20848" s="2">
        <v>0</v>
      </c>
      <c r="J20848" s="1">
        <v>45958.377141203702</v>
      </c>
    </row>
    <row r="20849" spans="1:10" x14ac:dyDescent="0.2">
      <c r="A20849" s="4" t="s">
        <v>1</v>
      </c>
      <c r="B208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49" s="3" t="str">
        <f>HYPERLINK("https://otsuka-europe-crm.veevavault.com/ui/#object/sent_email__v/VBL000000002252", "SE-001378839")</f>
        <v>SE-001378839</v>
      </c>
      <c r="D20849" s="1" t="s">
        <v>0</v>
      </c>
      <c r="E20849" s="2">
        <v>0</v>
      </c>
      <c r="F20849" s="2">
        <v>0</v>
      </c>
      <c r="G20849" s="2">
        <v>0</v>
      </c>
      <c r="H20849" s="1" t="s">
        <v>0</v>
      </c>
      <c r="I20849" s="2">
        <v>0</v>
      </c>
      <c r="J20849" s="1">
        <v>45958.377210648148</v>
      </c>
    </row>
    <row r="20850" spans="1:10" x14ac:dyDescent="0.2">
      <c r="A20850" s="4" t="s">
        <v>1</v>
      </c>
      <c r="B208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50" s="3" t="str">
        <f>HYPERLINK("https://otsuka-europe-crm.veevavault.com/ui/#object/sent_email__v/VBL000000002253", "SE-001378840")</f>
        <v>SE-001378840</v>
      </c>
      <c r="D20850" s="1" t="s">
        <v>0</v>
      </c>
      <c r="E20850" s="2">
        <v>0</v>
      </c>
      <c r="F20850" s="2">
        <v>0</v>
      </c>
      <c r="G20850" s="2">
        <v>0</v>
      </c>
      <c r="H20850" s="1" t="s">
        <v>0</v>
      </c>
      <c r="I20850" s="2">
        <v>0</v>
      </c>
      <c r="J20850" s="1">
        <v>45958.377280092594</v>
      </c>
    </row>
    <row r="20851" spans="1:10" x14ac:dyDescent="0.2">
      <c r="A20851" s="4" t="s">
        <v>1</v>
      </c>
      <c r="B208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51" s="3" t="str">
        <f>HYPERLINK("https://otsuka-europe-crm.veevavault.com/ui/#object/sent_email__v/VBL000000002254", "SE-001378841")</f>
        <v>SE-001378841</v>
      </c>
      <c r="D20851" s="1" t="s">
        <v>0</v>
      </c>
      <c r="E20851" s="2">
        <v>0</v>
      </c>
      <c r="F20851" s="2">
        <v>0</v>
      </c>
      <c r="G20851" s="2">
        <v>0</v>
      </c>
      <c r="H20851" s="1" t="s">
        <v>0</v>
      </c>
      <c r="I20851" s="2">
        <v>0</v>
      </c>
      <c r="J20851" s="1">
        <v>45958.377349537041</v>
      </c>
    </row>
    <row r="20852" spans="1:10" x14ac:dyDescent="0.2">
      <c r="A20852" s="4" t="s">
        <v>1</v>
      </c>
      <c r="B208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52" s="3" t="str">
        <f>HYPERLINK("https://otsuka-europe-crm.veevavault.com/ui/#object/sent_email__v/VBL000000002255", "SE-001378842")</f>
        <v>SE-001378842</v>
      </c>
      <c r="D20852" s="1">
        <v>45958.377511574072</v>
      </c>
      <c r="E20852" s="2">
        <v>1</v>
      </c>
      <c r="F20852" s="2">
        <v>1</v>
      </c>
      <c r="G20852" s="2">
        <v>0</v>
      </c>
      <c r="H20852" s="1" t="s">
        <v>0</v>
      </c>
      <c r="I20852" s="2">
        <v>0</v>
      </c>
      <c r="J20852" s="1">
        <v>45958.377418981479</v>
      </c>
    </row>
    <row r="20853" spans="1:10" x14ac:dyDescent="0.2">
      <c r="A20853" s="4" t="s">
        <v>1</v>
      </c>
      <c r="B208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53" s="3" t="str">
        <f>HYPERLINK("https://otsuka-europe-crm.veevavault.com/ui/#object/sent_email__v/VBL000000002256", "SE-001378843")</f>
        <v>SE-001378843</v>
      </c>
      <c r="D20853" s="1">
        <v>45959.304861111108</v>
      </c>
      <c r="E20853" s="2">
        <v>1</v>
      </c>
      <c r="F20853" s="2">
        <v>2</v>
      </c>
      <c r="G20853" s="2">
        <v>0</v>
      </c>
      <c r="H20853" s="1" t="s">
        <v>0</v>
      </c>
      <c r="I20853" s="2">
        <v>0</v>
      </c>
      <c r="J20853" s="1">
        <v>45958.377476851849</v>
      </c>
    </row>
    <row r="20854" spans="1:10" x14ac:dyDescent="0.2">
      <c r="A20854" s="4" t="s">
        <v>1</v>
      </c>
      <c r="B208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54" s="3" t="str">
        <f>HYPERLINK("https://otsuka-europe-crm.veevavault.com/ui/#object/sent_email__v/VBL000000002257", "SE-001378844")</f>
        <v>SE-001378844</v>
      </c>
      <c r="D20854" s="1">
        <v>45958.918935185182</v>
      </c>
      <c r="E20854" s="2">
        <v>1</v>
      </c>
      <c r="F20854" s="2">
        <v>1</v>
      </c>
      <c r="G20854" s="2">
        <v>0</v>
      </c>
      <c r="H20854" s="1" t="s">
        <v>0</v>
      </c>
      <c r="I20854" s="2">
        <v>0</v>
      </c>
      <c r="J20854" s="1">
        <v>45958.377557870372</v>
      </c>
    </row>
    <row r="20855" spans="1:10" x14ac:dyDescent="0.2">
      <c r="A20855" s="4" t="s">
        <v>1</v>
      </c>
      <c r="B208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55" s="3" t="str">
        <f>HYPERLINK("https://otsuka-europe-crm.veevavault.com/ui/#object/sent_email__v/VBL000000002258", "SE-001378845")</f>
        <v>SE-001378845</v>
      </c>
      <c r="D20855" s="1">
        <v>45960.325960648152</v>
      </c>
      <c r="E20855" s="2">
        <v>1</v>
      </c>
      <c r="F20855" s="2">
        <v>1</v>
      </c>
      <c r="G20855" s="2">
        <v>0</v>
      </c>
      <c r="H20855" s="1" t="s">
        <v>0</v>
      </c>
      <c r="I20855" s="2">
        <v>0</v>
      </c>
      <c r="J20855" s="1">
        <v>45958.377615740741</v>
      </c>
    </row>
    <row r="20856" spans="1:10" x14ac:dyDescent="0.2">
      <c r="A20856" s="4" t="s">
        <v>1</v>
      </c>
      <c r="B208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56" s="3" t="str">
        <f>HYPERLINK("https://otsuka-europe-crm.veevavault.com/ui/#object/sent_email__v/VBL000000002259", "SE-001378846")</f>
        <v>SE-001378846</v>
      </c>
      <c r="D20856" s="1" t="s">
        <v>0</v>
      </c>
      <c r="E20856" s="2">
        <v>0</v>
      </c>
      <c r="F20856" s="2">
        <v>0</v>
      </c>
      <c r="G20856" s="2">
        <v>0</v>
      </c>
      <c r="H20856" s="1" t="s">
        <v>0</v>
      </c>
      <c r="I20856" s="2">
        <v>0</v>
      </c>
      <c r="J20856" s="1">
        <v>45958.377685185187</v>
      </c>
    </row>
    <row r="20857" spans="1:10" x14ac:dyDescent="0.2">
      <c r="A20857" s="4" t="s">
        <v>1</v>
      </c>
      <c r="B208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57" s="3" t="str">
        <f>HYPERLINK("https://otsuka-europe-crm.veevavault.com/ui/#object/sent_email__v/VBL000000002260", "SE-001378847")</f>
        <v>SE-001378847</v>
      </c>
      <c r="D20857" s="1" t="s">
        <v>0</v>
      </c>
      <c r="E20857" s="2">
        <v>0</v>
      </c>
      <c r="F20857" s="2">
        <v>0</v>
      </c>
      <c r="G20857" s="2">
        <v>0</v>
      </c>
      <c r="H20857" s="1" t="s">
        <v>0</v>
      </c>
      <c r="I20857" s="2">
        <v>0</v>
      </c>
      <c r="J20857" s="1">
        <v>45958.377766203703</v>
      </c>
    </row>
    <row r="20858" spans="1:10" x14ac:dyDescent="0.2">
      <c r="A20858" s="4" t="s">
        <v>1</v>
      </c>
      <c r="B208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58" s="3" t="str">
        <f>HYPERLINK("https://otsuka-europe-crm.veevavault.com/ui/#object/sent_email__v/VBL000000002261", "SE-001378848")</f>
        <v>SE-001378848</v>
      </c>
      <c r="D20858" s="1" t="s">
        <v>0</v>
      </c>
      <c r="E20858" s="2">
        <v>0</v>
      </c>
      <c r="F20858" s="2">
        <v>0</v>
      </c>
      <c r="G20858" s="2">
        <v>0</v>
      </c>
      <c r="H20858" s="1" t="s">
        <v>0</v>
      </c>
      <c r="I20858" s="2">
        <v>0</v>
      </c>
      <c r="J20858" s="1">
        <v>45958.377824074072</v>
      </c>
    </row>
    <row r="20859" spans="1:10" x14ac:dyDescent="0.2">
      <c r="A20859" s="4" t="s">
        <v>1</v>
      </c>
      <c r="B208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59" s="3" t="str">
        <f>HYPERLINK("https://otsuka-europe-crm.veevavault.com/ui/#object/sent_email__v/VBL000000002262", "SE-001378849")</f>
        <v>SE-001378849</v>
      </c>
      <c r="D20859" s="1" t="s">
        <v>0</v>
      </c>
      <c r="E20859" s="2">
        <v>0</v>
      </c>
      <c r="F20859" s="2">
        <v>0</v>
      </c>
      <c r="G20859" s="2">
        <v>0</v>
      </c>
      <c r="H20859" s="1" t="s">
        <v>0</v>
      </c>
      <c r="I20859" s="2">
        <v>0</v>
      </c>
      <c r="J20859" s="1">
        <v>45958.377893518518</v>
      </c>
    </row>
    <row r="20860" spans="1:10" x14ac:dyDescent="0.2">
      <c r="A20860" s="4" t="s">
        <v>1</v>
      </c>
      <c r="B208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60" s="3" t="str">
        <f>HYPERLINK("https://otsuka-europe-crm.veevavault.com/ui/#object/sent_email__v/VBL000000002263", "SE-001378850")</f>
        <v>SE-001378850</v>
      </c>
      <c r="D20860" s="1" t="s">
        <v>0</v>
      </c>
      <c r="E20860" s="2">
        <v>0</v>
      </c>
      <c r="F20860" s="2">
        <v>0</v>
      </c>
      <c r="G20860" s="2">
        <v>0</v>
      </c>
      <c r="H20860" s="1" t="s">
        <v>0</v>
      </c>
      <c r="I20860" s="2">
        <v>0</v>
      </c>
      <c r="J20860" s="1">
        <v>45958.377962962964</v>
      </c>
    </row>
    <row r="20861" spans="1:10" x14ac:dyDescent="0.2">
      <c r="A20861" s="4" t="s">
        <v>1</v>
      </c>
      <c r="B208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61" s="3" t="str">
        <f>HYPERLINK("https://otsuka-europe-crm.veevavault.com/ui/#object/sent_email__v/VBL000000002264", "SE-001378851")</f>
        <v>SE-001378851</v>
      </c>
      <c r="D20861" s="1" t="s">
        <v>0</v>
      </c>
      <c r="E20861" s="2">
        <v>0</v>
      </c>
      <c r="F20861" s="2">
        <v>0</v>
      </c>
      <c r="G20861" s="2">
        <v>0</v>
      </c>
      <c r="H20861" s="1" t="s">
        <v>0</v>
      </c>
      <c r="I20861" s="2">
        <v>0</v>
      </c>
      <c r="J20861" s="1">
        <v>45958.378032407411</v>
      </c>
    </row>
    <row r="20862" spans="1:10" x14ac:dyDescent="0.2">
      <c r="A20862" s="4" t="s">
        <v>1</v>
      </c>
      <c r="B208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62" s="3" t="str">
        <f>HYPERLINK("https://otsuka-europe-crm.veevavault.com/ui/#object/sent_email__v/VBL000000002265", "SE-001378852")</f>
        <v>SE-001378852</v>
      </c>
      <c r="D20862" s="1" t="s">
        <v>0</v>
      </c>
      <c r="E20862" s="2">
        <v>0</v>
      </c>
      <c r="F20862" s="2">
        <v>0</v>
      </c>
      <c r="G20862" s="2">
        <v>0</v>
      </c>
      <c r="H20862" s="1" t="s">
        <v>0</v>
      </c>
      <c r="I20862" s="2">
        <v>0</v>
      </c>
      <c r="J20862" s="1">
        <v>45958.378113425926</v>
      </c>
    </row>
    <row r="20863" spans="1:10" x14ac:dyDescent="0.2">
      <c r="A20863" s="4" t="s">
        <v>1</v>
      </c>
      <c r="B208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63" s="3" t="str">
        <f>HYPERLINK("https://otsuka-europe-crm.veevavault.com/ui/#object/sent_email__v/VBL000000002266", "SE-001378853")</f>
        <v>SE-001378853</v>
      </c>
      <c r="D20863" s="1">
        <v>45967.037928240738</v>
      </c>
      <c r="E20863" s="2">
        <v>1</v>
      </c>
      <c r="F20863" s="2">
        <v>2</v>
      </c>
      <c r="G20863" s="2">
        <v>0</v>
      </c>
      <c r="H20863" s="1" t="s">
        <v>0</v>
      </c>
      <c r="I20863" s="2">
        <v>0</v>
      </c>
      <c r="J20863" s="1">
        <v>45958.378171296295</v>
      </c>
    </row>
    <row r="20864" spans="1:10" x14ac:dyDescent="0.2">
      <c r="A20864" s="4" t="s">
        <v>1</v>
      </c>
      <c r="B208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64" s="3" t="str">
        <f>HYPERLINK("https://otsuka-europe-crm.veevavault.com/ui/#object/sent_email__v/VBL000000002267", "SE-001378854")</f>
        <v>SE-001378854</v>
      </c>
      <c r="D20864" s="1">
        <v>45958.940138888887</v>
      </c>
      <c r="E20864" s="2">
        <v>1</v>
      </c>
      <c r="F20864" s="2">
        <v>1</v>
      </c>
      <c r="G20864" s="2">
        <v>0</v>
      </c>
      <c r="H20864" s="1" t="s">
        <v>0</v>
      </c>
      <c r="I20864" s="2">
        <v>0</v>
      </c>
      <c r="J20864" s="1">
        <v>45958.378252314818</v>
      </c>
    </row>
    <row r="20865" spans="1:10" x14ac:dyDescent="0.2">
      <c r="A20865" s="4" t="s">
        <v>1</v>
      </c>
      <c r="B208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65" s="3" t="str">
        <f>HYPERLINK("https://otsuka-europe-crm.veevavault.com/ui/#object/sent_email__v/VBL000000002268", "SE-001378855")</f>
        <v>SE-001378855</v>
      </c>
      <c r="D20865" s="1">
        <v>45958.630277777775</v>
      </c>
      <c r="E20865" s="2">
        <v>1</v>
      </c>
      <c r="F20865" s="2">
        <v>1</v>
      </c>
      <c r="G20865" s="2">
        <v>0</v>
      </c>
      <c r="H20865" s="1" t="s">
        <v>0</v>
      </c>
      <c r="I20865" s="2">
        <v>0</v>
      </c>
      <c r="J20865" s="1">
        <v>45958.378310185188</v>
      </c>
    </row>
    <row r="20866" spans="1:10" x14ac:dyDescent="0.2">
      <c r="A20866" s="4" t="s">
        <v>1</v>
      </c>
      <c r="B208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66" s="3" t="str">
        <f>HYPERLINK("https://otsuka-europe-crm.veevavault.com/ui/#object/sent_email__v/VBL000000002269", "SE-001378856")</f>
        <v>SE-001378856</v>
      </c>
      <c r="D20866" s="1">
        <v>45958.412974537037</v>
      </c>
      <c r="E20866" s="2">
        <v>1</v>
      </c>
      <c r="F20866" s="2">
        <v>1</v>
      </c>
      <c r="G20866" s="2">
        <v>0</v>
      </c>
      <c r="H20866" s="1" t="s">
        <v>0</v>
      </c>
      <c r="I20866" s="2">
        <v>0</v>
      </c>
      <c r="J20866" s="1">
        <v>45958.378379629627</v>
      </c>
    </row>
    <row r="20867" spans="1:10" x14ac:dyDescent="0.2">
      <c r="A20867" s="4" t="s">
        <v>1</v>
      </c>
      <c r="B208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67" s="3" t="str">
        <f>HYPERLINK("https://otsuka-europe-crm.veevavault.com/ui/#object/sent_email__v/VBL000000002270", "SE-001378857")</f>
        <v>SE-001378857</v>
      </c>
      <c r="D20867" s="1">
        <v>45958.856157407405</v>
      </c>
      <c r="E20867" s="2">
        <v>1</v>
      </c>
      <c r="F20867" s="2">
        <v>1</v>
      </c>
      <c r="G20867" s="2">
        <v>0</v>
      </c>
      <c r="H20867" s="1" t="s">
        <v>0</v>
      </c>
      <c r="I20867" s="2">
        <v>0</v>
      </c>
      <c r="J20867" s="1">
        <v>45958.378449074073</v>
      </c>
    </row>
    <row r="20868" spans="1:10" x14ac:dyDescent="0.2">
      <c r="A20868" s="4" t="s">
        <v>1</v>
      </c>
      <c r="B208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68" s="3" t="str">
        <f>HYPERLINK("https://otsuka-europe-crm.veevavault.com/ui/#object/sent_email__v/VBL000000002271", "SE-001378858")</f>
        <v>SE-001378858</v>
      </c>
      <c r="D20868" s="1">
        <v>45959.556574074071</v>
      </c>
      <c r="E20868" s="2">
        <v>1</v>
      </c>
      <c r="F20868" s="2">
        <v>2</v>
      </c>
      <c r="G20868" s="2">
        <v>1</v>
      </c>
      <c r="H20868" s="1">
        <v>45959.556643518517</v>
      </c>
      <c r="I20868" s="2">
        <v>2</v>
      </c>
      <c r="J20868" s="1">
        <v>45958.378495370373</v>
      </c>
    </row>
    <row r="20869" spans="1:10" x14ac:dyDescent="0.2">
      <c r="A20869" s="4" t="s">
        <v>1</v>
      </c>
      <c r="B208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69" s="3" t="str">
        <f>HYPERLINK("https://otsuka-europe-crm.veevavault.com/ui/#object/sent_email__v/VBL000000002272", "SE-001378859")</f>
        <v>SE-001378859</v>
      </c>
      <c r="D20869" s="1" t="s">
        <v>0</v>
      </c>
      <c r="E20869" s="2">
        <v>0</v>
      </c>
      <c r="F20869" s="2">
        <v>0</v>
      </c>
      <c r="G20869" s="2">
        <v>0</v>
      </c>
      <c r="H20869" s="1" t="s">
        <v>0</v>
      </c>
      <c r="I20869" s="2">
        <v>0</v>
      </c>
      <c r="J20869" s="1">
        <v>45958.378541666665</v>
      </c>
    </row>
    <row r="20870" spans="1:10" x14ac:dyDescent="0.2">
      <c r="A20870" s="4" t="s">
        <v>1</v>
      </c>
      <c r="B208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70" s="3" t="str">
        <f>HYPERLINK("https://otsuka-europe-crm.veevavault.com/ui/#object/sent_email__v/VBL000000002273", "SE-001378860")</f>
        <v>SE-001378860</v>
      </c>
      <c r="D20870" s="1">
        <v>45960.872812499998</v>
      </c>
      <c r="E20870" s="2">
        <v>1</v>
      </c>
      <c r="F20870" s="2">
        <v>2</v>
      </c>
      <c r="G20870" s="2">
        <v>0</v>
      </c>
      <c r="H20870" s="1" t="s">
        <v>0</v>
      </c>
      <c r="I20870" s="2">
        <v>0</v>
      </c>
      <c r="J20870" s="1">
        <v>45958.378576388888</v>
      </c>
    </row>
    <row r="20871" spans="1:10" x14ac:dyDescent="0.2">
      <c r="A20871" s="4" t="s">
        <v>1</v>
      </c>
      <c r="B208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71" s="3" t="str">
        <f>HYPERLINK("https://otsuka-europe-crm.veevavault.com/ui/#object/sent_email__v/VBL000000002274", "SE-001378861")</f>
        <v>SE-001378861</v>
      </c>
      <c r="D20871" s="1" t="s">
        <v>0</v>
      </c>
      <c r="E20871" s="2">
        <v>0</v>
      </c>
      <c r="F20871" s="2">
        <v>0</v>
      </c>
      <c r="G20871" s="2">
        <v>0</v>
      </c>
      <c r="H20871" s="1" t="s">
        <v>0</v>
      </c>
      <c r="I20871" s="2">
        <v>0</v>
      </c>
      <c r="J20871" s="1">
        <v>45958.378622685188</v>
      </c>
    </row>
    <row r="20872" spans="1:10" x14ac:dyDescent="0.2">
      <c r="A20872" s="4" t="s">
        <v>1</v>
      </c>
      <c r="B208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72" s="3" t="str">
        <f>HYPERLINK("https://otsuka-europe-crm.veevavault.com/ui/#object/sent_email__v/VBL000000002275", "SE-001378862")</f>
        <v>SE-001378862</v>
      </c>
      <c r="D20872" s="1">
        <v>45958.666921296295</v>
      </c>
      <c r="E20872" s="2">
        <v>1</v>
      </c>
      <c r="F20872" s="2">
        <v>2</v>
      </c>
      <c r="G20872" s="2">
        <v>0</v>
      </c>
      <c r="H20872" s="1" t="s">
        <v>0</v>
      </c>
      <c r="I20872" s="2">
        <v>0</v>
      </c>
      <c r="J20872" s="1">
        <v>45958.378668981481</v>
      </c>
    </row>
    <row r="20873" spans="1:10" x14ac:dyDescent="0.2">
      <c r="A20873" s="4" t="s">
        <v>1</v>
      </c>
      <c r="B208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73" s="3" t="str">
        <f>HYPERLINK("https://otsuka-europe-crm.veevavault.com/ui/#object/sent_email__v/VBL000000002276", "SE-001378863")</f>
        <v>SE-001378863</v>
      </c>
      <c r="D20873" s="1">
        <v>45958.378807870373</v>
      </c>
      <c r="E20873" s="2">
        <v>1</v>
      </c>
      <c r="F20873" s="2">
        <v>1</v>
      </c>
      <c r="G20873" s="2">
        <v>0</v>
      </c>
      <c r="H20873" s="1" t="s">
        <v>0</v>
      </c>
      <c r="I20873" s="2">
        <v>0</v>
      </c>
      <c r="J20873" s="1">
        <v>45958.37871527778</v>
      </c>
    </row>
    <row r="20874" spans="1:10" x14ac:dyDescent="0.2">
      <c r="A20874" s="4" t="s">
        <v>1</v>
      </c>
      <c r="B208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74" s="3" t="str">
        <f>HYPERLINK("https://otsuka-europe-crm.veevavault.com/ui/#object/sent_email__v/VBL000000002277", "SE-001378864")</f>
        <v>SE-001378864</v>
      </c>
      <c r="D20874" s="1" t="s">
        <v>0</v>
      </c>
      <c r="E20874" s="2">
        <v>0</v>
      </c>
      <c r="F20874" s="2">
        <v>0</v>
      </c>
      <c r="G20874" s="2">
        <v>0</v>
      </c>
      <c r="H20874" s="1" t="s">
        <v>0</v>
      </c>
      <c r="I20874" s="2">
        <v>0</v>
      </c>
      <c r="J20874" s="1">
        <v>45958.378761574073</v>
      </c>
    </row>
    <row r="20875" spans="1:10" x14ac:dyDescent="0.2">
      <c r="A20875" s="4" t="s">
        <v>1</v>
      </c>
      <c r="B208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75" s="3" t="str">
        <f>HYPERLINK("https://otsuka-europe-crm.veevavault.com/ui/#object/sent_email__v/VBL000000002278", "SE-001378865")</f>
        <v>SE-001378865</v>
      </c>
      <c r="D20875" s="1">
        <v>45958.402997685182</v>
      </c>
      <c r="E20875" s="2">
        <v>1</v>
      </c>
      <c r="F20875" s="2">
        <v>1</v>
      </c>
      <c r="G20875" s="2">
        <v>1</v>
      </c>
      <c r="H20875" s="1">
        <v>45958.403124999997</v>
      </c>
      <c r="I20875" s="2">
        <v>1</v>
      </c>
      <c r="J20875" s="1">
        <v>45958.378796296296</v>
      </c>
    </row>
    <row r="20876" spans="1:10" x14ac:dyDescent="0.2">
      <c r="A20876" s="4" t="s">
        <v>1</v>
      </c>
      <c r="B208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76" s="3" t="str">
        <f>HYPERLINK("https://otsuka-europe-crm.veevavault.com/ui/#object/sent_email__v/VBL000000002279", "SE-001378866")</f>
        <v>SE-001378866</v>
      </c>
      <c r="D20876" s="1" t="s">
        <v>0</v>
      </c>
      <c r="E20876" s="2">
        <v>0</v>
      </c>
      <c r="F20876" s="2">
        <v>0</v>
      </c>
      <c r="G20876" s="2">
        <v>0</v>
      </c>
      <c r="H20876" s="1" t="s">
        <v>0</v>
      </c>
      <c r="I20876" s="2">
        <v>0</v>
      </c>
      <c r="J20876" s="1">
        <v>45958.378854166665</v>
      </c>
    </row>
    <row r="20877" spans="1:10" x14ac:dyDescent="0.2">
      <c r="A20877" s="4" t="s">
        <v>1</v>
      </c>
      <c r="B208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77" s="3" t="str">
        <f>HYPERLINK("https://otsuka-europe-crm.veevavault.com/ui/#object/sent_email__v/VBL000000002280", "SE-001378867")</f>
        <v>SE-001378867</v>
      </c>
      <c r="D20877" s="1">
        <v>45958.426840277774</v>
      </c>
      <c r="E20877" s="2">
        <v>1</v>
      </c>
      <c r="F20877" s="2">
        <v>2</v>
      </c>
      <c r="G20877" s="2">
        <v>0</v>
      </c>
      <c r="H20877" s="1" t="s">
        <v>0</v>
      </c>
      <c r="I20877" s="2">
        <v>0</v>
      </c>
      <c r="J20877" s="1">
        <v>45958.378877314812</v>
      </c>
    </row>
    <row r="20878" spans="1:10" x14ac:dyDescent="0.2">
      <c r="A20878" s="4" t="s">
        <v>1</v>
      </c>
      <c r="B208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78" s="3" t="str">
        <f>HYPERLINK("https://otsuka-europe-crm.veevavault.com/ui/#object/sent_email__v/VBL000000002281", "SE-001378868")</f>
        <v>SE-001378868</v>
      </c>
      <c r="D20878" s="1" t="s">
        <v>0</v>
      </c>
      <c r="E20878" s="2">
        <v>0</v>
      </c>
      <c r="F20878" s="2">
        <v>0</v>
      </c>
      <c r="G20878" s="2">
        <v>0</v>
      </c>
      <c r="H20878" s="1" t="s">
        <v>0</v>
      </c>
      <c r="I20878" s="2">
        <v>0</v>
      </c>
      <c r="J20878" s="1">
        <v>45958.378923611112</v>
      </c>
    </row>
    <row r="20879" spans="1:10" x14ac:dyDescent="0.2">
      <c r="A20879" s="4" t="s">
        <v>1</v>
      </c>
      <c r="B208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79" s="3" t="str">
        <f>HYPERLINK("https://otsuka-europe-crm.veevavault.com/ui/#object/sent_email__v/VBL000000002282", "SE-001378869")</f>
        <v>SE-001378869</v>
      </c>
      <c r="D20879" s="1" t="s">
        <v>0</v>
      </c>
      <c r="E20879" s="2">
        <v>0</v>
      </c>
      <c r="F20879" s="2">
        <v>0</v>
      </c>
      <c r="G20879" s="2">
        <v>0</v>
      </c>
      <c r="H20879" s="1" t="s">
        <v>0</v>
      </c>
      <c r="I20879" s="2">
        <v>0</v>
      </c>
      <c r="J20879" s="1">
        <v>45958.378958333335</v>
      </c>
    </row>
    <row r="20880" spans="1:10" x14ac:dyDescent="0.2">
      <c r="A20880" s="4" t="s">
        <v>1</v>
      </c>
      <c r="B208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80" s="3" t="str">
        <f>HYPERLINK("https://otsuka-europe-crm.veevavault.com/ui/#object/sent_email__v/VBL000000002283", "SE-001378870")</f>
        <v>SE-001378870</v>
      </c>
      <c r="D20880" s="1" t="s">
        <v>0</v>
      </c>
      <c r="E20880" s="2">
        <v>0</v>
      </c>
      <c r="F20880" s="2">
        <v>0</v>
      </c>
      <c r="G20880" s="2">
        <v>0</v>
      </c>
      <c r="H20880" s="1" t="s">
        <v>0</v>
      </c>
      <c r="I20880" s="2">
        <v>0</v>
      </c>
      <c r="J20880" s="1">
        <v>45958.379004629627</v>
      </c>
    </row>
    <row r="20881" spans="1:10" x14ac:dyDescent="0.2">
      <c r="A20881" s="4" t="s">
        <v>1</v>
      </c>
      <c r="B208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81" s="3" t="str">
        <f>HYPERLINK("https://otsuka-europe-crm.veevavault.com/ui/#object/sent_email__v/VBL000000002284", "SE-001378871")</f>
        <v>SE-001378871</v>
      </c>
      <c r="D20881" s="1">
        <v>45958.412152777775</v>
      </c>
      <c r="E20881" s="2">
        <v>1</v>
      </c>
      <c r="F20881" s="2">
        <v>1</v>
      </c>
      <c r="G20881" s="2">
        <v>0</v>
      </c>
      <c r="H20881" s="1" t="s">
        <v>0</v>
      </c>
      <c r="I20881" s="2">
        <v>0</v>
      </c>
      <c r="J20881" s="1">
        <v>45958.37903935185</v>
      </c>
    </row>
    <row r="20882" spans="1:10" x14ac:dyDescent="0.2">
      <c r="A20882" s="4" t="s">
        <v>1</v>
      </c>
      <c r="B208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82" s="3" t="str">
        <f>HYPERLINK("https://otsuka-europe-crm.veevavault.com/ui/#object/sent_email__v/VBL000000002285", "SE-001378872")</f>
        <v>SE-001378872</v>
      </c>
      <c r="D20882" s="1" t="s">
        <v>0</v>
      </c>
      <c r="E20882" s="2">
        <v>0</v>
      </c>
      <c r="F20882" s="2">
        <v>0</v>
      </c>
      <c r="G20882" s="2">
        <v>0</v>
      </c>
      <c r="H20882" s="1" t="s">
        <v>0</v>
      </c>
      <c r="I20882" s="2">
        <v>0</v>
      </c>
      <c r="J20882" s="1">
        <v>45958.379074074073</v>
      </c>
    </row>
    <row r="20883" spans="1:10" x14ac:dyDescent="0.2">
      <c r="A20883" s="4" t="s">
        <v>1</v>
      </c>
      <c r="B208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83" s="3" t="str">
        <f>HYPERLINK("https://otsuka-europe-crm.veevavault.com/ui/#object/sent_email__v/VBL000000002286", "SE-001378873")</f>
        <v>SE-001378873</v>
      </c>
      <c r="D20883" s="1" t="s">
        <v>0</v>
      </c>
      <c r="E20883" s="2">
        <v>0</v>
      </c>
      <c r="F20883" s="2">
        <v>0</v>
      </c>
      <c r="G20883" s="2">
        <v>0</v>
      </c>
      <c r="H20883" s="1" t="s">
        <v>0</v>
      </c>
      <c r="I20883" s="2">
        <v>0</v>
      </c>
      <c r="J20883" s="1">
        <v>45958.379120370373</v>
      </c>
    </row>
    <row r="20884" spans="1:10" x14ac:dyDescent="0.2">
      <c r="A20884" s="4" t="s">
        <v>1</v>
      </c>
      <c r="B208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84" s="3" t="str">
        <f>HYPERLINK("https://otsuka-europe-crm.veevavault.com/ui/#object/sent_email__v/VBL000000002287", "SE-001378874")</f>
        <v>SE-001378874</v>
      </c>
      <c r="D20884" s="1">
        <v>45958.655844907407</v>
      </c>
      <c r="E20884" s="2">
        <v>1</v>
      </c>
      <c r="F20884" s="2">
        <v>3</v>
      </c>
      <c r="G20884" s="2">
        <v>0</v>
      </c>
      <c r="H20884" s="1" t="s">
        <v>0</v>
      </c>
      <c r="I20884" s="2">
        <v>0</v>
      </c>
      <c r="J20884" s="1">
        <v>45958.379189814812</v>
      </c>
    </row>
    <row r="20885" spans="1:10" x14ac:dyDescent="0.2">
      <c r="A20885" s="4" t="s">
        <v>1</v>
      </c>
      <c r="B208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85" s="3" t="str">
        <f>HYPERLINK("https://otsuka-europe-crm.veevavault.com/ui/#object/sent_email__v/VBL000000002288", "SE-001378875")</f>
        <v>SE-001378875</v>
      </c>
      <c r="D20885" s="1" t="s">
        <v>0</v>
      </c>
      <c r="E20885" s="2">
        <v>0</v>
      </c>
      <c r="F20885" s="2">
        <v>0</v>
      </c>
      <c r="G20885" s="2">
        <v>0</v>
      </c>
      <c r="H20885" s="1" t="s">
        <v>0</v>
      </c>
      <c r="I20885" s="2">
        <v>0</v>
      </c>
      <c r="J20885" s="1">
        <v>45958.379259259258</v>
      </c>
    </row>
    <row r="20886" spans="1:10" x14ac:dyDescent="0.2">
      <c r="A20886" s="4" t="s">
        <v>1</v>
      </c>
      <c r="B208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86" s="3" t="str">
        <f>HYPERLINK("https://otsuka-europe-crm.veevavault.com/ui/#object/sent_email__v/VBL000000002289", "SE-001378876")</f>
        <v>SE-001378876</v>
      </c>
      <c r="D20886" s="1">
        <v>45958.380856481483</v>
      </c>
      <c r="E20886" s="2">
        <v>1</v>
      </c>
      <c r="F20886" s="2">
        <v>1</v>
      </c>
      <c r="G20886" s="2">
        <v>0</v>
      </c>
      <c r="H20886" s="1" t="s">
        <v>0</v>
      </c>
      <c r="I20886" s="2">
        <v>0</v>
      </c>
      <c r="J20886" s="1">
        <v>45958.379340277781</v>
      </c>
    </row>
    <row r="20887" spans="1:10" x14ac:dyDescent="0.2">
      <c r="A20887" s="4" t="s">
        <v>1</v>
      </c>
      <c r="B208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87" s="3" t="str">
        <f>HYPERLINK("https://otsuka-europe-crm.veevavault.com/ui/#object/sent_email__v/VBL000000002290", "SE-001378877")</f>
        <v>SE-001378877</v>
      </c>
      <c r="D20887" s="1" t="s">
        <v>0</v>
      </c>
      <c r="E20887" s="2">
        <v>0</v>
      </c>
      <c r="F20887" s="2">
        <v>0</v>
      </c>
      <c r="G20887" s="2">
        <v>0</v>
      </c>
      <c r="H20887" s="1" t="s">
        <v>0</v>
      </c>
      <c r="I20887" s="2">
        <v>0</v>
      </c>
      <c r="J20887" s="1">
        <v>45958.379432870373</v>
      </c>
    </row>
    <row r="20888" spans="1:10" x14ac:dyDescent="0.2">
      <c r="A20888" s="4" t="s">
        <v>1</v>
      </c>
      <c r="B208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88" s="3" t="str">
        <f>HYPERLINK("https://otsuka-europe-crm.veevavault.com/ui/#object/sent_email__v/VBL000000002291", "SE-001378878")</f>
        <v>SE-001378878</v>
      </c>
      <c r="D20888" s="1" t="s">
        <v>0</v>
      </c>
      <c r="E20888" s="2">
        <v>0</v>
      </c>
      <c r="F20888" s="2">
        <v>0</v>
      </c>
      <c r="G20888" s="2">
        <v>0</v>
      </c>
      <c r="H20888" s="1" t="s">
        <v>0</v>
      </c>
      <c r="I20888" s="2">
        <v>0</v>
      </c>
      <c r="J20888" s="1">
        <v>45958.379467592589</v>
      </c>
    </row>
    <row r="20889" spans="1:10" x14ac:dyDescent="0.2">
      <c r="A20889" s="4" t="s">
        <v>1</v>
      </c>
      <c r="B208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89" s="3" t="str">
        <f>HYPERLINK("https://otsuka-europe-crm.veevavault.com/ui/#object/sent_email__v/VBL000000002292", "SE-001378879")</f>
        <v>SE-001378879</v>
      </c>
      <c r="D20889" s="1">
        <v>45984.935335648152</v>
      </c>
      <c r="E20889" s="2">
        <v>1</v>
      </c>
      <c r="F20889" s="2">
        <v>1</v>
      </c>
      <c r="G20889" s="2">
        <v>0</v>
      </c>
      <c r="H20889" s="1" t="s">
        <v>0</v>
      </c>
      <c r="I20889" s="2">
        <v>0</v>
      </c>
      <c r="J20889" s="1">
        <v>45958.379548611112</v>
      </c>
    </row>
    <row r="20890" spans="1:10" x14ac:dyDescent="0.2">
      <c r="A20890" s="4" t="s">
        <v>1</v>
      </c>
      <c r="B208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90" s="3" t="str">
        <f>HYPERLINK("https://otsuka-europe-crm.veevavault.com/ui/#object/sent_email__v/VBL000000002293", "SE-001378880")</f>
        <v>SE-001378880</v>
      </c>
      <c r="D20890" s="1" t="s">
        <v>0</v>
      </c>
      <c r="E20890" s="2">
        <v>0</v>
      </c>
      <c r="F20890" s="2">
        <v>0</v>
      </c>
      <c r="G20890" s="2">
        <v>0</v>
      </c>
      <c r="H20890" s="1" t="s">
        <v>0</v>
      </c>
      <c r="I20890" s="2">
        <v>0</v>
      </c>
      <c r="J20890" s="1">
        <v>45958.379641203705</v>
      </c>
    </row>
    <row r="20891" spans="1:10" x14ac:dyDescent="0.2">
      <c r="A20891" s="4" t="s">
        <v>1</v>
      </c>
      <c r="B208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91" s="3" t="str">
        <f>HYPERLINK("https://otsuka-europe-crm.veevavault.com/ui/#object/sent_email__v/VBL000000002294", "SE-001378881")</f>
        <v>SE-001378881</v>
      </c>
      <c r="D20891" s="1">
        <v>45958.645810185182</v>
      </c>
      <c r="E20891" s="2">
        <v>1</v>
      </c>
      <c r="F20891" s="2">
        <v>1</v>
      </c>
      <c r="G20891" s="2">
        <v>0</v>
      </c>
      <c r="H20891" s="1" t="s">
        <v>0</v>
      </c>
      <c r="I20891" s="2">
        <v>0</v>
      </c>
      <c r="J20891" s="1">
        <v>45958.379710648151</v>
      </c>
    </row>
    <row r="20892" spans="1:10" x14ac:dyDescent="0.2">
      <c r="A20892" s="4" t="s">
        <v>1</v>
      </c>
      <c r="B208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92" s="3" t="str">
        <f>HYPERLINK("https://otsuka-europe-crm.veevavault.com/ui/#object/sent_email__v/VBL000000002295", "SE-001378882")</f>
        <v>SE-001378882</v>
      </c>
      <c r="D20892" s="1" t="s">
        <v>0</v>
      </c>
      <c r="E20892" s="2">
        <v>0</v>
      </c>
      <c r="F20892" s="2">
        <v>0</v>
      </c>
      <c r="G20892" s="2">
        <v>0</v>
      </c>
      <c r="H20892" s="1" t="s">
        <v>0</v>
      </c>
      <c r="I20892" s="2">
        <v>0</v>
      </c>
      <c r="J20892" s="1">
        <v>45958.379780092589</v>
      </c>
    </row>
    <row r="20893" spans="1:10" x14ac:dyDescent="0.2">
      <c r="A20893" s="4" t="s">
        <v>1</v>
      </c>
      <c r="B208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93" s="3" t="str">
        <f>HYPERLINK("https://otsuka-europe-crm.veevavault.com/ui/#object/sent_email__v/VBL000000002296", "SE-001378883")</f>
        <v>SE-001378883</v>
      </c>
      <c r="D20893" s="1">
        <v>45959.614548611113</v>
      </c>
      <c r="E20893" s="2">
        <v>1</v>
      </c>
      <c r="F20893" s="2">
        <v>5</v>
      </c>
      <c r="G20893" s="2">
        <v>0</v>
      </c>
      <c r="H20893" s="1" t="s">
        <v>0</v>
      </c>
      <c r="I20893" s="2">
        <v>0</v>
      </c>
      <c r="J20893" s="1">
        <v>45958.379837962966</v>
      </c>
    </row>
    <row r="20894" spans="1:10" x14ac:dyDescent="0.2">
      <c r="A20894" s="4" t="s">
        <v>1</v>
      </c>
      <c r="B208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94" s="3" t="str">
        <f>HYPERLINK("https://otsuka-europe-crm.veevavault.com/ui/#object/sent_email__v/VBL000000002297", "SE-001378884")</f>
        <v>SE-001378884</v>
      </c>
      <c r="D20894" s="1">
        <v>45959.453541666669</v>
      </c>
      <c r="E20894" s="2">
        <v>1</v>
      </c>
      <c r="F20894" s="2">
        <v>4</v>
      </c>
      <c r="G20894" s="2">
        <v>1</v>
      </c>
      <c r="H20894" s="1">
        <v>45959.454212962963</v>
      </c>
      <c r="I20894" s="2">
        <v>2</v>
      </c>
      <c r="J20894" s="1">
        <v>45958.379907407405</v>
      </c>
    </row>
    <row r="20895" spans="1:10" x14ac:dyDescent="0.2">
      <c r="A20895" s="4" t="s">
        <v>1</v>
      </c>
      <c r="B208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95" s="3" t="str">
        <f>HYPERLINK("https://otsuka-europe-crm.veevavault.com/ui/#object/sent_email__v/VBL000000002298", "SE-001378885")</f>
        <v>SE-001378885</v>
      </c>
      <c r="D20895" s="1">
        <v>45958.406759259262</v>
      </c>
      <c r="E20895" s="2">
        <v>1</v>
      </c>
      <c r="F20895" s="2">
        <v>3</v>
      </c>
      <c r="G20895" s="2">
        <v>0</v>
      </c>
      <c r="H20895" s="1" t="s">
        <v>0</v>
      </c>
      <c r="I20895" s="2">
        <v>0</v>
      </c>
      <c r="J20895" s="1">
        <v>45958.379976851851</v>
      </c>
    </row>
    <row r="20896" spans="1:10" x14ac:dyDescent="0.2">
      <c r="A20896" s="4" t="s">
        <v>1</v>
      </c>
      <c r="B208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96" s="3" t="str">
        <f>HYPERLINK("https://otsuka-europe-crm.veevavault.com/ui/#object/sent_email__v/VBL000000002299", "SE-001378886")</f>
        <v>SE-001378886</v>
      </c>
      <c r="D20896" s="1" t="s">
        <v>0</v>
      </c>
      <c r="E20896" s="2">
        <v>0</v>
      </c>
      <c r="F20896" s="2">
        <v>0</v>
      </c>
      <c r="G20896" s="2">
        <v>0</v>
      </c>
      <c r="H20896" s="1" t="s">
        <v>0</v>
      </c>
      <c r="I20896" s="2">
        <v>0</v>
      </c>
      <c r="J20896" s="1">
        <v>45958.380057870374</v>
      </c>
    </row>
    <row r="20897" spans="1:10" x14ac:dyDescent="0.2">
      <c r="A20897" s="4" t="s">
        <v>1</v>
      </c>
      <c r="B208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97" s="3" t="str">
        <f>HYPERLINK("https://otsuka-europe-crm.veevavault.com/ui/#object/sent_email__v/VBL000000002300", "SE-001378887")</f>
        <v>SE-001378887</v>
      </c>
      <c r="D20897" s="1">
        <v>45968.132824074077</v>
      </c>
      <c r="E20897" s="2">
        <v>1</v>
      </c>
      <c r="F20897" s="2">
        <v>3</v>
      </c>
      <c r="G20897" s="2">
        <v>0</v>
      </c>
      <c r="H20897" s="1" t="s">
        <v>0</v>
      </c>
      <c r="I20897" s="2">
        <v>0</v>
      </c>
      <c r="J20897" s="1">
        <v>45958.380127314813</v>
      </c>
    </row>
    <row r="20898" spans="1:10" x14ac:dyDescent="0.2">
      <c r="A20898" s="4" t="s">
        <v>1</v>
      </c>
      <c r="B208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98" s="3" t="str">
        <f>HYPERLINK("https://otsuka-europe-crm.veevavault.com/ui/#object/sent_email__v/VBL000000002301", "SE-001378888")</f>
        <v>SE-001378888</v>
      </c>
      <c r="D20898" s="1" t="s">
        <v>0</v>
      </c>
      <c r="E20898" s="2">
        <v>0</v>
      </c>
      <c r="F20898" s="2">
        <v>0</v>
      </c>
      <c r="G20898" s="2">
        <v>0</v>
      </c>
      <c r="H20898" s="1" t="s">
        <v>0</v>
      </c>
      <c r="I20898" s="2">
        <v>0</v>
      </c>
      <c r="J20898" s="1">
        <v>45958.380196759259</v>
      </c>
    </row>
    <row r="20899" spans="1:10" x14ac:dyDescent="0.2">
      <c r="A20899" s="4" t="s">
        <v>1</v>
      </c>
      <c r="B208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899" s="3" t="str">
        <f>HYPERLINK("https://otsuka-europe-crm.veevavault.com/ui/#object/sent_email__v/VBL000000002302", "SE-001378889")</f>
        <v>SE-001378889</v>
      </c>
      <c r="D20899" s="1" t="s">
        <v>0</v>
      </c>
      <c r="E20899" s="2">
        <v>0</v>
      </c>
      <c r="F20899" s="2">
        <v>0</v>
      </c>
      <c r="G20899" s="2">
        <v>0</v>
      </c>
      <c r="H20899" s="1" t="s">
        <v>0</v>
      </c>
      <c r="I20899" s="2">
        <v>0</v>
      </c>
      <c r="J20899" s="1">
        <v>45958.380254629628</v>
      </c>
    </row>
    <row r="20900" spans="1:10" x14ac:dyDescent="0.2">
      <c r="A20900" s="4" t="s">
        <v>1</v>
      </c>
      <c r="B209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00" s="3" t="str">
        <f>HYPERLINK("https://otsuka-europe-crm.veevavault.com/ui/#object/sent_email__v/VBL000000002303", "SE-001378890")</f>
        <v>SE-001378890</v>
      </c>
      <c r="D20900" s="1">
        <v>45958.385370370372</v>
      </c>
      <c r="E20900" s="2">
        <v>1</v>
      </c>
      <c r="F20900" s="2">
        <v>1</v>
      </c>
      <c r="G20900" s="2">
        <v>0</v>
      </c>
      <c r="H20900" s="1" t="s">
        <v>0</v>
      </c>
      <c r="I20900" s="2">
        <v>0</v>
      </c>
      <c r="J20900" s="1">
        <v>45958.380335648151</v>
      </c>
    </row>
    <row r="20901" spans="1:10" x14ac:dyDescent="0.2">
      <c r="A20901" s="4" t="s">
        <v>1</v>
      </c>
      <c r="B209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01" s="3" t="str">
        <f>HYPERLINK("https://otsuka-europe-crm.veevavault.com/ui/#object/sent_email__v/VBL000000002304", "SE-001378891")</f>
        <v>SE-001378891</v>
      </c>
      <c r="D20901" s="1" t="s">
        <v>0</v>
      </c>
      <c r="E20901" s="2">
        <v>0</v>
      </c>
      <c r="F20901" s="2">
        <v>0</v>
      </c>
      <c r="G20901" s="2">
        <v>0</v>
      </c>
      <c r="H20901" s="1" t="s">
        <v>0</v>
      </c>
      <c r="I20901" s="2">
        <v>0</v>
      </c>
      <c r="J20901" s="1">
        <v>45958.38040509259</v>
      </c>
    </row>
    <row r="20902" spans="1:10" x14ac:dyDescent="0.2">
      <c r="A20902" s="4" t="s">
        <v>1</v>
      </c>
      <c r="B209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02" s="3" t="str">
        <f>HYPERLINK("https://otsuka-europe-crm.veevavault.com/ui/#object/sent_email__v/VBL000000002305", "SE-001378892")</f>
        <v>SE-001378892</v>
      </c>
      <c r="D20902" s="1">
        <v>45958.842893518522</v>
      </c>
      <c r="E20902" s="2">
        <v>1</v>
      </c>
      <c r="F20902" s="2">
        <v>1</v>
      </c>
      <c r="G20902" s="2">
        <v>0</v>
      </c>
      <c r="H20902" s="1" t="s">
        <v>0</v>
      </c>
      <c r="I20902" s="2">
        <v>0</v>
      </c>
      <c r="J20902" s="1">
        <v>45958.380462962959</v>
      </c>
    </row>
    <row r="20903" spans="1:10" x14ac:dyDescent="0.2">
      <c r="A20903" s="4" t="s">
        <v>1</v>
      </c>
      <c r="B209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03" s="3" t="str">
        <f>HYPERLINK("https://otsuka-europe-crm.veevavault.com/ui/#object/sent_email__v/VBL000000002306", "SE-001378893")</f>
        <v>SE-001378893</v>
      </c>
      <c r="D20903" s="1" t="s">
        <v>0</v>
      </c>
      <c r="E20903" s="2">
        <v>0</v>
      </c>
      <c r="F20903" s="2">
        <v>0</v>
      </c>
      <c r="G20903" s="2">
        <v>0</v>
      </c>
      <c r="H20903" s="1" t="s">
        <v>0</v>
      </c>
      <c r="I20903" s="2">
        <v>0</v>
      </c>
      <c r="J20903" s="1">
        <v>45958.380532407406</v>
      </c>
    </row>
    <row r="20904" spans="1:10" x14ac:dyDescent="0.2">
      <c r="A20904" s="4" t="s">
        <v>1</v>
      </c>
      <c r="B209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04" s="3" t="str">
        <f>HYPERLINK("https://otsuka-europe-crm.veevavault.com/ui/#object/sent_email__v/VBL000000002307", "SE-001378894")</f>
        <v>SE-001378894</v>
      </c>
      <c r="D20904" s="1">
        <v>45959.920613425929</v>
      </c>
      <c r="E20904" s="2">
        <v>1</v>
      </c>
      <c r="F20904" s="2">
        <v>1</v>
      </c>
      <c r="G20904" s="2">
        <v>0</v>
      </c>
      <c r="H20904" s="1" t="s">
        <v>0</v>
      </c>
      <c r="I20904" s="2">
        <v>0</v>
      </c>
      <c r="J20904" s="1">
        <v>45958.380613425928</v>
      </c>
    </row>
    <row r="20905" spans="1:10" x14ac:dyDescent="0.2">
      <c r="A20905" s="4" t="s">
        <v>1</v>
      </c>
      <c r="B209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05" s="3" t="str">
        <f>HYPERLINK("https://otsuka-europe-crm.veevavault.com/ui/#object/sent_email__v/VBL000000002308", "SE-001378895")</f>
        <v>SE-001378895</v>
      </c>
      <c r="D20905" s="1" t="s">
        <v>0</v>
      </c>
      <c r="E20905" s="2">
        <v>0</v>
      </c>
      <c r="F20905" s="2">
        <v>0</v>
      </c>
      <c r="G20905" s="2">
        <v>0</v>
      </c>
      <c r="H20905" s="1" t="s">
        <v>0</v>
      </c>
      <c r="I20905" s="2">
        <v>0</v>
      </c>
      <c r="J20905" s="1">
        <v>45958.380682870367</v>
      </c>
    </row>
    <row r="20906" spans="1:10" x14ac:dyDescent="0.2">
      <c r="A20906" s="4" t="s">
        <v>1</v>
      </c>
      <c r="B209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06" s="3" t="str">
        <f>HYPERLINK("https://otsuka-europe-crm.veevavault.com/ui/#object/sent_email__v/VBL000000002309", "SE-001378896")</f>
        <v>SE-001378896</v>
      </c>
      <c r="D20906" s="1" t="s">
        <v>0</v>
      </c>
      <c r="E20906" s="2">
        <v>0</v>
      </c>
      <c r="F20906" s="2">
        <v>0</v>
      </c>
      <c r="G20906" s="2">
        <v>0</v>
      </c>
      <c r="H20906" s="1" t="s">
        <v>0</v>
      </c>
      <c r="I20906" s="2">
        <v>0</v>
      </c>
      <c r="J20906" s="1">
        <v>45958.380740740744</v>
      </c>
    </row>
    <row r="20907" spans="1:10" x14ac:dyDescent="0.2">
      <c r="A20907" s="4" t="s">
        <v>1</v>
      </c>
      <c r="B209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07" s="3" t="str">
        <f>HYPERLINK("https://otsuka-europe-crm.veevavault.com/ui/#object/sent_email__v/VBL000000002310", "SE-001378897")</f>
        <v>SE-001378897</v>
      </c>
      <c r="D20907" s="1">
        <v>45959.122870370367</v>
      </c>
      <c r="E20907" s="2">
        <v>1</v>
      </c>
      <c r="F20907" s="2">
        <v>2</v>
      </c>
      <c r="G20907" s="2">
        <v>0</v>
      </c>
      <c r="H20907" s="1" t="s">
        <v>0</v>
      </c>
      <c r="I20907" s="2">
        <v>0</v>
      </c>
      <c r="J20907" s="1">
        <v>45958.380810185183</v>
      </c>
    </row>
    <row r="20908" spans="1:10" x14ac:dyDescent="0.2">
      <c r="A20908" s="4" t="s">
        <v>1</v>
      </c>
      <c r="B209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08" s="3" t="str">
        <f>HYPERLINK("https://otsuka-europe-crm.veevavault.com/ui/#object/sent_email__v/VBL000000002311", "SE-001378898")</f>
        <v>SE-001378898</v>
      </c>
      <c r="D20908" s="1" t="s">
        <v>0</v>
      </c>
      <c r="E20908" s="2">
        <v>0</v>
      </c>
      <c r="F20908" s="2">
        <v>0</v>
      </c>
      <c r="G20908" s="2">
        <v>0</v>
      </c>
      <c r="H20908" s="1" t="s">
        <v>0</v>
      </c>
      <c r="I20908" s="2">
        <v>0</v>
      </c>
      <c r="J20908" s="1">
        <v>45958.380879629629</v>
      </c>
    </row>
    <row r="20909" spans="1:10" x14ac:dyDescent="0.2">
      <c r="A20909" s="4" t="s">
        <v>1</v>
      </c>
      <c r="B209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09" s="3" t="str">
        <f>HYPERLINK("https://otsuka-europe-crm.veevavault.com/ui/#object/sent_email__v/VBL000000002312", "SE-001378899")</f>
        <v>SE-001378899</v>
      </c>
      <c r="D20909" s="1" t="s">
        <v>0</v>
      </c>
      <c r="E20909" s="2">
        <v>0</v>
      </c>
      <c r="F20909" s="2">
        <v>0</v>
      </c>
      <c r="G20909" s="2">
        <v>0</v>
      </c>
      <c r="H20909" s="1" t="s">
        <v>0</v>
      </c>
      <c r="I20909" s="2">
        <v>0</v>
      </c>
      <c r="J20909" s="1">
        <v>45958.380949074075</v>
      </c>
    </row>
    <row r="20910" spans="1:10" x14ac:dyDescent="0.2">
      <c r="A20910" s="4" t="s">
        <v>1</v>
      </c>
      <c r="B209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10" s="3" t="str">
        <f>HYPERLINK("https://otsuka-europe-crm.veevavault.com/ui/#object/sent_email__v/VBL000000002313", "SE-001378900")</f>
        <v>SE-001378900</v>
      </c>
      <c r="D20910" s="1" t="s">
        <v>0</v>
      </c>
      <c r="E20910" s="2">
        <v>0</v>
      </c>
      <c r="F20910" s="2">
        <v>0</v>
      </c>
      <c r="G20910" s="2">
        <v>0</v>
      </c>
      <c r="H20910" s="1" t="s">
        <v>0</v>
      </c>
      <c r="I20910" s="2">
        <v>0</v>
      </c>
      <c r="J20910" s="1">
        <v>45958.381018518521</v>
      </c>
    </row>
    <row r="20911" spans="1:10" x14ac:dyDescent="0.2">
      <c r="A20911" s="4" t="s">
        <v>1</v>
      </c>
      <c r="B209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11" s="3" t="str">
        <f>HYPERLINK("https://otsuka-europe-crm.veevavault.com/ui/#object/sent_email__v/VBL000000002314", "SE-001378901")</f>
        <v>SE-001378901</v>
      </c>
      <c r="D20911" s="1">
        <v>45988.936516203707</v>
      </c>
      <c r="E20911" s="2">
        <v>1</v>
      </c>
      <c r="F20911" s="2">
        <v>4</v>
      </c>
      <c r="G20911" s="2">
        <v>0</v>
      </c>
      <c r="H20911" s="1" t="s">
        <v>0</v>
      </c>
      <c r="I20911" s="2">
        <v>0</v>
      </c>
      <c r="J20911" s="1">
        <v>45958.38108796296</v>
      </c>
    </row>
    <row r="20912" spans="1:10" x14ac:dyDescent="0.2">
      <c r="A20912" s="4" t="s">
        <v>1</v>
      </c>
      <c r="B209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12" s="3" t="str">
        <f>HYPERLINK("https://otsuka-europe-crm.veevavault.com/ui/#object/sent_email__v/VBL000000002315", "SE-001378902")</f>
        <v>SE-001378902</v>
      </c>
      <c r="D20912" s="1">
        <v>45961.7496875</v>
      </c>
      <c r="E20912" s="2">
        <v>1</v>
      </c>
      <c r="F20912" s="2">
        <v>3</v>
      </c>
      <c r="G20912" s="2">
        <v>0</v>
      </c>
      <c r="H20912" s="1" t="s">
        <v>0</v>
      </c>
      <c r="I20912" s="2">
        <v>0</v>
      </c>
      <c r="J20912" s="1">
        <v>45958.381157407406</v>
      </c>
    </row>
    <row r="20913" spans="1:10" x14ac:dyDescent="0.2">
      <c r="A20913" s="4" t="s">
        <v>1</v>
      </c>
      <c r="B209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13" s="3" t="str">
        <f>HYPERLINK("https://otsuka-europe-crm.veevavault.com/ui/#object/sent_email__v/VBL000000002316", "SE-001378903")</f>
        <v>SE-001378903</v>
      </c>
      <c r="D20913" s="1">
        <v>45958.538310185184</v>
      </c>
      <c r="E20913" s="2">
        <v>1</v>
      </c>
      <c r="F20913" s="2">
        <v>2</v>
      </c>
      <c r="G20913" s="2">
        <v>0</v>
      </c>
      <c r="H20913" s="1" t="s">
        <v>0</v>
      </c>
      <c r="I20913" s="2">
        <v>0</v>
      </c>
      <c r="J20913" s="1">
        <v>45958.381238425929</v>
      </c>
    </row>
    <row r="20914" spans="1:10" x14ac:dyDescent="0.2">
      <c r="A20914" s="4" t="s">
        <v>1</v>
      </c>
      <c r="B209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14" s="3" t="str">
        <f>HYPERLINK("https://otsuka-europe-crm.veevavault.com/ui/#object/sent_email__v/VBL000000002317", "SE-001378904")</f>
        <v>SE-001378904</v>
      </c>
      <c r="D20914" s="1">
        <v>45958.381388888891</v>
      </c>
      <c r="E20914" s="2">
        <v>1</v>
      </c>
      <c r="F20914" s="2">
        <v>1</v>
      </c>
      <c r="G20914" s="2">
        <v>0</v>
      </c>
      <c r="H20914" s="1" t="s">
        <v>0</v>
      </c>
      <c r="I20914" s="2">
        <v>0</v>
      </c>
      <c r="J20914" s="1">
        <v>45958.381307870368</v>
      </c>
    </row>
    <row r="20915" spans="1:10" x14ac:dyDescent="0.2">
      <c r="A20915" s="4" t="s">
        <v>1</v>
      </c>
      <c r="B209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15" s="3" t="str">
        <f>HYPERLINK("https://otsuka-europe-crm.veevavault.com/ui/#object/sent_email__v/VBL000000001927", "SE-001378937")</f>
        <v>SE-001378937</v>
      </c>
      <c r="D20915" s="1" t="s">
        <v>0</v>
      </c>
      <c r="E20915" s="2">
        <v>0</v>
      </c>
      <c r="F20915" s="2">
        <v>0</v>
      </c>
      <c r="G20915" s="2">
        <v>0</v>
      </c>
      <c r="H20915" s="1" t="s">
        <v>0</v>
      </c>
      <c r="I20915" s="2">
        <v>0</v>
      </c>
      <c r="J20915" s="1">
        <v>45958.695115740738</v>
      </c>
    </row>
    <row r="20916" spans="1:10" x14ac:dyDescent="0.2">
      <c r="A20916" s="4" t="s">
        <v>1</v>
      </c>
      <c r="B209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16" s="3" t="str">
        <f>HYPERLINK("https://otsuka-europe-crm.veevavault.com/ui/#object/sent_email__v/VBL000000001928", "SE-001378938")</f>
        <v>SE-001378938</v>
      </c>
      <c r="D20916" s="1" t="s">
        <v>0</v>
      </c>
      <c r="E20916" s="2">
        <v>0</v>
      </c>
      <c r="F20916" s="2">
        <v>0</v>
      </c>
      <c r="G20916" s="2">
        <v>0</v>
      </c>
      <c r="H20916" s="1" t="s">
        <v>0</v>
      </c>
      <c r="I20916" s="2">
        <v>0</v>
      </c>
      <c r="J20916" s="1">
        <v>45958.695115740738</v>
      </c>
    </row>
    <row r="20917" spans="1:10" x14ac:dyDescent="0.2">
      <c r="A20917" s="4" t="s">
        <v>1</v>
      </c>
      <c r="B209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17" s="3" t="str">
        <f>HYPERLINK("https://otsuka-europe-crm.veevavault.com/ui/#object/sent_email__v/VBL000000001929", "SE-001378939")</f>
        <v>SE-001378939</v>
      </c>
      <c r="D20917" s="1" t="s">
        <v>0</v>
      </c>
      <c r="E20917" s="2">
        <v>0</v>
      </c>
      <c r="F20917" s="2">
        <v>0</v>
      </c>
      <c r="G20917" s="2">
        <v>0</v>
      </c>
      <c r="H20917" s="1" t="s">
        <v>0</v>
      </c>
      <c r="I20917" s="2">
        <v>0</v>
      </c>
      <c r="J20917" s="1">
        <v>45958.695115740738</v>
      </c>
    </row>
    <row r="20918" spans="1:10" x14ac:dyDescent="0.2">
      <c r="A20918" s="4" t="s">
        <v>1</v>
      </c>
      <c r="B209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18" s="3" t="str">
        <f>HYPERLINK("https://otsuka-europe-crm.veevavault.com/ui/#object/sent_email__v/VBL000000001930", "SE-001378940")</f>
        <v>SE-001378940</v>
      </c>
      <c r="D20918" s="1" t="s">
        <v>0</v>
      </c>
      <c r="E20918" s="2">
        <v>0</v>
      </c>
      <c r="F20918" s="2">
        <v>0</v>
      </c>
      <c r="G20918" s="2">
        <v>0</v>
      </c>
      <c r="H20918" s="1" t="s">
        <v>0</v>
      </c>
      <c r="I20918" s="2">
        <v>0</v>
      </c>
      <c r="J20918" s="1">
        <v>45958.695115740738</v>
      </c>
    </row>
    <row r="20919" spans="1:10" x14ac:dyDescent="0.2">
      <c r="A20919" s="4" t="s">
        <v>1</v>
      </c>
      <c r="B209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19" s="3" t="str">
        <f>HYPERLINK("https://otsuka-europe-crm.veevavault.com/ui/#object/sent_email__v/VBL000000001931", "SE-001378941")</f>
        <v>SE-001378941</v>
      </c>
      <c r="D20919" s="1" t="s">
        <v>0</v>
      </c>
      <c r="E20919" s="2">
        <v>0</v>
      </c>
      <c r="F20919" s="2">
        <v>0</v>
      </c>
      <c r="G20919" s="2">
        <v>0</v>
      </c>
      <c r="H20919" s="1" t="s">
        <v>0</v>
      </c>
      <c r="I20919" s="2">
        <v>0</v>
      </c>
      <c r="J20919" s="1">
        <v>45958.695115740738</v>
      </c>
    </row>
    <row r="20920" spans="1:10" x14ac:dyDescent="0.2">
      <c r="A20920" s="4" t="s">
        <v>1</v>
      </c>
      <c r="B209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20" s="3" t="str">
        <f>HYPERLINK("https://otsuka-europe-crm.veevavault.com/ui/#object/sent_email__v/VBL000000001932", "SE-001378942")</f>
        <v>SE-001378942</v>
      </c>
      <c r="D20920" s="1" t="s">
        <v>0</v>
      </c>
      <c r="E20920" s="2">
        <v>0</v>
      </c>
      <c r="F20920" s="2">
        <v>0</v>
      </c>
      <c r="G20920" s="2">
        <v>0</v>
      </c>
      <c r="H20920" s="1" t="s">
        <v>0</v>
      </c>
      <c r="I20920" s="2">
        <v>0</v>
      </c>
      <c r="J20920" s="1">
        <v>45958.695115740738</v>
      </c>
    </row>
    <row r="20921" spans="1:10" x14ac:dyDescent="0.2">
      <c r="A20921" s="4" t="s">
        <v>1</v>
      </c>
      <c r="B209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21" s="3" t="str">
        <f>HYPERLINK("https://otsuka-europe-crm.veevavault.com/ui/#object/sent_email__v/VBL000000001933", "SE-001378943")</f>
        <v>SE-001378943</v>
      </c>
      <c r="D20921" s="1" t="s">
        <v>0</v>
      </c>
      <c r="E20921" s="2">
        <v>0</v>
      </c>
      <c r="F20921" s="2">
        <v>0</v>
      </c>
      <c r="G20921" s="2">
        <v>0</v>
      </c>
      <c r="H20921" s="1" t="s">
        <v>0</v>
      </c>
      <c r="I20921" s="2">
        <v>0</v>
      </c>
      <c r="J20921" s="1">
        <v>45958.695115740738</v>
      </c>
    </row>
    <row r="20922" spans="1:10" x14ac:dyDescent="0.2">
      <c r="A20922" s="4" t="s">
        <v>1</v>
      </c>
      <c r="B209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22" s="3" t="str">
        <f>HYPERLINK("https://otsuka-europe-crm.veevavault.com/ui/#object/sent_email__v/VBL000000001934", "SE-001378944")</f>
        <v>SE-001378944</v>
      </c>
      <c r="D20922" s="1" t="s">
        <v>0</v>
      </c>
      <c r="E20922" s="2">
        <v>0</v>
      </c>
      <c r="F20922" s="2">
        <v>0</v>
      </c>
      <c r="G20922" s="2">
        <v>0</v>
      </c>
      <c r="H20922" s="1" t="s">
        <v>0</v>
      </c>
      <c r="I20922" s="2">
        <v>0</v>
      </c>
      <c r="J20922" s="1">
        <v>45958.695115740738</v>
      </c>
    </row>
    <row r="20923" spans="1:10" x14ac:dyDescent="0.2">
      <c r="A20923" s="4" t="s">
        <v>1</v>
      </c>
      <c r="B209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23" s="3" t="str">
        <f>HYPERLINK("https://otsuka-europe-crm.veevavault.com/ui/#object/sent_email__v/VBL000000001935", "SE-001378945")</f>
        <v>SE-001378945</v>
      </c>
      <c r="D20923" s="1" t="s">
        <v>0</v>
      </c>
      <c r="E20923" s="2">
        <v>0</v>
      </c>
      <c r="F20923" s="2">
        <v>0</v>
      </c>
      <c r="G20923" s="2">
        <v>0</v>
      </c>
      <c r="H20923" s="1" t="s">
        <v>0</v>
      </c>
      <c r="I20923" s="2">
        <v>0</v>
      </c>
      <c r="J20923" s="1">
        <v>45958.695115740738</v>
      </c>
    </row>
    <row r="20924" spans="1:10" x14ac:dyDescent="0.2">
      <c r="A20924" s="4" t="s">
        <v>1</v>
      </c>
      <c r="B209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24" s="3" t="str">
        <f>HYPERLINK("https://otsuka-europe-crm.veevavault.com/ui/#object/sent_email__v/VBL000000001936", "SE-001378946")</f>
        <v>SE-001378946</v>
      </c>
      <c r="D20924" s="1" t="s">
        <v>0</v>
      </c>
      <c r="E20924" s="2">
        <v>0</v>
      </c>
      <c r="F20924" s="2">
        <v>0</v>
      </c>
      <c r="G20924" s="2">
        <v>0</v>
      </c>
      <c r="H20924" s="1" t="s">
        <v>0</v>
      </c>
      <c r="I20924" s="2">
        <v>0</v>
      </c>
      <c r="J20924" s="1">
        <v>45958.695115740738</v>
      </c>
    </row>
    <row r="20925" spans="1:10" x14ac:dyDescent="0.2">
      <c r="A20925" s="4" t="s">
        <v>1</v>
      </c>
      <c r="B209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25" s="3" t="str">
        <f>HYPERLINK("https://otsuka-europe-crm.veevavault.com/ui/#object/sent_email__v/VBL000000001937", "SE-001378947")</f>
        <v>SE-001378947</v>
      </c>
      <c r="D20925" s="1" t="s">
        <v>0</v>
      </c>
      <c r="E20925" s="2">
        <v>0</v>
      </c>
      <c r="F20925" s="2">
        <v>0</v>
      </c>
      <c r="G20925" s="2">
        <v>0</v>
      </c>
      <c r="H20925" s="1" t="s">
        <v>0</v>
      </c>
      <c r="I20925" s="2">
        <v>0</v>
      </c>
      <c r="J20925" s="1">
        <v>45958.695138888892</v>
      </c>
    </row>
    <row r="20926" spans="1:10" x14ac:dyDescent="0.2">
      <c r="A20926" s="4" t="s">
        <v>1</v>
      </c>
      <c r="B209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26" s="3" t="str">
        <f>HYPERLINK("https://otsuka-europe-crm.veevavault.com/ui/#object/sent_email__v/VBL000000001938", "SE-001378948")</f>
        <v>SE-001378948</v>
      </c>
      <c r="D20926" s="1" t="s">
        <v>0</v>
      </c>
      <c r="E20926" s="2">
        <v>0</v>
      </c>
      <c r="F20926" s="2">
        <v>0</v>
      </c>
      <c r="G20926" s="2">
        <v>0</v>
      </c>
      <c r="H20926" s="1" t="s">
        <v>0</v>
      </c>
      <c r="I20926" s="2">
        <v>0</v>
      </c>
      <c r="J20926" s="1">
        <v>45958.695138888892</v>
      </c>
    </row>
    <row r="20927" spans="1:10" x14ac:dyDescent="0.2">
      <c r="A20927" s="4" t="s">
        <v>1</v>
      </c>
      <c r="B209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27" s="3" t="str">
        <f>HYPERLINK("https://otsuka-europe-crm.veevavault.com/ui/#object/sent_email__v/VBL000000001939", "SE-001378949")</f>
        <v>SE-001378949</v>
      </c>
      <c r="D20927" s="1" t="s">
        <v>0</v>
      </c>
      <c r="E20927" s="2">
        <v>0</v>
      </c>
      <c r="F20927" s="2">
        <v>0</v>
      </c>
      <c r="G20927" s="2">
        <v>0</v>
      </c>
      <c r="H20927" s="1" t="s">
        <v>0</v>
      </c>
      <c r="I20927" s="2">
        <v>0</v>
      </c>
      <c r="J20927" s="1">
        <v>45958.695138888892</v>
      </c>
    </row>
    <row r="20928" spans="1:10" x14ac:dyDescent="0.2">
      <c r="A20928" s="4" t="s">
        <v>1</v>
      </c>
      <c r="B209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28" s="3" t="str">
        <f>HYPERLINK("https://otsuka-europe-crm.veevavault.com/ui/#object/sent_email__v/VBL000000001940", "SE-001378950")</f>
        <v>SE-001378950</v>
      </c>
      <c r="D20928" s="1" t="s">
        <v>0</v>
      </c>
      <c r="E20928" s="2">
        <v>0</v>
      </c>
      <c r="F20928" s="2">
        <v>0</v>
      </c>
      <c r="G20928" s="2">
        <v>0</v>
      </c>
      <c r="H20928" s="1" t="s">
        <v>0</v>
      </c>
      <c r="I20928" s="2">
        <v>0</v>
      </c>
      <c r="J20928" s="1">
        <v>45958.695138888892</v>
      </c>
    </row>
    <row r="20929" spans="1:10" x14ac:dyDescent="0.2">
      <c r="A20929" s="4" t="s">
        <v>1</v>
      </c>
      <c r="B209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29" s="3" t="str">
        <f>HYPERLINK("https://otsuka-europe-crm.veevavault.com/ui/#object/sent_email__v/VBL000000001941", "SE-001378951")</f>
        <v>SE-001378951</v>
      </c>
      <c r="D20929" s="1" t="s">
        <v>0</v>
      </c>
      <c r="E20929" s="2">
        <v>0</v>
      </c>
      <c r="F20929" s="2">
        <v>0</v>
      </c>
      <c r="G20929" s="2">
        <v>0</v>
      </c>
      <c r="H20929" s="1" t="s">
        <v>0</v>
      </c>
      <c r="I20929" s="2">
        <v>0</v>
      </c>
      <c r="J20929" s="1">
        <v>45958.695138888892</v>
      </c>
    </row>
    <row r="20930" spans="1:10" x14ac:dyDescent="0.2">
      <c r="A20930" s="4" t="s">
        <v>1</v>
      </c>
      <c r="B209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30" s="3" t="str">
        <f>HYPERLINK("https://otsuka-europe-crm.veevavault.com/ui/#object/sent_email__v/VBL000000001942", "SE-001378952")</f>
        <v>SE-001378952</v>
      </c>
      <c r="D20930" s="1" t="s">
        <v>0</v>
      </c>
      <c r="E20930" s="2">
        <v>0</v>
      </c>
      <c r="F20930" s="2">
        <v>0</v>
      </c>
      <c r="G20930" s="2">
        <v>0</v>
      </c>
      <c r="H20930" s="1" t="s">
        <v>0</v>
      </c>
      <c r="I20930" s="2">
        <v>0</v>
      </c>
      <c r="J20930" s="1">
        <v>45958.695138888892</v>
      </c>
    </row>
    <row r="20931" spans="1:10" x14ac:dyDescent="0.2">
      <c r="A20931" s="4" t="s">
        <v>1</v>
      </c>
      <c r="B209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31" s="3" t="str">
        <f>HYPERLINK("https://otsuka-europe-crm.veevavault.com/ui/#object/sent_email__v/VBL000000001943", "SE-001378953")</f>
        <v>SE-001378953</v>
      </c>
      <c r="D20931" s="1" t="s">
        <v>0</v>
      </c>
      <c r="E20931" s="2">
        <v>0</v>
      </c>
      <c r="F20931" s="2">
        <v>0</v>
      </c>
      <c r="G20931" s="2">
        <v>0</v>
      </c>
      <c r="H20931" s="1" t="s">
        <v>0</v>
      </c>
      <c r="I20931" s="2">
        <v>0</v>
      </c>
      <c r="J20931" s="1">
        <v>45958.695138888892</v>
      </c>
    </row>
    <row r="20932" spans="1:10" x14ac:dyDescent="0.2">
      <c r="A20932" s="4" t="s">
        <v>1</v>
      </c>
      <c r="B209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32" s="3" t="str">
        <f>HYPERLINK("https://otsuka-europe-crm.veevavault.com/ui/#object/sent_email__v/VBL000000001944", "SE-001378954")</f>
        <v>SE-001378954</v>
      </c>
      <c r="D20932" s="1" t="s">
        <v>0</v>
      </c>
      <c r="E20932" s="2">
        <v>0</v>
      </c>
      <c r="F20932" s="2">
        <v>0</v>
      </c>
      <c r="G20932" s="2">
        <v>0</v>
      </c>
      <c r="H20932" s="1" t="s">
        <v>0</v>
      </c>
      <c r="I20932" s="2">
        <v>0</v>
      </c>
      <c r="J20932" s="1">
        <v>45958.695138888892</v>
      </c>
    </row>
    <row r="20933" spans="1:10" x14ac:dyDescent="0.2">
      <c r="A20933" s="4" t="s">
        <v>1</v>
      </c>
      <c r="B209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33" s="3" t="str">
        <f>HYPERLINK("https://otsuka-europe-crm.veevavault.com/ui/#object/sent_email__v/VBL000000001945", "SE-001378955")</f>
        <v>SE-001378955</v>
      </c>
      <c r="D20933" s="1" t="s">
        <v>0</v>
      </c>
      <c r="E20933" s="2">
        <v>0</v>
      </c>
      <c r="F20933" s="2">
        <v>0</v>
      </c>
      <c r="G20933" s="2">
        <v>0</v>
      </c>
      <c r="H20933" s="1" t="s">
        <v>0</v>
      </c>
      <c r="I20933" s="2">
        <v>0</v>
      </c>
      <c r="J20933" s="1">
        <v>45958.695138888892</v>
      </c>
    </row>
    <row r="20934" spans="1:10" x14ac:dyDescent="0.2">
      <c r="A20934" s="4" t="s">
        <v>1</v>
      </c>
      <c r="B209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34" s="3" t="str">
        <f>HYPERLINK("https://otsuka-europe-crm.veevavault.com/ui/#object/sent_email__v/VBL000000001946", "SE-001378956")</f>
        <v>SE-001378956</v>
      </c>
      <c r="D20934" s="1" t="s">
        <v>0</v>
      </c>
      <c r="E20934" s="2">
        <v>0</v>
      </c>
      <c r="F20934" s="2">
        <v>0</v>
      </c>
      <c r="G20934" s="2">
        <v>0</v>
      </c>
      <c r="H20934" s="1" t="s">
        <v>0</v>
      </c>
      <c r="I20934" s="2">
        <v>0</v>
      </c>
      <c r="J20934" s="1">
        <v>45958.695138888892</v>
      </c>
    </row>
    <row r="20935" spans="1:10" x14ac:dyDescent="0.2">
      <c r="A20935" s="4" t="s">
        <v>1</v>
      </c>
      <c r="B209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35" s="3" t="str">
        <f>HYPERLINK("https://otsuka-europe-crm.veevavault.com/ui/#object/sent_email__v/VBL000000001947", "SE-001378957")</f>
        <v>SE-001378957</v>
      </c>
      <c r="D20935" s="1" t="s">
        <v>0</v>
      </c>
      <c r="E20935" s="2">
        <v>0</v>
      </c>
      <c r="F20935" s="2">
        <v>0</v>
      </c>
      <c r="G20935" s="2">
        <v>0</v>
      </c>
      <c r="H20935" s="1" t="s">
        <v>0</v>
      </c>
      <c r="I20935" s="2">
        <v>0</v>
      </c>
      <c r="J20935" s="1">
        <v>45958.695138888892</v>
      </c>
    </row>
    <row r="20936" spans="1:10" x14ac:dyDescent="0.2">
      <c r="A20936" s="4" t="s">
        <v>1</v>
      </c>
      <c r="B209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36" s="3" t="str">
        <f>HYPERLINK("https://otsuka-europe-crm.veevavault.com/ui/#object/sent_email__v/VBL000000001948", "SE-001378958")</f>
        <v>SE-001378958</v>
      </c>
      <c r="D20936" s="1" t="s">
        <v>0</v>
      </c>
      <c r="E20936" s="2">
        <v>0</v>
      </c>
      <c r="F20936" s="2">
        <v>0</v>
      </c>
      <c r="G20936" s="2">
        <v>0</v>
      </c>
      <c r="H20936" s="1" t="s">
        <v>0</v>
      </c>
      <c r="I20936" s="2">
        <v>0</v>
      </c>
      <c r="J20936" s="1">
        <v>45958.695138888892</v>
      </c>
    </row>
    <row r="20937" spans="1:10" x14ac:dyDescent="0.2">
      <c r="A20937" s="4" t="s">
        <v>1</v>
      </c>
      <c r="B209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37" s="3" t="str">
        <f>HYPERLINK("https://otsuka-europe-crm.veevavault.com/ui/#object/sent_email__v/VBL000000001949", "SE-001378959")</f>
        <v>SE-001378959</v>
      </c>
      <c r="D20937" s="1" t="s">
        <v>0</v>
      </c>
      <c r="E20937" s="2">
        <v>0</v>
      </c>
      <c r="F20937" s="2">
        <v>0</v>
      </c>
      <c r="G20937" s="2">
        <v>0</v>
      </c>
      <c r="H20937" s="1" t="s">
        <v>0</v>
      </c>
      <c r="I20937" s="2">
        <v>0</v>
      </c>
      <c r="J20937" s="1">
        <v>45958.695138888892</v>
      </c>
    </row>
    <row r="20938" spans="1:10" x14ac:dyDescent="0.2">
      <c r="A20938" s="4" t="s">
        <v>1</v>
      </c>
      <c r="B209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38" s="3" t="str">
        <f>HYPERLINK("https://otsuka-europe-crm.veevavault.com/ui/#object/sent_email__v/VBL000000001950", "SE-001378960")</f>
        <v>SE-001378960</v>
      </c>
      <c r="D20938" s="1" t="s">
        <v>0</v>
      </c>
      <c r="E20938" s="2">
        <v>0</v>
      </c>
      <c r="F20938" s="2">
        <v>0</v>
      </c>
      <c r="G20938" s="2">
        <v>0</v>
      </c>
      <c r="H20938" s="1" t="s">
        <v>0</v>
      </c>
      <c r="I20938" s="2">
        <v>0</v>
      </c>
      <c r="J20938" s="1">
        <v>45958.695138888892</v>
      </c>
    </row>
    <row r="20939" spans="1:10" x14ac:dyDescent="0.2">
      <c r="A20939" s="4" t="s">
        <v>1</v>
      </c>
      <c r="B209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39" s="3" t="str">
        <f>HYPERLINK("https://otsuka-europe-crm.veevavault.com/ui/#object/sent_email__v/VBL000000001951", "SE-001378961")</f>
        <v>SE-001378961</v>
      </c>
      <c r="D20939" s="1" t="s">
        <v>0</v>
      </c>
      <c r="E20939" s="2">
        <v>0</v>
      </c>
      <c r="F20939" s="2">
        <v>0</v>
      </c>
      <c r="G20939" s="2">
        <v>0</v>
      </c>
      <c r="H20939" s="1" t="s">
        <v>0</v>
      </c>
      <c r="I20939" s="2">
        <v>0</v>
      </c>
      <c r="J20939" s="1">
        <v>45958.695138888892</v>
      </c>
    </row>
    <row r="20940" spans="1:10" x14ac:dyDescent="0.2">
      <c r="A20940" s="4" t="s">
        <v>1</v>
      </c>
      <c r="B209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40" s="3" t="str">
        <f>HYPERLINK("https://otsuka-europe-crm.veevavault.com/ui/#object/sent_email__v/VBL000000001952", "SE-001378962")</f>
        <v>SE-001378962</v>
      </c>
      <c r="D20940" s="1" t="s">
        <v>0</v>
      </c>
      <c r="E20940" s="2">
        <v>0</v>
      </c>
      <c r="F20940" s="2">
        <v>0</v>
      </c>
      <c r="G20940" s="2">
        <v>0</v>
      </c>
      <c r="H20940" s="1" t="s">
        <v>0</v>
      </c>
      <c r="I20940" s="2">
        <v>0</v>
      </c>
      <c r="J20940" s="1">
        <v>45958.695138888892</v>
      </c>
    </row>
    <row r="20941" spans="1:10" x14ac:dyDescent="0.2">
      <c r="A20941" s="4" t="s">
        <v>1</v>
      </c>
      <c r="B209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41" s="3" t="str">
        <f>HYPERLINK("https://otsuka-europe-crm.veevavault.com/ui/#object/sent_email__v/VBL000000001953", "SE-001378963")</f>
        <v>SE-001378963</v>
      </c>
      <c r="D20941" s="1" t="s">
        <v>0</v>
      </c>
      <c r="E20941" s="2">
        <v>0</v>
      </c>
      <c r="F20941" s="2">
        <v>0</v>
      </c>
      <c r="G20941" s="2">
        <v>0</v>
      </c>
      <c r="H20941" s="1" t="s">
        <v>0</v>
      </c>
      <c r="I20941" s="2">
        <v>0</v>
      </c>
      <c r="J20941" s="1">
        <v>45958.695138888892</v>
      </c>
    </row>
    <row r="20942" spans="1:10" x14ac:dyDescent="0.2">
      <c r="A20942" s="4" t="s">
        <v>1</v>
      </c>
      <c r="B209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42" s="3" t="str">
        <f>HYPERLINK("https://otsuka-europe-crm.veevavault.com/ui/#object/sent_email__v/VBL000000001954", "SE-001378964")</f>
        <v>SE-001378964</v>
      </c>
      <c r="D20942" s="1" t="s">
        <v>0</v>
      </c>
      <c r="E20942" s="2">
        <v>0</v>
      </c>
      <c r="F20942" s="2">
        <v>0</v>
      </c>
      <c r="G20942" s="2">
        <v>0</v>
      </c>
      <c r="H20942" s="1" t="s">
        <v>0</v>
      </c>
      <c r="I20942" s="2">
        <v>0</v>
      </c>
      <c r="J20942" s="1">
        <v>45958.695138888892</v>
      </c>
    </row>
    <row r="20943" spans="1:10" x14ac:dyDescent="0.2">
      <c r="A20943" s="4" t="s">
        <v>1</v>
      </c>
      <c r="B209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43" s="3" t="str">
        <f>HYPERLINK("https://otsuka-europe-crm.veevavault.com/ui/#object/sent_email__v/VBL000000001955", "SE-001378965")</f>
        <v>SE-001378965</v>
      </c>
      <c r="D20943" s="1" t="s">
        <v>0</v>
      </c>
      <c r="E20943" s="2">
        <v>0</v>
      </c>
      <c r="F20943" s="2">
        <v>0</v>
      </c>
      <c r="G20943" s="2">
        <v>0</v>
      </c>
      <c r="H20943" s="1" t="s">
        <v>0</v>
      </c>
      <c r="I20943" s="2">
        <v>0</v>
      </c>
      <c r="J20943" s="1">
        <v>45958.695138888892</v>
      </c>
    </row>
    <row r="20944" spans="1:10" x14ac:dyDescent="0.2">
      <c r="A20944" s="4" t="s">
        <v>1</v>
      </c>
      <c r="B209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44" s="3" t="str">
        <f>HYPERLINK("https://otsuka-europe-crm.veevavault.com/ui/#object/sent_email__v/VBL000000001956", "SE-001378966")</f>
        <v>SE-001378966</v>
      </c>
      <c r="D20944" s="1" t="s">
        <v>0</v>
      </c>
      <c r="E20944" s="2">
        <v>0</v>
      </c>
      <c r="F20944" s="2">
        <v>0</v>
      </c>
      <c r="G20944" s="2">
        <v>0</v>
      </c>
      <c r="H20944" s="1" t="s">
        <v>0</v>
      </c>
      <c r="I20944" s="2">
        <v>0</v>
      </c>
      <c r="J20944" s="1">
        <v>45958.695150462961</v>
      </c>
    </row>
    <row r="20945" spans="1:10" x14ac:dyDescent="0.2">
      <c r="A20945" s="4" t="s">
        <v>1</v>
      </c>
      <c r="B209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45" s="3" t="str">
        <f>HYPERLINK("https://otsuka-europe-crm.veevavault.com/ui/#object/sent_email__v/VBL000000001957", "SE-001378967")</f>
        <v>SE-001378967</v>
      </c>
      <c r="D20945" s="1" t="s">
        <v>0</v>
      </c>
      <c r="E20945" s="2">
        <v>0</v>
      </c>
      <c r="F20945" s="2">
        <v>0</v>
      </c>
      <c r="G20945" s="2">
        <v>0</v>
      </c>
      <c r="H20945" s="1" t="s">
        <v>0</v>
      </c>
      <c r="I20945" s="2">
        <v>0</v>
      </c>
      <c r="J20945" s="1">
        <v>45958.695150462961</v>
      </c>
    </row>
    <row r="20946" spans="1:10" x14ac:dyDescent="0.2">
      <c r="A20946" s="4" t="s">
        <v>1</v>
      </c>
      <c r="B209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46" s="3" t="str">
        <f>HYPERLINK("https://otsuka-europe-crm.veevavault.com/ui/#object/sent_email__v/VBL000000001958", "SE-001378968")</f>
        <v>SE-001378968</v>
      </c>
      <c r="D20946" s="1" t="s">
        <v>0</v>
      </c>
      <c r="E20946" s="2">
        <v>0</v>
      </c>
      <c r="F20946" s="2">
        <v>0</v>
      </c>
      <c r="G20946" s="2">
        <v>0</v>
      </c>
      <c r="H20946" s="1" t="s">
        <v>0</v>
      </c>
      <c r="I20946" s="2">
        <v>0</v>
      </c>
      <c r="J20946" s="1">
        <v>45958.695150462961</v>
      </c>
    </row>
    <row r="20947" spans="1:10" x14ac:dyDescent="0.2">
      <c r="A20947" s="4" t="s">
        <v>1</v>
      </c>
      <c r="B209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47" s="3" t="str">
        <f>HYPERLINK("https://otsuka-europe-crm.veevavault.com/ui/#object/sent_email__v/VBL000000001959", "SE-001378969")</f>
        <v>SE-001378969</v>
      </c>
      <c r="D20947" s="1" t="s">
        <v>0</v>
      </c>
      <c r="E20947" s="2">
        <v>0</v>
      </c>
      <c r="F20947" s="2">
        <v>0</v>
      </c>
      <c r="G20947" s="2">
        <v>0</v>
      </c>
      <c r="H20947" s="1" t="s">
        <v>0</v>
      </c>
      <c r="I20947" s="2">
        <v>0</v>
      </c>
      <c r="J20947" s="1">
        <v>45958.695150462961</v>
      </c>
    </row>
    <row r="20948" spans="1:10" x14ac:dyDescent="0.2">
      <c r="A20948" s="4" t="s">
        <v>1</v>
      </c>
      <c r="B2094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48" s="3" t="str">
        <f>HYPERLINK("https://otsuka-europe-crm.veevavault.com/ui/#object/sent_email__v/VBL000000001960", "SE-001378970")</f>
        <v>SE-001378970</v>
      </c>
      <c r="D20948" s="1" t="s">
        <v>0</v>
      </c>
      <c r="E20948" s="2">
        <v>0</v>
      </c>
      <c r="F20948" s="2">
        <v>0</v>
      </c>
      <c r="G20948" s="2">
        <v>0</v>
      </c>
      <c r="H20948" s="1" t="s">
        <v>0</v>
      </c>
      <c r="I20948" s="2">
        <v>0</v>
      </c>
      <c r="J20948" s="1">
        <v>45958.695150462961</v>
      </c>
    </row>
    <row r="20949" spans="1:10" x14ac:dyDescent="0.2">
      <c r="A20949" s="4" t="s">
        <v>1</v>
      </c>
      <c r="B2094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49" s="3" t="str">
        <f>HYPERLINK("https://otsuka-europe-crm.veevavault.com/ui/#object/sent_email__v/VBL000000001961", "SE-001378971")</f>
        <v>SE-001378971</v>
      </c>
      <c r="D20949" s="1" t="s">
        <v>0</v>
      </c>
      <c r="E20949" s="2">
        <v>0</v>
      </c>
      <c r="F20949" s="2">
        <v>0</v>
      </c>
      <c r="G20949" s="2">
        <v>0</v>
      </c>
      <c r="H20949" s="1" t="s">
        <v>0</v>
      </c>
      <c r="I20949" s="2">
        <v>0</v>
      </c>
      <c r="J20949" s="1">
        <v>45958.695150462961</v>
      </c>
    </row>
    <row r="20950" spans="1:10" x14ac:dyDescent="0.2">
      <c r="A20950" s="4" t="s">
        <v>1</v>
      </c>
      <c r="B2095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50" s="3" t="str">
        <f>HYPERLINK("https://otsuka-europe-crm.veevavault.com/ui/#object/sent_email__v/VBL000000001962", "SE-001378972")</f>
        <v>SE-001378972</v>
      </c>
      <c r="D20950" s="1" t="s">
        <v>0</v>
      </c>
      <c r="E20950" s="2">
        <v>0</v>
      </c>
      <c r="F20950" s="2">
        <v>0</v>
      </c>
      <c r="G20950" s="2">
        <v>0</v>
      </c>
      <c r="H20950" s="1" t="s">
        <v>0</v>
      </c>
      <c r="I20950" s="2">
        <v>0</v>
      </c>
      <c r="J20950" s="1">
        <v>45958.695150462961</v>
      </c>
    </row>
    <row r="20951" spans="1:10" x14ac:dyDescent="0.2">
      <c r="A20951" s="4" t="s">
        <v>1</v>
      </c>
      <c r="B2095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51" s="3" t="str">
        <f>HYPERLINK("https://otsuka-europe-crm.veevavault.com/ui/#object/sent_email__v/VBL000000001963", "SE-001378973")</f>
        <v>SE-001378973</v>
      </c>
      <c r="D20951" s="1" t="s">
        <v>0</v>
      </c>
      <c r="E20951" s="2">
        <v>0</v>
      </c>
      <c r="F20951" s="2">
        <v>0</v>
      </c>
      <c r="G20951" s="2">
        <v>0</v>
      </c>
      <c r="H20951" s="1" t="s">
        <v>0</v>
      </c>
      <c r="I20951" s="2">
        <v>0</v>
      </c>
      <c r="J20951" s="1">
        <v>45958.695150462961</v>
      </c>
    </row>
    <row r="20952" spans="1:10" x14ac:dyDescent="0.2">
      <c r="A20952" s="4" t="s">
        <v>1</v>
      </c>
      <c r="B2095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52" s="3" t="str">
        <f>HYPERLINK("https://otsuka-europe-crm.veevavault.com/ui/#object/sent_email__v/VBL000000001964", "SE-001378974")</f>
        <v>SE-001378974</v>
      </c>
      <c r="D20952" s="1" t="s">
        <v>0</v>
      </c>
      <c r="E20952" s="2">
        <v>0</v>
      </c>
      <c r="F20952" s="2">
        <v>0</v>
      </c>
      <c r="G20952" s="2">
        <v>0</v>
      </c>
      <c r="H20952" s="1" t="s">
        <v>0</v>
      </c>
      <c r="I20952" s="2">
        <v>0</v>
      </c>
      <c r="J20952" s="1">
        <v>45958.695150462961</v>
      </c>
    </row>
    <row r="20953" spans="1:10" x14ac:dyDescent="0.2">
      <c r="A20953" s="4" t="s">
        <v>1</v>
      </c>
      <c r="B2095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53" s="3" t="str">
        <f>HYPERLINK("https://otsuka-europe-crm.veevavault.com/ui/#object/sent_email__v/VBL000000001965", "SE-001378975")</f>
        <v>SE-001378975</v>
      </c>
      <c r="D20953" s="1" t="s">
        <v>0</v>
      </c>
      <c r="E20953" s="2">
        <v>0</v>
      </c>
      <c r="F20953" s="2">
        <v>0</v>
      </c>
      <c r="G20953" s="2">
        <v>0</v>
      </c>
      <c r="H20953" s="1" t="s">
        <v>0</v>
      </c>
      <c r="I20953" s="2">
        <v>0</v>
      </c>
      <c r="J20953" s="1">
        <v>45958.695150462961</v>
      </c>
    </row>
    <row r="20954" spans="1:10" x14ac:dyDescent="0.2">
      <c r="A20954" s="4" t="s">
        <v>1</v>
      </c>
      <c r="B2095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54" s="3" t="str">
        <f>HYPERLINK("https://otsuka-europe-crm.veevavault.com/ui/#object/sent_email__v/VBL000000001966", "SE-001378976")</f>
        <v>SE-001378976</v>
      </c>
      <c r="D20954" s="1" t="s">
        <v>0</v>
      </c>
      <c r="E20954" s="2">
        <v>0</v>
      </c>
      <c r="F20954" s="2">
        <v>0</v>
      </c>
      <c r="G20954" s="2">
        <v>0</v>
      </c>
      <c r="H20954" s="1" t="s">
        <v>0</v>
      </c>
      <c r="I20954" s="2">
        <v>0</v>
      </c>
      <c r="J20954" s="1">
        <v>45958.695150462961</v>
      </c>
    </row>
    <row r="20955" spans="1:10" x14ac:dyDescent="0.2">
      <c r="A20955" s="4" t="s">
        <v>1</v>
      </c>
      <c r="B2095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55" s="3" t="str">
        <f>HYPERLINK("https://otsuka-europe-crm.veevavault.com/ui/#object/sent_email__v/VBL000000001967", "SE-001378977")</f>
        <v>SE-001378977</v>
      </c>
      <c r="D20955" s="1" t="s">
        <v>0</v>
      </c>
      <c r="E20955" s="2">
        <v>0</v>
      </c>
      <c r="F20955" s="2">
        <v>0</v>
      </c>
      <c r="G20955" s="2">
        <v>0</v>
      </c>
      <c r="H20955" s="1" t="s">
        <v>0</v>
      </c>
      <c r="I20955" s="2">
        <v>0</v>
      </c>
      <c r="J20955" s="1">
        <v>45958.695150462961</v>
      </c>
    </row>
    <row r="20956" spans="1:10" x14ac:dyDescent="0.2">
      <c r="A20956" s="4" t="s">
        <v>1</v>
      </c>
      <c r="B2095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56" s="3" t="str">
        <f>HYPERLINK("https://otsuka-europe-crm.veevavault.com/ui/#object/sent_email__v/VBL000000001968", "SE-001378978")</f>
        <v>SE-001378978</v>
      </c>
      <c r="D20956" s="1" t="s">
        <v>0</v>
      </c>
      <c r="E20956" s="2">
        <v>0</v>
      </c>
      <c r="F20956" s="2">
        <v>0</v>
      </c>
      <c r="G20956" s="2">
        <v>0</v>
      </c>
      <c r="H20956" s="1" t="s">
        <v>0</v>
      </c>
      <c r="I20956" s="2">
        <v>0</v>
      </c>
      <c r="J20956" s="1">
        <v>45958.695150462961</v>
      </c>
    </row>
    <row r="20957" spans="1:10" x14ac:dyDescent="0.2">
      <c r="A20957" s="4" t="s">
        <v>1</v>
      </c>
      <c r="B2095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57" s="3" t="str">
        <f>HYPERLINK("https://otsuka-europe-crm.veevavault.com/ui/#object/sent_email__v/VBL000000001969", "SE-001378979")</f>
        <v>SE-001378979</v>
      </c>
      <c r="D20957" s="1" t="s">
        <v>0</v>
      </c>
      <c r="E20957" s="2">
        <v>0</v>
      </c>
      <c r="F20957" s="2">
        <v>0</v>
      </c>
      <c r="G20957" s="2">
        <v>0</v>
      </c>
      <c r="H20957" s="1" t="s">
        <v>0</v>
      </c>
      <c r="I20957" s="2">
        <v>0</v>
      </c>
      <c r="J20957" s="1">
        <v>45958.695162037038</v>
      </c>
    </row>
    <row r="20958" spans="1:10" x14ac:dyDescent="0.2">
      <c r="A20958" s="4" t="s">
        <v>1</v>
      </c>
      <c r="B2095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58" s="3" t="str">
        <f>HYPERLINK("https://otsuka-europe-crm.veevavault.com/ui/#object/sent_email__v/VBL000000001970", "SE-001378980")</f>
        <v>SE-001378980</v>
      </c>
      <c r="D20958" s="1" t="s">
        <v>0</v>
      </c>
      <c r="E20958" s="2">
        <v>0</v>
      </c>
      <c r="F20958" s="2">
        <v>0</v>
      </c>
      <c r="G20958" s="2">
        <v>0</v>
      </c>
      <c r="H20958" s="1" t="s">
        <v>0</v>
      </c>
      <c r="I20958" s="2">
        <v>0</v>
      </c>
      <c r="J20958" s="1">
        <v>45958.695162037038</v>
      </c>
    </row>
    <row r="20959" spans="1:10" x14ac:dyDescent="0.2">
      <c r="A20959" s="4" t="s">
        <v>1</v>
      </c>
      <c r="B2095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59" s="3" t="str">
        <f>HYPERLINK("https://otsuka-europe-crm.veevavault.com/ui/#object/sent_email__v/VBL000000001971", "SE-001378981")</f>
        <v>SE-001378981</v>
      </c>
      <c r="D20959" s="1" t="s">
        <v>0</v>
      </c>
      <c r="E20959" s="2">
        <v>0</v>
      </c>
      <c r="F20959" s="2">
        <v>0</v>
      </c>
      <c r="G20959" s="2">
        <v>0</v>
      </c>
      <c r="H20959" s="1" t="s">
        <v>0</v>
      </c>
      <c r="I20959" s="2">
        <v>0</v>
      </c>
      <c r="J20959" s="1">
        <v>45958.695162037038</v>
      </c>
    </row>
    <row r="20960" spans="1:10" x14ac:dyDescent="0.2">
      <c r="A20960" s="4" t="s">
        <v>1</v>
      </c>
      <c r="B2096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60" s="3" t="str">
        <f>HYPERLINK("https://otsuka-europe-crm.veevavault.com/ui/#object/sent_email__v/VBL000000001972", "SE-001378982")</f>
        <v>SE-001378982</v>
      </c>
      <c r="D20960" s="1" t="s">
        <v>0</v>
      </c>
      <c r="E20960" s="2">
        <v>0</v>
      </c>
      <c r="F20960" s="2">
        <v>0</v>
      </c>
      <c r="G20960" s="2">
        <v>0</v>
      </c>
      <c r="H20960" s="1" t="s">
        <v>0</v>
      </c>
      <c r="I20960" s="2">
        <v>0</v>
      </c>
      <c r="J20960" s="1">
        <v>45958.695162037038</v>
      </c>
    </row>
    <row r="20961" spans="1:10" x14ac:dyDescent="0.2">
      <c r="A20961" s="4" t="s">
        <v>1</v>
      </c>
      <c r="B2096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61" s="3" t="str">
        <f>HYPERLINK("https://otsuka-europe-crm.veevavault.com/ui/#object/sent_email__v/VBL000000001973", "SE-001378983")</f>
        <v>SE-001378983</v>
      </c>
      <c r="D20961" s="1" t="s">
        <v>0</v>
      </c>
      <c r="E20961" s="2">
        <v>0</v>
      </c>
      <c r="F20961" s="2">
        <v>0</v>
      </c>
      <c r="G20961" s="2">
        <v>0</v>
      </c>
      <c r="H20961" s="1" t="s">
        <v>0</v>
      </c>
      <c r="I20961" s="2">
        <v>0</v>
      </c>
      <c r="J20961" s="1">
        <v>45958.695162037038</v>
      </c>
    </row>
    <row r="20962" spans="1:10" x14ac:dyDescent="0.2">
      <c r="A20962" s="4" t="s">
        <v>1</v>
      </c>
      <c r="B2096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62" s="3" t="str">
        <f>HYPERLINK("https://otsuka-europe-crm.veevavault.com/ui/#object/sent_email__v/VBL000000001974", "SE-001378984")</f>
        <v>SE-001378984</v>
      </c>
      <c r="D20962" s="1" t="s">
        <v>0</v>
      </c>
      <c r="E20962" s="2">
        <v>0</v>
      </c>
      <c r="F20962" s="2">
        <v>0</v>
      </c>
      <c r="G20962" s="2">
        <v>0</v>
      </c>
      <c r="H20962" s="1" t="s">
        <v>0</v>
      </c>
      <c r="I20962" s="2">
        <v>0</v>
      </c>
      <c r="J20962" s="1">
        <v>45958.695162037038</v>
      </c>
    </row>
    <row r="20963" spans="1:10" x14ac:dyDescent="0.2">
      <c r="A20963" s="4" t="s">
        <v>1</v>
      </c>
      <c r="B2096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63" s="3" t="str">
        <f>HYPERLINK("https://otsuka-europe-crm.veevavault.com/ui/#object/sent_email__v/VBL000000001975", "SE-001378985")</f>
        <v>SE-001378985</v>
      </c>
      <c r="D20963" s="1" t="s">
        <v>0</v>
      </c>
      <c r="E20963" s="2">
        <v>0</v>
      </c>
      <c r="F20963" s="2">
        <v>0</v>
      </c>
      <c r="G20963" s="2">
        <v>0</v>
      </c>
      <c r="H20963" s="1" t="s">
        <v>0</v>
      </c>
      <c r="I20963" s="2">
        <v>0</v>
      </c>
      <c r="J20963" s="1">
        <v>45958.695162037038</v>
      </c>
    </row>
    <row r="20964" spans="1:10" x14ac:dyDescent="0.2">
      <c r="A20964" s="4" t="s">
        <v>1</v>
      </c>
      <c r="B2096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64" s="3" t="str">
        <f>HYPERLINK("https://otsuka-europe-crm.veevavault.com/ui/#object/sent_email__v/VBL000000001976", "SE-001378986")</f>
        <v>SE-001378986</v>
      </c>
      <c r="D20964" s="1" t="s">
        <v>0</v>
      </c>
      <c r="E20964" s="2">
        <v>0</v>
      </c>
      <c r="F20964" s="2">
        <v>0</v>
      </c>
      <c r="G20964" s="2">
        <v>0</v>
      </c>
      <c r="H20964" s="1" t="s">
        <v>0</v>
      </c>
      <c r="I20964" s="2">
        <v>0</v>
      </c>
      <c r="J20964" s="1">
        <v>45958.695162037038</v>
      </c>
    </row>
    <row r="20965" spans="1:10" x14ac:dyDescent="0.2">
      <c r="A20965" s="4" t="s">
        <v>1</v>
      </c>
      <c r="B2096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65" s="3" t="str">
        <f>HYPERLINK("https://otsuka-europe-crm.veevavault.com/ui/#object/sent_email__v/VBL000000001977", "SE-001378987")</f>
        <v>SE-001378987</v>
      </c>
      <c r="D20965" s="1" t="s">
        <v>0</v>
      </c>
      <c r="E20965" s="2">
        <v>0</v>
      </c>
      <c r="F20965" s="2">
        <v>0</v>
      </c>
      <c r="G20965" s="2">
        <v>0</v>
      </c>
      <c r="H20965" s="1" t="s">
        <v>0</v>
      </c>
      <c r="I20965" s="2">
        <v>0</v>
      </c>
      <c r="J20965" s="1">
        <v>45958.695162037038</v>
      </c>
    </row>
    <row r="20966" spans="1:10" x14ac:dyDescent="0.2">
      <c r="A20966" s="4" t="s">
        <v>1</v>
      </c>
      <c r="B2096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66" s="3" t="str">
        <f>HYPERLINK("https://otsuka-europe-crm.veevavault.com/ui/#object/sent_email__v/VBL000000001978", "SE-001378988")</f>
        <v>SE-001378988</v>
      </c>
      <c r="D20966" s="1" t="s">
        <v>0</v>
      </c>
      <c r="E20966" s="2">
        <v>0</v>
      </c>
      <c r="F20966" s="2">
        <v>0</v>
      </c>
      <c r="G20966" s="2">
        <v>0</v>
      </c>
      <c r="H20966" s="1" t="s">
        <v>0</v>
      </c>
      <c r="I20966" s="2">
        <v>0</v>
      </c>
      <c r="J20966" s="1">
        <v>45958.695173611108</v>
      </c>
    </row>
    <row r="20967" spans="1:10" x14ac:dyDescent="0.2">
      <c r="A20967" s="4" t="s">
        <v>1</v>
      </c>
      <c r="B2096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67" s="3" t="str">
        <f>HYPERLINK("https://otsuka-europe-crm.veevavault.com/ui/#object/sent_email__v/VBL000000001979", "SE-001378989")</f>
        <v>SE-001378989</v>
      </c>
      <c r="D20967" s="1" t="s">
        <v>0</v>
      </c>
      <c r="E20967" s="2">
        <v>0</v>
      </c>
      <c r="F20967" s="2">
        <v>0</v>
      </c>
      <c r="G20967" s="2">
        <v>0</v>
      </c>
      <c r="H20967" s="1" t="s">
        <v>0</v>
      </c>
      <c r="I20967" s="2">
        <v>0</v>
      </c>
      <c r="J20967" s="1">
        <v>45958.695173611108</v>
      </c>
    </row>
    <row r="20968" spans="1:10" x14ac:dyDescent="0.2">
      <c r="A20968" s="4" t="s">
        <v>1</v>
      </c>
      <c r="B2096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68" s="3" t="str">
        <f>HYPERLINK("https://otsuka-europe-crm.veevavault.com/ui/#object/sent_email__v/VBL000000001980", "SE-001378990")</f>
        <v>SE-001378990</v>
      </c>
      <c r="D20968" s="1" t="s">
        <v>0</v>
      </c>
      <c r="E20968" s="2">
        <v>0</v>
      </c>
      <c r="F20968" s="2">
        <v>0</v>
      </c>
      <c r="G20968" s="2">
        <v>0</v>
      </c>
      <c r="H20968" s="1" t="s">
        <v>0</v>
      </c>
      <c r="I20968" s="2">
        <v>0</v>
      </c>
      <c r="J20968" s="1">
        <v>45958.695173611108</v>
      </c>
    </row>
    <row r="20969" spans="1:10" x14ac:dyDescent="0.2">
      <c r="A20969" s="4" t="s">
        <v>1</v>
      </c>
      <c r="B2096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69" s="3" t="str">
        <f>HYPERLINK("https://otsuka-europe-crm.veevavault.com/ui/#object/sent_email__v/VBL000000001981", "SE-001378991")</f>
        <v>SE-001378991</v>
      </c>
      <c r="D20969" s="1" t="s">
        <v>0</v>
      </c>
      <c r="E20969" s="2">
        <v>0</v>
      </c>
      <c r="F20969" s="2">
        <v>0</v>
      </c>
      <c r="G20969" s="2">
        <v>0</v>
      </c>
      <c r="H20969" s="1" t="s">
        <v>0</v>
      </c>
      <c r="I20969" s="2">
        <v>0</v>
      </c>
      <c r="J20969" s="1">
        <v>45958.695185185185</v>
      </c>
    </row>
    <row r="20970" spans="1:10" x14ac:dyDescent="0.2">
      <c r="A20970" s="4" t="s">
        <v>1</v>
      </c>
      <c r="B2097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70" s="3" t="str">
        <f>HYPERLINK("https://otsuka-europe-crm.veevavault.com/ui/#object/sent_email__v/VBL000000001982", "SE-001378992")</f>
        <v>SE-001378992</v>
      </c>
      <c r="D20970" s="1" t="s">
        <v>0</v>
      </c>
      <c r="E20970" s="2">
        <v>0</v>
      </c>
      <c r="F20970" s="2">
        <v>0</v>
      </c>
      <c r="G20970" s="2">
        <v>0</v>
      </c>
      <c r="H20970" s="1" t="s">
        <v>0</v>
      </c>
      <c r="I20970" s="2">
        <v>0</v>
      </c>
      <c r="J20970" s="1">
        <v>45958.695185185185</v>
      </c>
    </row>
    <row r="20971" spans="1:10" x14ac:dyDescent="0.2">
      <c r="A20971" s="4" t="s">
        <v>1</v>
      </c>
      <c r="B2097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71" s="3" t="str">
        <f>HYPERLINK("https://otsuka-europe-crm.veevavault.com/ui/#object/sent_email__v/VBL000000001983", "SE-001378993")</f>
        <v>SE-001378993</v>
      </c>
      <c r="D20971" s="1" t="s">
        <v>0</v>
      </c>
      <c r="E20971" s="2">
        <v>0</v>
      </c>
      <c r="F20971" s="2">
        <v>0</v>
      </c>
      <c r="G20971" s="2">
        <v>0</v>
      </c>
      <c r="H20971" s="1" t="s">
        <v>0</v>
      </c>
      <c r="I20971" s="2">
        <v>0</v>
      </c>
      <c r="J20971" s="1">
        <v>45958.695185185185</v>
      </c>
    </row>
    <row r="20972" spans="1:10" x14ac:dyDescent="0.2">
      <c r="A20972" s="4" t="s">
        <v>1</v>
      </c>
      <c r="B2097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72" s="3" t="str">
        <f>HYPERLINK("https://otsuka-europe-crm.veevavault.com/ui/#object/sent_email__v/VBL000000001984", "SE-001378994")</f>
        <v>SE-001378994</v>
      </c>
      <c r="D20972" s="1" t="s">
        <v>0</v>
      </c>
      <c r="E20972" s="2">
        <v>0</v>
      </c>
      <c r="F20972" s="2">
        <v>0</v>
      </c>
      <c r="G20972" s="2">
        <v>0</v>
      </c>
      <c r="H20972" s="1" t="s">
        <v>0</v>
      </c>
      <c r="I20972" s="2">
        <v>0</v>
      </c>
      <c r="J20972" s="1">
        <v>45958.695173611108</v>
      </c>
    </row>
    <row r="20973" spans="1:10" x14ac:dyDescent="0.2">
      <c r="A20973" s="4" t="s">
        <v>1</v>
      </c>
      <c r="B2097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73" s="3" t="str">
        <f>HYPERLINK("https://otsuka-europe-crm.veevavault.com/ui/#object/sent_email__v/VBL000000001985", "SE-001378995")</f>
        <v>SE-001378995</v>
      </c>
      <c r="D20973" s="1" t="s">
        <v>0</v>
      </c>
      <c r="E20973" s="2">
        <v>0</v>
      </c>
      <c r="F20973" s="2">
        <v>0</v>
      </c>
      <c r="G20973" s="2">
        <v>0</v>
      </c>
      <c r="H20973" s="1" t="s">
        <v>0</v>
      </c>
      <c r="I20973" s="2">
        <v>0</v>
      </c>
      <c r="J20973" s="1">
        <v>45958.695185185185</v>
      </c>
    </row>
    <row r="20974" spans="1:10" x14ac:dyDescent="0.2">
      <c r="A20974" s="4" t="s">
        <v>1</v>
      </c>
      <c r="B2097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74" s="3" t="str">
        <f>HYPERLINK("https://otsuka-europe-crm.veevavault.com/ui/#object/sent_email__v/VBL000000001986", "SE-001378996")</f>
        <v>SE-001378996</v>
      </c>
      <c r="D20974" s="1" t="s">
        <v>0</v>
      </c>
      <c r="E20974" s="2">
        <v>0</v>
      </c>
      <c r="F20974" s="2">
        <v>0</v>
      </c>
      <c r="G20974" s="2">
        <v>0</v>
      </c>
      <c r="H20974" s="1" t="s">
        <v>0</v>
      </c>
      <c r="I20974" s="2">
        <v>0</v>
      </c>
      <c r="J20974" s="1">
        <v>45958.695185185185</v>
      </c>
    </row>
    <row r="20975" spans="1:10" x14ac:dyDescent="0.2">
      <c r="A20975" s="4" t="s">
        <v>1</v>
      </c>
      <c r="B2097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75" s="3" t="str">
        <f>HYPERLINK("https://otsuka-europe-crm.veevavault.com/ui/#object/sent_email__v/VBL000000001987", "SE-001378997")</f>
        <v>SE-001378997</v>
      </c>
      <c r="D20975" s="1" t="s">
        <v>0</v>
      </c>
      <c r="E20975" s="2">
        <v>0</v>
      </c>
      <c r="F20975" s="2">
        <v>0</v>
      </c>
      <c r="G20975" s="2">
        <v>0</v>
      </c>
      <c r="H20975" s="1" t="s">
        <v>0</v>
      </c>
      <c r="I20975" s="2">
        <v>0</v>
      </c>
      <c r="J20975" s="1">
        <v>45958.695185185185</v>
      </c>
    </row>
    <row r="20976" spans="1:10" x14ac:dyDescent="0.2">
      <c r="A20976" s="4" t="s">
        <v>1</v>
      </c>
      <c r="B2097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76" s="3" t="str">
        <f>HYPERLINK("https://otsuka-europe-crm.veevavault.com/ui/#object/sent_email__v/VBL000000001988", "SE-001378998")</f>
        <v>SE-001378998</v>
      </c>
      <c r="D20976" s="1" t="s">
        <v>0</v>
      </c>
      <c r="E20976" s="2">
        <v>0</v>
      </c>
      <c r="F20976" s="2">
        <v>0</v>
      </c>
      <c r="G20976" s="2">
        <v>0</v>
      </c>
      <c r="H20976" s="1" t="s">
        <v>0</v>
      </c>
      <c r="I20976" s="2">
        <v>0</v>
      </c>
      <c r="J20976" s="1">
        <v>45958.695185185185</v>
      </c>
    </row>
    <row r="20977" spans="1:10" x14ac:dyDescent="0.2">
      <c r="A20977" s="4" t="s">
        <v>1</v>
      </c>
      <c r="B2097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77" s="3" t="str">
        <f>HYPERLINK("https://otsuka-europe-crm.veevavault.com/ui/#object/sent_email__v/VBL000000001989", "SE-001378999")</f>
        <v>SE-001378999</v>
      </c>
      <c r="D20977" s="1" t="s">
        <v>0</v>
      </c>
      <c r="E20977" s="2">
        <v>0</v>
      </c>
      <c r="F20977" s="2">
        <v>0</v>
      </c>
      <c r="G20977" s="2">
        <v>0</v>
      </c>
      <c r="H20977" s="1" t="s">
        <v>0</v>
      </c>
      <c r="I20977" s="2">
        <v>0</v>
      </c>
      <c r="J20977" s="1">
        <v>45958.695185185185</v>
      </c>
    </row>
    <row r="20978" spans="1:10" x14ac:dyDescent="0.2">
      <c r="A20978" s="4" t="s">
        <v>1</v>
      </c>
      <c r="B2097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78" s="3" t="str">
        <f>HYPERLINK("https://otsuka-europe-crm.veevavault.com/ui/#object/sent_email__v/VBL000000001990", "SE-001379000")</f>
        <v>SE-001379000</v>
      </c>
      <c r="D20978" s="1" t="s">
        <v>0</v>
      </c>
      <c r="E20978" s="2">
        <v>0</v>
      </c>
      <c r="F20978" s="2">
        <v>0</v>
      </c>
      <c r="G20978" s="2">
        <v>0</v>
      </c>
      <c r="H20978" s="1" t="s">
        <v>0</v>
      </c>
      <c r="I20978" s="2">
        <v>0</v>
      </c>
      <c r="J20978" s="1">
        <v>45958.695185185185</v>
      </c>
    </row>
    <row r="20979" spans="1:10" x14ac:dyDescent="0.2">
      <c r="A20979" s="4" t="s">
        <v>1</v>
      </c>
      <c r="B2097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79" s="3" t="str">
        <f>HYPERLINK("https://otsuka-europe-crm.veevavault.com/ui/#object/sent_email__v/VBL000000001991", "SE-001379001")</f>
        <v>SE-001379001</v>
      </c>
      <c r="D20979" s="1" t="s">
        <v>0</v>
      </c>
      <c r="E20979" s="2">
        <v>0</v>
      </c>
      <c r="F20979" s="2">
        <v>0</v>
      </c>
      <c r="G20979" s="2">
        <v>0</v>
      </c>
      <c r="H20979" s="1" t="s">
        <v>0</v>
      </c>
      <c r="I20979" s="2">
        <v>0</v>
      </c>
      <c r="J20979" s="1">
        <v>45958.695185185185</v>
      </c>
    </row>
    <row r="20980" spans="1:10" x14ac:dyDescent="0.2">
      <c r="A20980" s="4" t="s">
        <v>1</v>
      </c>
      <c r="B2098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80" s="3" t="str">
        <f>HYPERLINK("https://otsuka-europe-crm.veevavault.com/ui/#object/sent_email__v/VBL000000001992", "SE-001379002")</f>
        <v>SE-001379002</v>
      </c>
      <c r="D20980" s="1" t="s">
        <v>0</v>
      </c>
      <c r="E20980" s="2">
        <v>0</v>
      </c>
      <c r="F20980" s="2">
        <v>0</v>
      </c>
      <c r="G20980" s="2">
        <v>0</v>
      </c>
      <c r="H20980" s="1" t="s">
        <v>0</v>
      </c>
      <c r="I20980" s="2">
        <v>0</v>
      </c>
      <c r="J20980" s="1">
        <v>45958.695185185185</v>
      </c>
    </row>
    <row r="20981" spans="1:10" x14ac:dyDescent="0.2">
      <c r="A20981" s="4" t="s">
        <v>1</v>
      </c>
      <c r="B2098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81" s="3" t="str">
        <f>HYPERLINK("https://otsuka-europe-crm.veevavault.com/ui/#object/sent_email__v/VBL000000001993", "SE-001379003")</f>
        <v>SE-001379003</v>
      </c>
      <c r="D20981" s="1" t="s">
        <v>0</v>
      </c>
      <c r="E20981" s="2">
        <v>0</v>
      </c>
      <c r="F20981" s="2">
        <v>0</v>
      </c>
      <c r="G20981" s="2">
        <v>0</v>
      </c>
      <c r="H20981" s="1" t="s">
        <v>0</v>
      </c>
      <c r="I20981" s="2">
        <v>0</v>
      </c>
      <c r="J20981" s="1">
        <v>45958.695196759261</v>
      </c>
    </row>
    <row r="20982" spans="1:10" x14ac:dyDescent="0.2">
      <c r="A20982" s="4" t="s">
        <v>1</v>
      </c>
      <c r="B2098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82" s="3" t="str">
        <f>HYPERLINK("https://otsuka-europe-crm.veevavault.com/ui/#object/sent_email__v/VBL000000001994", "SE-001379004")</f>
        <v>SE-001379004</v>
      </c>
      <c r="D20982" s="1" t="s">
        <v>0</v>
      </c>
      <c r="E20982" s="2">
        <v>0</v>
      </c>
      <c r="F20982" s="2">
        <v>0</v>
      </c>
      <c r="G20982" s="2">
        <v>0</v>
      </c>
      <c r="H20982" s="1" t="s">
        <v>0</v>
      </c>
      <c r="I20982" s="2">
        <v>0</v>
      </c>
      <c r="J20982" s="1">
        <v>45958.695185185185</v>
      </c>
    </row>
    <row r="20983" spans="1:10" x14ac:dyDescent="0.2">
      <c r="A20983" s="4" t="s">
        <v>1</v>
      </c>
      <c r="B2098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83" s="3" t="str">
        <f>HYPERLINK("https://otsuka-europe-crm.veevavault.com/ui/#object/sent_email__v/VBL000000001995", "SE-001379005")</f>
        <v>SE-001379005</v>
      </c>
      <c r="D20983" s="1" t="s">
        <v>0</v>
      </c>
      <c r="E20983" s="2">
        <v>0</v>
      </c>
      <c r="F20983" s="2">
        <v>0</v>
      </c>
      <c r="G20983" s="2">
        <v>0</v>
      </c>
      <c r="H20983" s="1" t="s">
        <v>0</v>
      </c>
      <c r="I20983" s="2">
        <v>0</v>
      </c>
      <c r="J20983" s="1">
        <v>45958.695196759261</v>
      </c>
    </row>
    <row r="20984" spans="1:10" x14ac:dyDescent="0.2">
      <c r="A20984" s="4" t="s">
        <v>1</v>
      </c>
      <c r="B2098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84" s="3" t="str">
        <f>HYPERLINK("https://otsuka-europe-crm.veevavault.com/ui/#object/sent_email__v/VBL000000001996", "SE-001379006")</f>
        <v>SE-001379006</v>
      </c>
      <c r="D20984" s="1" t="s">
        <v>0</v>
      </c>
      <c r="E20984" s="2">
        <v>0</v>
      </c>
      <c r="F20984" s="2">
        <v>0</v>
      </c>
      <c r="G20984" s="2">
        <v>0</v>
      </c>
      <c r="H20984" s="1" t="s">
        <v>0</v>
      </c>
      <c r="I20984" s="2">
        <v>0</v>
      </c>
      <c r="J20984" s="1">
        <v>45958.695196759261</v>
      </c>
    </row>
    <row r="20985" spans="1:10" x14ac:dyDescent="0.2">
      <c r="A20985" s="4" t="s">
        <v>1</v>
      </c>
      <c r="B2098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85" s="3" t="str">
        <f>HYPERLINK("https://otsuka-europe-crm.veevavault.com/ui/#object/sent_email__v/VBL000000001997", "SE-001379007")</f>
        <v>SE-001379007</v>
      </c>
      <c r="D20985" s="1" t="s">
        <v>0</v>
      </c>
      <c r="E20985" s="2">
        <v>0</v>
      </c>
      <c r="F20985" s="2">
        <v>0</v>
      </c>
      <c r="G20985" s="2">
        <v>0</v>
      </c>
      <c r="H20985" s="1" t="s">
        <v>0</v>
      </c>
      <c r="I20985" s="2">
        <v>0</v>
      </c>
      <c r="J20985" s="1">
        <v>45958.695196759261</v>
      </c>
    </row>
    <row r="20986" spans="1:10" x14ac:dyDescent="0.2">
      <c r="A20986" s="4" t="s">
        <v>1</v>
      </c>
      <c r="B2098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86" s="3" t="str">
        <f>HYPERLINK("https://otsuka-europe-crm.veevavault.com/ui/#object/sent_email__v/VBL000000001998", "SE-001379008")</f>
        <v>SE-001379008</v>
      </c>
      <c r="D20986" s="1" t="s">
        <v>0</v>
      </c>
      <c r="E20986" s="2">
        <v>0</v>
      </c>
      <c r="F20986" s="2">
        <v>0</v>
      </c>
      <c r="G20986" s="2">
        <v>0</v>
      </c>
      <c r="H20986" s="1" t="s">
        <v>0</v>
      </c>
      <c r="I20986" s="2">
        <v>0</v>
      </c>
      <c r="J20986" s="1">
        <v>45958.695196759261</v>
      </c>
    </row>
    <row r="20987" spans="1:10" x14ac:dyDescent="0.2">
      <c r="A20987" s="4" t="s">
        <v>1</v>
      </c>
      <c r="B2098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87" s="3" t="str">
        <f>HYPERLINK("https://otsuka-europe-crm.veevavault.com/ui/#object/sent_email__v/VBL000000001999", "SE-001379009")</f>
        <v>SE-001379009</v>
      </c>
      <c r="D20987" s="1" t="s">
        <v>0</v>
      </c>
      <c r="E20987" s="2">
        <v>0</v>
      </c>
      <c r="F20987" s="2">
        <v>0</v>
      </c>
      <c r="G20987" s="2">
        <v>0</v>
      </c>
      <c r="H20987" s="1" t="s">
        <v>0</v>
      </c>
      <c r="I20987" s="2">
        <v>0</v>
      </c>
      <c r="J20987" s="1">
        <v>45958.695196759261</v>
      </c>
    </row>
    <row r="20988" spans="1:10" x14ac:dyDescent="0.2">
      <c r="A20988" s="4" t="s">
        <v>1</v>
      </c>
      <c r="B2098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88" s="3" t="str">
        <f>HYPERLINK("https://otsuka-europe-crm.veevavault.com/ui/#object/sent_email__v/VBL000000003001", "SE-001379010")</f>
        <v>SE-001379010</v>
      </c>
      <c r="D20988" s="1" t="s">
        <v>0</v>
      </c>
      <c r="E20988" s="2">
        <v>0</v>
      </c>
      <c r="F20988" s="2">
        <v>0</v>
      </c>
      <c r="G20988" s="2">
        <v>0</v>
      </c>
      <c r="H20988" s="1" t="s">
        <v>0</v>
      </c>
      <c r="I20988" s="2">
        <v>0</v>
      </c>
      <c r="J20988" s="1">
        <v>45958.695196759261</v>
      </c>
    </row>
    <row r="20989" spans="1:10" x14ac:dyDescent="0.2">
      <c r="A20989" s="4" t="s">
        <v>1</v>
      </c>
      <c r="B2098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89" s="3" t="str">
        <f>HYPERLINK("https://otsuka-europe-crm.veevavault.com/ui/#object/sent_email__v/VBL000000003002", "SE-001379011")</f>
        <v>SE-001379011</v>
      </c>
      <c r="D20989" s="1" t="s">
        <v>0</v>
      </c>
      <c r="E20989" s="2">
        <v>0</v>
      </c>
      <c r="F20989" s="2">
        <v>0</v>
      </c>
      <c r="G20989" s="2">
        <v>0</v>
      </c>
      <c r="H20989" s="1" t="s">
        <v>0</v>
      </c>
      <c r="I20989" s="2">
        <v>0</v>
      </c>
      <c r="J20989" s="1">
        <v>45958.695196759261</v>
      </c>
    </row>
    <row r="20990" spans="1:10" x14ac:dyDescent="0.2">
      <c r="A20990" s="4" t="s">
        <v>1</v>
      </c>
      <c r="B2099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90" s="3" t="str">
        <f>HYPERLINK("https://otsuka-europe-crm.veevavault.com/ui/#object/sent_email__v/VBL000000003003", "SE-001379012")</f>
        <v>SE-001379012</v>
      </c>
      <c r="D20990" s="1" t="s">
        <v>0</v>
      </c>
      <c r="E20990" s="2">
        <v>0</v>
      </c>
      <c r="F20990" s="2">
        <v>0</v>
      </c>
      <c r="G20990" s="2">
        <v>0</v>
      </c>
      <c r="H20990" s="1" t="s">
        <v>0</v>
      </c>
      <c r="I20990" s="2">
        <v>0</v>
      </c>
      <c r="J20990" s="1">
        <v>45958.695196759261</v>
      </c>
    </row>
    <row r="20991" spans="1:10" x14ac:dyDescent="0.2">
      <c r="A20991" s="4" t="s">
        <v>1</v>
      </c>
      <c r="B2099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91" s="3" t="str">
        <f>HYPERLINK("https://otsuka-europe-crm.veevavault.com/ui/#object/sent_email__v/VBL000000003004", "SE-001379013")</f>
        <v>SE-001379013</v>
      </c>
      <c r="D20991" s="1" t="s">
        <v>0</v>
      </c>
      <c r="E20991" s="2">
        <v>0</v>
      </c>
      <c r="F20991" s="2">
        <v>0</v>
      </c>
      <c r="G20991" s="2">
        <v>0</v>
      </c>
      <c r="H20991" s="1" t="s">
        <v>0</v>
      </c>
      <c r="I20991" s="2">
        <v>0</v>
      </c>
      <c r="J20991" s="1">
        <v>45958.695196759261</v>
      </c>
    </row>
    <row r="20992" spans="1:10" x14ac:dyDescent="0.2">
      <c r="A20992" s="4" t="s">
        <v>1</v>
      </c>
      <c r="B2099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92" s="3" t="str">
        <f>HYPERLINK("https://otsuka-europe-crm.veevavault.com/ui/#object/sent_email__v/VBL000000003005", "SE-001379014")</f>
        <v>SE-001379014</v>
      </c>
      <c r="D20992" s="1" t="s">
        <v>0</v>
      </c>
      <c r="E20992" s="2">
        <v>0</v>
      </c>
      <c r="F20992" s="2">
        <v>0</v>
      </c>
      <c r="G20992" s="2">
        <v>0</v>
      </c>
      <c r="H20992" s="1" t="s">
        <v>0</v>
      </c>
      <c r="I20992" s="2">
        <v>0</v>
      </c>
      <c r="J20992" s="1">
        <v>45958.695196759261</v>
      </c>
    </row>
    <row r="20993" spans="1:10" x14ac:dyDescent="0.2">
      <c r="A20993" s="4" t="s">
        <v>1</v>
      </c>
      <c r="B2099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93" s="3" t="str">
        <f>HYPERLINK("https://otsuka-europe-crm.veevavault.com/ui/#object/sent_email__v/VBL000000003006", "SE-001379015")</f>
        <v>SE-001379015</v>
      </c>
      <c r="D20993" s="1" t="s">
        <v>0</v>
      </c>
      <c r="E20993" s="2">
        <v>0</v>
      </c>
      <c r="F20993" s="2">
        <v>0</v>
      </c>
      <c r="G20993" s="2">
        <v>0</v>
      </c>
      <c r="H20993" s="1" t="s">
        <v>0</v>
      </c>
      <c r="I20993" s="2">
        <v>0</v>
      </c>
      <c r="J20993" s="1">
        <v>45958.695208333331</v>
      </c>
    </row>
    <row r="20994" spans="1:10" x14ac:dyDescent="0.2">
      <c r="A20994" s="4" t="s">
        <v>1</v>
      </c>
      <c r="B2099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94" s="3" t="str">
        <f>HYPERLINK("https://otsuka-europe-crm.veevavault.com/ui/#object/sent_email__v/VBL000000003007", "SE-001379016")</f>
        <v>SE-001379016</v>
      </c>
      <c r="D20994" s="1" t="s">
        <v>0</v>
      </c>
      <c r="E20994" s="2">
        <v>0</v>
      </c>
      <c r="F20994" s="2">
        <v>0</v>
      </c>
      <c r="G20994" s="2">
        <v>0</v>
      </c>
      <c r="H20994" s="1" t="s">
        <v>0</v>
      </c>
      <c r="I20994" s="2">
        <v>0</v>
      </c>
      <c r="J20994" s="1">
        <v>45958.695208333331</v>
      </c>
    </row>
    <row r="20995" spans="1:10" x14ac:dyDescent="0.2">
      <c r="A20995" s="4" t="s">
        <v>1</v>
      </c>
      <c r="B2099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95" s="3" t="str">
        <f>HYPERLINK("https://otsuka-europe-crm.veevavault.com/ui/#object/sent_email__v/VBL000000003008", "SE-001379017")</f>
        <v>SE-001379017</v>
      </c>
      <c r="D20995" s="1" t="s">
        <v>0</v>
      </c>
      <c r="E20995" s="2">
        <v>0</v>
      </c>
      <c r="F20995" s="2">
        <v>0</v>
      </c>
      <c r="G20995" s="2">
        <v>0</v>
      </c>
      <c r="H20995" s="1" t="s">
        <v>0</v>
      </c>
      <c r="I20995" s="2">
        <v>0</v>
      </c>
      <c r="J20995" s="1">
        <v>45958.695208333331</v>
      </c>
    </row>
    <row r="20996" spans="1:10" x14ac:dyDescent="0.2">
      <c r="A20996" s="4" t="s">
        <v>1</v>
      </c>
      <c r="B2099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96" s="3" t="str">
        <f>HYPERLINK("https://otsuka-europe-crm.veevavault.com/ui/#object/sent_email__v/VBL000000003009", "SE-001379018")</f>
        <v>SE-001379018</v>
      </c>
      <c r="D20996" s="1" t="s">
        <v>0</v>
      </c>
      <c r="E20996" s="2">
        <v>0</v>
      </c>
      <c r="F20996" s="2">
        <v>0</v>
      </c>
      <c r="G20996" s="2">
        <v>0</v>
      </c>
      <c r="H20996" s="1" t="s">
        <v>0</v>
      </c>
      <c r="I20996" s="2">
        <v>0</v>
      </c>
      <c r="J20996" s="1">
        <v>45958.695208333331</v>
      </c>
    </row>
    <row r="20997" spans="1:10" x14ac:dyDescent="0.2">
      <c r="A20997" s="4" t="s">
        <v>1</v>
      </c>
      <c r="B2099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97" s="3" t="str">
        <f>HYPERLINK("https://otsuka-europe-crm.veevavault.com/ui/#object/sent_email__v/VBL000000003010", "SE-001379019")</f>
        <v>SE-001379019</v>
      </c>
      <c r="D20997" s="1" t="s">
        <v>0</v>
      </c>
      <c r="E20997" s="2">
        <v>0</v>
      </c>
      <c r="F20997" s="2">
        <v>0</v>
      </c>
      <c r="G20997" s="2">
        <v>0</v>
      </c>
      <c r="H20997" s="1" t="s">
        <v>0</v>
      </c>
      <c r="I20997" s="2">
        <v>0</v>
      </c>
      <c r="J20997" s="1">
        <v>45958.695208333331</v>
      </c>
    </row>
    <row r="20998" spans="1:10" x14ac:dyDescent="0.2">
      <c r="A20998" s="4" t="s">
        <v>1</v>
      </c>
      <c r="B2099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98" s="3" t="str">
        <f>HYPERLINK("https://otsuka-europe-crm.veevavault.com/ui/#object/sent_email__v/VBL000000003011", "SE-001379020")</f>
        <v>SE-001379020</v>
      </c>
      <c r="D20998" s="1" t="s">
        <v>0</v>
      </c>
      <c r="E20998" s="2">
        <v>0</v>
      </c>
      <c r="F20998" s="2">
        <v>0</v>
      </c>
      <c r="G20998" s="2">
        <v>0</v>
      </c>
      <c r="H20998" s="1" t="s">
        <v>0</v>
      </c>
      <c r="I20998" s="2">
        <v>0</v>
      </c>
      <c r="J20998" s="1">
        <v>45958.695208333331</v>
      </c>
    </row>
    <row r="20999" spans="1:10" x14ac:dyDescent="0.2">
      <c r="A20999" s="4" t="s">
        <v>1</v>
      </c>
      <c r="B2099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0999" s="3" t="str">
        <f>HYPERLINK("https://otsuka-europe-crm.veevavault.com/ui/#object/sent_email__v/VBL000000003012", "SE-001379021")</f>
        <v>SE-001379021</v>
      </c>
      <c r="D20999" s="1" t="s">
        <v>0</v>
      </c>
      <c r="E20999" s="2">
        <v>0</v>
      </c>
      <c r="F20999" s="2">
        <v>0</v>
      </c>
      <c r="G20999" s="2">
        <v>0</v>
      </c>
      <c r="H20999" s="1" t="s">
        <v>0</v>
      </c>
      <c r="I20999" s="2">
        <v>0</v>
      </c>
      <c r="J20999" s="1">
        <v>45958.695208333331</v>
      </c>
    </row>
    <row r="21000" spans="1:10" x14ac:dyDescent="0.2">
      <c r="A21000" s="4" t="s">
        <v>1</v>
      </c>
      <c r="B2100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00" s="3" t="str">
        <f>HYPERLINK("https://otsuka-europe-crm.veevavault.com/ui/#object/sent_email__v/VBL000000003013", "SE-001379022")</f>
        <v>SE-001379022</v>
      </c>
      <c r="D21000" s="1" t="s">
        <v>0</v>
      </c>
      <c r="E21000" s="2">
        <v>0</v>
      </c>
      <c r="F21000" s="2">
        <v>0</v>
      </c>
      <c r="G21000" s="2">
        <v>0</v>
      </c>
      <c r="H21000" s="1" t="s">
        <v>0</v>
      </c>
      <c r="I21000" s="2">
        <v>0</v>
      </c>
      <c r="J21000" s="1">
        <v>45958.695208333331</v>
      </c>
    </row>
    <row r="21001" spans="1:10" x14ac:dyDescent="0.2">
      <c r="A21001" s="4" t="s">
        <v>1</v>
      </c>
      <c r="B2100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01" s="3" t="str">
        <f>HYPERLINK("https://otsuka-europe-crm.veevavault.com/ui/#object/sent_email__v/VBL000000003014", "SE-001379023")</f>
        <v>SE-001379023</v>
      </c>
      <c r="D21001" s="1" t="s">
        <v>0</v>
      </c>
      <c r="E21001" s="2">
        <v>0</v>
      </c>
      <c r="F21001" s="2">
        <v>0</v>
      </c>
      <c r="G21001" s="2">
        <v>0</v>
      </c>
      <c r="H21001" s="1" t="s">
        <v>0</v>
      </c>
      <c r="I21001" s="2">
        <v>0</v>
      </c>
      <c r="J21001" s="1">
        <v>45958.695208333331</v>
      </c>
    </row>
    <row r="21002" spans="1:10" x14ac:dyDescent="0.2">
      <c r="A21002" s="4" t="s">
        <v>1</v>
      </c>
      <c r="B2100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02" s="3" t="str">
        <f>HYPERLINK("https://otsuka-europe-crm.veevavault.com/ui/#object/sent_email__v/VBL000000003015", "SE-001379024")</f>
        <v>SE-001379024</v>
      </c>
      <c r="D21002" s="1" t="s">
        <v>0</v>
      </c>
      <c r="E21002" s="2">
        <v>0</v>
      </c>
      <c r="F21002" s="2">
        <v>0</v>
      </c>
      <c r="G21002" s="2">
        <v>0</v>
      </c>
      <c r="H21002" s="1" t="s">
        <v>0</v>
      </c>
      <c r="I21002" s="2">
        <v>0</v>
      </c>
      <c r="J21002" s="1">
        <v>45958.695219907408</v>
      </c>
    </row>
    <row r="21003" spans="1:10" x14ac:dyDescent="0.2">
      <c r="A21003" s="4" t="s">
        <v>1</v>
      </c>
      <c r="B2100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03" s="3" t="str">
        <f>HYPERLINK("https://otsuka-europe-crm.veevavault.com/ui/#object/sent_email__v/VBL000000003016", "SE-001379025")</f>
        <v>SE-001379025</v>
      </c>
      <c r="D21003" s="1" t="s">
        <v>0</v>
      </c>
      <c r="E21003" s="2">
        <v>0</v>
      </c>
      <c r="F21003" s="2">
        <v>0</v>
      </c>
      <c r="G21003" s="2">
        <v>0</v>
      </c>
      <c r="H21003" s="1" t="s">
        <v>0</v>
      </c>
      <c r="I21003" s="2">
        <v>0</v>
      </c>
      <c r="J21003" s="1">
        <v>45958.695219907408</v>
      </c>
    </row>
    <row r="21004" spans="1:10" x14ac:dyDescent="0.2">
      <c r="A21004" s="4" t="s">
        <v>1</v>
      </c>
      <c r="B2100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04" s="3" t="str">
        <f>HYPERLINK("https://otsuka-europe-crm.veevavault.com/ui/#object/sent_email__v/VBL000000003017", "SE-001379026")</f>
        <v>SE-001379026</v>
      </c>
      <c r="D21004" s="1" t="s">
        <v>0</v>
      </c>
      <c r="E21004" s="2">
        <v>0</v>
      </c>
      <c r="F21004" s="2">
        <v>0</v>
      </c>
      <c r="G21004" s="2">
        <v>0</v>
      </c>
      <c r="H21004" s="1" t="s">
        <v>0</v>
      </c>
      <c r="I21004" s="2">
        <v>0</v>
      </c>
      <c r="J21004" s="1">
        <v>45958.695219907408</v>
      </c>
    </row>
    <row r="21005" spans="1:10" x14ac:dyDescent="0.2">
      <c r="A21005" s="4" t="s">
        <v>1</v>
      </c>
      <c r="B2100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05" s="3" t="str">
        <f>HYPERLINK("https://otsuka-europe-crm.veevavault.com/ui/#object/sent_email__v/VBL000000003018", "SE-001379027")</f>
        <v>SE-001379027</v>
      </c>
      <c r="D21005" s="1" t="s">
        <v>0</v>
      </c>
      <c r="E21005" s="2">
        <v>0</v>
      </c>
      <c r="F21005" s="2">
        <v>0</v>
      </c>
      <c r="G21005" s="2">
        <v>0</v>
      </c>
      <c r="H21005" s="1" t="s">
        <v>0</v>
      </c>
      <c r="I21005" s="2">
        <v>0</v>
      </c>
      <c r="J21005" s="1">
        <v>45958.695219907408</v>
      </c>
    </row>
    <row r="21006" spans="1:10" x14ac:dyDescent="0.2">
      <c r="A21006" s="4" t="s">
        <v>1</v>
      </c>
      <c r="B2100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06" s="3" t="str">
        <f>HYPERLINK("https://otsuka-europe-crm.veevavault.com/ui/#object/sent_email__v/VBL000000003019", "SE-001379028")</f>
        <v>SE-001379028</v>
      </c>
      <c r="D21006" s="1" t="s">
        <v>0</v>
      </c>
      <c r="E21006" s="2">
        <v>0</v>
      </c>
      <c r="F21006" s="2">
        <v>0</v>
      </c>
      <c r="G21006" s="2">
        <v>0</v>
      </c>
      <c r="H21006" s="1" t="s">
        <v>0</v>
      </c>
      <c r="I21006" s="2">
        <v>0</v>
      </c>
      <c r="J21006" s="1">
        <v>45958.695219907408</v>
      </c>
    </row>
    <row r="21007" spans="1:10" x14ac:dyDescent="0.2">
      <c r="A21007" s="4" t="s">
        <v>1</v>
      </c>
      <c r="B2100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07" s="3" t="str">
        <f>HYPERLINK("https://otsuka-europe-crm.veevavault.com/ui/#object/sent_email__v/VBL000000003020", "SE-001379029")</f>
        <v>SE-001379029</v>
      </c>
      <c r="D21007" s="1" t="s">
        <v>0</v>
      </c>
      <c r="E21007" s="2">
        <v>0</v>
      </c>
      <c r="F21007" s="2">
        <v>0</v>
      </c>
      <c r="G21007" s="2">
        <v>0</v>
      </c>
      <c r="H21007" s="1" t="s">
        <v>0</v>
      </c>
      <c r="I21007" s="2">
        <v>0</v>
      </c>
      <c r="J21007" s="1">
        <v>45958.695219907408</v>
      </c>
    </row>
    <row r="21008" spans="1:10" x14ac:dyDescent="0.2">
      <c r="A21008" s="4" t="s">
        <v>1</v>
      </c>
      <c r="B2100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08" s="3" t="str">
        <f>HYPERLINK("https://otsuka-europe-crm.veevavault.com/ui/#object/sent_email__v/VBL000000003021", "SE-001379030")</f>
        <v>SE-001379030</v>
      </c>
      <c r="D21008" s="1" t="s">
        <v>0</v>
      </c>
      <c r="E21008" s="2">
        <v>0</v>
      </c>
      <c r="F21008" s="2">
        <v>0</v>
      </c>
      <c r="G21008" s="2">
        <v>0</v>
      </c>
      <c r="H21008" s="1" t="s">
        <v>0</v>
      </c>
      <c r="I21008" s="2">
        <v>0</v>
      </c>
      <c r="J21008" s="1">
        <v>45958.695219907408</v>
      </c>
    </row>
    <row r="21009" spans="1:10" x14ac:dyDescent="0.2">
      <c r="A21009" s="4" t="s">
        <v>1</v>
      </c>
      <c r="B2100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09" s="3" t="str">
        <f>HYPERLINK("https://otsuka-europe-crm.veevavault.com/ui/#object/sent_email__v/VBL000000003022", "SE-001379031")</f>
        <v>SE-001379031</v>
      </c>
      <c r="D21009" s="1" t="s">
        <v>0</v>
      </c>
      <c r="E21009" s="2">
        <v>0</v>
      </c>
      <c r="F21009" s="2">
        <v>0</v>
      </c>
      <c r="G21009" s="2">
        <v>0</v>
      </c>
      <c r="H21009" s="1" t="s">
        <v>0</v>
      </c>
      <c r="I21009" s="2">
        <v>0</v>
      </c>
      <c r="J21009" s="1">
        <v>45958.695821759262</v>
      </c>
    </row>
    <row r="21010" spans="1:10" x14ac:dyDescent="0.2">
      <c r="A21010" s="4" t="s">
        <v>1</v>
      </c>
      <c r="B2101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10" s="3" t="str">
        <f>HYPERLINK("https://otsuka-europe-crm.veevavault.com/ui/#object/sent_email__v/VBL000000003023", "SE-001379032")</f>
        <v>SE-001379032</v>
      </c>
      <c r="D21010" s="1" t="s">
        <v>0</v>
      </c>
      <c r="E21010" s="2">
        <v>0</v>
      </c>
      <c r="F21010" s="2">
        <v>0</v>
      </c>
      <c r="G21010" s="2">
        <v>0</v>
      </c>
      <c r="H21010" s="1" t="s">
        <v>0</v>
      </c>
      <c r="I21010" s="2">
        <v>0</v>
      </c>
      <c r="J21010" s="1">
        <v>45958.695821759262</v>
      </c>
    </row>
    <row r="21011" spans="1:10" x14ac:dyDescent="0.2">
      <c r="A21011" s="4" t="s">
        <v>1</v>
      </c>
      <c r="B2101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11" s="3" t="str">
        <f>HYPERLINK("https://otsuka-europe-crm.veevavault.com/ui/#object/sent_email__v/VBL000000003024", "SE-001379033")</f>
        <v>SE-001379033</v>
      </c>
      <c r="D21011" s="1" t="s">
        <v>0</v>
      </c>
      <c r="E21011" s="2">
        <v>0</v>
      </c>
      <c r="F21011" s="2">
        <v>0</v>
      </c>
      <c r="G21011" s="2">
        <v>0</v>
      </c>
      <c r="H21011" s="1" t="s">
        <v>0</v>
      </c>
      <c r="I21011" s="2">
        <v>0</v>
      </c>
      <c r="J21011" s="1">
        <v>45958.695821759262</v>
      </c>
    </row>
    <row r="21012" spans="1:10" x14ac:dyDescent="0.2">
      <c r="A21012" s="4" t="s">
        <v>1</v>
      </c>
      <c r="B2101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12" s="3" t="str">
        <f>HYPERLINK("https://otsuka-europe-crm.veevavault.com/ui/#object/sent_email__v/VBL000000003025", "SE-001379034")</f>
        <v>SE-001379034</v>
      </c>
      <c r="D21012" s="1" t="s">
        <v>0</v>
      </c>
      <c r="E21012" s="2">
        <v>0</v>
      </c>
      <c r="F21012" s="2">
        <v>0</v>
      </c>
      <c r="G21012" s="2">
        <v>0</v>
      </c>
      <c r="H21012" s="1" t="s">
        <v>0</v>
      </c>
      <c r="I21012" s="2">
        <v>0</v>
      </c>
      <c r="J21012" s="1">
        <v>45958.695821759262</v>
      </c>
    </row>
    <row r="21013" spans="1:10" x14ac:dyDescent="0.2">
      <c r="A21013" s="4" t="s">
        <v>1</v>
      </c>
      <c r="B2101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13" s="3" t="str">
        <f>HYPERLINK("https://otsuka-europe-crm.veevavault.com/ui/#object/sent_email__v/VBL000000003026", "SE-001379035")</f>
        <v>SE-001379035</v>
      </c>
      <c r="D21013" s="1" t="s">
        <v>0</v>
      </c>
      <c r="E21013" s="2">
        <v>0</v>
      </c>
      <c r="F21013" s="2">
        <v>0</v>
      </c>
      <c r="G21013" s="2">
        <v>0</v>
      </c>
      <c r="H21013" s="1" t="s">
        <v>0</v>
      </c>
      <c r="I21013" s="2">
        <v>0</v>
      </c>
      <c r="J21013" s="1">
        <v>45958.695821759262</v>
      </c>
    </row>
    <row r="21014" spans="1:10" x14ac:dyDescent="0.2">
      <c r="A21014" s="4" t="s">
        <v>1</v>
      </c>
      <c r="B2101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14" s="3" t="str">
        <f>HYPERLINK("https://otsuka-europe-crm.veevavault.com/ui/#object/sent_email__v/VBL000000003027", "SE-001379036")</f>
        <v>SE-001379036</v>
      </c>
      <c r="D21014" s="1" t="s">
        <v>0</v>
      </c>
      <c r="E21014" s="2">
        <v>0</v>
      </c>
      <c r="F21014" s="2">
        <v>0</v>
      </c>
      <c r="G21014" s="2">
        <v>0</v>
      </c>
      <c r="H21014" s="1" t="s">
        <v>0</v>
      </c>
      <c r="I21014" s="2">
        <v>0</v>
      </c>
      <c r="J21014" s="1">
        <v>45958.695821759262</v>
      </c>
    </row>
    <row r="21015" spans="1:10" x14ac:dyDescent="0.2">
      <c r="A21015" s="4" t="s">
        <v>1</v>
      </c>
      <c r="B2101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15" s="3" t="str">
        <f>HYPERLINK("https://otsuka-europe-crm.veevavault.com/ui/#object/sent_email__v/VBL000000003028", "SE-001379037")</f>
        <v>SE-001379037</v>
      </c>
      <c r="D21015" s="1" t="s">
        <v>0</v>
      </c>
      <c r="E21015" s="2">
        <v>0</v>
      </c>
      <c r="F21015" s="2">
        <v>0</v>
      </c>
      <c r="G21015" s="2">
        <v>0</v>
      </c>
      <c r="H21015" s="1" t="s">
        <v>0</v>
      </c>
      <c r="I21015" s="2">
        <v>0</v>
      </c>
      <c r="J21015" s="1">
        <v>45958.695821759262</v>
      </c>
    </row>
    <row r="21016" spans="1:10" x14ac:dyDescent="0.2">
      <c r="A21016" s="4" t="s">
        <v>1</v>
      </c>
      <c r="B2101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16" s="3" t="str">
        <f>HYPERLINK("https://otsuka-europe-crm.veevavault.com/ui/#object/sent_email__v/VBL000000003029", "SE-001379038")</f>
        <v>SE-001379038</v>
      </c>
      <c r="D21016" s="1" t="s">
        <v>0</v>
      </c>
      <c r="E21016" s="2">
        <v>0</v>
      </c>
      <c r="F21016" s="2">
        <v>0</v>
      </c>
      <c r="G21016" s="2">
        <v>0</v>
      </c>
      <c r="H21016" s="1" t="s">
        <v>0</v>
      </c>
      <c r="I21016" s="2">
        <v>0</v>
      </c>
      <c r="J21016" s="1">
        <v>45958.695821759262</v>
      </c>
    </row>
    <row r="21017" spans="1:10" x14ac:dyDescent="0.2">
      <c r="A21017" s="4" t="s">
        <v>1</v>
      </c>
      <c r="B2101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17" s="3" t="str">
        <f>HYPERLINK("https://otsuka-europe-crm.veevavault.com/ui/#object/sent_email__v/VBL000000003030", "SE-001379039")</f>
        <v>SE-001379039</v>
      </c>
      <c r="D21017" s="1" t="s">
        <v>0</v>
      </c>
      <c r="E21017" s="2">
        <v>0</v>
      </c>
      <c r="F21017" s="2">
        <v>0</v>
      </c>
      <c r="G21017" s="2">
        <v>0</v>
      </c>
      <c r="H21017" s="1" t="s">
        <v>0</v>
      </c>
      <c r="I21017" s="2">
        <v>0</v>
      </c>
      <c r="J21017" s="1">
        <v>45958.695821759262</v>
      </c>
    </row>
    <row r="21018" spans="1:10" x14ac:dyDescent="0.2">
      <c r="A21018" s="4" t="s">
        <v>1</v>
      </c>
      <c r="B2101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18" s="3" t="str">
        <f>HYPERLINK("https://otsuka-europe-crm.veevavault.com/ui/#object/sent_email__v/VBL000000003031", "SE-001379040")</f>
        <v>SE-001379040</v>
      </c>
      <c r="D21018" s="1" t="s">
        <v>0</v>
      </c>
      <c r="E21018" s="2">
        <v>0</v>
      </c>
      <c r="F21018" s="2">
        <v>0</v>
      </c>
      <c r="G21018" s="2">
        <v>0</v>
      </c>
      <c r="H21018" s="1" t="s">
        <v>0</v>
      </c>
      <c r="I21018" s="2">
        <v>0</v>
      </c>
      <c r="J21018" s="1">
        <v>45958.695821759262</v>
      </c>
    </row>
    <row r="21019" spans="1:10" x14ac:dyDescent="0.2">
      <c r="A21019" s="4" t="s">
        <v>1</v>
      </c>
      <c r="B2101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19" s="3" t="str">
        <f>HYPERLINK("https://otsuka-europe-crm.veevavault.com/ui/#object/sent_email__v/VBL000000003032", "SE-001379041")</f>
        <v>SE-001379041</v>
      </c>
      <c r="D21019" s="1" t="s">
        <v>0</v>
      </c>
      <c r="E21019" s="2">
        <v>0</v>
      </c>
      <c r="F21019" s="2">
        <v>0</v>
      </c>
      <c r="G21019" s="2">
        <v>0</v>
      </c>
      <c r="H21019" s="1" t="s">
        <v>0</v>
      </c>
      <c r="I21019" s="2">
        <v>0</v>
      </c>
      <c r="J21019" s="1">
        <v>45958.695821759262</v>
      </c>
    </row>
    <row r="21020" spans="1:10" x14ac:dyDescent="0.2">
      <c r="A21020" s="4" t="s">
        <v>1</v>
      </c>
      <c r="B2102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20" s="3" t="str">
        <f>HYPERLINK("https://otsuka-europe-crm.veevavault.com/ui/#object/sent_email__v/VBL000000003033", "SE-001379042")</f>
        <v>SE-001379042</v>
      </c>
      <c r="D21020" s="1" t="s">
        <v>0</v>
      </c>
      <c r="E21020" s="2">
        <v>0</v>
      </c>
      <c r="F21020" s="2">
        <v>0</v>
      </c>
      <c r="G21020" s="2">
        <v>0</v>
      </c>
      <c r="H21020" s="1" t="s">
        <v>0</v>
      </c>
      <c r="I21020" s="2">
        <v>0</v>
      </c>
      <c r="J21020" s="1">
        <v>45958.695821759262</v>
      </c>
    </row>
    <row r="21021" spans="1:10" x14ac:dyDescent="0.2">
      <c r="A21021" s="4" t="s">
        <v>1</v>
      </c>
      <c r="B2102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21" s="3" t="str">
        <f>HYPERLINK("https://otsuka-europe-crm.veevavault.com/ui/#object/sent_email__v/VBL000000003034", "SE-001379043")</f>
        <v>SE-001379043</v>
      </c>
      <c r="D21021" s="1" t="s">
        <v>0</v>
      </c>
      <c r="E21021" s="2">
        <v>0</v>
      </c>
      <c r="F21021" s="2">
        <v>0</v>
      </c>
      <c r="G21021" s="2">
        <v>0</v>
      </c>
      <c r="H21021" s="1" t="s">
        <v>0</v>
      </c>
      <c r="I21021" s="2">
        <v>0</v>
      </c>
      <c r="J21021" s="1">
        <v>45958.695821759262</v>
      </c>
    </row>
    <row r="21022" spans="1:10" x14ac:dyDescent="0.2">
      <c r="A21022" s="4" t="s">
        <v>1</v>
      </c>
      <c r="B2102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22" s="3" t="str">
        <f>HYPERLINK("https://otsuka-europe-crm.veevavault.com/ui/#object/sent_email__v/VBL000000003035", "SE-001379044")</f>
        <v>SE-001379044</v>
      </c>
      <c r="D21022" s="1" t="s">
        <v>0</v>
      </c>
      <c r="E21022" s="2">
        <v>0</v>
      </c>
      <c r="F21022" s="2">
        <v>0</v>
      </c>
      <c r="G21022" s="2">
        <v>0</v>
      </c>
      <c r="H21022" s="1" t="s">
        <v>0</v>
      </c>
      <c r="I21022" s="2">
        <v>0</v>
      </c>
      <c r="J21022" s="1">
        <v>45958.695821759262</v>
      </c>
    </row>
    <row r="21023" spans="1:10" x14ac:dyDescent="0.2">
      <c r="A21023" s="4" t="s">
        <v>1</v>
      </c>
      <c r="B2102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23" s="3" t="str">
        <f>HYPERLINK("https://otsuka-europe-crm.veevavault.com/ui/#object/sent_email__v/VBL000000003036", "SE-001379045")</f>
        <v>SE-001379045</v>
      </c>
      <c r="D21023" s="1" t="s">
        <v>0</v>
      </c>
      <c r="E21023" s="2">
        <v>0</v>
      </c>
      <c r="F21023" s="2">
        <v>0</v>
      </c>
      <c r="G21023" s="2">
        <v>0</v>
      </c>
      <c r="H21023" s="1" t="s">
        <v>0</v>
      </c>
      <c r="I21023" s="2">
        <v>0</v>
      </c>
      <c r="J21023" s="1">
        <v>45958.695821759262</v>
      </c>
    </row>
    <row r="21024" spans="1:10" x14ac:dyDescent="0.2">
      <c r="A21024" s="4" t="s">
        <v>1</v>
      </c>
      <c r="B2102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24" s="3" t="str">
        <f>HYPERLINK("https://otsuka-europe-crm.veevavault.com/ui/#object/sent_email__v/VBL000000003037", "SE-001379046")</f>
        <v>SE-001379046</v>
      </c>
      <c r="D21024" s="1" t="s">
        <v>0</v>
      </c>
      <c r="E21024" s="2">
        <v>0</v>
      </c>
      <c r="F21024" s="2">
        <v>0</v>
      </c>
      <c r="G21024" s="2">
        <v>0</v>
      </c>
      <c r="H21024" s="1" t="s">
        <v>0</v>
      </c>
      <c r="I21024" s="2">
        <v>0</v>
      </c>
      <c r="J21024" s="1">
        <v>45958.695821759262</v>
      </c>
    </row>
    <row r="21025" spans="1:10" x14ac:dyDescent="0.2">
      <c r="A21025" s="4" t="s">
        <v>1</v>
      </c>
      <c r="B2102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25" s="3" t="str">
        <f>HYPERLINK("https://otsuka-europe-crm.veevavault.com/ui/#object/sent_email__v/VBL000000003571", "SE-001379668")</f>
        <v>SE-001379668</v>
      </c>
      <c r="D21025" s="1" t="s">
        <v>0</v>
      </c>
      <c r="E21025" s="2">
        <v>0</v>
      </c>
      <c r="F21025" s="2">
        <v>0</v>
      </c>
      <c r="G21025" s="2">
        <v>0</v>
      </c>
      <c r="H21025" s="1" t="s">
        <v>0</v>
      </c>
      <c r="I21025" s="2">
        <v>0</v>
      </c>
      <c r="J21025" s="1">
        <v>45960.448472222219</v>
      </c>
    </row>
    <row r="21026" spans="1:10" x14ac:dyDescent="0.2">
      <c r="A21026" s="4" t="s">
        <v>1</v>
      </c>
      <c r="B2102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26" s="3" t="str">
        <f>HYPERLINK("https://otsuka-europe-crm.veevavault.com/ui/#object/sent_email__v/VBL000000003586", "SE-001379775")</f>
        <v>SE-001379775</v>
      </c>
      <c r="D21026" s="1">
        <v>45960.636331018519</v>
      </c>
      <c r="E21026" s="2">
        <v>1</v>
      </c>
      <c r="F21026" s="2">
        <v>1</v>
      </c>
      <c r="G21026" s="2">
        <v>0</v>
      </c>
      <c r="H21026" s="1" t="s">
        <v>0</v>
      </c>
      <c r="I21026" s="2">
        <v>0</v>
      </c>
      <c r="J21026" s="1">
        <v>45960.551863425928</v>
      </c>
    </row>
    <row r="21027" spans="1:10" x14ac:dyDescent="0.2">
      <c r="A21027" s="4" t="s">
        <v>1</v>
      </c>
      <c r="B2102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27" s="3" t="str">
        <f>HYPERLINK("https://otsuka-europe-crm.veevavault.com/ui/#object/sent_email__v/VBL000000004089", "SE-001380160")</f>
        <v>SE-001380160</v>
      </c>
      <c r="D21027" s="1">
        <v>45961.490856481483</v>
      </c>
      <c r="E21027" s="2">
        <v>1</v>
      </c>
      <c r="F21027" s="2">
        <v>5</v>
      </c>
      <c r="G21027" s="2">
        <v>1</v>
      </c>
      <c r="H21027" s="1">
        <v>45961.486898148149</v>
      </c>
      <c r="I21027" s="2">
        <v>14</v>
      </c>
      <c r="J21027" s="1">
        <v>45961.486493055556</v>
      </c>
    </row>
    <row r="21028" spans="1:10" x14ac:dyDescent="0.2">
      <c r="A21028" s="4" t="s">
        <v>1</v>
      </c>
      <c r="B2102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28" s="3" t="str">
        <f>HYPERLINK("https://otsuka-europe-crm.veevavault.com/ui/#object/sent_email__v/VBL000000005605", "SE-001380463")</f>
        <v>SE-001380463</v>
      </c>
      <c r="D21028" s="1" t="s">
        <v>0</v>
      </c>
      <c r="E21028" s="2">
        <v>0</v>
      </c>
      <c r="F21028" s="2">
        <v>0</v>
      </c>
      <c r="G21028" s="2">
        <v>0</v>
      </c>
      <c r="H21028" s="1" t="s">
        <v>0</v>
      </c>
      <c r="I21028" s="2">
        <v>0</v>
      </c>
      <c r="J21028" s="1">
        <v>45964.501446759263</v>
      </c>
    </row>
    <row r="21029" spans="1:10" x14ac:dyDescent="0.2">
      <c r="A21029" s="4" t="s">
        <v>1</v>
      </c>
      <c r="B2102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29" s="3" t="str">
        <f>HYPERLINK("https://otsuka-europe-crm.veevavault.com/ui/#object/sent_email__v/VBL000000006055", "SE-001380942")</f>
        <v>SE-001380942</v>
      </c>
      <c r="D21029" s="1">
        <v>45967.443935185183</v>
      </c>
      <c r="E21029" s="2">
        <v>1</v>
      </c>
      <c r="F21029" s="2">
        <v>2</v>
      </c>
      <c r="G21029" s="2">
        <v>0</v>
      </c>
      <c r="H21029" s="1" t="s">
        <v>0</v>
      </c>
      <c r="I21029" s="2">
        <v>0</v>
      </c>
      <c r="J21029" s="1">
        <v>45967.314687500002</v>
      </c>
    </row>
    <row r="21030" spans="1:10" x14ac:dyDescent="0.2">
      <c r="A21030" s="4" t="s">
        <v>1</v>
      </c>
      <c r="B2103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30" s="3" t="str">
        <f>HYPERLINK("https://otsuka-europe-crm.veevavault.com/ui/#object/sent_email__v/VBL00000000J962", "SE-001389504")</f>
        <v>SE-001389504</v>
      </c>
      <c r="D21030" s="1">
        <v>45973.634201388886</v>
      </c>
      <c r="E21030" s="2">
        <v>1</v>
      </c>
      <c r="F21030" s="2">
        <v>1</v>
      </c>
      <c r="G21030" s="2">
        <v>0</v>
      </c>
      <c r="H21030" s="1" t="s">
        <v>0</v>
      </c>
      <c r="I21030" s="2">
        <v>0</v>
      </c>
      <c r="J21030" s="1">
        <v>45973.477500000001</v>
      </c>
    </row>
    <row r="21031" spans="1:10" x14ac:dyDescent="0.2">
      <c r="A21031" s="4" t="s">
        <v>1</v>
      </c>
      <c r="B2103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31" s="3" t="str">
        <f>HYPERLINK("https://otsuka-europe-crm.veevavault.com/ui/#object/sent_email__v/VBL00000000J963", "SE-001389505")</f>
        <v>SE-001389505</v>
      </c>
      <c r="D21031" s="1" t="s">
        <v>0</v>
      </c>
      <c r="E21031" s="2">
        <v>0</v>
      </c>
      <c r="F21031" s="2">
        <v>0</v>
      </c>
      <c r="G21031" s="2">
        <v>0</v>
      </c>
      <c r="H21031" s="1" t="s">
        <v>0</v>
      </c>
      <c r="I21031" s="2">
        <v>0</v>
      </c>
      <c r="J21031" s="1">
        <v>45973.478043981479</v>
      </c>
    </row>
    <row r="21032" spans="1:10" x14ac:dyDescent="0.2">
      <c r="A21032" s="4" t="s">
        <v>1</v>
      </c>
      <c r="B2103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32" s="3" t="str">
        <f>HYPERLINK("https://otsuka-europe-crm.veevavault.com/ui/#object/sent_email__v/VBL00000000S111", "SE-001391891")</f>
        <v>SE-001391891</v>
      </c>
      <c r="D21032" s="1">
        <v>45986.992824074077</v>
      </c>
      <c r="E21032" s="2">
        <v>1</v>
      </c>
      <c r="F21032" s="2">
        <v>2</v>
      </c>
      <c r="G21032" s="2">
        <v>0</v>
      </c>
      <c r="H21032" s="1" t="s">
        <v>0</v>
      </c>
      <c r="I21032" s="2">
        <v>0</v>
      </c>
      <c r="J21032" s="1">
        <v>45986.467106481483</v>
      </c>
    </row>
    <row r="21033" spans="1:10" x14ac:dyDescent="0.2">
      <c r="A21033" s="4" t="s">
        <v>1</v>
      </c>
      <c r="B2103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33" s="3" t="str">
        <f>HYPERLINK("https://otsuka-europe-crm.veevavault.com/ui/#object/sent_email__v/VBL00000000R304", "SE-001391933")</f>
        <v>SE-001391933</v>
      </c>
      <c r="D21033" s="1" t="s">
        <v>0</v>
      </c>
      <c r="E21033" s="2">
        <v>0</v>
      </c>
      <c r="F21033" s="2">
        <v>0</v>
      </c>
      <c r="G21033" s="2">
        <v>0</v>
      </c>
      <c r="H21033" s="1" t="s">
        <v>0</v>
      </c>
      <c r="I21033" s="2">
        <v>0</v>
      </c>
      <c r="J21033" s="1">
        <v>45987.454583333332</v>
      </c>
    </row>
    <row r="21034" spans="1:10" x14ac:dyDescent="0.2">
      <c r="A21034" s="4" t="s">
        <v>1</v>
      </c>
      <c r="B2103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34" s="3" t="str">
        <f>HYPERLINK("https://otsuka-europe-crm.veevavault.com/ui/#object/sent_email__v/VBL00000000R475", "SE-001392114")</f>
        <v>SE-001392114</v>
      </c>
      <c r="D21034" s="1">
        <v>45990.031446759262</v>
      </c>
      <c r="E21034" s="2">
        <v>1</v>
      </c>
      <c r="F21034" s="2">
        <v>1</v>
      </c>
      <c r="G21034" s="2">
        <v>0</v>
      </c>
      <c r="H21034" s="1" t="s">
        <v>0</v>
      </c>
      <c r="I21034" s="2">
        <v>0</v>
      </c>
      <c r="J21034" s="1">
        <v>45989.637789351851</v>
      </c>
    </row>
    <row r="21035" spans="1:10" x14ac:dyDescent="0.2">
      <c r="A21035" s="4" t="s">
        <v>1</v>
      </c>
      <c r="B2103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35" s="3" t="str">
        <f>HYPERLINK("https://otsuka-europe-crm.veevavault.com/ui/#object/sent_email__v/VBL00000000U187", "SE-001394597")</f>
        <v>SE-001394597</v>
      </c>
      <c r="D21035" s="1">
        <v>45993.58048611111</v>
      </c>
      <c r="E21035" s="2">
        <v>1</v>
      </c>
      <c r="F21035" s="2">
        <v>2</v>
      </c>
      <c r="G21035" s="2">
        <v>0</v>
      </c>
      <c r="H21035" s="1" t="s">
        <v>0</v>
      </c>
      <c r="I21035" s="2">
        <v>0</v>
      </c>
      <c r="J21035" s="1">
        <v>45993.434305555558</v>
      </c>
    </row>
    <row r="21036" spans="1:10" x14ac:dyDescent="0.2">
      <c r="A21036" s="4" t="s">
        <v>1</v>
      </c>
      <c r="B2103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36" s="3" t="str">
        <f>HYPERLINK("https://otsuka-europe-crm.veevavault.com/ui/#object/sent_email__v/VBL00000000U188", "SE-001394598")</f>
        <v>SE-001394598</v>
      </c>
      <c r="D21036" s="1">
        <v>45993.45039351852</v>
      </c>
      <c r="E21036" s="2">
        <v>1</v>
      </c>
      <c r="F21036" s="2">
        <v>1</v>
      </c>
      <c r="G21036" s="2">
        <v>0</v>
      </c>
      <c r="H21036" s="1" t="s">
        <v>0</v>
      </c>
      <c r="I21036" s="2">
        <v>0</v>
      </c>
      <c r="J21036" s="1">
        <v>45993.434351851851</v>
      </c>
    </row>
    <row r="21037" spans="1:10" x14ac:dyDescent="0.2">
      <c r="A21037" s="4" t="s">
        <v>1</v>
      </c>
      <c r="B2103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37" s="3" t="str">
        <f>HYPERLINK("https://otsuka-europe-crm.veevavault.com/ui/#object/sent_email__v/VBL00000000U189", "SE-001394599")</f>
        <v>SE-001394599</v>
      </c>
      <c r="D21037" s="1" t="s">
        <v>0</v>
      </c>
      <c r="E21037" s="2">
        <v>0</v>
      </c>
      <c r="F21037" s="2">
        <v>0</v>
      </c>
      <c r="G21037" s="2">
        <v>0</v>
      </c>
      <c r="H21037" s="1" t="s">
        <v>0</v>
      </c>
      <c r="I21037" s="2">
        <v>0</v>
      </c>
      <c r="J21037" s="1">
        <v>45993.434386574074</v>
      </c>
    </row>
    <row r="21038" spans="1:10" x14ac:dyDescent="0.2">
      <c r="A21038" s="4" t="s">
        <v>1</v>
      </c>
      <c r="B21038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38" s="3" t="str">
        <f>HYPERLINK("https://otsuka-europe-crm.veevavault.com/ui/#object/sent_email__v/VBL00000000U190", "SE-001394600")</f>
        <v>SE-001394600</v>
      </c>
      <c r="D21038" s="1">
        <v>46000.728402777779</v>
      </c>
      <c r="E21038" s="2">
        <v>1</v>
      </c>
      <c r="F21038" s="2">
        <v>1</v>
      </c>
      <c r="G21038" s="2">
        <v>0</v>
      </c>
      <c r="H21038" s="1" t="s">
        <v>0</v>
      </c>
      <c r="I21038" s="2">
        <v>0</v>
      </c>
      <c r="J21038" s="1">
        <v>45993.434432870374</v>
      </c>
    </row>
    <row r="21039" spans="1:10" x14ac:dyDescent="0.2">
      <c r="A21039" s="4" t="s">
        <v>1</v>
      </c>
      <c r="B21039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39" s="3" t="str">
        <f>HYPERLINK("https://otsuka-europe-crm.veevavault.com/ui/#object/sent_email__v/VBL00000000U191", "SE-001394601")</f>
        <v>SE-001394601</v>
      </c>
      <c r="D21039" s="1" t="s">
        <v>0</v>
      </c>
      <c r="E21039" s="2">
        <v>0</v>
      </c>
      <c r="F21039" s="2">
        <v>0</v>
      </c>
      <c r="G21039" s="2">
        <v>0</v>
      </c>
      <c r="H21039" s="1" t="s">
        <v>0</v>
      </c>
      <c r="I21039" s="2">
        <v>0</v>
      </c>
      <c r="J21039" s="1">
        <v>45993.434467592589</v>
      </c>
    </row>
    <row r="21040" spans="1:10" x14ac:dyDescent="0.2">
      <c r="A21040" s="4" t="s">
        <v>1</v>
      </c>
      <c r="B21040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40" s="3" t="str">
        <f>HYPERLINK("https://otsuka-europe-crm.veevavault.com/ui/#object/sent_email__v/VBL00000000U192", "SE-001394602")</f>
        <v>SE-001394602</v>
      </c>
      <c r="D21040" s="1" t="s">
        <v>0</v>
      </c>
      <c r="E21040" s="2">
        <v>0</v>
      </c>
      <c r="F21040" s="2">
        <v>0</v>
      </c>
      <c r="G21040" s="2">
        <v>0</v>
      </c>
      <c r="H21040" s="1" t="s">
        <v>0</v>
      </c>
      <c r="I21040" s="2">
        <v>0</v>
      </c>
      <c r="J21040" s="1">
        <v>45993.434502314813</v>
      </c>
    </row>
    <row r="21041" spans="1:10" x14ac:dyDescent="0.2">
      <c r="A21041" s="4" t="s">
        <v>1</v>
      </c>
      <c r="B21041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41" s="3" t="str">
        <f>HYPERLINK("https://otsuka-europe-crm.veevavault.com/ui/#object/sent_email__v/VBL00000000U193", "SE-001394603")</f>
        <v>SE-001394603</v>
      </c>
      <c r="D21041" s="1" t="s">
        <v>0</v>
      </c>
      <c r="E21041" s="2">
        <v>0</v>
      </c>
      <c r="F21041" s="2">
        <v>0</v>
      </c>
      <c r="G21041" s="2">
        <v>0</v>
      </c>
      <c r="H21041" s="1" t="s">
        <v>0</v>
      </c>
      <c r="I21041" s="2">
        <v>0</v>
      </c>
      <c r="J21041" s="1">
        <v>45993.434548611112</v>
      </c>
    </row>
    <row r="21042" spans="1:10" x14ac:dyDescent="0.2">
      <c r="A21042" s="4" t="s">
        <v>1</v>
      </c>
      <c r="B21042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42" s="3" t="str">
        <f>HYPERLINK("https://otsuka-europe-crm.veevavault.com/ui/#object/sent_email__v/VBL00000000U194", "SE-001394604")</f>
        <v>SE-001394604</v>
      </c>
      <c r="D21042" s="1">
        <v>45993.491064814814</v>
      </c>
      <c r="E21042" s="2">
        <v>1</v>
      </c>
      <c r="F21042" s="2">
        <v>1</v>
      </c>
      <c r="G21042" s="2">
        <v>0</v>
      </c>
      <c r="H21042" s="1" t="s">
        <v>0</v>
      </c>
      <c r="I21042" s="2">
        <v>0</v>
      </c>
      <c r="J21042" s="1">
        <v>45993.434583333335</v>
      </c>
    </row>
    <row r="21043" spans="1:10" x14ac:dyDescent="0.2">
      <c r="A21043" s="4" t="s">
        <v>1</v>
      </c>
      <c r="B21043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43" s="3" t="str">
        <f>HYPERLINK("https://otsuka-europe-crm.veevavault.com/ui/#object/sent_email__v/VBL00000000U195", "SE-001394605")</f>
        <v>SE-001394605</v>
      </c>
      <c r="D21043" s="1">
        <v>45993.440578703703</v>
      </c>
      <c r="E21043" s="2">
        <v>1</v>
      </c>
      <c r="F21043" s="2">
        <v>2</v>
      </c>
      <c r="G21043" s="2">
        <v>0</v>
      </c>
      <c r="H21043" s="1" t="s">
        <v>0</v>
      </c>
      <c r="I21043" s="2">
        <v>0</v>
      </c>
      <c r="J21043" s="1">
        <v>45993.434629629628</v>
      </c>
    </row>
    <row r="21044" spans="1:10" x14ac:dyDescent="0.2">
      <c r="A21044" s="4" t="s">
        <v>1</v>
      </c>
      <c r="B21044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44" s="3" t="str">
        <f>HYPERLINK("https://otsuka-europe-crm.veevavault.com/ui/#object/sent_email__v/VBL000000015291", "SE-001400758")</f>
        <v>SE-001400758</v>
      </c>
      <c r="D21044" s="1">
        <v>46044.926435185182</v>
      </c>
      <c r="E21044" s="2">
        <v>1</v>
      </c>
      <c r="F21044" s="2">
        <v>2</v>
      </c>
      <c r="G21044" s="2">
        <v>0</v>
      </c>
      <c r="H21044" s="1" t="s">
        <v>0</v>
      </c>
      <c r="I21044" s="2">
        <v>0</v>
      </c>
      <c r="J21044" s="1">
        <v>46044.294108796297</v>
      </c>
    </row>
    <row r="21045" spans="1:10" x14ac:dyDescent="0.2">
      <c r="A21045" s="4" t="s">
        <v>1</v>
      </c>
      <c r="B21045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45" s="3" t="str">
        <f>HYPERLINK("https://otsuka-europe-crm.veevavault.com/ui/#object/sent_email__v/VBL000000019273", "SE-001402632")</f>
        <v>SE-001402632</v>
      </c>
      <c r="D21045" s="1" t="s">
        <v>0</v>
      </c>
      <c r="E21045" s="2">
        <v>0</v>
      </c>
      <c r="F21045" s="2">
        <v>0</v>
      </c>
      <c r="G21045" s="2">
        <v>0</v>
      </c>
      <c r="H21045" s="1" t="s">
        <v>0</v>
      </c>
      <c r="I21045" s="2">
        <v>0</v>
      </c>
      <c r="J21045" s="1">
        <v>46057.401643518519</v>
      </c>
    </row>
    <row r="21046" spans="1:10" x14ac:dyDescent="0.2">
      <c r="A21046" s="4" t="s">
        <v>1</v>
      </c>
      <c r="B21046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46" s="3" t="str">
        <f>HYPERLINK("https://otsuka-europe-crm.veevavault.com/ui/#object/sent_email__v/VBL00000001C388", "SE-001403716")</f>
        <v>SE-001403716</v>
      </c>
      <c r="D21046" s="1">
        <v>46064.47859953704</v>
      </c>
      <c r="E21046" s="2">
        <v>1</v>
      </c>
      <c r="F21046" s="2">
        <v>1</v>
      </c>
      <c r="G21046" s="2">
        <v>0</v>
      </c>
      <c r="H21046" s="1" t="s">
        <v>0</v>
      </c>
      <c r="I21046" s="2">
        <v>0</v>
      </c>
      <c r="J21046" s="1">
        <v>46064.471203703702</v>
      </c>
    </row>
    <row r="21047" spans="1:10" x14ac:dyDescent="0.2">
      <c r="A21047" s="4" t="s">
        <v>1</v>
      </c>
      <c r="B21047" s="3" t="str">
        <f>HYPERLINK("https://otsuka-europe-crm.veevavault.com/ui/#object/approved_document__v/V5OZ025E82UF0DE", "RXULTI - Presentación indicación adolescentes y dosis 0,5 mg")</f>
        <v>RXULTI - Presentación indicación adolescentes y dosis 0,5 mg</v>
      </c>
      <c r="C21047" s="3" t="str">
        <f>HYPERLINK("https://otsuka-europe-crm.veevavault.com/ui/#object/sent_email__v/VBL00000001E470", "SE-001405001")</f>
        <v>SE-001405001</v>
      </c>
      <c r="D21047" s="1">
        <v>46072.438298611109</v>
      </c>
      <c r="E21047" s="2">
        <v>1</v>
      </c>
      <c r="F21047" s="2">
        <v>1</v>
      </c>
      <c r="G21047" s="2">
        <v>0</v>
      </c>
      <c r="H21047" s="1" t="s">
        <v>0</v>
      </c>
      <c r="I21047" s="2">
        <v>0</v>
      </c>
      <c r="J21047" s="1">
        <v>46072.427928240744</v>
      </c>
    </row>
    <row r="21048" spans="1:10" x14ac:dyDescent="0.2">
      <c r="A21048" s="4" t="s">
        <v>1</v>
      </c>
      <c r="B21048" s="3" t="str">
        <f>HYPERLINK("https://otsuka-europe-crm.veevavault.com/ui/#object/approved_document__v/V5OZ025E82TP2CD", "RXULTI - Programa Barcelona Lanzamiento Indicación adolescente")</f>
        <v>RXULTI - Programa Barcelona Lanzamiento Indicación adolescente</v>
      </c>
      <c r="C21048" s="3" t="str">
        <f>HYPERLINK("https://otsuka-europe-crm.veevavault.com/ui/#object/sent_email__v/VBLZ025E82GRBOD", "SE-000275854")</f>
        <v>SE-000275854</v>
      </c>
      <c r="D21048" s="1">
        <v>45920.807233796295</v>
      </c>
      <c r="E21048" s="2">
        <v>1</v>
      </c>
      <c r="F21048" s="2">
        <v>2</v>
      </c>
      <c r="G21048" s="2">
        <v>1</v>
      </c>
      <c r="H21048" s="1">
        <v>45917.525092592594</v>
      </c>
      <c r="I21048" s="2">
        <v>1</v>
      </c>
      <c r="J21048" s="1">
        <v>45917.524907407409</v>
      </c>
    </row>
    <row r="21049" spans="1:10" x14ac:dyDescent="0.2">
      <c r="A21049" s="4" t="s">
        <v>1</v>
      </c>
      <c r="B21049" s="3" t="str">
        <f>HYPERLINK("https://otsuka-europe-crm.veevavault.com/ui/#object/approved_document__v/V5OZ025E82TP2F5", "RXULTI - Programa Barcelona Lanzamiento Indicación adolescente")</f>
        <v>RXULTI - Programa Barcelona Lanzamiento Indicación adolescente</v>
      </c>
      <c r="C21049" s="3" t="str">
        <f>HYPERLINK("https://otsuka-europe-crm.veevavault.com/ui/#object/sent_email__v/VBLZ025E82GRBTX", "SE-000275855")</f>
        <v>SE-000275855</v>
      </c>
      <c r="D21049" s="1">
        <v>45920.807233796295</v>
      </c>
      <c r="E21049" s="2">
        <v>1</v>
      </c>
      <c r="F21049" s="2">
        <v>3</v>
      </c>
      <c r="G21049" s="2">
        <v>1</v>
      </c>
      <c r="H21049" s="1">
        <v>45917.527418981481</v>
      </c>
      <c r="I21049" s="2">
        <v>1</v>
      </c>
      <c r="J21049" s="1">
        <v>45917.527048611111</v>
      </c>
    </row>
    <row r="21050" spans="1:10" x14ac:dyDescent="0.2">
      <c r="A21050" s="4" t="s">
        <v>1</v>
      </c>
      <c r="B2105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50" s="3" t="str">
        <f>HYPERLINK("https://otsuka-europe-crm.veevavault.com/ui/#object/sent_email__v/VBLZ025E82GS7MD", "SE-000276131")</f>
        <v>SE-000276131</v>
      </c>
      <c r="D21050" s="1">
        <v>45930.942002314812</v>
      </c>
      <c r="E21050" s="2">
        <v>1</v>
      </c>
      <c r="F21050" s="2">
        <v>4</v>
      </c>
      <c r="G21050" s="2">
        <v>0</v>
      </c>
      <c r="H21050" s="1" t="s">
        <v>0</v>
      </c>
      <c r="I21050" s="2">
        <v>0</v>
      </c>
      <c r="J21050" s="1">
        <v>45918.360081018516</v>
      </c>
    </row>
    <row r="21051" spans="1:10" x14ac:dyDescent="0.2">
      <c r="A21051" s="4" t="s">
        <v>1</v>
      </c>
      <c r="B2105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51" s="3" t="str">
        <f>HYPERLINK("https://otsuka-europe-crm.veevavault.com/ui/#object/sent_email__v/VBLZ025E82GS7RX", "SE-000276132")</f>
        <v>SE-000276132</v>
      </c>
      <c r="D21051" s="1">
        <v>45920.830590277779</v>
      </c>
      <c r="E21051" s="2">
        <v>1</v>
      </c>
      <c r="F21051" s="2">
        <v>2</v>
      </c>
      <c r="G21051" s="2">
        <v>1</v>
      </c>
      <c r="H21051" s="1">
        <v>45918.36146990741</v>
      </c>
      <c r="I21051" s="2">
        <v>4</v>
      </c>
      <c r="J21051" s="1">
        <v>45918.360277777778</v>
      </c>
    </row>
    <row r="21052" spans="1:10" x14ac:dyDescent="0.2">
      <c r="A21052" s="4" t="s">
        <v>1</v>
      </c>
      <c r="B2105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52" s="3" t="str">
        <f>HYPERLINK("https://otsuka-europe-crm.veevavault.com/ui/#object/sent_email__v/VBLZ025E82H178D", "SE-000281027")</f>
        <v>SE-000281027</v>
      </c>
      <c r="D21052" s="1" t="s">
        <v>0</v>
      </c>
      <c r="E21052" s="2">
        <v>0</v>
      </c>
      <c r="F21052" s="2">
        <v>0</v>
      </c>
      <c r="G21052" s="2">
        <v>0</v>
      </c>
      <c r="H21052" s="1" t="s">
        <v>0</v>
      </c>
      <c r="I21052" s="2">
        <v>0</v>
      </c>
      <c r="J21052" s="1">
        <v>45926.400150462963</v>
      </c>
    </row>
    <row r="21053" spans="1:10" x14ac:dyDescent="0.2">
      <c r="A21053" s="4" t="s">
        <v>1</v>
      </c>
      <c r="B2105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53" s="3" t="str">
        <f>HYPERLINK("https://otsuka-europe-crm.veevavault.com/ui/#object/sent_email__v/VBLZ025E82HA9E1", "SE-000283257")</f>
        <v>SE-000283257</v>
      </c>
      <c r="D21053" s="1">
        <v>45936.956296296295</v>
      </c>
      <c r="E21053" s="2">
        <v>1</v>
      </c>
      <c r="F21053" s="2">
        <v>4</v>
      </c>
      <c r="G21053" s="2">
        <v>0</v>
      </c>
      <c r="H21053" s="1" t="s">
        <v>0</v>
      </c>
      <c r="I21053" s="2">
        <v>0</v>
      </c>
      <c r="J21053" s="1">
        <v>45933.541030092594</v>
      </c>
    </row>
    <row r="21054" spans="1:10" x14ac:dyDescent="0.2">
      <c r="A21054" s="4" t="s">
        <v>1</v>
      </c>
      <c r="B2105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54" s="3" t="str">
        <f>HYPERLINK("https://otsuka-europe-crm.veevavault.com/ui/#object/sent_email__v/VBLZ025E82HA9E2", "SE-000283258")</f>
        <v>SE-000283258</v>
      </c>
      <c r="D21054" s="1">
        <v>45934.33792824074</v>
      </c>
      <c r="E21054" s="2">
        <v>1</v>
      </c>
      <c r="F21054" s="2">
        <v>2</v>
      </c>
      <c r="G21054" s="2">
        <v>0</v>
      </c>
      <c r="H21054" s="1" t="s">
        <v>0</v>
      </c>
      <c r="I21054" s="2">
        <v>0</v>
      </c>
      <c r="J21054" s="1">
        <v>45933.541006944448</v>
      </c>
    </row>
    <row r="21055" spans="1:10" x14ac:dyDescent="0.2">
      <c r="A21055" s="4" t="s">
        <v>1</v>
      </c>
      <c r="B2105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55" s="3" t="str">
        <f>HYPERLINK("https://otsuka-europe-crm.veevavault.com/ui/#object/sent_email__v/VBLZ025E82HA9E3", "SE-000283259")</f>
        <v>SE-000283259</v>
      </c>
      <c r="D21055" s="1" t="s">
        <v>0</v>
      </c>
      <c r="E21055" s="2">
        <v>0</v>
      </c>
      <c r="F21055" s="2">
        <v>0</v>
      </c>
      <c r="G21055" s="2">
        <v>0</v>
      </c>
      <c r="H21055" s="1" t="s">
        <v>0</v>
      </c>
      <c r="I21055" s="2">
        <v>0</v>
      </c>
      <c r="J21055" s="1">
        <v>45933.540995370371</v>
      </c>
    </row>
    <row r="21056" spans="1:10" x14ac:dyDescent="0.2">
      <c r="A21056" s="4" t="s">
        <v>1</v>
      </c>
      <c r="B2105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56" s="3" t="str">
        <f>HYPERLINK("https://otsuka-europe-crm.veevavault.com/ui/#object/sent_email__v/VBLZ025E82HA9E4", "SE-000283260")</f>
        <v>SE-000283260</v>
      </c>
      <c r="D21056" s="1">
        <v>45941.550393518519</v>
      </c>
      <c r="E21056" s="2">
        <v>1</v>
      </c>
      <c r="F21056" s="2">
        <v>2</v>
      </c>
      <c r="G21056" s="2">
        <v>0</v>
      </c>
      <c r="H21056" s="1" t="s">
        <v>0</v>
      </c>
      <c r="I21056" s="2">
        <v>0</v>
      </c>
      <c r="J21056" s="1">
        <v>45933.541006944448</v>
      </c>
    </row>
    <row r="21057" spans="1:10" x14ac:dyDescent="0.2">
      <c r="A21057" s="4" t="s">
        <v>1</v>
      </c>
      <c r="B2105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57" s="3" t="str">
        <f>HYPERLINK("https://otsuka-europe-crm.veevavault.com/ui/#object/sent_email__v/VBLZ025E82HA9E5", "SE-000283261")</f>
        <v>SE-000283261</v>
      </c>
      <c r="D21057" s="1" t="s">
        <v>0</v>
      </c>
      <c r="E21057" s="2">
        <v>0</v>
      </c>
      <c r="F21057" s="2">
        <v>0</v>
      </c>
      <c r="G21057" s="2">
        <v>0</v>
      </c>
      <c r="H21057" s="1" t="s">
        <v>0</v>
      </c>
      <c r="I21057" s="2">
        <v>0</v>
      </c>
      <c r="J21057" s="1">
        <v>45933.541006944448</v>
      </c>
    </row>
    <row r="21058" spans="1:10" x14ac:dyDescent="0.2">
      <c r="A21058" s="4" t="s">
        <v>1</v>
      </c>
      <c r="B2105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58" s="3" t="str">
        <f>HYPERLINK("https://otsuka-europe-crm.veevavault.com/ui/#object/sent_email__v/VBLZ025E82HA9E6", "SE-000283262")</f>
        <v>SE-000283262</v>
      </c>
      <c r="D21058" s="1">
        <v>45934.031030092592</v>
      </c>
      <c r="E21058" s="2">
        <v>1</v>
      </c>
      <c r="F21058" s="2">
        <v>3</v>
      </c>
      <c r="G21058" s="2">
        <v>0</v>
      </c>
      <c r="H21058" s="1" t="s">
        <v>0</v>
      </c>
      <c r="I21058" s="2">
        <v>0</v>
      </c>
      <c r="J21058" s="1">
        <v>45933.541018518517</v>
      </c>
    </row>
    <row r="21059" spans="1:10" x14ac:dyDescent="0.2">
      <c r="A21059" s="4" t="s">
        <v>1</v>
      </c>
      <c r="B2105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59" s="3" t="str">
        <f>HYPERLINK("https://otsuka-europe-crm.veevavault.com/ui/#object/sent_email__v/VBLZ025E82HA9E7", "SE-000283263")</f>
        <v>SE-000283263</v>
      </c>
      <c r="D21059" s="1">
        <v>45933.654166666667</v>
      </c>
      <c r="E21059" s="2">
        <v>1</v>
      </c>
      <c r="F21059" s="2">
        <v>4</v>
      </c>
      <c r="G21059" s="2">
        <v>0</v>
      </c>
      <c r="H21059" s="1" t="s">
        <v>0</v>
      </c>
      <c r="I21059" s="2">
        <v>0</v>
      </c>
      <c r="J21059" s="1">
        <v>45933.54105324074</v>
      </c>
    </row>
    <row r="21060" spans="1:10" x14ac:dyDescent="0.2">
      <c r="A21060" s="4" t="s">
        <v>1</v>
      </c>
      <c r="B2106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60" s="3" t="str">
        <f>HYPERLINK("https://otsuka-europe-crm.veevavault.com/ui/#object/sent_email__v/VBLZ025E82HA9E8", "SE-000283264")</f>
        <v>SE-000283264</v>
      </c>
      <c r="D21060" s="1" t="s">
        <v>0</v>
      </c>
      <c r="E21060" s="2">
        <v>0</v>
      </c>
      <c r="F21060" s="2">
        <v>0</v>
      </c>
      <c r="G21060" s="2">
        <v>0</v>
      </c>
      <c r="H21060" s="1" t="s">
        <v>0</v>
      </c>
      <c r="I21060" s="2">
        <v>0</v>
      </c>
      <c r="J21060" s="1">
        <v>45933.541030092594</v>
      </c>
    </row>
    <row r="21061" spans="1:10" x14ac:dyDescent="0.2">
      <c r="A21061" s="4" t="s">
        <v>1</v>
      </c>
      <c r="B2106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61" s="3" t="str">
        <f>HYPERLINK("https://otsuka-europe-crm.veevavault.com/ui/#object/sent_email__v/VBLZ025E82HA9E9", "SE-000283265")</f>
        <v>SE-000283265</v>
      </c>
      <c r="D21061" s="1">
        <v>45936.681979166664</v>
      </c>
      <c r="E21061" s="2">
        <v>1</v>
      </c>
      <c r="F21061" s="2">
        <v>2</v>
      </c>
      <c r="G21061" s="2">
        <v>0</v>
      </c>
      <c r="H21061" s="1" t="s">
        <v>0</v>
      </c>
      <c r="I21061" s="2">
        <v>0</v>
      </c>
      <c r="J21061" s="1">
        <v>45933.541041666664</v>
      </c>
    </row>
    <row r="21062" spans="1:10" x14ac:dyDescent="0.2">
      <c r="A21062" s="4" t="s">
        <v>1</v>
      </c>
      <c r="B2106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62" s="3" t="str">
        <f>HYPERLINK("https://otsuka-europe-crm.veevavault.com/ui/#object/sent_email__v/VBLZ025E82HA9GT", "SE-000283266")</f>
        <v>SE-000283266</v>
      </c>
      <c r="D21062" s="1">
        <v>45935.699687499997</v>
      </c>
      <c r="E21062" s="2">
        <v>1</v>
      </c>
      <c r="F21062" s="2">
        <v>4</v>
      </c>
      <c r="G21062" s="2">
        <v>0</v>
      </c>
      <c r="H21062" s="1" t="s">
        <v>0</v>
      </c>
      <c r="I21062" s="2">
        <v>0</v>
      </c>
      <c r="J21062" s="1">
        <v>45933.542372685188</v>
      </c>
    </row>
    <row r="21063" spans="1:10" x14ac:dyDescent="0.2">
      <c r="A21063" s="4" t="s">
        <v>1</v>
      </c>
      <c r="B2106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63" s="3" t="str">
        <f>HYPERLINK("https://otsuka-europe-crm.veevavault.com/ui/#object/sent_email__v/VBLZ025E82HA9GU", "SE-000283267")</f>
        <v>SE-000283267</v>
      </c>
      <c r="D21063" s="1">
        <v>45933.615254629629</v>
      </c>
      <c r="E21063" s="2">
        <v>1</v>
      </c>
      <c r="F21063" s="2">
        <v>2</v>
      </c>
      <c r="G21063" s="2">
        <v>0</v>
      </c>
      <c r="H21063" s="1" t="s">
        <v>0</v>
      </c>
      <c r="I21063" s="2">
        <v>0</v>
      </c>
      <c r="J21063" s="1">
        <v>45933.542523148149</v>
      </c>
    </row>
    <row r="21064" spans="1:10" x14ac:dyDescent="0.2">
      <c r="A21064" s="4" t="s">
        <v>1</v>
      </c>
      <c r="B2106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64" s="3" t="str">
        <f>HYPERLINK("https://otsuka-europe-crm.veevavault.com/ui/#object/sent_email__v/VBLZ025E82HA9GV", "SE-000283268")</f>
        <v>SE-000283268</v>
      </c>
      <c r="D21064" s="1">
        <v>45933.559305555558</v>
      </c>
      <c r="E21064" s="2">
        <v>1</v>
      </c>
      <c r="F21064" s="2">
        <v>1</v>
      </c>
      <c r="G21064" s="2">
        <v>0</v>
      </c>
      <c r="H21064" s="1" t="s">
        <v>0</v>
      </c>
      <c r="I21064" s="2">
        <v>0</v>
      </c>
      <c r="J21064" s="1">
        <v>45933.542280092595</v>
      </c>
    </row>
    <row r="21065" spans="1:10" x14ac:dyDescent="0.2">
      <c r="A21065" s="4" t="s">
        <v>1</v>
      </c>
      <c r="B2106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65" s="3" t="str">
        <f>HYPERLINK("https://otsuka-europe-crm.veevavault.com/ui/#object/sent_email__v/VBLZ025E82HA9GW", "SE-000283269")</f>
        <v>SE-000283269</v>
      </c>
      <c r="D21065" s="1" t="s">
        <v>0</v>
      </c>
      <c r="E21065" s="2">
        <v>0</v>
      </c>
      <c r="F21065" s="2">
        <v>0</v>
      </c>
      <c r="G21065" s="2">
        <v>0</v>
      </c>
      <c r="H21065" s="1" t="s">
        <v>0</v>
      </c>
      <c r="I21065" s="2">
        <v>0</v>
      </c>
      <c r="J21065" s="1">
        <v>45933.542638888888</v>
      </c>
    </row>
    <row r="21066" spans="1:10" x14ac:dyDescent="0.2">
      <c r="A21066" s="4" t="s">
        <v>1</v>
      </c>
      <c r="B2106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66" s="3" t="str">
        <f>HYPERLINK("https://otsuka-europe-crm.veevavault.com/ui/#object/sent_email__v/VBLZ025E82HA9GX", "SE-000283270")</f>
        <v>SE-000283270</v>
      </c>
      <c r="D21066" s="1" t="s">
        <v>0</v>
      </c>
      <c r="E21066" s="2">
        <v>0</v>
      </c>
      <c r="F21066" s="2">
        <v>0</v>
      </c>
      <c r="G21066" s="2">
        <v>0</v>
      </c>
      <c r="H21066" s="1" t="s">
        <v>0</v>
      </c>
      <c r="I21066" s="2">
        <v>0</v>
      </c>
      <c r="J21066" s="1">
        <v>45933.54277777778</v>
      </c>
    </row>
    <row r="21067" spans="1:10" x14ac:dyDescent="0.2">
      <c r="A21067" s="4" t="s">
        <v>1</v>
      </c>
      <c r="B2106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67" s="3" t="str">
        <f>HYPERLINK("https://otsuka-europe-crm.veevavault.com/ui/#object/sent_email__v/VBLZ025E82HA9GY", "SE-000283271")</f>
        <v>SE-000283271</v>
      </c>
      <c r="D21067" s="1">
        <v>45933.704768518517</v>
      </c>
      <c r="E21067" s="2">
        <v>1</v>
      </c>
      <c r="F21067" s="2">
        <v>1</v>
      </c>
      <c r="G21067" s="2">
        <v>0</v>
      </c>
      <c r="H21067" s="1" t="s">
        <v>0</v>
      </c>
      <c r="I21067" s="2">
        <v>0</v>
      </c>
      <c r="J21067" s="1">
        <v>45933.542326388888</v>
      </c>
    </row>
    <row r="21068" spans="1:10" x14ac:dyDescent="0.2">
      <c r="A21068" s="4" t="s">
        <v>1</v>
      </c>
      <c r="B2106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68" s="3" t="str">
        <f>HYPERLINK("https://otsuka-europe-crm.veevavault.com/ui/#object/sent_email__v/VBLZ025E82HA9GZ", "SE-000283272")</f>
        <v>SE-000283272</v>
      </c>
      <c r="D21068" s="1" t="s">
        <v>0</v>
      </c>
      <c r="E21068" s="2">
        <v>0</v>
      </c>
      <c r="F21068" s="2">
        <v>0</v>
      </c>
      <c r="G21068" s="2">
        <v>0</v>
      </c>
      <c r="H21068" s="1" t="s">
        <v>0</v>
      </c>
      <c r="I21068" s="2">
        <v>0</v>
      </c>
      <c r="J21068" s="1">
        <v>45933.54247685185</v>
      </c>
    </row>
    <row r="21069" spans="1:10" x14ac:dyDescent="0.2">
      <c r="A21069" s="4" t="s">
        <v>1</v>
      </c>
      <c r="B2106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69" s="3" t="str">
        <f>HYPERLINK("https://otsuka-europe-crm.veevavault.com/ui/#object/sent_email__v/VBLZ025E82HA9H0", "SE-000283273")</f>
        <v>SE-000283273</v>
      </c>
      <c r="D21069" s="1">
        <v>45934.38071759259</v>
      </c>
      <c r="E21069" s="2">
        <v>1</v>
      </c>
      <c r="F21069" s="2">
        <v>1</v>
      </c>
      <c r="G21069" s="2">
        <v>0</v>
      </c>
      <c r="H21069" s="1" t="s">
        <v>0</v>
      </c>
      <c r="I21069" s="2">
        <v>0</v>
      </c>
      <c r="J21069" s="1">
        <v>45933.542500000003</v>
      </c>
    </row>
    <row r="21070" spans="1:10" x14ac:dyDescent="0.2">
      <c r="A21070" s="4" t="s">
        <v>1</v>
      </c>
      <c r="B2107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70" s="3" t="str">
        <f>HYPERLINK("https://otsuka-europe-crm.veevavault.com/ui/#object/sent_email__v/VBLZ025E82HA9H1", "SE-000283274")</f>
        <v>SE-000283274</v>
      </c>
      <c r="D21070" s="1" t="s">
        <v>0</v>
      </c>
      <c r="E21070" s="2">
        <v>0</v>
      </c>
      <c r="F21070" s="2">
        <v>0</v>
      </c>
      <c r="G21070" s="2">
        <v>0</v>
      </c>
      <c r="H21070" s="1" t="s">
        <v>0</v>
      </c>
      <c r="I21070" s="2">
        <v>0</v>
      </c>
      <c r="J21070" s="1">
        <v>45933.542638888888</v>
      </c>
    </row>
    <row r="21071" spans="1:10" x14ac:dyDescent="0.2">
      <c r="A21071" s="4" t="s">
        <v>1</v>
      </c>
      <c r="B2107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71" s="3" t="str">
        <f>HYPERLINK("https://otsuka-europe-crm.veevavault.com/ui/#object/sent_email__v/VBLZ025E82HA9H2", "SE-000283275")</f>
        <v>SE-000283275</v>
      </c>
      <c r="D21071" s="1" t="s">
        <v>0</v>
      </c>
      <c r="E21071" s="2">
        <v>0</v>
      </c>
      <c r="F21071" s="2">
        <v>0</v>
      </c>
      <c r="G21071" s="2">
        <v>0</v>
      </c>
      <c r="H21071" s="1" t="s">
        <v>0</v>
      </c>
      <c r="I21071" s="2">
        <v>0</v>
      </c>
      <c r="J21071" s="1">
        <v>45933.542245370372</v>
      </c>
    </row>
    <row r="21072" spans="1:10" x14ac:dyDescent="0.2">
      <c r="A21072" s="4" t="s">
        <v>1</v>
      </c>
      <c r="B2107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72" s="3" t="str">
        <f>HYPERLINK("https://otsuka-europe-crm.veevavault.com/ui/#object/sent_email__v/VBLZ025E82HA9H3", "SE-000283276")</f>
        <v>SE-000283276</v>
      </c>
      <c r="D21072" s="1" t="s">
        <v>0</v>
      </c>
      <c r="E21072" s="2">
        <v>0</v>
      </c>
      <c r="F21072" s="2">
        <v>0</v>
      </c>
      <c r="G21072" s="2">
        <v>0</v>
      </c>
      <c r="H21072" s="1" t="s">
        <v>0</v>
      </c>
      <c r="I21072" s="2">
        <v>0</v>
      </c>
      <c r="J21072" s="1">
        <v>45933.542361111111</v>
      </c>
    </row>
    <row r="21073" spans="1:10" x14ac:dyDescent="0.2">
      <c r="A21073" s="4" t="s">
        <v>1</v>
      </c>
      <c r="B2107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73" s="3" t="str">
        <f>HYPERLINK("https://otsuka-europe-crm.veevavault.com/ui/#object/sent_email__v/VBLZ025E82HA9H4", "SE-000283277")</f>
        <v>SE-000283277</v>
      </c>
      <c r="D21073" s="1" t="s">
        <v>0</v>
      </c>
      <c r="E21073" s="2">
        <v>0</v>
      </c>
      <c r="F21073" s="2">
        <v>0</v>
      </c>
      <c r="G21073" s="2">
        <v>0</v>
      </c>
      <c r="H21073" s="1" t="s">
        <v>0</v>
      </c>
      <c r="I21073" s="2">
        <v>0</v>
      </c>
      <c r="J21073" s="1">
        <v>45933.542500000003</v>
      </c>
    </row>
    <row r="21074" spans="1:10" x14ac:dyDescent="0.2">
      <c r="A21074" s="4" t="s">
        <v>1</v>
      </c>
      <c r="B2107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74" s="3" t="str">
        <f>HYPERLINK("https://otsuka-europe-crm.veevavault.com/ui/#object/sent_email__v/VBLZ025E82HA9H5", "SE-000283278")</f>
        <v>SE-000283278</v>
      </c>
      <c r="D21074" s="1">
        <v>45933.622881944444</v>
      </c>
      <c r="E21074" s="2">
        <v>1</v>
      </c>
      <c r="F21074" s="2">
        <v>3</v>
      </c>
      <c r="G21074" s="2">
        <v>0</v>
      </c>
      <c r="H21074" s="1" t="s">
        <v>0</v>
      </c>
      <c r="I21074" s="2">
        <v>0</v>
      </c>
      <c r="J21074" s="1">
        <v>45933.542754629627</v>
      </c>
    </row>
    <row r="21075" spans="1:10" x14ac:dyDescent="0.2">
      <c r="A21075" s="4" t="s">
        <v>1</v>
      </c>
      <c r="B2107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75" s="3" t="str">
        <f>HYPERLINK("https://otsuka-europe-crm.veevavault.com/ui/#object/sent_email__v/VBLZ025E82HA9H6", "SE-000283279")</f>
        <v>SE-000283279</v>
      </c>
      <c r="D21075" s="1">
        <v>45934.027037037034</v>
      </c>
      <c r="E21075" s="2">
        <v>1</v>
      </c>
      <c r="F21075" s="2">
        <v>2</v>
      </c>
      <c r="G21075" s="2">
        <v>0</v>
      </c>
      <c r="H21075" s="1" t="s">
        <v>0</v>
      </c>
      <c r="I21075" s="2">
        <v>0</v>
      </c>
      <c r="J21075" s="1">
        <v>45933.542291666665</v>
      </c>
    </row>
    <row r="21076" spans="1:10" x14ac:dyDescent="0.2">
      <c r="A21076" s="4" t="s">
        <v>1</v>
      </c>
      <c r="B2107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76" s="3" t="str">
        <f>HYPERLINK("https://otsuka-europe-crm.veevavault.com/ui/#object/sent_email__v/VBLZ025E82HA9H7", "SE-000283280")</f>
        <v>SE-000283280</v>
      </c>
      <c r="D21076" s="1">
        <v>45933.558576388888</v>
      </c>
      <c r="E21076" s="2">
        <v>1</v>
      </c>
      <c r="F21076" s="2">
        <v>2</v>
      </c>
      <c r="G21076" s="2">
        <v>0</v>
      </c>
      <c r="H21076" s="1" t="s">
        <v>0</v>
      </c>
      <c r="I21076" s="2">
        <v>0</v>
      </c>
      <c r="J21076" s="1">
        <v>45933.542453703703</v>
      </c>
    </row>
    <row r="21077" spans="1:10" x14ac:dyDescent="0.2">
      <c r="A21077" s="4" t="s">
        <v>1</v>
      </c>
      <c r="B2107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77" s="3" t="str">
        <f>HYPERLINK("https://otsuka-europe-crm.veevavault.com/ui/#object/sent_email__v/VBLZ025E82HA9H8", "SE-000283281")</f>
        <v>SE-000283281</v>
      </c>
      <c r="D21077" s="1">
        <v>45933.928888888891</v>
      </c>
      <c r="E21077" s="2">
        <v>1</v>
      </c>
      <c r="F21077" s="2">
        <v>1</v>
      </c>
      <c r="G21077" s="2">
        <v>0</v>
      </c>
      <c r="H21077" s="1" t="s">
        <v>0</v>
      </c>
      <c r="I21077" s="2">
        <v>0</v>
      </c>
      <c r="J21077" s="1">
        <v>45933.542592592596</v>
      </c>
    </row>
    <row r="21078" spans="1:10" x14ac:dyDescent="0.2">
      <c r="A21078" s="4" t="s">
        <v>1</v>
      </c>
      <c r="B2107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78" s="3" t="str">
        <f>HYPERLINK("https://otsuka-europe-crm.veevavault.com/ui/#object/sent_email__v/VBLZ025E82HA9H9", "SE-000283282")</f>
        <v>SE-000283282</v>
      </c>
      <c r="D21078" s="1">
        <v>45933.762986111113</v>
      </c>
      <c r="E21078" s="2">
        <v>1</v>
      </c>
      <c r="F21078" s="2">
        <v>1</v>
      </c>
      <c r="G21078" s="2">
        <v>0</v>
      </c>
      <c r="H21078" s="1" t="s">
        <v>0</v>
      </c>
      <c r="I21078" s="2">
        <v>0</v>
      </c>
      <c r="J21078" s="1">
        <v>45933.542708333334</v>
      </c>
    </row>
    <row r="21079" spans="1:10" x14ac:dyDescent="0.2">
      <c r="A21079" s="4" t="s">
        <v>1</v>
      </c>
      <c r="B2107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79" s="3" t="str">
        <f>HYPERLINK("https://otsuka-europe-crm.veevavault.com/ui/#object/sent_email__v/VBLZ025E82HA9HA", "SE-000283283")</f>
        <v>SE-000283283</v>
      </c>
      <c r="D21079" s="1" t="s">
        <v>0</v>
      </c>
      <c r="E21079" s="2">
        <v>0</v>
      </c>
      <c r="F21079" s="2">
        <v>0</v>
      </c>
      <c r="G21079" s="2">
        <v>0</v>
      </c>
      <c r="H21079" s="1" t="s">
        <v>0</v>
      </c>
      <c r="I21079" s="2">
        <v>0</v>
      </c>
      <c r="J21079" s="1">
        <v>45933.542280092595</v>
      </c>
    </row>
    <row r="21080" spans="1:10" x14ac:dyDescent="0.2">
      <c r="A21080" s="4" t="s">
        <v>1</v>
      </c>
      <c r="B2108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80" s="3" t="str">
        <f>HYPERLINK("https://otsuka-europe-crm.veevavault.com/ui/#object/sent_email__v/VBLZ025E82HA9HB", "SE-000283284")</f>
        <v>SE-000283284</v>
      </c>
      <c r="D21080" s="1">
        <v>45933.557974537034</v>
      </c>
      <c r="E21080" s="2">
        <v>1</v>
      </c>
      <c r="F21080" s="2">
        <v>1</v>
      </c>
      <c r="G21080" s="2">
        <v>0</v>
      </c>
      <c r="H21080" s="1" t="s">
        <v>0</v>
      </c>
      <c r="I21080" s="2">
        <v>0</v>
      </c>
      <c r="J21080" s="1">
        <v>45933.542430555557</v>
      </c>
    </row>
    <row r="21081" spans="1:10" x14ac:dyDescent="0.2">
      <c r="A21081" s="4" t="s">
        <v>1</v>
      </c>
      <c r="B2108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81" s="3" t="str">
        <f>HYPERLINK("https://otsuka-europe-crm.veevavault.com/ui/#object/sent_email__v/VBLZ025E82HA9HC", "SE-000283285")</f>
        <v>SE-000283285</v>
      </c>
      <c r="D21081" s="1" t="s">
        <v>0</v>
      </c>
      <c r="E21081" s="2">
        <v>0</v>
      </c>
      <c r="F21081" s="2">
        <v>0</v>
      </c>
      <c r="G21081" s="2">
        <v>0</v>
      </c>
      <c r="H21081" s="1" t="s">
        <v>0</v>
      </c>
      <c r="I21081" s="2">
        <v>0</v>
      </c>
      <c r="J21081" s="1">
        <v>45933.542546296296</v>
      </c>
    </row>
    <row r="21082" spans="1:10" x14ac:dyDescent="0.2">
      <c r="A21082" s="4" t="s">
        <v>1</v>
      </c>
      <c r="B2108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82" s="3" t="str">
        <f>HYPERLINK("https://otsuka-europe-crm.veevavault.com/ui/#object/sent_email__v/VBLZ025E82HA9HD", "SE-000283286")</f>
        <v>SE-000283286</v>
      </c>
      <c r="D21082" s="1">
        <v>45933.638275462959</v>
      </c>
      <c r="E21082" s="2">
        <v>1</v>
      </c>
      <c r="F21082" s="2">
        <v>2</v>
      </c>
      <c r="G21082" s="2">
        <v>1</v>
      </c>
      <c r="H21082" s="1">
        <v>45933.637060185189</v>
      </c>
      <c r="I21082" s="2">
        <v>1</v>
      </c>
      <c r="J21082" s="1">
        <v>45933.542696759258</v>
      </c>
    </row>
    <row r="21083" spans="1:10" x14ac:dyDescent="0.2">
      <c r="A21083" s="4" t="s">
        <v>1</v>
      </c>
      <c r="B2108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83" s="3" t="str">
        <f>HYPERLINK("https://otsuka-europe-crm.veevavault.com/ui/#object/sent_email__v/VBLZ025E82HA9HE", "SE-000283287")</f>
        <v>SE-000283287</v>
      </c>
      <c r="D21083" s="1">
        <v>45933.59648148148</v>
      </c>
      <c r="E21083" s="2">
        <v>1</v>
      </c>
      <c r="F21083" s="2">
        <v>1</v>
      </c>
      <c r="G21083" s="2">
        <v>1</v>
      </c>
      <c r="H21083" s="1">
        <v>45933.59679398148</v>
      </c>
      <c r="I21083" s="2">
        <v>1</v>
      </c>
      <c r="J21083" s="1">
        <v>45933.542256944442</v>
      </c>
    </row>
    <row r="21084" spans="1:10" x14ac:dyDescent="0.2">
      <c r="A21084" s="4" t="s">
        <v>1</v>
      </c>
      <c r="B2108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84" s="3" t="str">
        <f>HYPERLINK("https://otsuka-europe-crm.veevavault.com/ui/#object/sent_email__v/VBLZ025E82HA9HF", "SE-000283288")</f>
        <v>SE-000283288</v>
      </c>
      <c r="D21084" s="1">
        <v>45935.56150462963</v>
      </c>
      <c r="E21084" s="2">
        <v>1</v>
      </c>
      <c r="F21084" s="2">
        <v>1</v>
      </c>
      <c r="G21084" s="2">
        <v>0</v>
      </c>
      <c r="H21084" s="1" t="s">
        <v>0</v>
      </c>
      <c r="I21084" s="2">
        <v>0</v>
      </c>
      <c r="J21084" s="1">
        <v>45933.542407407411</v>
      </c>
    </row>
    <row r="21085" spans="1:10" x14ac:dyDescent="0.2">
      <c r="A21085" s="4" t="s">
        <v>1</v>
      </c>
      <c r="B2108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85" s="3" t="str">
        <f>HYPERLINK("https://otsuka-europe-crm.veevavault.com/ui/#object/sent_email__v/VBLZ025E82HA9HG", "SE-000283289")</f>
        <v>SE-000283289</v>
      </c>
      <c r="D21085" s="1">
        <v>45950.335636574076</v>
      </c>
      <c r="E21085" s="2">
        <v>1</v>
      </c>
      <c r="F21085" s="2">
        <v>4</v>
      </c>
      <c r="G21085" s="2">
        <v>0</v>
      </c>
      <c r="H21085" s="1" t="s">
        <v>0</v>
      </c>
      <c r="I21085" s="2">
        <v>0</v>
      </c>
      <c r="J21085" s="1">
        <v>45933.542673611111</v>
      </c>
    </row>
    <row r="21086" spans="1:10" x14ac:dyDescent="0.2">
      <c r="A21086" s="4" t="s">
        <v>1</v>
      </c>
      <c r="B2108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86" s="3" t="str">
        <f>HYPERLINK("https://otsuka-europe-crm.veevavault.com/ui/#object/sent_email__v/VBLZ025E82HA9HH", "SE-000283290")</f>
        <v>SE-000283290</v>
      </c>
      <c r="D21086" s="1" t="s">
        <v>0</v>
      </c>
      <c r="E21086" s="2">
        <v>0</v>
      </c>
      <c r="F21086" s="2">
        <v>0</v>
      </c>
      <c r="G21086" s="2">
        <v>0</v>
      </c>
      <c r="H21086" s="1" t="s">
        <v>0</v>
      </c>
      <c r="I21086" s="2">
        <v>0</v>
      </c>
      <c r="J21086" s="1">
        <v>45933.542233796295</v>
      </c>
    </row>
    <row r="21087" spans="1:10" x14ac:dyDescent="0.2">
      <c r="A21087" s="4" t="s">
        <v>1</v>
      </c>
      <c r="B2108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87" s="3" t="str">
        <f>HYPERLINK("https://otsuka-europe-crm.veevavault.com/ui/#object/sent_email__v/VBLZ025E82HA9HI", "SE-000283291")</f>
        <v>SE-000283291</v>
      </c>
      <c r="D21087" s="1">
        <v>45933.78328703704</v>
      </c>
      <c r="E21087" s="2">
        <v>1</v>
      </c>
      <c r="F21087" s="2">
        <v>2</v>
      </c>
      <c r="G21087" s="2">
        <v>1</v>
      </c>
      <c r="H21087" s="1">
        <v>45933.563032407408</v>
      </c>
      <c r="I21087" s="2">
        <v>2</v>
      </c>
      <c r="J21087" s="1">
        <v>45933.542407407411</v>
      </c>
    </row>
    <row r="21088" spans="1:10" x14ac:dyDescent="0.2">
      <c r="A21088" s="4" t="s">
        <v>1</v>
      </c>
      <c r="B2108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88" s="3" t="str">
        <f>HYPERLINK("https://otsuka-europe-crm.veevavault.com/ui/#object/sent_email__v/VBLZ025E82HA9HJ", "SE-000283292")</f>
        <v>SE-000283292</v>
      </c>
      <c r="D21088" s="1">
        <v>45935.721712962964</v>
      </c>
      <c r="E21088" s="2">
        <v>1</v>
      </c>
      <c r="F21088" s="2">
        <v>2</v>
      </c>
      <c r="G21088" s="2">
        <v>1</v>
      </c>
      <c r="H21088" s="1">
        <v>45933.586851851855</v>
      </c>
      <c r="I21088" s="2">
        <v>2</v>
      </c>
      <c r="J21088" s="1">
        <v>45933.542534722219</v>
      </c>
    </row>
    <row r="21089" spans="1:10" x14ac:dyDescent="0.2">
      <c r="A21089" s="4" t="s">
        <v>1</v>
      </c>
      <c r="B2108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89" s="3" t="str">
        <f>HYPERLINK("https://otsuka-europe-crm.veevavault.com/ui/#object/sent_email__v/VBLZ025E82HA9HK", "SE-000283293")</f>
        <v>SE-000283293</v>
      </c>
      <c r="D21089" s="1">
        <v>45934.34275462963</v>
      </c>
      <c r="E21089" s="2">
        <v>1</v>
      </c>
      <c r="F21089" s="2">
        <v>2</v>
      </c>
      <c r="G21089" s="2">
        <v>0</v>
      </c>
      <c r="H21089" s="1" t="s">
        <v>0</v>
      </c>
      <c r="I21089" s="2">
        <v>0</v>
      </c>
      <c r="J21089" s="1">
        <v>45933.542685185188</v>
      </c>
    </row>
    <row r="21090" spans="1:10" x14ac:dyDescent="0.2">
      <c r="A21090" s="4" t="s">
        <v>1</v>
      </c>
      <c r="B2109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90" s="3" t="str">
        <f>HYPERLINK("https://otsuka-europe-crm.veevavault.com/ui/#object/sent_email__v/VBLZ025E82HA9HL", "SE-000283294")</f>
        <v>SE-000283294</v>
      </c>
      <c r="D21090" s="1">
        <v>45952.804155092592</v>
      </c>
      <c r="E21090" s="2">
        <v>1</v>
      </c>
      <c r="F21090" s="2">
        <v>3</v>
      </c>
      <c r="G21090" s="2">
        <v>0</v>
      </c>
      <c r="H21090" s="1" t="s">
        <v>0</v>
      </c>
      <c r="I21090" s="2">
        <v>0</v>
      </c>
      <c r="J21090" s="1">
        <v>45933.542245370372</v>
      </c>
    </row>
    <row r="21091" spans="1:10" x14ac:dyDescent="0.2">
      <c r="A21091" s="4" t="s">
        <v>1</v>
      </c>
      <c r="B2109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91" s="3" t="str">
        <f>HYPERLINK("https://otsuka-europe-crm.veevavault.com/ui/#object/sent_email__v/VBLZ025E82HA9HM", "SE-000283295")</f>
        <v>SE-000283295</v>
      </c>
      <c r="D21091" s="1" t="s">
        <v>0</v>
      </c>
      <c r="E21091" s="2">
        <v>0</v>
      </c>
      <c r="F21091" s="2">
        <v>0</v>
      </c>
      <c r="G21091" s="2">
        <v>0</v>
      </c>
      <c r="H21091" s="1" t="s">
        <v>0</v>
      </c>
      <c r="I21091" s="2">
        <v>0</v>
      </c>
      <c r="J21091" s="1">
        <v>45933.542662037034</v>
      </c>
    </row>
    <row r="21092" spans="1:10" x14ac:dyDescent="0.2">
      <c r="A21092" s="4" t="s">
        <v>1</v>
      </c>
      <c r="B2109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92" s="3" t="str">
        <f>HYPERLINK("https://otsuka-europe-crm.veevavault.com/ui/#object/sent_email__v/VBLZ025E82HA9HN", "SE-000283296")</f>
        <v>SE-000283296</v>
      </c>
      <c r="D21092" s="1">
        <v>45933.677060185182</v>
      </c>
      <c r="E21092" s="2">
        <v>1</v>
      </c>
      <c r="F21092" s="2">
        <v>1</v>
      </c>
      <c r="G21092" s="2">
        <v>1</v>
      </c>
      <c r="H21092" s="1">
        <v>45933.677060185182</v>
      </c>
      <c r="I21092" s="2">
        <v>1</v>
      </c>
      <c r="J21092" s="1">
        <v>45933.542233796295</v>
      </c>
    </row>
    <row r="21093" spans="1:10" x14ac:dyDescent="0.2">
      <c r="A21093" s="4" t="s">
        <v>1</v>
      </c>
      <c r="B2109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93" s="3" t="str">
        <f>HYPERLINK("https://otsuka-europe-crm.veevavault.com/ui/#object/sent_email__v/VBLZ025E82HA9HO", "SE-000283297")</f>
        <v>SE-000283297</v>
      </c>
      <c r="D21093" s="1" t="s">
        <v>0</v>
      </c>
      <c r="E21093" s="2">
        <v>0</v>
      </c>
      <c r="F21093" s="2">
        <v>0</v>
      </c>
      <c r="G21093" s="2">
        <v>0</v>
      </c>
      <c r="H21093" s="1" t="s">
        <v>0</v>
      </c>
      <c r="I21093" s="2">
        <v>0</v>
      </c>
      <c r="J21093" s="1">
        <v>45933.542372685188</v>
      </c>
    </row>
    <row r="21094" spans="1:10" x14ac:dyDescent="0.2">
      <c r="A21094" s="4" t="s">
        <v>1</v>
      </c>
      <c r="B2109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94" s="3" t="str">
        <f>HYPERLINK("https://otsuka-europe-crm.veevavault.com/ui/#object/sent_email__v/VBLZ025E82HA9HP", "SE-000283298")</f>
        <v>SE-000283298</v>
      </c>
      <c r="D21094" s="1" t="s">
        <v>0</v>
      </c>
      <c r="E21094" s="2">
        <v>0</v>
      </c>
      <c r="F21094" s="2">
        <v>0</v>
      </c>
      <c r="G21094" s="2">
        <v>0</v>
      </c>
      <c r="H21094" s="1" t="s">
        <v>0</v>
      </c>
      <c r="I21094" s="2">
        <v>0</v>
      </c>
      <c r="J21094" s="1">
        <v>45933.542511574073</v>
      </c>
    </row>
    <row r="21095" spans="1:10" x14ac:dyDescent="0.2">
      <c r="A21095" s="4" t="s">
        <v>1</v>
      </c>
      <c r="B2109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95" s="3" t="str">
        <f>HYPERLINK("https://otsuka-europe-crm.veevavault.com/ui/#object/sent_email__v/VBLZ025E82HA9HQ", "SE-000283299")</f>
        <v>SE-000283299</v>
      </c>
      <c r="D21095" s="1">
        <v>45935.403784722221</v>
      </c>
      <c r="E21095" s="2">
        <v>1</v>
      </c>
      <c r="F21095" s="2">
        <v>2</v>
      </c>
      <c r="G21095" s="2">
        <v>0</v>
      </c>
      <c r="H21095" s="1" t="s">
        <v>0</v>
      </c>
      <c r="I21095" s="2">
        <v>0</v>
      </c>
      <c r="J21095" s="1">
        <v>45933.542650462965</v>
      </c>
    </row>
    <row r="21096" spans="1:10" x14ac:dyDescent="0.2">
      <c r="A21096" s="4" t="s">
        <v>1</v>
      </c>
      <c r="B2109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96" s="3" t="str">
        <f>HYPERLINK("https://otsuka-europe-crm.veevavault.com/ui/#object/sent_email__v/VBLZ025E82HA9HR", "SE-000283300")</f>
        <v>SE-000283300</v>
      </c>
      <c r="D21096" s="1">
        <v>45933.573240740741</v>
      </c>
      <c r="E21096" s="2">
        <v>1</v>
      </c>
      <c r="F21096" s="2">
        <v>1</v>
      </c>
      <c r="G21096" s="2">
        <v>0</v>
      </c>
      <c r="H21096" s="1" t="s">
        <v>0</v>
      </c>
      <c r="I21096" s="2">
        <v>0</v>
      </c>
      <c r="J21096" s="1">
        <v>45933.542233796295</v>
      </c>
    </row>
    <row r="21097" spans="1:10" x14ac:dyDescent="0.2">
      <c r="A21097" s="4" t="s">
        <v>1</v>
      </c>
      <c r="B2109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97" s="3" t="str">
        <f>HYPERLINK("https://otsuka-europe-crm.veevavault.com/ui/#object/sent_email__v/VBLZ025E82HA9HS", "SE-000283301")</f>
        <v>SE-000283301</v>
      </c>
      <c r="D21097" s="1">
        <v>45934.631342592591</v>
      </c>
      <c r="E21097" s="2">
        <v>1</v>
      </c>
      <c r="F21097" s="2">
        <v>3</v>
      </c>
      <c r="G21097" s="2">
        <v>0</v>
      </c>
      <c r="H21097" s="1" t="s">
        <v>0</v>
      </c>
      <c r="I21097" s="2">
        <v>0</v>
      </c>
      <c r="J21097" s="1">
        <v>45933.542604166665</v>
      </c>
    </row>
    <row r="21098" spans="1:10" x14ac:dyDescent="0.2">
      <c r="A21098" s="4" t="s">
        <v>1</v>
      </c>
      <c r="B2109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98" s="3" t="str">
        <f>HYPERLINK("https://otsuka-europe-crm.veevavault.com/ui/#object/sent_email__v/VBLZ025E82HA9HT", "SE-000283302")</f>
        <v>SE-000283302</v>
      </c>
      <c r="D21098" s="1">
        <v>45933.543321759258</v>
      </c>
      <c r="E21098" s="2">
        <v>1</v>
      </c>
      <c r="F21098" s="2">
        <v>1</v>
      </c>
      <c r="G21098" s="2">
        <v>0</v>
      </c>
      <c r="H21098" s="1" t="s">
        <v>0</v>
      </c>
      <c r="I21098" s="2">
        <v>0</v>
      </c>
      <c r="J21098" s="1">
        <v>45933.542731481481</v>
      </c>
    </row>
    <row r="21099" spans="1:10" x14ac:dyDescent="0.2">
      <c r="A21099" s="4" t="s">
        <v>1</v>
      </c>
      <c r="B2109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099" s="3" t="str">
        <f>HYPERLINK("https://otsuka-europe-crm.veevavault.com/ui/#object/sent_email__v/VBLZ025E82HA9HU", "SE-000283303")</f>
        <v>SE-000283303</v>
      </c>
      <c r="D21099" s="1">
        <v>45940.922175925924</v>
      </c>
      <c r="E21099" s="2">
        <v>1</v>
      </c>
      <c r="F21099" s="2">
        <v>2</v>
      </c>
      <c r="G21099" s="2">
        <v>0</v>
      </c>
      <c r="H21099" s="1" t="s">
        <v>0</v>
      </c>
      <c r="I21099" s="2">
        <v>0</v>
      </c>
      <c r="J21099" s="1">
        <v>45933.542314814818</v>
      </c>
    </row>
    <row r="21100" spans="1:10" x14ac:dyDescent="0.2">
      <c r="A21100" s="4" t="s">
        <v>1</v>
      </c>
      <c r="B2110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00" s="3" t="str">
        <f>HYPERLINK("https://otsuka-europe-crm.veevavault.com/ui/#object/sent_email__v/VBLZ025E82HA9HV", "SE-000283304")</f>
        <v>SE-000283304</v>
      </c>
      <c r="D21100" s="1">
        <v>45933.833368055559</v>
      </c>
      <c r="E21100" s="2">
        <v>1</v>
      </c>
      <c r="F21100" s="2">
        <v>1</v>
      </c>
      <c r="G21100" s="2">
        <v>0</v>
      </c>
      <c r="H21100" s="1" t="s">
        <v>0</v>
      </c>
      <c r="I21100" s="2">
        <v>0</v>
      </c>
      <c r="J21100" s="1">
        <v>45933.54241898148</v>
      </c>
    </row>
    <row r="21101" spans="1:10" x14ac:dyDescent="0.2">
      <c r="A21101" s="4" t="s">
        <v>1</v>
      </c>
      <c r="B2110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01" s="3" t="str">
        <f>HYPERLINK("https://otsuka-europe-crm.veevavault.com/ui/#object/sent_email__v/VBLZ025E82HA9HW", "SE-000283305")</f>
        <v>SE-000283305</v>
      </c>
      <c r="D21101" s="1">
        <v>45933.75582175926</v>
      </c>
      <c r="E21101" s="2">
        <v>1</v>
      </c>
      <c r="F21101" s="2">
        <v>4</v>
      </c>
      <c r="G21101" s="2">
        <v>0</v>
      </c>
      <c r="H21101" s="1" t="s">
        <v>0</v>
      </c>
      <c r="I21101" s="2">
        <v>0</v>
      </c>
      <c r="J21101" s="1">
        <v>45933.542569444442</v>
      </c>
    </row>
    <row r="21102" spans="1:10" x14ac:dyDescent="0.2">
      <c r="A21102" s="4" t="s">
        <v>1</v>
      </c>
      <c r="B2110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02" s="3" t="str">
        <f>HYPERLINK("https://otsuka-europe-crm.veevavault.com/ui/#object/sent_email__v/VBLZ025E82HA9HX", "SE-000283306")</f>
        <v>SE-000283306</v>
      </c>
      <c r="D21102" s="1" t="s">
        <v>0</v>
      </c>
      <c r="E21102" s="2">
        <v>0</v>
      </c>
      <c r="F21102" s="2">
        <v>0</v>
      </c>
      <c r="G21102" s="2">
        <v>0</v>
      </c>
      <c r="H21102" s="1" t="s">
        <v>0</v>
      </c>
      <c r="I21102" s="2">
        <v>0</v>
      </c>
      <c r="J21102" s="1">
        <v>45933.542719907404</v>
      </c>
    </row>
    <row r="21103" spans="1:10" x14ac:dyDescent="0.2">
      <c r="A21103" s="4" t="s">
        <v>1</v>
      </c>
      <c r="B2110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03" s="3" t="str">
        <f>HYPERLINK("https://otsuka-europe-crm.veevavault.com/ui/#object/sent_email__v/VBLZ025E82HA9HY", "SE-000283307")</f>
        <v>SE-000283307</v>
      </c>
      <c r="D21103" s="1">
        <v>45933.591493055559</v>
      </c>
      <c r="E21103" s="2">
        <v>1</v>
      </c>
      <c r="F21103" s="2">
        <v>2</v>
      </c>
      <c r="G21103" s="2">
        <v>0</v>
      </c>
      <c r="H21103" s="1" t="s">
        <v>0</v>
      </c>
      <c r="I21103" s="2">
        <v>0</v>
      </c>
      <c r="J21103" s="1">
        <v>45933.542326388888</v>
      </c>
    </row>
    <row r="21104" spans="1:10" x14ac:dyDescent="0.2">
      <c r="A21104" s="4" t="s">
        <v>1</v>
      </c>
      <c r="B2110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04" s="3" t="str">
        <f>HYPERLINK("https://otsuka-europe-crm.veevavault.com/ui/#object/sent_email__v/VBLZ025E82HA9HZ", "SE-000283308")</f>
        <v>SE-000283308</v>
      </c>
      <c r="D21104" s="1" t="s">
        <v>0</v>
      </c>
      <c r="E21104" s="2">
        <v>0</v>
      </c>
      <c r="F21104" s="2">
        <v>0</v>
      </c>
      <c r="G21104" s="2">
        <v>0</v>
      </c>
      <c r="H21104" s="1" t="s">
        <v>0</v>
      </c>
      <c r="I21104" s="2">
        <v>0</v>
      </c>
      <c r="J21104" s="1">
        <v>45933.542453703703</v>
      </c>
    </row>
    <row r="21105" spans="1:10" x14ac:dyDescent="0.2">
      <c r="A21105" s="4" t="s">
        <v>1</v>
      </c>
      <c r="B2110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05" s="3" t="str">
        <f>HYPERLINK("https://otsuka-europe-crm.veevavault.com/ui/#object/sent_email__v/VBLZ025E82HA9I0", "SE-000283309")</f>
        <v>SE-000283309</v>
      </c>
      <c r="D21105" s="1">
        <v>45934.783321759256</v>
      </c>
      <c r="E21105" s="2">
        <v>1</v>
      </c>
      <c r="F21105" s="2">
        <v>2</v>
      </c>
      <c r="G21105" s="2">
        <v>0</v>
      </c>
      <c r="H21105" s="1" t="s">
        <v>0</v>
      </c>
      <c r="I21105" s="2">
        <v>0</v>
      </c>
      <c r="J21105" s="1">
        <v>45933.542592592596</v>
      </c>
    </row>
    <row r="21106" spans="1:10" x14ac:dyDescent="0.2">
      <c r="A21106" s="4" t="s">
        <v>1</v>
      </c>
      <c r="B2110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06" s="3" t="str">
        <f>HYPERLINK("https://otsuka-europe-crm.veevavault.com/ui/#object/sent_email__v/VBLZ025E82HA9I1", "SE-000283310")</f>
        <v>SE-000283310</v>
      </c>
      <c r="D21106" s="1" t="s">
        <v>0</v>
      </c>
      <c r="E21106" s="2">
        <v>0</v>
      </c>
      <c r="F21106" s="2">
        <v>0</v>
      </c>
      <c r="G21106" s="2">
        <v>0</v>
      </c>
      <c r="H21106" s="1" t="s">
        <v>0</v>
      </c>
      <c r="I21106" s="2">
        <v>0</v>
      </c>
      <c r="J21106" s="1">
        <v>45933.542743055557</v>
      </c>
    </row>
    <row r="21107" spans="1:10" x14ac:dyDescent="0.2">
      <c r="A21107" s="4" t="s">
        <v>1</v>
      </c>
      <c r="B2110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07" s="3" t="str">
        <f>HYPERLINK("https://otsuka-europe-crm.veevavault.com/ui/#object/sent_email__v/VBLZ025E82HA9I2", "SE-000283311")</f>
        <v>SE-000283311</v>
      </c>
      <c r="D21107" s="1" t="s">
        <v>0</v>
      </c>
      <c r="E21107" s="2">
        <v>0</v>
      </c>
      <c r="F21107" s="2">
        <v>0</v>
      </c>
      <c r="G21107" s="2">
        <v>0</v>
      </c>
      <c r="H21107" s="1" t="s">
        <v>0</v>
      </c>
      <c r="I21107" s="2">
        <v>0</v>
      </c>
      <c r="J21107" s="1">
        <v>45933.542384259257</v>
      </c>
    </row>
    <row r="21108" spans="1:10" x14ac:dyDescent="0.2">
      <c r="A21108" s="4" t="s">
        <v>1</v>
      </c>
      <c r="B2110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08" s="3" t="str">
        <f>HYPERLINK("https://otsuka-europe-crm.veevavault.com/ui/#object/sent_email__v/VBLZ025E82HA9I3", "SE-000283312")</f>
        <v>SE-000283312</v>
      </c>
      <c r="D21108" s="1">
        <v>45935.549699074072</v>
      </c>
      <c r="E21108" s="2">
        <v>1</v>
      </c>
      <c r="F21108" s="2">
        <v>2</v>
      </c>
      <c r="G21108" s="2">
        <v>0</v>
      </c>
      <c r="H21108" s="1" t="s">
        <v>0</v>
      </c>
      <c r="I21108" s="2">
        <v>0</v>
      </c>
      <c r="J21108" s="1">
        <v>45933.54246527778</v>
      </c>
    </row>
    <row r="21109" spans="1:10" x14ac:dyDescent="0.2">
      <c r="A21109" s="4" t="s">
        <v>1</v>
      </c>
      <c r="B2110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09" s="3" t="str">
        <f>HYPERLINK("https://otsuka-europe-crm.veevavault.com/ui/#object/sent_email__v/VBLZ025E82HA9I4", "SE-000283313")</f>
        <v>SE-000283313</v>
      </c>
      <c r="D21109" s="1">
        <v>45934.466909722221</v>
      </c>
      <c r="E21109" s="2">
        <v>1</v>
      </c>
      <c r="F21109" s="2">
        <v>2</v>
      </c>
      <c r="G21109" s="2">
        <v>0</v>
      </c>
      <c r="H21109" s="1" t="s">
        <v>0</v>
      </c>
      <c r="I21109" s="2">
        <v>0</v>
      </c>
      <c r="J21109" s="1">
        <v>45933.542627314811</v>
      </c>
    </row>
    <row r="21110" spans="1:10" x14ac:dyDescent="0.2">
      <c r="A21110" s="4" t="s">
        <v>1</v>
      </c>
      <c r="B2111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10" s="3" t="str">
        <f>HYPERLINK("https://otsuka-europe-crm.veevavault.com/ui/#object/sent_email__v/VBLZ025E82HA9I5", "SE-000283314")</f>
        <v>SE-000283314</v>
      </c>
      <c r="D21110" s="1" t="s">
        <v>0</v>
      </c>
      <c r="E21110" s="2">
        <v>0</v>
      </c>
      <c r="F21110" s="2">
        <v>0</v>
      </c>
      <c r="G21110" s="2">
        <v>0</v>
      </c>
      <c r="H21110" s="1" t="s">
        <v>0</v>
      </c>
      <c r="I21110" s="2">
        <v>0</v>
      </c>
      <c r="J21110" s="1">
        <v>45933.54278935185</v>
      </c>
    </row>
    <row r="21111" spans="1:10" x14ac:dyDescent="0.2">
      <c r="A21111" s="4" t="s">
        <v>1</v>
      </c>
      <c r="B2111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11" s="3" t="str">
        <f>HYPERLINK("https://otsuka-europe-crm.veevavault.com/ui/#object/sent_email__v/VBLZ025E82HA9I6", "SE-000283315")</f>
        <v>SE-000283315</v>
      </c>
      <c r="D21111" s="1">
        <v>45934.169027777774</v>
      </c>
      <c r="E21111" s="2">
        <v>1</v>
      </c>
      <c r="F21111" s="2">
        <v>1</v>
      </c>
      <c r="G21111" s="2">
        <v>0</v>
      </c>
      <c r="H21111" s="1" t="s">
        <v>0</v>
      </c>
      <c r="I21111" s="2">
        <v>0</v>
      </c>
      <c r="J21111" s="1">
        <v>45933.542372685188</v>
      </c>
    </row>
    <row r="21112" spans="1:10" x14ac:dyDescent="0.2">
      <c r="A21112" s="4" t="s">
        <v>1</v>
      </c>
      <c r="B2111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12" s="3" t="str">
        <f>HYPERLINK("https://otsuka-europe-crm.veevavault.com/ui/#object/sent_email__v/VBLZ025E82HA9I7", "SE-000283316")</f>
        <v>SE-000283316</v>
      </c>
      <c r="D21112" s="1">
        <v>45936.966273148151</v>
      </c>
      <c r="E21112" s="2">
        <v>1</v>
      </c>
      <c r="F21112" s="2">
        <v>20</v>
      </c>
      <c r="G21112" s="2">
        <v>1</v>
      </c>
      <c r="H21112" s="1">
        <v>45933.550844907404</v>
      </c>
      <c r="I21112" s="2">
        <v>1</v>
      </c>
      <c r="J21112" s="1">
        <v>45933.542500000003</v>
      </c>
    </row>
    <row r="21113" spans="1:10" x14ac:dyDescent="0.2">
      <c r="A21113" s="4" t="s">
        <v>1</v>
      </c>
      <c r="B2111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13" s="3" t="str">
        <f>HYPERLINK("https://otsuka-europe-crm.veevavault.com/ui/#object/sent_email__v/VBLZ025E82HA9I8", "SE-000283317")</f>
        <v>SE-000283317</v>
      </c>
      <c r="D21113" s="1">
        <v>45935.394097222219</v>
      </c>
      <c r="E21113" s="2">
        <v>1</v>
      </c>
      <c r="F21113" s="2">
        <v>2</v>
      </c>
      <c r="G21113" s="2">
        <v>1</v>
      </c>
      <c r="H21113" s="1">
        <v>45935.394363425927</v>
      </c>
      <c r="I21113" s="2">
        <v>1</v>
      </c>
      <c r="J21113" s="1">
        <v>45933.542615740742</v>
      </c>
    </row>
    <row r="21114" spans="1:10" x14ac:dyDescent="0.2">
      <c r="A21114" s="4" t="s">
        <v>1</v>
      </c>
      <c r="B2111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14" s="3" t="str">
        <f>HYPERLINK("https://otsuka-europe-crm.veevavault.com/ui/#object/sent_email__v/VBLZ025E82HA9I9", "SE-000283318")</f>
        <v>SE-000283318</v>
      </c>
      <c r="D21114" s="1">
        <v>45933.551782407405</v>
      </c>
      <c r="E21114" s="2">
        <v>1</v>
      </c>
      <c r="F21114" s="2">
        <v>1</v>
      </c>
      <c r="G21114" s="2">
        <v>0</v>
      </c>
      <c r="H21114" s="1" t="s">
        <v>0</v>
      </c>
      <c r="I21114" s="2">
        <v>0</v>
      </c>
      <c r="J21114" s="1">
        <v>45933.54277777778</v>
      </c>
    </row>
    <row r="21115" spans="1:10" x14ac:dyDescent="0.2">
      <c r="A21115" s="4" t="s">
        <v>1</v>
      </c>
      <c r="B2111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15" s="3" t="str">
        <f>HYPERLINK("https://otsuka-europe-crm.veevavault.com/ui/#object/sent_email__v/VBLZ025E82HA9IA", "SE-000283319")</f>
        <v>SE-000283319</v>
      </c>
      <c r="D21115" s="1">
        <v>45944.342395833337</v>
      </c>
      <c r="E21115" s="2">
        <v>1</v>
      </c>
      <c r="F21115" s="2">
        <v>1</v>
      </c>
      <c r="G21115" s="2">
        <v>0</v>
      </c>
      <c r="H21115" s="1" t="s">
        <v>0</v>
      </c>
      <c r="I21115" s="2">
        <v>0</v>
      </c>
      <c r="J21115" s="1">
        <v>45933.542303240742</v>
      </c>
    </row>
    <row r="21116" spans="1:10" x14ac:dyDescent="0.2">
      <c r="A21116" s="4" t="s">
        <v>1</v>
      </c>
      <c r="B2111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16" s="3" t="str">
        <f>HYPERLINK("https://otsuka-europe-crm.veevavault.com/ui/#object/sent_email__v/VBLZ025E82HA9IB", "SE-000283320")</f>
        <v>SE-000283320</v>
      </c>
      <c r="D21116" s="1" t="s">
        <v>0</v>
      </c>
      <c r="E21116" s="2">
        <v>0</v>
      </c>
      <c r="F21116" s="2">
        <v>0</v>
      </c>
      <c r="G21116" s="2">
        <v>0</v>
      </c>
      <c r="H21116" s="1" t="s">
        <v>0</v>
      </c>
      <c r="I21116" s="2">
        <v>0</v>
      </c>
      <c r="J21116" s="1">
        <v>45933.542442129627</v>
      </c>
    </row>
    <row r="21117" spans="1:10" x14ac:dyDescent="0.2">
      <c r="A21117" s="4" t="s">
        <v>1</v>
      </c>
      <c r="B2111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17" s="3" t="str">
        <f>HYPERLINK("https://otsuka-europe-crm.veevavault.com/ui/#object/sent_email__v/VBLZ025E82HA9IC", "SE-000283321")</f>
        <v>SE-000283321</v>
      </c>
      <c r="D21117" s="1" t="s">
        <v>0</v>
      </c>
      <c r="E21117" s="2">
        <v>0</v>
      </c>
      <c r="F21117" s="2">
        <v>0</v>
      </c>
      <c r="G21117" s="2">
        <v>0</v>
      </c>
      <c r="H21117" s="1" t="s">
        <v>0</v>
      </c>
      <c r="I21117" s="2">
        <v>0</v>
      </c>
      <c r="J21117" s="1">
        <v>45933.542604166665</v>
      </c>
    </row>
    <row r="21118" spans="1:10" x14ac:dyDescent="0.2">
      <c r="A21118" s="4" t="s">
        <v>1</v>
      </c>
      <c r="B2111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18" s="3" t="str">
        <f>HYPERLINK("https://otsuka-europe-crm.veevavault.com/ui/#object/sent_email__v/VBLZ025E82HA9ID", "SE-000283322")</f>
        <v>SE-000283322</v>
      </c>
      <c r="D21118" s="1" t="s">
        <v>0</v>
      </c>
      <c r="E21118" s="2">
        <v>0</v>
      </c>
      <c r="F21118" s="2">
        <v>0</v>
      </c>
      <c r="G21118" s="2">
        <v>0</v>
      </c>
      <c r="H21118" s="1" t="s">
        <v>0</v>
      </c>
      <c r="I21118" s="2">
        <v>0</v>
      </c>
      <c r="J21118" s="1">
        <v>45933.542766203704</v>
      </c>
    </row>
    <row r="21119" spans="1:10" x14ac:dyDescent="0.2">
      <c r="A21119" s="4" t="s">
        <v>1</v>
      </c>
      <c r="B2111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19" s="3" t="str">
        <f>HYPERLINK("https://otsuka-europe-crm.veevavault.com/ui/#object/sent_email__v/VBLZ025E82HA9IE", "SE-000283323")</f>
        <v>SE-000283323</v>
      </c>
      <c r="D21119" s="1">
        <v>45941.509791666664</v>
      </c>
      <c r="E21119" s="2">
        <v>1</v>
      </c>
      <c r="F21119" s="2">
        <v>3</v>
      </c>
      <c r="G21119" s="2">
        <v>0</v>
      </c>
      <c r="H21119" s="1" t="s">
        <v>0</v>
      </c>
      <c r="I21119" s="2">
        <v>0</v>
      </c>
      <c r="J21119" s="1">
        <v>45933.542245370372</v>
      </c>
    </row>
    <row r="21120" spans="1:10" x14ac:dyDescent="0.2">
      <c r="A21120" s="4" t="s">
        <v>1</v>
      </c>
      <c r="B2112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20" s="3" t="str">
        <f>HYPERLINK("https://otsuka-europe-crm.veevavault.com/ui/#object/sent_email__v/VBLZ025E82HA9IF", "SE-000283324")</f>
        <v>SE-000283324</v>
      </c>
      <c r="D21120" s="1">
        <v>45936.432002314818</v>
      </c>
      <c r="E21120" s="2">
        <v>1</v>
      </c>
      <c r="F21120" s="2">
        <v>1</v>
      </c>
      <c r="G21120" s="2">
        <v>1</v>
      </c>
      <c r="H21120" s="1">
        <v>45936.432002314818</v>
      </c>
      <c r="I21120" s="2">
        <v>1</v>
      </c>
      <c r="J21120" s="1">
        <v>45933.542407407411</v>
      </c>
    </row>
    <row r="21121" spans="1:10" x14ac:dyDescent="0.2">
      <c r="A21121" s="4" t="s">
        <v>1</v>
      </c>
      <c r="B2112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21" s="3" t="str">
        <f>HYPERLINK("https://otsuka-europe-crm.veevavault.com/ui/#object/sent_email__v/VBLZ025E82HA9IG", "SE-000283325")</f>
        <v>SE-000283325</v>
      </c>
      <c r="D21121" s="1">
        <v>45933.861921296295</v>
      </c>
      <c r="E21121" s="2">
        <v>1</v>
      </c>
      <c r="F21121" s="2">
        <v>1</v>
      </c>
      <c r="G21121" s="2">
        <v>0</v>
      </c>
      <c r="H21121" s="1" t="s">
        <v>0</v>
      </c>
      <c r="I21121" s="2">
        <v>0</v>
      </c>
      <c r="J21121" s="1">
        <v>45933.542557870373</v>
      </c>
    </row>
    <row r="21122" spans="1:10" x14ac:dyDescent="0.2">
      <c r="A21122" s="4" t="s">
        <v>1</v>
      </c>
      <c r="B2112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22" s="3" t="str">
        <f>HYPERLINK("https://otsuka-europe-crm.veevavault.com/ui/#object/sent_email__v/VBLZ025E82HA9IH", "SE-000283326")</f>
        <v>SE-000283326</v>
      </c>
      <c r="D21122" s="1">
        <v>45949.673379629632</v>
      </c>
      <c r="E21122" s="2">
        <v>1</v>
      </c>
      <c r="F21122" s="2">
        <v>2</v>
      </c>
      <c r="G21122" s="2">
        <v>0</v>
      </c>
      <c r="H21122" s="1" t="s">
        <v>0</v>
      </c>
      <c r="I21122" s="2">
        <v>0</v>
      </c>
      <c r="J21122" s="1">
        <v>45933.542696759258</v>
      </c>
    </row>
    <row r="21123" spans="1:10" x14ac:dyDescent="0.2">
      <c r="A21123" s="4" t="s">
        <v>1</v>
      </c>
      <c r="B2112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23" s="3" t="str">
        <f>HYPERLINK("https://otsuka-europe-crm.veevavault.com/ui/#object/sent_email__v/VBLZ025E82HA9II", "SE-000283327")</f>
        <v>SE-000283327</v>
      </c>
      <c r="D21123" s="1">
        <v>45946.977187500001</v>
      </c>
      <c r="E21123" s="2">
        <v>1</v>
      </c>
      <c r="F21123" s="2">
        <v>2</v>
      </c>
      <c r="G21123" s="2">
        <v>0</v>
      </c>
      <c r="H21123" s="1" t="s">
        <v>0</v>
      </c>
      <c r="I21123" s="2">
        <v>0</v>
      </c>
      <c r="J21123" s="1">
        <v>45933.542268518519</v>
      </c>
    </row>
    <row r="21124" spans="1:10" x14ac:dyDescent="0.2">
      <c r="A21124" s="4" t="s">
        <v>1</v>
      </c>
      <c r="B2112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24" s="3" t="str">
        <f>HYPERLINK("https://otsuka-europe-crm.veevavault.com/ui/#object/sent_email__v/VBLZ025E82HA9IJ", "SE-000283328")</f>
        <v>SE-000283328</v>
      </c>
      <c r="D21124" s="1" t="s">
        <v>0</v>
      </c>
      <c r="E21124" s="2">
        <v>0</v>
      </c>
      <c r="F21124" s="2">
        <v>0</v>
      </c>
      <c r="G21124" s="2">
        <v>0</v>
      </c>
      <c r="H21124" s="1" t="s">
        <v>0</v>
      </c>
      <c r="I21124" s="2">
        <v>0</v>
      </c>
      <c r="J21124" s="1">
        <v>45933.54241898148</v>
      </c>
    </row>
    <row r="21125" spans="1:10" x14ac:dyDescent="0.2">
      <c r="A21125" s="4" t="s">
        <v>1</v>
      </c>
      <c r="B2112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25" s="3" t="str">
        <f>HYPERLINK("https://otsuka-europe-crm.veevavault.com/ui/#object/sent_email__v/VBLZ025E82HA9IK", "SE-000283329")</f>
        <v>SE-000283329</v>
      </c>
      <c r="D21125" s="1" t="s">
        <v>0</v>
      </c>
      <c r="E21125" s="2">
        <v>0</v>
      </c>
      <c r="F21125" s="2">
        <v>0</v>
      </c>
      <c r="G21125" s="2">
        <v>0</v>
      </c>
      <c r="H21125" s="1" t="s">
        <v>0</v>
      </c>
      <c r="I21125" s="2">
        <v>0</v>
      </c>
      <c r="J21125" s="1">
        <v>45933.542592592596</v>
      </c>
    </row>
    <row r="21126" spans="1:10" x14ac:dyDescent="0.2">
      <c r="A21126" s="4" t="s">
        <v>1</v>
      </c>
      <c r="B2112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26" s="3" t="str">
        <f>HYPERLINK("https://otsuka-europe-crm.veevavault.com/ui/#object/sent_email__v/VBLZ025E82HA9IL", "SE-000283330")</f>
        <v>SE-000283330</v>
      </c>
      <c r="D21126" s="1">
        <v>45940.512835648151</v>
      </c>
      <c r="E21126" s="2">
        <v>1</v>
      </c>
      <c r="F21126" s="2">
        <v>2</v>
      </c>
      <c r="G21126" s="2">
        <v>0</v>
      </c>
      <c r="H21126" s="1" t="s">
        <v>0</v>
      </c>
      <c r="I21126" s="2">
        <v>0</v>
      </c>
      <c r="J21126" s="1">
        <v>45933.542719907404</v>
      </c>
    </row>
    <row r="21127" spans="1:10" x14ac:dyDescent="0.2">
      <c r="A21127" s="4" t="s">
        <v>1</v>
      </c>
      <c r="B2112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27" s="3" t="str">
        <f>HYPERLINK("https://otsuka-europe-crm.veevavault.com/ui/#object/sent_email__v/VBLZ025E82HA9IM", "SE-000283331")</f>
        <v>SE-000283331</v>
      </c>
      <c r="D21127" s="1">
        <v>45936.362812500003</v>
      </c>
      <c r="E21127" s="2">
        <v>1</v>
      </c>
      <c r="F21127" s="2">
        <v>3</v>
      </c>
      <c r="G21127" s="2">
        <v>0</v>
      </c>
      <c r="H21127" s="1" t="s">
        <v>0</v>
      </c>
      <c r="I21127" s="2">
        <v>0</v>
      </c>
      <c r="J21127" s="1">
        <v>45933.542546296296</v>
      </c>
    </row>
    <row r="21128" spans="1:10" x14ac:dyDescent="0.2">
      <c r="A21128" s="4" t="s">
        <v>1</v>
      </c>
      <c r="B2112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28" s="3" t="str">
        <f>HYPERLINK("https://otsuka-europe-crm.veevavault.com/ui/#object/sent_email__v/VBLZ025E82HA9IN", "SE-000283332")</f>
        <v>SE-000283332</v>
      </c>
      <c r="D21128" s="1">
        <v>45935.715474537035</v>
      </c>
      <c r="E21128" s="2">
        <v>1</v>
      </c>
      <c r="F21128" s="2">
        <v>3</v>
      </c>
      <c r="G21128" s="2">
        <v>0</v>
      </c>
      <c r="H21128" s="1" t="s">
        <v>0</v>
      </c>
      <c r="I21128" s="2">
        <v>0</v>
      </c>
      <c r="J21128" s="1">
        <v>45933.542673611111</v>
      </c>
    </row>
    <row r="21129" spans="1:10" x14ac:dyDescent="0.2">
      <c r="A21129" s="4" t="s">
        <v>1</v>
      </c>
      <c r="B2112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29" s="3" t="str">
        <f>HYPERLINK("https://otsuka-europe-crm.veevavault.com/ui/#object/sent_email__v/VBLZ025E82HA9MD", "SE-000283333")</f>
        <v>SE-000283333</v>
      </c>
      <c r="D21129" s="1" t="s">
        <v>0</v>
      </c>
      <c r="E21129" s="2">
        <v>0</v>
      </c>
      <c r="F21129" s="2">
        <v>0</v>
      </c>
      <c r="G21129" s="2">
        <v>0</v>
      </c>
      <c r="H21129" s="1" t="s">
        <v>0</v>
      </c>
      <c r="I21129" s="2">
        <v>0</v>
      </c>
      <c r="J21129" s="1">
        <v>45933.542881944442</v>
      </c>
    </row>
    <row r="21130" spans="1:10" x14ac:dyDescent="0.2">
      <c r="A21130" s="4" t="s">
        <v>1</v>
      </c>
      <c r="B2113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30" s="3" t="str">
        <f>HYPERLINK("https://otsuka-europe-crm.veevavault.com/ui/#object/sent_email__v/VBLZ025E82HA9ME", "SE-000283334")</f>
        <v>SE-000283334</v>
      </c>
      <c r="D21130" s="1" t="s">
        <v>0</v>
      </c>
      <c r="E21130" s="2">
        <v>0</v>
      </c>
      <c r="F21130" s="2">
        <v>0</v>
      </c>
      <c r="G21130" s="2">
        <v>0</v>
      </c>
      <c r="H21130" s="1" t="s">
        <v>0</v>
      </c>
      <c r="I21130" s="2">
        <v>0</v>
      </c>
      <c r="J21130" s="1">
        <v>45933.542893518519</v>
      </c>
    </row>
    <row r="21131" spans="1:10" x14ac:dyDescent="0.2">
      <c r="A21131" s="4" t="s">
        <v>1</v>
      </c>
      <c r="B2113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31" s="3" t="str">
        <f>HYPERLINK("https://otsuka-europe-crm.veevavault.com/ui/#object/sent_email__v/VBLZ025E82HA9MF", "SE-000283335")</f>
        <v>SE-000283335</v>
      </c>
      <c r="D21131" s="1">
        <v>45933.79351851852</v>
      </c>
      <c r="E21131" s="2">
        <v>1</v>
      </c>
      <c r="F21131" s="2">
        <v>1</v>
      </c>
      <c r="G21131" s="2">
        <v>1</v>
      </c>
      <c r="H21131" s="1">
        <v>45933.79351851852</v>
      </c>
      <c r="I21131" s="2">
        <v>1</v>
      </c>
      <c r="J21131" s="1">
        <v>45933.542905092596</v>
      </c>
    </row>
    <row r="21132" spans="1:10" x14ac:dyDescent="0.2">
      <c r="A21132" s="4" t="s">
        <v>1</v>
      </c>
      <c r="B2113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32" s="3" t="str">
        <f>HYPERLINK("https://otsuka-europe-crm.veevavault.com/ui/#object/sent_email__v/VBLZ025E82HA9MG", "SE-000283336")</f>
        <v>SE-000283336</v>
      </c>
      <c r="D21132" s="1">
        <v>45934.060196759259</v>
      </c>
      <c r="E21132" s="2">
        <v>1</v>
      </c>
      <c r="F21132" s="2">
        <v>1</v>
      </c>
      <c r="G21132" s="2">
        <v>0</v>
      </c>
      <c r="H21132" s="1" t="s">
        <v>0</v>
      </c>
      <c r="I21132" s="2">
        <v>0</v>
      </c>
      <c r="J21132" s="1">
        <v>45933.542905092596</v>
      </c>
    </row>
    <row r="21133" spans="1:10" x14ac:dyDescent="0.2">
      <c r="A21133" s="4" t="s">
        <v>1</v>
      </c>
      <c r="B2113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33" s="3" t="str">
        <f>HYPERLINK("https://otsuka-europe-crm.veevavault.com/ui/#object/sent_email__v/VBLZ025E82HA9MH", "SE-000283337")</f>
        <v>SE-000283337</v>
      </c>
      <c r="D21133" s="1">
        <v>45933.545011574075</v>
      </c>
      <c r="E21133" s="2">
        <v>1</v>
      </c>
      <c r="F21133" s="2">
        <v>1</v>
      </c>
      <c r="G21133" s="2">
        <v>0</v>
      </c>
      <c r="H21133" s="1" t="s">
        <v>0</v>
      </c>
      <c r="I21133" s="2">
        <v>0</v>
      </c>
      <c r="J21133" s="1">
        <v>45933.542928240742</v>
      </c>
    </row>
    <row r="21134" spans="1:10" x14ac:dyDescent="0.2">
      <c r="A21134" s="4" t="s">
        <v>1</v>
      </c>
      <c r="B2113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34" s="3" t="str">
        <f>HYPERLINK("https://otsuka-europe-crm.veevavault.com/ui/#object/sent_email__v/VBLZ025E82HA9MI", "SE-000283338")</f>
        <v>SE-000283338</v>
      </c>
      <c r="D21134" s="1">
        <v>45952.83425925926</v>
      </c>
      <c r="E21134" s="2">
        <v>1</v>
      </c>
      <c r="F21134" s="2">
        <v>2</v>
      </c>
      <c r="G21134" s="2">
        <v>0</v>
      </c>
      <c r="H21134" s="1" t="s">
        <v>0</v>
      </c>
      <c r="I21134" s="2">
        <v>0</v>
      </c>
      <c r="J21134" s="1">
        <v>45933.542939814812</v>
      </c>
    </row>
    <row r="21135" spans="1:10" x14ac:dyDescent="0.2">
      <c r="A21135" s="4" t="s">
        <v>1</v>
      </c>
      <c r="B2113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35" s="3" t="str">
        <f>HYPERLINK("https://otsuka-europe-crm.veevavault.com/ui/#object/sent_email__v/VBLZ025E82HA9MJ", "SE-000283339")</f>
        <v>SE-000283339</v>
      </c>
      <c r="D21135" s="1" t="s">
        <v>0</v>
      </c>
      <c r="E21135" s="2">
        <v>0</v>
      </c>
      <c r="F21135" s="2">
        <v>0</v>
      </c>
      <c r="G21135" s="2">
        <v>0</v>
      </c>
      <c r="H21135" s="1" t="s">
        <v>0</v>
      </c>
      <c r="I21135" s="2">
        <v>0</v>
      </c>
      <c r="J21135" s="1">
        <v>45933.542951388888</v>
      </c>
    </row>
    <row r="21136" spans="1:10" x14ac:dyDescent="0.2">
      <c r="A21136" s="4" t="s">
        <v>1</v>
      </c>
      <c r="B2113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36" s="3" t="str">
        <f>HYPERLINK("https://otsuka-europe-crm.veevavault.com/ui/#object/sent_email__v/VBLZ025E82HA9MK", "SE-000283340")</f>
        <v>SE-000283340</v>
      </c>
      <c r="D21136" s="1" t="s">
        <v>0</v>
      </c>
      <c r="E21136" s="2">
        <v>0</v>
      </c>
      <c r="F21136" s="2">
        <v>0</v>
      </c>
      <c r="G21136" s="2">
        <v>0</v>
      </c>
      <c r="H21136" s="1" t="s">
        <v>0</v>
      </c>
      <c r="I21136" s="2">
        <v>0</v>
      </c>
      <c r="J21136" s="1">
        <v>45933.542928240742</v>
      </c>
    </row>
    <row r="21137" spans="1:10" x14ac:dyDescent="0.2">
      <c r="A21137" s="4" t="s">
        <v>1</v>
      </c>
      <c r="B2113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37" s="3" t="str">
        <f>HYPERLINK("https://otsuka-europe-crm.veevavault.com/ui/#object/sent_email__v/VBLZ025E82HA9ML", "SE-000283341")</f>
        <v>SE-000283341</v>
      </c>
      <c r="D21137" s="1">
        <v>45933.584710648145</v>
      </c>
      <c r="E21137" s="2">
        <v>1</v>
      </c>
      <c r="F21137" s="2">
        <v>1</v>
      </c>
      <c r="G21137" s="2">
        <v>0</v>
      </c>
      <c r="H21137" s="1" t="s">
        <v>0</v>
      </c>
      <c r="I21137" s="2">
        <v>0</v>
      </c>
      <c r="J21137" s="1">
        <v>45933.542951388888</v>
      </c>
    </row>
    <row r="21138" spans="1:10" x14ac:dyDescent="0.2">
      <c r="A21138" s="4" t="s">
        <v>1</v>
      </c>
      <c r="B2113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38" s="3" t="str">
        <f>HYPERLINK("https://otsuka-europe-crm.veevavault.com/ui/#object/sent_email__v/VBLZ025E82HA9MM", "SE-000283342")</f>
        <v>SE-000283342</v>
      </c>
      <c r="D21138" s="1" t="s">
        <v>0</v>
      </c>
      <c r="E21138" s="2">
        <v>0</v>
      </c>
      <c r="F21138" s="2">
        <v>0</v>
      </c>
      <c r="G21138" s="2">
        <v>0</v>
      </c>
      <c r="H21138" s="1" t="s">
        <v>0</v>
      </c>
      <c r="I21138" s="2">
        <v>0</v>
      </c>
      <c r="J21138" s="1">
        <v>45933.542974537035</v>
      </c>
    </row>
    <row r="21139" spans="1:10" x14ac:dyDescent="0.2">
      <c r="A21139" s="4" t="s">
        <v>1</v>
      </c>
      <c r="B2113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39" s="3" t="str">
        <f>HYPERLINK("https://otsuka-europe-crm.veevavault.com/ui/#object/sent_email__v/VBLZ025E82HA9MN", "SE-000283343")</f>
        <v>SE-000283343</v>
      </c>
      <c r="D21139" s="1">
        <v>45934.130914351852</v>
      </c>
      <c r="E21139" s="2">
        <v>1</v>
      </c>
      <c r="F21139" s="2">
        <v>1</v>
      </c>
      <c r="G21139" s="2">
        <v>0</v>
      </c>
      <c r="H21139" s="1" t="s">
        <v>0</v>
      </c>
      <c r="I21139" s="2">
        <v>0</v>
      </c>
      <c r="J21139" s="1">
        <v>45933.542974537035</v>
      </c>
    </row>
    <row r="21140" spans="1:10" x14ac:dyDescent="0.2">
      <c r="A21140" s="4" t="s">
        <v>1</v>
      </c>
      <c r="B2114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40" s="3" t="str">
        <f>HYPERLINK("https://otsuka-europe-crm.veevavault.com/ui/#object/sent_email__v/VBLZ025E82HA9MO", "SE-000283344")</f>
        <v>SE-000283344</v>
      </c>
      <c r="D21140" s="1">
        <v>45933.544988425929</v>
      </c>
      <c r="E21140" s="2">
        <v>1</v>
      </c>
      <c r="F21140" s="2">
        <v>1</v>
      </c>
      <c r="G21140" s="2">
        <v>0</v>
      </c>
      <c r="H21140" s="1" t="s">
        <v>0</v>
      </c>
      <c r="I21140" s="2">
        <v>0</v>
      </c>
      <c r="J21140" s="1">
        <v>45933.542858796296</v>
      </c>
    </row>
    <row r="21141" spans="1:10" x14ac:dyDescent="0.2">
      <c r="A21141" s="4" t="s">
        <v>1</v>
      </c>
      <c r="B2114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41" s="3" t="str">
        <f>HYPERLINK("https://otsuka-europe-crm.veevavault.com/ui/#object/sent_email__v/VBLZ025E82HA9MP", "SE-000283345")</f>
        <v>SE-000283345</v>
      </c>
      <c r="D21141" s="1">
        <v>45957.725023148145</v>
      </c>
      <c r="E21141" s="2">
        <v>1</v>
      </c>
      <c r="F21141" s="2">
        <v>3</v>
      </c>
      <c r="G21141" s="2">
        <v>1</v>
      </c>
      <c r="H21141" s="1">
        <v>45957.725081018521</v>
      </c>
      <c r="I21141" s="2">
        <v>3</v>
      </c>
      <c r="J21141" s="1">
        <v>45933.542986111112</v>
      </c>
    </row>
    <row r="21142" spans="1:10" x14ac:dyDescent="0.2">
      <c r="A21142" s="4" t="s">
        <v>1</v>
      </c>
      <c r="B2114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42" s="3" t="str">
        <f>HYPERLINK("https://otsuka-europe-crm.veevavault.com/ui/#object/sent_email__v/VBLZ025E82HA9MQ", "SE-000283346")</f>
        <v>SE-000283346</v>
      </c>
      <c r="D21142" s="1" t="s">
        <v>0</v>
      </c>
      <c r="E21142" s="2">
        <v>0</v>
      </c>
      <c r="F21142" s="2">
        <v>0</v>
      </c>
      <c r="G21142" s="2">
        <v>0</v>
      </c>
      <c r="H21142" s="1" t="s">
        <v>0</v>
      </c>
      <c r="I21142" s="2">
        <v>0</v>
      </c>
      <c r="J21142" s="1">
        <v>45933.542997685188</v>
      </c>
    </row>
    <row r="21143" spans="1:10" x14ac:dyDescent="0.2">
      <c r="A21143" s="4" t="s">
        <v>1</v>
      </c>
      <c r="B2114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43" s="3" t="str">
        <f>HYPERLINK("https://otsuka-europe-crm.veevavault.com/ui/#object/sent_email__v/VBLZ025E82HA9MR", "SE-000283347")</f>
        <v>SE-000283347</v>
      </c>
      <c r="D21143" s="1" t="s">
        <v>0</v>
      </c>
      <c r="E21143" s="2">
        <v>0</v>
      </c>
      <c r="F21143" s="2">
        <v>0</v>
      </c>
      <c r="G21143" s="2">
        <v>0</v>
      </c>
      <c r="H21143" s="1" t="s">
        <v>0</v>
      </c>
      <c r="I21143" s="2">
        <v>0</v>
      </c>
      <c r="J21143" s="1">
        <v>45933.542962962965</v>
      </c>
    </row>
    <row r="21144" spans="1:10" x14ac:dyDescent="0.2">
      <c r="A21144" s="4" t="s">
        <v>1</v>
      </c>
      <c r="B2114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44" s="3" t="str">
        <f>HYPERLINK("https://otsuka-europe-crm.veevavault.com/ui/#object/sent_email__v/VBLZ025E82HA9MS", "SE-000283348")</f>
        <v>SE-000283348</v>
      </c>
      <c r="D21144" s="1" t="s">
        <v>0</v>
      </c>
      <c r="E21144" s="2">
        <v>0</v>
      </c>
      <c r="F21144" s="2">
        <v>0</v>
      </c>
      <c r="G21144" s="2">
        <v>0</v>
      </c>
      <c r="H21144" s="1" t="s">
        <v>0</v>
      </c>
      <c r="I21144" s="2">
        <v>0</v>
      </c>
      <c r="J21144" s="1">
        <v>45933.542858796296</v>
      </c>
    </row>
    <row r="21145" spans="1:10" x14ac:dyDescent="0.2">
      <c r="A21145" s="4" t="s">
        <v>1</v>
      </c>
      <c r="B2114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45" s="3" t="str">
        <f>HYPERLINK("https://otsuka-europe-crm.veevavault.com/ui/#object/sent_email__v/VBLZ025E82HA9MT", "SE-000283349")</f>
        <v>SE-000283349</v>
      </c>
      <c r="D21145" s="1" t="s">
        <v>0</v>
      </c>
      <c r="E21145" s="2">
        <v>0</v>
      </c>
      <c r="F21145" s="2">
        <v>0</v>
      </c>
      <c r="G21145" s="2">
        <v>0</v>
      </c>
      <c r="H21145" s="1" t="s">
        <v>0</v>
      </c>
      <c r="I21145" s="2">
        <v>0</v>
      </c>
      <c r="J21145" s="1">
        <v>45933.542870370373</v>
      </c>
    </row>
    <row r="21146" spans="1:10" x14ac:dyDescent="0.2">
      <c r="A21146" s="4" t="s">
        <v>1</v>
      </c>
      <c r="B2114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46" s="3" t="str">
        <f>HYPERLINK("https://otsuka-europe-crm.veevavault.com/ui/#object/sent_email__v/VBLZ025E82HA9MU", "SE-000283350")</f>
        <v>SE-000283350</v>
      </c>
      <c r="D21146" s="1">
        <v>45933.653136574074</v>
      </c>
      <c r="E21146" s="2">
        <v>1</v>
      </c>
      <c r="F21146" s="2">
        <v>3</v>
      </c>
      <c r="G21146" s="2">
        <v>1</v>
      </c>
      <c r="H21146" s="1">
        <v>45933.61346064815</v>
      </c>
      <c r="I21146" s="2">
        <v>1</v>
      </c>
      <c r="J21146" s="1">
        <v>45933.542870370373</v>
      </c>
    </row>
    <row r="21147" spans="1:10" x14ac:dyDescent="0.2">
      <c r="A21147" s="4" t="s">
        <v>1</v>
      </c>
      <c r="B2114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47" s="3" t="str">
        <f>HYPERLINK("https://otsuka-europe-crm.veevavault.com/ui/#object/sent_email__v/VBLZ025E82HHIKT", "SE-000286519")</f>
        <v>SE-000286519</v>
      </c>
      <c r="D21147" s="1" t="s">
        <v>0</v>
      </c>
      <c r="E21147" s="2">
        <v>0</v>
      </c>
      <c r="F21147" s="2">
        <v>0</v>
      </c>
      <c r="G21147" s="2">
        <v>0</v>
      </c>
      <c r="H21147" s="1" t="s">
        <v>0</v>
      </c>
      <c r="I21147" s="2">
        <v>0</v>
      </c>
      <c r="J21147" s="1">
        <v>45940.514189814814</v>
      </c>
    </row>
    <row r="21148" spans="1:10" x14ac:dyDescent="0.2">
      <c r="A21148" s="4" t="s">
        <v>1</v>
      </c>
      <c r="B2114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48" s="3" t="str">
        <f>HYPERLINK("https://otsuka-europe-crm.veevavault.com/ui/#object/sent_email__v/VBLZ025E82HHINL", "SE-000286520")</f>
        <v>SE-000286520</v>
      </c>
      <c r="D21148" s="1">
        <v>45940.515162037038</v>
      </c>
      <c r="E21148" s="2">
        <v>1</v>
      </c>
      <c r="F21148" s="2">
        <v>1</v>
      </c>
      <c r="G21148" s="2">
        <v>1</v>
      </c>
      <c r="H21148" s="1">
        <v>45940.515162037038</v>
      </c>
      <c r="I21148" s="2">
        <v>1</v>
      </c>
      <c r="J21148" s="1">
        <v>45940.514467592591</v>
      </c>
    </row>
    <row r="21149" spans="1:10" x14ac:dyDescent="0.2">
      <c r="A21149" s="4" t="s">
        <v>1</v>
      </c>
      <c r="B2114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49" s="3" t="str">
        <f>HYPERLINK("https://otsuka-europe-crm.veevavault.com/ui/#object/sent_email__v/VBLZ025E82HMIO5", "SE-000287928")</f>
        <v>SE-000287928</v>
      </c>
      <c r="D21149" s="1">
        <v>45950.508634259262</v>
      </c>
      <c r="E21149" s="2">
        <v>1</v>
      </c>
      <c r="F21149" s="2">
        <v>1</v>
      </c>
      <c r="G21149" s="2">
        <v>0</v>
      </c>
      <c r="H21149" s="1" t="s">
        <v>0</v>
      </c>
      <c r="I21149" s="2">
        <v>0</v>
      </c>
      <c r="J21149" s="1">
        <v>45946.547500000001</v>
      </c>
    </row>
    <row r="21150" spans="1:10" x14ac:dyDescent="0.2">
      <c r="A21150" s="4" t="s">
        <v>1</v>
      </c>
      <c r="B2115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50" s="3" t="str">
        <f>HYPERLINK("https://otsuka-europe-crm.veevavault.com/ui/#object/sent_email__v/VBLZ025E82HNIS5", "SE-000288001")</f>
        <v>SE-000288001</v>
      </c>
      <c r="D21150" s="1" t="s">
        <v>0</v>
      </c>
      <c r="E21150" s="2">
        <v>0</v>
      </c>
      <c r="F21150" s="2">
        <v>0</v>
      </c>
      <c r="G21150" s="2">
        <v>0</v>
      </c>
      <c r="H21150" s="1" t="s">
        <v>0</v>
      </c>
      <c r="I21150" s="2">
        <v>0</v>
      </c>
      <c r="J21150" s="1">
        <v>45947.491666666669</v>
      </c>
    </row>
    <row r="21151" spans="1:10" x14ac:dyDescent="0.2">
      <c r="A21151" s="4" t="s">
        <v>1</v>
      </c>
      <c r="B2115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51" s="3" t="str">
        <f>HYPERLINK("https://otsuka-europe-crm.veevavault.com/ui/#object/sent_email__v/VBLZ025E82HPVNP", "SE-000288843")</f>
        <v>SE-000288843</v>
      </c>
      <c r="D21151" s="1" t="s">
        <v>0</v>
      </c>
      <c r="E21151" s="2">
        <v>0</v>
      </c>
      <c r="F21151" s="2">
        <v>0</v>
      </c>
      <c r="G21151" s="2">
        <v>0</v>
      </c>
      <c r="H21151" s="1" t="s">
        <v>0</v>
      </c>
      <c r="I21151" s="2">
        <v>0</v>
      </c>
      <c r="J21151" s="1">
        <v>45951.342662037037</v>
      </c>
    </row>
    <row r="21152" spans="1:10" x14ac:dyDescent="0.2">
      <c r="A21152" s="4" t="s">
        <v>1</v>
      </c>
      <c r="B2115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52" s="3" t="str">
        <f>HYPERLINK("https://otsuka-europe-crm.veevavault.com/ui/#object/sent_email__v/VBLZ025E82HPVQH", "SE-000288844")</f>
        <v>SE-000288844</v>
      </c>
      <c r="D21152" s="1" t="s">
        <v>0</v>
      </c>
      <c r="E21152" s="2">
        <v>0</v>
      </c>
      <c r="F21152" s="2">
        <v>0</v>
      </c>
      <c r="G21152" s="2">
        <v>0</v>
      </c>
      <c r="H21152" s="1" t="s">
        <v>0</v>
      </c>
      <c r="I21152" s="2">
        <v>0</v>
      </c>
      <c r="J21152" s="1">
        <v>45951.343032407407</v>
      </c>
    </row>
    <row r="21153" spans="1:10" x14ac:dyDescent="0.2">
      <c r="A21153" s="4" t="s">
        <v>1</v>
      </c>
      <c r="B2115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53" s="3" t="str">
        <f>HYPERLINK("https://otsuka-europe-crm.veevavault.com/ui/#object/sent_email__v/VBLZ025E82HSSD5", "SE-000290505")</f>
        <v>SE-000290505</v>
      </c>
      <c r="D21153" s="1">
        <v>45953.705347222225</v>
      </c>
      <c r="E21153" s="2">
        <v>1</v>
      </c>
      <c r="F21153" s="2">
        <v>1</v>
      </c>
      <c r="G21153" s="2">
        <v>0</v>
      </c>
      <c r="H21153" s="1" t="s">
        <v>0</v>
      </c>
      <c r="I21153" s="2">
        <v>0</v>
      </c>
      <c r="J21153" s="1">
        <v>45953.660856481481</v>
      </c>
    </row>
    <row r="21154" spans="1:10" x14ac:dyDescent="0.2">
      <c r="A21154" s="4" t="s">
        <v>1</v>
      </c>
      <c r="B2115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54" s="3" t="str">
        <f>HYPERLINK("https://otsuka-europe-crm.veevavault.com/ui/#object/sent_email__v/VBLZ025E82HSSFX", "SE-000290506")</f>
        <v>SE-000290506</v>
      </c>
      <c r="D21154" s="1">
        <v>45953.669374999998</v>
      </c>
      <c r="E21154" s="2">
        <v>1</v>
      </c>
      <c r="F21154" s="2">
        <v>2</v>
      </c>
      <c r="G21154" s="2">
        <v>0</v>
      </c>
      <c r="H21154" s="1" t="s">
        <v>0</v>
      </c>
      <c r="I21154" s="2">
        <v>0</v>
      </c>
      <c r="J21154" s="1">
        <v>45953.661203703705</v>
      </c>
    </row>
    <row r="21155" spans="1:10" x14ac:dyDescent="0.2">
      <c r="A21155" s="4" t="s">
        <v>1</v>
      </c>
      <c r="B2115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55" s="3" t="str">
        <f>HYPERLINK("https://otsuka-europe-crm.veevavault.com/ui/#object/sent_email__v/VBLZ025E82HSSLH", "SE-000290508")</f>
        <v>SE-000290508</v>
      </c>
      <c r="D21155" s="1">
        <v>45953.662546296298</v>
      </c>
      <c r="E21155" s="2">
        <v>1</v>
      </c>
      <c r="F21155" s="2">
        <v>3</v>
      </c>
      <c r="G21155" s="2">
        <v>0</v>
      </c>
      <c r="H21155" s="1" t="s">
        <v>0</v>
      </c>
      <c r="I21155" s="2">
        <v>0</v>
      </c>
      <c r="J21155" s="1">
        <v>45953.661666666667</v>
      </c>
    </row>
    <row r="21156" spans="1:10" x14ac:dyDescent="0.2">
      <c r="A21156" s="4" t="s">
        <v>1</v>
      </c>
      <c r="B2115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56" s="3" t="str">
        <f>HYPERLINK("https://otsuka-europe-crm.veevavault.com/ui/#object/sent_email__v/VBLZ025E82HSSWL", "SE-000290510")</f>
        <v>SE-000290510</v>
      </c>
      <c r="D21156" s="1" t="s">
        <v>0</v>
      </c>
      <c r="E21156" s="2">
        <v>0</v>
      </c>
      <c r="F21156" s="2">
        <v>0</v>
      </c>
      <c r="G21156" s="2">
        <v>0</v>
      </c>
      <c r="H21156" s="1" t="s">
        <v>0</v>
      </c>
      <c r="I21156" s="2">
        <v>0</v>
      </c>
      <c r="J21156" s="1">
        <v>45953.661990740744</v>
      </c>
    </row>
    <row r="21157" spans="1:10" x14ac:dyDescent="0.2">
      <c r="A21157" s="4" t="s">
        <v>1</v>
      </c>
      <c r="B2115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57" s="3" t="str">
        <f>HYPERLINK("https://otsuka-europe-crm.veevavault.com/ui/#object/sent_email__v/VBLZ025E82HST25", "SE-000290512")</f>
        <v>SE-000290512</v>
      </c>
      <c r="D21157" s="1" t="s">
        <v>0</v>
      </c>
      <c r="E21157" s="2">
        <v>0</v>
      </c>
      <c r="F21157" s="2">
        <v>0</v>
      </c>
      <c r="G21157" s="2">
        <v>0</v>
      </c>
      <c r="H21157" s="1" t="s">
        <v>0</v>
      </c>
      <c r="I21157" s="2">
        <v>0</v>
      </c>
      <c r="J21157" s="1">
        <v>45953.662465277775</v>
      </c>
    </row>
    <row r="21158" spans="1:10" x14ac:dyDescent="0.2">
      <c r="A21158" s="4" t="s">
        <v>1</v>
      </c>
      <c r="B2115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58" s="3" t="str">
        <f>HYPERLINK("https://otsuka-europe-crm.veevavault.com/ui/#object/sent_email__v/VBLZ025E82HST7P", "SE-000290514")</f>
        <v>SE-000290514</v>
      </c>
      <c r="D21158" s="1">
        <v>45957.307210648149</v>
      </c>
      <c r="E21158" s="2">
        <v>1</v>
      </c>
      <c r="F21158" s="2">
        <v>3</v>
      </c>
      <c r="G21158" s="2">
        <v>1</v>
      </c>
      <c r="H21158" s="1">
        <v>45957.307326388887</v>
      </c>
      <c r="I21158" s="2">
        <v>4</v>
      </c>
      <c r="J21158" s="1">
        <v>45953.662812499999</v>
      </c>
    </row>
    <row r="21159" spans="1:10" x14ac:dyDescent="0.2">
      <c r="A21159" s="4" t="s">
        <v>1</v>
      </c>
      <c r="B2115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59" s="3" t="str">
        <f>HYPERLINK("https://otsuka-europe-crm.veevavault.com/ui/#object/sent_email__v/VBLZ025E82HSTD9", "SE-000290516")</f>
        <v>SE-000290516</v>
      </c>
      <c r="D21159" s="1" t="s">
        <v>0</v>
      </c>
      <c r="E21159" s="2">
        <v>0</v>
      </c>
      <c r="F21159" s="2">
        <v>0</v>
      </c>
      <c r="G21159" s="2">
        <v>0</v>
      </c>
      <c r="H21159" s="1" t="s">
        <v>0</v>
      </c>
      <c r="I21159" s="2">
        <v>0</v>
      </c>
      <c r="J21159" s="1">
        <v>45953.663275462961</v>
      </c>
    </row>
    <row r="21160" spans="1:10" x14ac:dyDescent="0.2">
      <c r="A21160" s="4" t="s">
        <v>1</v>
      </c>
      <c r="B2116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60" s="3" t="str">
        <f>HYPERLINK("https://otsuka-europe-crm.veevavault.com/ui/#object/sent_email__v/VBL000000003219", "SE-001379287")</f>
        <v>SE-001379287</v>
      </c>
      <c r="D21160" s="1">
        <v>45969.623865740738</v>
      </c>
      <c r="E21160" s="2">
        <v>1</v>
      </c>
      <c r="F21160" s="2">
        <v>2</v>
      </c>
      <c r="G21160" s="2">
        <v>0</v>
      </c>
      <c r="H21160" s="1" t="s">
        <v>0</v>
      </c>
      <c r="I21160" s="2">
        <v>0</v>
      </c>
      <c r="J21160" s="1">
        <v>45960.31763888889</v>
      </c>
    </row>
    <row r="21161" spans="1:10" x14ac:dyDescent="0.2">
      <c r="A21161" s="4" t="s">
        <v>1</v>
      </c>
      <c r="B2116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61" s="3" t="str">
        <f>HYPERLINK("https://otsuka-europe-crm.veevavault.com/ui/#object/sent_email__v/VBL000000003220", "SE-001379288")</f>
        <v>SE-001379288</v>
      </c>
      <c r="D21161" s="1">
        <v>45960.620185185187</v>
      </c>
      <c r="E21161" s="2">
        <v>1</v>
      </c>
      <c r="F21161" s="2">
        <v>1</v>
      </c>
      <c r="G21161" s="2">
        <v>0</v>
      </c>
      <c r="H21161" s="1" t="s">
        <v>0</v>
      </c>
      <c r="I21161" s="2">
        <v>0</v>
      </c>
      <c r="J21161" s="1">
        <v>45960.317685185182</v>
      </c>
    </row>
    <row r="21162" spans="1:10" x14ac:dyDescent="0.2">
      <c r="A21162" s="4" t="s">
        <v>1</v>
      </c>
      <c r="B2116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62" s="3" t="str">
        <f>HYPERLINK("https://otsuka-europe-crm.veevavault.com/ui/#object/sent_email__v/VBL000000003221", "SE-001379289")</f>
        <v>SE-001379289</v>
      </c>
      <c r="D21162" s="1" t="s">
        <v>0</v>
      </c>
      <c r="E21162" s="2">
        <v>0</v>
      </c>
      <c r="F21162" s="2">
        <v>0</v>
      </c>
      <c r="G21162" s="2">
        <v>0</v>
      </c>
      <c r="H21162" s="1" t="s">
        <v>0</v>
      </c>
      <c r="I21162" s="2">
        <v>0</v>
      </c>
      <c r="J21162" s="1">
        <v>45960.317719907405</v>
      </c>
    </row>
    <row r="21163" spans="1:10" x14ac:dyDescent="0.2">
      <c r="A21163" s="4" t="s">
        <v>1</v>
      </c>
      <c r="B2116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63" s="3" t="str">
        <f>HYPERLINK("https://otsuka-europe-crm.veevavault.com/ui/#object/sent_email__v/VBL000000003222", "SE-001379290")</f>
        <v>SE-001379290</v>
      </c>
      <c r="D21163" s="1">
        <v>45960.627476851849</v>
      </c>
      <c r="E21163" s="2">
        <v>1</v>
      </c>
      <c r="F21163" s="2">
        <v>1</v>
      </c>
      <c r="G21163" s="2">
        <v>0</v>
      </c>
      <c r="H21163" s="1" t="s">
        <v>0</v>
      </c>
      <c r="I21163" s="2">
        <v>0</v>
      </c>
      <c r="J21163" s="1">
        <v>45960.317743055559</v>
      </c>
    </row>
    <row r="21164" spans="1:10" x14ac:dyDescent="0.2">
      <c r="A21164" s="4" t="s">
        <v>1</v>
      </c>
      <c r="B2116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64" s="3" t="str">
        <f>HYPERLINK("https://otsuka-europe-crm.veevavault.com/ui/#object/sent_email__v/VBL000000003223", "SE-001379291")</f>
        <v>SE-001379291</v>
      </c>
      <c r="D21164" s="1">
        <v>45960.358414351853</v>
      </c>
      <c r="E21164" s="2">
        <v>1</v>
      </c>
      <c r="F21164" s="2">
        <v>2</v>
      </c>
      <c r="G21164" s="2">
        <v>0</v>
      </c>
      <c r="H21164" s="1" t="s">
        <v>0</v>
      </c>
      <c r="I21164" s="2">
        <v>0</v>
      </c>
      <c r="J21164" s="1">
        <v>45960.317789351851</v>
      </c>
    </row>
    <row r="21165" spans="1:10" x14ac:dyDescent="0.2">
      <c r="A21165" s="4" t="s">
        <v>1</v>
      </c>
      <c r="B2116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65" s="3" t="str">
        <f>HYPERLINK("https://otsuka-europe-crm.veevavault.com/ui/#object/sent_email__v/VBL000000003224", "SE-001379292")</f>
        <v>SE-001379292</v>
      </c>
      <c r="D21165" s="1" t="s">
        <v>0</v>
      </c>
      <c r="E21165" s="2">
        <v>0</v>
      </c>
      <c r="F21165" s="2">
        <v>0</v>
      </c>
      <c r="G21165" s="2">
        <v>0</v>
      </c>
      <c r="H21165" s="1" t="s">
        <v>0</v>
      </c>
      <c r="I21165" s="2">
        <v>0</v>
      </c>
      <c r="J21165" s="1">
        <v>45960.317835648151</v>
      </c>
    </row>
    <row r="21166" spans="1:10" x14ac:dyDescent="0.2">
      <c r="A21166" s="4" t="s">
        <v>1</v>
      </c>
      <c r="B2116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66" s="3" t="str">
        <f>HYPERLINK("https://otsuka-europe-crm.veevavault.com/ui/#object/sent_email__v/VBL000000003225", "SE-001379293")</f>
        <v>SE-001379293</v>
      </c>
      <c r="D21166" s="1">
        <v>45960.429027777776</v>
      </c>
      <c r="E21166" s="2">
        <v>1</v>
      </c>
      <c r="F21166" s="2">
        <v>2</v>
      </c>
      <c r="G21166" s="2">
        <v>0</v>
      </c>
      <c r="H21166" s="1" t="s">
        <v>0</v>
      </c>
      <c r="I21166" s="2">
        <v>0</v>
      </c>
      <c r="J21166" s="1">
        <v>45960.317870370367</v>
      </c>
    </row>
    <row r="21167" spans="1:10" x14ac:dyDescent="0.2">
      <c r="A21167" s="4" t="s">
        <v>1</v>
      </c>
      <c r="B2116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67" s="3" t="str">
        <f>HYPERLINK("https://otsuka-europe-crm.veevavault.com/ui/#object/sent_email__v/VBL000000003226", "SE-001379294")</f>
        <v>SE-001379294</v>
      </c>
      <c r="D21167" s="1">
        <v>45960.406469907408</v>
      </c>
      <c r="E21167" s="2">
        <v>1</v>
      </c>
      <c r="F21167" s="2">
        <v>1</v>
      </c>
      <c r="G21167" s="2">
        <v>1</v>
      </c>
      <c r="H21167" s="1">
        <v>45971.397997685184</v>
      </c>
      <c r="I21167" s="2">
        <v>2</v>
      </c>
      <c r="J21167" s="1">
        <v>45960.31790509259</v>
      </c>
    </row>
    <row r="21168" spans="1:10" x14ac:dyDescent="0.2">
      <c r="A21168" s="4" t="s">
        <v>1</v>
      </c>
      <c r="B2116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68" s="3" t="str">
        <f>HYPERLINK("https://otsuka-europe-crm.veevavault.com/ui/#object/sent_email__v/VBL000000003227", "SE-001379295")</f>
        <v>SE-001379295</v>
      </c>
      <c r="D21168" s="1" t="s">
        <v>0</v>
      </c>
      <c r="E21168" s="2">
        <v>0</v>
      </c>
      <c r="F21168" s="2">
        <v>0</v>
      </c>
      <c r="G21168" s="2">
        <v>0</v>
      </c>
      <c r="H21168" s="1" t="s">
        <v>0</v>
      </c>
      <c r="I21168" s="2">
        <v>0</v>
      </c>
      <c r="J21168" s="1">
        <v>45960.31795138889</v>
      </c>
    </row>
    <row r="21169" spans="1:10" x14ac:dyDescent="0.2">
      <c r="A21169" s="4" t="s">
        <v>1</v>
      </c>
      <c r="B2116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69" s="3" t="str">
        <f>HYPERLINK("https://otsuka-europe-crm.veevavault.com/ui/#object/sent_email__v/VBL000000003228", "SE-001379296")</f>
        <v>SE-001379296</v>
      </c>
      <c r="D21169" s="1">
        <v>45960.329884259256</v>
      </c>
      <c r="E21169" s="2">
        <v>1</v>
      </c>
      <c r="F21169" s="2">
        <v>2</v>
      </c>
      <c r="G21169" s="2">
        <v>0</v>
      </c>
      <c r="H21169" s="1" t="s">
        <v>0</v>
      </c>
      <c r="I21169" s="2">
        <v>0</v>
      </c>
      <c r="J21169" s="1">
        <v>45960.317986111113</v>
      </c>
    </row>
    <row r="21170" spans="1:10" x14ac:dyDescent="0.2">
      <c r="A21170" s="4" t="s">
        <v>1</v>
      </c>
      <c r="B2117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70" s="3" t="str">
        <f>HYPERLINK("https://otsuka-europe-crm.veevavault.com/ui/#object/sent_email__v/VBL000000003229", "SE-001379297")</f>
        <v>SE-001379297</v>
      </c>
      <c r="D21170" s="1" t="s">
        <v>0</v>
      </c>
      <c r="E21170" s="2">
        <v>0</v>
      </c>
      <c r="F21170" s="2">
        <v>0</v>
      </c>
      <c r="G21170" s="2">
        <v>0</v>
      </c>
      <c r="H21170" s="1" t="s">
        <v>0</v>
      </c>
      <c r="I21170" s="2">
        <v>0</v>
      </c>
      <c r="J21170" s="1">
        <v>45960.318032407406</v>
      </c>
    </row>
    <row r="21171" spans="1:10" x14ac:dyDescent="0.2">
      <c r="A21171" s="4" t="s">
        <v>1</v>
      </c>
      <c r="B2117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71" s="3" t="str">
        <f>HYPERLINK("https://otsuka-europe-crm.veevavault.com/ui/#object/sent_email__v/VBL000000003230", "SE-001379298")</f>
        <v>SE-001379298</v>
      </c>
      <c r="D21171" s="1" t="s">
        <v>0</v>
      </c>
      <c r="E21171" s="2">
        <v>0</v>
      </c>
      <c r="F21171" s="2">
        <v>0</v>
      </c>
      <c r="G21171" s="2">
        <v>0</v>
      </c>
      <c r="H21171" s="1" t="s">
        <v>0</v>
      </c>
      <c r="I21171" s="2">
        <v>0</v>
      </c>
      <c r="J21171" s="1">
        <v>45960.318067129629</v>
      </c>
    </row>
    <row r="21172" spans="1:10" x14ac:dyDescent="0.2">
      <c r="A21172" s="4" t="s">
        <v>1</v>
      </c>
      <c r="B2117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72" s="3" t="str">
        <f>HYPERLINK("https://otsuka-europe-crm.veevavault.com/ui/#object/sent_email__v/VBL000000003231", "SE-001379299")</f>
        <v>SE-001379299</v>
      </c>
      <c r="D21172" s="1">
        <v>45960.381539351853</v>
      </c>
      <c r="E21172" s="2">
        <v>1</v>
      </c>
      <c r="F21172" s="2">
        <v>1</v>
      </c>
      <c r="G21172" s="2">
        <v>1</v>
      </c>
      <c r="H21172" s="1">
        <v>45960.381631944445</v>
      </c>
      <c r="I21172" s="2">
        <v>1</v>
      </c>
      <c r="J21172" s="1">
        <v>45960.318101851852</v>
      </c>
    </row>
    <row r="21173" spans="1:10" x14ac:dyDescent="0.2">
      <c r="A21173" s="4" t="s">
        <v>1</v>
      </c>
      <c r="B2117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73" s="3" t="str">
        <f>HYPERLINK("https://otsuka-europe-crm.veevavault.com/ui/#object/sent_email__v/VBL000000003232", "SE-001379300")</f>
        <v>SE-001379300</v>
      </c>
      <c r="D21173" s="1">
        <v>45961.412928240738</v>
      </c>
      <c r="E21173" s="2">
        <v>1</v>
      </c>
      <c r="F21173" s="2">
        <v>1</v>
      </c>
      <c r="G21173" s="2">
        <v>0</v>
      </c>
      <c r="H21173" s="1" t="s">
        <v>0</v>
      </c>
      <c r="I21173" s="2">
        <v>0</v>
      </c>
      <c r="J21173" s="1">
        <v>45960.318136574075</v>
      </c>
    </row>
    <row r="21174" spans="1:10" x14ac:dyDescent="0.2">
      <c r="A21174" s="4" t="s">
        <v>1</v>
      </c>
      <c r="B2117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74" s="3" t="str">
        <f>HYPERLINK("https://otsuka-europe-crm.veevavault.com/ui/#object/sent_email__v/VBL000000003233", "SE-001379301")</f>
        <v>SE-001379301</v>
      </c>
      <c r="D21174" s="1" t="s">
        <v>0</v>
      </c>
      <c r="E21174" s="2">
        <v>0</v>
      </c>
      <c r="F21174" s="2">
        <v>0</v>
      </c>
      <c r="G21174" s="2">
        <v>0</v>
      </c>
      <c r="H21174" s="1" t="s">
        <v>0</v>
      </c>
      <c r="I21174" s="2">
        <v>0</v>
      </c>
      <c r="J21174" s="1">
        <v>45960.318182870367</v>
      </c>
    </row>
    <row r="21175" spans="1:10" x14ac:dyDescent="0.2">
      <c r="A21175" s="4" t="s">
        <v>1</v>
      </c>
      <c r="B2117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75" s="3" t="str">
        <f>HYPERLINK("https://otsuka-europe-crm.veevavault.com/ui/#object/sent_email__v/VBL000000003234", "SE-001379302")</f>
        <v>SE-001379302</v>
      </c>
      <c r="D21175" s="1" t="s">
        <v>0</v>
      </c>
      <c r="E21175" s="2">
        <v>0</v>
      </c>
      <c r="F21175" s="2">
        <v>0</v>
      </c>
      <c r="G21175" s="2">
        <v>0</v>
      </c>
      <c r="H21175" s="1" t="s">
        <v>0</v>
      </c>
      <c r="I21175" s="2">
        <v>0</v>
      </c>
      <c r="J21175" s="1">
        <v>45960.31821759259</v>
      </c>
    </row>
    <row r="21176" spans="1:10" x14ac:dyDescent="0.2">
      <c r="A21176" s="4" t="s">
        <v>1</v>
      </c>
      <c r="B2117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76" s="3" t="str">
        <f>HYPERLINK("https://otsuka-europe-crm.veevavault.com/ui/#object/sent_email__v/VBL000000003235", "SE-001379303")</f>
        <v>SE-001379303</v>
      </c>
      <c r="D21176" s="1">
        <v>45965.352453703701</v>
      </c>
      <c r="E21176" s="2">
        <v>1</v>
      </c>
      <c r="F21176" s="2">
        <v>3</v>
      </c>
      <c r="G21176" s="2">
        <v>0</v>
      </c>
      <c r="H21176" s="1" t="s">
        <v>0</v>
      </c>
      <c r="I21176" s="2">
        <v>0</v>
      </c>
      <c r="J21176" s="1">
        <v>45960.31826388889</v>
      </c>
    </row>
    <row r="21177" spans="1:10" x14ac:dyDescent="0.2">
      <c r="A21177" s="4" t="s">
        <v>1</v>
      </c>
      <c r="B2117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77" s="3" t="str">
        <f>HYPERLINK("https://otsuka-europe-crm.veevavault.com/ui/#object/sent_email__v/VBL000000003236", "SE-001379304")</f>
        <v>SE-001379304</v>
      </c>
      <c r="D21177" s="1">
        <v>45960.328784722224</v>
      </c>
      <c r="E21177" s="2">
        <v>1</v>
      </c>
      <c r="F21177" s="2">
        <v>1</v>
      </c>
      <c r="G21177" s="2">
        <v>0</v>
      </c>
      <c r="H21177" s="1" t="s">
        <v>0</v>
      </c>
      <c r="I21177" s="2">
        <v>0</v>
      </c>
      <c r="J21177" s="1">
        <v>45960.318298611113</v>
      </c>
    </row>
    <row r="21178" spans="1:10" x14ac:dyDescent="0.2">
      <c r="A21178" s="4" t="s">
        <v>1</v>
      </c>
      <c r="B2117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78" s="3" t="str">
        <f>HYPERLINK("https://otsuka-europe-crm.veevavault.com/ui/#object/sent_email__v/VBL000000003237", "SE-001379305")</f>
        <v>SE-001379305</v>
      </c>
      <c r="D21178" s="1">
        <v>45960.340868055559</v>
      </c>
      <c r="E21178" s="2">
        <v>1</v>
      </c>
      <c r="F21178" s="2">
        <v>2</v>
      </c>
      <c r="G21178" s="2">
        <v>0</v>
      </c>
      <c r="H21178" s="1" t="s">
        <v>0</v>
      </c>
      <c r="I21178" s="2">
        <v>0</v>
      </c>
      <c r="J21178" s="1">
        <v>45960.318333333336</v>
      </c>
    </row>
    <row r="21179" spans="1:10" x14ac:dyDescent="0.2">
      <c r="A21179" s="4" t="s">
        <v>1</v>
      </c>
      <c r="B2117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79" s="3" t="str">
        <f>HYPERLINK("https://otsuka-europe-crm.veevavault.com/ui/#object/sent_email__v/VBL000000003238", "SE-001379306")</f>
        <v>SE-001379306</v>
      </c>
      <c r="D21179" s="1">
        <v>45989.3128125</v>
      </c>
      <c r="E21179" s="2">
        <v>1</v>
      </c>
      <c r="F21179" s="2">
        <v>3</v>
      </c>
      <c r="G21179" s="2">
        <v>0</v>
      </c>
      <c r="H21179" s="1" t="s">
        <v>0</v>
      </c>
      <c r="I21179" s="2">
        <v>0</v>
      </c>
      <c r="J21179" s="1">
        <v>45960.318391203706</v>
      </c>
    </row>
    <row r="21180" spans="1:10" x14ac:dyDescent="0.2">
      <c r="A21180" s="4" t="s">
        <v>1</v>
      </c>
      <c r="B2118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80" s="3" t="str">
        <f>HYPERLINK("https://otsuka-europe-crm.veevavault.com/ui/#object/sent_email__v/VBL000000003239", "SE-001379307")</f>
        <v>SE-001379307</v>
      </c>
      <c r="D21180" s="1" t="s">
        <v>0</v>
      </c>
      <c r="E21180" s="2">
        <v>0</v>
      </c>
      <c r="F21180" s="2">
        <v>0</v>
      </c>
      <c r="G21180" s="2">
        <v>0</v>
      </c>
      <c r="H21180" s="1" t="s">
        <v>0</v>
      </c>
      <c r="I21180" s="2">
        <v>0</v>
      </c>
      <c r="J21180" s="1">
        <v>45960.318437499998</v>
      </c>
    </row>
    <row r="21181" spans="1:10" x14ac:dyDescent="0.2">
      <c r="A21181" s="4" t="s">
        <v>1</v>
      </c>
      <c r="B2118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81" s="3" t="str">
        <f>HYPERLINK("https://otsuka-europe-crm.veevavault.com/ui/#object/sent_email__v/VBL000000003240", "SE-001379308")</f>
        <v>SE-001379308</v>
      </c>
      <c r="D21181" s="1">
        <v>45964.439120370371</v>
      </c>
      <c r="E21181" s="2">
        <v>1</v>
      </c>
      <c r="F21181" s="2">
        <v>1</v>
      </c>
      <c r="G21181" s="2">
        <v>0</v>
      </c>
      <c r="H21181" s="1" t="s">
        <v>0</v>
      </c>
      <c r="I21181" s="2">
        <v>0</v>
      </c>
      <c r="J21181" s="1">
        <v>45960.318472222221</v>
      </c>
    </row>
    <row r="21182" spans="1:10" x14ac:dyDescent="0.2">
      <c r="A21182" s="4" t="s">
        <v>1</v>
      </c>
      <c r="B2118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82" s="3" t="str">
        <f>HYPERLINK("https://otsuka-europe-crm.veevavault.com/ui/#object/sent_email__v/VBL000000003241", "SE-001379309")</f>
        <v>SE-001379309</v>
      </c>
      <c r="D21182" s="1">
        <v>45972.887002314812</v>
      </c>
      <c r="E21182" s="2">
        <v>1</v>
      </c>
      <c r="F21182" s="2">
        <v>1</v>
      </c>
      <c r="G21182" s="2">
        <v>0</v>
      </c>
      <c r="H21182" s="1" t="s">
        <v>0</v>
      </c>
      <c r="I21182" s="2">
        <v>0</v>
      </c>
      <c r="J21182" s="1">
        <v>45960.318518518521</v>
      </c>
    </row>
    <row r="21183" spans="1:10" x14ac:dyDescent="0.2">
      <c r="A21183" s="4" t="s">
        <v>1</v>
      </c>
      <c r="B2118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83" s="3" t="str">
        <f>HYPERLINK("https://otsuka-europe-crm.veevavault.com/ui/#object/sent_email__v/VBL000000003242", "SE-001379310")</f>
        <v>SE-001379310</v>
      </c>
      <c r="D21183" s="1">
        <v>45960.372129629628</v>
      </c>
      <c r="E21183" s="2">
        <v>1</v>
      </c>
      <c r="F21183" s="2">
        <v>2</v>
      </c>
      <c r="G21183" s="2">
        <v>0</v>
      </c>
      <c r="H21183" s="1" t="s">
        <v>0</v>
      </c>
      <c r="I21183" s="2">
        <v>0</v>
      </c>
      <c r="J21183" s="1">
        <v>45960.318541666667</v>
      </c>
    </row>
    <row r="21184" spans="1:10" x14ac:dyDescent="0.2">
      <c r="A21184" s="4" t="s">
        <v>1</v>
      </c>
      <c r="B2118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84" s="3" t="str">
        <f>HYPERLINK("https://otsuka-europe-crm.veevavault.com/ui/#object/sent_email__v/VBL000000003243", "SE-001379311")</f>
        <v>SE-001379311</v>
      </c>
      <c r="D21184" s="1" t="s">
        <v>0</v>
      </c>
      <c r="E21184" s="2">
        <v>0</v>
      </c>
      <c r="F21184" s="2">
        <v>0</v>
      </c>
      <c r="G21184" s="2">
        <v>0</v>
      </c>
      <c r="H21184" s="1" t="s">
        <v>0</v>
      </c>
      <c r="I21184" s="2">
        <v>0</v>
      </c>
      <c r="J21184" s="1">
        <v>45960.31858796296</v>
      </c>
    </row>
    <row r="21185" spans="1:10" x14ac:dyDescent="0.2">
      <c r="A21185" s="4" t="s">
        <v>1</v>
      </c>
      <c r="B2118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85" s="3" t="str">
        <f>HYPERLINK("https://otsuka-europe-crm.veevavault.com/ui/#object/sent_email__v/VBL000000003244", "SE-001379312")</f>
        <v>SE-001379312</v>
      </c>
      <c r="D21185" s="1">
        <v>45960.325462962966</v>
      </c>
      <c r="E21185" s="2">
        <v>1</v>
      </c>
      <c r="F21185" s="2">
        <v>1</v>
      </c>
      <c r="G21185" s="2">
        <v>0</v>
      </c>
      <c r="H21185" s="1" t="s">
        <v>0</v>
      </c>
      <c r="I21185" s="2">
        <v>0</v>
      </c>
      <c r="J21185" s="1">
        <v>45960.31863425926</v>
      </c>
    </row>
    <row r="21186" spans="1:10" x14ac:dyDescent="0.2">
      <c r="A21186" s="4" t="s">
        <v>1</v>
      </c>
      <c r="B2118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86" s="3" t="str">
        <f>HYPERLINK("https://otsuka-europe-crm.veevavault.com/ui/#object/sent_email__v/VBL000000003245", "SE-001379313")</f>
        <v>SE-001379313</v>
      </c>
      <c r="D21186" s="1">
        <v>45966.746111111112</v>
      </c>
      <c r="E21186" s="2">
        <v>1</v>
      </c>
      <c r="F21186" s="2">
        <v>2</v>
      </c>
      <c r="G21186" s="2">
        <v>0</v>
      </c>
      <c r="H21186" s="1" t="s">
        <v>0</v>
      </c>
      <c r="I21186" s="2">
        <v>0</v>
      </c>
      <c r="J21186" s="1">
        <v>45960.318657407406</v>
      </c>
    </row>
    <row r="21187" spans="1:10" x14ac:dyDescent="0.2">
      <c r="A21187" s="4" t="s">
        <v>1</v>
      </c>
      <c r="B2118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87" s="3" t="str">
        <f>HYPERLINK("https://otsuka-europe-crm.veevavault.com/ui/#object/sent_email__v/VBL000000003246", "SE-001379314")</f>
        <v>SE-001379314</v>
      </c>
      <c r="D21187" s="1">
        <v>45960.469398148147</v>
      </c>
      <c r="E21187" s="2">
        <v>1</v>
      </c>
      <c r="F21187" s="2">
        <v>2</v>
      </c>
      <c r="G21187" s="2">
        <v>1</v>
      </c>
      <c r="H21187" s="1">
        <v>45960.47</v>
      </c>
      <c r="I21187" s="2">
        <v>2</v>
      </c>
      <c r="J21187" s="1">
        <v>45960.318703703706</v>
      </c>
    </row>
    <row r="21188" spans="1:10" x14ac:dyDescent="0.2">
      <c r="A21188" s="4" t="s">
        <v>1</v>
      </c>
      <c r="B2118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88" s="3" t="str">
        <f>HYPERLINK("https://otsuka-europe-crm.veevavault.com/ui/#object/sent_email__v/VBL000000003247", "SE-001379315")</f>
        <v>SE-001379315</v>
      </c>
      <c r="D21188" s="1">
        <v>45960.921249999999</v>
      </c>
      <c r="E21188" s="2">
        <v>1</v>
      </c>
      <c r="F21188" s="2">
        <v>1</v>
      </c>
      <c r="G21188" s="2">
        <v>0</v>
      </c>
      <c r="H21188" s="1" t="s">
        <v>0</v>
      </c>
      <c r="I21188" s="2">
        <v>0</v>
      </c>
      <c r="J21188" s="1">
        <v>45960.318749999999</v>
      </c>
    </row>
    <row r="21189" spans="1:10" x14ac:dyDescent="0.2">
      <c r="A21189" s="4" t="s">
        <v>1</v>
      </c>
      <c r="B2118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89" s="3" t="str">
        <f>HYPERLINK("https://otsuka-europe-crm.veevavault.com/ui/#object/sent_email__v/VBL000000003248", "SE-001379316")</f>
        <v>SE-001379316</v>
      </c>
      <c r="D21189" s="1">
        <v>45960.786087962966</v>
      </c>
      <c r="E21189" s="2">
        <v>1</v>
      </c>
      <c r="F21189" s="2">
        <v>2</v>
      </c>
      <c r="G21189" s="2">
        <v>0</v>
      </c>
      <c r="H21189" s="1" t="s">
        <v>0</v>
      </c>
      <c r="I21189" s="2">
        <v>0</v>
      </c>
      <c r="J21189" s="1">
        <v>45960.318796296298</v>
      </c>
    </row>
    <row r="21190" spans="1:10" x14ac:dyDescent="0.2">
      <c r="A21190" s="4" t="s">
        <v>1</v>
      </c>
      <c r="B2119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90" s="3" t="str">
        <f>HYPERLINK("https://otsuka-europe-crm.veevavault.com/ui/#object/sent_email__v/VBL000000003249", "SE-001379317")</f>
        <v>SE-001379317</v>
      </c>
      <c r="D21190" s="1" t="s">
        <v>0</v>
      </c>
      <c r="E21190" s="2">
        <v>0</v>
      </c>
      <c r="F21190" s="2">
        <v>0</v>
      </c>
      <c r="G21190" s="2">
        <v>0</v>
      </c>
      <c r="H21190" s="1" t="s">
        <v>0</v>
      </c>
      <c r="I21190" s="2">
        <v>0</v>
      </c>
      <c r="J21190" s="1">
        <v>45960.318831018521</v>
      </c>
    </row>
    <row r="21191" spans="1:10" x14ac:dyDescent="0.2">
      <c r="A21191" s="4" t="s">
        <v>1</v>
      </c>
      <c r="B2119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91" s="3" t="str">
        <f>HYPERLINK("https://otsuka-europe-crm.veevavault.com/ui/#object/sent_email__v/VBL000000003250", "SE-001379318")</f>
        <v>SE-001379318</v>
      </c>
      <c r="D21191" s="1">
        <v>45960.485856481479</v>
      </c>
      <c r="E21191" s="2">
        <v>1</v>
      </c>
      <c r="F21191" s="2">
        <v>1</v>
      </c>
      <c r="G21191" s="2">
        <v>0</v>
      </c>
      <c r="H21191" s="1" t="s">
        <v>0</v>
      </c>
      <c r="I21191" s="2">
        <v>0</v>
      </c>
      <c r="J21191" s="1">
        <v>45960.318865740737</v>
      </c>
    </row>
    <row r="21192" spans="1:10" x14ac:dyDescent="0.2">
      <c r="A21192" s="4" t="s">
        <v>1</v>
      </c>
      <c r="B2119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92" s="3" t="str">
        <f>HYPERLINK("https://otsuka-europe-crm.veevavault.com/ui/#object/sent_email__v/VBL000000003251", "SE-001379319")</f>
        <v>SE-001379319</v>
      </c>
      <c r="D21192" s="1">
        <v>45960.448506944442</v>
      </c>
      <c r="E21192" s="2">
        <v>1</v>
      </c>
      <c r="F21192" s="2">
        <v>1</v>
      </c>
      <c r="G21192" s="2">
        <v>1</v>
      </c>
      <c r="H21192" s="1">
        <v>45960.448773148149</v>
      </c>
      <c r="I21192" s="2">
        <v>1</v>
      </c>
      <c r="J21192" s="1">
        <v>45960.318912037037</v>
      </c>
    </row>
    <row r="21193" spans="1:10" x14ac:dyDescent="0.2">
      <c r="A21193" s="4" t="s">
        <v>1</v>
      </c>
      <c r="B2119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93" s="3" t="str">
        <f>HYPERLINK("https://otsuka-europe-crm.veevavault.com/ui/#object/sent_email__v/VBL000000003252", "SE-001379320")</f>
        <v>SE-001379320</v>
      </c>
      <c r="D21193" s="1">
        <v>45960.570868055554</v>
      </c>
      <c r="E21193" s="2">
        <v>1</v>
      </c>
      <c r="F21193" s="2">
        <v>1</v>
      </c>
      <c r="G21193" s="2">
        <v>1</v>
      </c>
      <c r="H21193" s="1">
        <v>45960.570868055554</v>
      </c>
      <c r="I21193" s="2">
        <v>1</v>
      </c>
      <c r="J21193" s="1">
        <v>45960.318958333337</v>
      </c>
    </row>
    <row r="21194" spans="1:10" x14ac:dyDescent="0.2">
      <c r="A21194" s="4" t="s">
        <v>1</v>
      </c>
      <c r="B2119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94" s="3" t="str">
        <f>HYPERLINK("https://otsuka-europe-crm.veevavault.com/ui/#object/sent_email__v/VBL000000003253", "SE-001379321")</f>
        <v>SE-001379321</v>
      </c>
      <c r="D21194" s="1" t="s">
        <v>0</v>
      </c>
      <c r="E21194" s="2">
        <v>0</v>
      </c>
      <c r="F21194" s="2">
        <v>0</v>
      </c>
      <c r="G21194" s="2">
        <v>0</v>
      </c>
      <c r="H21194" s="1" t="s">
        <v>0</v>
      </c>
      <c r="I21194" s="2">
        <v>0</v>
      </c>
      <c r="J21194" s="1">
        <v>45960.319004629629</v>
      </c>
    </row>
    <row r="21195" spans="1:10" x14ac:dyDescent="0.2">
      <c r="A21195" s="4" t="s">
        <v>1</v>
      </c>
      <c r="B2119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95" s="3" t="str">
        <f>HYPERLINK("https://otsuka-europe-crm.veevavault.com/ui/#object/sent_email__v/VBL000000003254", "SE-001379322")</f>
        <v>SE-001379322</v>
      </c>
      <c r="D21195" s="1">
        <v>45960.319293981483</v>
      </c>
      <c r="E21195" s="2">
        <v>1</v>
      </c>
      <c r="F21195" s="2">
        <v>2</v>
      </c>
      <c r="G21195" s="2">
        <v>0</v>
      </c>
      <c r="H21195" s="1" t="s">
        <v>0</v>
      </c>
      <c r="I21195" s="2">
        <v>0</v>
      </c>
      <c r="J21195" s="1">
        <v>45960.319039351853</v>
      </c>
    </row>
    <row r="21196" spans="1:10" x14ac:dyDescent="0.2">
      <c r="A21196" s="4" t="s">
        <v>1</v>
      </c>
      <c r="B2119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96" s="3" t="str">
        <f>HYPERLINK("https://otsuka-europe-crm.veevavault.com/ui/#object/sent_email__v/VBL000000003255", "SE-001379323")</f>
        <v>SE-001379323</v>
      </c>
      <c r="D21196" s="1" t="s">
        <v>0</v>
      </c>
      <c r="E21196" s="2">
        <v>0</v>
      </c>
      <c r="F21196" s="2">
        <v>0</v>
      </c>
      <c r="G21196" s="2">
        <v>0</v>
      </c>
      <c r="H21196" s="1" t="s">
        <v>0</v>
      </c>
      <c r="I21196" s="2">
        <v>0</v>
      </c>
      <c r="J21196" s="1">
        <v>45960.319085648145</v>
      </c>
    </row>
    <row r="21197" spans="1:10" x14ac:dyDescent="0.2">
      <c r="A21197" s="4" t="s">
        <v>1</v>
      </c>
      <c r="B2119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97" s="3" t="str">
        <f>HYPERLINK("https://otsuka-europe-crm.veevavault.com/ui/#object/sent_email__v/VBL000000003256", "SE-001379324")</f>
        <v>SE-001379324</v>
      </c>
      <c r="D21197" s="1">
        <v>45960.387627314813</v>
      </c>
      <c r="E21197" s="2">
        <v>1</v>
      </c>
      <c r="F21197" s="2">
        <v>1</v>
      </c>
      <c r="G21197" s="2">
        <v>0</v>
      </c>
      <c r="H21197" s="1" t="s">
        <v>0</v>
      </c>
      <c r="I21197" s="2">
        <v>0</v>
      </c>
      <c r="J21197" s="1">
        <v>45960.319120370368</v>
      </c>
    </row>
    <row r="21198" spans="1:10" x14ac:dyDescent="0.2">
      <c r="A21198" s="4" t="s">
        <v>1</v>
      </c>
      <c r="B2119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98" s="3" t="str">
        <f>HYPERLINK("https://otsuka-europe-crm.veevavault.com/ui/#object/sent_email__v/VBL000000003257", "SE-001379325")</f>
        <v>SE-001379325</v>
      </c>
      <c r="D21198" s="1" t="s">
        <v>0</v>
      </c>
      <c r="E21198" s="2">
        <v>0</v>
      </c>
      <c r="F21198" s="2">
        <v>0</v>
      </c>
      <c r="G21198" s="2">
        <v>0</v>
      </c>
      <c r="H21198" s="1" t="s">
        <v>0</v>
      </c>
      <c r="I21198" s="2">
        <v>0</v>
      </c>
      <c r="J21198" s="1">
        <v>45960.319166666668</v>
      </c>
    </row>
    <row r="21199" spans="1:10" x14ac:dyDescent="0.2">
      <c r="A21199" s="4" t="s">
        <v>1</v>
      </c>
      <c r="B2119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199" s="3" t="str">
        <f>HYPERLINK("https://otsuka-europe-crm.veevavault.com/ui/#object/sent_email__v/VBL000000003258", "SE-001379326")</f>
        <v>SE-001379326</v>
      </c>
      <c r="D21199" s="1">
        <v>45960.361481481479</v>
      </c>
      <c r="E21199" s="2">
        <v>1</v>
      </c>
      <c r="F21199" s="2">
        <v>1</v>
      </c>
      <c r="G21199" s="2">
        <v>0</v>
      </c>
      <c r="H21199" s="1" t="s">
        <v>0</v>
      </c>
      <c r="I21199" s="2">
        <v>0</v>
      </c>
      <c r="J21199" s="1">
        <v>45960.319201388891</v>
      </c>
    </row>
    <row r="21200" spans="1:10" x14ac:dyDescent="0.2">
      <c r="A21200" s="4" t="s">
        <v>1</v>
      </c>
      <c r="B2120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00" s="3" t="str">
        <f>HYPERLINK("https://otsuka-europe-crm.veevavault.com/ui/#object/sent_email__v/VBL000000003259", "SE-001379327")</f>
        <v>SE-001379327</v>
      </c>
      <c r="D21200" s="1">
        <v>45962.852395833332</v>
      </c>
      <c r="E21200" s="2">
        <v>1</v>
      </c>
      <c r="F21200" s="2">
        <v>3</v>
      </c>
      <c r="G21200" s="2">
        <v>1</v>
      </c>
      <c r="H21200" s="1">
        <v>45962.852071759262</v>
      </c>
      <c r="I21200" s="2">
        <v>2</v>
      </c>
      <c r="J21200" s="1">
        <v>45960.319236111114</v>
      </c>
    </row>
    <row r="21201" spans="1:10" x14ac:dyDescent="0.2">
      <c r="A21201" s="4" t="s">
        <v>1</v>
      </c>
      <c r="B2120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01" s="3" t="str">
        <f>HYPERLINK("https://otsuka-europe-crm.veevavault.com/ui/#object/sent_email__v/VBL000000003260", "SE-001379328")</f>
        <v>SE-001379328</v>
      </c>
      <c r="D21201" s="1" t="s">
        <v>0</v>
      </c>
      <c r="E21201" s="2">
        <v>0</v>
      </c>
      <c r="F21201" s="2">
        <v>0</v>
      </c>
      <c r="G21201" s="2">
        <v>0</v>
      </c>
      <c r="H21201" s="1" t="s">
        <v>0</v>
      </c>
      <c r="I21201" s="2">
        <v>0</v>
      </c>
      <c r="J21201" s="1">
        <v>45960.31927083333</v>
      </c>
    </row>
    <row r="21202" spans="1:10" x14ac:dyDescent="0.2">
      <c r="A21202" s="4" t="s">
        <v>1</v>
      </c>
      <c r="B2120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02" s="3" t="str">
        <f>HYPERLINK("https://otsuka-europe-crm.veevavault.com/ui/#object/sent_email__v/VBL000000003261", "SE-001379329")</f>
        <v>SE-001379329</v>
      </c>
      <c r="D21202" s="1">
        <v>45960.336018518516</v>
      </c>
      <c r="E21202" s="2">
        <v>1</v>
      </c>
      <c r="F21202" s="2">
        <v>1</v>
      </c>
      <c r="G21202" s="2">
        <v>0</v>
      </c>
      <c r="H21202" s="1" t="s">
        <v>0</v>
      </c>
      <c r="I21202" s="2">
        <v>0</v>
      </c>
      <c r="J21202" s="1">
        <v>45960.31931712963</v>
      </c>
    </row>
    <row r="21203" spans="1:10" x14ac:dyDescent="0.2">
      <c r="A21203" s="4" t="s">
        <v>1</v>
      </c>
      <c r="B2120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03" s="3" t="str">
        <f>HYPERLINK("https://otsuka-europe-crm.veevavault.com/ui/#object/sent_email__v/VBL000000003262", "SE-001379330")</f>
        <v>SE-001379330</v>
      </c>
      <c r="D21203" s="1" t="s">
        <v>0</v>
      </c>
      <c r="E21203" s="2">
        <v>0</v>
      </c>
      <c r="F21203" s="2">
        <v>0</v>
      </c>
      <c r="G21203" s="2">
        <v>0</v>
      </c>
      <c r="H21203" s="1" t="s">
        <v>0</v>
      </c>
      <c r="I21203" s="2">
        <v>0</v>
      </c>
      <c r="J21203" s="1">
        <v>45960.319351851853</v>
      </c>
    </row>
    <row r="21204" spans="1:10" x14ac:dyDescent="0.2">
      <c r="A21204" s="4" t="s">
        <v>1</v>
      </c>
      <c r="B2120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04" s="3" t="str">
        <f>HYPERLINK("https://otsuka-europe-crm.veevavault.com/ui/#object/sent_email__v/VBL000000003263", "SE-001379331")</f>
        <v>SE-001379331</v>
      </c>
      <c r="D21204" s="1" t="s">
        <v>0</v>
      </c>
      <c r="E21204" s="2">
        <v>0</v>
      </c>
      <c r="F21204" s="2">
        <v>0</v>
      </c>
      <c r="G21204" s="2">
        <v>0</v>
      </c>
      <c r="H21204" s="1" t="s">
        <v>0</v>
      </c>
      <c r="I21204" s="2">
        <v>0</v>
      </c>
      <c r="J21204" s="1">
        <v>45960.319386574076</v>
      </c>
    </row>
    <row r="21205" spans="1:10" x14ac:dyDescent="0.2">
      <c r="A21205" s="4" t="s">
        <v>1</v>
      </c>
      <c r="B2120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05" s="3" t="str">
        <f>HYPERLINK("https://otsuka-europe-crm.veevavault.com/ui/#object/sent_email__v/VBL000000003264", "SE-001379332")</f>
        <v>SE-001379332</v>
      </c>
      <c r="D21205" s="1" t="s">
        <v>0</v>
      </c>
      <c r="E21205" s="2">
        <v>0</v>
      </c>
      <c r="F21205" s="2">
        <v>0</v>
      </c>
      <c r="G21205" s="2">
        <v>0</v>
      </c>
      <c r="H21205" s="1" t="s">
        <v>0</v>
      </c>
      <c r="I21205" s="2">
        <v>0</v>
      </c>
      <c r="J21205" s="1">
        <v>45960.319432870368</v>
      </c>
    </row>
    <row r="21206" spans="1:10" x14ac:dyDescent="0.2">
      <c r="A21206" s="4" t="s">
        <v>1</v>
      </c>
      <c r="B2120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06" s="3" t="str">
        <f>HYPERLINK("https://otsuka-europe-crm.veevavault.com/ui/#object/sent_email__v/VBL000000003265", "SE-001379333")</f>
        <v>SE-001379333</v>
      </c>
      <c r="D21206" s="1">
        <v>45960.319548611114</v>
      </c>
      <c r="E21206" s="2">
        <v>1</v>
      </c>
      <c r="F21206" s="2">
        <v>1</v>
      </c>
      <c r="G21206" s="2">
        <v>0</v>
      </c>
      <c r="H21206" s="1" t="s">
        <v>0</v>
      </c>
      <c r="I21206" s="2">
        <v>0</v>
      </c>
      <c r="J21206" s="1">
        <v>45960.319467592592</v>
      </c>
    </row>
    <row r="21207" spans="1:10" x14ac:dyDescent="0.2">
      <c r="A21207" s="4" t="s">
        <v>1</v>
      </c>
      <c r="B2120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07" s="3" t="str">
        <f>HYPERLINK("https://otsuka-europe-crm.veevavault.com/ui/#object/sent_email__v/VBL000000003266", "SE-001379334")</f>
        <v>SE-001379334</v>
      </c>
      <c r="D21207" s="1" t="s">
        <v>0</v>
      </c>
      <c r="E21207" s="2">
        <v>0</v>
      </c>
      <c r="F21207" s="2">
        <v>0</v>
      </c>
      <c r="G21207" s="2">
        <v>0</v>
      </c>
      <c r="H21207" s="1" t="s">
        <v>0</v>
      </c>
      <c r="I21207" s="2">
        <v>0</v>
      </c>
      <c r="J21207" s="1">
        <v>45960.319502314815</v>
      </c>
    </row>
    <row r="21208" spans="1:10" x14ac:dyDescent="0.2">
      <c r="A21208" s="4" t="s">
        <v>1</v>
      </c>
      <c r="B2120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08" s="3" t="str">
        <f>HYPERLINK("https://otsuka-europe-crm.veevavault.com/ui/#object/sent_email__v/VBL000000003267", "SE-001379335")</f>
        <v>SE-001379335</v>
      </c>
      <c r="D21208" s="1">
        <v>45960.335740740738</v>
      </c>
      <c r="E21208" s="2">
        <v>1</v>
      </c>
      <c r="F21208" s="2">
        <v>1</v>
      </c>
      <c r="G21208" s="2">
        <v>0</v>
      </c>
      <c r="H21208" s="1" t="s">
        <v>0</v>
      </c>
      <c r="I21208" s="2">
        <v>0</v>
      </c>
      <c r="J21208" s="1">
        <v>45960.319548611114</v>
      </c>
    </row>
    <row r="21209" spans="1:10" x14ac:dyDescent="0.2">
      <c r="A21209" s="4" t="s">
        <v>1</v>
      </c>
      <c r="B2120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09" s="3" t="str">
        <f>HYPERLINK("https://otsuka-europe-crm.veevavault.com/ui/#object/sent_email__v/VBL000000003268", "SE-001379336")</f>
        <v>SE-001379336</v>
      </c>
      <c r="D21209" s="1" t="s">
        <v>0</v>
      </c>
      <c r="E21209" s="2">
        <v>0</v>
      </c>
      <c r="F21209" s="2">
        <v>0</v>
      </c>
      <c r="G21209" s="2">
        <v>0</v>
      </c>
      <c r="H21209" s="1" t="s">
        <v>0</v>
      </c>
      <c r="I21209" s="2">
        <v>0</v>
      </c>
      <c r="J21209" s="1">
        <v>45960.319594907407</v>
      </c>
    </row>
    <row r="21210" spans="1:10" x14ac:dyDescent="0.2">
      <c r="A21210" s="4" t="s">
        <v>1</v>
      </c>
      <c r="B2121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10" s="3" t="str">
        <f>HYPERLINK("https://otsuka-europe-crm.veevavault.com/ui/#object/sent_email__v/VBL000000003269", "SE-001379337")</f>
        <v>SE-001379337</v>
      </c>
      <c r="D21210" s="1">
        <v>45960.330208333333</v>
      </c>
      <c r="E21210" s="2">
        <v>1</v>
      </c>
      <c r="F21210" s="2">
        <v>1</v>
      </c>
      <c r="G21210" s="2">
        <v>0</v>
      </c>
      <c r="H21210" s="1" t="s">
        <v>0</v>
      </c>
      <c r="I21210" s="2">
        <v>0</v>
      </c>
      <c r="J21210" s="1">
        <v>45960.31962962963</v>
      </c>
    </row>
    <row r="21211" spans="1:10" x14ac:dyDescent="0.2">
      <c r="A21211" s="4" t="s">
        <v>1</v>
      </c>
      <c r="B2121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11" s="3" t="str">
        <f>HYPERLINK("https://otsuka-europe-crm.veevavault.com/ui/#object/sent_email__v/VBL000000003270", "SE-001379338")</f>
        <v>SE-001379338</v>
      </c>
      <c r="D21211" s="1" t="s">
        <v>0</v>
      </c>
      <c r="E21211" s="2">
        <v>0</v>
      </c>
      <c r="F21211" s="2">
        <v>0</v>
      </c>
      <c r="G21211" s="2">
        <v>0</v>
      </c>
      <c r="H21211" s="1" t="s">
        <v>0</v>
      </c>
      <c r="I21211" s="2">
        <v>0</v>
      </c>
      <c r="J21211" s="1">
        <v>45960.319675925923</v>
      </c>
    </row>
    <row r="21212" spans="1:10" x14ac:dyDescent="0.2">
      <c r="A21212" s="4" t="s">
        <v>1</v>
      </c>
      <c r="B2121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12" s="3" t="str">
        <f>HYPERLINK("https://otsuka-europe-crm.veevavault.com/ui/#object/sent_email__v/VBL000000003271", "SE-001379339")</f>
        <v>SE-001379339</v>
      </c>
      <c r="D21212" s="1" t="s">
        <v>0</v>
      </c>
      <c r="E21212" s="2">
        <v>0</v>
      </c>
      <c r="F21212" s="2">
        <v>0</v>
      </c>
      <c r="G21212" s="2">
        <v>0</v>
      </c>
      <c r="H21212" s="1" t="s">
        <v>0</v>
      </c>
      <c r="I21212" s="2">
        <v>0</v>
      </c>
      <c r="J21212" s="1">
        <v>45960.319710648146</v>
      </c>
    </row>
    <row r="21213" spans="1:10" x14ac:dyDescent="0.2">
      <c r="A21213" s="4" t="s">
        <v>1</v>
      </c>
      <c r="B2121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13" s="3" t="str">
        <f>HYPERLINK("https://otsuka-europe-crm.veevavault.com/ui/#object/sent_email__v/VBL000000003272", "SE-001379340")</f>
        <v>SE-001379340</v>
      </c>
      <c r="D21213" s="1">
        <v>45960.57309027778</v>
      </c>
      <c r="E21213" s="2">
        <v>1</v>
      </c>
      <c r="F21213" s="2">
        <v>1</v>
      </c>
      <c r="G21213" s="2">
        <v>0</v>
      </c>
      <c r="H21213" s="1" t="s">
        <v>0</v>
      </c>
      <c r="I21213" s="2">
        <v>0</v>
      </c>
      <c r="J21213" s="1">
        <v>45960.319756944446</v>
      </c>
    </row>
    <row r="21214" spans="1:10" x14ac:dyDescent="0.2">
      <c r="A21214" s="4" t="s">
        <v>1</v>
      </c>
      <c r="B2121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14" s="3" t="str">
        <f>HYPERLINK("https://otsuka-europe-crm.veevavault.com/ui/#object/sent_email__v/VBL000000003273", "SE-001379341")</f>
        <v>SE-001379341</v>
      </c>
      <c r="D21214" s="1">
        <v>45970.541504629633</v>
      </c>
      <c r="E21214" s="2">
        <v>1</v>
      </c>
      <c r="F21214" s="2">
        <v>2</v>
      </c>
      <c r="G21214" s="2">
        <v>0</v>
      </c>
      <c r="H21214" s="1" t="s">
        <v>0</v>
      </c>
      <c r="I21214" s="2">
        <v>0</v>
      </c>
      <c r="J21214" s="1">
        <v>45960.319791666669</v>
      </c>
    </row>
    <row r="21215" spans="1:10" x14ac:dyDescent="0.2">
      <c r="A21215" s="4" t="s">
        <v>1</v>
      </c>
      <c r="B2121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15" s="3" t="str">
        <f>HYPERLINK("https://otsuka-europe-crm.veevavault.com/ui/#object/sent_email__v/VBL000000003274", "SE-001379342")</f>
        <v>SE-001379342</v>
      </c>
      <c r="D21215" s="1" t="s">
        <v>0</v>
      </c>
      <c r="E21215" s="2">
        <v>0</v>
      </c>
      <c r="F21215" s="2">
        <v>0</v>
      </c>
      <c r="G21215" s="2">
        <v>0</v>
      </c>
      <c r="H21215" s="1" t="s">
        <v>0</v>
      </c>
      <c r="I21215" s="2">
        <v>0</v>
      </c>
      <c r="J21215" s="1">
        <v>45960.319837962961</v>
      </c>
    </row>
    <row r="21216" spans="1:10" x14ac:dyDescent="0.2">
      <c r="A21216" s="4" t="s">
        <v>1</v>
      </c>
      <c r="B2121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16" s="3" t="str">
        <f>HYPERLINK("https://otsuka-europe-crm.veevavault.com/ui/#object/sent_email__v/VBL000000003275", "SE-001379343")</f>
        <v>SE-001379343</v>
      </c>
      <c r="D21216" s="1">
        <v>45960.414166666669</v>
      </c>
      <c r="E21216" s="2">
        <v>1</v>
      </c>
      <c r="F21216" s="2">
        <v>2</v>
      </c>
      <c r="G21216" s="2">
        <v>0</v>
      </c>
      <c r="H21216" s="1" t="s">
        <v>0</v>
      </c>
      <c r="I21216" s="2">
        <v>0</v>
      </c>
      <c r="J21216" s="1">
        <v>45960.319872685184</v>
      </c>
    </row>
    <row r="21217" spans="1:10" x14ac:dyDescent="0.2">
      <c r="A21217" s="4" t="s">
        <v>1</v>
      </c>
      <c r="B2121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17" s="3" t="str">
        <f>HYPERLINK("https://otsuka-europe-crm.veevavault.com/ui/#object/sent_email__v/VBL000000003276", "SE-001379344")</f>
        <v>SE-001379344</v>
      </c>
      <c r="D21217" s="1">
        <v>45963.767326388886</v>
      </c>
      <c r="E21217" s="2">
        <v>1</v>
      </c>
      <c r="F21217" s="2">
        <v>3</v>
      </c>
      <c r="G21217" s="2">
        <v>0</v>
      </c>
      <c r="H21217" s="1" t="s">
        <v>0</v>
      </c>
      <c r="I21217" s="2">
        <v>0</v>
      </c>
      <c r="J21217" s="1">
        <v>45960.319930555554</v>
      </c>
    </row>
    <row r="21218" spans="1:10" x14ac:dyDescent="0.2">
      <c r="A21218" s="4" t="s">
        <v>1</v>
      </c>
      <c r="B2121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18" s="3" t="str">
        <f>HYPERLINK("https://otsuka-europe-crm.veevavault.com/ui/#object/sent_email__v/VBL000000003277", "SE-001379345")</f>
        <v>SE-001379345</v>
      </c>
      <c r="D21218" s="1" t="s">
        <v>0</v>
      </c>
      <c r="E21218" s="2">
        <v>0</v>
      </c>
      <c r="F21218" s="2">
        <v>0</v>
      </c>
      <c r="G21218" s="2">
        <v>0</v>
      </c>
      <c r="H21218" s="1" t="s">
        <v>0</v>
      </c>
      <c r="I21218" s="2">
        <v>0</v>
      </c>
      <c r="J21218" s="1">
        <v>45960.319965277777</v>
      </c>
    </row>
    <row r="21219" spans="1:10" x14ac:dyDescent="0.2">
      <c r="A21219" s="4" t="s">
        <v>1</v>
      </c>
      <c r="B2121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19" s="3" t="str">
        <f>HYPERLINK("https://otsuka-europe-crm.veevavault.com/ui/#object/sent_email__v/VBL000000003278", "SE-001379346")</f>
        <v>SE-001379346</v>
      </c>
      <c r="D21219" s="1" t="s">
        <v>0</v>
      </c>
      <c r="E21219" s="2">
        <v>0</v>
      </c>
      <c r="F21219" s="2">
        <v>0</v>
      </c>
      <c r="G21219" s="2">
        <v>0</v>
      </c>
      <c r="H21219" s="1" t="s">
        <v>0</v>
      </c>
      <c r="I21219" s="2">
        <v>0</v>
      </c>
      <c r="J21219" s="1">
        <v>45960.32</v>
      </c>
    </row>
    <row r="21220" spans="1:10" x14ac:dyDescent="0.2">
      <c r="A21220" s="4" t="s">
        <v>1</v>
      </c>
      <c r="B2122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20" s="3" t="str">
        <f>HYPERLINK("https://otsuka-europe-crm.veevavault.com/ui/#object/sent_email__v/VBL000000003279", "SE-001379347")</f>
        <v>SE-001379347</v>
      </c>
      <c r="D21220" s="1">
        <v>45978.87672453704</v>
      </c>
      <c r="E21220" s="2">
        <v>1</v>
      </c>
      <c r="F21220" s="2">
        <v>5</v>
      </c>
      <c r="G21220" s="2">
        <v>0</v>
      </c>
      <c r="H21220" s="1" t="s">
        <v>0</v>
      </c>
      <c r="I21220" s="2">
        <v>0</v>
      </c>
      <c r="J21220" s="1">
        <v>45960.320034722223</v>
      </c>
    </row>
    <row r="21221" spans="1:10" x14ac:dyDescent="0.2">
      <c r="A21221" s="4" t="s">
        <v>1</v>
      </c>
      <c r="B2122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21" s="3" t="str">
        <f>HYPERLINK("https://otsuka-europe-crm.veevavault.com/ui/#object/sent_email__v/VBL000000003280", "SE-001379348")</f>
        <v>SE-001379348</v>
      </c>
      <c r="D21221" s="1">
        <v>45960.334039351852</v>
      </c>
      <c r="E21221" s="2">
        <v>1</v>
      </c>
      <c r="F21221" s="2">
        <v>1</v>
      </c>
      <c r="G21221" s="2">
        <v>0</v>
      </c>
      <c r="H21221" s="1" t="s">
        <v>0</v>
      </c>
      <c r="I21221" s="2">
        <v>0</v>
      </c>
      <c r="J21221" s="1">
        <v>45960.320081018515</v>
      </c>
    </row>
    <row r="21222" spans="1:10" x14ac:dyDescent="0.2">
      <c r="A21222" s="4" t="s">
        <v>1</v>
      </c>
      <c r="B2122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22" s="3" t="str">
        <f>HYPERLINK("https://otsuka-europe-crm.veevavault.com/ui/#object/sent_email__v/VBL000000003281", "SE-001379349")</f>
        <v>SE-001379349</v>
      </c>
      <c r="D21222" s="1" t="s">
        <v>0</v>
      </c>
      <c r="E21222" s="2">
        <v>0</v>
      </c>
      <c r="F21222" s="2">
        <v>0</v>
      </c>
      <c r="G21222" s="2">
        <v>0</v>
      </c>
      <c r="H21222" s="1" t="s">
        <v>0</v>
      </c>
      <c r="I21222" s="2">
        <v>0</v>
      </c>
      <c r="J21222" s="1">
        <v>45960.320127314815</v>
      </c>
    </row>
    <row r="21223" spans="1:10" x14ac:dyDescent="0.2">
      <c r="A21223" s="4" t="s">
        <v>1</v>
      </c>
      <c r="B2122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23" s="3" t="str">
        <f>HYPERLINK("https://otsuka-europe-crm.veevavault.com/ui/#object/sent_email__v/VBL000000003282", "SE-001379350")</f>
        <v>SE-001379350</v>
      </c>
      <c r="D21223" s="1">
        <v>45960.396944444445</v>
      </c>
      <c r="E21223" s="2">
        <v>1</v>
      </c>
      <c r="F21223" s="2">
        <v>3</v>
      </c>
      <c r="G21223" s="2">
        <v>1</v>
      </c>
      <c r="H21223" s="1">
        <v>45960.322488425925</v>
      </c>
      <c r="I21223" s="2">
        <v>1</v>
      </c>
      <c r="J21223" s="1">
        <v>45960.320162037038</v>
      </c>
    </row>
    <row r="21224" spans="1:10" x14ac:dyDescent="0.2">
      <c r="A21224" s="4" t="s">
        <v>1</v>
      </c>
      <c r="B2122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24" s="3" t="str">
        <f>HYPERLINK("https://otsuka-europe-crm.veevavault.com/ui/#object/sent_email__v/VBL000000003283", "SE-001379351")</f>
        <v>SE-001379351</v>
      </c>
      <c r="D21224" s="1">
        <v>45977.860925925925</v>
      </c>
      <c r="E21224" s="2">
        <v>1</v>
      </c>
      <c r="F21224" s="2">
        <v>2</v>
      </c>
      <c r="G21224" s="2">
        <v>1</v>
      </c>
      <c r="H21224" s="1">
        <v>45960.383622685185</v>
      </c>
      <c r="I21224" s="2">
        <v>1</v>
      </c>
      <c r="J21224" s="1">
        <v>45960.320196759261</v>
      </c>
    </row>
    <row r="21225" spans="1:10" x14ac:dyDescent="0.2">
      <c r="A21225" s="4" t="s">
        <v>1</v>
      </c>
      <c r="B21225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25" s="3" t="str">
        <f>HYPERLINK("https://otsuka-europe-crm.veevavault.com/ui/#object/sent_email__v/VBL000000003284", "SE-001379352")</f>
        <v>SE-001379352</v>
      </c>
      <c r="D21225" s="1" t="s">
        <v>0</v>
      </c>
      <c r="E21225" s="2">
        <v>0</v>
      </c>
      <c r="F21225" s="2">
        <v>0</v>
      </c>
      <c r="G21225" s="2">
        <v>0</v>
      </c>
      <c r="H21225" s="1" t="s">
        <v>0</v>
      </c>
      <c r="I21225" s="2">
        <v>0</v>
      </c>
      <c r="J21225" s="1">
        <v>45960.320231481484</v>
      </c>
    </row>
    <row r="21226" spans="1:10" x14ac:dyDescent="0.2">
      <c r="A21226" s="4" t="s">
        <v>1</v>
      </c>
      <c r="B21226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26" s="3" t="str">
        <f>HYPERLINK("https://otsuka-europe-crm.veevavault.com/ui/#object/sent_email__v/VBL000000003285", "SE-001379353")</f>
        <v>SE-001379353</v>
      </c>
      <c r="D21226" s="1">
        <v>45960.413923611108</v>
      </c>
      <c r="E21226" s="2">
        <v>1</v>
      </c>
      <c r="F21226" s="2">
        <v>1</v>
      </c>
      <c r="G21226" s="2">
        <v>0</v>
      </c>
      <c r="H21226" s="1" t="s">
        <v>0</v>
      </c>
      <c r="I21226" s="2">
        <v>0</v>
      </c>
      <c r="J21226" s="1">
        <v>45960.320277777777</v>
      </c>
    </row>
    <row r="21227" spans="1:10" x14ac:dyDescent="0.2">
      <c r="A21227" s="4" t="s">
        <v>1</v>
      </c>
      <c r="B21227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27" s="3" t="str">
        <f>HYPERLINK("https://otsuka-europe-crm.veevavault.com/ui/#object/sent_email__v/VBL000000003286", "SE-001379354")</f>
        <v>SE-001379354</v>
      </c>
      <c r="D21227" s="1" t="s">
        <v>0</v>
      </c>
      <c r="E21227" s="2">
        <v>0</v>
      </c>
      <c r="F21227" s="2">
        <v>0</v>
      </c>
      <c r="G21227" s="2">
        <v>0</v>
      </c>
      <c r="H21227" s="1" t="s">
        <v>0</v>
      </c>
      <c r="I21227" s="2">
        <v>0</v>
      </c>
      <c r="J21227" s="1">
        <v>45960.3203125</v>
      </c>
    </row>
    <row r="21228" spans="1:10" x14ac:dyDescent="0.2">
      <c r="A21228" s="4" t="s">
        <v>1</v>
      </c>
      <c r="B21228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28" s="3" t="str">
        <f>HYPERLINK("https://otsuka-europe-crm.veevavault.com/ui/#object/sent_email__v/VBL000000003287", "SE-001379355")</f>
        <v>SE-001379355</v>
      </c>
      <c r="D21228" s="1">
        <v>45961.285000000003</v>
      </c>
      <c r="E21228" s="2">
        <v>1</v>
      </c>
      <c r="F21228" s="2">
        <v>1</v>
      </c>
      <c r="G21228" s="2">
        <v>0</v>
      </c>
      <c r="H21228" s="1" t="s">
        <v>0</v>
      </c>
      <c r="I21228" s="2">
        <v>0</v>
      </c>
      <c r="J21228" s="1">
        <v>45960.3203587963</v>
      </c>
    </row>
    <row r="21229" spans="1:10" x14ac:dyDescent="0.2">
      <c r="A21229" s="4" t="s">
        <v>1</v>
      </c>
      <c r="B21229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29" s="3" t="str">
        <f>HYPERLINK("https://otsuka-europe-crm.veevavault.com/ui/#object/sent_email__v/VBL000000003288", "SE-001379356")</f>
        <v>SE-001379356</v>
      </c>
      <c r="D21229" s="1">
        <v>45964.62777777778</v>
      </c>
      <c r="E21229" s="2">
        <v>1</v>
      </c>
      <c r="F21229" s="2">
        <v>1</v>
      </c>
      <c r="G21229" s="2">
        <v>0</v>
      </c>
      <c r="H21229" s="1" t="s">
        <v>0</v>
      </c>
      <c r="I21229" s="2">
        <v>0</v>
      </c>
      <c r="J21229" s="1">
        <v>45960.320393518516</v>
      </c>
    </row>
    <row r="21230" spans="1:10" x14ac:dyDescent="0.2">
      <c r="A21230" s="4" t="s">
        <v>1</v>
      </c>
      <c r="B21230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30" s="3" t="str">
        <f>HYPERLINK("https://otsuka-europe-crm.veevavault.com/ui/#object/sent_email__v/VBL000000003289", "SE-001379357")</f>
        <v>SE-001379357</v>
      </c>
      <c r="D21230" s="1" t="s">
        <v>0</v>
      </c>
      <c r="E21230" s="2">
        <v>0</v>
      </c>
      <c r="F21230" s="2">
        <v>0</v>
      </c>
      <c r="G21230" s="2">
        <v>0</v>
      </c>
      <c r="H21230" s="1" t="s">
        <v>0</v>
      </c>
      <c r="I21230" s="2">
        <v>0</v>
      </c>
      <c r="J21230" s="1">
        <v>45960.320428240739</v>
      </c>
    </row>
    <row r="21231" spans="1:10" x14ac:dyDescent="0.2">
      <c r="A21231" s="4" t="s">
        <v>1</v>
      </c>
      <c r="B21231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31" s="3" t="str">
        <f>HYPERLINK("https://otsuka-europe-crm.veevavault.com/ui/#object/sent_email__v/VBL000000003290", "SE-001379358")</f>
        <v>SE-001379358</v>
      </c>
      <c r="D21231" s="1">
        <v>45960.464583333334</v>
      </c>
      <c r="E21231" s="2">
        <v>1</v>
      </c>
      <c r="F21231" s="2">
        <v>1</v>
      </c>
      <c r="G21231" s="2">
        <v>0</v>
      </c>
      <c r="H21231" s="1" t="s">
        <v>0</v>
      </c>
      <c r="I21231" s="2">
        <v>0</v>
      </c>
      <c r="J21231" s="1">
        <v>45960.320474537039</v>
      </c>
    </row>
    <row r="21232" spans="1:10" x14ac:dyDescent="0.2">
      <c r="A21232" s="4" t="s">
        <v>1</v>
      </c>
      <c r="B21232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32" s="3" t="str">
        <f>HYPERLINK("https://otsuka-europe-crm.veevavault.com/ui/#object/sent_email__v/VBL000000003291", "SE-001379359")</f>
        <v>SE-001379359</v>
      </c>
      <c r="D21232" s="1" t="s">
        <v>0</v>
      </c>
      <c r="E21232" s="2">
        <v>0</v>
      </c>
      <c r="F21232" s="2">
        <v>0</v>
      </c>
      <c r="G21232" s="2">
        <v>0</v>
      </c>
      <c r="H21232" s="1" t="s">
        <v>0</v>
      </c>
      <c r="I21232" s="2">
        <v>0</v>
      </c>
      <c r="J21232" s="1">
        <v>45960.320520833331</v>
      </c>
    </row>
    <row r="21233" spans="1:10" x14ac:dyDescent="0.2">
      <c r="A21233" s="4" t="s">
        <v>1</v>
      </c>
      <c r="B21233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33" s="3" t="str">
        <f>HYPERLINK("https://otsuka-europe-crm.veevavault.com/ui/#object/sent_email__v/VBL000000003292", "SE-001379360")</f>
        <v>SE-001379360</v>
      </c>
      <c r="D21233" s="1" t="s">
        <v>0</v>
      </c>
      <c r="E21233" s="2">
        <v>0</v>
      </c>
      <c r="F21233" s="2">
        <v>0</v>
      </c>
      <c r="G21233" s="2">
        <v>0</v>
      </c>
      <c r="H21233" s="1" t="s">
        <v>0</v>
      </c>
      <c r="I21233" s="2">
        <v>0</v>
      </c>
      <c r="J21233" s="1">
        <v>45960.320555555554</v>
      </c>
    </row>
    <row r="21234" spans="1:10" x14ac:dyDescent="0.2">
      <c r="A21234" s="4" t="s">
        <v>1</v>
      </c>
      <c r="B21234" s="3" t="str">
        <f>HYPERLINK("https://otsuka-europe-crm.veevavault.com/ui/#object/approved_document__v/V5OZ025E82TQW31", "RXULTI - Programa Barcelona Lanzamiento Indicación adolescente")</f>
        <v>RXULTI - Programa Barcelona Lanzamiento Indicación adolescente</v>
      </c>
      <c r="C21234" s="3" t="str">
        <f>HYPERLINK("https://otsuka-europe-crm.veevavault.com/ui/#object/sent_email__v/VBL000000003293", "SE-001379361")</f>
        <v>SE-001379361</v>
      </c>
      <c r="D21234" s="1" t="s">
        <v>0</v>
      </c>
      <c r="E21234" s="2">
        <v>0</v>
      </c>
      <c r="F21234" s="2">
        <v>0</v>
      </c>
      <c r="G21234" s="2">
        <v>0</v>
      </c>
      <c r="H21234" s="1" t="s">
        <v>0</v>
      </c>
      <c r="I21234" s="2">
        <v>0</v>
      </c>
      <c r="J21234" s="1">
        <v>45960.320590277777</v>
      </c>
    </row>
    <row r="21235" spans="1:10" x14ac:dyDescent="0.2">
      <c r="A21235" s="4" t="s">
        <v>1</v>
      </c>
      <c r="B21235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35" s="3" t="str">
        <f>HYPERLINK("https://otsuka-europe-crm.veevavault.com/ui/#object/sent_email__v/VBLZ025E82GMJX1", "SE-000266888")</f>
        <v>SE-000266888</v>
      </c>
      <c r="D21235" s="1">
        <v>45920.774664351855</v>
      </c>
      <c r="E21235" s="2">
        <v>1</v>
      </c>
      <c r="F21235" s="2">
        <v>2</v>
      </c>
      <c r="G21235" s="2">
        <v>0</v>
      </c>
      <c r="H21235" s="1" t="s">
        <v>0</v>
      </c>
      <c r="I21235" s="2">
        <v>0</v>
      </c>
      <c r="J21235" s="1">
        <v>45912.562465277777</v>
      </c>
    </row>
    <row r="21236" spans="1:10" x14ac:dyDescent="0.2">
      <c r="A21236" s="4" t="s">
        <v>1</v>
      </c>
      <c r="B21236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36" s="3" t="str">
        <f>HYPERLINK("https://otsuka-europe-crm.veevavault.com/ui/#object/sent_email__v/VBLZ025E82GNIHI", "SE-000275459")</f>
        <v>SE-000275459</v>
      </c>
      <c r="D21236" s="1">
        <v>45920.807233796295</v>
      </c>
      <c r="E21236" s="2">
        <v>1</v>
      </c>
      <c r="F21236" s="2">
        <v>3</v>
      </c>
      <c r="G21236" s="2">
        <v>1</v>
      </c>
      <c r="H21236" s="1">
        <v>45915.425555555557</v>
      </c>
      <c r="I21236" s="2">
        <v>4</v>
      </c>
      <c r="J21236" s="1">
        <v>45915.424930555557</v>
      </c>
    </row>
    <row r="21237" spans="1:10" x14ac:dyDescent="0.2">
      <c r="A21237" s="4" t="s">
        <v>1</v>
      </c>
      <c r="B21237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37" s="3" t="str">
        <f>HYPERLINK("https://otsuka-europe-crm.veevavault.com/ui/#object/sent_email__v/VBLZ025E82GPKMX", "SE-000275663")</f>
        <v>SE-000275663</v>
      </c>
      <c r="D21237" s="1">
        <v>45916.509016203701</v>
      </c>
      <c r="E21237" s="2">
        <v>1</v>
      </c>
      <c r="F21237" s="2">
        <v>1</v>
      </c>
      <c r="G21237" s="2">
        <v>1</v>
      </c>
      <c r="H21237" s="1">
        <v>45916.509062500001</v>
      </c>
      <c r="I21237" s="2">
        <v>1</v>
      </c>
      <c r="J21237" s="1">
        <v>45916.508449074077</v>
      </c>
    </row>
    <row r="21238" spans="1:10" x14ac:dyDescent="0.2">
      <c r="A21238" s="4" t="s">
        <v>1</v>
      </c>
      <c r="B21238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38" s="3" t="str">
        <f>HYPERLINK("https://otsuka-europe-crm.veevavault.com/ui/#object/sent_email__v/VBLZ025E82H18GT", "SE-000281032")</f>
        <v>SE-000281032</v>
      </c>
      <c r="D21238" s="1">
        <v>45926.727407407408</v>
      </c>
      <c r="E21238" s="2">
        <v>1</v>
      </c>
      <c r="F21238" s="2">
        <v>1</v>
      </c>
      <c r="G21238" s="2">
        <v>0</v>
      </c>
      <c r="H21238" s="1" t="s">
        <v>0</v>
      </c>
      <c r="I21238" s="2">
        <v>0</v>
      </c>
      <c r="J21238" s="1">
        <v>45926.413124999999</v>
      </c>
    </row>
    <row r="21239" spans="1:10" x14ac:dyDescent="0.2">
      <c r="A21239" s="4" t="s">
        <v>1</v>
      </c>
      <c r="B21239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39" s="3" t="str">
        <f>HYPERLINK("https://otsuka-europe-crm.veevavault.com/ui/#object/sent_email__v/VBLZ025E82H2QMT", "SE-000281525")</f>
        <v>SE-000281525</v>
      </c>
      <c r="D21239" s="1" t="s">
        <v>0</v>
      </c>
      <c r="E21239" s="2">
        <v>0</v>
      </c>
      <c r="F21239" s="2">
        <v>0</v>
      </c>
      <c r="G21239" s="2">
        <v>0</v>
      </c>
      <c r="H21239" s="1" t="s">
        <v>0</v>
      </c>
      <c r="I21239" s="2">
        <v>0</v>
      </c>
      <c r="J21239" s="1">
        <v>45929.363437499997</v>
      </c>
    </row>
    <row r="21240" spans="1:10" x14ac:dyDescent="0.2">
      <c r="A21240" s="4" t="s">
        <v>1</v>
      </c>
      <c r="B21240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40" s="3" t="str">
        <f>HYPERLINK("https://otsuka-europe-crm.veevavault.com/ui/#object/sent_email__v/VBLZ025E82H2ZTD", "SE-000281537")</f>
        <v>SE-000281537</v>
      </c>
      <c r="D21240" s="1">
        <v>45947.076990740738</v>
      </c>
      <c r="E21240" s="2">
        <v>1</v>
      </c>
      <c r="F21240" s="2">
        <v>2</v>
      </c>
      <c r="G21240" s="2">
        <v>0</v>
      </c>
      <c r="H21240" s="1" t="s">
        <v>0</v>
      </c>
      <c r="I21240" s="2">
        <v>0</v>
      </c>
      <c r="J21240" s="1">
        <v>45929.448009259257</v>
      </c>
    </row>
    <row r="21241" spans="1:10" x14ac:dyDescent="0.2">
      <c r="A21241" s="4" t="s">
        <v>1</v>
      </c>
      <c r="B21241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41" s="3" t="str">
        <f>HYPERLINK("https://otsuka-europe-crm.veevavault.com/ui/#object/sent_email__v/VBLZ025E82H4RS5", "SE-000281906")</f>
        <v>SE-000281906</v>
      </c>
      <c r="D21241" s="1">
        <v>45930.447743055556</v>
      </c>
      <c r="E21241" s="2">
        <v>1</v>
      </c>
      <c r="F21241" s="2">
        <v>5</v>
      </c>
      <c r="G21241" s="2">
        <v>1</v>
      </c>
      <c r="H21241" s="1">
        <v>45930.554849537039</v>
      </c>
      <c r="I21241" s="2">
        <v>10</v>
      </c>
      <c r="J21241" s="1">
        <v>45930.447546296295</v>
      </c>
    </row>
    <row r="21242" spans="1:10" x14ac:dyDescent="0.2">
      <c r="A21242" s="4" t="s">
        <v>1</v>
      </c>
      <c r="B21242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42" s="3" t="str">
        <f>HYPERLINK("https://otsuka-europe-crm.veevavault.com/ui/#object/sent_email__v/VBLZ025E82H4V3L", "SE-000281911")</f>
        <v>SE-000281911</v>
      </c>
      <c r="D21242" s="1">
        <v>45930.606585648151</v>
      </c>
      <c r="E21242" s="2">
        <v>1</v>
      </c>
      <c r="F21242" s="2">
        <v>3</v>
      </c>
      <c r="G21242" s="2">
        <v>0</v>
      </c>
      <c r="H21242" s="1" t="s">
        <v>0</v>
      </c>
      <c r="I21242" s="2">
        <v>0</v>
      </c>
      <c r="J21242" s="1">
        <v>45930.479166666664</v>
      </c>
    </row>
    <row r="21243" spans="1:10" x14ac:dyDescent="0.2">
      <c r="A21243" s="4" t="s">
        <v>1</v>
      </c>
      <c r="B21243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43" s="3" t="str">
        <f>HYPERLINK("https://otsuka-europe-crm.veevavault.com/ui/#object/sent_email__v/VBLZ025E82H4YC9", "SE-000282087")</f>
        <v>SE-000282087</v>
      </c>
      <c r="D21243" s="1">
        <v>46023.370092592595</v>
      </c>
      <c r="E21243" s="2">
        <v>1</v>
      </c>
      <c r="F21243" s="2">
        <v>1</v>
      </c>
      <c r="G21243" s="2">
        <v>0</v>
      </c>
      <c r="H21243" s="1" t="s">
        <v>0</v>
      </c>
      <c r="I21243" s="2">
        <v>0</v>
      </c>
      <c r="J21243" s="1">
        <v>45930.498796296299</v>
      </c>
    </row>
    <row r="21244" spans="1:10" x14ac:dyDescent="0.2">
      <c r="A21244" s="4" t="s">
        <v>1</v>
      </c>
      <c r="B21244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44" s="3" t="str">
        <f>HYPERLINK("https://otsuka-europe-crm.veevavault.com/ui/#object/sent_email__v/VBLZ025E82H4YHT", "SE-000282088")</f>
        <v>SE-000282088</v>
      </c>
      <c r="D21244" s="1">
        <v>45957.717488425929</v>
      </c>
      <c r="E21244" s="2">
        <v>1</v>
      </c>
      <c r="F21244" s="2">
        <v>2</v>
      </c>
      <c r="G21244" s="2">
        <v>1</v>
      </c>
      <c r="H21244" s="1">
        <v>45957.718541666669</v>
      </c>
      <c r="I21244" s="2">
        <v>3</v>
      </c>
      <c r="J21244" s="1">
        <v>45930.500428240739</v>
      </c>
    </row>
    <row r="21245" spans="1:10" x14ac:dyDescent="0.2">
      <c r="A21245" s="4" t="s">
        <v>1</v>
      </c>
      <c r="B21245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45" s="3" t="str">
        <f>HYPERLINK("https://otsuka-europe-crm.veevavault.com/ui/#object/sent_email__v/VBLZ025E82H6MG5", "SE-000282658")</f>
        <v>SE-000282658</v>
      </c>
      <c r="D21245" s="1">
        <v>45931.855902777781</v>
      </c>
      <c r="E21245" s="2">
        <v>1</v>
      </c>
      <c r="F21245" s="2">
        <v>1</v>
      </c>
      <c r="G21245" s="2">
        <v>0</v>
      </c>
      <c r="H21245" s="1" t="s">
        <v>0</v>
      </c>
      <c r="I21245" s="2">
        <v>0</v>
      </c>
      <c r="J21245" s="1">
        <v>45931.537361111114</v>
      </c>
    </row>
    <row r="21246" spans="1:10" x14ac:dyDescent="0.2">
      <c r="A21246" s="4" t="s">
        <v>1</v>
      </c>
      <c r="B21246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46" s="3" t="str">
        <f>HYPERLINK("https://otsuka-europe-crm.veevavault.com/ui/#object/sent_email__v/VBLZ025E82H7JUX", "SE-000282875")</f>
        <v>SE-000282875</v>
      </c>
      <c r="D21246" s="1" t="s">
        <v>0</v>
      </c>
      <c r="E21246" s="2">
        <v>0</v>
      </c>
      <c r="F21246" s="2">
        <v>0</v>
      </c>
      <c r="G21246" s="2">
        <v>0</v>
      </c>
      <c r="H21246" s="1" t="s">
        <v>0</v>
      </c>
      <c r="I21246" s="2">
        <v>0</v>
      </c>
      <c r="J21246" s="1">
        <v>45932.433622685188</v>
      </c>
    </row>
    <row r="21247" spans="1:10" x14ac:dyDescent="0.2">
      <c r="A21247" s="4" t="s">
        <v>1</v>
      </c>
      <c r="B21247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47" s="3" t="str">
        <f>HYPERLINK("https://otsuka-europe-crm.veevavault.com/ui/#object/sent_email__v/VBLZ025E82HFX3D", "SE-000285114")</f>
        <v>SE-000285114</v>
      </c>
      <c r="D21247" s="1" t="s">
        <v>0</v>
      </c>
      <c r="E21247" s="2">
        <v>0</v>
      </c>
      <c r="F21247" s="2">
        <v>0</v>
      </c>
      <c r="G21247" s="2">
        <v>0</v>
      </c>
      <c r="H21247" s="1" t="s">
        <v>0</v>
      </c>
      <c r="I21247" s="2">
        <v>0</v>
      </c>
      <c r="J21247" s="1">
        <v>45939.44321759259</v>
      </c>
    </row>
    <row r="21248" spans="1:10" x14ac:dyDescent="0.2">
      <c r="A21248" s="4" t="s">
        <v>1</v>
      </c>
      <c r="B21248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48" s="3" t="str">
        <f>HYPERLINK("https://otsuka-europe-crm.veevavault.com/ui/#object/sent_email__v/VBLZ025E82HFX3E", "SE-000285115")</f>
        <v>SE-000285115</v>
      </c>
      <c r="D21248" s="1" t="s">
        <v>0</v>
      </c>
      <c r="E21248" s="2">
        <v>0</v>
      </c>
      <c r="F21248" s="2">
        <v>0</v>
      </c>
      <c r="G21248" s="2">
        <v>0</v>
      </c>
      <c r="H21248" s="1" t="s">
        <v>0</v>
      </c>
      <c r="I21248" s="2">
        <v>0</v>
      </c>
      <c r="J21248" s="1">
        <v>45939.443229166667</v>
      </c>
    </row>
    <row r="21249" spans="1:10" x14ac:dyDescent="0.2">
      <c r="A21249" s="4" t="s">
        <v>1</v>
      </c>
      <c r="B21249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49" s="3" t="str">
        <f>HYPERLINK("https://otsuka-europe-crm.veevavault.com/ui/#object/sent_email__v/VBLZ025E82HFX3F", "SE-000285116")</f>
        <v>SE-000285116</v>
      </c>
      <c r="D21249" s="1">
        <v>45945.833599537036</v>
      </c>
      <c r="E21249" s="2">
        <v>1</v>
      </c>
      <c r="F21249" s="2">
        <v>5</v>
      </c>
      <c r="G21249" s="2">
        <v>0</v>
      </c>
      <c r="H21249" s="1" t="s">
        <v>0</v>
      </c>
      <c r="I21249" s="2">
        <v>0</v>
      </c>
      <c r="J21249" s="1">
        <v>45939.443240740744</v>
      </c>
    </row>
    <row r="21250" spans="1:10" x14ac:dyDescent="0.2">
      <c r="A21250" s="4" t="s">
        <v>1</v>
      </c>
      <c r="B21250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50" s="3" t="str">
        <f>HYPERLINK("https://otsuka-europe-crm.veevavault.com/ui/#object/sent_email__v/VBLZ025E82HFX3G", "SE-000285117")</f>
        <v>SE-000285117</v>
      </c>
      <c r="D21250" s="1">
        <v>45939.844247685185</v>
      </c>
      <c r="E21250" s="2">
        <v>1</v>
      </c>
      <c r="F21250" s="2">
        <v>1</v>
      </c>
      <c r="G21250" s="2">
        <v>0</v>
      </c>
      <c r="H21250" s="1" t="s">
        <v>0</v>
      </c>
      <c r="I21250" s="2">
        <v>0</v>
      </c>
      <c r="J21250" s="1">
        <v>45939.443240740744</v>
      </c>
    </row>
    <row r="21251" spans="1:10" x14ac:dyDescent="0.2">
      <c r="A21251" s="4" t="s">
        <v>1</v>
      </c>
      <c r="B21251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51" s="3" t="str">
        <f>HYPERLINK("https://otsuka-europe-crm.veevavault.com/ui/#object/sent_email__v/VBLZ025E82HFX3H", "SE-000285118")</f>
        <v>SE-000285118</v>
      </c>
      <c r="D21251" s="1">
        <v>45943.880578703705</v>
      </c>
      <c r="E21251" s="2">
        <v>1</v>
      </c>
      <c r="F21251" s="2">
        <v>2</v>
      </c>
      <c r="G21251" s="2">
        <v>0</v>
      </c>
      <c r="H21251" s="1" t="s">
        <v>0</v>
      </c>
      <c r="I21251" s="2">
        <v>0</v>
      </c>
      <c r="J21251" s="1">
        <v>45939.443252314813</v>
      </c>
    </row>
    <row r="21252" spans="1:10" x14ac:dyDescent="0.2">
      <c r="A21252" s="4" t="s">
        <v>1</v>
      </c>
      <c r="B21252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52" s="3" t="str">
        <f>HYPERLINK("https://otsuka-europe-crm.veevavault.com/ui/#object/sent_email__v/VBLZ025E82HFX3I", "SE-000285119")</f>
        <v>SE-000285119</v>
      </c>
      <c r="D21252" s="1">
        <v>45943.819432870368</v>
      </c>
      <c r="E21252" s="2">
        <v>1</v>
      </c>
      <c r="F21252" s="2">
        <v>11</v>
      </c>
      <c r="G21252" s="2">
        <v>1</v>
      </c>
      <c r="H21252" s="1">
        <v>45939.816678240742</v>
      </c>
      <c r="I21252" s="2">
        <v>2</v>
      </c>
      <c r="J21252" s="1">
        <v>45939.44326388889</v>
      </c>
    </row>
    <row r="21253" spans="1:10" x14ac:dyDescent="0.2">
      <c r="A21253" s="4" t="s">
        <v>1</v>
      </c>
      <c r="B21253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53" s="3" t="str">
        <f>HYPERLINK("https://otsuka-europe-crm.veevavault.com/ui/#object/sent_email__v/VBLZ025E82HH1ZL", "SE-000286301")</f>
        <v>SE-000286301</v>
      </c>
      <c r="D21253" s="1">
        <v>45940.615057870367</v>
      </c>
      <c r="E21253" s="2">
        <v>1</v>
      </c>
      <c r="F21253" s="2">
        <v>1</v>
      </c>
      <c r="G21253" s="2">
        <v>0</v>
      </c>
      <c r="H21253" s="1" t="s">
        <v>0</v>
      </c>
      <c r="I21253" s="2">
        <v>0</v>
      </c>
      <c r="J21253" s="1">
        <v>45940.339687500003</v>
      </c>
    </row>
    <row r="21254" spans="1:10" x14ac:dyDescent="0.2">
      <c r="A21254" s="4" t="s">
        <v>1</v>
      </c>
      <c r="B21254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54" s="3" t="str">
        <f>HYPERLINK("https://otsuka-europe-crm.veevavault.com/ui/#object/sent_email__v/VBLZ025E82HH1ZM", "SE-000286302")</f>
        <v>SE-000286302</v>
      </c>
      <c r="D21254" s="1" t="s">
        <v>0</v>
      </c>
      <c r="E21254" s="2">
        <v>0</v>
      </c>
      <c r="F21254" s="2">
        <v>0</v>
      </c>
      <c r="G21254" s="2">
        <v>0</v>
      </c>
      <c r="H21254" s="1" t="s">
        <v>0</v>
      </c>
      <c r="I21254" s="2">
        <v>0</v>
      </c>
      <c r="J21254" s="1">
        <v>45940.339699074073</v>
      </c>
    </row>
    <row r="21255" spans="1:10" x14ac:dyDescent="0.2">
      <c r="A21255" s="4" t="s">
        <v>1</v>
      </c>
      <c r="B21255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55" s="3" t="str">
        <f>HYPERLINK("https://otsuka-europe-crm.veevavault.com/ui/#object/sent_email__v/VBLZ025E82HH1ZN", "SE-000286303")</f>
        <v>SE-000286303</v>
      </c>
      <c r="D21255" s="1">
        <v>45940.386111111111</v>
      </c>
      <c r="E21255" s="2">
        <v>1</v>
      </c>
      <c r="F21255" s="2">
        <v>2</v>
      </c>
      <c r="G21255" s="2">
        <v>0</v>
      </c>
      <c r="H21255" s="1" t="s">
        <v>0</v>
      </c>
      <c r="I21255" s="2">
        <v>0</v>
      </c>
      <c r="J21255" s="1">
        <v>45940.339699074073</v>
      </c>
    </row>
    <row r="21256" spans="1:10" x14ac:dyDescent="0.2">
      <c r="A21256" s="4" t="s">
        <v>1</v>
      </c>
      <c r="B21256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56" s="3" t="str">
        <f>HYPERLINK("https://otsuka-europe-crm.veevavault.com/ui/#object/sent_email__v/VBLZ025E82HH8JP", "SE-000286435")</f>
        <v>SE-000286435</v>
      </c>
      <c r="D21256" s="1" t="s">
        <v>0</v>
      </c>
      <c r="E21256" s="2">
        <v>0</v>
      </c>
      <c r="F21256" s="2">
        <v>0</v>
      </c>
      <c r="G21256" s="2">
        <v>0</v>
      </c>
      <c r="H21256" s="1" t="s">
        <v>0</v>
      </c>
      <c r="I21256" s="2">
        <v>0</v>
      </c>
      <c r="J21256" s="1">
        <v>45940.415138888886</v>
      </c>
    </row>
    <row r="21257" spans="1:10" x14ac:dyDescent="0.2">
      <c r="A21257" s="4" t="s">
        <v>1</v>
      </c>
      <c r="B21257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57" s="3" t="str">
        <f>HYPERLINK("https://otsuka-europe-crm.veevavault.com/ui/#object/sent_email__v/VBLZ025E82HH8JQ", "SE-000286436")</f>
        <v>SE-000286436</v>
      </c>
      <c r="D21257" s="1" t="s">
        <v>0</v>
      </c>
      <c r="E21257" s="2">
        <v>0</v>
      </c>
      <c r="F21257" s="2">
        <v>0</v>
      </c>
      <c r="G21257" s="2">
        <v>0</v>
      </c>
      <c r="H21257" s="1" t="s">
        <v>0</v>
      </c>
      <c r="I21257" s="2">
        <v>0</v>
      </c>
      <c r="J21257" s="1">
        <v>45940.415162037039</v>
      </c>
    </row>
    <row r="21258" spans="1:10" x14ac:dyDescent="0.2">
      <c r="A21258" s="4" t="s">
        <v>1</v>
      </c>
      <c r="B21258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58" s="3" t="str">
        <f>HYPERLINK("https://otsuka-europe-crm.veevavault.com/ui/#object/sent_email__v/VBLZ025E82HH8JR", "SE-000286437")</f>
        <v>SE-000286437</v>
      </c>
      <c r="D21258" s="1" t="s">
        <v>0</v>
      </c>
      <c r="E21258" s="2">
        <v>0</v>
      </c>
      <c r="F21258" s="2">
        <v>0</v>
      </c>
      <c r="G21258" s="2">
        <v>0</v>
      </c>
      <c r="H21258" s="1" t="s">
        <v>0</v>
      </c>
      <c r="I21258" s="2">
        <v>0</v>
      </c>
      <c r="J21258" s="1">
        <v>45940.415162037039</v>
      </c>
    </row>
    <row r="21259" spans="1:10" x14ac:dyDescent="0.2">
      <c r="A21259" s="4" t="s">
        <v>1</v>
      </c>
      <c r="B21259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59" s="3" t="str">
        <f>HYPERLINK("https://otsuka-europe-crm.veevavault.com/ui/#object/sent_email__v/VBLZ025E82HH8S1", "SE-000286441")</f>
        <v>SE-000286441</v>
      </c>
      <c r="D21259" s="1" t="s">
        <v>0</v>
      </c>
      <c r="E21259" s="2">
        <v>0</v>
      </c>
      <c r="F21259" s="2">
        <v>0</v>
      </c>
      <c r="G21259" s="2">
        <v>0</v>
      </c>
      <c r="H21259" s="1" t="s">
        <v>0</v>
      </c>
      <c r="I21259" s="2">
        <v>0</v>
      </c>
      <c r="J21259" s="1">
        <v>45940.416400462964</v>
      </c>
    </row>
    <row r="21260" spans="1:10" x14ac:dyDescent="0.2">
      <c r="A21260" s="4" t="s">
        <v>1</v>
      </c>
      <c r="B21260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60" s="3" t="str">
        <f>HYPERLINK("https://otsuka-europe-crm.veevavault.com/ui/#object/sent_email__v/VBLZ025E82HH8S2", "SE-000286442")</f>
        <v>SE-000286442</v>
      </c>
      <c r="D21260" s="1">
        <v>45960.678078703706</v>
      </c>
      <c r="E21260" s="2">
        <v>1</v>
      </c>
      <c r="F21260" s="2">
        <v>4</v>
      </c>
      <c r="G21260" s="2">
        <v>1</v>
      </c>
      <c r="H21260" s="1">
        <v>45960.678240740737</v>
      </c>
      <c r="I21260" s="2">
        <v>1</v>
      </c>
      <c r="J21260" s="1">
        <v>45940.416412037041</v>
      </c>
    </row>
    <row r="21261" spans="1:10" x14ac:dyDescent="0.2">
      <c r="A21261" s="4" t="s">
        <v>1</v>
      </c>
      <c r="B21261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61" s="3" t="str">
        <f>HYPERLINK("https://otsuka-europe-crm.veevavault.com/ui/#object/sent_email__v/VBLZ025E82HH8S3", "SE-000286443")</f>
        <v>SE-000286443</v>
      </c>
      <c r="D21261" s="1">
        <v>45940.673888888887</v>
      </c>
      <c r="E21261" s="2">
        <v>1</v>
      </c>
      <c r="F21261" s="2">
        <v>1</v>
      </c>
      <c r="G21261" s="2">
        <v>0</v>
      </c>
      <c r="H21261" s="1" t="s">
        <v>0</v>
      </c>
      <c r="I21261" s="2">
        <v>0</v>
      </c>
      <c r="J21261" s="1">
        <v>45940.416446759256</v>
      </c>
    </row>
    <row r="21262" spans="1:10" x14ac:dyDescent="0.2">
      <c r="A21262" s="4" t="s">
        <v>1</v>
      </c>
      <c r="B21262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62" s="3" t="str">
        <f>HYPERLINK("https://otsuka-europe-crm.veevavault.com/ui/#object/sent_email__v/VBLZ025E82HHAH5", "SE-000286445")</f>
        <v>SE-000286445</v>
      </c>
      <c r="D21262" s="1">
        <v>45940.439027777778</v>
      </c>
      <c r="E21262" s="2">
        <v>1</v>
      </c>
      <c r="F21262" s="2">
        <v>4</v>
      </c>
      <c r="G21262" s="2">
        <v>1</v>
      </c>
      <c r="H21262" s="1">
        <v>45940.439120370371</v>
      </c>
      <c r="I21262" s="2">
        <v>1</v>
      </c>
      <c r="J21262" s="1">
        <v>45940.430358796293</v>
      </c>
    </row>
    <row r="21263" spans="1:10" x14ac:dyDescent="0.2">
      <c r="A21263" s="4" t="s">
        <v>1</v>
      </c>
      <c r="B21263" s="3" t="str">
        <f>HYPERLINK("https://otsuka-europe-crm.veevavault.com/ui/#object/approved_document__v/V5OZ025E82TL3FY", "RXULTI - Programa Madrid Lanzamiento Indicación adolescente")</f>
        <v>RXULTI - Programa Madrid Lanzamiento Indicación adolescente</v>
      </c>
      <c r="C21263" s="3" t="str">
        <f>HYPERLINK("https://otsuka-europe-crm.veevavault.com/ui/#object/sent_email__v/VBLZ025E82HL7ZL", "SE-000287809")</f>
        <v>SE-000287809</v>
      </c>
      <c r="D21263" s="1">
        <v>45946.235879629632</v>
      </c>
      <c r="E21263" s="2">
        <v>1</v>
      </c>
      <c r="F21263" s="2">
        <v>2</v>
      </c>
      <c r="G21263" s="2">
        <v>0</v>
      </c>
      <c r="H21263" s="1" t="s">
        <v>0</v>
      </c>
      <c r="I21263" s="2">
        <v>0</v>
      </c>
      <c r="J21263" s="1">
        <v>45945.502754629626</v>
      </c>
    </row>
    <row r="21264" spans="1:10" x14ac:dyDescent="0.2">
      <c r="A21264" s="4" t="s">
        <v>1</v>
      </c>
      <c r="B21264" s="3" t="str">
        <f>HYPERLINK("https://otsuka-europe-crm.veevavault.com/ui/#object/approved_document__v/V5O000000009004", "RXULTI - Programa reunión Malaga 11 diciembre")</f>
        <v>RXULTI - Programa reunión Malaga 11 diciembre</v>
      </c>
      <c r="C21264" s="3" t="str">
        <f>HYPERLINK("https://otsuka-europe-crm.veevavault.com/ui/#object/sent_email__v/VBL00000000Q135", "SE-001391297")</f>
        <v>SE-001391297</v>
      </c>
      <c r="D21264" s="1" t="s">
        <v>0</v>
      </c>
      <c r="E21264" s="2">
        <v>0</v>
      </c>
      <c r="F21264" s="2">
        <v>0</v>
      </c>
      <c r="G21264" s="2">
        <v>0</v>
      </c>
      <c r="H21264" s="1" t="s">
        <v>0</v>
      </c>
      <c r="I21264" s="2">
        <v>0</v>
      </c>
      <c r="J21264" s="1">
        <v>45980.632731481484</v>
      </c>
    </row>
    <row r="21265" spans="1:10" x14ac:dyDescent="0.2">
      <c r="A21265" s="4" t="s">
        <v>1</v>
      </c>
      <c r="B21265" s="3" t="str">
        <f>HYPERLINK("https://otsuka-europe-crm.veevavault.com/ui/#object/approved_document__v/V5O000000009004", "RXULTI - Programa reunión Malaga 11 diciembre")</f>
        <v>RXULTI - Programa reunión Malaga 11 diciembre</v>
      </c>
      <c r="C21265" s="3" t="str">
        <f>HYPERLINK("https://otsuka-europe-crm.veevavault.com/ui/#object/sent_email__v/VBL00000000Q219", "SE-001391409")</f>
        <v>SE-001391409</v>
      </c>
      <c r="D21265" s="1">
        <v>45981.666851851849</v>
      </c>
      <c r="E21265" s="2">
        <v>1</v>
      </c>
      <c r="F21265" s="2">
        <v>5</v>
      </c>
      <c r="G21265" s="2">
        <v>0</v>
      </c>
      <c r="H21265" s="1" t="s">
        <v>0</v>
      </c>
      <c r="I21265" s="2">
        <v>0</v>
      </c>
      <c r="J21265" s="1">
        <v>45981.545983796299</v>
      </c>
    </row>
    <row r="21266" spans="1:10" x14ac:dyDescent="0.2">
      <c r="A21266" s="4" t="s">
        <v>1</v>
      </c>
      <c r="B21266" s="3" t="str">
        <f>HYPERLINK("https://otsuka-europe-crm.veevavault.com/ui/#object/approved_document__v/V5O000000009004", "RXULTI - Programa reunión Malaga 11 diciembre")</f>
        <v>RXULTI - Programa reunión Malaga 11 diciembre</v>
      </c>
      <c r="C21266" s="3" t="str">
        <f>HYPERLINK("https://otsuka-europe-crm.veevavault.com/ui/#object/sent_email__v/VBL00000000Q220", "SE-001391410")</f>
        <v>SE-001391410</v>
      </c>
      <c r="D21266" s="1">
        <v>46015.535138888888</v>
      </c>
      <c r="E21266" s="2">
        <v>1</v>
      </c>
      <c r="F21266" s="2">
        <v>2</v>
      </c>
      <c r="G21266" s="2">
        <v>0</v>
      </c>
      <c r="H21266" s="1" t="s">
        <v>0</v>
      </c>
      <c r="I21266" s="2">
        <v>0</v>
      </c>
      <c r="J21266" s="1">
        <v>45981.546030092592</v>
      </c>
    </row>
    <row r="21267" spans="1:10" x14ac:dyDescent="0.2">
      <c r="A21267" s="4" t="s">
        <v>1</v>
      </c>
      <c r="B21267" s="3" t="str">
        <f>HYPERLINK("https://otsuka-europe-crm.veevavault.com/ui/#object/approved_document__v/V5O000000009004", "RXULTI - Programa reunión Malaga 11 diciembre")</f>
        <v>RXULTI - Programa reunión Malaga 11 diciembre</v>
      </c>
      <c r="C21267" s="3" t="str">
        <f>HYPERLINK("https://otsuka-europe-crm.veevavault.com/ui/#object/sent_email__v/VBL00000000Q221", "SE-001391411")</f>
        <v>SE-001391411</v>
      </c>
      <c r="D21267" s="1">
        <v>46006.5</v>
      </c>
      <c r="E21267" s="2">
        <v>1</v>
      </c>
      <c r="F21267" s="2">
        <v>2</v>
      </c>
      <c r="G21267" s="2">
        <v>0</v>
      </c>
      <c r="H21267" s="1" t="s">
        <v>0</v>
      </c>
      <c r="I21267" s="2">
        <v>0</v>
      </c>
      <c r="J21267" s="1">
        <v>45981.546087962961</v>
      </c>
    </row>
    <row r="21268" spans="1:10" x14ac:dyDescent="0.2">
      <c r="A21268" s="4" t="s">
        <v>1</v>
      </c>
      <c r="B21268" s="3" t="str">
        <f>HYPERLINK("https://otsuka-europe-crm.veevavault.com/ui/#object/approved_document__v/V5O000000009004", "RXULTI - Programa reunión Malaga 11 diciembre")</f>
        <v>RXULTI - Programa reunión Malaga 11 diciembre</v>
      </c>
      <c r="C21268" s="3" t="str">
        <f>HYPERLINK("https://otsuka-europe-crm.veevavault.com/ui/#object/sent_email__v/VBL00000000Q222", "SE-001391412")</f>
        <v>SE-001391412</v>
      </c>
      <c r="D21268" s="1" t="s">
        <v>0</v>
      </c>
      <c r="E21268" s="2">
        <v>0</v>
      </c>
      <c r="F21268" s="2">
        <v>0</v>
      </c>
      <c r="G21268" s="2">
        <v>0</v>
      </c>
      <c r="H21268" s="1" t="s">
        <v>0</v>
      </c>
      <c r="I21268" s="2">
        <v>0</v>
      </c>
      <c r="J21268" s="1">
        <v>45981.546122685184</v>
      </c>
    </row>
    <row r="21269" spans="1:10" x14ac:dyDescent="0.2">
      <c r="A21269" s="4" t="s">
        <v>1</v>
      </c>
      <c r="B21269" s="3" t="str">
        <f>HYPERLINK("https://otsuka-europe-crm.veevavault.com/ui/#object/approved_document__v/V5O000000009004", "RXULTI - Programa reunión Malaga 11 diciembre")</f>
        <v>RXULTI - Programa reunión Malaga 11 diciembre</v>
      </c>
      <c r="C21269" s="3" t="str">
        <f>HYPERLINK("https://otsuka-europe-crm.veevavault.com/ui/#object/sent_email__v/VBL00000000Q223", "SE-001391413")</f>
        <v>SE-001391413</v>
      </c>
      <c r="D21269" s="1" t="s">
        <v>0</v>
      </c>
      <c r="E21269" s="2">
        <v>0</v>
      </c>
      <c r="F21269" s="2">
        <v>0</v>
      </c>
      <c r="G21269" s="2">
        <v>0</v>
      </c>
      <c r="H21269" s="1" t="s">
        <v>0</v>
      </c>
      <c r="I21269" s="2">
        <v>0</v>
      </c>
      <c r="J21269" s="1">
        <v>45981.546168981484</v>
      </c>
    </row>
    <row r="21270" spans="1:10" x14ac:dyDescent="0.2">
      <c r="A21270" s="4" t="s">
        <v>1</v>
      </c>
      <c r="B21270" s="3" t="str">
        <f>HYPERLINK("https://otsuka-europe-crm.veevavault.com/ui/#object/approved_document__v/V5O000000009004", "RXULTI - Programa reunión Malaga 11 diciembre")</f>
        <v>RXULTI - Programa reunión Malaga 11 diciembre</v>
      </c>
      <c r="C21270" s="3" t="str">
        <f>HYPERLINK("https://otsuka-europe-crm.veevavault.com/ui/#object/sent_email__v/VBL00000000Q224", "SE-001391414")</f>
        <v>SE-001391414</v>
      </c>
      <c r="D21270" s="1">
        <v>45984.761388888888</v>
      </c>
      <c r="E21270" s="2">
        <v>1</v>
      </c>
      <c r="F21270" s="2">
        <v>1</v>
      </c>
      <c r="G21270" s="2">
        <v>0</v>
      </c>
      <c r="H21270" s="1" t="s">
        <v>0</v>
      </c>
      <c r="I21270" s="2">
        <v>0</v>
      </c>
      <c r="J21270" s="1">
        <v>45981.546215277776</v>
      </c>
    </row>
    <row r="21271" spans="1:10" x14ac:dyDescent="0.2">
      <c r="A21271" s="4" t="s">
        <v>1</v>
      </c>
      <c r="B21271" s="3" t="str">
        <f>HYPERLINK("https://otsuka-europe-crm.veevavault.com/ui/#object/approved_document__v/V5O000000009004", "RXULTI - Programa reunión Malaga 11 diciembre")</f>
        <v>RXULTI - Programa reunión Malaga 11 diciembre</v>
      </c>
      <c r="C21271" s="3" t="str">
        <f>HYPERLINK("https://otsuka-europe-crm.veevavault.com/ui/#object/sent_email__v/VBL00000000Q225", "SE-001391415")</f>
        <v>SE-001391415</v>
      </c>
      <c r="D21271" s="1" t="s">
        <v>0</v>
      </c>
      <c r="E21271" s="2">
        <v>0</v>
      </c>
      <c r="F21271" s="2">
        <v>0</v>
      </c>
      <c r="G21271" s="2">
        <v>0</v>
      </c>
      <c r="H21271" s="1" t="s">
        <v>0</v>
      </c>
      <c r="I21271" s="2">
        <v>0</v>
      </c>
      <c r="J21271" s="1">
        <v>45981.546261574076</v>
      </c>
    </row>
    <row r="21272" spans="1:10" x14ac:dyDescent="0.2">
      <c r="A21272" s="4" t="s">
        <v>1</v>
      </c>
      <c r="B21272" s="3" t="str">
        <f>HYPERLINK("https://otsuka-europe-crm.veevavault.com/ui/#object/approved_document__v/V5O000000009004", "RXULTI - Programa reunión Malaga 11 diciembre")</f>
        <v>RXULTI - Programa reunión Malaga 11 diciembre</v>
      </c>
      <c r="C21272" s="3" t="str">
        <f>HYPERLINK("https://otsuka-europe-crm.veevavault.com/ui/#object/sent_email__v/VBL00000000Q226", "SE-001391416")</f>
        <v>SE-001391416</v>
      </c>
      <c r="D21272" s="1">
        <v>45981.659039351849</v>
      </c>
      <c r="E21272" s="2">
        <v>1</v>
      </c>
      <c r="F21272" s="2">
        <v>1</v>
      </c>
      <c r="G21272" s="2">
        <v>0</v>
      </c>
      <c r="H21272" s="1" t="s">
        <v>0</v>
      </c>
      <c r="I21272" s="2">
        <v>0</v>
      </c>
      <c r="J21272" s="1">
        <v>45981.546307870369</v>
      </c>
    </row>
    <row r="21273" spans="1:10" x14ac:dyDescent="0.2">
      <c r="A21273" s="4" t="s">
        <v>1</v>
      </c>
      <c r="B21273" s="3" t="str">
        <f>HYPERLINK("https://otsuka-europe-crm.veevavault.com/ui/#object/approved_document__v/V5O000000009004", "RXULTI - Programa reunión Malaga 11 diciembre")</f>
        <v>RXULTI - Programa reunión Malaga 11 diciembre</v>
      </c>
      <c r="C21273" s="3" t="str">
        <f>HYPERLINK("https://otsuka-europe-crm.veevavault.com/ui/#object/sent_email__v/VBL00000000Q227", "SE-001391417")</f>
        <v>SE-001391417</v>
      </c>
      <c r="D21273" s="1">
        <v>45983.920358796298</v>
      </c>
      <c r="E21273" s="2">
        <v>1</v>
      </c>
      <c r="F21273" s="2">
        <v>3</v>
      </c>
      <c r="G21273" s="2">
        <v>0</v>
      </c>
      <c r="H21273" s="1" t="s">
        <v>0</v>
      </c>
      <c r="I21273" s="2">
        <v>0</v>
      </c>
      <c r="J21273" s="1">
        <v>45981.546354166669</v>
      </c>
    </row>
    <row r="21274" spans="1:10" x14ac:dyDescent="0.2">
      <c r="A21274" s="4" t="s">
        <v>1</v>
      </c>
      <c r="B21274" s="3" t="str">
        <f>HYPERLINK("https://otsuka-europe-crm.veevavault.com/ui/#object/approved_document__v/V5O000000009004", "RXULTI - Programa reunión Malaga 11 diciembre")</f>
        <v>RXULTI - Programa reunión Malaga 11 diciembre</v>
      </c>
      <c r="C21274" s="3" t="str">
        <f>HYPERLINK("https://otsuka-europe-crm.veevavault.com/ui/#object/sent_email__v/VBL00000000Q228", "SE-001391418")</f>
        <v>SE-001391418</v>
      </c>
      <c r="D21274" s="1">
        <v>45985.986168981479</v>
      </c>
      <c r="E21274" s="2">
        <v>1</v>
      </c>
      <c r="F21274" s="2">
        <v>2</v>
      </c>
      <c r="G21274" s="2">
        <v>1</v>
      </c>
      <c r="H21274" s="1">
        <v>45985.986319444448</v>
      </c>
      <c r="I21274" s="2">
        <v>1</v>
      </c>
      <c r="J21274" s="1">
        <v>45981.546400462961</v>
      </c>
    </row>
    <row r="21275" spans="1:10" x14ac:dyDescent="0.2">
      <c r="A21275" s="4" t="s">
        <v>1</v>
      </c>
      <c r="B21275" s="3" t="str">
        <f>HYPERLINK("https://otsuka-europe-crm.veevavault.com/ui/#object/approved_document__v/V5O000000009004", "RXULTI - Programa reunión Malaga 11 diciembre")</f>
        <v>RXULTI - Programa reunión Malaga 11 diciembre</v>
      </c>
      <c r="C21275" s="3" t="str">
        <f>HYPERLINK("https://otsuka-europe-crm.veevavault.com/ui/#object/sent_email__v/VBL00000000Q229", "SE-001391419")</f>
        <v>SE-001391419</v>
      </c>
      <c r="D21275" s="1" t="s">
        <v>0</v>
      </c>
      <c r="E21275" s="2">
        <v>0</v>
      </c>
      <c r="F21275" s="2">
        <v>0</v>
      </c>
      <c r="G21275" s="2">
        <v>0</v>
      </c>
      <c r="H21275" s="1" t="s">
        <v>0</v>
      </c>
      <c r="I21275" s="2">
        <v>0</v>
      </c>
      <c r="J21275" s="1">
        <v>45981.546446759261</v>
      </c>
    </row>
    <row r="21276" spans="1:10" x14ac:dyDescent="0.2">
      <c r="A21276" s="4" t="s">
        <v>1</v>
      </c>
      <c r="B21276" s="3" t="str">
        <f>HYPERLINK("https://otsuka-europe-crm.veevavault.com/ui/#object/approved_document__v/V5O000000009004", "RXULTI - Programa reunión Malaga 11 diciembre")</f>
        <v>RXULTI - Programa reunión Malaga 11 diciembre</v>
      </c>
      <c r="C21276" s="3" t="str">
        <f>HYPERLINK("https://otsuka-europe-crm.veevavault.com/ui/#object/sent_email__v/VBL00000000Q230", "SE-001391420")</f>
        <v>SE-001391420</v>
      </c>
      <c r="D21276" s="1">
        <v>45999.858912037038</v>
      </c>
      <c r="E21276" s="2">
        <v>1</v>
      </c>
      <c r="F21276" s="2">
        <v>4</v>
      </c>
      <c r="G21276" s="2">
        <v>0</v>
      </c>
      <c r="H21276" s="1" t="s">
        <v>0</v>
      </c>
      <c r="I21276" s="2">
        <v>0</v>
      </c>
      <c r="J21276" s="1">
        <v>45981.546493055554</v>
      </c>
    </row>
    <row r="21277" spans="1:10" x14ac:dyDescent="0.2">
      <c r="A21277" s="4" t="s">
        <v>1</v>
      </c>
      <c r="B21277" s="3" t="str">
        <f>HYPERLINK("https://otsuka-europe-crm.veevavault.com/ui/#object/approved_document__v/V5O000000009004", "RXULTI - Programa reunión Malaga 11 diciembre")</f>
        <v>RXULTI - Programa reunión Malaga 11 diciembre</v>
      </c>
      <c r="C21277" s="3" t="str">
        <f>HYPERLINK("https://otsuka-europe-crm.veevavault.com/ui/#object/sent_email__v/VBL00000000Q231", "SE-001391421")</f>
        <v>SE-001391421</v>
      </c>
      <c r="D21277" s="1" t="s">
        <v>0</v>
      </c>
      <c r="E21277" s="2">
        <v>0</v>
      </c>
      <c r="F21277" s="2">
        <v>0</v>
      </c>
      <c r="G21277" s="2">
        <v>0</v>
      </c>
      <c r="H21277" s="1" t="s">
        <v>0</v>
      </c>
      <c r="I21277" s="2">
        <v>0</v>
      </c>
      <c r="J21277" s="1">
        <v>45981.546527777777</v>
      </c>
    </row>
    <row r="21278" spans="1:10" x14ac:dyDescent="0.2">
      <c r="A21278" s="4" t="s">
        <v>1</v>
      </c>
      <c r="B21278" s="3" t="str">
        <f>HYPERLINK("https://otsuka-europe-crm.veevavault.com/ui/#object/approved_document__v/V5O000000009004", "RXULTI - Programa reunión Malaga 11 diciembre")</f>
        <v>RXULTI - Programa reunión Malaga 11 diciembre</v>
      </c>
      <c r="C21278" s="3" t="str">
        <f>HYPERLINK("https://otsuka-europe-crm.veevavault.com/ui/#object/sent_email__v/VBL00000000Q232", "SE-001391422")</f>
        <v>SE-001391422</v>
      </c>
      <c r="D21278" s="1" t="s">
        <v>0</v>
      </c>
      <c r="E21278" s="2">
        <v>0</v>
      </c>
      <c r="F21278" s="2">
        <v>0</v>
      </c>
      <c r="G21278" s="2">
        <v>0</v>
      </c>
      <c r="H21278" s="1" t="s">
        <v>0</v>
      </c>
      <c r="I21278" s="2">
        <v>0</v>
      </c>
      <c r="J21278" s="1">
        <v>45981.546574074076</v>
      </c>
    </row>
    <row r="21279" spans="1:10" x14ac:dyDescent="0.2">
      <c r="A21279" s="4" t="s">
        <v>1</v>
      </c>
      <c r="B21279" s="3" t="str">
        <f>HYPERLINK("https://otsuka-europe-crm.veevavault.com/ui/#object/approved_document__v/V5O000000009004", "RXULTI - Programa reunión Malaga 11 diciembre")</f>
        <v>RXULTI - Programa reunión Malaga 11 diciembre</v>
      </c>
      <c r="C21279" s="3" t="str">
        <f>HYPERLINK("https://otsuka-europe-crm.veevavault.com/ui/#object/sent_email__v/VBL00000000Q233", "SE-001391423")</f>
        <v>SE-001391423</v>
      </c>
      <c r="D21279" s="1" t="s">
        <v>0</v>
      </c>
      <c r="E21279" s="2">
        <v>0</v>
      </c>
      <c r="F21279" s="2">
        <v>0</v>
      </c>
      <c r="G21279" s="2">
        <v>0</v>
      </c>
      <c r="H21279" s="1" t="s">
        <v>0</v>
      </c>
      <c r="I21279" s="2">
        <v>0</v>
      </c>
      <c r="J21279" s="1">
        <v>45981.546620370369</v>
      </c>
    </row>
    <row r="21280" spans="1:10" x14ac:dyDescent="0.2">
      <c r="A21280" s="4" t="s">
        <v>1</v>
      </c>
      <c r="B21280" s="3" t="str">
        <f>HYPERLINK("https://otsuka-europe-crm.veevavault.com/ui/#object/approved_document__v/V5O000000009004", "RXULTI - Programa reunión Malaga 11 diciembre")</f>
        <v>RXULTI - Programa reunión Malaga 11 diciembre</v>
      </c>
      <c r="C21280" s="3" t="str">
        <f>HYPERLINK("https://otsuka-europe-crm.veevavault.com/ui/#object/sent_email__v/VBL00000000Q234", "SE-001391424")</f>
        <v>SE-001391424</v>
      </c>
      <c r="D21280" s="1" t="s">
        <v>0</v>
      </c>
      <c r="E21280" s="2">
        <v>0</v>
      </c>
      <c r="F21280" s="2">
        <v>0</v>
      </c>
      <c r="G21280" s="2">
        <v>0</v>
      </c>
      <c r="H21280" s="1" t="s">
        <v>0</v>
      </c>
      <c r="I21280" s="2">
        <v>0</v>
      </c>
      <c r="J21280" s="1">
        <v>45981.546666666669</v>
      </c>
    </row>
    <row r="21281" spans="1:10" x14ac:dyDescent="0.2">
      <c r="A21281" s="4" t="s">
        <v>1</v>
      </c>
      <c r="B21281" s="3" t="str">
        <f>HYPERLINK("https://otsuka-europe-crm.veevavault.com/ui/#object/approved_document__v/V5O000000009004", "RXULTI - Programa reunión Malaga 11 diciembre")</f>
        <v>RXULTI - Programa reunión Malaga 11 diciembre</v>
      </c>
      <c r="C21281" s="3" t="str">
        <f>HYPERLINK("https://otsuka-europe-crm.veevavault.com/ui/#object/sent_email__v/VBL00000000Q235", "SE-001391425")</f>
        <v>SE-001391425</v>
      </c>
      <c r="D21281" s="1" t="s">
        <v>0</v>
      </c>
      <c r="E21281" s="2">
        <v>0</v>
      </c>
      <c r="F21281" s="2">
        <v>0</v>
      </c>
      <c r="G21281" s="2">
        <v>0</v>
      </c>
      <c r="H21281" s="1" t="s">
        <v>0</v>
      </c>
      <c r="I21281" s="2">
        <v>0</v>
      </c>
      <c r="J21281" s="1">
        <v>45981.546712962961</v>
      </c>
    </row>
    <row r="21282" spans="1:10" x14ac:dyDescent="0.2">
      <c r="A21282" s="4" t="s">
        <v>1</v>
      </c>
      <c r="B21282" s="3" t="str">
        <f>HYPERLINK("https://otsuka-europe-crm.veevavault.com/ui/#object/approved_document__v/V5O000000009004", "RXULTI - Programa reunión Malaga 11 diciembre")</f>
        <v>RXULTI - Programa reunión Malaga 11 diciembre</v>
      </c>
      <c r="C21282" s="3" t="str">
        <f>HYPERLINK("https://otsuka-europe-crm.veevavault.com/ui/#object/sent_email__v/VBL00000000Q236", "SE-001391426")</f>
        <v>SE-001391426</v>
      </c>
      <c r="D21282" s="1">
        <v>46058.888553240744</v>
      </c>
      <c r="E21282" s="2">
        <v>1</v>
      </c>
      <c r="F21282" s="2">
        <v>2</v>
      </c>
      <c r="G21282" s="2">
        <v>0</v>
      </c>
      <c r="H21282" s="1" t="s">
        <v>0</v>
      </c>
      <c r="I21282" s="2">
        <v>0</v>
      </c>
      <c r="J21282" s="1">
        <v>45981.546747685185</v>
      </c>
    </row>
    <row r="21283" spans="1:10" x14ac:dyDescent="0.2">
      <c r="A21283" s="4" t="s">
        <v>1</v>
      </c>
      <c r="B21283" s="3" t="str">
        <f>HYPERLINK("https://otsuka-europe-crm.veevavault.com/ui/#object/approved_document__v/V5O000000009004", "RXULTI - Programa reunión Malaga 11 diciembre")</f>
        <v>RXULTI - Programa reunión Malaga 11 diciembre</v>
      </c>
      <c r="C21283" s="3" t="str">
        <f>HYPERLINK("https://otsuka-europe-crm.veevavault.com/ui/#object/sent_email__v/VBL00000000Q237", "SE-001391427")</f>
        <v>SE-001391427</v>
      </c>
      <c r="D21283" s="1" t="s">
        <v>0</v>
      </c>
      <c r="E21283" s="2">
        <v>0</v>
      </c>
      <c r="F21283" s="2">
        <v>0</v>
      </c>
      <c r="G21283" s="2">
        <v>0</v>
      </c>
      <c r="H21283" s="1" t="s">
        <v>0</v>
      </c>
      <c r="I21283" s="2">
        <v>0</v>
      </c>
      <c r="J21283" s="1">
        <v>45981.546793981484</v>
      </c>
    </row>
    <row r="21284" spans="1:10" x14ac:dyDescent="0.2">
      <c r="A21284" s="4" t="s">
        <v>1</v>
      </c>
      <c r="B21284" s="3" t="str">
        <f>HYPERLINK("https://otsuka-europe-crm.veevavault.com/ui/#object/approved_document__v/V5O000000009004", "RXULTI - Programa reunión Malaga 11 diciembre")</f>
        <v>RXULTI - Programa reunión Malaga 11 diciembre</v>
      </c>
      <c r="C21284" s="3" t="str">
        <f>HYPERLINK("https://otsuka-europe-crm.veevavault.com/ui/#object/sent_email__v/VBL00000000Q238", "SE-001391428")</f>
        <v>SE-001391428</v>
      </c>
      <c r="D21284" s="1">
        <v>45981.954953703702</v>
      </c>
      <c r="E21284" s="2">
        <v>1</v>
      </c>
      <c r="F21284" s="2">
        <v>1</v>
      </c>
      <c r="G21284" s="2">
        <v>0</v>
      </c>
      <c r="H21284" s="1" t="s">
        <v>0</v>
      </c>
      <c r="I21284" s="2">
        <v>0</v>
      </c>
      <c r="J21284" s="1">
        <v>45981.546840277777</v>
      </c>
    </row>
    <row r="21285" spans="1:10" x14ac:dyDescent="0.2">
      <c r="A21285" s="4" t="s">
        <v>1</v>
      </c>
      <c r="B21285" s="3" t="str">
        <f>HYPERLINK("https://otsuka-europe-crm.veevavault.com/ui/#object/approved_document__v/V5O000000009004", "RXULTI - Programa reunión Malaga 11 diciembre")</f>
        <v>RXULTI - Programa reunión Malaga 11 diciembre</v>
      </c>
      <c r="C21285" s="3" t="str">
        <f>HYPERLINK("https://otsuka-europe-crm.veevavault.com/ui/#object/sent_email__v/VBL00000000Q239", "SE-001391429")</f>
        <v>SE-001391429</v>
      </c>
      <c r="D21285" s="1" t="s">
        <v>0</v>
      </c>
      <c r="E21285" s="2">
        <v>0</v>
      </c>
      <c r="F21285" s="2">
        <v>0</v>
      </c>
      <c r="G21285" s="2">
        <v>0</v>
      </c>
      <c r="H21285" s="1" t="s">
        <v>0</v>
      </c>
      <c r="I21285" s="2">
        <v>0</v>
      </c>
      <c r="J21285" s="1">
        <v>45981.546886574077</v>
      </c>
    </row>
    <row r="21286" spans="1:10" x14ac:dyDescent="0.2">
      <c r="A21286" s="4" t="s">
        <v>1</v>
      </c>
      <c r="B21286" s="3" t="str">
        <f>HYPERLINK("https://otsuka-europe-crm.veevavault.com/ui/#object/approved_document__v/V5O000000009004", "RXULTI - Programa reunión Malaga 11 diciembre")</f>
        <v>RXULTI - Programa reunión Malaga 11 diciembre</v>
      </c>
      <c r="C21286" s="3" t="str">
        <f>HYPERLINK("https://otsuka-europe-crm.veevavault.com/ui/#object/sent_email__v/VBL00000000P120", "SE-001391430")</f>
        <v>SE-001391430</v>
      </c>
      <c r="D21286" s="1" t="s">
        <v>0</v>
      </c>
      <c r="E21286" s="2">
        <v>0</v>
      </c>
      <c r="F21286" s="2">
        <v>0</v>
      </c>
      <c r="G21286" s="2">
        <v>0</v>
      </c>
      <c r="H21286" s="1" t="s">
        <v>0</v>
      </c>
      <c r="I21286" s="2">
        <v>0</v>
      </c>
      <c r="J21286" s="1">
        <v>45981.5466087963</v>
      </c>
    </row>
    <row r="21287" spans="1:10" x14ac:dyDescent="0.2">
      <c r="A21287" s="4" t="s">
        <v>1</v>
      </c>
      <c r="B21287" s="3" t="str">
        <f>HYPERLINK("https://otsuka-europe-crm.veevavault.com/ui/#object/approved_document__v/V5O000000003009", "RXULTI - Programa reunión Malaga 25 noviembre")</f>
        <v>RXULTI - Programa reunión Malaga 25 noviembre</v>
      </c>
      <c r="C21287" s="3" t="str">
        <f>HYPERLINK("https://otsuka-europe-crm.veevavault.com/ui/#object/sent_email__v/VBL000000004535", "SE-001380875")</f>
        <v>SE-001380875</v>
      </c>
      <c r="D21287" s="1" t="s">
        <v>0</v>
      </c>
      <c r="E21287" s="2">
        <v>0</v>
      </c>
      <c r="F21287" s="2">
        <v>0</v>
      </c>
      <c r="G21287" s="2">
        <v>0</v>
      </c>
      <c r="H21287" s="1" t="s">
        <v>0</v>
      </c>
      <c r="I21287" s="2">
        <v>0</v>
      </c>
      <c r="J21287" s="1">
        <v>45966.402442129627</v>
      </c>
    </row>
    <row r="21288" spans="1:10" x14ac:dyDescent="0.2">
      <c r="A21288" s="4" t="s">
        <v>1</v>
      </c>
      <c r="B212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88" s="3" t="str">
        <f>HYPERLINK("https://otsuka-europe-crm.veevavault.com/ui/#object/sent_email__v/VBLZ025E82GNQCT", "SE-000275460")</f>
        <v>SE-000275460</v>
      </c>
      <c r="D21288" s="1">
        <v>45920.807233796295</v>
      </c>
      <c r="E21288" s="2">
        <v>1</v>
      </c>
      <c r="F21288" s="2">
        <v>2</v>
      </c>
      <c r="G21288" s="2">
        <v>1</v>
      </c>
      <c r="H21288" s="1">
        <v>45915.427187499998</v>
      </c>
      <c r="I21288" s="2">
        <v>5</v>
      </c>
      <c r="J21288" s="1">
        <v>45915.426261574074</v>
      </c>
    </row>
    <row r="21289" spans="1:10" x14ac:dyDescent="0.2">
      <c r="A21289" s="4" t="s">
        <v>1</v>
      </c>
      <c r="B212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89" s="3" t="str">
        <f>HYPERLINK("https://otsuka-europe-crm.veevavault.com/ui/#object/sent_email__v/VBLZ025E82GPKK5", "SE-000275662")</f>
        <v>SE-000275662</v>
      </c>
      <c r="D21289" s="1">
        <v>45916.753958333335</v>
      </c>
      <c r="E21289" s="2">
        <v>1</v>
      </c>
      <c r="F21289" s="2">
        <v>3</v>
      </c>
      <c r="G21289" s="2">
        <v>1</v>
      </c>
      <c r="H21289" s="1">
        <v>45916.50953703704</v>
      </c>
      <c r="I21289" s="2">
        <v>2</v>
      </c>
      <c r="J21289" s="1">
        <v>45916.508437500001</v>
      </c>
    </row>
    <row r="21290" spans="1:10" x14ac:dyDescent="0.2">
      <c r="A21290" s="4" t="s">
        <v>1</v>
      </c>
      <c r="B212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90" s="3" t="str">
        <f>HYPERLINK("https://otsuka-europe-crm.veevavault.com/ui/#object/sent_email__v/VBLZ025E82GR1ST", "SE-000275838")</f>
        <v>SE-000275838</v>
      </c>
      <c r="D21290" s="1" t="s">
        <v>0</v>
      </c>
      <c r="E21290" s="2">
        <v>0</v>
      </c>
      <c r="F21290" s="2">
        <v>0</v>
      </c>
      <c r="G21290" s="2">
        <v>0</v>
      </c>
      <c r="H21290" s="1" t="s">
        <v>0</v>
      </c>
      <c r="I21290" s="2">
        <v>0</v>
      </c>
      <c r="J21290" s="1">
        <v>45917.423414351855</v>
      </c>
    </row>
    <row r="21291" spans="1:10" x14ac:dyDescent="0.2">
      <c r="A21291" s="4" t="s">
        <v>1</v>
      </c>
      <c r="B212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91" s="3" t="str">
        <f>HYPERLINK("https://otsuka-europe-crm.veevavault.com/ui/#object/sent_email__v/VBLZ025E82GR2YH", "SE-000275840")</f>
        <v>SE-000275840</v>
      </c>
      <c r="D21291" s="1">
        <v>45917.538773148146</v>
      </c>
      <c r="E21291" s="2">
        <v>1</v>
      </c>
      <c r="F21291" s="2">
        <v>1</v>
      </c>
      <c r="G21291" s="2">
        <v>0</v>
      </c>
      <c r="H21291" s="1" t="s">
        <v>0</v>
      </c>
      <c r="I21291" s="2">
        <v>0</v>
      </c>
      <c r="J21291" s="1">
        <v>45917.439872685187</v>
      </c>
    </row>
    <row r="21292" spans="1:10" x14ac:dyDescent="0.2">
      <c r="A21292" s="4" t="s">
        <v>1</v>
      </c>
      <c r="B212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92" s="3" t="str">
        <f>HYPERLINK("https://otsuka-europe-crm.veevavault.com/ui/#object/sent_email__v/VBLZ025E82GR5FD", "SE-000275842")</f>
        <v>SE-000275842</v>
      </c>
      <c r="D21292" s="1">
        <v>45917.490358796298</v>
      </c>
      <c r="E21292" s="2">
        <v>1</v>
      </c>
      <c r="F21292" s="2">
        <v>1</v>
      </c>
      <c r="G21292" s="2">
        <v>0</v>
      </c>
      <c r="H21292" s="1" t="s">
        <v>0</v>
      </c>
      <c r="I21292" s="2">
        <v>0</v>
      </c>
      <c r="J21292" s="1">
        <v>45917.460775462961</v>
      </c>
    </row>
    <row r="21293" spans="1:10" x14ac:dyDescent="0.2">
      <c r="A21293" s="4" t="s">
        <v>1</v>
      </c>
      <c r="B212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93" s="3" t="str">
        <f>HYPERLINK("https://otsuka-europe-crm.veevavault.com/ui/#object/sent_email__v/VBLZ025E82GR81T", "SE-000275845")</f>
        <v>SE-000275845</v>
      </c>
      <c r="D21293" s="1" t="s">
        <v>0</v>
      </c>
      <c r="E21293" s="2">
        <v>0</v>
      </c>
      <c r="F21293" s="2">
        <v>0</v>
      </c>
      <c r="G21293" s="2">
        <v>0</v>
      </c>
      <c r="H21293" s="1" t="s">
        <v>0</v>
      </c>
      <c r="I21293" s="2">
        <v>0</v>
      </c>
      <c r="J21293" s="1">
        <v>45917.4843287037</v>
      </c>
    </row>
    <row r="21294" spans="1:10" x14ac:dyDescent="0.2">
      <c r="A21294" s="4" t="s">
        <v>1</v>
      </c>
      <c r="B212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94" s="3" t="str">
        <f>HYPERLINK("https://otsuka-europe-crm.veevavault.com/ui/#object/sent_email__v/VBLZ025E82GRA4T", "SE-000275850")</f>
        <v>SE-000275850</v>
      </c>
      <c r="D21294" s="1" t="s">
        <v>0</v>
      </c>
      <c r="E21294" s="2">
        <v>0</v>
      </c>
      <c r="F21294" s="2">
        <v>0</v>
      </c>
      <c r="G21294" s="2">
        <v>0</v>
      </c>
      <c r="H21294" s="1" t="s">
        <v>0</v>
      </c>
      <c r="I21294" s="2">
        <v>0</v>
      </c>
      <c r="J21294" s="1">
        <v>45917.513425925928</v>
      </c>
    </row>
    <row r="21295" spans="1:10" x14ac:dyDescent="0.2">
      <c r="A21295" s="4" t="s">
        <v>1</v>
      </c>
      <c r="B212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95" s="3" t="str">
        <f>HYPERLINK("https://otsuka-europe-crm.veevavault.com/ui/#object/sent_email__v/VBLZ025E82GRA7L", "SE-000275851")</f>
        <v>SE-000275851</v>
      </c>
      <c r="D21295" s="1" t="s">
        <v>0</v>
      </c>
      <c r="E21295" s="2">
        <v>0</v>
      </c>
      <c r="F21295" s="2">
        <v>0</v>
      </c>
      <c r="G21295" s="2">
        <v>0</v>
      </c>
      <c r="H21295" s="1" t="s">
        <v>0</v>
      </c>
      <c r="I21295" s="2">
        <v>0</v>
      </c>
      <c r="J21295" s="1">
        <v>45917.513657407406</v>
      </c>
    </row>
    <row r="21296" spans="1:10" x14ac:dyDescent="0.2">
      <c r="A21296" s="4" t="s">
        <v>1</v>
      </c>
      <c r="B212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96" s="3" t="str">
        <f>HYPERLINK("https://otsuka-europe-crm.veevavault.com/ui/#object/sent_email__v/VBLZ025E82GRBIT", "SE-000275852")</f>
        <v>SE-000275852</v>
      </c>
      <c r="D21296" s="1" t="s">
        <v>0</v>
      </c>
      <c r="E21296" s="2">
        <v>0</v>
      </c>
      <c r="F21296" s="2">
        <v>0</v>
      </c>
      <c r="G21296" s="2">
        <v>0</v>
      </c>
      <c r="H21296" s="1" t="s">
        <v>0</v>
      </c>
      <c r="I21296" s="2">
        <v>0</v>
      </c>
      <c r="J21296" s="1">
        <v>45917.523668981485</v>
      </c>
    </row>
    <row r="21297" spans="1:10" x14ac:dyDescent="0.2">
      <c r="A21297" s="4" t="s">
        <v>1</v>
      </c>
      <c r="B212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97" s="3" t="str">
        <f>HYPERLINK("https://otsuka-europe-crm.veevavault.com/ui/#object/sent_email__v/VBLZ025E82GRLMP", "SE-000275952")</f>
        <v>SE-000275952</v>
      </c>
      <c r="D21297" s="1">
        <v>45922.88318287037</v>
      </c>
      <c r="E21297" s="2">
        <v>1</v>
      </c>
      <c r="F21297" s="2">
        <v>3</v>
      </c>
      <c r="G21297" s="2">
        <v>0</v>
      </c>
      <c r="H21297" s="1" t="s">
        <v>0</v>
      </c>
      <c r="I21297" s="2">
        <v>0</v>
      </c>
      <c r="J21297" s="1">
        <v>45917.585219907407</v>
      </c>
    </row>
    <row r="21298" spans="1:10" x14ac:dyDescent="0.2">
      <c r="A21298" s="4" t="s">
        <v>1</v>
      </c>
      <c r="B212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98" s="3" t="str">
        <f>HYPERLINK("https://otsuka-europe-crm.veevavault.com/ui/#object/sent_email__v/VBLZ025E82GSIT5", "SE-000276134")</f>
        <v>SE-000276134</v>
      </c>
      <c r="D21298" s="1" t="s">
        <v>0</v>
      </c>
      <c r="E21298" s="2">
        <v>0</v>
      </c>
      <c r="F21298" s="2">
        <v>0</v>
      </c>
      <c r="G21298" s="2">
        <v>0</v>
      </c>
      <c r="H21298" s="1" t="s">
        <v>0</v>
      </c>
      <c r="I21298" s="2">
        <v>0</v>
      </c>
      <c r="J21298" s="1">
        <v>45918.424780092595</v>
      </c>
    </row>
    <row r="21299" spans="1:10" x14ac:dyDescent="0.2">
      <c r="A21299" s="4" t="s">
        <v>1</v>
      </c>
      <c r="B212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299" s="3" t="str">
        <f>HYPERLINK("https://otsuka-europe-crm.veevavault.com/ui/#object/sent_email__v/VBLZ025E82GSIYP", "SE-000276135")</f>
        <v>SE-000276135</v>
      </c>
      <c r="D21299" s="1" t="s">
        <v>0</v>
      </c>
      <c r="E21299" s="2">
        <v>0</v>
      </c>
      <c r="F21299" s="2">
        <v>0</v>
      </c>
      <c r="G21299" s="2">
        <v>0</v>
      </c>
      <c r="H21299" s="1" t="s">
        <v>0</v>
      </c>
      <c r="I21299" s="2">
        <v>0</v>
      </c>
      <c r="J21299" s="1">
        <v>45918.425057870372</v>
      </c>
    </row>
    <row r="21300" spans="1:10" x14ac:dyDescent="0.2">
      <c r="A21300" s="4" t="s">
        <v>1</v>
      </c>
      <c r="B213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00" s="3" t="str">
        <f>HYPERLINK("https://otsuka-europe-crm.veevavault.com/ui/#object/sent_email__v/VBLZ025E82GSCHF", "SE-000276136")</f>
        <v>SE-000276136</v>
      </c>
      <c r="D21300" s="1" t="s">
        <v>0</v>
      </c>
      <c r="E21300" s="2">
        <v>0</v>
      </c>
      <c r="F21300" s="2">
        <v>0</v>
      </c>
      <c r="G21300" s="2">
        <v>0</v>
      </c>
      <c r="H21300" s="1" t="s">
        <v>0</v>
      </c>
      <c r="I21300" s="2">
        <v>0</v>
      </c>
      <c r="J21300" s="1">
        <v>45918.425833333335</v>
      </c>
    </row>
    <row r="21301" spans="1:10" x14ac:dyDescent="0.2">
      <c r="A21301" s="4" t="s">
        <v>1</v>
      </c>
      <c r="B213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01" s="3" t="str">
        <f>HYPERLINK("https://otsuka-europe-crm.veevavault.com/ui/#object/sent_email__v/VBLZ025E82GSCPQ", "SE-000276137")</f>
        <v>SE-000276137</v>
      </c>
      <c r="D21301" s="1">
        <v>45918.614976851852</v>
      </c>
      <c r="E21301" s="2">
        <v>1</v>
      </c>
      <c r="F21301" s="2">
        <v>1</v>
      </c>
      <c r="G21301" s="2">
        <v>0</v>
      </c>
      <c r="H21301" s="1" t="s">
        <v>0</v>
      </c>
      <c r="I21301" s="2">
        <v>0</v>
      </c>
      <c r="J21301" s="1">
        <v>45918.429675925923</v>
      </c>
    </row>
    <row r="21302" spans="1:10" x14ac:dyDescent="0.2">
      <c r="A21302" s="4" t="s">
        <v>1</v>
      </c>
      <c r="B213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02" s="3" t="str">
        <f>HYPERLINK("https://otsuka-europe-crm.veevavault.com/ui/#object/sent_email__v/VBLZ025E82GUGPT", "SE-000277201")</f>
        <v>SE-000277201</v>
      </c>
      <c r="D21302" s="1">
        <v>45921.419328703705</v>
      </c>
      <c r="E21302" s="2">
        <v>1</v>
      </c>
      <c r="F21302" s="2">
        <v>1</v>
      </c>
      <c r="G21302" s="2">
        <v>0</v>
      </c>
      <c r="H21302" s="1" t="s">
        <v>0</v>
      </c>
      <c r="I21302" s="2">
        <v>0</v>
      </c>
      <c r="J21302" s="1">
        <v>45919.510960648149</v>
      </c>
    </row>
    <row r="21303" spans="1:10" x14ac:dyDescent="0.2">
      <c r="A21303" s="4" t="s">
        <v>1</v>
      </c>
      <c r="B213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03" s="3" t="str">
        <f>HYPERLINK("https://otsuka-europe-crm.veevavault.com/ui/#object/sent_email__v/VBLZ025E82GUGVD", "SE-000277202")</f>
        <v>SE-000277202</v>
      </c>
      <c r="D21303" s="1" t="s">
        <v>0</v>
      </c>
      <c r="E21303" s="2">
        <v>0</v>
      </c>
      <c r="F21303" s="2">
        <v>0</v>
      </c>
      <c r="G21303" s="2">
        <v>0</v>
      </c>
      <c r="H21303" s="1" t="s">
        <v>0</v>
      </c>
      <c r="I21303" s="2">
        <v>0</v>
      </c>
      <c r="J21303" s="1">
        <v>45919.511261574073</v>
      </c>
    </row>
    <row r="21304" spans="1:10" x14ac:dyDescent="0.2">
      <c r="A21304" s="4" t="s">
        <v>1</v>
      </c>
      <c r="B213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04" s="3" t="str">
        <f>HYPERLINK("https://otsuka-europe-crm.veevavault.com/ui/#object/sent_email__v/VBLZ025E82GUGY5", "SE-000277203")</f>
        <v>SE-000277203</v>
      </c>
      <c r="D21304" s="1">
        <v>45922.428483796299</v>
      </c>
      <c r="E21304" s="2">
        <v>1</v>
      </c>
      <c r="F21304" s="2">
        <v>1</v>
      </c>
      <c r="G21304" s="2">
        <v>0</v>
      </c>
      <c r="H21304" s="1" t="s">
        <v>0</v>
      </c>
      <c r="I21304" s="2">
        <v>0</v>
      </c>
      <c r="J21304" s="1">
        <v>45919.51190972222</v>
      </c>
    </row>
    <row r="21305" spans="1:10" x14ac:dyDescent="0.2">
      <c r="A21305" s="4" t="s">
        <v>1</v>
      </c>
      <c r="B213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05" s="3" t="str">
        <f>HYPERLINK("https://otsuka-europe-crm.veevavault.com/ui/#object/sent_email__v/VBLZ025E82GVI51", "SE-000279468")</f>
        <v>SE-000279468</v>
      </c>
      <c r="D21305" s="1" t="s">
        <v>0</v>
      </c>
      <c r="E21305" s="2">
        <v>0</v>
      </c>
      <c r="F21305" s="2">
        <v>0</v>
      </c>
      <c r="G21305" s="2">
        <v>0</v>
      </c>
      <c r="H21305" s="1" t="s">
        <v>0</v>
      </c>
      <c r="I21305" s="2">
        <v>0</v>
      </c>
      <c r="J21305" s="1">
        <v>45922.318009259259</v>
      </c>
    </row>
    <row r="21306" spans="1:10" x14ac:dyDescent="0.2">
      <c r="A21306" s="4" t="s">
        <v>1</v>
      </c>
      <c r="B213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06" s="3" t="str">
        <f>HYPERLINK("https://otsuka-europe-crm.veevavault.com/ui/#object/sent_email__v/VBLZ025E82GYEX9", "SE-000280393")</f>
        <v>SE-000280393</v>
      </c>
      <c r="D21306" s="1">
        <v>45924.889988425923</v>
      </c>
      <c r="E21306" s="2">
        <v>1</v>
      </c>
      <c r="F21306" s="2">
        <v>3</v>
      </c>
      <c r="G21306" s="2">
        <v>0</v>
      </c>
      <c r="H21306" s="1" t="s">
        <v>0</v>
      </c>
      <c r="I21306" s="2">
        <v>0</v>
      </c>
      <c r="J21306" s="1">
        <v>45924.471770833334</v>
      </c>
    </row>
    <row r="21307" spans="1:10" x14ac:dyDescent="0.2">
      <c r="A21307" s="4" t="s">
        <v>1</v>
      </c>
      <c r="B213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07" s="3" t="str">
        <f>HYPERLINK("https://otsuka-europe-crm.veevavault.com/ui/#object/sent_email__v/VBLZ025E82GYQF5", "SE-000280447")</f>
        <v>SE-000280447</v>
      </c>
      <c r="D21307" s="1" t="s">
        <v>0</v>
      </c>
      <c r="E21307" s="2">
        <v>0</v>
      </c>
      <c r="F21307" s="2">
        <v>0</v>
      </c>
      <c r="G21307" s="2">
        <v>0</v>
      </c>
      <c r="H21307" s="1" t="s">
        <v>0</v>
      </c>
      <c r="I21307" s="2">
        <v>0</v>
      </c>
      <c r="J21307" s="1">
        <v>45924.571504629632</v>
      </c>
    </row>
    <row r="21308" spans="1:10" x14ac:dyDescent="0.2">
      <c r="A21308" s="4" t="s">
        <v>1</v>
      </c>
      <c r="B213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08" s="3" t="str">
        <f>HYPERLINK("https://otsuka-europe-crm.veevavault.com/ui/#object/sent_email__v/VBLZ025E82GZSUH", "SE-000280686")</f>
        <v>SE-000280686</v>
      </c>
      <c r="D21308" s="1" t="s">
        <v>0</v>
      </c>
      <c r="E21308" s="2">
        <v>0</v>
      </c>
      <c r="F21308" s="2">
        <v>0</v>
      </c>
      <c r="G21308" s="2">
        <v>0</v>
      </c>
      <c r="H21308" s="1" t="s">
        <v>0</v>
      </c>
      <c r="I21308" s="2">
        <v>0</v>
      </c>
      <c r="J21308" s="1">
        <v>45925.444201388891</v>
      </c>
    </row>
    <row r="21309" spans="1:10" x14ac:dyDescent="0.2">
      <c r="A21309" s="4" t="s">
        <v>1</v>
      </c>
      <c r="B213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09" s="3" t="str">
        <f>HYPERLINK("https://otsuka-europe-crm.veevavault.com/ui/#object/sent_email__v/VBLZ025E82GZSUI", "SE-000280687")</f>
        <v>SE-000280687</v>
      </c>
      <c r="D21309" s="1">
        <v>45925.461018518516</v>
      </c>
      <c r="E21309" s="2">
        <v>1</v>
      </c>
      <c r="F21309" s="2">
        <v>1</v>
      </c>
      <c r="G21309" s="2">
        <v>1</v>
      </c>
      <c r="H21309" s="1">
        <v>45925.760439814818</v>
      </c>
      <c r="I21309" s="2">
        <v>2</v>
      </c>
      <c r="J21309" s="1">
        <v>45925.444201388891</v>
      </c>
    </row>
    <row r="21310" spans="1:10" x14ac:dyDescent="0.2">
      <c r="A21310" s="4" t="s">
        <v>1</v>
      </c>
      <c r="B213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10" s="3" t="str">
        <f>HYPERLINK("https://otsuka-europe-crm.veevavault.com/ui/#object/sent_email__v/VBLZ025E82GZSUJ", "SE-000280688")</f>
        <v>SE-000280688</v>
      </c>
      <c r="D21310" s="1" t="s">
        <v>0</v>
      </c>
      <c r="E21310" s="2">
        <v>0</v>
      </c>
      <c r="F21310" s="2">
        <v>0</v>
      </c>
      <c r="G21310" s="2">
        <v>0</v>
      </c>
      <c r="H21310" s="1" t="s">
        <v>0</v>
      </c>
      <c r="I21310" s="2">
        <v>0</v>
      </c>
      <c r="J21310" s="1">
        <v>45925.444212962961</v>
      </c>
    </row>
    <row r="21311" spans="1:10" x14ac:dyDescent="0.2">
      <c r="A21311" s="4" t="s">
        <v>1</v>
      </c>
      <c r="B213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11" s="3" t="str">
        <f>HYPERLINK("https://otsuka-europe-crm.veevavault.com/ui/#object/sent_email__v/VBLZ025E82GZSUK", "SE-000280689")</f>
        <v>SE-000280689</v>
      </c>
      <c r="D21311" s="1" t="s">
        <v>0</v>
      </c>
      <c r="E21311" s="2">
        <v>0</v>
      </c>
      <c r="F21311" s="2">
        <v>0</v>
      </c>
      <c r="G21311" s="2">
        <v>0</v>
      </c>
      <c r="H21311" s="1" t="s">
        <v>0</v>
      </c>
      <c r="I21311" s="2">
        <v>0</v>
      </c>
      <c r="J21311" s="1">
        <v>45925.444212962961</v>
      </c>
    </row>
    <row r="21312" spans="1:10" x14ac:dyDescent="0.2">
      <c r="A21312" s="4" t="s">
        <v>1</v>
      </c>
      <c r="B213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12" s="3" t="str">
        <f>HYPERLINK("https://otsuka-europe-crm.veevavault.com/ui/#object/sent_email__v/VBLZ025E82GZSUL", "SE-000280690")</f>
        <v>SE-000280690</v>
      </c>
      <c r="D21312" s="1">
        <v>45925.557847222219</v>
      </c>
      <c r="E21312" s="2">
        <v>1</v>
      </c>
      <c r="F21312" s="2">
        <v>2</v>
      </c>
      <c r="G21312" s="2">
        <v>0</v>
      </c>
      <c r="H21312" s="1" t="s">
        <v>0</v>
      </c>
      <c r="I21312" s="2">
        <v>0</v>
      </c>
      <c r="J21312" s="1">
        <v>45925.444224537037</v>
      </c>
    </row>
    <row r="21313" spans="1:10" x14ac:dyDescent="0.2">
      <c r="A21313" s="4" t="s">
        <v>1</v>
      </c>
      <c r="B213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13" s="3" t="str">
        <f>HYPERLINK("https://otsuka-europe-crm.veevavault.com/ui/#object/sent_email__v/VBLZ025E82GZSUM", "SE-000280691")</f>
        <v>SE-000280691</v>
      </c>
      <c r="D21313" s="1" t="s">
        <v>0</v>
      </c>
      <c r="E21313" s="2">
        <v>0</v>
      </c>
      <c r="F21313" s="2">
        <v>0</v>
      </c>
      <c r="G21313" s="2">
        <v>0</v>
      </c>
      <c r="H21313" s="1" t="s">
        <v>0</v>
      </c>
      <c r="I21313" s="2">
        <v>0</v>
      </c>
      <c r="J21313" s="1">
        <v>45925.444236111114</v>
      </c>
    </row>
    <row r="21314" spans="1:10" x14ac:dyDescent="0.2">
      <c r="A21314" s="4" t="s">
        <v>1</v>
      </c>
      <c r="B213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14" s="3" t="str">
        <f>HYPERLINK("https://otsuka-europe-crm.veevavault.com/ui/#object/sent_email__v/VBLZ025E82GZSUN", "SE-000280692")</f>
        <v>SE-000280692</v>
      </c>
      <c r="D21314" s="1" t="s">
        <v>0</v>
      </c>
      <c r="E21314" s="2">
        <v>0</v>
      </c>
      <c r="F21314" s="2">
        <v>0</v>
      </c>
      <c r="G21314" s="2">
        <v>0</v>
      </c>
      <c r="H21314" s="1" t="s">
        <v>0</v>
      </c>
      <c r="I21314" s="2">
        <v>0</v>
      </c>
      <c r="J21314" s="1">
        <v>45925.444236111114</v>
      </c>
    </row>
    <row r="21315" spans="1:10" x14ac:dyDescent="0.2">
      <c r="A21315" s="4" t="s">
        <v>1</v>
      </c>
      <c r="B213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15" s="3" t="str">
        <f>HYPERLINK("https://otsuka-europe-crm.veevavault.com/ui/#object/sent_email__v/VBLZ025E82GZSUO", "SE-000280693")</f>
        <v>SE-000280693</v>
      </c>
      <c r="D21315" s="1" t="s">
        <v>0</v>
      </c>
      <c r="E21315" s="2">
        <v>0</v>
      </c>
      <c r="F21315" s="2">
        <v>0</v>
      </c>
      <c r="G21315" s="2">
        <v>0</v>
      </c>
      <c r="H21315" s="1" t="s">
        <v>0</v>
      </c>
      <c r="I21315" s="2">
        <v>0</v>
      </c>
      <c r="J21315" s="1">
        <v>45925.44425925926</v>
      </c>
    </row>
    <row r="21316" spans="1:10" x14ac:dyDescent="0.2">
      <c r="A21316" s="4" t="s">
        <v>1</v>
      </c>
      <c r="B213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16" s="3" t="str">
        <f>HYPERLINK("https://otsuka-europe-crm.veevavault.com/ui/#object/sent_email__v/VBLZ025E82GZSUP", "SE-000280694")</f>
        <v>SE-000280694</v>
      </c>
      <c r="D21316" s="1" t="s">
        <v>0</v>
      </c>
      <c r="E21316" s="2">
        <v>0</v>
      </c>
      <c r="F21316" s="2">
        <v>0</v>
      </c>
      <c r="G21316" s="2">
        <v>0</v>
      </c>
      <c r="H21316" s="1" t="s">
        <v>0</v>
      </c>
      <c r="I21316" s="2">
        <v>0</v>
      </c>
      <c r="J21316" s="1">
        <v>45925.44425925926</v>
      </c>
    </row>
    <row r="21317" spans="1:10" x14ac:dyDescent="0.2">
      <c r="A21317" s="4" t="s">
        <v>1</v>
      </c>
      <c r="B213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17" s="3" t="str">
        <f>HYPERLINK("https://otsuka-europe-crm.veevavault.com/ui/#object/sent_email__v/VBLZ025E82GZSUQ", "SE-000280695")</f>
        <v>SE-000280695</v>
      </c>
      <c r="D21317" s="1">
        <v>45925.614004629628</v>
      </c>
      <c r="E21317" s="2">
        <v>1</v>
      </c>
      <c r="F21317" s="2">
        <v>1</v>
      </c>
      <c r="G21317" s="2">
        <v>0</v>
      </c>
      <c r="H21317" s="1" t="s">
        <v>0</v>
      </c>
      <c r="I21317" s="2">
        <v>0</v>
      </c>
      <c r="J21317" s="1">
        <v>45925.44427083333</v>
      </c>
    </row>
    <row r="21318" spans="1:10" x14ac:dyDescent="0.2">
      <c r="A21318" s="4" t="s">
        <v>1</v>
      </c>
      <c r="B213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18" s="3" t="str">
        <f>HYPERLINK("https://otsuka-europe-crm.veevavault.com/ui/#object/sent_email__v/VBLZ025E82GZSUR", "SE-000280696")</f>
        <v>SE-000280696</v>
      </c>
      <c r="D21318" s="1">
        <v>45929.573321759257</v>
      </c>
      <c r="E21318" s="2">
        <v>1</v>
      </c>
      <c r="F21318" s="2">
        <v>1</v>
      </c>
      <c r="G21318" s="2">
        <v>0</v>
      </c>
      <c r="H21318" s="1" t="s">
        <v>0</v>
      </c>
      <c r="I21318" s="2">
        <v>0</v>
      </c>
      <c r="J21318" s="1">
        <v>45925.444293981483</v>
      </c>
    </row>
    <row r="21319" spans="1:10" x14ac:dyDescent="0.2">
      <c r="A21319" s="4" t="s">
        <v>1</v>
      </c>
      <c r="B213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19" s="3" t="str">
        <f>HYPERLINK("https://otsuka-europe-crm.veevavault.com/ui/#object/sent_email__v/VBLZ025E82GZSUS", "SE-000280697")</f>
        <v>SE-000280697</v>
      </c>
      <c r="D21319" s="1" t="s">
        <v>0</v>
      </c>
      <c r="E21319" s="2">
        <v>0</v>
      </c>
      <c r="F21319" s="2">
        <v>0</v>
      </c>
      <c r="G21319" s="2">
        <v>0</v>
      </c>
      <c r="H21319" s="1" t="s">
        <v>0</v>
      </c>
      <c r="I21319" s="2">
        <v>0</v>
      </c>
      <c r="J21319" s="1">
        <v>45925.444282407407</v>
      </c>
    </row>
    <row r="21320" spans="1:10" x14ac:dyDescent="0.2">
      <c r="A21320" s="4" t="s">
        <v>1</v>
      </c>
      <c r="B213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20" s="3" t="str">
        <f>HYPERLINK("https://otsuka-europe-crm.veevavault.com/ui/#object/sent_email__v/VBLZ025E82GZSUT", "SE-000280698")</f>
        <v>SE-000280698</v>
      </c>
      <c r="D21320" s="1">
        <v>45925.593645833331</v>
      </c>
      <c r="E21320" s="2">
        <v>1</v>
      </c>
      <c r="F21320" s="2">
        <v>2</v>
      </c>
      <c r="G21320" s="2">
        <v>0</v>
      </c>
      <c r="H21320" s="1" t="s">
        <v>0</v>
      </c>
      <c r="I21320" s="2">
        <v>0</v>
      </c>
      <c r="J21320" s="1">
        <v>45925.444293981483</v>
      </c>
    </row>
    <row r="21321" spans="1:10" x14ac:dyDescent="0.2">
      <c r="A21321" s="4" t="s">
        <v>1</v>
      </c>
      <c r="B213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21" s="3" t="str">
        <f>HYPERLINK("https://otsuka-europe-crm.veevavault.com/ui/#object/sent_email__v/VBLZ025E82GZSUU", "SE-000280699")</f>
        <v>SE-000280699</v>
      </c>
      <c r="D21321" s="1" t="s">
        <v>0</v>
      </c>
      <c r="E21321" s="2">
        <v>0</v>
      </c>
      <c r="F21321" s="2">
        <v>0</v>
      </c>
      <c r="G21321" s="2">
        <v>0</v>
      </c>
      <c r="H21321" s="1" t="s">
        <v>0</v>
      </c>
      <c r="I21321" s="2">
        <v>0</v>
      </c>
      <c r="J21321" s="1">
        <v>45925.444305555553</v>
      </c>
    </row>
    <row r="21322" spans="1:10" x14ac:dyDescent="0.2">
      <c r="A21322" s="4" t="s">
        <v>1</v>
      </c>
      <c r="B213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22" s="3" t="str">
        <f>HYPERLINK("https://otsuka-europe-crm.veevavault.com/ui/#object/sent_email__v/VBLZ025E82GZSUV", "SE-000280700")</f>
        <v>SE-000280700</v>
      </c>
      <c r="D21322" s="1">
        <v>45925.810717592591</v>
      </c>
      <c r="E21322" s="2">
        <v>1</v>
      </c>
      <c r="F21322" s="2">
        <v>1</v>
      </c>
      <c r="G21322" s="2">
        <v>0</v>
      </c>
      <c r="H21322" s="1" t="s">
        <v>0</v>
      </c>
      <c r="I21322" s="2">
        <v>0</v>
      </c>
      <c r="J21322" s="1">
        <v>45925.44431712963</v>
      </c>
    </row>
    <row r="21323" spans="1:10" x14ac:dyDescent="0.2">
      <c r="A21323" s="4" t="s">
        <v>1</v>
      </c>
      <c r="B213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23" s="3" t="str">
        <f>HYPERLINK("https://otsuka-europe-crm.veevavault.com/ui/#object/sent_email__v/VBLZ025E82GZSUW", "SE-000280701")</f>
        <v>SE-000280701</v>
      </c>
      <c r="D21323" s="1" t="s">
        <v>0</v>
      </c>
      <c r="E21323" s="2">
        <v>0</v>
      </c>
      <c r="F21323" s="2">
        <v>0</v>
      </c>
      <c r="G21323" s="2">
        <v>0</v>
      </c>
      <c r="H21323" s="1" t="s">
        <v>0</v>
      </c>
      <c r="I21323" s="2">
        <v>0</v>
      </c>
      <c r="J21323" s="1">
        <v>45925.444328703707</v>
      </c>
    </row>
    <row r="21324" spans="1:10" x14ac:dyDescent="0.2">
      <c r="A21324" s="4" t="s">
        <v>1</v>
      </c>
      <c r="B213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24" s="3" t="str">
        <f>HYPERLINK("https://otsuka-europe-crm.veevavault.com/ui/#object/sent_email__v/VBLZ025E82GZSUX", "SE-000280702")</f>
        <v>SE-000280702</v>
      </c>
      <c r="D21324" s="1">
        <v>45925.456192129626</v>
      </c>
      <c r="E21324" s="2">
        <v>1</v>
      </c>
      <c r="F21324" s="2">
        <v>1</v>
      </c>
      <c r="G21324" s="2">
        <v>0</v>
      </c>
      <c r="H21324" s="1" t="s">
        <v>0</v>
      </c>
      <c r="I21324" s="2">
        <v>0</v>
      </c>
      <c r="J21324" s="1">
        <v>45925.444328703707</v>
      </c>
    </row>
    <row r="21325" spans="1:10" x14ac:dyDescent="0.2">
      <c r="A21325" s="4" t="s">
        <v>1</v>
      </c>
      <c r="B213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25" s="3" t="str">
        <f>HYPERLINK("https://otsuka-europe-crm.veevavault.com/ui/#object/sent_email__v/VBLZ025E82GZSUY", "SE-000280703")</f>
        <v>SE-000280703</v>
      </c>
      <c r="D21325" s="1" t="s">
        <v>0</v>
      </c>
      <c r="E21325" s="2">
        <v>0</v>
      </c>
      <c r="F21325" s="2">
        <v>0</v>
      </c>
      <c r="G21325" s="2">
        <v>0</v>
      </c>
      <c r="H21325" s="1" t="s">
        <v>0</v>
      </c>
      <c r="I21325" s="2">
        <v>0</v>
      </c>
      <c r="J21325" s="1">
        <v>45925.444340277776</v>
      </c>
    </row>
    <row r="21326" spans="1:10" x14ac:dyDescent="0.2">
      <c r="A21326" s="4" t="s">
        <v>1</v>
      </c>
      <c r="B213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26" s="3" t="str">
        <f>HYPERLINK("https://otsuka-europe-crm.veevavault.com/ui/#object/sent_email__v/VBLZ025E82GZSUZ", "SE-000280704")</f>
        <v>SE-000280704</v>
      </c>
      <c r="D21326" s="1">
        <v>45932.262199074074</v>
      </c>
      <c r="E21326" s="2">
        <v>1</v>
      </c>
      <c r="F21326" s="2">
        <v>1</v>
      </c>
      <c r="G21326" s="2">
        <v>0</v>
      </c>
      <c r="H21326" s="1" t="s">
        <v>0</v>
      </c>
      <c r="I21326" s="2">
        <v>0</v>
      </c>
      <c r="J21326" s="1">
        <v>45925.444351851853</v>
      </c>
    </row>
    <row r="21327" spans="1:10" x14ac:dyDescent="0.2">
      <c r="A21327" s="4" t="s">
        <v>1</v>
      </c>
      <c r="B213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27" s="3" t="str">
        <f>HYPERLINK("https://otsuka-europe-crm.veevavault.com/ui/#object/sent_email__v/VBLZ025E82GZSV0", "SE-000280705")</f>
        <v>SE-000280705</v>
      </c>
      <c r="D21327" s="1" t="s">
        <v>0</v>
      </c>
      <c r="E21327" s="2">
        <v>0</v>
      </c>
      <c r="F21327" s="2">
        <v>0</v>
      </c>
      <c r="G21327" s="2">
        <v>0</v>
      </c>
      <c r="H21327" s="1" t="s">
        <v>0</v>
      </c>
      <c r="I21327" s="2">
        <v>0</v>
      </c>
      <c r="J21327" s="1">
        <v>45925.444363425922</v>
      </c>
    </row>
    <row r="21328" spans="1:10" x14ac:dyDescent="0.2">
      <c r="A21328" s="4" t="s">
        <v>1</v>
      </c>
      <c r="B213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28" s="3" t="str">
        <f>HYPERLINK("https://otsuka-europe-crm.veevavault.com/ui/#object/sent_email__v/VBLZ025E82GZSV1", "SE-000280706")</f>
        <v>SE-000280706</v>
      </c>
      <c r="D21328" s="1" t="s">
        <v>0</v>
      </c>
      <c r="E21328" s="2">
        <v>0</v>
      </c>
      <c r="F21328" s="2">
        <v>0</v>
      </c>
      <c r="G21328" s="2">
        <v>0</v>
      </c>
      <c r="H21328" s="1" t="s">
        <v>0</v>
      </c>
      <c r="I21328" s="2">
        <v>0</v>
      </c>
      <c r="J21328" s="1">
        <v>45925.444363425922</v>
      </c>
    </row>
    <row r="21329" spans="1:10" x14ac:dyDescent="0.2">
      <c r="A21329" s="4" t="s">
        <v>1</v>
      </c>
      <c r="B213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29" s="3" t="str">
        <f>HYPERLINK("https://otsuka-europe-crm.veevavault.com/ui/#object/sent_email__v/VBLZ025E82GZSV2", "SE-000280707")</f>
        <v>SE-000280707</v>
      </c>
      <c r="D21329" s="1">
        <v>45964.881377314814</v>
      </c>
      <c r="E21329" s="2">
        <v>1</v>
      </c>
      <c r="F21329" s="2">
        <v>3</v>
      </c>
      <c r="G21329" s="2">
        <v>0</v>
      </c>
      <c r="H21329" s="1" t="s">
        <v>0</v>
      </c>
      <c r="I21329" s="2">
        <v>0</v>
      </c>
      <c r="J21329" s="1">
        <v>45925.444386574076</v>
      </c>
    </row>
    <row r="21330" spans="1:10" x14ac:dyDescent="0.2">
      <c r="A21330" s="4" t="s">
        <v>1</v>
      </c>
      <c r="B213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30" s="3" t="str">
        <f>HYPERLINK("https://otsuka-europe-crm.veevavault.com/ui/#object/sent_email__v/VBLZ025E82GZSV3", "SE-000280708")</f>
        <v>SE-000280708</v>
      </c>
      <c r="D21330" s="1" t="s">
        <v>0</v>
      </c>
      <c r="E21330" s="2">
        <v>0</v>
      </c>
      <c r="F21330" s="2">
        <v>0</v>
      </c>
      <c r="G21330" s="2">
        <v>0</v>
      </c>
      <c r="H21330" s="1" t="s">
        <v>0</v>
      </c>
      <c r="I21330" s="2">
        <v>0</v>
      </c>
      <c r="J21330" s="1">
        <v>45925.444386574076</v>
      </c>
    </row>
    <row r="21331" spans="1:10" x14ac:dyDescent="0.2">
      <c r="A21331" s="4" t="s">
        <v>1</v>
      </c>
      <c r="B213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31" s="3" t="str">
        <f>HYPERLINK("https://otsuka-europe-crm.veevavault.com/ui/#object/sent_email__v/VBLZ025E82GZSV4", "SE-000280709")</f>
        <v>SE-000280709</v>
      </c>
      <c r="D21331" s="1">
        <v>45936.541620370372</v>
      </c>
      <c r="E21331" s="2">
        <v>1</v>
      </c>
      <c r="F21331" s="2">
        <v>4</v>
      </c>
      <c r="G21331" s="2">
        <v>0</v>
      </c>
      <c r="H21331" s="1" t="s">
        <v>0</v>
      </c>
      <c r="I21331" s="2">
        <v>0</v>
      </c>
      <c r="J21331" s="1">
        <v>45925.444398148145</v>
      </c>
    </row>
    <row r="21332" spans="1:10" x14ac:dyDescent="0.2">
      <c r="A21332" s="4" t="s">
        <v>1</v>
      </c>
      <c r="B213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32" s="3" t="str">
        <f>HYPERLINK("https://otsuka-europe-crm.veevavault.com/ui/#object/sent_email__v/VBLZ025E82GZSV5", "SE-000280710")</f>
        <v>SE-000280710</v>
      </c>
      <c r="D21332" s="1" t="s">
        <v>0</v>
      </c>
      <c r="E21332" s="2">
        <v>0</v>
      </c>
      <c r="F21332" s="2">
        <v>0</v>
      </c>
      <c r="G21332" s="2">
        <v>0</v>
      </c>
      <c r="H21332" s="1" t="s">
        <v>0</v>
      </c>
      <c r="I21332" s="2">
        <v>0</v>
      </c>
      <c r="J21332" s="1">
        <v>45925.444409722222</v>
      </c>
    </row>
    <row r="21333" spans="1:10" x14ac:dyDescent="0.2">
      <c r="A21333" s="4" t="s">
        <v>1</v>
      </c>
      <c r="B213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33" s="3" t="str">
        <f>HYPERLINK("https://otsuka-europe-crm.veevavault.com/ui/#object/sent_email__v/VBLZ025E82GZSV6", "SE-000280711")</f>
        <v>SE-000280711</v>
      </c>
      <c r="D21333" s="1" t="s">
        <v>0</v>
      </c>
      <c r="E21333" s="2">
        <v>0</v>
      </c>
      <c r="F21333" s="2">
        <v>0</v>
      </c>
      <c r="G21333" s="2">
        <v>0</v>
      </c>
      <c r="H21333" s="1" t="s">
        <v>0</v>
      </c>
      <c r="I21333" s="2">
        <v>0</v>
      </c>
      <c r="J21333" s="1">
        <v>45925.444421296299</v>
      </c>
    </row>
    <row r="21334" spans="1:10" x14ac:dyDescent="0.2">
      <c r="A21334" s="4" t="s">
        <v>1</v>
      </c>
      <c r="B213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34" s="3" t="str">
        <f>HYPERLINK("https://otsuka-europe-crm.veevavault.com/ui/#object/sent_email__v/VBLZ025E82GZSV7", "SE-000280712")</f>
        <v>SE-000280712</v>
      </c>
      <c r="D21334" s="1">
        <v>45925.577916666669</v>
      </c>
      <c r="E21334" s="2">
        <v>1</v>
      </c>
      <c r="F21334" s="2">
        <v>1</v>
      </c>
      <c r="G21334" s="2">
        <v>0</v>
      </c>
      <c r="H21334" s="1" t="s">
        <v>0</v>
      </c>
      <c r="I21334" s="2">
        <v>0</v>
      </c>
      <c r="J21334" s="1">
        <v>45925.444432870368</v>
      </c>
    </row>
    <row r="21335" spans="1:10" x14ac:dyDescent="0.2">
      <c r="A21335" s="4" t="s">
        <v>1</v>
      </c>
      <c r="B213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35" s="3" t="str">
        <f>HYPERLINK("https://otsuka-europe-crm.veevavault.com/ui/#object/sent_email__v/VBLZ025E82GZSV8", "SE-000280713")</f>
        <v>SE-000280713</v>
      </c>
      <c r="D21335" s="1">
        <v>45925.912511574075</v>
      </c>
      <c r="E21335" s="2">
        <v>1</v>
      </c>
      <c r="F21335" s="2">
        <v>1</v>
      </c>
      <c r="G21335" s="2">
        <v>0</v>
      </c>
      <c r="H21335" s="1" t="s">
        <v>0</v>
      </c>
      <c r="I21335" s="2">
        <v>0</v>
      </c>
      <c r="J21335" s="1">
        <v>45925.444444444445</v>
      </c>
    </row>
    <row r="21336" spans="1:10" x14ac:dyDescent="0.2">
      <c r="A21336" s="4" t="s">
        <v>1</v>
      </c>
      <c r="B213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36" s="3" t="str">
        <f>HYPERLINK("https://otsuka-europe-crm.veevavault.com/ui/#object/sent_email__v/VBLZ025E82GZSV9", "SE-000280714")</f>
        <v>SE-000280714</v>
      </c>
      <c r="D21336" s="1">
        <v>45925.678842592592</v>
      </c>
      <c r="E21336" s="2">
        <v>1</v>
      </c>
      <c r="F21336" s="2">
        <v>1</v>
      </c>
      <c r="G21336" s="2">
        <v>0</v>
      </c>
      <c r="H21336" s="1" t="s">
        <v>0</v>
      </c>
      <c r="I21336" s="2">
        <v>0</v>
      </c>
      <c r="J21336" s="1">
        <v>45925.444444444445</v>
      </c>
    </row>
    <row r="21337" spans="1:10" x14ac:dyDescent="0.2">
      <c r="A21337" s="4" t="s">
        <v>1</v>
      </c>
      <c r="B213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37" s="3" t="str">
        <f>HYPERLINK("https://otsuka-europe-crm.veevavault.com/ui/#object/sent_email__v/VBLZ025E82GZSVA", "SE-000280715")</f>
        <v>SE-000280715</v>
      </c>
      <c r="D21337" s="1" t="s">
        <v>0</v>
      </c>
      <c r="E21337" s="2">
        <v>0</v>
      </c>
      <c r="F21337" s="2">
        <v>0</v>
      </c>
      <c r="G21337" s="2">
        <v>0</v>
      </c>
      <c r="H21337" s="1" t="s">
        <v>0</v>
      </c>
      <c r="I21337" s="2">
        <v>0</v>
      </c>
      <c r="J21337" s="1">
        <v>45925.444456018522</v>
      </c>
    </row>
    <row r="21338" spans="1:10" x14ac:dyDescent="0.2">
      <c r="A21338" s="4" t="s">
        <v>1</v>
      </c>
      <c r="B213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38" s="3" t="str">
        <f>HYPERLINK("https://otsuka-europe-crm.veevavault.com/ui/#object/sent_email__v/VBLZ025E82GZSVB", "SE-000280716")</f>
        <v>SE-000280716</v>
      </c>
      <c r="D21338" s="1">
        <v>45925.465856481482</v>
      </c>
      <c r="E21338" s="2">
        <v>1</v>
      </c>
      <c r="F21338" s="2">
        <v>1</v>
      </c>
      <c r="G21338" s="2">
        <v>0</v>
      </c>
      <c r="H21338" s="1" t="s">
        <v>0</v>
      </c>
      <c r="I21338" s="2">
        <v>0</v>
      </c>
      <c r="J21338" s="1">
        <v>45925.444467592592</v>
      </c>
    </row>
    <row r="21339" spans="1:10" x14ac:dyDescent="0.2">
      <c r="A21339" s="4" t="s">
        <v>1</v>
      </c>
      <c r="B213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39" s="3" t="str">
        <f>HYPERLINK("https://otsuka-europe-crm.veevavault.com/ui/#object/sent_email__v/VBLZ025E82GZSVC", "SE-000280717")</f>
        <v>SE-000280717</v>
      </c>
      <c r="D21339" s="1" t="s">
        <v>0</v>
      </c>
      <c r="E21339" s="2">
        <v>0</v>
      </c>
      <c r="F21339" s="2">
        <v>0</v>
      </c>
      <c r="G21339" s="2">
        <v>0</v>
      </c>
      <c r="H21339" s="1" t="s">
        <v>0</v>
      </c>
      <c r="I21339" s="2">
        <v>0</v>
      </c>
      <c r="J21339" s="1">
        <v>45925.444479166668</v>
      </c>
    </row>
    <row r="21340" spans="1:10" x14ac:dyDescent="0.2">
      <c r="A21340" s="4" t="s">
        <v>1</v>
      </c>
      <c r="B213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40" s="3" t="str">
        <f>HYPERLINK("https://otsuka-europe-crm.veevavault.com/ui/#object/sent_email__v/VBLZ025E82GZSVD", "SE-000280718")</f>
        <v>SE-000280718</v>
      </c>
      <c r="D21340" s="1" t="s">
        <v>0</v>
      </c>
      <c r="E21340" s="2">
        <v>0</v>
      </c>
      <c r="F21340" s="2">
        <v>0</v>
      </c>
      <c r="G21340" s="2">
        <v>0</v>
      </c>
      <c r="H21340" s="1" t="s">
        <v>0</v>
      </c>
      <c r="I21340" s="2">
        <v>0</v>
      </c>
      <c r="J21340" s="1">
        <v>45925.444490740738</v>
      </c>
    </row>
    <row r="21341" spans="1:10" x14ac:dyDescent="0.2">
      <c r="A21341" s="4" t="s">
        <v>1</v>
      </c>
      <c r="B213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41" s="3" t="str">
        <f>HYPERLINK("https://otsuka-europe-crm.veevavault.com/ui/#object/sent_email__v/VBLZ025E82GZSVE", "SE-000280719")</f>
        <v>SE-000280719</v>
      </c>
      <c r="D21341" s="1" t="s">
        <v>0</v>
      </c>
      <c r="E21341" s="2">
        <v>0</v>
      </c>
      <c r="F21341" s="2">
        <v>0</v>
      </c>
      <c r="G21341" s="2">
        <v>0</v>
      </c>
      <c r="H21341" s="1" t="s">
        <v>0</v>
      </c>
      <c r="I21341" s="2">
        <v>0</v>
      </c>
      <c r="J21341" s="1">
        <v>45925.444490740738</v>
      </c>
    </row>
    <row r="21342" spans="1:10" x14ac:dyDescent="0.2">
      <c r="A21342" s="4" t="s">
        <v>1</v>
      </c>
      <c r="B213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42" s="3" t="str">
        <f>HYPERLINK("https://otsuka-europe-crm.veevavault.com/ui/#object/sent_email__v/VBLZ025E82GZSVF", "SE-000280720")</f>
        <v>SE-000280720</v>
      </c>
      <c r="D21342" s="1" t="s">
        <v>0</v>
      </c>
      <c r="E21342" s="2">
        <v>0</v>
      </c>
      <c r="F21342" s="2">
        <v>0</v>
      </c>
      <c r="G21342" s="2">
        <v>0</v>
      </c>
      <c r="H21342" s="1" t="s">
        <v>0</v>
      </c>
      <c r="I21342" s="2">
        <v>0</v>
      </c>
      <c r="J21342" s="1">
        <v>45925.444513888891</v>
      </c>
    </row>
    <row r="21343" spans="1:10" x14ac:dyDescent="0.2">
      <c r="A21343" s="4" t="s">
        <v>1</v>
      </c>
      <c r="B213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43" s="3" t="str">
        <f>HYPERLINK("https://otsuka-europe-crm.veevavault.com/ui/#object/sent_email__v/VBLZ025E82GZSVG", "SE-000280721")</f>
        <v>SE-000280721</v>
      </c>
      <c r="D21343" s="1" t="s">
        <v>0</v>
      </c>
      <c r="E21343" s="2">
        <v>0</v>
      </c>
      <c r="F21343" s="2">
        <v>0</v>
      </c>
      <c r="G21343" s="2">
        <v>0</v>
      </c>
      <c r="H21343" s="1" t="s">
        <v>0</v>
      </c>
      <c r="I21343" s="2">
        <v>0</v>
      </c>
      <c r="J21343" s="1">
        <v>45925.444525462961</v>
      </c>
    </row>
    <row r="21344" spans="1:10" x14ac:dyDescent="0.2">
      <c r="A21344" s="4" t="s">
        <v>1</v>
      </c>
      <c r="B213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44" s="3" t="str">
        <f>HYPERLINK("https://otsuka-europe-crm.veevavault.com/ui/#object/sent_email__v/VBLZ025E82GZSVH", "SE-000280722")</f>
        <v>SE-000280722</v>
      </c>
      <c r="D21344" s="1">
        <v>45932.993356481478</v>
      </c>
      <c r="E21344" s="2">
        <v>1</v>
      </c>
      <c r="F21344" s="2">
        <v>2</v>
      </c>
      <c r="G21344" s="2">
        <v>0</v>
      </c>
      <c r="H21344" s="1" t="s">
        <v>0</v>
      </c>
      <c r="I21344" s="2">
        <v>0</v>
      </c>
      <c r="J21344" s="1">
        <v>45925.444537037038</v>
      </c>
    </row>
    <row r="21345" spans="1:10" x14ac:dyDescent="0.2">
      <c r="A21345" s="4" t="s">
        <v>1</v>
      </c>
      <c r="B213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45" s="3" t="str">
        <f>HYPERLINK("https://otsuka-europe-crm.veevavault.com/ui/#object/sent_email__v/VBLZ025E82GZSVI", "SE-000280723")</f>
        <v>SE-000280723</v>
      </c>
      <c r="D21345" s="1" t="s">
        <v>0</v>
      </c>
      <c r="E21345" s="2">
        <v>0</v>
      </c>
      <c r="F21345" s="2">
        <v>0</v>
      </c>
      <c r="G21345" s="2">
        <v>0</v>
      </c>
      <c r="H21345" s="1" t="s">
        <v>0</v>
      </c>
      <c r="I21345" s="2">
        <v>0</v>
      </c>
      <c r="J21345" s="1">
        <v>45925.444537037038</v>
      </c>
    </row>
    <row r="21346" spans="1:10" x14ac:dyDescent="0.2">
      <c r="A21346" s="4" t="s">
        <v>1</v>
      </c>
      <c r="B213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46" s="3" t="str">
        <f>HYPERLINK("https://otsuka-europe-crm.veevavault.com/ui/#object/sent_email__v/VBLZ025E82GZSVJ", "SE-000280724")</f>
        <v>SE-000280724</v>
      </c>
      <c r="D21346" s="1">
        <v>45928.46197916667</v>
      </c>
      <c r="E21346" s="2">
        <v>1</v>
      </c>
      <c r="F21346" s="2">
        <v>3</v>
      </c>
      <c r="G21346" s="2">
        <v>0</v>
      </c>
      <c r="H21346" s="1" t="s">
        <v>0</v>
      </c>
      <c r="I21346" s="2">
        <v>0</v>
      </c>
      <c r="J21346" s="1">
        <v>45925.444548611114</v>
      </c>
    </row>
    <row r="21347" spans="1:10" x14ac:dyDescent="0.2">
      <c r="A21347" s="4" t="s">
        <v>1</v>
      </c>
      <c r="B213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47" s="3" t="str">
        <f>HYPERLINK("https://otsuka-europe-crm.veevavault.com/ui/#object/sent_email__v/VBLZ025E82GZSVK", "SE-000280725")</f>
        <v>SE-000280725</v>
      </c>
      <c r="D21347" s="1" t="s">
        <v>0</v>
      </c>
      <c r="E21347" s="2">
        <v>0</v>
      </c>
      <c r="F21347" s="2">
        <v>0</v>
      </c>
      <c r="G21347" s="2">
        <v>0</v>
      </c>
      <c r="H21347" s="1" t="s">
        <v>0</v>
      </c>
      <c r="I21347" s="2">
        <v>0</v>
      </c>
      <c r="J21347" s="1">
        <v>45925.444560185184</v>
      </c>
    </row>
    <row r="21348" spans="1:10" x14ac:dyDescent="0.2">
      <c r="A21348" s="4" t="s">
        <v>1</v>
      </c>
      <c r="B213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48" s="3" t="str">
        <f>HYPERLINK("https://otsuka-europe-crm.veevavault.com/ui/#object/sent_email__v/VBLZ025E82GZSVL", "SE-000280726")</f>
        <v>SE-000280726</v>
      </c>
      <c r="D21348" s="1" t="s">
        <v>0</v>
      </c>
      <c r="E21348" s="2">
        <v>0</v>
      </c>
      <c r="F21348" s="2">
        <v>0</v>
      </c>
      <c r="G21348" s="2">
        <v>0</v>
      </c>
      <c r="H21348" s="1" t="s">
        <v>0</v>
      </c>
      <c r="I21348" s="2">
        <v>0</v>
      </c>
      <c r="J21348" s="1">
        <v>45925.444571759261</v>
      </c>
    </row>
    <row r="21349" spans="1:10" x14ac:dyDescent="0.2">
      <c r="A21349" s="4" t="s">
        <v>1</v>
      </c>
      <c r="B213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49" s="3" t="str">
        <f>HYPERLINK("https://otsuka-europe-crm.veevavault.com/ui/#object/sent_email__v/VBLZ025E82GZSVM", "SE-000280727")</f>
        <v>SE-000280727</v>
      </c>
      <c r="D21349" s="1" t="s">
        <v>0</v>
      </c>
      <c r="E21349" s="2">
        <v>0</v>
      </c>
      <c r="F21349" s="2">
        <v>0</v>
      </c>
      <c r="G21349" s="2">
        <v>0</v>
      </c>
      <c r="H21349" s="1" t="s">
        <v>0</v>
      </c>
      <c r="I21349" s="2">
        <v>0</v>
      </c>
      <c r="J21349" s="1">
        <v>45925.44458333333</v>
      </c>
    </row>
    <row r="21350" spans="1:10" x14ac:dyDescent="0.2">
      <c r="A21350" s="4" t="s">
        <v>1</v>
      </c>
      <c r="B213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50" s="3" t="str">
        <f>HYPERLINK("https://otsuka-europe-crm.veevavault.com/ui/#object/sent_email__v/VBLZ025E82GZSVN", "SE-000280728")</f>
        <v>SE-000280728</v>
      </c>
      <c r="D21350" s="1" t="s">
        <v>0</v>
      </c>
      <c r="E21350" s="2">
        <v>0</v>
      </c>
      <c r="F21350" s="2">
        <v>0</v>
      </c>
      <c r="G21350" s="2">
        <v>0</v>
      </c>
      <c r="H21350" s="1" t="s">
        <v>0</v>
      </c>
      <c r="I21350" s="2">
        <v>0</v>
      </c>
      <c r="J21350" s="1">
        <v>45925.444594907407</v>
      </c>
    </row>
    <row r="21351" spans="1:10" x14ac:dyDescent="0.2">
      <c r="A21351" s="4" t="s">
        <v>1</v>
      </c>
      <c r="B213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51" s="3" t="str">
        <f>HYPERLINK("https://otsuka-europe-crm.veevavault.com/ui/#object/sent_email__v/VBLZ025E82GZSVO", "SE-000280729")</f>
        <v>SE-000280729</v>
      </c>
      <c r="D21351" s="1" t="s">
        <v>0</v>
      </c>
      <c r="E21351" s="2">
        <v>0</v>
      </c>
      <c r="F21351" s="2">
        <v>0</v>
      </c>
      <c r="G21351" s="2">
        <v>0</v>
      </c>
      <c r="H21351" s="1" t="s">
        <v>0</v>
      </c>
      <c r="I21351" s="2">
        <v>0</v>
      </c>
      <c r="J21351" s="1">
        <v>45925.444594907407</v>
      </c>
    </row>
    <row r="21352" spans="1:10" x14ac:dyDescent="0.2">
      <c r="A21352" s="4" t="s">
        <v>1</v>
      </c>
      <c r="B213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52" s="3" t="str">
        <f>HYPERLINK("https://otsuka-europe-crm.veevavault.com/ui/#object/sent_email__v/VBLZ025E82GZSVP", "SE-000280730")</f>
        <v>SE-000280730</v>
      </c>
      <c r="D21352" s="1" t="s">
        <v>0</v>
      </c>
      <c r="E21352" s="2">
        <v>0</v>
      </c>
      <c r="F21352" s="2">
        <v>0</v>
      </c>
      <c r="G21352" s="2">
        <v>0</v>
      </c>
      <c r="H21352" s="1" t="s">
        <v>0</v>
      </c>
      <c r="I21352" s="2">
        <v>0</v>
      </c>
      <c r="J21352" s="1">
        <v>45925.444606481484</v>
      </c>
    </row>
    <row r="21353" spans="1:10" x14ac:dyDescent="0.2">
      <c r="A21353" s="4" t="s">
        <v>1</v>
      </c>
      <c r="B213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53" s="3" t="str">
        <f>HYPERLINK("https://otsuka-europe-crm.veevavault.com/ui/#object/sent_email__v/VBLZ025E82GZSVQ", "SE-000280731")</f>
        <v>SE-000280731</v>
      </c>
      <c r="D21353" s="1">
        <v>45925.454432870371</v>
      </c>
      <c r="E21353" s="2">
        <v>1</v>
      </c>
      <c r="F21353" s="2">
        <v>1</v>
      </c>
      <c r="G21353" s="2">
        <v>0</v>
      </c>
      <c r="H21353" s="1" t="s">
        <v>0</v>
      </c>
      <c r="I21353" s="2">
        <v>0</v>
      </c>
      <c r="J21353" s="1">
        <v>45925.444618055553</v>
      </c>
    </row>
    <row r="21354" spans="1:10" x14ac:dyDescent="0.2">
      <c r="A21354" s="4" t="s">
        <v>1</v>
      </c>
      <c r="B213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54" s="3" t="str">
        <f>HYPERLINK("https://otsuka-europe-crm.veevavault.com/ui/#object/sent_email__v/VBLZ025E82GZSVR", "SE-000280732")</f>
        <v>SE-000280732</v>
      </c>
      <c r="D21354" s="1" t="s">
        <v>0</v>
      </c>
      <c r="E21354" s="2">
        <v>0</v>
      </c>
      <c r="F21354" s="2">
        <v>0</v>
      </c>
      <c r="G21354" s="2">
        <v>0</v>
      </c>
      <c r="H21354" s="1" t="s">
        <v>0</v>
      </c>
      <c r="I21354" s="2">
        <v>0</v>
      </c>
      <c r="J21354" s="1">
        <v>45925.44462962963</v>
      </c>
    </row>
    <row r="21355" spans="1:10" x14ac:dyDescent="0.2">
      <c r="A21355" s="4" t="s">
        <v>1</v>
      </c>
      <c r="B213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55" s="3" t="str">
        <f>HYPERLINK("https://otsuka-europe-crm.veevavault.com/ui/#object/sent_email__v/VBLZ025E82GZSVS", "SE-000280733")</f>
        <v>SE-000280733</v>
      </c>
      <c r="D21355" s="1">
        <v>45925.444837962961</v>
      </c>
      <c r="E21355" s="2">
        <v>1</v>
      </c>
      <c r="F21355" s="2">
        <v>1</v>
      </c>
      <c r="G21355" s="2">
        <v>0</v>
      </c>
      <c r="H21355" s="1" t="s">
        <v>0</v>
      </c>
      <c r="I21355" s="2">
        <v>0</v>
      </c>
      <c r="J21355" s="1">
        <v>45925.444641203707</v>
      </c>
    </row>
    <row r="21356" spans="1:10" x14ac:dyDescent="0.2">
      <c r="A21356" s="4" t="s">
        <v>1</v>
      </c>
      <c r="B213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56" s="3" t="str">
        <f>HYPERLINK("https://otsuka-europe-crm.veevavault.com/ui/#object/sent_email__v/VBLZ025E82GZSVT", "SE-000280734")</f>
        <v>SE-000280734</v>
      </c>
      <c r="D21356" s="1" t="s">
        <v>0</v>
      </c>
      <c r="E21356" s="2">
        <v>0</v>
      </c>
      <c r="F21356" s="2">
        <v>0</v>
      </c>
      <c r="G21356" s="2">
        <v>0</v>
      </c>
      <c r="H21356" s="1" t="s">
        <v>0</v>
      </c>
      <c r="I21356" s="2">
        <v>0</v>
      </c>
      <c r="J21356" s="1">
        <v>45925.444652777776</v>
      </c>
    </row>
    <row r="21357" spans="1:10" x14ac:dyDescent="0.2">
      <c r="A21357" s="4" t="s">
        <v>1</v>
      </c>
      <c r="B213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57" s="3" t="str">
        <f>HYPERLINK("https://otsuka-europe-crm.veevavault.com/ui/#object/sent_email__v/VBLZ025E82GZSVU", "SE-000280735")</f>
        <v>SE-000280735</v>
      </c>
      <c r="D21357" s="1">
        <v>45925.676504629628</v>
      </c>
      <c r="E21357" s="2">
        <v>1</v>
      </c>
      <c r="F21357" s="2">
        <v>2</v>
      </c>
      <c r="G21357" s="2">
        <v>0</v>
      </c>
      <c r="H21357" s="1" t="s">
        <v>0</v>
      </c>
      <c r="I21357" s="2">
        <v>0</v>
      </c>
      <c r="J21357" s="1">
        <v>45925.444664351853</v>
      </c>
    </row>
    <row r="21358" spans="1:10" x14ac:dyDescent="0.2">
      <c r="A21358" s="4" t="s">
        <v>1</v>
      </c>
      <c r="B213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58" s="3" t="str">
        <f>HYPERLINK("https://otsuka-europe-crm.veevavault.com/ui/#object/sent_email__v/VBLZ025E82GZSVV", "SE-000280736")</f>
        <v>SE-000280736</v>
      </c>
      <c r="D21358" s="1" t="s">
        <v>0</v>
      </c>
      <c r="E21358" s="2">
        <v>0</v>
      </c>
      <c r="F21358" s="2">
        <v>0</v>
      </c>
      <c r="G21358" s="2">
        <v>0</v>
      </c>
      <c r="H21358" s="1" t="s">
        <v>0</v>
      </c>
      <c r="I21358" s="2">
        <v>0</v>
      </c>
      <c r="J21358" s="1">
        <v>45925.444675925923</v>
      </c>
    </row>
    <row r="21359" spans="1:10" x14ac:dyDescent="0.2">
      <c r="A21359" s="4" t="s">
        <v>1</v>
      </c>
      <c r="B213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59" s="3" t="str">
        <f>HYPERLINK("https://otsuka-europe-crm.veevavault.com/ui/#object/sent_email__v/VBLZ025E82GZSVW", "SE-000280737")</f>
        <v>SE-000280737</v>
      </c>
      <c r="D21359" s="1" t="s">
        <v>0</v>
      </c>
      <c r="E21359" s="2">
        <v>0</v>
      </c>
      <c r="F21359" s="2">
        <v>0</v>
      </c>
      <c r="G21359" s="2">
        <v>0</v>
      </c>
      <c r="H21359" s="1" t="s">
        <v>0</v>
      </c>
      <c r="I21359" s="2">
        <v>0</v>
      </c>
      <c r="J21359" s="1">
        <v>45925.444687499999</v>
      </c>
    </row>
    <row r="21360" spans="1:10" x14ac:dyDescent="0.2">
      <c r="A21360" s="4" t="s">
        <v>1</v>
      </c>
      <c r="B213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60" s="3" t="str">
        <f>HYPERLINK("https://otsuka-europe-crm.veevavault.com/ui/#object/sent_email__v/VBLZ025E82GZSVX", "SE-000280738")</f>
        <v>SE-000280738</v>
      </c>
      <c r="D21360" s="1" t="s">
        <v>0</v>
      </c>
      <c r="E21360" s="2">
        <v>0</v>
      </c>
      <c r="F21360" s="2">
        <v>0</v>
      </c>
      <c r="G21360" s="2">
        <v>0</v>
      </c>
      <c r="H21360" s="1" t="s">
        <v>0</v>
      </c>
      <c r="I21360" s="2">
        <v>0</v>
      </c>
      <c r="J21360" s="1">
        <v>45925.444687499999</v>
      </c>
    </row>
    <row r="21361" spans="1:10" x14ac:dyDescent="0.2">
      <c r="A21361" s="4" t="s">
        <v>1</v>
      </c>
      <c r="B213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61" s="3" t="str">
        <f>HYPERLINK("https://otsuka-europe-crm.veevavault.com/ui/#object/sent_email__v/VBLZ025E82GZSVY", "SE-000280739")</f>
        <v>SE-000280739</v>
      </c>
      <c r="D21361" s="1" t="s">
        <v>0</v>
      </c>
      <c r="E21361" s="2">
        <v>0</v>
      </c>
      <c r="F21361" s="2">
        <v>0</v>
      </c>
      <c r="G21361" s="2">
        <v>0</v>
      </c>
      <c r="H21361" s="1" t="s">
        <v>0</v>
      </c>
      <c r="I21361" s="2">
        <v>0</v>
      </c>
      <c r="J21361" s="1">
        <v>45925.444699074076</v>
      </c>
    </row>
    <row r="21362" spans="1:10" x14ac:dyDescent="0.2">
      <c r="A21362" s="4" t="s">
        <v>1</v>
      </c>
      <c r="B213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62" s="3" t="str">
        <f>HYPERLINK("https://otsuka-europe-crm.veevavault.com/ui/#object/sent_email__v/VBLZ025E82GZSVZ", "SE-000280740")</f>
        <v>SE-000280740</v>
      </c>
      <c r="D21362" s="1">
        <v>45935.490034722221</v>
      </c>
      <c r="E21362" s="2">
        <v>1</v>
      </c>
      <c r="F21362" s="2">
        <v>3</v>
      </c>
      <c r="G21362" s="2">
        <v>0</v>
      </c>
      <c r="H21362" s="1" t="s">
        <v>0</v>
      </c>
      <c r="I21362" s="2">
        <v>0</v>
      </c>
      <c r="J21362" s="1">
        <v>45925.444710648146</v>
      </c>
    </row>
    <row r="21363" spans="1:10" x14ac:dyDescent="0.2">
      <c r="A21363" s="4" t="s">
        <v>1</v>
      </c>
      <c r="B213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63" s="3" t="str">
        <f>HYPERLINK("https://otsuka-europe-crm.veevavault.com/ui/#object/sent_email__v/VBLZ025E82GZSW0", "SE-000280741")</f>
        <v>SE-000280741</v>
      </c>
      <c r="D21363" s="1">
        <v>45925.569004629629</v>
      </c>
      <c r="E21363" s="2">
        <v>1</v>
      </c>
      <c r="F21363" s="2">
        <v>1</v>
      </c>
      <c r="G21363" s="2">
        <v>0</v>
      </c>
      <c r="H21363" s="1" t="s">
        <v>0</v>
      </c>
      <c r="I21363" s="2">
        <v>0</v>
      </c>
      <c r="J21363" s="1">
        <v>45925.444722222222</v>
      </c>
    </row>
    <row r="21364" spans="1:10" x14ac:dyDescent="0.2">
      <c r="A21364" s="4" t="s">
        <v>1</v>
      </c>
      <c r="B213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64" s="3" t="str">
        <f>HYPERLINK("https://otsuka-europe-crm.veevavault.com/ui/#object/sent_email__v/VBLZ025E82GZSW1", "SE-000280742")</f>
        <v>SE-000280742</v>
      </c>
      <c r="D21364" s="1">
        <v>45929.798773148148</v>
      </c>
      <c r="E21364" s="2">
        <v>1</v>
      </c>
      <c r="F21364" s="2">
        <v>1</v>
      </c>
      <c r="G21364" s="2">
        <v>0</v>
      </c>
      <c r="H21364" s="1" t="s">
        <v>0</v>
      </c>
      <c r="I21364" s="2">
        <v>0</v>
      </c>
      <c r="J21364" s="1">
        <v>45925.444733796299</v>
      </c>
    </row>
    <row r="21365" spans="1:10" x14ac:dyDescent="0.2">
      <c r="A21365" s="4" t="s">
        <v>1</v>
      </c>
      <c r="B213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65" s="3" t="str">
        <f>HYPERLINK("https://otsuka-europe-crm.veevavault.com/ui/#object/sent_email__v/VBLZ025E82GZSW2", "SE-000280743")</f>
        <v>SE-000280743</v>
      </c>
      <c r="D21365" s="1" t="s">
        <v>0</v>
      </c>
      <c r="E21365" s="2">
        <v>0</v>
      </c>
      <c r="F21365" s="2">
        <v>0</v>
      </c>
      <c r="G21365" s="2">
        <v>0</v>
      </c>
      <c r="H21365" s="1" t="s">
        <v>0</v>
      </c>
      <c r="I21365" s="2">
        <v>0</v>
      </c>
      <c r="J21365" s="1">
        <v>45925.444733796299</v>
      </c>
    </row>
    <row r="21366" spans="1:10" x14ac:dyDescent="0.2">
      <c r="A21366" s="4" t="s">
        <v>1</v>
      </c>
      <c r="B213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66" s="3" t="str">
        <f>HYPERLINK("https://otsuka-europe-crm.veevavault.com/ui/#object/sent_email__v/VBLZ025E82GZSW3", "SE-000280744")</f>
        <v>SE-000280744</v>
      </c>
      <c r="D21366" s="1" t="s">
        <v>0</v>
      </c>
      <c r="E21366" s="2">
        <v>0</v>
      </c>
      <c r="F21366" s="2">
        <v>0</v>
      </c>
      <c r="G21366" s="2">
        <v>0</v>
      </c>
      <c r="H21366" s="1" t="s">
        <v>0</v>
      </c>
      <c r="I21366" s="2">
        <v>0</v>
      </c>
      <c r="J21366" s="1">
        <v>45925.444745370369</v>
      </c>
    </row>
    <row r="21367" spans="1:10" x14ac:dyDescent="0.2">
      <c r="A21367" s="4" t="s">
        <v>1</v>
      </c>
      <c r="B213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67" s="3" t="str">
        <f>HYPERLINK("https://otsuka-europe-crm.veevavault.com/ui/#object/sent_email__v/VBLZ025E82GZSW4", "SE-000280745")</f>
        <v>SE-000280745</v>
      </c>
      <c r="D21367" s="1" t="s">
        <v>0</v>
      </c>
      <c r="E21367" s="2">
        <v>0</v>
      </c>
      <c r="F21367" s="2">
        <v>0</v>
      </c>
      <c r="G21367" s="2">
        <v>0</v>
      </c>
      <c r="H21367" s="1" t="s">
        <v>0</v>
      </c>
      <c r="I21367" s="2">
        <v>0</v>
      </c>
      <c r="J21367" s="1">
        <v>45925.444756944446</v>
      </c>
    </row>
    <row r="21368" spans="1:10" x14ac:dyDescent="0.2">
      <c r="A21368" s="4" t="s">
        <v>1</v>
      </c>
      <c r="B213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68" s="3" t="str">
        <f>HYPERLINK("https://otsuka-europe-crm.veevavault.com/ui/#object/sent_email__v/VBLZ025E82GZSW5", "SE-000280746")</f>
        <v>SE-000280746</v>
      </c>
      <c r="D21368" s="1" t="s">
        <v>0</v>
      </c>
      <c r="E21368" s="2">
        <v>0</v>
      </c>
      <c r="F21368" s="2">
        <v>0</v>
      </c>
      <c r="G21368" s="2">
        <v>0</v>
      </c>
      <c r="H21368" s="1" t="s">
        <v>0</v>
      </c>
      <c r="I21368" s="2">
        <v>0</v>
      </c>
      <c r="J21368" s="1">
        <v>45925.444768518515</v>
      </c>
    </row>
    <row r="21369" spans="1:10" x14ac:dyDescent="0.2">
      <c r="A21369" s="4" t="s">
        <v>1</v>
      </c>
      <c r="B213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69" s="3" t="str">
        <f>HYPERLINK("https://otsuka-europe-crm.veevavault.com/ui/#object/sent_email__v/VBLZ025E82GZSW6", "SE-000280747")</f>
        <v>SE-000280747</v>
      </c>
      <c r="D21369" s="1" t="s">
        <v>0</v>
      </c>
      <c r="E21369" s="2">
        <v>0</v>
      </c>
      <c r="F21369" s="2">
        <v>0</v>
      </c>
      <c r="G21369" s="2">
        <v>0</v>
      </c>
      <c r="H21369" s="1" t="s">
        <v>0</v>
      </c>
      <c r="I21369" s="2">
        <v>0</v>
      </c>
      <c r="J21369" s="1">
        <v>45925.444780092592</v>
      </c>
    </row>
    <row r="21370" spans="1:10" x14ac:dyDescent="0.2">
      <c r="A21370" s="4" t="s">
        <v>1</v>
      </c>
      <c r="B213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70" s="3" t="str">
        <f>HYPERLINK("https://otsuka-europe-crm.veevavault.com/ui/#object/sent_email__v/VBLZ025E82GZSW7", "SE-000280748")</f>
        <v>SE-000280748</v>
      </c>
      <c r="D21370" s="1" t="s">
        <v>0</v>
      </c>
      <c r="E21370" s="2">
        <v>0</v>
      </c>
      <c r="F21370" s="2">
        <v>0</v>
      </c>
      <c r="G21370" s="2">
        <v>0</v>
      </c>
      <c r="H21370" s="1" t="s">
        <v>0</v>
      </c>
      <c r="I21370" s="2">
        <v>0</v>
      </c>
      <c r="J21370" s="1">
        <v>45925.444780092592</v>
      </c>
    </row>
    <row r="21371" spans="1:10" x14ac:dyDescent="0.2">
      <c r="A21371" s="4" t="s">
        <v>1</v>
      </c>
      <c r="B213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71" s="3" t="str">
        <f>HYPERLINK("https://otsuka-europe-crm.veevavault.com/ui/#object/sent_email__v/VBLZ025E82GZSW8", "SE-000280749")</f>
        <v>SE-000280749</v>
      </c>
      <c r="D21371" s="1">
        <v>45925.631273148145</v>
      </c>
      <c r="E21371" s="2">
        <v>1</v>
      </c>
      <c r="F21371" s="2">
        <v>2</v>
      </c>
      <c r="G21371" s="2">
        <v>0</v>
      </c>
      <c r="H21371" s="1" t="s">
        <v>0</v>
      </c>
      <c r="I21371" s="2">
        <v>0</v>
      </c>
      <c r="J21371" s="1">
        <v>45925.444791666669</v>
      </c>
    </row>
    <row r="21372" spans="1:10" x14ac:dyDescent="0.2">
      <c r="A21372" s="4" t="s">
        <v>1</v>
      </c>
      <c r="B213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72" s="3" t="str">
        <f>HYPERLINK("https://otsuka-europe-crm.veevavault.com/ui/#object/sent_email__v/VBLZ025E82GZSW9", "SE-000280750")</f>
        <v>SE-000280750</v>
      </c>
      <c r="D21372" s="1" t="s">
        <v>0</v>
      </c>
      <c r="E21372" s="2">
        <v>0</v>
      </c>
      <c r="F21372" s="2">
        <v>0</v>
      </c>
      <c r="G21372" s="2">
        <v>0</v>
      </c>
      <c r="H21372" s="1" t="s">
        <v>0</v>
      </c>
      <c r="I21372" s="2">
        <v>0</v>
      </c>
      <c r="J21372" s="1">
        <v>45925.444803240738</v>
      </c>
    </row>
    <row r="21373" spans="1:10" x14ac:dyDescent="0.2">
      <c r="A21373" s="4" t="s">
        <v>1</v>
      </c>
      <c r="B213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73" s="3" t="str">
        <f>HYPERLINK("https://otsuka-europe-crm.veevavault.com/ui/#object/sent_email__v/VBLZ025E82GZSWA", "SE-000280751")</f>
        <v>SE-000280751</v>
      </c>
      <c r="D21373" s="1">
        <v>45925.526747685188</v>
      </c>
      <c r="E21373" s="2">
        <v>1</v>
      </c>
      <c r="F21373" s="2">
        <v>4</v>
      </c>
      <c r="G21373" s="2">
        <v>0</v>
      </c>
      <c r="H21373" s="1" t="s">
        <v>0</v>
      </c>
      <c r="I21373" s="2">
        <v>0</v>
      </c>
      <c r="J21373" s="1">
        <v>45925.444814814815</v>
      </c>
    </row>
    <row r="21374" spans="1:10" x14ac:dyDescent="0.2">
      <c r="A21374" s="4" t="s">
        <v>1</v>
      </c>
      <c r="B213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74" s="3" t="str">
        <f>HYPERLINK("https://otsuka-europe-crm.veevavault.com/ui/#object/sent_email__v/VBLZ025E82GZSWB", "SE-000280752")</f>
        <v>SE-000280752</v>
      </c>
      <c r="D21374" s="1">
        <v>45926.356770833336</v>
      </c>
      <c r="E21374" s="2">
        <v>1</v>
      </c>
      <c r="F21374" s="2">
        <v>2</v>
      </c>
      <c r="G21374" s="2">
        <v>0</v>
      </c>
      <c r="H21374" s="1" t="s">
        <v>0</v>
      </c>
      <c r="I21374" s="2">
        <v>0</v>
      </c>
      <c r="J21374" s="1">
        <v>45925.444826388892</v>
      </c>
    </row>
    <row r="21375" spans="1:10" x14ac:dyDescent="0.2">
      <c r="A21375" s="4" t="s">
        <v>1</v>
      </c>
      <c r="B213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75" s="3" t="str">
        <f>HYPERLINK("https://otsuka-europe-crm.veevavault.com/ui/#object/sent_email__v/VBLZ025E82GZSWC", "SE-000280753")</f>
        <v>SE-000280753</v>
      </c>
      <c r="D21375" s="1" t="s">
        <v>0</v>
      </c>
      <c r="E21375" s="2">
        <v>0</v>
      </c>
      <c r="F21375" s="2">
        <v>0</v>
      </c>
      <c r="G21375" s="2">
        <v>0</v>
      </c>
      <c r="H21375" s="1" t="s">
        <v>0</v>
      </c>
      <c r="I21375" s="2">
        <v>0</v>
      </c>
      <c r="J21375" s="1">
        <v>45925.444826388892</v>
      </c>
    </row>
    <row r="21376" spans="1:10" x14ac:dyDescent="0.2">
      <c r="A21376" s="4" t="s">
        <v>1</v>
      </c>
      <c r="B213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76" s="3" t="str">
        <f>HYPERLINK("https://otsuka-europe-crm.veevavault.com/ui/#object/sent_email__v/VBLZ025E82GZSWD", "SE-000280754")</f>
        <v>SE-000280754</v>
      </c>
      <c r="D21376" s="1" t="s">
        <v>0</v>
      </c>
      <c r="E21376" s="2">
        <v>0</v>
      </c>
      <c r="F21376" s="2">
        <v>0</v>
      </c>
      <c r="G21376" s="2">
        <v>0</v>
      </c>
      <c r="H21376" s="1" t="s">
        <v>0</v>
      </c>
      <c r="I21376" s="2">
        <v>0</v>
      </c>
      <c r="J21376" s="1">
        <v>45925.444837962961</v>
      </c>
    </row>
    <row r="21377" spans="1:10" x14ac:dyDescent="0.2">
      <c r="A21377" s="4" t="s">
        <v>1</v>
      </c>
      <c r="B213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77" s="3" t="str">
        <f>HYPERLINK("https://otsuka-europe-crm.veevavault.com/ui/#object/sent_email__v/VBLZ025E82GZSWE", "SE-000280755")</f>
        <v>SE-000280755</v>
      </c>
      <c r="D21377" s="1" t="s">
        <v>0</v>
      </c>
      <c r="E21377" s="2">
        <v>0</v>
      </c>
      <c r="F21377" s="2">
        <v>0</v>
      </c>
      <c r="G21377" s="2">
        <v>0</v>
      </c>
      <c r="H21377" s="1" t="s">
        <v>0</v>
      </c>
      <c r="I21377" s="2">
        <v>0</v>
      </c>
      <c r="J21377" s="1">
        <v>45925.444849537038</v>
      </c>
    </row>
    <row r="21378" spans="1:10" x14ac:dyDescent="0.2">
      <c r="A21378" s="4" t="s">
        <v>1</v>
      </c>
      <c r="B213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78" s="3" t="str">
        <f>HYPERLINK("https://otsuka-europe-crm.veevavault.com/ui/#object/sent_email__v/VBLZ025E82GZSWF", "SE-000280756")</f>
        <v>SE-000280756</v>
      </c>
      <c r="D21378" s="1">
        <v>45926.811076388891</v>
      </c>
      <c r="E21378" s="2">
        <v>1</v>
      </c>
      <c r="F21378" s="2">
        <v>1</v>
      </c>
      <c r="G21378" s="2">
        <v>0</v>
      </c>
      <c r="H21378" s="1" t="s">
        <v>0</v>
      </c>
      <c r="I21378" s="2">
        <v>0</v>
      </c>
      <c r="J21378" s="1">
        <v>45925.444861111115</v>
      </c>
    </row>
    <row r="21379" spans="1:10" x14ac:dyDescent="0.2">
      <c r="A21379" s="4" t="s">
        <v>1</v>
      </c>
      <c r="B213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79" s="3" t="str">
        <f>HYPERLINK("https://otsuka-europe-crm.veevavault.com/ui/#object/sent_email__v/VBLZ025E82GZSWG", "SE-000280757")</f>
        <v>SE-000280757</v>
      </c>
      <c r="D21379" s="1" t="s">
        <v>0</v>
      </c>
      <c r="E21379" s="2">
        <v>0</v>
      </c>
      <c r="F21379" s="2">
        <v>0</v>
      </c>
      <c r="G21379" s="2">
        <v>0</v>
      </c>
      <c r="H21379" s="1" t="s">
        <v>0</v>
      </c>
      <c r="I21379" s="2">
        <v>0</v>
      </c>
      <c r="J21379" s="1">
        <v>45925.444872685184</v>
      </c>
    </row>
    <row r="21380" spans="1:10" x14ac:dyDescent="0.2">
      <c r="A21380" s="4" t="s">
        <v>1</v>
      </c>
      <c r="B213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80" s="3" t="str">
        <f>HYPERLINK("https://otsuka-europe-crm.veevavault.com/ui/#object/sent_email__v/VBLZ025E82H17B5", "SE-000281028")</f>
        <v>SE-000281028</v>
      </c>
      <c r="D21380" s="1" t="s">
        <v>0</v>
      </c>
      <c r="E21380" s="2">
        <v>0</v>
      </c>
      <c r="F21380" s="2">
        <v>0</v>
      </c>
      <c r="G21380" s="2">
        <v>0</v>
      </c>
      <c r="H21380" s="1" t="s">
        <v>0</v>
      </c>
      <c r="I21380" s="2">
        <v>0</v>
      </c>
      <c r="J21380" s="1">
        <v>45926.401006944441</v>
      </c>
    </row>
    <row r="21381" spans="1:10" x14ac:dyDescent="0.2">
      <c r="A21381" s="4" t="s">
        <v>1</v>
      </c>
      <c r="B213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81" s="3" t="str">
        <f>HYPERLINK("https://otsuka-europe-crm.veevavault.com/ui/#object/sent_email__v/VBLZ025E82H19S1", "SE-000281035")</f>
        <v>SE-000281035</v>
      </c>
      <c r="D21381" s="1" t="s">
        <v>0</v>
      </c>
      <c r="E21381" s="2">
        <v>0</v>
      </c>
      <c r="F21381" s="2">
        <v>0</v>
      </c>
      <c r="G21381" s="2">
        <v>0</v>
      </c>
      <c r="H21381" s="1" t="s">
        <v>0</v>
      </c>
      <c r="I21381" s="2">
        <v>0</v>
      </c>
      <c r="J21381" s="1">
        <v>45926.420104166667</v>
      </c>
    </row>
    <row r="21382" spans="1:10" x14ac:dyDescent="0.2">
      <c r="A21382" s="4" t="s">
        <v>1</v>
      </c>
      <c r="B213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82" s="3" t="str">
        <f>HYPERLINK("https://otsuka-europe-crm.veevavault.com/ui/#object/sent_email__v/VBLZ025E82H18GU", "SE-000281037")</f>
        <v>SE-000281037</v>
      </c>
      <c r="D21382" s="1">
        <v>45933.610509259262</v>
      </c>
      <c r="E21382" s="2">
        <v>1</v>
      </c>
      <c r="F21382" s="2">
        <v>3</v>
      </c>
      <c r="G21382" s="2">
        <v>0</v>
      </c>
      <c r="H21382" s="1" t="s">
        <v>0</v>
      </c>
      <c r="I21382" s="2">
        <v>0</v>
      </c>
      <c r="J21382" s="1">
        <v>45926.434212962966</v>
      </c>
    </row>
    <row r="21383" spans="1:10" x14ac:dyDescent="0.2">
      <c r="A21383" s="4" t="s">
        <v>1</v>
      </c>
      <c r="B213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83" s="3" t="str">
        <f>HYPERLINK("https://otsuka-europe-crm.veevavault.com/ui/#object/sent_email__v/VBLZ025E82H1DMX", "SE-000281041")</f>
        <v>SE-000281041</v>
      </c>
      <c r="D21383" s="1">
        <v>45930.72452546296</v>
      </c>
      <c r="E21383" s="2">
        <v>1</v>
      </c>
      <c r="F21383" s="2">
        <v>10</v>
      </c>
      <c r="G21383" s="2">
        <v>0</v>
      </c>
      <c r="H21383" s="1" t="s">
        <v>0</v>
      </c>
      <c r="I21383" s="2">
        <v>0</v>
      </c>
      <c r="J21383" s="1">
        <v>45926.449166666665</v>
      </c>
    </row>
    <row r="21384" spans="1:10" x14ac:dyDescent="0.2">
      <c r="A21384" s="4" t="s">
        <v>1</v>
      </c>
      <c r="B213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84" s="3" t="str">
        <f>HYPERLINK("https://otsuka-europe-crm.veevavault.com/ui/#object/sent_email__v/VBLZ025E82H38UD", "SE-000281551")</f>
        <v>SE-000281551</v>
      </c>
      <c r="D21384" s="1">
        <v>45929.519826388889</v>
      </c>
      <c r="E21384" s="2">
        <v>1</v>
      </c>
      <c r="F21384" s="2">
        <v>1</v>
      </c>
      <c r="G21384" s="2">
        <v>0</v>
      </c>
      <c r="H21384" s="1" t="s">
        <v>0</v>
      </c>
      <c r="I21384" s="2">
        <v>0</v>
      </c>
      <c r="J21384" s="1">
        <v>45929.519745370373</v>
      </c>
    </row>
    <row r="21385" spans="1:10" x14ac:dyDescent="0.2">
      <c r="A21385" s="4" t="s">
        <v>1</v>
      </c>
      <c r="B213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85" s="3" t="str">
        <f>HYPERLINK("https://otsuka-europe-crm.veevavault.com/ui/#object/sent_email__v/VBLZ025E82H6D6T", "SE-000282629")</f>
        <v>SE-000282629</v>
      </c>
      <c r="D21385" s="1" t="s">
        <v>0</v>
      </c>
      <c r="E21385" s="2">
        <v>0</v>
      </c>
      <c r="F21385" s="2">
        <v>0</v>
      </c>
      <c r="G21385" s="2">
        <v>0</v>
      </c>
      <c r="H21385" s="1" t="s">
        <v>0</v>
      </c>
      <c r="I21385" s="2">
        <v>0</v>
      </c>
      <c r="J21385" s="1">
        <v>45931.459537037037</v>
      </c>
    </row>
    <row r="21386" spans="1:10" x14ac:dyDescent="0.2">
      <c r="A21386" s="4" t="s">
        <v>1</v>
      </c>
      <c r="B213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86" s="3" t="str">
        <f>HYPERLINK("https://otsuka-europe-crm.veevavault.com/ui/#object/sent_email__v/VBLZ025E82H7GB5", "SE-000282843")</f>
        <v>SE-000282843</v>
      </c>
      <c r="D21386" s="1" t="s">
        <v>0</v>
      </c>
      <c r="E21386" s="2">
        <v>0</v>
      </c>
      <c r="F21386" s="2">
        <v>0</v>
      </c>
      <c r="G21386" s="2">
        <v>0</v>
      </c>
      <c r="H21386" s="1" t="s">
        <v>0</v>
      </c>
      <c r="I21386" s="2">
        <v>0</v>
      </c>
      <c r="J21386" s="1">
        <v>45932.385462962964</v>
      </c>
    </row>
    <row r="21387" spans="1:10" x14ac:dyDescent="0.2">
      <c r="A21387" s="4" t="s">
        <v>1</v>
      </c>
      <c r="B213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87" s="3" t="str">
        <f>HYPERLINK("https://otsuka-europe-crm.veevavault.com/ui/#object/sent_email__v/VBLZ025E82H7GB6", "SE-000282844")</f>
        <v>SE-000282844</v>
      </c>
      <c r="D21387" s="1">
        <v>45932.522337962961</v>
      </c>
      <c r="E21387" s="2">
        <v>1</v>
      </c>
      <c r="F21387" s="2">
        <v>3</v>
      </c>
      <c r="G21387" s="2">
        <v>1</v>
      </c>
      <c r="H21387" s="1">
        <v>45932.388194444444</v>
      </c>
      <c r="I21387" s="2">
        <v>1</v>
      </c>
      <c r="J21387" s="1">
        <v>45932.385474537034</v>
      </c>
    </row>
    <row r="21388" spans="1:10" x14ac:dyDescent="0.2">
      <c r="A21388" s="4" t="s">
        <v>1</v>
      </c>
      <c r="B213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88" s="3" t="str">
        <f>HYPERLINK("https://otsuka-europe-crm.veevavault.com/ui/#object/sent_email__v/VBLZ025E82H7GB7", "SE-000282845")</f>
        <v>SE-000282845</v>
      </c>
      <c r="D21388" s="1">
        <v>45932.621817129628</v>
      </c>
      <c r="E21388" s="2">
        <v>1</v>
      </c>
      <c r="F21388" s="2">
        <v>2</v>
      </c>
      <c r="G21388" s="2">
        <v>0</v>
      </c>
      <c r="H21388" s="1" t="s">
        <v>0</v>
      </c>
      <c r="I21388" s="2">
        <v>0</v>
      </c>
      <c r="J21388" s="1">
        <v>45932.38548611111</v>
      </c>
    </row>
    <row r="21389" spans="1:10" x14ac:dyDescent="0.2">
      <c r="A21389" s="4" t="s">
        <v>1</v>
      </c>
      <c r="B213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89" s="3" t="str">
        <f>HYPERLINK("https://otsuka-europe-crm.veevavault.com/ui/#object/sent_email__v/VBLZ025E82H7GB8", "SE-000282846")</f>
        <v>SE-000282846</v>
      </c>
      <c r="D21389" s="1" t="s">
        <v>0</v>
      </c>
      <c r="E21389" s="2">
        <v>0</v>
      </c>
      <c r="F21389" s="2">
        <v>0</v>
      </c>
      <c r="G21389" s="2">
        <v>0</v>
      </c>
      <c r="H21389" s="1" t="s">
        <v>0</v>
      </c>
      <c r="I21389" s="2">
        <v>0</v>
      </c>
      <c r="J21389" s="1">
        <v>45932.385474537034</v>
      </c>
    </row>
    <row r="21390" spans="1:10" x14ac:dyDescent="0.2">
      <c r="A21390" s="4" t="s">
        <v>1</v>
      </c>
      <c r="B213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90" s="3" t="str">
        <f>HYPERLINK("https://otsuka-europe-crm.veevavault.com/ui/#object/sent_email__v/VBLZ025E82H7GB9", "SE-000282847")</f>
        <v>SE-000282847</v>
      </c>
      <c r="D21390" s="1">
        <v>45932.462939814817</v>
      </c>
      <c r="E21390" s="2">
        <v>1</v>
      </c>
      <c r="F21390" s="2">
        <v>1</v>
      </c>
      <c r="G21390" s="2">
        <v>0</v>
      </c>
      <c r="H21390" s="1" t="s">
        <v>0</v>
      </c>
      <c r="I21390" s="2">
        <v>0</v>
      </c>
      <c r="J21390" s="1">
        <v>45932.38548611111</v>
      </c>
    </row>
    <row r="21391" spans="1:10" x14ac:dyDescent="0.2">
      <c r="A21391" s="4" t="s">
        <v>1</v>
      </c>
      <c r="B213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91" s="3" t="str">
        <f>HYPERLINK("https://otsuka-europe-crm.veevavault.com/ui/#object/sent_email__v/VBLZ025E82H7GBA", "SE-000282848")</f>
        <v>SE-000282848</v>
      </c>
      <c r="D21391" s="1">
        <v>45932.611145833333</v>
      </c>
      <c r="E21391" s="2">
        <v>1</v>
      </c>
      <c r="F21391" s="2">
        <v>1</v>
      </c>
      <c r="G21391" s="2">
        <v>1</v>
      </c>
      <c r="H21391" s="1">
        <v>45932.611585648148</v>
      </c>
      <c r="I21391" s="2">
        <v>1</v>
      </c>
      <c r="J21391" s="1">
        <v>45932.385497685187</v>
      </c>
    </row>
    <row r="21392" spans="1:10" x14ac:dyDescent="0.2">
      <c r="A21392" s="4" t="s">
        <v>1</v>
      </c>
      <c r="B213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92" s="3" t="str">
        <f>HYPERLINK("https://otsuka-europe-crm.veevavault.com/ui/#object/sent_email__v/VBLZ025E82H7GBB", "SE-000282849")</f>
        <v>SE-000282849</v>
      </c>
      <c r="D21392" s="1">
        <v>45932.854953703703</v>
      </c>
      <c r="E21392" s="2">
        <v>1</v>
      </c>
      <c r="F21392" s="2">
        <v>4</v>
      </c>
      <c r="G21392" s="2">
        <v>0</v>
      </c>
      <c r="H21392" s="1" t="s">
        <v>0</v>
      </c>
      <c r="I21392" s="2">
        <v>0</v>
      </c>
      <c r="J21392" s="1">
        <v>45932.38553240741</v>
      </c>
    </row>
    <row r="21393" spans="1:10" x14ac:dyDescent="0.2">
      <c r="A21393" s="4" t="s">
        <v>1</v>
      </c>
      <c r="B213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93" s="3" t="str">
        <f>HYPERLINK("https://otsuka-europe-crm.veevavault.com/ui/#object/sent_email__v/VBLZ025E82H7GBC", "SE-000282850")</f>
        <v>SE-000282850</v>
      </c>
      <c r="D21393" s="1" t="s">
        <v>0</v>
      </c>
      <c r="E21393" s="2">
        <v>0</v>
      </c>
      <c r="F21393" s="2">
        <v>0</v>
      </c>
      <c r="G21393" s="2">
        <v>0</v>
      </c>
      <c r="H21393" s="1" t="s">
        <v>0</v>
      </c>
      <c r="I21393" s="2">
        <v>0</v>
      </c>
      <c r="J21393" s="1">
        <v>45932.38553240741</v>
      </c>
    </row>
    <row r="21394" spans="1:10" x14ac:dyDescent="0.2">
      <c r="A21394" s="4" t="s">
        <v>1</v>
      </c>
      <c r="B213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94" s="3" t="str">
        <f>HYPERLINK("https://otsuka-europe-crm.veevavault.com/ui/#object/sent_email__v/VBLZ025E82H7GBD", "SE-000282851")</f>
        <v>SE-000282851</v>
      </c>
      <c r="D21394" s="1">
        <v>45932.850486111114</v>
      </c>
      <c r="E21394" s="2">
        <v>1</v>
      </c>
      <c r="F21394" s="2">
        <v>2</v>
      </c>
      <c r="G21394" s="2">
        <v>0</v>
      </c>
      <c r="H21394" s="1" t="s">
        <v>0</v>
      </c>
      <c r="I21394" s="2">
        <v>0</v>
      </c>
      <c r="J21394" s="1">
        <v>45932.385520833333</v>
      </c>
    </row>
    <row r="21395" spans="1:10" x14ac:dyDescent="0.2">
      <c r="A21395" s="4" t="s">
        <v>1</v>
      </c>
      <c r="B213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95" s="3" t="str">
        <f>HYPERLINK("https://otsuka-europe-crm.veevavault.com/ui/#object/sent_email__v/VBLZ025E82H7GBE", "SE-000282852")</f>
        <v>SE-000282852</v>
      </c>
      <c r="D21395" s="1">
        <v>45932.970381944448</v>
      </c>
      <c r="E21395" s="2">
        <v>1</v>
      </c>
      <c r="F21395" s="2">
        <v>1</v>
      </c>
      <c r="G21395" s="2">
        <v>0</v>
      </c>
      <c r="H21395" s="1" t="s">
        <v>0</v>
      </c>
      <c r="I21395" s="2">
        <v>0</v>
      </c>
      <c r="J21395" s="1">
        <v>45932.385555555556</v>
      </c>
    </row>
    <row r="21396" spans="1:10" x14ac:dyDescent="0.2">
      <c r="A21396" s="4" t="s">
        <v>1</v>
      </c>
      <c r="B213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96" s="3" t="str">
        <f>HYPERLINK("https://otsuka-europe-crm.veevavault.com/ui/#object/sent_email__v/VBLZ025E82H7GBF", "SE-000282853")</f>
        <v>SE-000282853</v>
      </c>
      <c r="D21396" s="1" t="s">
        <v>0</v>
      </c>
      <c r="E21396" s="2">
        <v>0</v>
      </c>
      <c r="F21396" s="2">
        <v>0</v>
      </c>
      <c r="G21396" s="2">
        <v>0</v>
      </c>
      <c r="H21396" s="1" t="s">
        <v>0</v>
      </c>
      <c r="I21396" s="2">
        <v>0</v>
      </c>
      <c r="J21396" s="1">
        <v>45932.385555555556</v>
      </c>
    </row>
    <row r="21397" spans="1:10" x14ac:dyDescent="0.2">
      <c r="A21397" s="4" t="s">
        <v>1</v>
      </c>
      <c r="B213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97" s="3" t="str">
        <f>HYPERLINK("https://otsuka-europe-crm.veevavault.com/ui/#object/sent_email__v/VBLZ025E82H7GBG", "SE-000282854")</f>
        <v>SE-000282854</v>
      </c>
      <c r="D21397" s="1" t="s">
        <v>0</v>
      </c>
      <c r="E21397" s="2">
        <v>0</v>
      </c>
      <c r="F21397" s="2">
        <v>0</v>
      </c>
      <c r="G21397" s="2">
        <v>0</v>
      </c>
      <c r="H21397" s="1" t="s">
        <v>0</v>
      </c>
      <c r="I21397" s="2">
        <v>0</v>
      </c>
      <c r="J21397" s="1">
        <v>45932.385555555556</v>
      </c>
    </row>
    <row r="21398" spans="1:10" x14ac:dyDescent="0.2">
      <c r="A21398" s="4" t="s">
        <v>1</v>
      </c>
      <c r="B213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98" s="3" t="str">
        <f>HYPERLINK("https://otsuka-europe-crm.veevavault.com/ui/#object/sent_email__v/VBLZ025E82H7GBH", "SE-000282855")</f>
        <v>SE-000282855</v>
      </c>
      <c r="D21398" s="1">
        <v>45932.943483796298</v>
      </c>
      <c r="E21398" s="2">
        <v>1</v>
      </c>
      <c r="F21398" s="2">
        <v>1</v>
      </c>
      <c r="G21398" s="2">
        <v>0</v>
      </c>
      <c r="H21398" s="1" t="s">
        <v>0</v>
      </c>
      <c r="I21398" s="2">
        <v>0</v>
      </c>
      <c r="J21398" s="1">
        <v>45932.385567129626</v>
      </c>
    </row>
    <row r="21399" spans="1:10" x14ac:dyDescent="0.2">
      <c r="A21399" s="4" t="s">
        <v>1</v>
      </c>
      <c r="B213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399" s="3" t="str">
        <f>HYPERLINK("https://otsuka-europe-crm.veevavault.com/ui/#object/sent_email__v/VBLZ025E82H7GBI", "SE-000282856")</f>
        <v>SE-000282856</v>
      </c>
      <c r="D21399" s="1" t="s">
        <v>0</v>
      </c>
      <c r="E21399" s="2">
        <v>0</v>
      </c>
      <c r="F21399" s="2">
        <v>0</v>
      </c>
      <c r="G21399" s="2">
        <v>0</v>
      </c>
      <c r="H21399" s="1" t="s">
        <v>0</v>
      </c>
      <c r="I21399" s="2">
        <v>0</v>
      </c>
      <c r="J21399" s="1">
        <v>45932.385567129626</v>
      </c>
    </row>
    <row r="21400" spans="1:10" x14ac:dyDescent="0.2">
      <c r="A21400" s="4" t="s">
        <v>1</v>
      </c>
      <c r="B214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00" s="3" t="str">
        <f>HYPERLINK("https://otsuka-europe-crm.veevavault.com/ui/#object/sent_email__v/VBLZ025E82H7GBJ", "SE-000282857")</f>
        <v>SE-000282857</v>
      </c>
      <c r="D21400" s="1">
        <v>45932.450231481482</v>
      </c>
      <c r="E21400" s="2">
        <v>1</v>
      </c>
      <c r="F21400" s="2">
        <v>2</v>
      </c>
      <c r="G21400" s="2">
        <v>0</v>
      </c>
      <c r="H21400" s="1" t="s">
        <v>0</v>
      </c>
      <c r="I21400" s="2">
        <v>0</v>
      </c>
      <c r="J21400" s="1">
        <v>45932.385578703703</v>
      </c>
    </row>
    <row r="21401" spans="1:10" x14ac:dyDescent="0.2">
      <c r="A21401" s="4" t="s">
        <v>1</v>
      </c>
      <c r="B214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01" s="3" t="str">
        <f>HYPERLINK("https://otsuka-europe-crm.veevavault.com/ui/#object/sent_email__v/VBLZ025E82H7IE5", "SE-000282872")</f>
        <v>SE-000282872</v>
      </c>
      <c r="D21401" s="1">
        <v>45932.700613425928</v>
      </c>
      <c r="E21401" s="2">
        <v>1</v>
      </c>
      <c r="F21401" s="2">
        <v>1</v>
      </c>
      <c r="G21401" s="2">
        <v>0</v>
      </c>
      <c r="H21401" s="1" t="s">
        <v>0</v>
      </c>
      <c r="I21401" s="2">
        <v>0</v>
      </c>
      <c r="J21401" s="1">
        <v>45932.42050925926</v>
      </c>
    </row>
    <row r="21402" spans="1:10" x14ac:dyDescent="0.2">
      <c r="A21402" s="4" t="s">
        <v>1</v>
      </c>
      <c r="B214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02" s="3" t="str">
        <f>HYPERLINK("https://otsuka-europe-crm.veevavault.com/ui/#object/sent_email__v/VBLZ025E82H7K39", "SE-000282876")</f>
        <v>SE-000282876</v>
      </c>
      <c r="D21402" s="1" t="s">
        <v>0</v>
      </c>
      <c r="E21402" s="2">
        <v>0</v>
      </c>
      <c r="F21402" s="2">
        <v>0</v>
      </c>
      <c r="G21402" s="2">
        <v>0</v>
      </c>
      <c r="H21402" s="1" t="s">
        <v>0</v>
      </c>
      <c r="I21402" s="2">
        <v>0</v>
      </c>
      <c r="J21402" s="1">
        <v>45932.435439814813</v>
      </c>
    </row>
    <row r="21403" spans="1:10" x14ac:dyDescent="0.2">
      <c r="A21403" s="4" t="s">
        <v>1</v>
      </c>
      <c r="B214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03" s="3" t="str">
        <f>HYPERLINK("https://otsuka-europe-crm.veevavault.com/ui/#object/sent_email__v/VBLZ025E82H7K61", "SE-000282877")</f>
        <v>SE-000282877</v>
      </c>
      <c r="D21403" s="1" t="s">
        <v>0</v>
      </c>
      <c r="E21403" s="2">
        <v>0</v>
      </c>
      <c r="F21403" s="2">
        <v>0</v>
      </c>
      <c r="G21403" s="2">
        <v>0</v>
      </c>
      <c r="H21403" s="1" t="s">
        <v>0</v>
      </c>
      <c r="I21403" s="2">
        <v>0</v>
      </c>
      <c r="J21403" s="1">
        <v>45932.436527777776</v>
      </c>
    </row>
    <row r="21404" spans="1:10" x14ac:dyDescent="0.2">
      <c r="A21404" s="4" t="s">
        <v>1</v>
      </c>
      <c r="B214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04" s="3" t="str">
        <f>HYPERLINK("https://otsuka-europe-crm.veevavault.com/ui/#object/sent_email__v/VBLZ025E82H7KPH", "SE-000282880")</f>
        <v>SE-000282880</v>
      </c>
      <c r="D21404" s="1" t="s">
        <v>0</v>
      </c>
      <c r="E21404" s="2">
        <v>0</v>
      </c>
      <c r="F21404" s="2">
        <v>0</v>
      </c>
      <c r="G21404" s="2">
        <v>0</v>
      </c>
      <c r="H21404" s="1" t="s">
        <v>0</v>
      </c>
      <c r="I21404" s="2">
        <v>0</v>
      </c>
      <c r="J21404" s="1">
        <v>45932.439687500002</v>
      </c>
    </row>
    <row r="21405" spans="1:10" x14ac:dyDescent="0.2">
      <c r="A21405" s="4" t="s">
        <v>1</v>
      </c>
      <c r="B214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05" s="3" t="str">
        <f>HYPERLINK("https://otsuka-europe-crm.veevavault.com/ui/#object/sent_email__v/VBLZ025E82H7KS9", "SE-000282881")</f>
        <v>SE-000282881</v>
      </c>
      <c r="D21405" s="1">
        <v>45988.771539351852</v>
      </c>
      <c r="E21405" s="2">
        <v>1</v>
      </c>
      <c r="F21405" s="2">
        <v>3</v>
      </c>
      <c r="G21405" s="2">
        <v>0</v>
      </c>
      <c r="H21405" s="1" t="s">
        <v>0</v>
      </c>
      <c r="I21405" s="2">
        <v>0</v>
      </c>
      <c r="J21405" s="1">
        <v>45932.439976851849</v>
      </c>
    </row>
    <row r="21406" spans="1:10" x14ac:dyDescent="0.2">
      <c r="A21406" s="4" t="s">
        <v>1</v>
      </c>
      <c r="B214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06" s="3" t="str">
        <f>HYPERLINK("https://otsuka-europe-crm.veevavault.com/ui/#object/sent_email__v/VBLZ025E82H7KV1", "SE-000282882")</f>
        <v>SE-000282882</v>
      </c>
      <c r="D21406" s="1">
        <v>45933.607766203706</v>
      </c>
      <c r="E21406" s="2">
        <v>1</v>
      </c>
      <c r="F21406" s="2">
        <v>2</v>
      </c>
      <c r="G21406" s="2">
        <v>0</v>
      </c>
      <c r="H21406" s="1" t="s">
        <v>0</v>
      </c>
      <c r="I21406" s="2">
        <v>0</v>
      </c>
      <c r="J21406" s="1">
        <v>45932.440474537034</v>
      </c>
    </row>
    <row r="21407" spans="1:10" x14ac:dyDescent="0.2">
      <c r="A21407" s="4" t="s">
        <v>1</v>
      </c>
      <c r="B214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07" s="3" t="str">
        <f>HYPERLINK("https://otsuka-europe-crm.veevavault.com/ui/#object/sent_email__v/VBLZ025E82H7L8X", "SE-000282883")</f>
        <v>SE-000282883</v>
      </c>
      <c r="D21407" s="1">
        <v>45933.024664351855</v>
      </c>
      <c r="E21407" s="2">
        <v>1</v>
      </c>
      <c r="F21407" s="2">
        <v>1</v>
      </c>
      <c r="G21407" s="2">
        <v>0</v>
      </c>
      <c r="H21407" s="1" t="s">
        <v>0</v>
      </c>
      <c r="I21407" s="2">
        <v>0</v>
      </c>
      <c r="J21407" s="1">
        <v>45932.441018518519</v>
      </c>
    </row>
    <row r="21408" spans="1:10" x14ac:dyDescent="0.2">
      <c r="A21408" s="4" t="s">
        <v>1</v>
      </c>
      <c r="B214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08" s="3" t="str">
        <f>HYPERLINK("https://otsuka-europe-crm.veevavault.com/ui/#object/sent_email__v/VBLZ025E82H7ON5", "SE-000282884")</f>
        <v>SE-000282884</v>
      </c>
      <c r="D21408" s="1">
        <v>45937.806342592594</v>
      </c>
      <c r="E21408" s="2">
        <v>1</v>
      </c>
      <c r="F21408" s="2">
        <v>1</v>
      </c>
      <c r="G21408" s="2">
        <v>0</v>
      </c>
      <c r="H21408" s="1" t="s">
        <v>0</v>
      </c>
      <c r="I21408" s="2">
        <v>0</v>
      </c>
      <c r="J21408" s="1">
        <v>45932.464687500003</v>
      </c>
    </row>
    <row r="21409" spans="1:10" x14ac:dyDescent="0.2">
      <c r="A21409" s="4" t="s">
        <v>1</v>
      </c>
      <c r="B214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09" s="3" t="str">
        <f>HYPERLINK("https://otsuka-europe-crm.veevavault.com/ui/#object/sent_email__v/VBLZ025E82H7OVH", "SE-000282885")</f>
        <v>SE-000282885</v>
      </c>
      <c r="D21409" s="1" t="s">
        <v>0</v>
      </c>
      <c r="E21409" s="2">
        <v>0</v>
      </c>
      <c r="F21409" s="2">
        <v>0</v>
      </c>
      <c r="G21409" s="2">
        <v>0</v>
      </c>
      <c r="H21409" s="1" t="s">
        <v>0</v>
      </c>
      <c r="I21409" s="2">
        <v>0</v>
      </c>
      <c r="J21409" s="1">
        <v>45932.467303240737</v>
      </c>
    </row>
    <row r="21410" spans="1:10" x14ac:dyDescent="0.2">
      <c r="A21410" s="4" t="s">
        <v>1</v>
      </c>
      <c r="B214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10" s="3" t="str">
        <f>HYPERLINK("https://otsuka-europe-crm.veevavault.com/ui/#object/sent_email__v/VBLZ025E82H7P6L", "SE-000282886")</f>
        <v>SE-000282886</v>
      </c>
      <c r="D21410" s="1">
        <v>45933.701527777775</v>
      </c>
      <c r="E21410" s="2">
        <v>1</v>
      </c>
      <c r="F21410" s="2">
        <v>1</v>
      </c>
      <c r="G21410" s="2">
        <v>0</v>
      </c>
      <c r="H21410" s="1" t="s">
        <v>0</v>
      </c>
      <c r="I21410" s="2">
        <v>0</v>
      </c>
      <c r="J21410" s="1">
        <v>45932.470590277779</v>
      </c>
    </row>
    <row r="21411" spans="1:10" x14ac:dyDescent="0.2">
      <c r="A21411" s="4" t="s">
        <v>1</v>
      </c>
      <c r="B214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11" s="3" t="str">
        <f>HYPERLINK("https://otsuka-europe-crm.veevavault.com/ui/#object/sent_email__v/VBLZ025E82H7NN2", "SE-000282887")</f>
        <v>SE-000282887</v>
      </c>
      <c r="D21411" s="1">
        <v>45933.701527777775</v>
      </c>
      <c r="E21411" s="2">
        <v>1</v>
      </c>
      <c r="F21411" s="2">
        <v>1</v>
      </c>
      <c r="G21411" s="2">
        <v>0</v>
      </c>
      <c r="H21411" s="1" t="s">
        <v>0</v>
      </c>
      <c r="I21411" s="2">
        <v>0</v>
      </c>
      <c r="J21411" s="1">
        <v>45932.473680555559</v>
      </c>
    </row>
    <row r="21412" spans="1:10" x14ac:dyDescent="0.2">
      <c r="A21412" s="4" t="s">
        <v>1</v>
      </c>
      <c r="B214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12" s="3" t="str">
        <f>HYPERLINK("https://otsuka-europe-crm.veevavault.com/ui/#object/sent_email__v/VBLZ025E82H7QYH", "SE-000282912")</f>
        <v>SE-000282912</v>
      </c>
      <c r="D21412" s="1">
        <v>45932.563969907409</v>
      </c>
      <c r="E21412" s="2">
        <v>1</v>
      </c>
      <c r="F21412" s="2">
        <v>2</v>
      </c>
      <c r="G21412" s="2">
        <v>0</v>
      </c>
      <c r="H21412" s="1" t="s">
        <v>0</v>
      </c>
      <c r="I21412" s="2">
        <v>0</v>
      </c>
      <c r="J21412" s="1">
        <v>45932.488194444442</v>
      </c>
    </row>
    <row r="21413" spans="1:10" x14ac:dyDescent="0.2">
      <c r="A21413" s="4" t="s">
        <v>1</v>
      </c>
      <c r="B214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13" s="3" t="str">
        <f>HYPERLINK("https://otsuka-europe-crm.veevavault.com/ui/#object/sent_email__v/VBLZ025E82H7YR2", "SE-000282991")</f>
        <v>SE-000282991</v>
      </c>
      <c r="D21413" s="1" t="s">
        <v>0</v>
      </c>
      <c r="E21413" s="2">
        <v>0</v>
      </c>
      <c r="F21413" s="2">
        <v>0</v>
      </c>
      <c r="G21413" s="2">
        <v>0</v>
      </c>
      <c r="H21413" s="1" t="s">
        <v>0</v>
      </c>
      <c r="I21413" s="2">
        <v>0</v>
      </c>
      <c r="J21413" s="1">
        <v>45932.537766203706</v>
      </c>
    </row>
    <row r="21414" spans="1:10" x14ac:dyDescent="0.2">
      <c r="A21414" s="4" t="s">
        <v>1</v>
      </c>
      <c r="B214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14" s="3" t="str">
        <f>HYPERLINK("https://otsuka-europe-crm.veevavault.com/ui/#object/sent_email__v/VBLZ025E82H9FDH", "SE-000283224")</f>
        <v>SE-000283224</v>
      </c>
      <c r="D21414" s="1" t="s">
        <v>0</v>
      </c>
      <c r="E21414" s="2">
        <v>0</v>
      </c>
      <c r="F21414" s="2">
        <v>0</v>
      </c>
      <c r="G21414" s="2">
        <v>0</v>
      </c>
      <c r="H21414" s="1" t="s">
        <v>0</v>
      </c>
      <c r="I21414" s="2">
        <v>0</v>
      </c>
      <c r="J21414" s="1">
        <v>45933.414988425924</v>
      </c>
    </row>
    <row r="21415" spans="1:10" x14ac:dyDescent="0.2">
      <c r="A21415" s="4" t="s">
        <v>1</v>
      </c>
      <c r="B214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15" s="3" t="str">
        <f>HYPERLINK("https://otsuka-europe-crm.veevavault.com/ui/#object/sent_email__v/VBLZ025E82H9FDI", "SE-000283225")</f>
        <v>SE-000283225</v>
      </c>
      <c r="D21415" s="1">
        <v>45935.766458333332</v>
      </c>
      <c r="E21415" s="2">
        <v>1</v>
      </c>
      <c r="F21415" s="2">
        <v>1</v>
      </c>
      <c r="G21415" s="2">
        <v>0</v>
      </c>
      <c r="H21415" s="1" t="s">
        <v>0</v>
      </c>
      <c r="I21415" s="2">
        <v>0</v>
      </c>
      <c r="J21415" s="1">
        <v>45933.414988425924</v>
      </c>
    </row>
    <row r="21416" spans="1:10" x14ac:dyDescent="0.2">
      <c r="A21416" s="4" t="s">
        <v>1</v>
      </c>
      <c r="B214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16" s="3" t="str">
        <f>HYPERLINK("https://otsuka-europe-crm.veevavault.com/ui/#object/sent_email__v/VBLZ025E82H9FDJ", "SE-000283226")</f>
        <v>SE-000283226</v>
      </c>
      <c r="D21416" s="1">
        <v>45936.814849537041</v>
      </c>
      <c r="E21416" s="2">
        <v>1</v>
      </c>
      <c r="F21416" s="2">
        <v>2</v>
      </c>
      <c r="G21416" s="2">
        <v>0</v>
      </c>
      <c r="H21416" s="1" t="s">
        <v>0</v>
      </c>
      <c r="I21416" s="2">
        <v>0</v>
      </c>
      <c r="J21416" s="1">
        <v>45933.414988425924</v>
      </c>
    </row>
    <row r="21417" spans="1:10" x14ac:dyDescent="0.2">
      <c r="A21417" s="4" t="s">
        <v>1</v>
      </c>
      <c r="B214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17" s="3" t="str">
        <f>HYPERLINK("https://otsuka-europe-crm.veevavault.com/ui/#object/sent_email__v/VBLZ025E82H9FDK", "SE-000283227")</f>
        <v>SE-000283227</v>
      </c>
      <c r="D21417" s="1">
        <v>45933.439826388887</v>
      </c>
      <c r="E21417" s="2">
        <v>1</v>
      </c>
      <c r="F21417" s="2">
        <v>1</v>
      </c>
      <c r="G21417" s="2">
        <v>0</v>
      </c>
      <c r="H21417" s="1" t="s">
        <v>0</v>
      </c>
      <c r="I21417" s="2">
        <v>0</v>
      </c>
      <c r="J21417" s="1">
        <v>45933.415011574078</v>
      </c>
    </row>
    <row r="21418" spans="1:10" x14ac:dyDescent="0.2">
      <c r="A21418" s="4" t="s">
        <v>1</v>
      </c>
      <c r="B214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18" s="3" t="str">
        <f>HYPERLINK("https://otsuka-europe-crm.veevavault.com/ui/#object/sent_email__v/VBLZ025E82H9FDL", "SE-000283228")</f>
        <v>SE-000283228</v>
      </c>
      <c r="D21418" s="1">
        <v>45933.990717592591</v>
      </c>
      <c r="E21418" s="2">
        <v>1</v>
      </c>
      <c r="F21418" s="2">
        <v>2</v>
      </c>
      <c r="G21418" s="2">
        <v>0</v>
      </c>
      <c r="H21418" s="1" t="s">
        <v>0</v>
      </c>
      <c r="I21418" s="2">
        <v>0</v>
      </c>
      <c r="J21418" s="1">
        <v>45933.415011574078</v>
      </c>
    </row>
    <row r="21419" spans="1:10" x14ac:dyDescent="0.2">
      <c r="A21419" s="4" t="s">
        <v>1</v>
      </c>
      <c r="B214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19" s="3" t="str">
        <f>HYPERLINK("https://otsuka-europe-crm.veevavault.com/ui/#object/sent_email__v/VBLZ025E82H9FDM", "SE-000283229")</f>
        <v>SE-000283229</v>
      </c>
      <c r="D21419" s="1">
        <v>45935.302476851852</v>
      </c>
      <c r="E21419" s="2">
        <v>1</v>
      </c>
      <c r="F21419" s="2">
        <v>2</v>
      </c>
      <c r="G21419" s="2">
        <v>1</v>
      </c>
      <c r="H21419" s="1">
        <v>45935.302743055552</v>
      </c>
      <c r="I21419" s="2">
        <v>1</v>
      </c>
      <c r="J21419" s="1">
        <v>45933.415011574078</v>
      </c>
    </row>
    <row r="21420" spans="1:10" x14ac:dyDescent="0.2">
      <c r="A21420" s="4" t="s">
        <v>1</v>
      </c>
      <c r="B214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20" s="3" t="str">
        <f>HYPERLINK("https://otsuka-europe-crm.veevavault.com/ui/#object/sent_email__v/VBLZ025E82H9FDN", "SE-000283230")</f>
        <v>SE-000283230</v>
      </c>
      <c r="D21420" s="1" t="s">
        <v>0</v>
      </c>
      <c r="E21420" s="2">
        <v>0</v>
      </c>
      <c r="F21420" s="2">
        <v>0</v>
      </c>
      <c r="G21420" s="2">
        <v>0</v>
      </c>
      <c r="H21420" s="1" t="s">
        <v>0</v>
      </c>
      <c r="I21420" s="2">
        <v>0</v>
      </c>
      <c r="J21420" s="1">
        <v>45933.415034722224</v>
      </c>
    </row>
    <row r="21421" spans="1:10" x14ac:dyDescent="0.2">
      <c r="A21421" s="4" t="s">
        <v>1</v>
      </c>
      <c r="B214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21" s="3" t="str">
        <f>HYPERLINK("https://otsuka-europe-crm.veevavault.com/ui/#object/sent_email__v/VBLZ025E82H9FDO", "SE-000283231")</f>
        <v>SE-000283231</v>
      </c>
      <c r="D21421" s="1" t="s">
        <v>0</v>
      </c>
      <c r="E21421" s="2">
        <v>0</v>
      </c>
      <c r="F21421" s="2">
        <v>0</v>
      </c>
      <c r="G21421" s="2">
        <v>0</v>
      </c>
      <c r="H21421" s="1" t="s">
        <v>0</v>
      </c>
      <c r="I21421" s="2">
        <v>0</v>
      </c>
      <c r="J21421" s="1">
        <v>45933.415034722224</v>
      </c>
    </row>
    <row r="21422" spans="1:10" x14ac:dyDescent="0.2">
      <c r="A21422" s="4" t="s">
        <v>1</v>
      </c>
      <c r="B214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22" s="3" t="str">
        <f>HYPERLINK("https://otsuka-europe-crm.veevavault.com/ui/#object/sent_email__v/VBLZ025E82H9FDP", "SE-000283232")</f>
        <v>SE-000283232</v>
      </c>
      <c r="D21422" s="1">
        <v>45933.557673611111</v>
      </c>
      <c r="E21422" s="2">
        <v>1</v>
      </c>
      <c r="F21422" s="2">
        <v>1</v>
      </c>
      <c r="G21422" s="2">
        <v>0</v>
      </c>
      <c r="H21422" s="1" t="s">
        <v>0</v>
      </c>
      <c r="I21422" s="2">
        <v>0</v>
      </c>
      <c r="J21422" s="1">
        <v>45933.415046296293</v>
      </c>
    </row>
    <row r="21423" spans="1:10" x14ac:dyDescent="0.2">
      <c r="A21423" s="4" t="s">
        <v>1</v>
      </c>
      <c r="B214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23" s="3" t="str">
        <f>HYPERLINK("https://otsuka-europe-crm.veevavault.com/ui/#object/sent_email__v/VBLZ025E82H9FDQ", "SE-000283233")</f>
        <v>SE-000283233</v>
      </c>
      <c r="D21423" s="1" t="s">
        <v>0</v>
      </c>
      <c r="E21423" s="2">
        <v>0</v>
      </c>
      <c r="F21423" s="2">
        <v>0</v>
      </c>
      <c r="G21423" s="2">
        <v>0</v>
      </c>
      <c r="H21423" s="1" t="s">
        <v>0</v>
      </c>
      <c r="I21423" s="2">
        <v>0</v>
      </c>
      <c r="J21423" s="1">
        <v>45933.41505787037</v>
      </c>
    </row>
    <row r="21424" spans="1:10" x14ac:dyDescent="0.2">
      <c r="A21424" s="4" t="s">
        <v>1</v>
      </c>
      <c r="B214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24" s="3" t="str">
        <f>HYPERLINK("https://otsuka-europe-crm.veevavault.com/ui/#object/sent_email__v/VBLZ025E82H9FDR", "SE-000283234")</f>
        <v>SE-000283234</v>
      </c>
      <c r="D21424" s="1">
        <v>45933.42465277778</v>
      </c>
      <c r="E21424" s="2">
        <v>1</v>
      </c>
      <c r="F21424" s="2">
        <v>1</v>
      </c>
      <c r="G21424" s="2">
        <v>0</v>
      </c>
      <c r="H21424" s="1" t="s">
        <v>0</v>
      </c>
      <c r="I21424" s="2">
        <v>0</v>
      </c>
      <c r="J21424" s="1">
        <v>45933.415069444447</v>
      </c>
    </row>
    <row r="21425" spans="1:10" x14ac:dyDescent="0.2">
      <c r="A21425" s="4" t="s">
        <v>1</v>
      </c>
      <c r="B214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25" s="3" t="str">
        <f>HYPERLINK("https://otsuka-europe-crm.veevavault.com/ui/#object/sent_email__v/VBLZ025E82H9FDS", "SE-000283235")</f>
        <v>SE-000283235</v>
      </c>
      <c r="D21425" s="1" t="s">
        <v>0</v>
      </c>
      <c r="E21425" s="2">
        <v>0</v>
      </c>
      <c r="F21425" s="2">
        <v>0</v>
      </c>
      <c r="G21425" s="2">
        <v>0</v>
      </c>
      <c r="H21425" s="1" t="s">
        <v>0</v>
      </c>
      <c r="I21425" s="2">
        <v>0</v>
      </c>
      <c r="J21425" s="1">
        <v>45933.415069444447</v>
      </c>
    </row>
    <row r="21426" spans="1:10" x14ac:dyDescent="0.2">
      <c r="A21426" s="4" t="s">
        <v>1</v>
      </c>
      <c r="B214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26" s="3" t="str">
        <f>HYPERLINK("https://otsuka-europe-crm.veevavault.com/ui/#object/sent_email__v/VBLZ025E82H9FDT", "SE-000283236")</f>
        <v>SE-000283236</v>
      </c>
      <c r="D21426" s="1" t="s">
        <v>0</v>
      </c>
      <c r="E21426" s="2">
        <v>0</v>
      </c>
      <c r="F21426" s="2">
        <v>0</v>
      </c>
      <c r="G21426" s="2">
        <v>0</v>
      </c>
      <c r="H21426" s="1" t="s">
        <v>0</v>
      </c>
      <c r="I21426" s="2">
        <v>0</v>
      </c>
      <c r="J21426" s="1">
        <v>45933.415081018517</v>
      </c>
    </row>
    <row r="21427" spans="1:10" x14ac:dyDescent="0.2">
      <c r="A21427" s="4" t="s">
        <v>1</v>
      </c>
      <c r="B214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27" s="3" t="str">
        <f>HYPERLINK("https://otsuka-europe-crm.veevavault.com/ui/#object/sent_email__v/VBLZ025E82H9FDU", "SE-000283237")</f>
        <v>SE-000283237</v>
      </c>
      <c r="D21427" s="1">
        <v>45933.485081018516</v>
      </c>
      <c r="E21427" s="2">
        <v>1</v>
      </c>
      <c r="F21427" s="2">
        <v>2</v>
      </c>
      <c r="G21427" s="2">
        <v>0</v>
      </c>
      <c r="H21427" s="1" t="s">
        <v>0</v>
      </c>
      <c r="I21427" s="2">
        <v>0</v>
      </c>
      <c r="J21427" s="1">
        <v>45933.415092592593</v>
      </c>
    </row>
    <row r="21428" spans="1:10" x14ac:dyDescent="0.2">
      <c r="A21428" s="4" t="s">
        <v>1</v>
      </c>
      <c r="B214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28" s="3" t="str">
        <f>HYPERLINK("https://otsuka-europe-crm.veevavault.com/ui/#object/sent_email__v/VBLZ025E82H9FDV", "SE-000283238")</f>
        <v>SE-000283238</v>
      </c>
      <c r="D21428" s="1" t="s">
        <v>0</v>
      </c>
      <c r="E21428" s="2">
        <v>0</v>
      </c>
      <c r="F21428" s="2">
        <v>0</v>
      </c>
      <c r="G21428" s="2">
        <v>0</v>
      </c>
      <c r="H21428" s="1" t="s">
        <v>0</v>
      </c>
      <c r="I21428" s="2">
        <v>0</v>
      </c>
      <c r="J21428" s="1">
        <v>45933.41511574074</v>
      </c>
    </row>
    <row r="21429" spans="1:10" x14ac:dyDescent="0.2">
      <c r="A21429" s="4" t="s">
        <v>1</v>
      </c>
      <c r="B214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29" s="3" t="str">
        <f>HYPERLINK("https://otsuka-europe-crm.veevavault.com/ui/#object/sent_email__v/VBLZ025E82H9FDW", "SE-000283239")</f>
        <v>SE-000283239</v>
      </c>
      <c r="D21429" s="1" t="s">
        <v>0</v>
      </c>
      <c r="E21429" s="2">
        <v>0</v>
      </c>
      <c r="F21429" s="2">
        <v>0</v>
      </c>
      <c r="G21429" s="2">
        <v>0</v>
      </c>
      <c r="H21429" s="1" t="s">
        <v>0</v>
      </c>
      <c r="I21429" s="2">
        <v>0</v>
      </c>
      <c r="J21429" s="1">
        <v>45933.41511574074</v>
      </c>
    </row>
    <row r="21430" spans="1:10" x14ac:dyDescent="0.2">
      <c r="A21430" s="4" t="s">
        <v>1</v>
      </c>
      <c r="B214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30" s="3" t="str">
        <f>HYPERLINK("https://otsuka-europe-crm.veevavault.com/ui/#object/sent_email__v/VBLZ025E82H9FDX", "SE-000283240")</f>
        <v>SE-000283240</v>
      </c>
      <c r="D21430" s="1" t="s">
        <v>0</v>
      </c>
      <c r="E21430" s="2">
        <v>0</v>
      </c>
      <c r="F21430" s="2">
        <v>0</v>
      </c>
      <c r="G21430" s="2">
        <v>0</v>
      </c>
      <c r="H21430" s="1" t="s">
        <v>0</v>
      </c>
      <c r="I21430" s="2">
        <v>0</v>
      </c>
      <c r="J21430" s="1">
        <v>45933.41511574074</v>
      </c>
    </row>
    <row r="21431" spans="1:10" x14ac:dyDescent="0.2">
      <c r="A21431" s="4" t="s">
        <v>1</v>
      </c>
      <c r="B214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31" s="3" t="str">
        <f>HYPERLINK("https://otsuka-europe-crm.veevavault.com/ui/#object/sent_email__v/VBLZ025E82H9FDY", "SE-000283241")</f>
        <v>SE-000283241</v>
      </c>
      <c r="D21431" s="1">
        <v>45933.788611111115</v>
      </c>
      <c r="E21431" s="2">
        <v>1</v>
      </c>
      <c r="F21431" s="2">
        <v>4</v>
      </c>
      <c r="G21431" s="2">
        <v>0</v>
      </c>
      <c r="H21431" s="1" t="s">
        <v>0</v>
      </c>
      <c r="I21431" s="2">
        <v>0</v>
      </c>
      <c r="J21431" s="1">
        <v>45933.415127314816</v>
      </c>
    </row>
    <row r="21432" spans="1:10" x14ac:dyDescent="0.2">
      <c r="A21432" s="4" t="s">
        <v>1</v>
      </c>
      <c r="B214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32" s="3" t="str">
        <f>HYPERLINK("https://otsuka-europe-crm.veevavault.com/ui/#object/sent_email__v/VBLZ025E82H9FDZ", "SE-000283242")</f>
        <v>SE-000283242</v>
      </c>
      <c r="D21432" s="1" t="s">
        <v>0</v>
      </c>
      <c r="E21432" s="2">
        <v>0</v>
      </c>
      <c r="F21432" s="2">
        <v>0</v>
      </c>
      <c r="G21432" s="2">
        <v>0</v>
      </c>
      <c r="H21432" s="1" t="s">
        <v>0</v>
      </c>
      <c r="I21432" s="2">
        <v>0</v>
      </c>
      <c r="J21432" s="1">
        <v>45933.415138888886</v>
      </c>
    </row>
    <row r="21433" spans="1:10" x14ac:dyDescent="0.2">
      <c r="A21433" s="4" t="s">
        <v>1</v>
      </c>
      <c r="B214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33" s="3" t="str">
        <f>HYPERLINK("https://otsuka-europe-crm.veevavault.com/ui/#object/sent_email__v/VBLZ025E82H9FE0", "SE-000283243")</f>
        <v>SE-000283243</v>
      </c>
      <c r="D21433" s="1">
        <v>45933.517592592594</v>
      </c>
      <c r="E21433" s="2">
        <v>1</v>
      </c>
      <c r="F21433" s="2">
        <v>2</v>
      </c>
      <c r="G21433" s="2">
        <v>0</v>
      </c>
      <c r="H21433" s="1" t="s">
        <v>0</v>
      </c>
      <c r="I21433" s="2">
        <v>0</v>
      </c>
      <c r="J21433" s="1">
        <v>45933.415150462963</v>
      </c>
    </row>
    <row r="21434" spans="1:10" x14ac:dyDescent="0.2">
      <c r="A21434" s="4" t="s">
        <v>1</v>
      </c>
      <c r="B214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34" s="3" t="str">
        <f>HYPERLINK("https://otsuka-europe-crm.veevavault.com/ui/#object/sent_email__v/VBLZ025E82HB2MT", "SE-000283414")</f>
        <v>SE-000283414</v>
      </c>
      <c r="D21434" s="1">
        <v>45938.455011574071</v>
      </c>
      <c r="E21434" s="2">
        <v>1</v>
      </c>
      <c r="F21434" s="2">
        <v>2</v>
      </c>
      <c r="G21434" s="2">
        <v>0</v>
      </c>
      <c r="H21434" s="1" t="s">
        <v>0</v>
      </c>
      <c r="I21434" s="2">
        <v>0</v>
      </c>
      <c r="J21434" s="1">
        <v>45936.397233796299</v>
      </c>
    </row>
    <row r="21435" spans="1:10" x14ac:dyDescent="0.2">
      <c r="A21435" s="4" t="s">
        <v>1</v>
      </c>
      <c r="B214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35" s="3" t="str">
        <f>HYPERLINK("https://otsuka-europe-crm.veevavault.com/ui/#object/sent_email__v/VBLZ025E82HCNI1", "SE-000283781")</f>
        <v>SE-000283781</v>
      </c>
      <c r="D21435" s="1" t="s">
        <v>0</v>
      </c>
      <c r="E21435" s="2">
        <v>0</v>
      </c>
      <c r="F21435" s="2">
        <v>0</v>
      </c>
      <c r="G21435" s="2">
        <v>0</v>
      </c>
      <c r="H21435" s="1" t="s">
        <v>0</v>
      </c>
      <c r="I21435" s="2">
        <v>0</v>
      </c>
      <c r="J21435" s="1">
        <v>45937.346909722219</v>
      </c>
    </row>
    <row r="21436" spans="1:10" x14ac:dyDescent="0.2">
      <c r="A21436" s="4" t="s">
        <v>1</v>
      </c>
      <c r="B214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36" s="3" t="str">
        <f>HYPERLINK("https://otsuka-europe-crm.veevavault.com/ui/#object/sent_email__v/VBLZ025E82HCNI2", "SE-000283782")</f>
        <v>SE-000283782</v>
      </c>
      <c r="D21436" s="1" t="s">
        <v>0</v>
      </c>
      <c r="E21436" s="2">
        <v>0</v>
      </c>
      <c r="F21436" s="2">
        <v>0</v>
      </c>
      <c r="G21436" s="2">
        <v>0</v>
      </c>
      <c r="H21436" s="1" t="s">
        <v>0</v>
      </c>
      <c r="I21436" s="2">
        <v>0</v>
      </c>
      <c r="J21436" s="1">
        <v>45937.346909722219</v>
      </c>
    </row>
    <row r="21437" spans="1:10" x14ac:dyDescent="0.2">
      <c r="A21437" s="4" t="s">
        <v>1</v>
      </c>
      <c r="B214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37" s="3" t="str">
        <f>HYPERLINK("https://otsuka-europe-crm.veevavault.com/ui/#object/sent_email__v/VBLZ025E82HCNI3", "SE-000283783")</f>
        <v>SE-000283783</v>
      </c>
      <c r="D21437" s="1">
        <v>45945.947534722225</v>
      </c>
      <c r="E21437" s="2">
        <v>1</v>
      </c>
      <c r="F21437" s="2">
        <v>2</v>
      </c>
      <c r="G21437" s="2">
        <v>0</v>
      </c>
      <c r="H21437" s="1" t="s">
        <v>0</v>
      </c>
      <c r="I21437" s="2">
        <v>0</v>
      </c>
      <c r="J21437" s="1">
        <v>45937.346921296295</v>
      </c>
    </row>
    <row r="21438" spans="1:10" x14ac:dyDescent="0.2">
      <c r="A21438" s="4" t="s">
        <v>1</v>
      </c>
      <c r="B214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38" s="3" t="str">
        <f>HYPERLINK("https://otsuka-europe-crm.veevavault.com/ui/#object/sent_email__v/VBLZ025E82HCNI4", "SE-000283784")</f>
        <v>SE-000283784</v>
      </c>
      <c r="D21438" s="1">
        <v>45937.350706018522</v>
      </c>
      <c r="E21438" s="2">
        <v>1</v>
      </c>
      <c r="F21438" s="2">
        <v>2</v>
      </c>
      <c r="G21438" s="2">
        <v>0</v>
      </c>
      <c r="H21438" s="1" t="s">
        <v>0</v>
      </c>
      <c r="I21438" s="2">
        <v>0</v>
      </c>
      <c r="J21438" s="1">
        <v>45937.346932870372</v>
      </c>
    </row>
    <row r="21439" spans="1:10" x14ac:dyDescent="0.2">
      <c r="A21439" s="4" t="s">
        <v>1</v>
      </c>
      <c r="B214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39" s="3" t="str">
        <f>HYPERLINK("https://otsuka-europe-crm.veevavault.com/ui/#object/sent_email__v/VBLZ025E82HCNI5", "SE-000283785")</f>
        <v>SE-000283785</v>
      </c>
      <c r="D21439" s="1">
        <v>45937.533356481479</v>
      </c>
      <c r="E21439" s="2">
        <v>1</v>
      </c>
      <c r="F21439" s="2">
        <v>1</v>
      </c>
      <c r="G21439" s="2">
        <v>0</v>
      </c>
      <c r="H21439" s="1" t="s">
        <v>0</v>
      </c>
      <c r="I21439" s="2">
        <v>0</v>
      </c>
      <c r="J21439" s="1">
        <v>45937.346932870372</v>
      </c>
    </row>
    <row r="21440" spans="1:10" x14ac:dyDescent="0.2">
      <c r="A21440" s="4" t="s">
        <v>1</v>
      </c>
      <c r="B214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40" s="3" t="str">
        <f>HYPERLINK("https://otsuka-europe-crm.veevavault.com/ui/#object/sent_email__v/VBLZ025E82HCNI6", "SE-000283786")</f>
        <v>SE-000283786</v>
      </c>
      <c r="D21440" s="1" t="s">
        <v>0</v>
      </c>
      <c r="E21440" s="2">
        <v>0</v>
      </c>
      <c r="F21440" s="2">
        <v>0</v>
      </c>
      <c r="G21440" s="2">
        <v>0</v>
      </c>
      <c r="H21440" s="1" t="s">
        <v>0</v>
      </c>
      <c r="I21440" s="2">
        <v>0</v>
      </c>
      <c r="J21440" s="1">
        <v>45937.346944444442</v>
      </c>
    </row>
    <row r="21441" spans="1:10" x14ac:dyDescent="0.2">
      <c r="A21441" s="4" t="s">
        <v>1</v>
      </c>
      <c r="B214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41" s="3" t="str">
        <f>HYPERLINK("https://otsuka-europe-crm.veevavault.com/ui/#object/sent_email__v/VBLZ025E82HCNI7", "SE-000283787")</f>
        <v>SE-000283787</v>
      </c>
      <c r="D21441" s="1" t="s">
        <v>0</v>
      </c>
      <c r="E21441" s="2">
        <v>0</v>
      </c>
      <c r="F21441" s="2">
        <v>0</v>
      </c>
      <c r="G21441" s="2">
        <v>0</v>
      </c>
      <c r="H21441" s="1" t="s">
        <v>0</v>
      </c>
      <c r="I21441" s="2">
        <v>0</v>
      </c>
      <c r="J21441" s="1">
        <v>45937.346956018519</v>
      </c>
    </row>
    <row r="21442" spans="1:10" x14ac:dyDescent="0.2">
      <c r="A21442" s="4" t="s">
        <v>1</v>
      </c>
      <c r="B214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42" s="3" t="str">
        <f>HYPERLINK("https://otsuka-europe-crm.veevavault.com/ui/#object/sent_email__v/VBLZ025E82HCNI8", "SE-000283788")</f>
        <v>SE-000283788</v>
      </c>
      <c r="D21442" s="1">
        <v>45964.996111111112</v>
      </c>
      <c r="E21442" s="2">
        <v>1</v>
      </c>
      <c r="F21442" s="2">
        <v>2</v>
      </c>
      <c r="G21442" s="2">
        <v>0</v>
      </c>
      <c r="H21442" s="1" t="s">
        <v>0</v>
      </c>
      <c r="I21442" s="2">
        <v>0</v>
      </c>
      <c r="J21442" s="1">
        <v>45937.346967592595</v>
      </c>
    </row>
    <row r="21443" spans="1:10" x14ac:dyDescent="0.2">
      <c r="A21443" s="4" t="s">
        <v>1</v>
      </c>
      <c r="B214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43" s="3" t="str">
        <f>HYPERLINK("https://otsuka-europe-crm.veevavault.com/ui/#object/sent_email__v/VBLZ025E82HCNI9", "SE-000283789")</f>
        <v>SE-000283789</v>
      </c>
      <c r="D21443" s="1" t="s">
        <v>0</v>
      </c>
      <c r="E21443" s="2">
        <v>0</v>
      </c>
      <c r="F21443" s="2">
        <v>0</v>
      </c>
      <c r="G21443" s="2">
        <v>0</v>
      </c>
      <c r="H21443" s="1" t="s">
        <v>0</v>
      </c>
      <c r="I21443" s="2">
        <v>0</v>
      </c>
      <c r="J21443" s="1">
        <v>45937.346967592595</v>
      </c>
    </row>
    <row r="21444" spans="1:10" x14ac:dyDescent="0.2">
      <c r="A21444" s="4" t="s">
        <v>1</v>
      </c>
      <c r="B214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44" s="3" t="str">
        <f>HYPERLINK("https://otsuka-europe-crm.veevavault.com/ui/#object/sent_email__v/VBLZ025E82HCNKT", "SE-000283790")</f>
        <v>SE-000283790</v>
      </c>
      <c r="D21444" s="1" t="s">
        <v>0</v>
      </c>
      <c r="E21444" s="2">
        <v>0</v>
      </c>
      <c r="F21444" s="2">
        <v>0</v>
      </c>
      <c r="G21444" s="2">
        <v>0</v>
      </c>
      <c r="H21444" s="1" t="s">
        <v>0</v>
      </c>
      <c r="I21444" s="2">
        <v>0</v>
      </c>
      <c r="J21444" s="1">
        <v>45937.349641203706</v>
      </c>
    </row>
    <row r="21445" spans="1:10" x14ac:dyDescent="0.2">
      <c r="A21445" s="4" t="s">
        <v>1</v>
      </c>
      <c r="B214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45" s="3" t="str">
        <f>HYPERLINK("https://otsuka-europe-crm.veevavault.com/ui/#object/sent_email__v/VBLZ025E82HCNKU", "SE-000283791")</f>
        <v>SE-000283791</v>
      </c>
      <c r="D21445" s="1" t="s">
        <v>0</v>
      </c>
      <c r="E21445" s="2">
        <v>0</v>
      </c>
      <c r="F21445" s="2">
        <v>0</v>
      </c>
      <c r="G21445" s="2">
        <v>0</v>
      </c>
      <c r="H21445" s="1" t="s">
        <v>0</v>
      </c>
      <c r="I21445" s="2">
        <v>0</v>
      </c>
      <c r="J21445" s="1">
        <v>45937.349629629629</v>
      </c>
    </row>
    <row r="21446" spans="1:10" x14ac:dyDescent="0.2">
      <c r="A21446" s="4" t="s">
        <v>1</v>
      </c>
      <c r="B214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46" s="3" t="str">
        <f>HYPERLINK("https://otsuka-europe-crm.veevavault.com/ui/#object/sent_email__v/VBLZ025E82HCNKV", "SE-000283792")</f>
        <v>SE-000283792</v>
      </c>
      <c r="D21446" s="1" t="s">
        <v>0</v>
      </c>
      <c r="E21446" s="2">
        <v>0</v>
      </c>
      <c r="F21446" s="2">
        <v>0</v>
      </c>
      <c r="G21446" s="2">
        <v>0</v>
      </c>
      <c r="H21446" s="1" t="s">
        <v>0</v>
      </c>
      <c r="I21446" s="2">
        <v>0</v>
      </c>
      <c r="J21446" s="1">
        <v>45937.349641203706</v>
      </c>
    </row>
    <row r="21447" spans="1:10" x14ac:dyDescent="0.2">
      <c r="A21447" s="4" t="s">
        <v>1</v>
      </c>
      <c r="B214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47" s="3" t="str">
        <f>HYPERLINK("https://otsuka-europe-crm.veevavault.com/ui/#object/sent_email__v/VBLZ025E82HCNKW", "SE-000283793")</f>
        <v>SE-000283793</v>
      </c>
      <c r="D21447" s="1" t="s">
        <v>0</v>
      </c>
      <c r="E21447" s="2">
        <v>0</v>
      </c>
      <c r="F21447" s="2">
        <v>0</v>
      </c>
      <c r="G21447" s="2">
        <v>0</v>
      </c>
      <c r="H21447" s="1" t="s">
        <v>0</v>
      </c>
      <c r="I21447" s="2">
        <v>0</v>
      </c>
      <c r="J21447" s="1">
        <v>45937.349641203706</v>
      </c>
    </row>
    <row r="21448" spans="1:10" x14ac:dyDescent="0.2">
      <c r="A21448" s="4" t="s">
        <v>1</v>
      </c>
      <c r="B214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48" s="3" t="str">
        <f>HYPERLINK("https://otsuka-europe-crm.veevavault.com/ui/#object/sent_email__v/VBLZ025E82HCNKX", "SE-000283794")</f>
        <v>SE-000283794</v>
      </c>
      <c r="D21448" s="1">
        <v>45938.618159722224</v>
      </c>
      <c r="E21448" s="2">
        <v>1</v>
      </c>
      <c r="F21448" s="2">
        <v>1</v>
      </c>
      <c r="G21448" s="2">
        <v>0</v>
      </c>
      <c r="H21448" s="1" t="s">
        <v>0</v>
      </c>
      <c r="I21448" s="2">
        <v>0</v>
      </c>
      <c r="J21448" s="1">
        <v>45937.349652777775</v>
      </c>
    </row>
    <row r="21449" spans="1:10" x14ac:dyDescent="0.2">
      <c r="A21449" s="4" t="s">
        <v>1</v>
      </c>
      <c r="B214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49" s="3" t="str">
        <f>HYPERLINK("https://otsuka-europe-crm.veevavault.com/ui/#object/sent_email__v/VBLZ025E82HCNKY", "SE-000283795")</f>
        <v>SE-000283795</v>
      </c>
      <c r="D21449" s="1">
        <v>45939.629525462966</v>
      </c>
      <c r="E21449" s="2">
        <v>1</v>
      </c>
      <c r="F21449" s="2">
        <v>2</v>
      </c>
      <c r="G21449" s="2">
        <v>0</v>
      </c>
      <c r="H21449" s="1" t="s">
        <v>0</v>
      </c>
      <c r="I21449" s="2">
        <v>0</v>
      </c>
      <c r="J21449" s="1">
        <v>45937.349664351852</v>
      </c>
    </row>
    <row r="21450" spans="1:10" x14ac:dyDescent="0.2">
      <c r="A21450" s="4" t="s">
        <v>1</v>
      </c>
      <c r="B214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50" s="3" t="str">
        <f>HYPERLINK("https://otsuka-europe-crm.veevavault.com/ui/#object/sent_email__v/VBLZ025E82HCNKZ", "SE-000283796")</f>
        <v>SE-000283796</v>
      </c>
      <c r="D21450" s="1">
        <v>45937.382002314815</v>
      </c>
      <c r="E21450" s="2">
        <v>1</v>
      </c>
      <c r="F21450" s="2">
        <v>2</v>
      </c>
      <c r="G21450" s="2">
        <v>0</v>
      </c>
      <c r="H21450" s="1" t="s">
        <v>0</v>
      </c>
      <c r="I21450" s="2">
        <v>0</v>
      </c>
      <c r="J21450" s="1">
        <v>45937.349687499998</v>
      </c>
    </row>
    <row r="21451" spans="1:10" x14ac:dyDescent="0.2">
      <c r="A21451" s="4" t="s">
        <v>1</v>
      </c>
      <c r="B214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51" s="3" t="str">
        <f>HYPERLINK("https://otsuka-europe-crm.veevavault.com/ui/#object/sent_email__v/VBLZ025E82HCNL0", "SE-000283797")</f>
        <v>SE-000283797</v>
      </c>
      <c r="D21451" s="1" t="s">
        <v>0</v>
      </c>
      <c r="E21451" s="2">
        <v>0</v>
      </c>
      <c r="F21451" s="2">
        <v>0</v>
      </c>
      <c r="G21451" s="2">
        <v>0</v>
      </c>
      <c r="H21451" s="1" t="s">
        <v>0</v>
      </c>
      <c r="I21451" s="2">
        <v>0</v>
      </c>
      <c r="J21451" s="1">
        <v>45937.349687499998</v>
      </c>
    </row>
    <row r="21452" spans="1:10" x14ac:dyDescent="0.2">
      <c r="A21452" s="4" t="s">
        <v>1</v>
      </c>
      <c r="B214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52" s="3" t="str">
        <f>HYPERLINK("https://otsuka-europe-crm.veevavault.com/ui/#object/sent_email__v/VBLZ025E82HCNL1", "SE-000283798")</f>
        <v>SE-000283798</v>
      </c>
      <c r="D21452" s="1">
        <v>45945.947534722225</v>
      </c>
      <c r="E21452" s="2">
        <v>1</v>
      </c>
      <c r="F21452" s="2">
        <v>2</v>
      </c>
      <c r="G21452" s="2">
        <v>0</v>
      </c>
      <c r="H21452" s="1" t="s">
        <v>0</v>
      </c>
      <c r="I21452" s="2">
        <v>0</v>
      </c>
      <c r="J21452" s="1">
        <v>45937.349699074075</v>
      </c>
    </row>
    <row r="21453" spans="1:10" x14ac:dyDescent="0.2">
      <c r="A21453" s="4" t="s">
        <v>1</v>
      </c>
      <c r="B214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53" s="3" t="str">
        <f>HYPERLINK("https://otsuka-europe-crm.veevavault.com/ui/#object/sent_email__v/VBLZ025E82HCNL2", "SE-000283799")</f>
        <v>SE-000283799</v>
      </c>
      <c r="D21453" s="1">
        <v>45937.467673611114</v>
      </c>
      <c r="E21453" s="2">
        <v>1</v>
      </c>
      <c r="F21453" s="2">
        <v>1</v>
      </c>
      <c r="G21453" s="2">
        <v>0</v>
      </c>
      <c r="H21453" s="1" t="s">
        <v>0</v>
      </c>
      <c r="I21453" s="2">
        <v>0</v>
      </c>
      <c r="J21453" s="1">
        <v>45937.349699074075</v>
      </c>
    </row>
    <row r="21454" spans="1:10" x14ac:dyDescent="0.2">
      <c r="A21454" s="4" t="s">
        <v>1</v>
      </c>
      <c r="B214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54" s="3" t="str">
        <f>HYPERLINK("https://otsuka-europe-crm.veevavault.com/ui/#object/sent_email__v/VBLZ025E82HCNL3", "SE-000283800")</f>
        <v>SE-000283800</v>
      </c>
      <c r="D21454" s="1" t="s">
        <v>0</v>
      </c>
      <c r="E21454" s="2">
        <v>0</v>
      </c>
      <c r="F21454" s="2">
        <v>0</v>
      </c>
      <c r="G21454" s="2">
        <v>0</v>
      </c>
      <c r="H21454" s="1" t="s">
        <v>0</v>
      </c>
      <c r="I21454" s="2">
        <v>0</v>
      </c>
      <c r="J21454" s="1">
        <v>45937.349710648145</v>
      </c>
    </row>
    <row r="21455" spans="1:10" x14ac:dyDescent="0.2">
      <c r="A21455" s="4" t="s">
        <v>1</v>
      </c>
      <c r="B214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55" s="3" t="str">
        <f>HYPERLINK("https://otsuka-europe-crm.veevavault.com/ui/#object/sent_email__v/VBLZ025E82HCNL4", "SE-000283801")</f>
        <v>SE-000283801</v>
      </c>
      <c r="D21455" s="1" t="s">
        <v>0</v>
      </c>
      <c r="E21455" s="2">
        <v>0</v>
      </c>
      <c r="F21455" s="2">
        <v>0</v>
      </c>
      <c r="G21455" s="2">
        <v>0</v>
      </c>
      <c r="H21455" s="1" t="s">
        <v>0</v>
      </c>
      <c r="I21455" s="2">
        <v>0</v>
      </c>
      <c r="J21455" s="1">
        <v>45937.349722222221</v>
      </c>
    </row>
    <row r="21456" spans="1:10" x14ac:dyDescent="0.2">
      <c r="A21456" s="4" t="s">
        <v>1</v>
      </c>
      <c r="B214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56" s="3" t="str">
        <f>HYPERLINK("https://otsuka-europe-crm.veevavault.com/ui/#object/sent_email__v/VBLZ025E82HCNL5", "SE-000283802")</f>
        <v>SE-000283802</v>
      </c>
      <c r="D21456" s="1">
        <v>45939.329560185186</v>
      </c>
      <c r="E21456" s="2">
        <v>1</v>
      </c>
      <c r="F21456" s="2">
        <v>1</v>
      </c>
      <c r="G21456" s="2">
        <v>1</v>
      </c>
      <c r="H21456" s="1">
        <v>45939.329560185186</v>
      </c>
      <c r="I21456" s="2">
        <v>1</v>
      </c>
      <c r="J21456" s="1">
        <v>45937.349745370368</v>
      </c>
    </row>
    <row r="21457" spans="1:10" x14ac:dyDescent="0.2">
      <c r="A21457" s="4" t="s">
        <v>1</v>
      </c>
      <c r="B214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57" s="3" t="str">
        <f>HYPERLINK("https://otsuka-europe-crm.veevavault.com/ui/#object/sent_email__v/VBLZ025E82HCNL6", "SE-000283803")</f>
        <v>SE-000283803</v>
      </c>
      <c r="D21457" s="1">
        <v>45937.392743055556</v>
      </c>
      <c r="E21457" s="2">
        <v>1</v>
      </c>
      <c r="F21457" s="2">
        <v>1</v>
      </c>
      <c r="G21457" s="2">
        <v>0</v>
      </c>
      <c r="H21457" s="1" t="s">
        <v>0</v>
      </c>
      <c r="I21457" s="2">
        <v>0</v>
      </c>
      <c r="J21457" s="1">
        <v>45937.349745370368</v>
      </c>
    </row>
    <row r="21458" spans="1:10" x14ac:dyDescent="0.2">
      <c r="A21458" s="4" t="s">
        <v>1</v>
      </c>
      <c r="B214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58" s="3" t="str">
        <f>HYPERLINK("https://otsuka-europe-crm.veevavault.com/ui/#object/sent_email__v/VBLZ025E82HCXJ5", "SE-000284184")</f>
        <v>SE-000284184</v>
      </c>
      <c r="D21458" s="1">
        <v>45937.573414351849</v>
      </c>
      <c r="E21458" s="2">
        <v>1</v>
      </c>
      <c r="F21458" s="2">
        <v>1</v>
      </c>
      <c r="G21458" s="2">
        <v>1</v>
      </c>
      <c r="H21458" s="1">
        <v>45937.64912037037</v>
      </c>
      <c r="I21458" s="2">
        <v>1</v>
      </c>
      <c r="J21458" s="1">
        <v>45937.440810185188</v>
      </c>
    </row>
    <row r="21459" spans="1:10" x14ac:dyDescent="0.2">
      <c r="A21459" s="4" t="s">
        <v>1</v>
      </c>
      <c r="B214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59" s="3" t="str">
        <f>HYPERLINK("https://otsuka-europe-crm.veevavault.com/ui/#object/sent_email__v/VBLZ025E82HE3FH", "SE-000284652")</f>
        <v>SE-000284652</v>
      </c>
      <c r="D21459" s="1">
        <v>45938.0153587963</v>
      </c>
      <c r="E21459" s="2">
        <v>1</v>
      </c>
      <c r="F21459" s="2">
        <v>3</v>
      </c>
      <c r="G21459" s="2">
        <v>0</v>
      </c>
      <c r="H21459" s="1" t="s">
        <v>0</v>
      </c>
      <c r="I21459" s="2">
        <v>0</v>
      </c>
      <c r="J21459" s="1">
        <v>45937.728495370371</v>
      </c>
    </row>
    <row r="21460" spans="1:10" x14ac:dyDescent="0.2">
      <c r="A21460" s="4" t="s">
        <v>1</v>
      </c>
      <c r="B214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60" s="3" t="str">
        <f>HYPERLINK("https://otsuka-europe-crm.veevavault.com/ui/#object/sent_email__v/VBLZ025E82HE3FI", "SE-000284653")</f>
        <v>SE-000284653</v>
      </c>
      <c r="D21460" s="1" t="s">
        <v>0</v>
      </c>
      <c r="E21460" s="2">
        <v>0</v>
      </c>
      <c r="F21460" s="2">
        <v>0</v>
      </c>
      <c r="G21460" s="2">
        <v>0</v>
      </c>
      <c r="H21460" s="1" t="s">
        <v>0</v>
      </c>
      <c r="I21460" s="2">
        <v>0</v>
      </c>
      <c r="J21460" s="1">
        <v>45937.728483796294</v>
      </c>
    </row>
    <row r="21461" spans="1:10" x14ac:dyDescent="0.2">
      <c r="A21461" s="4" t="s">
        <v>1</v>
      </c>
      <c r="B214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61" s="3" t="str">
        <f>HYPERLINK("https://otsuka-europe-crm.veevavault.com/ui/#object/sent_email__v/VBLZ025E82HE3FJ", "SE-000284654")</f>
        <v>SE-000284654</v>
      </c>
      <c r="D21461" s="1" t="s">
        <v>0</v>
      </c>
      <c r="E21461" s="2">
        <v>0</v>
      </c>
      <c r="F21461" s="2">
        <v>0</v>
      </c>
      <c r="G21461" s="2">
        <v>0</v>
      </c>
      <c r="H21461" s="1" t="s">
        <v>0</v>
      </c>
      <c r="I21461" s="2">
        <v>0</v>
      </c>
      <c r="J21461" s="1">
        <v>45937.728506944448</v>
      </c>
    </row>
    <row r="21462" spans="1:10" x14ac:dyDescent="0.2">
      <c r="A21462" s="4" t="s">
        <v>1</v>
      </c>
      <c r="B214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62" s="3" t="str">
        <f>HYPERLINK("https://otsuka-europe-crm.veevavault.com/ui/#object/sent_email__v/VBLZ025E82HE3FK", "SE-000284655")</f>
        <v>SE-000284655</v>
      </c>
      <c r="D21462" s="1" t="s">
        <v>0</v>
      </c>
      <c r="E21462" s="2">
        <v>0</v>
      </c>
      <c r="F21462" s="2">
        <v>0</v>
      </c>
      <c r="G21462" s="2">
        <v>0</v>
      </c>
      <c r="H21462" s="1" t="s">
        <v>0</v>
      </c>
      <c r="I21462" s="2">
        <v>0</v>
      </c>
      <c r="J21462" s="1">
        <v>45937.728518518517</v>
      </c>
    </row>
    <row r="21463" spans="1:10" x14ac:dyDescent="0.2">
      <c r="A21463" s="4" t="s">
        <v>1</v>
      </c>
      <c r="B214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63" s="3" t="str">
        <f>HYPERLINK("https://otsuka-europe-crm.veevavault.com/ui/#object/sent_email__v/VBLZ025E82HE3FL", "SE-000284656")</f>
        <v>SE-000284656</v>
      </c>
      <c r="D21463" s="1">
        <v>45937.74145833333</v>
      </c>
      <c r="E21463" s="2">
        <v>1</v>
      </c>
      <c r="F21463" s="2">
        <v>1</v>
      </c>
      <c r="G21463" s="2">
        <v>1</v>
      </c>
      <c r="H21463" s="1">
        <v>45937.752303240741</v>
      </c>
      <c r="I21463" s="2">
        <v>3</v>
      </c>
      <c r="J21463" s="1">
        <v>45937.728495370371</v>
      </c>
    </row>
    <row r="21464" spans="1:10" x14ac:dyDescent="0.2">
      <c r="A21464" s="4" t="s">
        <v>1</v>
      </c>
      <c r="B214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64" s="3" t="str">
        <f>HYPERLINK("https://otsuka-europe-crm.veevavault.com/ui/#object/sent_email__v/VBLZ025E82HE3FM", "SE-000284657")</f>
        <v>SE-000284657</v>
      </c>
      <c r="D21464" s="1" t="s">
        <v>0</v>
      </c>
      <c r="E21464" s="2">
        <v>0</v>
      </c>
      <c r="F21464" s="2">
        <v>0</v>
      </c>
      <c r="G21464" s="2">
        <v>0</v>
      </c>
      <c r="H21464" s="1" t="s">
        <v>0</v>
      </c>
      <c r="I21464" s="2">
        <v>0</v>
      </c>
      <c r="J21464" s="1">
        <v>45937.728495370371</v>
      </c>
    </row>
    <row r="21465" spans="1:10" x14ac:dyDescent="0.2">
      <c r="A21465" s="4" t="s">
        <v>1</v>
      </c>
      <c r="B214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65" s="3" t="str">
        <f>HYPERLINK("https://otsuka-europe-crm.veevavault.com/ui/#object/sent_email__v/VBLZ025E82HE3I9", "SE-000284658")</f>
        <v>SE-000284658</v>
      </c>
      <c r="D21465" s="1">
        <v>45958.738067129627</v>
      </c>
      <c r="E21465" s="2">
        <v>1</v>
      </c>
      <c r="F21465" s="2">
        <v>5</v>
      </c>
      <c r="G21465" s="2">
        <v>1</v>
      </c>
      <c r="H21465" s="1">
        <v>45957.337233796294</v>
      </c>
      <c r="I21465" s="2">
        <v>2</v>
      </c>
      <c r="J21465" s="1">
        <v>45937.730370370373</v>
      </c>
    </row>
    <row r="21466" spans="1:10" x14ac:dyDescent="0.2">
      <c r="A21466" s="4" t="s">
        <v>1</v>
      </c>
      <c r="B214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66" s="3" t="str">
        <f>HYPERLINK("https://otsuka-europe-crm.veevavault.com/ui/#object/sent_email__v/VBLZ025E82HE3IA", "SE-000284659")</f>
        <v>SE-000284659</v>
      </c>
      <c r="D21466" s="1" t="s">
        <v>0</v>
      </c>
      <c r="E21466" s="2">
        <v>0</v>
      </c>
      <c r="F21466" s="2">
        <v>0</v>
      </c>
      <c r="G21466" s="2">
        <v>0</v>
      </c>
      <c r="H21466" s="1" t="s">
        <v>0</v>
      </c>
      <c r="I21466" s="2">
        <v>0</v>
      </c>
      <c r="J21466" s="1">
        <v>45937.730381944442</v>
      </c>
    </row>
    <row r="21467" spans="1:10" x14ac:dyDescent="0.2">
      <c r="A21467" s="4" t="s">
        <v>1</v>
      </c>
      <c r="B214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67" s="3" t="str">
        <f>HYPERLINK("https://otsuka-europe-crm.veevavault.com/ui/#object/sent_email__v/VBLZ025E82HE3IB", "SE-000284660")</f>
        <v>SE-000284660</v>
      </c>
      <c r="D21467" s="1" t="s">
        <v>0</v>
      </c>
      <c r="E21467" s="2">
        <v>0</v>
      </c>
      <c r="F21467" s="2">
        <v>0</v>
      </c>
      <c r="G21467" s="2">
        <v>0</v>
      </c>
      <c r="H21467" s="1" t="s">
        <v>0</v>
      </c>
      <c r="I21467" s="2">
        <v>0</v>
      </c>
      <c r="J21467" s="1">
        <v>45937.730370370373</v>
      </c>
    </row>
    <row r="21468" spans="1:10" x14ac:dyDescent="0.2">
      <c r="A21468" s="4" t="s">
        <v>1</v>
      </c>
      <c r="B214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68" s="3" t="str">
        <f>HYPERLINK("https://otsuka-europe-crm.veevavault.com/ui/#object/sent_email__v/VBLZ025E82HE3IC", "SE-000284661")</f>
        <v>SE-000284661</v>
      </c>
      <c r="D21468" s="1">
        <v>45937.875081018516</v>
      </c>
      <c r="E21468" s="2">
        <v>1</v>
      </c>
      <c r="F21468" s="2">
        <v>2</v>
      </c>
      <c r="G21468" s="2">
        <v>0</v>
      </c>
      <c r="H21468" s="1" t="s">
        <v>0</v>
      </c>
      <c r="I21468" s="2">
        <v>0</v>
      </c>
      <c r="J21468" s="1">
        <v>45937.730370370373</v>
      </c>
    </row>
    <row r="21469" spans="1:10" x14ac:dyDescent="0.2">
      <c r="A21469" s="4" t="s">
        <v>1</v>
      </c>
      <c r="B214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69" s="3" t="str">
        <f>HYPERLINK("https://otsuka-europe-crm.veevavault.com/ui/#object/sent_email__v/VBLZ025E82HE8ZH", "SE-000284664")</f>
        <v>SE-000284664</v>
      </c>
      <c r="D21469" s="1">
        <v>45939.433703703704</v>
      </c>
      <c r="E21469" s="2">
        <v>1</v>
      </c>
      <c r="F21469" s="2">
        <v>1</v>
      </c>
      <c r="G21469" s="2">
        <v>1</v>
      </c>
      <c r="H21469" s="1">
        <v>45939.435763888891</v>
      </c>
      <c r="I21469" s="2">
        <v>4</v>
      </c>
      <c r="J21469" s="1">
        <v>45938.313240740739</v>
      </c>
    </row>
    <row r="21470" spans="1:10" x14ac:dyDescent="0.2">
      <c r="A21470" s="4" t="s">
        <v>1</v>
      </c>
      <c r="B214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70" s="3" t="str">
        <f>HYPERLINK("https://otsuka-europe-crm.veevavault.com/ui/#object/sent_email__v/VBLZ025E82HFW8T", "SE-000285105")</f>
        <v>SE-000285105</v>
      </c>
      <c r="D21470" s="1" t="s">
        <v>0</v>
      </c>
      <c r="E21470" s="2">
        <v>0</v>
      </c>
      <c r="F21470" s="2">
        <v>0</v>
      </c>
      <c r="G21470" s="2">
        <v>0</v>
      </c>
      <c r="H21470" s="1" t="s">
        <v>0</v>
      </c>
      <c r="I21470" s="2">
        <v>0</v>
      </c>
      <c r="J21470" s="1">
        <v>45939.440092592595</v>
      </c>
    </row>
    <row r="21471" spans="1:10" x14ac:dyDescent="0.2">
      <c r="A21471" s="4" t="s">
        <v>1</v>
      </c>
      <c r="B214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71" s="3" t="str">
        <f>HYPERLINK("https://otsuka-europe-crm.veevavault.com/ui/#object/sent_email__v/VBLZ025E82HFW8U", "SE-000285106")</f>
        <v>SE-000285106</v>
      </c>
      <c r="D21471" s="1">
        <v>45983.641770833332</v>
      </c>
      <c r="E21471" s="2">
        <v>1</v>
      </c>
      <c r="F21471" s="2">
        <v>2</v>
      </c>
      <c r="G21471" s="2">
        <v>0</v>
      </c>
      <c r="H21471" s="1" t="s">
        <v>0</v>
      </c>
      <c r="I21471" s="2">
        <v>0</v>
      </c>
      <c r="J21471" s="1">
        <v>45939.440069444441</v>
      </c>
    </row>
    <row r="21472" spans="1:10" x14ac:dyDescent="0.2">
      <c r="A21472" s="4" t="s">
        <v>1</v>
      </c>
      <c r="B214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72" s="3" t="str">
        <f>HYPERLINK("https://otsuka-europe-crm.veevavault.com/ui/#object/sent_email__v/VBLZ025E82HFW8V", "SE-000285107")</f>
        <v>SE-000285107</v>
      </c>
      <c r="D21472" s="1" t="s">
        <v>0</v>
      </c>
      <c r="E21472" s="2">
        <v>0</v>
      </c>
      <c r="F21472" s="2">
        <v>0</v>
      </c>
      <c r="G21472" s="2">
        <v>0</v>
      </c>
      <c r="H21472" s="1" t="s">
        <v>0</v>
      </c>
      <c r="I21472" s="2">
        <v>0</v>
      </c>
      <c r="J21472" s="1">
        <v>45939.440081018518</v>
      </c>
    </row>
    <row r="21473" spans="1:10" x14ac:dyDescent="0.2">
      <c r="A21473" s="4" t="s">
        <v>1</v>
      </c>
      <c r="B214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73" s="3" t="str">
        <f>HYPERLINK("https://otsuka-europe-crm.veevavault.com/ui/#object/sent_email__v/VBLZ025E82HFX65", "SE-000285120")</f>
        <v>SE-000285120</v>
      </c>
      <c r="D21473" s="1" t="s">
        <v>0</v>
      </c>
      <c r="E21473" s="2">
        <v>0</v>
      </c>
      <c r="F21473" s="2">
        <v>0</v>
      </c>
      <c r="G21473" s="2">
        <v>0</v>
      </c>
      <c r="H21473" s="1" t="s">
        <v>0</v>
      </c>
      <c r="I21473" s="2">
        <v>0</v>
      </c>
      <c r="J21473" s="1">
        <v>45939.443483796298</v>
      </c>
    </row>
    <row r="21474" spans="1:10" x14ac:dyDescent="0.2">
      <c r="A21474" s="4" t="s">
        <v>1</v>
      </c>
      <c r="B214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74" s="3" t="str">
        <f>HYPERLINK("https://otsuka-europe-crm.veevavault.com/ui/#object/sent_email__v/VBLZ025E82HFX66", "SE-000285121")</f>
        <v>SE-000285121</v>
      </c>
      <c r="D21474" s="1">
        <v>45946.339155092595</v>
      </c>
      <c r="E21474" s="2">
        <v>1</v>
      </c>
      <c r="F21474" s="2">
        <v>2</v>
      </c>
      <c r="G21474" s="2">
        <v>0</v>
      </c>
      <c r="H21474" s="1" t="s">
        <v>0</v>
      </c>
      <c r="I21474" s="2">
        <v>0</v>
      </c>
      <c r="J21474" s="1">
        <v>45939.443495370368</v>
      </c>
    </row>
    <row r="21475" spans="1:10" x14ac:dyDescent="0.2">
      <c r="A21475" s="4" t="s">
        <v>1</v>
      </c>
      <c r="B214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75" s="3" t="str">
        <f>HYPERLINK("https://otsuka-europe-crm.veevavault.com/ui/#object/sent_email__v/VBLZ025E82HFX67", "SE-000285122")</f>
        <v>SE-000285122</v>
      </c>
      <c r="D21475" s="1">
        <v>45945.81449074074</v>
      </c>
      <c r="E21475" s="2">
        <v>1</v>
      </c>
      <c r="F21475" s="2">
        <v>4</v>
      </c>
      <c r="G21475" s="2">
        <v>0</v>
      </c>
      <c r="H21475" s="1" t="s">
        <v>0</v>
      </c>
      <c r="I21475" s="2">
        <v>0</v>
      </c>
      <c r="J21475" s="1">
        <v>45939.443506944444</v>
      </c>
    </row>
    <row r="21476" spans="1:10" x14ac:dyDescent="0.2">
      <c r="A21476" s="4" t="s">
        <v>1</v>
      </c>
      <c r="B214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76" s="3" t="str">
        <f>HYPERLINK("https://otsuka-europe-crm.veevavault.com/ui/#object/sent_email__v/VBLZ025E82HFX68", "SE-000285123")</f>
        <v>SE-000285123</v>
      </c>
      <c r="D21476" s="1">
        <v>45960.538773148146</v>
      </c>
      <c r="E21476" s="2">
        <v>1</v>
      </c>
      <c r="F21476" s="2">
        <v>8</v>
      </c>
      <c r="G21476" s="2">
        <v>1</v>
      </c>
      <c r="H21476" s="1">
        <v>45960.751770833333</v>
      </c>
      <c r="I21476" s="2">
        <v>4</v>
      </c>
      <c r="J21476" s="1">
        <v>45939.443506944444</v>
      </c>
    </row>
    <row r="21477" spans="1:10" x14ac:dyDescent="0.2">
      <c r="A21477" s="4" t="s">
        <v>1</v>
      </c>
      <c r="B214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77" s="3" t="str">
        <f>HYPERLINK("https://otsuka-europe-crm.veevavault.com/ui/#object/sent_email__v/VBLZ025E82HFX69", "SE-000285124")</f>
        <v>SE-000285124</v>
      </c>
      <c r="D21477" s="1">
        <v>45939.87872685185</v>
      </c>
      <c r="E21477" s="2">
        <v>1</v>
      </c>
      <c r="F21477" s="2">
        <v>1</v>
      </c>
      <c r="G21477" s="2">
        <v>0</v>
      </c>
      <c r="H21477" s="1" t="s">
        <v>0</v>
      </c>
      <c r="I21477" s="2">
        <v>0</v>
      </c>
      <c r="J21477" s="1">
        <v>45939.443518518521</v>
      </c>
    </row>
    <row r="21478" spans="1:10" x14ac:dyDescent="0.2">
      <c r="A21478" s="4" t="s">
        <v>1</v>
      </c>
      <c r="B214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78" s="3" t="str">
        <f>HYPERLINK("https://otsuka-europe-crm.veevavault.com/ui/#object/sent_email__v/VBLZ025E82HFX6A", "SE-000285125")</f>
        <v>SE-000285125</v>
      </c>
      <c r="D21478" s="1">
        <v>45939.500219907408</v>
      </c>
      <c r="E21478" s="2">
        <v>1</v>
      </c>
      <c r="F21478" s="2">
        <v>3</v>
      </c>
      <c r="G21478" s="2">
        <v>0</v>
      </c>
      <c r="H21478" s="1" t="s">
        <v>0</v>
      </c>
      <c r="I21478" s="2">
        <v>0</v>
      </c>
      <c r="J21478" s="1">
        <v>45939.443530092591</v>
      </c>
    </row>
    <row r="21479" spans="1:10" x14ac:dyDescent="0.2">
      <c r="A21479" s="4" t="s">
        <v>1</v>
      </c>
      <c r="B214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79" s="3" t="str">
        <f>HYPERLINK("https://otsuka-europe-crm.veevavault.com/ui/#object/sent_email__v/VBLZ025E82HG71P", "SE-000285373")</f>
        <v>SE-000285373</v>
      </c>
      <c r="D21479" s="1" t="s">
        <v>0</v>
      </c>
      <c r="E21479" s="2">
        <v>0</v>
      </c>
      <c r="F21479" s="2">
        <v>0</v>
      </c>
      <c r="G21479" s="2">
        <v>0</v>
      </c>
      <c r="H21479" s="1" t="s">
        <v>0</v>
      </c>
      <c r="I21479" s="2">
        <v>0</v>
      </c>
      <c r="J21479" s="1">
        <v>45939.489398148151</v>
      </c>
    </row>
    <row r="21480" spans="1:10" x14ac:dyDescent="0.2">
      <c r="A21480" s="4" t="s">
        <v>1</v>
      </c>
      <c r="B214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80" s="3" t="str">
        <f>HYPERLINK("https://otsuka-europe-crm.veevavault.com/ui/#object/sent_email__v/VBLZ025E82HG7FL", "SE-000285377")</f>
        <v>SE-000285377</v>
      </c>
      <c r="D21480" s="1" t="s">
        <v>0</v>
      </c>
      <c r="E21480" s="2">
        <v>0</v>
      </c>
      <c r="F21480" s="2">
        <v>0</v>
      </c>
      <c r="G21480" s="2">
        <v>0</v>
      </c>
      <c r="H21480" s="1" t="s">
        <v>0</v>
      </c>
      <c r="I21480" s="2">
        <v>0</v>
      </c>
      <c r="J21480" s="1">
        <v>45939.491712962961</v>
      </c>
    </row>
    <row r="21481" spans="1:10" x14ac:dyDescent="0.2">
      <c r="A21481" s="4" t="s">
        <v>1</v>
      </c>
      <c r="B214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81" s="3" t="str">
        <f>HYPERLINK("https://otsuka-europe-crm.veevavault.com/ui/#object/sent_email__v/VBLZ025E82HH1WT", "SE-000286298")</f>
        <v>SE-000286298</v>
      </c>
      <c r="D21481" s="1" t="s">
        <v>0</v>
      </c>
      <c r="E21481" s="2">
        <v>0</v>
      </c>
      <c r="F21481" s="2">
        <v>0</v>
      </c>
      <c r="G21481" s="2">
        <v>0</v>
      </c>
      <c r="H21481" s="1" t="s">
        <v>0</v>
      </c>
      <c r="I21481" s="2">
        <v>0</v>
      </c>
      <c r="J21481" s="1">
        <v>45940.339641203704</v>
      </c>
    </row>
    <row r="21482" spans="1:10" x14ac:dyDescent="0.2">
      <c r="A21482" s="4" t="s">
        <v>1</v>
      </c>
      <c r="B214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82" s="3" t="str">
        <f>HYPERLINK("https://otsuka-europe-crm.veevavault.com/ui/#object/sent_email__v/VBLZ025E82HH1WU", "SE-000286299")</f>
        <v>SE-000286299</v>
      </c>
      <c r="D21482" s="1" t="s">
        <v>0</v>
      </c>
      <c r="E21482" s="2">
        <v>0</v>
      </c>
      <c r="F21482" s="2">
        <v>0</v>
      </c>
      <c r="G21482" s="2">
        <v>0</v>
      </c>
      <c r="H21482" s="1" t="s">
        <v>0</v>
      </c>
      <c r="I21482" s="2">
        <v>0</v>
      </c>
      <c r="J21482" s="1">
        <v>45940.339641203704</v>
      </c>
    </row>
    <row r="21483" spans="1:10" x14ac:dyDescent="0.2">
      <c r="A21483" s="4" t="s">
        <v>1</v>
      </c>
      <c r="B214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83" s="3" t="str">
        <f>HYPERLINK("https://otsuka-europe-crm.veevavault.com/ui/#object/sent_email__v/VBLZ025E82HH1WV", "SE-000286300")</f>
        <v>SE-000286300</v>
      </c>
      <c r="D21483" s="1">
        <v>45940.465173611112</v>
      </c>
      <c r="E21483" s="2">
        <v>1</v>
      </c>
      <c r="F21483" s="2">
        <v>1</v>
      </c>
      <c r="G21483" s="2">
        <v>0</v>
      </c>
      <c r="H21483" s="1" t="s">
        <v>0</v>
      </c>
      <c r="I21483" s="2">
        <v>0</v>
      </c>
      <c r="J21483" s="1">
        <v>45940.33965277778</v>
      </c>
    </row>
    <row r="21484" spans="1:10" x14ac:dyDescent="0.2">
      <c r="A21484" s="4" t="s">
        <v>1</v>
      </c>
      <c r="B214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84" s="3" t="str">
        <f>HYPERLINK("https://otsuka-europe-crm.veevavault.com/ui/#object/sent_email__v/VBLZ025E82HH8GX", "SE-000286432")</f>
        <v>SE-000286432</v>
      </c>
      <c r="D21484" s="1" t="s">
        <v>0</v>
      </c>
      <c r="E21484" s="2">
        <v>0</v>
      </c>
      <c r="F21484" s="2">
        <v>0</v>
      </c>
      <c r="G21484" s="2">
        <v>0</v>
      </c>
      <c r="H21484" s="1" t="s">
        <v>0</v>
      </c>
      <c r="I21484" s="2">
        <v>0</v>
      </c>
      <c r="J21484" s="1">
        <v>45940.414988425924</v>
      </c>
    </row>
    <row r="21485" spans="1:10" x14ac:dyDescent="0.2">
      <c r="A21485" s="4" t="s">
        <v>1</v>
      </c>
      <c r="B214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85" s="3" t="str">
        <f>HYPERLINK("https://otsuka-europe-crm.veevavault.com/ui/#object/sent_email__v/VBLZ025E82HH8GY", "SE-000286433")</f>
        <v>SE-000286433</v>
      </c>
      <c r="D21485" s="1" t="s">
        <v>0</v>
      </c>
      <c r="E21485" s="2">
        <v>0</v>
      </c>
      <c r="F21485" s="2">
        <v>0</v>
      </c>
      <c r="G21485" s="2">
        <v>0</v>
      </c>
      <c r="H21485" s="1" t="s">
        <v>0</v>
      </c>
      <c r="I21485" s="2">
        <v>0</v>
      </c>
      <c r="J21485" s="1">
        <v>45940.415000000001</v>
      </c>
    </row>
    <row r="21486" spans="1:10" x14ac:dyDescent="0.2">
      <c r="A21486" s="4" t="s">
        <v>1</v>
      </c>
      <c r="B214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86" s="3" t="str">
        <f>HYPERLINK("https://otsuka-europe-crm.veevavault.com/ui/#object/sent_email__v/VBLZ025E82HH8GZ", "SE-000286434")</f>
        <v>SE-000286434</v>
      </c>
      <c r="D21486" s="1" t="s">
        <v>0</v>
      </c>
      <c r="E21486" s="2">
        <v>0</v>
      </c>
      <c r="F21486" s="2">
        <v>0</v>
      </c>
      <c r="G21486" s="2">
        <v>0</v>
      </c>
      <c r="H21486" s="1" t="s">
        <v>0</v>
      </c>
      <c r="I21486" s="2">
        <v>0</v>
      </c>
      <c r="J21486" s="1">
        <v>45940.415000000001</v>
      </c>
    </row>
    <row r="21487" spans="1:10" x14ac:dyDescent="0.2">
      <c r="A21487" s="4" t="s">
        <v>1</v>
      </c>
      <c r="B214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87" s="3" t="str">
        <f>HYPERLINK("https://otsuka-europe-crm.veevavault.com/ui/#object/sent_email__v/VBLZ025E82HH8P9", "SE-000286438")</f>
        <v>SE-000286438</v>
      </c>
      <c r="D21487" s="1">
        <v>45940.673877314817</v>
      </c>
      <c r="E21487" s="2">
        <v>1</v>
      </c>
      <c r="F21487" s="2">
        <v>1</v>
      </c>
      <c r="G21487" s="2">
        <v>0</v>
      </c>
      <c r="H21487" s="1" t="s">
        <v>0</v>
      </c>
      <c r="I21487" s="2">
        <v>0</v>
      </c>
      <c r="J21487" s="1">
        <v>45940.416331018518</v>
      </c>
    </row>
    <row r="21488" spans="1:10" x14ac:dyDescent="0.2">
      <c r="A21488" s="4" t="s">
        <v>1</v>
      </c>
      <c r="B214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88" s="3" t="str">
        <f>HYPERLINK("https://otsuka-europe-crm.veevavault.com/ui/#object/sent_email__v/VBLZ025E82HH8PA", "SE-000286439")</f>
        <v>SE-000286439</v>
      </c>
      <c r="D21488" s="1" t="s">
        <v>0</v>
      </c>
      <c r="E21488" s="2">
        <v>0</v>
      </c>
      <c r="F21488" s="2">
        <v>0</v>
      </c>
      <c r="G21488" s="2">
        <v>0</v>
      </c>
      <c r="H21488" s="1" t="s">
        <v>0</v>
      </c>
      <c r="I21488" s="2">
        <v>0</v>
      </c>
      <c r="J21488" s="1">
        <v>45940.416354166664</v>
      </c>
    </row>
    <row r="21489" spans="1:10" x14ac:dyDescent="0.2">
      <c r="A21489" s="4" t="s">
        <v>1</v>
      </c>
      <c r="B214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89" s="3" t="str">
        <f>HYPERLINK("https://otsuka-europe-crm.veevavault.com/ui/#object/sent_email__v/VBLZ025E82HH8PB", "SE-000286440")</f>
        <v>SE-000286440</v>
      </c>
      <c r="D21489" s="1">
        <v>45959.63590277778</v>
      </c>
      <c r="E21489" s="2">
        <v>1</v>
      </c>
      <c r="F21489" s="2">
        <v>4</v>
      </c>
      <c r="G21489" s="2">
        <v>0</v>
      </c>
      <c r="H21489" s="1" t="s">
        <v>0</v>
      </c>
      <c r="I21489" s="2">
        <v>0</v>
      </c>
      <c r="J21489" s="1">
        <v>45940.416342592594</v>
      </c>
    </row>
    <row r="21490" spans="1:10" x14ac:dyDescent="0.2">
      <c r="A21490" s="4" t="s">
        <v>1</v>
      </c>
      <c r="B214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90" s="3" t="str">
        <f>HYPERLINK("https://otsuka-europe-crm.veevavault.com/ui/#object/sent_email__v/VBLZ025E82HHAED", "SE-000286444")</f>
        <v>SE-000286444</v>
      </c>
      <c r="D21490" s="1">
        <v>45953.531770833331</v>
      </c>
      <c r="E21490" s="2">
        <v>1</v>
      </c>
      <c r="F21490" s="2">
        <v>6</v>
      </c>
      <c r="G21490" s="2">
        <v>0</v>
      </c>
      <c r="H21490" s="1" t="s">
        <v>0</v>
      </c>
      <c r="I21490" s="2">
        <v>0</v>
      </c>
      <c r="J21490" s="1">
        <v>45940.430324074077</v>
      </c>
    </row>
    <row r="21491" spans="1:10" x14ac:dyDescent="0.2">
      <c r="A21491" s="4" t="s">
        <v>1</v>
      </c>
      <c r="B214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91" s="3" t="str">
        <f>HYPERLINK("https://otsuka-europe-crm.veevavault.com/ui/#object/sent_email__v/VBLZ025E82HJTDD", "SE-000286996")</f>
        <v>SE-000286996</v>
      </c>
      <c r="D21491" s="1">
        <v>45944.428657407407</v>
      </c>
      <c r="E21491" s="2">
        <v>1</v>
      </c>
      <c r="F21491" s="2">
        <v>1</v>
      </c>
      <c r="G21491" s="2">
        <v>1</v>
      </c>
      <c r="H21491" s="1">
        <v>45944.428726851853</v>
      </c>
      <c r="I21491" s="2">
        <v>1</v>
      </c>
      <c r="J21491" s="1">
        <v>45944.428587962961</v>
      </c>
    </row>
    <row r="21492" spans="1:10" x14ac:dyDescent="0.2">
      <c r="A21492" s="4" t="s">
        <v>1</v>
      </c>
      <c r="B214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92" s="3" t="str">
        <f>HYPERLINK("https://otsuka-europe-crm.veevavault.com/ui/#object/sent_email__v/VBLZ025E82HJTWT", "SE-000286998")</f>
        <v>SE-000286998</v>
      </c>
      <c r="D21492" s="1">
        <v>45944.436331018522</v>
      </c>
      <c r="E21492" s="2">
        <v>1</v>
      </c>
      <c r="F21492" s="2">
        <v>1</v>
      </c>
      <c r="G21492" s="2">
        <v>0</v>
      </c>
      <c r="H21492" s="1" t="s">
        <v>0</v>
      </c>
      <c r="I21492" s="2">
        <v>0</v>
      </c>
      <c r="J21492" s="1">
        <v>45944.436030092591</v>
      </c>
    </row>
    <row r="21493" spans="1:10" x14ac:dyDescent="0.2">
      <c r="A21493" s="4" t="s">
        <v>1</v>
      </c>
      <c r="B214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93" s="3" t="str">
        <f>HYPERLINK("https://otsuka-europe-crm.veevavault.com/ui/#object/sent_email__v/VBLZ025E82HJULT", "SE-000287000")</f>
        <v>SE-000287000</v>
      </c>
      <c r="D21493" s="1">
        <v>45949.721979166665</v>
      </c>
      <c r="E21493" s="2">
        <v>1</v>
      </c>
      <c r="F21493" s="2">
        <v>2</v>
      </c>
      <c r="G21493" s="2">
        <v>0</v>
      </c>
      <c r="H21493" s="1" t="s">
        <v>0</v>
      </c>
      <c r="I21493" s="2">
        <v>0</v>
      </c>
      <c r="J21493" s="1">
        <v>45944.443055555559</v>
      </c>
    </row>
    <row r="21494" spans="1:10" x14ac:dyDescent="0.2">
      <c r="A21494" s="4" t="s">
        <v>1</v>
      </c>
      <c r="B214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94" s="3" t="str">
        <f>HYPERLINK("https://otsuka-europe-crm.veevavault.com/ui/#object/sent_email__v/VBLZ025E82HJV81", "SE-000287001")</f>
        <v>SE-000287001</v>
      </c>
      <c r="D21494" s="1" t="s">
        <v>0</v>
      </c>
      <c r="E21494" s="2">
        <v>0</v>
      </c>
      <c r="F21494" s="2">
        <v>0</v>
      </c>
      <c r="G21494" s="2">
        <v>0</v>
      </c>
      <c r="H21494" s="1" t="s">
        <v>0</v>
      </c>
      <c r="I21494" s="2">
        <v>0</v>
      </c>
      <c r="J21494" s="1">
        <v>45944.447141203702</v>
      </c>
    </row>
    <row r="21495" spans="1:10" x14ac:dyDescent="0.2">
      <c r="A21495" s="4" t="s">
        <v>1</v>
      </c>
      <c r="B214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95" s="3" t="str">
        <f>HYPERLINK("https://otsuka-europe-crm.veevavault.com/ui/#object/sent_email__v/VBLZ025E82HKSSD", "SE-000287594")</f>
        <v>SE-000287594</v>
      </c>
      <c r="D21495" s="1">
        <v>45945.427395833336</v>
      </c>
      <c r="E21495" s="2">
        <v>1</v>
      </c>
      <c r="F21495" s="2">
        <v>1</v>
      </c>
      <c r="G21495" s="2">
        <v>0</v>
      </c>
      <c r="H21495" s="1" t="s">
        <v>0</v>
      </c>
      <c r="I21495" s="2">
        <v>0</v>
      </c>
      <c r="J21495" s="1">
        <v>45945.379490740743</v>
      </c>
    </row>
    <row r="21496" spans="1:10" x14ac:dyDescent="0.2">
      <c r="A21496" s="4" t="s">
        <v>1</v>
      </c>
      <c r="B214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96" s="3" t="str">
        <f>HYPERLINK("https://otsuka-europe-crm.veevavault.com/ui/#object/sent_email__v/VBLZ025E82HKSSE", "SE-000287595")</f>
        <v>SE-000287595</v>
      </c>
      <c r="D21496" s="1">
        <v>45945.938784722224</v>
      </c>
      <c r="E21496" s="2">
        <v>1</v>
      </c>
      <c r="F21496" s="2">
        <v>1</v>
      </c>
      <c r="G21496" s="2">
        <v>0</v>
      </c>
      <c r="H21496" s="1" t="s">
        <v>0</v>
      </c>
      <c r="I21496" s="2">
        <v>0</v>
      </c>
      <c r="J21496" s="1">
        <v>45945.379502314812</v>
      </c>
    </row>
    <row r="21497" spans="1:10" x14ac:dyDescent="0.2">
      <c r="A21497" s="4" t="s">
        <v>1</v>
      </c>
      <c r="B214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97" s="3" t="str">
        <f>HYPERLINK("https://otsuka-europe-crm.veevavault.com/ui/#object/sent_email__v/VBLZ025E82HKSSF", "SE-000287596")</f>
        <v>SE-000287596</v>
      </c>
      <c r="D21497" s="1" t="s">
        <v>0</v>
      </c>
      <c r="E21497" s="2">
        <v>0</v>
      </c>
      <c r="F21497" s="2">
        <v>0</v>
      </c>
      <c r="G21497" s="2">
        <v>0</v>
      </c>
      <c r="H21497" s="1" t="s">
        <v>0</v>
      </c>
      <c r="I21497" s="2">
        <v>0</v>
      </c>
      <c r="J21497" s="1">
        <v>45945.379502314812</v>
      </c>
    </row>
    <row r="21498" spans="1:10" x14ac:dyDescent="0.2">
      <c r="A21498" s="4" t="s">
        <v>1</v>
      </c>
      <c r="B214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98" s="3" t="str">
        <f>HYPERLINK("https://otsuka-europe-crm.veevavault.com/ui/#object/sent_email__v/VBLZ025E82HKSSG", "SE-000287597")</f>
        <v>SE-000287597</v>
      </c>
      <c r="D21498" s="1" t="s">
        <v>0</v>
      </c>
      <c r="E21498" s="2">
        <v>0</v>
      </c>
      <c r="F21498" s="2">
        <v>0</v>
      </c>
      <c r="G21498" s="2">
        <v>0</v>
      </c>
      <c r="H21498" s="1" t="s">
        <v>0</v>
      </c>
      <c r="I21498" s="2">
        <v>0</v>
      </c>
      <c r="J21498" s="1">
        <v>45945.379490740743</v>
      </c>
    </row>
    <row r="21499" spans="1:10" x14ac:dyDescent="0.2">
      <c r="A21499" s="4" t="s">
        <v>1</v>
      </c>
      <c r="B214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499" s="3" t="str">
        <f>HYPERLINK("https://otsuka-europe-crm.veevavault.com/ui/#object/sent_email__v/VBLZ025E82HKSSH", "SE-000287598")</f>
        <v>SE-000287598</v>
      </c>
      <c r="D21499" s="1" t="s">
        <v>0</v>
      </c>
      <c r="E21499" s="2">
        <v>0</v>
      </c>
      <c r="F21499" s="2">
        <v>0</v>
      </c>
      <c r="G21499" s="2">
        <v>0</v>
      </c>
      <c r="H21499" s="1" t="s">
        <v>0</v>
      </c>
      <c r="I21499" s="2">
        <v>0</v>
      </c>
      <c r="J21499" s="1">
        <v>45945.379502314812</v>
      </c>
    </row>
    <row r="21500" spans="1:10" x14ac:dyDescent="0.2">
      <c r="A21500" s="4" t="s">
        <v>1</v>
      </c>
      <c r="B215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00" s="3" t="str">
        <f>HYPERLINK("https://otsuka-europe-crm.veevavault.com/ui/#object/sent_email__v/VBLZ025E82HKSSI", "SE-000287599")</f>
        <v>SE-000287599</v>
      </c>
      <c r="D21500" s="1">
        <v>45945.464571759258</v>
      </c>
      <c r="E21500" s="2">
        <v>1</v>
      </c>
      <c r="F21500" s="2">
        <v>2</v>
      </c>
      <c r="G21500" s="2">
        <v>1</v>
      </c>
      <c r="H21500" s="1">
        <v>45945.464305555557</v>
      </c>
      <c r="I21500" s="2">
        <v>1</v>
      </c>
      <c r="J21500" s="1">
        <v>45945.379513888889</v>
      </c>
    </row>
    <row r="21501" spans="1:10" x14ac:dyDescent="0.2">
      <c r="A21501" s="4" t="s">
        <v>1</v>
      </c>
      <c r="B215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01" s="3" t="str">
        <f>HYPERLINK("https://otsuka-europe-crm.veevavault.com/ui/#object/sent_email__v/VBLZ025E82HKSSJ", "SE-000287600")</f>
        <v>SE-000287600</v>
      </c>
      <c r="D21501" s="1">
        <v>45951.578599537039</v>
      </c>
      <c r="E21501" s="2">
        <v>1</v>
      </c>
      <c r="F21501" s="2">
        <v>1</v>
      </c>
      <c r="G21501" s="2">
        <v>0</v>
      </c>
      <c r="H21501" s="1" t="s">
        <v>0</v>
      </c>
      <c r="I21501" s="2">
        <v>0</v>
      </c>
      <c r="J21501" s="1">
        <v>45945.379537037035</v>
      </c>
    </row>
    <row r="21502" spans="1:10" x14ac:dyDescent="0.2">
      <c r="A21502" s="4" t="s">
        <v>1</v>
      </c>
      <c r="B215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02" s="3" t="str">
        <f>HYPERLINK("https://otsuka-europe-crm.veevavault.com/ui/#object/sent_email__v/VBLZ025E82HKSSK", "SE-000287601")</f>
        <v>SE-000287601</v>
      </c>
      <c r="D21502" s="1" t="s">
        <v>0</v>
      </c>
      <c r="E21502" s="2">
        <v>0</v>
      </c>
      <c r="F21502" s="2">
        <v>0</v>
      </c>
      <c r="G21502" s="2">
        <v>0</v>
      </c>
      <c r="H21502" s="1" t="s">
        <v>0</v>
      </c>
      <c r="I21502" s="2">
        <v>0</v>
      </c>
      <c r="J21502" s="1">
        <v>45945.379537037035</v>
      </c>
    </row>
    <row r="21503" spans="1:10" x14ac:dyDescent="0.2">
      <c r="A21503" s="4" t="s">
        <v>1</v>
      </c>
      <c r="B215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03" s="3" t="str">
        <f>HYPERLINK("https://otsuka-europe-crm.veevavault.com/ui/#object/sent_email__v/VBLZ025E82HKSSL", "SE-000287602")</f>
        <v>SE-000287602</v>
      </c>
      <c r="D21503" s="1">
        <v>45948.391631944447</v>
      </c>
      <c r="E21503" s="2">
        <v>1</v>
      </c>
      <c r="F21503" s="2">
        <v>2</v>
      </c>
      <c r="G21503" s="2">
        <v>0</v>
      </c>
      <c r="H21503" s="1" t="s">
        <v>0</v>
      </c>
      <c r="I21503" s="2">
        <v>0</v>
      </c>
      <c r="J21503" s="1">
        <v>45945.379560185182</v>
      </c>
    </row>
    <row r="21504" spans="1:10" x14ac:dyDescent="0.2">
      <c r="A21504" s="4" t="s">
        <v>1</v>
      </c>
      <c r="B215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04" s="3" t="str">
        <f>HYPERLINK("https://otsuka-europe-crm.veevavault.com/ui/#object/sent_email__v/VBLZ025E82HKSSM", "SE-000287603")</f>
        <v>SE-000287603</v>
      </c>
      <c r="D21504" s="1">
        <v>45945.391030092593</v>
      </c>
      <c r="E21504" s="2">
        <v>1</v>
      </c>
      <c r="F21504" s="2">
        <v>1</v>
      </c>
      <c r="G21504" s="2">
        <v>0</v>
      </c>
      <c r="H21504" s="1" t="s">
        <v>0</v>
      </c>
      <c r="I21504" s="2">
        <v>0</v>
      </c>
      <c r="J21504" s="1">
        <v>45945.379560185182</v>
      </c>
    </row>
    <row r="21505" spans="1:10" x14ac:dyDescent="0.2">
      <c r="A21505" s="4" t="s">
        <v>1</v>
      </c>
      <c r="B215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05" s="3" t="str">
        <f>HYPERLINK("https://otsuka-europe-crm.veevavault.com/ui/#object/sent_email__v/VBLZ025E82HKSSN", "SE-000287604")</f>
        <v>SE-000287604</v>
      </c>
      <c r="D21505" s="1">
        <v>45945.380648148152</v>
      </c>
      <c r="E21505" s="2">
        <v>1</v>
      </c>
      <c r="F21505" s="2">
        <v>1</v>
      </c>
      <c r="G21505" s="2">
        <v>0</v>
      </c>
      <c r="H21505" s="1" t="s">
        <v>0</v>
      </c>
      <c r="I21505" s="2">
        <v>0</v>
      </c>
      <c r="J21505" s="1">
        <v>45945.379560185182</v>
      </c>
    </row>
    <row r="21506" spans="1:10" x14ac:dyDescent="0.2">
      <c r="A21506" s="4" t="s">
        <v>1</v>
      </c>
      <c r="B215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06" s="3" t="str">
        <f>HYPERLINK("https://otsuka-europe-crm.veevavault.com/ui/#object/sent_email__v/VBLZ025E82HKSSO", "SE-000287605")</f>
        <v>SE-000287605</v>
      </c>
      <c r="D21506" s="1">
        <v>45997.66133101852</v>
      </c>
      <c r="E21506" s="2">
        <v>1</v>
      </c>
      <c r="F21506" s="2">
        <v>2</v>
      </c>
      <c r="G21506" s="2">
        <v>0</v>
      </c>
      <c r="H21506" s="1" t="s">
        <v>0</v>
      </c>
      <c r="I21506" s="2">
        <v>0</v>
      </c>
      <c r="J21506" s="1">
        <v>45945.379583333335</v>
      </c>
    </row>
    <row r="21507" spans="1:10" x14ac:dyDescent="0.2">
      <c r="A21507" s="4" t="s">
        <v>1</v>
      </c>
      <c r="B215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07" s="3" t="str">
        <f>HYPERLINK("https://otsuka-europe-crm.veevavault.com/ui/#object/sent_email__v/VBLZ025E82HKSSP", "SE-000287606")</f>
        <v>SE-000287606</v>
      </c>
      <c r="D21507" s="1">
        <v>45957.773020833331</v>
      </c>
      <c r="E21507" s="2">
        <v>1</v>
      </c>
      <c r="F21507" s="2">
        <v>2</v>
      </c>
      <c r="G21507" s="2">
        <v>0</v>
      </c>
      <c r="H21507" s="1" t="s">
        <v>0</v>
      </c>
      <c r="I21507" s="2">
        <v>0</v>
      </c>
      <c r="J21507" s="1">
        <v>45945.379583333335</v>
      </c>
    </row>
    <row r="21508" spans="1:10" x14ac:dyDescent="0.2">
      <c r="A21508" s="4" t="s">
        <v>1</v>
      </c>
      <c r="B215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08" s="3" t="str">
        <f>HYPERLINK("https://otsuka-europe-crm.veevavault.com/ui/#object/sent_email__v/VBLZ025E82HKSSQ", "SE-000287607")</f>
        <v>SE-000287607</v>
      </c>
      <c r="D21508" s="1" t="s">
        <v>0</v>
      </c>
      <c r="E21508" s="2">
        <v>0</v>
      </c>
      <c r="F21508" s="2">
        <v>0</v>
      </c>
      <c r="G21508" s="2">
        <v>0</v>
      </c>
      <c r="H21508" s="1" t="s">
        <v>0</v>
      </c>
      <c r="I21508" s="2">
        <v>0</v>
      </c>
      <c r="J21508" s="1">
        <v>45945.379594907405</v>
      </c>
    </row>
    <row r="21509" spans="1:10" x14ac:dyDescent="0.2">
      <c r="A21509" s="4" t="s">
        <v>1</v>
      </c>
      <c r="B215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09" s="3" t="str">
        <f>HYPERLINK("https://otsuka-europe-crm.veevavault.com/ui/#object/sent_email__v/VBLZ025E82HKSSR", "SE-000287608")</f>
        <v>SE-000287608</v>
      </c>
      <c r="D21509" s="1" t="s">
        <v>0</v>
      </c>
      <c r="E21509" s="2">
        <v>0</v>
      </c>
      <c r="F21509" s="2">
        <v>0</v>
      </c>
      <c r="G21509" s="2">
        <v>0</v>
      </c>
      <c r="H21509" s="1" t="s">
        <v>0</v>
      </c>
      <c r="I21509" s="2">
        <v>0</v>
      </c>
      <c r="J21509" s="1">
        <v>45945.379629629628</v>
      </c>
    </row>
    <row r="21510" spans="1:10" x14ac:dyDescent="0.2">
      <c r="A21510" s="4" t="s">
        <v>1</v>
      </c>
      <c r="B215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10" s="3" t="str">
        <f>HYPERLINK("https://otsuka-europe-crm.veevavault.com/ui/#object/sent_email__v/VBLZ025E82HKSSS", "SE-000287609")</f>
        <v>SE-000287609</v>
      </c>
      <c r="D21510" s="1" t="s">
        <v>0</v>
      </c>
      <c r="E21510" s="2">
        <v>0</v>
      </c>
      <c r="F21510" s="2">
        <v>0</v>
      </c>
      <c r="G21510" s="2">
        <v>0</v>
      </c>
      <c r="H21510" s="1" t="s">
        <v>0</v>
      </c>
      <c r="I21510" s="2">
        <v>0</v>
      </c>
      <c r="J21510" s="1">
        <v>45945.379629629628</v>
      </c>
    </row>
    <row r="21511" spans="1:10" x14ac:dyDescent="0.2">
      <c r="A21511" s="4" t="s">
        <v>1</v>
      </c>
      <c r="B215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11" s="3" t="str">
        <f>HYPERLINK("https://otsuka-europe-crm.veevavault.com/ui/#object/sent_email__v/VBLZ025E82HKSST", "SE-000287610")</f>
        <v>SE-000287610</v>
      </c>
      <c r="D21511" s="1">
        <v>45945.420856481483</v>
      </c>
      <c r="E21511" s="2">
        <v>1</v>
      </c>
      <c r="F21511" s="2">
        <v>1</v>
      </c>
      <c r="G21511" s="2">
        <v>0</v>
      </c>
      <c r="H21511" s="1" t="s">
        <v>0</v>
      </c>
      <c r="I21511" s="2">
        <v>0</v>
      </c>
      <c r="J21511" s="1">
        <v>45945.379641203705</v>
      </c>
    </row>
    <row r="21512" spans="1:10" x14ac:dyDescent="0.2">
      <c r="A21512" s="4" t="s">
        <v>1</v>
      </c>
      <c r="B215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12" s="3" t="str">
        <f>HYPERLINK("https://otsuka-europe-crm.veevavault.com/ui/#object/sent_email__v/VBLZ025E82HKSSU", "SE-000287611")</f>
        <v>SE-000287611</v>
      </c>
      <c r="D21512" s="1" t="s">
        <v>0</v>
      </c>
      <c r="E21512" s="2">
        <v>0</v>
      </c>
      <c r="F21512" s="2">
        <v>0</v>
      </c>
      <c r="G21512" s="2">
        <v>0</v>
      </c>
      <c r="H21512" s="1" t="s">
        <v>0</v>
      </c>
      <c r="I21512" s="2">
        <v>0</v>
      </c>
      <c r="J21512" s="1">
        <v>45945.379641203705</v>
      </c>
    </row>
    <row r="21513" spans="1:10" x14ac:dyDescent="0.2">
      <c r="A21513" s="4" t="s">
        <v>1</v>
      </c>
      <c r="B215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13" s="3" t="str">
        <f>HYPERLINK("https://otsuka-europe-crm.veevavault.com/ui/#object/sent_email__v/VBLZ025E82HKSSV", "SE-000287612")</f>
        <v>SE-000287612</v>
      </c>
      <c r="D21513" s="1" t="s">
        <v>0</v>
      </c>
      <c r="E21513" s="2">
        <v>0</v>
      </c>
      <c r="F21513" s="2">
        <v>0</v>
      </c>
      <c r="G21513" s="2">
        <v>0</v>
      </c>
      <c r="H21513" s="1" t="s">
        <v>0</v>
      </c>
      <c r="I21513" s="2">
        <v>0</v>
      </c>
      <c r="J21513" s="1">
        <v>45945.379641203705</v>
      </c>
    </row>
    <row r="21514" spans="1:10" x14ac:dyDescent="0.2">
      <c r="A21514" s="4" t="s">
        <v>1</v>
      </c>
      <c r="B215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14" s="3" t="str">
        <f>HYPERLINK("https://otsuka-europe-crm.veevavault.com/ui/#object/sent_email__v/VBLZ025E82HKSSW", "SE-000287613")</f>
        <v>SE-000287613</v>
      </c>
      <c r="D21514" s="1" t="s">
        <v>0</v>
      </c>
      <c r="E21514" s="2">
        <v>0</v>
      </c>
      <c r="F21514" s="2">
        <v>0</v>
      </c>
      <c r="G21514" s="2">
        <v>0</v>
      </c>
      <c r="H21514" s="1" t="s">
        <v>0</v>
      </c>
      <c r="I21514" s="2">
        <v>0</v>
      </c>
      <c r="J21514" s="1">
        <v>45945.379652777781</v>
      </c>
    </row>
    <row r="21515" spans="1:10" x14ac:dyDescent="0.2">
      <c r="A21515" s="4" t="s">
        <v>1</v>
      </c>
      <c r="B215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15" s="3" t="str">
        <f>HYPERLINK("https://otsuka-europe-crm.veevavault.com/ui/#object/sent_email__v/VBLZ025E82HKSSX", "SE-000287614")</f>
        <v>SE-000287614</v>
      </c>
      <c r="D21515" s="1">
        <v>45947.554513888892</v>
      </c>
      <c r="E21515" s="2">
        <v>1</v>
      </c>
      <c r="F21515" s="2">
        <v>1</v>
      </c>
      <c r="G21515" s="2">
        <v>0</v>
      </c>
      <c r="H21515" s="1" t="s">
        <v>0</v>
      </c>
      <c r="I21515" s="2">
        <v>0</v>
      </c>
      <c r="J21515" s="1">
        <v>45945.379664351851</v>
      </c>
    </row>
    <row r="21516" spans="1:10" x14ac:dyDescent="0.2">
      <c r="A21516" s="4" t="s">
        <v>1</v>
      </c>
      <c r="B215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16" s="3" t="str">
        <f>HYPERLINK("https://otsuka-europe-crm.veevavault.com/ui/#object/sent_email__v/VBLZ025E82HKSSY", "SE-000287615")</f>
        <v>SE-000287615</v>
      </c>
      <c r="D21516" s="1">
        <v>45977.027268518519</v>
      </c>
      <c r="E21516" s="2">
        <v>1</v>
      </c>
      <c r="F21516" s="2">
        <v>3</v>
      </c>
      <c r="G21516" s="2">
        <v>0</v>
      </c>
      <c r="H21516" s="1" t="s">
        <v>0</v>
      </c>
      <c r="I21516" s="2">
        <v>0</v>
      </c>
      <c r="J21516" s="1">
        <v>45945.379675925928</v>
      </c>
    </row>
    <row r="21517" spans="1:10" x14ac:dyDescent="0.2">
      <c r="A21517" s="4" t="s">
        <v>1</v>
      </c>
      <c r="B215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17" s="3" t="str">
        <f>HYPERLINK("https://otsuka-europe-crm.veevavault.com/ui/#object/sent_email__v/VBLZ025E82HKSSZ", "SE-000287616")</f>
        <v>SE-000287616</v>
      </c>
      <c r="D21517" s="1">
        <v>45970.311886574076</v>
      </c>
      <c r="E21517" s="2">
        <v>1</v>
      </c>
      <c r="F21517" s="2">
        <v>2</v>
      </c>
      <c r="G21517" s="2">
        <v>0</v>
      </c>
      <c r="H21517" s="1" t="s">
        <v>0</v>
      </c>
      <c r="I21517" s="2">
        <v>0</v>
      </c>
      <c r="J21517" s="1">
        <v>45945.379675925928</v>
      </c>
    </row>
    <row r="21518" spans="1:10" x14ac:dyDescent="0.2">
      <c r="A21518" s="4" t="s">
        <v>1</v>
      </c>
      <c r="B215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18" s="3" t="str">
        <f>HYPERLINK("https://otsuka-europe-crm.veevavault.com/ui/#object/sent_email__v/VBLZ025E82HKST0", "SE-000287617")</f>
        <v>SE-000287617</v>
      </c>
      <c r="D21518" s="1">
        <v>45947.450856481482</v>
      </c>
      <c r="E21518" s="2">
        <v>1</v>
      </c>
      <c r="F21518" s="2">
        <v>1</v>
      </c>
      <c r="G21518" s="2">
        <v>1</v>
      </c>
      <c r="H21518" s="1">
        <v>45947.451145833336</v>
      </c>
      <c r="I21518" s="2">
        <v>1</v>
      </c>
      <c r="J21518" s="1">
        <v>45945.379687499997</v>
      </c>
    </row>
    <row r="21519" spans="1:10" x14ac:dyDescent="0.2">
      <c r="A21519" s="4" t="s">
        <v>1</v>
      </c>
      <c r="B215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19" s="3" t="str">
        <f>HYPERLINK("https://otsuka-europe-crm.veevavault.com/ui/#object/sent_email__v/VBLZ025E82HKST1", "SE-000287618")</f>
        <v>SE-000287618</v>
      </c>
      <c r="D21519" s="1">
        <v>45949.718935185185</v>
      </c>
      <c r="E21519" s="2">
        <v>1</v>
      </c>
      <c r="F21519" s="2">
        <v>3</v>
      </c>
      <c r="G21519" s="2">
        <v>0</v>
      </c>
      <c r="H21519" s="1" t="s">
        <v>0</v>
      </c>
      <c r="I21519" s="2">
        <v>0</v>
      </c>
      <c r="J21519" s="1">
        <v>45945.379745370374</v>
      </c>
    </row>
    <row r="21520" spans="1:10" x14ac:dyDescent="0.2">
      <c r="A21520" s="4" t="s">
        <v>1</v>
      </c>
      <c r="B215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20" s="3" t="str">
        <f>HYPERLINK("https://otsuka-europe-crm.veevavault.com/ui/#object/sent_email__v/VBLZ025E82HKST2", "SE-000287619")</f>
        <v>SE-000287619</v>
      </c>
      <c r="D21520" s="1" t="s">
        <v>0</v>
      </c>
      <c r="E21520" s="2">
        <v>0</v>
      </c>
      <c r="F21520" s="2">
        <v>0</v>
      </c>
      <c r="G21520" s="2">
        <v>0</v>
      </c>
      <c r="H21520" s="1" t="s">
        <v>0</v>
      </c>
      <c r="I21520" s="2">
        <v>0</v>
      </c>
      <c r="J21520" s="1">
        <v>45945.37972222222</v>
      </c>
    </row>
    <row r="21521" spans="1:10" x14ac:dyDescent="0.2">
      <c r="A21521" s="4" t="s">
        <v>1</v>
      </c>
      <c r="B215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21" s="3" t="str">
        <f>HYPERLINK("https://otsuka-europe-crm.veevavault.com/ui/#object/sent_email__v/VBLZ025E82HKST3", "SE-000287620")</f>
        <v>SE-000287620</v>
      </c>
      <c r="D21521" s="1" t="s">
        <v>0</v>
      </c>
      <c r="E21521" s="2">
        <v>0</v>
      </c>
      <c r="F21521" s="2">
        <v>0</v>
      </c>
      <c r="G21521" s="2">
        <v>0</v>
      </c>
      <c r="H21521" s="1" t="s">
        <v>0</v>
      </c>
      <c r="I21521" s="2">
        <v>0</v>
      </c>
      <c r="J21521" s="1">
        <v>45945.379745370374</v>
      </c>
    </row>
    <row r="21522" spans="1:10" x14ac:dyDescent="0.2">
      <c r="A21522" s="4" t="s">
        <v>1</v>
      </c>
      <c r="B215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22" s="3" t="str">
        <f>HYPERLINK("https://otsuka-europe-crm.veevavault.com/ui/#object/sent_email__v/VBLZ025E82HKST4", "SE-000287621")</f>
        <v>SE-000287621</v>
      </c>
      <c r="D21522" s="1" t="s">
        <v>0</v>
      </c>
      <c r="E21522" s="2">
        <v>0</v>
      </c>
      <c r="F21522" s="2">
        <v>0</v>
      </c>
      <c r="G21522" s="2">
        <v>0</v>
      </c>
      <c r="H21522" s="1" t="s">
        <v>0</v>
      </c>
      <c r="I21522" s="2">
        <v>0</v>
      </c>
      <c r="J21522" s="1">
        <v>45945.379756944443</v>
      </c>
    </row>
    <row r="21523" spans="1:10" x14ac:dyDescent="0.2">
      <c r="A21523" s="4" t="s">
        <v>1</v>
      </c>
      <c r="B215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23" s="3" t="str">
        <f>HYPERLINK("https://otsuka-europe-crm.veevavault.com/ui/#object/sent_email__v/VBLZ025E82HKST5", "SE-000287622")</f>
        <v>SE-000287622</v>
      </c>
      <c r="D21523" s="1" t="s">
        <v>0</v>
      </c>
      <c r="E21523" s="2">
        <v>0</v>
      </c>
      <c r="F21523" s="2">
        <v>0</v>
      </c>
      <c r="G21523" s="2">
        <v>0</v>
      </c>
      <c r="H21523" s="1" t="s">
        <v>0</v>
      </c>
      <c r="I21523" s="2">
        <v>0</v>
      </c>
      <c r="J21523" s="1">
        <v>45945.379745370374</v>
      </c>
    </row>
    <row r="21524" spans="1:10" x14ac:dyDescent="0.2">
      <c r="A21524" s="4" t="s">
        <v>1</v>
      </c>
      <c r="B215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24" s="3" t="str">
        <f>HYPERLINK("https://otsuka-europe-crm.veevavault.com/ui/#object/sent_email__v/VBLZ025E82HKST6", "SE-000287623")</f>
        <v>SE-000287623</v>
      </c>
      <c r="D21524" s="1" t="s">
        <v>0</v>
      </c>
      <c r="E21524" s="2">
        <v>0</v>
      </c>
      <c r="F21524" s="2">
        <v>0</v>
      </c>
      <c r="G21524" s="2">
        <v>0</v>
      </c>
      <c r="H21524" s="1" t="s">
        <v>0</v>
      </c>
      <c r="I21524" s="2">
        <v>0</v>
      </c>
      <c r="J21524" s="1">
        <v>45945.379780092589</v>
      </c>
    </row>
    <row r="21525" spans="1:10" x14ac:dyDescent="0.2">
      <c r="A21525" s="4" t="s">
        <v>1</v>
      </c>
      <c r="B215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25" s="3" t="str">
        <f>HYPERLINK("https://otsuka-europe-crm.veevavault.com/ui/#object/sent_email__v/VBLZ025E82HKST7", "SE-000287624")</f>
        <v>SE-000287624</v>
      </c>
      <c r="D21525" s="1">
        <v>45945.838738425926</v>
      </c>
      <c r="E21525" s="2">
        <v>1</v>
      </c>
      <c r="F21525" s="2">
        <v>2</v>
      </c>
      <c r="G21525" s="2">
        <v>0</v>
      </c>
      <c r="H21525" s="1" t="s">
        <v>0</v>
      </c>
      <c r="I21525" s="2">
        <v>0</v>
      </c>
      <c r="J21525" s="1">
        <v>45945.379756944443</v>
      </c>
    </row>
    <row r="21526" spans="1:10" x14ac:dyDescent="0.2">
      <c r="A21526" s="4" t="s">
        <v>1</v>
      </c>
      <c r="B215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26" s="3" t="str">
        <f>HYPERLINK("https://otsuka-europe-crm.veevavault.com/ui/#object/sent_email__v/VBLZ025E82HKST8", "SE-000287625")</f>
        <v>SE-000287625</v>
      </c>
      <c r="D21526" s="1" t="s">
        <v>0</v>
      </c>
      <c r="E21526" s="2">
        <v>0</v>
      </c>
      <c r="F21526" s="2">
        <v>0</v>
      </c>
      <c r="G21526" s="2">
        <v>0</v>
      </c>
      <c r="H21526" s="1" t="s">
        <v>0</v>
      </c>
      <c r="I21526" s="2">
        <v>0</v>
      </c>
      <c r="J21526" s="1">
        <v>45945.379791666666</v>
      </c>
    </row>
    <row r="21527" spans="1:10" x14ac:dyDescent="0.2">
      <c r="A21527" s="4" t="s">
        <v>1</v>
      </c>
      <c r="B215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27" s="3" t="str">
        <f>HYPERLINK("https://otsuka-europe-crm.veevavault.com/ui/#object/sent_email__v/VBLZ025E82HKST9", "SE-000287626")</f>
        <v>SE-000287626</v>
      </c>
      <c r="D21527" s="1" t="s">
        <v>0</v>
      </c>
      <c r="E21527" s="2">
        <v>0</v>
      </c>
      <c r="F21527" s="2">
        <v>0</v>
      </c>
      <c r="G21527" s="2">
        <v>0</v>
      </c>
      <c r="H21527" s="1" t="s">
        <v>0</v>
      </c>
      <c r="I21527" s="2">
        <v>0</v>
      </c>
      <c r="J21527" s="1">
        <v>45945.379837962966</v>
      </c>
    </row>
    <row r="21528" spans="1:10" x14ac:dyDescent="0.2">
      <c r="A21528" s="4" t="s">
        <v>1</v>
      </c>
      <c r="B215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28" s="3" t="str">
        <f>HYPERLINK("https://otsuka-europe-crm.veevavault.com/ui/#object/sent_email__v/VBLZ025E82HKSTA", "SE-000287627")</f>
        <v>SE-000287627</v>
      </c>
      <c r="D21528" s="1" t="s">
        <v>0</v>
      </c>
      <c r="E21528" s="2">
        <v>0</v>
      </c>
      <c r="F21528" s="2">
        <v>0</v>
      </c>
      <c r="G21528" s="2">
        <v>0</v>
      </c>
      <c r="H21528" s="1" t="s">
        <v>0</v>
      </c>
      <c r="I21528" s="2">
        <v>0</v>
      </c>
      <c r="J21528" s="1">
        <v>45945.379826388889</v>
      </c>
    </row>
    <row r="21529" spans="1:10" x14ac:dyDescent="0.2">
      <c r="A21529" s="4" t="s">
        <v>1</v>
      </c>
      <c r="B215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29" s="3" t="str">
        <f>HYPERLINK("https://otsuka-europe-crm.veevavault.com/ui/#object/sent_email__v/VBLZ025E82HKSTB", "SE-000287628")</f>
        <v>SE-000287628</v>
      </c>
      <c r="D21529" s="1">
        <v>45945.955787037034</v>
      </c>
      <c r="E21529" s="2">
        <v>1</v>
      </c>
      <c r="F21529" s="2">
        <v>1</v>
      </c>
      <c r="G21529" s="2">
        <v>0</v>
      </c>
      <c r="H21529" s="1" t="s">
        <v>0</v>
      </c>
      <c r="I21529" s="2">
        <v>0</v>
      </c>
      <c r="J21529" s="1">
        <v>45945.379861111112</v>
      </c>
    </row>
    <row r="21530" spans="1:10" x14ac:dyDescent="0.2">
      <c r="A21530" s="4" t="s">
        <v>1</v>
      </c>
      <c r="B215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30" s="3" t="str">
        <f>HYPERLINK("https://otsuka-europe-crm.veevavault.com/ui/#object/sent_email__v/VBLZ025E82HKSTC", "SE-000287629")</f>
        <v>SE-000287629</v>
      </c>
      <c r="D21530" s="1">
        <v>45945.915659722225</v>
      </c>
      <c r="E21530" s="2">
        <v>1</v>
      </c>
      <c r="F21530" s="2">
        <v>1</v>
      </c>
      <c r="G21530" s="2">
        <v>0</v>
      </c>
      <c r="H21530" s="1" t="s">
        <v>0</v>
      </c>
      <c r="I21530" s="2">
        <v>0</v>
      </c>
      <c r="J21530" s="1">
        <v>45945.380150462966</v>
      </c>
    </row>
    <row r="21531" spans="1:10" x14ac:dyDescent="0.2">
      <c r="A21531" s="4" t="s">
        <v>1</v>
      </c>
      <c r="B215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31" s="3" t="str">
        <f>HYPERLINK("https://otsuka-europe-crm.veevavault.com/ui/#object/sent_email__v/VBLZ025E82HKSTD", "SE-000287630")</f>
        <v>SE-000287630</v>
      </c>
      <c r="D21531" s="1">
        <v>45950.944849537038</v>
      </c>
      <c r="E21531" s="2">
        <v>1</v>
      </c>
      <c r="F21531" s="2">
        <v>5</v>
      </c>
      <c r="G21531" s="2">
        <v>0</v>
      </c>
      <c r="H21531" s="1" t="s">
        <v>0</v>
      </c>
      <c r="I21531" s="2">
        <v>0</v>
      </c>
      <c r="J21531" s="1">
        <v>45945.379918981482</v>
      </c>
    </row>
    <row r="21532" spans="1:10" x14ac:dyDescent="0.2">
      <c r="A21532" s="4" t="s">
        <v>1</v>
      </c>
      <c r="B215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32" s="3" t="str">
        <f>HYPERLINK("https://otsuka-europe-crm.veevavault.com/ui/#object/sent_email__v/VBLZ025E82HKSTE", "SE-000287631")</f>
        <v>SE-000287631</v>
      </c>
      <c r="D21532" s="1">
        <v>45946.236157407409</v>
      </c>
      <c r="E21532" s="2">
        <v>1</v>
      </c>
      <c r="F21532" s="2">
        <v>2</v>
      </c>
      <c r="G21532" s="2">
        <v>0</v>
      </c>
      <c r="H21532" s="1" t="s">
        <v>0</v>
      </c>
      <c r="I21532" s="2">
        <v>0</v>
      </c>
      <c r="J21532" s="1">
        <v>45945.379942129628</v>
      </c>
    </row>
    <row r="21533" spans="1:10" x14ac:dyDescent="0.2">
      <c r="A21533" s="4" t="s">
        <v>1</v>
      </c>
      <c r="B215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33" s="3" t="str">
        <f>HYPERLINK("https://otsuka-europe-crm.veevavault.com/ui/#object/sent_email__v/VBLZ025E82HKSTF", "SE-000287632")</f>
        <v>SE-000287632</v>
      </c>
      <c r="D21533" s="1">
        <v>45959.860312500001</v>
      </c>
      <c r="E21533" s="2">
        <v>1</v>
      </c>
      <c r="F21533" s="2">
        <v>1</v>
      </c>
      <c r="G21533" s="2">
        <v>0</v>
      </c>
      <c r="H21533" s="1" t="s">
        <v>0</v>
      </c>
      <c r="I21533" s="2">
        <v>0</v>
      </c>
      <c r="J21533" s="1">
        <v>45945.379918981482</v>
      </c>
    </row>
    <row r="21534" spans="1:10" x14ac:dyDescent="0.2">
      <c r="A21534" s="4" t="s">
        <v>1</v>
      </c>
      <c r="B215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34" s="3" t="str">
        <f>HYPERLINK("https://otsuka-europe-crm.veevavault.com/ui/#object/sent_email__v/VBLZ025E82HKSTG", "SE-000287633")</f>
        <v>SE-000287633</v>
      </c>
      <c r="D21534" s="1" t="s">
        <v>0</v>
      </c>
      <c r="E21534" s="2">
        <v>0</v>
      </c>
      <c r="F21534" s="2">
        <v>0</v>
      </c>
      <c r="G21534" s="2">
        <v>0</v>
      </c>
      <c r="H21534" s="1" t="s">
        <v>0</v>
      </c>
      <c r="I21534" s="2">
        <v>0</v>
      </c>
      <c r="J21534" s="1">
        <v>45945.380104166667</v>
      </c>
    </row>
    <row r="21535" spans="1:10" x14ac:dyDescent="0.2">
      <c r="A21535" s="4" t="s">
        <v>1</v>
      </c>
      <c r="B215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35" s="3" t="str">
        <f>HYPERLINK("https://otsuka-europe-crm.veevavault.com/ui/#object/sent_email__v/VBLZ025E82HKSTH", "SE-000287634")</f>
        <v>SE-000287634</v>
      </c>
      <c r="D21535" s="1" t="s">
        <v>0</v>
      </c>
      <c r="E21535" s="2">
        <v>0</v>
      </c>
      <c r="F21535" s="2">
        <v>0</v>
      </c>
      <c r="G21535" s="2">
        <v>0</v>
      </c>
      <c r="H21535" s="1" t="s">
        <v>0</v>
      </c>
      <c r="I21535" s="2">
        <v>0</v>
      </c>
      <c r="J21535" s="1">
        <v>45945.380104166667</v>
      </c>
    </row>
    <row r="21536" spans="1:10" x14ac:dyDescent="0.2">
      <c r="A21536" s="4" t="s">
        <v>1</v>
      </c>
      <c r="B215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36" s="3" t="str">
        <f>HYPERLINK("https://otsuka-europe-crm.veevavault.com/ui/#object/sent_email__v/VBLZ025E82HKSTI", "SE-000287635")</f>
        <v>SE-000287635</v>
      </c>
      <c r="D21536" s="1" t="s">
        <v>0</v>
      </c>
      <c r="E21536" s="2">
        <v>0</v>
      </c>
      <c r="F21536" s="2">
        <v>0</v>
      </c>
      <c r="G21536" s="2">
        <v>0</v>
      </c>
      <c r="H21536" s="1" t="s">
        <v>0</v>
      </c>
      <c r="I21536" s="2">
        <v>0</v>
      </c>
      <c r="J21536" s="1">
        <v>45945.379988425928</v>
      </c>
    </row>
    <row r="21537" spans="1:10" x14ac:dyDescent="0.2">
      <c r="A21537" s="4" t="s">
        <v>1</v>
      </c>
      <c r="B215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37" s="3" t="str">
        <f>HYPERLINK("https://otsuka-europe-crm.veevavault.com/ui/#object/sent_email__v/VBLZ025E82HKSTJ", "SE-000287636")</f>
        <v>SE-000287636</v>
      </c>
      <c r="D21537" s="1">
        <v>45976.489166666666</v>
      </c>
      <c r="E21537" s="2">
        <v>1</v>
      </c>
      <c r="F21537" s="2">
        <v>1</v>
      </c>
      <c r="G21537" s="2">
        <v>0</v>
      </c>
      <c r="H21537" s="1" t="s">
        <v>0</v>
      </c>
      <c r="I21537" s="2">
        <v>0</v>
      </c>
      <c r="J21537" s="1">
        <v>45945.380127314813</v>
      </c>
    </row>
    <row r="21538" spans="1:10" x14ac:dyDescent="0.2">
      <c r="A21538" s="4" t="s">
        <v>1</v>
      </c>
      <c r="B215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38" s="3" t="str">
        <f>HYPERLINK("https://otsuka-europe-crm.veevavault.com/ui/#object/sent_email__v/VBLZ025E82HKSTK", "SE-000287637")</f>
        <v>SE-000287637</v>
      </c>
      <c r="D21538" s="1">
        <v>45968.968715277777</v>
      </c>
      <c r="E21538" s="2">
        <v>1</v>
      </c>
      <c r="F21538" s="2">
        <v>4</v>
      </c>
      <c r="G21538" s="2">
        <v>0</v>
      </c>
      <c r="H21538" s="1" t="s">
        <v>0</v>
      </c>
      <c r="I21538" s="2">
        <v>0</v>
      </c>
      <c r="J21538" s="1">
        <v>45945.38009259259</v>
      </c>
    </row>
    <row r="21539" spans="1:10" x14ac:dyDescent="0.2">
      <c r="A21539" s="4" t="s">
        <v>1</v>
      </c>
      <c r="B215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39" s="3" t="str">
        <f>HYPERLINK("https://otsuka-europe-crm.veevavault.com/ui/#object/sent_email__v/VBLZ025E82HKT3H", "SE-000287638")</f>
        <v>SE-000287638</v>
      </c>
      <c r="D21539" s="1">
        <v>45945.732534722221</v>
      </c>
      <c r="E21539" s="2">
        <v>1</v>
      </c>
      <c r="F21539" s="2">
        <v>2</v>
      </c>
      <c r="G21539" s="2">
        <v>0</v>
      </c>
      <c r="H21539" s="1" t="s">
        <v>0</v>
      </c>
      <c r="I21539" s="2">
        <v>0</v>
      </c>
      <c r="J21539" s="1">
        <v>45945.380300925928</v>
      </c>
    </row>
    <row r="21540" spans="1:10" x14ac:dyDescent="0.2">
      <c r="A21540" s="4" t="s">
        <v>1</v>
      </c>
      <c r="B215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40" s="3" t="str">
        <f>HYPERLINK("https://otsuka-europe-crm.veevavault.com/ui/#object/sent_email__v/VBLZ025E82HKT3I", "SE-000287639")</f>
        <v>SE-000287639</v>
      </c>
      <c r="D21540" s="1" t="s">
        <v>0</v>
      </c>
      <c r="E21540" s="2">
        <v>0</v>
      </c>
      <c r="F21540" s="2">
        <v>0</v>
      </c>
      <c r="G21540" s="2">
        <v>0</v>
      </c>
      <c r="H21540" s="1" t="s">
        <v>0</v>
      </c>
      <c r="I21540" s="2">
        <v>0</v>
      </c>
      <c r="J21540" s="1">
        <v>45945.380324074074</v>
      </c>
    </row>
    <row r="21541" spans="1:10" x14ac:dyDescent="0.2">
      <c r="A21541" s="4" t="s">
        <v>1</v>
      </c>
      <c r="B215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41" s="3" t="str">
        <f>HYPERLINK("https://otsuka-europe-crm.veevavault.com/ui/#object/sent_email__v/VBLZ025E82HKT3J", "SE-000287640")</f>
        <v>SE-000287640</v>
      </c>
      <c r="D21541" s="1">
        <v>45945.955636574072</v>
      </c>
      <c r="E21541" s="2">
        <v>1</v>
      </c>
      <c r="F21541" s="2">
        <v>1</v>
      </c>
      <c r="G21541" s="2">
        <v>0</v>
      </c>
      <c r="H21541" s="1" t="s">
        <v>0</v>
      </c>
      <c r="I21541" s="2">
        <v>0</v>
      </c>
      <c r="J21541" s="1">
        <v>45945.38045138889</v>
      </c>
    </row>
    <row r="21542" spans="1:10" x14ac:dyDescent="0.2">
      <c r="A21542" s="4" t="s">
        <v>1</v>
      </c>
      <c r="B215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42" s="3" t="str">
        <f>HYPERLINK("https://otsuka-europe-crm.veevavault.com/ui/#object/sent_email__v/VBLZ025E82HKT3K", "SE-000287641")</f>
        <v>SE-000287641</v>
      </c>
      <c r="D21542" s="1">
        <v>45953.581157407411</v>
      </c>
      <c r="E21542" s="2">
        <v>1</v>
      </c>
      <c r="F21542" s="2">
        <v>3</v>
      </c>
      <c r="G21542" s="2">
        <v>0</v>
      </c>
      <c r="H21542" s="1" t="s">
        <v>0</v>
      </c>
      <c r="I21542" s="2">
        <v>0</v>
      </c>
      <c r="J21542" s="1">
        <v>45945.380312499998</v>
      </c>
    </row>
    <row r="21543" spans="1:10" x14ac:dyDescent="0.2">
      <c r="A21543" s="4" t="s">
        <v>1</v>
      </c>
      <c r="B215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43" s="3" t="str">
        <f>HYPERLINK("https://otsuka-europe-crm.veevavault.com/ui/#object/sent_email__v/VBLZ025E82HKT3L", "SE-000287642")</f>
        <v>SE-000287642</v>
      </c>
      <c r="D21543" s="1">
        <v>45946.405752314815</v>
      </c>
      <c r="E21543" s="2">
        <v>1</v>
      </c>
      <c r="F21543" s="2">
        <v>1</v>
      </c>
      <c r="G21543" s="2">
        <v>1</v>
      </c>
      <c r="H21543" s="1">
        <v>45946.405787037038</v>
      </c>
      <c r="I21543" s="2">
        <v>2</v>
      </c>
      <c r="J21543" s="1">
        <v>45945.380231481482</v>
      </c>
    </row>
    <row r="21544" spans="1:10" x14ac:dyDescent="0.2">
      <c r="A21544" s="4" t="s">
        <v>1</v>
      </c>
      <c r="B215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44" s="3" t="str">
        <f>HYPERLINK("https://otsuka-europe-crm.veevavault.com/ui/#object/sent_email__v/VBLZ025E82HKT3M", "SE-000287643")</f>
        <v>SE-000287643</v>
      </c>
      <c r="D21544" s="1" t="s">
        <v>0</v>
      </c>
      <c r="E21544" s="2">
        <v>0</v>
      </c>
      <c r="F21544" s="2">
        <v>0</v>
      </c>
      <c r="G21544" s="2">
        <v>0</v>
      </c>
      <c r="H21544" s="1" t="s">
        <v>0</v>
      </c>
      <c r="I21544" s="2">
        <v>0</v>
      </c>
      <c r="J21544" s="1">
        <v>45945.380370370367</v>
      </c>
    </row>
    <row r="21545" spans="1:10" x14ac:dyDescent="0.2">
      <c r="A21545" s="4" t="s">
        <v>1</v>
      </c>
      <c r="B215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45" s="3" t="str">
        <f>HYPERLINK("https://otsuka-europe-crm.veevavault.com/ui/#object/sent_email__v/VBLZ025E82HKT3N", "SE-000287644")</f>
        <v>SE-000287644</v>
      </c>
      <c r="D21545" s="1">
        <v>45976.488749999997</v>
      </c>
      <c r="E21545" s="2">
        <v>1</v>
      </c>
      <c r="F21545" s="2">
        <v>1</v>
      </c>
      <c r="G21545" s="2">
        <v>0</v>
      </c>
      <c r="H21545" s="1" t="s">
        <v>0</v>
      </c>
      <c r="I21545" s="2">
        <v>0</v>
      </c>
      <c r="J21545" s="1">
        <v>45945.380300925928</v>
      </c>
    </row>
    <row r="21546" spans="1:10" x14ac:dyDescent="0.2">
      <c r="A21546" s="4" t="s">
        <v>1</v>
      </c>
      <c r="B215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46" s="3" t="str">
        <f>HYPERLINK("https://otsuka-europe-crm.veevavault.com/ui/#object/sent_email__v/VBLZ025E82HKT3O", "SE-000287645")</f>
        <v>SE-000287645</v>
      </c>
      <c r="D21546" s="1">
        <v>45945.938784722224</v>
      </c>
      <c r="E21546" s="2">
        <v>1</v>
      </c>
      <c r="F21546" s="2">
        <v>1</v>
      </c>
      <c r="G21546" s="2">
        <v>0</v>
      </c>
      <c r="H21546" s="1" t="s">
        <v>0</v>
      </c>
      <c r="I21546" s="2">
        <v>0</v>
      </c>
      <c r="J21546" s="1">
        <v>45945.380428240744</v>
      </c>
    </row>
    <row r="21547" spans="1:10" x14ac:dyDescent="0.2">
      <c r="A21547" s="4" t="s">
        <v>1</v>
      </c>
      <c r="B215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47" s="3" t="str">
        <f>HYPERLINK("https://otsuka-europe-crm.veevavault.com/ui/#object/sent_email__v/VBLZ025E82HKT3P", "SE-000287646")</f>
        <v>SE-000287646</v>
      </c>
      <c r="D21547" s="1">
        <v>45945.515115740738</v>
      </c>
      <c r="E21547" s="2">
        <v>1</v>
      </c>
      <c r="F21547" s="2">
        <v>1</v>
      </c>
      <c r="G21547" s="2">
        <v>0</v>
      </c>
      <c r="H21547" s="1" t="s">
        <v>0</v>
      </c>
      <c r="I21547" s="2">
        <v>0</v>
      </c>
      <c r="J21547" s="1">
        <v>45945.380486111113</v>
      </c>
    </row>
    <row r="21548" spans="1:10" x14ac:dyDescent="0.2">
      <c r="A21548" s="4" t="s">
        <v>1</v>
      </c>
      <c r="B215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48" s="3" t="str">
        <f>HYPERLINK("https://otsuka-europe-crm.veevavault.com/ui/#object/sent_email__v/VBLZ025E82HKT3Q", "SE-000287647")</f>
        <v>SE-000287647</v>
      </c>
      <c r="D21548" s="1" t="s">
        <v>0</v>
      </c>
      <c r="E21548" s="2">
        <v>0</v>
      </c>
      <c r="F21548" s="2">
        <v>0</v>
      </c>
      <c r="G21548" s="2">
        <v>0</v>
      </c>
      <c r="H21548" s="1" t="s">
        <v>0</v>
      </c>
      <c r="I21548" s="2">
        <v>0</v>
      </c>
      <c r="J21548" s="1">
        <v>45945.380393518521</v>
      </c>
    </row>
    <row r="21549" spans="1:10" x14ac:dyDescent="0.2">
      <c r="A21549" s="4" t="s">
        <v>1</v>
      </c>
      <c r="B215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49" s="3" t="str">
        <f>HYPERLINK("https://otsuka-europe-crm.veevavault.com/ui/#object/sent_email__v/VBLZ025E82HKT3R", "SE-000287648")</f>
        <v>SE-000287648</v>
      </c>
      <c r="D21549" s="1" t="s">
        <v>0</v>
      </c>
      <c r="E21549" s="2">
        <v>0</v>
      </c>
      <c r="F21549" s="2">
        <v>0</v>
      </c>
      <c r="G21549" s="2">
        <v>0</v>
      </c>
      <c r="H21549" s="1" t="s">
        <v>0</v>
      </c>
      <c r="I21549" s="2">
        <v>0</v>
      </c>
      <c r="J21549" s="1">
        <v>45945.380347222221</v>
      </c>
    </row>
    <row r="21550" spans="1:10" x14ac:dyDescent="0.2">
      <c r="A21550" s="4" t="s">
        <v>1</v>
      </c>
      <c r="B215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50" s="3" t="str">
        <f>HYPERLINK("https://otsuka-europe-crm.veevavault.com/ui/#object/sent_email__v/VBLZ025E82HKT3S", "SE-000287649")</f>
        <v>SE-000287649</v>
      </c>
      <c r="D21550" s="1">
        <v>45945.953344907408</v>
      </c>
      <c r="E21550" s="2">
        <v>1</v>
      </c>
      <c r="F21550" s="2">
        <v>1</v>
      </c>
      <c r="G21550" s="2">
        <v>0</v>
      </c>
      <c r="H21550" s="1" t="s">
        <v>0</v>
      </c>
      <c r="I21550" s="2">
        <v>0</v>
      </c>
      <c r="J21550" s="1">
        <v>45945.380486111113</v>
      </c>
    </row>
    <row r="21551" spans="1:10" x14ac:dyDescent="0.2">
      <c r="A21551" s="4" t="s">
        <v>1</v>
      </c>
      <c r="B215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51" s="3" t="str">
        <f>HYPERLINK("https://otsuka-europe-crm.veevavault.com/ui/#object/sent_email__v/VBLZ025E82HKT3T", "SE-000287650")</f>
        <v>SE-000287650</v>
      </c>
      <c r="D21551" s="1" t="s">
        <v>0</v>
      </c>
      <c r="E21551" s="2">
        <v>0</v>
      </c>
      <c r="F21551" s="2">
        <v>0</v>
      </c>
      <c r="G21551" s="2">
        <v>0</v>
      </c>
      <c r="H21551" s="1" t="s">
        <v>0</v>
      </c>
      <c r="I21551" s="2">
        <v>0</v>
      </c>
      <c r="J21551" s="1">
        <v>45945.38045138889</v>
      </c>
    </row>
    <row r="21552" spans="1:10" x14ac:dyDescent="0.2">
      <c r="A21552" s="4" t="s">
        <v>1</v>
      </c>
      <c r="B215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52" s="3" t="str">
        <f>HYPERLINK("https://otsuka-europe-crm.veevavault.com/ui/#object/sent_email__v/VBLZ025E82HKT3U", "SE-000287651")</f>
        <v>SE-000287651</v>
      </c>
      <c r="D21552" s="1">
        <v>45945.380914351852</v>
      </c>
      <c r="E21552" s="2">
        <v>1</v>
      </c>
      <c r="F21552" s="2">
        <v>1</v>
      </c>
      <c r="G21552" s="2">
        <v>1</v>
      </c>
      <c r="H21552" s="1">
        <v>45945.380914351852</v>
      </c>
      <c r="I21552" s="2">
        <v>1</v>
      </c>
      <c r="J21552" s="1">
        <v>45945.380428240744</v>
      </c>
    </row>
    <row r="21553" spans="1:10" x14ac:dyDescent="0.2">
      <c r="A21553" s="4" t="s">
        <v>1</v>
      </c>
      <c r="B215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53" s="3" t="str">
        <f>HYPERLINK("https://otsuka-europe-crm.veevavault.com/ui/#object/sent_email__v/VBLZ025E82HKT3V", "SE-000287652")</f>
        <v>SE-000287652</v>
      </c>
      <c r="D21553" s="1" t="s">
        <v>0</v>
      </c>
      <c r="E21553" s="2">
        <v>0</v>
      </c>
      <c r="F21553" s="2">
        <v>0</v>
      </c>
      <c r="G21553" s="2">
        <v>0</v>
      </c>
      <c r="H21553" s="1" t="s">
        <v>0</v>
      </c>
      <c r="I21553" s="2">
        <v>0</v>
      </c>
      <c r="J21553" s="1">
        <v>45945.380416666667</v>
      </c>
    </row>
    <row r="21554" spans="1:10" x14ac:dyDescent="0.2">
      <c r="A21554" s="4" t="s">
        <v>1</v>
      </c>
      <c r="B215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54" s="3" t="str">
        <f>HYPERLINK("https://otsuka-europe-crm.veevavault.com/ui/#object/sent_email__v/VBLZ025E82HKT3W", "SE-000287653")</f>
        <v>SE-000287653</v>
      </c>
      <c r="D21554" s="1">
        <v>45945.635381944441</v>
      </c>
      <c r="E21554" s="2">
        <v>1</v>
      </c>
      <c r="F21554" s="2">
        <v>1</v>
      </c>
      <c r="G21554" s="2">
        <v>0</v>
      </c>
      <c r="H21554" s="1" t="s">
        <v>0</v>
      </c>
      <c r="I21554" s="2">
        <v>0</v>
      </c>
      <c r="J21554" s="1">
        <v>45945.380532407406</v>
      </c>
    </row>
    <row r="21555" spans="1:10" x14ac:dyDescent="0.2">
      <c r="A21555" s="4" t="s">
        <v>1</v>
      </c>
      <c r="B215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55" s="3" t="str">
        <f>HYPERLINK("https://otsuka-europe-crm.veevavault.com/ui/#object/sent_email__v/VBLZ025E82HKT3X", "SE-000287654")</f>
        <v>SE-000287654</v>
      </c>
      <c r="D21555" s="1" t="s">
        <v>0</v>
      </c>
      <c r="E21555" s="2">
        <v>0</v>
      </c>
      <c r="F21555" s="2">
        <v>0</v>
      </c>
      <c r="G21555" s="2">
        <v>0</v>
      </c>
      <c r="H21555" s="1" t="s">
        <v>0</v>
      </c>
      <c r="I21555" s="2">
        <v>0</v>
      </c>
      <c r="J21555" s="1">
        <v>45945.380474537036</v>
      </c>
    </row>
    <row r="21556" spans="1:10" x14ac:dyDescent="0.2">
      <c r="A21556" s="4" t="s">
        <v>1</v>
      </c>
      <c r="B215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56" s="3" t="str">
        <f>HYPERLINK("https://otsuka-europe-crm.veevavault.com/ui/#object/sent_email__v/VBLZ025E82HKT3Y", "SE-000287655")</f>
        <v>SE-000287655</v>
      </c>
      <c r="D21556" s="1">
        <v>45945.488449074073</v>
      </c>
      <c r="E21556" s="2">
        <v>1</v>
      </c>
      <c r="F21556" s="2">
        <v>1</v>
      </c>
      <c r="G21556" s="2">
        <v>0</v>
      </c>
      <c r="H21556" s="1" t="s">
        <v>0</v>
      </c>
      <c r="I21556" s="2">
        <v>0</v>
      </c>
      <c r="J21556" s="1">
        <v>45945.380428240744</v>
      </c>
    </row>
    <row r="21557" spans="1:10" x14ac:dyDescent="0.2">
      <c r="A21557" s="4" t="s">
        <v>1</v>
      </c>
      <c r="B215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57" s="3" t="str">
        <f>HYPERLINK("https://otsuka-europe-crm.veevavault.com/ui/#object/sent_email__v/VBLZ025E82HKT3Z", "SE-000287656")</f>
        <v>SE-000287656</v>
      </c>
      <c r="D21557" s="1" t="s">
        <v>0</v>
      </c>
      <c r="E21557" s="2">
        <v>0</v>
      </c>
      <c r="F21557" s="2">
        <v>0</v>
      </c>
      <c r="G21557" s="2">
        <v>0</v>
      </c>
      <c r="H21557" s="1" t="s">
        <v>0</v>
      </c>
      <c r="I21557" s="2">
        <v>0</v>
      </c>
      <c r="J21557" s="1">
        <v>45945.380555555559</v>
      </c>
    </row>
    <row r="21558" spans="1:10" x14ac:dyDescent="0.2">
      <c r="A21558" s="4" t="s">
        <v>1</v>
      </c>
      <c r="B215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58" s="3" t="str">
        <f>HYPERLINK("https://otsuka-europe-crm.veevavault.com/ui/#object/sent_email__v/VBLZ025E82HKT40", "SE-000287657")</f>
        <v>SE-000287657</v>
      </c>
      <c r="D21558" s="1" t="s">
        <v>0</v>
      </c>
      <c r="E21558" s="2">
        <v>0</v>
      </c>
      <c r="F21558" s="2">
        <v>0</v>
      </c>
      <c r="G21558" s="2">
        <v>0</v>
      </c>
      <c r="H21558" s="1" t="s">
        <v>0</v>
      </c>
      <c r="I21558" s="2">
        <v>0</v>
      </c>
      <c r="J21558" s="1">
        <v>45945.380555555559</v>
      </c>
    </row>
    <row r="21559" spans="1:10" x14ac:dyDescent="0.2">
      <c r="A21559" s="4" t="s">
        <v>1</v>
      </c>
      <c r="B215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59" s="3" t="str">
        <f>HYPERLINK("https://otsuka-europe-crm.veevavault.com/ui/#object/sent_email__v/VBLZ025E82HKT41", "SE-000287658")</f>
        <v>SE-000287658</v>
      </c>
      <c r="D21559" s="1" t="s">
        <v>0</v>
      </c>
      <c r="E21559" s="2">
        <v>0</v>
      </c>
      <c r="F21559" s="2">
        <v>0</v>
      </c>
      <c r="G21559" s="2">
        <v>0</v>
      </c>
      <c r="H21559" s="1" t="s">
        <v>0</v>
      </c>
      <c r="I21559" s="2">
        <v>0</v>
      </c>
      <c r="J21559" s="1">
        <v>45945.380428240744</v>
      </c>
    </row>
    <row r="21560" spans="1:10" x14ac:dyDescent="0.2">
      <c r="A21560" s="4" t="s">
        <v>1</v>
      </c>
      <c r="B215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60" s="3" t="str">
        <f>HYPERLINK("https://otsuka-europe-crm.veevavault.com/ui/#object/sent_email__v/VBLZ025E82HKT42", "SE-000287659")</f>
        <v>SE-000287659</v>
      </c>
      <c r="D21560" s="1">
        <v>45959.860312500001</v>
      </c>
      <c r="E21560" s="2">
        <v>1</v>
      </c>
      <c r="F21560" s="2">
        <v>1</v>
      </c>
      <c r="G21560" s="2">
        <v>0</v>
      </c>
      <c r="H21560" s="1" t="s">
        <v>0</v>
      </c>
      <c r="I21560" s="2">
        <v>0</v>
      </c>
      <c r="J21560" s="1">
        <v>45945.380486111113</v>
      </c>
    </row>
    <row r="21561" spans="1:10" x14ac:dyDescent="0.2">
      <c r="A21561" s="4" t="s">
        <v>1</v>
      </c>
      <c r="B215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61" s="3" t="str">
        <f>HYPERLINK("https://otsuka-europe-crm.veevavault.com/ui/#object/sent_email__v/VBLZ025E82HKT43", "SE-000287660")</f>
        <v>SE-000287660</v>
      </c>
      <c r="D21561" s="1">
        <v>45945.420995370368</v>
      </c>
      <c r="E21561" s="2">
        <v>1</v>
      </c>
      <c r="F21561" s="2">
        <v>1</v>
      </c>
      <c r="G21561" s="2">
        <v>0</v>
      </c>
      <c r="H21561" s="1" t="s">
        <v>0</v>
      </c>
      <c r="I21561" s="2">
        <v>0</v>
      </c>
      <c r="J21561" s="1">
        <v>45945.380543981482</v>
      </c>
    </row>
    <row r="21562" spans="1:10" x14ac:dyDescent="0.2">
      <c r="A21562" s="4" t="s">
        <v>1</v>
      </c>
      <c r="B215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62" s="3" t="str">
        <f>HYPERLINK("https://otsuka-europe-crm.veevavault.com/ui/#object/sent_email__v/VBLZ025E82HKT44", "SE-000287661")</f>
        <v>SE-000287661</v>
      </c>
      <c r="D21562" s="1" t="s">
        <v>0</v>
      </c>
      <c r="E21562" s="2">
        <v>0</v>
      </c>
      <c r="F21562" s="2">
        <v>0</v>
      </c>
      <c r="G21562" s="2">
        <v>0</v>
      </c>
      <c r="H21562" s="1" t="s">
        <v>0</v>
      </c>
      <c r="I21562" s="2">
        <v>0</v>
      </c>
      <c r="J21562" s="1">
        <v>45945.380578703705</v>
      </c>
    </row>
    <row r="21563" spans="1:10" x14ac:dyDescent="0.2">
      <c r="A21563" s="4" t="s">
        <v>1</v>
      </c>
      <c r="B215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63" s="3" t="str">
        <f>HYPERLINK("https://otsuka-europe-crm.veevavault.com/ui/#object/sent_email__v/VBLZ025E82HKT45", "SE-000287662")</f>
        <v>SE-000287662</v>
      </c>
      <c r="D21563" s="1" t="s">
        <v>0</v>
      </c>
      <c r="E21563" s="2">
        <v>0</v>
      </c>
      <c r="F21563" s="2">
        <v>0</v>
      </c>
      <c r="G21563" s="2">
        <v>0</v>
      </c>
      <c r="H21563" s="1" t="s">
        <v>0</v>
      </c>
      <c r="I21563" s="2">
        <v>0</v>
      </c>
      <c r="J21563" s="1">
        <v>45945.380555555559</v>
      </c>
    </row>
    <row r="21564" spans="1:10" x14ac:dyDescent="0.2">
      <c r="A21564" s="4" t="s">
        <v>1</v>
      </c>
      <c r="B215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64" s="3" t="str">
        <f>HYPERLINK("https://otsuka-europe-crm.veevavault.com/ui/#object/sent_email__v/VBLZ025E82HKT46", "SE-000287663")</f>
        <v>SE-000287663</v>
      </c>
      <c r="D21564" s="1">
        <v>45970.311874999999</v>
      </c>
      <c r="E21564" s="2">
        <v>1</v>
      </c>
      <c r="F21564" s="2">
        <v>1</v>
      </c>
      <c r="G21564" s="2">
        <v>0</v>
      </c>
      <c r="H21564" s="1" t="s">
        <v>0</v>
      </c>
      <c r="I21564" s="2">
        <v>0</v>
      </c>
      <c r="J21564" s="1">
        <v>45945.380416666667</v>
      </c>
    </row>
    <row r="21565" spans="1:10" x14ac:dyDescent="0.2">
      <c r="A21565" s="4" t="s">
        <v>1</v>
      </c>
      <c r="B215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65" s="3" t="str">
        <f>HYPERLINK("https://otsuka-europe-crm.veevavault.com/ui/#object/sent_email__v/VBLZ025E82HKT47", "SE-000287664")</f>
        <v>SE-000287664</v>
      </c>
      <c r="D21565" s="1">
        <v>45957.773020833331</v>
      </c>
      <c r="E21565" s="2">
        <v>1</v>
      </c>
      <c r="F21565" s="2">
        <v>2</v>
      </c>
      <c r="G21565" s="2">
        <v>0</v>
      </c>
      <c r="H21565" s="1" t="s">
        <v>0</v>
      </c>
      <c r="I21565" s="2">
        <v>0</v>
      </c>
      <c r="J21565" s="1">
        <v>45945.380555555559</v>
      </c>
    </row>
    <row r="21566" spans="1:10" x14ac:dyDescent="0.2">
      <c r="A21566" s="4" t="s">
        <v>1</v>
      </c>
      <c r="B215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66" s="3" t="str">
        <f>HYPERLINK("https://otsuka-europe-crm.veevavault.com/ui/#object/sent_email__v/VBLZ025E82HKT48", "SE-000287665")</f>
        <v>SE-000287665</v>
      </c>
      <c r="D21566" s="1">
        <v>45946.758032407408</v>
      </c>
      <c r="E21566" s="2">
        <v>1</v>
      </c>
      <c r="F21566" s="2">
        <v>4</v>
      </c>
      <c r="G21566" s="2">
        <v>0</v>
      </c>
      <c r="H21566" s="1" t="s">
        <v>0</v>
      </c>
      <c r="I21566" s="2">
        <v>0</v>
      </c>
      <c r="J21566" s="1">
        <v>45945.38045138889</v>
      </c>
    </row>
    <row r="21567" spans="1:10" x14ac:dyDescent="0.2">
      <c r="A21567" s="4" t="s">
        <v>1</v>
      </c>
      <c r="B215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67" s="3" t="str">
        <f>HYPERLINK("https://otsuka-europe-crm.veevavault.com/ui/#object/sent_email__v/VBLZ025E82HKT49", "SE-000287666")</f>
        <v>SE-000287666</v>
      </c>
      <c r="D21567" s="1">
        <v>45945.838738425926</v>
      </c>
      <c r="E21567" s="2">
        <v>1</v>
      </c>
      <c r="F21567" s="2">
        <v>2</v>
      </c>
      <c r="G21567" s="2">
        <v>0</v>
      </c>
      <c r="H21567" s="1" t="s">
        <v>0</v>
      </c>
      <c r="I21567" s="2">
        <v>0</v>
      </c>
      <c r="J21567" s="1">
        <v>45945.38045138889</v>
      </c>
    </row>
    <row r="21568" spans="1:10" x14ac:dyDescent="0.2">
      <c r="A21568" s="4" t="s">
        <v>1</v>
      </c>
      <c r="B215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68" s="3" t="str">
        <f>HYPERLINK("https://otsuka-europe-crm.veevavault.com/ui/#object/sent_email__v/VBLZ025E82HKT4A", "SE-000287667")</f>
        <v>SE-000287667</v>
      </c>
      <c r="D21568" s="1">
        <v>45947.554791666669</v>
      </c>
      <c r="E21568" s="2">
        <v>1</v>
      </c>
      <c r="F21568" s="2">
        <v>1</v>
      </c>
      <c r="G21568" s="2">
        <v>0</v>
      </c>
      <c r="H21568" s="1" t="s">
        <v>0</v>
      </c>
      <c r="I21568" s="2">
        <v>0</v>
      </c>
      <c r="J21568" s="1">
        <v>45945.380486111113</v>
      </c>
    </row>
    <row r="21569" spans="1:10" x14ac:dyDescent="0.2">
      <c r="A21569" s="4" t="s">
        <v>1</v>
      </c>
      <c r="B215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69" s="3" t="str">
        <f>HYPERLINK("https://otsuka-europe-crm.veevavault.com/ui/#object/sent_email__v/VBLZ025E82HKT4B", "SE-000287668")</f>
        <v>SE-000287668</v>
      </c>
      <c r="D21569" s="1">
        <v>46005.432546296295</v>
      </c>
      <c r="E21569" s="2">
        <v>1</v>
      </c>
      <c r="F21569" s="2">
        <v>3</v>
      </c>
      <c r="G21569" s="2">
        <v>1</v>
      </c>
      <c r="H21569" s="1">
        <v>45947.455833333333</v>
      </c>
      <c r="I21569" s="2">
        <v>1</v>
      </c>
      <c r="J21569" s="1">
        <v>45945.380393518521</v>
      </c>
    </row>
    <row r="21570" spans="1:10" x14ac:dyDescent="0.2">
      <c r="A21570" s="4" t="s">
        <v>1</v>
      </c>
      <c r="B215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70" s="3" t="str">
        <f>HYPERLINK("https://otsuka-europe-crm.veevavault.com/ui/#object/sent_email__v/VBLZ025E82HKT4C", "SE-000287669")</f>
        <v>SE-000287669</v>
      </c>
      <c r="D21570" s="1">
        <v>45945.471458333333</v>
      </c>
      <c r="E21570" s="2">
        <v>1</v>
      </c>
      <c r="F21570" s="2">
        <v>1</v>
      </c>
      <c r="G21570" s="2">
        <v>0</v>
      </c>
      <c r="H21570" s="1" t="s">
        <v>0</v>
      </c>
      <c r="I21570" s="2">
        <v>0</v>
      </c>
      <c r="J21570" s="1">
        <v>45945.380439814813</v>
      </c>
    </row>
    <row r="21571" spans="1:10" x14ac:dyDescent="0.2">
      <c r="A21571" s="4" t="s">
        <v>1</v>
      </c>
      <c r="B215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71" s="3" t="str">
        <f>HYPERLINK("https://otsuka-europe-crm.veevavault.com/ui/#object/sent_email__v/VBLZ025E82HKT4D", "SE-000287670")</f>
        <v>SE-000287670</v>
      </c>
      <c r="D21571" s="1" t="s">
        <v>0</v>
      </c>
      <c r="E21571" s="2">
        <v>0</v>
      </c>
      <c r="F21571" s="2">
        <v>0</v>
      </c>
      <c r="G21571" s="2">
        <v>0</v>
      </c>
      <c r="H21571" s="1" t="s">
        <v>0</v>
      </c>
      <c r="I21571" s="2">
        <v>0</v>
      </c>
      <c r="J21571" s="1">
        <v>45945.38045138889</v>
      </c>
    </row>
    <row r="21572" spans="1:10" x14ac:dyDescent="0.2">
      <c r="A21572" s="4" t="s">
        <v>1</v>
      </c>
      <c r="B215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72" s="3" t="str">
        <f>HYPERLINK("https://otsuka-europe-crm.veevavault.com/ui/#object/sent_email__v/VBLZ025E82HKT4E", "SE-000287671")</f>
        <v>SE-000287671</v>
      </c>
      <c r="D21572" s="1">
        <v>45945.464571759258</v>
      </c>
      <c r="E21572" s="2">
        <v>1</v>
      </c>
      <c r="F21572" s="2">
        <v>2</v>
      </c>
      <c r="G21572" s="2">
        <v>0</v>
      </c>
      <c r="H21572" s="1" t="s">
        <v>0</v>
      </c>
      <c r="I21572" s="2">
        <v>0</v>
      </c>
      <c r="J21572" s="1">
        <v>45945.380509259259</v>
      </c>
    </row>
    <row r="21573" spans="1:10" x14ac:dyDescent="0.2">
      <c r="A21573" s="4" t="s">
        <v>1</v>
      </c>
      <c r="B215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73" s="3" t="str">
        <f>HYPERLINK("https://otsuka-europe-crm.veevavault.com/ui/#object/sent_email__v/VBLZ025E82HKT4F", "SE-000287672")</f>
        <v>SE-000287672</v>
      </c>
      <c r="D21573" s="1">
        <v>45977.027268518519</v>
      </c>
      <c r="E21573" s="2">
        <v>1</v>
      </c>
      <c r="F21573" s="2">
        <v>2</v>
      </c>
      <c r="G21573" s="2">
        <v>0</v>
      </c>
      <c r="H21573" s="1" t="s">
        <v>0</v>
      </c>
      <c r="I21573" s="2">
        <v>0</v>
      </c>
      <c r="J21573" s="1">
        <v>45945.380543981482</v>
      </c>
    </row>
    <row r="21574" spans="1:10" x14ac:dyDescent="0.2">
      <c r="A21574" s="4" t="s">
        <v>1</v>
      </c>
      <c r="B215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74" s="3" t="str">
        <f>HYPERLINK("https://otsuka-europe-crm.veevavault.com/ui/#object/sent_email__v/VBLZ025E82HKT4G", "SE-000287673")</f>
        <v>SE-000287673</v>
      </c>
      <c r="D21574" s="1" t="s">
        <v>0</v>
      </c>
      <c r="E21574" s="2">
        <v>0</v>
      </c>
      <c r="F21574" s="2">
        <v>0</v>
      </c>
      <c r="G21574" s="2">
        <v>0</v>
      </c>
      <c r="H21574" s="1" t="s">
        <v>0</v>
      </c>
      <c r="I21574" s="2">
        <v>0</v>
      </c>
      <c r="J21574" s="1">
        <v>45945.380532407406</v>
      </c>
    </row>
    <row r="21575" spans="1:10" x14ac:dyDescent="0.2">
      <c r="A21575" s="4" t="s">
        <v>1</v>
      </c>
      <c r="B215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75" s="3" t="str">
        <f>HYPERLINK("https://otsuka-europe-crm.veevavault.com/ui/#object/sent_email__v/VBLZ025E82HKT4H", "SE-000287674")</f>
        <v>SE-000287674</v>
      </c>
      <c r="D21575" s="1" t="s">
        <v>0</v>
      </c>
      <c r="E21575" s="2">
        <v>0</v>
      </c>
      <c r="F21575" s="2">
        <v>0</v>
      </c>
      <c r="G21575" s="2">
        <v>0</v>
      </c>
      <c r="H21575" s="1" t="s">
        <v>0</v>
      </c>
      <c r="I21575" s="2">
        <v>0</v>
      </c>
      <c r="J21575" s="1">
        <v>45945.380543981482</v>
      </c>
    </row>
    <row r="21576" spans="1:10" x14ac:dyDescent="0.2">
      <c r="A21576" s="4" t="s">
        <v>1</v>
      </c>
      <c r="B215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76" s="3" t="str">
        <f>HYPERLINK("https://otsuka-europe-crm.veevavault.com/ui/#object/sent_email__v/VBLZ025E82HKT4I", "SE-000287675")</f>
        <v>SE-000287675</v>
      </c>
      <c r="D21576" s="1" t="s">
        <v>0</v>
      </c>
      <c r="E21576" s="2">
        <v>0</v>
      </c>
      <c r="F21576" s="2">
        <v>0</v>
      </c>
      <c r="G21576" s="2">
        <v>0</v>
      </c>
      <c r="H21576" s="1" t="s">
        <v>0</v>
      </c>
      <c r="I21576" s="2">
        <v>0</v>
      </c>
      <c r="J21576" s="1">
        <v>45945.380509259259</v>
      </c>
    </row>
    <row r="21577" spans="1:10" x14ac:dyDescent="0.2">
      <c r="A21577" s="4" t="s">
        <v>1</v>
      </c>
      <c r="B215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77" s="3" t="str">
        <f>HYPERLINK("https://otsuka-europe-crm.veevavault.com/ui/#object/sent_email__v/VBLZ025E82HKT4J", "SE-000287676")</f>
        <v>SE-000287676</v>
      </c>
      <c r="D21577" s="1">
        <v>45945.391030092593</v>
      </c>
      <c r="E21577" s="2">
        <v>1</v>
      </c>
      <c r="F21577" s="2">
        <v>1</v>
      </c>
      <c r="G21577" s="2">
        <v>0</v>
      </c>
      <c r="H21577" s="1" t="s">
        <v>0</v>
      </c>
      <c r="I21577" s="2">
        <v>0</v>
      </c>
      <c r="J21577" s="1">
        <v>45945.380520833336</v>
      </c>
    </row>
    <row r="21578" spans="1:10" x14ac:dyDescent="0.2">
      <c r="A21578" s="4" t="s">
        <v>1</v>
      </c>
      <c r="B215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78" s="3" t="str">
        <f>HYPERLINK("https://otsuka-europe-crm.veevavault.com/ui/#object/sent_email__v/VBLZ025E82HKT4K", "SE-000287677")</f>
        <v>SE-000287677</v>
      </c>
      <c r="D21578" s="1" t="s">
        <v>0</v>
      </c>
      <c r="E21578" s="2">
        <v>0</v>
      </c>
      <c r="F21578" s="2">
        <v>0</v>
      </c>
      <c r="G21578" s="2">
        <v>0</v>
      </c>
      <c r="H21578" s="1" t="s">
        <v>0</v>
      </c>
      <c r="I21578" s="2">
        <v>0</v>
      </c>
      <c r="J21578" s="1">
        <v>45945.380543981482</v>
      </c>
    </row>
    <row r="21579" spans="1:10" x14ac:dyDescent="0.2">
      <c r="A21579" s="4" t="s">
        <v>1</v>
      </c>
      <c r="B215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79" s="3" t="str">
        <f>HYPERLINK("https://otsuka-europe-crm.veevavault.com/ui/#object/sent_email__v/VBLZ025E82HKT4L", "SE-000287678")</f>
        <v>SE-000287678</v>
      </c>
      <c r="D21579" s="1">
        <v>45963.986886574072</v>
      </c>
      <c r="E21579" s="2">
        <v>1</v>
      </c>
      <c r="F21579" s="2">
        <v>4</v>
      </c>
      <c r="G21579" s="2">
        <v>0</v>
      </c>
      <c r="H21579" s="1" t="s">
        <v>0</v>
      </c>
      <c r="I21579" s="2">
        <v>0</v>
      </c>
      <c r="J21579" s="1">
        <v>45945.380497685182</v>
      </c>
    </row>
    <row r="21580" spans="1:10" x14ac:dyDescent="0.2">
      <c r="A21580" s="4" t="s">
        <v>1</v>
      </c>
      <c r="B215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80" s="3" t="str">
        <f>HYPERLINK("https://otsuka-europe-crm.veevavault.com/ui/#object/sent_email__v/VBLZ025E82HKT4M", "SE-000287679")</f>
        <v>SE-000287679</v>
      </c>
      <c r="D21580" s="1" t="s">
        <v>0</v>
      </c>
      <c r="E21580" s="2">
        <v>0</v>
      </c>
      <c r="F21580" s="2">
        <v>0</v>
      </c>
      <c r="G21580" s="2">
        <v>0</v>
      </c>
      <c r="H21580" s="1" t="s">
        <v>0</v>
      </c>
      <c r="I21580" s="2">
        <v>0</v>
      </c>
      <c r="J21580" s="1">
        <v>45945.380497685182</v>
      </c>
    </row>
    <row r="21581" spans="1:10" x14ac:dyDescent="0.2">
      <c r="A21581" s="4" t="s">
        <v>1</v>
      </c>
      <c r="B215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81" s="3" t="str">
        <f>HYPERLINK("https://otsuka-europe-crm.veevavault.com/ui/#object/sent_email__v/VBLZ025E82HKT4N", "SE-000287680")</f>
        <v>SE-000287680</v>
      </c>
      <c r="D21581" s="1" t="s">
        <v>0</v>
      </c>
      <c r="E21581" s="2">
        <v>0</v>
      </c>
      <c r="F21581" s="2">
        <v>0</v>
      </c>
      <c r="G21581" s="2">
        <v>0</v>
      </c>
      <c r="H21581" s="1" t="s">
        <v>0</v>
      </c>
      <c r="I21581" s="2">
        <v>0</v>
      </c>
      <c r="J21581" s="1">
        <v>45945.380520833336</v>
      </c>
    </row>
    <row r="21582" spans="1:10" x14ac:dyDescent="0.2">
      <c r="A21582" s="4" t="s">
        <v>1</v>
      </c>
      <c r="B215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82" s="3" t="str">
        <f>HYPERLINK("https://otsuka-europe-crm.veevavault.com/ui/#object/sent_email__v/VBLZ025E82HKT4O", "SE-000287681")</f>
        <v>SE-000287681</v>
      </c>
      <c r="D21582" s="1" t="s">
        <v>0</v>
      </c>
      <c r="E21582" s="2">
        <v>0</v>
      </c>
      <c r="F21582" s="2">
        <v>0</v>
      </c>
      <c r="G21582" s="2">
        <v>0</v>
      </c>
      <c r="H21582" s="1" t="s">
        <v>0</v>
      </c>
      <c r="I21582" s="2">
        <v>0</v>
      </c>
      <c r="J21582" s="1">
        <v>45945.380474537036</v>
      </c>
    </row>
    <row r="21583" spans="1:10" x14ac:dyDescent="0.2">
      <c r="A21583" s="4" t="s">
        <v>1</v>
      </c>
      <c r="B215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83" s="3" t="str">
        <f>HYPERLINK("https://otsuka-europe-crm.veevavault.com/ui/#object/sent_email__v/VBLZ025E82HKTEL", "SE-000287682")</f>
        <v>SE-000287682</v>
      </c>
      <c r="D21583" s="1">
        <v>45945.405428240738</v>
      </c>
      <c r="E21583" s="2">
        <v>1</v>
      </c>
      <c r="F21583" s="2">
        <v>1</v>
      </c>
      <c r="G21583" s="2">
        <v>0</v>
      </c>
      <c r="H21583" s="1" t="s">
        <v>0</v>
      </c>
      <c r="I21583" s="2">
        <v>0</v>
      </c>
      <c r="J21583" s="1">
        <v>45945.38140046296</v>
      </c>
    </row>
    <row r="21584" spans="1:10" x14ac:dyDescent="0.2">
      <c r="A21584" s="4" t="s">
        <v>1</v>
      </c>
      <c r="B215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84" s="3" t="str">
        <f>HYPERLINK("https://otsuka-europe-crm.veevavault.com/ui/#object/sent_email__v/VBLZ025E82HKTEM", "SE-000287683")</f>
        <v>SE-000287683</v>
      </c>
      <c r="D21584" s="1" t="s">
        <v>0</v>
      </c>
      <c r="E21584" s="2">
        <v>0</v>
      </c>
      <c r="F21584" s="2">
        <v>0</v>
      </c>
      <c r="G21584" s="2">
        <v>0</v>
      </c>
      <c r="H21584" s="1" t="s">
        <v>0</v>
      </c>
      <c r="I21584" s="2">
        <v>0</v>
      </c>
      <c r="J21584" s="1">
        <v>45945.381412037037</v>
      </c>
    </row>
    <row r="21585" spans="1:10" x14ac:dyDescent="0.2">
      <c r="A21585" s="4" t="s">
        <v>1</v>
      </c>
      <c r="B215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85" s="3" t="str">
        <f>HYPERLINK("https://otsuka-europe-crm.veevavault.com/ui/#object/sent_email__v/VBLZ025E82HKTEN", "SE-000287684")</f>
        <v>SE-000287684</v>
      </c>
      <c r="D21585" s="1">
        <v>45945.610196759262</v>
      </c>
      <c r="E21585" s="2">
        <v>1</v>
      </c>
      <c r="F21585" s="2">
        <v>1</v>
      </c>
      <c r="G21585" s="2">
        <v>0</v>
      </c>
      <c r="H21585" s="1" t="s">
        <v>0</v>
      </c>
      <c r="I21585" s="2">
        <v>0</v>
      </c>
      <c r="J21585" s="1">
        <v>45945.381412037037</v>
      </c>
    </row>
    <row r="21586" spans="1:10" x14ac:dyDescent="0.2">
      <c r="A21586" s="4" t="s">
        <v>1</v>
      </c>
      <c r="B215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86" s="3" t="str">
        <f>HYPERLINK("https://otsuka-europe-crm.veevavault.com/ui/#object/sent_email__v/VBLZ025E82HKTEO", "SE-000287685")</f>
        <v>SE-000287685</v>
      </c>
      <c r="D21586" s="1">
        <v>45946.723587962966</v>
      </c>
      <c r="E21586" s="2">
        <v>1</v>
      </c>
      <c r="F21586" s="2">
        <v>1</v>
      </c>
      <c r="G21586" s="2">
        <v>0</v>
      </c>
      <c r="H21586" s="1" t="s">
        <v>0</v>
      </c>
      <c r="I21586" s="2">
        <v>0</v>
      </c>
      <c r="J21586" s="1">
        <v>45945.381423611114</v>
      </c>
    </row>
    <row r="21587" spans="1:10" x14ac:dyDescent="0.2">
      <c r="A21587" s="4" t="s">
        <v>1</v>
      </c>
      <c r="B215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87" s="3" t="str">
        <f>HYPERLINK("https://otsuka-europe-crm.veevavault.com/ui/#object/sent_email__v/VBLZ025E82HKTEP", "SE-000287686")</f>
        <v>SE-000287686</v>
      </c>
      <c r="D21587" s="1">
        <v>45945.416909722226</v>
      </c>
      <c r="E21587" s="2">
        <v>1</v>
      </c>
      <c r="F21587" s="2">
        <v>1</v>
      </c>
      <c r="G21587" s="2">
        <v>0</v>
      </c>
      <c r="H21587" s="1" t="s">
        <v>0</v>
      </c>
      <c r="I21587" s="2">
        <v>0</v>
      </c>
      <c r="J21587" s="1">
        <v>45945.381423611114</v>
      </c>
    </row>
    <row r="21588" spans="1:10" x14ac:dyDescent="0.2">
      <c r="A21588" s="4" t="s">
        <v>1</v>
      </c>
      <c r="B215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88" s="3" t="str">
        <f>HYPERLINK("https://otsuka-europe-crm.veevavault.com/ui/#object/sent_email__v/VBLZ025E82HKTEQ", "SE-000287687")</f>
        <v>SE-000287687</v>
      </c>
      <c r="D21588" s="1">
        <v>45945.38821759259</v>
      </c>
      <c r="E21588" s="2">
        <v>1</v>
      </c>
      <c r="F21588" s="2">
        <v>1</v>
      </c>
      <c r="G21588" s="2">
        <v>0</v>
      </c>
      <c r="H21588" s="1" t="s">
        <v>0</v>
      </c>
      <c r="I21588" s="2">
        <v>0</v>
      </c>
      <c r="J21588" s="1">
        <v>45945.38144675926</v>
      </c>
    </row>
    <row r="21589" spans="1:10" x14ac:dyDescent="0.2">
      <c r="A21589" s="4" t="s">
        <v>1</v>
      </c>
      <c r="B215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89" s="3" t="str">
        <f>HYPERLINK("https://otsuka-europe-crm.veevavault.com/ui/#object/sent_email__v/VBLZ025E82HKTER", "SE-000287688")</f>
        <v>SE-000287688</v>
      </c>
      <c r="D21589" s="1">
        <v>45948.794409722221</v>
      </c>
      <c r="E21589" s="2">
        <v>1</v>
      </c>
      <c r="F21589" s="2">
        <v>1</v>
      </c>
      <c r="G21589" s="2">
        <v>0</v>
      </c>
      <c r="H21589" s="1" t="s">
        <v>0</v>
      </c>
      <c r="I21589" s="2">
        <v>0</v>
      </c>
      <c r="J21589" s="1">
        <v>45945.381458333337</v>
      </c>
    </row>
    <row r="21590" spans="1:10" x14ac:dyDescent="0.2">
      <c r="A21590" s="4" t="s">
        <v>1</v>
      </c>
      <c r="B215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90" s="3" t="str">
        <f>HYPERLINK("https://otsuka-europe-crm.veevavault.com/ui/#object/sent_email__v/VBLZ025E82HKTES", "SE-000287689")</f>
        <v>SE-000287689</v>
      </c>
      <c r="D21590" s="1">
        <v>45945.400046296294</v>
      </c>
      <c r="E21590" s="2">
        <v>1</v>
      </c>
      <c r="F21590" s="2">
        <v>1</v>
      </c>
      <c r="G21590" s="2">
        <v>0</v>
      </c>
      <c r="H21590" s="1" t="s">
        <v>0</v>
      </c>
      <c r="I21590" s="2">
        <v>0</v>
      </c>
      <c r="J21590" s="1">
        <v>45945.381458333337</v>
      </c>
    </row>
    <row r="21591" spans="1:10" x14ac:dyDescent="0.2">
      <c r="A21591" s="4" t="s">
        <v>1</v>
      </c>
      <c r="B215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91" s="3" t="str">
        <f>HYPERLINK("https://otsuka-europe-crm.veevavault.com/ui/#object/sent_email__v/VBLZ025E82HKTET", "SE-000287690")</f>
        <v>SE-000287690</v>
      </c>
      <c r="D21591" s="1">
        <v>45952.035381944443</v>
      </c>
      <c r="E21591" s="2">
        <v>1</v>
      </c>
      <c r="F21591" s="2">
        <v>2</v>
      </c>
      <c r="G21591" s="2">
        <v>0</v>
      </c>
      <c r="H21591" s="1" t="s">
        <v>0</v>
      </c>
      <c r="I21591" s="2">
        <v>0</v>
      </c>
      <c r="J21591" s="1">
        <v>45945.381469907406</v>
      </c>
    </row>
    <row r="21592" spans="1:10" x14ac:dyDescent="0.2">
      <c r="A21592" s="4" t="s">
        <v>1</v>
      </c>
      <c r="B215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92" s="3" t="str">
        <f>HYPERLINK("https://otsuka-europe-crm.veevavault.com/ui/#object/sent_email__v/VBLZ025E82HKTEU", "SE-000287691")</f>
        <v>SE-000287691</v>
      </c>
      <c r="D21592" s="1">
        <v>45945.448738425926</v>
      </c>
      <c r="E21592" s="2">
        <v>1</v>
      </c>
      <c r="F21592" s="2">
        <v>1</v>
      </c>
      <c r="G21592" s="2">
        <v>0</v>
      </c>
      <c r="H21592" s="1" t="s">
        <v>0</v>
      </c>
      <c r="I21592" s="2">
        <v>0</v>
      </c>
      <c r="J21592" s="1">
        <v>45945.381481481483</v>
      </c>
    </row>
    <row r="21593" spans="1:10" x14ac:dyDescent="0.2">
      <c r="A21593" s="4" t="s">
        <v>1</v>
      </c>
      <c r="B215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93" s="3" t="str">
        <f>HYPERLINK("https://otsuka-europe-crm.veevavault.com/ui/#object/sent_email__v/VBLZ025E82HKTEV", "SE-000287692")</f>
        <v>SE-000287692</v>
      </c>
      <c r="D21593" s="1" t="s">
        <v>0</v>
      </c>
      <c r="E21593" s="2">
        <v>0</v>
      </c>
      <c r="F21593" s="2">
        <v>0</v>
      </c>
      <c r="G21593" s="2">
        <v>0</v>
      </c>
      <c r="H21593" s="1" t="s">
        <v>0</v>
      </c>
      <c r="I21593" s="2">
        <v>0</v>
      </c>
      <c r="J21593" s="1">
        <v>45945.381481481483</v>
      </c>
    </row>
    <row r="21594" spans="1:10" x14ac:dyDescent="0.2">
      <c r="A21594" s="4" t="s">
        <v>1</v>
      </c>
      <c r="B215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94" s="3" t="str">
        <f>HYPERLINK("https://otsuka-europe-crm.veevavault.com/ui/#object/sent_email__v/VBLZ025E82HKTEW", "SE-000287693")</f>
        <v>SE-000287693</v>
      </c>
      <c r="D21594" s="1">
        <v>45945.38181712963</v>
      </c>
      <c r="E21594" s="2">
        <v>1</v>
      </c>
      <c r="F21594" s="2">
        <v>1</v>
      </c>
      <c r="G21594" s="2">
        <v>0</v>
      </c>
      <c r="H21594" s="1" t="s">
        <v>0</v>
      </c>
      <c r="I21594" s="2">
        <v>0</v>
      </c>
      <c r="J21594" s="1">
        <v>45945.381493055553</v>
      </c>
    </row>
    <row r="21595" spans="1:10" x14ac:dyDescent="0.2">
      <c r="A21595" s="4" t="s">
        <v>1</v>
      </c>
      <c r="B215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95" s="3" t="str">
        <f>HYPERLINK("https://otsuka-europe-crm.veevavault.com/ui/#object/sent_email__v/VBLZ025E82HKTEX", "SE-000287694")</f>
        <v>SE-000287694</v>
      </c>
      <c r="D21595" s="1">
        <v>45951.269363425927</v>
      </c>
      <c r="E21595" s="2">
        <v>1</v>
      </c>
      <c r="F21595" s="2">
        <v>4</v>
      </c>
      <c r="G21595" s="2">
        <v>1</v>
      </c>
      <c r="H21595" s="1">
        <v>45945.428124999999</v>
      </c>
      <c r="I21595" s="2">
        <v>2</v>
      </c>
      <c r="J21595" s="1">
        <v>45945.381504629629</v>
      </c>
    </row>
    <row r="21596" spans="1:10" x14ac:dyDescent="0.2">
      <c r="A21596" s="4" t="s">
        <v>1</v>
      </c>
      <c r="B215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96" s="3" t="str">
        <f>HYPERLINK("https://otsuka-europe-crm.veevavault.com/ui/#object/sent_email__v/VBLZ025E82HKTEY", "SE-000287695")</f>
        <v>SE-000287695</v>
      </c>
      <c r="D21596" s="1">
        <v>45949.438287037039</v>
      </c>
      <c r="E21596" s="2">
        <v>1</v>
      </c>
      <c r="F21596" s="2">
        <v>1</v>
      </c>
      <c r="G21596" s="2">
        <v>0</v>
      </c>
      <c r="H21596" s="1" t="s">
        <v>0</v>
      </c>
      <c r="I21596" s="2">
        <v>0</v>
      </c>
      <c r="J21596" s="1">
        <v>45945.381516203706</v>
      </c>
    </row>
    <row r="21597" spans="1:10" x14ac:dyDescent="0.2">
      <c r="A21597" s="4" t="s">
        <v>1</v>
      </c>
      <c r="B215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97" s="3" t="str">
        <f>HYPERLINK("https://otsuka-europe-crm.veevavault.com/ui/#object/sent_email__v/VBLZ025E82HKTEZ", "SE-000287696")</f>
        <v>SE-000287696</v>
      </c>
      <c r="D21597" s="1">
        <v>45945.6174537037</v>
      </c>
      <c r="E21597" s="2">
        <v>1</v>
      </c>
      <c r="F21597" s="2">
        <v>3</v>
      </c>
      <c r="G21597" s="2">
        <v>0</v>
      </c>
      <c r="H21597" s="1" t="s">
        <v>0</v>
      </c>
      <c r="I21597" s="2">
        <v>0</v>
      </c>
      <c r="J21597" s="1">
        <v>45945.381527777776</v>
      </c>
    </row>
    <row r="21598" spans="1:10" x14ac:dyDescent="0.2">
      <c r="A21598" s="4" t="s">
        <v>1</v>
      </c>
      <c r="B215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98" s="3" t="str">
        <f>HYPERLINK("https://otsuka-europe-crm.veevavault.com/ui/#object/sent_email__v/VBLZ025E82HKTF0", "SE-000287697")</f>
        <v>SE-000287697</v>
      </c>
      <c r="D21598" s="1">
        <v>45945.456377314818</v>
      </c>
      <c r="E21598" s="2">
        <v>1</v>
      </c>
      <c r="F21598" s="2">
        <v>1</v>
      </c>
      <c r="G21598" s="2">
        <v>0</v>
      </c>
      <c r="H21598" s="1" t="s">
        <v>0</v>
      </c>
      <c r="I21598" s="2">
        <v>0</v>
      </c>
      <c r="J21598" s="1">
        <v>45945.381539351853</v>
      </c>
    </row>
    <row r="21599" spans="1:10" x14ac:dyDescent="0.2">
      <c r="A21599" s="4" t="s">
        <v>1</v>
      </c>
      <c r="B215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599" s="3" t="str">
        <f>HYPERLINK("https://otsuka-europe-crm.veevavault.com/ui/#object/sent_email__v/VBLZ025E82HKTF1", "SE-000287698")</f>
        <v>SE-000287698</v>
      </c>
      <c r="D21599" s="1">
        <v>45945.386053240742</v>
      </c>
      <c r="E21599" s="2">
        <v>1</v>
      </c>
      <c r="F21599" s="2">
        <v>1</v>
      </c>
      <c r="G21599" s="2">
        <v>0</v>
      </c>
      <c r="H21599" s="1" t="s">
        <v>0</v>
      </c>
      <c r="I21599" s="2">
        <v>0</v>
      </c>
      <c r="J21599" s="1">
        <v>45945.381539351853</v>
      </c>
    </row>
    <row r="21600" spans="1:10" x14ac:dyDescent="0.2">
      <c r="A21600" s="4" t="s">
        <v>1</v>
      </c>
      <c r="B216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00" s="3" t="str">
        <f>HYPERLINK("https://otsuka-europe-crm.veevavault.com/ui/#object/sent_email__v/VBLZ025E82HKTF2", "SE-000287699")</f>
        <v>SE-000287699</v>
      </c>
      <c r="D21600" s="1" t="s">
        <v>0</v>
      </c>
      <c r="E21600" s="2">
        <v>0</v>
      </c>
      <c r="F21600" s="2">
        <v>0</v>
      </c>
      <c r="G21600" s="2">
        <v>0</v>
      </c>
      <c r="H21600" s="1" t="s">
        <v>0</v>
      </c>
      <c r="I21600" s="2">
        <v>0</v>
      </c>
      <c r="J21600" s="1">
        <v>45945.381550925929</v>
      </c>
    </row>
    <row r="21601" spans="1:10" x14ac:dyDescent="0.2">
      <c r="A21601" s="4" t="s">
        <v>1</v>
      </c>
      <c r="B216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01" s="3" t="str">
        <f>HYPERLINK("https://otsuka-europe-crm.veevavault.com/ui/#object/sent_email__v/VBLZ025E82HKTF3", "SE-000287700")</f>
        <v>SE-000287700</v>
      </c>
      <c r="D21601" s="1">
        <v>45946.431851851848</v>
      </c>
      <c r="E21601" s="2">
        <v>1</v>
      </c>
      <c r="F21601" s="2">
        <v>1</v>
      </c>
      <c r="G21601" s="2">
        <v>1</v>
      </c>
      <c r="H21601" s="1">
        <v>45946.433993055558</v>
      </c>
      <c r="I21601" s="2">
        <v>2</v>
      </c>
      <c r="J21601" s="1">
        <v>45945.381608796299</v>
      </c>
    </row>
    <row r="21602" spans="1:10" x14ac:dyDescent="0.2">
      <c r="A21602" s="4" t="s">
        <v>1</v>
      </c>
      <c r="B216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02" s="3" t="str">
        <f>HYPERLINK("https://otsuka-europe-crm.veevavault.com/ui/#object/sent_email__v/VBLZ025E82HKTF4", "SE-000287701")</f>
        <v>SE-000287701</v>
      </c>
      <c r="D21602" s="1">
        <v>45951.047175925924</v>
      </c>
      <c r="E21602" s="2">
        <v>1</v>
      </c>
      <c r="F21602" s="2">
        <v>3</v>
      </c>
      <c r="G21602" s="2">
        <v>0</v>
      </c>
      <c r="H21602" s="1" t="s">
        <v>0</v>
      </c>
      <c r="I21602" s="2">
        <v>0</v>
      </c>
      <c r="J21602" s="1">
        <v>45945.381574074076</v>
      </c>
    </row>
    <row r="21603" spans="1:10" x14ac:dyDescent="0.2">
      <c r="A21603" s="4" t="s">
        <v>1</v>
      </c>
      <c r="B216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03" s="3" t="str">
        <f>HYPERLINK("https://otsuka-europe-crm.veevavault.com/ui/#object/sent_email__v/VBLZ025E82HKTF5", "SE-000287702")</f>
        <v>SE-000287702</v>
      </c>
      <c r="D21603" s="1" t="s">
        <v>0</v>
      </c>
      <c r="E21603" s="2">
        <v>0</v>
      </c>
      <c r="F21603" s="2">
        <v>0</v>
      </c>
      <c r="G21603" s="2">
        <v>0</v>
      </c>
      <c r="H21603" s="1" t="s">
        <v>0</v>
      </c>
      <c r="I21603" s="2">
        <v>0</v>
      </c>
      <c r="J21603" s="1">
        <v>45945.381574074076</v>
      </c>
    </row>
    <row r="21604" spans="1:10" x14ac:dyDescent="0.2">
      <c r="A21604" s="4" t="s">
        <v>1</v>
      </c>
      <c r="B216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04" s="3" t="str">
        <f>HYPERLINK("https://otsuka-europe-crm.veevavault.com/ui/#object/sent_email__v/VBLZ025E82HKTF6", "SE-000287703")</f>
        <v>SE-000287703</v>
      </c>
      <c r="D21604" s="1" t="s">
        <v>0</v>
      </c>
      <c r="E21604" s="2">
        <v>0</v>
      </c>
      <c r="F21604" s="2">
        <v>0</v>
      </c>
      <c r="G21604" s="2">
        <v>0</v>
      </c>
      <c r="H21604" s="1" t="s">
        <v>0</v>
      </c>
      <c r="I21604" s="2">
        <v>0</v>
      </c>
      <c r="J21604" s="1">
        <v>45945.381597222222</v>
      </c>
    </row>
    <row r="21605" spans="1:10" x14ac:dyDescent="0.2">
      <c r="A21605" s="4" t="s">
        <v>1</v>
      </c>
      <c r="B216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05" s="3" t="str">
        <f>HYPERLINK("https://otsuka-europe-crm.veevavault.com/ui/#object/sent_email__v/VBLZ025E82HKTF7", "SE-000287704")</f>
        <v>SE-000287704</v>
      </c>
      <c r="D21605" s="1" t="s">
        <v>0</v>
      </c>
      <c r="E21605" s="2">
        <v>0</v>
      </c>
      <c r="F21605" s="2">
        <v>0</v>
      </c>
      <c r="G21605" s="2">
        <v>0</v>
      </c>
      <c r="H21605" s="1" t="s">
        <v>0</v>
      </c>
      <c r="I21605" s="2">
        <v>0</v>
      </c>
      <c r="J21605" s="1">
        <v>45945.381597222222</v>
      </c>
    </row>
    <row r="21606" spans="1:10" x14ac:dyDescent="0.2">
      <c r="A21606" s="4" t="s">
        <v>1</v>
      </c>
      <c r="B216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06" s="3" t="str">
        <f>HYPERLINK("https://otsuka-europe-crm.veevavault.com/ui/#object/sent_email__v/VBLZ025E82HKTF8", "SE-000287705")</f>
        <v>SE-000287705</v>
      </c>
      <c r="D21606" s="1" t="s">
        <v>0</v>
      </c>
      <c r="E21606" s="2">
        <v>0</v>
      </c>
      <c r="F21606" s="2">
        <v>0</v>
      </c>
      <c r="G21606" s="2">
        <v>0</v>
      </c>
      <c r="H21606" s="1" t="s">
        <v>0</v>
      </c>
      <c r="I21606" s="2">
        <v>0</v>
      </c>
      <c r="J21606" s="1">
        <v>45945.381608796299</v>
      </c>
    </row>
    <row r="21607" spans="1:10" x14ac:dyDescent="0.2">
      <c r="A21607" s="4" t="s">
        <v>1</v>
      </c>
      <c r="B216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07" s="3" t="str">
        <f>HYPERLINK("https://otsuka-europe-crm.veevavault.com/ui/#object/sent_email__v/VBLZ025E82HKTF9", "SE-000287706")</f>
        <v>SE-000287706</v>
      </c>
      <c r="D21607" s="1">
        <v>45945.410185185188</v>
      </c>
      <c r="E21607" s="2">
        <v>1</v>
      </c>
      <c r="F21607" s="2">
        <v>1</v>
      </c>
      <c r="G21607" s="2">
        <v>0</v>
      </c>
      <c r="H21607" s="1" t="s">
        <v>0</v>
      </c>
      <c r="I21607" s="2">
        <v>0</v>
      </c>
      <c r="J21607" s="1">
        <v>45945.381620370368</v>
      </c>
    </row>
    <row r="21608" spans="1:10" x14ac:dyDescent="0.2">
      <c r="A21608" s="4" t="s">
        <v>1</v>
      </c>
      <c r="B216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08" s="3" t="str">
        <f>HYPERLINK("https://otsuka-europe-crm.veevavault.com/ui/#object/sent_email__v/VBLZ025E82HKTFA", "SE-000287707")</f>
        <v>SE-000287707</v>
      </c>
      <c r="D21608" s="1" t="s">
        <v>0</v>
      </c>
      <c r="E21608" s="2">
        <v>0</v>
      </c>
      <c r="F21608" s="2">
        <v>0</v>
      </c>
      <c r="G21608" s="2">
        <v>0</v>
      </c>
      <c r="H21608" s="1" t="s">
        <v>0</v>
      </c>
      <c r="I21608" s="2">
        <v>0</v>
      </c>
      <c r="J21608" s="1">
        <v>45945.381620370368</v>
      </c>
    </row>
    <row r="21609" spans="1:10" x14ac:dyDescent="0.2">
      <c r="A21609" s="4" t="s">
        <v>1</v>
      </c>
      <c r="B216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09" s="3" t="str">
        <f>HYPERLINK("https://otsuka-europe-crm.veevavault.com/ui/#object/sent_email__v/VBLZ025E82HKTFB", "SE-000287708")</f>
        <v>SE-000287708</v>
      </c>
      <c r="D21609" s="1">
        <v>45947.341689814813</v>
      </c>
      <c r="E21609" s="2">
        <v>1</v>
      </c>
      <c r="F21609" s="2">
        <v>5</v>
      </c>
      <c r="G21609" s="2">
        <v>0</v>
      </c>
      <c r="H21609" s="1" t="s">
        <v>0</v>
      </c>
      <c r="I21609" s="2">
        <v>0</v>
      </c>
      <c r="J21609" s="1">
        <v>45945.381631944445</v>
      </c>
    </row>
    <row r="21610" spans="1:10" x14ac:dyDescent="0.2">
      <c r="A21610" s="4" t="s">
        <v>1</v>
      </c>
      <c r="B216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10" s="3" t="str">
        <f>HYPERLINK("https://otsuka-europe-crm.veevavault.com/ui/#object/sent_email__v/VBLZ025E82HKTFC", "SE-000287709")</f>
        <v>SE-000287709</v>
      </c>
      <c r="D21610" s="1">
        <v>45945.393645833334</v>
      </c>
      <c r="E21610" s="2">
        <v>1</v>
      </c>
      <c r="F21610" s="2">
        <v>1</v>
      </c>
      <c r="G21610" s="2">
        <v>0</v>
      </c>
      <c r="H21610" s="1" t="s">
        <v>0</v>
      </c>
      <c r="I21610" s="2">
        <v>0</v>
      </c>
      <c r="J21610" s="1">
        <v>45945.381643518522</v>
      </c>
    </row>
    <row r="21611" spans="1:10" x14ac:dyDescent="0.2">
      <c r="A21611" s="4" t="s">
        <v>1</v>
      </c>
      <c r="B216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11" s="3" t="str">
        <f>HYPERLINK("https://otsuka-europe-crm.veevavault.com/ui/#object/sent_email__v/VBLZ025E82HKTFD", "SE-000287710")</f>
        <v>SE-000287710</v>
      </c>
      <c r="D21611" s="1">
        <v>45945.513854166667</v>
      </c>
      <c r="E21611" s="2">
        <v>1</v>
      </c>
      <c r="F21611" s="2">
        <v>1</v>
      </c>
      <c r="G21611" s="2">
        <v>0</v>
      </c>
      <c r="H21611" s="1" t="s">
        <v>0</v>
      </c>
      <c r="I21611" s="2">
        <v>0</v>
      </c>
      <c r="J21611" s="1">
        <v>45945.381655092591</v>
      </c>
    </row>
    <row r="21612" spans="1:10" x14ac:dyDescent="0.2">
      <c r="A21612" s="4" t="s">
        <v>1</v>
      </c>
      <c r="B216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12" s="3" t="str">
        <f>HYPERLINK("https://otsuka-europe-crm.veevavault.com/ui/#object/sent_email__v/VBLZ025E82HKTFE", "SE-000287711")</f>
        <v>SE-000287711</v>
      </c>
      <c r="D21612" s="1">
        <v>46000.778078703705</v>
      </c>
      <c r="E21612" s="2">
        <v>1</v>
      </c>
      <c r="F21612" s="2">
        <v>2</v>
      </c>
      <c r="G21612" s="2">
        <v>0</v>
      </c>
      <c r="H21612" s="1" t="s">
        <v>0</v>
      </c>
      <c r="I21612" s="2">
        <v>0</v>
      </c>
      <c r="J21612" s="1">
        <v>45945.381666666668</v>
      </c>
    </row>
    <row r="21613" spans="1:10" x14ac:dyDescent="0.2">
      <c r="A21613" s="4" t="s">
        <v>1</v>
      </c>
      <c r="B216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13" s="3" t="str">
        <f>HYPERLINK("https://otsuka-europe-crm.veevavault.com/ui/#object/sent_email__v/VBLZ025E82HKTFF", "SE-000287712")</f>
        <v>SE-000287712</v>
      </c>
      <c r="D21613" s="1">
        <v>46013.775289351855</v>
      </c>
      <c r="E21613" s="2">
        <v>1</v>
      </c>
      <c r="F21613" s="2">
        <v>3</v>
      </c>
      <c r="G21613" s="2">
        <v>0</v>
      </c>
      <c r="H21613" s="1" t="s">
        <v>0</v>
      </c>
      <c r="I21613" s="2">
        <v>0</v>
      </c>
      <c r="J21613" s="1">
        <v>45945.381666666668</v>
      </c>
    </row>
    <row r="21614" spans="1:10" x14ac:dyDescent="0.2">
      <c r="A21614" s="4" t="s">
        <v>1</v>
      </c>
      <c r="B216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14" s="3" t="str">
        <f>HYPERLINK("https://otsuka-europe-crm.veevavault.com/ui/#object/sent_email__v/VBLZ025E82HKTFG", "SE-000287713")</f>
        <v>SE-000287713</v>
      </c>
      <c r="D21614" s="1">
        <v>45945.500590277778</v>
      </c>
      <c r="E21614" s="2">
        <v>1</v>
      </c>
      <c r="F21614" s="2">
        <v>2</v>
      </c>
      <c r="G21614" s="2">
        <v>1</v>
      </c>
      <c r="H21614" s="1">
        <v>45945.517696759256</v>
      </c>
      <c r="I21614" s="2">
        <v>8</v>
      </c>
      <c r="J21614" s="1">
        <v>45945.381678240738</v>
      </c>
    </row>
    <row r="21615" spans="1:10" x14ac:dyDescent="0.2">
      <c r="A21615" s="4" t="s">
        <v>1</v>
      </c>
      <c r="B216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15" s="3" t="str">
        <f>HYPERLINK("https://otsuka-europe-crm.veevavault.com/ui/#object/sent_email__v/VBLZ025E82HKTFH", "SE-000287714")</f>
        <v>SE-000287714</v>
      </c>
      <c r="D21615" s="1" t="s">
        <v>0</v>
      </c>
      <c r="E21615" s="2">
        <v>0</v>
      </c>
      <c r="F21615" s="2">
        <v>0</v>
      </c>
      <c r="G21615" s="2">
        <v>0</v>
      </c>
      <c r="H21615" s="1" t="s">
        <v>0</v>
      </c>
      <c r="I21615" s="2">
        <v>0</v>
      </c>
      <c r="J21615" s="1">
        <v>45945.381689814814</v>
      </c>
    </row>
    <row r="21616" spans="1:10" x14ac:dyDescent="0.2">
      <c r="A21616" s="4" t="s">
        <v>1</v>
      </c>
      <c r="B216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16" s="3" t="str">
        <f>HYPERLINK("https://otsuka-europe-crm.veevavault.com/ui/#object/sent_email__v/VBLZ025E82HKTFI", "SE-000287715")</f>
        <v>SE-000287715</v>
      </c>
      <c r="D21616" s="1">
        <v>45946.215833333335</v>
      </c>
      <c r="E21616" s="2">
        <v>1</v>
      </c>
      <c r="F21616" s="2">
        <v>1</v>
      </c>
      <c r="G21616" s="2">
        <v>0</v>
      </c>
      <c r="H21616" s="1" t="s">
        <v>0</v>
      </c>
      <c r="I21616" s="2">
        <v>0</v>
      </c>
      <c r="J21616" s="1">
        <v>45945.381701388891</v>
      </c>
    </row>
    <row r="21617" spans="1:10" x14ac:dyDescent="0.2">
      <c r="A21617" s="4" t="s">
        <v>1</v>
      </c>
      <c r="B216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17" s="3" t="str">
        <f>HYPERLINK("https://otsuka-europe-crm.veevavault.com/ui/#object/sent_email__v/VBLZ025E82HKTFJ", "SE-000287716")</f>
        <v>SE-000287716</v>
      </c>
      <c r="D21617" s="1">
        <v>46052.802673611113</v>
      </c>
      <c r="E21617" s="2">
        <v>1</v>
      </c>
      <c r="F21617" s="2">
        <v>2</v>
      </c>
      <c r="G21617" s="2">
        <v>0</v>
      </c>
      <c r="H21617" s="1" t="s">
        <v>0</v>
      </c>
      <c r="I21617" s="2">
        <v>0</v>
      </c>
      <c r="J21617" s="1">
        <v>45945.381712962961</v>
      </c>
    </row>
    <row r="21618" spans="1:10" x14ac:dyDescent="0.2">
      <c r="A21618" s="4" t="s">
        <v>1</v>
      </c>
      <c r="B216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18" s="3" t="str">
        <f>HYPERLINK("https://otsuka-europe-crm.veevavault.com/ui/#object/sent_email__v/VBLZ025E82HKTFK", "SE-000287717")</f>
        <v>SE-000287717</v>
      </c>
      <c r="D21618" s="1" t="s">
        <v>0</v>
      </c>
      <c r="E21618" s="2">
        <v>0</v>
      </c>
      <c r="F21618" s="2">
        <v>0</v>
      </c>
      <c r="G21618" s="2">
        <v>0</v>
      </c>
      <c r="H21618" s="1" t="s">
        <v>0</v>
      </c>
      <c r="I21618" s="2">
        <v>0</v>
      </c>
      <c r="J21618" s="1">
        <v>45945.381724537037</v>
      </c>
    </row>
    <row r="21619" spans="1:10" x14ac:dyDescent="0.2">
      <c r="A21619" s="4" t="s">
        <v>1</v>
      </c>
      <c r="B216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19" s="3" t="str">
        <f>HYPERLINK("https://otsuka-europe-crm.veevavault.com/ui/#object/sent_email__v/VBLZ025E82HKTFL", "SE-000287718")</f>
        <v>SE-000287718</v>
      </c>
      <c r="D21619" s="1">
        <v>45950.367384259262</v>
      </c>
      <c r="E21619" s="2">
        <v>1</v>
      </c>
      <c r="F21619" s="2">
        <v>1</v>
      </c>
      <c r="G21619" s="2">
        <v>0</v>
      </c>
      <c r="H21619" s="1" t="s">
        <v>0</v>
      </c>
      <c r="I21619" s="2">
        <v>0</v>
      </c>
      <c r="J21619" s="1">
        <v>45945.381736111114</v>
      </c>
    </row>
    <row r="21620" spans="1:10" x14ac:dyDescent="0.2">
      <c r="A21620" s="4" t="s">
        <v>1</v>
      </c>
      <c r="B216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20" s="3" t="str">
        <f>HYPERLINK("https://otsuka-europe-crm.veevavault.com/ui/#object/sent_email__v/VBLZ025E82HKTFM", "SE-000287719")</f>
        <v>SE-000287719</v>
      </c>
      <c r="D21620" s="1" t="s">
        <v>0</v>
      </c>
      <c r="E21620" s="2">
        <v>0</v>
      </c>
      <c r="F21620" s="2">
        <v>0</v>
      </c>
      <c r="G21620" s="2">
        <v>0</v>
      </c>
      <c r="H21620" s="1" t="s">
        <v>0</v>
      </c>
      <c r="I21620" s="2">
        <v>0</v>
      </c>
      <c r="J21620" s="1">
        <v>45945.381747685184</v>
      </c>
    </row>
    <row r="21621" spans="1:10" x14ac:dyDescent="0.2">
      <c r="A21621" s="4" t="s">
        <v>1</v>
      </c>
      <c r="B216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21" s="3" t="str">
        <f>HYPERLINK("https://otsuka-europe-crm.veevavault.com/ui/#object/sent_email__v/VBLZ025E82HKTFN", "SE-000287720")</f>
        <v>SE-000287720</v>
      </c>
      <c r="D21621" s="1" t="s">
        <v>0</v>
      </c>
      <c r="E21621" s="2">
        <v>0</v>
      </c>
      <c r="F21621" s="2">
        <v>0</v>
      </c>
      <c r="G21621" s="2">
        <v>0</v>
      </c>
      <c r="H21621" s="1" t="s">
        <v>0</v>
      </c>
      <c r="I21621" s="2">
        <v>0</v>
      </c>
      <c r="J21621" s="1">
        <v>45945.381747685184</v>
      </c>
    </row>
    <row r="21622" spans="1:10" x14ac:dyDescent="0.2">
      <c r="A21622" s="4" t="s">
        <v>1</v>
      </c>
      <c r="B216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22" s="3" t="str">
        <f>HYPERLINK("https://otsuka-europe-crm.veevavault.com/ui/#object/sent_email__v/VBLZ025E82HKTFO", "SE-000287721")</f>
        <v>SE-000287721</v>
      </c>
      <c r="D21622" s="1" t="s">
        <v>0</v>
      </c>
      <c r="E21622" s="2">
        <v>0</v>
      </c>
      <c r="F21622" s="2">
        <v>0</v>
      </c>
      <c r="G21622" s="2">
        <v>0</v>
      </c>
      <c r="H21622" s="1" t="s">
        <v>0</v>
      </c>
      <c r="I21622" s="2">
        <v>0</v>
      </c>
      <c r="J21622" s="1">
        <v>45945.38175925926</v>
      </c>
    </row>
    <row r="21623" spans="1:10" x14ac:dyDescent="0.2">
      <c r="A21623" s="4" t="s">
        <v>1</v>
      </c>
      <c r="B216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23" s="3" t="str">
        <f>HYPERLINK("https://otsuka-europe-crm.veevavault.com/ui/#object/sent_email__v/VBLZ025E82HKTFP", "SE-000287722")</f>
        <v>SE-000287722</v>
      </c>
      <c r="D21623" s="1">
        <v>45945.560590277775</v>
      </c>
      <c r="E21623" s="2">
        <v>1</v>
      </c>
      <c r="F21623" s="2">
        <v>1</v>
      </c>
      <c r="G21623" s="2">
        <v>0</v>
      </c>
      <c r="H21623" s="1" t="s">
        <v>0</v>
      </c>
      <c r="I21623" s="2">
        <v>0</v>
      </c>
      <c r="J21623" s="1">
        <v>45945.38177083333</v>
      </c>
    </row>
    <row r="21624" spans="1:10" x14ac:dyDescent="0.2">
      <c r="A21624" s="4" t="s">
        <v>1</v>
      </c>
      <c r="B216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24" s="3" t="str">
        <f>HYPERLINK("https://otsuka-europe-crm.veevavault.com/ui/#object/sent_email__v/VBLZ025E82HKTFQ", "SE-000287723")</f>
        <v>SE-000287723</v>
      </c>
      <c r="D21624" s="1" t="s">
        <v>0</v>
      </c>
      <c r="E21624" s="2">
        <v>0</v>
      </c>
      <c r="F21624" s="2">
        <v>0</v>
      </c>
      <c r="G21624" s="2">
        <v>0</v>
      </c>
      <c r="H21624" s="1" t="s">
        <v>0</v>
      </c>
      <c r="I21624" s="2">
        <v>0</v>
      </c>
      <c r="J21624" s="1">
        <v>45945.381782407407</v>
      </c>
    </row>
    <row r="21625" spans="1:10" x14ac:dyDescent="0.2">
      <c r="A21625" s="4" t="s">
        <v>1</v>
      </c>
      <c r="B216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25" s="3" t="str">
        <f>HYPERLINK("https://otsuka-europe-crm.veevavault.com/ui/#object/sent_email__v/VBLZ025E82HKTFR", "SE-000287724")</f>
        <v>SE-000287724</v>
      </c>
      <c r="D21625" s="1" t="s">
        <v>0</v>
      </c>
      <c r="E21625" s="2">
        <v>0</v>
      </c>
      <c r="F21625" s="2">
        <v>0</v>
      </c>
      <c r="G21625" s="2">
        <v>0</v>
      </c>
      <c r="H21625" s="1" t="s">
        <v>0</v>
      </c>
      <c r="I21625" s="2">
        <v>0</v>
      </c>
      <c r="J21625" s="1">
        <v>45945.381793981483</v>
      </c>
    </row>
    <row r="21626" spans="1:10" x14ac:dyDescent="0.2">
      <c r="A21626" s="4" t="s">
        <v>1</v>
      </c>
      <c r="B216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26" s="3" t="str">
        <f>HYPERLINK("https://otsuka-europe-crm.veevavault.com/ui/#object/sent_email__v/VBLZ025E82HKTHD", "SE-000287725")</f>
        <v>SE-000287725</v>
      </c>
      <c r="D21626" s="1" t="s">
        <v>0</v>
      </c>
      <c r="E21626" s="2">
        <v>0</v>
      </c>
      <c r="F21626" s="2">
        <v>0</v>
      </c>
      <c r="G21626" s="2">
        <v>0</v>
      </c>
      <c r="H21626" s="1" t="s">
        <v>0</v>
      </c>
      <c r="I21626" s="2">
        <v>0</v>
      </c>
      <c r="J21626" s="1">
        <v>45945.382280092592</v>
      </c>
    </row>
    <row r="21627" spans="1:10" x14ac:dyDescent="0.2">
      <c r="A21627" s="4" t="s">
        <v>1</v>
      </c>
      <c r="B216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27" s="3" t="str">
        <f>HYPERLINK("https://otsuka-europe-crm.veevavault.com/ui/#object/sent_email__v/VBLZ025E82HKTHE", "SE-000287726")</f>
        <v>SE-000287726</v>
      </c>
      <c r="D21627" s="1">
        <v>45951.316550925927</v>
      </c>
      <c r="E21627" s="2">
        <v>1</v>
      </c>
      <c r="F21627" s="2">
        <v>1</v>
      </c>
      <c r="G21627" s="2">
        <v>0</v>
      </c>
      <c r="H21627" s="1" t="s">
        <v>0</v>
      </c>
      <c r="I21627" s="2">
        <v>0</v>
      </c>
      <c r="J21627" s="1">
        <v>45945.382280092592</v>
      </c>
    </row>
    <row r="21628" spans="1:10" x14ac:dyDescent="0.2">
      <c r="A21628" s="4" t="s">
        <v>1</v>
      </c>
      <c r="B216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28" s="3" t="str">
        <f>HYPERLINK("https://otsuka-europe-crm.veevavault.com/ui/#object/sent_email__v/VBLZ025E82HKTHF", "SE-000287727")</f>
        <v>SE-000287727</v>
      </c>
      <c r="D21628" s="1">
        <v>45949.805960648147</v>
      </c>
      <c r="E21628" s="2">
        <v>1</v>
      </c>
      <c r="F21628" s="2">
        <v>5</v>
      </c>
      <c r="G21628" s="2">
        <v>0</v>
      </c>
      <c r="H21628" s="1" t="s">
        <v>0</v>
      </c>
      <c r="I21628" s="2">
        <v>0</v>
      </c>
      <c r="J21628" s="1">
        <v>45945.382291666669</v>
      </c>
    </row>
    <row r="21629" spans="1:10" x14ac:dyDescent="0.2">
      <c r="A21629" s="4" t="s">
        <v>1</v>
      </c>
      <c r="B216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29" s="3" t="str">
        <f>HYPERLINK("https://otsuka-europe-crm.veevavault.com/ui/#object/sent_email__v/VBLZ025E82HKTHG", "SE-000287728")</f>
        <v>SE-000287728</v>
      </c>
      <c r="D21629" s="1" t="s">
        <v>0</v>
      </c>
      <c r="E21629" s="2">
        <v>0</v>
      </c>
      <c r="F21629" s="2">
        <v>0</v>
      </c>
      <c r="G21629" s="2">
        <v>0</v>
      </c>
      <c r="H21629" s="1" t="s">
        <v>0</v>
      </c>
      <c r="I21629" s="2">
        <v>0</v>
      </c>
      <c r="J21629" s="1">
        <v>45945.382303240738</v>
      </c>
    </row>
    <row r="21630" spans="1:10" x14ac:dyDescent="0.2">
      <c r="A21630" s="4" t="s">
        <v>1</v>
      </c>
      <c r="B216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30" s="3" t="str">
        <f>HYPERLINK("https://otsuka-europe-crm.veevavault.com/ui/#object/sent_email__v/VBLZ025E82HKTHH", "SE-000287729")</f>
        <v>SE-000287729</v>
      </c>
      <c r="D21630" s="1">
        <v>45945.982569444444</v>
      </c>
      <c r="E21630" s="2">
        <v>1</v>
      </c>
      <c r="F21630" s="2">
        <v>2</v>
      </c>
      <c r="G21630" s="2">
        <v>0</v>
      </c>
      <c r="H21630" s="1" t="s">
        <v>0</v>
      </c>
      <c r="I21630" s="2">
        <v>0</v>
      </c>
      <c r="J21630" s="1">
        <v>45945.382303240738</v>
      </c>
    </row>
    <row r="21631" spans="1:10" x14ac:dyDescent="0.2">
      <c r="A21631" s="4" t="s">
        <v>1</v>
      </c>
      <c r="B216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31" s="3" t="str">
        <f>HYPERLINK("https://otsuka-europe-crm.veevavault.com/ui/#object/sent_email__v/VBLZ025E82HKTHI", "SE-000287730")</f>
        <v>SE-000287730</v>
      </c>
      <c r="D21631" s="1" t="s">
        <v>0</v>
      </c>
      <c r="E21631" s="2">
        <v>0</v>
      </c>
      <c r="F21631" s="2">
        <v>0</v>
      </c>
      <c r="G21631" s="2">
        <v>0</v>
      </c>
      <c r="H21631" s="1" t="s">
        <v>0</v>
      </c>
      <c r="I21631" s="2">
        <v>0</v>
      </c>
      <c r="J21631" s="1">
        <v>45945.382337962961</v>
      </c>
    </row>
    <row r="21632" spans="1:10" x14ac:dyDescent="0.2">
      <c r="A21632" s="4" t="s">
        <v>1</v>
      </c>
      <c r="B216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32" s="3" t="str">
        <f>HYPERLINK("https://otsuka-europe-crm.veevavault.com/ui/#object/sent_email__v/VBLZ025E82HKTHJ", "SE-000287731")</f>
        <v>SE-000287731</v>
      </c>
      <c r="D21632" s="1">
        <v>45959.539143518516</v>
      </c>
      <c r="E21632" s="2">
        <v>1</v>
      </c>
      <c r="F21632" s="2">
        <v>3</v>
      </c>
      <c r="G21632" s="2">
        <v>1</v>
      </c>
      <c r="H21632" s="1">
        <v>45959.539652777778</v>
      </c>
      <c r="I21632" s="2">
        <v>6</v>
      </c>
      <c r="J21632" s="1">
        <v>45945.382337962961</v>
      </c>
    </row>
    <row r="21633" spans="1:10" x14ac:dyDescent="0.2">
      <c r="A21633" s="4" t="s">
        <v>1</v>
      </c>
      <c r="B216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33" s="3" t="str">
        <f>HYPERLINK("https://otsuka-europe-crm.veevavault.com/ui/#object/sent_email__v/VBLZ025E82HKTHK", "SE-000287732")</f>
        <v>SE-000287732</v>
      </c>
      <c r="D21633" s="1">
        <v>45945.903310185182</v>
      </c>
      <c r="E21633" s="2">
        <v>1</v>
      </c>
      <c r="F21633" s="2">
        <v>1</v>
      </c>
      <c r="G21633" s="2">
        <v>0</v>
      </c>
      <c r="H21633" s="1" t="s">
        <v>0</v>
      </c>
      <c r="I21633" s="2">
        <v>0</v>
      </c>
      <c r="J21633" s="1">
        <v>45945.382337962961</v>
      </c>
    </row>
    <row r="21634" spans="1:10" x14ac:dyDescent="0.2">
      <c r="A21634" s="4" t="s">
        <v>1</v>
      </c>
      <c r="B216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34" s="3" t="str">
        <f>HYPERLINK("https://otsuka-europe-crm.veevavault.com/ui/#object/sent_email__v/VBLZ025E82HKTHL", "SE-000287733")</f>
        <v>SE-000287733</v>
      </c>
      <c r="D21634" s="1">
        <v>45945.419803240744</v>
      </c>
      <c r="E21634" s="2">
        <v>1</v>
      </c>
      <c r="F21634" s="2">
        <v>2</v>
      </c>
      <c r="G21634" s="2">
        <v>1</v>
      </c>
      <c r="H21634" s="1">
        <v>45947.365381944444</v>
      </c>
      <c r="I21634" s="2">
        <v>2</v>
      </c>
      <c r="J21634" s="1">
        <v>45945.382349537038</v>
      </c>
    </row>
    <row r="21635" spans="1:10" x14ac:dyDescent="0.2">
      <c r="A21635" s="4" t="s">
        <v>1</v>
      </c>
      <c r="B216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35" s="3" t="str">
        <f>HYPERLINK("https://otsuka-europe-crm.veevavault.com/ui/#object/sent_email__v/VBLZ025E82HKTHM", "SE-000287734")</f>
        <v>SE-000287734</v>
      </c>
      <c r="D21635" s="1">
        <v>45945.385648148149</v>
      </c>
      <c r="E21635" s="2">
        <v>1</v>
      </c>
      <c r="F21635" s="2">
        <v>1</v>
      </c>
      <c r="G21635" s="2">
        <v>0</v>
      </c>
      <c r="H21635" s="1" t="s">
        <v>0</v>
      </c>
      <c r="I21635" s="2">
        <v>0</v>
      </c>
      <c r="J21635" s="1">
        <v>45945.382349537038</v>
      </c>
    </row>
    <row r="21636" spans="1:10" x14ac:dyDescent="0.2">
      <c r="A21636" s="4" t="s">
        <v>1</v>
      </c>
      <c r="B216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36" s="3" t="str">
        <f>HYPERLINK("https://otsuka-europe-crm.veevavault.com/ui/#object/sent_email__v/VBLZ025E82HKTHN", "SE-000287735")</f>
        <v>SE-000287735</v>
      </c>
      <c r="D21636" s="1" t="s">
        <v>0</v>
      </c>
      <c r="E21636" s="2">
        <v>0</v>
      </c>
      <c r="F21636" s="2">
        <v>0</v>
      </c>
      <c r="G21636" s="2">
        <v>0</v>
      </c>
      <c r="H21636" s="1" t="s">
        <v>0</v>
      </c>
      <c r="I21636" s="2">
        <v>0</v>
      </c>
      <c r="J21636" s="1">
        <v>45945.382361111115</v>
      </c>
    </row>
    <row r="21637" spans="1:10" x14ac:dyDescent="0.2">
      <c r="A21637" s="4" t="s">
        <v>1</v>
      </c>
      <c r="B216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37" s="3" t="str">
        <f>HYPERLINK("https://otsuka-europe-crm.veevavault.com/ui/#object/sent_email__v/VBLZ025E82HKTHO", "SE-000287736")</f>
        <v>SE-000287736</v>
      </c>
      <c r="D21637" s="1" t="s">
        <v>0</v>
      </c>
      <c r="E21637" s="2">
        <v>0</v>
      </c>
      <c r="F21637" s="2">
        <v>0</v>
      </c>
      <c r="G21637" s="2">
        <v>0</v>
      </c>
      <c r="H21637" s="1" t="s">
        <v>0</v>
      </c>
      <c r="I21637" s="2">
        <v>0</v>
      </c>
      <c r="J21637" s="1">
        <v>45945.382372685184</v>
      </c>
    </row>
    <row r="21638" spans="1:10" x14ac:dyDescent="0.2">
      <c r="A21638" s="4" t="s">
        <v>1</v>
      </c>
      <c r="B216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38" s="3" t="str">
        <f>HYPERLINK("https://otsuka-europe-crm.veevavault.com/ui/#object/sent_email__v/VBLZ025E82HKTHP", "SE-000287737")</f>
        <v>SE-000287737</v>
      </c>
      <c r="D21638" s="1" t="s">
        <v>0</v>
      </c>
      <c r="E21638" s="2">
        <v>0</v>
      </c>
      <c r="F21638" s="2">
        <v>0</v>
      </c>
      <c r="G21638" s="2">
        <v>0</v>
      </c>
      <c r="H21638" s="1" t="s">
        <v>0</v>
      </c>
      <c r="I21638" s="2">
        <v>0</v>
      </c>
      <c r="J21638" s="1">
        <v>45945.382384259261</v>
      </c>
    </row>
    <row r="21639" spans="1:10" x14ac:dyDescent="0.2">
      <c r="A21639" s="4" t="s">
        <v>1</v>
      </c>
      <c r="B216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39" s="3" t="str">
        <f>HYPERLINK("https://otsuka-europe-crm.veevavault.com/ui/#object/sent_email__v/VBLZ025E82HKTHQ", "SE-000287738")</f>
        <v>SE-000287738</v>
      </c>
      <c r="D21639" s="1">
        <v>45945.944467592592</v>
      </c>
      <c r="E21639" s="2">
        <v>1</v>
      </c>
      <c r="F21639" s="2">
        <v>4</v>
      </c>
      <c r="G21639" s="2">
        <v>0</v>
      </c>
      <c r="H21639" s="1" t="s">
        <v>0</v>
      </c>
      <c r="I21639" s="2">
        <v>0</v>
      </c>
      <c r="J21639" s="1">
        <v>45945.382384259261</v>
      </c>
    </row>
    <row r="21640" spans="1:10" x14ac:dyDescent="0.2">
      <c r="A21640" s="4" t="s">
        <v>1</v>
      </c>
      <c r="B216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40" s="3" t="str">
        <f>HYPERLINK("https://otsuka-europe-crm.veevavault.com/ui/#object/sent_email__v/VBLZ025E82HKTHR", "SE-000287739")</f>
        <v>SE-000287739</v>
      </c>
      <c r="D21640" s="1" t="s">
        <v>0</v>
      </c>
      <c r="E21640" s="2">
        <v>0</v>
      </c>
      <c r="F21640" s="2">
        <v>0</v>
      </c>
      <c r="G21640" s="2">
        <v>0</v>
      </c>
      <c r="H21640" s="1" t="s">
        <v>0</v>
      </c>
      <c r="I21640" s="2">
        <v>0</v>
      </c>
      <c r="J21640" s="1">
        <v>45945.382395833331</v>
      </c>
    </row>
    <row r="21641" spans="1:10" x14ac:dyDescent="0.2">
      <c r="A21641" s="4" t="s">
        <v>1</v>
      </c>
      <c r="B216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41" s="3" t="str">
        <f>HYPERLINK("https://otsuka-europe-crm.veevavault.com/ui/#object/sent_email__v/VBLZ025E82HKTHS", "SE-000287740")</f>
        <v>SE-000287740</v>
      </c>
      <c r="D21641" s="1">
        <v>45968.647129629629</v>
      </c>
      <c r="E21641" s="2">
        <v>1</v>
      </c>
      <c r="F21641" s="2">
        <v>8</v>
      </c>
      <c r="G21641" s="2">
        <v>0</v>
      </c>
      <c r="H21641" s="1" t="s">
        <v>0</v>
      </c>
      <c r="I21641" s="2">
        <v>0</v>
      </c>
      <c r="J21641" s="1">
        <v>45945.382407407407</v>
      </c>
    </row>
    <row r="21642" spans="1:10" x14ac:dyDescent="0.2">
      <c r="A21642" s="4" t="s">
        <v>1</v>
      </c>
      <c r="B216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42" s="3" t="str">
        <f>HYPERLINK("https://otsuka-europe-crm.veevavault.com/ui/#object/sent_email__v/VBLZ025E82HKTHT", "SE-000287741")</f>
        <v>SE-000287741</v>
      </c>
      <c r="D21642" s="1" t="s">
        <v>0</v>
      </c>
      <c r="E21642" s="2">
        <v>0</v>
      </c>
      <c r="F21642" s="2">
        <v>0</v>
      </c>
      <c r="G21642" s="2">
        <v>0</v>
      </c>
      <c r="H21642" s="1" t="s">
        <v>0</v>
      </c>
      <c r="I21642" s="2">
        <v>0</v>
      </c>
      <c r="J21642" s="1">
        <v>45945.382418981484</v>
      </c>
    </row>
    <row r="21643" spans="1:10" x14ac:dyDescent="0.2">
      <c r="A21643" s="4" t="s">
        <v>1</v>
      </c>
      <c r="B216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43" s="3" t="str">
        <f>HYPERLINK("https://otsuka-europe-crm.veevavault.com/ui/#object/sent_email__v/VBLZ025E82HKTHU", "SE-000287742")</f>
        <v>SE-000287742</v>
      </c>
      <c r="D21643" s="1" t="s">
        <v>0</v>
      </c>
      <c r="E21643" s="2">
        <v>0</v>
      </c>
      <c r="F21643" s="2">
        <v>0</v>
      </c>
      <c r="G21643" s="2">
        <v>0</v>
      </c>
      <c r="H21643" s="1" t="s">
        <v>0</v>
      </c>
      <c r="I21643" s="2">
        <v>0</v>
      </c>
      <c r="J21643" s="1">
        <v>45945.382430555554</v>
      </c>
    </row>
    <row r="21644" spans="1:10" x14ac:dyDescent="0.2">
      <c r="A21644" s="4" t="s">
        <v>1</v>
      </c>
      <c r="B216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44" s="3" t="str">
        <f>HYPERLINK("https://otsuka-europe-crm.veevavault.com/ui/#object/sent_email__v/VBLZ025E82HKTHV", "SE-000287743")</f>
        <v>SE-000287743</v>
      </c>
      <c r="D21644" s="1">
        <v>45945.410219907404</v>
      </c>
      <c r="E21644" s="2">
        <v>1</v>
      </c>
      <c r="F21644" s="2">
        <v>2</v>
      </c>
      <c r="G21644" s="2">
        <v>0</v>
      </c>
      <c r="H21644" s="1" t="s">
        <v>0</v>
      </c>
      <c r="I21644" s="2">
        <v>0</v>
      </c>
      <c r="J21644" s="1">
        <v>45945.38244212963</v>
      </c>
    </row>
    <row r="21645" spans="1:10" x14ac:dyDescent="0.2">
      <c r="A21645" s="4" t="s">
        <v>1</v>
      </c>
      <c r="B216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45" s="3" t="str">
        <f>HYPERLINK("https://otsuka-europe-crm.veevavault.com/ui/#object/sent_email__v/VBLZ025E82HKTHW", "SE-000287744")</f>
        <v>SE-000287744</v>
      </c>
      <c r="D21645" s="1" t="s">
        <v>0</v>
      </c>
      <c r="E21645" s="2">
        <v>0</v>
      </c>
      <c r="F21645" s="2">
        <v>0</v>
      </c>
      <c r="G21645" s="2">
        <v>0</v>
      </c>
      <c r="H21645" s="1" t="s">
        <v>0</v>
      </c>
      <c r="I21645" s="2">
        <v>0</v>
      </c>
      <c r="J21645" s="1">
        <v>45945.38244212963</v>
      </c>
    </row>
    <row r="21646" spans="1:10" x14ac:dyDescent="0.2">
      <c r="A21646" s="4" t="s">
        <v>1</v>
      </c>
      <c r="B216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46" s="3" t="str">
        <f>HYPERLINK("https://otsuka-europe-crm.veevavault.com/ui/#object/sent_email__v/VBLZ025E82HKTHX", "SE-000287745")</f>
        <v>SE-000287745</v>
      </c>
      <c r="D21646" s="1" t="s">
        <v>0</v>
      </c>
      <c r="E21646" s="2">
        <v>0</v>
      </c>
      <c r="F21646" s="2">
        <v>0</v>
      </c>
      <c r="G21646" s="2">
        <v>0</v>
      </c>
      <c r="H21646" s="1" t="s">
        <v>0</v>
      </c>
      <c r="I21646" s="2">
        <v>0</v>
      </c>
      <c r="J21646" s="1">
        <v>45945.382511574076</v>
      </c>
    </row>
    <row r="21647" spans="1:10" x14ac:dyDescent="0.2">
      <c r="A21647" s="4" t="s">
        <v>1</v>
      </c>
      <c r="B216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47" s="3" t="str">
        <f>HYPERLINK("https://otsuka-europe-crm.veevavault.com/ui/#object/sent_email__v/VBLZ025E82HKTHY", "SE-000287746")</f>
        <v>SE-000287746</v>
      </c>
      <c r="D21647" s="1" t="s">
        <v>0</v>
      </c>
      <c r="E21647" s="2">
        <v>0</v>
      </c>
      <c r="F21647" s="2">
        <v>0</v>
      </c>
      <c r="G21647" s="2">
        <v>0</v>
      </c>
      <c r="H21647" s="1" t="s">
        <v>0</v>
      </c>
      <c r="I21647" s="2">
        <v>0</v>
      </c>
      <c r="J21647" s="1">
        <v>45945.382465277777</v>
      </c>
    </row>
    <row r="21648" spans="1:10" x14ac:dyDescent="0.2">
      <c r="A21648" s="4" t="s">
        <v>1</v>
      </c>
      <c r="B216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48" s="3" t="str">
        <f>HYPERLINK("https://otsuka-europe-crm.veevavault.com/ui/#object/sent_email__v/VBLZ025E82HKTHZ", "SE-000287747")</f>
        <v>SE-000287747</v>
      </c>
      <c r="D21648" s="1" t="s">
        <v>0</v>
      </c>
      <c r="E21648" s="2">
        <v>0</v>
      </c>
      <c r="F21648" s="2">
        <v>0</v>
      </c>
      <c r="G21648" s="2">
        <v>0</v>
      </c>
      <c r="H21648" s="1" t="s">
        <v>0</v>
      </c>
      <c r="I21648" s="2">
        <v>0</v>
      </c>
      <c r="J21648" s="1">
        <v>45945.382476851853</v>
      </c>
    </row>
    <row r="21649" spans="1:10" x14ac:dyDescent="0.2">
      <c r="A21649" s="4" t="s">
        <v>1</v>
      </c>
      <c r="B216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49" s="3" t="str">
        <f>HYPERLINK("https://otsuka-europe-crm.veevavault.com/ui/#object/sent_email__v/VBLZ025E82HKW9D", "SE-000287776")</f>
        <v>SE-000287776</v>
      </c>
      <c r="D21649" s="1">
        <v>45970.019537037035</v>
      </c>
      <c r="E21649" s="2">
        <v>1</v>
      </c>
      <c r="F21649" s="2">
        <v>2</v>
      </c>
      <c r="G21649" s="2">
        <v>0</v>
      </c>
      <c r="H21649" s="1" t="s">
        <v>0</v>
      </c>
      <c r="I21649" s="2">
        <v>0</v>
      </c>
      <c r="J21649" s="1">
        <v>45951.377395833333</v>
      </c>
    </row>
    <row r="21650" spans="1:10" x14ac:dyDescent="0.2">
      <c r="A21650" s="4" t="s">
        <v>1</v>
      </c>
      <c r="B216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50" s="3" t="str">
        <f>HYPERLINK("https://otsuka-europe-crm.veevavault.com/ui/#object/sent_email__v/VBLZ025E82HKW9E", "SE-000287777")</f>
        <v>SE-000287777</v>
      </c>
      <c r="D21650" s="1" t="s">
        <v>0</v>
      </c>
      <c r="E21650" s="2">
        <v>0</v>
      </c>
      <c r="F21650" s="2">
        <v>0</v>
      </c>
      <c r="G21650" s="2">
        <v>0</v>
      </c>
      <c r="H21650" s="1" t="s">
        <v>0</v>
      </c>
      <c r="I21650" s="2">
        <v>0</v>
      </c>
      <c r="J21650" s="1">
        <v>45951.377395833333</v>
      </c>
    </row>
    <row r="21651" spans="1:10" x14ac:dyDescent="0.2">
      <c r="A21651" s="4" t="s">
        <v>1</v>
      </c>
      <c r="B216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51" s="3" t="str">
        <f>HYPERLINK("https://otsuka-europe-crm.veevavault.com/ui/#object/sent_email__v/VBLZ025E82HKW9F", "SE-000287778")</f>
        <v>SE-000287778</v>
      </c>
      <c r="D21651" s="1" t="s">
        <v>0</v>
      </c>
      <c r="E21651" s="2">
        <v>0</v>
      </c>
      <c r="F21651" s="2">
        <v>0</v>
      </c>
      <c r="G21651" s="2">
        <v>0</v>
      </c>
      <c r="H21651" s="1" t="s">
        <v>0</v>
      </c>
      <c r="I21651" s="2">
        <v>0</v>
      </c>
      <c r="J21651" s="1">
        <v>45951.377395833333</v>
      </c>
    </row>
    <row r="21652" spans="1:10" x14ac:dyDescent="0.2">
      <c r="A21652" s="4" t="s">
        <v>1</v>
      </c>
      <c r="B216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52" s="3" t="str">
        <f>HYPERLINK("https://otsuka-europe-crm.veevavault.com/ui/#object/sent_email__v/VBLZ025E82HKW9G", "SE-000287779")</f>
        <v>SE-000287779</v>
      </c>
      <c r="D21652" s="1">
        <v>45951.430104166669</v>
      </c>
      <c r="E21652" s="2">
        <v>1</v>
      </c>
      <c r="F21652" s="2">
        <v>2</v>
      </c>
      <c r="G21652" s="2">
        <v>0</v>
      </c>
      <c r="H21652" s="1" t="s">
        <v>0</v>
      </c>
      <c r="I21652" s="2">
        <v>0</v>
      </c>
      <c r="J21652" s="1">
        <v>45951.377395833333</v>
      </c>
    </row>
    <row r="21653" spans="1:10" x14ac:dyDescent="0.2">
      <c r="A21653" s="4" t="s">
        <v>1</v>
      </c>
      <c r="B216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53" s="3" t="str">
        <f>HYPERLINK("https://otsuka-europe-crm.veevavault.com/ui/#object/sent_email__v/VBLZ025E82HKW9H", "SE-000287780")</f>
        <v>SE-000287780</v>
      </c>
      <c r="D21653" s="1">
        <v>45951.672511574077</v>
      </c>
      <c r="E21653" s="2">
        <v>1</v>
      </c>
      <c r="F21653" s="2">
        <v>1</v>
      </c>
      <c r="G21653" s="2">
        <v>1</v>
      </c>
      <c r="H21653" s="1">
        <v>45951.672708333332</v>
      </c>
      <c r="I21653" s="2">
        <v>2</v>
      </c>
      <c r="J21653" s="1">
        <v>45951.377395833333</v>
      </c>
    </row>
    <row r="21654" spans="1:10" x14ac:dyDescent="0.2">
      <c r="A21654" s="4" t="s">
        <v>1</v>
      </c>
      <c r="B216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54" s="3" t="str">
        <f>HYPERLINK("https://otsuka-europe-crm.veevavault.com/ui/#object/sent_email__v/VBLZ025E82HKW9I", "SE-000287781")</f>
        <v>SE-000287781</v>
      </c>
      <c r="D21654" s="1">
        <v>45953.723506944443</v>
      </c>
      <c r="E21654" s="2">
        <v>1</v>
      </c>
      <c r="F21654" s="2">
        <v>5</v>
      </c>
      <c r="G21654" s="2">
        <v>0</v>
      </c>
      <c r="H21654" s="1" t="s">
        <v>0</v>
      </c>
      <c r="I21654" s="2">
        <v>0</v>
      </c>
      <c r="J21654" s="1">
        <v>45951.37740740741</v>
      </c>
    </row>
    <row r="21655" spans="1:10" x14ac:dyDescent="0.2">
      <c r="A21655" s="4" t="s">
        <v>1</v>
      </c>
      <c r="B216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55" s="3" t="str">
        <f>HYPERLINK("https://otsuka-europe-crm.veevavault.com/ui/#object/sent_email__v/VBLZ025E82HKW9J", "SE-000287782")</f>
        <v>SE-000287782</v>
      </c>
      <c r="D21655" s="1" t="s">
        <v>0</v>
      </c>
      <c r="E21655" s="2">
        <v>0</v>
      </c>
      <c r="F21655" s="2">
        <v>0</v>
      </c>
      <c r="G21655" s="2">
        <v>0</v>
      </c>
      <c r="H21655" s="1" t="s">
        <v>0</v>
      </c>
      <c r="I21655" s="2">
        <v>0</v>
      </c>
      <c r="J21655" s="1">
        <v>45951.377384259256</v>
      </c>
    </row>
    <row r="21656" spans="1:10" x14ac:dyDescent="0.2">
      <c r="A21656" s="4" t="s">
        <v>1</v>
      </c>
      <c r="B216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56" s="3" t="str">
        <f>HYPERLINK("https://otsuka-europe-crm.veevavault.com/ui/#object/sent_email__v/VBLZ025E82HKW9K", "SE-000287783")</f>
        <v>SE-000287783</v>
      </c>
      <c r="D21656" s="1" t="s">
        <v>0</v>
      </c>
      <c r="E21656" s="2">
        <v>0</v>
      </c>
      <c r="F21656" s="2">
        <v>0</v>
      </c>
      <c r="G21656" s="2">
        <v>0</v>
      </c>
      <c r="H21656" s="1" t="s">
        <v>0</v>
      </c>
      <c r="I21656" s="2">
        <v>0</v>
      </c>
      <c r="J21656" s="1">
        <v>45951.377395833333</v>
      </c>
    </row>
    <row r="21657" spans="1:10" x14ac:dyDescent="0.2">
      <c r="A21657" s="4" t="s">
        <v>1</v>
      </c>
      <c r="B216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57" s="3" t="str">
        <f>HYPERLINK("https://otsuka-europe-crm.veevavault.com/ui/#object/sent_email__v/VBLZ025E82HKW9L", "SE-000287784")</f>
        <v>SE-000287784</v>
      </c>
      <c r="D21657" s="1">
        <v>45951.809618055559</v>
      </c>
      <c r="E21657" s="2">
        <v>1</v>
      </c>
      <c r="F21657" s="2">
        <v>1</v>
      </c>
      <c r="G21657" s="2">
        <v>0</v>
      </c>
      <c r="H21657" s="1" t="s">
        <v>0</v>
      </c>
      <c r="I21657" s="2">
        <v>0</v>
      </c>
      <c r="J21657" s="1">
        <v>45951.377384259256</v>
      </c>
    </row>
    <row r="21658" spans="1:10" x14ac:dyDescent="0.2">
      <c r="A21658" s="4" t="s">
        <v>1</v>
      </c>
      <c r="B216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58" s="3" t="str">
        <f>HYPERLINK("https://otsuka-europe-crm.veevavault.com/ui/#object/sent_email__v/VBLZ025E82HKW9M", "SE-000287785")</f>
        <v>SE-000287785</v>
      </c>
      <c r="D21658" s="1" t="s">
        <v>0</v>
      </c>
      <c r="E21658" s="2">
        <v>0</v>
      </c>
      <c r="F21658" s="2">
        <v>0</v>
      </c>
      <c r="G21658" s="2">
        <v>0</v>
      </c>
      <c r="H21658" s="1" t="s">
        <v>0</v>
      </c>
      <c r="I21658" s="2">
        <v>0</v>
      </c>
      <c r="J21658" s="1">
        <v>45951.37740740741</v>
      </c>
    </row>
    <row r="21659" spans="1:10" x14ac:dyDescent="0.2">
      <c r="A21659" s="4" t="s">
        <v>1</v>
      </c>
      <c r="B216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59" s="3" t="str">
        <f>HYPERLINK("https://otsuka-europe-crm.veevavault.com/ui/#object/sent_email__v/VBLZ025E82HKW9N", "SE-000287786")</f>
        <v>SE-000287786</v>
      </c>
      <c r="D21659" s="1">
        <v>45951.588807870372</v>
      </c>
      <c r="E21659" s="2">
        <v>1</v>
      </c>
      <c r="F21659" s="2">
        <v>1</v>
      </c>
      <c r="G21659" s="2">
        <v>0</v>
      </c>
      <c r="H21659" s="1" t="s">
        <v>0</v>
      </c>
      <c r="I21659" s="2">
        <v>0</v>
      </c>
      <c r="J21659" s="1">
        <v>45951.37740740741</v>
      </c>
    </row>
    <row r="21660" spans="1:10" x14ac:dyDescent="0.2">
      <c r="A21660" s="4" t="s">
        <v>1</v>
      </c>
      <c r="B216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60" s="3" t="str">
        <f>HYPERLINK("https://otsuka-europe-crm.veevavault.com/ui/#object/sent_email__v/VBLZ025E82HKW9O", "SE-000287787")</f>
        <v>SE-000287787</v>
      </c>
      <c r="D21660" s="1" t="s">
        <v>0</v>
      </c>
      <c r="E21660" s="2">
        <v>0</v>
      </c>
      <c r="F21660" s="2">
        <v>0</v>
      </c>
      <c r="G21660" s="2">
        <v>0</v>
      </c>
      <c r="H21660" s="1" t="s">
        <v>0</v>
      </c>
      <c r="I21660" s="2">
        <v>0</v>
      </c>
      <c r="J21660" s="1">
        <v>45951.377395833333</v>
      </c>
    </row>
    <row r="21661" spans="1:10" x14ac:dyDescent="0.2">
      <c r="A21661" s="4" t="s">
        <v>1</v>
      </c>
      <c r="B216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61" s="3" t="str">
        <f>HYPERLINK("https://otsuka-europe-crm.veevavault.com/ui/#object/sent_email__v/VBLZ025E82HKW9P", "SE-000287788")</f>
        <v>SE-000287788</v>
      </c>
      <c r="D21661" s="1">
        <v>45951.433958333335</v>
      </c>
      <c r="E21661" s="2">
        <v>1</v>
      </c>
      <c r="F21661" s="2">
        <v>1</v>
      </c>
      <c r="G21661" s="2">
        <v>0</v>
      </c>
      <c r="H21661" s="1" t="s">
        <v>0</v>
      </c>
      <c r="I21661" s="2">
        <v>0</v>
      </c>
      <c r="J21661" s="1">
        <v>45951.377395833333</v>
      </c>
    </row>
    <row r="21662" spans="1:10" x14ac:dyDescent="0.2">
      <c r="A21662" s="4" t="s">
        <v>1</v>
      </c>
      <c r="B216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62" s="3" t="str">
        <f>HYPERLINK("https://otsuka-europe-crm.veevavault.com/ui/#object/sent_email__v/VBLZ025E82HKW9Q", "SE-000287789")</f>
        <v>SE-000287789</v>
      </c>
      <c r="D21662" s="1">
        <v>45953.452708333331</v>
      </c>
      <c r="E21662" s="2">
        <v>1</v>
      </c>
      <c r="F21662" s="2">
        <v>4</v>
      </c>
      <c r="G21662" s="2">
        <v>1</v>
      </c>
      <c r="H21662" s="1">
        <v>45953.4528587963</v>
      </c>
      <c r="I21662" s="2">
        <v>1</v>
      </c>
      <c r="J21662" s="1">
        <v>45951.377395833333</v>
      </c>
    </row>
    <row r="21663" spans="1:10" x14ac:dyDescent="0.2">
      <c r="A21663" s="4" t="s">
        <v>1</v>
      </c>
      <c r="B216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63" s="3" t="str">
        <f>HYPERLINK("https://otsuka-europe-crm.veevavault.com/ui/#object/sent_email__v/VBLZ025E82HKW9R", "SE-000287790")</f>
        <v>SE-000287790</v>
      </c>
      <c r="D21663" s="1">
        <v>45951.411423611113</v>
      </c>
      <c r="E21663" s="2">
        <v>1</v>
      </c>
      <c r="F21663" s="2">
        <v>1</v>
      </c>
      <c r="G21663" s="2">
        <v>0</v>
      </c>
      <c r="H21663" s="1" t="s">
        <v>0</v>
      </c>
      <c r="I21663" s="2">
        <v>0</v>
      </c>
      <c r="J21663" s="1">
        <v>45951.377384259256</v>
      </c>
    </row>
    <row r="21664" spans="1:10" x14ac:dyDescent="0.2">
      <c r="A21664" s="4" t="s">
        <v>1</v>
      </c>
      <c r="B216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64" s="3" t="str">
        <f>HYPERLINK("https://otsuka-europe-crm.veevavault.com/ui/#object/sent_email__v/VBLZ025E82HKTI0", "SE-000287791")</f>
        <v>SE-000287791</v>
      </c>
      <c r="D21664" s="1" t="s">
        <v>0</v>
      </c>
      <c r="E21664" s="2">
        <v>0</v>
      </c>
      <c r="F21664" s="2">
        <v>0</v>
      </c>
      <c r="G21664" s="2">
        <v>0</v>
      </c>
      <c r="H21664" s="1" t="s">
        <v>0</v>
      </c>
      <c r="I21664" s="2">
        <v>0</v>
      </c>
      <c r="J21664" s="1">
        <v>45945.407824074071</v>
      </c>
    </row>
    <row r="21665" spans="1:10" x14ac:dyDescent="0.2">
      <c r="A21665" s="4" t="s">
        <v>1</v>
      </c>
      <c r="B216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65" s="3" t="str">
        <f>HYPERLINK("https://otsuka-europe-crm.veevavault.com/ui/#object/sent_email__v/VBLZ025E82HL2L5", "SE-000287795")</f>
        <v>SE-000287795</v>
      </c>
      <c r="D21665" s="1" t="s">
        <v>0</v>
      </c>
      <c r="E21665" s="2">
        <v>0</v>
      </c>
      <c r="F21665" s="2">
        <v>0</v>
      </c>
      <c r="G21665" s="2">
        <v>0</v>
      </c>
      <c r="H21665" s="1" t="s">
        <v>0</v>
      </c>
      <c r="I21665" s="2">
        <v>0</v>
      </c>
      <c r="J21665" s="1">
        <v>45945.446099537039</v>
      </c>
    </row>
    <row r="21666" spans="1:10" x14ac:dyDescent="0.2">
      <c r="A21666" s="4" t="s">
        <v>1</v>
      </c>
      <c r="B216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66" s="3" t="str">
        <f>HYPERLINK("https://otsuka-europe-crm.veevavault.com/ui/#object/sent_email__v/VBLZ025E82HL2NX", "SE-000287796")</f>
        <v>SE-000287796</v>
      </c>
      <c r="D21666" s="1" t="s">
        <v>0</v>
      </c>
      <c r="E21666" s="2">
        <v>0</v>
      </c>
      <c r="F21666" s="2">
        <v>0</v>
      </c>
      <c r="G21666" s="2">
        <v>0</v>
      </c>
      <c r="H21666" s="1" t="s">
        <v>0</v>
      </c>
      <c r="I21666" s="2">
        <v>0</v>
      </c>
      <c r="J21666" s="1">
        <v>45945.446585648147</v>
      </c>
    </row>
    <row r="21667" spans="1:10" x14ac:dyDescent="0.2">
      <c r="A21667" s="4" t="s">
        <v>1</v>
      </c>
      <c r="B216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67" s="3" t="str">
        <f>HYPERLINK("https://otsuka-europe-crm.veevavault.com/ui/#object/sent_email__v/VBLZ025E82HL2QP", "SE-000287797")</f>
        <v>SE-000287797</v>
      </c>
      <c r="D21667" s="1" t="s">
        <v>0</v>
      </c>
      <c r="E21667" s="2">
        <v>0</v>
      </c>
      <c r="F21667" s="2">
        <v>0</v>
      </c>
      <c r="G21667" s="2">
        <v>0</v>
      </c>
      <c r="H21667" s="1" t="s">
        <v>0</v>
      </c>
      <c r="I21667" s="2">
        <v>0</v>
      </c>
      <c r="J21667" s="1">
        <v>45945.447199074071</v>
      </c>
    </row>
    <row r="21668" spans="1:10" x14ac:dyDescent="0.2">
      <c r="A21668" s="4" t="s">
        <v>1</v>
      </c>
      <c r="B216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68" s="3" t="str">
        <f>HYPERLINK("https://otsuka-europe-crm.veevavault.com/ui/#object/sent_email__v/VBLZ025E82HL6LL", "SE-000287801")</f>
        <v>SE-000287801</v>
      </c>
      <c r="D21668" s="1">
        <v>45946.275023148148</v>
      </c>
      <c r="E21668" s="2">
        <v>1</v>
      </c>
      <c r="F21668" s="2">
        <v>5</v>
      </c>
      <c r="G21668" s="2">
        <v>1</v>
      </c>
      <c r="H21668" s="1">
        <v>45946.276354166665</v>
      </c>
      <c r="I21668" s="2">
        <v>3</v>
      </c>
      <c r="J21668" s="1">
        <v>45945.487662037034</v>
      </c>
    </row>
    <row r="21669" spans="1:10" x14ac:dyDescent="0.2">
      <c r="A21669" s="4" t="s">
        <v>1</v>
      </c>
      <c r="B216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69" s="3" t="str">
        <f>HYPERLINK("https://otsuka-europe-crm.veevavault.com/ui/#object/sent_email__v/VBLZ025E82HL6LM", "SE-000287802")</f>
        <v>SE-000287802</v>
      </c>
      <c r="D21669" s="1" t="s">
        <v>0</v>
      </c>
      <c r="E21669" s="2">
        <v>0</v>
      </c>
      <c r="F21669" s="2">
        <v>0</v>
      </c>
      <c r="G21669" s="2">
        <v>0</v>
      </c>
      <c r="H21669" s="1" t="s">
        <v>0</v>
      </c>
      <c r="I21669" s="2">
        <v>0</v>
      </c>
      <c r="J21669" s="1">
        <v>45945.487662037034</v>
      </c>
    </row>
    <row r="21670" spans="1:10" x14ac:dyDescent="0.2">
      <c r="A21670" s="4" t="s">
        <v>1</v>
      </c>
      <c r="B216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70" s="3" t="str">
        <f>HYPERLINK("https://otsuka-europe-crm.veevavault.com/ui/#object/sent_email__v/VBLZ025E82HL6LN", "SE-000287803")</f>
        <v>SE-000287803</v>
      </c>
      <c r="D21670" s="1">
        <v>45971.29378472222</v>
      </c>
      <c r="E21670" s="2">
        <v>1</v>
      </c>
      <c r="F21670" s="2">
        <v>5</v>
      </c>
      <c r="G21670" s="2">
        <v>0</v>
      </c>
      <c r="H21670" s="1" t="s">
        <v>0</v>
      </c>
      <c r="I21670" s="2">
        <v>0</v>
      </c>
      <c r="J21670" s="1">
        <v>45945.487673611111</v>
      </c>
    </row>
    <row r="21671" spans="1:10" x14ac:dyDescent="0.2">
      <c r="A21671" s="4" t="s">
        <v>1</v>
      </c>
      <c r="B216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71" s="3" t="str">
        <f>HYPERLINK("https://otsuka-europe-crm.veevavault.com/ui/#object/sent_email__v/VBLZ025E82HL6LO", "SE-000287804")</f>
        <v>SE-000287804</v>
      </c>
      <c r="D21671" s="1" t="s">
        <v>0</v>
      </c>
      <c r="E21671" s="2">
        <v>0</v>
      </c>
      <c r="F21671" s="2">
        <v>0</v>
      </c>
      <c r="G21671" s="2">
        <v>0</v>
      </c>
      <c r="H21671" s="1" t="s">
        <v>0</v>
      </c>
      <c r="I21671" s="2">
        <v>0</v>
      </c>
      <c r="J21671" s="1">
        <v>45945.487662037034</v>
      </c>
    </row>
    <row r="21672" spans="1:10" x14ac:dyDescent="0.2">
      <c r="A21672" s="4" t="s">
        <v>1</v>
      </c>
      <c r="B216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72" s="3" t="str">
        <f>HYPERLINK("https://otsuka-europe-crm.veevavault.com/ui/#object/sent_email__v/VBLZ025E82HL6LP", "SE-000287805")</f>
        <v>SE-000287805</v>
      </c>
      <c r="D21672" s="1" t="s">
        <v>0</v>
      </c>
      <c r="E21672" s="2">
        <v>0</v>
      </c>
      <c r="F21672" s="2">
        <v>0</v>
      </c>
      <c r="G21672" s="2">
        <v>0</v>
      </c>
      <c r="H21672" s="1" t="s">
        <v>0</v>
      </c>
      <c r="I21672" s="2">
        <v>0</v>
      </c>
      <c r="J21672" s="1">
        <v>45945.487673611111</v>
      </c>
    </row>
    <row r="21673" spans="1:10" x14ac:dyDescent="0.2">
      <c r="A21673" s="4" t="s">
        <v>1</v>
      </c>
      <c r="B216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73" s="3" t="str">
        <f>HYPERLINK("https://otsuka-europe-crm.veevavault.com/ui/#object/sent_email__v/VBLZ025E82HL6LQ", "SE-000287806")</f>
        <v>SE-000287806</v>
      </c>
      <c r="D21673" s="1" t="s">
        <v>0</v>
      </c>
      <c r="E21673" s="2">
        <v>0</v>
      </c>
      <c r="F21673" s="2">
        <v>0</v>
      </c>
      <c r="G21673" s="2">
        <v>0</v>
      </c>
      <c r="H21673" s="1" t="s">
        <v>0</v>
      </c>
      <c r="I21673" s="2">
        <v>0</v>
      </c>
      <c r="J21673" s="1">
        <v>45945.487685185188</v>
      </c>
    </row>
    <row r="21674" spans="1:10" x14ac:dyDescent="0.2">
      <c r="A21674" s="4" t="s">
        <v>1</v>
      </c>
      <c r="B216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74" s="3" t="str">
        <f>HYPERLINK("https://otsuka-europe-crm.veevavault.com/ui/#object/sent_email__v/VBLZ025E82HL7WT", "SE-000287808")</f>
        <v>SE-000287808</v>
      </c>
      <c r="D21674" s="1">
        <v>45946.235879629632</v>
      </c>
      <c r="E21674" s="2">
        <v>1</v>
      </c>
      <c r="F21674" s="2">
        <v>2</v>
      </c>
      <c r="G21674" s="2">
        <v>0</v>
      </c>
      <c r="H21674" s="1" t="s">
        <v>0</v>
      </c>
      <c r="I21674" s="2">
        <v>0</v>
      </c>
      <c r="J21674" s="1">
        <v>45945.501956018517</v>
      </c>
    </row>
    <row r="21675" spans="1:10" x14ac:dyDescent="0.2">
      <c r="A21675" s="4" t="s">
        <v>1</v>
      </c>
      <c r="B216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75" s="3" t="str">
        <f>HYPERLINK("https://otsuka-europe-crm.veevavault.com/ui/#object/sent_email__v/VBLZ025E82HL8DH", "SE-000287810")</f>
        <v>SE-000287810</v>
      </c>
      <c r="D21675" s="1">
        <v>45960.479166666664</v>
      </c>
      <c r="E21675" s="2">
        <v>1</v>
      </c>
      <c r="F21675" s="2">
        <v>2</v>
      </c>
      <c r="G21675" s="2">
        <v>0</v>
      </c>
      <c r="H21675" s="1" t="s">
        <v>0</v>
      </c>
      <c r="I21675" s="2">
        <v>0</v>
      </c>
      <c r="J21675" s="1">
        <v>45945.504606481481</v>
      </c>
    </row>
    <row r="21676" spans="1:10" x14ac:dyDescent="0.2">
      <c r="A21676" s="4" t="s">
        <v>1</v>
      </c>
      <c r="B216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76" s="3" t="str">
        <f>HYPERLINK("https://otsuka-europe-crm.veevavault.com/ui/#object/sent_email__v/VBLZ025E82HM0RP", "SE-000287882")</f>
        <v>SE-000287882</v>
      </c>
      <c r="D21676" s="1">
        <v>45946.381979166668</v>
      </c>
      <c r="E21676" s="2">
        <v>1</v>
      </c>
      <c r="F21676" s="2">
        <v>1</v>
      </c>
      <c r="G21676" s="2">
        <v>0</v>
      </c>
      <c r="H21676" s="1" t="s">
        <v>0</v>
      </c>
      <c r="I21676" s="2">
        <v>0</v>
      </c>
      <c r="J21676" s="1">
        <v>45946.379189814812</v>
      </c>
    </row>
    <row r="21677" spans="1:10" x14ac:dyDescent="0.2">
      <c r="A21677" s="4" t="s">
        <v>1</v>
      </c>
      <c r="B216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77" s="3" t="str">
        <f>HYPERLINK("https://otsuka-europe-crm.veevavault.com/ui/#object/sent_email__v/VBLZ025E82HM6K1", "SE-000287898")</f>
        <v>SE-000287898</v>
      </c>
      <c r="D21677" s="1">
        <v>45946.750057870369</v>
      </c>
      <c r="E21677" s="2">
        <v>1</v>
      </c>
      <c r="F21677" s="2">
        <v>2</v>
      </c>
      <c r="G21677" s="2">
        <v>0</v>
      </c>
      <c r="H21677" s="1" t="s">
        <v>0</v>
      </c>
      <c r="I21677" s="2">
        <v>0</v>
      </c>
      <c r="J21677" s="1">
        <v>45946.430763888886</v>
      </c>
    </row>
    <row r="21678" spans="1:10" x14ac:dyDescent="0.2">
      <c r="A21678" s="4" t="s">
        <v>1</v>
      </c>
      <c r="B216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78" s="3" t="str">
        <f>HYPERLINK("https://otsuka-europe-crm.veevavault.com/ui/#object/sent_email__v/VBLZ025E82HMAHP", "SE-000287906")</f>
        <v>SE-000287906</v>
      </c>
      <c r="D21678" s="1">
        <v>45946.469375000001</v>
      </c>
      <c r="E21678" s="2">
        <v>1</v>
      </c>
      <c r="F21678" s="2">
        <v>8</v>
      </c>
      <c r="G21678" s="2">
        <v>1</v>
      </c>
      <c r="H21678" s="1">
        <v>45946.469363425924</v>
      </c>
      <c r="I21678" s="2">
        <v>11</v>
      </c>
      <c r="J21678" s="1">
        <v>45946.469004629631</v>
      </c>
    </row>
    <row r="21679" spans="1:10" x14ac:dyDescent="0.2">
      <c r="A21679" s="4" t="s">
        <v>1</v>
      </c>
      <c r="B216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79" s="3" t="str">
        <f>HYPERLINK("https://otsuka-europe-crm.veevavault.com/ui/#object/sent_email__v/VBLZ025E82HME71", "SE-000287921")</f>
        <v>SE-000287921</v>
      </c>
      <c r="D21679" s="1" t="s">
        <v>0</v>
      </c>
      <c r="E21679" s="2">
        <v>0</v>
      </c>
      <c r="F21679" s="2">
        <v>0</v>
      </c>
      <c r="G21679" s="2">
        <v>0</v>
      </c>
      <c r="H21679" s="1" t="s">
        <v>0</v>
      </c>
      <c r="I21679" s="2">
        <v>0</v>
      </c>
      <c r="J21679" s="1">
        <v>45946.505752314813</v>
      </c>
    </row>
    <row r="21680" spans="1:10" x14ac:dyDescent="0.2">
      <c r="A21680" s="4" t="s">
        <v>1</v>
      </c>
      <c r="B216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80" s="3" t="str">
        <f>HYPERLINK("https://otsuka-europe-crm.veevavault.com/ui/#object/sent_email__v/VBLZ025E82HN29P", "SE-000287976")</f>
        <v>SE-000287976</v>
      </c>
      <c r="D21680" s="1">
        <v>45949.398993055554</v>
      </c>
      <c r="E21680" s="2">
        <v>1</v>
      </c>
      <c r="F21680" s="2">
        <v>1</v>
      </c>
      <c r="G21680" s="2">
        <v>0</v>
      </c>
      <c r="H21680" s="1" t="s">
        <v>0</v>
      </c>
      <c r="I21680" s="2">
        <v>0</v>
      </c>
      <c r="J21680" s="1">
        <v>45947.419386574074</v>
      </c>
    </row>
    <row r="21681" spans="1:10" x14ac:dyDescent="0.2">
      <c r="A21681" s="4" t="s">
        <v>1</v>
      </c>
      <c r="B216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81" s="3" t="str">
        <f>HYPERLINK("https://otsuka-europe-crm.veevavault.com/ui/#object/sent_email__v/VBLZ025E82HNC81", "SE-000287992")</f>
        <v>SE-000287992</v>
      </c>
      <c r="D21681" s="1" t="s">
        <v>0</v>
      </c>
      <c r="E21681" s="2">
        <v>0</v>
      </c>
      <c r="F21681" s="2">
        <v>0</v>
      </c>
      <c r="G21681" s="2">
        <v>0</v>
      </c>
      <c r="H21681" s="1" t="s">
        <v>0</v>
      </c>
      <c r="I21681" s="2">
        <v>0</v>
      </c>
      <c r="J21681" s="1">
        <v>45947.439641203702</v>
      </c>
    </row>
    <row r="21682" spans="1:10" x14ac:dyDescent="0.2">
      <c r="A21682" s="4" t="s">
        <v>1</v>
      </c>
      <c r="B216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82" s="3" t="str">
        <f>HYPERLINK("https://otsuka-europe-crm.veevavault.com/ui/#object/sent_email__v/VBLZ025E82HNDJ9", "SE-000287994")</f>
        <v>SE-000287994</v>
      </c>
      <c r="D21682" s="1">
        <v>45950.655335648145</v>
      </c>
      <c r="E21682" s="2">
        <v>1</v>
      </c>
      <c r="F21682" s="2">
        <v>2</v>
      </c>
      <c r="G21682" s="2">
        <v>1</v>
      </c>
      <c r="H21682" s="1">
        <v>45947.666979166665</v>
      </c>
      <c r="I21682" s="2">
        <v>1</v>
      </c>
      <c r="J21682" s="1">
        <v>45947.451388888891</v>
      </c>
    </row>
    <row r="21683" spans="1:10" x14ac:dyDescent="0.2">
      <c r="A21683" s="4" t="s">
        <v>1</v>
      </c>
      <c r="B216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83" s="3" t="str">
        <f>HYPERLINK("https://otsuka-europe-crm.veevavault.com/ui/#object/sent_email__v/VBLZ025E82HNDX5", "SE-000287995")</f>
        <v>SE-000287995</v>
      </c>
      <c r="D21683" s="1">
        <v>45959.72210648148</v>
      </c>
      <c r="E21683" s="2">
        <v>1</v>
      </c>
      <c r="F21683" s="2">
        <v>3</v>
      </c>
      <c r="G21683" s="2">
        <v>1</v>
      </c>
      <c r="H21683" s="1">
        <v>45959.723113425927</v>
      </c>
      <c r="I21683" s="2">
        <v>2</v>
      </c>
      <c r="J21683" s="1">
        <v>45947.452534722222</v>
      </c>
    </row>
    <row r="21684" spans="1:10" x14ac:dyDescent="0.2">
      <c r="A21684" s="4" t="s">
        <v>1</v>
      </c>
      <c r="B216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84" s="3" t="str">
        <f>HYPERLINK("https://otsuka-europe-crm.veevavault.com/ui/#object/sent_email__v/VBLZ025E82HNE5H", "SE-000287996")</f>
        <v>SE-000287996</v>
      </c>
      <c r="D21684" s="1">
        <v>45948.045868055553</v>
      </c>
      <c r="E21684" s="2">
        <v>1</v>
      </c>
      <c r="F21684" s="2">
        <v>2</v>
      </c>
      <c r="G21684" s="2">
        <v>0</v>
      </c>
      <c r="H21684" s="1" t="s">
        <v>0</v>
      </c>
      <c r="I21684" s="2">
        <v>0</v>
      </c>
      <c r="J21684" s="1">
        <v>45947.453877314816</v>
      </c>
    </row>
    <row r="21685" spans="1:10" x14ac:dyDescent="0.2">
      <c r="A21685" s="4" t="s">
        <v>1</v>
      </c>
      <c r="B216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85" s="3" t="str">
        <f>HYPERLINK("https://otsuka-europe-crm.veevavault.com/ui/#object/sent_email__v/VBLZ025E82HNF2T", "SE-000287997")</f>
        <v>SE-000287997</v>
      </c>
      <c r="D21685" s="1" t="s">
        <v>0</v>
      </c>
      <c r="E21685" s="2">
        <v>0</v>
      </c>
      <c r="F21685" s="2">
        <v>0</v>
      </c>
      <c r="G21685" s="2">
        <v>0</v>
      </c>
      <c r="H21685" s="1" t="s">
        <v>0</v>
      </c>
      <c r="I21685" s="2">
        <v>0</v>
      </c>
      <c r="J21685" s="1">
        <v>45947.458449074074</v>
      </c>
    </row>
    <row r="21686" spans="1:10" x14ac:dyDescent="0.2">
      <c r="A21686" s="4" t="s">
        <v>1</v>
      </c>
      <c r="B216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86" s="3" t="str">
        <f>HYPERLINK("https://otsuka-europe-crm.veevavault.com/ui/#object/sent_email__v/VBLZ025E82HQ251", "SE-000288872")</f>
        <v>SE-000288872</v>
      </c>
      <c r="D21686" s="1" t="s">
        <v>0</v>
      </c>
      <c r="E21686" s="2">
        <v>0</v>
      </c>
      <c r="F21686" s="2">
        <v>0</v>
      </c>
      <c r="G21686" s="2">
        <v>0</v>
      </c>
      <c r="H21686" s="1" t="s">
        <v>0</v>
      </c>
      <c r="I21686" s="2">
        <v>0</v>
      </c>
      <c r="J21686" s="1">
        <v>45951.400752314818</v>
      </c>
    </row>
    <row r="21687" spans="1:10" x14ac:dyDescent="0.2">
      <c r="A21687" s="4" t="s">
        <v>1</v>
      </c>
      <c r="B216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87" s="3" t="str">
        <f>HYPERLINK("https://otsuka-europe-crm.veevavault.com/ui/#object/sent_email__v/VBLZ025E82HQ4AT", "SE-000288874")</f>
        <v>SE-000288874</v>
      </c>
      <c r="D21687" s="1">
        <v>45951.819722222222</v>
      </c>
      <c r="E21687" s="2">
        <v>1</v>
      </c>
      <c r="F21687" s="2">
        <v>1</v>
      </c>
      <c r="G21687" s="2">
        <v>0</v>
      </c>
      <c r="H21687" s="1" t="s">
        <v>0</v>
      </c>
      <c r="I21687" s="2">
        <v>0</v>
      </c>
      <c r="J21687" s="1">
        <v>45951.425023148149</v>
      </c>
    </row>
    <row r="21688" spans="1:10" x14ac:dyDescent="0.2">
      <c r="A21688" s="4" t="s">
        <v>1</v>
      </c>
      <c r="B216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88" s="3" t="str">
        <f>HYPERLINK("https://otsuka-europe-crm.veevavault.com/ui/#object/sent_email__v/VBLZ025E82HQ7JH", "SE-000288962")</f>
        <v>SE-000288962</v>
      </c>
      <c r="D21688" s="1">
        <v>45985.638784722221</v>
      </c>
      <c r="E21688" s="2">
        <v>1</v>
      </c>
      <c r="F21688" s="2">
        <v>3</v>
      </c>
      <c r="G21688" s="2">
        <v>0</v>
      </c>
      <c r="H21688" s="1" t="s">
        <v>0</v>
      </c>
      <c r="I21688" s="2">
        <v>0</v>
      </c>
      <c r="J21688" s="1">
        <v>45951.453715277778</v>
      </c>
    </row>
    <row r="21689" spans="1:10" x14ac:dyDescent="0.2">
      <c r="A21689" s="4" t="s">
        <v>1</v>
      </c>
      <c r="B216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89" s="3" t="str">
        <f>HYPERLINK("https://otsuka-europe-crm.veevavault.com/ui/#object/sent_email__v/VBLZ025E82HQ7P1", "SE-000288963")</f>
        <v>SE-000288963</v>
      </c>
      <c r="D21689" s="1">
        <v>45951.456828703704</v>
      </c>
      <c r="E21689" s="2">
        <v>1</v>
      </c>
      <c r="F21689" s="2">
        <v>2</v>
      </c>
      <c r="G21689" s="2">
        <v>0</v>
      </c>
      <c r="H21689" s="1" t="s">
        <v>0</v>
      </c>
      <c r="I21689" s="2">
        <v>0</v>
      </c>
      <c r="J21689" s="1">
        <v>45951.456701388888</v>
      </c>
    </row>
    <row r="21690" spans="1:10" x14ac:dyDescent="0.2">
      <c r="A21690" s="4" t="s">
        <v>1</v>
      </c>
      <c r="B216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90" s="3" t="str">
        <f>HYPERLINK("https://otsuka-europe-crm.veevavault.com/ui/#object/sent_email__v/VBLZ025E82HQ9E5", "SE-000289053")</f>
        <v>SE-000289053</v>
      </c>
      <c r="D21690" s="1">
        <v>45951.684432870374</v>
      </c>
      <c r="E21690" s="2">
        <v>1</v>
      </c>
      <c r="F21690" s="2">
        <v>1</v>
      </c>
      <c r="G21690" s="2">
        <v>0</v>
      </c>
      <c r="H21690" s="1" t="s">
        <v>0</v>
      </c>
      <c r="I21690" s="2">
        <v>0</v>
      </c>
      <c r="J21690" s="1">
        <v>45951.471273148149</v>
      </c>
    </row>
    <row r="21691" spans="1:10" x14ac:dyDescent="0.2">
      <c r="A21691" s="4" t="s">
        <v>1</v>
      </c>
      <c r="B216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91" s="3" t="str">
        <f>HYPERLINK("https://otsuka-europe-crm.veevavault.com/ui/#object/sent_email__v/VBLZ025E82HQ9GX", "SE-000289054")</f>
        <v>SE-000289054</v>
      </c>
      <c r="D21691" s="1" t="s">
        <v>0</v>
      </c>
      <c r="E21691" s="2">
        <v>0</v>
      </c>
      <c r="F21691" s="2">
        <v>0</v>
      </c>
      <c r="G21691" s="2">
        <v>0</v>
      </c>
      <c r="H21691" s="1" t="s">
        <v>0</v>
      </c>
      <c r="I21691" s="2">
        <v>0</v>
      </c>
      <c r="J21691" s="1">
        <v>45951.471689814818</v>
      </c>
    </row>
    <row r="21692" spans="1:10" x14ac:dyDescent="0.2">
      <c r="A21692" s="4" t="s">
        <v>1</v>
      </c>
      <c r="B216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92" s="3" t="str">
        <f>HYPERLINK("https://otsuka-europe-crm.veevavault.com/ui/#object/sent_email__v/VBLZ025E82HQ9JP", "SE-000289055")</f>
        <v>SE-000289055</v>
      </c>
      <c r="D21692" s="1">
        <v>45959.469907407409</v>
      </c>
      <c r="E21692" s="2">
        <v>1</v>
      </c>
      <c r="F21692" s="2">
        <v>2</v>
      </c>
      <c r="G21692" s="2">
        <v>0</v>
      </c>
      <c r="H21692" s="1" t="s">
        <v>0</v>
      </c>
      <c r="I21692" s="2">
        <v>0</v>
      </c>
      <c r="J21692" s="1">
        <v>45951.472118055557</v>
      </c>
    </row>
    <row r="21693" spans="1:10" x14ac:dyDescent="0.2">
      <c r="A21693" s="4" t="s">
        <v>1</v>
      </c>
      <c r="B216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93" s="3" t="str">
        <f>HYPERLINK("https://otsuka-europe-crm.veevavault.com/ui/#object/sent_email__v/VBLZ025E82HQ9MH", "SE-000289056")</f>
        <v>SE-000289056</v>
      </c>
      <c r="D21693" s="1">
        <v>45951.472997685189</v>
      </c>
      <c r="E21693" s="2">
        <v>1</v>
      </c>
      <c r="F21693" s="2">
        <v>2</v>
      </c>
      <c r="G21693" s="2">
        <v>0</v>
      </c>
      <c r="H21693" s="1" t="s">
        <v>0</v>
      </c>
      <c r="I21693" s="2">
        <v>0</v>
      </c>
      <c r="J21693" s="1">
        <v>45951.472905092596</v>
      </c>
    </row>
    <row r="21694" spans="1:10" x14ac:dyDescent="0.2">
      <c r="A21694" s="4" t="s">
        <v>1</v>
      </c>
      <c r="B216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94" s="3" t="str">
        <f>HYPERLINK("https://otsuka-europe-crm.veevavault.com/ui/#object/sent_email__v/VBLZ025E82HQYP9", "SE-000289812")</f>
        <v>SE-000289812</v>
      </c>
      <c r="D21694" s="1" t="s">
        <v>0</v>
      </c>
      <c r="E21694" s="2">
        <v>0</v>
      </c>
      <c r="F21694" s="2">
        <v>0</v>
      </c>
      <c r="G21694" s="2">
        <v>0</v>
      </c>
      <c r="H21694" s="1" t="s">
        <v>0</v>
      </c>
      <c r="I21694" s="2">
        <v>0</v>
      </c>
      <c r="J21694" s="1">
        <v>45952.36509259259</v>
      </c>
    </row>
    <row r="21695" spans="1:10" x14ac:dyDescent="0.2">
      <c r="A21695" s="4" t="s">
        <v>1</v>
      </c>
      <c r="B216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95" s="3" t="str">
        <f>HYPERLINK("https://otsuka-europe-crm.veevavault.com/ui/#object/sent_email__v/VBLZ025E82HS67X", "SE-000290301")</f>
        <v>SE-000290301</v>
      </c>
      <c r="D21695" s="1" t="s">
        <v>0</v>
      </c>
      <c r="E21695" s="2">
        <v>0</v>
      </c>
      <c r="F21695" s="2">
        <v>0</v>
      </c>
      <c r="G21695" s="2">
        <v>0</v>
      </c>
      <c r="H21695" s="1" t="s">
        <v>0</v>
      </c>
      <c r="I21695" s="2">
        <v>0</v>
      </c>
      <c r="J21695" s="1">
        <v>45953.417291666665</v>
      </c>
    </row>
    <row r="21696" spans="1:10" x14ac:dyDescent="0.2">
      <c r="A21696" s="4" t="s">
        <v>1</v>
      </c>
      <c r="B216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96" s="3" t="str">
        <f>HYPERLINK("https://otsuka-europe-crm.veevavault.com/ui/#object/sent_email__v/VBLZ025E82HS7X1", "SE-000290303")</f>
        <v>SE-000290303</v>
      </c>
      <c r="D21696" s="1">
        <v>46007.308622685188</v>
      </c>
      <c r="E21696" s="2">
        <v>1</v>
      </c>
      <c r="F21696" s="2">
        <v>1</v>
      </c>
      <c r="G21696" s="2">
        <v>0</v>
      </c>
      <c r="H21696" s="1" t="s">
        <v>0</v>
      </c>
      <c r="I21696" s="2">
        <v>0</v>
      </c>
      <c r="J21696" s="1">
        <v>45953.432118055556</v>
      </c>
    </row>
    <row r="21697" spans="1:10" x14ac:dyDescent="0.2">
      <c r="A21697" s="4" t="s">
        <v>1</v>
      </c>
      <c r="B216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97" s="3" t="str">
        <f>HYPERLINK("https://otsuka-europe-crm.veevavault.com/ui/#object/sent_email__v/VBLZ025E82HS7ZT", "SE-000290304")</f>
        <v>SE-000290304</v>
      </c>
      <c r="D21697" s="1" t="s">
        <v>0</v>
      </c>
      <c r="E21697" s="2">
        <v>0</v>
      </c>
      <c r="F21697" s="2">
        <v>0</v>
      </c>
      <c r="G21697" s="2">
        <v>0</v>
      </c>
      <c r="H21697" s="1" t="s">
        <v>0</v>
      </c>
      <c r="I21697" s="2">
        <v>0</v>
      </c>
      <c r="J21697" s="1">
        <v>45953.432384259257</v>
      </c>
    </row>
    <row r="21698" spans="1:10" x14ac:dyDescent="0.2">
      <c r="A21698" s="4" t="s">
        <v>1</v>
      </c>
      <c r="B216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98" s="3" t="str">
        <f>HYPERLINK("https://otsuka-europe-crm.veevavault.com/ui/#object/sent_email__v/VBLZ025E82HS85D", "SE-000290308")</f>
        <v>SE-000290308</v>
      </c>
      <c r="D21698" s="1">
        <v>45989.383506944447</v>
      </c>
      <c r="E21698" s="2">
        <v>1</v>
      </c>
      <c r="F21698" s="2">
        <v>4</v>
      </c>
      <c r="G21698" s="2">
        <v>0</v>
      </c>
      <c r="H21698" s="1" t="s">
        <v>0</v>
      </c>
      <c r="I21698" s="2">
        <v>0</v>
      </c>
      <c r="J21698" s="1">
        <v>45953.43310185185</v>
      </c>
    </row>
    <row r="21699" spans="1:10" x14ac:dyDescent="0.2">
      <c r="A21699" s="4" t="s">
        <v>1</v>
      </c>
      <c r="B216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699" s="3" t="str">
        <f>HYPERLINK("https://otsuka-europe-crm.veevavault.com/ui/#object/sent_email__v/VBLZ025E82HSBRX", "SE-000290316")</f>
        <v>SE-000290316</v>
      </c>
      <c r="D21699" s="1">
        <v>45960.729050925926</v>
      </c>
      <c r="E21699" s="2">
        <v>1</v>
      </c>
      <c r="F21699" s="2">
        <v>1</v>
      </c>
      <c r="G21699" s="2">
        <v>1</v>
      </c>
      <c r="H21699" s="1">
        <v>45960.729097222225</v>
      </c>
      <c r="I21699" s="2">
        <v>1</v>
      </c>
      <c r="J21699" s="1">
        <v>45953.469907407409</v>
      </c>
    </row>
    <row r="21700" spans="1:10" x14ac:dyDescent="0.2">
      <c r="A21700" s="4" t="s">
        <v>1</v>
      </c>
      <c r="B217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00" s="3" t="str">
        <f>HYPERLINK("https://otsuka-europe-crm.veevavault.com/ui/#object/sent_email__v/VBLZ025E82HSHN1", "SE-000290322")</f>
        <v>SE-000290322</v>
      </c>
      <c r="D21700" s="1">
        <v>45953.65</v>
      </c>
      <c r="E21700" s="2">
        <v>1</v>
      </c>
      <c r="F21700" s="2">
        <v>1</v>
      </c>
      <c r="G21700" s="2">
        <v>0</v>
      </c>
      <c r="H21700" s="1" t="s">
        <v>0</v>
      </c>
      <c r="I21700" s="2">
        <v>0</v>
      </c>
      <c r="J21700" s="1">
        <v>45953.514606481483</v>
      </c>
    </row>
    <row r="21701" spans="1:10" x14ac:dyDescent="0.2">
      <c r="A21701" s="4" t="s">
        <v>1</v>
      </c>
      <c r="B217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01" s="3" t="str">
        <f>HYPERLINK("https://otsuka-europe-crm.veevavault.com/ui/#object/sent_email__v/VBLZ025E82HSDEA", "SE-000290323")</f>
        <v>SE-000290323</v>
      </c>
      <c r="D21701" s="1">
        <v>45953.649687500001</v>
      </c>
      <c r="E21701" s="2">
        <v>1</v>
      </c>
      <c r="F21701" s="2">
        <v>1</v>
      </c>
      <c r="G21701" s="2">
        <v>0</v>
      </c>
      <c r="H21701" s="1" t="s">
        <v>0</v>
      </c>
      <c r="I21701" s="2">
        <v>0</v>
      </c>
      <c r="J21701" s="1">
        <v>45953.515324074076</v>
      </c>
    </row>
    <row r="21702" spans="1:10" x14ac:dyDescent="0.2">
      <c r="A21702" s="4" t="s">
        <v>1</v>
      </c>
      <c r="B217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02" s="3" t="str">
        <f>HYPERLINK("https://otsuka-europe-crm.veevavault.com/ui/#object/sent_email__v/VBL000000001009", "SE-001377694")</f>
        <v>SE-001377694</v>
      </c>
      <c r="D21702" s="1" t="s">
        <v>0</v>
      </c>
      <c r="E21702" s="2">
        <v>0</v>
      </c>
      <c r="F21702" s="2">
        <v>0</v>
      </c>
      <c r="G21702" s="2">
        <v>0</v>
      </c>
      <c r="H21702" s="1" t="s">
        <v>0</v>
      </c>
      <c r="I21702" s="2">
        <v>0</v>
      </c>
      <c r="J21702" s="1">
        <v>45957.480740740742</v>
      </c>
    </row>
    <row r="21703" spans="1:10" x14ac:dyDescent="0.2">
      <c r="A21703" s="4" t="s">
        <v>1</v>
      </c>
      <c r="B217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03" s="3" t="str">
        <f>HYPERLINK("https://otsuka-europe-crm.veevavault.com/ui/#object/sent_email__v/VBL000000001010", "SE-001377695")</f>
        <v>SE-001377695</v>
      </c>
      <c r="D21703" s="1" t="s">
        <v>0</v>
      </c>
      <c r="E21703" s="2">
        <v>0</v>
      </c>
      <c r="F21703" s="2">
        <v>0</v>
      </c>
      <c r="G21703" s="2">
        <v>0</v>
      </c>
      <c r="H21703" s="1" t="s">
        <v>0</v>
      </c>
      <c r="I21703" s="2">
        <v>0</v>
      </c>
      <c r="J21703" s="1">
        <v>45957.497499999998</v>
      </c>
    </row>
    <row r="21704" spans="1:10" x14ac:dyDescent="0.2">
      <c r="A21704" s="4" t="s">
        <v>1</v>
      </c>
      <c r="B217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04" s="3" t="str">
        <f>HYPERLINK("https://otsuka-europe-crm.veevavault.com/ui/#object/sent_email__v/VBL000000001011", "SE-001377696")</f>
        <v>SE-001377696</v>
      </c>
      <c r="D21704" s="1">
        <v>45958.689409722225</v>
      </c>
      <c r="E21704" s="2">
        <v>1</v>
      </c>
      <c r="F21704" s="2">
        <v>6</v>
      </c>
      <c r="G21704" s="2">
        <v>0</v>
      </c>
      <c r="H21704" s="1" t="s">
        <v>0</v>
      </c>
      <c r="I21704" s="2">
        <v>0</v>
      </c>
      <c r="J21704" s="1">
        <v>45957.497581018521</v>
      </c>
    </row>
    <row r="21705" spans="1:10" x14ac:dyDescent="0.2">
      <c r="A21705" s="4" t="s">
        <v>1</v>
      </c>
      <c r="B217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05" s="3" t="str">
        <f>HYPERLINK("https://otsuka-europe-crm.veevavault.com/ui/#object/sent_email__v/VBL000000001012", "SE-001377697")</f>
        <v>SE-001377697</v>
      </c>
      <c r="D21705" s="1">
        <v>45983.64199074074</v>
      </c>
      <c r="E21705" s="2">
        <v>1</v>
      </c>
      <c r="F21705" s="2">
        <v>1</v>
      </c>
      <c r="G21705" s="2">
        <v>0</v>
      </c>
      <c r="H21705" s="1" t="s">
        <v>0</v>
      </c>
      <c r="I21705" s="2">
        <v>0</v>
      </c>
      <c r="J21705" s="1">
        <v>45957.49763888889</v>
      </c>
    </row>
    <row r="21706" spans="1:10" x14ac:dyDescent="0.2">
      <c r="A21706" s="4" t="s">
        <v>1</v>
      </c>
      <c r="B217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06" s="3" t="str">
        <f>HYPERLINK("https://otsuka-europe-crm.veevavault.com/ui/#object/sent_email__v/VBL000000001013", "SE-001377698")</f>
        <v>SE-001377698</v>
      </c>
      <c r="D21706" s="1">
        <v>45958.738067129627</v>
      </c>
      <c r="E21706" s="2">
        <v>1</v>
      </c>
      <c r="F21706" s="2">
        <v>2</v>
      </c>
      <c r="G21706" s="2">
        <v>0</v>
      </c>
      <c r="H21706" s="1" t="s">
        <v>0</v>
      </c>
      <c r="I21706" s="2">
        <v>0</v>
      </c>
      <c r="J21706" s="1">
        <v>45957.497708333336</v>
      </c>
    </row>
    <row r="21707" spans="1:10" x14ac:dyDescent="0.2">
      <c r="A21707" s="4" t="s">
        <v>1</v>
      </c>
      <c r="B217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07" s="3" t="str">
        <f>HYPERLINK("https://otsuka-europe-crm.veevavault.com/ui/#object/sent_email__v/VBL000000001014", "SE-001377699")</f>
        <v>SE-001377699</v>
      </c>
      <c r="D21707" s="1" t="s">
        <v>0</v>
      </c>
      <c r="E21707" s="2">
        <v>0</v>
      </c>
      <c r="F21707" s="2">
        <v>0</v>
      </c>
      <c r="G21707" s="2">
        <v>0</v>
      </c>
      <c r="H21707" s="1" t="s">
        <v>0</v>
      </c>
      <c r="I21707" s="2">
        <v>0</v>
      </c>
      <c r="J21707" s="1">
        <v>45957.497800925928</v>
      </c>
    </row>
    <row r="21708" spans="1:10" x14ac:dyDescent="0.2">
      <c r="A21708" s="4" t="s">
        <v>1</v>
      </c>
      <c r="B217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08" s="3" t="str">
        <f>HYPERLINK("https://otsuka-europe-crm.veevavault.com/ui/#object/sent_email__v/VBL000000001015", "SE-001377700")</f>
        <v>SE-001377700</v>
      </c>
      <c r="D21708" s="1">
        <v>45957.642881944441</v>
      </c>
      <c r="E21708" s="2">
        <v>1</v>
      </c>
      <c r="F21708" s="2">
        <v>1</v>
      </c>
      <c r="G21708" s="2">
        <v>0</v>
      </c>
      <c r="H21708" s="1" t="s">
        <v>0</v>
      </c>
      <c r="I21708" s="2">
        <v>0</v>
      </c>
      <c r="J21708" s="1">
        <v>45957.497847222221</v>
      </c>
    </row>
    <row r="21709" spans="1:10" x14ac:dyDescent="0.2">
      <c r="A21709" s="4" t="s">
        <v>1</v>
      </c>
      <c r="B217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09" s="3" t="str">
        <f>HYPERLINK("https://otsuka-europe-crm.veevavault.com/ui/#object/sent_email__v/VBL000000001016", "SE-001377701")</f>
        <v>SE-001377701</v>
      </c>
      <c r="D21709" s="1">
        <v>45981.613206018519</v>
      </c>
      <c r="E21709" s="2">
        <v>1</v>
      </c>
      <c r="F21709" s="2">
        <v>2</v>
      </c>
      <c r="G21709" s="2">
        <v>0</v>
      </c>
      <c r="H21709" s="1" t="s">
        <v>0</v>
      </c>
      <c r="I21709" s="2">
        <v>0</v>
      </c>
      <c r="J21709" s="1">
        <v>45957.497928240744</v>
      </c>
    </row>
    <row r="21710" spans="1:10" x14ac:dyDescent="0.2">
      <c r="A21710" s="4" t="s">
        <v>1</v>
      </c>
      <c r="B217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10" s="3" t="str">
        <f>HYPERLINK("https://otsuka-europe-crm.veevavault.com/ui/#object/sent_email__v/VBL000000001017", "SE-001377702")</f>
        <v>SE-001377702</v>
      </c>
      <c r="D21710" s="1" t="s">
        <v>0</v>
      </c>
      <c r="E21710" s="2">
        <v>0</v>
      </c>
      <c r="F21710" s="2">
        <v>0</v>
      </c>
      <c r="G21710" s="2">
        <v>0</v>
      </c>
      <c r="H21710" s="1" t="s">
        <v>0</v>
      </c>
      <c r="I21710" s="2">
        <v>0</v>
      </c>
      <c r="J21710" s="1">
        <v>45957.497986111113</v>
      </c>
    </row>
    <row r="21711" spans="1:10" x14ac:dyDescent="0.2">
      <c r="A21711" s="4" t="s">
        <v>1</v>
      </c>
      <c r="B217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11" s="3" t="str">
        <f>HYPERLINK("https://otsuka-europe-crm.veevavault.com/ui/#object/sent_email__v/VBL000000001018", "SE-001377703")</f>
        <v>SE-001377703</v>
      </c>
      <c r="D21711" s="1">
        <v>45957.695636574077</v>
      </c>
      <c r="E21711" s="2">
        <v>1</v>
      </c>
      <c r="F21711" s="2">
        <v>1</v>
      </c>
      <c r="G21711" s="2">
        <v>1</v>
      </c>
      <c r="H21711" s="1">
        <v>45957.696770833332</v>
      </c>
      <c r="I21711" s="2">
        <v>2</v>
      </c>
      <c r="J21711" s="1">
        <v>45957.498055555552</v>
      </c>
    </row>
    <row r="21712" spans="1:10" x14ac:dyDescent="0.2">
      <c r="A21712" s="4" t="s">
        <v>1</v>
      </c>
      <c r="B217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12" s="3" t="str">
        <f>HYPERLINK("https://otsuka-europe-crm.veevavault.com/ui/#object/sent_email__v/VBL000000001019", "SE-001377704")</f>
        <v>SE-001377704</v>
      </c>
      <c r="D21712" s="1">
        <v>45957.652557870373</v>
      </c>
      <c r="E21712" s="2">
        <v>1</v>
      </c>
      <c r="F21712" s="2">
        <v>1</v>
      </c>
      <c r="G21712" s="2">
        <v>0</v>
      </c>
      <c r="H21712" s="1" t="s">
        <v>0</v>
      </c>
      <c r="I21712" s="2">
        <v>0</v>
      </c>
      <c r="J21712" s="1">
        <v>45957.498124999998</v>
      </c>
    </row>
    <row r="21713" spans="1:10" x14ac:dyDescent="0.2">
      <c r="A21713" s="4" t="s">
        <v>1</v>
      </c>
      <c r="B217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13" s="3" t="str">
        <f>HYPERLINK("https://otsuka-europe-crm.veevavault.com/ui/#object/sent_email__v/VBL000000001020", "SE-001377705")</f>
        <v>SE-001377705</v>
      </c>
      <c r="D21713" s="1" t="s">
        <v>0</v>
      </c>
      <c r="E21713" s="2">
        <v>0</v>
      </c>
      <c r="F21713" s="2">
        <v>0</v>
      </c>
      <c r="G21713" s="2">
        <v>0</v>
      </c>
      <c r="H21713" s="1" t="s">
        <v>0</v>
      </c>
      <c r="I21713" s="2">
        <v>0</v>
      </c>
      <c r="J21713" s="1">
        <v>45957.498206018521</v>
      </c>
    </row>
    <row r="21714" spans="1:10" x14ac:dyDescent="0.2">
      <c r="A21714" s="4" t="s">
        <v>1</v>
      </c>
      <c r="B217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14" s="3" t="str">
        <f>HYPERLINK("https://otsuka-europe-crm.veevavault.com/ui/#object/sent_email__v/VBL000000001021", "SE-001377706")</f>
        <v>SE-001377706</v>
      </c>
      <c r="D21714" s="1" t="s">
        <v>0</v>
      </c>
      <c r="E21714" s="2">
        <v>0</v>
      </c>
      <c r="F21714" s="2">
        <v>0</v>
      </c>
      <c r="G21714" s="2">
        <v>0</v>
      </c>
      <c r="H21714" s="1" t="s">
        <v>0</v>
      </c>
      <c r="I21714" s="2">
        <v>0</v>
      </c>
      <c r="J21714" s="1">
        <v>45957.49827546296</v>
      </c>
    </row>
    <row r="21715" spans="1:10" x14ac:dyDescent="0.2">
      <c r="A21715" s="4" t="s">
        <v>1</v>
      </c>
      <c r="B217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15" s="3" t="str">
        <f>HYPERLINK("https://otsuka-europe-crm.veevavault.com/ui/#object/sent_email__v/VBL000000001022", "SE-001377707")</f>
        <v>SE-001377707</v>
      </c>
      <c r="D21715" s="1" t="s">
        <v>0</v>
      </c>
      <c r="E21715" s="2">
        <v>0</v>
      </c>
      <c r="F21715" s="2">
        <v>0</v>
      </c>
      <c r="G21715" s="2">
        <v>0</v>
      </c>
      <c r="H21715" s="1" t="s">
        <v>0</v>
      </c>
      <c r="I21715" s="2">
        <v>0</v>
      </c>
      <c r="J21715" s="1">
        <v>45957.498333333337</v>
      </c>
    </row>
    <row r="21716" spans="1:10" x14ac:dyDescent="0.2">
      <c r="A21716" s="4" t="s">
        <v>1</v>
      </c>
      <c r="B217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16" s="3" t="str">
        <f>HYPERLINK("https://otsuka-europe-crm.veevavault.com/ui/#object/sent_email__v/VBL000000001023", "SE-001377708")</f>
        <v>SE-001377708</v>
      </c>
      <c r="D21716" s="1" t="s">
        <v>0</v>
      </c>
      <c r="E21716" s="2">
        <v>0</v>
      </c>
      <c r="F21716" s="2">
        <v>0</v>
      </c>
      <c r="G21716" s="2">
        <v>0</v>
      </c>
      <c r="H21716" s="1" t="s">
        <v>0</v>
      </c>
      <c r="I21716" s="2">
        <v>0</v>
      </c>
      <c r="J21716" s="1">
        <v>45957.498414351852</v>
      </c>
    </row>
    <row r="21717" spans="1:10" x14ac:dyDescent="0.2">
      <c r="A21717" s="4" t="s">
        <v>1</v>
      </c>
      <c r="B217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17" s="3" t="str">
        <f>HYPERLINK("https://otsuka-europe-crm.veevavault.com/ui/#object/sent_email__v/VBL000000001024", "SE-001377709")</f>
        <v>SE-001377709</v>
      </c>
      <c r="D21717" s="1">
        <v>45962.04451388889</v>
      </c>
      <c r="E21717" s="2">
        <v>1</v>
      </c>
      <c r="F21717" s="2">
        <v>1</v>
      </c>
      <c r="G21717" s="2">
        <v>0</v>
      </c>
      <c r="H21717" s="1" t="s">
        <v>0</v>
      </c>
      <c r="I21717" s="2">
        <v>0</v>
      </c>
      <c r="J21717" s="1">
        <v>45957.498483796298</v>
      </c>
    </row>
    <row r="21718" spans="1:10" x14ac:dyDescent="0.2">
      <c r="A21718" s="4" t="s">
        <v>1</v>
      </c>
      <c r="B217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18" s="3" t="str">
        <f>HYPERLINK("https://otsuka-europe-crm.veevavault.com/ui/#object/sent_email__v/VBL000000001025", "SE-001377710")</f>
        <v>SE-001377710</v>
      </c>
      <c r="D21718" s="1" t="s">
        <v>0</v>
      </c>
      <c r="E21718" s="2">
        <v>0</v>
      </c>
      <c r="F21718" s="2">
        <v>0</v>
      </c>
      <c r="G21718" s="2">
        <v>0</v>
      </c>
      <c r="H21718" s="1" t="s">
        <v>0</v>
      </c>
      <c r="I21718" s="2">
        <v>0</v>
      </c>
      <c r="J21718" s="1">
        <v>45957.498553240737</v>
      </c>
    </row>
    <row r="21719" spans="1:10" x14ac:dyDescent="0.2">
      <c r="A21719" s="4" t="s">
        <v>1</v>
      </c>
      <c r="B217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19" s="3" t="str">
        <f>HYPERLINK("https://otsuka-europe-crm.veevavault.com/ui/#object/sent_email__v/VBL000000001026", "SE-001377711")</f>
        <v>SE-001377711</v>
      </c>
      <c r="D21719" s="1" t="s">
        <v>0</v>
      </c>
      <c r="E21719" s="2">
        <v>0</v>
      </c>
      <c r="F21719" s="2">
        <v>0</v>
      </c>
      <c r="G21719" s="2">
        <v>0</v>
      </c>
      <c r="H21719" s="1" t="s">
        <v>0</v>
      </c>
      <c r="I21719" s="2">
        <v>0</v>
      </c>
      <c r="J21719" s="1">
        <v>45957.49863425926</v>
      </c>
    </row>
    <row r="21720" spans="1:10" x14ac:dyDescent="0.2">
      <c r="A21720" s="4" t="s">
        <v>1</v>
      </c>
      <c r="B217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20" s="3" t="str">
        <f>HYPERLINK("https://otsuka-europe-crm.veevavault.com/ui/#object/sent_email__v/VBL000000001027", "SE-001377712")</f>
        <v>SE-001377712</v>
      </c>
      <c r="D21720" s="1">
        <v>45979.584328703706</v>
      </c>
      <c r="E21720" s="2">
        <v>1</v>
      </c>
      <c r="F21720" s="2">
        <v>4</v>
      </c>
      <c r="G21720" s="2">
        <v>0</v>
      </c>
      <c r="H21720" s="1" t="s">
        <v>0</v>
      </c>
      <c r="I21720" s="2">
        <v>0</v>
      </c>
      <c r="J21720" s="1">
        <v>45957.498692129629</v>
      </c>
    </row>
    <row r="21721" spans="1:10" x14ac:dyDescent="0.2">
      <c r="A21721" s="4" t="s">
        <v>1</v>
      </c>
      <c r="B217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21" s="3" t="str">
        <f>HYPERLINK("https://otsuka-europe-crm.veevavault.com/ui/#object/sent_email__v/VBL000000001028", "SE-001377713")</f>
        <v>SE-001377713</v>
      </c>
      <c r="D21721" s="1">
        <v>45958.282372685186</v>
      </c>
      <c r="E21721" s="2">
        <v>1</v>
      </c>
      <c r="F21721" s="2">
        <v>1</v>
      </c>
      <c r="G21721" s="2">
        <v>0</v>
      </c>
      <c r="H21721" s="1" t="s">
        <v>0</v>
      </c>
      <c r="I21721" s="2">
        <v>0</v>
      </c>
      <c r="J21721" s="1">
        <v>45957.498761574076</v>
      </c>
    </row>
    <row r="21722" spans="1:10" x14ac:dyDescent="0.2">
      <c r="A21722" s="4" t="s">
        <v>1</v>
      </c>
      <c r="B217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22" s="3" t="str">
        <f>HYPERLINK("https://otsuka-europe-crm.veevavault.com/ui/#object/sent_email__v/VBL000000001205", "SE-001377892")</f>
        <v>SE-001377892</v>
      </c>
      <c r="D21722" s="1">
        <v>45958.146435185183</v>
      </c>
      <c r="E21722" s="2">
        <v>1</v>
      </c>
      <c r="F21722" s="2">
        <v>1</v>
      </c>
      <c r="G21722" s="2">
        <v>0</v>
      </c>
      <c r="H21722" s="1" t="s">
        <v>0</v>
      </c>
      <c r="I21722" s="2">
        <v>0</v>
      </c>
      <c r="J21722" s="1">
        <v>45957.531273148146</v>
      </c>
    </row>
    <row r="21723" spans="1:10" x14ac:dyDescent="0.2">
      <c r="A21723" s="4" t="s">
        <v>1</v>
      </c>
      <c r="B217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23" s="3" t="str">
        <f>HYPERLINK("https://otsuka-europe-crm.veevavault.com/ui/#object/sent_email__v/VBL000000001206", "SE-001377893")</f>
        <v>SE-001377893</v>
      </c>
      <c r="D21723" s="1">
        <v>45957.54415509259</v>
      </c>
      <c r="E21723" s="2">
        <v>1</v>
      </c>
      <c r="F21723" s="2">
        <v>1</v>
      </c>
      <c r="G21723" s="2">
        <v>1</v>
      </c>
      <c r="H21723" s="1">
        <v>45958.861296296294</v>
      </c>
      <c r="I21723" s="2">
        <v>1</v>
      </c>
      <c r="J21723" s="1">
        <v>45957.531307870369</v>
      </c>
    </row>
    <row r="21724" spans="1:10" x14ac:dyDescent="0.2">
      <c r="A21724" s="4" t="s">
        <v>1</v>
      </c>
      <c r="B217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24" s="3" t="str">
        <f>HYPERLINK("https://otsuka-europe-crm.veevavault.com/ui/#object/sent_email__v/VBL000000001207", "SE-001377894")</f>
        <v>SE-001377894</v>
      </c>
      <c r="D21724" s="1" t="s">
        <v>0</v>
      </c>
      <c r="E21724" s="2">
        <v>0</v>
      </c>
      <c r="F21724" s="2">
        <v>0</v>
      </c>
      <c r="G21724" s="2">
        <v>0</v>
      </c>
      <c r="H21724" s="1" t="s">
        <v>0</v>
      </c>
      <c r="I21724" s="2">
        <v>0</v>
      </c>
      <c r="J21724" s="1">
        <v>45957.531354166669</v>
      </c>
    </row>
    <row r="21725" spans="1:10" x14ac:dyDescent="0.2">
      <c r="A21725" s="4" t="s">
        <v>1</v>
      </c>
      <c r="B217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25" s="3" t="str">
        <f>HYPERLINK("https://otsuka-europe-crm.veevavault.com/ui/#object/sent_email__v/VBL000000001208", "SE-001377895")</f>
        <v>SE-001377895</v>
      </c>
      <c r="D21725" s="1">
        <v>45960.743298611109</v>
      </c>
      <c r="E21725" s="2">
        <v>1</v>
      </c>
      <c r="F21725" s="2">
        <v>2</v>
      </c>
      <c r="G21725" s="2">
        <v>0</v>
      </c>
      <c r="H21725" s="1" t="s">
        <v>0</v>
      </c>
      <c r="I21725" s="2">
        <v>0</v>
      </c>
      <c r="J21725" s="1">
        <v>45957.531388888892</v>
      </c>
    </row>
    <row r="21726" spans="1:10" x14ac:dyDescent="0.2">
      <c r="A21726" s="4" t="s">
        <v>1</v>
      </c>
      <c r="B217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26" s="3" t="str">
        <f>HYPERLINK("https://otsuka-europe-crm.veevavault.com/ui/#object/sent_email__v/VBL000000001209", "SE-001377896")</f>
        <v>SE-001377896</v>
      </c>
      <c r="D21726" s="1">
        <v>45957.684108796297</v>
      </c>
      <c r="E21726" s="2">
        <v>1</v>
      </c>
      <c r="F21726" s="2">
        <v>1</v>
      </c>
      <c r="G21726" s="2">
        <v>0</v>
      </c>
      <c r="H21726" s="1" t="s">
        <v>0</v>
      </c>
      <c r="I21726" s="2">
        <v>0</v>
      </c>
      <c r="J21726" s="1">
        <v>45957.531446759262</v>
      </c>
    </row>
    <row r="21727" spans="1:10" x14ac:dyDescent="0.2">
      <c r="A21727" s="4" t="s">
        <v>1</v>
      </c>
      <c r="B217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27" s="3" t="str">
        <f>HYPERLINK("https://otsuka-europe-crm.veevavault.com/ui/#object/sent_email__v/VBL000000001210", "SE-001377897")</f>
        <v>SE-001377897</v>
      </c>
      <c r="D21727" s="1" t="s">
        <v>0</v>
      </c>
      <c r="E21727" s="2">
        <v>0</v>
      </c>
      <c r="F21727" s="2">
        <v>0</v>
      </c>
      <c r="G21727" s="2">
        <v>0</v>
      </c>
      <c r="H21727" s="1" t="s">
        <v>0</v>
      </c>
      <c r="I21727" s="2">
        <v>0</v>
      </c>
      <c r="J21727" s="1">
        <v>45957.531493055554</v>
      </c>
    </row>
    <row r="21728" spans="1:10" x14ac:dyDescent="0.2">
      <c r="A21728" s="4" t="s">
        <v>1</v>
      </c>
      <c r="B217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28" s="3" t="str">
        <f>HYPERLINK("https://otsuka-europe-crm.veevavault.com/ui/#object/sent_email__v/VBL000000001211", "SE-001377898")</f>
        <v>SE-001377898</v>
      </c>
      <c r="D21728" s="1">
        <v>45960.730578703704</v>
      </c>
      <c r="E21728" s="2">
        <v>1</v>
      </c>
      <c r="F21728" s="2">
        <v>4</v>
      </c>
      <c r="G21728" s="2">
        <v>0</v>
      </c>
      <c r="H21728" s="1" t="s">
        <v>0</v>
      </c>
      <c r="I21728" s="2">
        <v>0</v>
      </c>
      <c r="J21728" s="1">
        <v>45957.5315162037</v>
      </c>
    </row>
    <row r="21729" spans="1:10" x14ac:dyDescent="0.2">
      <c r="A21729" s="4" t="s">
        <v>1</v>
      </c>
      <c r="B217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29" s="3" t="str">
        <f>HYPERLINK("https://otsuka-europe-crm.veevavault.com/ui/#object/sent_email__v/VBL000000001212", "SE-001377899")</f>
        <v>SE-001377899</v>
      </c>
      <c r="D21729" s="1">
        <v>45985.571446759262</v>
      </c>
      <c r="E21729" s="2">
        <v>1</v>
      </c>
      <c r="F21729" s="2">
        <v>3</v>
      </c>
      <c r="G21729" s="2">
        <v>0</v>
      </c>
      <c r="H21729" s="1" t="s">
        <v>0</v>
      </c>
      <c r="I21729" s="2">
        <v>0</v>
      </c>
      <c r="J21729" s="1">
        <v>45957.531550925924</v>
      </c>
    </row>
    <row r="21730" spans="1:10" x14ac:dyDescent="0.2">
      <c r="A21730" s="4" t="s">
        <v>1</v>
      </c>
      <c r="B217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30" s="3" t="str">
        <f>HYPERLINK("https://otsuka-europe-crm.veevavault.com/ui/#object/sent_email__v/VBL000000001213", "SE-001377900")</f>
        <v>SE-001377900</v>
      </c>
      <c r="D21730" s="1">
        <v>45957.541828703703</v>
      </c>
      <c r="E21730" s="2">
        <v>1</v>
      </c>
      <c r="F21730" s="2">
        <v>1</v>
      </c>
      <c r="G21730" s="2">
        <v>0</v>
      </c>
      <c r="H21730" s="1" t="s">
        <v>0</v>
      </c>
      <c r="I21730" s="2">
        <v>0</v>
      </c>
      <c r="J21730" s="1">
        <v>45957.531608796293</v>
      </c>
    </row>
    <row r="21731" spans="1:10" x14ac:dyDescent="0.2">
      <c r="A21731" s="4" t="s">
        <v>1</v>
      </c>
      <c r="B217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31" s="3" t="str">
        <f>HYPERLINK("https://otsuka-europe-crm.veevavault.com/ui/#object/sent_email__v/VBL000000001214", "SE-001377901")</f>
        <v>SE-001377901</v>
      </c>
      <c r="D21731" s="1">
        <v>45957.546493055554</v>
      </c>
      <c r="E21731" s="2">
        <v>1</v>
      </c>
      <c r="F21731" s="2">
        <v>1</v>
      </c>
      <c r="G21731" s="2">
        <v>0</v>
      </c>
      <c r="H21731" s="1" t="s">
        <v>0</v>
      </c>
      <c r="I21731" s="2">
        <v>0</v>
      </c>
      <c r="J21731" s="1">
        <v>45957.531631944446</v>
      </c>
    </row>
    <row r="21732" spans="1:10" x14ac:dyDescent="0.2">
      <c r="A21732" s="4" t="s">
        <v>1</v>
      </c>
      <c r="B217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32" s="3" t="str">
        <f>HYPERLINK("https://otsuka-europe-crm.veevavault.com/ui/#object/sent_email__v/VBL000000001215", "SE-001377902")</f>
        <v>SE-001377902</v>
      </c>
      <c r="D21732" s="1" t="s">
        <v>0</v>
      </c>
      <c r="E21732" s="2">
        <v>0</v>
      </c>
      <c r="F21732" s="2">
        <v>0</v>
      </c>
      <c r="G21732" s="2">
        <v>0</v>
      </c>
      <c r="H21732" s="1" t="s">
        <v>0</v>
      </c>
      <c r="I21732" s="2">
        <v>0</v>
      </c>
      <c r="J21732" s="1">
        <v>45957.531678240739</v>
      </c>
    </row>
    <row r="21733" spans="1:10" x14ac:dyDescent="0.2">
      <c r="A21733" s="4" t="s">
        <v>1</v>
      </c>
      <c r="B217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33" s="3" t="str">
        <f>HYPERLINK("https://otsuka-europe-crm.veevavault.com/ui/#object/sent_email__v/VBL000000001216", "SE-001377903")</f>
        <v>SE-001377903</v>
      </c>
      <c r="D21733" s="1" t="s">
        <v>0</v>
      </c>
      <c r="E21733" s="2">
        <v>0</v>
      </c>
      <c r="F21733" s="2">
        <v>0</v>
      </c>
      <c r="G21733" s="2">
        <v>0</v>
      </c>
      <c r="H21733" s="1" t="s">
        <v>0</v>
      </c>
      <c r="I21733" s="2">
        <v>0</v>
      </c>
      <c r="J21733" s="1">
        <v>45957.531712962962</v>
      </c>
    </row>
    <row r="21734" spans="1:10" x14ac:dyDescent="0.2">
      <c r="A21734" s="4" t="s">
        <v>1</v>
      </c>
      <c r="B217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34" s="3" t="str">
        <f>HYPERLINK("https://otsuka-europe-crm.veevavault.com/ui/#object/sent_email__v/VBL000000001217", "SE-001377904")</f>
        <v>SE-001377904</v>
      </c>
      <c r="D21734" s="1">
        <v>45958.402349537035</v>
      </c>
      <c r="E21734" s="2">
        <v>1</v>
      </c>
      <c r="F21734" s="2">
        <v>1</v>
      </c>
      <c r="G21734" s="2">
        <v>0</v>
      </c>
      <c r="H21734" s="1" t="s">
        <v>0</v>
      </c>
      <c r="I21734" s="2">
        <v>0</v>
      </c>
      <c r="J21734" s="1">
        <v>45957.531759259262</v>
      </c>
    </row>
    <row r="21735" spans="1:10" x14ac:dyDescent="0.2">
      <c r="A21735" s="4" t="s">
        <v>1</v>
      </c>
      <c r="B217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35" s="3" t="str">
        <f>HYPERLINK("https://otsuka-europe-crm.veevavault.com/ui/#object/sent_email__v/VBL000000001218", "SE-001377905")</f>
        <v>SE-001377905</v>
      </c>
      <c r="D21735" s="1">
        <v>45957.825729166667</v>
      </c>
      <c r="E21735" s="2">
        <v>1</v>
      </c>
      <c r="F21735" s="2">
        <v>1</v>
      </c>
      <c r="G21735" s="2">
        <v>0</v>
      </c>
      <c r="H21735" s="1" t="s">
        <v>0</v>
      </c>
      <c r="I21735" s="2">
        <v>0</v>
      </c>
      <c r="J21735" s="1">
        <v>45957.531793981485</v>
      </c>
    </row>
    <row r="21736" spans="1:10" x14ac:dyDescent="0.2">
      <c r="A21736" s="4" t="s">
        <v>1</v>
      </c>
      <c r="B217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36" s="3" t="str">
        <f>HYPERLINK("https://otsuka-europe-crm.veevavault.com/ui/#object/sent_email__v/VBL000000001219", "SE-001377906")</f>
        <v>SE-001377906</v>
      </c>
      <c r="D21736" s="1">
        <v>45957.611967592595</v>
      </c>
      <c r="E21736" s="2">
        <v>1</v>
      </c>
      <c r="F21736" s="2">
        <v>1</v>
      </c>
      <c r="G21736" s="2">
        <v>0</v>
      </c>
      <c r="H21736" s="1" t="s">
        <v>0</v>
      </c>
      <c r="I21736" s="2">
        <v>0</v>
      </c>
      <c r="J21736" s="1">
        <v>45957.531840277778</v>
      </c>
    </row>
    <row r="21737" spans="1:10" x14ac:dyDescent="0.2">
      <c r="A21737" s="4" t="s">
        <v>1</v>
      </c>
      <c r="B217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37" s="3" t="str">
        <f>HYPERLINK("https://otsuka-europe-crm.veevavault.com/ui/#object/sent_email__v/VBL000000001220", "SE-001377907")</f>
        <v>SE-001377907</v>
      </c>
      <c r="D21737" s="1">
        <v>45965.961817129632</v>
      </c>
      <c r="E21737" s="2">
        <v>1</v>
      </c>
      <c r="F21737" s="2">
        <v>1</v>
      </c>
      <c r="G21737" s="2">
        <v>0</v>
      </c>
      <c r="H21737" s="1" t="s">
        <v>0</v>
      </c>
      <c r="I21737" s="2">
        <v>0</v>
      </c>
      <c r="J21737" s="1">
        <v>45957.531875000001</v>
      </c>
    </row>
    <row r="21738" spans="1:10" x14ac:dyDescent="0.2">
      <c r="A21738" s="4" t="s">
        <v>1</v>
      </c>
      <c r="B217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38" s="3" t="str">
        <f>HYPERLINK("https://otsuka-europe-crm.veevavault.com/ui/#object/sent_email__v/VBL000000001221", "SE-001377908")</f>
        <v>SE-001377908</v>
      </c>
      <c r="D21738" s="1" t="s">
        <v>0</v>
      </c>
      <c r="E21738" s="2">
        <v>0</v>
      </c>
      <c r="F21738" s="2">
        <v>0</v>
      </c>
      <c r="G21738" s="2">
        <v>0</v>
      </c>
      <c r="H21738" s="1" t="s">
        <v>0</v>
      </c>
      <c r="I21738" s="2">
        <v>0</v>
      </c>
      <c r="J21738" s="1">
        <v>45957.531921296293</v>
      </c>
    </row>
    <row r="21739" spans="1:10" x14ac:dyDescent="0.2">
      <c r="A21739" s="4" t="s">
        <v>1</v>
      </c>
      <c r="B217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39" s="3" t="str">
        <f>HYPERLINK("https://otsuka-europe-crm.veevavault.com/ui/#object/sent_email__v/VBL000000001222", "SE-001377909")</f>
        <v>SE-001377909</v>
      </c>
      <c r="D21739" s="1" t="s">
        <v>0</v>
      </c>
      <c r="E21739" s="2">
        <v>0</v>
      </c>
      <c r="F21739" s="2">
        <v>0</v>
      </c>
      <c r="G21739" s="2">
        <v>0</v>
      </c>
      <c r="H21739" s="1" t="s">
        <v>0</v>
      </c>
      <c r="I21739" s="2">
        <v>0</v>
      </c>
      <c r="J21739" s="1">
        <v>45957.531956018516</v>
      </c>
    </row>
    <row r="21740" spans="1:10" x14ac:dyDescent="0.2">
      <c r="A21740" s="4" t="s">
        <v>1</v>
      </c>
      <c r="B217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40" s="3" t="str">
        <f>HYPERLINK("https://otsuka-europe-crm.veevavault.com/ui/#object/sent_email__v/VBL000000001223", "SE-001377910")</f>
        <v>SE-001377910</v>
      </c>
      <c r="D21740" s="1" t="s">
        <v>0</v>
      </c>
      <c r="E21740" s="2">
        <v>0</v>
      </c>
      <c r="F21740" s="2">
        <v>0</v>
      </c>
      <c r="G21740" s="2">
        <v>0</v>
      </c>
      <c r="H21740" s="1" t="s">
        <v>0</v>
      </c>
      <c r="I21740" s="2">
        <v>0</v>
      </c>
      <c r="J21740" s="1">
        <v>45957.532002314816</v>
      </c>
    </row>
    <row r="21741" spans="1:10" x14ac:dyDescent="0.2">
      <c r="A21741" s="4" t="s">
        <v>1</v>
      </c>
      <c r="B217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41" s="3" t="str">
        <f>HYPERLINK("https://otsuka-europe-crm.veevavault.com/ui/#object/sent_email__v/VBL000000001224", "SE-001377911")</f>
        <v>SE-001377911</v>
      </c>
      <c r="D21741" s="1" t="s">
        <v>0</v>
      </c>
      <c r="E21741" s="2">
        <v>0</v>
      </c>
      <c r="F21741" s="2">
        <v>0</v>
      </c>
      <c r="G21741" s="2">
        <v>0</v>
      </c>
      <c r="H21741" s="1" t="s">
        <v>0</v>
      </c>
      <c r="I21741" s="2">
        <v>0</v>
      </c>
      <c r="J21741" s="1">
        <v>45957.532048611109</v>
      </c>
    </row>
    <row r="21742" spans="1:10" x14ac:dyDescent="0.2">
      <c r="A21742" s="4" t="s">
        <v>1</v>
      </c>
      <c r="B217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42" s="3" t="str">
        <f>HYPERLINK("https://otsuka-europe-crm.veevavault.com/ui/#object/sent_email__v/VBL000000001225", "SE-001377912")</f>
        <v>SE-001377912</v>
      </c>
      <c r="D21742" s="1">
        <v>45957.605914351851</v>
      </c>
      <c r="E21742" s="2">
        <v>1</v>
      </c>
      <c r="F21742" s="2">
        <v>3</v>
      </c>
      <c r="G21742" s="2">
        <v>0</v>
      </c>
      <c r="H21742" s="1" t="s">
        <v>0</v>
      </c>
      <c r="I21742" s="2">
        <v>0</v>
      </c>
      <c r="J21742" s="1">
        <v>45957.532083333332</v>
      </c>
    </row>
    <row r="21743" spans="1:10" x14ac:dyDescent="0.2">
      <c r="A21743" s="4" t="s">
        <v>1</v>
      </c>
      <c r="B217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43" s="3" t="str">
        <f>HYPERLINK("https://otsuka-europe-crm.veevavault.com/ui/#object/sent_email__v/VBL000000001226", "SE-001377913")</f>
        <v>SE-001377913</v>
      </c>
      <c r="D21743" s="1" t="s">
        <v>0</v>
      </c>
      <c r="E21743" s="2">
        <v>0</v>
      </c>
      <c r="F21743" s="2">
        <v>0</v>
      </c>
      <c r="G21743" s="2">
        <v>0</v>
      </c>
      <c r="H21743" s="1" t="s">
        <v>0</v>
      </c>
      <c r="I21743" s="2">
        <v>0</v>
      </c>
      <c r="J21743" s="1">
        <v>45957.532118055555</v>
      </c>
    </row>
    <row r="21744" spans="1:10" x14ac:dyDescent="0.2">
      <c r="A21744" s="4" t="s">
        <v>1</v>
      </c>
      <c r="B217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44" s="3" t="str">
        <f>HYPERLINK("https://otsuka-europe-crm.veevavault.com/ui/#object/sent_email__v/VBL000000001227", "SE-001377914")</f>
        <v>SE-001377914</v>
      </c>
      <c r="D21744" s="1" t="s">
        <v>0</v>
      </c>
      <c r="E21744" s="2">
        <v>0</v>
      </c>
      <c r="F21744" s="2">
        <v>0</v>
      </c>
      <c r="G21744" s="2">
        <v>0</v>
      </c>
      <c r="H21744" s="1" t="s">
        <v>0</v>
      </c>
      <c r="I21744" s="2">
        <v>0</v>
      </c>
      <c r="J21744" s="1">
        <v>45957.532152777778</v>
      </c>
    </row>
    <row r="21745" spans="1:10" x14ac:dyDescent="0.2">
      <c r="A21745" s="4" t="s">
        <v>1</v>
      </c>
      <c r="B217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45" s="3" t="str">
        <f>HYPERLINK("https://otsuka-europe-crm.veevavault.com/ui/#object/sent_email__v/VBL000000001228", "SE-001377915")</f>
        <v>SE-001377915</v>
      </c>
      <c r="D21745" s="1">
        <v>45961.196921296294</v>
      </c>
      <c r="E21745" s="2">
        <v>1</v>
      </c>
      <c r="F21745" s="2">
        <v>1</v>
      </c>
      <c r="G21745" s="2">
        <v>0</v>
      </c>
      <c r="H21745" s="1" t="s">
        <v>0</v>
      </c>
      <c r="I21745" s="2">
        <v>0</v>
      </c>
      <c r="J21745" s="1">
        <v>45957.532199074078</v>
      </c>
    </row>
    <row r="21746" spans="1:10" x14ac:dyDescent="0.2">
      <c r="A21746" s="4" t="s">
        <v>1</v>
      </c>
      <c r="B217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46" s="3" t="str">
        <f>HYPERLINK("https://otsuka-europe-crm.veevavault.com/ui/#object/sent_email__v/VBL000000001229", "SE-001377916")</f>
        <v>SE-001377916</v>
      </c>
      <c r="D21746" s="1">
        <v>45957.552951388891</v>
      </c>
      <c r="E21746" s="2">
        <v>1</v>
      </c>
      <c r="F21746" s="2">
        <v>1</v>
      </c>
      <c r="G21746" s="2">
        <v>0</v>
      </c>
      <c r="H21746" s="1" t="s">
        <v>0</v>
      </c>
      <c r="I21746" s="2">
        <v>0</v>
      </c>
      <c r="J21746" s="1">
        <v>45957.532233796293</v>
      </c>
    </row>
    <row r="21747" spans="1:10" x14ac:dyDescent="0.2">
      <c r="A21747" s="4" t="s">
        <v>1</v>
      </c>
      <c r="B217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47" s="3" t="str">
        <f>HYPERLINK("https://otsuka-europe-crm.veevavault.com/ui/#object/sent_email__v/VBL000000001230", "SE-001377917")</f>
        <v>SE-001377917</v>
      </c>
      <c r="D21747" s="1" t="s">
        <v>0</v>
      </c>
      <c r="E21747" s="2">
        <v>0</v>
      </c>
      <c r="F21747" s="2">
        <v>0</v>
      </c>
      <c r="G21747" s="2">
        <v>0</v>
      </c>
      <c r="H21747" s="1" t="s">
        <v>0</v>
      </c>
      <c r="I21747" s="2">
        <v>0</v>
      </c>
      <c r="J21747" s="1">
        <v>45957.532280092593</v>
      </c>
    </row>
    <row r="21748" spans="1:10" x14ac:dyDescent="0.2">
      <c r="A21748" s="4" t="s">
        <v>1</v>
      </c>
      <c r="B217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48" s="3" t="str">
        <f>HYPERLINK("https://otsuka-europe-crm.veevavault.com/ui/#object/sent_email__v/VBL000000001231", "SE-001377918")</f>
        <v>SE-001377918</v>
      </c>
      <c r="D21748" s="1">
        <v>45958.627766203703</v>
      </c>
      <c r="E21748" s="2">
        <v>1</v>
      </c>
      <c r="F21748" s="2">
        <v>1</v>
      </c>
      <c r="G21748" s="2">
        <v>0</v>
      </c>
      <c r="H21748" s="1" t="s">
        <v>0</v>
      </c>
      <c r="I21748" s="2">
        <v>0</v>
      </c>
      <c r="J21748" s="1">
        <v>45957.532326388886</v>
      </c>
    </row>
    <row r="21749" spans="1:10" x14ac:dyDescent="0.2">
      <c r="A21749" s="4" t="s">
        <v>1</v>
      </c>
      <c r="B217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49" s="3" t="str">
        <f>HYPERLINK("https://otsuka-europe-crm.veevavault.com/ui/#object/sent_email__v/VBL000000001232", "SE-001377919")</f>
        <v>SE-001377919</v>
      </c>
      <c r="D21749" s="1">
        <v>45957.580046296294</v>
      </c>
      <c r="E21749" s="2">
        <v>1</v>
      </c>
      <c r="F21749" s="2">
        <v>1</v>
      </c>
      <c r="G21749" s="2">
        <v>0</v>
      </c>
      <c r="H21749" s="1" t="s">
        <v>0</v>
      </c>
      <c r="I21749" s="2">
        <v>0</v>
      </c>
      <c r="J21749" s="1">
        <v>45957.532349537039</v>
      </c>
    </row>
    <row r="21750" spans="1:10" x14ac:dyDescent="0.2">
      <c r="A21750" s="4" t="s">
        <v>1</v>
      </c>
      <c r="B217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50" s="3" t="str">
        <f>HYPERLINK("https://otsuka-europe-crm.veevavault.com/ui/#object/sent_email__v/VBL000000001233", "SE-001377920")</f>
        <v>SE-001377920</v>
      </c>
      <c r="D21750" s="1">
        <v>45960.742847222224</v>
      </c>
      <c r="E21750" s="2">
        <v>1</v>
      </c>
      <c r="F21750" s="2">
        <v>5</v>
      </c>
      <c r="G21750" s="2">
        <v>1</v>
      </c>
      <c r="H21750" s="1">
        <v>45960.74291666667</v>
      </c>
      <c r="I21750" s="2">
        <v>4</v>
      </c>
      <c r="J21750" s="1">
        <v>45957.532395833332</v>
      </c>
    </row>
    <row r="21751" spans="1:10" x14ac:dyDescent="0.2">
      <c r="A21751" s="4" t="s">
        <v>1</v>
      </c>
      <c r="B217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51" s="3" t="str">
        <f>HYPERLINK("https://otsuka-europe-crm.veevavault.com/ui/#object/sent_email__v/VBL000000001234", "SE-001377921")</f>
        <v>SE-001377921</v>
      </c>
      <c r="D21751" s="1">
        <v>45957.631342592591</v>
      </c>
      <c r="E21751" s="2">
        <v>1</v>
      </c>
      <c r="F21751" s="2">
        <v>1</v>
      </c>
      <c r="G21751" s="2">
        <v>0</v>
      </c>
      <c r="H21751" s="1" t="s">
        <v>0</v>
      </c>
      <c r="I21751" s="2">
        <v>0</v>
      </c>
      <c r="J21751" s="1">
        <v>45957.532442129632</v>
      </c>
    </row>
    <row r="21752" spans="1:10" x14ac:dyDescent="0.2">
      <c r="A21752" s="4" t="s">
        <v>1</v>
      </c>
      <c r="B217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52" s="3" t="str">
        <f>HYPERLINK("https://otsuka-europe-crm.veevavault.com/ui/#object/sent_email__v/VBL000000001235", "SE-001377922")</f>
        <v>SE-001377922</v>
      </c>
      <c r="D21752" s="1">
        <v>45957.619131944448</v>
      </c>
      <c r="E21752" s="2">
        <v>1</v>
      </c>
      <c r="F21752" s="2">
        <v>1</v>
      </c>
      <c r="G21752" s="2">
        <v>0</v>
      </c>
      <c r="H21752" s="1" t="s">
        <v>0</v>
      </c>
      <c r="I21752" s="2">
        <v>0</v>
      </c>
      <c r="J21752" s="1">
        <v>45957.532511574071</v>
      </c>
    </row>
    <row r="21753" spans="1:10" x14ac:dyDescent="0.2">
      <c r="A21753" s="4" t="s">
        <v>1</v>
      </c>
      <c r="B217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53" s="3" t="str">
        <f>HYPERLINK("https://otsuka-europe-crm.veevavault.com/ui/#object/sent_email__v/VBL000000001236", "SE-001377923")</f>
        <v>SE-001377923</v>
      </c>
      <c r="D21753" s="1" t="s">
        <v>0</v>
      </c>
      <c r="E21753" s="2">
        <v>0</v>
      </c>
      <c r="F21753" s="2">
        <v>0</v>
      </c>
      <c r="G21753" s="2">
        <v>0</v>
      </c>
      <c r="H21753" s="1" t="s">
        <v>0</v>
      </c>
      <c r="I21753" s="2">
        <v>0</v>
      </c>
      <c r="J21753" s="1">
        <v>45957.532581018517</v>
      </c>
    </row>
    <row r="21754" spans="1:10" x14ac:dyDescent="0.2">
      <c r="A21754" s="4" t="s">
        <v>1</v>
      </c>
      <c r="B217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54" s="3" t="str">
        <f>HYPERLINK("https://otsuka-europe-crm.veevavault.com/ui/#object/sent_email__v/VBL000000001237", "SE-001377924")</f>
        <v>SE-001377924</v>
      </c>
      <c r="D21754" s="1">
        <v>45957.534039351849</v>
      </c>
      <c r="E21754" s="2">
        <v>1</v>
      </c>
      <c r="F21754" s="2">
        <v>1</v>
      </c>
      <c r="G21754" s="2">
        <v>0</v>
      </c>
      <c r="H21754" s="1" t="s">
        <v>0</v>
      </c>
      <c r="I21754" s="2">
        <v>0</v>
      </c>
      <c r="J21754" s="1">
        <v>45957.532650462963</v>
      </c>
    </row>
    <row r="21755" spans="1:10" x14ac:dyDescent="0.2">
      <c r="A21755" s="4" t="s">
        <v>1</v>
      </c>
      <c r="B217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55" s="3" t="str">
        <f>HYPERLINK("https://otsuka-europe-crm.veevavault.com/ui/#object/sent_email__v/VBL000000001238", "SE-001377925")</f>
        <v>SE-001377925</v>
      </c>
      <c r="D21755" s="1" t="s">
        <v>0</v>
      </c>
      <c r="E21755" s="2">
        <v>0</v>
      </c>
      <c r="F21755" s="2">
        <v>0</v>
      </c>
      <c r="G21755" s="2">
        <v>0</v>
      </c>
      <c r="H21755" s="1" t="s">
        <v>0</v>
      </c>
      <c r="I21755" s="2">
        <v>0</v>
      </c>
      <c r="J21755" s="1">
        <v>45957.532719907409</v>
      </c>
    </row>
    <row r="21756" spans="1:10" x14ac:dyDescent="0.2">
      <c r="A21756" s="4" t="s">
        <v>1</v>
      </c>
      <c r="B217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56" s="3" t="str">
        <f>HYPERLINK("https://otsuka-europe-crm.veevavault.com/ui/#object/sent_email__v/VBL000000001239", "SE-001377926")</f>
        <v>SE-001377926</v>
      </c>
      <c r="D21756" s="1" t="s">
        <v>0</v>
      </c>
      <c r="E21756" s="2">
        <v>0</v>
      </c>
      <c r="F21756" s="2">
        <v>0</v>
      </c>
      <c r="G21756" s="2">
        <v>0</v>
      </c>
      <c r="H21756" s="1" t="s">
        <v>0</v>
      </c>
      <c r="I21756" s="2">
        <v>0</v>
      </c>
      <c r="J21756" s="1">
        <v>45957.532789351855</v>
      </c>
    </row>
    <row r="21757" spans="1:10" x14ac:dyDescent="0.2">
      <c r="A21757" s="4" t="s">
        <v>1</v>
      </c>
      <c r="B217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57" s="3" t="str">
        <f>HYPERLINK("https://otsuka-europe-crm.veevavault.com/ui/#object/sent_email__v/VBL000000001240", "SE-001377927")</f>
        <v>SE-001377927</v>
      </c>
      <c r="D21757" s="1">
        <v>45981.838634259257</v>
      </c>
      <c r="E21757" s="2">
        <v>1</v>
      </c>
      <c r="F21757" s="2">
        <v>2</v>
      </c>
      <c r="G21757" s="2">
        <v>0</v>
      </c>
      <c r="H21757" s="1" t="s">
        <v>0</v>
      </c>
      <c r="I21757" s="2">
        <v>0</v>
      </c>
      <c r="J21757" s="1">
        <v>45957.532858796294</v>
      </c>
    </row>
    <row r="21758" spans="1:10" x14ac:dyDescent="0.2">
      <c r="A21758" s="4" t="s">
        <v>1</v>
      </c>
      <c r="B217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58" s="3" t="str">
        <f>HYPERLINK("https://otsuka-europe-crm.veevavault.com/ui/#object/sent_email__v/VBL000000001241", "SE-001377928")</f>
        <v>SE-001377928</v>
      </c>
      <c r="D21758" s="1">
        <v>46003.097141203703</v>
      </c>
      <c r="E21758" s="2">
        <v>1</v>
      </c>
      <c r="F21758" s="2">
        <v>3</v>
      </c>
      <c r="G21758" s="2">
        <v>0</v>
      </c>
      <c r="H21758" s="1" t="s">
        <v>0</v>
      </c>
      <c r="I21758" s="2">
        <v>0</v>
      </c>
      <c r="J21758" s="1">
        <v>45957.532939814817</v>
      </c>
    </row>
    <row r="21759" spans="1:10" x14ac:dyDescent="0.2">
      <c r="A21759" s="4" t="s">
        <v>1</v>
      </c>
      <c r="B217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59" s="3" t="str">
        <f>HYPERLINK("https://otsuka-europe-crm.veevavault.com/ui/#object/sent_email__v/VBL000000001242", "SE-001377929")</f>
        <v>SE-001377929</v>
      </c>
      <c r="D21759" s="1" t="s">
        <v>0</v>
      </c>
      <c r="E21759" s="2">
        <v>0</v>
      </c>
      <c r="F21759" s="2">
        <v>0</v>
      </c>
      <c r="G21759" s="2">
        <v>0</v>
      </c>
      <c r="H21759" s="1" t="s">
        <v>0</v>
      </c>
      <c r="I21759" s="2">
        <v>0</v>
      </c>
      <c r="J21759" s="1">
        <v>45957.533009259256</v>
      </c>
    </row>
    <row r="21760" spans="1:10" x14ac:dyDescent="0.2">
      <c r="A21760" s="4" t="s">
        <v>1</v>
      </c>
      <c r="B217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60" s="3" t="str">
        <f>HYPERLINK("https://otsuka-europe-crm.veevavault.com/ui/#object/sent_email__v/VBL000000001243", "SE-001377930")</f>
        <v>SE-001377930</v>
      </c>
      <c r="D21760" s="1">
        <v>45957.713541666664</v>
      </c>
      <c r="E21760" s="2">
        <v>1</v>
      </c>
      <c r="F21760" s="2">
        <v>1</v>
      </c>
      <c r="G21760" s="2">
        <v>0</v>
      </c>
      <c r="H21760" s="1" t="s">
        <v>0</v>
      </c>
      <c r="I21760" s="2">
        <v>0</v>
      </c>
      <c r="J21760" s="1">
        <v>45957.533078703702</v>
      </c>
    </row>
    <row r="21761" spans="1:10" x14ac:dyDescent="0.2">
      <c r="A21761" s="4" t="s">
        <v>1</v>
      </c>
      <c r="B217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61" s="3" t="str">
        <f>HYPERLINK("https://otsuka-europe-crm.veevavault.com/ui/#object/sent_email__v/VBL000000001244", "SE-001377931")</f>
        <v>SE-001377931</v>
      </c>
      <c r="D21761" s="1">
        <v>45957.752581018518</v>
      </c>
      <c r="E21761" s="2">
        <v>1</v>
      </c>
      <c r="F21761" s="2">
        <v>2</v>
      </c>
      <c r="G21761" s="2">
        <v>0</v>
      </c>
      <c r="H21761" s="1" t="s">
        <v>0</v>
      </c>
      <c r="I21761" s="2">
        <v>0</v>
      </c>
      <c r="J21761" s="1">
        <v>45957.533136574071</v>
      </c>
    </row>
    <row r="21762" spans="1:10" x14ac:dyDescent="0.2">
      <c r="A21762" s="4" t="s">
        <v>1</v>
      </c>
      <c r="B217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62" s="3" t="str">
        <f>HYPERLINK("https://otsuka-europe-crm.veevavault.com/ui/#object/sent_email__v/VBL000000001245", "SE-001377932")</f>
        <v>SE-001377932</v>
      </c>
      <c r="D21762" s="1" t="s">
        <v>0</v>
      </c>
      <c r="E21762" s="2">
        <v>0</v>
      </c>
      <c r="F21762" s="2">
        <v>0</v>
      </c>
      <c r="G21762" s="2">
        <v>0</v>
      </c>
      <c r="H21762" s="1" t="s">
        <v>0</v>
      </c>
      <c r="I21762" s="2">
        <v>0</v>
      </c>
      <c r="J21762" s="1">
        <v>45957.533217592594</v>
      </c>
    </row>
    <row r="21763" spans="1:10" x14ac:dyDescent="0.2">
      <c r="A21763" s="4" t="s">
        <v>1</v>
      </c>
      <c r="B217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63" s="3" t="str">
        <f>HYPERLINK("https://otsuka-europe-crm.veevavault.com/ui/#object/sent_email__v/VBL000000001246", "SE-001377933")</f>
        <v>SE-001377933</v>
      </c>
      <c r="D21763" s="1">
        <v>45957.646249999998</v>
      </c>
      <c r="E21763" s="2">
        <v>1</v>
      </c>
      <c r="F21763" s="2">
        <v>4</v>
      </c>
      <c r="G21763" s="2">
        <v>0</v>
      </c>
      <c r="H21763" s="1" t="s">
        <v>0</v>
      </c>
      <c r="I21763" s="2">
        <v>0</v>
      </c>
      <c r="J21763" s="1">
        <v>45957.53328703704</v>
      </c>
    </row>
    <row r="21764" spans="1:10" x14ac:dyDescent="0.2">
      <c r="A21764" s="4" t="s">
        <v>1</v>
      </c>
      <c r="B217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64" s="3" t="str">
        <f>HYPERLINK("https://otsuka-europe-crm.veevavault.com/ui/#object/sent_email__v/VBL000000001247", "SE-001377934")</f>
        <v>SE-001377934</v>
      </c>
      <c r="D21764" s="1">
        <v>45957.533495370371</v>
      </c>
      <c r="E21764" s="2">
        <v>1</v>
      </c>
      <c r="F21764" s="2">
        <v>1</v>
      </c>
      <c r="G21764" s="2">
        <v>1</v>
      </c>
      <c r="H21764" s="1">
        <v>45957.533645833333</v>
      </c>
      <c r="I21764" s="2">
        <v>1</v>
      </c>
      <c r="J21764" s="1">
        <v>45957.53334490741</v>
      </c>
    </row>
    <row r="21765" spans="1:10" x14ac:dyDescent="0.2">
      <c r="A21765" s="4" t="s">
        <v>1</v>
      </c>
      <c r="B217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65" s="3" t="str">
        <f>HYPERLINK("https://otsuka-europe-crm.veevavault.com/ui/#object/sent_email__v/VBL000000001248", "SE-001377935")</f>
        <v>SE-001377935</v>
      </c>
      <c r="D21765" s="1">
        <v>45957.594456018516</v>
      </c>
      <c r="E21765" s="2">
        <v>1</v>
      </c>
      <c r="F21765" s="2">
        <v>1</v>
      </c>
      <c r="G21765" s="2">
        <v>0</v>
      </c>
      <c r="H21765" s="1" t="s">
        <v>0</v>
      </c>
      <c r="I21765" s="2">
        <v>0</v>
      </c>
      <c r="J21765" s="1">
        <v>45957.533414351848</v>
      </c>
    </row>
    <row r="21766" spans="1:10" x14ac:dyDescent="0.2">
      <c r="A21766" s="4" t="s">
        <v>1</v>
      </c>
      <c r="B217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66" s="3" t="str">
        <f>HYPERLINK("https://otsuka-europe-crm.veevavault.com/ui/#object/sent_email__v/VBL000000001249", "SE-001377936")</f>
        <v>SE-001377936</v>
      </c>
      <c r="D21766" s="1">
        <v>45957.563692129632</v>
      </c>
      <c r="E21766" s="2">
        <v>1</v>
      </c>
      <c r="F21766" s="2">
        <v>3</v>
      </c>
      <c r="G21766" s="2">
        <v>0</v>
      </c>
      <c r="H21766" s="1" t="s">
        <v>0</v>
      </c>
      <c r="I21766" s="2">
        <v>0</v>
      </c>
      <c r="J21766" s="1">
        <v>45957.533483796295</v>
      </c>
    </row>
    <row r="21767" spans="1:10" x14ac:dyDescent="0.2">
      <c r="A21767" s="4" t="s">
        <v>1</v>
      </c>
      <c r="B217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67" s="3" t="str">
        <f>HYPERLINK("https://otsuka-europe-crm.veevavault.com/ui/#object/sent_email__v/VBL000000001250", "SE-001377937")</f>
        <v>SE-001377937</v>
      </c>
      <c r="D21767" s="1" t="s">
        <v>0</v>
      </c>
      <c r="E21767" s="2">
        <v>0</v>
      </c>
      <c r="F21767" s="2">
        <v>0</v>
      </c>
      <c r="G21767" s="2">
        <v>0</v>
      </c>
      <c r="H21767" s="1" t="s">
        <v>0</v>
      </c>
      <c r="I21767" s="2">
        <v>0</v>
      </c>
      <c r="J21767" s="1">
        <v>45957.533553240741</v>
      </c>
    </row>
    <row r="21768" spans="1:10" x14ac:dyDescent="0.2">
      <c r="A21768" s="4" t="s">
        <v>1</v>
      </c>
      <c r="B217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68" s="3" t="str">
        <f>HYPERLINK("https://otsuka-europe-crm.veevavault.com/ui/#object/sent_email__v/VBL000000001251", "SE-001377938")</f>
        <v>SE-001377938</v>
      </c>
      <c r="D21768" s="1" t="s">
        <v>0</v>
      </c>
      <c r="E21768" s="2">
        <v>0</v>
      </c>
      <c r="F21768" s="2">
        <v>0</v>
      </c>
      <c r="G21768" s="2">
        <v>0</v>
      </c>
      <c r="H21768" s="1" t="s">
        <v>0</v>
      </c>
      <c r="I21768" s="2">
        <v>0</v>
      </c>
      <c r="J21768" s="1">
        <v>45957.533634259256</v>
      </c>
    </row>
    <row r="21769" spans="1:10" x14ac:dyDescent="0.2">
      <c r="A21769" s="4" t="s">
        <v>1</v>
      </c>
      <c r="B217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69" s="3" t="str">
        <f>HYPERLINK("https://otsuka-europe-crm.veevavault.com/ui/#object/sent_email__v/VBL000000001252", "SE-001377939")</f>
        <v>SE-001377939</v>
      </c>
      <c r="D21769" s="1">
        <v>45957.897210648145</v>
      </c>
      <c r="E21769" s="2">
        <v>1</v>
      </c>
      <c r="F21769" s="2">
        <v>1</v>
      </c>
      <c r="G21769" s="2">
        <v>0</v>
      </c>
      <c r="H21769" s="1" t="s">
        <v>0</v>
      </c>
      <c r="I21769" s="2">
        <v>0</v>
      </c>
      <c r="J21769" s="1">
        <v>45957.533680555556</v>
      </c>
    </row>
    <row r="21770" spans="1:10" x14ac:dyDescent="0.2">
      <c r="A21770" s="4" t="s">
        <v>1</v>
      </c>
      <c r="B217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70" s="3" t="str">
        <f>HYPERLINK("https://otsuka-europe-crm.veevavault.com/ui/#object/sent_email__v/VBL000000001253", "SE-001377940")</f>
        <v>SE-001377940</v>
      </c>
      <c r="D21770" s="1" t="s">
        <v>0</v>
      </c>
      <c r="E21770" s="2">
        <v>0</v>
      </c>
      <c r="F21770" s="2">
        <v>0</v>
      </c>
      <c r="G21770" s="2">
        <v>0</v>
      </c>
      <c r="H21770" s="1" t="s">
        <v>0</v>
      </c>
      <c r="I21770" s="2">
        <v>0</v>
      </c>
      <c r="J21770" s="1">
        <v>45957.533750000002</v>
      </c>
    </row>
    <row r="21771" spans="1:10" x14ac:dyDescent="0.2">
      <c r="A21771" s="4" t="s">
        <v>1</v>
      </c>
      <c r="B217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71" s="3" t="str">
        <f>HYPERLINK("https://otsuka-europe-crm.veevavault.com/ui/#object/sent_email__v/VBL000000001254", "SE-001377941")</f>
        <v>SE-001377941</v>
      </c>
      <c r="D21771" s="1">
        <v>45959.543043981481</v>
      </c>
      <c r="E21771" s="2">
        <v>1</v>
      </c>
      <c r="F21771" s="2">
        <v>3</v>
      </c>
      <c r="G21771" s="2">
        <v>0</v>
      </c>
      <c r="H21771" s="1" t="s">
        <v>0</v>
      </c>
      <c r="I21771" s="2">
        <v>0</v>
      </c>
      <c r="J21771" s="1">
        <v>45957.533831018518</v>
      </c>
    </row>
    <row r="21772" spans="1:10" x14ac:dyDescent="0.2">
      <c r="A21772" s="4" t="s">
        <v>1</v>
      </c>
      <c r="B217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72" s="3" t="str">
        <f>HYPERLINK("https://otsuka-europe-crm.veevavault.com/ui/#object/sent_email__v/VBL000000001255", "SE-001377942")</f>
        <v>SE-001377942</v>
      </c>
      <c r="D21772" s="1" t="s">
        <v>0</v>
      </c>
      <c r="E21772" s="2">
        <v>0</v>
      </c>
      <c r="F21772" s="2">
        <v>0</v>
      </c>
      <c r="G21772" s="2">
        <v>0</v>
      </c>
      <c r="H21772" s="1" t="s">
        <v>0</v>
      </c>
      <c r="I21772" s="2">
        <v>0</v>
      </c>
      <c r="J21772" s="1">
        <v>45957.533888888887</v>
      </c>
    </row>
    <row r="21773" spans="1:10" x14ac:dyDescent="0.2">
      <c r="A21773" s="4" t="s">
        <v>1</v>
      </c>
      <c r="B217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73" s="3" t="str">
        <f>HYPERLINK("https://otsuka-europe-crm.veevavault.com/ui/#object/sent_email__v/VBL000000001256", "SE-001377943")</f>
        <v>SE-001377943</v>
      </c>
      <c r="D21773" s="1" t="s">
        <v>0</v>
      </c>
      <c r="E21773" s="2">
        <v>0</v>
      </c>
      <c r="F21773" s="2">
        <v>0</v>
      </c>
      <c r="G21773" s="2">
        <v>0</v>
      </c>
      <c r="H21773" s="1" t="s">
        <v>0</v>
      </c>
      <c r="I21773" s="2">
        <v>0</v>
      </c>
      <c r="J21773" s="1">
        <v>45957.533958333333</v>
      </c>
    </row>
    <row r="21774" spans="1:10" x14ac:dyDescent="0.2">
      <c r="A21774" s="4" t="s">
        <v>1</v>
      </c>
      <c r="B217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74" s="3" t="str">
        <f>HYPERLINK("https://otsuka-europe-crm.veevavault.com/ui/#object/sent_email__v/VBL000000001257", "SE-001377944")</f>
        <v>SE-001377944</v>
      </c>
      <c r="D21774" s="1">
        <v>45957.98</v>
      </c>
      <c r="E21774" s="2">
        <v>1</v>
      </c>
      <c r="F21774" s="2">
        <v>1</v>
      </c>
      <c r="G21774" s="2">
        <v>0</v>
      </c>
      <c r="H21774" s="1" t="s">
        <v>0</v>
      </c>
      <c r="I21774" s="2">
        <v>0</v>
      </c>
      <c r="J21774" s="1">
        <v>45957.534039351849</v>
      </c>
    </row>
    <row r="21775" spans="1:10" x14ac:dyDescent="0.2">
      <c r="A21775" s="4" t="s">
        <v>1</v>
      </c>
      <c r="B217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75" s="3" t="str">
        <f>HYPERLINK("https://otsuka-europe-crm.veevavault.com/ui/#object/sent_email__v/VBL000000001258", "SE-001377945")</f>
        <v>SE-001377945</v>
      </c>
      <c r="D21775" s="1">
        <v>45957.537141203706</v>
      </c>
      <c r="E21775" s="2">
        <v>1</v>
      </c>
      <c r="F21775" s="2">
        <v>2</v>
      </c>
      <c r="G21775" s="2">
        <v>0</v>
      </c>
      <c r="H21775" s="1" t="s">
        <v>0</v>
      </c>
      <c r="I21775" s="2">
        <v>0</v>
      </c>
      <c r="J21775" s="1">
        <v>45957.534108796295</v>
      </c>
    </row>
    <row r="21776" spans="1:10" x14ac:dyDescent="0.2">
      <c r="A21776" s="4" t="s">
        <v>1</v>
      </c>
      <c r="B217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76" s="3" t="str">
        <f>HYPERLINK("https://otsuka-europe-crm.veevavault.com/ui/#object/sent_email__v/VBL000000001259", "SE-001377946")</f>
        <v>SE-001377946</v>
      </c>
      <c r="D21776" s="1">
        <v>45957.545231481483</v>
      </c>
      <c r="E21776" s="2">
        <v>1</v>
      </c>
      <c r="F21776" s="2">
        <v>2</v>
      </c>
      <c r="G21776" s="2">
        <v>0</v>
      </c>
      <c r="H21776" s="1" t="s">
        <v>0</v>
      </c>
      <c r="I21776" s="2">
        <v>0</v>
      </c>
      <c r="J21776" s="1">
        <v>45957.534166666665</v>
      </c>
    </row>
    <row r="21777" spans="1:10" x14ac:dyDescent="0.2">
      <c r="A21777" s="4" t="s">
        <v>1</v>
      </c>
      <c r="B217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77" s="3" t="str">
        <f>HYPERLINK("https://otsuka-europe-crm.veevavault.com/ui/#object/sent_email__v/VBL000000001260", "SE-001377947")</f>
        <v>SE-001377947</v>
      </c>
      <c r="D21777" s="1">
        <v>45957.535243055558</v>
      </c>
      <c r="E21777" s="2">
        <v>1</v>
      </c>
      <c r="F21777" s="2">
        <v>1</v>
      </c>
      <c r="G21777" s="2">
        <v>0</v>
      </c>
      <c r="H21777" s="1" t="s">
        <v>0</v>
      </c>
      <c r="I21777" s="2">
        <v>0</v>
      </c>
      <c r="J21777" s="1">
        <v>45957.534247685187</v>
      </c>
    </row>
    <row r="21778" spans="1:10" x14ac:dyDescent="0.2">
      <c r="A21778" s="4" t="s">
        <v>1</v>
      </c>
      <c r="B217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78" s="3" t="str">
        <f>HYPERLINK("https://otsuka-europe-crm.veevavault.com/ui/#object/sent_email__v/VBL000000001261", "SE-001377948")</f>
        <v>SE-001377948</v>
      </c>
      <c r="D21778" s="1" t="s">
        <v>0</v>
      </c>
      <c r="E21778" s="2">
        <v>0</v>
      </c>
      <c r="F21778" s="2">
        <v>0</v>
      </c>
      <c r="G21778" s="2">
        <v>0</v>
      </c>
      <c r="H21778" s="1" t="s">
        <v>0</v>
      </c>
      <c r="I21778" s="2">
        <v>0</v>
      </c>
      <c r="J21778" s="1">
        <v>45957.534317129626</v>
      </c>
    </row>
    <row r="21779" spans="1:10" x14ac:dyDescent="0.2">
      <c r="A21779" s="4" t="s">
        <v>1</v>
      </c>
      <c r="B217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79" s="3" t="str">
        <f>HYPERLINK("https://otsuka-europe-crm.veevavault.com/ui/#object/sent_email__v/VBL000000001262", "SE-001377949")</f>
        <v>SE-001377949</v>
      </c>
      <c r="D21779" s="1">
        <v>46059.646539351852</v>
      </c>
      <c r="E21779" s="2">
        <v>1</v>
      </c>
      <c r="F21779" s="2">
        <v>3</v>
      </c>
      <c r="G21779" s="2">
        <v>0</v>
      </c>
      <c r="H21779" s="1" t="s">
        <v>0</v>
      </c>
      <c r="I21779" s="2">
        <v>0</v>
      </c>
      <c r="J21779" s="1">
        <v>45957.534375000003</v>
      </c>
    </row>
    <row r="21780" spans="1:10" x14ac:dyDescent="0.2">
      <c r="A21780" s="4" t="s">
        <v>1</v>
      </c>
      <c r="B217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80" s="3" t="str">
        <f>HYPERLINK("https://otsuka-europe-crm.veevavault.com/ui/#object/sent_email__v/VBL000000001263", "SE-001377950")</f>
        <v>SE-001377950</v>
      </c>
      <c r="D21780" s="1" t="s">
        <v>0</v>
      </c>
      <c r="E21780" s="2">
        <v>0</v>
      </c>
      <c r="F21780" s="2">
        <v>0</v>
      </c>
      <c r="G21780" s="2">
        <v>0</v>
      </c>
      <c r="H21780" s="1" t="s">
        <v>0</v>
      </c>
      <c r="I21780" s="2">
        <v>0</v>
      </c>
      <c r="J21780" s="1">
        <v>45957.534456018519</v>
      </c>
    </row>
    <row r="21781" spans="1:10" x14ac:dyDescent="0.2">
      <c r="A21781" s="4" t="s">
        <v>1</v>
      </c>
      <c r="B217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81" s="3" t="str">
        <f>HYPERLINK("https://otsuka-europe-crm.veevavault.com/ui/#object/sent_email__v/VBL000000001264", "SE-001377951")</f>
        <v>SE-001377951</v>
      </c>
      <c r="D21781" s="1" t="s">
        <v>0</v>
      </c>
      <c r="E21781" s="2">
        <v>0</v>
      </c>
      <c r="F21781" s="2">
        <v>0</v>
      </c>
      <c r="G21781" s="2">
        <v>0</v>
      </c>
      <c r="H21781" s="1" t="s">
        <v>0</v>
      </c>
      <c r="I21781" s="2">
        <v>0</v>
      </c>
      <c r="J21781" s="1">
        <v>45957.534513888888</v>
      </c>
    </row>
    <row r="21782" spans="1:10" x14ac:dyDescent="0.2">
      <c r="A21782" s="4" t="s">
        <v>1</v>
      </c>
      <c r="B217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82" s="3" t="str">
        <f>HYPERLINK("https://otsuka-europe-crm.veevavault.com/ui/#object/sent_email__v/VBL000000001265", "SE-001377952")</f>
        <v>SE-001377952</v>
      </c>
      <c r="D21782" s="1">
        <v>45957.639178240737</v>
      </c>
      <c r="E21782" s="2">
        <v>1</v>
      </c>
      <c r="F21782" s="2">
        <v>1</v>
      </c>
      <c r="G21782" s="2">
        <v>1</v>
      </c>
      <c r="H21782" s="1">
        <v>45957.639456018522</v>
      </c>
      <c r="I21782" s="2">
        <v>1</v>
      </c>
      <c r="J21782" s="1">
        <v>45957.534583333334</v>
      </c>
    </row>
    <row r="21783" spans="1:10" x14ac:dyDescent="0.2">
      <c r="A21783" s="4" t="s">
        <v>1</v>
      </c>
      <c r="B217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83" s="3" t="str">
        <f>HYPERLINK("https://otsuka-europe-crm.veevavault.com/ui/#object/sent_email__v/VBL000000001266", "SE-001377953")</f>
        <v>SE-001377953</v>
      </c>
      <c r="D21783" s="1">
        <v>45957.689826388887</v>
      </c>
      <c r="E21783" s="2">
        <v>1</v>
      </c>
      <c r="F21783" s="2">
        <v>5</v>
      </c>
      <c r="G21783" s="2">
        <v>0</v>
      </c>
      <c r="H21783" s="1" t="s">
        <v>0</v>
      </c>
      <c r="I21783" s="2">
        <v>0</v>
      </c>
      <c r="J21783" s="1">
        <v>45957.53465277778</v>
      </c>
    </row>
    <row r="21784" spans="1:10" x14ac:dyDescent="0.2">
      <c r="A21784" s="4" t="s">
        <v>1</v>
      </c>
      <c r="B217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84" s="3" t="str">
        <f>HYPERLINK("https://otsuka-europe-crm.veevavault.com/ui/#object/sent_email__v/VBL000000001267", "SE-001377954")</f>
        <v>SE-001377954</v>
      </c>
      <c r="D21784" s="1">
        <v>45957.961018518516</v>
      </c>
      <c r="E21784" s="2">
        <v>1</v>
      </c>
      <c r="F21784" s="2">
        <v>1</v>
      </c>
      <c r="G21784" s="2">
        <v>0</v>
      </c>
      <c r="H21784" s="1" t="s">
        <v>0</v>
      </c>
      <c r="I21784" s="2">
        <v>0</v>
      </c>
      <c r="J21784" s="1">
        <v>45957.534722222219</v>
      </c>
    </row>
    <row r="21785" spans="1:10" x14ac:dyDescent="0.2">
      <c r="A21785" s="4" t="s">
        <v>1</v>
      </c>
      <c r="B217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85" s="3" t="str">
        <f>HYPERLINK("https://otsuka-europe-crm.veevavault.com/ui/#object/sent_email__v/VBL000000001268", "SE-001377955")</f>
        <v>SE-001377955</v>
      </c>
      <c r="D21785" s="1" t="s">
        <v>0</v>
      </c>
      <c r="E21785" s="2">
        <v>0</v>
      </c>
      <c r="F21785" s="2">
        <v>0</v>
      </c>
      <c r="G21785" s="2">
        <v>0</v>
      </c>
      <c r="H21785" s="1" t="s">
        <v>0</v>
      </c>
      <c r="I21785" s="2">
        <v>0</v>
      </c>
      <c r="J21785" s="1">
        <v>45957.534768518519</v>
      </c>
    </row>
    <row r="21786" spans="1:10" x14ac:dyDescent="0.2">
      <c r="A21786" s="4" t="s">
        <v>1</v>
      </c>
      <c r="B217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86" s="3" t="str">
        <f>HYPERLINK("https://otsuka-europe-crm.veevavault.com/ui/#object/sent_email__v/VBL000000001269", "SE-001377956")</f>
        <v>SE-001377956</v>
      </c>
      <c r="D21786" s="1" t="s">
        <v>0</v>
      </c>
      <c r="E21786" s="2">
        <v>0</v>
      </c>
      <c r="F21786" s="2">
        <v>0</v>
      </c>
      <c r="G21786" s="2">
        <v>0</v>
      </c>
      <c r="H21786" s="1" t="s">
        <v>0</v>
      </c>
      <c r="I21786" s="2">
        <v>0</v>
      </c>
      <c r="J21786" s="1">
        <v>45957.534803240742</v>
      </c>
    </row>
    <row r="21787" spans="1:10" x14ac:dyDescent="0.2">
      <c r="A21787" s="4" t="s">
        <v>1</v>
      </c>
      <c r="B217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87" s="3" t="str">
        <f>HYPERLINK("https://otsuka-europe-crm.veevavault.com/ui/#object/sent_email__v/VBL000000001270", "SE-001377957")</f>
        <v>SE-001377957</v>
      </c>
      <c r="D21787" s="1" t="s">
        <v>0</v>
      </c>
      <c r="E21787" s="2">
        <v>0</v>
      </c>
      <c r="F21787" s="2">
        <v>0</v>
      </c>
      <c r="G21787" s="2">
        <v>0</v>
      </c>
      <c r="H21787" s="1" t="s">
        <v>0</v>
      </c>
      <c r="I21787" s="2">
        <v>0</v>
      </c>
      <c r="J21787" s="1">
        <v>45957.534849537034</v>
      </c>
    </row>
    <row r="21788" spans="1:10" x14ac:dyDescent="0.2">
      <c r="A21788" s="4" t="s">
        <v>1</v>
      </c>
      <c r="B217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88" s="3" t="str">
        <f>HYPERLINK("https://otsuka-europe-crm.veevavault.com/ui/#object/sent_email__v/VBL000000001271", "SE-001377958")</f>
        <v>SE-001377958</v>
      </c>
      <c r="D21788" s="1" t="s">
        <v>0</v>
      </c>
      <c r="E21788" s="2">
        <v>0</v>
      </c>
      <c r="F21788" s="2">
        <v>0</v>
      </c>
      <c r="G21788" s="2">
        <v>0</v>
      </c>
      <c r="H21788" s="1" t="s">
        <v>0</v>
      </c>
      <c r="I21788" s="2">
        <v>0</v>
      </c>
      <c r="J21788" s="1">
        <v>45957.534884259258</v>
      </c>
    </row>
    <row r="21789" spans="1:10" x14ac:dyDescent="0.2">
      <c r="A21789" s="4" t="s">
        <v>1</v>
      </c>
      <c r="B217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89" s="3" t="str">
        <f>HYPERLINK("https://otsuka-europe-crm.veevavault.com/ui/#object/sent_email__v/VBL000000001272", "SE-001377959")</f>
        <v>SE-001377959</v>
      </c>
      <c r="D21789" s="1">
        <v>45957.566157407404</v>
      </c>
      <c r="E21789" s="2">
        <v>1</v>
      </c>
      <c r="F21789" s="2">
        <v>1</v>
      </c>
      <c r="G21789" s="2">
        <v>0</v>
      </c>
      <c r="H21789" s="1" t="s">
        <v>0</v>
      </c>
      <c r="I21789" s="2">
        <v>0</v>
      </c>
      <c r="J21789" s="1">
        <v>45957.534930555557</v>
      </c>
    </row>
    <row r="21790" spans="1:10" x14ac:dyDescent="0.2">
      <c r="A21790" s="4" t="s">
        <v>1</v>
      </c>
      <c r="B217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90" s="3" t="str">
        <f>HYPERLINK("https://otsuka-europe-crm.veevavault.com/ui/#object/sent_email__v/VBL000000001273", "SE-001377960")</f>
        <v>SE-001377960</v>
      </c>
      <c r="D21790" s="1" t="s">
        <v>0</v>
      </c>
      <c r="E21790" s="2">
        <v>0</v>
      </c>
      <c r="F21790" s="2">
        <v>0</v>
      </c>
      <c r="G21790" s="2">
        <v>0</v>
      </c>
      <c r="H21790" s="1" t="s">
        <v>0</v>
      </c>
      <c r="I21790" s="2">
        <v>0</v>
      </c>
      <c r="J21790" s="1">
        <v>45957.53496527778</v>
      </c>
    </row>
    <row r="21791" spans="1:10" x14ac:dyDescent="0.2">
      <c r="A21791" s="4" t="s">
        <v>1</v>
      </c>
      <c r="B217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91" s="3" t="str">
        <f>HYPERLINK("https://otsuka-europe-crm.veevavault.com/ui/#object/sent_email__v/VBL000000001274", "SE-001377961")</f>
        <v>SE-001377961</v>
      </c>
      <c r="D21791" s="1">
        <v>45957.722280092596</v>
      </c>
      <c r="E21791" s="2">
        <v>1</v>
      </c>
      <c r="F21791" s="2">
        <v>1</v>
      </c>
      <c r="G21791" s="2">
        <v>0</v>
      </c>
      <c r="H21791" s="1" t="s">
        <v>0</v>
      </c>
      <c r="I21791" s="2">
        <v>0</v>
      </c>
      <c r="J21791" s="1">
        <v>45957.535011574073</v>
      </c>
    </row>
    <row r="21792" spans="1:10" x14ac:dyDescent="0.2">
      <c r="A21792" s="4" t="s">
        <v>1</v>
      </c>
      <c r="B217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92" s="3" t="str">
        <f>HYPERLINK("https://otsuka-europe-crm.veevavault.com/ui/#object/sent_email__v/VBL000000001275", "SE-001377962")</f>
        <v>SE-001377962</v>
      </c>
      <c r="D21792" s="1">
        <v>45959.290752314817</v>
      </c>
      <c r="E21792" s="2">
        <v>1</v>
      </c>
      <c r="F21792" s="2">
        <v>1</v>
      </c>
      <c r="G21792" s="2">
        <v>0</v>
      </c>
      <c r="H21792" s="1" t="s">
        <v>0</v>
      </c>
      <c r="I21792" s="2">
        <v>0</v>
      </c>
      <c r="J21792" s="1">
        <v>45957.535046296296</v>
      </c>
    </row>
    <row r="21793" spans="1:10" x14ac:dyDescent="0.2">
      <c r="A21793" s="4" t="s">
        <v>1</v>
      </c>
      <c r="B217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93" s="3" t="str">
        <f>HYPERLINK("https://otsuka-europe-crm.veevavault.com/ui/#object/sent_email__v/VBL000000001276", "SE-001377963")</f>
        <v>SE-001377963</v>
      </c>
      <c r="D21793" s="1" t="s">
        <v>0</v>
      </c>
      <c r="E21793" s="2">
        <v>0</v>
      </c>
      <c r="F21793" s="2">
        <v>0</v>
      </c>
      <c r="G21793" s="2">
        <v>0</v>
      </c>
      <c r="H21793" s="1" t="s">
        <v>0</v>
      </c>
      <c r="I21793" s="2">
        <v>0</v>
      </c>
      <c r="J21793" s="1">
        <v>45957.535092592596</v>
      </c>
    </row>
    <row r="21794" spans="1:10" x14ac:dyDescent="0.2">
      <c r="A21794" s="4" t="s">
        <v>1</v>
      </c>
      <c r="B217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94" s="3" t="str">
        <f>HYPERLINK("https://otsuka-europe-crm.veevavault.com/ui/#object/sent_email__v/VBL000000001277", "SE-001377964")</f>
        <v>SE-001377964</v>
      </c>
      <c r="D21794" s="1">
        <v>45957.593275462961</v>
      </c>
      <c r="E21794" s="2">
        <v>1</v>
      </c>
      <c r="F21794" s="2">
        <v>1</v>
      </c>
      <c r="G21794" s="2">
        <v>0</v>
      </c>
      <c r="H21794" s="1" t="s">
        <v>0</v>
      </c>
      <c r="I21794" s="2">
        <v>0</v>
      </c>
      <c r="J21794" s="1">
        <v>45957.535127314812</v>
      </c>
    </row>
    <row r="21795" spans="1:10" x14ac:dyDescent="0.2">
      <c r="A21795" s="4" t="s">
        <v>1</v>
      </c>
      <c r="B217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95" s="3" t="str">
        <f>HYPERLINK("https://otsuka-europe-crm.veevavault.com/ui/#object/sent_email__v/VBL000000001278", "SE-001377965")</f>
        <v>SE-001377965</v>
      </c>
      <c r="D21795" s="1" t="s">
        <v>0</v>
      </c>
      <c r="E21795" s="2">
        <v>0</v>
      </c>
      <c r="F21795" s="2">
        <v>0</v>
      </c>
      <c r="G21795" s="2">
        <v>0</v>
      </c>
      <c r="H21795" s="1" t="s">
        <v>0</v>
      </c>
      <c r="I21795" s="2">
        <v>0</v>
      </c>
      <c r="J21795" s="1">
        <v>45957.535173611112</v>
      </c>
    </row>
    <row r="21796" spans="1:10" x14ac:dyDescent="0.2">
      <c r="A21796" s="4" t="s">
        <v>1</v>
      </c>
      <c r="B217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96" s="3" t="str">
        <f>HYPERLINK("https://otsuka-europe-crm.veevavault.com/ui/#object/sent_email__v/VBL000000001279", "SE-001377966")</f>
        <v>SE-001377966</v>
      </c>
      <c r="D21796" s="1">
        <v>45983.473182870373</v>
      </c>
      <c r="E21796" s="2">
        <v>1</v>
      </c>
      <c r="F21796" s="2">
        <v>3</v>
      </c>
      <c r="G21796" s="2">
        <v>0</v>
      </c>
      <c r="H21796" s="1" t="s">
        <v>0</v>
      </c>
      <c r="I21796" s="2">
        <v>0</v>
      </c>
      <c r="J21796" s="1">
        <v>45957.535208333335</v>
      </c>
    </row>
    <row r="21797" spans="1:10" x14ac:dyDescent="0.2">
      <c r="A21797" s="4" t="s">
        <v>1</v>
      </c>
      <c r="B217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97" s="3" t="str">
        <f>HYPERLINK("https://otsuka-europe-crm.veevavault.com/ui/#object/sent_email__v/VBL000000001280", "SE-001377967")</f>
        <v>SE-001377967</v>
      </c>
      <c r="D21797" s="1" t="s">
        <v>0</v>
      </c>
      <c r="E21797" s="2">
        <v>0</v>
      </c>
      <c r="F21797" s="2">
        <v>0</v>
      </c>
      <c r="G21797" s="2">
        <v>0</v>
      </c>
      <c r="H21797" s="1" t="s">
        <v>0</v>
      </c>
      <c r="I21797" s="2">
        <v>0</v>
      </c>
      <c r="J21797" s="1">
        <v>45957.535254629627</v>
      </c>
    </row>
    <row r="21798" spans="1:10" x14ac:dyDescent="0.2">
      <c r="A21798" s="4" t="s">
        <v>1</v>
      </c>
      <c r="B217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98" s="3" t="str">
        <f>HYPERLINK("https://otsuka-europe-crm.veevavault.com/ui/#object/sent_email__v/VBL000000001281", "SE-001377968")</f>
        <v>SE-001377968</v>
      </c>
      <c r="D21798" s="1">
        <v>45957.939791666664</v>
      </c>
      <c r="E21798" s="2">
        <v>1</v>
      </c>
      <c r="F21798" s="2">
        <v>1</v>
      </c>
      <c r="G21798" s="2">
        <v>0</v>
      </c>
      <c r="H21798" s="1" t="s">
        <v>0</v>
      </c>
      <c r="I21798" s="2">
        <v>0</v>
      </c>
      <c r="J21798" s="1">
        <v>45957.535300925927</v>
      </c>
    </row>
    <row r="21799" spans="1:10" x14ac:dyDescent="0.2">
      <c r="A21799" s="4" t="s">
        <v>1</v>
      </c>
      <c r="B217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799" s="3" t="str">
        <f>HYPERLINK("https://otsuka-europe-crm.veevavault.com/ui/#object/sent_email__v/VBL000000001282", "SE-001377969")</f>
        <v>SE-001377969</v>
      </c>
      <c r="D21799" s="1">
        <v>45979.802557870367</v>
      </c>
      <c r="E21799" s="2">
        <v>1</v>
      </c>
      <c r="F21799" s="2">
        <v>4</v>
      </c>
      <c r="G21799" s="2">
        <v>1</v>
      </c>
      <c r="H21799" s="1">
        <v>45957.805243055554</v>
      </c>
      <c r="I21799" s="2">
        <v>2</v>
      </c>
      <c r="J21799" s="1">
        <v>45957.53534722222</v>
      </c>
    </row>
    <row r="21800" spans="1:10" x14ac:dyDescent="0.2">
      <c r="A21800" s="4" t="s">
        <v>1</v>
      </c>
      <c r="B218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00" s="3" t="str">
        <f>HYPERLINK("https://otsuka-europe-crm.veevavault.com/ui/#object/sent_email__v/VBL000000001283", "SE-001377970")</f>
        <v>SE-001377970</v>
      </c>
      <c r="D21800" s="1" t="s">
        <v>0</v>
      </c>
      <c r="E21800" s="2">
        <v>0</v>
      </c>
      <c r="F21800" s="2">
        <v>0</v>
      </c>
      <c r="G21800" s="2">
        <v>0</v>
      </c>
      <c r="H21800" s="1" t="s">
        <v>0</v>
      </c>
      <c r="I21800" s="2">
        <v>0</v>
      </c>
      <c r="J21800" s="1">
        <v>45957.535393518519</v>
      </c>
    </row>
    <row r="21801" spans="1:10" x14ac:dyDescent="0.2">
      <c r="A21801" s="4" t="s">
        <v>1</v>
      </c>
      <c r="B218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01" s="3" t="str">
        <f>HYPERLINK("https://otsuka-europe-crm.veevavault.com/ui/#object/sent_email__v/VBL000000001284", "SE-001377971")</f>
        <v>SE-001377971</v>
      </c>
      <c r="D21801" s="1" t="s">
        <v>0</v>
      </c>
      <c r="E21801" s="2">
        <v>0</v>
      </c>
      <c r="F21801" s="2">
        <v>0</v>
      </c>
      <c r="G21801" s="2">
        <v>0</v>
      </c>
      <c r="H21801" s="1" t="s">
        <v>0</v>
      </c>
      <c r="I21801" s="2">
        <v>0</v>
      </c>
      <c r="J21801" s="1">
        <v>45957.535428240742</v>
      </c>
    </row>
    <row r="21802" spans="1:10" x14ac:dyDescent="0.2">
      <c r="A21802" s="4" t="s">
        <v>1</v>
      </c>
      <c r="B218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02" s="3" t="str">
        <f>HYPERLINK("https://otsuka-europe-crm.veevavault.com/ui/#object/sent_email__v/VBL000000001285", "SE-001377972")</f>
        <v>SE-001377972</v>
      </c>
      <c r="D21802" s="1">
        <v>45957.557916666665</v>
      </c>
      <c r="E21802" s="2">
        <v>1</v>
      </c>
      <c r="F21802" s="2">
        <v>1</v>
      </c>
      <c r="G21802" s="2">
        <v>0</v>
      </c>
      <c r="H21802" s="1" t="s">
        <v>0</v>
      </c>
      <c r="I21802" s="2">
        <v>0</v>
      </c>
      <c r="J21802" s="1">
        <v>45957.535486111112</v>
      </c>
    </row>
    <row r="21803" spans="1:10" x14ac:dyDescent="0.2">
      <c r="A21803" s="4" t="s">
        <v>1</v>
      </c>
      <c r="B218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03" s="3" t="str">
        <f>HYPERLINK("https://otsuka-europe-crm.veevavault.com/ui/#object/sent_email__v/VBL000000001286", "SE-001377973")</f>
        <v>SE-001377973</v>
      </c>
      <c r="D21803" s="1">
        <v>45958.72859953704</v>
      </c>
      <c r="E21803" s="2">
        <v>1</v>
      </c>
      <c r="F21803" s="2">
        <v>1</v>
      </c>
      <c r="G21803" s="2">
        <v>0</v>
      </c>
      <c r="H21803" s="1" t="s">
        <v>0</v>
      </c>
      <c r="I21803" s="2">
        <v>0</v>
      </c>
      <c r="J21803" s="1">
        <v>45957.535509259258</v>
      </c>
    </row>
    <row r="21804" spans="1:10" x14ac:dyDescent="0.2">
      <c r="A21804" s="4" t="s">
        <v>1</v>
      </c>
      <c r="B218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04" s="3" t="str">
        <f>HYPERLINK("https://otsuka-europe-crm.veevavault.com/ui/#object/sent_email__v/VBL000000001287", "SE-001377974")</f>
        <v>SE-001377974</v>
      </c>
      <c r="D21804" s="1">
        <v>45957.602523148147</v>
      </c>
      <c r="E21804" s="2">
        <v>1</v>
      </c>
      <c r="F21804" s="2">
        <v>2</v>
      </c>
      <c r="G21804" s="2">
        <v>0</v>
      </c>
      <c r="H21804" s="1" t="s">
        <v>0</v>
      </c>
      <c r="I21804" s="2">
        <v>0</v>
      </c>
      <c r="J21804" s="1">
        <v>45957.535555555558</v>
      </c>
    </row>
    <row r="21805" spans="1:10" x14ac:dyDescent="0.2">
      <c r="A21805" s="4" t="s">
        <v>1</v>
      </c>
      <c r="B218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05" s="3" t="str">
        <f>HYPERLINK("https://otsuka-europe-crm.veevavault.com/ui/#object/sent_email__v/VBL000000001288", "SE-001377975")</f>
        <v>SE-001377975</v>
      </c>
      <c r="D21805" s="1">
        <v>45957.897002314814</v>
      </c>
      <c r="E21805" s="2">
        <v>1</v>
      </c>
      <c r="F21805" s="2">
        <v>1</v>
      </c>
      <c r="G21805" s="2">
        <v>0</v>
      </c>
      <c r="H21805" s="1" t="s">
        <v>0</v>
      </c>
      <c r="I21805" s="2">
        <v>0</v>
      </c>
      <c r="J21805" s="1">
        <v>45957.535601851851</v>
      </c>
    </row>
    <row r="21806" spans="1:10" x14ac:dyDescent="0.2">
      <c r="A21806" s="4" t="s">
        <v>1</v>
      </c>
      <c r="B218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06" s="3" t="str">
        <f>HYPERLINK("https://otsuka-europe-crm.veevavault.com/ui/#object/sent_email__v/VBL000000001289", "SE-001377976")</f>
        <v>SE-001377976</v>
      </c>
      <c r="D21806" s="1" t="s">
        <v>0</v>
      </c>
      <c r="E21806" s="2">
        <v>0</v>
      </c>
      <c r="F21806" s="2">
        <v>0</v>
      </c>
      <c r="G21806" s="2">
        <v>0</v>
      </c>
      <c r="H21806" s="1" t="s">
        <v>0</v>
      </c>
      <c r="I21806" s="2">
        <v>0</v>
      </c>
      <c r="J21806" s="1">
        <v>45957.535636574074</v>
      </c>
    </row>
    <row r="21807" spans="1:10" x14ac:dyDescent="0.2">
      <c r="A21807" s="4" t="s">
        <v>1</v>
      </c>
      <c r="B218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07" s="3" t="str">
        <f>HYPERLINK("https://otsuka-europe-crm.veevavault.com/ui/#object/sent_email__v/VBL000000001290", "SE-001377977")</f>
        <v>SE-001377977</v>
      </c>
      <c r="D21807" s="1">
        <v>45963.814039351855</v>
      </c>
      <c r="E21807" s="2">
        <v>1</v>
      </c>
      <c r="F21807" s="2">
        <v>7</v>
      </c>
      <c r="G21807" s="2">
        <v>0</v>
      </c>
      <c r="H21807" s="1" t="s">
        <v>0</v>
      </c>
      <c r="I21807" s="2">
        <v>0</v>
      </c>
      <c r="J21807" s="1">
        <v>45957.53570601852</v>
      </c>
    </row>
    <row r="21808" spans="1:10" x14ac:dyDescent="0.2">
      <c r="A21808" s="4" t="s">
        <v>1</v>
      </c>
      <c r="B218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08" s="3" t="str">
        <f>HYPERLINK("https://otsuka-europe-crm.veevavault.com/ui/#object/sent_email__v/VBL000000001291", "SE-001377978")</f>
        <v>SE-001377978</v>
      </c>
      <c r="D21808" s="1" t="s">
        <v>0</v>
      </c>
      <c r="E21808" s="2">
        <v>0</v>
      </c>
      <c r="F21808" s="2">
        <v>0</v>
      </c>
      <c r="G21808" s="2">
        <v>0</v>
      </c>
      <c r="H21808" s="1" t="s">
        <v>0</v>
      </c>
      <c r="I21808" s="2">
        <v>0</v>
      </c>
      <c r="J21808" s="1">
        <v>45957.535775462966</v>
      </c>
    </row>
    <row r="21809" spans="1:10" x14ac:dyDescent="0.2">
      <c r="A21809" s="4" t="s">
        <v>1</v>
      </c>
      <c r="B218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09" s="3" t="str">
        <f>HYPERLINK("https://otsuka-europe-crm.veevavault.com/ui/#object/sent_email__v/VBL000000001292", "SE-001377979")</f>
        <v>SE-001377979</v>
      </c>
      <c r="D21809" s="1">
        <v>45957.539039351854</v>
      </c>
      <c r="E21809" s="2">
        <v>1</v>
      </c>
      <c r="F21809" s="2">
        <v>1</v>
      </c>
      <c r="G21809" s="2">
        <v>1</v>
      </c>
      <c r="H21809" s="1">
        <v>45957.539467592593</v>
      </c>
      <c r="I21809" s="2">
        <v>1</v>
      </c>
      <c r="J21809" s="1">
        <v>45957.535844907405</v>
      </c>
    </row>
    <row r="21810" spans="1:10" x14ac:dyDescent="0.2">
      <c r="A21810" s="4" t="s">
        <v>1</v>
      </c>
      <c r="B218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10" s="3" t="str">
        <f>HYPERLINK("https://otsuka-europe-crm.veevavault.com/ui/#object/sent_email__v/VBL000000001293", "SE-001377980")</f>
        <v>SE-001377980</v>
      </c>
      <c r="D21810" s="1">
        <v>45957.536134259259</v>
      </c>
      <c r="E21810" s="2">
        <v>1</v>
      </c>
      <c r="F21810" s="2">
        <v>3</v>
      </c>
      <c r="G21810" s="2">
        <v>1</v>
      </c>
      <c r="H21810" s="1">
        <v>45957.53638888889</v>
      </c>
      <c r="I21810" s="2">
        <v>16</v>
      </c>
      <c r="J21810" s="1">
        <v>45957.535914351851</v>
      </c>
    </row>
    <row r="21811" spans="1:10" x14ac:dyDescent="0.2">
      <c r="A21811" s="4" t="s">
        <v>1</v>
      </c>
      <c r="B218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11" s="3" t="str">
        <f>HYPERLINK("https://otsuka-europe-crm.veevavault.com/ui/#object/sent_email__v/VBL000000001294", "SE-001377981")</f>
        <v>SE-001377981</v>
      </c>
      <c r="D21811" s="1">
        <v>45958.352800925924</v>
      </c>
      <c r="E21811" s="2">
        <v>1</v>
      </c>
      <c r="F21811" s="2">
        <v>2</v>
      </c>
      <c r="G21811" s="2">
        <v>0</v>
      </c>
      <c r="H21811" s="1" t="s">
        <v>0</v>
      </c>
      <c r="I21811" s="2">
        <v>0</v>
      </c>
      <c r="J21811" s="1">
        <v>45957.535983796297</v>
      </c>
    </row>
    <row r="21812" spans="1:10" x14ac:dyDescent="0.2">
      <c r="A21812" s="4" t="s">
        <v>1</v>
      </c>
      <c r="B218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12" s="3" t="str">
        <f>HYPERLINK("https://otsuka-europe-crm.veevavault.com/ui/#object/sent_email__v/VBL000000001295", "SE-001377982")</f>
        <v>SE-001377982</v>
      </c>
      <c r="D21812" s="1" t="s">
        <v>0</v>
      </c>
      <c r="E21812" s="2">
        <v>0</v>
      </c>
      <c r="F21812" s="2">
        <v>0</v>
      </c>
      <c r="G21812" s="2">
        <v>0</v>
      </c>
      <c r="H21812" s="1" t="s">
        <v>0</v>
      </c>
      <c r="I21812" s="2">
        <v>0</v>
      </c>
      <c r="J21812" s="1">
        <v>45957.536053240743</v>
      </c>
    </row>
    <row r="21813" spans="1:10" x14ac:dyDescent="0.2">
      <c r="A21813" s="4" t="s">
        <v>1</v>
      </c>
      <c r="B218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13" s="3" t="str">
        <f>HYPERLINK("https://otsuka-europe-crm.veevavault.com/ui/#object/sent_email__v/VBL000000001296", "SE-001377983")</f>
        <v>SE-001377983</v>
      </c>
      <c r="D21813" s="1">
        <v>45957.938032407408</v>
      </c>
      <c r="E21813" s="2">
        <v>1</v>
      </c>
      <c r="F21813" s="2">
        <v>1</v>
      </c>
      <c r="G21813" s="2">
        <v>0</v>
      </c>
      <c r="H21813" s="1" t="s">
        <v>0</v>
      </c>
      <c r="I21813" s="2">
        <v>0</v>
      </c>
      <c r="J21813" s="1">
        <v>45957.536122685182</v>
      </c>
    </row>
    <row r="21814" spans="1:10" x14ac:dyDescent="0.2">
      <c r="A21814" s="4" t="s">
        <v>1</v>
      </c>
      <c r="B218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14" s="3" t="str">
        <f>HYPERLINK("https://otsuka-europe-crm.veevavault.com/ui/#object/sent_email__v/VBL000000001297", "SE-001377984")</f>
        <v>SE-001377984</v>
      </c>
      <c r="D21814" s="1">
        <v>45957.543749999997</v>
      </c>
      <c r="E21814" s="2">
        <v>1</v>
      </c>
      <c r="F21814" s="2">
        <v>2</v>
      </c>
      <c r="G21814" s="2">
        <v>0</v>
      </c>
      <c r="H21814" s="1" t="s">
        <v>0</v>
      </c>
      <c r="I21814" s="2">
        <v>0</v>
      </c>
      <c r="J21814" s="1">
        <v>45957.536203703705</v>
      </c>
    </row>
    <row r="21815" spans="1:10" x14ac:dyDescent="0.2">
      <c r="A21815" s="4" t="s">
        <v>1</v>
      </c>
      <c r="B218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15" s="3" t="str">
        <f>HYPERLINK("https://otsuka-europe-crm.veevavault.com/ui/#object/sent_email__v/VBL000000001298", "SE-001377985")</f>
        <v>SE-001377985</v>
      </c>
      <c r="D21815" s="1" t="s">
        <v>0</v>
      </c>
      <c r="E21815" s="2">
        <v>0</v>
      </c>
      <c r="F21815" s="2">
        <v>0</v>
      </c>
      <c r="G21815" s="2">
        <v>0</v>
      </c>
      <c r="H21815" s="1" t="s">
        <v>0</v>
      </c>
      <c r="I21815" s="2">
        <v>0</v>
      </c>
      <c r="J21815" s="1">
        <v>45957.536261574074</v>
      </c>
    </row>
    <row r="21816" spans="1:10" x14ac:dyDescent="0.2">
      <c r="A21816" s="4" t="s">
        <v>1</v>
      </c>
      <c r="B218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16" s="3" t="str">
        <f>HYPERLINK("https://otsuka-europe-crm.veevavault.com/ui/#object/sent_email__v/VBL000000001299", "SE-001377986")</f>
        <v>SE-001377986</v>
      </c>
      <c r="D21816" s="1">
        <v>45958.322557870371</v>
      </c>
      <c r="E21816" s="2">
        <v>1</v>
      </c>
      <c r="F21816" s="2">
        <v>3</v>
      </c>
      <c r="G21816" s="2">
        <v>0</v>
      </c>
      <c r="H21816" s="1" t="s">
        <v>0</v>
      </c>
      <c r="I21816" s="2">
        <v>0</v>
      </c>
      <c r="J21816" s="1">
        <v>45957.53633101852</v>
      </c>
    </row>
    <row r="21817" spans="1:10" x14ac:dyDescent="0.2">
      <c r="A21817" s="4" t="s">
        <v>1</v>
      </c>
      <c r="B218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17" s="3" t="str">
        <f>HYPERLINK("https://otsuka-europe-crm.veevavault.com/ui/#object/sent_email__v/VBL000000001300", "SE-001377987")</f>
        <v>SE-001377987</v>
      </c>
      <c r="D21817" s="1">
        <v>45961.469317129631</v>
      </c>
      <c r="E21817" s="2">
        <v>1</v>
      </c>
      <c r="F21817" s="2">
        <v>3</v>
      </c>
      <c r="G21817" s="2">
        <v>0</v>
      </c>
      <c r="H21817" s="1" t="s">
        <v>0</v>
      </c>
      <c r="I21817" s="2">
        <v>0</v>
      </c>
      <c r="J21817" s="1">
        <v>45957.536412037036</v>
      </c>
    </row>
    <row r="21818" spans="1:10" x14ac:dyDescent="0.2">
      <c r="A21818" s="4" t="s">
        <v>1</v>
      </c>
      <c r="B218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18" s="3" t="str">
        <f>HYPERLINK("https://otsuka-europe-crm.veevavault.com/ui/#object/sent_email__v/VBL000000001301", "SE-001377988")</f>
        <v>SE-001377988</v>
      </c>
      <c r="D21818" s="1" t="s">
        <v>0</v>
      </c>
      <c r="E21818" s="2">
        <v>0</v>
      </c>
      <c r="F21818" s="2">
        <v>0</v>
      </c>
      <c r="G21818" s="2">
        <v>0</v>
      </c>
      <c r="H21818" s="1" t="s">
        <v>0</v>
      </c>
      <c r="I21818" s="2">
        <v>0</v>
      </c>
      <c r="J21818" s="1">
        <v>45957.536469907405</v>
      </c>
    </row>
    <row r="21819" spans="1:10" x14ac:dyDescent="0.2">
      <c r="A21819" s="4" t="s">
        <v>1</v>
      </c>
      <c r="B218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19" s="3" t="str">
        <f>HYPERLINK("https://otsuka-europe-crm.veevavault.com/ui/#object/sent_email__v/VBL000000001302", "SE-001377989")</f>
        <v>SE-001377989</v>
      </c>
      <c r="D21819" s="1">
        <v>45957.6328587963</v>
      </c>
      <c r="E21819" s="2">
        <v>1</v>
      </c>
      <c r="F21819" s="2">
        <v>1</v>
      </c>
      <c r="G21819" s="2">
        <v>0</v>
      </c>
      <c r="H21819" s="1" t="s">
        <v>0</v>
      </c>
      <c r="I21819" s="2">
        <v>0</v>
      </c>
      <c r="J21819" s="1">
        <v>45957.536550925928</v>
      </c>
    </row>
    <row r="21820" spans="1:10" x14ac:dyDescent="0.2">
      <c r="A21820" s="4" t="s">
        <v>1</v>
      </c>
      <c r="B218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20" s="3" t="str">
        <f>HYPERLINK("https://otsuka-europe-crm.veevavault.com/ui/#object/sent_email__v/VBL000000001303", "SE-001377990")</f>
        <v>SE-001377990</v>
      </c>
      <c r="D21820" s="1">
        <v>45965.896516203706</v>
      </c>
      <c r="E21820" s="2">
        <v>1</v>
      </c>
      <c r="F21820" s="2">
        <v>4</v>
      </c>
      <c r="G21820" s="2">
        <v>0</v>
      </c>
      <c r="H21820" s="1" t="s">
        <v>0</v>
      </c>
      <c r="I21820" s="2">
        <v>0</v>
      </c>
      <c r="J21820" s="1">
        <v>45957.536620370367</v>
      </c>
    </row>
    <row r="21821" spans="1:10" x14ac:dyDescent="0.2">
      <c r="A21821" s="4" t="s">
        <v>1</v>
      </c>
      <c r="B218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21" s="3" t="str">
        <f>HYPERLINK("https://otsuka-europe-crm.veevavault.com/ui/#object/sent_email__v/VBL000000001304", "SE-001377991")</f>
        <v>SE-001377991</v>
      </c>
      <c r="D21821" s="1" t="s">
        <v>0</v>
      </c>
      <c r="E21821" s="2">
        <v>0</v>
      </c>
      <c r="F21821" s="2">
        <v>0</v>
      </c>
      <c r="G21821" s="2">
        <v>0</v>
      </c>
      <c r="H21821" s="1" t="s">
        <v>0</v>
      </c>
      <c r="I21821" s="2">
        <v>0</v>
      </c>
      <c r="J21821" s="1">
        <v>45957.536678240744</v>
      </c>
    </row>
    <row r="21822" spans="1:10" x14ac:dyDescent="0.2">
      <c r="A21822" s="4" t="s">
        <v>1</v>
      </c>
      <c r="B218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22" s="3" t="str">
        <f>HYPERLINK("https://otsuka-europe-crm.veevavault.com/ui/#object/sent_email__v/VBL000000001305", "SE-001377992")</f>
        <v>SE-001377992</v>
      </c>
      <c r="D21822" s="1">
        <v>45960.759432870371</v>
      </c>
      <c r="E21822" s="2">
        <v>1</v>
      </c>
      <c r="F21822" s="2">
        <v>1</v>
      </c>
      <c r="G21822" s="2">
        <v>0</v>
      </c>
      <c r="H21822" s="1" t="s">
        <v>0</v>
      </c>
      <c r="I21822" s="2">
        <v>0</v>
      </c>
      <c r="J21822" s="1">
        <v>45957.536747685182</v>
      </c>
    </row>
    <row r="21823" spans="1:10" x14ac:dyDescent="0.2">
      <c r="A21823" s="4" t="s">
        <v>1</v>
      </c>
      <c r="B218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23" s="3" t="str">
        <f>HYPERLINK("https://otsuka-europe-crm.veevavault.com/ui/#object/sent_email__v/VBL000000001306", "SE-001377993")</f>
        <v>SE-001377993</v>
      </c>
      <c r="D21823" s="1" t="s">
        <v>0</v>
      </c>
      <c r="E21823" s="2">
        <v>0</v>
      </c>
      <c r="F21823" s="2">
        <v>0</v>
      </c>
      <c r="G21823" s="2">
        <v>0</v>
      </c>
      <c r="H21823" s="1" t="s">
        <v>0</v>
      </c>
      <c r="I21823" s="2">
        <v>0</v>
      </c>
      <c r="J21823" s="1">
        <v>45957.536817129629</v>
      </c>
    </row>
    <row r="21824" spans="1:10" x14ac:dyDescent="0.2">
      <c r="A21824" s="4" t="s">
        <v>1</v>
      </c>
      <c r="B218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24" s="3" t="str">
        <f>HYPERLINK("https://otsuka-europe-crm.veevavault.com/ui/#object/sent_email__v/VBL000000001307", "SE-001377994")</f>
        <v>SE-001377994</v>
      </c>
      <c r="D21824" s="1">
        <v>45957.666064814817</v>
      </c>
      <c r="E21824" s="2">
        <v>1</v>
      </c>
      <c r="F21824" s="2">
        <v>2</v>
      </c>
      <c r="G21824" s="2">
        <v>0</v>
      </c>
      <c r="H21824" s="1" t="s">
        <v>0</v>
      </c>
      <c r="I21824" s="2">
        <v>0</v>
      </c>
      <c r="J21824" s="1">
        <v>45957.536886574075</v>
      </c>
    </row>
    <row r="21825" spans="1:10" x14ac:dyDescent="0.2">
      <c r="A21825" s="4" t="s">
        <v>1</v>
      </c>
      <c r="B218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25" s="3" t="str">
        <f>HYPERLINK("https://otsuka-europe-crm.veevavault.com/ui/#object/sent_email__v/VBL000000001308", "SE-001377995")</f>
        <v>SE-001377995</v>
      </c>
      <c r="D21825" s="1">
        <v>45957.539282407408</v>
      </c>
      <c r="E21825" s="2">
        <v>1</v>
      </c>
      <c r="F21825" s="2">
        <v>1</v>
      </c>
      <c r="G21825" s="2">
        <v>0</v>
      </c>
      <c r="H21825" s="1" t="s">
        <v>0</v>
      </c>
      <c r="I21825" s="2">
        <v>0</v>
      </c>
      <c r="J21825" s="1">
        <v>45957.53696759259</v>
      </c>
    </row>
    <row r="21826" spans="1:10" x14ac:dyDescent="0.2">
      <c r="A21826" s="4" t="s">
        <v>1</v>
      </c>
      <c r="B218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26" s="3" t="str">
        <f>HYPERLINK("https://otsuka-europe-crm.veevavault.com/ui/#object/sent_email__v/VBL000000001309", "SE-001377996")</f>
        <v>SE-001377996</v>
      </c>
      <c r="D21826" s="1">
        <v>45957.575381944444</v>
      </c>
      <c r="E21826" s="2">
        <v>1</v>
      </c>
      <c r="F21826" s="2">
        <v>1</v>
      </c>
      <c r="G21826" s="2">
        <v>0</v>
      </c>
      <c r="H21826" s="1" t="s">
        <v>0</v>
      </c>
      <c r="I21826" s="2">
        <v>0</v>
      </c>
      <c r="J21826" s="1">
        <v>45957.537037037036</v>
      </c>
    </row>
    <row r="21827" spans="1:10" x14ac:dyDescent="0.2">
      <c r="A21827" s="4" t="s">
        <v>1</v>
      </c>
      <c r="B218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27" s="3" t="str">
        <f>HYPERLINK("https://otsuka-europe-crm.veevavault.com/ui/#object/sent_email__v/VBL000000001310", "SE-001377997")</f>
        <v>SE-001377997</v>
      </c>
      <c r="D21827" s="1">
        <v>45960.236678240741</v>
      </c>
      <c r="E21827" s="2">
        <v>1</v>
      </c>
      <c r="F21827" s="2">
        <v>3</v>
      </c>
      <c r="G21827" s="2">
        <v>0</v>
      </c>
      <c r="H21827" s="1" t="s">
        <v>0</v>
      </c>
      <c r="I21827" s="2">
        <v>0</v>
      </c>
      <c r="J21827" s="1">
        <v>45957.537106481483</v>
      </c>
    </row>
    <row r="21828" spans="1:10" x14ac:dyDescent="0.2">
      <c r="A21828" s="4" t="s">
        <v>1</v>
      </c>
      <c r="B218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28" s="3" t="str">
        <f>HYPERLINK("https://otsuka-europe-crm.veevavault.com/ui/#object/sent_email__v/VBL000000001311", "SE-001377998")</f>
        <v>SE-001377998</v>
      </c>
      <c r="D21828" s="1">
        <v>45958.735902777778</v>
      </c>
      <c r="E21828" s="2">
        <v>1</v>
      </c>
      <c r="F21828" s="2">
        <v>2</v>
      </c>
      <c r="G21828" s="2">
        <v>0</v>
      </c>
      <c r="H21828" s="1" t="s">
        <v>0</v>
      </c>
      <c r="I21828" s="2">
        <v>0</v>
      </c>
      <c r="J21828" s="1">
        <v>45957.537187499998</v>
      </c>
    </row>
    <row r="21829" spans="1:10" x14ac:dyDescent="0.2">
      <c r="A21829" s="4" t="s">
        <v>1</v>
      </c>
      <c r="B218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29" s="3" t="str">
        <f>HYPERLINK("https://otsuka-europe-crm.veevavault.com/ui/#object/sent_email__v/VBL000000001312", "SE-001377999")</f>
        <v>SE-001377999</v>
      </c>
      <c r="D21829" s="1">
        <v>45958.272650462961</v>
      </c>
      <c r="E21829" s="2">
        <v>1</v>
      </c>
      <c r="F21829" s="2">
        <v>1</v>
      </c>
      <c r="G21829" s="2">
        <v>0</v>
      </c>
      <c r="H21829" s="1" t="s">
        <v>0</v>
      </c>
      <c r="I21829" s="2">
        <v>0</v>
      </c>
      <c r="J21829" s="1">
        <v>45957.537245370368</v>
      </c>
    </row>
    <row r="21830" spans="1:10" x14ac:dyDescent="0.2">
      <c r="A21830" s="4" t="s">
        <v>1</v>
      </c>
      <c r="B218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30" s="3" t="str">
        <f>HYPERLINK("https://otsuka-europe-crm.veevavault.com/ui/#object/sent_email__v/VBL000000001313", "SE-001378000")</f>
        <v>SE-001378000</v>
      </c>
      <c r="D21830" s="1" t="s">
        <v>0</v>
      </c>
      <c r="E21830" s="2">
        <v>0</v>
      </c>
      <c r="F21830" s="2">
        <v>0</v>
      </c>
      <c r="G21830" s="2">
        <v>0</v>
      </c>
      <c r="H21830" s="1" t="s">
        <v>0</v>
      </c>
      <c r="I21830" s="2">
        <v>0</v>
      </c>
      <c r="J21830" s="1">
        <v>45957.537326388891</v>
      </c>
    </row>
    <row r="21831" spans="1:10" x14ac:dyDescent="0.2">
      <c r="A21831" s="4" t="s">
        <v>1</v>
      </c>
      <c r="B218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31" s="3" t="str">
        <f>HYPERLINK("https://otsuka-europe-crm.veevavault.com/ui/#object/sent_email__v/VBL000000001314", "SE-001378001")</f>
        <v>SE-001378001</v>
      </c>
      <c r="D21831" s="1">
        <v>45957.658993055556</v>
      </c>
      <c r="E21831" s="2">
        <v>1</v>
      </c>
      <c r="F21831" s="2">
        <v>1</v>
      </c>
      <c r="G21831" s="2">
        <v>0</v>
      </c>
      <c r="H21831" s="1" t="s">
        <v>0</v>
      </c>
      <c r="I21831" s="2">
        <v>0</v>
      </c>
      <c r="J21831" s="1">
        <v>45957.537395833337</v>
      </c>
    </row>
    <row r="21832" spans="1:10" x14ac:dyDescent="0.2">
      <c r="A21832" s="4" t="s">
        <v>1</v>
      </c>
      <c r="B218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32" s="3" t="str">
        <f>HYPERLINK("https://otsuka-europe-crm.veevavault.com/ui/#object/sent_email__v/VBL000000001315", "SE-001378002")</f>
        <v>SE-001378002</v>
      </c>
      <c r="D21832" s="1" t="s">
        <v>0</v>
      </c>
      <c r="E21832" s="2">
        <v>0</v>
      </c>
      <c r="F21832" s="2">
        <v>0</v>
      </c>
      <c r="G21832" s="2">
        <v>0</v>
      </c>
      <c r="H21832" s="1" t="s">
        <v>0</v>
      </c>
      <c r="I21832" s="2">
        <v>0</v>
      </c>
      <c r="J21832" s="1">
        <v>45957.537465277775</v>
      </c>
    </row>
    <row r="21833" spans="1:10" x14ac:dyDescent="0.2">
      <c r="A21833" s="4" t="s">
        <v>1</v>
      </c>
      <c r="B218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33" s="3" t="str">
        <f>HYPERLINK("https://otsuka-europe-crm.veevavault.com/ui/#object/sent_email__v/VBL000000001316", "SE-001378003")</f>
        <v>SE-001378003</v>
      </c>
      <c r="D21833" s="1" t="s">
        <v>0</v>
      </c>
      <c r="E21833" s="2">
        <v>0</v>
      </c>
      <c r="F21833" s="2">
        <v>0</v>
      </c>
      <c r="G21833" s="2">
        <v>0</v>
      </c>
      <c r="H21833" s="1" t="s">
        <v>0</v>
      </c>
      <c r="I21833" s="2">
        <v>0</v>
      </c>
      <c r="J21833" s="1">
        <v>45957.537546296298</v>
      </c>
    </row>
    <row r="21834" spans="1:10" x14ac:dyDescent="0.2">
      <c r="A21834" s="4" t="s">
        <v>1</v>
      </c>
      <c r="B218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34" s="3" t="str">
        <f>HYPERLINK("https://otsuka-europe-crm.veevavault.com/ui/#object/sent_email__v/VBL000000001317", "SE-001378004")</f>
        <v>SE-001378004</v>
      </c>
      <c r="D21834" s="1" t="s">
        <v>0</v>
      </c>
      <c r="E21834" s="2">
        <v>0</v>
      </c>
      <c r="F21834" s="2">
        <v>0</v>
      </c>
      <c r="G21834" s="2">
        <v>0</v>
      </c>
      <c r="H21834" s="1" t="s">
        <v>0</v>
      </c>
      <c r="I21834" s="2">
        <v>0</v>
      </c>
      <c r="J21834" s="1">
        <v>45957.537615740737</v>
      </c>
    </row>
    <row r="21835" spans="1:10" x14ac:dyDescent="0.2">
      <c r="A21835" s="4" t="s">
        <v>1</v>
      </c>
      <c r="B218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35" s="3" t="str">
        <f>HYPERLINK("https://otsuka-europe-crm.veevavault.com/ui/#object/sent_email__v/VBL000000001318", "SE-001378005")</f>
        <v>SE-001378005</v>
      </c>
      <c r="D21835" s="1" t="s">
        <v>0</v>
      </c>
      <c r="E21835" s="2">
        <v>0</v>
      </c>
      <c r="F21835" s="2">
        <v>0</v>
      </c>
      <c r="G21835" s="2">
        <v>0</v>
      </c>
      <c r="H21835" s="1" t="s">
        <v>0</v>
      </c>
      <c r="I21835" s="2">
        <v>0</v>
      </c>
      <c r="J21835" s="1">
        <v>45957.537685185183</v>
      </c>
    </row>
    <row r="21836" spans="1:10" x14ac:dyDescent="0.2">
      <c r="A21836" s="4" t="s">
        <v>1</v>
      </c>
      <c r="B218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36" s="3" t="str">
        <f>HYPERLINK("https://otsuka-europe-crm.veevavault.com/ui/#object/sent_email__v/VBL000000001319", "SE-001378006")</f>
        <v>SE-001378006</v>
      </c>
      <c r="D21836" s="1" t="s">
        <v>0</v>
      </c>
      <c r="E21836" s="2">
        <v>0</v>
      </c>
      <c r="F21836" s="2">
        <v>0</v>
      </c>
      <c r="G21836" s="2">
        <v>0</v>
      </c>
      <c r="H21836" s="1" t="s">
        <v>0</v>
      </c>
      <c r="I21836" s="2">
        <v>0</v>
      </c>
      <c r="J21836" s="1">
        <v>45957.537754629629</v>
      </c>
    </row>
    <row r="21837" spans="1:10" x14ac:dyDescent="0.2">
      <c r="A21837" s="4" t="s">
        <v>1</v>
      </c>
      <c r="B218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37" s="3" t="str">
        <f>HYPERLINK("https://otsuka-europe-crm.veevavault.com/ui/#object/sent_email__v/VBL000000001320", "SE-001378007")</f>
        <v>SE-001378007</v>
      </c>
      <c r="D21837" s="1">
        <v>45957.609456018516</v>
      </c>
      <c r="E21837" s="2">
        <v>1</v>
      </c>
      <c r="F21837" s="2">
        <v>1</v>
      </c>
      <c r="G21837" s="2">
        <v>0</v>
      </c>
      <c r="H21837" s="1" t="s">
        <v>0</v>
      </c>
      <c r="I21837" s="2">
        <v>0</v>
      </c>
      <c r="J21837" s="1">
        <v>45957.537835648145</v>
      </c>
    </row>
    <row r="21838" spans="1:10" x14ac:dyDescent="0.2">
      <c r="A21838" s="4" t="s">
        <v>1</v>
      </c>
      <c r="B218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38" s="3" t="str">
        <f>HYPERLINK("https://otsuka-europe-crm.veevavault.com/ui/#object/sent_email__v/VBL000000001321", "SE-001378008")</f>
        <v>SE-001378008</v>
      </c>
      <c r="D21838" s="1" t="s">
        <v>0</v>
      </c>
      <c r="E21838" s="2">
        <v>0</v>
      </c>
      <c r="F21838" s="2">
        <v>0</v>
      </c>
      <c r="G21838" s="2">
        <v>0</v>
      </c>
      <c r="H21838" s="1" t="s">
        <v>0</v>
      </c>
      <c r="I21838" s="2">
        <v>0</v>
      </c>
      <c r="J21838" s="1">
        <v>45957.537905092591</v>
      </c>
    </row>
    <row r="21839" spans="1:10" x14ac:dyDescent="0.2">
      <c r="A21839" s="4" t="s">
        <v>1</v>
      </c>
      <c r="B218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39" s="3" t="str">
        <f>HYPERLINK("https://otsuka-europe-crm.veevavault.com/ui/#object/sent_email__v/VBL000000001322", "SE-001378009")</f>
        <v>SE-001378009</v>
      </c>
      <c r="D21839" s="1">
        <v>45957.940011574072</v>
      </c>
      <c r="E21839" s="2">
        <v>1</v>
      </c>
      <c r="F21839" s="2">
        <v>1</v>
      </c>
      <c r="G21839" s="2">
        <v>0</v>
      </c>
      <c r="H21839" s="1" t="s">
        <v>0</v>
      </c>
      <c r="I21839" s="2">
        <v>0</v>
      </c>
      <c r="J21839" s="1">
        <v>45957.537974537037</v>
      </c>
    </row>
    <row r="21840" spans="1:10" x14ac:dyDescent="0.2">
      <c r="A21840" s="4" t="s">
        <v>1</v>
      </c>
      <c r="B218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40" s="3" t="str">
        <f>HYPERLINK("https://otsuka-europe-crm.veevavault.com/ui/#object/sent_email__v/VBL000000001323", "SE-001378010")</f>
        <v>SE-001378010</v>
      </c>
      <c r="D21840" s="1">
        <v>45966.527280092596</v>
      </c>
      <c r="E21840" s="2">
        <v>1</v>
      </c>
      <c r="F21840" s="2">
        <v>2</v>
      </c>
      <c r="G21840" s="2">
        <v>0</v>
      </c>
      <c r="H21840" s="1" t="s">
        <v>0</v>
      </c>
      <c r="I21840" s="2">
        <v>0</v>
      </c>
      <c r="J21840" s="1">
        <v>45957.538043981483</v>
      </c>
    </row>
    <row r="21841" spans="1:10" x14ac:dyDescent="0.2">
      <c r="A21841" s="4" t="s">
        <v>1</v>
      </c>
      <c r="B218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41" s="3" t="str">
        <f>HYPERLINK("https://otsuka-europe-crm.veevavault.com/ui/#object/sent_email__v/VBL000000001324", "SE-001378011")</f>
        <v>SE-001378011</v>
      </c>
      <c r="D21841" s="1">
        <v>45957.539756944447</v>
      </c>
      <c r="E21841" s="2">
        <v>1</v>
      </c>
      <c r="F21841" s="2">
        <v>1</v>
      </c>
      <c r="G21841" s="2">
        <v>0</v>
      </c>
      <c r="H21841" s="1" t="s">
        <v>0</v>
      </c>
      <c r="I21841" s="2">
        <v>0</v>
      </c>
      <c r="J21841" s="1">
        <v>45957.538113425922</v>
      </c>
    </row>
    <row r="21842" spans="1:10" x14ac:dyDescent="0.2">
      <c r="A21842" s="4" t="s">
        <v>1</v>
      </c>
      <c r="B218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42" s="3" t="str">
        <f>HYPERLINK("https://otsuka-europe-crm.veevavault.com/ui/#object/sent_email__v/VBL000000001325", "SE-001378012")</f>
        <v>SE-001378012</v>
      </c>
      <c r="D21842" s="1">
        <v>45958.307928240742</v>
      </c>
      <c r="E21842" s="2">
        <v>1</v>
      </c>
      <c r="F21842" s="2">
        <v>2</v>
      </c>
      <c r="G21842" s="2">
        <v>0</v>
      </c>
      <c r="H21842" s="1" t="s">
        <v>0</v>
      </c>
      <c r="I21842" s="2">
        <v>0</v>
      </c>
      <c r="J21842" s="1">
        <v>45957.538182870368</v>
      </c>
    </row>
    <row r="21843" spans="1:10" x14ac:dyDescent="0.2">
      <c r="A21843" s="4" t="s">
        <v>1</v>
      </c>
      <c r="B218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43" s="3" t="str">
        <f>HYPERLINK("https://otsuka-europe-crm.veevavault.com/ui/#object/sent_email__v/VBL000000001326", "SE-001378013")</f>
        <v>SE-001378013</v>
      </c>
      <c r="D21843" s="1" t="s">
        <v>0</v>
      </c>
      <c r="E21843" s="2">
        <v>0</v>
      </c>
      <c r="F21843" s="2">
        <v>0</v>
      </c>
      <c r="G21843" s="2">
        <v>0</v>
      </c>
      <c r="H21843" s="1" t="s">
        <v>0</v>
      </c>
      <c r="I21843" s="2">
        <v>0</v>
      </c>
      <c r="J21843" s="1">
        <v>45957.538240740738</v>
      </c>
    </row>
    <row r="21844" spans="1:10" x14ac:dyDescent="0.2">
      <c r="A21844" s="4" t="s">
        <v>1</v>
      </c>
      <c r="B218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44" s="3" t="str">
        <f>HYPERLINK("https://otsuka-europe-crm.veevavault.com/ui/#object/sent_email__v/VBL000000001327", "SE-001378014")</f>
        <v>SE-001378014</v>
      </c>
      <c r="D21844" s="1" t="s">
        <v>0</v>
      </c>
      <c r="E21844" s="2">
        <v>0</v>
      </c>
      <c r="F21844" s="2">
        <v>0</v>
      </c>
      <c r="G21844" s="2">
        <v>0</v>
      </c>
      <c r="H21844" s="1" t="s">
        <v>0</v>
      </c>
      <c r="I21844" s="2">
        <v>0</v>
      </c>
      <c r="J21844" s="1">
        <v>45957.538287037038</v>
      </c>
    </row>
    <row r="21845" spans="1:10" x14ac:dyDescent="0.2">
      <c r="A21845" s="4" t="s">
        <v>1</v>
      </c>
      <c r="B218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45" s="3" t="str">
        <f>HYPERLINK("https://otsuka-europe-crm.veevavault.com/ui/#object/sent_email__v/VBL000000001328", "SE-001378015")</f>
        <v>SE-001378015</v>
      </c>
      <c r="D21845" s="1">
        <v>45957.605613425927</v>
      </c>
      <c r="E21845" s="2">
        <v>1</v>
      </c>
      <c r="F21845" s="2">
        <v>3</v>
      </c>
      <c r="G21845" s="2">
        <v>0</v>
      </c>
      <c r="H21845" s="1" t="s">
        <v>0</v>
      </c>
      <c r="I21845" s="2">
        <v>0</v>
      </c>
      <c r="J21845" s="1">
        <v>45957.538321759261</v>
      </c>
    </row>
    <row r="21846" spans="1:10" x14ac:dyDescent="0.2">
      <c r="A21846" s="4" t="s">
        <v>1</v>
      </c>
      <c r="B218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46" s="3" t="str">
        <f>HYPERLINK("https://otsuka-europe-crm.veevavault.com/ui/#object/sent_email__v/VBL000000001329", "SE-001378016")</f>
        <v>SE-001378016</v>
      </c>
      <c r="D21846" s="1" t="s">
        <v>0</v>
      </c>
      <c r="E21846" s="2">
        <v>0</v>
      </c>
      <c r="F21846" s="2">
        <v>0</v>
      </c>
      <c r="G21846" s="2">
        <v>0</v>
      </c>
      <c r="H21846" s="1" t="s">
        <v>0</v>
      </c>
      <c r="I21846" s="2">
        <v>0</v>
      </c>
      <c r="J21846" s="1">
        <v>45957.538368055553</v>
      </c>
    </row>
    <row r="21847" spans="1:10" x14ac:dyDescent="0.2">
      <c r="A21847" s="4" t="s">
        <v>1</v>
      </c>
      <c r="B218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47" s="3" t="str">
        <f>HYPERLINK("https://otsuka-europe-crm.veevavault.com/ui/#object/sent_email__v/VBL000000001330", "SE-001378017")</f>
        <v>SE-001378017</v>
      </c>
      <c r="D21847" s="1">
        <v>46038.451018518521</v>
      </c>
      <c r="E21847" s="2">
        <v>1</v>
      </c>
      <c r="F21847" s="2">
        <v>2</v>
      </c>
      <c r="G21847" s="2">
        <v>0</v>
      </c>
      <c r="H21847" s="1" t="s">
        <v>0</v>
      </c>
      <c r="I21847" s="2">
        <v>0</v>
      </c>
      <c r="J21847" s="1">
        <v>45957.538414351853</v>
      </c>
    </row>
    <row r="21848" spans="1:10" x14ac:dyDescent="0.2">
      <c r="A21848" s="4" t="s">
        <v>1</v>
      </c>
      <c r="B218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48" s="3" t="str">
        <f>HYPERLINK("https://otsuka-europe-crm.veevavault.com/ui/#object/sent_email__v/VBL000000001331", "SE-001378018")</f>
        <v>SE-001378018</v>
      </c>
      <c r="D21848" s="1">
        <v>45958.571944444448</v>
      </c>
      <c r="E21848" s="2">
        <v>1</v>
      </c>
      <c r="F21848" s="2">
        <v>1</v>
      </c>
      <c r="G21848" s="2">
        <v>0</v>
      </c>
      <c r="H21848" s="1" t="s">
        <v>0</v>
      </c>
      <c r="I21848" s="2">
        <v>0</v>
      </c>
      <c r="J21848" s="1">
        <v>45957.538460648146</v>
      </c>
    </row>
    <row r="21849" spans="1:10" x14ac:dyDescent="0.2">
      <c r="A21849" s="4" t="s">
        <v>1</v>
      </c>
      <c r="B218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49" s="3" t="str">
        <f>HYPERLINK("https://otsuka-europe-crm.veevavault.com/ui/#object/sent_email__v/VBL000000001332", "SE-001378019")</f>
        <v>SE-001378019</v>
      </c>
      <c r="D21849" s="1">
        <v>45971.555949074071</v>
      </c>
      <c r="E21849" s="2">
        <v>1</v>
      </c>
      <c r="F21849" s="2">
        <v>1</v>
      </c>
      <c r="G21849" s="2">
        <v>0</v>
      </c>
      <c r="H21849" s="1" t="s">
        <v>0</v>
      </c>
      <c r="I21849" s="2">
        <v>0</v>
      </c>
      <c r="J21849" s="1">
        <v>45957.538495370369</v>
      </c>
    </row>
    <row r="21850" spans="1:10" x14ac:dyDescent="0.2">
      <c r="A21850" s="4" t="s">
        <v>1</v>
      </c>
      <c r="B218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50" s="3" t="str">
        <f>HYPERLINK("https://otsuka-europe-crm.veevavault.com/ui/#object/sent_email__v/VBL000000001333", "SE-001378020")</f>
        <v>SE-001378020</v>
      </c>
      <c r="D21850" s="1">
        <v>45957.543391203704</v>
      </c>
      <c r="E21850" s="2">
        <v>1</v>
      </c>
      <c r="F21850" s="2">
        <v>1</v>
      </c>
      <c r="G21850" s="2">
        <v>0</v>
      </c>
      <c r="H21850" s="1" t="s">
        <v>0</v>
      </c>
      <c r="I21850" s="2">
        <v>0</v>
      </c>
      <c r="J21850" s="1">
        <v>45957.538541666669</v>
      </c>
    </row>
    <row r="21851" spans="1:10" x14ac:dyDescent="0.2">
      <c r="A21851" s="4" t="s">
        <v>1</v>
      </c>
      <c r="B218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51" s="3" t="str">
        <f>HYPERLINK("https://otsuka-europe-crm.veevavault.com/ui/#object/sent_email__v/VBL000000001334", "SE-001378021")</f>
        <v>SE-001378021</v>
      </c>
      <c r="D21851" s="1">
        <v>45958.104525462964</v>
      </c>
      <c r="E21851" s="2">
        <v>1</v>
      </c>
      <c r="F21851" s="2">
        <v>1</v>
      </c>
      <c r="G21851" s="2">
        <v>0</v>
      </c>
      <c r="H21851" s="1" t="s">
        <v>0</v>
      </c>
      <c r="I21851" s="2">
        <v>0</v>
      </c>
      <c r="J21851" s="1">
        <v>45957.538599537038</v>
      </c>
    </row>
    <row r="21852" spans="1:10" x14ac:dyDescent="0.2">
      <c r="A21852" s="4" t="s">
        <v>1</v>
      </c>
      <c r="B218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52" s="3" t="str">
        <f>HYPERLINK("https://otsuka-europe-crm.veevavault.com/ui/#object/sent_email__v/VBL000000001335", "SE-001378022")</f>
        <v>SE-001378022</v>
      </c>
      <c r="D21852" s="1" t="s">
        <v>0</v>
      </c>
      <c r="E21852" s="2">
        <v>0</v>
      </c>
      <c r="F21852" s="2">
        <v>0</v>
      </c>
      <c r="G21852" s="2">
        <v>0</v>
      </c>
      <c r="H21852" s="1" t="s">
        <v>0</v>
      </c>
      <c r="I21852" s="2">
        <v>0</v>
      </c>
      <c r="J21852" s="1">
        <v>45957.538634259261</v>
      </c>
    </row>
    <row r="21853" spans="1:10" x14ac:dyDescent="0.2">
      <c r="A21853" s="4" t="s">
        <v>1</v>
      </c>
      <c r="B218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53" s="3" t="str">
        <f>HYPERLINK("https://otsuka-europe-crm.veevavault.com/ui/#object/sent_email__v/VBL000000001336", "SE-001378023")</f>
        <v>SE-001378023</v>
      </c>
      <c r="D21853" s="1">
        <v>45958.217152777775</v>
      </c>
      <c r="E21853" s="2">
        <v>1</v>
      </c>
      <c r="F21853" s="2">
        <v>2</v>
      </c>
      <c r="G21853" s="2">
        <v>0</v>
      </c>
      <c r="H21853" s="1" t="s">
        <v>0</v>
      </c>
      <c r="I21853" s="2">
        <v>0</v>
      </c>
      <c r="J21853" s="1">
        <v>45957.538715277777</v>
      </c>
    </row>
    <row r="21854" spans="1:10" x14ac:dyDescent="0.2">
      <c r="A21854" s="4" t="s">
        <v>1</v>
      </c>
      <c r="B218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54" s="3" t="str">
        <f>HYPERLINK("https://otsuka-europe-crm.veevavault.com/ui/#object/sent_email__v/VBL000000001337", "SE-001378024")</f>
        <v>SE-001378024</v>
      </c>
      <c r="D21854" s="1">
        <v>45960.930925925924</v>
      </c>
      <c r="E21854" s="2">
        <v>1</v>
      </c>
      <c r="F21854" s="2">
        <v>3</v>
      </c>
      <c r="G21854" s="2">
        <v>0</v>
      </c>
      <c r="H21854" s="1" t="s">
        <v>0</v>
      </c>
      <c r="I21854" s="2">
        <v>0</v>
      </c>
      <c r="J21854" s="1">
        <v>45957.538773148146</v>
      </c>
    </row>
    <row r="21855" spans="1:10" x14ac:dyDescent="0.2">
      <c r="A21855" s="4" t="s">
        <v>1</v>
      </c>
      <c r="B218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55" s="3" t="str">
        <f>HYPERLINK("https://otsuka-europe-crm.veevavault.com/ui/#object/sent_email__v/VBL000000001338", "SE-001378025")</f>
        <v>SE-001378025</v>
      </c>
      <c r="D21855" s="1" t="s">
        <v>0</v>
      </c>
      <c r="E21855" s="2">
        <v>0</v>
      </c>
      <c r="F21855" s="2">
        <v>0</v>
      </c>
      <c r="G21855" s="2">
        <v>0</v>
      </c>
      <c r="H21855" s="1" t="s">
        <v>0</v>
      </c>
      <c r="I21855" s="2">
        <v>0</v>
      </c>
      <c r="J21855" s="1">
        <v>45957.538842592592</v>
      </c>
    </row>
    <row r="21856" spans="1:10" x14ac:dyDescent="0.2">
      <c r="A21856" s="4" t="s">
        <v>1</v>
      </c>
      <c r="B218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56" s="3" t="str">
        <f>HYPERLINK("https://otsuka-europe-crm.veevavault.com/ui/#object/sent_email__v/VBL000000001339", "SE-001378026")</f>
        <v>SE-001378026</v>
      </c>
      <c r="D21856" s="1">
        <v>45957.782013888886</v>
      </c>
      <c r="E21856" s="2">
        <v>1</v>
      </c>
      <c r="F21856" s="2">
        <v>2</v>
      </c>
      <c r="G21856" s="2">
        <v>0</v>
      </c>
      <c r="H21856" s="1" t="s">
        <v>0</v>
      </c>
      <c r="I21856" s="2">
        <v>0</v>
      </c>
      <c r="J21856" s="1">
        <v>45957.538923611108</v>
      </c>
    </row>
    <row r="21857" spans="1:10" x14ac:dyDescent="0.2">
      <c r="A21857" s="4" t="s">
        <v>1</v>
      </c>
      <c r="B218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57" s="3" t="str">
        <f>HYPERLINK("https://otsuka-europe-crm.veevavault.com/ui/#object/sent_email__v/VBL000000001340", "SE-001378027")</f>
        <v>SE-001378027</v>
      </c>
      <c r="D21857" s="1">
        <v>45957.639305555553</v>
      </c>
      <c r="E21857" s="2">
        <v>1</v>
      </c>
      <c r="F21857" s="2">
        <v>1</v>
      </c>
      <c r="G21857" s="2">
        <v>0</v>
      </c>
      <c r="H21857" s="1" t="s">
        <v>0</v>
      </c>
      <c r="I21857" s="2">
        <v>0</v>
      </c>
      <c r="J21857" s="1">
        <v>45957.538993055554</v>
      </c>
    </row>
    <row r="21858" spans="1:10" x14ac:dyDescent="0.2">
      <c r="A21858" s="4" t="s">
        <v>1</v>
      </c>
      <c r="B218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58" s="3" t="str">
        <f>HYPERLINK("https://otsuka-europe-crm.veevavault.com/ui/#object/sent_email__v/VBL000000001341", "SE-001378028")</f>
        <v>SE-001378028</v>
      </c>
      <c r="D21858" s="1">
        <v>45960.698796296296</v>
      </c>
      <c r="E21858" s="2">
        <v>1</v>
      </c>
      <c r="F21858" s="2">
        <v>2</v>
      </c>
      <c r="G21858" s="2">
        <v>1</v>
      </c>
      <c r="H21858" s="1">
        <v>45960.531990740739</v>
      </c>
      <c r="I21858" s="2">
        <v>1</v>
      </c>
      <c r="J21858" s="1">
        <v>45957.539050925923</v>
      </c>
    </row>
    <row r="21859" spans="1:10" x14ac:dyDescent="0.2">
      <c r="A21859" s="4" t="s">
        <v>1</v>
      </c>
      <c r="B218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59" s="3" t="str">
        <f>HYPERLINK("https://otsuka-europe-crm.veevavault.com/ui/#object/sent_email__v/VBL000000001342", "SE-001378029")</f>
        <v>SE-001378029</v>
      </c>
      <c r="D21859" s="1" t="s">
        <v>0</v>
      </c>
      <c r="E21859" s="2">
        <v>0</v>
      </c>
      <c r="F21859" s="2">
        <v>0</v>
      </c>
      <c r="G21859" s="2">
        <v>0</v>
      </c>
      <c r="H21859" s="1" t="s">
        <v>0</v>
      </c>
      <c r="I21859" s="2">
        <v>0</v>
      </c>
      <c r="J21859" s="1">
        <v>45957.539131944446</v>
      </c>
    </row>
    <row r="21860" spans="1:10" x14ac:dyDescent="0.2">
      <c r="A21860" s="4" t="s">
        <v>1</v>
      </c>
      <c r="B218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60" s="3" t="str">
        <f>HYPERLINK("https://otsuka-europe-crm.veevavault.com/ui/#object/sent_email__v/VBL000000001343", "SE-001378030")</f>
        <v>SE-001378030</v>
      </c>
      <c r="D21860" s="1">
        <v>45958.7734375</v>
      </c>
      <c r="E21860" s="2">
        <v>1</v>
      </c>
      <c r="F21860" s="2">
        <v>6</v>
      </c>
      <c r="G21860" s="2">
        <v>1</v>
      </c>
      <c r="H21860" s="1">
        <v>45958.773935185185</v>
      </c>
      <c r="I21860" s="2">
        <v>1</v>
      </c>
      <c r="J21860" s="1">
        <v>45957.539201388892</v>
      </c>
    </row>
    <row r="21861" spans="1:10" x14ac:dyDescent="0.2">
      <c r="A21861" s="4" t="s">
        <v>1</v>
      </c>
      <c r="B218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61" s="3" t="str">
        <f>HYPERLINK("https://otsuka-europe-crm.veevavault.com/ui/#object/sent_email__v/VBL000000001344", "SE-001378031")</f>
        <v>SE-001378031</v>
      </c>
      <c r="D21861" s="1">
        <v>45957.597662037035</v>
      </c>
      <c r="E21861" s="2">
        <v>1</v>
      </c>
      <c r="F21861" s="2">
        <v>1</v>
      </c>
      <c r="G21861" s="2">
        <v>0</v>
      </c>
      <c r="H21861" s="1" t="s">
        <v>0</v>
      </c>
      <c r="I21861" s="2">
        <v>0</v>
      </c>
      <c r="J21861" s="1">
        <v>45957.539270833331</v>
      </c>
    </row>
    <row r="21862" spans="1:10" x14ac:dyDescent="0.2">
      <c r="A21862" s="4" t="s">
        <v>1</v>
      </c>
      <c r="B218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62" s="3" t="str">
        <f>HYPERLINK("https://otsuka-europe-crm.veevavault.com/ui/#object/sent_email__v/VBL000000001345", "SE-001378032")</f>
        <v>SE-001378032</v>
      </c>
      <c r="D21862" s="1" t="s">
        <v>0</v>
      </c>
      <c r="E21862" s="2">
        <v>0</v>
      </c>
      <c r="F21862" s="2">
        <v>0</v>
      </c>
      <c r="G21862" s="2">
        <v>0</v>
      </c>
      <c r="H21862" s="1" t="s">
        <v>0</v>
      </c>
      <c r="I21862" s="2">
        <v>0</v>
      </c>
      <c r="J21862" s="1">
        <v>45957.539340277777</v>
      </c>
    </row>
    <row r="21863" spans="1:10" x14ac:dyDescent="0.2">
      <c r="A21863" s="4" t="s">
        <v>1</v>
      </c>
      <c r="B218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63" s="3" t="str">
        <f>HYPERLINK("https://otsuka-europe-crm.veevavault.com/ui/#object/sent_email__v/VBL000000001346", "SE-001378033")</f>
        <v>SE-001378033</v>
      </c>
      <c r="D21863" s="1" t="s">
        <v>0</v>
      </c>
      <c r="E21863" s="2">
        <v>0</v>
      </c>
      <c r="F21863" s="2">
        <v>0</v>
      </c>
      <c r="G21863" s="2">
        <v>0</v>
      </c>
      <c r="H21863" s="1" t="s">
        <v>0</v>
      </c>
      <c r="I21863" s="2">
        <v>0</v>
      </c>
      <c r="J21863" s="1">
        <v>45957.539444444446</v>
      </c>
    </row>
    <row r="21864" spans="1:10" x14ac:dyDescent="0.2">
      <c r="A21864" s="4" t="s">
        <v>1</v>
      </c>
      <c r="B218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64" s="3" t="str">
        <f>HYPERLINK("https://otsuka-europe-crm.veevavault.com/ui/#object/sent_email__v/VBL000000001347", "SE-001378034")</f>
        <v>SE-001378034</v>
      </c>
      <c r="D21864" s="1" t="s">
        <v>0</v>
      </c>
      <c r="E21864" s="2">
        <v>0</v>
      </c>
      <c r="F21864" s="2">
        <v>0</v>
      </c>
      <c r="G21864" s="2">
        <v>0</v>
      </c>
      <c r="H21864" s="1" t="s">
        <v>0</v>
      </c>
      <c r="I21864" s="2">
        <v>0</v>
      </c>
      <c r="J21864" s="1">
        <v>45957.539490740739</v>
      </c>
    </row>
    <row r="21865" spans="1:10" x14ac:dyDescent="0.2">
      <c r="A21865" s="4" t="s">
        <v>1</v>
      </c>
      <c r="B218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65" s="3" t="str">
        <f>HYPERLINK("https://otsuka-europe-crm.veevavault.com/ui/#object/sent_email__v/VBL000000001348", "SE-001378035")</f>
        <v>SE-001378035</v>
      </c>
      <c r="D21865" s="1" t="s">
        <v>0</v>
      </c>
      <c r="E21865" s="2">
        <v>0</v>
      </c>
      <c r="F21865" s="2">
        <v>0</v>
      </c>
      <c r="G21865" s="2">
        <v>0</v>
      </c>
      <c r="H21865" s="1" t="s">
        <v>0</v>
      </c>
      <c r="I21865" s="2">
        <v>0</v>
      </c>
      <c r="J21865" s="1">
        <v>45957.539583333331</v>
      </c>
    </row>
    <row r="21866" spans="1:10" x14ac:dyDescent="0.2">
      <c r="A21866" s="4" t="s">
        <v>1</v>
      </c>
      <c r="B218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66" s="3" t="str">
        <f>HYPERLINK("https://otsuka-europe-crm.veevavault.com/ui/#object/sent_email__v/VBL000000001349", "SE-001378036")</f>
        <v>SE-001378036</v>
      </c>
      <c r="D21866" s="1" t="s">
        <v>0</v>
      </c>
      <c r="E21866" s="2">
        <v>0</v>
      </c>
      <c r="F21866" s="2">
        <v>0</v>
      </c>
      <c r="G21866" s="2">
        <v>0</v>
      </c>
      <c r="H21866" s="1" t="s">
        <v>0</v>
      </c>
      <c r="I21866" s="2">
        <v>0</v>
      </c>
      <c r="J21866" s="1">
        <v>45957.539652777778</v>
      </c>
    </row>
    <row r="21867" spans="1:10" x14ac:dyDescent="0.2">
      <c r="A21867" s="4" t="s">
        <v>1</v>
      </c>
      <c r="B218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67" s="3" t="str">
        <f>HYPERLINK("https://otsuka-europe-crm.veevavault.com/ui/#object/sent_email__v/VBL000000001350", "SE-001378037")</f>
        <v>SE-001378037</v>
      </c>
      <c r="D21867" s="1" t="s">
        <v>0</v>
      </c>
      <c r="E21867" s="2">
        <v>0</v>
      </c>
      <c r="F21867" s="2">
        <v>0</v>
      </c>
      <c r="G21867" s="2">
        <v>0</v>
      </c>
      <c r="H21867" s="1" t="s">
        <v>0</v>
      </c>
      <c r="I21867" s="2">
        <v>0</v>
      </c>
      <c r="J21867" s="1">
        <v>45957.539710648147</v>
      </c>
    </row>
    <row r="21868" spans="1:10" x14ac:dyDescent="0.2">
      <c r="A21868" s="4" t="s">
        <v>1</v>
      </c>
      <c r="B218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68" s="3" t="str">
        <f>HYPERLINK("https://otsuka-europe-crm.veevavault.com/ui/#object/sent_email__v/VBL000000001351", "SE-001378038")</f>
        <v>SE-001378038</v>
      </c>
      <c r="D21868" s="1">
        <v>45957.566666666666</v>
      </c>
      <c r="E21868" s="2">
        <v>1</v>
      </c>
      <c r="F21868" s="2">
        <v>1</v>
      </c>
      <c r="G21868" s="2">
        <v>0</v>
      </c>
      <c r="H21868" s="1" t="s">
        <v>0</v>
      </c>
      <c r="I21868" s="2">
        <v>0</v>
      </c>
      <c r="J21868" s="1">
        <v>45957.539780092593</v>
      </c>
    </row>
    <row r="21869" spans="1:10" x14ac:dyDescent="0.2">
      <c r="A21869" s="4" t="s">
        <v>1</v>
      </c>
      <c r="B218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69" s="3" t="str">
        <f>HYPERLINK("https://otsuka-europe-crm.veevavault.com/ui/#object/sent_email__v/VBL000000001352", "SE-001378039")</f>
        <v>SE-001378039</v>
      </c>
      <c r="D21869" s="1">
        <v>45957.546168981484</v>
      </c>
      <c r="E21869" s="2">
        <v>1</v>
      </c>
      <c r="F21869" s="2">
        <v>1</v>
      </c>
      <c r="G21869" s="2">
        <v>0</v>
      </c>
      <c r="H21869" s="1" t="s">
        <v>0</v>
      </c>
      <c r="I21869" s="2">
        <v>0</v>
      </c>
      <c r="J21869" s="1">
        <v>45957.539849537039</v>
      </c>
    </row>
    <row r="21870" spans="1:10" x14ac:dyDescent="0.2">
      <c r="A21870" s="4" t="s">
        <v>1</v>
      </c>
      <c r="B218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70" s="3" t="str">
        <f>HYPERLINK("https://otsuka-europe-crm.veevavault.com/ui/#object/sent_email__v/VBL000000001353", "SE-001378040")</f>
        <v>SE-001378040</v>
      </c>
      <c r="D21870" s="1">
        <v>45957.689768518518</v>
      </c>
      <c r="E21870" s="2">
        <v>1</v>
      </c>
      <c r="F21870" s="2">
        <v>1</v>
      </c>
      <c r="G21870" s="2">
        <v>0</v>
      </c>
      <c r="H21870" s="1" t="s">
        <v>0</v>
      </c>
      <c r="I21870" s="2">
        <v>0</v>
      </c>
      <c r="J21870" s="1">
        <v>45957.540023148147</v>
      </c>
    </row>
    <row r="21871" spans="1:10" x14ac:dyDescent="0.2">
      <c r="A21871" s="4" t="s">
        <v>1</v>
      </c>
      <c r="B218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71" s="3" t="str">
        <f>HYPERLINK("https://otsuka-europe-crm.veevavault.com/ui/#object/sent_email__v/VBL000000001354", "SE-001378041")</f>
        <v>SE-001378041</v>
      </c>
      <c r="D21871" s="1">
        <v>45957.545324074075</v>
      </c>
      <c r="E21871" s="2">
        <v>1</v>
      </c>
      <c r="F21871" s="2">
        <v>1</v>
      </c>
      <c r="G21871" s="2">
        <v>0</v>
      </c>
      <c r="H21871" s="1" t="s">
        <v>0</v>
      </c>
      <c r="I21871" s="2">
        <v>0</v>
      </c>
      <c r="J21871" s="1">
        <v>45957.539988425924</v>
      </c>
    </row>
    <row r="21872" spans="1:10" x14ac:dyDescent="0.2">
      <c r="A21872" s="4" t="s">
        <v>1</v>
      </c>
      <c r="B218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72" s="3" t="str">
        <f>HYPERLINK("https://otsuka-europe-crm.veevavault.com/ui/#object/sent_email__v/VBL000000001355", "SE-001378042")</f>
        <v>SE-001378042</v>
      </c>
      <c r="D21872" s="1" t="s">
        <v>0</v>
      </c>
      <c r="E21872" s="2">
        <v>0</v>
      </c>
      <c r="F21872" s="2">
        <v>0</v>
      </c>
      <c r="G21872" s="2">
        <v>0</v>
      </c>
      <c r="H21872" s="1" t="s">
        <v>0</v>
      </c>
      <c r="I21872" s="2">
        <v>0</v>
      </c>
      <c r="J21872" s="1">
        <v>45957.54005787037</v>
      </c>
    </row>
    <row r="21873" spans="1:10" x14ac:dyDescent="0.2">
      <c r="A21873" s="4" t="s">
        <v>1</v>
      </c>
      <c r="B218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73" s="3" t="str">
        <f>HYPERLINK("https://otsuka-europe-crm.veevavault.com/ui/#object/sent_email__v/VBL000000001356", "SE-001378043")</f>
        <v>SE-001378043</v>
      </c>
      <c r="D21873" s="1">
        <v>45957.811585648145</v>
      </c>
      <c r="E21873" s="2">
        <v>1</v>
      </c>
      <c r="F21873" s="2">
        <v>1</v>
      </c>
      <c r="G21873" s="2">
        <v>0</v>
      </c>
      <c r="H21873" s="1" t="s">
        <v>0</v>
      </c>
      <c r="I21873" s="2">
        <v>0</v>
      </c>
      <c r="J21873" s="1">
        <v>45957.540127314816</v>
      </c>
    </row>
    <row r="21874" spans="1:10" x14ac:dyDescent="0.2">
      <c r="A21874" s="4" t="s">
        <v>1</v>
      </c>
      <c r="B218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74" s="3" t="str">
        <f>HYPERLINK("https://otsuka-europe-crm.veevavault.com/ui/#object/sent_email__v/VBL000000001357", "SE-001378044")</f>
        <v>SE-001378044</v>
      </c>
      <c r="D21874" s="1" t="s">
        <v>0</v>
      </c>
      <c r="E21874" s="2">
        <v>0</v>
      </c>
      <c r="F21874" s="2">
        <v>0</v>
      </c>
      <c r="G21874" s="2">
        <v>0</v>
      </c>
      <c r="H21874" s="1" t="s">
        <v>0</v>
      </c>
      <c r="I21874" s="2">
        <v>0</v>
      </c>
      <c r="J21874" s="1">
        <v>45957.540196759262</v>
      </c>
    </row>
    <row r="21875" spans="1:10" x14ac:dyDescent="0.2">
      <c r="A21875" s="4" t="s">
        <v>1</v>
      </c>
      <c r="B218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75" s="3" t="str">
        <f>HYPERLINK("https://otsuka-europe-crm.veevavault.com/ui/#object/sent_email__v/VBL000000001358", "SE-001378045")</f>
        <v>SE-001378045</v>
      </c>
      <c r="D21875" s="1" t="s">
        <v>0</v>
      </c>
      <c r="E21875" s="2">
        <v>0</v>
      </c>
      <c r="F21875" s="2">
        <v>0</v>
      </c>
      <c r="G21875" s="2">
        <v>0</v>
      </c>
      <c r="H21875" s="1" t="s">
        <v>0</v>
      </c>
      <c r="I21875" s="2">
        <v>0</v>
      </c>
      <c r="J21875" s="1">
        <v>45957.540266203701</v>
      </c>
    </row>
    <row r="21876" spans="1:10" x14ac:dyDescent="0.2">
      <c r="A21876" s="4" t="s">
        <v>1</v>
      </c>
      <c r="B218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76" s="3" t="str">
        <f>HYPERLINK("https://otsuka-europe-crm.veevavault.com/ui/#object/sent_email__v/VBL000000001359", "SE-001378046")</f>
        <v>SE-001378046</v>
      </c>
      <c r="D21876" s="1" t="s">
        <v>0</v>
      </c>
      <c r="E21876" s="2">
        <v>0</v>
      </c>
      <c r="F21876" s="2">
        <v>0</v>
      </c>
      <c r="G21876" s="2">
        <v>0</v>
      </c>
      <c r="H21876" s="1" t="s">
        <v>0</v>
      </c>
      <c r="I21876" s="2">
        <v>0</v>
      </c>
      <c r="J21876" s="1">
        <v>45957.540324074071</v>
      </c>
    </row>
    <row r="21877" spans="1:10" x14ac:dyDescent="0.2">
      <c r="A21877" s="4" t="s">
        <v>1</v>
      </c>
      <c r="B218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77" s="3" t="str">
        <f>HYPERLINK("https://otsuka-europe-crm.veevavault.com/ui/#object/sent_email__v/VBL000000001360", "SE-001378047")</f>
        <v>SE-001378047</v>
      </c>
      <c r="D21877" s="1">
        <v>45957.732361111113</v>
      </c>
      <c r="E21877" s="2">
        <v>1</v>
      </c>
      <c r="F21877" s="2">
        <v>2</v>
      </c>
      <c r="G21877" s="2">
        <v>0</v>
      </c>
      <c r="H21877" s="1" t="s">
        <v>0</v>
      </c>
      <c r="I21877" s="2">
        <v>0</v>
      </c>
      <c r="J21877" s="1">
        <v>45957.540405092594</v>
      </c>
    </row>
    <row r="21878" spans="1:10" x14ac:dyDescent="0.2">
      <c r="A21878" s="4" t="s">
        <v>1</v>
      </c>
      <c r="B218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78" s="3" t="str">
        <f>HYPERLINK("https://otsuka-europe-crm.veevavault.com/ui/#object/sent_email__v/VBL000000001361", "SE-001378048")</f>
        <v>SE-001378048</v>
      </c>
      <c r="D21878" s="1">
        <v>45958.347500000003</v>
      </c>
      <c r="E21878" s="2">
        <v>1</v>
      </c>
      <c r="F21878" s="2">
        <v>1</v>
      </c>
      <c r="G21878" s="2">
        <v>0</v>
      </c>
      <c r="H21878" s="1" t="s">
        <v>0</v>
      </c>
      <c r="I21878" s="2">
        <v>0</v>
      </c>
      <c r="J21878" s="1">
        <v>45957.54047453704</v>
      </c>
    </row>
    <row r="21879" spans="1:10" x14ac:dyDescent="0.2">
      <c r="A21879" s="4" t="s">
        <v>1</v>
      </c>
      <c r="B218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79" s="3" t="str">
        <f>HYPERLINK("https://otsuka-europe-crm.veevavault.com/ui/#object/sent_email__v/VBL000000001362", "SE-001378049")</f>
        <v>SE-001378049</v>
      </c>
      <c r="D21879" s="1">
        <v>45957.541643518518</v>
      </c>
      <c r="E21879" s="2">
        <v>1</v>
      </c>
      <c r="F21879" s="2">
        <v>1</v>
      </c>
      <c r="G21879" s="2">
        <v>1</v>
      </c>
      <c r="H21879" s="1">
        <v>45957.557638888888</v>
      </c>
      <c r="I21879" s="2">
        <v>3</v>
      </c>
      <c r="J21879" s="1">
        <v>45957.540543981479</v>
      </c>
    </row>
    <row r="21880" spans="1:10" x14ac:dyDescent="0.2">
      <c r="A21880" s="4" t="s">
        <v>1</v>
      </c>
      <c r="B218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80" s="3" t="str">
        <f>HYPERLINK("https://otsuka-europe-crm.veevavault.com/ui/#object/sent_email__v/VBL000000001363", "SE-001378050")</f>
        <v>SE-001378050</v>
      </c>
      <c r="D21880" s="1">
        <v>45959.191122685188</v>
      </c>
      <c r="E21880" s="2">
        <v>1</v>
      </c>
      <c r="F21880" s="2">
        <v>2</v>
      </c>
      <c r="G21880" s="2">
        <v>0</v>
      </c>
      <c r="H21880" s="1" t="s">
        <v>0</v>
      </c>
      <c r="I21880" s="2">
        <v>0</v>
      </c>
      <c r="J21880" s="1">
        <v>45957.540613425925</v>
      </c>
    </row>
    <row r="21881" spans="1:10" x14ac:dyDescent="0.2">
      <c r="A21881" s="4" t="s">
        <v>1</v>
      </c>
      <c r="B218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81" s="3" t="str">
        <f>HYPERLINK("https://otsuka-europe-crm.veevavault.com/ui/#object/sent_email__v/VBL000000001364", "SE-001378051")</f>
        <v>SE-001378051</v>
      </c>
      <c r="D21881" s="1" t="s">
        <v>0</v>
      </c>
      <c r="E21881" s="2">
        <v>0</v>
      </c>
      <c r="F21881" s="2">
        <v>0</v>
      </c>
      <c r="G21881" s="2">
        <v>0</v>
      </c>
      <c r="H21881" s="1" t="s">
        <v>0</v>
      </c>
      <c r="I21881" s="2">
        <v>0</v>
      </c>
      <c r="J21881" s="1">
        <v>45957.540671296294</v>
      </c>
    </row>
    <row r="21882" spans="1:10" x14ac:dyDescent="0.2">
      <c r="A21882" s="4" t="s">
        <v>1</v>
      </c>
      <c r="B218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82" s="3" t="str">
        <f>HYPERLINK("https://otsuka-europe-crm.veevavault.com/ui/#object/sent_email__v/VBL000000001365", "SE-001378052")</f>
        <v>SE-001378052</v>
      </c>
      <c r="D21882" s="1">
        <v>45958.63453703704</v>
      </c>
      <c r="E21882" s="2">
        <v>1</v>
      </c>
      <c r="F21882" s="2">
        <v>1</v>
      </c>
      <c r="G21882" s="2">
        <v>0</v>
      </c>
      <c r="H21882" s="1" t="s">
        <v>0</v>
      </c>
      <c r="I21882" s="2">
        <v>0</v>
      </c>
      <c r="J21882" s="1">
        <v>45957.54074074074</v>
      </c>
    </row>
    <row r="21883" spans="1:10" x14ac:dyDescent="0.2">
      <c r="A21883" s="4" t="s">
        <v>1</v>
      </c>
      <c r="B218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83" s="3" t="str">
        <f>HYPERLINK("https://otsuka-europe-crm.veevavault.com/ui/#object/sent_email__v/VBL000000001366", "SE-001378053")</f>
        <v>SE-001378053</v>
      </c>
      <c r="D21883" s="1" t="s">
        <v>0</v>
      </c>
      <c r="E21883" s="2">
        <v>0</v>
      </c>
      <c r="F21883" s="2">
        <v>0</v>
      </c>
      <c r="G21883" s="2">
        <v>0</v>
      </c>
      <c r="H21883" s="1" t="s">
        <v>0</v>
      </c>
      <c r="I21883" s="2">
        <v>0</v>
      </c>
      <c r="J21883" s="1">
        <v>45957.540810185186</v>
      </c>
    </row>
    <row r="21884" spans="1:10" x14ac:dyDescent="0.2">
      <c r="A21884" s="4" t="s">
        <v>1</v>
      </c>
      <c r="B218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84" s="3" t="str">
        <f>HYPERLINK("https://otsuka-europe-crm.veevavault.com/ui/#object/sent_email__v/VBL000000001367", "SE-001378054")</f>
        <v>SE-001378054</v>
      </c>
      <c r="D21884" s="1">
        <v>45957.708124999997</v>
      </c>
      <c r="E21884" s="2">
        <v>1</v>
      </c>
      <c r="F21884" s="2">
        <v>1</v>
      </c>
      <c r="G21884" s="2">
        <v>0</v>
      </c>
      <c r="H21884" s="1" t="s">
        <v>0</v>
      </c>
      <c r="I21884" s="2">
        <v>0</v>
      </c>
      <c r="J21884" s="1">
        <v>45957.540879629632</v>
      </c>
    </row>
    <row r="21885" spans="1:10" x14ac:dyDescent="0.2">
      <c r="A21885" s="4" t="s">
        <v>1</v>
      </c>
      <c r="B218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85" s="3" t="str">
        <f>HYPERLINK("https://otsuka-europe-crm.veevavault.com/ui/#object/sent_email__v/VBL000000001368", "SE-001378055")</f>
        <v>SE-001378055</v>
      </c>
      <c r="D21885" s="1" t="s">
        <v>0</v>
      </c>
      <c r="E21885" s="2">
        <v>0</v>
      </c>
      <c r="F21885" s="2">
        <v>0</v>
      </c>
      <c r="G21885" s="2">
        <v>0</v>
      </c>
      <c r="H21885" s="1" t="s">
        <v>0</v>
      </c>
      <c r="I21885" s="2">
        <v>0</v>
      </c>
      <c r="J21885" s="1">
        <v>45957.540949074071</v>
      </c>
    </row>
    <row r="21886" spans="1:10" x14ac:dyDescent="0.2">
      <c r="A21886" s="4" t="s">
        <v>1</v>
      </c>
      <c r="B218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86" s="3" t="str">
        <f>HYPERLINK("https://otsuka-europe-crm.veevavault.com/ui/#object/sent_email__v/VBL000000001369", "SE-001378056")</f>
        <v>SE-001378056</v>
      </c>
      <c r="D21886" s="1">
        <v>45957.667337962965</v>
      </c>
      <c r="E21886" s="2">
        <v>1</v>
      </c>
      <c r="F21886" s="2">
        <v>1</v>
      </c>
      <c r="G21886" s="2">
        <v>0</v>
      </c>
      <c r="H21886" s="1" t="s">
        <v>0</v>
      </c>
      <c r="I21886" s="2">
        <v>0</v>
      </c>
      <c r="J21886" s="1">
        <v>45957.541018518517</v>
      </c>
    </row>
    <row r="21887" spans="1:10" x14ac:dyDescent="0.2">
      <c r="A21887" s="4" t="s">
        <v>1</v>
      </c>
      <c r="B218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87" s="3" t="str">
        <f>HYPERLINK("https://otsuka-europe-crm.veevavault.com/ui/#object/sent_email__v/VBL000000001370", "SE-001378057")</f>
        <v>SE-001378057</v>
      </c>
      <c r="D21887" s="1">
        <v>45957.554259259261</v>
      </c>
      <c r="E21887" s="2">
        <v>1</v>
      </c>
      <c r="F21887" s="2">
        <v>1</v>
      </c>
      <c r="G21887" s="2">
        <v>0</v>
      </c>
      <c r="H21887" s="1" t="s">
        <v>0</v>
      </c>
      <c r="I21887" s="2">
        <v>0</v>
      </c>
      <c r="J21887" s="1">
        <v>45957.541087962964</v>
      </c>
    </row>
    <row r="21888" spans="1:10" x14ac:dyDescent="0.2">
      <c r="A21888" s="4" t="s">
        <v>1</v>
      </c>
      <c r="B218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88" s="3" t="str">
        <f>HYPERLINK("https://otsuka-europe-crm.veevavault.com/ui/#object/sent_email__v/VBL000000001371", "SE-001378058")</f>
        <v>SE-001378058</v>
      </c>
      <c r="D21888" s="1">
        <v>45958.001006944447</v>
      </c>
      <c r="E21888" s="2">
        <v>1</v>
      </c>
      <c r="F21888" s="2">
        <v>1</v>
      </c>
      <c r="G21888" s="2">
        <v>0</v>
      </c>
      <c r="H21888" s="1" t="s">
        <v>0</v>
      </c>
      <c r="I21888" s="2">
        <v>0</v>
      </c>
      <c r="J21888" s="1">
        <v>45957.54115740741</v>
      </c>
    </row>
    <row r="21889" spans="1:10" x14ac:dyDescent="0.2">
      <c r="A21889" s="4" t="s">
        <v>1</v>
      </c>
      <c r="B218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89" s="3" t="str">
        <f>HYPERLINK("https://otsuka-europe-crm.veevavault.com/ui/#object/sent_email__v/VBL000000001372", "SE-001378059")</f>
        <v>SE-001378059</v>
      </c>
      <c r="D21889" s="1" t="s">
        <v>0</v>
      </c>
      <c r="E21889" s="2">
        <v>0</v>
      </c>
      <c r="F21889" s="2">
        <v>0</v>
      </c>
      <c r="G21889" s="2">
        <v>0</v>
      </c>
      <c r="H21889" s="1" t="s">
        <v>0</v>
      </c>
      <c r="I21889" s="2">
        <v>0</v>
      </c>
      <c r="J21889" s="1">
        <v>45957.541226851848</v>
      </c>
    </row>
    <row r="21890" spans="1:10" x14ac:dyDescent="0.2">
      <c r="A21890" s="4" t="s">
        <v>1</v>
      </c>
      <c r="B218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90" s="3" t="str">
        <f>HYPERLINK("https://otsuka-europe-crm.veevavault.com/ui/#object/sent_email__v/VBL000000001373", "SE-001378060")</f>
        <v>SE-001378060</v>
      </c>
      <c r="D21890" s="1">
        <v>45983.788900462961</v>
      </c>
      <c r="E21890" s="2">
        <v>1</v>
      </c>
      <c r="F21890" s="2">
        <v>2</v>
      </c>
      <c r="G21890" s="2">
        <v>0</v>
      </c>
      <c r="H21890" s="1" t="s">
        <v>0</v>
      </c>
      <c r="I21890" s="2">
        <v>0</v>
      </c>
      <c r="J21890" s="1">
        <v>45957.541284722225</v>
      </c>
    </row>
    <row r="21891" spans="1:10" x14ac:dyDescent="0.2">
      <c r="A21891" s="4" t="s">
        <v>1</v>
      </c>
      <c r="B218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91" s="3" t="str">
        <f>HYPERLINK("https://otsuka-europe-crm.veevavault.com/ui/#object/sent_email__v/VBL000000001374", "SE-001378061")</f>
        <v>SE-001378061</v>
      </c>
      <c r="D21891" s="1">
        <v>45957.896944444445</v>
      </c>
      <c r="E21891" s="2">
        <v>1</v>
      </c>
      <c r="F21891" s="2">
        <v>2</v>
      </c>
      <c r="G21891" s="2">
        <v>0</v>
      </c>
      <c r="H21891" s="1" t="s">
        <v>0</v>
      </c>
      <c r="I21891" s="2">
        <v>0</v>
      </c>
      <c r="J21891" s="1">
        <v>45957.541365740741</v>
      </c>
    </row>
    <row r="21892" spans="1:10" x14ac:dyDescent="0.2">
      <c r="A21892" s="4" t="s">
        <v>1</v>
      </c>
      <c r="B218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92" s="3" t="str">
        <f>HYPERLINK("https://otsuka-europe-crm.veevavault.com/ui/#object/sent_email__v/VBL000000001375", "SE-001378062")</f>
        <v>SE-001378062</v>
      </c>
      <c r="D21892" s="1">
        <v>45957.554583333331</v>
      </c>
      <c r="E21892" s="2">
        <v>1</v>
      </c>
      <c r="F21892" s="2">
        <v>1</v>
      </c>
      <c r="G21892" s="2">
        <v>0</v>
      </c>
      <c r="H21892" s="1" t="s">
        <v>0</v>
      </c>
      <c r="I21892" s="2">
        <v>0</v>
      </c>
      <c r="J21892" s="1">
        <v>45957.541435185187</v>
      </c>
    </row>
    <row r="21893" spans="1:10" x14ac:dyDescent="0.2">
      <c r="A21893" s="4" t="s">
        <v>1</v>
      </c>
      <c r="B218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93" s="3" t="str">
        <f>HYPERLINK("https://otsuka-europe-crm.veevavault.com/ui/#object/sent_email__v/VBL000000001376", "SE-001378063")</f>
        <v>SE-001378063</v>
      </c>
      <c r="D21893" s="1" t="s">
        <v>0</v>
      </c>
      <c r="E21893" s="2">
        <v>0</v>
      </c>
      <c r="F21893" s="2">
        <v>0</v>
      </c>
      <c r="G21893" s="2">
        <v>0</v>
      </c>
      <c r="H21893" s="1" t="s">
        <v>0</v>
      </c>
      <c r="I21893" s="2">
        <v>0</v>
      </c>
      <c r="J21893" s="1">
        <v>45957.541493055556</v>
      </c>
    </row>
    <row r="21894" spans="1:10" x14ac:dyDescent="0.2">
      <c r="A21894" s="4" t="s">
        <v>1</v>
      </c>
      <c r="B218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94" s="3" t="str">
        <f>HYPERLINK("https://otsuka-europe-crm.veevavault.com/ui/#object/sent_email__v/VBL000000001377", "SE-001378064")</f>
        <v>SE-001378064</v>
      </c>
      <c r="D21894" s="1">
        <v>45958.518657407411</v>
      </c>
      <c r="E21894" s="2">
        <v>1</v>
      </c>
      <c r="F21894" s="2">
        <v>1</v>
      </c>
      <c r="G21894" s="2">
        <v>0</v>
      </c>
      <c r="H21894" s="1" t="s">
        <v>0</v>
      </c>
      <c r="I21894" s="2">
        <v>0</v>
      </c>
      <c r="J21894" s="1">
        <v>45957.541562500002</v>
      </c>
    </row>
    <row r="21895" spans="1:10" x14ac:dyDescent="0.2">
      <c r="A21895" s="4" t="s">
        <v>1</v>
      </c>
      <c r="B218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95" s="3" t="str">
        <f>HYPERLINK("https://otsuka-europe-crm.veevavault.com/ui/#object/sent_email__v/VBL000000001378", "SE-001378065")</f>
        <v>SE-001378065</v>
      </c>
      <c r="D21895" s="1">
        <v>45957.822708333333</v>
      </c>
      <c r="E21895" s="2">
        <v>1</v>
      </c>
      <c r="F21895" s="2">
        <v>1</v>
      </c>
      <c r="G21895" s="2">
        <v>0</v>
      </c>
      <c r="H21895" s="1" t="s">
        <v>0</v>
      </c>
      <c r="I21895" s="2">
        <v>0</v>
      </c>
      <c r="J21895" s="1">
        <v>45957.541631944441</v>
      </c>
    </row>
    <row r="21896" spans="1:10" x14ac:dyDescent="0.2">
      <c r="A21896" s="4" t="s">
        <v>1</v>
      </c>
      <c r="B218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96" s="3" t="str">
        <f>HYPERLINK("https://otsuka-europe-crm.veevavault.com/ui/#object/sent_email__v/VBL000000001379", "SE-001378066")</f>
        <v>SE-001378066</v>
      </c>
      <c r="D21896" s="1">
        <v>45958.047372685185</v>
      </c>
      <c r="E21896" s="2">
        <v>1</v>
      </c>
      <c r="F21896" s="2">
        <v>1</v>
      </c>
      <c r="G21896" s="2">
        <v>0</v>
      </c>
      <c r="H21896" s="1" t="s">
        <v>0</v>
      </c>
      <c r="I21896" s="2">
        <v>0</v>
      </c>
      <c r="J21896" s="1">
        <v>45957.541689814818</v>
      </c>
    </row>
    <row r="21897" spans="1:10" x14ac:dyDescent="0.2">
      <c r="A21897" s="4" t="s">
        <v>1</v>
      </c>
      <c r="B218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97" s="3" t="str">
        <f>HYPERLINK("https://otsuka-europe-crm.veevavault.com/ui/#object/sent_email__v/VBL000000001380", "SE-001378067")</f>
        <v>SE-001378067</v>
      </c>
      <c r="D21897" s="1">
        <v>45960.711365740739</v>
      </c>
      <c r="E21897" s="2">
        <v>1</v>
      </c>
      <c r="F21897" s="2">
        <v>2</v>
      </c>
      <c r="G21897" s="2">
        <v>0</v>
      </c>
      <c r="H21897" s="1" t="s">
        <v>0</v>
      </c>
      <c r="I21897" s="2">
        <v>0</v>
      </c>
      <c r="J21897" s="1">
        <v>45957.54173611111</v>
      </c>
    </row>
    <row r="21898" spans="1:10" x14ac:dyDescent="0.2">
      <c r="A21898" s="4" t="s">
        <v>1</v>
      </c>
      <c r="B218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98" s="3" t="str">
        <f>HYPERLINK("https://otsuka-europe-crm.veevavault.com/ui/#object/sent_email__v/VBL000000001381", "SE-001378068")</f>
        <v>SE-001378068</v>
      </c>
      <c r="D21898" s="1" t="s">
        <v>0</v>
      </c>
      <c r="E21898" s="2">
        <v>0</v>
      </c>
      <c r="F21898" s="2">
        <v>0</v>
      </c>
      <c r="G21898" s="2">
        <v>0</v>
      </c>
      <c r="H21898" s="1" t="s">
        <v>0</v>
      </c>
      <c r="I21898" s="2">
        <v>0</v>
      </c>
      <c r="J21898" s="1">
        <v>45957.54178240741</v>
      </c>
    </row>
    <row r="21899" spans="1:10" x14ac:dyDescent="0.2">
      <c r="A21899" s="4" t="s">
        <v>1</v>
      </c>
      <c r="B218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899" s="3" t="str">
        <f>HYPERLINK("https://otsuka-europe-crm.veevavault.com/ui/#object/sent_email__v/VBL000000001382", "SE-001378069")</f>
        <v>SE-001378069</v>
      </c>
      <c r="D21899" s="1">
        <v>45958.262719907405</v>
      </c>
      <c r="E21899" s="2">
        <v>1</v>
      </c>
      <c r="F21899" s="2">
        <v>1</v>
      </c>
      <c r="G21899" s="2">
        <v>0</v>
      </c>
      <c r="H21899" s="1" t="s">
        <v>0</v>
      </c>
      <c r="I21899" s="2">
        <v>0</v>
      </c>
      <c r="J21899" s="1">
        <v>45957.541817129626</v>
      </c>
    </row>
    <row r="21900" spans="1:10" x14ac:dyDescent="0.2">
      <c r="A21900" s="4" t="s">
        <v>1</v>
      </c>
      <c r="B219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00" s="3" t="str">
        <f>HYPERLINK("https://otsuka-europe-crm.veevavault.com/ui/#object/sent_email__v/VBL000000001383", "SE-001378070")</f>
        <v>SE-001378070</v>
      </c>
      <c r="D21900" s="1">
        <v>45957.922800925924</v>
      </c>
      <c r="E21900" s="2">
        <v>1</v>
      </c>
      <c r="F21900" s="2">
        <v>3</v>
      </c>
      <c r="G21900" s="2">
        <v>0</v>
      </c>
      <c r="H21900" s="1" t="s">
        <v>0</v>
      </c>
      <c r="I21900" s="2">
        <v>0</v>
      </c>
      <c r="J21900" s="1">
        <v>45957.541863425926</v>
      </c>
    </row>
    <row r="21901" spans="1:10" x14ac:dyDescent="0.2">
      <c r="A21901" s="4" t="s">
        <v>1</v>
      </c>
      <c r="B219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01" s="3" t="str">
        <f>HYPERLINK("https://otsuka-europe-crm.veevavault.com/ui/#object/sent_email__v/VBL000000001384", "SE-001378071")</f>
        <v>SE-001378071</v>
      </c>
      <c r="D21901" s="1" t="s">
        <v>0</v>
      </c>
      <c r="E21901" s="2">
        <v>0</v>
      </c>
      <c r="F21901" s="2">
        <v>0</v>
      </c>
      <c r="G21901" s="2">
        <v>0</v>
      </c>
      <c r="H21901" s="1" t="s">
        <v>0</v>
      </c>
      <c r="I21901" s="2">
        <v>0</v>
      </c>
      <c r="J21901" s="1">
        <v>45957.541898148149</v>
      </c>
    </row>
    <row r="21902" spans="1:10" x14ac:dyDescent="0.2">
      <c r="A21902" s="4" t="s">
        <v>1</v>
      </c>
      <c r="B219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02" s="3" t="str">
        <f>HYPERLINK("https://otsuka-europe-crm.veevavault.com/ui/#object/sent_email__v/VBL000000001385", "SE-001378072")</f>
        <v>SE-001378072</v>
      </c>
      <c r="D21902" s="1" t="s">
        <v>0</v>
      </c>
      <c r="E21902" s="2">
        <v>0</v>
      </c>
      <c r="F21902" s="2">
        <v>0</v>
      </c>
      <c r="G21902" s="2">
        <v>0</v>
      </c>
      <c r="H21902" s="1" t="s">
        <v>0</v>
      </c>
      <c r="I21902" s="2">
        <v>0</v>
      </c>
      <c r="J21902" s="1">
        <v>45957.541956018518</v>
      </c>
    </row>
    <row r="21903" spans="1:10" x14ac:dyDescent="0.2">
      <c r="A21903" s="4" t="s">
        <v>1</v>
      </c>
      <c r="B219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03" s="3" t="str">
        <f>HYPERLINK("https://otsuka-europe-crm.veevavault.com/ui/#object/sent_email__v/VBL000000001386", "SE-001378073")</f>
        <v>SE-001378073</v>
      </c>
      <c r="D21903" s="1" t="s">
        <v>0</v>
      </c>
      <c r="E21903" s="2">
        <v>0</v>
      </c>
      <c r="F21903" s="2">
        <v>0</v>
      </c>
      <c r="G21903" s="2">
        <v>0</v>
      </c>
      <c r="H21903" s="1" t="s">
        <v>0</v>
      </c>
      <c r="I21903" s="2">
        <v>0</v>
      </c>
      <c r="J21903" s="1">
        <v>45957.541979166665</v>
      </c>
    </row>
    <row r="21904" spans="1:10" x14ac:dyDescent="0.2">
      <c r="A21904" s="4" t="s">
        <v>1</v>
      </c>
      <c r="B219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04" s="3" t="str">
        <f>HYPERLINK("https://otsuka-europe-crm.veevavault.com/ui/#object/sent_email__v/VBL000000001387", "SE-001378074")</f>
        <v>SE-001378074</v>
      </c>
      <c r="D21904" s="1" t="s">
        <v>0</v>
      </c>
      <c r="E21904" s="2">
        <v>0</v>
      </c>
      <c r="F21904" s="2">
        <v>0</v>
      </c>
      <c r="G21904" s="2">
        <v>0</v>
      </c>
      <c r="H21904" s="1" t="s">
        <v>0</v>
      </c>
      <c r="I21904" s="2">
        <v>0</v>
      </c>
      <c r="J21904" s="1">
        <v>45957.542048611111</v>
      </c>
    </row>
    <row r="21905" spans="1:10" x14ac:dyDescent="0.2">
      <c r="A21905" s="4" t="s">
        <v>1</v>
      </c>
      <c r="B219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05" s="3" t="str">
        <f>HYPERLINK("https://otsuka-europe-crm.veevavault.com/ui/#object/sent_email__v/VBL000000001388", "SE-001378075")</f>
        <v>SE-001378075</v>
      </c>
      <c r="D21905" s="1">
        <v>45966.952164351853</v>
      </c>
      <c r="E21905" s="2">
        <v>1</v>
      </c>
      <c r="F21905" s="2">
        <v>2</v>
      </c>
      <c r="G21905" s="2">
        <v>0</v>
      </c>
      <c r="H21905" s="1" t="s">
        <v>0</v>
      </c>
      <c r="I21905" s="2">
        <v>0</v>
      </c>
      <c r="J21905" s="1">
        <v>45957.542118055557</v>
      </c>
    </row>
    <row r="21906" spans="1:10" x14ac:dyDescent="0.2">
      <c r="A21906" s="4" t="s">
        <v>1</v>
      </c>
      <c r="B219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06" s="3" t="str">
        <f>HYPERLINK("https://otsuka-europe-crm.veevavault.com/ui/#object/sent_email__v/VBL000000001389", "SE-001378076")</f>
        <v>SE-001378076</v>
      </c>
      <c r="D21906" s="1" t="s">
        <v>0</v>
      </c>
      <c r="E21906" s="2">
        <v>0</v>
      </c>
      <c r="F21906" s="2">
        <v>0</v>
      </c>
      <c r="G21906" s="2">
        <v>0</v>
      </c>
      <c r="H21906" s="1" t="s">
        <v>0</v>
      </c>
      <c r="I21906" s="2">
        <v>0</v>
      </c>
      <c r="J21906" s="1">
        <v>45957.542187500003</v>
      </c>
    </row>
    <row r="21907" spans="1:10" x14ac:dyDescent="0.2">
      <c r="A21907" s="4" t="s">
        <v>1</v>
      </c>
      <c r="B219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07" s="3" t="str">
        <f>HYPERLINK("https://otsuka-europe-crm.veevavault.com/ui/#object/sent_email__v/VBL000000001390", "SE-001378077")</f>
        <v>SE-001378077</v>
      </c>
      <c r="D21907" s="1">
        <v>45958.317233796297</v>
      </c>
      <c r="E21907" s="2">
        <v>1</v>
      </c>
      <c r="F21907" s="2">
        <v>1</v>
      </c>
      <c r="G21907" s="2">
        <v>0</v>
      </c>
      <c r="H21907" s="1" t="s">
        <v>0</v>
      </c>
      <c r="I21907" s="2">
        <v>0</v>
      </c>
      <c r="J21907" s="1">
        <v>45957.542245370372</v>
      </c>
    </row>
    <row r="21908" spans="1:10" x14ac:dyDescent="0.2">
      <c r="A21908" s="4" t="s">
        <v>1</v>
      </c>
      <c r="B219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08" s="3" t="str">
        <f>HYPERLINK("https://otsuka-europe-crm.veevavault.com/ui/#object/sent_email__v/VBL000000001391", "SE-001378078")</f>
        <v>SE-001378078</v>
      </c>
      <c r="D21908" s="1">
        <v>45995.357118055559</v>
      </c>
      <c r="E21908" s="2">
        <v>1</v>
      </c>
      <c r="F21908" s="2">
        <v>7</v>
      </c>
      <c r="G21908" s="2">
        <v>0</v>
      </c>
      <c r="H21908" s="1" t="s">
        <v>0</v>
      </c>
      <c r="I21908" s="2">
        <v>0</v>
      </c>
      <c r="J21908" s="1">
        <v>45957.542314814818</v>
      </c>
    </row>
    <row r="21909" spans="1:10" x14ac:dyDescent="0.2">
      <c r="A21909" s="4" t="s">
        <v>1</v>
      </c>
      <c r="B219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09" s="3" t="str">
        <f>HYPERLINK("https://otsuka-europe-crm.veevavault.com/ui/#object/sent_email__v/VBL000000001392", "SE-001378079")</f>
        <v>SE-001378079</v>
      </c>
      <c r="D21909" s="1">
        <v>45957.941412037035</v>
      </c>
      <c r="E21909" s="2">
        <v>1</v>
      </c>
      <c r="F21909" s="2">
        <v>2</v>
      </c>
      <c r="G21909" s="2">
        <v>0</v>
      </c>
      <c r="H21909" s="1" t="s">
        <v>0</v>
      </c>
      <c r="I21909" s="2">
        <v>0</v>
      </c>
      <c r="J21909" s="1">
        <v>45957.542384259257</v>
      </c>
    </row>
    <row r="21910" spans="1:10" x14ac:dyDescent="0.2">
      <c r="A21910" s="4" t="s">
        <v>1</v>
      </c>
      <c r="B219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10" s="3" t="str">
        <f>HYPERLINK("https://otsuka-europe-crm.veevavault.com/ui/#object/sent_email__v/VBL000000001393", "SE-001378080")</f>
        <v>SE-001378080</v>
      </c>
      <c r="D21910" s="1">
        <v>45981.888541666667</v>
      </c>
      <c r="E21910" s="2">
        <v>1</v>
      </c>
      <c r="F21910" s="2">
        <v>2</v>
      </c>
      <c r="G21910" s="2">
        <v>0</v>
      </c>
      <c r="H21910" s="1" t="s">
        <v>0</v>
      </c>
      <c r="I21910" s="2">
        <v>0</v>
      </c>
      <c r="J21910" s="1">
        <v>45957.54246527778</v>
      </c>
    </row>
    <row r="21911" spans="1:10" x14ac:dyDescent="0.2">
      <c r="A21911" s="4" t="s">
        <v>1</v>
      </c>
      <c r="B219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11" s="3" t="str">
        <f>HYPERLINK("https://otsuka-europe-crm.veevavault.com/ui/#object/sent_email__v/VBL000000001394", "SE-001378081")</f>
        <v>SE-001378081</v>
      </c>
      <c r="D21911" s="1">
        <v>45957.579201388886</v>
      </c>
      <c r="E21911" s="2">
        <v>1</v>
      </c>
      <c r="F21911" s="2">
        <v>2</v>
      </c>
      <c r="G21911" s="2">
        <v>0</v>
      </c>
      <c r="H21911" s="1" t="s">
        <v>0</v>
      </c>
      <c r="I21911" s="2">
        <v>0</v>
      </c>
      <c r="J21911" s="1">
        <v>45957.542523148149</v>
      </c>
    </row>
    <row r="21912" spans="1:10" x14ac:dyDescent="0.2">
      <c r="A21912" s="4" t="s">
        <v>1</v>
      </c>
      <c r="B219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12" s="3" t="str">
        <f>HYPERLINK("https://otsuka-europe-crm.veevavault.com/ui/#object/sent_email__v/VBL000000001395", "SE-001378082")</f>
        <v>SE-001378082</v>
      </c>
      <c r="D21912" s="1" t="s">
        <v>0</v>
      </c>
      <c r="E21912" s="2">
        <v>0</v>
      </c>
      <c r="F21912" s="2">
        <v>0</v>
      </c>
      <c r="G21912" s="2">
        <v>0</v>
      </c>
      <c r="H21912" s="1" t="s">
        <v>0</v>
      </c>
      <c r="I21912" s="2">
        <v>0</v>
      </c>
      <c r="J21912" s="1">
        <v>45957.542592592596</v>
      </c>
    </row>
    <row r="21913" spans="1:10" x14ac:dyDescent="0.2">
      <c r="A21913" s="4" t="s">
        <v>1</v>
      </c>
      <c r="B219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13" s="3" t="str">
        <f>HYPERLINK("https://otsuka-europe-crm.veevavault.com/ui/#object/sent_email__v/VBL000000001396", "SE-001378083")</f>
        <v>SE-001378083</v>
      </c>
      <c r="D21913" s="1">
        <v>45957.580185185187</v>
      </c>
      <c r="E21913" s="2">
        <v>1</v>
      </c>
      <c r="F21913" s="2">
        <v>1</v>
      </c>
      <c r="G21913" s="2">
        <v>0</v>
      </c>
      <c r="H21913" s="1" t="s">
        <v>0</v>
      </c>
      <c r="I21913" s="2">
        <v>0</v>
      </c>
      <c r="J21913" s="1">
        <v>45957.542662037034</v>
      </c>
    </row>
    <row r="21914" spans="1:10" x14ac:dyDescent="0.2">
      <c r="A21914" s="4" t="s">
        <v>1</v>
      </c>
      <c r="B219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14" s="3" t="str">
        <f>HYPERLINK("https://otsuka-europe-crm.veevavault.com/ui/#object/sent_email__v/VBL000000001397", "SE-001378084")</f>
        <v>SE-001378084</v>
      </c>
      <c r="D21914" s="1" t="s">
        <v>0</v>
      </c>
      <c r="E21914" s="2">
        <v>0</v>
      </c>
      <c r="F21914" s="2">
        <v>0</v>
      </c>
      <c r="G21914" s="2">
        <v>0</v>
      </c>
      <c r="H21914" s="1" t="s">
        <v>0</v>
      </c>
      <c r="I21914" s="2">
        <v>0</v>
      </c>
      <c r="J21914" s="1">
        <v>45957.542743055557</v>
      </c>
    </row>
    <row r="21915" spans="1:10" x14ac:dyDescent="0.2">
      <c r="A21915" s="4" t="s">
        <v>1</v>
      </c>
      <c r="B219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15" s="3" t="str">
        <f>HYPERLINK("https://otsuka-europe-crm.veevavault.com/ui/#object/sent_email__v/VBL000000001398", "SE-001378085")</f>
        <v>SE-001378085</v>
      </c>
      <c r="D21915" s="1">
        <v>45976.51121527778</v>
      </c>
      <c r="E21915" s="2">
        <v>1</v>
      </c>
      <c r="F21915" s="2">
        <v>3</v>
      </c>
      <c r="G21915" s="2">
        <v>0</v>
      </c>
      <c r="H21915" s="1" t="s">
        <v>0</v>
      </c>
      <c r="I21915" s="2">
        <v>0</v>
      </c>
      <c r="J21915" s="1">
        <v>45957.542800925927</v>
      </c>
    </row>
    <row r="21916" spans="1:10" x14ac:dyDescent="0.2">
      <c r="A21916" s="4" t="s">
        <v>1</v>
      </c>
      <c r="B219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16" s="3" t="str">
        <f>HYPERLINK("https://otsuka-europe-crm.veevavault.com/ui/#object/sent_email__v/VBL000000001399", "SE-001378086")</f>
        <v>SE-001378086</v>
      </c>
      <c r="D21916" s="1">
        <v>45957.588784722226</v>
      </c>
      <c r="E21916" s="2">
        <v>1</v>
      </c>
      <c r="F21916" s="2">
        <v>14</v>
      </c>
      <c r="G21916" s="2">
        <v>0</v>
      </c>
      <c r="H21916" s="1" t="s">
        <v>0</v>
      </c>
      <c r="I21916" s="2">
        <v>0</v>
      </c>
      <c r="J21916" s="1">
        <v>45957.542870370373</v>
      </c>
    </row>
    <row r="21917" spans="1:10" x14ac:dyDescent="0.2">
      <c r="A21917" s="4" t="s">
        <v>1</v>
      </c>
      <c r="B219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17" s="3" t="str">
        <f>HYPERLINK("https://otsuka-europe-crm.veevavault.com/ui/#object/sent_email__v/VBL000000001400", "SE-001378087")</f>
        <v>SE-001378087</v>
      </c>
      <c r="D21917" s="1" t="s">
        <v>0</v>
      </c>
      <c r="E21917" s="2">
        <v>0</v>
      </c>
      <c r="F21917" s="2">
        <v>0</v>
      </c>
      <c r="G21917" s="2">
        <v>0</v>
      </c>
      <c r="H21917" s="1" t="s">
        <v>0</v>
      </c>
      <c r="I21917" s="2">
        <v>0</v>
      </c>
      <c r="J21917" s="1">
        <v>45957.542951388888</v>
      </c>
    </row>
    <row r="21918" spans="1:10" x14ac:dyDescent="0.2">
      <c r="A21918" s="4" t="s">
        <v>1</v>
      </c>
      <c r="B219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18" s="3" t="str">
        <f>HYPERLINK("https://otsuka-europe-crm.veevavault.com/ui/#object/sent_email__v/VBL000000001401", "SE-001378088")</f>
        <v>SE-001378088</v>
      </c>
      <c r="D21918" s="1">
        <v>45957.595567129632</v>
      </c>
      <c r="E21918" s="2">
        <v>1</v>
      </c>
      <c r="F21918" s="2">
        <v>1</v>
      </c>
      <c r="G21918" s="2">
        <v>0</v>
      </c>
      <c r="H21918" s="1" t="s">
        <v>0</v>
      </c>
      <c r="I21918" s="2">
        <v>0</v>
      </c>
      <c r="J21918" s="1">
        <v>45957.543009259258</v>
      </c>
    </row>
    <row r="21919" spans="1:10" x14ac:dyDescent="0.2">
      <c r="A21919" s="4" t="s">
        <v>1</v>
      </c>
      <c r="B219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19" s="3" t="str">
        <f>HYPERLINK("https://otsuka-europe-crm.veevavault.com/ui/#object/sent_email__v/VBL000000001402", "SE-001378089")</f>
        <v>SE-001378089</v>
      </c>
      <c r="D21919" s="1" t="s">
        <v>0</v>
      </c>
      <c r="E21919" s="2">
        <v>0</v>
      </c>
      <c r="F21919" s="2">
        <v>0</v>
      </c>
      <c r="G21919" s="2">
        <v>0</v>
      </c>
      <c r="H21919" s="1" t="s">
        <v>0</v>
      </c>
      <c r="I21919" s="2">
        <v>0</v>
      </c>
      <c r="J21919" s="1">
        <v>45957.543078703704</v>
      </c>
    </row>
    <row r="21920" spans="1:10" x14ac:dyDescent="0.2">
      <c r="A21920" s="4" t="s">
        <v>1</v>
      </c>
      <c r="B219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20" s="3" t="str">
        <f>HYPERLINK("https://otsuka-europe-crm.veevavault.com/ui/#object/sent_email__v/VBL000000001403", "SE-001378090")</f>
        <v>SE-001378090</v>
      </c>
      <c r="D21920" s="1">
        <v>45958.608865740738</v>
      </c>
      <c r="E21920" s="2">
        <v>1</v>
      </c>
      <c r="F21920" s="2">
        <v>1</v>
      </c>
      <c r="G21920" s="2">
        <v>0</v>
      </c>
      <c r="H21920" s="1" t="s">
        <v>0</v>
      </c>
      <c r="I21920" s="2">
        <v>0</v>
      </c>
      <c r="J21920" s="1">
        <v>45957.54314814815</v>
      </c>
    </row>
    <row r="21921" spans="1:10" x14ac:dyDescent="0.2">
      <c r="A21921" s="4" t="s">
        <v>1</v>
      </c>
      <c r="B219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21" s="3" t="str">
        <f>HYPERLINK("https://otsuka-europe-crm.veevavault.com/ui/#object/sent_email__v/VBL000000001404", "SE-001378091")</f>
        <v>SE-001378091</v>
      </c>
      <c r="D21921" s="1" t="s">
        <v>0</v>
      </c>
      <c r="E21921" s="2">
        <v>0</v>
      </c>
      <c r="F21921" s="2">
        <v>0</v>
      </c>
      <c r="G21921" s="2">
        <v>0</v>
      </c>
      <c r="H21921" s="1" t="s">
        <v>0</v>
      </c>
      <c r="I21921" s="2">
        <v>0</v>
      </c>
      <c r="J21921" s="1">
        <v>45957.543229166666</v>
      </c>
    </row>
    <row r="21922" spans="1:10" x14ac:dyDescent="0.2">
      <c r="A21922" s="4" t="s">
        <v>1</v>
      </c>
      <c r="B219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22" s="3" t="str">
        <f>HYPERLINK("https://otsuka-europe-crm.veevavault.com/ui/#object/sent_email__v/VBL000000001405", "SE-001378092")</f>
        <v>SE-001378092</v>
      </c>
      <c r="D21922" s="1">
        <v>45957.543356481481</v>
      </c>
      <c r="E21922" s="2">
        <v>1</v>
      </c>
      <c r="F21922" s="2">
        <v>1</v>
      </c>
      <c r="G21922" s="2">
        <v>0</v>
      </c>
      <c r="H21922" s="1" t="s">
        <v>0</v>
      </c>
      <c r="I21922" s="2">
        <v>0</v>
      </c>
      <c r="J21922" s="1">
        <v>45957.543287037035</v>
      </c>
    </row>
    <row r="21923" spans="1:10" x14ac:dyDescent="0.2">
      <c r="A21923" s="4" t="s">
        <v>1</v>
      </c>
      <c r="B219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23" s="3" t="str">
        <f>HYPERLINK("https://otsuka-europe-crm.veevavault.com/ui/#object/sent_email__v/VBL000000001406", "SE-001378093")</f>
        <v>SE-001378093</v>
      </c>
      <c r="D21923" s="1">
        <v>45957.568715277775</v>
      </c>
      <c r="E21923" s="2">
        <v>1</v>
      </c>
      <c r="F21923" s="2">
        <v>2</v>
      </c>
      <c r="G21923" s="2">
        <v>0</v>
      </c>
      <c r="H21923" s="1" t="s">
        <v>0</v>
      </c>
      <c r="I21923" s="2">
        <v>0</v>
      </c>
      <c r="J21923" s="1">
        <v>45957.543356481481</v>
      </c>
    </row>
    <row r="21924" spans="1:10" x14ac:dyDescent="0.2">
      <c r="A21924" s="4" t="s">
        <v>1</v>
      </c>
      <c r="B219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24" s="3" t="str">
        <f>HYPERLINK("https://otsuka-europe-crm.veevavault.com/ui/#object/sent_email__v/VBL000000001407", "SE-001378094")</f>
        <v>SE-001378094</v>
      </c>
      <c r="D21924" s="1">
        <v>45957.989340277774</v>
      </c>
      <c r="E21924" s="2">
        <v>1</v>
      </c>
      <c r="F21924" s="2">
        <v>1</v>
      </c>
      <c r="G21924" s="2">
        <v>0</v>
      </c>
      <c r="H21924" s="1" t="s">
        <v>0</v>
      </c>
      <c r="I21924" s="2">
        <v>0</v>
      </c>
      <c r="J21924" s="1">
        <v>45957.543425925927</v>
      </c>
    </row>
    <row r="21925" spans="1:10" x14ac:dyDescent="0.2">
      <c r="A21925" s="4" t="s">
        <v>1</v>
      </c>
      <c r="B219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25" s="3" t="str">
        <f>HYPERLINK("https://otsuka-europe-crm.veevavault.com/ui/#object/sent_email__v/VBL000000001408", "SE-001378095")</f>
        <v>SE-001378095</v>
      </c>
      <c r="D21925" s="1">
        <v>45957.650057870371</v>
      </c>
      <c r="E21925" s="2">
        <v>1</v>
      </c>
      <c r="F21925" s="2">
        <v>2</v>
      </c>
      <c r="G21925" s="2">
        <v>0</v>
      </c>
      <c r="H21925" s="1" t="s">
        <v>0</v>
      </c>
      <c r="I21925" s="2">
        <v>0</v>
      </c>
      <c r="J21925" s="1">
        <v>45957.543495370373</v>
      </c>
    </row>
    <row r="21926" spans="1:10" x14ac:dyDescent="0.2">
      <c r="A21926" s="4" t="s">
        <v>1</v>
      </c>
      <c r="B219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26" s="3" t="str">
        <f>HYPERLINK("https://otsuka-europe-crm.veevavault.com/ui/#object/sent_email__v/VBL000000001409", "SE-001378096")</f>
        <v>SE-001378096</v>
      </c>
      <c r="D21926" s="1">
        <v>45957.640150462961</v>
      </c>
      <c r="E21926" s="2">
        <v>1</v>
      </c>
      <c r="F21926" s="2">
        <v>2</v>
      </c>
      <c r="G21926" s="2">
        <v>0</v>
      </c>
      <c r="H21926" s="1" t="s">
        <v>0</v>
      </c>
      <c r="I21926" s="2">
        <v>0</v>
      </c>
      <c r="J21926" s="1">
        <v>45957.543564814812</v>
      </c>
    </row>
    <row r="21927" spans="1:10" x14ac:dyDescent="0.2">
      <c r="A21927" s="4" t="s">
        <v>1</v>
      </c>
      <c r="B219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27" s="3" t="str">
        <f>HYPERLINK("https://otsuka-europe-crm.veevavault.com/ui/#object/sent_email__v/VBL000000001410", "SE-001378097")</f>
        <v>SE-001378097</v>
      </c>
      <c r="D21927" s="1" t="s">
        <v>0</v>
      </c>
      <c r="E21927" s="2">
        <v>0</v>
      </c>
      <c r="F21927" s="2">
        <v>0</v>
      </c>
      <c r="G21927" s="2">
        <v>0</v>
      </c>
      <c r="H21927" s="1" t="s">
        <v>0</v>
      </c>
      <c r="I21927" s="2">
        <v>0</v>
      </c>
      <c r="J21927" s="1">
        <v>45957.543634259258</v>
      </c>
    </row>
    <row r="21928" spans="1:10" x14ac:dyDescent="0.2">
      <c r="A21928" s="4" t="s">
        <v>1</v>
      </c>
      <c r="B219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28" s="3" t="str">
        <f>HYPERLINK("https://otsuka-europe-crm.veevavault.com/ui/#object/sent_email__v/VBL000000001411", "SE-001378098")</f>
        <v>SE-001378098</v>
      </c>
      <c r="D21928" s="1">
        <v>45963.43577546296</v>
      </c>
      <c r="E21928" s="2">
        <v>1</v>
      </c>
      <c r="F21928" s="2">
        <v>3</v>
      </c>
      <c r="G21928" s="2">
        <v>0</v>
      </c>
      <c r="H21928" s="1" t="s">
        <v>0</v>
      </c>
      <c r="I21928" s="2">
        <v>0</v>
      </c>
      <c r="J21928" s="1">
        <v>45957.543703703705</v>
      </c>
    </row>
    <row r="21929" spans="1:10" x14ac:dyDescent="0.2">
      <c r="A21929" s="4" t="s">
        <v>1</v>
      </c>
      <c r="B219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29" s="3" t="str">
        <f>HYPERLINK("https://otsuka-europe-crm.veevavault.com/ui/#object/sent_email__v/VBL000000001412", "SE-001378099")</f>
        <v>SE-001378099</v>
      </c>
      <c r="D21929" s="1" t="s">
        <v>0</v>
      </c>
      <c r="E21929" s="2">
        <v>0</v>
      </c>
      <c r="F21929" s="2">
        <v>0</v>
      </c>
      <c r="G21929" s="2">
        <v>0</v>
      </c>
      <c r="H21929" s="1" t="s">
        <v>0</v>
      </c>
      <c r="I21929" s="2">
        <v>0</v>
      </c>
      <c r="J21929" s="1">
        <v>45957.543773148151</v>
      </c>
    </row>
    <row r="21930" spans="1:10" x14ac:dyDescent="0.2">
      <c r="A21930" s="4" t="s">
        <v>1</v>
      </c>
      <c r="B219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30" s="3" t="str">
        <f>HYPERLINK("https://otsuka-europe-crm.veevavault.com/ui/#object/sent_email__v/VBL000000001413", "SE-001378100")</f>
        <v>SE-001378100</v>
      </c>
      <c r="D21930" s="1" t="s">
        <v>0</v>
      </c>
      <c r="E21930" s="2">
        <v>0</v>
      </c>
      <c r="F21930" s="2">
        <v>0</v>
      </c>
      <c r="G21930" s="2">
        <v>0</v>
      </c>
      <c r="H21930" s="1" t="s">
        <v>0</v>
      </c>
      <c r="I21930" s="2">
        <v>0</v>
      </c>
      <c r="J21930" s="1">
        <v>45957.543842592589</v>
      </c>
    </row>
    <row r="21931" spans="1:10" x14ac:dyDescent="0.2">
      <c r="A21931" s="4" t="s">
        <v>1</v>
      </c>
      <c r="B219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31" s="3" t="str">
        <f>HYPERLINK("https://otsuka-europe-crm.veevavault.com/ui/#object/sent_email__v/VBL000000001414", "SE-001378101")</f>
        <v>SE-001378101</v>
      </c>
      <c r="D21931" s="1">
        <v>45959.797326388885</v>
      </c>
      <c r="E21931" s="2">
        <v>1</v>
      </c>
      <c r="F21931" s="2">
        <v>2</v>
      </c>
      <c r="G21931" s="2">
        <v>0</v>
      </c>
      <c r="H21931" s="1" t="s">
        <v>0</v>
      </c>
      <c r="I21931" s="2">
        <v>0</v>
      </c>
      <c r="J21931" s="1">
        <v>45957.543912037036</v>
      </c>
    </row>
    <row r="21932" spans="1:10" x14ac:dyDescent="0.2">
      <c r="A21932" s="4" t="s">
        <v>1</v>
      </c>
      <c r="B219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32" s="3" t="str">
        <f>HYPERLINK("https://otsuka-europe-crm.veevavault.com/ui/#object/sent_email__v/VBL000000001415", "SE-001378102")</f>
        <v>SE-001378102</v>
      </c>
      <c r="D21932" s="1">
        <v>45969.494618055556</v>
      </c>
      <c r="E21932" s="2">
        <v>1</v>
      </c>
      <c r="F21932" s="2">
        <v>3</v>
      </c>
      <c r="G21932" s="2">
        <v>0</v>
      </c>
      <c r="H21932" s="1" t="s">
        <v>0</v>
      </c>
      <c r="I21932" s="2">
        <v>0</v>
      </c>
      <c r="J21932" s="1">
        <v>45957.543993055559</v>
      </c>
    </row>
    <row r="21933" spans="1:10" x14ac:dyDescent="0.2">
      <c r="A21933" s="4" t="s">
        <v>1</v>
      </c>
      <c r="B219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33" s="3" t="str">
        <f>HYPERLINK("https://otsuka-europe-crm.veevavault.com/ui/#object/sent_email__v/VBL000000001416", "SE-001378103")</f>
        <v>SE-001378103</v>
      </c>
      <c r="D21933" s="1">
        <v>45957.606736111113</v>
      </c>
      <c r="E21933" s="2">
        <v>1</v>
      </c>
      <c r="F21933" s="2">
        <v>1</v>
      </c>
      <c r="G21933" s="2">
        <v>0</v>
      </c>
      <c r="H21933" s="1" t="s">
        <v>0</v>
      </c>
      <c r="I21933" s="2">
        <v>0</v>
      </c>
      <c r="J21933" s="1">
        <v>45957.544062499997</v>
      </c>
    </row>
    <row r="21934" spans="1:10" x14ac:dyDescent="0.2">
      <c r="A21934" s="4" t="s">
        <v>1</v>
      </c>
      <c r="B219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34" s="3" t="str">
        <f>HYPERLINK("https://otsuka-europe-crm.veevavault.com/ui/#object/sent_email__v/VBL000000001417", "SE-001378104")</f>
        <v>SE-001378104</v>
      </c>
      <c r="D21934" s="1" t="s">
        <v>0</v>
      </c>
      <c r="E21934" s="2">
        <v>0</v>
      </c>
      <c r="F21934" s="2">
        <v>0</v>
      </c>
      <c r="G21934" s="2">
        <v>0</v>
      </c>
      <c r="H21934" s="1" t="s">
        <v>0</v>
      </c>
      <c r="I21934" s="2">
        <v>0</v>
      </c>
      <c r="J21934" s="1">
        <v>45957.54414351852</v>
      </c>
    </row>
    <row r="21935" spans="1:10" x14ac:dyDescent="0.2">
      <c r="A21935" s="4" t="s">
        <v>1</v>
      </c>
      <c r="B219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35" s="3" t="str">
        <f>HYPERLINK("https://otsuka-europe-crm.veevavault.com/ui/#object/sent_email__v/VBL000000001418", "SE-001378105")</f>
        <v>SE-001378105</v>
      </c>
      <c r="D21935" s="1">
        <v>45957.598321759258</v>
      </c>
      <c r="E21935" s="2">
        <v>1</v>
      </c>
      <c r="F21935" s="2">
        <v>1</v>
      </c>
      <c r="G21935" s="2">
        <v>0</v>
      </c>
      <c r="H21935" s="1" t="s">
        <v>0</v>
      </c>
      <c r="I21935" s="2">
        <v>0</v>
      </c>
      <c r="J21935" s="1">
        <v>45957.544212962966</v>
      </c>
    </row>
    <row r="21936" spans="1:10" x14ac:dyDescent="0.2">
      <c r="A21936" s="4" t="s">
        <v>1</v>
      </c>
      <c r="B219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36" s="3" t="str">
        <f>HYPERLINK("https://otsuka-europe-crm.veevavault.com/ui/#object/sent_email__v/VBL000000001419", "SE-001378106")</f>
        <v>SE-001378106</v>
      </c>
      <c r="D21936" s="1">
        <v>45959.271412037036</v>
      </c>
      <c r="E21936" s="2">
        <v>1</v>
      </c>
      <c r="F21936" s="2">
        <v>1</v>
      </c>
      <c r="G21936" s="2">
        <v>0</v>
      </c>
      <c r="H21936" s="1" t="s">
        <v>0</v>
      </c>
      <c r="I21936" s="2">
        <v>0</v>
      </c>
      <c r="J21936" s="1">
        <v>45957.544282407405</v>
      </c>
    </row>
    <row r="21937" spans="1:10" x14ac:dyDescent="0.2">
      <c r="A21937" s="4" t="s">
        <v>1</v>
      </c>
      <c r="B219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37" s="3" t="str">
        <f>HYPERLINK("https://otsuka-europe-crm.veevavault.com/ui/#object/sent_email__v/VBL000000001420", "SE-001378107")</f>
        <v>SE-001378107</v>
      </c>
      <c r="D21937" s="1">
        <v>45957.853229166663</v>
      </c>
      <c r="E21937" s="2">
        <v>1</v>
      </c>
      <c r="F21937" s="2">
        <v>1</v>
      </c>
      <c r="G21937" s="2">
        <v>0</v>
      </c>
      <c r="H21937" s="1" t="s">
        <v>0</v>
      </c>
      <c r="I21937" s="2">
        <v>0</v>
      </c>
      <c r="J21937" s="1">
        <v>45957.544363425928</v>
      </c>
    </row>
    <row r="21938" spans="1:10" x14ac:dyDescent="0.2">
      <c r="A21938" s="4" t="s">
        <v>1</v>
      </c>
      <c r="B219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38" s="3" t="str">
        <f>HYPERLINK("https://otsuka-europe-crm.veevavault.com/ui/#object/sent_email__v/VBL000000001421", "SE-001378108")</f>
        <v>SE-001378108</v>
      </c>
      <c r="D21938" s="1">
        <v>45957.868634259263</v>
      </c>
      <c r="E21938" s="2">
        <v>1</v>
      </c>
      <c r="F21938" s="2">
        <v>1</v>
      </c>
      <c r="G21938" s="2">
        <v>0</v>
      </c>
      <c r="H21938" s="1" t="s">
        <v>0</v>
      </c>
      <c r="I21938" s="2">
        <v>0</v>
      </c>
      <c r="J21938" s="1">
        <v>45957.544421296298</v>
      </c>
    </row>
    <row r="21939" spans="1:10" x14ac:dyDescent="0.2">
      <c r="A21939" s="4" t="s">
        <v>1</v>
      </c>
      <c r="B219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39" s="3" t="str">
        <f>HYPERLINK("https://otsuka-europe-crm.veevavault.com/ui/#object/sent_email__v/VBL000000001422", "SE-001378109")</f>
        <v>SE-001378109</v>
      </c>
      <c r="D21939" s="1" t="s">
        <v>0</v>
      </c>
      <c r="E21939" s="2">
        <v>0</v>
      </c>
      <c r="F21939" s="2">
        <v>0</v>
      </c>
      <c r="G21939" s="2">
        <v>0</v>
      </c>
      <c r="H21939" s="1" t="s">
        <v>0</v>
      </c>
      <c r="I21939" s="2">
        <v>0</v>
      </c>
      <c r="J21939" s="1">
        <v>45957.544502314813</v>
      </c>
    </row>
    <row r="21940" spans="1:10" x14ac:dyDescent="0.2">
      <c r="A21940" s="4" t="s">
        <v>1</v>
      </c>
      <c r="B219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40" s="3" t="str">
        <f>HYPERLINK("https://otsuka-europe-crm.veevavault.com/ui/#object/sent_email__v/VBL000000001423", "SE-001378110")</f>
        <v>SE-001378110</v>
      </c>
      <c r="D21940" s="1">
        <v>45957.598124999997</v>
      </c>
      <c r="E21940" s="2">
        <v>1</v>
      </c>
      <c r="F21940" s="2">
        <v>2</v>
      </c>
      <c r="G21940" s="2">
        <v>0</v>
      </c>
      <c r="H21940" s="1" t="s">
        <v>0</v>
      </c>
      <c r="I21940" s="2">
        <v>0</v>
      </c>
      <c r="J21940" s="1">
        <v>45957.544571759259</v>
      </c>
    </row>
    <row r="21941" spans="1:10" x14ac:dyDescent="0.2">
      <c r="A21941" s="4" t="s">
        <v>1</v>
      </c>
      <c r="B219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41" s="3" t="str">
        <f>HYPERLINK("https://otsuka-europe-crm.veevavault.com/ui/#object/sent_email__v/VBL000000001424", "SE-001378111")</f>
        <v>SE-001378111</v>
      </c>
      <c r="D21941" s="1" t="s">
        <v>0</v>
      </c>
      <c r="E21941" s="2">
        <v>0</v>
      </c>
      <c r="F21941" s="2">
        <v>0</v>
      </c>
      <c r="G21941" s="2">
        <v>0</v>
      </c>
      <c r="H21941" s="1" t="s">
        <v>0</v>
      </c>
      <c r="I21941" s="2">
        <v>0</v>
      </c>
      <c r="J21941" s="1">
        <v>45957.544664351852</v>
      </c>
    </row>
    <row r="21942" spans="1:10" x14ac:dyDescent="0.2">
      <c r="A21942" s="4" t="s">
        <v>1</v>
      </c>
      <c r="B219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42" s="3" t="str">
        <f>HYPERLINK("https://otsuka-europe-crm.veevavault.com/ui/#object/sent_email__v/VBL000000001425", "SE-001378112")</f>
        <v>SE-001378112</v>
      </c>
      <c r="D21942" s="1">
        <v>45958.299618055556</v>
      </c>
      <c r="E21942" s="2">
        <v>1</v>
      </c>
      <c r="F21942" s="2">
        <v>2</v>
      </c>
      <c r="G21942" s="2">
        <v>0</v>
      </c>
      <c r="H21942" s="1" t="s">
        <v>0</v>
      </c>
      <c r="I21942" s="2">
        <v>0</v>
      </c>
      <c r="J21942" s="1">
        <v>45957.544722222221</v>
      </c>
    </row>
    <row r="21943" spans="1:10" x14ac:dyDescent="0.2">
      <c r="A21943" s="4" t="s">
        <v>1</v>
      </c>
      <c r="B219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43" s="3" t="str">
        <f>HYPERLINK("https://otsuka-europe-crm.veevavault.com/ui/#object/sent_email__v/VBL000000001426", "SE-001378113")</f>
        <v>SE-001378113</v>
      </c>
      <c r="D21943" s="1" t="s">
        <v>0</v>
      </c>
      <c r="E21943" s="2">
        <v>0</v>
      </c>
      <c r="F21943" s="2">
        <v>0</v>
      </c>
      <c r="G21943" s="2">
        <v>0</v>
      </c>
      <c r="H21943" s="1" t="s">
        <v>0</v>
      </c>
      <c r="I21943" s="2">
        <v>0</v>
      </c>
      <c r="J21943" s="1">
        <v>45957.544791666667</v>
      </c>
    </row>
    <row r="21944" spans="1:10" x14ac:dyDescent="0.2">
      <c r="A21944" s="4" t="s">
        <v>1</v>
      </c>
      <c r="B219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44" s="3" t="str">
        <f>HYPERLINK("https://otsuka-europe-crm.veevavault.com/ui/#object/sent_email__v/VBL000000001427", "SE-001378114")</f>
        <v>SE-001378114</v>
      </c>
      <c r="D21944" s="1" t="s">
        <v>0</v>
      </c>
      <c r="E21944" s="2">
        <v>0</v>
      </c>
      <c r="F21944" s="2">
        <v>0</v>
      </c>
      <c r="G21944" s="2">
        <v>0</v>
      </c>
      <c r="H21944" s="1" t="s">
        <v>0</v>
      </c>
      <c r="I21944" s="2">
        <v>0</v>
      </c>
      <c r="J21944" s="1">
        <v>45957.544872685183</v>
      </c>
    </row>
    <row r="21945" spans="1:10" x14ac:dyDescent="0.2">
      <c r="A21945" s="4" t="s">
        <v>1</v>
      </c>
      <c r="B219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45" s="3" t="str">
        <f>HYPERLINK("https://otsuka-europe-crm.veevavault.com/ui/#object/sent_email__v/VBL000000001428", "SE-001378115")</f>
        <v>SE-001378115</v>
      </c>
      <c r="D21945" s="1" t="s">
        <v>0</v>
      </c>
      <c r="E21945" s="2">
        <v>0</v>
      </c>
      <c r="F21945" s="2">
        <v>0</v>
      </c>
      <c r="G21945" s="2">
        <v>0</v>
      </c>
      <c r="H21945" s="1" t="s">
        <v>0</v>
      </c>
      <c r="I21945" s="2">
        <v>0</v>
      </c>
      <c r="J21945" s="1">
        <v>45957.544953703706</v>
      </c>
    </row>
    <row r="21946" spans="1:10" x14ac:dyDescent="0.2">
      <c r="A21946" s="4" t="s">
        <v>1</v>
      </c>
      <c r="B219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46" s="3" t="str">
        <f>HYPERLINK("https://otsuka-europe-crm.veevavault.com/ui/#object/sent_email__v/VBL000000001429", "SE-001378116")</f>
        <v>SE-001378116</v>
      </c>
      <c r="D21946" s="1">
        <v>45957.626296296294</v>
      </c>
      <c r="E21946" s="2">
        <v>1</v>
      </c>
      <c r="F21946" s="2">
        <v>4</v>
      </c>
      <c r="G21946" s="2">
        <v>0</v>
      </c>
      <c r="H21946" s="1" t="s">
        <v>0</v>
      </c>
      <c r="I21946" s="2">
        <v>0</v>
      </c>
      <c r="J21946" s="1">
        <v>45957.545034722221</v>
      </c>
    </row>
    <row r="21947" spans="1:10" x14ac:dyDescent="0.2">
      <c r="A21947" s="4" t="s">
        <v>1</v>
      </c>
      <c r="B219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47" s="3" t="str">
        <f>HYPERLINK("https://otsuka-europe-crm.veevavault.com/ui/#object/sent_email__v/VBL000000001430", "SE-001378117")</f>
        <v>SE-001378117</v>
      </c>
      <c r="D21947" s="1">
        <v>45957.548668981479</v>
      </c>
      <c r="E21947" s="2">
        <v>1</v>
      </c>
      <c r="F21947" s="2">
        <v>1</v>
      </c>
      <c r="G21947" s="2">
        <v>0</v>
      </c>
      <c r="H21947" s="1" t="s">
        <v>0</v>
      </c>
      <c r="I21947" s="2">
        <v>0</v>
      </c>
      <c r="J21947" s="1">
        <v>45957.545104166667</v>
      </c>
    </row>
    <row r="21948" spans="1:10" x14ac:dyDescent="0.2">
      <c r="A21948" s="4" t="s">
        <v>1</v>
      </c>
      <c r="B219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48" s="3" t="str">
        <f>HYPERLINK("https://otsuka-europe-crm.veevavault.com/ui/#object/sent_email__v/VBL000000001431", "SE-001378118")</f>
        <v>SE-001378118</v>
      </c>
      <c r="D21948" s="1">
        <v>45957.545324074075</v>
      </c>
      <c r="E21948" s="2">
        <v>1</v>
      </c>
      <c r="F21948" s="2">
        <v>2</v>
      </c>
      <c r="G21948" s="2">
        <v>1</v>
      </c>
      <c r="H21948" s="1">
        <v>45957.545659722222</v>
      </c>
      <c r="I21948" s="2">
        <v>6</v>
      </c>
      <c r="J21948" s="1">
        <v>45957.54515046296</v>
      </c>
    </row>
    <row r="21949" spans="1:10" x14ac:dyDescent="0.2">
      <c r="A21949" s="4" t="s">
        <v>1</v>
      </c>
      <c r="B219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49" s="3" t="str">
        <f>HYPERLINK("https://otsuka-europe-crm.veevavault.com/ui/#object/sent_email__v/VBL000000001432", "SE-001378119")</f>
        <v>SE-001378119</v>
      </c>
      <c r="D21949" s="1">
        <v>45957.549189814818</v>
      </c>
      <c r="E21949" s="2">
        <v>1</v>
      </c>
      <c r="F21949" s="2">
        <v>1</v>
      </c>
      <c r="G21949" s="2">
        <v>0</v>
      </c>
      <c r="H21949" s="1" t="s">
        <v>0</v>
      </c>
      <c r="I21949" s="2">
        <v>0</v>
      </c>
      <c r="J21949" s="1">
        <v>45957.545208333337</v>
      </c>
    </row>
    <row r="21950" spans="1:10" x14ac:dyDescent="0.2">
      <c r="A21950" s="4" t="s">
        <v>1</v>
      </c>
      <c r="B219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50" s="3" t="str">
        <f>HYPERLINK("https://otsuka-europe-crm.veevavault.com/ui/#object/sent_email__v/VBL000000001433", "SE-001378120")</f>
        <v>SE-001378120</v>
      </c>
      <c r="D21950" s="1">
        <v>45957.554629629631</v>
      </c>
      <c r="E21950" s="2">
        <v>1</v>
      </c>
      <c r="F21950" s="2">
        <v>1</v>
      </c>
      <c r="G21950" s="2">
        <v>0</v>
      </c>
      <c r="H21950" s="1" t="s">
        <v>0</v>
      </c>
      <c r="I21950" s="2">
        <v>0</v>
      </c>
      <c r="J21950" s="1">
        <v>45957.545254629629</v>
      </c>
    </row>
    <row r="21951" spans="1:10" x14ac:dyDescent="0.2">
      <c r="A21951" s="4" t="s">
        <v>1</v>
      </c>
      <c r="B219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51" s="3" t="str">
        <f>HYPERLINK("https://otsuka-europe-crm.veevavault.com/ui/#object/sent_email__v/VBL000000001434", "SE-001378121")</f>
        <v>SE-001378121</v>
      </c>
      <c r="D21951" s="1">
        <v>45957.556006944447</v>
      </c>
      <c r="E21951" s="2">
        <v>1</v>
      </c>
      <c r="F21951" s="2">
        <v>2</v>
      </c>
      <c r="G21951" s="2">
        <v>0</v>
      </c>
      <c r="H21951" s="1" t="s">
        <v>0</v>
      </c>
      <c r="I21951" s="2">
        <v>0</v>
      </c>
      <c r="J21951" s="1">
        <v>45957.545300925929</v>
      </c>
    </row>
    <row r="21952" spans="1:10" x14ac:dyDescent="0.2">
      <c r="A21952" s="4" t="s">
        <v>1</v>
      </c>
      <c r="B219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52" s="3" t="str">
        <f>HYPERLINK("https://otsuka-europe-crm.veevavault.com/ui/#object/sent_email__v/VBL000000001435", "SE-001378122")</f>
        <v>SE-001378122</v>
      </c>
      <c r="D21952" s="1">
        <v>45957.621469907404</v>
      </c>
      <c r="E21952" s="2">
        <v>1</v>
      </c>
      <c r="F21952" s="2">
        <v>1</v>
      </c>
      <c r="G21952" s="2">
        <v>0</v>
      </c>
      <c r="H21952" s="1" t="s">
        <v>0</v>
      </c>
      <c r="I21952" s="2">
        <v>0</v>
      </c>
      <c r="J21952" s="1">
        <v>45957.545335648145</v>
      </c>
    </row>
    <row r="21953" spans="1:10" x14ac:dyDescent="0.2">
      <c r="A21953" s="4" t="s">
        <v>1</v>
      </c>
      <c r="B219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53" s="3" t="str">
        <f>HYPERLINK("https://otsuka-europe-crm.veevavault.com/ui/#object/sent_email__v/VBL000000001436", "SE-001378123")</f>
        <v>SE-001378123</v>
      </c>
      <c r="D21953" s="1">
        <v>45957.5624537037</v>
      </c>
      <c r="E21953" s="2">
        <v>1</v>
      </c>
      <c r="F21953" s="2">
        <v>3</v>
      </c>
      <c r="G21953" s="2">
        <v>0</v>
      </c>
      <c r="H21953" s="1" t="s">
        <v>0</v>
      </c>
      <c r="I21953" s="2">
        <v>0</v>
      </c>
      <c r="J21953" s="1">
        <v>45957.545381944445</v>
      </c>
    </row>
    <row r="21954" spans="1:10" x14ac:dyDescent="0.2">
      <c r="A21954" s="4" t="s">
        <v>1</v>
      </c>
      <c r="B219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54" s="3" t="str">
        <f>HYPERLINK("https://otsuka-europe-crm.veevavault.com/ui/#object/sent_email__v/VBL000000001437", "SE-001378124")</f>
        <v>SE-001378124</v>
      </c>
      <c r="D21954" s="1">
        <v>45957.962650462963</v>
      </c>
      <c r="E21954" s="2">
        <v>1</v>
      </c>
      <c r="F21954" s="2">
        <v>3</v>
      </c>
      <c r="G21954" s="2">
        <v>0</v>
      </c>
      <c r="H21954" s="1" t="s">
        <v>0</v>
      </c>
      <c r="I21954" s="2">
        <v>0</v>
      </c>
      <c r="J21954" s="1">
        <v>45957.545428240737</v>
      </c>
    </row>
    <row r="21955" spans="1:10" x14ac:dyDescent="0.2">
      <c r="A21955" s="4" t="s">
        <v>1</v>
      </c>
      <c r="B219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55" s="3" t="str">
        <f>HYPERLINK("https://otsuka-europe-crm.veevavault.com/ui/#object/sent_email__v/VBL000000001438", "SE-001378125")</f>
        <v>SE-001378125</v>
      </c>
      <c r="D21955" s="1">
        <v>45957.596539351849</v>
      </c>
      <c r="E21955" s="2">
        <v>1</v>
      </c>
      <c r="F21955" s="2">
        <v>1</v>
      </c>
      <c r="G21955" s="2">
        <v>0</v>
      </c>
      <c r="H21955" s="1" t="s">
        <v>0</v>
      </c>
      <c r="I21955" s="2">
        <v>0</v>
      </c>
      <c r="J21955" s="1">
        <v>45957.545474537037</v>
      </c>
    </row>
    <row r="21956" spans="1:10" x14ac:dyDescent="0.2">
      <c r="A21956" s="4" t="s">
        <v>1</v>
      </c>
      <c r="B219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56" s="3" t="str">
        <f>HYPERLINK("https://otsuka-europe-crm.veevavault.com/ui/#object/sent_email__v/VBL000000001439", "SE-001378126")</f>
        <v>SE-001378126</v>
      </c>
      <c r="D21956" s="1" t="s">
        <v>0</v>
      </c>
      <c r="E21956" s="2">
        <v>0</v>
      </c>
      <c r="F21956" s="2">
        <v>0</v>
      </c>
      <c r="G21956" s="2">
        <v>0</v>
      </c>
      <c r="H21956" s="1" t="s">
        <v>0</v>
      </c>
      <c r="I21956" s="2">
        <v>0</v>
      </c>
      <c r="J21956" s="1">
        <v>45957.545543981483</v>
      </c>
    </row>
    <row r="21957" spans="1:10" x14ac:dyDescent="0.2">
      <c r="A21957" s="4" t="s">
        <v>1</v>
      </c>
      <c r="B219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57" s="3" t="str">
        <f>HYPERLINK("https://otsuka-europe-crm.veevavault.com/ui/#object/sent_email__v/VBL000000001440", "SE-001378127")</f>
        <v>SE-001378127</v>
      </c>
      <c r="D21957" s="1">
        <v>45958.56622685185</v>
      </c>
      <c r="E21957" s="2">
        <v>1</v>
      </c>
      <c r="F21957" s="2">
        <v>2</v>
      </c>
      <c r="G21957" s="2">
        <v>0</v>
      </c>
      <c r="H21957" s="1" t="s">
        <v>0</v>
      </c>
      <c r="I21957" s="2">
        <v>0</v>
      </c>
      <c r="J21957" s="1">
        <v>45957.545613425929</v>
      </c>
    </row>
    <row r="21958" spans="1:10" x14ac:dyDescent="0.2">
      <c r="A21958" s="4" t="s">
        <v>1</v>
      </c>
      <c r="B219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58" s="3" t="str">
        <f>HYPERLINK("https://otsuka-europe-crm.veevavault.com/ui/#object/sent_email__v/VBL000000001441", "SE-001378128")</f>
        <v>SE-001378128</v>
      </c>
      <c r="D21958" s="1">
        <v>45958.931990740741</v>
      </c>
      <c r="E21958" s="2">
        <v>1</v>
      </c>
      <c r="F21958" s="2">
        <v>1</v>
      </c>
      <c r="G21958" s="2">
        <v>0</v>
      </c>
      <c r="H21958" s="1" t="s">
        <v>0</v>
      </c>
      <c r="I21958" s="2">
        <v>0</v>
      </c>
      <c r="J21958" s="1">
        <v>45957.545682870368</v>
      </c>
    </row>
    <row r="21959" spans="1:10" x14ac:dyDescent="0.2">
      <c r="A21959" s="4" t="s">
        <v>1</v>
      </c>
      <c r="B219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59" s="3" t="str">
        <f>HYPERLINK("https://otsuka-europe-crm.veevavault.com/ui/#object/sent_email__v/VBL000000001442", "SE-001378129")</f>
        <v>SE-001378129</v>
      </c>
      <c r="D21959" s="1">
        <v>45987.292488425926</v>
      </c>
      <c r="E21959" s="2">
        <v>1</v>
      </c>
      <c r="F21959" s="2">
        <v>7</v>
      </c>
      <c r="G21959" s="2">
        <v>0</v>
      </c>
      <c r="H21959" s="1" t="s">
        <v>0</v>
      </c>
      <c r="I21959" s="2">
        <v>0</v>
      </c>
      <c r="J21959" s="1">
        <v>45957.545752314814</v>
      </c>
    </row>
    <row r="21960" spans="1:10" x14ac:dyDescent="0.2">
      <c r="A21960" s="4" t="s">
        <v>1</v>
      </c>
      <c r="B219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60" s="3" t="str">
        <f>HYPERLINK("https://otsuka-europe-crm.veevavault.com/ui/#object/sent_email__v/VBL000000001443", "SE-001378130")</f>
        <v>SE-001378130</v>
      </c>
      <c r="D21960" s="1">
        <v>45957.915902777779</v>
      </c>
      <c r="E21960" s="2">
        <v>1</v>
      </c>
      <c r="F21960" s="2">
        <v>1</v>
      </c>
      <c r="G21960" s="2">
        <v>0</v>
      </c>
      <c r="H21960" s="1" t="s">
        <v>0</v>
      </c>
      <c r="I21960" s="2">
        <v>0</v>
      </c>
      <c r="J21960" s="1">
        <v>45957.54583333333</v>
      </c>
    </row>
    <row r="21961" spans="1:10" x14ac:dyDescent="0.2">
      <c r="A21961" s="4" t="s">
        <v>1</v>
      </c>
      <c r="B219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61" s="3" t="str">
        <f>HYPERLINK("https://otsuka-europe-crm.veevavault.com/ui/#object/sent_email__v/VBL000000001444", "SE-001378131")</f>
        <v>SE-001378131</v>
      </c>
      <c r="D21961" s="1" t="s">
        <v>0</v>
      </c>
      <c r="E21961" s="2">
        <v>0</v>
      </c>
      <c r="F21961" s="2">
        <v>0</v>
      </c>
      <c r="G21961" s="2">
        <v>0</v>
      </c>
      <c r="H21961" s="1" t="s">
        <v>0</v>
      </c>
      <c r="I21961" s="2">
        <v>0</v>
      </c>
      <c r="J21961" s="1">
        <v>45957.545891203707</v>
      </c>
    </row>
    <row r="21962" spans="1:10" x14ac:dyDescent="0.2">
      <c r="A21962" s="4" t="s">
        <v>1</v>
      </c>
      <c r="B219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62" s="3" t="str">
        <f>HYPERLINK("https://otsuka-europe-crm.veevavault.com/ui/#object/sent_email__v/VBL000000001445", "SE-001378132")</f>
        <v>SE-001378132</v>
      </c>
      <c r="D21962" s="1" t="s">
        <v>0</v>
      </c>
      <c r="E21962" s="2">
        <v>0</v>
      </c>
      <c r="F21962" s="2">
        <v>0</v>
      </c>
      <c r="G21962" s="2">
        <v>0</v>
      </c>
      <c r="H21962" s="1" t="s">
        <v>0</v>
      </c>
      <c r="I21962" s="2">
        <v>0</v>
      </c>
      <c r="J21962" s="1">
        <v>45957.545960648145</v>
      </c>
    </row>
    <row r="21963" spans="1:10" x14ac:dyDescent="0.2">
      <c r="A21963" s="4" t="s">
        <v>1</v>
      </c>
      <c r="B219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63" s="3" t="str">
        <f>HYPERLINK("https://otsuka-europe-crm.veevavault.com/ui/#object/sent_email__v/VBL000000001446", "SE-001378133")</f>
        <v>SE-001378133</v>
      </c>
      <c r="D21963" s="1">
        <v>45958.325821759259</v>
      </c>
      <c r="E21963" s="2">
        <v>1</v>
      </c>
      <c r="F21963" s="2">
        <v>2</v>
      </c>
      <c r="G21963" s="2">
        <v>0</v>
      </c>
      <c r="H21963" s="1" t="s">
        <v>0</v>
      </c>
      <c r="I21963" s="2">
        <v>0</v>
      </c>
      <c r="J21963" s="1">
        <v>45957.546030092592</v>
      </c>
    </row>
    <row r="21964" spans="1:10" x14ac:dyDescent="0.2">
      <c r="A21964" s="4" t="s">
        <v>1</v>
      </c>
      <c r="B219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64" s="3" t="str">
        <f>HYPERLINK("https://otsuka-europe-crm.veevavault.com/ui/#object/sent_email__v/VBL000000001447", "SE-001378134")</f>
        <v>SE-001378134</v>
      </c>
      <c r="D21964" s="1">
        <v>45968.423495370371</v>
      </c>
      <c r="E21964" s="2">
        <v>1</v>
      </c>
      <c r="F21964" s="2">
        <v>1</v>
      </c>
      <c r="G21964" s="2">
        <v>0</v>
      </c>
      <c r="H21964" s="1" t="s">
        <v>0</v>
      </c>
      <c r="I21964" s="2">
        <v>0</v>
      </c>
      <c r="J21964" s="1">
        <v>45957.546099537038</v>
      </c>
    </row>
    <row r="21965" spans="1:10" x14ac:dyDescent="0.2">
      <c r="A21965" s="4" t="s">
        <v>1</v>
      </c>
      <c r="B219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65" s="3" t="str">
        <f>HYPERLINK("https://otsuka-europe-crm.veevavault.com/ui/#object/sent_email__v/VBL000000001448", "SE-001378135")</f>
        <v>SE-001378135</v>
      </c>
      <c r="D21965" s="1">
        <v>45969.183923611112</v>
      </c>
      <c r="E21965" s="2">
        <v>1</v>
      </c>
      <c r="F21965" s="2">
        <v>2</v>
      </c>
      <c r="G21965" s="2">
        <v>0</v>
      </c>
      <c r="H21965" s="1" t="s">
        <v>0</v>
      </c>
      <c r="I21965" s="2">
        <v>0</v>
      </c>
      <c r="J21965" s="1">
        <v>45957.546168981484</v>
      </c>
    </row>
    <row r="21966" spans="1:10" x14ac:dyDescent="0.2">
      <c r="A21966" s="4" t="s">
        <v>1</v>
      </c>
      <c r="B219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66" s="3" t="str">
        <f>HYPERLINK("https://otsuka-europe-crm.veevavault.com/ui/#object/sent_email__v/VBL000000001449", "SE-001378136")</f>
        <v>SE-001378136</v>
      </c>
      <c r="D21966" s="1" t="s">
        <v>0</v>
      </c>
      <c r="E21966" s="2">
        <v>0</v>
      </c>
      <c r="F21966" s="2">
        <v>0</v>
      </c>
      <c r="G21966" s="2">
        <v>0</v>
      </c>
      <c r="H21966" s="1" t="s">
        <v>0</v>
      </c>
      <c r="I21966" s="2">
        <v>0</v>
      </c>
      <c r="J21966" s="1">
        <v>45957.546238425923</v>
      </c>
    </row>
    <row r="21967" spans="1:10" x14ac:dyDescent="0.2">
      <c r="A21967" s="4" t="s">
        <v>1</v>
      </c>
      <c r="B219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67" s="3" t="str">
        <f>HYPERLINK("https://otsuka-europe-crm.veevavault.com/ui/#object/sent_email__v/VBL000000001450", "SE-001378137")</f>
        <v>SE-001378137</v>
      </c>
      <c r="D21967" s="1" t="s">
        <v>0</v>
      </c>
      <c r="E21967" s="2">
        <v>0</v>
      </c>
      <c r="F21967" s="2">
        <v>0</v>
      </c>
      <c r="G21967" s="2">
        <v>0</v>
      </c>
      <c r="H21967" s="1" t="s">
        <v>0</v>
      </c>
      <c r="I21967" s="2">
        <v>0</v>
      </c>
      <c r="J21967" s="1">
        <v>45957.546307870369</v>
      </c>
    </row>
    <row r="21968" spans="1:10" x14ac:dyDescent="0.2">
      <c r="A21968" s="4" t="s">
        <v>1</v>
      </c>
      <c r="B219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68" s="3" t="str">
        <f>HYPERLINK("https://otsuka-europe-crm.veevavault.com/ui/#object/sent_email__v/VBL000000001451", "SE-001378138")</f>
        <v>SE-001378138</v>
      </c>
      <c r="D21968" s="1" t="s">
        <v>0</v>
      </c>
      <c r="E21968" s="2">
        <v>0</v>
      </c>
      <c r="F21968" s="2">
        <v>0</v>
      </c>
      <c r="G21968" s="2">
        <v>0</v>
      </c>
      <c r="H21968" s="1" t="s">
        <v>0</v>
      </c>
      <c r="I21968" s="2">
        <v>0</v>
      </c>
      <c r="J21968" s="1">
        <v>45957.546388888892</v>
      </c>
    </row>
    <row r="21969" spans="1:10" x14ac:dyDescent="0.2">
      <c r="A21969" s="4" t="s">
        <v>1</v>
      </c>
      <c r="B219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69" s="3" t="str">
        <f>HYPERLINK("https://otsuka-europe-crm.veevavault.com/ui/#object/sent_email__v/VBL000000001452", "SE-001378139")</f>
        <v>SE-001378139</v>
      </c>
      <c r="D21969" s="1" t="s">
        <v>0</v>
      </c>
      <c r="E21969" s="2">
        <v>0</v>
      </c>
      <c r="F21969" s="2">
        <v>0</v>
      </c>
      <c r="G21969" s="2">
        <v>0</v>
      </c>
      <c r="H21969" s="1" t="s">
        <v>0</v>
      </c>
      <c r="I21969" s="2">
        <v>0</v>
      </c>
      <c r="J21969" s="1">
        <v>45957.546446759261</v>
      </c>
    </row>
    <row r="21970" spans="1:10" x14ac:dyDescent="0.2">
      <c r="A21970" s="4" t="s">
        <v>1</v>
      </c>
      <c r="B219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70" s="3" t="str">
        <f>HYPERLINK("https://otsuka-europe-crm.veevavault.com/ui/#object/sent_email__v/VBL000000001453", "SE-001378140")</f>
        <v>SE-001378140</v>
      </c>
      <c r="D21970" s="1">
        <v>45957.570567129631</v>
      </c>
      <c r="E21970" s="2">
        <v>1</v>
      </c>
      <c r="F21970" s="2">
        <v>1</v>
      </c>
      <c r="G21970" s="2">
        <v>0</v>
      </c>
      <c r="H21970" s="1" t="s">
        <v>0</v>
      </c>
      <c r="I21970" s="2">
        <v>0</v>
      </c>
      <c r="J21970" s="1">
        <v>45957.546527777777</v>
      </c>
    </row>
    <row r="21971" spans="1:10" x14ac:dyDescent="0.2">
      <c r="A21971" s="4" t="s">
        <v>1</v>
      </c>
      <c r="B219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71" s="3" t="str">
        <f>HYPERLINK("https://otsuka-europe-crm.veevavault.com/ui/#object/sent_email__v/VBL000000001454", "SE-001378141")</f>
        <v>SE-001378141</v>
      </c>
      <c r="D21971" s="1" t="s">
        <v>0</v>
      </c>
      <c r="E21971" s="2">
        <v>0</v>
      </c>
      <c r="F21971" s="2">
        <v>0</v>
      </c>
      <c r="G21971" s="2">
        <v>0</v>
      </c>
      <c r="H21971" s="1" t="s">
        <v>0</v>
      </c>
      <c r="I21971" s="2">
        <v>0</v>
      </c>
      <c r="J21971" s="1">
        <v>45957.546597222223</v>
      </c>
    </row>
    <row r="21972" spans="1:10" x14ac:dyDescent="0.2">
      <c r="A21972" s="4" t="s">
        <v>1</v>
      </c>
      <c r="B219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72" s="3" t="str">
        <f>HYPERLINK("https://otsuka-europe-crm.veevavault.com/ui/#object/sent_email__v/VBL000000001455", "SE-001378142")</f>
        <v>SE-001378142</v>
      </c>
      <c r="D21972" s="1" t="s">
        <v>0</v>
      </c>
      <c r="E21972" s="2">
        <v>0</v>
      </c>
      <c r="F21972" s="2">
        <v>0</v>
      </c>
      <c r="G21972" s="2">
        <v>0</v>
      </c>
      <c r="H21972" s="1" t="s">
        <v>0</v>
      </c>
      <c r="I21972" s="2">
        <v>0</v>
      </c>
      <c r="J21972" s="1">
        <v>45957.546666666669</v>
      </c>
    </row>
    <row r="21973" spans="1:10" x14ac:dyDescent="0.2">
      <c r="A21973" s="4" t="s">
        <v>1</v>
      </c>
      <c r="B219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73" s="3" t="str">
        <f>HYPERLINK("https://otsuka-europe-crm.veevavault.com/ui/#object/sent_email__v/VBL000000001456", "SE-001378143")</f>
        <v>SE-001378143</v>
      </c>
      <c r="D21973" s="1" t="s">
        <v>0</v>
      </c>
      <c r="E21973" s="2">
        <v>0</v>
      </c>
      <c r="F21973" s="2">
        <v>0</v>
      </c>
      <c r="G21973" s="2">
        <v>0</v>
      </c>
      <c r="H21973" s="1" t="s">
        <v>0</v>
      </c>
      <c r="I21973" s="2">
        <v>0</v>
      </c>
      <c r="J21973" s="1">
        <v>45957.546736111108</v>
      </c>
    </row>
    <row r="21974" spans="1:10" x14ac:dyDescent="0.2">
      <c r="A21974" s="4" t="s">
        <v>1</v>
      </c>
      <c r="B219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74" s="3" t="str">
        <f>HYPERLINK("https://otsuka-europe-crm.veevavault.com/ui/#object/sent_email__v/VBL000000001457", "SE-001378144")</f>
        <v>SE-001378144</v>
      </c>
      <c r="D21974" s="1" t="s">
        <v>0</v>
      </c>
      <c r="E21974" s="2">
        <v>0</v>
      </c>
      <c r="F21974" s="2">
        <v>0</v>
      </c>
      <c r="G21974" s="2">
        <v>0</v>
      </c>
      <c r="H21974" s="1" t="s">
        <v>0</v>
      </c>
      <c r="I21974" s="2">
        <v>0</v>
      </c>
      <c r="J21974" s="1">
        <v>45957.546805555554</v>
      </c>
    </row>
    <row r="21975" spans="1:10" x14ac:dyDescent="0.2">
      <c r="A21975" s="4" t="s">
        <v>1</v>
      </c>
      <c r="B219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75" s="3" t="str">
        <f>HYPERLINK("https://otsuka-europe-crm.veevavault.com/ui/#object/sent_email__v/VBL000000001458", "SE-001378145")</f>
        <v>SE-001378145</v>
      </c>
      <c r="D21975" s="1" t="s">
        <v>0</v>
      </c>
      <c r="E21975" s="2">
        <v>0</v>
      </c>
      <c r="F21975" s="2">
        <v>0</v>
      </c>
      <c r="G21975" s="2">
        <v>0</v>
      </c>
      <c r="H21975" s="1" t="s">
        <v>0</v>
      </c>
      <c r="I21975" s="2">
        <v>0</v>
      </c>
      <c r="J21975" s="1">
        <v>45957.546875</v>
      </c>
    </row>
    <row r="21976" spans="1:10" x14ac:dyDescent="0.2">
      <c r="A21976" s="4" t="s">
        <v>1</v>
      </c>
      <c r="B219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76" s="3" t="str">
        <f>HYPERLINK("https://otsuka-europe-crm.veevavault.com/ui/#object/sent_email__v/VBL000000001459", "SE-001378146")</f>
        <v>SE-001378146</v>
      </c>
      <c r="D21976" s="1">
        <v>45957.56113425926</v>
      </c>
      <c r="E21976" s="2">
        <v>1</v>
      </c>
      <c r="F21976" s="2">
        <v>1</v>
      </c>
      <c r="G21976" s="2">
        <v>0</v>
      </c>
      <c r="H21976" s="1" t="s">
        <v>0</v>
      </c>
      <c r="I21976" s="2">
        <v>0</v>
      </c>
      <c r="J21976" s="1">
        <v>45957.546944444446</v>
      </c>
    </row>
    <row r="21977" spans="1:10" x14ac:dyDescent="0.2">
      <c r="A21977" s="4" t="s">
        <v>1</v>
      </c>
      <c r="B219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77" s="3" t="str">
        <f>HYPERLINK("https://otsuka-europe-crm.veevavault.com/ui/#object/sent_email__v/VBL000000001460", "SE-001378147")</f>
        <v>SE-001378147</v>
      </c>
      <c r="D21977" s="1" t="s">
        <v>0</v>
      </c>
      <c r="E21977" s="2">
        <v>0</v>
      </c>
      <c r="F21977" s="2">
        <v>0</v>
      </c>
      <c r="G21977" s="2">
        <v>0</v>
      </c>
      <c r="H21977" s="1" t="s">
        <v>0</v>
      </c>
      <c r="I21977" s="2">
        <v>0</v>
      </c>
      <c r="J21977" s="1">
        <v>45957.547013888892</v>
      </c>
    </row>
    <row r="21978" spans="1:10" x14ac:dyDescent="0.2">
      <c r="A21978" s="4" t="s">
        <v>1</v>
      </c>
      <c r="B219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78" s="3" t="str">
        <f>HYPERLINK("https://otsuka-europe-crm.veevavault.com/ui/#object/sent_email__v/VBL000000001461", "SE-001378148")</f>
        <v>SE-001378148</v>
      </c>
      <c r="D21978" s="1" t="s">
        <v>0</v>
      </c>
      <c r="E21978" s="2">
        <v>0</v>
      </c>
      <c r="F21978" s="2">
        <v>0</v>
      </c>
      <c r="G21978" s="2">
        <v>0</v>
      </c>
      <c r="H21978" s="1" t="s">
        <v>0</v>
      </c>
      <c r="I21978" s="2">
        <v>0</v>
      </c>
      <c r="J21978" s="1">
        <v>45957.547083333331</v>
      </c>
    </row>
    <row r="21979" spans="1:10" x14ac:dyDescent="0.2">
      <c r="A21979" s="4" t="s">
        <v>1</v>
      </c>
      <c r="B219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79" s="3" t="str">
        <f>HYPERLINK("https://otsuka-europe-crm.veevavault.com/ui/#object/sent_email__v/VBL000000001462", "SE-001378149")</f>
        <v>SE-001378149</v>
      </c>
      <c r="D21979" s="1" t="s">
        <v>0</v>
      </c>
      <c r="E21979" s="2">
        <v>0</v>
      </c>
      <c r="F21979" s="2">
        <v>0</v>
      </c>
      <c r="G21979" s="2">
        <v>0</v>
      </c>
      <c r="H21979" s="1" t="s">
        <v>0</v>
      </c>
      <c r="I21979" s="2">
        <v>0</v>
      </c>
      <c r="J21979" s="1">
        <v>45957.547152777777</v>
      </c>
    </row>
    <row r="21980" spans="1:10" x14ac:dyDescent="0.2">
      <c r="A21980" s="4" t="s">
        <v>1</v>
      </c>
      <c r="B219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80" s="3" t="str">
        <f>HYPERLINK("https://otsuka-europe-crm.veevavault.com/ui/#object/sent_email__v/VBL000000001463", "SE-001378150")</f>
        <v>SE-001378150</v>
      </c>
      <c r="D21980" s="1">
        <v>45957.662199074075</v>
      </c>
      <c r="E21980" s="2">
        <v>1</v>
      </c>
      <c r="F21980" s="2">
        <v>1</v>
      </c>
      <c r="G21980" s="2">
        <v>0</v>
      </c>
      <c r="H21980" s="1" t="s">
        <v>0</v>
      </c>
      <c r="I21980" s="2">
        <v>0</v>
      </c>
      <c r="J21980" s="1">
        <v>45957.547222222223</v>
      </c>
    </row>
    <row r="21981" spans="1:10" x14ac:dyDescent="0.2">
      <c r="A21981" s="4" t="s">
        <v>1</v>
      </c>
      <c r="B219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81" s="3" t="str">
        <f>HYPERLINK("https://otsuka-europe-crm.veevavault.com/ui/#object/sent_email__v/VBL000000001464", "SE-001378151")</f>
        <v>SE-001378151</v>
      </c>
      <c r="D21981" s="1">
        <v>45957.625914351855</v>
      </c>
      <c r="E21981" s="2">
        <v>1</v>
      </c>
      <c r="F21981" s="2">
        <v>1</v>
      </c>
      <c r="G21981" s="2">
        <v>0</v>
      </c>
      <c r="H21981" s="1" t="s">
        <v>0</v>
      </c>
      <c r="I21981" s="2">
        <v>0</v>
      </c>
      <c r="J21981" s="1">
        <v>45957.547291666669</v>
      </c>
    </row>
    <row r="21982" spans="1:10" x14ac:dyDescent="0.2">
      <c r="A21982" s="4" t="s">
        <v>1</v>
      </c>
      <c r="B219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82" s="3" t="str">
        <f>HYPERLINK("https://otsuka-europe-crm.veevavault.com/ui/#object/sent_email__v/VBL000000001465", "SE-001378152")</f>
        <v>SE-001378152</v>
      </c>
      <c r="D21982" s="1" t="s">
        <v>0</v>
      </c>
      <c r="E21982" s="2">
        <v>0</v>
      </c>
      <c r="F21982" s="2">
        <v>0</v>
      </c>
      <c r="G21982" s="2">
        <v>0</v>
      </c>
      <c r="H21982" s="1" t="s">
        <v>0</v>
      </c>
      <c r="I21982" s="2">
        <v>0</v>
      </c>
      <c r="J21982" s="1">
        <v>45957.547361111108</v>
      </c>
    </row>
    <row r="21983" spans="1:10" x14ac:dyDescent="0.2">
      <c r="A21983" s="4" t="s">
        <v>1</v>
      </c>
      <c r="B219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83" s="3" t="str">
        <f>HYPERLINK("https://otsuka-europe-crm.veevavault.com/ui/#object/sent_email__v/VBL000000001466", "SE-001378153")</f>
        <v>SE-001378153</v>
      </c>
      <c r="D21983" s="1">
        <v>45957.703645833331</v>
      </c>
      <c r="E21983" s="2">
        <v>1</v>
      </c>
      <c r="F21983" s="2">
        <v>2</v>
      </c>
      <c r="G21983" s="2">
        <v>0</v>
      </c>
      <c r="H21983" s="1" t="s">
        <v>0</v>
      </c>
      <c r="I21983" s="2">
        <v>0</v>
      </c>
      <c r="J21983" s="1">
        <v>45957.547430555554</v>
      </c>
    </row>
    <row r="21984" spans="1:10" x14ac:dyDescent="0.2">
      <c r="A21984" s="4" t="s">
        <v>1</v>
      </c>
      <c r="B219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84" s="3" t="str">
        <f>HYPERLINK("https://otsuka-europe-crm.veevavault.com/ui/#object/sent_email__v/VBL000000001467", "SE-001378154")</f>
        <v>SE-001378154</v>
      </c>
      <c r="D21984" s="1" t="s">
        <v>0</v>
      </c>
      <c r="E21984" s="2">
        <v>0</v>
      </c>
      <c r="F21984" s="2">
        <v>0</v>
      </c>
      <c r="G21984" s="2">
        <v>0</v>
      </c>
      <c r="H21984" s="1" t="s">
        <v>0</v>
      </c>
      <c r="I21984" s="2">
        <v>0</v>
      </c>
      <c r="J21984" s="1">
        <v>45957.547500000001</v>
      </c>
    </row>
    <row r="21985" spans="1:10" x14ac:dyDescent="0.2">
      <c r="A21985" s="4" t="s">
        <v>1</v>
      </c>
      <c r="B219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85" s="3" t="str">
        <f>HYPERLINK("https://otsuka-europe-crm.veevavault.com/ui/#object/sent_email__v/VBL000000001468", "SE-001378155")</f>
        <v>SE-001378155</v>
      </c>
      <c r="D21985" s="1">
        <v>45957.70107638889</v>
      </c>
      <c r="E21985" s="2">
        <v>1</v>
      </c>
      <c r="F21985" s="2">
        <v>1</v>
      </c>
      <c r="G21985" s="2">
        <v>0</v>
      </c>
      <c r="H21985" s="1" t="s">
        <v>0</v>
      </c>
      <c r="I21985" s="2">
        <v>0</v>
      </c>
      <c r="J21985" s="1">
        <v>45957.547569444447</v>
      </c>
    </row>
    <row r="21986" spans="1:10" x14ac:dyDescent="0.2">
      <c r="A21986" s="4" t="s">
        <v>1</v>
      </c>
      <c r="B219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86" s="3" t="str">
        <f>HYPERLINK("https://otsuka-europe-crm.veevavault.com/ui/#object/sent_email__v/VBL000000001469", "SE-001378156")</f>
        <v>SE-001378156</v>
      </c>
      <c r="D21986" s="1" t="s">
        <v>0</v>
      </c>
      <c r="E21986" s="2">
        <v>0</v>
      </c>
      <c r="F21986" s="2">
        <v>0</v>
      </c>
      <c r="G21986" s="2">
        <v>0</v>
      </c>
      <c r="H21986" s="1" t="s">
        <v>0</v>
      </c>
      <c r="I21986" s="2">
        <v>0</v>
      </c>
      <c r="J21986" s="1">
        <v>45957.547638888886</v>
      </c>
    </row>
    <row r="21987" spans="1:10" x14ac:dyDescent="0.2">
      <c r="A21987" s="4" t="s">
        <v>1</v>
      </c>
      <c r="B219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87" s="3" t="str">
        <f>HYPERLINK("https://otsuka-europe-crm.veevavault.com/ui/#object/sent_email__v/VBL000000001470", "SE-001378157")</f>
        <v>SE-001378157</v>
      </c>
      <c r="D21987" s="1" t="s">
        <v>0</v>
      </c>
      <c r="E21987" s="2">
        <v>0</v>
      </c>
      <c r="F21987" s="2">
        <v>0</v>
      </c>
      <c r="G21987" s="2">
        <v>0</v>
      </c>
      <c r="H21987" s="1" t="s">
        <v>0</v>
      </c>
      <c r="I21987" s="2">
        <v>0</v>
      </c>
      <c r="J21987" s="1">
        <v>45957.547719907408</v>
      </c>
    </row>
    <row r="21988" spans="1:10" x14ac:dyDescent="0.2">
      <c r="A21988" s="4" t="s">
        <v>1</v>
      </c>
      <c r="B219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88" s="3" t="str">
        <f>HYPERLINK("https://otsuka-europe-crm.veevavault.com/ui/#object/sent_email__v/VBL000000001471", "SE-001378158")</f>
        <v>SE-001378158</v>
      </c>
      <c r="D21988" s="1">
        <v>45957.761354166665</v>
      </c>
      <c r="E21988" s="2">
        <v>1</v>
      </c>
      <c r="F21988" s="2">
        <v>1</v>
      </c>
      <c r="G21988" s="2">
        <v>0</v>
      </c>
      <c r="H21988" s="1" t="s">
        <v>0</v>
      </c>
      <c r="I21988" s="2">
        <v>0</v>
      </c>
      <c r="J21988" s="1">
        <v>45957.547789351855</v>
      </c>
    </row>
    <row r="21989" spans="1:10" x14ac:dyDescent="0.2">
      <c r="A21989" s="4" t="s">
        <v>1</v>
      </c>
      <c r="B219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89" s="3" t="str">
        <f>HYPERLINK("https://otsuka-europe-crm.veevavault.com/ui/#object/sent_email__v/VBL000000001472", "SE-001378159")</f>
        <v>SE-001378159</v>
      </c>
      <c r="D21989" s="1">
        <v>45982.394224537034</v>
      </c>
      <c r="E21989" s="2">
        <v>1</v>
      </c>
      <c r="F21989" s="2">
        <v>1</v>
      </c>
      <c r="G21989" s="2">
        <v>0</v>
      </c>
      <c r="H21989" s="1" t="s">
        <v>0</v>
      </c>
      <c r="I21989" s="2">
        <v>0</v>
      </c>
      <c r="J21989" s="1">
        <v>45957.547858796293</v>
      </c>
    </row>
    <row r="21990" spans="1:10" x14ac:dyDescent="0.2">
      <c r="A21990" s="4" t="s">
        <v>1</v>
      </c>
      <c r="B219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90" s="3" t="str">
        <f>HYPERLINK("https://otsuka-europe-crm.veevavault.com/ui/#object/sent_email__v/VBL000000001473", "SE-001378160")</f>
        <v>SE-001378160</v>
      </c>
      <c r="D21990" s="1" t="s">
        <v>0</v>
      </c>
      <c r="E21990" s="2">
        <v>0</v>
      </c>
      <c r="F21990" s="2">
        <v>0</v>
      </c>
      <c r="G21990" s="2">
        <v>0</v>
      </c>
      <c r="H21990" s="1" t="s">
        <v>0</v>
      </c>
      <c r="I21990" s="2">
        <v>0</v>
      </c>
      <c r="J21990" s="1">
        <v>45957.54792824074</v>
      </c>
    </row>
    <row r="21991" spans="1:10" x14ac:dyDescent="0.2">
      <c r="A21991" s="4" t="s">
        <v>1</v>
      </c>
      <c r="B219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91" s="3" t="str">
        <f>HYPERLINK("https://otsuka-europe-crm.veevavault.com/ui/#object/sent_email__v/VBL000000001474", "SE-001378161")</f>
        <v>SE-001378161</v>
      </c>
      <c r="D21991" s="1">
        <v>45960.693749999999</v>
      </c>
      <c r="E21991" s="2">
        <v>1</v>
      </c>
      <c r="F21991" s="2">
        <v>3</v>
      </c>
      <c r="G21991" s="2">
        <v>1</v>
      </c>
      <c r="H21991" s="1">
        <v>45957.841956018521</v>
      </c>
      <c r="I21991" s="2">
        <v>1</v>
      </c>
      <c r="J21991" s="1">
        <v>45957.548009259262</v>
      </c>
    </row>
    <row r="21992" spans="1:10" x14ac:dyDescent="0.2">
      <c r="A21992" s="4" t="s">
        <v>1</v>
      </c>
      <c r="B219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92" s="3" t="str">
        <f>HYPERLINK("https://otsuka-europe-crm.veevavault.com/ui/#object/sent_email__v/VBL000000001475", "SE-001378162")</f>
        <v>SE-001378162</v>
      </c>
      <c r="D21992" s="1" t="s">
        <v>0</v>
      </c>
      <c r="E21992" s="2">
        <v>0</v>
      </c>
      <c r="F21992" s="2">
        <v>0</v>
      </c>
      <c r="G21992" s="2">
        <v>0</v>
      </c>
      <c r="H21992" s="1" t="s">
        <v>0</v>
      </c>
      <c r="I21992" s="2">
        <v>0</v>
      </c>
      <c r="J21992" s="1">
        <v>45957.548067129632</v>
      </c>
    </row>
    <row r="21993" spans="1:10" x14ac:dyDescent="0.2">
      <c r="A21993" s="4" t="s">
        <v>1</v>
      </c>
      <c r="B219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93" s="3" t="str">
        <f>HYPERLINK("https://otsuka-europe-crm.veevavault.com/ui/#object/sent_email__v/VBL000000001476", "SE-001378163")</f>
        <v>SE-001378163</v>
      </c>
      <c r="D21993" s="1">
        <v>45957.807708333334</v>
      </c>
      <c r="E21993" s="2">
        <v>1</v>
      </c>
      <c r="F21993" s="2">
        <v>2</v>
      </c>
      <c r="G21993" s="2">
        <v>0</v>
      </c>
      <c r="H21993" s="1" t="s">
        <v>0</v>
      </c>
      <c r="I21993" s="2">
        <v>0</v>
      </c>
      <c r="J21993" s="1">
        <v>45957.548159722224</v>
      </c>
    </row>
    <row r="21994" spans="1:10" x14ac:dyDescent="0.2">
      <c r="A21994" s="4" t="s">
        <v>1</v>
      </c>
      <c r="B219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94" s="3" t="str">
        <f>HYPERLINK("https://otsuka-europe-crm.veevavault.com/ui/#object/sent_email__v/VBL000000001477", "SE-001378164")</f>
        <v>SE-001378164</v>
      </c>
      <c r="D21994" s="1" t="s">
        <v>0</v>
      </c>
      <c r="E21994" s="2">
        <v>0</v>
      </c>
      <c r="F21994" s="2">
        <v>0</v>
      </c>
      <c r="G21994" s="2">
        <v>0</v>
      </c>
      <c r="H21994" s="1" t="s">
        <v>0</v>
      </c>
      <c r="I21994" s="2">
        <v>0</v>
      </c>
      <c r="J21994" s="1">
        <v>45957.548229166663</v>
      </c>
    </row>
    <row r="21995" spans="1:10" x14ac:dyDescent="0.2">
      <c r="A21995" s="4" t="s">
        <v>1</v>
      </c>
      <c r="B219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95" s="3" t="str">
        <f>HYPERLINK("https://otsuka-europe-crm.veevavault.com/ui/#object/sent_email__v/VBL000000001478", "SE-001378165")</f>
        <v>SE-001378165</v>
      </c>
      <c r="D21995" s="1" t="s">
        <v>0</v>
      </c>
      <c r="E21995" s="2">
        <v>0</v>
      </c>
      <c r="F21995" s="2">
        <v>0</v>
      </c>
      <c r="G21995" s="2">
        <v>0</v>
      </c>
      <c r="H21995" s="1" t="s">
        <v>0</v>
      </c>
      <c r="I21995" s="2">
        <v>0</v>
      </c>
      <c r="J21995" s="1">
        <v>45957.548310185186</v>
      </c>
    </row>
    <row r="21996" spans="1:10" x14ac:dyDescent="0.2">
      <c r="A21996" s="4" t="s">
        <v>1</v>
      </c>
      <c r="B219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96" s="3" t="str">
        <f>HYPERLINK("https://otsuka-europe-crm.veevavault.com/ui/#object/sent_email__v/VBL000000001479", "SE-001378166")</f>
        <v>SE-001378166</v>
      </c>
      <c r="D21996" s="1" t="s">
        <v>0</v>
      </c>
      <c r="E21996" s="2">
        <v>0</v>
      </c>
      <c r="F21996" s="2">
        <v>0</v>
      </c>
      <c r="G21996" s="2">
        <v>0</v>
      </c>
      <c r="H21996" s="1" t="s">
        <v>0</v>
      </c>
      <c r="I21996" s="2">
        <v>0</v>
      </c>
      <c r="J21996" s="1">
        <v>45957.548368055555</v>
      </c>
    </row>
    <row r="21997" spans="1:10" x14ac:dyDescent="0.2">
      <c r="A21997" s="4" t="s">
        <v>1</v>
      </c>
      <c r="B219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97" s="3" t="str">
        <f>HYPERLINK("https://otsuka-europe-crm.veevavault.com/ui/#object/sent_email__v/VBL000000001480", "SE-001378167")</f>
        <v>SE-001378167</v>
      </c>
      <c r="D21997" s="1">
        <v>45958.369942129626</v>
      </c>
      <c r="E21997" s="2">
        <v>1</v>
      </c>
      <c r="F21997" s="2">
        <v>2</v>
      </c>
      <c r="G21997" s="2">
        <v>0</v>
      </c>
      <c r="H21997" s="1" t="s">
        <v>0</v>
      </c>
      <c r="I21997" s="2">
        <v>0</v>
      </c>
      <c r="J21997" s="1">
        <v>45957.548437500001</v>
      </c>
    </row>
    <row r="21998" spans="1:10" x14ac:dyDescent="0.2">
      <c r="A21998" s="4" t="s">
        <v>1</v>
      </c>
      <c r="B219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98" s="3" t="str">
        <f>HYPERLINK("https://otsuka-europe-crm.veevavault.com/ui/#object/sent_email__v/VBL000000001481", "SE-001378168")</f>
        <v>SE-001378168</v>
      </c>
      <c r="D21998" s="1">
        <v>45957.723483796297</v>
      </c>
      <c r="E21998" s="2">
        <v>1</v>
      </c>
      <c r="F21998" s="2">
        <v>1</v>
      </c>
      <c r="G21998" s="2">
        <v>0</v>
      </c>
      <c r="H21998" s="1" t="s">
        <v>0</v>
      </c>
      <c r="I21998" s="2">
        <v>0</v>
      </c>
      <c r="J21998" s="1">
        <v>45957.548506944448</v>
      </c>
    </row>
    <row r="21999" spans="1:10" x14ac:dyDescent="0.2">
      <c r="A21999" s="4" t="s">
        <v>1</v>
      </c>
      <c r="B219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1999" s="3" t="str">
        <f>HYPERLINK("https://otsuka-europe-crm.veevavault.com/ui/#object/sent_email__v/VBL000000001482", "SE-001378169")</f>
        <v>SE-001378169</v>
      </c>
      <c r="D21999" s="1" t="s">
        <v>0</v>
      </c>
      <c r="E21999" s="2">
        <v>0</v>
      </c>
      <c r="F21999" s="2">
        <v>0</v>
      </c>
      <c r="G21999" s="2">
        <v>0</v>
      </c>
      <c r="H21999" s="1" t="s">
        <v>0</v>
      </c>
      <c r="I21999" s="2">
        <v>0</v>
      </c>
      <c r="J21999" s="1">
        <v>45957.548587962963</v>
      </c>
    </row>
    <row r="22000" spans="1:10" x14ac:dyDescent="0.2">
      <c r="A22000" s="4" t="s">
        <v>1</v>
      </c>
      <c r="B220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00" s="3" t="str">
        <f>HYPERLINK("https://otsuka-europe-crm.veevavault.com/ui/#object/sent_email__v/VBL000000001483", "SE-001378170")</f>
        <v>SE-001378170</v>
      </c>
      <c r="D22000" s="1">
        <v>45957.619803240741</v>
      </c>
      <c r="E22000" s="2">
        <v>1</v>
      </c>
      <c r="F22000" s="2">
        <v>1</v>
      </c>
      <c r="G22000" s="2">
        <v>0</v>
      </c>
      <c r="H22000" s="1" t="s">
        <v>0</v>
      </c>
      <c r="I22000" s="2">
        <v>0</v>
      </c>
      <c r="J22000" s="1">
        <v>45957.548622685186</v>
      </c>
    </row>
    <row r="22001" spans="1:10" x14ac:dyDescent="0.2">
      <c r="A22001" s="4" t="s">
        <v>1</v>
      </c>
      <c r="B220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01" s="3" t="str">
        <f>HYPERLINK("https://otsuka-europe-crm.veevavault.com/ui/#object/sent_email__v/VBL000000001484", "SE-001378171")</f>
        <v>SE-001378171</v>
      </c>
      <c r="D22001" s="1">
        <v>45957.891875000001</v>
      </c>
      <c r="E22001" s="2">
        <v>1</v>
      </c>
      <c r="F22001" s="2">
        <v>1</v>
      </c>
      <c r="G22001" s="2">
        <v>0</v>
      </c>
      <c r="H22001" s="1" t="s">
        <v>0</v>
      </c>
      <c r="I22001" s="2">
        <v>0</v>
      </c>
      <c r="J22001" s="1">
        <v>45957.548668981479</v>
      </c>
    </row>
    <row r="22002" spans="1:10" x14ac:dyDescent="0.2">
      <c r="A22002" s="4" t="s">
        <v>1</v>
      </c>
      <c r="B220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02" s="3" t="str">
        <f>HYPERLINK("https://otsuka-europe-crm.veevavault.com/ui/#object/sent_email__v/VBL000000001485", "SE-001378172")</f>
        <v>SE-001378172</v>
      </c>
      <c r="D22002" s="1">
        <v>45980.463645833333</v>
      </c>
      <c r="E22002" s="2">
        <v>1</v>
      </c>
      <c r="F22002" s="2">
        <v>2</v>
      </c>
      <c r="G22002" s="2">
        <v>0</v>
      </c>
      <c r="H22002" s="1" t="s">
        <v>0</v>
      </c>
      <c r="I22002" s="2">
        <v>0</v>
      </c>
      <c r="J22002" s="1">
        <v>45957.548715277779</v>
      </c>
    </row>
    <row r="22003" spans="1:10" x14ac:dyDescent="0.2">
      <c r="A22003" s="4" t="s">
        <v>1</v>
      </c>
      <c r="B220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03" s="3" t="str">
        <f>HYPERLINK("https://otsuka-europe-crm.veevavault.com/ui/#object/sent_email__v/VBL000000001486", "SE-001378173")</f>
        <v>SE-001378173</v>
      </c>
      <c r="D22003" s="1">
        <v>45957.610567129632</v>
      </c>
      <c r="E22003" s="2">
        <v>1</v>
      </c>
      <c r="F22003" s="2">
        <v>1</v>
      </c>
      <c r="G22003" s="2">
        <v>0</v>
      </c>
      <c r="H22003" s="1" t="s">
        <v>0</v>
      </c>
      <c r="I22003" s="2">
        <v>0</v>
      </c>
      <c r="J22003" s="1">
        <v>45957.548773148148</v>
      </c>
    </row>
    <row r="22004" spans="1:10" x14ac:dyDescent="0.2">
      <c r="A22004" s="4" t="s">
        <v>1</v>
      </c>
      <c r="B220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04" s="3" t="str">
        <f>HYPERLINK("https://otsuka-europe-crm.veevavault.com/ui/#object/sent_email__v/VBL000000001487", "SE-001378174")</f>
        <v>SE-001378174</v>
      </c>
      <c r="D22004" s="1">
        <v>45957.706342592595</v>
      </c>
      <c r="E22004" s="2">
        <v>1</v>
      </c>
      <c r="F22004" s="2">
        <v>4</v>
      </c>
      <c r="G22004" s="2">
        <v>1</v>
      </c>
      <c r="H22004" s="1">
        <v>45957.706400462965</v>
      </c>
      <c r="I22004" s="2">
        <v>3</v>
      </c>
      <c r="J22004" s="1">
        <v>45957.548807870371</v>
      </c>
    </row>
    <row r="22005" spans="1:10" x14ac:dyDescent="0.2">
      <c r="A22005" s="4" t="s">
        <v>1</v>
      </c>
      <c r="B220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05" s="3" t="str">
        <f>HYPERLINK("https://otsuka-europe-crm.veevavault.com/ui/#object/sent_email__v/VBL000000001488", "SE-001378175")</f>
        <v>SE-001378175</v>
      </c>
      <c r="D22005" s="1">
        <v>45957.55091435185</v>
      </c>
      <c r="E22005" s="2">
        <v>1</v>
      </c>
      <c r="F22005" s="2">
        <v>2</v>
      </c>
      <c r="G22005" s="2">
        <v>0</v>
      </c>
      <c r="H22005" s="1" t="s">
        <v>0</v>
      </c>
      <c r="I22005" s="2">
        <v>0</v>
      </c>
      <c r="J22005" s="1">
        <v>45957.548854166664</v>
      </c>
    </row>
    <row r="22006" spans="1:10" x14ac:dyDescent="0.2">
      <c r="A22006" s="4" t="s">
        <v>1</v>
      </c>
      <c r="B220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06" s="3" t="str">
        <f>HYPERLINK("https://otsuka-europe-crm.veevavault.com/ui/#object/sent_email__v/VBL000000001489", "SE-001378176")</f>
        <v>SE-001378176</v>
      </c>
      <c r="D22006" s="1" t="s">
        <v>0</v>
      </c>
      <c r="E22006" s="2">
        <v>0</v>
      </c>
      <c r="F22006" s="2">
        <v>0</v>
      </c>
      <c r="G22006" s="2">
        <v>0</v>
      </c>
      <c r="H22006" s="1" t="s">
        <v>0</v>
      </c>
      <c r="I22006" s="2">
        <v>0</v>
      </c>
      <c r="J22006" s="1">
        <v>45957.54892361111</v>
      </c>
    </row>
    <row r="22007" spans="1:10" x14ac:dyDescent="0.2">
      <c r="A22007" s="4" t="s">
        <v>1</v>
      </c>
      <c r="B220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07" s="3" t="str">
        <f>HYPERLINK("https://otsuka-europe-crm.veevavault.com/ui/#object/sent_email__v/VBL000000001490", "SE-001378177")</f>
        <v>SE-001378177</v>
      </c>
      <c r="D22007" s="1">
        <v>45957.552754629629</v>
      </c>
      <c r="E22007" s="2">
        <v>1</v>
      </c>
      <c r="F22007" s="2">
        <v>1</v>
      </c>
      <c r="G22007" s="2">
        <v>0</v>
      </c>
      <c r="H22007" s="1" t="s">
        <v>0</v>
      </c>
      <c r="I22007" s="2">
        <v>0</v>
      </c>
      <c r="J22007" s="1">
        <v>45957.548993055556</v>
      </c>
    </row>
    <row r="22008" spans="1:10" x14ac:dyDescent="0.2">
      <c r="A22008" s="4" t="s">
        <v>1</v>
      </c>
      <c r="B220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08" s="3" t="str">
        <f>HYPERLINK("https://otsuka-europe-crm.veevavault.com/ui/#object/sent_email__v/VBL000000001491", "SE-001378178")</f>
        <v>SE-001378178</v>
      </c>
      <c r="D22008" s="1">
        <v>45957.579918981479</v>
      </c>
      <c r="E22008" s="2">
        <v>1</v>
      </c>
      <c r="F22008" s="2">
        <v>1</v>
      </c>
      <c r="G22008" s="2">
        <v>0</v>
      </c>
      <c r="H22008" s="1" t="s">
        <v>0</v>
      </c>
      <c r="I22008" s="2">
        <v>0</v>
      </c>
      <c r="J22008" s="1">
        <v>45957.549085648148</v>
      </c>
    </row>
    <row r="22009" spans="1:10" x14ac:dyDescent="0.2">
      <c r="A22009" s="4" t="s">
        <v>1</v>
      </c>
      <c r="B220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09" s="3" t="str">
        <f>HYPERLINK("https://otsuka-europe-crm.veevavault.com/ui/#object/sent_email__v/VBL000000001492", "SE-001378179")</f>
        <v>SE-001378179</v>
      </c>
      <c r="D22009" s="1" t="s">
        <v>0</v>
      </c>
      <c r="E22009" s="2">
        <v>0</v>
      </c>
      <c r="F22009" s="2">
        <v>0</v>
      </c>
      <c r="G22009" s="2">
        <v>0</v>
      </c>
      <c r="H22009" s="1" t="s">
        <v>0</v>
      </c>
      <c r="I22009" s="2">
        <v>0</v>
      </c>
      <c r="J22009" s="1">
        <v>45957.549143518518</v>
      </c>
    </row>
    <row r="22010" spans="1:10" x14ac:dyDescent="0.2">
      <c r="A22010" s="4" t="s">
        <v>1</v>
      </c>
      <c r="B220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10" s="3" t="str">
        <f>HYPERLINK("https://otsuka-europe-crm.veevavault.com/ui/#object/sent_email__v/VBL000000001493", "SE-001378180")</f>
        <v>SE-001378180</v>
      </c>
      <c r="D22010" s="1">
        <v>45966.429074074076</v>
      </c>
      <c r="E22010" s="2">
        <v>1</v>
      </c>
      <c r="F22010" s="2">
        <v>2</v>
      </c>
      <c r="G22010" s="2">
        <v>0</v>
      </c>
      <c r="H22010" s="1" t="s">
        <v>0</v>
      </c>
      <c r="I22010" s="2">
        <v>0</v>
      </c>
      <c r="J22010" s="1">
        <v>45957.549212962964</v>
      </c>
    </row>
    <row r="22011" spans="1:10" x14ac:dyDescent="0.2">
      <c r="A22011" s="4" t="s">
        <v>1</v>
      </c>
      <c r="B220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11" s="3" t="str">
        <f>HYPERLINK("https://otsuka-europe-crm.veevavault.com/ui/#object/sent_email__v/VBL000000001494", "SE-001378181")</f>
        <v>SE-001378181</v>
      </c>
      <c r="D22011" s="1" t="s">
        <v>0</v>
      </c>
      <c r="E22011" s="2">
        <v>0</v>
      </c>
      <c r="F22011" s="2">
        <v>0</v>
      </c>
      <c r="G22011" s="2">
        <v>0</v>
      </c>
      <c r="H22011" s="1" t="s">
        <v>0</v>
      </c>
      <c r="I22011" s="2">
        <v>0</v>
      </c>
      <c r="J22011" s="1">
        <v>45957.54928240741</v>
      </c>
    </row>
    <row r="22012" spans="1:10" x14ac:dyDescent="0.2">
      <c r="A22012" s="4" t="s">
        <v>1</v>
      </c>
      <c r="B220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12" s="3" t="str">
        <f>HYPERLINK("https://otsuka-europe-crm.veevavault.com/ui/#object/sent_email__v/VBL000000001495", "SE-001378182")</f>
        <v>SE-001378182</v>
      </c>
      <c r="D22012" s="1" t="s">
        <v>0</v>
      </c>
      <c r="E22012" s="2">
        <v>0</v>
      </c>
      <c r="F22012" s="2">
        <v>0</v>
      </c>
      <c r="G22012" s="2">
        <v>0</v>
      </c>
      <c r="H22012" s="1" t="s">
        <v>0</v>
      </c>
      <c r="I22012" s="2">
        <v>0</v>
      </c>
      <c r="J22012" s="1">
        <v>45957.549351851849</v>
      </c>
    </row>
    <row r="22013" spans="1:10" x14ac:dyDescent="0.2">
      <c r="A22013" s="4" t="s">
        <v>1</v>
      </c>
      <c r="B220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13" s="3" t="str">
        <f>HYPERLINK("https://otsuka-europe-crm.veevavault.com/ui/#object/sent_email__v/VBL000000001496", "SE-001378183")</f>
        <v>SE-001378183</v>
      </c>
      <c r="D22013" s="1">
        <v>45958.769583333335</v>
      </c>
      <c r="E22013" s="2">
        <v>1</v>
      </c>
      <c r="F22013" s="2">
        <v>1</v>
      </c>
      <c r="G22013" s="2">
        <v>0</v>
      </c>
      <c r="H22013" s="1" t="s">
        <v>0</v>
      </c>
      <c r="I22013" s="2">
        <v>0</v>
      </c>
      <c r="J22013" s="1">
        <v>45957.549421296295</v>
      </c>
    </row>
    <row r="22014" spans="1:10" x14ac:dyDescent="0.2">
      <c r="A22014" s="4" t="s">
        <v>1</v>
      </c>
      <c r="B220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14" s="3" t="str">
        <f>HYPERLINK("https://otsuka-europe-crm.veevavault.com/ui/#object/sent_email__v/VBL000000001497", "SE-001378184")</f>
        <v>SE-001378184</v>
      </c>
      <c r="D22014" s="1" t="s">
        <v>0</v>
      </c>
      <c r="E22014" s="2">
        <v>0</v>
      </c>
      <c r="F22014" s="2">
        <v>0</v>
      </c>
      <c r="G22014" s="2">
        <v>0</v>
      </c>
      <c r="H22014" s="1" t="s">
        <v>0</v>
      </c>
      <c r="I22014" s="2">
        <v>0</v>
      </c>
      <c r="J22014" s="1">
        <v>45957.549502314818</v>
      </c>
    </row>
    <row r="22015" spans="1:10" x14ac:dyDescent="0.2">
      <c r="A22015" s="4" t="s">
        <v>1</v>
      </c>
      <c r="B220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15" s="3" t="str">
        <f>HYPERLINK("https://otsuka-europe-crm.veevavault.com/ui/#object/sent_email__v/VBL000000001498", "SE-001378185")</f>
        <v>SE-001378185</v>
      </c>
      <c r="D22015" s="1" t="s">
        <v>0</v>
      </c>
      <c r="E22015" s="2">
        <v>0</v>
      </c>
      <c r="F22015" s="2">
        <v>0</v>
      </c>
      <c r="G22015" s="2">
        <v>0</v>
      </c>
      <c r="H22015" s="1" t="s">
        <v>0</v>
      </c>
      <c r="I22015" s="2">
        <v>0</v>
      </c>
      <c r="J22015" s="1">
        <v>45957.549560185187</v>
      </c>
    </row>
    <row r="22016" spans="1:10" x14ac:dyDescent="0.2">
      <c r="A22016" s="4" t="s">
        <v>1</v>
      </c>
      <c r="B220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16" s="3" t="str">
        <f>HYPERLINK("https://otsuka-europe-crm.veevavault.com/ui/#object/sent_email__v/VBL000000001499", "SE-001378186")</f>
        <v>SE-001378186</v>
      </c>
      <c r="D22016" s="1" t="s">
        <v>0</v>
      </c>
      <c r="E22016" s="2">
        <v>0</v>
      </c>
      <c r="F22016" s="2">
        <v>0</v>
      </c>
      <c r="G22016" s="2">
        <v>0</v>
      </c>
      <c r="H22016" s="1" t="s">
        <v>0</v>
      </c>
      <c r="I22016" s="2">
        <v>0</v>
      </c>
      <c r="J22016" s="1">
        <v>45957.549629629626</v>
      </c>
    </row>
    <row r="22017" spans="1:10" x14ac:dyDescent="0.2">
      <c r="A22017" s="4" t="s">
        <v>1</v>
      </c>
      <c r="B220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17" s="3" t="str">
        <f>HYPERLINK("https://otsuka-europe-crm.veevavault.com/ui/#object/sent_email__v/VBL000000001500", "SE-001378187")</f>
        <v>SE-001378187</v>
      </c>
      <c r="D22017" s="1" t="s">
        <v>0</v>
      </c>
      <c r="E22017" s="2">
        <v>0</v>
      </c>
      <c r="F22017" s="2">
        <v>0</v>
      </c>
      <c r="G22017" s="2">
        <v>0</v>
      </c>
      <c r="H22017" s="1" t="s">
        <v>0</v>
      </c>
      <c r="I22017" s="2">
        <v>0</v>
      </c>
      <c r="J22017" s="1">
        <v>45957.549699074072</v>
      </c>
    </row>
    <row r="22018" spans="1:10" x14ac:dyDescent="0.2">
      <c r="A22018" s="4" t="s">
        <v>1</v>
      </c>
      <c r="B220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18" s="3" t="str">
        <f>HYPERLINK("https://otsuka-europe-crm.veevavault.com/ui/#object/sent_email__v/VBL000000001501", "SE-001378188")</f>
        <v>SE-001378188</v>
      </c>
      <c r="D22018" s="1" t="s">
        <v>0</v>
      </c>
      <c r="E22018" s="2">
        <v>0</v>
      </c>
      <c r="F22018" s="2">
        <v>0</v>
      </c>
      <c r="G22018" s="2">
        <v>0</v>
      </c>
      <c r="H22018" s="1" t="s">
        <v>0</v>
      </c>
      <c r="I22018" s="2">
        <v>0</v>
      </c>
      <c r="J22018" s="1">
        <v>45957.549780092595</v>
      </c>
    </row>
    <row r="22019" spans="1:10" x14ac:dyDescent="0.2">
      <c r="A22019" s="4" t="s">
        <v>1</v>
      </c>
      <c r="B220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19" s="3" t="str">
        <f>HYPERLINK("https://otsuka-europe-crm.veevavault.com/ui/#object/sent_email__v/VBL000000001502", "SE-001378189")</f>
        <v>SE-001378189</v>
      </c>
      <c r="D22019" s="1">
        <v>45959.344965277778</v>
      </c>
      <c r="E22019" s="2">
        <v>1</v>
      </c>
      <c r="F22019" s="2">
        <v>2</v>
      </c>
      <c r="G22019" s="2">
        <v>0</v>
      </c>
      <c r="H22019" s="1" t="s">
        <v>0</v>
      </c>
      <c r="I22019" s="2">
        <v>0</v>
      </c>
      <c r="J22019" s="1">
        <v>45957.549849537034</v>
      </c>
    </row>
    <row r="22020" spans="1:10" x14ac:dyDescent="0.2">
      <c r="A22020" s="4" t="s">
        <v>1</v>
      </c>
      <c r="B220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20" s="3" t="str">
        <f>HYPERLINK("https://otsuka-europe-crm.veevavault.com/ui/#object/sent_email__v/VBL000000001503", "SE-001378190")</f>
        <v>SE-001378190</v>
      </c>
      <c r="D22020" s="1">
        <v>45957.560636574075</v>
      </c>
      <c r="E22020" s="2">
        <v>1</v>
      </c>
      <c r="F22020" s="2">
        <v>1</v>
      </c>
      <c r="G22020" s="2">
        <v>0</v>
      </c>
      <c r="H22020" s="1" t="s">
        <v>0</v>
      </c>
      <c r="I22020" s="2">
        <v>0</v>
      </c>
      <c r="J22020" s="1">
        <v>45957.549907407411</v>
      </c>
    </row>
    <row r="22021" spans="1:10" x14ac:dyDescent="0.2">
      <c r="A22021" s="4" t="s">
        <v>1</v>
      </c>
      <c r="B220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21" s="3" t="str">
        <f>HYPERLINK("https://otsuka-europe-crm.veevavault.com/ui/#object/sent_email__v/VBL000000001504", "SE-001378191")</f>
        <v>SE-001378191</v>
      </c>
      <c r="D22021" s="1">
        <v>45958.334236111114</v>
      </c>
      <c r="E22021" s="2">
        <v>1</v>
      </c>
      <c r="F22021" s="2">
        <v>2</v>
      </c>
      <c r="G22021" s="2">
        <v>0</v>
      </c>
      <c r="H22021" s="1" t="s">
        <v>0</v>
      </c>
      <c r="I22021" s="2">
        <v>0</v>
      </c>
      <c r="J22021" s="1">
        <v>45957.549976851849</v>
      </c>
    </row>
    <row r="22022" spans="1:10" x14ac:dyDescent="0.2">
      <c r="A22022" s="4" t="s">
        <v>1</v>
      </c>
      <c r="B220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22" s="3" t="str">
        <f>HYPERLINK("https://otsuka-europe-crm.veevavault.com/ui/#object/sent_email__v/VBL000000001505", "SE-001378192")</f>
        <v>SE-001378192</v>
      </c>
      <c r="D22022" s="1" t="s">
        <v>0</v>
      </c>
      <c r="E22022" s="2">
        <v>0</v>
      </c>
      <c r="F22022" s="2">
        <v>0</v>
      </c>
      <c r="G22022" s="2">
        <v>0</v>
      </c>
      <c r="H22022" s="1" t="s">
        <v>0</v>
      </c>
      <c r="I22022" s="2">
        <v>0</v>
      </c>
      <c r="J22022" s="1">
        <v>45957.550046296295</v>
      </c>
    </row>
    <row r="22023" spans="1:10" x14ac:dyDescent="0.2">
      <c r="A22023" s="4" t="s">
        <v>1</v>
      </c>
      <c r="B220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23" s="3" t="str">
        <f>HYPERLINK("https://otsuka-europe-crm.veevavault.com/ui/#object/sent_email__v/VBL000000001506", "SE-001378193")</f>
        <v>SE-001378193</v>
      </c>
      <c r="D22023" s="1">
        <v>45960.297256944446</v>
      </c>
      <c r="E22023" s="2">
        <v>1</v>
      </c>
      <c r="F22023" s="2">
        <v>2</v>
      </c>
      <c r="G22023" s="2">
        <v>0</v>
      </c>
      <c r="H22023" s="1" t="s">
        <v>0</v>
      </c>
      <c r="I22023" s="2">
        <v>0</v>
      </c>
      <c r="J22023" s="1">
        <v>45957.550115740742</v>
      </c>
    </row>
    <row r="22024" spans="1:10" x14ac:dyDescent="0.2">
      <c r="A22024" s="4" t="s">
        <v>1</v>
      </c>
      <c r="B220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24" s="3" t="str">
        <f>HYPERLINK("https://otsuka-europe-crm.veevavault.com/ui/#object/sent_email__v/VBL000000001507", "SE-001378194")</f>
        <v>SE-001378194</v>
      </c>
      <c r="D22024" s="1">
        <v>45963.735671296294</v>
      </c>
      <c r="E22024" s="2">
        <v>1</v>
      </c>
      <c r="F22024" s="2">
        <v>3</v>
      </c>
      <c r="G22024" s="2">
        <v>0</v>
      </c>
      <c r="H22024" s="1" t="s">
        <v>0</v>
      </c>
      <c r="I22024" s="2">
        <v>0</v>
      </c>
      <c r="J22024" s="1">
        <v>45957.550185185188</v>
      </c>
    </row>
    <row r="22025" spans="1:10" x14ac:dyDescent="0.2">
      <c r="A22025" s="4" t="s">
        <v>1</v>
      </c>
      <c r="B220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25" s="3" t="str">
        <f>HYPERLINK("https://otsuka-europe-crm.veevavault.com/ui/#object/sent_email__v/VBL000000001508", "SE-001378195")</f>
        <v>SE-001378195</v>
      </c>
      <c r="D22025" s="1">
        <v>45957.584537037037</v>
      </c>
      <c r="E22025" s="2">
        <v>1</v>
      </c>
      <c r="F22025" s="2">
        <v>2</v>
      </c>
      <c r="G22025" s="2">
        <v>0</v>
      </c>
      <c r="H22025" s="1" t="s">
        <v>0</v>
      </c>
      <c r="I22025" s="2">
        <v>0</v>
      </c>
      <c r="J22025" s="1">
        <v>45957.550266203703</v>
      </c>
    </row>
    <row r="22026" spans="1:10" x14ac:dyDescent="0.2">
      <c r="A22026" s="4" t="s">
        <v>1</v>
      </c>
      <c r="B220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26" s="3" t="str">
        <f>HYPERLINK("https://otsuka-europe-crm.veevavault.com/ui/#object/sent_email__v/VBL000000001509", "SE-001378196")</f>
        <v>SE-001378196</v>
      </c>
      <c r="D22026" s="1" t="s">
        <v>0</v>
      </c>
      <c r="E22026" s="2">
        <v>0</v>
      </c>
      <c r="F22026" s="2">
        <v>0</v>
      </c>
      <c r="G22026" s="2">
        <v>0</v>
      </c>
      <c r="H22026" s="1" t="s">
        <v>0</v>
      </c>
      <c r="I22026" s="2">
        <v>0</v>
      </c>
      <c r="J22026" s="1">
        <v>45957.550405092596</v>
      </c>
    </row>
    <row r="22027" spans="1:10" x14ac:dyDescent="0.2">
      <c r="A22027" s="4" t="s">
        <v>1</v>
      </c>
      <c r="B220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27" s="3" t="str">
        <f>HYPERLINK("https://otsuka-europe-crm.veevavault.com/ui/#object/sent_email__v/VBL000000001510", "SE-001378197")</f>
        <v>SE-001378197</v>
      </c>
      <c r="D22027" s="1">
        <v>45957.711736111109</v>
      </c>
      <c r="E22027" s="2">
        <v>1</v>
      </c>
      <c r="F22027" s="2">
        <v>1</v>
      </c>
      <c r="G22027" s="2">
        <v>0</v>
      </c>
      <c r="H22027" s="1" t="s">
        <v>0</v>
      </c>
      <c r="I22027" s="2">
        <v>0</v>
      </c>
      <c r="J22027" s="1">
        <v>45957.550439814811</v>
      </c>
    </row>
    <row r="22028" spans="1:10" x14ac:dyDescent="0.2">
      <c r="A22028" s="4" t="s">
        <v>1</v>
      </c>
      <c r="B220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28" s="3" t="str">
        <f>HYPERLINK("https://otsuka-europe-crm.veevavault.com/ui/#object/sent_email__v/VBL000000001511", "SE-001378198")</f>
        <v>SE-001378198</v>
      </c>
      <c r="D22028" s="1">
        <v>45957.594918981478</v>
      </c>
      <c r="E22028" s="2">
        <v>1</v>
      </c>
      <c r="F22028" s="2">
        <v>2</v>
      </c>
      <c r="G22028" s="2">
        <v>0</v>
      </c>
      <c r="H22028" s="1" t="s">
        <v>0</v>
      </c>
      <c r="I22028" s="2">
        <v>0</v>
      </c>
      <c r="J22028" s="1">
        <v>45957.550509259258</v>
      </c>
    </row>
    <row r="22029" spans="1:10" x14ac:dyDescent="0.2">
      <c r="A22029" s="4" t="s">
        <v>1</v>
      </c>
      <c r="B220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29" s="3" t="str">
        <f>HYPERLINK("https://otsuka-europe-crm.veevavault.com/ui/#object/sent_email__v/VBL000000001512", "SE-001378199")</f>
        <v>SE-001378199</v>
      </c>
      <c r="D22029" s="1">
        <v>45973.774456018517</v>
      </c>
      <c r="E22029" s="2">
        <v>1</v>
      </c>
      <c r="F22029" s="2">
        <v>1</v>
      </c>
      <c r="G22029" s="2">
        <v>0</v>
      </c>
      <c r="H22029" s="1" t="s">
        <v>0</v>
      </c>
      <c r="I22029" s="2">
        <v>0</v>
      </c>
      <c r="J22029" s="1">
        <v>45957.55059027778</v>
      </c>
    </row>
    <row r="22030" spans="1:10" x14ac:dyDescent="0.2">
      <c r="A22030" s="4" t="s">
        <v>1</v>
      </c>
      <c r="B220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30" s="3" t="str">
        <f>HYPERLINK("https://otsuka-europe-crm.veevavault.com/ui/#object/sent_email__v/VBL000000001513", "SE-001378200")</f>
        <v>SE-001378200</v>
      </c>
      <c r="D22030" s="1">
        <v>45968.722951388889</v>
      </c>
      <c r="E22030" s="2">
        <v>1</v>
      </c>
      <c r="F22030" s="2">
        <v>2</v>
      </c>
      <c r="G22030" s="2">
        <v>0</v>
      </c>
      <c r="H22030" s="1" t="s">
        <v>0</v>
      </c>
      <c r="I22030" s="2">
        <v>0</v>
      </c>
      <c r="J22030" s="1">
        <v>45957.55064814815</v>
      </c>
    </row>
    <row r="22031" spans="1:10" x14ac:dyDescent="0.2">
      <c r="A22031" s="4" t="s">
        <v>1</v>
      </c>
      <c r="B220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31" s="3" t="str">
        <f>HYPERLINK("https://otsuka-europe-crm.veevavault.com/ui/#object/sent_email__v/VBL000000001514", "SE-001378201")</f>
        <v>SE-001378201</v>
      </c>
      <c r="D22031" s="1" t="s">
        <v>0</v>
      </c>
      <c r="E22031" s="2">
        <v>0</v>
      </c>
      <c r="F22031" s="2">
        <v>0</v>
      </c>
      <c r="G22031" s="2">
        <v>0</v>
      </c>
      <c r="H22031" s="1" t="s">
        <v>0</v>
      </c>
      <c r="I22031" s="2">
        <v>0</v>
      </c>
      <c r="J22031" s="1">
        <v>45957.550717592596</v>
      </c>
    </row>
    <row r="22032" spans="1:10" x14ac:dyDescent="0.2">
      <c r="A22032" s="4" t="s">
        <v>1</v>
      </c>
      <c r="B220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32" s="3" t="str">
        <f>HYPERLINK("https://otsuka-europe-crm.veevavault.com/ui/#object/sent_email__v/VBL000000001515", "SE-001378202")</f>
        <v>SE-001378202</v>
      </c>
      <c r="D22032" s="1">
        <v>45957.585046296299</v>
      </c>
      <c r="E22032" s="2">
        <v>1</v>
      </c>
      <c r="F22032" s="2">
        <v>1</v>
      </c>
      <c r="G22032" s="2">
        <v>0</v>
      </c>
      <c r="H22032" s="1" t="s">
        <v>0</v>
      </c>
      <c r="I22032" s="2">
        <v>0</v>
      </c>
      <c r="J22032" s="1">
        <v>45957.550798611112</v>
      </c>
    </row>
    <row r="22033" spans="1:10" x14ac:dyDescent="0.2">
      <c r="A22033" s="4" t="s">
        <v>1</v>
      </c>
      <c r="B220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33" s="3" t="str">
        <f>HYPERLINK("https://otsuka-europe-crm.veevavault.com/ui/#object/sent_email__v/VBL000000001516", "SE-001378203")</f>
        <v>SE-001378203</v>
      </c>
      <c r="D22033" s="1" t="s">
        <v>0</v>
      </c>
      <c r="E22033" s="2">
        <v>0</v>
      </c>
      <c r="F22033" s="2">
        <v>0</v>
      </c>
      <c r="G22033" s="2">
        <v>0</v>
      </c>
      <c r="H22033" s="1" t="s">
        <v>0</v>
      </c>
      <c r="I22033" s="2">
        <v>0</v>
      </c>
      <c r="J22033" s="1">
        <v>45957.550868055558</v>
      </c>
    </row>
    <row r="22034" spans="1:10" x14ac:dyDescent="0.2">
      <c r="A22034" s="4" t="s">
        <v>1</v>
      </c>
      <c r="B220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34" s="3" t="str">
        <f>HYPERLINK("https://otsuka-europe-crm.veevavault.com/ui/#object/sent_email__v/VBL000000001517", "SE-001378204")</f>
        <v>SE-001378204</v>
      </c>
      <c r="D22034" s="1" t="s">
        <v>0</v>
      </c>
      <c r="E22034" s="2">
        <v>0</v>
      </c>
      <c r="F22034" s="2">
        <v>0</v>
      </c>
      <c r="G22034" s="2">
        <v>0</v>
      </c>
      <c r="H22034" s="1" t="s">
        <v>0</v>
      </c>
      <c r="I22034" s="2">
        <v>0</v>
      </c>
      <c r="J22034" s="1">
        <v>45957.550925925927</v>
      </c>
    </row>
    <row r="22035" spans="1:10" x14ac:dyDescent="0.2">
      <c r="A22035" s="4" t="s">
        <v>1</v>
      </c>
      <c r="B220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35" s="3" t="str">
        <f>HYPERLINK("https://otsuka-europe-crm.veevavault.com/ui/#object/sent_email__v/VBL000000001518", "SE-001378205")</f>
        <v>SE-001378205</v>
      </c>
      <c r="D22035" s="1">
        <v>45958.521180555559</v>
      </c>
      <c r="E22035" s="2">
        <v>1</v>
      </c>
      <c r="F22035" s="2">
        <v>1</v>
      </c>
      <c r="G22035" s="2">
        <v>0</v>
      </c>
      <c r="H22035" s="1" t="s">
        <v>0</v>
      </c>
      <c r="I22035" s="2">
        <v>0</v>
      </c>
      <c r="J22035" s="1">
        <v>45957.551006944443</v>
      </c>
    </row>
    <row r="22036" spans="1:10" x14ac:dyDescent="0.2">
      <c r="A22036" s="4" t="s">
        <v>1</v>
      </c>
      <c r="B220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36" s="3" t="str">
        <f>HYPERLINK("https://otsuka-europe-crm.veevavault.com/ui/#object/sent_email__v/VBL000000001519", "SE-001378206")</f>
        <v>SE-001378206</v>
      </c>
      <c r="D22036" s="1" t="s">
        <v>0</v>
      </c>
      <c r="E22036" s="2">
        <v>0</v>
      </c>
      <c r="F22036" s="2">
        <v>0</v>
      </c>
      <c r="G22036" s="2">
        <v>0</v>
      </c>
      <c r="H22036" s="1" t="s">
        <v>0</v>
      </c>
      <c r="I22036" s="2">
        <v>0</v>
      </c>
      <c r="J22036" s="1">
        <v>45957.551076388889</v>
      </c>
    </row>
    <row r="22037" spans="1:10" x14ac:dyDescent="0.2">
      <c r="A22037" s="4" t="s">
        <v>1</v>
      </c>
      <c r="B220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37" s="3" t="str">
        <f>HYPERLINK("https://otsuka-europe-crm.veevavault.com/ui/#object/sent_email__v/VBL000000001520", "SE-001378207")</f>
        <v>SE-001378207</v>
      </c>
      <c r="D22037" s="1" t="s">
        <v>0</v>
      </c>
      <c r="E22037" s="2">
        <v>0</v>
      </c>
      <c r="F22037" s="2">
        <v>0</v>
      </c>
      <c r="G22037" s="2">
        <v>0</v>
      </c>
      <c r="H22037" s="1" t="s">
        <v>0</v>
      </c>
      <c r="I22037" s="2">
        <v>0</v>
      </c>
      <c r="J22037" s="1">
        <v>45957.551134259258</v>
      </c>
    </row>
    <row r="22038" spans="1:10" x14ac:dyDescent="0.2">
      <c r="A22038" s="4" t="s">
        <v>1</v>
      </c>
      <c r="B220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38" s="3" t="str">
        <f>HYPERLINK("https://otsuka-europe-crm.veevavault.com/ui/#object/sent_email__v/VBL000000001521", "SE-001378208")</f>
        <v>SE-001378208</v>
      </c>
      <c r="D22038" s="1" t="s">
        <v>0</v>
      </c>
      <c r="E22038" s="2">
        <v>0</v>
      </c>
      <c r="F22038" s="2">
        <v>0</v>
      </c>
      <c r="G22038" s="2">
        <v>0</v>
      </c>
      <c r="H22038" s="1" t="s">
        <v>0</v>
      </c>
      <c r="I22038" s="2">
        <v>0</v>
      </c>
      <c r="J22038" s="1">
        <v>45957.551215277781</v>
      </c>
    </row>
    <row r="22039" spans="1:10" x14ac:dyDescent="0.2">
      <c r="A22039" s="4" t="s">
        <v>1</v>
      </c>
      <c r="B220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39" s="3" t="str">
        <f>HYPERLINK("https://otsuka-europe-crm.veevavault.com/ui/#object/sent_email__v/VBL000000001522", "SE-001378209")</f>
        <v>SE-001378209</v>
      </c>
      <c r="D22039" s="1" t="s">
        <v>0</v>
      </c>
      <c r="E22039" s="2">
        <v>0</v>
      </c>
      <c r="F22039" s="2">
        <v>0</v>
      </c>
      <c r="G22039" s="2">
        <v>0</v>
      </c>
      <c r="H22039" s="1" t="s">
        <v>0</v>
      </c>
      <c r="I22039" s="2">
        <v>0</v>
      </c>
      <c r="J22039" s="1">
        <v>45957.55128472222</v>
      </c>
    </row>
    <row r="22040" spans="1:10" x14ac:dyDescent="0.2">
      <c r="A22040" s="4" t="s">
        <v>1</v>
      </c>
      <c r="B220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40" s="3" t="str">
        <f>HYPERLINK("https://otsuka-europe-crm.veevavault.com/ui/#object/sent_email__v/VBL000000001523", "SE-001378210")</f>
        <v>SE-001378210</v>
      </c>
      <c r="D22040" s="1">
        <v>45957.817372685182</v>
      </c>
      <c r="E22040" s="2">
        <v>1</v>
      </c>
      <c r="F22040" s="2">
        <v>1</v>
      </c>
      <c r="G22040" s="2">
        <v>0</v>
      </c>
      <c r="H22040" s="1" t="s">
        <v>0</v>
      </c>
      <c r="I22040" s="2">
        <v>0</v>
      </c>
      <c r="J22040" s="1">
        <v>45957.551354166666</v>
      </c>
    </row>
    <row r="22041" spans="1:10" x14ac:dyDescent="0.2">
      <c r="A22041" s="4" t="s">
        <v>1</v>
      </c>
      <c r="B220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41" s="3" t="str">
        <f>HYPERLINK("https://otsuka-europe-crm.veevavault.com/ui/#object/sent_email__v/VBL000000001524", "SE-001378211")</f>
        <v>SE-001378211</v>
      </c>
      <c r="D22041" s="1">
        <v>45959.020243055558</v>
      </c>
      <c r="E22041" s="2">
        <v>1</v>
      </c>
      <c r="F22041" s="2">
        <v>1</v>
      </c>
      <c r="G22041" s="2">
        <v>0</v>
      </c>
      <c r="H22041" s="1" t="s">
        <v>0</v>
      </c>
      <c r="I22041" s="2">
        <v>0</v>
      </c>
      <c r="J22041" s="1">
        <v>45957.551423611112</v>
      </c>
    </row>
    <row r="22042" spans="1:10" x14ac:dyDescent="0.2">
      <c r="A22042" s="4" t="s">
        <v>1</v>
      </c>
      <c r="B220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42" s="3" t="str">
        <f>HYPERLINK("https://otsuka-europe-crm.veevavault.com/ui/#object/sent_email__v/VBL000000001525", "SE-001378212")</f>
        <v>SE-001378212</v>
      </c>
      <c r="D22042" s="1" t="s">
        <v>0</v>
      </c>
      <c r="E22042" s="2">
        <v>0</v>
      </c>
      <c r="F22042" s="2">
        <v>0</v>
      </c>
      <c r="G22042" s="2">
        <v>0</v>
      </c>
      <c r="H22042" s="1" t="s">
        <v>0</v>
      </c>
      <c r="I22042" s="2">
        <v>0</v>
      </c>
      <c r="J22042" s="1">
        <v>45957.551493055558</v>
      </c>
    </row>
    <row r="22043" spans="1:10" x14ac:dyDescent="0.2">
      <c r="A22043" s="4" t="s">
        <v>1</v>
      </c>
      <c r="B220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43" s="3" t="str">
        <f>HYPERLINK("https://otsuka-europe-crm.veevavault.com/ui/#object/sent_email__v/VBL000000001526", "SE-001378213")</f>
        <v>SE-001378213</v>
      </c>
      <c r="D22043" s="1" t="s">
        <v>0</v>
      </c>
      <c r="E22043" s="2">
        <v>0</v>
      </c>
      <c r="F22043" s="2">
        <v>0</v>
      </c>
      <c r="G22043" s="2">
        <v>0</v>
      </c>
      <c r="H22043" s="1" t="s">
        <v>0</v>
      </c>
      <c r="I22043" s="2">
        <v>0</v>
      </c>
      <c r="J22043" s="1">
        <v>45957.551574074074</v>
      </c>
    </row>
    <row r="22044" spans="1:10" x14ac:dyDescent="0.2">
      <c r="A22044" s="4" t="s">
        <v>1</v>
      </c>
      <c r="B220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44" s="3" t="str">
        <f>HYPERLINK("https://otsuka-europe-crm.veevavault.com/ui/#object/sent_email__v/VBL000000001527", "SE-001378214")</f>
        <v>SE-001378214</v>
      </c>
      <c r="D22044" s="1">
        <v>45960.891331018516</v>
      </c>
      <c r="E22044" s="2">
        <v>1</v>
      </c>
      <c r="F22044" s="2">
        <v>1</v>
      </c>
      <c r="G22044" s="2">
        <v>0</v>
      </c>
      <c r="H22044" s="1" t="s">
        <v>0</v>
      </c>
      <c r="I22044" s="2">
        <v>0</v>
      </c>
      <c r="J22044" s="1">
        <v>45957.551631944443</v>
      </c>
    </row>
    <row r="22045" spans="1:10" x14ac:dyDescent="0.2">
      <c r="A22045" s="4" t="s">
        <v>1</v>
      </c>
      <c r="B220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45" s="3" t="str">
        <f>HYPERLINK("https://otsuka-europe-crm.veevavault.com/ui/#object/sent_email__v/VBL000000001528", "SE-001378215")</f>
        <v>SE-001378215</v>
      </c>
      <c r="D22045" s="1">
        <v>46034.322650462964</v>
      </c>
      <c r="E22045" s="2">
        <v>1</v>
      </c>
      <c r="F22045" s="2">
        <v>8</v>
      </c>
      <c r="G22045" s="2">
        <v>0</v>
      </c>
      <c r="H22045" s="1" t="s">
        <v>0</v>
      </c>
      <c r="I22045" s="2">
        <v>0</v>
      </c>
      <c r="J22045" s="1">
        <v>45957.551712962966</v>
      </c>
    </row>
    <row r="22046" spans="1:10" x14ac:dyDescent="0.2">
      <c r="A22046" s="4" t="s">
        <v>1</v>
      </c>
      <c r="B220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46" s="3" t="str">
        <f>HYPERLINK("https://otsuka-europe-crm.veevavault.com/ui/#object/sent_email__v/VBL000000001529", "SE-001378216")</f>
        <v>SE-001378216</v>
      </c>
      <c r="D22046" s="1" t="s">
        <v>0</v>
      </c>
      <c r="E22046" s="2">
        <v>0</v>
      </c>
      <c r="F22046" s="2">
        <v>0</v>
      </c>
      <c r="G22046" s="2">
        <v>0</v>
      </c>
      <c r="H22046" s="1" t="s">
        <v>0</v>
      </c>
      <c r="I22046" s="2">
        <v>0</v>
      </c>
      <c r="J22046" s="1">
        <v>45957.551770833335</v>
      </c>
    </row>
    <row r="22047" spans="1:10" x14ac:dyDescent="0.2">
      <c r="A22047" s="4" t="s">
        <v>1</v>
      </c>
      <c r="B220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47" s="3" t="str">
        <f>HYPERLINK("https://otsuka-europe-crm.veevavault.com/ui/#object/sent_email__v/VBL000000001530", "SE-001378217")</f>
        <v>SE-001378217</v>
      </c>
      <c r="D22047" s="1">
        <v>45957.559930555559</v>
      </c>
      <c r="E22047" s="2">
        <v>1</v>
      </c>
      <c r="F22047" s="2">
        <v>1</v>
      </c>
      <c r="G22047" s="2">
        <v>0</v>
      </c>
      <c r="H22047" s="1" t="s">
        <v>0</v>
      </c>
      <c r="I22047" s="2">
        <v>0</v>
      </c>
      <c r="J22047" s="1">
        <v>45957.551851851851</v>
      </c>
    </row>
    <row r="22048" spans="1:10" x14ac:dyDescent="0.2">
      <c r="A22048" s="4" t="s">
        <v>1</v>
      </c>
      <c r="B220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48" s="3" t="str">
        <f>HYPERLINK("https://otsuka-europe-crm.veevavault.com/ui/#object/sent_email__v/VBL000000001531", "SE-001378218")</f>
        <v>SE-001378218</v>
      </c>
      <c r="D22048" s="1" t="s">
        <v>0</v>
      </c>
      <c r="E22048" s="2">
        <v>0</v>
      </c>
      <c r="F22048" s="2">
        <v>0</v>
      </c>
      <c r="G22048" s="2">
        <v>0</v>
      </c>
      <c r="H22048" s="1" t="s">
        <v>0</v>
      </c>
      <c r="I22048" s="2">
        <v>0</v>
      </c>
      <c r="J22048" s="1">
        <v>45957.551921296297</v>
      </c>
    </row>
    <row r="22049" spans="1:10" x14ac:dyDescent="0.2">
      <c r="A22049" s="4" t="s">
        <v>1</v>
      </c>
      <c r="B220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49" s="3" t="str">
        <f>HYPERLINK("https://otsuka-europe-crm.veevavault.com/ui/#object/sent_email__v/VBL000000001532", "SE-001378219")</f>
        <v>SE-001378219</v>
      </c>
      <c r="D22049" s="1">
        <v>45985.794583333336</v>
      </c>
      <c r="E22049" s="2">
        <v>1</v>
      </c>
      <c r="F22049" s="2">
        <v>2</v>
      </c>
      <c r="G22049" s="2">
        <v>0</v>
      </c>
      <c r="H22049" s="1" t="s">
        <v>0</v>
      </c>
      <c r="I22049" s="2">
        <v>0</v>
      </c>
      <c r="J22049" s="1">
        <v>45957.551990740743</v>
      </c>
    </row>
    <row r="22050" spans="1:10" x14ac:dyDescent="0.2">
      <c r="A22050" s="4" t="s">
        <v>1</v>
      </c>
      <c r="B220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50" s="3" t="str">
        <f>HYPERLINK("https://otsuka-europe-crm.veevavault.com/ui/#object/sent_email__v/VBL000000001533", "SE-001378220")</f>
        <v>SE-001378220</v>
      </c>
      <c r="D22050" s="1" t="s">
        <v>0</v>
      </c>
      <c r="E22050" s="2">
        <v>0</v>
      </c>
      <c r="F22050" s="2">
        <v>0</v>
      </c>
      <c r="G22050" s="2">
        <v>0</v>
      </c>
      <c r="H22050" s="1" t="s">
        <v>0</v>
      </c>
      <c r="I22050" s="2">
        <v>0</v>
      </c>
      <c r="J22050" s="1">
        <v>45957.552060185182</v>
      </c>
    </row>
    <row r="22051" spans="1:10" x14ac:dyDescent="0.2">
      <c r="A22051" s="4" t="s">
        <v>1</v>
      </c>
      <c r="B220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51" s="3" t="str">
        <f>HYPERLINK("https://otsuka-europe-crm.veevavault.com/ui/#object/sent_email__v/VBL000000001534", "SE-001378221")</f>
        <v>SE-001378221</v>
      </c>
      <c r="D22051" s="1">
        <v>45957.602476851855</v>
      </c>
      <c r="E22051" s="2">
        <v>1</v>
      </c>
      <c r="F22051" s="2">
        <v>2</v>
      </c>
      <c r="G22051" s="2">
        <v>0</v>
      </c>
      <c r="H22051" s="1" t="s">
        <v>0</v>
      </c>
      <c r="I22051" s="2">
        <v>0</v>
      </c>
      <c r="J22051" s="1">
        <v>45957.552118055559</v>
      </c>
    </row>
    <row r="22052" spans="1:10" x14ac:dyDescent="0.2">
      <c r="A22052" s="4" t="s">
        <v>1</v>
      </c>
      <c r="B220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52" s="3" t="str">
        <f>HYPERLINK("https://otsuka-europe-crm.veevavault.com/ui/#object/sent_email__v/VBL000000001535", "SE-001378222")</f>
        <v>SE-001378222</v>
      </c>
      <c r="D22052" s="1" t="s">
        <v>0</v>
      </c>
      <c r="E22052" s="2">
        <v>0</v>
      </c>
      <c r="F22052" s="2">
        <v>0</v>
      </c>
      <c r="G22052" s="2">
        <v>0</v>
      </c>
      <c r="H22052" s="1" t="s">
        <v>0</v>
      </c>
      <c r="I22052" s="2">
        <v>0</v>
      </c>
      <c r="J22052" s="1">
        <v>45957.552164351851</v>
      </c>
    </row>
    <row r="22053" spans="1:10" x14ac:dyDescent="0.2">
      <c r="A22053" s="4" t="s">
        <v>1</v>
      </c>
      <c r="B220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53" s="3" t="str">
        <f>HYPERLINK("https://otsuka-europe-crm.veevavault.com/ui/#object/sent_email__v/VBL000000001536", "SE-001378223")</f>
        <v>SE-001378223</v>
      </c>
      <c r="D22053" s="1">
        <v>45959.659479166665</v>
      </c>
      <c r="E22053" s="2">
        <v>1</v>
      </c>
      <c r="F22053" s="2">
        <v>2</v>
      </c>
      <c r="G22053" s="2">
        <v>0</v>
      </c>
      <c r="H22053" s="1" t="s">
        <v>0</v>
      </c>
      <c r="I22053" s="2">
        <v>0</v>
      </c>
      <c r="J22053" s="1">
        <v>45957.552210648151</v>
      </c>
    </row>
    <row r="22054" spans="1:10" x14ac:dyDescent="0.2">
      <c r="A22054" s="4" t="s">
        <v>1</v>
      </c>
      <c r="B220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54" s="3" t="str">
        <f>HYPERLINK("https://otsuka-europe-crm.veevavault.com/ui/#object/sent_email__v/VBL000000001537", "SE-001378224")</f>
        <v>SE-001378224</v>
      </c>
      <c r="D22054" s="1">
        <v>45957.55940972222</v>
      </c>
      <c r="E22054" s="2">
        <v>1</v>
      </c>
      <c r="F22054" s="2">
        <v>1</v>
      </c>
      <c r="G22054" s="2">
        <v>0</v>
      </c>
      <c r="H22054" s="1" t="s">
        <v>0</v>
      </c>
      <c r="I22054" s="2">
        <v>0</v>
      </c>
      <c r="J22054" s="1">
        <v>45957.552256944444</v>
      </c>
    </row>
    <row r="22055" spans="1:10" x14ac:dyDescent="0.2">
      <c r="A22055" s="4" t="s">
        <v>1</v>
      </c>
      <c r="B220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55" s="3" t="str">
        <f>HYPERLINK("https://otsuka-europe-crm.veevavault.com/ui/#object/sent_email__v/VBL000000001538", "SE-001378225")</f>
        <v>SE-001378225</v>
      </c>
      <c r="D22055" s="1">
        <v>45957.567291666666</v>
      </c>
      <c r="E22055" s="2">
        <v>1</v>
      </c>
      <c r="F22055" s="2">
        <v>1</v>
      </c>
      <c r="G22055" s="2">
        <v>0</v>
      </c>
      <c r="H22055" s="1" t="s">
        <v>0</v>
      </c>
      <c r="I22055" s="2">
        <v>0</v>
      </c>
      <c r="J22055" s="1">
        <v>45957.552303240744</v>
      </c>
    </row>
    <row r="22056" spans="1:10" x14ac:dyDescent="0.2">
      <c r="A22056" s="4" t="s">
        <v>1</v>
      </c>
      <c r="B220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56" s="3" t="str">
        <f>HYPERLINK("https://otsuka-europe-crm.veevavault.com/ui/#object/sent_email__v/VBL000000001539", "SE-001378226")</f>
        <v>SE-001378226</v>
      </c>
      <c r="D22056" s="1" t="s">
        <v>0</v>
      </c>
      <c r="E22056" s="2">
        <v>0</v>
      </c>
      <c r="F22056" s="2">
        <v>0</v>
      </c>
      <c r="G22056" s="2">
        <v>0</v>
      </c>
      <c r="H22056" s="1" t="s">
        <v>0</v>
      </c>
      <c r="I22056" s="2">
        <v>0</v>
      </c>
      <c r="J22056" s="1">
        <v>45957.552349537036</v>
      </c>
    </row>
    <row r="22057" spans="1:10" x14ac:dyDescent="0.2">
      <c r="A22057" s="4" t="s">
        <v>1</v>
      </c>
      <c r="B220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57" s="3" t="str">
        <f>HYPERLINK("https://otsuka-europe-crm.veevavault.com/ui/#object/sent_email__v/VBL000000001540", "SE-001378228")</f>
        <v>SE-001378228</v>
      </c>
      <c r="D22057" s="1" t="s">
        <v>0</v>
      </c>
      <c r="E22057" s="2">
        <v>0</v>
      </c>
      <c r="F22057" s="2">
        <v>0</v>
      </c>
      <c r="G22057" s="2">
        <v>0</v>
      </c>
      <c r="H22057" s="1" t="s">
        <v>0</v>
      </c>
      <c r="I22057" s="2">
        <v>0</v>
      </c>
      <c r="J22057" s="1">
        <v>45957.534791666665</v>
      </c>
    </row>
    <row r="22058" spans="1:10" x14ac:dyDescent="0.2">
      <c r="A22058" s="4" t="s">
        <v>1</v>
      </c>
      <c r="B220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58" s="3" t="str">
        <f>HYPERLINK("https://otsuka-europe-crm.veevavault.com/ui/#object/sent_email__v/VBL000000001541", "SE-001378229")</f>
        <v>SE-001378229</v>
      </c>
      <c r="D22058" s="1" t="s">
        <v>0</v>
      </c>
      <c r="E22058" s="2">
        <v>0</v>
      </c>
      <c r="F22058" s="2">
        <v>0</v>
      </c>
      <c r="G22058" s="2">
        <v>0</v>
      </c>
      <c r="H22058" s="1" t="s">
        <v>0</v>
      </c>
      <c r="I22058" s="2">
        <v>0</v>
      </c>
      <c r="J22058" s="1">
        <v>45957.534849537034</v>
      </c>
    </row>
    <row r="22059" spans="1:10" x14ac:dyDescent="0.2">
      <c r="A22059" s="4" t="s">
        <v>1</v>
      </c>
      <c r="B220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59" s="3" t="str">
        <f>HYPERLINK("https://otsuka-europe-crm.veevavault.com/ui/#object/sent_email__v/VBL000000001542", "SE-001378230")</f>
        <v>SE-001378230</v>
      </c>
      <c r="D22059" s="1" t="s">
        <v>0</v>
      </c>
      <c r="E22059" s="2">
        <v>0</v>
      </c>
      <c r="F22059" s="2">
        <v>0</v>
      </c>
      <c r="G22059" s="2">
        <v>0</v>
      </c>
      <c r="H22059" s="1" t="s">
        <v>0</v>
      </c>
      <c r="I22059" s="2">
        <v>0</v>
      </c>
      <c r="J22059" s="1">
        <v>45957.534872685188</v>
      </c>
    </row>
    <row r="22060" spans="1:10" x14ac:dyDescent="0.2">
      <c r="A22060" s="4" t="s">
        <v>1</v>
      </c>
      <c r="B220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60" s="3" t="str">
        <f>HYPERLINK("https://otsuka-europe-crm.veevavault.com/ui/#object/sent_email__v/VBL000000001543", "SE-001378231")</f>
        <v>SE-001378231</v>
      </c>
      <c r="D22060" s="1" t="s">
        <v>0</v>
      </c>
      <c r="E22060" s="2">
        <v>0</v>
      </c>
      <c r="F22060" s="2">
        <v>0</v>
      </c>
      <c r="G22060" s="2">
        <v>0</v>
      </c>
      <c r="H22060" s="1" t="s">
        <v>0</v>
      </c>
      <c r="I22060" s="2">
        <v>0</v>
      </c>
      <c r="J22060" s="1">
        <v>45957.534918981481</v>
      </c>
    </row>
    <row r="22061" spans="1:10" x14ac:dyDescent="0.2">
      <c r="A22061" s="4" t="s">
        <v>1</v>
      </c>
      <c r="B220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61" s="3" t="str">
        <f>HYPERLINK("https://otsuka-europe-crm.veevavault.com/ui/#object/sent_email__v/VBL000000001544", "SE-001378232")</f>
        <v>SE-001378232</v>
      </c>
      <c r="D22061" s="1" t="s">
        <v>0</v>
      </c>
      <c r="E22061" s="2">
        <v>0</v>
      </c>
      <c r="F22061" s="2">
        <v>0</v>
      </c>
      <c r="G22061" s="2">
        <v>0</v>
      </c>
      <c r="H22061" s="1" t="s">
        <v>0</v>
      </c>
      <c r="I22061" s="2">
        <v>0</v>
      </c>
      <c r="J22061" s="1">
        <v>45957.534953703704</v>
      </c>
    </row>
    <row r="22062" spans="1:10" x14ac:dyDescent="0.2">
      <c r="A22062" s="4" t="s">
        <v>1</v>
      </c>
      <c r="B220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62" s="3" t="str">
        <f>HYPERLINK("https://otsuka-europe-crm.veevavault.com/ui/#object/sent_email__v/VBL000000001545", "SE-001378233")</f>
        <v>SE-001378233</v>
      </c>
      <c r="D22062" s="1">
        <v>45957.595358796294</v>
      </c>
      <c r="E22062" s="2">
        <v>1</v>
      </c>
      <c r="F22062" s="2">
        <v>1</v>
      </c>
      <c r="G22062" s="2">
        <v>0</v>
      </c>
      <c r="H22062" s="1" t="s">
        <v>0</v>
      </c>
      <c r="I22062" s="2">
        <v>0</v>
      </c>
      <c r="J22062" s="1">
        <v>45957.535000000003</v>
      </c>
    </row>
    <row r="22063" spans="1:10" x14ac:dyDescent="0.2">
      <c r="A22063" s="4" t="s">
        <v>1</v>
      </c>
      <c r="B220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63" s="3" t="str">
        <f>HYPERLINK("https://otsuka-europe-crm.veevavault.com/ui/#object/sent_email__v/VBL000000001546", "SE-001378234")</f>
        <v>SE-001378234</v>
      </c>
      <c r="D22063" s="1">
        <v>45965.896527777775</v>
      </c>
      <c r="E22063" s="2">
        <v>1</v>
      </c>
      <c r="F22063" s="2">
        <v>3</v>
      </c>
      <c r="G22063" s="2">
        <v>0</v>
      </c>
      <c r="H22063" s="1" t="s">
        <v>0</v>
      </c>
      <c r="I22063" s="2">
        <v>0</v>
      </c>
      <c r="J22063" s="1">
        <v>45957.535046296296</v>
      </c>
    </row>
    <row r="22064" spans="1:10" x14ac:dyDescent="0.2">
      <c r="A22064" s="4" t="s">
        <v>1</v>
      </c>
      <c r="B220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64" s="3" t="str">
        <f>HYPERLINK("https://otsuka-europe-crm.veevavault.com/ui/#object/sent_email__v/VBL000000001547", "SE-001378235")</f>
        <v>SE-001378235</v>
      </c>
      <c r="D22064" s="1" t="s">
        <v>0</v>
      </c>
      <c r="E22064" s="2">
        <v>0</v>
      </c>
      <c r="F22064" s="2">
        <v>0</v>
      </c>
      <c r="G22064" s="2">
        <v>0</v>
      </c>
      <c r="H22064" s="1" t="s">
        <v>0</v>
      </c>
      <c r="I22064" s="2">
        <v>0</v>
      </c>
      <c r="J22064" s="1">
        <v>45957.535081018519</v>
      </c>
    </row>
    <row r="22065" spans="1:10" x14ac:dyDescent="0.2">
      <c r="A22065" s="4" t="s">
        <v>1</v>
      </c>
      <c r="B220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65" s="3" t="str">
        <f>HYPERLINK("https://otsuka-europe-crm.veevavault.com/ui/#object/sent_email__v/VBL000000001548", "SE-001378236")</f>
        <v>SE-001378236</v>
      </c>
      <c r="D22065" s="1">
        <v>45969.494618055556</v>
      </c>
      <c r="E22065" s="2">
        <v>1</v>
      </c>
      <c r="F22065" s="2">
        <v>3</v>
      </c>
      <c r="G22065" s="2">
        <v>0</v>
      </c>
      <c r="H22065" s="1" t="s">
        <v>0</v>
      </c>
      <c r="I22065" s="2">
        <v>0</v>
      </c>
      <c r="J22065" s="1">
        <v>45957.535115740742</v>
      </c>
    </row>
    <row r="22066" spans="1:10" x14ac:dyDescent="0.2">
      <c r="A22066" s="4" t="s">
        <v>1</v>
      </c>
      <c r="B220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66" s="3" t="str">
        <f>HYPERLINK("https://otsuka-europe-crm.veevavault.com/ui/#object/sent_email__v/VBL000000001549", "SE-001378237")</f>
        <v>SE-001378237</v>
      </c>
      <c r="D22066" s="1" t="s">
        <v>0</v>
      </c>
      <c r="E22066" s="2">
        <v>0</v>
      </c>
      <c r="F22066" s="2">
        <v>0</v>
      </c>
      <c r="G22066" s="2">
        <v>0</v>
      </c>
      <c r="H22066" s="1" t="s">
        <v>0</v>
      </c>
      <c r="I22066" s="2">
        <v>0</v>
      </c>
      <c r="J22066" s="1">
        <v>45957.535162037035</v>
      </c>
    </row>
    <row r="22067" spans="1:10" x14ac:dyDescent="0.2">
      <c r="A22067" s="4" t="s">
        <v>1</v>
      </c>
      <c r="B220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67" s="3" t="str">
        <f>HYPERLINK("https://otsuka-europe-crm.veevavault.com/ui/#object/sent_email__v/VBL000000001550", "SE-001378238")</f>
        <v>SE-001378238</v>
      </c>
      <c r="D22067" s="1" t="s">
        <v>0</v>
      </c>
      <c r="E22067" s="2">
        <v>0</v>
      </c>
      <c r="F22067" s="2">
        <v>0</v>
      </c>
      <c r="G22067" s="2">
        <v>0</v>
      </c>
      <c r="H22067" s="1" t="s">
        <v>0</v>
      </c>
      <c r="I22067" s="2">
        <v>0</v>
      </c>
      <c r="J22067" s="1">
        <v>45957.535208333335</v>
      </c>
    </row>
    <row r="22068" spans="1:10" x14ac:dyDescent="0.2">
      <c r="A22068" s="4" t="s">
        <v>1</v>
      </c>
      <c r="B220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68" s="3" t="str">
        <f>HYPERLINK("https://otsuka-europe-crm.veevavault.com/ui/#object/sent_email__v/VBL000000001551", "SE-001378239")</f>
        <v>SE-001378239</v>
      </c>
      <c r="D22068" s="1">
        <v>45958.385208333333</v>
      </c>
      <c r="E22068" s="2">
        <v>1</v>
      </c>
      <c r="F22068" s="2">
        <v>2</v>
      </c>
      <c r="G22068" s="2">
        <v>0</v>
      </c>
      <c r="H22068" s="1" t="s">
        <v>0</v>
      </c>
      <c r="I22068" s="2">
        <v>0</v>
      </c>
      <c r="J22068" s="1">
        <v>45957.535254629627</v>
      </c>
    </row>
    <row r="22069" spans="1:10" x14ac:dyDescent="0.2">
      <c r="A22069" s="4" t="s">
        <v>1</v>
      </c>
      <c r="B220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69" s="3" t="str">
        <f>HYPERLINK("https://otsuka-europe-crm.veevavault.com/ui/#object/sent_email__v/VBL000000001552", "SE-001378240")</f>
        <v>SE-001378240</v>
      </c>
      <c r="D22069" s="1" t="s">
        <v>0</v>
      </c>
      <c r="E22069" s="2">
        <v>0</v>
      </c>
      <c r="F22069" s="2">
        <v>0</v>
      </c>
      <c r="G22069" s="2">
        <v>0</v>
      </c>
      <c r="H22069" s="1" t="s">
        <v>0</v>
      </c>
      <c r="I22069" s="2">
        <v>0</v>
      </c>
      <c r="J22069" s="1">
        <v>45957.53528935185</v>
      </c>
    </row>
    <row r="22070" spans="1:10" x14ac:dyDescent="0.2">
      <c r="A22070" s="4" t="s">
        <v>1</v>
      </c>
      <c r="B220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70" s="3" t="str">
        <f>HYPERLINK("https://otsuka-europe-crm.veevavault.com/ui/#object/sent_email__v/VBL000000001553", "SE-001378241")</f>
        <v>SE-001378241</v>
      </c>
      <c r="D22070" s="1">
        <v>45957.68482638889</v>
      </c>
      <c r="E22070" s="2">
        <v>1</v>
      </c>
      <c r="F22070" s="2">
        <v>1</v>
      </c>
      <c r="G22070" s="2">
        <v>0</v>
      </c>
      <c r="H22070" s="1" t="s">
        <v>0</v>
      </c>
      <c r="I22070" s="2">
        <v>0</v>
      </c>
      <c r="J22070" s="1">
        <v>45957.53534722222</v>
      </c>
    </row>
    <row r="22071" spans="1:10" x14ac:dyDescent="0.2">
      <c r="A22071" s="4" t="s">
        <v>1</v>
      </c>
      <c r="B220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71" s="3" t="str">
        <f>HYPERLINK("https://otsuka-europe-crm.veevavault.com/ui/#object/sent_email__v/VBL000000001554", "SE-001378242")</f>
        <v>SE-001378242</v>
      </c>
      <c r="D22071" s="1" t="s">
        <v>0</v>
      </c>
      <c r="E22071" s="2">
        <v>0</v>
      </c>
      <c r="F22071" s="2">
        <v>0</v>
      </c>
      <c r="G22071" s="2">
        <v>0</v>
      </c>
      <c r="H22071" s="1" t="s">
        <v>0</v>
      </c>
      <c r="I22071" s="2">
        <v>0</v>
      </c>
      <c r="J22071" s="1">
        <v>45957.535381944443</v>
      </c>
    </row>
    <row r="22072" spans="1:10" x14ac:dyDescent="0.2">
      <c r="A22072" s="4" t="s">
        <v>1</v>
      </c>
      <c r="B220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72" s="3" t="str">
        <f>HYPERLINK("https://otsuka-europe-crm.veevavault.com/ui/#object/sent_email__v/VBL000000001555", "SE-001378243")</f>
        <v>SE-001378243</v>
      </c>
      <c r="D22072" s="1">
        <v>45965.56827546296</v>
      </c>
      <c r="E22072" s="2">
        <v>1</v>
      </c>
      <c r="F22072" s="2">
        <v>2</v>
      </c>
      <c r="G22072" s="2">
        <v>0</v>
      </c>
      <c r="H22072" s="1" t="s">
        <v>0</v>
      </c>
      <c r="I22072" s="2">
        <v>0</v>
      </c>
      <c r="J22072" s="1">
        <v>45957.535416666666</v>
      </c>
    </row>
    <row r="22073" spans="1:10" x14ac:dyDescent="0.2">
      <c r="A22073" s="4" t="s">
        <v>1</v>
      </c>
      <c r="B220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73" s="3" t="str">
        <f>HYPERLINK("https://otsuka-europe-crm.veevavault.com/ui/#object/sent_email__v/VBL000000001556", "SE-001378244")</f>
        <v>SE-001378244</v>
      </c>
      <c r="D22073" s="1" t="s">
        <v>0</v>
      </c>
      <c r="E22073" s="2">
        <v>0</v>
      </c>
      <c r="F22073" s="2">
        <v>0</v>
      </c>
      <c r="G22073" s="2">
        <v>0</v>
      </c>
      <c r="H22073" s="1" t="s">
        <v>0</v>
      </c>
      <c r="I22073" s="2">
        <v>0</v>
      </c>
      <c r="J22073" s="1">
        <v>45957.535462962966</v>
      </c>
    </row>
    <row r="22074" spans="1:10" x14ac:dyDescent="0.2">
      <c r="A22074" s="4" t="s">
        <v>1</v>
      </c>
      <c r="B220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74" s="3" t="str">
        <f>HYPERLINK("https://otsuka-europe-crm.veevavault.com/ui/#object/sent_email__v/VBL000000001557", "SE-001378245")</f>
        <v>SE-001378245</v>
      </c>
      <c r="D22074" s="1">
        <v>45957.559479166666</v>
      </c>
      <c r="E22074" s="2">
        <v>1</v>
      </c>
      <c r="F22074" s="2">
        <v>1</v>
      </c>
      <c r="G22074" s="2">
        <v>0</v>
      </c>
      <c r="H22074" s="1" t="s">
        <v>0</v>
      </c>
      <c r="I22074" s="2">
        <v>0</v>
      </c>
      <c r="J22074" s="1">
        <v>45957.535497685189</v>
      </c>
    </row>
    <row r="22075" spans="1:10" x14ac:dyDescent="0.2">
      <c r="A22075" s="4" t="s">
        <v>1</v>
      </c>
      <c r="B220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75" s="3" t="str">
        <f>HYPERLINK("https://otsuka-europe-crm.veevavault.com/ui/#object/sent_email__v/VBL000000001558", "SE-001378246")</f>
        <v>SE-001378246</v>
      </c>
      <c r="D22075" s="1">
        <v>45957.922800925924</v>
      </c>
      <c r="E22075" s="2">
        <v>1</v>
      </c>
      <c r="F22075" s="2">
        <v>3</v>
      </c>
      <c r="G22075" s="2">
        <v>1</v>
      </c>
      <c r="H22075" s="1">
        <v>45957.922673611109</v>
      </c>
      <c r="I22075" s="2">
        <v>2</v>
      </c>
      <c r="J22075" s="1">
        <v>45957.535543981481</v>
      </c>
    </row>
    <row r="22076" spans="1:10" x14ac:dyDescent="0.2">
      <c r="A22076" s="4" t="s">
        <v>1</v>
      </c>
      <c r="B220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76" s="3" t="str">
        <f>HYPERLINK("https://otsuka-europe-crm.veevavault.com/ui/#object/sent_email__v/VBL000000001559", "SE-001378247")</f>
        <v>SE-001378247</v>
      </c>
      <c r="D22076" s="1">
        <v>45976.511238425926</v>
      </c>
      <c r="E22076" s="2">
        <v>1</v>
      </c>
      <c r="F22076" s="2">
        <v>4</v>
      </c>
      <c r="G22076" s="2">
        <v>0</v>
      </c>
      <c r="H22076" s="1" t="s">
        <v>0</v>
      </c>
      <c r="I22076" s="2">
        <v>0</v>
      </c>
      <c r="J22076" s="1">
        <v>45957.535590277781</v>
      </c>
    </row>
    <row r="22077" spans="1:10" x14ac:dyDescent="0.2">
      <c r="A22077" s="4" t="s">
        <v>1</v>
      </c>
      <c r="B220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77" s="3" t="str">
        <f>HYPERLINK("https://otsuka-europe-crm.veevavault.com/ui/#object/sent_email__v/VBL000000001560", "SE-001378248")</f>
        <v>SE-001378248</v>
      </c>
      <c r="D22077" s="1" t="s">
        <v>0</v>
      </c>
      <c r="E22077" s="2">
        <v>0</v>
      </c>
      <c r="F22077" s="2">
        <v>0</v>
      </c>
      <c r="G22077" s="2">
        <v>0</v>
      </c>
      <c r="H22077" s="1" t="s">
        <v>0</v>
      </c>
      <c r="I22077" s="2">
        <v>0</v>
      </c>
      <c r="J22077" s="1">
        <v>45957.535636574074</v>
      </c>
    </row>
    <row r="22078" spans="1:10" x14ac:dyDescent="0.2">
      <c r="A22078" s="4" t="s">
        <v>1</v>
      </c>
      <c r="B220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78" s="3" t="str">
        <f>HYPERLINK("https://otsuka-europe-crm.veevavault.com/ui/#object/sent_email__v/VBL000000001561", "SE-001378249")</f>
        <v>SE-001378249</v>
      </c>
      <c r="D22078" s="1" t="s">
        <v>0</v>
      </c>
      <c r="E22078" s="2">
        <v>0</v>
      </c>
      <c r="F22078" s="2">
        <v>0</v>
      </c>
      <c r="G22078" s="2">
        <v>0</v>
      </c>
      <c r="H22078" s="1" t="s">
        <v>0</v>
      </c>
      <c r="I22078" s="2">
        <v>0</v>
      </c>
      <c r="J22078" s="1">
        <v>45957.535694444443</v>
      </c>
    </row>
    <row r="22079" spans="1:10" x14ac:dyDescent="0.2">
      <c r="A22079" s="4" t="s">
        <v>1</v>
      </c>
      <c r="B220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79" s="3" t="str">
        <f>HYPERLINK("https://otsuka-europe-crm.veevavault.com/ui/#object/sent_email__v/VBL000000001562", "SE-001378250")</f>
        <v>SE-001378250</v>
      </c>
      <c r="D22079" s="1">
        <v>45966.895162037035</v>
      </c>
      <c r="E22079" s="2">
        <v>1</v>
      </c>
      <c r="F22079" s="2">
        <v>2</v>
      </c>
      <c r="G22079" s="2">
        <v>0</v>
      </c>
      <c r="H22079" s="1" t="s">
        <v>0</v>
      </c>
      <c r="I22079" s="2">
        <v>0</v>
      </c>
      <c r="J22079" s="1">
        <v>45957.535763888889</v>
      </c>
    </row>
    <row r="22080" spans="1:10" x14ac:dyDescent="0.2">
      <c r="A22080" s="4" t="s">
        <v>1</v>
      </c>
      <c r="B220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80" s="3" t="str">
        <f>HYPERLINK("https://otsuka-europe-crm.veevavault.com/ui/#object/sent_email__v/VBL000000001563", "SE-001378251")</f>
        <v>SE-001378251</v>
      </c>
      <c r="D22080" s="1" t="s">
        <v>0</v>
      </c>
      <c r="E22080" s="2">
        <v>0</v>
      </c>
      <c r="F22080" s="2">
        <v>0</v>
      </c>
      <c r="G22080" s="2">
        <v>0</v>
      </c>
      <c r="H22080" s="1" t="s">
        <v>0</v>
      </c>
      <c r="I22080" s="2">
        <v>0</v>
      </c>
      <c r="J22080" s="1">
        <v>45957.535833333335</v>
      </c>
    </row>
    <row r="22081" spans="1:10" x14ac:dyDescent="0.2">
      <c r="A22081" s="4" t="s">
        <v>1</v>
      </c>
      <c r="B220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81" s="3" t="str">
        <f>HYPERLINK("https://otsuka-europe-crm.veevavault.com/ui/#object/sent_email__v/VBL000000001564", "SE-001378252")</f>
        <v>SE-001378252</v>
      </c>
      <c r="D22081" s="1">
        <v>45957.537974537037</v>
      </c>
      <c r="E22081" s="2">
        <v>1</v>
      </c>
      <c r="F22081" s="2">
        <v>2</v>
      </c>
      <c r="G22081" s="2">
        <v>0</v>
      </c>
      <c r="H22081" s="1" t="s">
        <v>0</v>
      </c>
      <c r="I22081" s="2">
        <v>0</v>
      </c>
      <c r="J22081" s="1">
        <v>45957.535902777781</v>
      </c>
    </row>
    <row r="22082" spans="1:10" x14ac:dyDescent="0.2">
      <c r="A22082" s="4" t="s">
        <v>1</v>
      </c>
      <c r="B220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82" s="3" t="str">
        <f>HYPERLINK("https://otsuka-europe-crm.veevavault.com/ui/#object/sent_email__v/VBL000000001565", "SE-001378253")</f>
        <v>SE-001378253</v>
      </c>
      <c r="D22082" s="1">
        <v>45957.606736111113</v>
      </c>
      <c r="E22082" s="2">
        <v>1</v>
      </c>
      <c r="F22082" s="2">
        <v>1</v>
      </c>
      <c r="G22082" s="2">
        <v>0</v>
      </c>
      <c r="H22082" s="1" t="s">
        <v>0</v>
      </c>
      <c r="I22082" s="2">
        <v>0</v>
      </c>
      <c r="J22082" s="1">
        <v>45957.53597222222</v>
      </c>
    </row>
    <row r="22083" spans="1:10" x14ac:dyDescent="0.2">
      <c r="A22083" s="4" t="s">
        <v>1</v>
      </c>
      <c r="B220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83" s="3" t="str">
        <f>HYPERLINK("https://otsuka-europe-crm.veevavault.com/ui/#object/sent_email__v/VBL000000001566", "SE-001378254")</f>
        <v>SE-001378254</v>
      </c>
      <c r="D22083" s="1" t="s">
        <v>0</v>
      </c>
      <c r="E22083" s="2">
        <v>0</v>
      </c>
      <c r="F22083" s="2">
        <v>0</v>
      </c>
      <c r="G22083" s="2">
        <v>0</v>
      </c>
      <c r="H22083" s="1" t="s">
        <v>0</v>
      </c>
      <c r="I22083" s="2">
        <v>0</v>
      </c>
      <c r="J22083" s="1">
        <v>45957.536041666666</v>
      </c>
    </row>
    <row r="22084" spans="1:10" x14ac:dyDescent="0.2">
      <c r="A22084" s="4" t="s">
        <v>1</v>
      </c>
      <c r="B220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84" s="3" t="str">
        <f>HYPERLINK("https://otsuka-europe-crm.veevavault.com/ui/#object/sent_email__v/VBL000000001567", "SE-001378255")</f>
        <v>SE-001378255</v>
      </c>
      <c r="D22084" s="1" t="s">
        <v>0</v>
      </c>
      <c r="E22084" s="2">
        <v>0</v>
      </c>
      <c r="F22084" s="2">
        <v>0</v>
      </c>
      <c r="G22084" s="2">
        <v>0</v>
      </c>
      <c r="H22084" s="1" t="s">
        <v>0</v>
      </c>
      <c r="I22084" s="2">
        <v>0</v>
      </c>
      <c r="J22084" s="1">
        <v>45957.536111111112</v>
      </c>
    </row>
    <row r="22085" spans="1:10" x14ac:dyDescent="0.2">
      <c r="A22085" s="4" t="s">
        <v>1</v>
      </c>
      <c r="B220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85" s="3" t="str">
        <f>HYPERLINK("https://otsuka-europe-crm.veevavault.com/ui/#object/sent_email__v/VBL000000001568", "SE-001378256")</f>
        <v>SE-001378256</v>
      </c>
      <c r="D22085" s="1">
        <v>45957.536944444444</v>
      </c>
      <c r="E22085" s="2">
        <v>1</v>
      </c>
      <c r="F22085" s="2">
        <v>2</v>
      </c>
      <c r="G22085" s="2">
        <v>0</v>
      </c>
      <c r="H22085" s="1" t="s">
        <v>0</v>
      </c>
      <c r="I22085" s="2">
        <v>0</v>
      </c>
      <c r="J22085" s="1">
        <v>45957.536180555559</v>
      </c>
    </row>
    <row r="22086" spans="1:10" x14ac:dyDescent="0.2">
      <c r="A22086" s="4" t="s">
        <v>1</v>
      </c>
      <c r="B220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86" s="3" t="str">
        <f>HYPERLINK("https://otsuka-europe-crm.veevavault.com/ui/#object/sent_email__v/VBL000000001569", "SE-001378257")</f>
        <v>SE-001378257</v>
      </c>
      <c r="D22086" s="1" t="s">
        <v>0</v>
      </c>
      <c r="E22086" s="2">
        <v>0</v>
      </c>
      <c r="F22086" s="2">
        <v>0</v>
      </c>
      <c r="G22086" s="2">
        <v>0</v>
      </c>
      <c r="H22086" s="1" t="s">
        <v>0</v>
      </c>
      <c r="I22086" s="2">
        <v>0</v>
      </c>
      <c r="J22086" s="1">
        <v>45957.536261574074</v>
      </c>
    </row>
    <row r="22087" spans="1:10" x14ac:dyDescent="0.2">
      <c r="A22087" s="4" t="s">
        <v>1</v>
      </c>
      <c r="B220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87" s="3" t="str">
        <f>HYPERLINK("https://otsuka-europe-crm.veevavault.com/ui/#object/sent_email__v/VBL000000001570", "SE-001378258")</f>
        <v>SE-001378258</v>
      </c>
      <c r="D22087" s="1" t="s">
        <v>0</v>
      </c>
      <c r="E22087" s="2">
        <v>0</v>
      </c>
      <c r="F22087" s="2">
        <v>0</v>
      </c>
      <c r="G22087" s="2">
        <v>0</v>
      </c>
      <c r="H22087" s="1" t="s">
        <v>0</v>
      </c>
      <c r="I22087" s="2">
        <v>0</v>
      </c>
      <c r="J22087" s="1">
        <v>45957.53633101852</v>
      </c>
    </row>
    <row r="22088" spans="1:10" x14ac:dyDescent="0.2">
      <c r="A22088" s="4" t="s">
        <v>1</v>
      </c>
      <c r="B220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88" s="3" t="str">
        <f>HYPERLINK("https://otsuka-europe-crm.veevavault.com/ui/#object/sent_email__v/VBL000000001571", "SE-001378259")</f>
        <v>SE-001378259</v>
      </c>
      <c r="D22088" s="1" t="s">
        <v>0</v>
      </c>
      <c r="E22088" s="2">
        <v>0</v>
      </c>
      <c r="F22088" s="2">
        <v>0</v>
      </c>
      <c r="G22088" s="2">
        <v>0</v>
      </c>
      <c r="H22088" s="1" t="s">
        <v>0</v>
      </c>
      <c r="I22088" s="2">
        <v>0</v>
      </c>
      <c r="J22088" s="1">
        <v>45957.536412037036</v>
      </c>
    </row>
    <row r="22089" spans="1:10" x14ac:dyDescent="0.2">
      <c r="A22089" s="4" t="s">
        <v>1</v>
      </c>
      <c r="B220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89" s="3" t="str">
        <f>HYPERLINK("https://otsuka-europe-crm.veevavault.com/ui/#object/sent_email__v/VBL000000001572", "SE-001378260")</f>
        <v>SE-001378260</v>
      </c>
      <c r="D22089" s="1">
        <v>45957.920787037037</v>
      </c>
      <c r="E22089" s="2">
        <v>1</v>
      </c>
      <c r="F22089" s="2">
        <v>1</v>
      </c>
      <c r="G22089" s="2">
        <v>0</v>
      </c>
      <c r="H22089" s="1" t="s">
        <v>0</v>
      </c>
      <c r="I22089" s="2">
        <v>0</v>
      </c>
      <c r="J22089" s="1">
        <v>45957.536469907405</v>
      </c>
    </row>
    <row r="22090" spans="1:10" x14ac:dyDescent="0.2">
      <c r="A22090" s="4" t="s">
        <v>1</v>
      </c>
      <c r="B220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90" s="3" t="str">
        <f>HYPERLINK("https://otsuka-europe-crm.veevavault.com/ui/#object/sent_email__v/VBL000000001573", "SE-001378261")</f>
        <v>SE-001378261</v>
      </c>
      <c r="D22090" s="1" t="s">
        <v>0</v>
      </c>
      <c r="E22090" s="2">
        <v>0</v>
      </c>
      <c r="F22090" s="2">
        <v>0</v>
      </c>
      <c r="G22090" s="2">
        <v>0</v>
      </c>
      <c r="H22090" s="1" t="s">
        <v>0</v>
      </c>
      <c r="I22090" s="2">
        <v>0</v>
      </c>
      <c r="J22090" s="1">
        <v>45957.536539351851</v>
      </c>
    </row>
    <row r="22091" spans="1:10" x14ac:dyDescent="0.2">
      <c r="A22091" s="4" t="s">
        <v>1</v>
      </c>
      <c r="B220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91" s="3" t="str">
        <f>HYPERLINK("https://otsuka-europe-crm.veevavault.com/ui/#object/sent_email__v/VBL000000001574", "SE-001378262")</f>
        <v>SE-001378262</v>
      </c>
      <c r="D22091" s="1">
        <v>45958.656990740739</v>
      </c>
      <c r="E22091" s="2">
        <v>1</v>
      </c>
      <c r="F22091" s="2">
        <v>1</v>
      </c>
      <c r="G22091" s="2">
        <v>0</v>
      </c>
      <c r="H22091" s="1" t="s">
        <v>0</v>
      </c>
      <c r="I22091" s="2">
        <v>0</v>
      </c>
      <c r="J22091" s="1">
        <v>45957.536608796298</v>
      </c>
    </row>
    <row r="22092" spans="1:10" x14ac:dyDescent="0.2">
      <c r="A22092" s="4" t="s">
        <v>1</v>
      </c>
      <c r="B220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92" s="3" t="str">
        <f>HYPERLINK("https://otsuka-europe-crm.veevavault.com/ui/#object/sent_email__v/VBL000000001575", "SE-001378263")</f>
        <v>SE-001378263</v>
      </c>
      <c r="D22092" s="1">
        <v>45957.542962962965</v>
      </c>
      <c r="E22092" s="2">
        <v>1</v>
      </c>
      <c r="F22092" s="2">
        <v>1</v>
      </c>
      <c r="G22092" s="2">
        <v>0</v>
      </c>
      <c r="H22092" s="1" t="s">
        <v>0</v>
      </c>
      <c r="I22092" s="2">
        <v>0</v>
      </c>
      <c r="J22092" s="1">
        <v>45957.536666666667</v>
      </c>
    </row>
    <row r="22093" spans="1:10" x14ac:dyDescent="0.2">
      <c r="A22093" s="4" t="s">
        <v>1</v>
      </c>
      <c r="B220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93" s="3" t="str">
        <f>HYPERLINK("https://otsuka-europe-crm.veevavault.com/ui/#object/sent_email__v/VBL000000001576", "SE-001378264")</f>
        <v>SE-001378264</v>
      </c>
      <c r="D22093" s="1">
        <v>45957.536909722221</v>
      </c>
      <c r="E22093" s="2">
        <v>1</v>
      </c>
      <c r="F22093" s="2">
        <v>3</v>
      </c>
      <c r="G22093" s="2">
        <v>1</v>
      </c>
      <c r="H22093" s="1">
        <v>45957.537094907406</v>
      </c>
      <c r="I22093" s="2">
        <v>12</v>
      </c>
      <c r="J22093" s="1">
        <v>45957.536747685182</v>
      </c>
    </row>
    <row r="22094" spans="1:10" x14ac:dyDescent="0.2">
      <c r="A22094" s="4" t="s">
        <v>1</v>
      </c>
      <c r="B220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94" s="3" t="str">
        <f>HYPERLINK("https://otsuka-europe-crm.veevavault.com/ui/#object/sent_email__v/VBL000000001577", "SE-001378265")</f>
        <v>SE-001378265</v>
      </c>
      <c r="D22094" s="1" t="s">
        <v>0</v>
      </c>
      <c r="E22094" s="2">
        <v>0</v>
      </c>
      <c r="F22094" s="2">
        <v>0</v>
      </c>
      <c r="G22094" s="2">
        <v>0</v>
      </c>
      <c r="H22094" s="1" t="s">
        <v>0</v>
      </c>
      <c r="I22094" s="2">
        <v>0</v>
      </c>
      <c r="J22094" s="1">
        <v>45957.536817129629</v>
      </c>
    </row>
    <row r="22095" spans="1:10" x14ac:dyDescent="0.2">
      <c r="A22095" s="4" t="s">
        <v>1</v>
      </c>
      <c r="B220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95" s="3" t="str">
        <f>HYPERLINK("https://otsuka-europe-crm.veevavault.com/ui/#object/sent_email__v/VBL000000001578", "SE-001378266")</f>
        <v>SE-001378266</v>
      </c>
      <c r="D22095" s="1">
        <v>45958.001006944447</v>
      </c>
      <c r="E22095" s="2">
        <v>1</v>
      </c>
      <c r="F22095" s="2">
        <v>1</v>
      </c>
      <c r="G22095" s="2">
        <v>0</v>
      </c>
      <c r="H22095" s="1" t="s">
        <v>0</v>
      </c>
      <c r="I22095" s="2">
        <v>0</v>
      </c>
      <c r="J22095" s="1">
        <v>45957.536886574075</v>
      </c>
    </row>
    <row r="22096" spans="1:10" x14ac:dyDescent="0.2">
      <c r="A22096" s="4" t="s">
        <v>1</v>
      </c>
      <c r="B220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96" s="3" t="str">
        <f>HYPERLINK("https://otsuka-europe-crm.veevavault.com/ui/#object/sent_email__v/VBL000000001579", "SE-001378267")</f>
        <v>SE-001378267</v>
      </c>
      <c r="D22096" s="1">
        <v>45958.337905092594</v>
      </c>
      <c r="E22096" s="2">
        <v>1</v>
      </c>
      <c r="F22096" s="2">
        <v>1</v>
      </c>
      <c r="G22096" s="2">
        <v>0</v>
      </c>
      <c r="H22096" s="1" t="s">
        <v>0</v>
      </c>
      <c r="I22096" s="2">
        <v>0</v>
      </c>
      <c r="J22096" s="1">
        <v>45957.53696759259</v>
      </c>
    </row>
    <row r="22097" spans="1:10" x14ac:dyDescent="0.2">
      <c r="A22097" s="4" t="s">
        <v>1</v>
      </c>
      <c r="B220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97" s="3" t="str">
        <f>HYPERLINK("https://otsuka-europe-crm.veevavault.com/ui/#object/sent_email__v/VBL000000001580", "SE-001378268")</f>
        <v>SE-001378268</v>
      </c>
      <c r="D22097" s="1">
        <v>45957.782013888886</v>
      </c>
      <c r="E22097" s="2">
        <v>1</v>
      </c>
      <c r="F22097" s="2">
        <v>2</v>
      </c>
      <c r="G22097" s="2">
        <v>0</v>
      </c>
      <c r="H22097" s="1" t="s">
        <v>0</v>
      </c>
      <c r="I22097" s="2">
        <v>0</v>
      </c>
      <c r="J22097" s="1">
        <v>45957.537037037036</v>
      </c>
    </row>
    <row r="22098" spans="1:10" x14ac:dyDescent="0.2">
      <c r="A22098" s="4" t="s">
        <v>1</v>
      </c>
      <c r="B220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98" s="3" t="str">
        <f>HYPERLINK("https://otsuka-europe-crm.veevavault.com/ui/#object/sent_email__v/VBL000000001581", "SE-001378269")</f>
        <v>SE-001378269</v>
      </c>
      <c r="D22098" s="1" t="s">
        <v>0</v>
      </c>
      <c r="E22098" s="2">
        <v>0</v>
      </c>
      <c r="F22098" s="2">
        <v>0</v>
      </c>
      <c r="G22098" s="2">
        <v>0</v>
      </c>
      <c r="H22098" s="1" t="s">
        <v>0</v>
      </c>
      <c r="I22098" s="2">
        <v>0</v>
      </c>
      <c r="J22098" s="1">
        <v>45957.537106481483</v>
      </c>
    </row>
    <row r="22099" spans="1:10" x14ac:dyDescent="0.2">
      <c r="A22099" s="4" t="s">
        <v>1</v>
      </c>
      <c r="B220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099" s="3" t="str">
        <f>HYPERLINK("https://otsuka-europe-crm.veevavault.com/ui/#object/sent_email__v/VBL000000001582", "SE-001378270")</f>
        <v>SE-001378270</v>
      </c>
      <c r="D22099" s="1">
        <v>45957.598124999997</v>
      </c>
      <c r="E22099" s="2">
        <v>1</v>
      </c>
      <c r="F22099" s="2">
        <v>2</v>
      </c>
      <c r="G22099" s="2">
        <v>0</v>
      </c>
      <c r="H22099" s="1" t="s">
        <v>0</v>
      </c>
      <c r="I22099" s="2">
        <v>0</v>
      </c>
      <c r="J22099" s="1">
        <v>45957.537187499998</v>
      </c>
    </row>
    <row r="22100" spans="1:10" x14ac:dyDescent="0.2">
      <c r="A22100" s="4" t="s">
        <v>1</v>
      </c>
      <c r="B221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00" s="3" t="str">
        <f>HYPERLINK("https://otsuka-europe-crm.veevavault.com/ui/#object/sent_email__v/VBL000000001583", "SE-001378271")</f>
        <v>SE-001378271</v>
      </c>
      <c r="D22100" s="1">
        <v>45957.636238425926</v>
      </c>
      <c r="E22100" s="2">
        <v>1</v>
      </c>
      <c r="F22100" s="2">
        <v>1</v>
      </c>
      <c r="G22100" s="2">
        <v>1</v>
      </c>
      <c r="H22100" s="1">
        <v>45957.673252314817</v>
      </c>
      <c r="I22100" s="2">
        <v>3</v>
      </c>
      <c r="J22100" s="1">
        <v>45957.537245370368</v>
      </c>
    </row>
    <row r="22101" spans="1:10" x14ac:dyDescent="0.2">
      <c r="A22101" s="4" t="s">
        <v>1</v>
      </c>
      <c r="B221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01" s="3" t="str">
        <f>HYPERLINK("https://otsuka-europe-crm.veevavault.com/ui/#object/sent_email__v/VBL000000001584", "SE-001378272")</f>
        <v>SE-001378272</v>
      </c>
      <c r="D22101" s="1">
        <v>45957.543287037035</v>
      </c>
      <c r="E22101" s="2">
        <v>1</v>
      </c>
      <c r="F22101" s="2">
        <v>1</v>
      </c>
      <c r="G22101" s="2">
        <v>0</v>
      </c>
      <c r="H22101" s="1" t="s">
        <v>0</v>
      </c>
      <c r="I22101" s="2">
        <v>0</v>
      </c>
      <c r="J22101" s="1">
        <v>45957.537326388891</v>
      </c>
    </row>
    <row r="22102" spans="1:10" x14ac:dyDescent="0.2">
      <c r="A22102" s="4" t="s">
        <v>1</v>
      </c>
      <c r="B221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02" s="3" t="str">
        <f>HYPERLINK("https://otsuka-europe-crm.veevavault.com/ui/#object/sent_email__v/VBL000000001585", "SE-001378273")</f>
        <v>SE-001378273</v>
      </c>
      <c r="D22102" s="1" t="s">
        <v>0</v>
      </c>
      <c r="E22102" s="2">
        <v>0</v>
      </c>
      <c r="F22102" s="2">
        <v>0</v>
      </c>
      <c r="G22102" s="2">
        <v>0</v>
      </c>
      <c r="H22102" s="1" t="s">
        <v>0</v>
      </c>
      <c r="I22102" s="2">
        <v>0</v>
      </c>
      <c r="J22102" s="1">
        <v>45957.537395833337</v>
      </c>
    </row>
    <row r="22103" spans="1:10" x14ac:dyDescent="0.2">
      <c r="A22103" s="4" t="s">
        <v>1</v>
      </c>
      <c r="B221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03" s="3" t="str">
        <f>HYPERLINK("https://otsuka-europe-crm.veevavault.com/ui/#object/sent_email__v/VBL000000001586", "SE-001378274")</f>
        <v>SE-001378274</v>
      </c>
      <c r="D22103" s="1">
        <v>45960.697962962964</v>
      </c>
      <c r="E22103" s="2">
        <v>1</v>
      </c>
      <c r="F22103" s="2">
        <v>2</v>
      </c>
      <c r="G22103" s="2">
        <v>0</v>
      </c>
      <c r="H22103" s="1" t="s">
        <v>0</v>
      </c>
      <c r="I22103" s="2">
        <v>0</v>
      </c>
      <c r="J22103" s="1">
        <v>45957.537465277775</v>
      </c>
    </row>
    <row r="22104" spans="1:10" x14ac:dyDescent="0.2">
      <c r="A22104" s="4" t="s">
        <v>1</v>
      </c>
      <c r="B221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04" s="3" t="str">
        <f>HYPERLINK("https://otsuka-europe-crm.veevavault.com/ui/#object/sent_email__v/VBL000000001587", "SE-001378275")</f>
        <v>SE-001378275</v>
      </c>
      <c r="D22104" s="1" t="s">
        <v>0</v>
      </c>
      <c r="E22104" s="2">
        <v>0</v>
      </c>
      <c r="F22104" s="2">
        <v>0</v>
      </c>
      <c r="G22104" s="2">
        <v>0</v>
      </c>
      <c r="H22104" s="1" t="s">
        <v>0</v>
      </c>
      <c r="I22104" s="2">
        <v>0</v>
      </c>
      <c r="J22104" s="1">
        <v>45957.537534722222</v>
      </c>
    </row>
    <row r="22105" spans="1:10" x14ac:dyDescent="0.2">
      <c r="A22105" s="4" t="s">
        <v>1</v>
      </c>
      <c r="B221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05" s="3" t="str">
        <f>HYPERLINK("https://otsuka-europe-crm.veevavault.com/ui/#object/sent_email__v/VBL000000001588", "SE-001378276")</f>
        <v>SE-001378276</v>
      </c>
      <c r="D22105" s="1" t="s">
        <v>0</v>
      </c>
      <c r="E22105" s="2">
        <v>0</v>
      </c>
      <c r="F22105" s="2">
        <v>0</v>
      </c>
      <c r="G22105" s="2">
        <v>0</v>
      </c>
      <c r="H22105" s="1" t="s">
        <v>0</v>
      </c>
      <c r="I22105" s="2">
        <v>0</v>
      </c>
      <c r="J22105" s="1">
        <v>45957.537604166668</v>
      </c>
    </row>
    <row r="22106" spans="1:10" x14ac:dyDescent="0.2">
      <c r="A22106" s="4" t="s">
        <v>1</v>
      </c>
      <c r="B221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06" s="3" t="str">
        <f>HYPERLINK("https://otsuka-europe-crm.veevavault.com/ui/#object/sent_email__v/VBL000000001589", "SE-001378277")</f>
        <v>SE-001378277</v>
      </c>
      <c r="D22106" s="1">
        <v>45958.72859953704</v>
      </c>
      <c r="E22106" s="2">
        <v>1</v>
      </c>
      <c r="F22106" s="2">
        <v>1</v>
      </c>
      <c r="G22106" s="2">
        <v>0</v>
      </c>
      <c r="H22106" s="1" t="s">
        <v>0</v>
      </c>
      <c r="I22106" s="2">
        <v>0</v>
      </c>
      <c r="J22106" s="1">
        <v>45957.537685185183</v>
      </c>
    </row>
    <row r="22107" spans="1:10" x14ac:dyDescent="0.2">
      <c r="A22107" s="4" t="s">
        <v>1</v>
      </c>
      <c r="B221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07" s="3" t="str">
        <f>HYPERLINK("https://otsuka-europe-crm.veevavault.com/ui/#object/sent_email__v/VBL000000001590", "SE-001378278")</f>
        <v>SE-001378278</v>
      </c>
      <c r="D22107" s="1" t="s">
        <v>0</v>
      </c>
      <c r="E22107" s="2">
        <v>0</v>
      </c>
      <c r="F22107" s="2">
        <v>0</v>
      </c>
      <c r="G22107" s="2">
        <v>0</v>
      </c>
      <c r="H22107" s="1" t="s">
        <v>0</v>
      </c>
      <c r="I22107" s="2">
        <v>0</v>
      </c>
      <c r="J22107" s="1">
        <v>45957.537743055553</v>
      </c>
    </row>
    <row r="22108" spans="1:10" x14ac:dyDescent="0.2">
      <c r="A22108" s="4" t="s">
        <v>1</v>
      </c>
      <c r="B221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08" s="3" t="str">
        <f>HYPERLINK("https://otsuka-europe-crm.veevavault.com/ui/#object/sent_email__v/VBL000000001591", "SE-001378279")</f>
        <v>SE-001378279</v>
      </c>
      <c r="D22108" s="1">
        <v>46059.646539351852</v>
      </c>
      <c r="E22108" s="2">
        <v>1</v>
      </c>
      <c r="F22108" s="2">
        <v>3</v>
      </c>
      <c r="G22108" s="2">
        <v>0</v>
      </c>
      <c r="H22108" s="1" t="s">
        <v>0</v>
      </c>
      <c r="I22108" s="2">
        <v>0</v>
      </c>
      <c r="J22108" s="1">
        <v>45957.537824074076</v>
      </c>
    </row>
    <row r="22109" spans="1:10" x14ac:dyDescent="0.2">
      <c r="A22109" s="4" t="s">
        <v>1</v>
      </c>
      <c r="B221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09" s="3" t="str">
        <f>HYPERLINK("https://otsuka-europe-crm.veevavault.com/ui/#object/sent_email__v/VBL000000001592", "SE-001378280")</f>
        <v>SE-001378280</v>
      </c>
      <c r="D22109" s="1" t="s">
        <v>0</v>
      </c>
      <c r="E22109" s="2">
        <v>0</v>
      </c>
      <c r="F22109" s="2">
        <v>0</v>
      </c>
      <c r="G22109" s="2">
        <v>0</v>
      </c>
      <c r="H22109" s="1" t="s">
        <v>0</v>
      </c>
      <c r="I22109" s="2">
        <v>0</v>
      </c>
      <c r="J22109" s="1">
        <v>45957.537893518522</v>
      </c>
    </row>
    <row r="22110" spans="1:10" x14ac:dyDescent="0.2">
      <c r="A22110" s="4" t="s">
        <v>1</v>
      </c>
      <c r="B221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10" s="3" t="str">
        <f>HYPERLINK("https://otsuka-europe-crm.veevavault.com/ui/#object/sent_email__v/VBL000000001593", "SE-001378281")</f>
        <v>SE-001378281</v>
      </c>
      <c r="D22110" s="1">
        <v>45957.941770833335</v>
      </c>
      <c r="E22110" s="2">
        <v>1</v>
      </c>
      <c r="F22110" s="2">
        <v>2</v>
      </c>
      <c r="G22110" s="2">
        <v>0</v>
      </c>
      <c r="H22110" s="1" t="s">
        <v>0</v>
      </c>
      <c r="I22110" s="2">
        <v>0</v>
      </c>
      <c r="J22110" s="1">
        <v>45957.537962962961</v>
      </c>
    </row>
    <row r="22111" spans="1:10" x14ac:dyDescent="0.2">
      <c r="A22111" s="4" t="s">
        <v>1</v>
      </c>
      <c r="B221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11" s="3" t="str">
        <f>HYPERLINK("https://otsuka-europe-crm.veevavault.com/ui/#object/sent_email__v/VBL000000001594", "SE-001378282")</f>
        <v>SE-001378282</v>
      </c>
      <c r="D22111" s="1">
        <v>45957.626400462963</v>
      </c>
      <c r="E22111" s="2">
        <v>1</v>
      </c>
      <c r="F22111" s="2">
        <v>4</v>
      </c>
      <c r="G22111" s="2">
        <v>0</v>
      </c>
      <c r="H22111" s="1" t="s">
        <v>0</v>
      </c>
      <c r="I22111" s="2">
        <v>0</v>
      </c>
      <c r="J22111" s="1">
        <v>45957.538032407407</v>
      </c>
    </row>
    <row r="22112" spans="1:10" x14ac:dyDescent="0.2">
      <c r="A22112" s="4" t="s">
        <v>1</v>
      </c>
      <c r="B221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12" s="3" t="str">
        <f>HYPERLINK("https://otsuka-europe-crm.veevavault.com/ui/#object/sent_email__v/VBL000000001595", "SE-001378283")</f>
        <v>SE-001378283</v>
      </c>
      <c r="D22112" s="1">
        <v>45957.538587962961</v>
      </c>
      <c r="E22112" s="2">
        <v>1</v>
      </c>
      <c r="F22112" s="2">
        <v>1</v>
      </c>
      <c r="G22112" s="2">
        <v>0</v>
      </c>
      <c r="H22112" s="1" t="s">
        <v>0</v>
      </c>
      <c r="I22112" s="2">
        <v>0</v>
      </c>
      <c r="J22112" s="1">
        <v>45957.538101851853</v>
      </c>
    </row>
    <row r="22113" spans="1:10" x14ac:dyDescent="0.2">
      <c r="A22113" s="4" t="s">
        <v>1</v>
      </c>
      <c r="B221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13" s="3" t="str">
        <f>HYPERLINK("https://otsuka-europe-crm.veevavault.com/ui/#object/sent_email__v/VBL000000001596", "SE-001378284")</f>
        <v>SE-001378284</v>
      </c>
      <c r="D22113" s="1">
        <v>45957.625879629632</v>
      </c>
      <c r="E22113" s="2">
        <v>1</v>
      </c>
      <c r="F22113" s="2">
        <v>1</v>
      </c>
      <c r="G22113" s="2">
        <v>0</v>
      </c>
      <c r="H22113" s="1" t="s">
        <v>0</v>
      </c>
      <c r="I22113" s="2">
        <v>0</v>
      </c>
      <c r="J22113" s="1">
        <v>45957.538171296299</v>
      </c>
    </row>
    <row r="22114" spans="1:10" x14ac:dyDescent="0.2">
      <c r="A22114" s="4" t="s">
        <v>1</v>
      </c>
      <c r="B221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14" s="3" t="str">
        <f>HYPERLINK("https://otsuka-europe-crm.veevavault.com/ui/#object/sent_email__v/VBL000000001597", "SE-001378285")</f>
        <v>SE-001378285</v>
      </c>
      <c r="D22114" s="1" t="s">
        <v>0</v>
      </c>
      <c r="E22114" s="2">
        <v>0</v>
      </c>
      <c r="F22114" s="2">
        <v>0</v>
      </c>
      <c r="G22114" s="2">
        <v>0</v>
      </c>
      <c r="H22114" s="1" t="s">
        <v>0</v>
      </c>
      <c r="I22114" s="2">
        <v>0</v>
      </c>
      <c r="J22114" s="1">
        <v>45957.538229166668</v>
      </c>
    </row>
    <row r="22115" spans="1:10" x14ac:dyDescent="0.2">
      <c r="A22115" s="4" t="s">
        <v>1</v>
      </c>
      <c r="B221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15" s="3" t="str">
        <f>HYPERLINK("https://otsuka-europe-crm.veevavault.com/ui/#object/sent_email__v/VBL000000001598", "SE-001378286")</f>
        <v>SE-001378286</v>
      </c>
      <c r="D22115" s="1">
        <v>45958.146435185183</v>
      </c>
      <c r="E22115" s="2">
        <v>1</v>
      </c>
      <c r="F22115" s="2">
        <v>1</v>
      </c>
      <c r="G22115" s="2">
        <v>0</v>
      </c>
      <c r="H22115" s="1" t="s">
        <v>0</v>
      </c>
      <c r="I22115" s="2">
        <v>0</v>
      </c>
      <c r="J22115" s="1">
        <v>45957.538263888891</v>
      </c>
    </row>
    <row r="22116" spans="1:10" x14ac:dyDescent="0.2">
      <c r="A22116" s="4" t="s">
        <v>1</v>
      </c>
      <c r="B221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16" s="3" t="str">
        <f>HYPERLINK("https://otsuka-europe-crm.veevavault.com/ui/#object/sent_email__v/VBL000000001599", "SE-001378287")</f>
        <v>SE-001378287</v>
      </c>
      <c r="D22116" s="1" t="s">
        <v>0</v>
      </c>
      <c r="E22116" s="2">
        <v>0</v>
      </c>
      <c r="F22116" s="2">
        <v>0</v>
      </c>
      <c r="G22116" s="2">
        <v>0</v>
      </c>
      <c r="H22116" s="1" t="s">
        <v>0</v>
      </c>
      <c r="I22116" s="2">
        <v>0</v>
      </c>
      <c r="J22116" s="1">
        <v>45957.538321759261</v>
      </c>
    </row>
    <row r="22117" spans="1:10" x14ac:dyDescent="0.2">
      <c r="A22117" s="4" t="s">
        <v>1</v>
      </c>
      <c r="B221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17" s="3" t="str">
        <f>HYPERLINK("https://otsuka-europe-crm.veevavault.com/ui/#object/sent_email__v/VBL000000001600", "SE-001378288")</f>
        <v>SE-001378288</v>
      </c>
      <c r="D22117" s="1" t="s">
        <v>0</v>
      </c>
      <c r="E22117" s="2">
        <v>0</v>
      </c>
      <c r="F22117" s="2">
        <v>0</v>
      </c>
      <c r="G22117" s="2">
        <v>0</v>
      </c>
      <c r="H22117" s="1" t="s">
        <v>0</v>
      </c>
      <c r="I22117" s="2">
        <v>0</v>
      </c>
      <c r="J22117" s="1">
        <v>45957.538368055553</v>
      </c>
    </row>
    <row r="22118" spans="1:10" x14ac:dyDescent="0.2">
      <c r="A22118" s="4" t="s">
        <v>1</v>
      </c>
      <c r="B221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18" s="3" t="str">
        <f>HYPERLINK("https://otsuka-europe-crm.veevavault.com/ui/#object/sent_email__v/VBL000000001601", "SE-001378289")</f>
        <v>SE-001378289</v>
      </c>
      <c r="D22118" s="1" t="s">
        <v>0</v>
      </c>
      <c r="E22118" s="2">
        <v>0</v>
      </c>
      <c r="F22118" s="2">
        <v>0</v>
      </c>
      <c r="G22118" s="2">
        <v>0</v>
      </c>
      <c r="H22118" s="1" t="s">
        <v>0</v>
      </c>
      <c r="I22118" s="2">
        <v>0</v>
      </c>
      <c r="J22118" s="1">
        <v>45957.538414351853</v>
      </c>
    </row>
    <row r="22119" spans="1:10" x14ac:dyDescent="0.2">
      <c r="A22119" s="4" t="s">
        <v>1</v>
      </c>
      <c r="B221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19" s="3" t="str">
        <f>HYPERLINK("https://otsuka-europe-crm.veevavault.com/ui/#object/sent_email__v/VBL000000001602", "SE-001378290")</f>
        <v>SE-001378290</v>
      </c>
      <c r="D22119" s="1" t="s">
        <v>0</v>
      </c>
      <c r="E22119" s="2">
        <v>0</v>
      </c>
      <c r="F22119" s="2">
        <v>0</v>
      </c>
      <c r="G22119" s="2">
        <v>0</v>
      </c>
      <c r="H22119" s="1" t="s">
        <v>0</v>
      </c>
      <c r="I22119" s="2">
        <v>0</v>
      </c>
      <c r="J22119" s="1">
        <v>45957.538449074076</v>
      </c>
    </row>
    <row r="22120" spans="1:10" x14ac:dyDescent="0.2">
      <c r="A22120" s="4" t="s">
        <v>1</v>
      </c>
      <c r="B221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20" s="3" t="str">
        <f>HYPERLINK("https://otsuka-europe-crm.veevavault.com/ui/#object/sent_email__v/VBL000000001603", "SE-001378291")</f>
        <v>SE-001378291</v>
      </c>
      <c r="D22120" s="1" t="s">
        <v>0</v>
      </c>
      <c r="E22120" s="2">
        <v>0</v>
      </c>
      <c r="F22120" s="2">
        <v>0</v>
      </c>
      <c r="G22120" s="2">
        <v>0</v>
      </c>
      <c r="H22120" s="1" t="s">
        <v>0</v>
      </c>
      <c r="I22120" s="2">
        <v>0</v>
      </c>
      <c r="J22120" s="1">
        <v>45957.538495370369</v>
      </c>
    </row>
    <row r="22121" spans="1:10" x14ac:dyDescent="0.2">
      <c r="A22121" s="4" t="s">
        <v>1</v>
      </c>
      <c r="B221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21" s="3" t="str">
        <f>HYPERLINK("https://otsuka-europe-crm.veevavault.com/ui/#object/sent_email__v/VBL000000001604", "SE-001378292")</f>
        <v>SE-001378292</v>
      </c>
      <c r="D22121" s="1">
        <v>45957.646226851852</v>
      </c>
      <c r="E22121" s="2">
        <v>1</v>
      </c>
      <c r="F22121" s="2">
        <v>4</v>
      </c>
      <c r="G22121" s="2">
        <v>0</v>
      </c>
      <c r="H22121" s="1" t="s">
        <v>0</v>
      </c>
      <c r="I22121" s="2">
        <v>0</v>
      </c>
      <c r="J22121" s="1">
        <v>45957.538541666669</v>
      </c>
    </row>
    <row r="22122" spans="1:10" x14ac:dyDescent="0.2">
      <c r="A22122" s="4" t="s">
        <v>1</v>
      </c>
      <c r="B221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22" s="3" t="str">
        <f>HYPERLINK("https://otsuka-europe-crm.veevavault.com/ui/#object/sent_email__v/VBL000000001605", "SE-001378293")</f>
        <v>SE-001378293</v>
      </c>
      <c r="D22122" s="1" t="s">
        <v>0</v>
      </c>
      <c r="E22122" s="2">
        <v>0</v>
      </c>
      <c r="F22122" s="2">
        <v>0</v>
      </c>
      <c r="G22122" s="2">
        <v>0</v>
      </c>
      <c r="H22122" s="1" t="s">
        <v>0</v>
      </c>
      <c r="I22122" s="2">
        <v>0</v>
      </c>
      <c r="J22122" s="1">
        <v>45957.538587962961</v>
      </c>
    </row>
    <row r="22123" spans="1:10" x14ac:dyDescent="0.2">
      <c r="A22123" s="4" t="s">
        <v>1</v>
      </c>
      <c r="B221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23" s="3" t="str">
        <f>HYPERLINK("https://otsuka-europe-crm.veevavault.com/ui/#object/sent_email__v/VBL000000001606", "SE-001378294")</f>
        <v>SE-001378294</v>
      </c>
      <c r="D22123" s="1">
        <v>45957.654652777775</v>
      </c>
      <c r="E22123" s="2">
        <v>1</v>
      </c>
      <c r="F22123" s="2">
        <v>1</v>
      </c>
      <c r="G22123" s="2">
        <v>0</v>
      </c>
      <c r="H22123" s="1" t="s">
        <v>0</v>
      </c>
      <c r="I22123" s="2">
        <v>0</v>
      </c>
      <c r="J22123" s="1">
        <v>45957.538634259261</v>
      </c>
    </row>
    <row r="22124" spans="1:10" x14ac:dyDescent="0.2">
      <c r="A22124" s="4" t="s">
        <v>1</v>
      </c>
      <c r="B221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24" s="3" t="str">
        <f>HYPERLINK("https://otsuka-europe-crm.veevavault.com/ui/#object/sent_email__v/VBL000000001607", "SE-001378295")</f>
        <v>SE-001378295</v>
      </c>
      <c r="D22124" s="1" t="s">
        <v>0</v>
      </c>
      <c r="E22124" s="2">
        <v>0</v>
      </c>
      <c r="F22124" s="2">
        <v>0</v>
      </c>
      <c r="G22124" s="2">
        <v>0</v>
      </c>
      <c r="H22124" s="1" t="s">
        <v>0</v>
      </c>
      <c r="I22124" s="2">
        <v>0</v>
      </c>
      <c r="J22124" s="1">
        <v>45957.538703703707</v>
      </c>
    </row>
    <row r="22125" spans="1:10" x14ac:dyDescent="0.2">
      <c r="A22125" s="4" t="s">
        <v>1</v>
      </c>
      <c r="B221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25" s="3" t="str">
        <f>HYPERLINK("https://otsuka-europe-crm.veevavault.com/ui/#object/sent_email__v/VBL000000001608", "SE-001378296")</f>
        <v>SE-001378296</v>
      </c>
      <c r="D22125" s="1">
        <v>45969.183946759258</v>
      </c>
      <c r="E22125" s="2">
        <v>1</v>
      </c>
      <c r="F22125" s="2">
        <v>2</v>
      </c>
      <c r="G22125" s="2">
        <v>0</v>
      </c>
      <c r="H22125" s="1" t="s">
        <v>0</v>
      </c>
      <c r="I22125" s="2">
        <v>0</v>
      </c>
      <c r="J22125" s="1">
        <v>45957.538773148146</v>
      </c>
    </row>
    <row r="22126" spans="1:10" x14ac:dyDescent="0.2">
      <c r="A22126" s="4" t="s">
        <v>1</v>
      </c>
      <c r="B221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26" s="3" t="str">
        <f>HYPERLINK("https://otsuka-europe-crm.veevavault.com/ui/#object/sent_email__v/VBL000000001609", "SE-001378297")</f>
        <v>SE-001378297</v>
      </c>
      <c r="D22126" s="1">
        <v>45957.566666666666</v>
      </c>
      <c r="E22126" s="2">
        <v>1</v>
      </c>
      <c r="F22126" s="2">
        <v>1</v>
      </c>
      <c r="G22126" s="2">
        <v>0</v>
      </c>
      <c r="H22126" s="1" t="s">
        <v>0</v>
      </c>
      <c r="I22126" s="2">
        <v>0</v>
      </c>
      <c r="J22126" s="1">
        <v>45957.538842592592</v>
      </c>
    </row>
    <row r="22127" spans="1:10" x14ac:dyDescent="0.2">
      <c r="A22127" s="4" t="s">
        <v>1</v>
      </c>
      <c r="B221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27" s="3" t="str">
        <f>HYPERLINK("https://otsuka-europe-crm.veevavault.com/ui/#object/sent_email__v/VBL000000001610", "SE-001378298")</f>
        <v>SE-001378298</v>
      </c>
      <c r="D22127" s="1">
        <v>45957.722245370373</v>
      </c>
      <c r="E22127" s="2">
        <v>1</v>
      </c>
      <c r="F22127" s="2">
        <v>1</v>
      </c>
      <c r="G22127" s="2">
        <v>0</v>
      </c>
      <c r="H22127" s="1" t="s">
        <v>0</v>
      </c>
      <c r="I22127" s="2">
        <v>0</v>
      </c>
      <c r="J22127" s="1">
        <v>45957.538912037038</v>
      </c>
    </row>
    <row r="22128" spans="1:10" x14ac:dyDescent="0.2">
      <c r="A22128" s="4" t="s">
        <v>1</v>
      </c>
      <c r="B221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28" s="3" t="str">
        <f>HYPERLINK("https://otsuka-europe-crm.veevavault.com/ui/#object/sent_email__v/VBL000000001611", "SE-001378299")</f>
        <v>SE-001378299</v>
      </c>
      <c r="D22128" s="1" t="s">
        <v>0</v>
      </c>
      <c r="E22128" s="2">
        <v>0</v>
      </c>
      <c r="F22128" s="2">
        <v>0</v>
      </c>
      <c r="G22128" s="2">
        <v>0</v>
      </c>
      <c r="H22128" s="1" t="s">
        <v>0</v>
      </c>
      <c r="I22128" s="2">
        <v>0</v>
      </c>
      <c r="J22128" s="1">
        <v>45957.538981481484</v>
      </c>
    </row>
    <row r="22129" spans="1:10" x14ac:dyDescent="0.2">
      <c r="A22129" s="4" t="s">
        <v>1</v>
      </c>
      <c r="B221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29" s="3" t="str">
        <f>HYPERLINK("https://otsuka-europe-crm.veevavault.com/ui/#object/sent_email__v/VBL000000001612", "SE-001378300")</f>
        <v>SE-001378300</v>
      </c>
      <c r="D22129" s="1">
        <v>45958.719861111109</v>
      </c>
      <c r="E22129" s="2">
        <v>1</v>
      </c>
      <c r="F22129" s="2">
        <v>2</v>
      </c>
      <c r="G22129" s="2">
        <v>0</v>
      </c>
      <c r="H22129" s="1" t="s">
        <v>0</v>
      </c>
      <c r="I22129" s="2">
        <v>0</v>
      </c>
      <c r="J22129" s="1">
        <v>45957.539050925923</v>
      </c>
    </row>
    <row r="22130" spans="1:10" x14ac:dyDescent="0.2">
      <c r="A22130" s="4" t="s">
        <v>1</v>
      </c>
      <c r="B221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30" s="3" t="str">
        <f>HYPERLINK("https://otsuka-europe-crm.veevavault.com/ui/#object/sent_email__v/VBL000000001613", "SE-001378301")</f>
        <v>SE-001378301</v>
      </c>
      <c r="D22130" s="1">
        <v>45961.196921296294</v>
      </c>
      <c r="E22130" s="2">
        <v>1</v>
      </c>
      <c r="F22130" s="2">
        <v>1</v>
      </c>
      <c r="G22130" s="2">
        <v>0</v>
      </c>
      <c r="H22130" s="1" t="s">
        <v>0</v>
      </c>
      <c r="I22130" s="2">
        <v>0</v>
      </c>
      <c r="J22130" s="1">
        <v>45957.539131944446</v>
      </c>
    </row>
    <row r="22131" spans="1:10" x14ac:dyDescent="0.2">
      <c r="A22131" s="4" t="s">
        <v>1</v>
      </c>
      <c r="B221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31" s="3" t="str">
        <f>HYPERLINK("https://otsuka-europe-crm.veevavault.com/ui/#object/sent_email__v/VBL000000001614", "SE-001378302")</f>
        <v>SE-001378302</v>
      </c>
      <c r="D22131" s="1">
        <v>45957.82571759259</v>
      </c>
      <c r="E22131" s="2">
        <v>1</v>
      </c>
      <c r="F22131" s="2">
        <v>1</v>
      </c>
      <c r="G22131" s="2">
        <v>0</v>
      </c>
      <c r="H22131" s="1" t="s">
        <v>0</v>
      </c>
      <c r="I22131" s="2">
        <v>0</v>
      </c>
      <c r="J22131" s="1">
        <v>45957.539201388892</v>
      </c>
    </row>
    <row r="22132" spans="1:10" x14ac:dyDescent="0.2">
      <c r="A22132" s="4" t="s">
        <v>1</v>
      </c>
      <c r="B221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32" s="3" t="str">
        <f>HYPERLINK("https://otsuka-europe-crm.veevavault.com/ui/#object/sent_email__v/VBL000000001615", "SE-001378303")</f>
        <v>SE-001378303</v>
      </c>
      <c r="D22132" s="1">
        <v>45958.352673611109</v>
      </c>
      <c r="E22132" s="2">
        <v>1</v>
      </c>
      <c r="F22132" s="2">
        <v>2</v>
      </c>
      <c r="G22132" s="2">
        <v>0</v>
      </c>
      <c r="H22132" s="1" t="s">
        <v>0</v>
      </c>
      <c r="I22132" s="2">
        <v>0</v>
      </c>
      <c r="J22132" s="1">
        <v>45957.539259259262</v>
      </c>
    </row>
    <row r="22133" spans="1:10" x14ac:dyDescent="0.2">
      <c r="A22133" s="4" t="s">
        <v>1</v>
      </c>
      <c r="B221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33" s="3" t="str">
        <f>HYPERLINK("https://otsuka-europe-crm.veevavault.com/ui/#object/sent_email__v/VBL000000001616", "SE-001378304")</f>
        <v>SE-001378304</v>
      </c>
      <c r="D22133" s="1">
        <v>45957.667337962965</v>
      </c>
      <c r="E22133" s="2">
        <v>1</v>
      </c>
      <c r="F22133" s="2">
        <v>1</v>
      </c>
      <c r="G22133" s="2">
        <v>0</v>
      </c>
      <c r="H22133" s="1" t="s">
        <v>0</v>
      </c>
      <c r="I22133" s="2">
        <v>0</v>
      </c>
      <c r="J22133" s="1">
        <v>45957.5393287037</v>
      </c>
    </row>
    <row r="22134" spans="1:10" x14ac:dyDescent="0.2">
      <c r="A22134" s="4" t="s">
        <v>1</v>
      </c>
      <c r="B221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34" s="3" t="str">
        <f>HYPERLINK("https://otsuka-europe-crm.veevavault.com/ui/#object/sent_email__v/VBL000000001617", "SE-001378305")</f>
        <v>SE-001378305</v>
      </c>
      <c r="D22134" s="1" t="s">
        <v>0</v>
      </c>
      <c r="E22134" s="2">
        <v>0</v>
      </c>
      <c r="F22134" s="2">
        <v>0</v>
      </c>
      <c r="G22134" s="2">
        <v>0</v>
      </c>
      <c r="H22134" s="1" t="s">
        <v>0</v>
      </c>
      <c r="I22134" s="2">
        <v>0</v>
      </c>
      <c r="J22134" s="1">
        <v>45957.539421296293</v>
      </c>
    </row>
    <row r="22135" spans="1:10" x14ac:dyDescent="0.2">
      <c r="A22135" s="4" t="s">
        <v>1</v>
      </c>
      <c r="B221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35" s="3" t="str">
        <f>HYPERLINK("https://otsuka-europe-crm.veevavault.com/ui/#object/sent_email__v/VBL000000001618", "SE-001378306")</f>
        <v>SE-001378306</v>
      </c>
      <c r="D22135" s="1">
        <v>45958.325821759259</v>
      </c>
      <c r="E22135" s="2">
        <v>1</v>
      </c>
      <c r="F22135" s="2">
        <v>2</v>
      </c>
      <c r="G22135" s="2">
        <v>0</v>
      </c>
      <c r="H22135" s="1" t="s">
        <v>0</v>
      </c>
      <c r="I22135" s="2">
        <v>0</v>
      </c>
      <c r="J22135" s="1">
        <v>45957.539490740739</v>
      </c>
    </row>
    <row r="22136" spans="1:10" x14ac:dyDescent="0.2">
      <c r="A22136" s="4" t="s">
        <v>1</v>
      </c>
      <c r="B221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36" s="3" t="str">
        <f>HYPERLINK("https://otsuka-europe-crm.veevavault.com/ui/#object/sent_email__v/VBL000000001619", "SE-001378307")</f>
        <v>SE-001378307</v>
      </c>
      <c r="D22136" s="1" t="s">
        <v>0</v>
      </c>
      <c r="E22136" s="2">
        <v>0</v>
      </c>
      <c r="F22136" s="2">
        <v>0</v>
      </c>
      <c r="G22136" s="2">
        <v>0</v>
      </c>
      <c r="H22136" s="1" t="s">
        <v>0</v>
      </c>
      <c r="I22136" s="2">
        <v>0</v>
      </c>
      <c r="J22136" s="1">
        <v>45957.539560185185</v>
      </c>
    </row>
    <row r="22137" spans="1:10" x14ac:dyDescent="0.2">
      <c r="A22137" s="4" t="s">
        <v>1</v>
      </c>
      <c r="B221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37" s="3" t="str">
        <f>HYPERLINK("https://otsuka-europe-crm.veevavault.com/ui/#object/sent_email__v/VBL000000001620", "SE-001378308")</f>
        <v>SE-001378308</v>
      </c>
      <c r="D22137" s="1">
        <v>45958.310624999998</v>
      </c>
      <c r="E22137" s="2">
        <v>1</v>
      </c>
      <c r="F22137" s="2">
        <v>4</v>
      </c>
      <c r="G22137" s="2">
        <v>0</v>
      </c>
      <c r="H22137" s="1" t="s">
        <v>0</v>
      </c>
      <c r="I22137" s="2">
        <v>0</v>
      </c>
      <c r="J22137" s="1">
        <v>45957.539629629631</v>
      </c>
    </row>
    <row r="22138" spans="1:10" x14ac:dyDescent="0.2">
      <c r="A22138" s="4" t="s">
        <v>1</v>
      </c>
      <c r="B221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38" s="3" t="str">
        <f>HYPERLINK("https://otsuka-europe-crm.veevavault.com/ui/#object/sent_email__v/VBL000000001621", "SE-001378309")</f>
        <v>SE-001378309</v>
      </c>
      <c r="D22138" s="1">
        <v>45959.659479166665</v>
      </c>
      <c r="E22138" s="2">
        <v>1</v>
      </c>
      <c r="F22138" s="2">
        <v>2</v>
      </c>
      <c r="G22138" s="2">
        <v>0</v>
      </c>
      <c r="H22138" s="1" t="s">
        <v>0</v>
      </c>
      <c r="I22138" s="2">
        <v>0</v>
      </c>
      <c r="J22138" s="1">
        <v>45957.539699074077</v>
      </c>
    </row>
    <row r="22139" spans="1:10" x14ac:dyDescent="0.2">
      <c r="A22139" s="4" t="s">
        <v>1</v>
      </c>
      <c r="B221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39" s="3" t="str">
        <f>HYPERLINK("https://otsuka-europe-crm.veevavault.com/ui/#object/sent_email__v/VBL000000001622", "SE-001378310")</f>
        <v>SE-001378310</v>
      </c>
      <c r="D22139" s="1">
        <v>45958.322546296295</v>
      </c>
      <c r="E22139" s="2">
        <v>1</v>
      </c>
      <c r="F22139" s="2">
        <v>3</v>
      </c>
      <c r="G22139" s="2">
        <v>0</v>
      </c>
      <c r="H22139" s="1" t="s">
        <v>0</v>
      </c>
      <c r="I22139" s="2">
        <v>0</v>
      </c>
      <c r="J22139" s="1">
        <v>45957.539768518516</v>
      </c>
    </row>
    <row r="22140" spans="1:10" x14ac:dyDescent="0.2">
      <c r="A22140" s="4" t="s">
        <v>1</v>
      </c>
      <c r="B221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40" s="3" t="str">
        <f>HYPERLINK("https://otsuka-europe-crm.veevavault.com/ui/#object/sent_email__v/VBL000000001623", "SE-001378311")</f>
        <v>SE-001378311</v>
      </c>
      <c r="D22140" s="1">
        <v>45958.299618055556</v>
      </c>
      <c r="E22140" s="2">
        <v>1</v>
      </c>
      <c r="F22140" s="2">
        <v>3</v>
      </c>
      <c r="G22140" s="2">
        <v>0</v>
      </c>
      <c r="H22140" s="1" t="s">
        <v>0</v>
      </c>
      <c r="I22140" s="2">
        <v>0</v>
      </c>
      <c r="J22140" s="1">
        <v>45957.539837962962</v>
      </c>
    </row>
    <row r="22141" spans="1:10" x14ac:dyDescent="0.2">
      <c r="A22141" s="4" t="s">
        <v>1</v>
      </c>
      <c r="B221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41" s="3" t="str">
        <f>HYPERLINK("https://otsuka-europe-crm.veevavault.com/ui/#object/sent_email__v/VBL000000001624", "SE-001378312")</f>
        <v>SE-001378312</v>
      </c>
      <c r="D22141" s="1" t="s">
        <v>0</v>
      </c>
      <c r="E22141" s="2">
        <v>0</v>
      </c>
      <c r="F22141" s="2">
        <v>0</v>
      </c>
      <c r="G22141" s="2">
        <v>0</v>
      </c>
      <c r="H22141" s="1" t="s">
        <v>0</v>
      </c>
      <c r="I22141" s="2">
        <v>0</v>
      </c>
      <c r="J22141" s="1">
        <v>45957.540069444447</v>
      </c>
    </row>
    <row r="22142" spans="1:10" x14ac:dyDescent="0.2">
      <c r="A22142" s="4" t="s">
        <v>1</v>
      </c>
      <c r="B221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42" s="3" t="str">
        <f>HYPERLINK("https://otsuka-europe-crm.veevavault.com/ui/#object/sent_email__v/VBL000000001625", "SE-001378313")</f>
        <v>SE-001378313</v>
      </c>
      <c r="D22142" s="1">
        <v>45957.868634259263</v>
      </c>
      <c r="E22142" s="2">
        <v>1</v>
      </c>
      <c r="F22142" s="2">
        <v>1</v>
      </c>
      <c r="G22142" s="2">
        <v>0</v>
      </c>
      <c r="H22142" s="1" t="s">
        <v>0</v>
      </c>
      <c r="I22142" s="2">
        <v>0</v>
      </c>
      <c r="J22142" s="1">
        <v>45957.539988425924</v>
      </c>
    </row>
    <row r="22143" spans="1:10" x14ac:dyDescent="0.2">
      <c r="A22143" s="4" t="s">
        <v>1</v>
      </c>
      <c r="B221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43" s="3" t="str">
        <f>HYPERLINK("https://otsuka-europe-crm.veevavault.com/ui/#object/sent_email__v/VBL000000001626", "SE-001378314")</f>
        <v>SE-001378314</v>
      </c>
      <c r="D22143" s="1">
        <v>45958.317233796297</v>
      </c>
      <c r="E22143" s="2">
        <v>1</v>
      </c>
      <c r="F22143" s="2">
        <v>1</v>
      </c>
      <c r="G22143" s="2">
        <v>0</v>
      </c>
      <c r="H22143" s="1" t="s">
        <v>0</v>
      </c>
      <c r="I22143" s="2">
        <v>0</v>
      </c>
      <c r="J22143" s="1">
        <v>45957.54005787037</v>
      </c>
    </row>
    <row r="22144" spans="1:10" x14ac:dyDescent="0.2">
      <c r="A22144" s="4" t="s">
        <v>1</v>
      </c>
      <c r="B221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44" s="3" t="str">
        <f>HYPERLINK("https://otsuka-europe-crm.veevavault.com/ui/#object/sent_email__v/VBL000000001627", "SE-001378315")</f>
        <v>SE-001378315</v>
      </c>
      <c r="D22144" s="1" t="s">
        <v>0</v>
      </c>
      <c r="E22144" s="2">
        <v>0</v>
      </c>
      <c r="F22144" s="2">
        <v>0</v>
      </c>
      <c r="G22144" s="2">
        <v>0</v>
      </c>
      <c r="H22144" s="1" t="s">
        <v>0</v>
      </c>
      <c r="I22144" s="2">
        <v>0</v>
      </c>
      <c r="J22144" s="1">
        <v>45957.540127314816</v>
      </c>
    </row>
    <row r="22145" spans="1:10" x14ac:dyDescent="0.2">
      <c r="A22145" s="4" t="s">
        <v>1</v>
      </c>
      <c r="B221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45" s="3" t="str">
        <f>HYPERLINK("https://otsuka-europe-crm.veevavault.com/ui/#object/sent_email__v/VBL000000001628", "SE-001378316")</f>
        <v>SE-001378316</v>
      </c>
      <c r="D22145" s="1" t="s">
        <v>0</v>
      </c>
      <c r="E22145" s="2">
        <v>0</v>
      </c>
      <c r="F22145" s="2">
        <v>0</v>
      </c>
      <c r="G22145" s="2">
        <v>0</v>
      </c>
      <c r="H22145" s="1" t="s">
        <v>0</v>
      </c>
      <c r="I22145" s="2">
        <v>0</v>
      </c>
      <c r="J22145" s="1">
        <v>45957.540196759262</v>
      </c>
    </row>
    <row r="22146" spans="1:10" x14ac:dyDescent="0.2">
      <c r="A22146" s="4" t="s">
        <v>1</v>
      </c>
      <c r="B221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46" s="3" t="str">
        <f>HYPERLINK("https://otsuka-europe-crm.veevavault.com/ui/#object/sent_email__v/VBL000000001629", "SE-001378317")</f>
        <v>SE-001378317</v>
      </c>
      <c r="D22146" s="1" t="s">
        <v>0</v>
      </c>
      <c r="E22146" s="2">
        <v>0</v>
      </c>
      <c r="F22146" s="2">
        <v>0</v>
      </c>
      <c r="G22146" s="2">
        <v>0</v>
      </c>
      <c r="H22146" s="1" t="s">
        <v>0</v>
      </c>
      <c r="I22146" s="2">
        <v>0</v>
      </c>
      <c r="J22146" s="1">
        <v>45957.540266203701</v>
      </c>
    </row>
    <row r="22147" spans="1:10" x14ac:dyDescent="0.2">
      <c r="A22147" s="4" t="s">
        <v>1</v>
      </c>
      <c r="B221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47" s="3" t="str">
        <f>HYPERLINK("https://otsuka-europe-crm.veevavault.com/ui/#object/sent_email__v/VBL000000001630", "SE-001378318")</f>
        <v>SE-001378318</v>
      </c>
      <c r="D22147" s="1" t="s">
        <v>0</v>
      </c>
      <c r="E22147" s="2">
        <v>0</v>
      </c>
      <c r="F22147" s="2">
        <v>0</v>
      </c>
      <c r="G22147" s="2">
        <v>0</v>
      </c>
      <c r="H22147" s="1" t="s">
        <v>0</v>
      </c>
      <c r="I22147" s="2">
        <v>0</v>
      </c>
      <c r="J22147" s="1">
        <v>45957.540335648147</v>
      </c>
    </row>
    <row r="22148" spans="1:10" x14ac:dyDescent="0.2">
      <c r="A22148" s="4" t="s">
        <v>1</v>
      </c>
      <c r="B221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48" s="3" t="str">
        <f>HYPERLINK("https://otsuka-europe-crm.veevavault.com/ui/#object/sent_email__v/VBL000000001631", "SE-001378319")</f>
        <v>SE-001378319</v>
      </c>
      <c r="D22148" s="1">
        <v>45957.570555555554</v>
      </c>
      <c r="E22148" s="2">
        <v>1</v>
      </c>
      <c r="F22148" s="2">
        <v>1</v>
      </c>
      <c r="G22148" s="2">
        <v>0</v>
      </c>
      <c r="H22148" s="1" t="s">
        <v>0</v>
      </c>
      <c r="I22148" s="2">
        <v>0</v>
      </c>
      <c r="J22148" s="1">
        <v>45957.540405092594</v>
      </c>
    </row>
    <row r="22149" spans="1:10" x14ac:dyDescent="0.2">
      <c r="A22149" s="4" t="s">
        <v>1</v>
      </c>
      <c r="B221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49" s="3" t="str">
        <f>HYPERLINK("https://otsuka-europe-crm.veevavault.com/ui/#object/sent_email__v/VBL000000001632", "SE-001378320")</f>
        <v>SE-001378320</v>
      </c>
      <c r="D22149" s="1" t="s">
        <v>0</v>
      </c>
      <c r="E22149" s="2">
        <v>0</v>
      </c>
      <c r="F22149" s="2">
        <v>0</v>
      </c>
      <c r="G22149" s="2">
        <v>0</v>
      </c>
      <c r="H22149" s="1" t="s">
        <v>0</v>
      </c>
      <c r="I22149" s="2">
        <v>0</v>
      </c>
      <c r="J22149" s="1">
        <v>45957.54047453704</v>
      </c>
    </row>
    <row r="22150" spans="1:10" x14ac:dyDescent="0.2">
      <c r="A22150" s="4" t="s">
        <v>1</v>
      </c>
      <c r="B221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50" s="3" t="str">
        <f>HYPERLINK("https://otsuka-europe-crm.veevavault.com/ui/#object/sent_email__v/VBL000000001633", "SE-001378321")</f>
        <v>SE-001378321</v>
      </c>
      <c r="D22150" s="1">
        <v>45957.54179398148</v>
      </c>
      <c r="E22150" s="2">
        <v>1</v>
      </c>
      <c r="F22150" s="2">
        <v>1</v>
      </c>
      <c r="G22150" s="2">
        <v>0</v>
      </c>
      <c r="H22150" s="1" t="s">
        <v>0</v>
      </c>
      <c r="I22150" s="2">
        <v>0</v>
      </c>
      <c r="J22150" s="1">
        <v>45957.540543981479</v>
      </c>
    </row>
    <row r="22151" spans="1:10" x14ac:dyDescent="0.2">
      <c r="A22151" s="4" t="s">
        <v>1</v>
      </c>
      <c r="B221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51" s="3" t="str">
        <f>HYPERLINK("https://otsuka-europe-crm.veevavault.com/ui/#object/sent_email__v/VBL000000001634", "SE-001378322")</f>
        <v>SE-001378322</v>
      </c>
      <c r="D22151" s="1" t="s">
        <v>0</v>
      </c>
      <c r="E22151" s="2">
        <v>0</v>
      </c>
      <c r="F22151" s="2">
        <v>0</v>
      </c>
      <c r="G22151" s="2">
        <v>0</v>
      </c>
      <c r="H22151" s="1" t="s">
        <v>0</v>
      </c>
      <c r="I22151" s="2">
        <v>0</v>
      </c>
      <c r="J22151" s="1">
        <v>45957.540625000001</v>
      </c>
    </row>
    <row r="22152" spans="1:10" x14ac:dyDescent="0.2">
      <c r="A22152" s="4" t="s">
        <v>1</v>
      </c>
      <c r="B221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52" s="3" t="str">
        <f>HYPERLINK("https://otsuka-europe-crm.veevavault.com/ui/#object/sent_email__v/VBL000000001635", "SE-001378323")</f>
        <v>SE-001378323</v>
      </c>
      <c r="D22152" s="1">
        <v>45957.596585648149</v>
      </c>
      <c r="E22152" s="2">
        <v>1</v>
      </c>
      <c r="F22152" s="2">
        <v>1</v>
      </c>
      <c r="G22152" s="2">
        <v>0</v>
      </c>
      <c r="H22152" s="1" t="s">
        <v>0</v>
      </c>
      <c r="I22152" s="2">
        <v>0</v>
      </c>
      <c r="J22152" s="1">
        <v>45957.540682870371</v>
      </c>
    </row>
    <row r="22153" spans="1:10" x14ac:dyDescent="0.2">
      <c r="A22153" s="4" t="s">
        <v>1</v>
      </c>
      <c r="B221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53" s="3" t="str">
        <f>HYPERLINK("https://otsuka-europe-crm.veevavault.com/ui/#object/sent_email__v/VBL000000001636", "SE-001378324")</f>
        <v>SE-001378324</v>
      </c>
      <c r="D22153" s="1">
        <v>45957.545405092591</v>
      </c>
      <c r="E22153" s="2">
        <v>1</v>
      </c>
      <c r="F22153" s="2">
        <v>1</v>
      </c>
      <c r="G22153" s="2">
        <v>0</v>
      </c>
      <c r="H22153" s="1" t="s">
        <v>0</v>
      </c>
      <c r="I22153" s="2">
        <v>0</v>
      </c>
      <c r="J22153" s="1">
        <v>45957.540752314817</v>
      </c>
    </row>
    <row r="22154" spans="1:10" x14ac:dyDescent="0.2">
      <c r="A22154" s="4" t="s">
        <v>1</v>
      </c>
      <c r="B221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54" s="3" t="str">
        <f>HYPERLINK("https://otsuka-europe-crm.veevavault.com/ui/#object/sent_email__v/VBL000000001637", "SE-001378325")</f>
        <v>SE-001378325</v>
      </c>
      <c r="D22154" s="1" t="s">
        <v>0</v>
      </c>
      <c r="E22154" s="2">
        <v>0</v>
      </c>
      <c r="F22154" s="2">
        <v>0</v>
      </c>
      <c r="G22154" s="2">
        <v>0</v>
      </c>
      <c r="H22154" s="1" t="s">
        <v>0</v>
      </c>
      <c r="I22154" s="2">
        <v>0</v>
      </c>
      <c r="J22154" s="1">
        <v>45957.540810185186</v>
      </c>
    </row>
    <row r="22155" spans="1:10" x14ac:dyDescent="0.2">
      <c r="A22155" s="4" t="s">
        <v>1</v>
      </c>
      <c r="B221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55" s="3" t="str">
        <f>HYPERLINK("https://otsuka-europe-crm.veevavault.com/ui/#object/sent_email__v/VBL000000001638", "SE-001378326")</f>
        <v>SE-001378326</v>
      </c>
      <c r="D22155" s="1">
        <v>45957.649976851855</v>
      </c>
      <c r="E22155" s="2">
        <v>1</v>
      </c>
      <c r="F22155" s="2">
        <v>2</v>
      </c>
      <c r="G22155" s="2">
        <v>0</v>
      </c>
      <c r="H22155" s="1" t="s">
        <v>0</v>
      </c>
      <c r="I22155" s="2">
        <v>0</v>
      </c>
      <c r="J22155" s="1">
        <v>45957.540879629632</v>
      </c>
    </row>
    <row r="22156" spans="1:10" x14ac:dyDescent="0.2">
      <c r="A22156" s="4" t="s">
        <v>1</v>
      </c>
      <c r="B221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56" s="3" t="str">
        <f>HYPERLINK("https://otsuka-europe-crm.veevavault.com/ui/#object/sent_email__v/VBL000000001639", "SE-001378327")</f>
        <v>SE-001378327</v>
      </c>
      <c r="D22156" s="1" t="s">
        <v>0</v>
      </c>
      <c r="E22156" s="2">
        <v>0</v>
      </c>
      <c r="F22156" s="2">
        <v>0</v>
      </c>
      <c r="G22156" s="2">
        <v>0</v>
      </c>
      <c r="H22156" s="1" t="s">
        <v>0</v>
      </c>
      <c r="I22156" s="2">
        <v>0</v>
      </c>
      <c r="J22156" s="1">
        <v>45957.540960648148</v>
      </c>
    </row>
    <row r="22157" spans="1:10" x14ac:dyDescent="0.2">
      <c r="A22157" s="4" t="s">
        <v>1</v>
      </c>
      <c r="B221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57" s="3" t="str">
        <f>HYPERLINK("https://otsuka-europe-crm.veevavault.com/ui/#object/sent_email__v/VBL000000001640", "SE-001378328")</f>
        <v>SE-001378328</v>
      </c>
      <c r="D22157" s="1">
        <v>46054.873020833336</v>
      </c>
      <c r="E22157" s="2">
        <v>1</v>
      </c>
      <c r="F22157" s="2">
        <v>3</v>
      </c>
      <c r="G22157" s="2">
        <v>0</v>
      </c>
      <c r="H22157" s="1" t="s">
        <v>0</v>
      </c>
      <c r="I22157" s="2">
        <v>0</v>
      </c>
      <c r="J22157" s="1">
        <v>45957.541030092594</v>
      </c>
    </row>
    <row r="22158" spans="1:10" x14ac:dyDescent="0.2">
      <c r="A22158" s="4" t="s">
        <v>1</v>
      </c>
      <c r="B221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58" s="3" t="str">
        <f>HYPERLINK("https://otsuka-europe-crm.veevavault.com/ui/#object/sent_email__v/VBL000000001641", "SE-001378329")</f>
        <v>SE-001378329</v>
      </c>
      <c r="D22158" s="1" t="s">
        <v>0</v>
      </c>
      <c r="E22158" s="2">
        <v>0</v>
      </c>
      <c r="F22158" s="2">
        <v>0</v>
      </c>
      <c r="G22158" s="2">
        <v>0</v>
      </c>
      <c r="H22158" s="1" t="s">
        <v>0</v>
      </c>
      <c r="I22158" s="2">
        <v>0</v>
      </c>
      <c r="J22158" s="1">
        <v>45957.541087962964</v>
      </c>
    </row>
    <row r="22159" spans="1:10" x14ac:dyDescent="0.2">
      <c r="A22159" s="4" t="s">
        <v>1</v>
      </c>
      <c r="B221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59" s="3" t="str">
        <f>HYPERLINK("https://otsuka-europe-crm.veevavault.com/ui/#object/sent_email__v/VBL000000001642", "SE-001378330")</f>
        <v>SE-001378330</v>
      </c>
      <c r="D22159" s="1">
        <v>45957.837013888886</v>
      </c>
      <c r="E22159" s="2">
        <v>1</v>
      </c>
      <c r="F22159" s="2">
        <v>1</v>
      </c>
      <c r="G22159" s="2">
        <v>1</v>
      </c>
      <c r="H22159" s="1">
        <v>45957.837013888886</v>
      </c>
      <c r="I22159" s="2">
        <v>1</v>
      </c>
      <c r="J22159" s="1">
        <v>45957.54115740741</v>
      </c>
    </row>
    <row r="22160" spans="1:10" x14ac:dyDescent="0.2">
      <c r="A22160" s="4" t="s">
        <v>1</v>
      </c>
      <c r="B221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60" s="3" t="str">
        <f>HYPERLINK("https://otsuka-europe-crm.veevavault.com/ui/#object/sent_email__v/VBL000000001643", "SE-001378331")</f>
        <v>SE-001378331</v>
      </c>
      <c r="D22160" s="1">
        <v>45957.896944444445</v>
      </c>
      <c r="E22160" s="2">
        <v>1</v>
      </c>
      <c r="F22160" s="2">
        <v>2</v>
      </c>
      <c r="G22160" s="2">
        <v>0</v>
      </c>
      <c r="H22160" s="1" t="s">
        <v>0</v>
      </c>
      <c r="I22160" s="2">
        <v>0</v>
      </c>
      <c r="J22160" s="1">
        <v>45957.541226851848</v>
      </c>
    </row>
    <row r="22161" spans="1:10" x14ac:dyDescent="0.2">
      <c r="A22161" s="4" t="s">
        <v>1</v>
      </c>
      <c r="B221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61" s="3" t="str">
        <f>HYPERLINK("https://otsuka-europe-crm.veevavault.com/ui/#object/sent_email__v/VBL000000001644", "SE-001378332")</f>
        <v>SE-001378332</v>
      </c>
      <c r="D22161" s="1">
        <v>45968.722951388889</v>
      </c>
      <c r="E22161" s="2">
        <v>1</v>
      </c>
      <c r="F22161" s="2">
        <v>3</v>
      </c>
      <c r="G22161" s="2">
        <v>0</v>
      </c>
      <c r="H22161" s="1" t="s">
        <v>0</v>
      </c>
      <c r="I22161" s="2">
        <v>0</v>
      </c>
      <c r="J22161" s="1">
        <v>45957.541296296295</v>
      </c>
    </row>
    <row r="22162" spans="1:10" x14ac:dyDescent="0.2">
      <c r="A22162" s="4" t="s">
        <v>1</v>
      </c>
      <c r="B221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62" s="3" t="str">
        <f>HYPERLINK("https://otsuka-europe-crm.veevavault.com/ui/#object/sent_email__v/VBL000000001645", "SE-001378333")</f>
        <v>SE-001378333</v>
      </c>
      <c r="D22162" s="1">
        <v>45957.701562499999</v>
      </c>
      <c r="E22162" s="2">
        <v>1</v>
      </c>
      <c r="F22162" s="2">
        <v>1</v>
      </c>
      <c r="G22162" s="2">
        <v>0</v>
      </c>
      <c r="H22162" s="1" t="s">
        <v>0</v>
      </c>
      <c r="I22162" s="2">
        <v>0</v>
      </c>
      <c r="J22162" s="1">
        <v>45957.541365740741</v>
      </c>
    </row>
    <row r="22163" spans="1:10" x14ac:dyDescent="0.2">
      <c r="A22163" s="4" t="s">
        <v>1</v>
      </c>
      <c r="B221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63" s="3" t="str">
        <f>HYPERLINK("https://otsuka-europe-crm.veevavault.com/ui/#object/sent_email__v/VBL000000001646", "SE-001378334")</f>
        <v>SE-001378334</v>
      </c>
      <c r="D22163" s="1" t="s">
        <v>0</v>
      </c>
      <c r="E22163" s="2">
        <v>0</v>
      </c>
      <c r="F22163" s="2">
        <v>0</v>
      </c>
      <c r="G22163" s="2">
        <v>0</v>
      </c>
      <c r="H22163" s="1" t="s">
        <v>0</v>
      </c>
      <c r="I22163" s="2">
        <v>0</v>
      </c>
      <c r="J22163" s="1">
        <v>45957.541435185187</v>
      </c>
    </row>
    <row r="22164" spans="1:10" x14ac:dyDescent="0.2">
      <c r="A22164" s="4" t="s">
        <v>1</v>
      </c>
      <c r="B221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64" s="3" t="str">
        <f>HYPERLINK("https://otsuka-europe-crm.veevavault.com/ui/#object/sent_email__v/VBL000000001647", "SE-001378335")</f>
        <v>SE-001378335</v>
      </c>
      <c r="D22164" s="1">
        <v>45957.689826388887</v>
      </c>
      <c r="E22164" s="2">
        <v>1</v>
      </c>
      <c r="F22164" s="2">
        <v>5</v>
      </c>
      <c r="G22164" s="2">
        <v>0</v>
      </c>
      <c r="H22164" s="1" t="s">
        <v>0</v>
      </c>
      <c r="I22164" s="2">
        <v>0</v>
      </c>
      <c r="J22164" s="1">
        <v>45957.541493055556</v>
      </c>
    </row>
    <row r="22165" spans="1:10" x14ac:dyDescent="0.2">
      <c r="A22165" s="4" t="s">
        <v>1</v>
      </c>
      <c r="B221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65" s="3" t="str">
        <f>HYPERLINK("https://otsuka-europe-crm.veevavault.com/ui/#object/sent_email__v/VBL000000001648", "SE-001378336")</f>
        <v>SE-001378336</v>
      </c>
      <c r="D22165" s="1" t="s">
        <v>0</v>
      </c>
      <c r="E22165" s="2">
        <v>0</v>
      </c>
      <c r="F22165" s="2">
        <v>0</v>
      </c>
      <c r="G22165" s="2">
        <v>0</v>
      </c>
      <c r="H22165" s="1" t="s">
        <v>0</v>
      </c>
      <c r="I22165" s="2">
        <v>0</v>
      </c>
      <c r="J22165" s="1">
        <v>45957.541562500002</v>
      </c>
    </row>
    <row r="22166" spans="1:10" x14ac:dyDescent="0.2">
      <c r="A22166" s="4" t="s">
        <v>1</v>
      </c>
      <c r="B221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66" s="3" t="str">
        <f>HYPERLINK("https://otsuka-europe-crm.veevavault.com/ui/#object/sent_email__v/VBL000000001649", "SE-001378337")</f>
        <v>SE-001378337</v>
      </c>
      <c r="D22166" s="1" t="s">
        <v>0</v>
      </c>
      <c r="E22166" s="2">
        <v>0</v>
      </c>
      <c r="F22166" s="2">
        <v>0</v>
      </c>
      <c r="G22166" s="2">
        <v>0</v>
      </c>
      <c r="H22166" s="1" t="s">
        <v>0</v>
      </c>
      <c r="I22166" s="2">
        <v>0</v>
      </c>
      <c r="J22166" s="1">
        <v>45957.541643518518</v>
      </c>
    </row>
    <row r="22167" spans="1:10" x14ac:dyDescent="0.2">
      <c r="A22167" s="4" t="s">
        <v>1</v>
      </c>
      <c r="B221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67" s="3" t="str">
        <f>HYPERLINK("https://otsuka-europe-crm.veevavault.com/ui/#object/sent_email__v/VBL000000001650", "SE-001378338")</f>
        <v>SE-001378338</v>
      </c>
      <c r="D22167" s="1" t="s">
        <v>0</v>
      </c>
      <c r="E22167" s="2">
        <v>0</v>
      </c>
      <c r="F22167" s="2">
        <v>0</v>
      </c>
      <c r="G22167" s="2">
        <v>0</v>
      </c>
      <c r="H22167" s="1" t="s">
        <v>0</v>
      </c>
      <c r="I22167" s="2">
        <v>0</v>
      </c>
      <c r="J22167" s="1">
        <v>45957.541712962964</v>
      </c>
    </row>
    <row r="22168" spans="1:10" x14ac:dyDescent="0.2">
      <c r="A22168" s="4" t="s">
        <v>1</v>
      </c>
      <c r="B221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68" s="3" t="str">
        <f>HYPERLINK("https://otsuka-europe-crm.veevavault.com/ui/#object/sent_email__v/VBL000000001651", "SE-001378339")</f>
        <v>SE-001378339</v>
      </c>
      <c r="D22168" s="1">
        <v>45957.563067129631</v>
      </c>
      <c r="E22168" s="2">
        <v>1</v>
      </c>
      <c r="F22168" s="2">
        <v>1</v>
      </c>
      <c r="G22168" s="2">
        <v>0</v>
      </c>
      <c r="H22168" s="1" t="s">
        <v>0</v>
      </c>
      <c r="I22168" s="2">
        <v>0</v>
      </c>
      <c r="J22168" s="1">
        <v>45957.54173611111</v>
      </c>
    </row>
    <row r="22169" spans="1:10" x14ac:dyDescent="0.2">
      <c r="A22169" s="4" t="s">
        <v>1</v>
      </c>
      <c r="B221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69" s="3" t="str">
        <f>HYPERLINK("https://otsuka-europe-crm.veevavault.com/ui/#object/sent_email__v/VBL000000001652", "SE-001378340")</f>
        <v>SE-001378340</v>
      </c>
      <c r="D22169" s="1">
        <v>45960.757418981484</v>
      </c>
      <c r="E22169" s="2">
        <v>1</v>
      </c>
      <c r="F22169" s="2">
        <v>2</v>
      </c>
      <c r="G22169" s="2">
        <v>0</v>
      </c>
      <c r="H22169" s="1" t="s">
        <v>0</v>
      </c>
      <c r="I22169" s="2">
        <v>0</v>
      </c>
      <c r="J22169" s="1">
        <v>45957.54179398148</v>
      </c>
    </row>
    <row r="22170" spans="1:10" x14ac:dyDescent="0.2">
      <c r="A22170" s="4" t="s">
        <v>1</v>
      </c>
      <c r="B221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70" s="3" t="str">
        <f>HYPERLINK("https://otsuka-europe-crm.veevavault.com/ui/#object/sent_email__v/VBL000000001653", "SE-001378341")</f>
        <v>SE-001378341</v>
      </c>
      <c r="D22170" s="1">
        <v>45958.308078703703</v>
      </c>
      <c r="E22170" s="2">
        <v>1</v>
      </c>
      <c r="F22170" s="2">
        <v>4</v>
      </c>
      <c r="G22170" s="2">
        <v>0</v>
      </c>
      <c r="H22170" s="1" t="s">
        <v>0</v>
      </c>
      <c r="I22170" s="2">
        <v>0</v>
      </c>
      <c r="J22170" s="1">
        <v>45957.541817129626</v>
      </c>
    </row>
    <row r="22171" spans="1:10" x14ac:dyDescent="0.2">
      <c r="A22171" s="4" t="s">
        <v>1</v>
      </c>
      <c r="B221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71" s="3" t="str">
        <f>HYPERLINK("https://otsuka-europe-crm.veevavault.com/ui/#object/sent_email__v/VBL000000001654", "SE-001378342")</f>
        <v>SE-001378342</v>
      </c>
      <c r="D22171" s="1">
        <v>45957.732361111113</v>
      </c>
      <c r="E22171" s="2">
        <v>1</v>
      </c>
      <c r="F22171" s="2">
        <v>2</v>
      </c>
      <c r="G22171" s="2">
        <v>0</v>
      </c>
      <c r="H22171" s="1" t="s">
        <v>0</v>
      </c>
      <c r="I22171" s="2">
        <v>0</v>
      </c>
      <c r="J22171" s="1">
        <v>45957.541863425926</v>
      </c>
    </row>
    <row r="22172" spans="1:10" x14ac:dyDescent="0.2">
      <c r="A22172" s="4" t="s">
        <v>1</v>
      </c>
      <c r="B221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72" s="3" t="str">
        <f>HYPERLINK("https://otsuka-europe-crm.veevavault.com/ui/#object/sent_email__v/VBL000000001655", "SE-001378343")</f>
        <v>SE-001378343</v>
      </c>
      <c r="D22172" s="1">
        <v>45959.543043981481</v>
      </c>
      <c r="E22172" s="2">
        <v>1</v>
      </c>
      <c r="F22172" s="2">
        <v>3</v>
      </c>
      <c r="G22172" s="2">
        <v>0</v>
      </c>
      <c r="H22172" s="1" t="s">
        <v>0</v>
      </c>
      <c r="I22172" s="2">
        <v>0</v>
      </c>
      <c r="J22172" s="1">
        <v>45957.541909722226</v>
      </c>
    </row>
    <row r="22173" spans="1:10" x14ac:dyDescent="0.2">
      <c r="A22173" s="4" t="s">
        <v>1</v>
      </c>
      <c r="B221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73" s="3" t="str">
        <f>HYPERLINK("https://otsuka-europe-crm.veevavault.com/ui/#object/sent_email__v/VBL000000001656", "SE-001378344")</f>
        <v>SE-001378344</v>
      </c>
      <c r="D22173" s="1" t="s">
        <v>0</v>
      </c>
      <c r="E22173" s="2">
        <v>0</v>
      </c>
      <c r="F22173" s="2">
        <v>0</v>
      </c>
      <c r="G22173" s="2">
        <v>0</v>
      </c>
      <c r="H22173" s="1" t="s">
        <v>0</v>
      </c>
      <c r="I22173" s="2">
        <v>0</v>
      </c>
      <c r="J22173" s="1">
        <v>45957.541956018518</v>
      </c>
    </row>
    <row r="22174" spans="1:10" x14ac:dyDescent="0.2">
      <c r="A22174" s="4" t="s">
        <v>1</v>
      </c>
      <c r="B221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74" s="3" t="str">
        <f>HYPERLINK("https://otsuka-europe-crm.veevavault.com/ui/#object/sent_email__v/VBL000000001657", "SE-001378345")</f>
        <v>SE-001378345</v>
      </c>
      <c r="D22174" s="1">
        <v>45957.580081018517</v>
      </c>
      <c r="E22174" s="2">
        <v>1</v>
      </c>
      <c r="F22174" s="2">
        <v>1</v>
      </c>
      <c r="G22174" s="2">
        <v>0</v>
      </c>
      <c r="H22174" s="1" t="s">
        <v>0</v>
      </c>
      <c r="I22174" s="2">
        <v>0</v>
      </c>
      <c r="J22174" s="1">
        <v>45957.541990740741</v>
      </c>
    </row>
    <row r="22175" spans="1:10" x14ac:dyDescent="0.2">
      <c r="A22175" s="4" t="s">
        <v>1</v>
      </c>
      <c r="B221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75" s="3" t="str">
        <f>HYPERLINK("https://otsuka-europe-crm.veevavault.com/ui/#object/sent_email__v/VBL000000001658", "SE-001378346")</f>
        <v>SE-001378346</v>
      </c>
      <c r="D22175" s="1">
        <v>45957.962650462963</v>
      </c>
      <c r="E22175" s="2">
        <v>1</v>
      </c>
      <c r="F22175" s="2">
        <v>3</v>
      </c>
      <c r="G22175" s="2">
        <v>0</v>
      </c>
      <c r="H22175" s="1" t="s">
        <v>0</v>
      </c>
      <c r="I22175" s="2">
        <v>0</v>
      </c>
      <c r="J22175" s="1">
        <v>45957.542060185187</v>
      </c>
    </row>
    <row r="22176" spans="1:10" x14ac:dyDescent="0.2">
      <c r="A22176" s="4" t="s">
        <v>1</v>
      </c>
      <c r="B221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76" s="3" t="str">
        <f>HYPERLINK("https://otsuka-europe-crm.veevavault.com/ui/#object/sent_email__v/VBL000000001659", "SE-001378347")</f>
        <v>SE-001378347</v>
      </c>
      <c r="D22176" s="1">
        <v>45957.961018518516</v>
      </c>
      <c r="E22176" s="2">
        <v>1</v>
      </c>
      <c r="F22176" s="2">
        <v>1</v>
      </c>
      <c r="G22176" s="2">
        <v>0</v>
      </c>
      <c r="H22176" s="1" t="s">
        <v>0</v>
      </c>
      <c r="I22176" s="2">
        <v>0</v>
      </c>
      <c r="J22176" s="1">
        <v>45957.542118055557</v>
      </c>
    </row>
    <row r="22177" spans="1:10" x14ac:dyDescent="0.2">
      <c r="A22177" s="4" t="s">
        <v>1</v>
      </c>
      <c r="B221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77" s="3" t="str">
        <f>HYPERLINK("https://otsuka-europe-crm.veevavault.com/ui/#object/sent_email__v/VBL000000001660", "SE-001378348")</f>
        <v>SE-001378348</v>
      </c>
      <c r="D22177" s="1" t="s">
        <v>0</v>
      </c>
      <c r="E22177" s="2">
        <v>0</v>
      </c>
      <c r="F22177" s="2">
        <v>0</v>
      </c>
      <c r="G22177" s="2">
        <v>0</v>
      </c>
      <c r="H22177" s="1" t="s">
        <v>0</v>
      </c>
      <c r="I22177" s="2">
        <v>0</v>
      </c>
      <c r="J22177" s="1">
        <v>45957.542199074072</v>
      </c>
    </row>
    <row r="22178" spans="1:10" x14ac:dyDescent="0.2">
      <c r="A22178" s="4" t="s">
        <v>1</v>
      </c>
      <c r="B221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78" s="3" t="str">
        <f>HYPERLINK("https://otsuka-europe-crm.veevavault.com/ui/#object/sent_email__v/VBL000000001661", "SE-001378349")</f>
        <v>SE-001378349</v>
      </c>
      <c r="D22178" s="1" t="s">
        <v>0</v>
      </c>
      <c r="E22178" s="2">
        <v>0</v>
      </c>
      <c r="F22178" s="2">
        <v>0</v>
      </c>
      <c r="G22178" s="2">
        <v>0</v>
      </c>
      <c r="H22178" s="1" t="s">
        <v>0</v>
      </c>
      <c r="I22178" s="2">
        <v>0</v>
      </c>
      <c r="J22178" s="1">
        <v>45957.542268518519</v>
      </c>
    </row>
    <row r="22179" spans="1:10" x14ac:dyDescent="0.2">
      <c r="A22179" s="4" t="s">
        <v>1</v>
      </c>
      <c r="B221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79" s="3" t="str">
        <f>HYPERLINK("https://otsuka-europe-crm.veevavault.com/ui/#object/sent_email__v/VBL000000001662", "SE-001378350")</f>
        <v>SE-001378350</v>
      </c>
      <c r="D22179" s="1" t="s">
        <v>0</v>
      </c>
      <c r="E22179" s="2">
        <v>0</v>
      </c>
      <c r="F22179" s="2">
        <v>0</v>
      </c>
      <c r="G22179" s="2">
        <v>0</v>
      </c>
      <c r="H22179" s="1" t="s">
        <v>0</v>
      </c>
      <c r="I22179" s="2">
        <v>0</v>
      </c>
      <c r="J22179" s="1">
        <v>45957.542337962965</v>
      </c>
    </row>
    <row r="22180" spans="1:10" x14ac:dyDescent="0.2">
      <c r="A22180" s="4" t="s">
        <v>1</v>
      </c>
      <c r="B221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80" s="3" t="str">
        <f>HYPERLINK("https://otsuka-europe-crm.veevavault.com/ui/#object/sent_email__v/VBL000000001663", "SE-001378351")</f>
        <v>SE-001378351</v>
      </c>
      <c r="D22180" s="1">
        <v>45957.552951388891</v>
      </c>
      <c r="E22180" s="2">
        <v>1</v>
      </c>
      <c r="F22180" s="2">
        <v>1</v>
      </c>
      <c r="G22180" s="2">
        <v>0</v>
      </c>
      <c r="H22180" s="1" t="s">
        <v>0</v>
      </c>
      <c r="I22180" s="2">
        <v>0</v>
      </c>
      <c r="J22180" s="1">
        <v>45957.542407407411</v>
      </c>
    </row>
    <row r="22181" spans="1:10" x14ac:dyDescent="0.2">
      <c r="A22181" s="4" t="s">
        <v>1</v>
      </c>
      <c r="B221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81" s="3" t="str">
        <f>HYPERLINK("https://otsuka-europe-crm.veevavault.com/ui/#object/sent_email__v/VBL000000001664", "SE-001378352")</f>
        <v>SE-001378352</v>
      </c>
      <c r="D22181" s="1" t="s">
        <v>0</v>
      </c>
      <c r="E22181" s="2">
        <v>0</v>
      </c>
      <c r="F22181" s="2">
        <v>0</v>
      </c>
      <c r="G22181" s="2">
        <v>0</v>
      </c>
      <c r="H22181" s="1" t="s">
        <v>0</v>
      </c>
      <c r="I22181" s="2">
        <v>0</v>
      </c>
      <c r="J22181" s="1">
        <v>45957.54247685185</v>
      </c>
    </row>
    <row r="22182" spans="1:10" x14ac:dyDescent="0.2">
      <c r="A22182" s="4" t="s">
        <v>1</v>
      </c>
      <c r="B221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82" s="3" t="str">
        <f>HYPERLINK("https://otsuka-europe-crm.veevavault.com/ui/#object/sent_email__v/VBL000000001665", "SE-001378353")</f>
        <v>SE-001378353</v>
      </c>
      <c r="D22182" s="1">
        <v>45958.017314814817</v>
      </c>
      <c r="E22182" s="2">
        <v>1</v>
      </c>
      <c r="F22182" s="2">
        <v>1</v>
      </c>
      <c r="G22182" s="2">
        <v>0</v>
      </c>
      <c r="H22182" s="1" t="s">
        <v>0</v>
      </c>
      <c r="I22182" s="2">
        <v>0</v>
      </c>
      <c r="J22182" s="1">
        <v>45957.542534722219</v>
      </c>
    </row>
    <row r="22183" spans="1:10" x14ac:dyDescent="0.2">
      <c r="A22183" s="4" t="s">
        <v>1</v>
      </c>
      <c r="B221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83" s="3" t="str">
        <f>HYPERLINK("https://otsuka-europe-crm.veevavault.com/ui/#object/sent_email__v/VBL000000001666", "SE-001378354")</f>
        <v>SE-001378354</v>
      </c>
      <c r="D22183" s="1" t="s">
        <v>0</v>
      </c>
      <c r="E22183" s="2">
        <v>0</v>
      </c>
      <c r="F22183" s="2">
        <v>0</v>
      </c>
      <c r="G22183" s="2">
        <v>0</v>
      </c>
      <c r="H22183" s="1" t="s">
        <v>0</v>
      </c>
      <c r="I22183" s="2">
        <v>0</v>
      </c>
      <c r="J22183" s="1">
        <v>45957.542604166665</v>
      </c>
    </row>
    <row r="22184" spans="1:10" x14ac:dyDescent="0.2">
      <c r="A22184" s="4" t="s">
        <v>1</v>
      </c>
      <c r="B221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84" s="3" t="str">
        <f>HYPERLINK("https://otsuka-europe-crm.veevavault.com/ui/#object/sent_email__v/VBL000000001667", "SE-001378355")</f>
        <v>SE-001378355</v>
      </c>
      <c r="D22184" s="1" t="s">
        <v>0</v>
      </c>
      <c r="E22184" s="2">
        <v>0</v>
      </c>
      <c r="F22184" s="2">
        <v>0</v>
      </c>
      <c r="G22184" s="2">
        <v>0</v>
      </c>
      <c r="H22184" s="1" t="s">
        <v>0</v>
      </c>
      <c r="I22184" s="2">
        <v>0</v>
      </c>
      <c r="J22184" s="1">
        <v>45957.542673611111</v>
      </c>
    </row>
    <row r="22185" spans="1:10" x14ac:dyDescent="0.2">
      <c r="A22185" s="4" t="s">
        <v>1</v>
      </c>
      <c r="B221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85" s="3" t="str">
        <f>HYPERLINK("https://otsuka-europe-crm.veevavault.com/ui/#object/sent_email__v/VBL000000001668", "SE-001378356")</f>
        <v>SE-001378356</v>
      </c>
      <c r="D22185" s="1" t="s">
        <v>0</v>
      </c>
      <c r="E22185" s="2">
        <v>0</v>
      </c>
      <c r="F22185" s="2">
        <v>0</v>
      </c>
      <c r="G22185" s="2">
        <v>0</v>
      </c>
      <c r="H22185" s="1" t="s">
        <v>0</v>
      </c>
      <c r="I22185" s="2">
        <v>0</v>
      </c>
      <c r="J22185" s="1">
        <v>45957.542743055557</v>
      </c>
    </row>
    <row r="22186" spans="1:10" x14ac:dyDescent="0.2">
      <c r="A22186" s="4" t="s">
        <v>1</v>
      </c>
      <c r="B221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86" s="3" t="str">
        <f>HYPERLINK("https://otsuka-europe-crm.veevavault.com/ui/#object/sent_email__v/VBL000000001669", "SE-001378357")</f>
        <v>SE-001378357</v>
      </c>
      <c r="D22186" s="1">
        <v>45957.552754629629</v>
      </c>
      <c r="E22186" s="2">
        <v>1</v>
      </c>
      <c r="F22186" s="2">
        <v>1</v>
      </c>
      <c r="G22186" s="2">
        <v>0</v>
      </c>
      <c r="H22186" s="1" t="s">
        <v>0</v>
      </c>
      <c r="I22186" s="2">
        <v>0</v>
      </c>
      <c r="J22186" s="1">
        <v>45957.542812500003</v>
      </c>
    </row>
    <row r="22187" spans="1:10" x14ac:dyDescent="0.2">
      <c r="A22187" s="4" t="s">
        <v>1</v>
      </c>
      <c r="B221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87" s="3" t="str">
        <f>HYPERLINK("https://otsuka-europe-crm.veevavault.com/ui/#object/sent_email__v/VBL000000001670", "SE-001378358")</f>
        <v>SE-001378358</v>
      </c>
      <c r="D22187" s="1" t="s">
        <v>0</v>
      </c>
      <c r="E22187" s="2">
        <v>0</v>
      </c>
      <c r="F22187" s="2">
        <v>0</v>
      </c>
      <c r="G22187" s="2">
        <v>0</v>
      </c>
      <c r="H22187" s="1" t="s">
        <v>0</v>
      </c>
      <c r="I22187" s="2">
        <v>0</v>
      </c>
      <c r="J22187" s="1">
        <v>45957.542881944442</v>
      </c>
    </row>
    <row r="22188" spans="1:10" x14ac:dyDescent="0.2">
      <c r="A22188" s="4" t="s">
        <v>1</v>
      </c>
      <c r="B221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88" s="3" t="str">
        <f>HYPERLINK("https://otsuka-europe-crm.veevavault.com/ui/#object/sent_email__v/VBL000000001671", "SE-001378359")</f>
        <v>SE-001378359</v>
      </c>
      <c r="D22188" s="1">
        <v>45957.921585648146</v>
      </c>
      <c r="E22188" s="2">
        <v>1</v>
      </c>
      <c r="F22188" s="2">
        <v>1</v>
      </c>
      <c r="G22188" s="2">
        <v>0</v>
      </c>
      <c r="H22188" s="1" t="s">
        <v>0</v>
      </c>
      <c r="I22188" s="2">
        <v>0</v>
      </c>
      <c r="J22188" s="1">
        <v>45957.542951388888</v>
      </c>
    </row>
    <row r="22189" spans="1:10" x14ac:dyDescent="0.2">
      <c r="A22189" s="4" t="s">
        <v>1</v>
      </c>
      <c r="B221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89" s="3" t="str">
        <f>HYPERLINK("https://otsuka-europe-crm.veevavault.com/ui/#object/sent_email__v/VBL000000001672", "SE-001378360")</f>
        <v>SE-001378360</v>
      </c>
      <c r="D22189" s="1" t="s">
        <v>0</v>
      </c>
      <c r="E22189" s="2">
        <v>0</v>
      </c>
      <c r="F22189" s="2">
        <v>0</v>
      </c>
      <c r="G22189" s="2">
        <v>0</v>
      </c>
      <c r="H22189" s="1" t="s">
        <v>0</v>
      </c>
      <c r="I22189" s="2">
        <v>0</v>
      </c>
      <c r="J22189" s="1">
        <v>45957.543020833335</v>
      </c>
    </row>
    <row r="22190" spans="1:10" x14ac:dyDescent="0.2">
      <c r="A22190" s="4" t="s">
        <v>1</v>
      </c>
      <c r="B221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90" s="3" t="str">
        <f>HYPERLINK("https://otsuka-europe-crm.veevavault.com/ui/#object/sent_email__v/VBL000000001673", "SE-001378361")</f>
        <v>SE-001378361</v>
      </c>
      <c r="D22190" s="1" t="s">
        <v>0</v>
      </c>
      <c r="E22190" s="2">
        <v>0</v>
      </c>
      <c r="F22190" s="2">
        <v>0</v>
      </c>
      <c r="G22190" s="2">
        <v>0</v>
      </c>
      <c r="H22190" s="1" t="s">
        <v>0</v>
      </c>
      <c r="I22190" s="2">
        <v>0</v>
      </c>
      <c r="J22190" s="1">
        <v>45957.543090277781</v>
      </c>
    </row>
    <row r="22191" spans="1:10" x14ac:dyDescent="0.2">
      <c r="A22191" s="4" t="s">
        <v>1</v>
      </c>
      <c r="B221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91" s="3" t="str">
        <f>HYPERLINK("https://otsuka-europe-crm.veevavault.com/ui/#object/sent_email__v/VBL000000001674", "SE-001378362")</f>
        <v>SE-001378362</v>
      </c>
      <c r="D22191" s="1" t="s">
        <v>0</v>
      </c>
      <c r="E22191" s="2">
        <v>0</v>
      </c>
      <c r="F22191" s="2">
        <v>0</v>
      </c>
      <c r="G22191" s="2">
        <v>0</v>
      </c>
      <c r="H22191" s="1" t="s">
        <v>0</v>
      </c>
      <c r="I22191" s="2">
        <v>0</v>
      </c>
      <c r="J22191" s="1">
        <v>45957.54315972222</v>
      </c>
    </row>
    <row r="22192" spans="1:10" x14ac:dyDescent="0.2">
      <c r="A22192" s="4" t="s">
        <v>1</v>
      </c>
      <c r="B221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92" s="3" t="str">
        <f>HYPERLINK("https://otsuka-europe-crm.veevavault.com/ui/#object/sent_email__v/VBL000000001675", "SE-001378363")</f>
        <v>SE-001378363</v>
      </c>
      <c r="D22192" s="1">
        <v>45958.735902777778</v>
      </c>
      <c r="E22192" s="2">
        <v>1</v>
      </c>
      <c r="F22192" s="2">
        <v>2</v>
      </c>
      <c r="G22192" s="2">
        <v>0</v>
      </c>
      <c r="H22192" s="1" t="s">
        <v>0</v>
      </c>
      <c r="I22192" s="2">
        <v>0</v>
      </c>
      <c r="J22192" s="1">
        <v>45957.543229166666</v>
      </c>
    </row>
    <row r="22193" spans="1:10" x14ac:dyDescent="0.2">
      <c r="A22193" s="4" t="s">
        <v>1</v>
      </c>
      <c r="B221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93" s="3" t="str">
        <f>HYPERLINK("https://otsuka-europe-crm.veevavault.com/ui/#object/sent_email__v/VBL000000001676", "SE-001378364")</f>
        <v>SE-001378364</v>
      </c>
      <c r="D22193" s="1" t="s">
        <v>0</v>
      </c>
      <c r="E22193" s="2">
        <v>0</v>
      </c>
      <c r="F22193" s="2">
        <v>0</v>
      </c>
      <c r="G22193" s="2">
        <v>0</v>
      </c>
      <c r="H22193" s="1" t="s">
        <v>0</v>
      </c>
      <c r="I22193" s="2">
        <v>0</v>
      </c>
      <c r="J22193" s="1">
        <v>45957.543298611112</v>
      </c>
    </row>
    <row r="22194" spans="1:10" x14ac:dyDescent="0.2">
      <c r="A22194" s="4" t="s">
        <v>1</v>
      </c>
      <c r="B221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94" s="3" t="str">
        <f>HYPERLINK("https://otsuka-europe-crm.veevavault.com/ui/#object/sent_email__v/VBL000000001677", "SE-001378365")</f>
        <v>SE-001378365</v>
      </c>
      <c r="D22194" s="1">
        <v>45970.632662037038</v>
      </c>
      <c r="E22194" s="2">
        <v>1</v>
      </c>
      <c r="F22194" s="2">
        <v>2</v>
      </c>
      <c r="G22194" s="2">
        <v>0</v>
      </c>
      <c r="H22194" s="1" t="s">
        <v>0</v>
      </c>
      <c r="I22194" s="2">
        <v>0</v>
      </c>
      <c r="J22194" s="1">
        <v>45957.543368055558</v>
      </c>
    </row>
    <row r="22195" spans="1:10" x14ac:dyDescent="0.2">
      <c r="A22195" s="4" t="s">
        <v>1</v>
      </c>
      <c r="B221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95" s="3" t="str">
        <f>HYPERLINK("https://otsuka-europe-crm.veevavault.com/ui/#object/sent_email__v/VBL000000001678", "SE-001378366")</f>
        <v>SE-001378366</v>
      </c>
      <c r="D22195" s="1">
        <v>45958.047361111108</v>
      </c>
      <c r="E22195" s="2">
        <v>1</v>
      </c>
      <c r="F22195" s="2">
        <v>1</v>
      </c>
      <c r="G22195" s="2">
        <v>0</v>
      </c>
      <c r="H22195" s="1" t="s">
        <v>0</v>
      </c>
      <c r="I22195" s="2">
        <v>0</v>
      </c>
      <c r="J22195" s="1">
        <v>45957.543437499997</v>
      </c>
    </row>
    <row r="22196" spans="1:10" x14ac:dyDescent="0.2">
      <c r="A22196" s="4" t="s">
        <v>1</v>
      </c>
      <c r="B221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96" s="3" t="str">
        <f>HYPERLINK("https://otsuka-europe-crm.veevavault.com/ui/#object/sent_email__v/VBL000000001679", "SE-001378367")</f>
        <v>SE-001378367</v>
      </c>
      <c r="D22196" s="1" t="s">
        <v>0</v>
      </c>
      <c r="E22196" s="2">
        <v>0</v>
      </c>
      <c r="F22196" s="2">
        <v>0</v>
      </c>
      <c r="G22196" s="2">
        <v>0</v>
      </c>
      <c r="H22196" s="1" t="s">
        <v>0</v>
      </c>
      <c r="I22196" s="2">
        <v>0</v>
      </c>
      <c r="J22196" s="1">
        <v>45957.543506944443</v>
      </c>
    </row>
    <row r="22197" spans="1:10" x14ac:dyDescent="0.2">
      <c r="A22197" s="4" t="s">
        <v>1</v>
      </c>
      <c r="B221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97" s="3" t="str">
        <f>HYPERLINK("https://otsuka-europe-crm.veevavault.com/ui/#object/sent_email__v/VBL000000001680", "SE-001378368")</f>
        <v>SE-001378368</v>
      </c>
      <c r="D22197" s="1">
        <v>45957.554675925923</v>
      </c>
      <c r="E22197" s="2">
        <v>1</v>
      </c>
      <c r="F22197" s="2">
        <v>1</v>
      </c>
      <c r="G22197" s="2">
        <v>0</v>
      </c>
      <c r="H22197" s="1" t="s">
        <v>0</v>
      </c>
      <c r="I22197" s="2">
        <v>0</v>
      </c>
      <c r="J22197" s="1">
        <v>45957.543576388889</v>
      </c>
    </row>
    <row r="22198" spans="1:10" x14ac:dyDescent="0.2">
      <c r="A22198" s="4" t="s">
        <v>1</v>
      </c>
      <c r="B221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98" s="3" t="str">
        <f>HYPERLINK("https://otsuka-europe-crm.veevavault.com/ui/#object/sent_email__v/VBL000000001681", "SE-001378369")</f>
        <v>SE-001378369</v>
      </c>
      <c r="D22198" s="1">
        <v>45957.897210648145</v>
      </c>
      <c r="E22198" s="2">
        <v>1</v>
      </c>
      <c r="F22198" s="2">
        <v>1</v>
      </c>
      <c r="G22198" s="2">
        <v>0</v>
      </c>
      <c r="H22198" s="1" t="s">
        <v>0</v>
      </c>
      <c r="I22198" s="2">
        <v>0</v>
      </c>
      <c r="J22198" s="1">
        <v>45957.543657407405</v>
      </c>
    </row>
    <row r="22199" spans="1:10" x14ac:dyDescent="0.2">
      <c r="A22199" s="4" t="s">
        <v>1</v>
      </c>
      <c r="B221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199" s="3" t="str">
        <f>HYPERLINK("https://otsuka-europe-crm.veevavault.com/ui/#object/sent_email__v/VBL000000001682", "SE-001378370")</f>
        <v>SE-001378370</v>
      </c>
      <c r="D22199" s="1">
        <v>45957.580046296294</v>
      </c>
      <c r="E22199" s="2">
        <v>1</v>
      </c>
      <c r="F22199" s="2">
        <v>1</v>
      </c>
      <c r="G22199" s="2">
        <v>0</v>
      </c>
      <c r="H22199" s="1" t="s">
        <v>0</v>
      </c>
      <c r="I22199" s="2">
        <v>0</v>
      </c>
      <c r="J22199" s="1">
        <v>45957.543715277781</v>
      </c>
    </row>
    <row r="22200" spans="1:10" x14ac:dyDescent="0.2">
      <c r="A22200" s="4" t="s">
        <v>1</v>
      </c>
      <c r="B222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00" s="3" t="str">
        <f>HYPERLINK("https://otsuka-europe-crm.veevavault.com/ui/#object/sent_email__v/VBL000000001683", "SE-001378371")</f>
        <v>SE-001378371</v>
      </c>
      <c r="D22200" s="1" t="s">
        <v>0</v>
      </c>
      <c r="E22200" s="2">
        <v>0</v>
      </c>
      <c r="F22200" s="2">
        <v>0</v>
      </c>
      <c r="G22200" s="2">
        <v>0</v>
      </c>
      <c r="H22200" s="1" t="s">
        <v>0</v>
      </c>
      <c r="I22200" s="2">
        <v>0</v>
      </c>
      <c r="J22200" s="1">
        <v>45957.54378472222</v>
      </c>
    </row>
    <row r="22201" spans="1:10" x14ac:dyDescent="0.2">
      <c r="A22201" s="4" t="s">
        <v>1</v>
      </c>
      <c r="B222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01" s="3" t="str">
        <f>HYPERLINK("https://otsuka-europe-crm.veevavault.com/ui/#object/sent_email__v/VBL000000001684", "SE-001378372")</f>
        <v>SE-001378372</v>
      </c>
      <c r="D22201" s="1" t="s">
        <v>0</v>
      </c>
      <c r="E22201" s="2">
        <v>0</v>
      </c>
      <c r="F22201" s="2">
        <v>0</v>
      </c>
      <c r="G22201" s="2">
        <v>0</v>
      </c>
      <c r="H22201" s="1" t="s">
        <v>0</v>
      </c>
      <c r="I22201" s="2">
        <v>0</v>
      </c>
      <c r="J22201" s="1">
        <v>45957.543854166666</v>
      </c>
    </row>
    <row r="22202" spans="1:10" x14ac:dyDescent="0.2">
      <c r="A22202" s="4" t="s">
        <v>1</v>
      </c>
      <c r="B222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02" s="3" t="str">
        <f>HYPERLINK("https://otsuka-europe-crm.veevavault.com/ui/#object/sent_email__v/VBL000000001685", "SE-001378373")</f>
        <v>SE-001378373</v>
      </c>
      <c r="D22202" s="1">
        <v>45957.544074074074</v>
      </c>
      <c r="E22202" s="2">
        <v>1</v>
      </c>
      <c r="F22202" s="2">
        <v>2</v>
      </c>
      <c r="G22202" s="2">
        <v>0</v>
      </c>
      <c r="H22202" s="1" t="s">
        <v>0</v>
      </c>
      <c r="I22202" s="2">
        <v>0</v>
      </c>
      <c r="J22202" s="1">
        <v>45957.543946759259</v>
      </c>
    </row>
    <row r="22203" spans="1:10" x14ac:dyDescent="0.2">
      <c r="A22203" s="4" t="s">
        <v>1</v>
      </c>
      <c r="B222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03" s="3" t="str">
        <f>HYPERLINK("https://otsuka-europe-crm.veevavault.com/ui/#object/sent_email__v/VBL000000001686", "SE-001378374")</f>
        <v>SE-001378374</v>
      </c>
      <c r="D22203" s="1">
        <v>45958.261678240742</v>
      </c>
      <c r="E22203" s="2">
        <v>1</v>
      </c>
      <c r="F22203" s="2">
        <v>1</v>
      </c>
      <c r="G22203" s="2">
        <v>0</v>
      </c>
      <c r="H22203" s="1" t="s">
        <v>0</v>
      </c>
      <c r="I22203" s="2">
        <v>0</v>
      </c>
      <c r="J22203" s="1">
        <v>45957.544004629628</v>
      </c>
    </row>
    <row r="22204" spans="1:10" x14ac:dyDescent="0.2">
      <c r="A22204" s="4" t="s">
        <v>1</v>
      </c>
      <c r="B222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04" s="3" t="str">
        <f>HYPERLINK("https://otsuka-europe-crm.veevavault.com/ui/#object/sent_email__v/VBL000000001687", "SE-001378375")</f>
        <v>SE-001378375</v>
      </c>
      <c r="D22204" s="1" t="s">
        <v>0</v>
      </c>
      <c r="E22204" s="2">
        <v>0</v>
      </c>
      <c r="F22204" s="2">
        <v>0</v>
      </c>
      <c r="G22204" s="2">
        <v>0</v>
      </c>
      <c r="H22204" s="1" t="s">
        <v>0</v>
      </c>
      <c r="I22204" s="2">
        <v>0</v>
      </c>
      <c r="J22204" s="1">
        <v>45957.544074074074</v>
      </c>
    </row>
    <row r="22205" spans="1:10" x14ac:dyDescent="0.2">
      <c r="A22205" s="4" t="s">
        <v>1</v>
      </c>
      <c r="B222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05" s="3" t="str">
        <f>HYPERLINK("https://otsuka-europe-crm.veevavault.com/ui/#object/sent_email__v/VBL000000001688", "SE-001378376")</f>
        <v>SE-001378376</v>
      </c>
      <c r="D22205" s="1" t="s">
        <v>0</v>
      </c>
      <c r="E22205" s="2">
        <v>0</v>
      </c>
      <c r="F22205" s="2">
        <v>0</v>
      </c>
      <c r="G22205" s="2">
        <v>0</v>
      </c>
      <c r="H22205" s="1" t="s">
        <v>0</v>
      </c>
      <c r="I22205" s="2">
        <v>0</v>
      </c>
      <c r="J22205" s="1">
        <v>45957.54415509259</v>
      </c>
    </row>
    <row r="22206" spans="1:10" x14ac:dyDescent="0.2">
      <c r="A22206" s="4" t="s">
        <v>1</v>
      </c>
      <c r="B222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06" s="3" t="str">
        <f>HYPERLINK("https://otsuka-europe-crm.veevavault.com/ui/#object/sent_email__v/VBL000000001689", "SE-001378377")</f>
        <v>SE-001378377</v>
      </c>
      <c r="D22206" s="1">
        <v>45964.972488425927</v>
      </c>
      <c r="E22206" s="2">
        <v>1</v>
      </c>
      <c r="F22206" s="2">
        <v>2</v>
      </c>
      <c r="G22206" s="2">
        <v>0</v>
      </c>
      <c r="H22206" s="1" t="s">
        <v>0</v>
      </c>
      <c r="I22206" s="2">
        <v>0</v>
      </c>
      <c r="J22206" s="1">
        <v>45957.544224537036</v>
      </c>
    </row>
    <row r="22207" spans="1:10" x14ac:dyDescent="0.2">
      <c r="A22207" s="4" t="s">
        <v>1</v>
      </c>
      <c r="B222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07" s="3" t="str">
        <f>HYPERLINK("https://otsuka-europe-crm.veevavault.com/ui/#object/sent_email__v/VBL000000001690", "SE-001378378")</f>
        <v>SE-001378378</v>
      </c>
      <c r="D22207" s="1" t="s">
        <v>0</v>
      </c>
      <c r="E22207" s="2">
        <v>0</v>
      </c>
      <c r="F22207" s="2">
        <v>0</v>
      </c>
      <c r="G22207" s="2">
        <v>0</v>
      </c>
      <c r="H22207" s="1" t="s">
        <v>0</v>
      </c>
      <c r="I22207" s="2">
        <v>0</v>
      </c>
      <c r="J22207" s="1">
        <v>45957.544293981482</v>
      </c>
    </row>
    <row r="22208" spans="1:10" x14ac:dyDescent="0.2">
      <c r="A22208" s="4" t="s">
        <v>1</v>
      </c>
      <c r="B222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08" s="3" t="str">
        <f>HYPERLINK("https://otsuka-europe-crm.veevavault.com/ui/#object/sent_email__v/VBL000000001691", "SE-001378379")</f>
        <v>SE-001378379</v>
      </c>
      <c r="D22208" s="1">
        <v>45957.580289351848</v>
      </c>
      <c r="E22208" s="2">
        <v>1</v>
      </c>
      <c r="F22208" s="2">
        <v>1</v>
      </c>
      <c r="G22208" s="2">
        <v>0</v>
      </c>
      <c r="H22208" s="1" t="s">
        <v>0</v>
      </c>
      <c r="I22208" s="2">
        <v>0</v>
      </c>
      <c r="J22208" s="1">
        <v>45957.544363425928</v>
      </c>
    </row>
    <row r="22209" spans="1:10" x14ac:dyDescent="0.2">
      <c r="A22209" s="4" t="s">
        <v>1</v>
      </c>
      <c r="B222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09" s="3" t="str">
        <f>HYPERLINK("https://otsuka-europe-crm.veevavault.com/ui/#object/sent_email__v/VBL000000001692", "SE-001378380")</f>
        <v>SE-001378380</v>
      </c>
      <c r="D22209" s="1">
        <v>45968.423495370371</v>
      </c>
      <c r="E22209" s="2">
        <v>1</v>
      </c>
      <c r="F22209" s="2">
        <v>3</v>
      </c>
      <c r="G22209" s="2">
        <v>0</v>
      </c>
      <c r="H22209" s="1" t="s">
        <v>0</v>
      </c>
      <c r="I22209" s="2">
        <v>0</v>
      </c>
      <c r="J22209" s="1">
        <v>45957.544444444444</v>
      </c>
    </row>
    <row r="22210" spans="1:10" x14ac:dyDescent="0.2">
      <c r="A22210" s="4" t="s">
        <v>1</v>
      </c>
      <c r="B222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10" s="3" t="str">
        <f>HYPERLINK("https://otsuka-europe-crm.veevavault.com/ui/#object/sent_email__v/VBL000000001693", "SE-001378381")</f>
        <v>SE-001378381</v>
      </c>
      <c r="D22210" s="1">
        <v>45957.723344907405</v>
      </c>
      <c r="E22210" s="2">
        <v>1</v>
      </c>
      <c r="F22210" s="2">
        <v>1</v>
      </c>
      <c r="G22210" s="2">
        <v>0</v>
      </c>
      <c r="H22210" s="1" t="s">
        <v>0</v>
      </c>
      <c r="I22210" s="2">
        <v>0</v>
      </c>
      <c r="J22210" s="1">
        <v>45957.54451388889</v>
      </c>
    </row>
    <row r="22211" spans="1:10" x14ac:dyDescent="0.2">
      <c r="A22211" s="4" t="s">
        <v>1</v>
      </c>
      <c r="B222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11" s="3" t="str">
        <f>HYPERLINK("https://otsuka-europe-crm.veevavault.com/ui/#object/sent_email__v/VBL000000001694", "SE-001378382")</f>
        <v>SE-001378382</v>
      </c>
      <c r="D22211" s="1" t="s">
        <v>0</v>
      </c>
      <c r="E22211" s="2">
        <v>0</v>
      </c>
      <c r="F22211" s="2">
        <v>0</v>
      </c>
      <c r="G22211" s="2">
        <v>0</v>
      </c>
      <c r="H22211" s="1" t="s">
        <v>0</v>
      </c>
      <c r="I22211" s="2">
        <v>0</v>
      </c>
      <c r="J22211" s="1">
        <v>45957.544594907406</v>
      </c>
    </row>
    <row r="22212" spans="1:10" x14ac:dyDescent="0.2">
      <c r="A22212" s="4" t="s">
        <v>1</v>
      </c>
      <c r="B222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12" s="3" t="str">
        <f>HYPERLINK("https://otsuka-europe-crm.veevavault.com/ui/#object/sent_email__v/VBL000000001695", "SE-001378383")</f>
        <v>SE-001378383</v>
      </c>
      <c r="D22212" s="1">
        <v>45983.473182870373</v>
      </c>
      <c r="E22212" s="2">
        <v>1</v>
      </c>
      <c r="F22212" s="2">
        <v>3</v>
      </c>
      <c r="G22212" s="2">
        <v>0</v>
      </c>
      <c r="H22212" s="1" t="s">
        <v>0</v>
      </c>
      <c r="I22212" s="2">
        <v>0</v>
      </c>
      <c r="J22212" s="1">
        <v>45957.544664351852</v>
      </c>
    </row>
    <row r="22213" spans="1:10" x14ac:dyDescent="0.2">
      <c r="A22213" s="4" t="s">
        <v>1</v>
      </c>
      <c r="B222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13" s="3" t="str">
        <f>HYPERLINK("https://otsuka-europe-crm.veevavault.com/ui/#object/sent_email__v/VBL000000001696", "SE-001378384")</f>
        <v>SE-001378384</v>
      </c>
      <c r="D22213" s="1">
        <v>45957.619895833333</v>
      </c>
      <c r="E22213" s="2">
        <v>1</v>
      </c>
      <c r="F22213" s="2">
        <v>1</v>
      </c>
      <c r="G22213" s="2">
        <v>0</v>
      </c>
      <c r="H22213" s="1" t="s">
        <v>0</v>
      </c>
      <c r="I22213" s="2">
        <v>0</v>
      </c>
      <c r="J22213" s="1">
        <v>45957.544733796298</v>
      </c>
    </row>
    <row r="22214" spans="1:10" x14ac:dyDescent="0.2">
      <c r="A22214" s="4" t="s">
        <v>1</v>
      </c>
      <c r="B222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14" s="3" t="str">
        <f>HYPERLINK("https://otsuka-europe-crm.veevavault.com/ui/#object/sent_email__v/VBL000000001697", "SE-001378385")</f>
        <v>SE-001378385</v>
      </c>
      <c r="D22214" s="1" t="s">
        <v>0</v>
      </c>
      <c r="E22214" s="2">
        <v>0</v>
      </c>
      <c r="F22214" s="2">
        <v>0</v>
      </c>
      <c r="G22214" s="2">
        <v>0</v>
      </c>
      <c r="H22214" s="1" t="s">
        <v>0</v>
      </c>
      <c r="I22214" s="2">
        <v>0</v>
      </c>
      <c r="J22214" s="1">
        <v>45957.544803240744</v>
      </c>
    </row>
    <row r="22215" spans="1:10" x14ac:dyDescent="0.2">
      <c r="A22215" s="4" t="s">
        <v>1</v>
      </c>
      <c r="B222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15" s="3" t="str">
        <f>HYPERLINK("https://otsuka-europe-crm.veevavault.com/ui/#object/sent_email__v/VBL000000001698", "SE-001378386")</f>
        <v>SE-001378386</v>
      </c>
      <c r="D22215" s="1">
        <v>45957.560289351852</v>
      </c>
      <c r="E22215" s="2">
        <v>1</v>
      </c>
      <c r="F22215" s="2">
        <v>2</v>
      </c>
      <c r="G22215" s="2">
        <v>0</v>
      </c>
      <c r="H22215" s="1" t="s">
        <v>0</v>
      </c>
      <c r="I22215" s="2">
        <v>0</v>
      </c>
      <c r="J22215" s="1">
        <v>45957.54488425926</v>
      </c>
    </row>
    <row r="22216" spans="1:10" x14ac:dyDescent="0.2">
      <c r="A22216" s="4" t="s">
        <v>1</v>
      </c>
      <c r="B222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16" s="3" t="str">
        <f>HYPERLINK("https://otsuka-europe-crm.veevavault.com/ui/#object/sent_email__v/VBL000000001699", "SE-001378387")</f>
        <v>SE-001378387</v>
      </c>
      <c r="D22216" s="1">
        <v>45958.63453703704</v>
      </c>
      <c r="E22216" s="2">
        <v>1</v>
      </c>
      <c r="F22216" s="2">
        <v>1</v>
      </c>
      <c r="G22216" s="2">
        <v>0</v>
      </c>
      <c r="H22216" s="1" t="s">
        <v>0</v>
      </c>
      <c r="I22216" s="2">
        <v>0</v>
      </c>
      <c r="J22216" s="1">
        <v>45957.544965277775</v>
      </c>
    </row>
    <row r="22217" spans="1:10" x14ac:dyDescent="0.2">
      <c r="A22217" s="4" t="s">
        <v>1</v>
      </c>
      <c r="B222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17" s="3" t="str">
        <f>HYPERLINK("https://otsuka-europe-crm.veevavault.com/ui/#object/sent_email__v/VBL000000001700", "SE-001378388")</f>
        <v>SE-001378388</v>
      </c>
      <c r="D22217" s="1" t="s">
        <v>0</v>
      </c>
      <c r="E22217" s="2">
        <v>0</v>
      </c>
      <c r="F22217" s="2">
        <v>0</v>
      </c>
      <c r="G22217" s="2">
        <v>0</v>
      </c>
      <c r="H22217" s="1" t="s">
        <v>0</v>
      </c>
      <c r="I22217" s="2">
        <v>0</v>
      </c>
      <c r="J22217" s="1">
        <v>45957.545046296298</v>
      </c>
    </row>
    <row r="22218" spans="1:10" x14ac:dyDescent="0.2">
      <c r="A22218" s="4" t="s">
        <v>1</v>
      </c>
      <c r="B222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18" s="3" t="str">
        <f>HYPERLINK("https://otsuka-europe-crm.veevavault.com/ui/#object/sent_email__v/VBL000000001701", "SE-001378389")</f>
        <v>SE-001378389</v>
      </c>
      <c r="D22218" s="1">
        <v>45957.585312499999</v>
      </c>
      <c r="E22218" s="2">
        <v>1</v>
      </c>
      <c r="F22218" s="2">
        <v>1</v>
      </c>
      <c r="G22218" s="2">
        <v>0</v>
      </c>
      <c r="H22218" s="1" t="s">
        <v>0</v>
      </c>
      <c r="I22218" s="2">
        <v>0</v>
      </c>
      <c r="J22218" s="1">
        <v>45957.545104166667</v>
      </c>
    </row>
    <row r="22219" spans="1:10" x14ac:dyDescent="0.2">
      <c r="A22219" s="4" t="s">
        <v>1</v>
      </c>
      <c r="B222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19" s="3" t="str">
        <f>HYPERLINK("https://otsuka-europe-crm.veevavault.com/ui/#object/sent_email__v/VBL000000001702", "SE-001378390")</f>
        <v>SE-001378390</v>
      </c>
      <c r="D22219" s="1" t="s">
        <v>0</v>
      </c>
      <c r="E22219" s="2">
        <v>0</v>
      </c>
      <c r="F22219" s="2">
        <v>0</v>
      </c>
      <c r="G22219" s="2">
        <v>0</v>
      </c>
      <c r="H22219" s="1" t="s">
        <v>0</v>
      </c>
      <c r="I22219" s="2">
        <v>0</v>
      </c>
      <c r="J22219" s="1">
        <v>45957.54515046296</v>
      </c>
    </row>
    <row r="22220" spans="1:10" x14ac:dyDescent="0.2">
      <c r="A22220" s="4" t="s">
        <v>1</v>
      </c>
      <c r="B222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20" s="3" t="str">
        <f>HYPERLINK("https://otsuka-europe-crm.veevavault.com/ui/#object/sent_email__v/VBL000000001703", "SE-001378391")</f>
        <v>SE-001378391</v>
      </c>
      <c r="D22220" s="1" t="s">
        <v>0</v>
      </c>
      <c r="E22220" s="2">
        <v>0</v>
      </c>
      <c r="F22220" s="2">
        <v>0</v>
      </c>
      <c r="G22220" s="2">
        <v>0</v>
      </c>
      <c r="H22220" s="1" t="s">
        <v>0</v>
      </c>
      <c r="I22220" s="2">
        <v>0</v>
      </c>
      <c r="J22220" s="1">
        <v>45957.54519675926</v>
      </c>
    </row>
    <row r="22221" spans="1:10" x14ac:dyDescent="0.2">
      <c r="A22221" s="4" t="s">
        <v>1</v>
      </c>
      <c r="B222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21" s="3" t="str">
        <f>HYPERLINK("https://otsuka-europe-crm.veevavault.com/ui/#object/sent_email__v/VBL000000001704", "SE-001378392")</f>
        <v>SE-001378392</v>
      </c>
      <c r="D22221" s="1">
        <v>45957.560358796298</v>
      </c>
      <c r="E22221" s="2">
        <v>1</v>
      </c>
      <c r="F22221" s="2">
        <v>1</v>
      </c>
      <c r="G22221" s="2">
        <v>0</v>
      </c>
      <c r="H22221" s="1" t="s">
        <v>0</v>
      </c>
      <c r="I22221" s="2">
        <v>0</v>
      </c>
      <c r="J22221" s="1">
        <v>45957.545243055552</v>
      </c>
    </row>
    <row r="22222" spans="1:10" x14ac:dyDescent="0.2">
      <c r="A22222" s="4" t="s">
        <v>1</v>
      </c>
      <c r="B222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22" s="3" t="str">
        <f>HYPERLINK("https://otsuka-europe-crm.veevavault.com/ui/#object/sent_email__v/VBL000000001705", "SE-001378393")</f>
        <v>SE-001378393</v>
      </c>
      <c r="D22222" s="1">
        <v>45957.573414351849</v>
      </c>
      <c r="E22222" s="2">
        <v>1</v>
      </c>
      <c r="F22222" s="2">
        <v>1</v>
      </c>
      <c r="G22222" s="2">
        <v>0</v>
      </c>
      <c r="H22222" s="1" t="s">
        <v>0</v>
      </c>
      <c r="I22222" s="2">
        <v>0</v>
      </c>
      <c r="J22222" s="1">
        <v>45957.545289351852</v>
      </c>
    </row>
    <row r="22223" spans="1:10" x14ac:dyDescent="0.2">
      <c r="A22223" s="4" t="s">
        <v>1</v>
      </c>
      <c r="B222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23" s="3" t="str">
        <f>HYPERLINK("https://otsuka-europe-crm.veevavault.com/ui/#object/sent_email__v/VBL000000001706", "SE-001378394")</f>
        <v>SE-001378394</v>
      </c>
      <c r="D22223" s="1">
        <v>45957.545555555553</v>
      </c>
      <c r="E22223" s="2">
        <v>1</v>
      </c>
      <c r="F22223" s="2">
        <v>1</v>
      </c>
      <c r="G22223" s="2">
        <v>1</v>
      </c>
      <c r="H22223" s="1">
        <v>45957.545740740738</v>
      </c>
      <c r="I22223" s="2">
        <v>2</v>
      </c>
      <c r="J22223" s="1">
        <v>45957.545335648145</v>
      </c>
    </row>
    <row r="22224" spans="1:10" x14ac:dyDescent="0.2">
      <c r="A22224" s="4" t="s">
        <v>1</v>
      </c>
      <c r="B222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24" s="3" t="str">
        <f>HYPERLINK("https://otsuka-europe-crm.veevavault.com/ui/#object/sent_email__v/VBL000000001707", "SE-001378395")</f>
        <v>SE-001378395</v>
      </c>
      <c r="D22224" s="1" t="s">
        <v>0</v>
      </c>
      <c r="E22224" s="2">
        <v>0</v>
      </c>
      <c r="F22224" s="2">
        <v>0</v>
      </c>
      <c r="G22224" s="2">
        <v>0</v>
      </c>
      <c r="H22224" s="1" t="s">
        <v>0</v>
      </c>
      <c r="I22224" s="2">
        <v>0</v>
      </c>
      <c r="J22224" s="1">
        <v>45957.545393518521</v>
      </c>
    </row>
    <row r="22225" spans="1:10" x14ac:dyDescent="0.2">
      <c r="A22225" s="4" t="s">
        <v>1</v>
      </c>
      <c r="B222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25" s="3" t="str">
        <f>HYPERLINK("https://otsuka-europe-crm.veevavault.com/ui/#object/sent_email__v/VBL000000001708", "SE-001378396")</f>
        <v>SE-001378396</v>
      </c>
      <c r="D22225" s="1">
        <v>46034.322650462964</v>
      </c>
      <c r="E22225" s="2">
        <v>1</v>
      </c>
      <c r="F22225" s="2">
        <v>8</v>
      </c>
      <c r="G22225" s="2">
        <v>1</v>
      </c>
      <c r="H22225" s="1">
        <v>46032.760208333333</v>
      </c>
      <c r="I22225" s="2">
        <v>1</v>
      </c>
      <c r="J22225" s="1">
        <v>45957.545416666668</v>
      </c>
    </row>
    <row r="22226" spans="1:10" x14ac:dyDescent="0.2">
      <c r="A22226" s="4" t="s">
        <v>1</v>
      </c>
      <c r="B222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26" s="3" t="str">
        <f>HYPERLINK("https://otsuka-europe-crm.veevavault.com/ui/#object/sent_email__v/VBL000000001709", "SE-001378397")</f>
        <v>SE-001378397</v>
      </c>
      <c r="D22226" s="1">
        <v>45957.708055555559</v>
      </c>
      <c r="E22226" s="2">
        <v>1</v>
      </c>
      <c r="F22226" s="2">
        <v>1</v>
      </c>
      <c r="G22226" s="2">
        <v>0</v>
      </c>
      <c r="H22226" s="1" t="s">
        <v>0</v>
      </c>
      <c r="I22226" s="2">
        <v>0</v>
      </c>
      <c r="J22226" s="1">
        <v>45957.54546296296</v>
      </c>
    </row>
    <row r="22227" spans="1:10" x14ac:dyDescent="0.2">
      <c r="A22227" s="4" t="s">
        <v>1</v>
      </c>
      <c r="B222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27" s="3" t="str">
        <f>HYPERLINK("https://otsuka-europe-crm.veevavault.com/ui/#object/sent_email__v/VBL000000001710", "SE-001378398")</f>
        <v>SE-001378398</v>
      </c>
      <c r="D22227" s="1" t="s">
        <v>0</v>
      </c>
      <c r="E22227" s="2">
        <v>0</v>
      </c>
      <c r="F22227" s="2">
        <v>0</v>
      </c>
      <c r="G22227" s="2">
        <v>0</v>
      </c>
      <c r="H22227" s="1" t="s">
        <v>0</v>
      </c>
      <c r="I22227" s="2">
        <v>0</v>
      </c>
      <c r="J22227" s="1">
        <v>45957.545532407406</v>
      </c>
    </row>
    <row r="22228" spans="1:10" x14ac:dyDescent="0.2">
      <c r="A22228" s="4" t="s">
        <v>1</v>
      </c>
      <c r="B222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28" s="3" t="str">
        <f>HYPERLINK("https://otsuka-europe-crm.veevavault.com/ui/#object/sent_email__v/VBL000000001711", "SE-001378399")</f>
        <v>SE-001378399</v>
      </c>
      <c r="D22228" s="1">
        <v>45957.940011574072</v>
      </c>
      <c r="E22228" s="2">
        <v>1</v>
      </c>
      <c r="F22228" s="2">
        <v>1</v>
      </c>
      <c r="G22228" s="2">
        <v>0</v>
      </c>
      <c r="H22228" s="1" t="s">
        <v>0</v>
      </c>
      <c r="I22228" s="2">
        <v>0</v>
      </c>
      <c r="J22228" s="1">
        <v>45957.545601851853</v>
      </c>
    </row>
    <row r="22229" spans="1:10" x14ac:dyDescent="0.2">
      <c r="A22229" s="4" t="s">
        <v>1</v>
      </c>
      <c r="B222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29" s="3" t="str">
        <f>HYPERLINK("https://otsuka-europe-crm.veevavault.com/ui/#object/sent_email__v/VBL000000001712", "SE-001378400")</f>
        <v>SE-001378400</v>
      </c>
      <c r="D22229" s="1">
        <v>45960.297256944446</v>
      </c>
      <c r="E22229" s="2">
        <v>1</v>
      </c>
      <c r="F22229" s="2">
        <v>2</v>
      </c>
      <c r="G22229" s="2">
        <v>0</v>
      </c>
      <c r="H22229" s="1" t="s">
        <v>0</v>
      </c>
      <c r="I22229" s="2">
        <v>0</v>
      </c>
      <c r="J22229" s="1">
        <v>45957.545659722222</v>
      </c>
    </row>
    <row r="22230" spans="1:10" x14ac:dyDescent="0.2">
      <c r="A22230" s="4" t="s">
        <v>1</v>
      </c>
      <c r="B222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30" s="3" t="str">
        <f>HYPERLINK("https://otsuka-europe-crm.veevavault.com/ui/#object/sent_email__v/VBL000000001713", "SE-001378401")</f>
        <v>SE-001378401</v>
      </c>
      <c r="D22230" s="1">
        <v>45965.961805555555</v>
      </c>
      <c r="E22230" s="2">
        <v>1</v>
      </c>
      <c r="F22230" s="2">
        <v>1</v>
      </c>
      <c r="G22230" s="2">
        <v>0</v>
      </c>
      <c r="H22230" s="1" t="s">
        <v>0</v>
      </c>
      <c r="I22230" s="2">
        <v>0</v>
      </c>
      <c r="J22230" s="1">
        <v>45957.545729166668</v>
      </c>
    </row>
    <row r="22231" spans="1:10" x14ac:dyDescent="0.2">
      <c r="A22231" s="4" t="s">
        <v>1</v>
      </c>
      <c r="B222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31" s="3" t="str">
        <f>HYPERLINK("https://otsuka-europe-crm.veevavault.com/ui/#object/sent_email__v/VBL000000001714", "SE-001378402")</f>
        <v>SE-001378402</v>
      </c>
      <c r="D22231" s="1">
        <v>45983.788900462961</v>
      </c>
      <c r="E22231" s="2">
        <v>1</v>
      </c>
      <c r="F22231" s="2">
        <v>3</v>
      </c>
      <c r="G22231" s="2">
        <v>0</v>
      </c>
      <c r="H22231" s="1" t="s">
        <v>0</v>
      </c>
      <c r="I22231" s="2">
        <v>0</v>
      </c>
      <c r="J22231" s="1">
        <v>45957.545798611114</v>
      </c>
    </row>
    <row r="22232" spans="1:10" x14ac:dyDescent="0.2">
      <c r="A22232" s="4" t="s">
        <v>1</v>
      </c>
      <c r="B222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32" s="3" t="str">
        <f>HYPERLINK("https://otsuka-europe-crm.veevavault.com/ui/#object/sent_email__v/VBL000000001715", "SE-001378403")</f>
        <v>SE-001378403</v>
      </c>
      <c r="D22232" s="1" t="s">
        <v>0</v>
      </c>
      <c r="E22232" s="2">
        <v>0</v>
      </c>
      <c r="F22232" s="2">
        <v>0</v>
      </c>
      <c r="G22232" s="2">
        <v>0</v>
      </c>
      <c r="H22232" s="1" t="s">
        <v>0</v>
      </c>
      <c r="I22232" s="2">
        <v>0</v>
      </c>
      <c r="J22232" s="1">
        <v>45957.545868055553</v>
      </c>
    </row>
    <row r="22233" spans="1:10" x14ac:dyDescent="0.2">
      <c r="A22233" s="4" t="s">
        <v>1</v>
      </c>
      <c r="B222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33" s="3" t="str">
        <f>HYPERLINK("https://otsuka-europe-crm.veevavault.com/ui/#object/sent_email__v/VBL000000001716", "SE-001378404")</f>
        <v>SE-001378404</v>
      </c>
      <c r="D22233" s="1" t="s">
        <v>0</v>
      </c>
      <c r="E22233" s="2">
        <v>0</v>
      </c>
      <c r="F22233" s="2">
        <v>0</v>
      </c>
      <c r="G22233" s="2">
        <v>0</v>
      </c>
      <c r="H22233" s="1" t="s">
        <v>0</v>
      </c>
      <c r="I22233" s="2">
        <v>0</v>
      </c>
      <c r="J22233" s="1">
        <v>45957.545937499999</v>
      </c>
    </row>
    <row r="22234" spans="1:10" x14ac:dyDescent="0.2">
      <c r="A22234" s="4" t="s">
        <v>1</v>
      </c>
      <c r="B222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34" s="3" t="str">
        <f>HYPERLINK("https://otsuka-europe-crm.veevavault.com/ui/#object/sent_email__v/VBL000000001717", "SE-001378405")</f>
        <v>SE-001378405</v>
      </c>
      <c r="D22234" s="1">
        <v>45957.960659722223</v>
      </c>
      <c r="E22234" s="2">
        <v>1</v>
      </c>
      <c r="F22234" s="2">
        <v>1</v>
      </c>
      <c r="G22234" s="2">
        <v>0</v>
      </c>
      <c r="H22234" s="1" t="s">
        <v>0</v>
      </c>
      <c r="I22234" s="2">
        <v>0</v>
      </c>
      <c r="J22234" s="1">
        <v>45957.546006944445</v>
      </c>
    </row>
    <row r="22235" spans="1:10" x14ac:dyDescent="0.2">
      <c r="A22235" s="4" t="s">
        <v>1</v>
      </c>
      <c r="B222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35" s="3" t="str">
        <f>HYPERLINK("https://otsuka-europe-crm.veevavault.com/ui/#object/sent_email__v/VBL000000001718", "SE-001378406")</f>
        <v>SE-001378406</v>
      </c>
      <c r="D22235" s="1">
        <v>45957.910520833335</v>
      </c>
      <c r="E22235" s="2">
        <v>1</v>
      </c>
      <c r="F22235" s="2">
        <v>2</v>
      </c>
      <c r="G22235" s="2">
        <v>0</v>
      </c>
      <c r="H22235" s="1" t="s">
        <v>0</v>
      </c>
      <c r="I22235" s="2">
        <v>0</v>
      </c>
      <c r="J22235" s="1">
        <v>45957.546076388891</v>
      </c>
    </row>
    <row r="22236" spans="1:10" x14ac:dyDescent="0.2">
      <c r="A22236" s="4" t="s">
        <v>1</v>
      </c>
      <c r="B222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36" s="3" t="str">
        <f>HYPERLINK("https://otsuka-europe-crm.veevavault.com/ui/#object/sent_email__v/VBL000000001719", "SE-001378407")</f>
        <v>SE-001378407</v>
      </c>
      <c r="D22236" s="1">
        <v>45958.396157407406</v>
      </c>
      <c r="E22236" s="2">
        <v>1</v>
      </c>
      <c r="F22236" s="2">
        <v>2</v>
      </c>
      <c r="G22236" s="2">
        <v>0</v>
      </c>
      <c r="H22236" s="1" t="s">
        <v>0</v>
      </c>
      <c r="I22236" s="2">
        <v>0</v>
      </c>
      <c r="J22236" s="1">
        <v>45957.546157407407</v>
      </c>
    </row>
    <row r="22237" spans="1:10" x14ac:dyDescent="0.2">
      <c r="A22237" s="4" t="s">
        <v>1</v>
      </c>
      <c r="B222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37" s="3" t="str">
        <f>HYPERLINK("https://otsuka-europe-crm.veevavault.com/ui/#object/sent_email__v/VBL000000001720", "SE-001378408")</f>
        <v>SE-001378408</v>
      </c>
      <c r="D22237" s="1">
        <v>45957.607407407406</v>
      </c>
      <c r="E22237" s="2">
        <v>1</v>
      </c>
      <c r="F22237" s="2">
        <v>2</v>
      </c>
      <c r="G22237" s="2">
        <v>0</v>
      </c>
      <c r="H22237" s="1" t="s">
        <v>0</v>
      </c>
      <c r="I22237" s="2">
        <v>0</v>
      </c>
      <c r="J22237" s="1">
        <v>45957.546226851853</v>
      </c>
    </row>
    <row r="22238" spans="1:10" x14ac:dyDescent="0.2">
      <c r="A22238" s="4" t="s">
        <v>1</v>
      </c>
      <c r="B222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38" s="3" t="str">
        <f>HYPERLINK("https://otsuka-europe-crm.veevavault.com/ui/#object/sent_email__v/VBL000000001721", "SE-001378409")</f>
        <v>SE-001378409</v>
      </c>
      <c r="D22238" s="1" t="s">
        <v>0</v>
      </c>
      <c r="E22238" s="2">
        <v>0</v>
      </c>
      <c r="F22238" s="2">
        <v>0</v>
      </c>
      <c r="G22238" s="2">
        <v>0</v>
      </c>
      <c r="H22238" s="1" t="s">
        <v>0</v>
      </c>
      <c r="I22238" s="2">
        <v>0</v>
      </c>
      <c r="J22238" s="1">
        <v>45957.546284722222</v>
      </c>
    </row>
    <row r="22239" spans="1:10" x14ac:dyDescent="0.2">
      <c r="A22239" s="4" t="s">
        <v>1</v>
      </c>
      <c r="B222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39" s="3" t="str">
        <f>HYPERLINK("https://otsuka-europe-crm.veevavault.com/ui/#object/sent_email__v/VBL000000001722", "SE-001378410")</f>
        <v>SE-001378410</v>
      </c>
      <c r="D22239" s="1" t="s">
        <v>0</v>
      </c>
      <c r="E22239" s="2">
        <v>0</v>
      </c>
      <c r="F22239" s="2">
        <v>0</v>
      </c>
      <c r="G22239" s="2">
        <v>0</v>
      </c>
      <c r="H22239" s="1" t="s">
        <v>0</v>
      </c>
      <c r="I22239" s="2">
        <v>0</v>
      </c>
      <c r="J22239" s="1">
        <v>45957.546365740738</v>
      </c>
    </row>
    <row r="22240" spans="1:10" x14ac:dyDescent="0.2">
      <c r="A22240" s="4" t="s">
        <v>1</v>
      </c>
      <c r="B222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40" s="3" t="str">
        <f>HYPERLINK("https://otsuka-europe-crm.veevavault.com/ui/#object/sent_email__v/VBL000000001723", "SE-001378411")</f>
        <v>SE-001378411</v>
      </c>
      <c r="D22240" s="1">
        <v>45957.807708333334</v>
      </c>
      <c r="E22240" s="2">
        <v>1</v>
      </c>
      <c r="F22240" s="2">
        <v>2</v>
      </c>
      <c r="G22240" s="2">
        <v>0</v>
      </c>
      <c r="H22240" s="1" t="s">
        <v>0</v>
      </c>
      <c r="I22240" s="2">
        <v>0</v>
      </c>
      <c r="J22240" s="1">
        <v>45957.546435185184</v>
      </c>
    </row>
    <row r="22241" spans="1:10" x14ac:dyDescent="0.2">
      <c r="A22241" s="4" t="s">
        <v>1</v>
      </c>
      <c r="B222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41" s="3" t="str">
        <f>HYPERLINK("https://otsuka-europe-crm.veevavault.com/ui/#object/sent_email__v/VBL000000001724", "SE-001378412")</f>
        <v>SE-001378412</v>
      </c>
      <c r="D22241" s="1">
        <v>45957.555509259262</v>
      </c>
      <c r="E22241" s="2">
        <v>1</v>
      </c>
      <c r="F22241" s="2">
        <v>1</v>
      </c>
      <c r="G22241" s="2">
        <v>0</v>
      </c>
      <c r="H22241" s="1" t="s">
        <v>0</v>
      </c>
      <c r="I22241" s="2">
        <v>0</v>
      </c>
      <c r="J22241" s="1">
        <v>45957.54650462963</v>
      </c>
    </row>
    <row r="22242" spans="1:10" x14ac:dyDescent="0.2">
      <c r="A22242" s="4" t="s">
        <v>1</v>
      </c>
      <c r="B222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42" s="3" t="str">
        <f>HYPERLINK("https://otsuka-europe-crm.veevavault.com/ui/#object/sent_email__v/VBL000000001725", "SE-001378413")</f>
        <v>SE-001378413</v>
      </c>
      <c r="D22242" s="1">
        <v>45957.605613425927</v>
      </c>
      <c r="E22242" s="2">
        <v>1</v>
      </c>
      <c r="F22242" s="2">
        <v>3</v>
      </c>
      <c r="G22242" s="2">
        <v>0</v>
      </c>
      <c r="H22242" s="1" t="s">
        <v>0</v>
      </c>
      <c r="I22242" s="2">
        <v>0</v>
      </c>
      <c r="J22242" s="1">
        <v>45957.546585648146</v>
      </c>
    </row>
    <row r="22243" spans="1:10" x14ac:dyDescent="0.2">
      <c r="A22243" s="4" t="s">
        <v>1</v>
      </c>
      <c r="B222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43" s="3" t="str">
        <f>HYPERLINK("https://otsuka-europe-crm.veevavault.com/ui/#object/sent_email__v/VBL000000001726", "SE-001378414")</f>
        <v>SE-001378414</v>
      </c>
      <c r="D22243" s="1" t="s">
        <v>0</v>
      </c>
      <c r="E22243" s="2">
        <v>0</v>
      </c>
      <c r="F22243" s="2">
        <v>0</v>
      </c>
      <c r="G22243" s="2">
        <v>0</v>
      </c>
      <c r="H22243" s="1" t="s">
        <v>0</v>
      </c>
      <c r="I22243" s="2">
        <v>0</v>
      </c>
      <c r="J22243" s="1">
        <v>45957.546643518515</v>
      </c>
    </row>
    <row r="22244" spans="1:10" x14ac:dyDescent="0.2">
      <c r="A22244" s="4" t="s">
        <v>1</v>
      </c>
      <c r="B222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44" s="3" t="str">
        <f>HYPERLINK("https://otsuka-europe-crm.veevavault.com/ui/#object/sent_email__v/VBL000000001727", "SE-001378415")</f>
        <v>SE-001378415</v>
      </c>
      <c r="D22244" s="1" t="s">
        <v>0</v>
      </c>
      <c r="E22244" s="2">
        <v>0</v>
      </c>
      <c r="F22244" s="2">
        <v>0</v>
      </c>
      <c r="G22244" s="2">
        <v>0</v>
      </c>
      <c r="H22244" s="1" t="s">
        <v>0</v>
      </c>
      <c r="I22244" s="2">
        <v>0</v>
      </c>
      <c r="J22244" s="1">
        <v>45957.546712962961</v>
      </c>
    </row>
    <row r="22245" spans="1:10" x14ac:dyDescent="0.2">
      <c r="A22245" s="4" t="s">
        <v>1</v>
      </c>
      <c r="B222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45" s="3" t="str">
        <f>HYPERLINK("https://otsuka-europe-crm.veevavault.com/ui/#object/sent_email__v/VBL000000001728", "SE-001378416")</f>
        <v>SE-001378416</v>
      </c>
      <c r="D22245" s="1" t="s">
        <v>0</v>
      </c>
      <c r="E22245" s="2">
        <v>0</v>
      </c>
      <c r="F22245" s="2">
        <v>0</v>
      </c>
      <c r="G22245" s="2">
        <v>0</v>
      </c>
      <c r="H22245" s="1" t="s">
        <v>0</v>
      </c>
      <c r="I22245" s="2">
        <v>0</v>
      </c>
      <c r="J22245" s="1">
        <v>45957.546782407408</v>
      </c>
    </row>
    <row r="22246" spans="1:10" x14ac:dyDescent="0.2">
      <c r="A22246" s="4" t="s">
        <v>1</v>
      </c>
      <c r="B222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46" s="3" t="str">
        <f>HYPERLINK("https://otsuka-europe-crm.veevavault.com/ui/#object/sent_email__v/VBL000000001729", "SE-001378417")</f>
        <v>SE-001378417</v>
      </c>
      <c r="D22246" s="1">
        <v>45985.557719907411</v>
      </c>
      <c r="E22246" s="2">
        <v>1</v>
      </c>
      <c r="F22246" s="2">
        <v>3</v>
      </c>
      <c r="G22246" s="2">
        <v>0</v>
      </c>
      <c r="H22246" s="1" t="s">
        <v>0</v>
      </c>
      <c r="I22246" s="2">
        <v>0</v>
      </c>
      <c r="J22246" s="1">
        <v>45957.546863425923</v>
      </c>
    </row>
    <row r="22247" spans="1:10" x14ac:dyDescent="0.2">
      <c r="A22247" s="4" t="s">
        <v>1</v>
      </c>
      <c r="B222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47" s="3" t="str">
        <f>HYPERLINK("https://otsuka-europe-crm.veevavault.com/ui/#object/sent_email__v/VBL000000001730", "SE-001378418")</f>
        <v>SE-001378418</v>
      </c>
      <c r="D22247" s="1">
        <v>45963.814039351855</v>
      </c>
      <c r="E22247" s="2">
        <v>1</v>
      </c>
      <c r="F22247" s="2">
        <v>7</v>
      </c>
      <c r="G22247" s="2">
        <v>0</v>
      </c>
      <c r="H22247" s="1" t="s">
        <v>0</v>
      </c>
      <c r="I22247" s="2">
        <v>0</v>
      </c>
      <c r="J22247" s="1">
        <v>45957.5469212963</v>
      </c>
    </row>
    <row r="22248" spans="1:10" x14ac:dyDescent="0.2">
      <c r="A22248" s="4" t="s">
        <v>1</v>
      </c>
      <c r="B222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48" s="3" t="str">
        <f>HYPERLINK("https://otsuka-europe-crm.veevavault.com/ui/#object/sent_email__v/VBL000000001731", "SE-001378419")</f>
        <v>SE-001378419</v>
      </c>
      <c r="D22248" s="1" t="s">
        <v>0</v>
      </c>
      <c r="E22248" s="2">
        <v>0</v>
      </c>
      <c r="F22248" s="2">
        <v>0</v>
      </c>
      <c r="G22248" s="2">
        <v>0</v>
      </c>
      <c r="H22248" s="1" t="s">
        <v>0</v>
      </c>
      <c r="I22248" s="2">
        <v>0</v>
      </c>
      <c r="J22248" s="1">
        <v>45957.546990740739</v>
      </c>
    </row>
    <row r="22249" spans="1:10" x14ac:dyDescent="0.2">
      <c r="A22249" s="4" t="s">
        <v>1</v>
      </c>
      <c r="B222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49" s="3" t="str">
        <f>HYPERLINK("https://otsuka-europe-crm.veevavault.com/ui/#object/sent_email__v/VBL000000001732", "SE-001378420")</f>
        <v>SE-001378420</v>
      </c>
      <c r="D22249" s="1">
        <v>45957.713692129626</v>
      </c>
      <c r="E22249" s="2">
        <v>1</v>
      </c>
      <c r="F22249" s="2">
        <v>1</v>
      </c>
      <c r="G22249" s="2">
        <v>0</v>
      </c>
      <c r="H22249" s="1" t="s">
        <v>0</v>
      </c>
      <c r="I22249" s="2">
        <v>0</v>
      </c>
      <c r="J22249" s="1">
        <v>45957.547071759262</v>
      </c>
    </row>
    <row r="22250" spans="1:10" x14ac:dyDescent="0.2">
      <c r="A22250" s="4" t="s">
        <v>1</v>
      </c>
      <c r="B222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50" s="3" t="str">
        <f>HYPERLINK("https://otsuka-europe-crm.veevavault.com/ui/#object/sent_email__v/VBL000000001733", "SE-001378421")</f>
        <v>SE-001378421</v>
      </c>
      <c r="D22250" s="1" t="s">
        <v>0</v>
      </c>
      <c r="E22250" s="2">
        <v>0</v>
      </c>
      <c r="F22250" s="2">
        <v>0</v>
      </c>
      <c r="G22250" s="2">
        <v>0</v>
      </c>
      <c r="H22250" s="1" t="s">
        <v>0</v>
      </c>
      <c r="I22250" s="2">
        <v>0</v>
      </c>
      <c r="J22250" s="1">
        <v>45957.547129629631</v>
      </c>
    </row>
    <row r="22251" spans="1:10" x14ac:dyDescent="0.2">
      <c r="A22251" s="4" t="s">
        <v>1</v>
      </c>
      <c r="B222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51" s="3" t="str">
        <f>HYPERLINK("https://otsuka-europe-crm.veevavault.com/ui/#object/sent_email__v/VBL000000001734", "SE-001378422")</f>
        <v>SE-001378422</v>
      </c>
      <c r="D22251" s="1">
        <v>45959.531365740739</v>
      </c>
      <c r="E22251" s="2">
        <v>1</v>
      </c>
      <c r="F22251" s="2">
        <v>1</v>
      </c>
      <c r="G22251" s="2">
        <v>0</v>
      </c>
      <c r="H22251" s="1" t="s">
        <v>0</v>
      </c>
      <c r="I22251" s="2">
        <v>0</v>
      </c>
      <c r="J22251" s="1">
        <v>45957.547199074077</v>
      </c>
    </row>
    <row r="22252" spans="1:10" x14ac:dyDescent="0.2">
      <c r="A22252" s="4" t="s">
        <v>1</v>
      </c>
      <c r="B222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52" s="3" t="str">
        <f>HYPERLINK("https://otsuka-europe-crm.veevavault.com/ui/#object/sent_email__v/VBL000000001735", "SE-001378423")</f>
        <v>SE-001378423</v>
      </c>
      <c r="D22252" s="1">
        <v>45981.838634259257</v>
      </c>
      <c r="E22252" s="2">
        <v>1</v>
      </c>
      <c r="F22252" s="2">
        <v>1</v>
      </c>
      <c r="G22252" s="2">
        <v>0</v>
      </c>
      <c r="H22252" s="1" t="s">
        <v>0</v>
      </c>
      <c r="I22252" s="2">
        <v>0</v>
      </c>
      <c r="J22252" s="1">
        <v>45957.547268518516</v>
      </c>
    </row>
    <row r="22253" spans="1:10" x14ac:dyDescent="0.2">
      <c r="A22253" s="4" t="s">
        <v>1</v>
      </c>
      <c r="B222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53" s="3" t="str">
        <f>HYPERLINK("https://otsuka-europe-crm.veevavault.com/ui/#object/sent_email__v/VBL000000001736", "SE-001378424")</f>
        <v>SE-001378424</v>
      </c>
      <c r="D22253" s="1" t="s">
        <v>0</v>
      </c>
      <c r="E22253" s="2">
        <v>0</v>
      </c>
      <c r="F22253" s="2">
        <v>0</v>
      </c>
      <c r="G22253" s="2">
        <v>0</v>
      </c>
      <c r="H22253" s="1" t="s">
        <v>0</v>
      </c>
      <c r="I22253" s="2">
        <v>0</v>
      </c>
      <c r="J22253" s="1">
        <v>45957.547337962962</v>
      </c>
    </row>
    <row r="22254" spans="1:10" x14ac:dyDescent="0.2">
      <c r="A22254" s="4" t="s">
        <v>1</v>
      </c>
      <c r="B222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54" s="3" t="str">
        <f>HYPERLINK("https://otsuka-europe-crm.veevavault.com/ui/#object/sent_email__v/VBL000000001737", "SE-001378425")</f>
        <v>SE-001378425</v>
      </c>
      <c r="D22254" s="1" t="s">
        <v>0</v>
      </c>
      <c r="E22254" s="2">
        <v>0</v>
      </c>
      <c r="F22254" s="2">
        <v>0</v>
      </c>
      <c r="G22254" s="2">
        <v>0</v>
      </c>
      <c r="H22254" s="1" t="s">
        <v>0</v>
      </c>
      <c r="I22254" s="2">
        <v>0</v>
      </c>
      <c r="J22254" s="1">
        <v>45957.547407407408</v>
      </c>
    </row>
    <row r="22255" spans="1:10" x14ac:dyDescent="0.2">
      <c r="A22255" s="4" t="s">
        <v>1</v>
      </c>
      <c r="B222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55" s="3" t="str">
        <f>HYPERLINK("https://otsuka-europe-crm.veevavault.com/ui/#object/sent_email__v/VBL000000001738", "SE-001378426")</f>
        <v>SE-001378426</v>
      </c>
      <c r="D22255" s="1">
        <v>45979.802557870367</v>
      </c>
      <c r="E22255" s="2">
        <v>1</v>
      </c>
      <c r="F22255" s="2">
        <v>4</v>
      </c>
      <c r="G22255" s="2">
        <v>0</v>
      </c>
      <c r="H22255" s="1" t="s">
        <v>0</v>
      </c>
      <c r="I22255" s="2">
        <v>0</v>
      </c>
      <c r="J22255" s="1">
        <v>45957.547476851854</v>
      </c>
    </row>
    <row r="22256" spans="1:10" x14ac:dyDescent="0.2">
      <c r="A22256" s="4" t="s">
        <v>1</v>
      </c>
      <c r="B222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56" s="3" t="str">
        <f>HYPERLINK("https://otsuka-europe-crm.veevavault.com/ui/#object/sent_email__v/VBL000000001739", "SE-001378427")</f>
        <v>SE-001378427</v>
      </c>
      <c r="D22256" s="1" t="s">
        <v>0</v>
      </c>
      <c r="E22256" s="2">
        <v>0</v>
      </c>
      <c r="F22256" s="2">
        <v>0</v>
      </c>
      <c r="G22256" s="2">
        <v>0</v>
      </c>
      <c r="H22256" s="1" t="s">
        <v>0</v>
      </c>
      <c r="I22256" s="2">
        <v>0</v>
      </c>
      <c r="J22256" s="1">
        <v>45957.547546296293</v>
      </c>
    </row>
    <row r="22257" spans="1:10" x14ac:dyDescent="0.2">
      <c r="A22257" s="4" t="s">
        <v>1</v>
      </c>
      <c r="B222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57" s="3" t="str">
        <f>HYPERLINK("https://otsuka-europe-crm.veevavault.com/ui/#object/sent_email__v/VBL000000001740", "SE-001378428")</f>
        <v>SE-001378428</v>
      </c>
      <c r="D22257" s="1" t="s">
        <v>0</v>
      </c>
      <c r="E22257" s="2">
        <v>0</v>
      </c>
      <c r="F22257" s="2">
        <v>0</v>
      </c>
      <c r="G22257" s="2">
        <v>0</v>
      </c>
      <c r="H22257" s="1" t="s">
        <v>0</v>
      </c>
      <c r="I22257" s="2">
        <v>0</v>
      </c>
      <c r="J22257" s="1">
        <v>45957.547615740739</v>
      </c>
    </row>
    <row r="22258" spans="1:10" x14ac:dyDescent="0.2">
      <c r="A22258" s="4" t="s">
        <v>1</v>
      </c>
      <c r="B222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58" s="3" t="str">
        <f>HYPERLINK("https://otsuka-europe-crm.veevavault.com/ui/#object/sent_email__v/VBL000000001741", "SE-001378429")</f>
        <v>SE-001378429</v>
      </c>
      <c r="D22258" s="1">
        <v>45957.602592592593</v>
      </c>
      <c r="E22258" s="2">
        <v>1</v>
      </c>
      <c r="F22258" s="2">
        <v>2</v>
      </c>
      <c r="G22258" s="2">
        <v>0</v>
      </c>
      <c r="H22258" s="1" t="s">
        <v>0</v>
      </c>
      <c r="I22258" s="2">
        <v>0</v>
      </c>
      <c r="J22258" s="1">
        <v>45957.547685185185</v>
      </c>
    </row>
    <row r="22259" spans="1:10" x14ac:dyDescent="0.2">
      <c r="A22259" s="4" t="s">
        <v>1</v>
      </c>
      <c r="B222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59" s="3" t="str">
        <f>HYPERLINK("https://otsuka-europe-crm.veevavault.com/ui/#object/sent_email__v/VBL000000001742", "SE-001378430")</f>
        <v>SE-001378430</v>
      </c>
      <c r="D22259" s="1">
        <v>45958.575289351851</v>
      </c>
      <c r="E22259" s="2">
        <v>1</v>
      </c>
      <c r="F22259" s="2">
        <v>3</v>
      </c>
      <c r="G22259" s="2">
        <v>0</v>
      </c>
      <c r="H22259" s="1" t="s">
        <v>0</v>
      </c>
      <c r="I22259" s="2">
        <v>0</v>
      </c>
      <c r="J22259" s="1">
        <v>45957.547754629632</v>
      </c>
    </row>
    <row r="22260" spans="1:10" x14ac:dyDescent="0.2">
      <c r="A22260" s="4" t="s">
        <v>1</v>
      </c>
      <c r="B222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60" s="3" t="str">
        <f>HYPERLINK("https://otsuka-europe-crm.veevavault.com/ui/#object/sent_email__v/VBL000000001743", "SE-001378431")</f>
        <v>SE-001378431</v>
      </c>
      <c r="D22260" s="1">
        <v>45958.824907407405</v>
      </c>
      <c r="E22260" s="2">
        <v>1</v>
      </c>
      <c r="F22260" s="2">
        <v>1</v>
      </c>
      <c r="G22260" s="2">
        <v>0</v>
      </c>
      <c r="H22260" s="1" t="s">
        <v>0</v>
      </c>
      <c r="I22260" s="2">
        <v>0</v>
      </c>
      <c r="J22260" s="1">
        <v>45957.547824074078</v>
      </c>
    </row>
    <row r="22261" spans="1:10" x14ac:dyDescent="0.2">
      <c r="A22261" s="4" t="s">
        <v>1</v>
      </c>
      <c r="B222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61" s="3" t="str">
        <f>HYPERLINK("https://otsuka-europe-crm.veevavault.com/ui/#object/sent_email__v/VBL000000001744", "SE-001378432")</f>
        <v>SE-001378432</v>
      </c>
      <c r="D22261" s="1">
        <v>45960.743298611109</v>
      </c>
      <c r="E22261" s="2">
        <v>1</v>
      </c>
      <c r="F22261" s="2">
        <v>2</v>
      </c>
      <c r="G22261" s="2">
        <v>0</v>
      </c>
      <c r="H22261" s="1" t="s">
        <v>0</v>
      </c>
      <c r="I22261" s="2">
        <v>0</v>
      </c>
      <c r="J22261" s="1">
        <v>45957.547893518517</v>
      </c>
    </row>
    <row r="22262" spans="1:10" x14ac:dyDescent="0.2">
      <c r="A22262" s="4" t="s">
        <v>1</v>
      </c>
      <c r="B222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62" s="3" t="str">
        <f>HYPERLINK("https://otsuka-europe-crm.veevavault.com/ui/#object/sent_email__v/VBL000000001745", "SE-001378433")</f>
        <v>SE-001378433</v>
      </c>
      <c r="D22262" s="1">
        <v>45957.558877314812</v>
      </c>
      <c r="E22262" s="2">
        <v>1</v>
      </c>
      <c r="F22262" s="2">
        <v>1</v>
      </c>
      <c r="G22262" s="2">
        <v>0</v>
      </c>
      <c r="H22262" s="1" t="s">
        <v>0</v>
      </c>
      <c r="I22262" s="2">
        <v>0</v>
      </c>
      <c r="J22262" s="1">
        <v>45957.547962962963</v>
      </c>
    </row>
    <row r="22263" spans="1:10" x14ac:dyDescent="0.2">
      <c r="A22263" s="4" t="s">
        <v>1</v>
      </c>
      <c r="B222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63" s="3" t="str">
        <f>HYPERLINK("https://otsuka-europe-crm.veevavault.com/ui/#object/sent_email__v/VBL000000001746", "SE-001378434")</f>
        <v>SE-001378434</v>
      </c>
      <c r="D22263" s="1">
        <v>45957.579201388886</v>
      </c>
      <c r="E22263" s="2">
        <v>1</v>
      </c>
      <c r="F22263" s="2">
        <v>2</v>
      </c>
      <c r="G22263" s="2">
        <v>0</v>
      </c>
      <c r="H22263" s="1" t="s">
        <v>0</v>
      </c>
      <c r="I22263" s="2">
        <v>0</v>
      </c>
      <c r="J22263" s="1">
        <v>45957.548043981478</v>
      </c>
    </row>
    <row r="22264" spans="1:10" x14ac:dyDescent="0.2">
      <c r="A22264" s="4" t="s">
        <v>1</v>
      </c>
      <c r="B222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64" s="3" t="str">
        <f>HYPERLINK("https://otsuka-europe-crm.veevavault.com/ui/#object/sent_email__v/VBL000000001747", "SE-001378435")</f>
        <v>SE-001378435</v>
      </c>
      <c r="D22264" s="1">
        <v>45957.897951388892</v>
      </c>
      <c r="E22264" s="2">
        <v>1</v>
      </c>
      <c r="F22264" s="2">
        <v>2</v>
      </c>
      <c r="G22264" s="2">
        <v>0</v>
      </c>
      <c r="H22264" s="1" t="s">
        <v>0</v>
      </c>
      <c r="I22264" s="2">
        <v>0</v>
      </c>
      <c r="J22264" s="1">
        <v>45957.548113425924</v>
      </c>
    </row>
    <row r="22265" spans="1:10" x14ac:dyDescent="0.2">
      <c r="A22265" s="4" t="s">
        <v>1</v>
      </c>
      <c r="B222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65" s="3" t="str">
        <f>HYPERLINK("https://otsuka-europe-crm.veevavault.com/ui/#object/sent_email__v/VBL000000001748", "SE-001378436")</f>
        <v>SE-001378436</v>
      </c>
      <c r="D22265" s="1">
        <v>45960.930925925924</v>
      </c>
      <c r="E22265" s="2">
        <v>1</v>
      </c>
      <c r="F22265" s="2">
        <v>1</v>
      </c>
      <c r="G22265" s="2">
        <v>0</v>
      </c>
      <c r="H22265" s="1" t="s">
        <v>0</v>
      </c>
      <c r="I22265" s="2">
        <v>0</v>
      </c>
      <c r="J22265" s="1">
        <v>45957.548194444447</v>
      </c>
    </row>
    <row r="22266" spans="1:10" x14ac:dyDescent="0.2">
      <c r="A22266" s="4" t="s">
        <v>1</v>
      </c>
      <c r="B222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66" s="3" t="str">
        <f>HYPERLINK("https://otsuka-europe-crm.veevavault.com/ui/#object/sent_email__v/VBL000000001749", "SE-001378437")</f>
        <v>SE-001378437</v>
      </c>
      <c r="D22266" s="1">
        <v>45957.593159722222</v>
      </c>
      <c r="E22266" s="2">
        <v>1</v>
      </c>
      <c r="F22266" s="2">
        <v>1</v>
      </c>
      <c r="G22266" s="2">
        <v>0</v>
      </c>
      <c r="H22266" s="1" t="s">
        <v>0</v>
      </c>
      <c r="I22266" s="2">
        <v>0</v>
      </c>
      <c r="J22266" s="1">
        <v>45957.548263888886</v>
      </c>
    </row>
    <row r="22267" spans="1:10" x14ac:dyDescent="0.2">
      <c r="A22267" s="4" t="s">
        <v>1</v>
      </c>
      <c r="B222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67" s="3" t="str">
        <f>HYPERLINK("https://otsuka-europe-crm.veevavault.com/ui/#object/sent_email__v/VBL000000001750", "SE-001378438")</f>
        <v>SE-001378438</v>
      </c>
      <c r="D22267" s="1" t="s">
        <v>0</v>
      </c>
      <c r="E22267" s="2">
        <v>0</v>
      </c>
      <c r="F22267" s="2">
        <v>0</v>
      </c>
      <c r="G22267" s="2">
        <v>0</v>
      </c>
      <c r="H22267" s="1" t="s">
        <v>0</v>
      </c>
      <c r="I22267" s="2">
        <v>0</v>
      </c>
      <c r="J22267" s="1">
        <v>45957.548333333332</v>
      </c>
    </row>
    <row r="22268" spans="1:10" x14ac:dyDescent="0.2">
      <c r="A22268" s="4" t="s">
        <v>1</v>
      </c>
      <c r="B222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68" s="3" t="str">
        <f>HYPERLINK("https://otsuka-europe-crm.veevavault.com/ui/#object/sent_email__v/VBL000000001751", "SE-001378439")</f>
        <v>SE-001378439</v>
      </c>
      <c r="D22268" s="1" t="s">
        <v>0</v>
      </c>
      <c r="E22268" s="2">
        <v>0</v>
      </c>
      <c r="F22268" s="2">
        <v>0</v>
      </c>
      <c r="G22268" s="2">
        <v>0</v>
      </c>
      <c r="H22268" s="1" t="s">
        <v>0</v>
      </c>
      <c r="I22268" s="2">
        <v>0</v>
      </c>
      <c r="J22268" s="1">
        <v>45957.548402777778</v>
      </c>
    </row>
    <row r="22269" spans="1:10" x14ac:dyDescent="0.2">
      <c r="A22269" s="4" t="s">
        <v>1</v>
      </c>
      <c r="B222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69" s="3" t="str">
        <f>HYPERLINK("https://otsuka-europe-crm.veevavault.com/ui/#object/sent_email__v/VBL000000001752", "SE-001378440")</f>
        <v>SE-001378440</v>
      </c>
      <c r="D22269" s="1" t="s">
        <v>0</v>
      </c>
      <c r="E22269" s="2">
        <v>0</v>
      </c>
      <c r="F22269" s="2">
        <v>0</v>
      </c>
      <c r="G22269" s="2">
        <v>0</v>
      </c>
      <c r="H22269" s="1" t="s">
        <v>0</v>
      </c>
      <c r="I22269" s="2">
        <v>0</v>
      </c>
      <c r="J22269" s="1">
        <v>45957.548472222225</v>
      </c>
    </row>
    <row r="22270" spans="1:10" x14ac:dyDescent="0.2">
      <c r="A22270" s="4" t="s">
        <v>1</v>
      </c>
      <c r="B222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70" s="3" t="str">
        <f>HYPERLINK("https://otsuka-europe-crm.veevavault.com/ui/#object/sent_email__v/VBL000000001753", "SE-001378441")</f>
        <v>SE-001378441</v>
      </c>
      <c r="D22270" s="1">
        <v>45981.888541666667</v>
      </c>
      <c r="E22270" s="2">
        <v>1</v>
      </c>
      <c r="F22270" s="2">
        <v>2</v>
      </c>
      <c r="G22270" s="2">
        <v>1</v>
      </c>
      <c r="H22270" s="1">
        <v>45957.634548611109</v>
      </c>
      <c r="I22270" s="2">
        <v>1</v>
      </c>
      <c r="J22270" s="1">
        <v>45957.548541666663</v>
      </c>
    </row>
    <row r="22271" spans="1:10" x14ac:dyDescent="0.2">
      <c r="A22271" s="4" t="s">
        <v>1</v>
      </c>
      <c r="B222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71" s="3" t="str">
        <f>HYPERLINK("https://otsuka-europe-crm.veevavault.com/ui/#object/sent_email__v/VBL000000001754", "SE-001378442")</f>
        <v>SE-001378442</v>
      </c>
      <c r="D22271" s="1" t="s">
        <v>0</v>
      </c>
      <c r="E22271" s="2">
        <v>0</v>
      </c>
      <c r="F22271" s="2">
        <v>0</v>
      </c>
      <c r="G22271" s="2">
        <v>0</v>
      </c>
      <c r="H22271" s="1" t="s">
        <v>0</v>
      </c>
      <c r="I22271" s="2">
        <v>0</v>
      </c>
      <c r="J22271" s="1">
        <v>45957.548611111109</v>
      </c>
    </row>
    <row r="22272" spans="1:10" x14ac:dyDescent="0.2">
      <c r="A22272" s="4" t="s">
        <v>1</v>
      </c>
      <c r="B222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72" s="3" t="str">
        <f>HYPERLINK("https://otsuka-europe-crm.veevavault.com/ui/#object/sent_email__v/VBL000000001755", "SE-001378443")</f>
        <v>SE-001378443</v>
      </c>
      <c r="D22272" s="1" t="s">
        <v>0</v>
      </c>
      <c r="E22272" s="2">
        <v>0</v>
      </c>
      <c r="F22272" s="2">
        <v>0</v>
      </c>
      <c r="G22272" s="2">
        <v>0</v>
      </c>
      <c r="H22272" s="1" t="s">
        <v>0</v>
      </c>
      <c r="I22272" s="2">
        <v>0</v>
      </c>
      <c r="J22272" s="1">
        <v>45957.548657407409</v>
      </c>
    </row>
    <row r="22273" spans="1:10" x14ac:dyDescent="0.2">
      <c r="A22273" s="4" t="s">
        <v>1</v>
      </c>
      <c r="B222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73" s="3" t="str">
        <f>HYPERLINK("https://otsuka-europe-crm.veevavault.com/ui/#object/sent_email__v/VBL000000001756", "SE-001378444")</f>
        <v>SE-001378444</v>
      </c>
      <c r="D22273" s="1" t="s">
        <v>0</v>
      </c>
      <c r="E22273" s="2">
        <v>0</v>
      </c>
      <c r="F22273" s="2">
        <v>0</v>
      </c>
      <c r="G22273" s="2">
        <v>0</v>
      </c>
      <c r="H22273" s="1" t="s">
        <v>0</v>
      </c>
      <c r="I22273" s="2">
        <v>0</v>
      </c>
      <c r="J22273" s="1">
        <v>45957.548703703702</v>
      </c>
    </row>
    <row r="22274" spans="1:10" x14ac:dyDescent="0.2">
      <c r="A22274" s="4" t="s">
        <v>1</v>
      </c>
      <c r="B222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74" s="3" t="str">
        <f>HYPERLINK("https://otsuka-europe-crm.veevavault.com/ui/#object/sent_email__v/VBL000000001757", "SE-001378445")</f>
        <v>SE-001378445</v>
      </c>
      <c r="D22274" s="1" t="s">
        <v>0</v>
      </c>
      <c r="E22274" s="2">
        <v>0</v>
      </c>
      <c r="F22274" s="2">
        <v>0</v>
      </c>
      <c r="G22274" s="2">
        <v>0</v>
      </c>
      <c r="H22274" s="1" t="s">
        <v>0</v>
      </c>
      <c r="I22274" s="2">
        <v>0</v>
      </c>
      <c r="J22274" s="1">
        <v>45957.548761574071</v>
      </c>
    </row>
    <row r="22275" spans="1:10" x14ac:dyDescent="0.2">
      <c r="A22275" s="4" t="s">
        <v>1</v>
      </c>
      <c r="B222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75" s="3" t="str">
        <f>HYPERLINK("https://otsuka-europe-crm.veevavault.com/ui/#object/sent_email__v/VBL000000001758", "SE-001378446")</f>
        <v>SE-001378446</v>
      </c>
      <c r="D22275" s="1">
        <v>45957.609456018516</v>
      </c>
      <c r="E22275" s="2">
        <v>1</v>
      </c>
      <c r="F22275" s="2">
        <v>1</v>
      </c>
      <c r="G22275" s="2">
        <v>0</v>
      </c>
      <c r="H22275" s="1" t="s">
        <v>0</v>
      </c>
      <c r="I22275" s="2">
        <v>0</v>
      </c>
      <c r="J22275" s="1">
        <v>45957.548796296294</v>
      </c>
    </row>
    <row r="22276" spans="1:10" x14ac:dyDescent="0.2">
      <c r="A22276" s="4" t="s">
        <v>1</v>
      </c>
      <c r="B222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76" s="3" t="str">
        <f>HYPERLINK("https://otsuka-europe-crm.veevavault.com/ui/#object/sent_email__v/VBL000000001759", "SE-001378447")</f>
        <v>SE-001378447</v>
      </c>
      <c r="D22276" s="1" t="s">
        <v>0</v>
      </c>
      <c r="E22276" s="2">
        <v>0</v>
      </c>
      <c r="F22276" s="2">
        <v>0</v>
      </c>
      <c r="G22276" s="2">
        <v>0</v>
      </c>
      <c r="H22276" s="1" t="s">
        <v>0</v>
      </c>
      <c r="I22276" s="2">
        <v>0</v>
      </c>
      <c r="J22276" s="1">
        <v>45957.548842592594</v>
      </c>
    </row>
    <row r="22277" spans="1:10" x14ac:dyDescent="0.2">
      <c r="A22277" s="4" t="s">
        <v>1</v>
      </c>
      <c r="B222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77" s="3" t="str">
        <f>HYPERLINK("https://otsuka-europe-crm.veevavault.com/ui/#object/sent_email__v/VBL000000001760", "SE-001378448")</f>
        <v>SE-001378448</v>
      </c>
      <c r="D22277" s="1" t="s">
        <v>0</v>
      </c>
      <c r="E22277" s="2">
        <v>0</v>
      </c>
      <c r="F22277" s="2">
        <v>0</v>
      </c>
      <c r="G22277" s="2">
        <v>0</v>
      </c>
      <c r="H22277" s="1" t="s">
        <v>0</v>
      </c>
      <c r="I22277" s="2">
        <v>0</v>
      </c>
      <c r="J22277" s="1">
        <v>45957.548888888887</v>
      </c>
    </row>
    <row r="22278" spans="1:10" x14ac:dyDescent="0.2">
      <c r="A22278" s="4" t="s">
        <v>1</v>
      </c>
      <c r="B222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78" s="3" t="str">
        <f>HYPERLINK("https://otsuka-europe-crm.veevavault.com/ui/#object/sent_email__v/VBL000000001761", "SE-001378449")</f>
        <v>SE-001378449</v>
      </c>
      <c r="D22278" s="1" t="s">
        <v>0</v>
      </c>
      <c r="E22278" s="2">
        <v>0</v>
      </c>
      <c r="F22278" s="2">
        <v>0</v>
      </c>
      <c r="G22278" s="2">
        <v>0</v>
      </c>
      <c r="H22278" s="1" t="s">
        <v>0</v>
      </c>
      <c r="I22278" s="2">
        <v>0</v>
      </c>
      <c r="J22278" s="1">
        <v>45957.548958333333</v>
      </c>
    </row>
    <row r="22279" spans="1:10" x14ac:dyDescent="0.2">
      <c r="A22279" s="4" t="s">
        <v>1</v>
      </c>
      <c r="B222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79" s="3" t="str">
        <f>HYPERLINK("https://otsuka-europe-crm.veevavault.com/ui/#object/sent_email__v/VBL000000001762", "SE-001378450")</f>
        <v>SE-001378450</v>
      </c>
      <c r="D22279" s="1">
        <v>45957.752581018518</v>
      </c>
      <c r="E22279" s="2">
        <v>1</v>
      </c>
      <c r="F22279" s="2">
        <v>2</v>
      </c>
      <c r="G22279" s="2">
        <v>0</v>
      </c>
      <c r="H22279" s="1" t="s">
        <v>0</v>
      </c>
      <c r="I22279" s="2">
        <v>0</v>
      </c>
      <c r="J22279" s="1">
        <v>45957.549027777779</v>
      </c>
    </row>
    <row r="22280" spans="1:10" x14ac:dyDescent="0.2">
      <c r="A22280" s="4" t="s">
        <v>1</v>
      </c>
      <c r="B222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80" s="3" t="str">
        <f>HYPERLINK("https://otsuka-europe-crm.veevavault.com/ui/#object/sent_email__v/VBL000000001763", "SE-001378451")</f>
        <v>SE-001378451</v>
      </c>
      <c r="D22280" s="1">
        <v>45980.746469907404</v>
      </c>
      <c r="E22280" s="2">
        <v>1</v>
      </c>
      <c r="F22280" s="2">
        <v>2</v>
      </c>
      <c r="G22280" s="2">
        <v>0</v>
      </c>
      <c r="H22280" s="1" t="s">
        <v>0</v>
      </c>
      <c r="I22280" s="2">
        <v>0</v>
      </c>
      <c r="J22280" s="1">
        <v>45957.549097222225</v>
      </c>
    </row>
    <row r="22281" spans="1:10" x14ac:dyDescent="0.2">
      <c r="A22281" s="4" t="s">
        <v>1</v>
      </c>
      <c r="B222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81" s="3" t="str">
        <f>HYPERLINK("https://otsuka-europe-crm.veevavault.com/ui/#object/sent_email__v/VBL000000001764", "SE-001378452")</f>
        <v>SE-001378452</v>
      </c>
      <c r="D22281" s="1">
        <v>45957.575439814813</v>
      </c>
      <c r="E22281" s="2">
        <v>1</v>
      </c>
      <c r="F22281" s="2">
        <v>2</v>
      </c>
      <c r="G22281" s="2">
        <v>0</v>
      </c>
      <c r="H22281" s="1" t="s">
        <v>0</v>
      </c>
      <c r="I22281" s="2">
        <v>0</v>
      </c>
      <c r="J22281" s="1">
        <v>45957.549166666664</v>
      </c>
    </row>
    <row r="22282" spans="1:10" x14ac:dyDescent="0.2">
      <c r="A22282" s="4" t="s">
        <v>1</v>
      </c>
      <c r="B222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82" s="3" t="str">
        <f>HYPERLINK("https://otsuka-europe-crm.veevavault.com/ui/#object/sent_email__v/VBL000000001765", "SE-001378453")</f>
        <v>SE-001378453</v>
      </c>
      <c r="D22282" s="1" t="s">
        <v>0</v>
      </c>
      <c r="E22282" s="2">
        <v>0</v>
      </c>
      <c r="F22282" s="2">
        <v>0</v>
      </c>
      <c r="G22282" s="2">
        <v>0</v>
      </c>
      <c r="H22282" s="1" t="s">
        <v>0</v>
      </c>
      <c r="I22282" s="2">
        <v>0</v>
      </c>
      <c r="J22282" s="1">
        <v>45957.54923611111</v>
      </c>
    </row>
    <row r="22283" spans="1:10" x14ac:dyDescent="0.2">
      <c r="A22283" s="4" t="s">
        <v>1</v>
      </c>
      <c r="B222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83" s="3" t="str">
        <f>HYPERLINK("https://otsuka-europe-crm.veevavault.com/ui/#object/sent_email__v/VBL000000001766", "SE-001378454")</f>
        <v>SE-001378454</v>
      </c>
      <c r="D22283" s="1" t="s">
        <v>0</v>
      </c>
      <c r="E22283" s="2">
        <v>0</v>
      </c>
      <c r="F22283" s="2">
        <v>0</v>
      </c>
      <c r="G22283" s="2">
        <v>0</v>
      </c>
      <c r="H22283" s="1" t="s">
        <v>0</v>
      </c>
      <c r="I22283" s="2">
        <v>0</v>
      </c>
      <c r="J22283" s="1">
        <v>45957.549305555556</v>
      </c>
    </row>
    <row r="22284" spans="1:10" x14ac:dyDescent="0.2">
      <c r="A22284" s="4" t="s">
        <v>1</v>
      </c>
      <c r="B222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84" s="3" t="str">
        <f>HYPERLINK("https://otsuka-europe-crm.veevavault.com/ui/#object/sent_email__v/VBL000000001767", "SE-001378455")</f>
        <v>SE-001378455</v>
      </c>
      <c r="D22284" s="1">
        <v>45958.769583333335</v>
      </c>
      <c r="E22284" s="2">
        <v>1</v>
      </c>
      <c r="F22284" s="2">
        <v>3</v>
      </c>
      <c r="G22284" s="2">
        <v>0</v>
      </c>
      <c r="H22284" s="1" t="s">
        <v>0</v>
      </c>
      <c r="I22284" s="2">
        <v>0</v>
      </c>
      <c r="J22284" s="1">
        <v>45957.549386574072</v>
      </c>
    </row>
    <row r="22285" spans="1:10" x14ac:dyDescent="0.2">
      <c r="A22285" s="4" t="s">
        <v>1</v>
      </c>
      <c r="B222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85" s="3" t="str">
        <f>HYPERLINK("https://otsuka-europe-crm.veevavault.com/ui/#object/sent_email__v/VBL000000001768", "SE-001378456")</f>
        <v>SE-001378456</v>
      </c>
      <c r="D22285" s="1">
        <v>45957.913773148146</v>
      </c>
      <c r="E22285" s="2">
        <v>1</v>
      </c>
      <c r="F22285" s="2">
        <v>1</v>
      </c>
      <c r="G22285" s="2">
        <v>0</v>
      </c>
      <c r="H22285" s="1" t="s">
        <v>0</v>
      </c>
      <c r="I22285" s="2">
        <v>0</v>
      </c>
      <c r="J22285" s="1">
        <v>45957.549456018518</v>
      </c>
    </row>
    <row r="22286" spans="1:10" x14ac:dyDescent="0.2">
      <c r="A22286" s="4" t="s">
        <v>1</v>
      </c>
      <c r="B222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86" s="3" t="str">
        <f>HYPERLINK("https://otsuka-europe-crm.veevavault.com/ui/#object/sent_email__v/VBL000000001769", "SE-001378457")</f>
        <v>SE-001378457</v>
      </c>
      <c r="D22286" s="1">
        <v>45957.549675925926</v>
      </c>
      <c r="E22286" s="2">
        <v>1</v>
      </c>
      <c r="F22286" s="2">
        <v>2</v>
      </c>
      <c r="G22286" s="2">
        <v>1</v>
      </c>
      <c r="H22286" s="1">
        <v>45957.57885416667</v>
      </c>
      <c r="I22286" s="2">
        <v>6</v>
      </c>
      <c r="J22286" s="1">
        <v>45957.549513888887</v>
      </c>
    </row>
    <row r="22287" spans="1:10" x14ac:dyDescent="0.2">
      <c r="A22287" s="4" t="s">
        <v>1</v>
      </c>
      <c r="B222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87" s="3" t="str">
        <f>HYPERLINK("https://otsuka-europe-crm.veevavault.com/ui/#object/sent_email__v/VBL000000001770", "SE-001378458")</f>
        <v>SE-001378458</v>
      </c>
      <c r="D22287" s="1" t="s">
        <v>0</v>
      </c>
      <c r="E22287" s="2">
        <v>0</v>
      </c>
      <c r="F22287" s="2">
        <v>0</v>
      </c>
      <c r="G22287" s="2">
        <v>0</v>
      </c>
      <c r="H22287" s="1" t="s">
        <v>0</v>
      </c>
      <c r="I22287" s="2">
        <v>0</v>
      </c>
      <c r="J22287" s="1">
        <v>45957.54959490741</v>
      </c>
    </row>
    <row r="22288" spans="1:10" x14ac:dyDescent="0.2">
      <c r="A22288" s="4" t="s">
        <v>1</v>
      </c>
      <c r="B222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88" s="3" t="str">
        <f>HYPERLINK("https://otsuka-europe-crm.veevavault.com/ui/#object/sent_email__v/VBL000000001771", "SE-001378459")</f>
        <v>SE-001378459</v>
      </c>
      <c r="D22288" s="1">
        <v>45957.621527777781</v>
      </c>
      <c r="E22288" s="2">
        <v>1</v>
      </c>
      <c r="F22288" s="2">
        <v>1</v>
      </c>
      <c r="G22288" s="2">
        <v>0</v>
      </c>
      <c r="H22288" s="1" t="s">
        <v>0</v>
      </c>
      <c r="I22288" s="2">
        <v>0</v>
      </c>
      <c r="J22288" s="1">
        <v>45957.54965277778</v>
      </c>
    </row>
    <row r="22289" spans="1:10" x14ac:dyDescent="0.2">
      <c r="A22289" s="4" t="s">
        <v>1</v>
      </c>
      <c r="B222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89" s="3" t="str">
        <f>HYPERLINK("https://otsuka-europe-crm.veevavault.com/ui/#object/sent_email__v/VBL000000001772", "SE-001378460")</f>
        <v>SE-001378460</v>
      </c>
      <c r="D22289" s="1" t="s">
        <v>0</v>
      </c>
      <c r="E22289" s="2">
        <v>0</v>
      </c>
      <c r="F22289" s="2">
        <v>0</v>
      </c>
      <c r="G22289" s="2">
        <v>0</v>
      </c>
      <c r="H22289" s="1" t="s">
        <v>0</v>
      </c>
      <c r="I22289" s="2">
        <v>0</v>
      </c>
      <c r="J22289" s="1">
        <v>45957.549722222226</v>
      </c>
    </row>
    <row r="22290" spans="1:10" x14ac:dyDescent="0.2">
      <c r="A22290" s="4" t="s">
        <v>1</v>
      </c>
      <c r="B222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90" s="3" t="str">
        <f>HYPERLINK("https://otsuka-europe-crm.veevavault.com/ui/#object/sent_email__v/VBL000000001773", "SE-001378461")</f>
        <v>SE-001378461</v>
      </c>
      <c r="D22290" s="1">
        <v>45957.817291666666</v>
      </c>
      <c r="E22290" s="2">
        <v>1</v>
      </c>
      <c r="F22290" s="2">
        <v>1</v>
      </c>
      <c r="G22290" s="2">
        <v>0</v>
      </c>
      <c r="H22290" s="1" t="s">
        <v>0</v>
      </c>
      <c r="I22290" s="2">
        <v>0</v>
      </c>
      <c r="J22290" s="1">
        <v>45957.549803240741</v>
      </c>
    </row>
    <row r="22291" spans="1:10" x14ac:dyDescent="0.2">
      <c r="A22291" s="4" t="s">
        <v>1</v>
      </c>
      <c r="B222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91" s="3" t="str">
        <f>HYPERLINK("https://otsuka-europe-crm.veevavault.com/ui/#object/sent_email__v/VBL000000001774", "SE-001378462")</f>
        <v>SE-001378462</v>
      </c>
      <c r="D22291" s="1">
        <v>45962.450497685182</v>
      </c>
      <c r="E22291" s="2">
        <v>1</v>
      </c>
      <c r="F22291" s="2">
        <v>4</v>
      </c>
      <c r="G22291" s="2">
        <v>1</v>
      </c>
      <c r="H22291" s="1">
        <v>45962.450624999998</v>
      </c>
      <c r="I22291" s="2">
        <v>3</v>
      </c>
      <c r="J22291" s="1">
        <v>45957.549861111111</v>
      </c>
    </row>
    <row r="22292" spans="1:10" x14ac:dyDescent="0.2">
      <c r="A22292" s="4" t="s">
        <v>1</v>
      </c>
      <c r="B222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92" s="3" t="str">
        <f>HYPERLINK("https://otsuka-europe-crm.veevavault.com/ui/#object/sent_email__v/VBL000000001775", "SE-001378463")</f>
        <v>SE-001378463</v>
      </c>
      <c r="D22292" s="1">
        <v>45958.317696759259</v>
      </c>
      <c r="E22292" s="2">
        <v>1</v>
      </c>
      <c r="F22292" s="2">
        <v>1</v>
      </c>
      <c r="G22292" s="2">
        <v>0</v>
      </c>
      <c r="H22292" s="1" t="s">
        <v>0</v>
      </c>
      <c r="I22292" s="2">
        <v>0</v>
      </c>
      <c r="J22292" s="1">
        <v>45957.549942129626</v>
      </c>
    </row>
    <row r="22293" spans="1:10" x14ac:dyDescent="0.2">
      <c r="A22293" s="4" t="s">
        <v>1</v>
      </c>
      <c r="B222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93" s="3" t="str">
        <f>HYPERLINK("https://otsuka-europe-crm.veevavault.com/ui/#object/sent_email__v/VBL000000001776", "SE-001378464")</f>
        <v>SE-001378464</v>
      </c>
      <c r="D22293" s="1">
        <v>45958.521180555559</v>
      </c>
      <c r="E22293" s="2">
        <v>1</v>
      </c>
      <c r="F22293" s="2">
        <v>1</v>
      </c>
      <c r="G22293" s="2">
        <v>0</v>
      </c>
      <c r="H22293" s="1" t="s">
        <v>0</v>
      </c>
      <c r="I22293" s="2">
        <v>0</v>
      </c>
      <c r="J22293" s="1">
        <v>45957.55</v>
      </c>
    </row>
    <row r="22294" spans="1:10" x14ac:dyDescent="0.2">
      <c r="A22294" s="4" t="s">
        <v>1</v>
      </c>
      <c r="B222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94" s="3" t="str">
        <f>HYPERLINK("https://otsuka-europe-crm.veevavault.com/ui/#object/sent_email__v/VBL000000001777", "SE-001378465")</f>
        <v>SE-001378465</v>
      </c>
      <c r="D22294" s="1">
        <v>45957.987349537034</v>
      </c>
      <c r="E22294" s="2">
        <v>1</v>
      </c>
      <c r="F22294" s="2">
        <v>1</v>
      </c>
      <c r="G22294" s="2">
        <v>0</v>
      </c>
      <c r="H22294" s="1" t="s">
        <v>0</v>
      </c>
      <c r="I22294" s="2">
        <v>0</v>
      </c>
      <c r="J22294" s="1">
        <v>45957.550069444442</v>
      </c>
    </row>
    <row r="22295" spans="1:10" x14ac:dyDescent="0.2">
      <c r="A22295" s="4" t="s">
        <v>1</v>
      </c>
      <c r="B222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95" s="3" t="str">
        <f>HYPERLINK("https://otsuka-europe-crm.veevavault.com/ui/#object/sent_email__v/VBL000000001778", "SE-001378466")</f>
        <v>SE-001378466</v>
      </c>
      <c r="D22295" s="1">
        <v>45960.74858796296</v>
      </c>
      <c r="E22295" s="2">
        <v>1</v>
      </c>
      <c r="F22295" s="2">
        <v>4</v>
      </c>
      <c r="G22295" s="2">
        <v>0</v>
      </c>
      <c r="H22295" s="1" t="s">
        <v>0</v>
      </c>
      <c r="I22295" s="2">
        <v>0</v>
      </c>
      <c r="J22295" s="1">
        <v>45957.550138888888</v>
      </c>
    </row>
    <row r="22296" spans="1:10" x14ac:dyDescent="0.2">
      <c r="A22296" s="4" t="s">
        <v>1</v>
      </c>
      <c r="B222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96" s="3" t="str">
        <f>HYPERLINK("https://otsuka-europe-crm.veevavault.com/ui/#object/sent_email__v/VBL000000001779", "SE-001378467")</f>
        <v>SE-001378467</v>
      </c>
      <c r="D22296" s="1">
        <v>45958.272650462961</v>
      </c>
      <c r="E22296" s="2">
        <v>1</v>
      </c>
      <c r="F22296" s="2">
        <v>1</v>
      </c>
      <c r="G22296" s="2">
        <v>0</v>
      </c>
      <c r="H22296" s="1" t="s">
        <v>0</v>
      </c>
      <c r="I22296" s="2">
        <v>0</v>
      </c>
      <c r="J22296" s="1">
        <v>45957.550208333334</v>
      </c>
    </row>
    <row r="22297" spans="1:10" x14ac:dyDescent="0.2">
      <c r="A22297" s="4" t="s">
        <v>1</v>
      </c>
      <c r="B222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97" s="3" t="str">
        <f>HYPERLINK("https://otsuka-europe-crm.veevavault.com/ui/#object/sent_email__v/VBL000000001780", "SE-001378468")</f>
        <v>SE-001378468</v>
      </c>
      <c r="D22297" s="1" t="s">
        <v>0</v>
      </c>
      <c r="E22297" s="2">
        <v>0</v>
      </c>
      <c r="F22297" s="2">
        <v>0</v>
      </c>
      <c r="G22297" s="2">
        <v>0</v>
      </c>
      <c r="H22297" s="1" t="s">
        <v>0</v>
      </c>
      <c r="I22297" s="2">
        <v>0</v>
      </c>
      <c r="J22297" s="1">
        <v>45957.55027777778</v>
      </c>
    </row>
    <row r="22298" spans="1:10" x14ac:dyDescent="0.2">
      <c r="A22298" s="4" t="s">
        <v>1</v>
      </c>
      <c r="B222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98" s="3" t="str">
        <f>HYPERLINK("https://otsuka-europe-crm.veevavault.com/ui/#object/sent_email__v/VBL000000001781", "SE-001378469")</f>
        <v>SE-001378469</v>
      </c>
      <c r="D22298" s="1">
        <v>45957.666064814817</v>
      </c>
      <c r="E22298" s="2">
        <v>1</v>
      </c>
      <c r="F22298" s="2">
        <v>2</v>
      </c>
      <c r="G22298" s="2">
        <v>0</v>
      </c>
      <c r="H22298" s="1" t="s">
        <v>0</v>
      </c>
      <c r="I22298" s="2">
        <v>0</v>
      </c>
      <c r="J22298" s="1">
        <v>45957.550381944442</v>
      </c>
    </row>
    <row r="22299" spans="1:10" x14ac:dyDescent="0.2">
      <c r="A22299" s="4" t="s">
        <v>1</v>
      </c>
      <c r="B222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299" s="3" t="str">
        <f>HYPERLINK("https://otsuka-europe-crm.veevavault.com/ui/#object/sent_email__v/VBL000000001782", "SE-001378470")</f>
        <v>SE-001378470</v>
      </c>
      <c r="D22299" s="1" t="s">
        <v>0</v>
      </c>
      <c r="E22299" s="2">
        <v>0</v>
      </c>
      <c r="F22299" s="2">
        <v>0</v>
      </c>
      <c r="G22299" s="2">
        <v>0</v>
      </c>
      <c r="H22299" s="1" t="s">
        <v>0</v>
      </c>
      <c r="I22299" s="2">
        <v>0</v>
      </c>
      <c r="J22299" s="1">
        <v>45957.550439814811</v>
      </c>
    </row>
    <row r="22300" spans="1:10" x14ac:dyDescent="0.2">
      <c r="A22300" s="4" t="s">
        <v>1</v>
      </c>
      <c r="B223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00" s="3" t="str">
        <f>HYPERLINK("https://otsuka-europe-crm.veevavault.com/ui/#object/sent_email__v/VBL000000001783", "SE-001378471")</f>
        <v>SE-001378471</v>
      </c>
      <c r="D22300" s="1" t="s">
        <v>0</v>
      </c>
      <c r="E22300" s="2">
        <v>0</v>
      </c>
      <c r="F22300" s="2">
        <v>0</v>
      </c>
      <c r="G22300" s="2">
        <v>0</v>
      </c>
      <c r="H22300" s="1" t="s">
        <v>0</v>
      </c>
      <c r="I22300" s="2">
        <v>0</v>
      </c>
      <c r="J22300" s="1">
        <v>45957.550486111111</v>
      </c>
    </row>
    <row r="22301" spans="1:10" x14ac:dyDescent="0.2">
      <c r="A22301" s="4" t="s">
        <v>1</v>
      </c>
      <c r="B223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01" s="3" t="str">
        <f>HYPERLINK("https://otsuka-europe-crm.veevavault.com/ui/#object/sent_email__v/VBL000000001784", "SE-001378472")</f>
        <v>SE-001378472</v>
      </c>
      <c r="D22301" s="1">
        <v>45958.270335648151</v>
      </c>
      <c r="E22301" s="2">
        <v>1</v>
      </c>
      <c r="F22301" s="2">
        <v>1</v>
      </c>
      <c r="G22301" s="2">
        <v>0</v>
      </c>
      <c r="H22301" s="1" t="s">
        <v>0</v>
      </c>
      <c r="I22301" s="2">
        <v>0</v>
      </c>
      <c r="J22301" s="1">
        <v>45957.550555555557</v>
      </c>
    </row>
    <row r="22302" spans="1:10" x14ac:dyDescent="0.2">
      <c r="A22302" s="4" t="s">
        <v>1</v>
      </c>
      <c r="B223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02" s="3" t="str">
        <f>HYPERLINK("https://otsuka-europe-crm.veevavault.com/ui/#object/sent_email__v/VBL000000001785", "SE-001378473")</f>
        <v>SE-001378473</v>
      </c>
      <c r="D22302" s="1">
        <v>45960.750393518516</v>
      </c>
      <c r="E22302" s="2">
        <v>1</v>
      </c>
      <c r="F22302" s="2">
        <v>2</v>
      </c>
      <c r="G22302" s="2">
        <v>1</v>
      </c>
      <c r="H22302" s="1">
        <v>45960.750497685185</v>
      </c>
      <c r="I22302" s="2">
        <v>2</v>
      </c>
      <c r="J22302" s="1">
        <v>45957.550625000003</v>
      </c>
    </row>
    <row r="22303" spans="1:10" x14ac:dyDescent="0.2">
      <c r="A22303" s="4" t="s">
        <v>1</v>
      </c>
      <c r="B223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03" s="3" t="str">
        <f>HYPERLINK("https://otsuka-europe-crm.veevavault.com/ui/#object/sent_email__v/VBL000000001786", "SE-001378474")</f>
        <v>SE-001378474</v>
      </c>
      <c r="D22303" s="1" t="s">
        <v>0</v>
      </c>
      <c r="E22303" s="2">
        <v>0</v>
      </c>
      <c r="F22303" s="2">
        <v>0</v>
      </c>
      <c r="G22303" s="2">
        <v>0</v>
      </c>
      <c r="H22303" s="1" t="s">
        <v>0</v>
      </c>
      <c r="I22303" s="2">
        <v>0</v>
      </c>
      <c r="J22303" s="1">
        <v>45957.550694444442</v>
      </c>
    </row>
    <row r="22304" spans="1:10" x14ac:dyDescent="0.2">
      <c r="A22304" s="4" t="s">
        <v>1</v>
      </c>
      <c r="B223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04" s="3" t="str">
        <f>HYPERLINK("https://otsuka-europe-crm.veevavault.com/ui/#object/sent_email__v/VBL000000001787", "SE-001378475")</f>
        <v>SE-001378475</v>
      </c>
      <c r="D22304" s="1">
        <v>45958.91196759259</v>
      </c>
      <c r="E22304" s="2">
        <v>1</v>
      </c>
      <c r="F22304" s="2">
        <v>1</v>
      </c>
      <c r="G22304" s="2">
        <v>0</v>
      </c>
      <c r="H22304" s="1" t="s">
        <v>0</v>
      </c>
      <c r="I22304" s="2">
        <v>0</v>
      </c>
      <c r="J22304" s="1">
        <v>45957.550763888888</v>
      </c>
    </row>
    <row r="22305" spans="1:10" x14ac:dyDescent="0.2">
      <c r="A22305" s="4" t="s">
        <v>1</v>
      </c>
      <c r="B223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05" s="3" t="str">
        <f>HYPERLINK("https://otsuka-europe-crm.veevavault.com/ui/#object/sent_email__v/VBL000000001788", "SE-001378476")</f>
        <v>SE-001378476</v>
      </c>
      <c r="D22305" s="1" t="s">
        <v>0</v>
      </c>
      <c r="E22305" s="2">
        <v>0</v>
      </c>
      <c r="F22305" s="2">
        <v>0</v>
      </c>
      <c r="G22305" s="2">
        <v>0</v>
      </c>
      <c r="H22305" s="1" t="s">
        <v>0</v>
      </c>
      <c r="I22305" s="2">
        <v>0</v>
      </c>
      <c r="J22305" s="1">
        <v>45957.550833333335</v>
      </c>
    </row>
    <row r="22306" spans="1:10" x14ac:dyDescent="0.2">
      <c r="A22306" s="4" t="s">
        <v>1</v>
      </c>
      <c r="B223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06" s="3" t="str">
        <f>HYPERLINK("https://otsuka-europe-crm.veevavault.com/ui/#object/sent_email__v/VBL000000001789", "SE-001378477")</f>
        <v>SE-001378477</v>
      </c>
      <c r="D22306" s="1">
        <v>45958.402303240742</v>
      </c>
      <c r="E22306" s="2">
        <v>1</v>
      </c>
      <c r="F22306" s="2">
        <v>1</v>
      </c>
      <c r="G22306" s="2">
        <v>0</v>
      </c>
      <c r="H22306" s="1" t="s">
        <v>0</v>
      </c>
      <c r="I22306" s="2">
        <v>0</v>
      </c>
      <c r="J22306" s="1">
        <v>45957.550902777781</v>
      </c>
    </row>
    <row r="22307" spans="1:10" x14ac:dyDescent="0.2">
      <c r="A22307" s="4" t="s">
        <v>1</v>
      </c>
      <c r="B223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07" s="3" t="str">
        <f>HYPERLINK("https://otsuka-europe-crm.veevavault.com/ui/#object/sent_email__v/VBL000000001790", "SE-001378478")</f>
        <v>SE-001378478</v>
      </c>
      <c r="D22307" s="1">
        <v>45957.56050925926</v>
      </c>
      <c r="E22307" s="2">
        <v>1</v>
      </c>
      <c r="F22307" s="2">
        <v>2</v>
      </c>
      <c r="G22307" s="2">
        <v>0</v>
      </c>
      <c r="H22307" s="1" t="s">
        <v>0</v>
      </c>
      <c r="I22307" s="2">
        <v>0</v>
      </c>
      <c r="J22307" s="1">
        <v>45957.55097222222</v>
      </c>
    </row>
    <row r="22308" spans="1:10" x14ac:dyDescent="0.2">
      <c r="A22308" s="4" t="s">
        <v>1</v>
      </c>
      <c r="B223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08" s="3" t="str">
        <f>HYPERLINK("https://otsuka-europe-crm.veevavault.com/ui/#object/sent_email__v/VBL000000001791", "SE-001378479")</f>
        <v>SE-001378479</v>
      </c>
      <c r="D22308" s="1">
        <v>45957.588796296295</v>
      </c>
      <c r="E22308" s="2">
        <v>1</v>
      </c>
      <c r="F22308" s="2">
        <v>14</v>
      </c>
      <c r="G22308" s="2">
        <v>0</v>
      </c>
      <c r="H22308" s="1" t="s">
        <v>0</v>
      </c>
      <c r="I22308" s="2">
        <v>0</v>
      </c>
      <c r="J22308" s="1">
        <v>45957.551041666666</v>
      </c>
    </row>
    <row r="22309" spans="1:10" x14ac:dyDescent="0.2">
      <c r="A22309" s="4" t="s">
        <v>1</v>
      </c>
      <c r="B223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09" s="3" t="str">
        <f>HYPERLINK("https://otsuka-europe-crm.veevavault.com/ui/#object/sent_email__v/VBL000000001792", "SE-001378480")</f>
        <v>SE-001378480</v>
      </c>
      <c r="D22309" s="1" t="s">
        <v>0</v>
      </c>
      <c r="E22309" s="2">
        <v>0</v>
      </c>
      <c r="F22309" s="2">
        <v>0</v>
      </c>
      <c r="G22309" s="2">
        <v>0</v>
      </c>
      <c r="H22309" s="1" t="s">
        <v>0</v>
      </c>
      <c r="I22309" s="2">
        <v>0</v>
      </c>
      <c r="J22309" s="1">
        <v>45957.551111111112</v>
      </c>
    </row>
    <row r="22310" spans="1:10" x14ac:dyDescent="0.2">
      <c r="A22310" s="4" t="s">
        <v>1</v>
      </c>
      <c r="B223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10" s="3" t="str">
        <f>HYPERLINK("https://otsuka-europe-crm.veevavault.com/ui/#object/sent_email__v/VBL000000001793", "SE-001378481")</f>
        <v>SE-001378481</v>
      </c>
      <c r="D22310" s="1">
        <v>45957.853229166663</v>
      </c>
      <c r="E22310" s="2">
        <v>1</v>
      </c>
      <c r="F22310" s="2">
        <v>1</v>
      </c>
      <c r="G22310" s="2">
        <v>0</v>
      </c>
      <c r="H22310" s="1" t="s">
        <v>0</v>
      </c>
      <c r="I22310" s="2">
        <v>0</v>
      </c>
      <c r="J22310" s="1">
        <v>45957.551180555558</v>
      </c>
    </row>
    <row r="22311" spans="1:10" x14ac:dyDescent="0.2">
      <c r="A22311" s="4" t="s">
        <v>1</v>
      </c>
      <c r="B223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11" s="3" t="str">
        <f>HYPERLINK("https://otsuka-europe-crm.veevavault.com/ui/#object/sent_email__v/VBL000000001794", "SE-001378482")</f>
        <v>SE-001378482</v>
      </c>
      <c r="D22311" s="1">
        <v>45961.469317129631</v>
      </c>
      <c r="E22311" s="2">
        <v>1</v>
      </c>
      <c r="F22311" s="2">
        <v>3</v>
      </c>
      <c r="G22311" s="2">
        <v>0</v>
      </c>
      <c r="H22311" s="1" t="s">
        <v>0</v>
      </c>
      <c r="I22311" s="2">
        <v>0</v>
      </c>
      <c r="J22311" s="1">
        <v>45957.551249999997</v>
      </c>
    </row>
    <row r="22312" spans="1:10" x14ac:dyDescent="0.2">
      <c r="A22312" s="4" t="s">
        <v>1</v>
      </c>
      <c r="B223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12" s="3" t="str">
        <f>HYPERLINK("https://otsuka-europe-crm.veevavault.com/ui/#object/sent_email__v/VBL000000001795", "SE-001378483")</f>
        <v>SE-001378483</v>
      </c>
      <c r="D22312" s="1">
        <v>45959.020243055558</v>
      </c>
      <c r="E22312" s="2">
        <v>1</v>
      </c>
      <c r="F22312" s="2">
        <v>1</v>
      </c>
      <c r="G22312" s="2">
        <v>0</v>
      </c>
      <c r="H22312" s="1" t="s">
        <v>0</v>
      </c>
      <c r="I22312" s="2">
        <v>0</v>
      </c>
      <c r="J22312" s="1">
        <v>45957.551342592589</v>
      </c>
    </row>
    <row r="22313" spans="1:10" x14ac:dyDescent="0.2">
      <c r="A22313" s="4" t="s">
        <v>1</v>
      </c>
      <c r="B223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13" s="3" t="str">
        <f>HYPERLINK("https://otsuka-europe-crm.veevavault.com/ui/#object/sent_email__v/VBL000000001796", "SE-001378484")</f>
        <v>SE-001378484</v>
      </c>
      <c r="D22313" s="1" t="s">
        <v>0</v>
      </c>
      <c r="E22313" s="2">
        <v>0</v>
      </c>
      <c r="F22313" s="2">
        <v>0</v>
      </c>
      <c r="G22313" s="2">
        <v>0</v>
      </c>
      <c r="H22313" s="1" t="s">
        <v>0</v>
      </c>
      <c r="I22313" s="2">
        <v>0</v>
      </c>
      <c r="J22313" s="1">
        <v>45957.551400462966</v>
      </c>
    </row>
    <row r="22314" spans="1:10" x14ac:dyDescent="0.2">
      <c r="A22314" s="4" t="s">
        <v>1</v>
      </c>
      <c r="B223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14" s="3" t="str">
        <f>HYPERLINK("https://otsuka-europe-crm.veevavault.com/ui/#object/sent_email__v/VBL000000001797", "SE-001378485")</f>
        <v>SE-001378485</v>
      </c>
      <c r="D22314" s="1">
        <v>45957.594930555555</v>
      </c>
      <c r="E22314" s="2">
        <v>1</v>
      </c>
      <c r="F22314" s="2">
        <v>2</v>
      </c>
      <c r="G22314" s="2">
        <v>0</v>
      </c>
      <c r="H22314" s="1" t="s">
        <v>0</v>
      </c>
      <c r="I22314" s="2">
        <v>0</v>
      </c>
      <c r="J22314" s="1">
        <v>45957.551469907405</v>
      </c>
    </row>
    <row r="22315" spans="1:10" x14ac:dyDescent="0.2">
      <c r="A22315" s="4" t="s">
        <v>1</v>
      </c>
      <c r="B223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15" s="3" t="str">
        <f>HYPERLINK("https://otsuka-europe-crm.veevavault.com/ui/#object/sent_email__v/VBL000000001798", "SE-001378486")</f>
        <v>SE-001378486</v>
      </c>
      <c r="D22315" s="1">
        <v>45957.565127314818</v>
      </c>
      <c r="E22315" s="2">
        <v>1</v>
      </c>
      <c r="F22315" s="2">
        <v>1</v>
      </c>
      <c r="G22315" s="2">
        <v>0</v>
      </c>
      <c r="H22315" s="1" t="s">
        <v>0</v>
      </c>
      <c r="I22315" s="2">
        <v>0</v>
      </c>
      <c r="J22315" s="1">
        <v>45957.551539351851</v>
      </c>
    </row>
    <row r="22316" spans="1:10" x14ac:dyDescent="0.2">
      <c r="A22316" s="4" t="s">
        <v>1</v>
      </c>
      <c r="B223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16" s="3" t="str">
        <f>HYPERLINK("https://otsuka-europe-crm.veevavault.com/ui/#object/sent_email__v/VBL000000001799", "SE-001378487")</f>
        <v>SE-001378487</v>
      </c>
      <c r="D22316" s="1" t="s">
        <v>0</v>
      </c>
      <c r="E22316" s="2">
        <v>0</v>
      </c>
      <c r="F22316" s="2">
        <v>0</v>
      </c>
      <c r="G22316" s="2">
        <v>0</v>
      </c>
      <c r="H22316" s="1" t="s">
        <v>0</v>
      </c>
      <c r="I22316" s="2">
        <v>0</v>
      </c>
      <c r="J22316" s="1">
        <v>45957.551608796297</v>
      </c>
    </row>
    <row r="22317" spans="1:10" x14ac:dyDescent="0.2">
      <c r="A22317" s="4" t="s">
        <v>1</v>
      </c>
      <c r="B223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17" s="3" t="str">
        <f>HYPERLINK("https://otsuka-europe-crm.veevavault.com/ui/#object/sent_email__v/VBL000000001800", "SE-001378488")</f>
        <v>SE-001378488</v>
      </c>
      <c r="D22317" s="1">
        <v>45959.797326388885</v>
      </c>
      <c r="E22317" s="2">
        <v>1</v>
      </c>
      <c r="F22317" s="2">
        <v>2</v>
      </c>
      <c r="G22317" s="2">
        <v>0</v>
      </c>
      <c r="H22317" s="1" t="s">
        <v>0</v>
      </c>
      <c r="I22317" s="2">
        <v>0</v>
      </c>
      <c r="J22317" s="1">
        <v>45957.551678240743</v>
      </c>
    </row>
    <row r="22318" spans="1:10" x14ac:dyDescent="0.2">
      <c r="A22318" s="4" t="s">
        <v>1</v>
      </c>
      <c r="B223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18" s="3" t="str">
        <f>HYPERLINK("https://otsuka-europe-crm.veevavault.com/ui/#object/sent_email__v/VBL000000001801", "SE-001378489")</f>
        <v>SE-001378489</v>
      </c>
      <c r="D22318" s="1" t="s">
        <v>0</v>
      </c>
      <c r="E22318" s="2">
        <v>0</v>
      </c>
      <c r="F22318" s="2">
        <v>0</v>
      </c>
      <c r="G22318" s="2">
        <v>0</v>
      </c>
      <c r="H22318" s="1" t="s">
        <v>0</v>
      </c>
      <c r="I22318" s="2">
        <v>0</v>
      </c>
      <c r="J22318" s="1">
        <v>45957.551747685182</v>
      </c>
    </row>
    <row r="22319" spans="1:10" x14ac:dyDescent="0.2">
      <c r="A22319" s="4" t="s">
        <v>1</v>
      </c>
      <c r="B223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19" s="3" t="str">
        <f>HYPERLINK("https://otsuka-europe-crm.veevavault.com/ui/#object/sent_email__v/VBL000000001802", "SE-001378490")</f>
        <v>SE-001378490</v>
      </c>
      <c r="D22319" s="1" t="s">
        <v>0</v>
      </c>
      <c r="E22319" s="2">
        <v>0</v>
      </c>
      <c r="F22319" s="2">
        <v>0</v>
      </c>
      <c r="G22319" s="2">
        <v>0</v>
      </c>
      <c r="H22319" s="1" t="s">
        <v>0</v>
      </c>
      <c r="I22319" s="2">
        <v>0</v>
      </c>
      <c r="J22319" s="1">
        <v>45957.551817129628</v>
      </c>
    </row>
    <row r="22320" spans="1:10" x14ac:dyDescent="0.2">
      <c r="A22320" s="4" t="s">
        <v>1</v>
      </c>
      <c r="B223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20" s="3" t="str">
        <f>HYPERLINK("https://otsuka-europe-crm.veevavault.com/ui/#object/sent_email__v/VBL000000001803", "SE-001378491")</f>
        <v>SE-001378491</v>
      </c>
      <c r="D22320" s="1">
        <v>45985.052939814814</v>
      </c>
      <c r="E22320" s="2">
        <v>1</v>
      </c>
      <c r="F22320" s="2">
        <v>3</v>
      </c>
      <c r="G22320" s="2">
        <v>0</v>
      </c>
      <c r="H22320" s="1" t="s">
        <v>0</v>
      </c>
      <c r="I22320" s="2">
        <v>0</v>
      </c>
      <c r="J22320" s="1">
        <v>45957.551898148151</v>
      </c>
    </row>
    <row r="22321" spans="1:10" x14ac:dyDescent="0.2">
      <c r="A22321" s="4" t="s">
        <v>1</v>
      </c>
      <c r="B223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21" s="3" t="str">
        <f>HYPERLINK("https://otsuka-europe-crm.veevavault.com/ui/#object/sent_email__v/VBL000000001804", "SE-001378492")</f>
        <v>SE-001378492</v>
      </c>
      <c r="D22321" s="1" t="s">
        <v>0</v>
      </c>
      <c r="E22321" s="2">
        <v>0</v>
      </c>
      <c r="F22321" s="2">
        <v>0</v>
      </c>
      <c r="G22321" s="2">
        <v>0</v>
      </c>
      <c r="H22321" s="1" t="s">
        <v>0</v>
      </c>
      <c r="I22321" s="2">
        <v>0</v>
      </c>
      <c r="J22321" s="1">
        <v>45957.55196759259</v>
      </c>
    </row>
    <row r="22322" spans="1:10" x14ac:dyDescent="0.2">
      <c r="A22322" s="4" t="s">
        <v>1</v>
      </c>
      <c r="B223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22" s="3" t="str">
        <f>HYPERLINK("https://otsuka-europe-crm.veevavault.com/ui/#object/sent_email__v/VBL000000001805", "SE-001378493")</f>
        <v>SE-001378493</v>
      </c>
      <c r="D22322" s="1">
        <v>45957.554259259261</v>
      </c>
      <c r="E22322" s="2">
        <v>1</v>
      </c>
      <c r="F22322" s="2">
        <v>1</v>
      </c>
      <c r="G22322" s="2">
        <v>0</v>
      </c>
      <c r="H22322" s="1" t="s">
        <v>0</v>
      </c>
      <c r="I22322" s="2">
        <v>0</v>
      </c>
      <c r="J22322" s="1">
        <v>45957.552025462966</v>
      </c>
    </row>
    <row r="22323" spans="1:10" x14ac:dyDescent="0.2">
      <c r="A22323" s="4" t="s">
        <v>1</v>
      </c>
      <c r="B223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23" s="3" t="str">
        <f>HYPERLINK("https://otsuka-europe-crm.veevavault.com/ui/#object/sent_email__v/VBL000000001806", "SE-001378494")</f>
        <v>SE-001378494</v>
      </c>
      <c r="D22323" s="1" t="s">
        <v>0</v>
      </c>
      <c r="E22323" s="2">
        <v>0</v>
      </c>
      <c r="F22323" s="2">
        <v>0</v>
      </c>
      <c r="G22323" s="2">
        <v>0</v>
      </c>
      <c r="H22323" s="1" t="s">
        <v>0</v>
      </c>
      <c r="I22323" s="2">
        <v>0</v>
      </c>
      <c r="J22323" s="1">
        <v>45957.552106481482</v>
      </c>
    </row>
    <row r="22324" spans="1:10" x14ac:dyDescent="0.2">
      <c r="A22324" s="4" t="s">
        <v>1</v>
      </c>
      <c r="B223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24" s="3" t="str">
        <f>HYPERLINK("https://otsuka-europe-crm.veevavault.com/ui/#object/sent_email__v/VBL000000001807", "SE-001378495")</f>
        <v>SE-001378495</v>
      </c>
      <c r="D22324" s="1">
        <v>45995.357094907406</v>
      </c>
      <c r="E22324" s="2">
        <v>1</v>
      </c>
      <c r="F22324" s="2">
        <v>7</v>
      </c>
      <c r="G22324" s="2">
        <v>0</v>
      </c>
      <c r="H22324" s="1" t="s">
        <v>0</v>
      </c>
      <c r="I22324" s="2">
        <v>0</v>
      </c>
      <c r="J22324" s="1">
        <v>45957.552141203705</v>
      </c>
    </row>
    <row r="22325" spans="1:10" x14ac:dyDescent="0.2">
      <c r="A22325" s="4" t="s">
        <v>1</v>
      </c>
      <c r="B223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25" s="3" t="str">
        <f>HYPERLINK("https://otsuka-europe-crm.veevavault.com/ui/#object/sent_email__v/VBL000000001808", "SE-001378496")</f>
        <v>SE-001378496</v>
      </c>
      <c r="D22325" s="1">
        <v>45957.631342592591</v>
      </c>
      <c r="E22325" s="2">
        <v>1</v>
      </c>
      <c r="F22325" s="2">
        <v>1</v>
      </c>
      <c r="G22325" s="2">
        <v>0</v>
      </c>
      <c r="H22325" s="1" t="s">
        <v>0</v>
      </c>
      <c r="I22325" s="2">
        <v>0</v>
      </c>
      <c r="J22325" s="1">
        <v>45957.552187499998</v>
      </c>
    </row>
    <row r="22326" spans="1:10" x14ac:dyDescent="0.2">
      <c r="A22326" s="4" t="s">
        <v>1</v>
      </c>
      <c r="B223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26" s="3" t="str">
        <f>HYPERLINK("https://otsuka-europe-crm.veevavault.com/ui/#object/sent_email__v/VBL000000001809", "SE-001378497")</f>
        <v>SE-001378497</v>
      </c>
      <c r="D22326" s="1" t="s">
        <v>0</v>
      </c>
      <c r="E22326" s="2">
        <v>0</v>
      </c>
      <c r="F22326" s="2">
        <v>0</v>
      </c>
      <c r="G22326" s="2">
        <v>0</v>
      </c>
      <c r="H22326" s="1" t="s">
        <v>0</v>
      </c>
      <c r="I22326" s="2">
        <v>0</v>
      </c>
      <c r="J22326" s="1">
        <v>45957.552233796298</v>
      </c>
    </row>
    <row r="22327" spans="1:10" x14ac:dyDescent="0.2">
      <c r="A22327" s="4" t="s">
        <v>1</v>
      </c>
      <c r="B223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27" s="3" t="str">
        <f>HYPERLINK("https://otsuka-europe-crm.veevavault.com/ui/#object/sent_email__v/VBL000000001810", "SE-001378498")</f>
        <v>SE-001378498</v>
      </c>
      <c r="D22327" s="1" t="s">
        <v>0</v>
      </c>
      <c r="E22327" s="2">
        <v>0</v>
      </c>
      <c r="F22327" s="2">
        <v>0</v>
      </c>
      <c r="G22327" s="2">
        <v>0</v>
      </c>
      <c r="H22327" s="1" t="s">
        <v>0</v>
      </c>
      <c r="I22327" s="2">
        <v>0</v>
      </c>
      <c r="J22327" s="1">
        <v>45957.552291666667</v>
      </c>
    </row>
    <row r="22328" spans="1:10" x14ac:dyDescent="0.2">
      <c r="A22328" s="4" t="s">
        <v>1</v>
      </c>
      <c r="B223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28" s="3" t="str">
        <f>HYPERLINK("https://otsuka-europe-crm.veevavault.com/ui/#object/sent_email__v/VBL000000001811", "SE-001378499")</f>
        <v>SE-001378499</v>
      </c>
      <c r="D22328" s="1">
        <v>45960.730578703704</v>
      </c>
      <c r="E22328" s="2">
        <v>1</v>
      </c>
      <c r="F22328" s="2">
        <v>4</v>
      </c>
      <c r="G22328" s="2">
        <v>0</v>
      </c>
      <c r="H22328" s="1" t="s">
        <v>0</v>
      </c>
      <c r="I22328" s="2">
        <v>0</v>
      </c>
      <c r="J22328" s="1">
        <v>45957.552349537036</v>
      </c>
    </row>
    <row r="22329" spans="1:10" x14ac:dyDescent="0.2">
      <c r="A22329" s="4" t="s">
        <v>1</v>
      </c>
      <c r="B223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29" s="3" t="str">
        <f>HYPERLINK("https://otsuka-europe-crm.veevavault.com/ui/#object/sent_email__v/VBL000000001812", "SE-001378500")</f>
        <v>SE-001378500</v>
      </c>
      <c r="D22329" s="1">
        <v>45957.552499999998</v>
      </c>
      <c r="E22329" s="2">
        <v>1</v>
      </c>
      <c r="F22329" s="2">
        <v>1</v>
      </c>
      <c r="G22329" s="2">
        <v>0</v>
      </c>
      <c r="H22329" s="1" t="s">
        <v>0</v>
      </c>
      <c r="I22329" s="2">
        <v>0</v>
      </c>
      <c r="J22329" s="1">
        <v>45957.552430555559</v>
      </c>
    </row>
    <row r="22330" spans="1:10" x14ac:dyDescent="0.2">
      <c r="A22330" s="4" t="s">
        <v>1</v>
      </c>
      <c r="B223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30" s="3" t="str">
        <f>HYPERLINK("https://otsuka-europe-crm.veevavault.com/ui/#object/sent_email__v/VBL000000001813", "SE-001378501")</f>
        <v>SE-001378501</v>
      </c>
      <c r="D22330" s="1">
        <v>45957.576249999998</v>
      </c>
      <c r="E22330" s="2">
        <v>1</v>
      </c>
      <c r="F22330" s="2">
        <v>1</v>
      </c>
      <c r="G22330" s="2">
        <v>0</v>
      </c>
      <c r="H22330" s="1" t="s">
        <v>0</v>
      </c>
      <c r="I22330" s="2">
        <v>0</v>
      </c>
      <c r="J22330" s="1">
        <v>45957.552499999998</v>
      </c>
    </row>
    <row r="22331" spans="1:10" x14ac:dyDescent="0.2">
      <c r="A22331" s="4" t="s">
        <v>1</v>
      </c>
      <c r="B223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31" s="3" t="str">
        <f>HYPERLINK("https://otsuka-europe-crm.veevavault.com/ui/#object/sent_email__v/VBL000000001814", "SE-001378502")</f>
        <v>SE-001378502</v>
      </c>
      <c r="D22331" s="1">
        <v>45980.463645833333</v>
      </c>
      <c r="E22331" s="2">
        <v>1</v>
      </c>
      <c r="F22331" s="2">
        <v>2</v>
      </c>
      <c r="G22331" s="2">
        <v>0</v>
      </c>
      <c r="H22331" s="1" t="s">
        <v>0</v>
      </c>
      <c r="I22331" s="2">
        <v>0</v>
      </c>
      <c r="J22331" s="1">
        <v>45957.552557870367</v>
      </c>
    </row>
    <row r="22332" spans="1:10" x14ac:dyDescent="0.2">
      <c r="A22332" s="4" t="s">
        <v>1</v>
      </c>
      <c r="B223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32" s="3" t="str">
        <f>HYPERLINK("https://otsuka-europe-crm.veevavault.com/ui/#object/sent_email__v/VBL000000001815", "SE-001378503")</f>
        <v>SE-001378503</v>
      </c>
      <c r="D22332" s="1">
        <v>46038.450891203705</v>
      </c>
      <c r="E22332" s="2">
        <v>1</v>
      </c>
      <c r="F22332" s="2">
        <v>2</v>
      </c>
      <c r="G22332" s="2">
        <v>0</v>
      </c>
      <c r="H22332" s="1" t="s">
        <v>0</v>
      </c>
      <c r="I22332" s="2">
        <v>0</v>
      </c>
      <c r="J22332" s="1">
        <v>45957.55263888889</v>
      </c>
    </row>
    <row r="22333" spans="1:10" x14ac:dyDescent="0.2">
      <c r="A22333" s="4" t="s">
        <v>1</v>
      </c>
      <c r="B223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33" s="3" t="str">
        <f>HYPERLINK("https://otsuka-europe-crm.veevavault.com/ui/#object/sent_email__v/VBL000000001816", "SE-001378504")</f>
        <v>SE-001378504</v>
      </c>
      <c r="D22333" s="1">
        <v>45957.580046296294</v>
      </c>
      <c r="E22333" s="2">
        <v>1</v>
      </c>
      <c r="F22333" s="2">
        <v>1</v>
      </c>
      <c r="G22333" s="2">
        <v>0</v>
      </c>
      <c r="H22333" s="1" t="s">
        <v>0</v>
      </c>
      <c r="I22333" s="2">
        <v>0</v>
      </c>
      <c r="J22333" s="1">
        <v>45957.552708333336</v>
      </c>
    </row>
    <row r="22334" spans="1:10" x14ac:dyDescent="0.2">
      <c r="A22334" s="4" t="s">
        <v>1</v>
      </c>
      <c r="B223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34" s="3" t="str">
        <f>HYPERLINK("https://otsuka-europe-crm.veevavault.com/ui/#object/sent_email__v/VBL000000001817", "SE-001378505")</f>
        <v>SE-001378505</v>
      </c>
      <c r="D22334" s="1">
        <v>45957.639930555553</v>
      </c>
      <c r="E22334" s="2">
        <v>1</v>
      </c>
      <c r="F22334" s="2">
        <v>1</v>
      </c>
      <c r="G22334" s="2">
        <v>0</v>
      </c>
      <c r="H22334" s="1" t="s">
        <v>0</v>
      </c>
      <c r="I22334" s="2">
        <v>0</v>
      </c>
      <c r="J22334" s="1">
        <v>45957.552766203706</v>
      </c>
    </row>
    <row r="22335" spans="1:10" x14ac:dyDescent="0.2">
      <c r="A22335" s="4" t="s">
        <v>1</v>
      </c>
      <c r="B223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35" s="3" t="str">
        <f>HYPERLINK("https://otsuka-europe-crm.veevavault.com/ui/#object/sent_email__v/VBL000000001818", "SE-001378506")</f>
        <v>SE-001378506</v>
      </c>
      <c r="D22335" s="1">
        <v>45957.570567129631</v>
      </c>
      <c r="E22335" s="2">
        <v>1</v>
      </c>
      <c r="F22335" s="2">
        <v>1</v>
      </c>
      <c r="G22335" s="2">
        <v>0</v>
      </c>
      <c r="H22335" s="1" t="s">
        <v>0</v>
      </c>
      <c r="I22335" s="2">
        <v>0</v>
      </c>
      <c r="J22335" s="1">
        <v>45957.552847222221</v>
      </c>
    </row>
    <row r="22336" spans="1:10" x14ac:dyDescent="0.2">
      <c r="A22336" s="4" t="s">
        <v>1</v>
      </c>
      <c r="B223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36" s="3" t="str">
        <f>HYPERLINK("https://otsuka-europe-crm.veevavault.com/ui/#object/sent_email__v/VBL000000001819", "SE-001378507")</f>
        <v>SE-001378507</v>
      </c>
      <c r="D22336" s="1">
        <v>45957.564976851849</v>
      </c>
      <c r="E22336" s="2">
        <v>1</v>
      </c>
      <c r="F22336" s="2">
        <v>1</v>
      </c>
      <c r="G22336" s="2">
        <v>0</v>
      </c>
      <c r="H22336" s="1" t="s">
        <v>0</v>
      </c>
      <c r="I22336" s="2">
        <v>0</v>
      </c>
      <c r="J22336" s="1">
        <v>45957.552916666667</v>
      </c>
    </row>
    <row r="22337" spans="1:10" x14ac:dyDescent="0.2">
      <c r="A22337" s="4" t="s">
        <v>1</v>
      </c>
      <c r="B223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37" s="3" t="str">
        <f>HYPERLINK("https://otsuka-europe-crm.veevavault.com/ui/#object/sent_email__v/VBL000000001820", "SE-001378508")</f>
        <v>SE-001378508</v>
      </c>
      <c r="D22337" s="1" t="s">
        <v>0</v>
      </c>
      <c r="E22337" s="2">
        <v>0</v>
      </c>
      <c r="F22337" s="2">
        <v>0</v>
      </c>
      <c r="G22337" s="2">
        <v>0</v>
      </c>
      <c r="H22337" s="1" t="s">
        <v>0</v>
      </c>
      <c r="I22337" s="2">
        <v>0</v>
      </c>
      <c r="J22337" s="1">
        <v>45957.552997685183</v>
      </c>
    </row>
    <row r="22338" spans="1:10" x14ac:dyDescent="0.2">
      <c r="A22338" s="4" t="s">
        <v>1</v>
      </c>
      <c r="B223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38" s="3" t="str">
        <f>HYPERLINK("https://otsuka-europe-crm.veevavault.com/ui/#object/sent_email__v/VBL000000001821", "SE-001378509")</f>
        <v>SE-001378509</v>
      </c>
      <c r="D22338" s="1">
        <v>45957.575509259259</v>
      </c>
      <c r="E22338" s="2">
        <v>1</v>
      </c>
      <c r="F22338" s="2">
        <v>2</v>
      </c>
      <c r="G22338" s="2">
        <v>0</v>
      </c>
      <c r="H22338" s="1" t="s">
        <v>0</v>
      </c>
      <c r="I22338" s="2">
        <v>0</v>
      </c>
      <c r="J22338" s="1">
        <v>45957.553055555552</v>
      </c>
    </row>
    <row r="22339" spans="1:10" x14ac:dyDescent="0.2">
      <c r="A22339" s="4" t="s">
        <v>1</v>
      </c>
      <c r="B223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39" s="3" t="str">
        <f>HYPERLINK("https://otsuka-europe-crm.veevavault.com/ui/#object/sent_email__v/VBL000000001822", "SE-001378510")</f>
        <v>SE-001378510</v>
      </c>
      <c r="D22339" s="1" t="s">
        <v>0</v>
      </c>
      <c r="E22339" s="2">
        <v>0</v>
      </c>
      <c r="F22339" s="2">
        <v>0</v>
      </c>
      <c r="G22339" s="2">
        <v>0</v>
      </c>
      <c r="H22339" s="1" t="s">
        <v>0</v>
      </c>
      <c r="I22339" s="2">
        <v>0</v>
      </c>
      <c r="J22339" s="1">
        <v>45957.553124999999</v>
      </c>
    </row>
    <row r="22340" spans="1:10" x14ac:dyDescent="0.2">
      <c r="A22340" s="4" t="s">
        <v>1</v>
      </c>
      <c r="B223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40" s="3" t="str">
        <f>HYPERLINK("https://otsuka-europe-crm.veevavault.com/ui/#object/sent_email__v/VBL000000001823", "SE-001378511")</f>
        <v>SE-001378511</v>
      </c>
      <c r="D22340" s="1" t="s">
        <v>0</v>
      </c>
      <c r="E22340" s="2">
        <v>0</v>
      </c>
      <c r="F22340" s="2">
        <v>0</v>
      </c>
      <c r="G22340" s="2">
        <v>0</v>
      </c>
      <c r="H22340" s="1" t="s">
        <v>0</v>
      </c>
      <c r="I22340" s="2">
        <v>0</v>
      </c>
      <c r="J22340" s="1">
        <v>45957.553206018521</v>
      </c>
    </row>
    <row r="22341" spans="1:10" x14ac:dyDescent="0.2">
      <c r="A22341" s="4" t="s">
        <v>1</v>
      </c>
      <c r="B223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41" s="3" t="str">
        <f>HYPERLINK("https://otsuka-europe-crm.veevavault.com/ui/#object/sent_email__v/VBL000000001824", "SE-001378512")</f>
        <v>SE-001378512</v>
      </c>
      <c r="D22341" s="1">
        <v>45987.292488425926</v>
      </c>
      <c r="E22341" s="2">
        <v>1</v>
      </c>
      <c r="F22341" s="2">
        <v>7</v>
      </c>
      <c r="G22341" s="2">
        <v>0</v>
      </c>
      <c r="H22341" s="1" t="s">
        <v>0</v>
      </c>
      <c r="I22341" s="2">
        <v>0</v>
      </c>
      <c r="J22341" s="1">
        <v>45957.553263888891</v>
      </c>
    </row>
    <row r="22342" spans="1:10" x14ac:dyDescent="0.2">
      <c r="A22342" s="4" t="s">
        <v>1</v>
      </c>
      <c r="B223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42" s="3" t="str">
        <f>HYPERLINK("https://otsuka-europe-crm.veevavault.com/ui/#object/sent_email__v/VBL000000001825", "SE-001378513")</f>
        <v>SE-001378513</v>
      </c>
      <c r="D22342" s="1" t="s">
        <v>0</v>
      </c>
      <c r="E22342" s="2">
        <v>0</v>
      </c>
      <c r="F22342" s="2">
        <v>0</v>
      </c>
      <c r="G22342" s="2">
        <v>0</v>
      </c>
      <c r="H22342" s="1" t="s">
        <v>0</v>
      </c>
      <c r="I22342" s="2">
        <v>0</v>
      </c>
      <c r="J22342" s="1">
        <v>45957.553344907406</v>
      </c>
    </row>
    <row r="22343" spans="1:10" x14ac:dyDescent="0.2">
      <c r="A22343" s="4" t="s">
        <v>1</v>
      </c>
      <c r="B223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43" s="3" t="str">
        <f>HYPERLINK("https://otsuka-europe-crm.veevavault.com/ui/#object/sent_email__v/VBL000000001826", "SE-001378514")</f>
        <v>SE-001378514</v>
      </c>
      <c r="D22343" s="1">
        <v>45957.555312500001</v>
      </c>
      <c r="E22343" s="2">
        <v>1</v>
      </c>
      <c r="F22343" s="2">
        <v>2</v>
      </c>
      <c r="G22343" s="2">
        <v>0</v>
      </c>
      <c r="H22343" s="1" t="s">
        <v>0</v>
      </c>
      <c r="I22343" s="2">
        <v>0</v>
      </c>
      <c r="J22343" s="1">
        <v>45957.553402777776</v>
      </c>
    </row>
    <row r="22344" spans="1:10" x14ac:dyDescent="0.2">
      <c r="A22344" s="4" t="s">
        <v>1</v>
      </c>
      <c r="B223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44" s="3" t="str">
        <f>HYPERLINK("https://otsuka-europe-crm.veevavault.com/ui/#object/sent_email__v/VBL000000001827", "SE-001378515")</f>
        <v>SE-001378515</v>
      </c>
      <c r="D22344" s="1" t="s">
        <v>0</v>
      </c>
      <c r="E22344" s="2">
        <v>0</v>
      </c>
      <c r="F22344" s="2">
        <v>0</v>
      </c>
      <c r="G22344" s="2">
        <v>0</v>
      </c>
      <c r="H22344" s="1" t="s">
        <v>0</v>
      </c>
      <c r="I22344" s="2">
        <v>0</v>
      </c>
      <c r="J22344" s="1">
        <v>45957.553483796299</v>
      </c>
    </row>
    <row r="22345" spans="1:10" x14ac:dyDescent="0.2">
      <c r="A22345" s="4" t="s">
        <v>1</v>
      </c>
      <c r="B223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45" s="3" t="str">
        <f>HYPERLINK("https://otsuka-europe-crm.veevavault.com/ui/#object/sent_email__v/VBL000000001828", "SE-001378516")</f>
        <v>SE-001378516</v>
      </c>
      <c r="D22345" s="1">
        <v>45957.915902777779</v>
      </c>
      <c r="E22345" s="2">
        <v>1</v>
      </c>
      <c r="F22345" s="2">
        <v>1</v>
      </c>
      <c r="G22345" s="2">
        <v>0</v>
      </c>
      <c r="H22345" s="1" t="s">
        <v>0</v>
      </c>
      <c r="I22345" s="2">
        <v>0</v>
      </c>
      <c r="J22345" s="1">
        <v>45957.553587962961</v>
      </c>
    </row>
    <row r="22346" spans="1:10" x14ac:dyDescent="0.2">
      <c r="A22346" s="4" t="s">
        <v>1</v>
      </c>
      <c r="B223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46" s="3" t="str">
        <f>HYPERLINK("https://otsuka-europe-crm.veevavault.com/ui/#object/sent_email__v/VBL000000001829", "SE-001378517")</f>
        <v>SE-001378517</v>
      </c>
      <c r="D22346" s="1" t="s">
        <v>0</v>
      </c>
      <c r="E22346" s="2">
        <v>0</v>
      </c>
      <c r="F22346" s="2">
        <v>0</v>
      </c>
      <c r="G22346" s="2">
        <v>0</v>
      </c>
      <c r="H22346" s="1" t="s">
        <v>0</v>
      </c>
      <c r="I22346" s="2">
        <v>0</v>
      </c>
      <c r="J22346" s="1">
        <v>45957.55364583333</v>
      </c>
    </row>
    <row r="22347" spans="1:10" x14ac:dyDescent="0.2">
      <c r="A22347" s="4" t="s">
        <v>1</v>
      </c>
      <c r="B223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47" s="3" t="str">
        <f>HYPERLINK("https://otsuka-europe-crm.veevavault.com/ui/#object/sent_email__v/VBL000000001830", "SE-001378518")</f>
        <v>SE-001378518</v>
      </c>
      <c r="D22347" s="1" t="s">
        <v>0</v>
      </c>
      <c r="E22347" s="2">
        <v>0</v>
      </c>
      <c r="F22347" s="2">
        <v>0</v>
      </c>
      <c r="G22347" s="2">
        <v>0</v>
      </c>
      <c r="H22347" s="1" t="s">
        <v>0</v>
      </c>
      <c r="I22347" s="2">
        <v>0</v>
      </c>
      <c r="J22347" s="1">
        <v>45957.553749999999</v>
      </c>
    </row>
    <row r="22348" spans="1:10" x14ac:dyDescent="0.2">
      <c r="A22348" s="4" t="s">
        <v>1</v>
      </c>
      <c r="B223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48" s="3" t="str">
        <f>HYPERLINK("https://otsuka-europe-crm.veevavault.com/ui/#object/sent_email__v/VBL000000001831", "SE-001378519")</f>
        <v>SE-001378519</v>
      </c>
      <c r="D22348" s="1" t="s">
        <v>0</v>
      </c>
      <c r="E22348" s="2">
        <v>0</v>
      </c>
      <c r="F22348" s="2">
        <v>0</v>
      </c>
      <c r="G22348" s="2">
        <v>0</v>
      </c>
      <c r="H22348" s="1" t="s">
        <v>0</v>
      </c>
      <c r="I22348" s="2">
        <v>0</v>
      </c>
      <c r="J22348" s="1">
        <v>45957.553796296299</v>
      </c>
    </row>
    <row r="22349" spans="1:10" x14ac:dyDescent="0.2">
      <c r="A22349" s="4" t="s">
        <v>1</v>
      </c>
      <c r="B223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49" s="3" t="str">
        <f>HYPERLINK("https://otsuka-europe-crm.veevavault.com/ui/#object/sent_email__v/VBL000000001832", "SE-001378520")</f>
        <v>SE-001378520</v>
      </c>
      <c r="D22349" s="1">
        <v>45958.277812499997</v>
      </c>
      <c r="E22349" s="2">
        <v>1</v>
      </c>
      <c r="F22349" s="2">
        <v>4</v>
      </c>
      <c r="G22349" s="2">
        <v>0</v>
      </c>
      <c r="H22349" s="1" t="s">
        <v>0</v>
      </c>
      <c r="I22349" s="2">
        <v>0</v>
      </c>
      <c r="J22349" s="1">
        <v>45957.553877314815</v>
      </c>
    </row>
    <row r="22350" spans="1:10" x14ac:dyDescent="0.2">
      <c r="A22350" s="4" t="s">
        <v>1</v>
      </c>
      <c r="B223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50" s="3" t="str">
        <f>HYPERLINK("https://otsuka-europe-crm.veevavault.com/ui/#object/sent_email__v/VBL000000001833", "SE-001378521")</f>
        <v>SE-001378521</v>
      </c>
      <c r="D22350" s="1">
        <v>45957.620173611111</v>
      </c>
      <c r="E22350" s="2">
        <v>1</v>
      </c>
      <c r="F22350" s="2">
        <v>1</v>
      </c>
      <c r="G22350" s="2">
        <v>1</v>
      </c>
      <c r="H22350" s="1">
        <v>45957.620706018519</v>
      </c>
      <c r="I22350" s="2">
        <v>1</v>
      </c>
      <c r="J22350" s="1">
        <v>45957.553946759261</v>
      </c>
    </row>
    <row r="22351" spans="1:10" x14ac:dyDescent="0.2">
      <c r="A22351" s="4" t="s">
        <v>1</v>
      </c>
      <c r="B223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51" s="3" t="str">
        <f>HYPERLINK("https://otsuka-europe-crm.veevavault.com/ui/#object/sent_email__v/VBL000000001834", "SE-001378522")</f>
        <v>SE-001378522</v>
      </c>
      <c r="D22351" s="1">
        <v>45963.735671296294</v>
      </c>
      <c r="E22351" s="2">
        <v>1</v>
      </c>
      <c r="F22351" s="2">
        <v>3</v>
      </c>
      <c r="G22351" s="2">
        <v>0</v>
      </c>
      <c r="H22351" s="1" t="s">
        <v>0</v>
      </c>
      <c r="I22351" s="2">
        <v>0</v>
      </c>
      <c r="J22351" s="1">
        <v>45957.554027777776</v>
      </c>
    </row>
    <row r="22352" spans="1:10" x14ac:dyDescent="0.2">
      <c r="A22352" s="4" t="s">
        <v>1</v>
      </c>
      <c r="B223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52" s="3" t="str">
        <f>HYPERLINK("https://otsuka-europe-crm.veevavault.com/ui/#object/sent_email__v/VBL000000001835", "SE-001378523")</f>
        <v>SE-001378523</v>
      </c>
      <c r="D22352" s="1">
        <v>45958.217152777775</v>
      </c>
      <c r="E22352" s="2">
        <v>1</v>
      </c>
      <c r="F22352" s="2">
        <v>2</v>
      </c>
      <c r="G22352" s="2">
        <v>0</v>
      </c>
      <c r="H22352" s="1" t="s">
        <v>0</v>
      </c>
      <c r="I22352" s="2">
        <v>0</v>
      </c>
      <c r="J22352" s="1">
        <v>45957.554120370369</v>
      </c>
    </row>
    <row r="22353" spans="1:10" x14ac:dyDescent="0.2">
      <c r="A22353" s="4" t="s">
        <v>1</v>
      </c>
      <c r="B223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53" s="3" t="str">
        <f>HYPERLINK("https://otsuka-europe-crm.veevavault.com/ui/#object/sent_email__v/VBL000000001836", "SE-001378524")</f>
        <v>SE-001378524</v>
      </c>
      <c r="D22353" s="1">
        <v>45982.394224537034</v>
      </c>
      <c r="E22353" s="2">
        <v>1</v>
      </c>
      <c r="F22353" s="2">
        <v>1</v>
      </c>
      <c r="G22353" s="2">
        <v>0</v>
      </c>
      <c r="H22353" s="1" t="s">
        <v>0</v>
      </c>
      <c r="I22353" s="2">
        <v>0</v>
      </c>
      <c r="J22353" s="1">
        <v>45957.554155092592</v>
      </c>
    </row>
    <row r="22354" spans="1:10" x14ac:dyDescent="0.2">
      <c r="A22354" s="4" t="s">
        <v>1</v>
      </c>
      <c r="B223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54" s="3" t="str">
        <f>HYPERLINK("https://otsuka-europe-crm.veevavault.com/ui/#object/sent_email__v/VBL000000001837", "SE-001378525")</f>
        <v>SE-001378525</v>
      </c>
      <c r="D22354" s="1">
        <v>45958.876597222225</v>
      </c>
      <c r="E22354" s="2">
        <v>1</v>
      </c>
      <c r="F22354" s="2">
        <v>6</v>
      </c>
      <c r="G22354" s="2">
        <v>0</v>
      </c>
      <c r="H22354" s="1" t="s">
        <v>0</v>
      </c>
      <c r="I22354" s="2">
        <v>0</v>
      </c>
      <c r="J22354" s="1">
        <v>45957.554236111115</v>
      </c>
    </row>
    <row r="22355" spans="1:10" x14ac:dyDescent="0.2">
      <c r="A22355" s="4" t="s">
        <v>1</v>
      </c>
      <c r="B223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55" s="3" t="str">
        <f>HYPERLINK("https://otsuka-europe-crm.veevavault.com/ui/#object/sent_email__v/VBL000000001838", "SE-001378526")</f>
        <v>SE-001378526</v>
      </c>
      <c r="D22355" s="1" t="s">
        <v>0</v>
      </c>
      <c r="E22355" s="2">
        <v>0</v>
      </c>
      <c r="F22355" s="2">
        <v>0</v>
      </c>
      <c r="G22355" s="2">
        <v>0</v>
      </c>
      <c r="H22355" s="1" t="s">
        <v>0</v>
      </c>
      <c r="I22355" s="2">
        <v>0</v>
      </c>
      <c r="J22355" s="1">
        <v>45957.554305555554</v>
      </c>
    </row>
    <row r="22356" spans="1:10" x14ac:dyDescent="0.2">
      <c r="A22356" s="4" t="s">
        <v>1</v>
      </c>
      <c r="B223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56" s="3" t="str">
        <f>HYPERLINK("https://otsuka-europe-crm.veevavault.com/ui/#object/sent_email__v/VBL000000001839", "SE-001378527")</f>
        <v>SE-001378527</v>
      </c>
      <c r="D22356" s="1" t="s">
        <v>0</v>
      </c>
      <c r="E22356" s="2">
        <v>0</v>
      </c>
      <c r="F22356" s="2">
        <v>0</v>
      </c>
      <c r="G22356" s="2">
        <v>0</v>
      </c>
      <c r="H22356" s="1" t="s">
        <v>0</v>
      </c>
      <c r="I22356" s="2">
        <v>0</v>
      </c>
      <c r="J22356" s="1">
        <v>45957.554363425923</v>
      </c>
    </row>
    <row r="22357" spans="1:10" x14ac:dyDescent="0.2">
      <c r="A22357" s="4" t="s">
        <v>1</v>
      </c>
      <c r="B223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57" s="3" t="str">
        <f>HYPERLINK("https://otsuka-europe-crm.veevavault.com/ui/#object/sent_email__v/VBL000000001840", "SE-001378528")</f>
        <v>SE-001378528</v>
      </c>
      <c r="D22357" s="1">
        <v>45960.236678240741</v>
      </c>
      <c r="E22357" s="2">
        <v>1</v>
      </c>
      <c r="F22357" s="2">
        <v>1</v>
      </c>
      <c r="G22357" s="2">
        <v>0</v>
      </c>
      <c r="H22357" s="1" t="s">
        <v>0</v>
      </c>
      <c r="I22357" s="2">
        <v>0</v>
      </c>
      <c r="J22357" s="1">
        <v>45957.554444444446</v>
      </c>
    </row>
    <row r="22358" spans="1:10" x14ac:dyDescent="0.2">
      <c r="A22358" s="4" t="s">
        <v>1</v>
      </c>
      <c r="B223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58" s="3" t="str">
        <f>HYPERLINK("https://otsuka-europe-crm.veevavault.com/ui/#object/sent_email__v/VBL000000001841", "SE-001378529")</f>
        <v>SE-001378529</v>
      </c>
      <c r="D22358" s="1">
        <v>45957.790856481479</v>
      </c>
      <c r="E22358" s="2">
        <v>1</v>
      </c>
      <c r="F22358" s="2">
        <v>1</v>
      </c>
      <c r="G22358" s="2">
        <v>1</v>
      </c>
      <c r="H22358" s="1">
        <v>45957.790856481479</v>
      </c>
      <c r="I22358" s="2">
        <v>1</v>
      </c>
      <c r="J22358" s="1">
        <v>45957.554502314815</v>
      </c>
    </row>
    <row r="22359" spans="1:10" x14ac:dyDescent="0.2">
      <c r="A22359" s="4" t="s">
        <v>1</v>
      </c>
      <c r="B223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59" s="3" t="str">
        <f>HYPERLINK("https://otsuka-europe-crm.veevavault.com/ui/#object/sent_email__v/VBL000000001842", "SE-001378530")</f>
        <v>SE-001378530</v>
      </c>
      <c r="D22359" s="1">
        <v>45963.43577546296</v>
      </c>
      <c r="E22359" s="2">
        <v>1</v>
      </c>
      <c r="F22359" s="2">
        <v>3</v>
      </c>
      <c r="G22359" s="2">
        <v>0</v>
      </c>
      <c r="H22359" s="1" t="s">
        <v>0</v>
      </c>
      <c r="I22359" s="2">
        <v>0</v>
      </c>
      <c r="J22359" s="1">
        <v>45957.554571759261</v>
      </c>
    </row>
    <row r="22360" spans="1:10" x14ac:dyDescent="0.2">
      <c r="A22360" s="4" t="s">
        <v>1</v>
      </c>
      <c r="B223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60" s="3" t="str">
        <f>HYPERLINK("https://otsuka-europe-crm.veevavault.com/ui/#object/sent_email__v/VBL000000001843", "SE-001378531")</f>
        <v>SE-001378531</v>
      </c>
      <c r="D22360" s="1" t="s">
        <v>0</v>
      </c>
      <c r="E22360" s="2">
        <v>0</v>
      </c>
      <c r="F22360" s="2">
        <v>0</v>
      </c>
      <c r="G22360" s="2">
        <v>0</v>
      </c>
      <c r="H22360" s="1" t="s">
        <v>0</v>
      </c>
      <c r="I22360" s="2">
        <v>0</v>
      </c>
      <c r="J22360" s="1">
        <v>45957.5546412037</v>
      </c>
    </row>
    <row r="22361" spans="1:10" x14ac:dyDescent="0.2">
      <c r="A22361" s="4" t="s">
        <v>1</v>
      </c>
      <c r="B223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61" s="3" t="str">
        <f>HYPERLINK("https://otsuka-europe-crm.veevavault.com/ui/#object/sent_email__v/VBL000000001844", "SE-001378532")</f>
        <v>SE-001378532</v>
      </c>
      <c r="D22361" s="1">
        <v>45959.291192129633</v>
      </c>
      <c r="E22361" s="2">
        <v>1</v>
      </c>
      <c r="F22361" s="2">
        <v>1</v>
      </c>
      <c r="G22361" s="2">
        <v>0</v>
      </c>
      <c r="H22361" s="1" t="s">
        <v>0</v>
      </c>
      <c r="I22361" s="2">
        <v>0</v>
      </c>
      <c r="J22361" s="1">
        <v>45957.554722222223</v>
      </c>
    </row>
    <row r="22362" spans="1:10" x14ac:dyDescent="0.2">
      <c r="A22362" s="4" t="s">
        <v>1</v>
      </c>
      <c r="B223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62" s="3" t="str">
        <f>HYPERLINK("https://otsuka-europe-crm.veevavault.com/ui/#object/sent_email__v/VBL000000001845", "SE-001378533")</f>
        <v>SE-001378533</v>
      </c>
      <c r="D22362" s="1">
        <v>45957.61515046296</v>
      </c>
      <c r="E22362" s="2">
        <v>1</v>
      </c>
      <c r="F22362" s="2">
        <v>1</v>
      </c>
      <c r="G22362" s="2">
        <v>0</v>
      </c>
      <c r="H22362" s="1" t="s">
        <v>0</v>
      </c>
      <c r="I22362" s="2">
        <v>0</v>
      </c>
      <c r="J22362" s="1">
        <v>45957.554780092592</v>
      </c>
    </row>
    <row r="22363" spans="1:10" x14ac:dyDescent="0.2">
      <c r="A22363" s="4" t="s">
        <v>1</v>
      </c>
      <c r="B223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63" s="3" t="str">
        <f>HYPERLINK("https://otsuka-europe-crm.veevavault.com/ui/#object/sent_email__v/VBL000000001846", "SE-001378534")</f>
        <v>SE-001378534</v>
      </c>
      <c r="D22363" s="1">
        <v>45957.583854166667</v>
      </c>
      <c r="E22363" s="2">
        <v>1</v>
      </c>
      <c r="F22363" s="2">
        <v>1</v>
      </c>
      <c r="G22363" s="2">
        <v>0</v>
      </c>
      <c r="H22363" s="1" t="s">
        <v>0</v>
      </c>
      <c r="I22363" s="2">
        <v>0</v>
      </c>
      <c r="J22363" s="1">
        <v>45957.554849537039</v>
      </c>
    </row>
    <row r="22364" spans="1:10" x14ac:dyDescent="0.2">
      <c r="A22364" s="4" t="s">
        <v>1</v>
      </c>
      <c r="B223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64" s="3" t="str">
        <f>HYPERLINK("https://otsuka-europe-crm.veevavault.com/ui/#object/sent_email__v/VBL000000001847", "SE-001378535")</f>
        <v>SE-001378535</v>
      </c>
      <c r="D22364" s="1" t="s">
        <v>0</v>
      </c>
      <c r="E22364" s="2">
        <v>0</v>
      </c>
      <c r="F22364" s="2">
        <v>0</v>
      </c>
      <c r="G22364" s="2">
        <v>0</v>
      </c>
      <c r="H22364" s="1" t="s">
        <v>0</v>
      </c>
      <c r="I22364" s="2">
        <v>0</v>
      </c>
      <c r="J22364" s="1">
        <v>45957.554930555554</v>
      </c>
    </row>
    <row r="22365" spans="1:10" x14ac:dyDescent="0.2">
      <c r="A22365" s="4" t="s">
        <v>1</v>
      </c>
      <c r="B223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65" s="3" t="str">
        <f>HYPERLINK("https://otsuka-europe-crm.veevavault.com/ui/#object/sent_email__v/VBL000000001848", "SE-001378536")</f>
        <v>SE-001378536</v>
      </c>
      <c r="D22365" s="1">
        <v>45959.854305555556</v>
      </c>
      <c r="E22365" s="2">
        <v>1</v>
      </c>
      <c r="F22365" s="2">
        <v>3</v>
      </c>
      <c r="G22365" s="2">
        <v>0</v>
      </c>
      <c r="H22365" s="1" t="s">
        <v>0</v>
      </c>
      <c r="I22365" s="2">
        <v>0</v>
      </c>
      <c r="J22365" s="1">
        <v>45957.555011574077</v>
      </c>
    </row>
    <row r="22366" spans="1:10" x14ac:dyDescent="0.2">
      <c r="A22366" s="4" t="s">
        <v>1</v>
      </c>
      <c r="B223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66" s="3" t="str">
        <f>HYPERLINK("https://otsuka-europe-crm.veevavault.com/ui/#object/sent_email__v/VBL000000001849", "SE-001378537")</f>
        <v>SE-001378537</v>
      </c>
      <c r="D22366" s="1" t="s">
        <v>0</v>
      </c>
      <c r="E22366" s="2">
        <v>0</v>
      </c>
      <c r="F22366" s="2">
        <v>0</v>
      </c>
      <c r="G22366" s="2">
        <v>0</v>
      </c>
      <c r="H22366" s="1" t="s">
        <v>0</v>
      </c>
      <c r="I22366" s="2">
        <v>0</v>
      </c>
      <c r="J22366" s="1">
        <v>45957.555081018516</v>
      </c>
    </row>
    <row r="22367" spans="1:10" x14ac:dyDescent="0.2">
      <c r="A22367" s="4" t="s">
        <v>1</v>
      </c>
      <c r="B223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67" s="3" t="str">
        <f>HYPERLINK("https://otsuka-europe-crm.veevavault.com/ui/#object/sent_email__v/VBL000000001850", "SE-001378538")</f>
        <v>SE-001378538</v>
      </c>
      <c r="D22367" s="1" t="s">
        <v>0</v>
      </c>
      <c r="E22367" s="2">
        <v>0</v>
      </c>
      <c r="F22367" s="2">
        <v>0</v>
      </c>
      <c r="G22367" s="2">
        <v>0</v>
      </c>
      <c r="H22367" s="1" t="s">
        <v>0</v>
      </c>
      <c r="I22367" s="2">
        <v>0</v>
      </c>
      <c r="J22367" s="1">
        <v>45957.555150462962</v>
      </c>
    </row>
    <row r="22368" spans="1:10" x14ac:dyDescent="0.2">
      <c r="A22368" s="4" t="s">
        <v>1</v>
      </c>
      <c r="B223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68" s="3" t="str">
        <f>HYPERLINK("https://otsuka-europe-crm.veevavault.com/ui/#object/sent_email__v/VBL000000001851", "SE-001378539")</f>
        <v>SE-001378539</v>
      </c>
      <c r="D22368" s="1">
        <v>45957.6328587963</v>
      </c>
      <c r="E22368" s="2">
        <v>1</v>
      </c>
      <c r="F22368" s="2">
        <v>1</v>
      </c>
      <c r="G22368" s="2">
        <v>0</v>
      </c>
      <c r="H22368" s="1" t="s">
        <v>0</v>
      </c>
      <c r="I22368" s="2">
        <v>0</v>
      </c>
      <c r="J22368" s="1">
        <v>45957.555219907408</v>
      </c>
    </row>
    <row r="22369" spans="1:10" x14ac:dyDescent="0.2">
      <c r="A22369" s="4" t="s">
        <v>1</v>
      </c>
      <c r="B223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69" s="3" t="str">
        <f>HYPERLINK("https://otsuka-europe-crm.veevavault.com/ui/#object/sent_email__v/VBL000000002010", "SE-001378540")</f>
        <v>SE-001378540</v>
      </c>
      <c r="D22369" s="1">
        <v>45957.538958333331</v>
      </c>
      <c r="E22369" s="2">
        <v>1</v>
      </c>
      <c r="F22369" s="2">
        <v>1</v>
      </c>
      <c r="G22369" s="2">
        <v>0</v>
      </c>
      <c r="H22369" s="1" t="s">
        <v>0</v>
      </c>
      <c r="I22369" s="2">
        <v>0</v>
      </c>
      <c r="J22369" s="1">
        <v>45957.537592592591</v>
      </c>
    </row>
    <row r="22370" spans="1:10" x14ac:dyDescent="0.2">
      <c r="A22370" s="4" t="s">
        <v>1</v>
      </c>
      <c r="B223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70" s="3" t="str">
        <f>HYPERLINK("https://otsuka-europe-crm.veevavault.com/ui/#object/sent_email__v/VBL000000002011", "SE-001378541")</f>
        <v>SE-001378541</v>
      </c>
      <c r="D22370" s="1" t="s">
        <v>0</v>
      </c>
      <c r="E22370" s="2">
        <v>0</v>
      </c>
      <c r="F22370" s="2">
        <v>0</v>
      </c>
      <c r="G22370" s="2">
        <v>0</v>
      </c>
      <c r="H22370" s="1" t="s">
        <v>0</v>
      </c>
      <c r="I22370" s="2">
        <v>0</v>
      </c>
      <c r="J22370" s="1">
        <v>45957.537685185183</v>
      </c>
    </row>
    <row r="22371" spans="1:10" x14ac:dyDescent="0.2">
      <c r="A22371" s="4" t="s">
        <v>1</v>
      </c>
      <c r="B223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71" s="3" t="str">
        <f>HYPERLINK("https://otsuka-europe-crm.veevavault.com/ui/#object/sent_email__v/VBL000000002012", "SE-001378542")</f>
        <v>SE-001378542</v>
      </c>
      <c r="D22371" s="1">
        <v>45959.321875000001</v>
      </c>
      <c r="E22371" s="2">
        <v>1</v>
      </c>
      <c r="F22371" s="2">
        <v>6</v>
      </c>
      <c r="G22371" s="2">
        <v>0</v>
      </c>
      <c r="H22371" s="1" t="s">
        <v>0</v>
      </c>
      <c r="I22371" s="2">
        <v>0</v>
      </c>
      <c r="J22371" s="1">
        <v>45957.537766203706</v>
      </c>
    </row>
    <row r="22372" spans="1:10" x14ac:dyDescent="0.2">
      <c r="A22372" s="4" t="s">
        <v>1</v>
      </c>
      <c r="B223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72" s="3" t="str">
        <f>HYPERLINK("https://otsuka-europe-crm.veevavault.com/ui/#object/sent_email__v/VBL000000002013", "SE-001378543")</f>
        <v>SE-001378543</v>
      </c>
      <c r="D22372" s="1" t="s">
        <v>0</v>
      </c>
      <c r="E22372" s="2">
        <v>0</v>
      </c>
      <c r="F22372" s="2">
        <v>0</v>
      </c>
      <c r="G22372" s="2">
        <v>0</v>
      </c>
      <c r="H22372" s="1" t="s">
        <v>0</v>
      </c>
      <c r="I22372" s="2">
        <v>0</v>
      </c>
      <c r="J22372" s="1">
        <v>45957.537847222222</v>
      </c>
    </row>
    <row r="22373" spans="1:10" x14ac:dyDescent="0.2">
      <c r="A22373" s="4" t="s">
        <v>1</v>
      </c>
      <c r="B223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73" s="3" t="str">
        <f>HYPERLINK("https://otsuka-europe-crm.veevavault.com/ui/#object/sent_email__v/VBL000000002014", "SE-001378544")</f>
        <v>SE-001378544</v>
      </c>
      <c r="D22373" s="1">
        <v>45957.54515046296</v>
      </c>
      <c r="E22373" s="2">
        <v>1</v>
      </c>
      <c r="F22373" s="2">
        <v>1</v>
      </c>
      <c r="G22373" s="2">
        <v>0</v>
      </c>
      <c r="H22373" s="1" t="s">
        <v>0</v>
      </c>
      <c r="I22373" s="2">
        <v>0</v>
      </c>
      <c r="J22373" s="1">
        <v>45957.537916666668</v>
      </c>
    </row>
    <row r="22374" spans="1:10" x14ac:dyDescent="0.2">
      <c r="A22374" s="4" t="s">
        <v>1</v>
      </c>
      <c r="B223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74" s="3" t="str">
        <f>HYPERLINK("https://otsuka-europe-crm.veevavault.com/ui/#object/sent_email__v/VBL000000002015", "SE-001378545")</f>
        <v>SE-001378545</v>
      </c>
      <c r="D22374" s="1">
        <v>45967.859548611108</v>
      </c>
      <c r="E22374" s="2">
        <v>1</v>
      </c>
      <c r="F22374" s="2">
        <v>2</v>
      </c>
      <c r="G22374" s="2">
        <v>0</v>
      </c>
      <c r="H22374" s="1" t="s">
        <v>0</v>
      </c>
      <c r="I22374" s="2">
        <v>0</v>
      </c>
      <c r="J22374" s="1">
        <v>45957.537986111114</v>
      </c>
    </row>
    <row r="22375" spans="1:10" x14ac:dyDescent="0.2">
      <c r="A22375" s="4" t="s">
        <v>1</v>
      </c>
      <c r="B223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75" s="3" t="str">
        <f>HYPERLINK("https://otsuka-europe-crm.veevavault.com/ui/#object/sent_email__v/VBL000000002016", "SE-001378546")</f>
        <v>SE-001378546</v>
      </c>
      <c r="D22375" s="1">
        <v>45957.713807870372</v>
      </c>
      <c r="E22375" s="2">
        <v>1</v>
      </c>
      <c r="F22375" s="2">
        <v>2</v>
      </c>
      <c r="G22375" s="2">
        <v>0</v>
      </c>
      <c r="H22375" s="1" t="s">
        <v>0</v>
      </c>
      <c r="I22375" s="2">
        <v>0</v>
      </c>
      <c r="J22375" s="1">
        <v>45957.53806712963</v>
      </c>
    </row>
    <row r="22376" spans="1:10" x14ac:dyDescent="0.2">
      <c r="A22376" s="4" t="s">
        <v>1</v>
      </c>
      <c r="B223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76" s="3" t="str">
        <f>HYPERLINK("https://otsuka-europe-crm.veevavault.com/ui/#object/sent_email__v/VBL000000002017", "SE-001378547")</f>
        <v>SE-001378547</v>
      </c>
      <c r="D22376" s="1">
        <v>45962.387453703705</v>
      </c>
      <c r="E22376" s="2">
        <v>1</v>
      </c>
      <c r="F22376" s="2">
        <v>5</v>
      </c>
      <c r="G22376" s="2">
        <v>1</v>
      </c>
      <c r="H22376" s="1">
        <v>45957.610844907409</v>
      </c>
      <c r="I22376" s="2">
        <v>1</v>
      </c>
      <c r="J22376" s="1">
        <v>45957.538124999999</v>
      </c>
    </row>
    <row r="22377" spans="1:10" x14ac:dyDescent="0.2">
      <c r="A22377" s="4" t="s">
        <v>1</v>
      </c>
      <c r="B223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77" s="3" t="str">
        <f>HYPERLINK("https://otsuka-europe-crm.veevavault.com/ui/#object/sent_email__v/VBL000000002018", "SE-001378548")</f>
        <v>SE-001378548</v>
      </c>
      <c r="D22377" s="1" t="s">
        <v>0</v>
      </c>
      <c r="E22377" s="2">
        <v>0</v>
      </c>
      <c r="F22377" s="2">
        <v>0</v>
      </c>
      <c r="G22377" s="2">
        <v>0</v>
      </c>
      <c r="H22377" s="1" t="s">
        <v>0</v>
      </c>
      <c r="I22377" s="2">
        <v>0</v>
      </c>
      <c r="J22377" s="1">
        <v>45957.538194444445</v>
      </c>
    </row>
    <row r="22378" spans="1:10" x14ac:dyDescent="0.2">
      <c r="A22378" s="4" t="s">
        <v>1</v>
      </c>
      <c r="B223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78" s="3" t="str">
        <f>HYPERLINK("https://otsuka-europe-crm.veevavault.com/ui/#object/sent_email__v/VBL000000002019", "SE-001378549")</f>
        <v>SE-001378549</v>
      </c>
      <c r="D22378" s="1">
        <v>45958.714375000003</v>
      </c>
      <c r="E22378" s="2">
        <v>1</v>
      </c>
      <c r="F22378" s="2">
        <v>1</v>
      </c>
      <c r="G22378" s="2">
        <v>0</v>
      </c>
      <c r="H22378" s="1" t="s">
        <v>0</v>
      </c>
      <c r="I22378" s="2">
        <v>0</v>
      </c>
      <c r="J22378" s="1">
        <v>45957.538240740738</v>
      </c>
    </row>
    <row r="22379" spans="1:10" x14ac:dyDescent="0.2">
      <c r="A22379" s="4" t="s">
        <v>1</v>
      </c>
      <c r="B223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79" s="3" t="str">
        <f>HYPERLINK("https://otsuka-europe-crm.veevavault.com/ui/#object/sent_email__v/VBL000000002020", "SE-001378550")</f>
        <v>SE-001378550</v>
      </c>
      <c r="D22379" s="1">
        <v>45958.581770833334</v>
      </c>
      <c r="E22379" s="2">
        <v>1</v>
      </c>
      <c r="F22379" s="2">
        <v>2</v>
      </c>
      <c r="G22379" s="2">
        <v>0</v>
      </c>
      <c r="H22379" s="1" t="s">
        <v>0</v>
      </c>
      <c r="I22379" s="2">
        <v>0</v>
      </c>
      <c r="J22379" s="1">
        <v>45957.538287037038</v>
      </c>
    </row>
    <row r="22380" spans="1:10" x14ac:dyDescent="0.2">
      <c r="A22380" s="4" t="s">
        <v>1</v>
      </c>
      <c r="B223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80" s="3" t="str">
        <f>HYPERLINK("https://otsuka-europe-crm.veevavault.com/ui/#object/sent_email__v/VBL000000002021", "SE-001378551")</f>
        <v>SE-001378551</v>
      </c>
      <c r="D22380" s="1">
        <v>45957.799930555557</v>
      </c>
      <c r="E22380" s="2">
        <v>1</v>
      </c>
      <c r="F22380" s="2">
        <v>1</v>
      </c>
      <c r="G22380" s="2">
        <v>0</v>
      </c>
      <c r="H22380" s="1" t="s">
        <v>0</v>
      </c>
      <c r="I22380" s="2">
        <v>0</v>
      </c>
      <c r="J22380" s="1">
        <v>45957.53833333333</v>
      </c>
    </row>
    <row r="22381" spans="1:10" x14ac:dyDescent="0.2">
      <c r="A22381" s="4" t="s">
        <v>1</v>
      </c>
      <c r="B223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81" s="3" t="str">
        <f>HYPERLINK("https://otsuka-europe-crm.veevavault.com/ui/#object/sent_email__v/VBL000000002022", "SE-001378552")</f>
        <v>SE-001378552</v>
      </c>
      <c r="D22381" s="1" t="s">
        <v>0</v>
      </c>
      <c r="E22381" s="2">
        <v>0</v>
      </c>
      <c r="F22381" s="2">
        <v>0</v>
      </c>
      <c r="G22381" s="2">
        <v>0</v>
      </c>
      <c r="H22381" s="1" t="s">
        <v>0</v>
      </c>
      <c r="I22381" s="2">
        <v>0</v>
      </c>
      <c r="J22381" s="1">
        <v>45957.538402777776</v>
      </c>
    </row>
    <row r="22382" spans="1:10" x14ac:dyDescent="0.2">
      <c r="A22382" s="4" t="s">
        <v>1</v>
      </c>
      <c r="B223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82" s="3" t="str">
        <f>HYPERLINK("https://otsuka-europe-crm.veevavault.com/ui/#object/sent_email__v/VBL000000002023", "SE-001378553")</f>
        <v>SE-001378553</v>
      </c>
      <c r="D22382" s="1" t="s">
        <v>0</v>
      </c>
      <c r="E22382" s="2">
        <v>0</v>
      </c>
      <c r="F22382" s="2">
        <v>0</v>
      </c>
      <c r="G22382" s="2">
        <v>0</v>
      </c>
      <c r="H22382" s="1" t="s">
        <v>0</v>
      </c>
      <c r="I22382" s="2">
        <v>0</v>
      </c>
      <c r="J22382" s="1">
        <v>45957.538425925923</v>
      </c>
    </row>
    <row r="22383" spans="1:10" x14ac:dyDescent="0.2">
      <c r="A22383" s="4" t="s">
        <v>1</v>
      </c>
      <c r="B223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83" s="3" t="str">
        <f>HYPERLINK("https://otsuka-europe-crm.veevavault.com/ui/#object/sent_email__v/VBL000000002024", "SE-001378554")</f>
        <v>SE-001378554</v>
      </c>
      <c r="D22383" s="1">
        <v>45958.323553240742</v>
      </c>
      <c r="E22383" s="2">
        <v>1</v>
      </c>
      <c r="F22383" s="2">
        <v>2</v>
      </c>
      <c r="G22383" s="2">
        <v>0</v>
      </c>
      <c r="H22383" s="1" t="s">
        <v>0</v>
      </c>
      <c r="I22383" s="2">
        <v>0</v>
      </c>
      <c r="J22383" s="1">
        <v>45957.538460648146</v>
      </c>
    </row>
    <row r="22384" spans="1:10" x14ac:dyDescent="0.2">
      <c r="A22384" s="4" t="s">
        <v>1</v>
      </c>
      <c r="B223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84" s="3" t="str">
        <f>HYPERLINK("https://otsuka-europe-crm.veevavault.com/ui/#object/sent_email__v/VBL000000002025", "SE-001378555")</f>
        <v>SE-001378555</v>
      </c>
      <c r="D22384" s="1">
        <v>45957.710057870368</v>
      </c>
      <c r="E22384" s="2">
        <v>1</v>
      </c>
      <c r="F22384" s="2">
        <v>3</v>
      </c>
      <c r="G22384" s="2">
        <v>0</v>
      </c>
      <c r="H22384" s="1" t="s">
        <v>0</v>
      </c>
      <c r="I22384" s="2">
        <v>0</v>
      </c>
      <c r="J22384" s="1">
        <v>45957.538506944446</v>
      </c>
    </row>
    <row r="22385" spans="1:10" x14ac:dyDescent="0.2">
      <c r="A22385" s="4" t="s">
        <v>1</v>
      </c>
      <c r="B223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85" s="3" t="str">
        <f>HYPERLINK("https://otsuka-europe-crm.veevavault.com/ui/#object/sent_email__v/VBL000000002026", "SE-001378556")</f>
        <v>SE-001378556</v>
      </c>
      <c r="D22385" s="1">
        <v>45958.006377314814</v>
      </c>
      <c r="E22385" s="2">
        <v>1</v>
      </c>
      <c r="F22385" s="2">
        <v>3</v>
      </c>
      <c r="G22385" s="2">
        <v>0</v>
      </c>
      <c r="H22385" s="1" t="s">
        <v>0</v>
      </c>
      <c r="I22385" s="2">
        <v>0</v>
      </c>
      <c r="J22385" s="1">
        <v>45957.538553240738</v>
      </c>
    </row>
    <row r="22386" spans="1:10" x14ac:dyDescent="0.2">
      <c r="A22386" s="4" t="s">
        <v>1</v>
      </c>
      <c r="B223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86" s="3" t="str">
        <f>HYPERLINK("https://otsuka-europe-crm.veevavault.com/ui/#object/sent_email__v/VBL000000002027", "SE-001378557")</f>
        <v>SE-001378557</v>
      </c>
      <c r="D22386" s="1">
        <v>45957.585578703707</v>
      </c>
      <c r="E22386" s="2">
        <v>1</v>
      </c>
      <c r="F22386" s="2">
        <v>1</v>
      </c>
      <c r="G22386" s="2">
        <v>0</v>
      </c>
      <c r="H22386" s="1" t="s">
        <v>0</v>
      </c>
      <c r="I22386" s="2">
        <v>0</v>
      </c>
      <c r="J22386" s="1">
        <v>45957.538321759261</v>
      </c>
    </row>
    <row r="22387" spans="1:10" x14ac:dyDescent="0.2">
      <c r="A22387" s="4" t="s">
        <v>1</v>
      </c>
      <c r="B223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87" s="3" t="str">
        <f>HYPERLINK("https://otsuka-europe-crm.veevavault.com/ui/#object/sent_email__v/VBL000000002028", "SE-001378558")</f>
        <v>SE-001378558</v>
      </c>
      <c r="D22387" s="1">
        <v>45957.587731481479</v>
      </c>
      <c r="E22387" s="2">
        <v>1</v>
      </c>
      <c r="F22387" s="2">
        <v>1</v>
      </c>
      <c r="G22387" s="2">
        <v>0</v>
      </c>
      <c r="H22387" s="1" t="s">
        <v>0</v>
      </c>
      <c r="I22387" s="2">
        <v>0</v>
      </c>
      <c r="J22387" s="1">
        <v>45957.538668981484</v>
      </c>
    </row>
    <row r="22388" spans="1:10" x14ac:dyDescent="0.2">
      <c r="A22388" s="4" t="s">
        <v>1</v>
      </c>
      <c r="B223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88" s="3" t="str">
        <f>HYPERLINK("https://otsuka-europe-crm.veevavault.com/ui/#object/sent_email__v/VBL000000002029", "SE-001378559")</f>
        <v>SE-001378559</v>
      </c>
      <c r="D22388" s="1">
        <v>45966.786851851852</v>
      </c>
      <c r="E22388" s="2">
        <v>1</v>
      </c>
      <c r="F22388" s="2">
        <v>5</v>
      </c>
      <c r="G22388" s="2">
        <v>0</v>
      </c>
      <c r="H22388" s="1" t="s">
        <v>0</v>
      </c>
      <c r="I22388" s="2">
        <v>0</v>
      </c>
      <c r="J22388" s="1">
        <v>45957.538726851853</v>
      </c>
    </row>
    <row r="22389" spans="1:10" x14ac:dyDescent="0.2">
      <c r="A22389" s="4" t="s">
        <v>1</v>
      </c>
      <c r="B223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89" s="3" t="str">
        <f>HYPERLINK("https://otsuka-europe-crm.veevavault.com/ui/#object/sent_email__v/VBL000000002030", "SE-001378560")</f>
        <v>SE-001378560</v>
      </c>
      <c r="D22389" s="1" t="s">
        <v>0</v>
      </c>
      <c r="E22389" s="2">
        <v>0</v>
      </c>
      <c r="F22389" s="2">
        <v>0</v>
      </c>
      <c r="G22389" s="2">
        <v>0</v>
      </c>
      <c r="H22389" s="1" t="s">
        <v>0</v>
      </c>
      <c r="I22389" s="2">
        <v>0</v>
      </c>
      <c r="J22389" s="1">
        <v>45957.5387962963</v>
      </c>
    </row>
    <row r="22390" spans="1:10" x14ac:dyDescent="0.2">
      <c r="A22390" s="4" t="s">
        <v>1</v>
      </c>
      <c r="B223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90" s="3" t="str">
        <f>HYPERLINK("https://otsuka-europe-crm.veevavault.com/ui/#object/sent_email__v/VBL000000002031", "SE-001378561")</f>
        <v>SE-001378561</v>
      </c>
      <c r="D22390" s="1">
        <v>45957.606157407405</v>
      </c>
      <c r="E22390" s="2">
        <v>1</v>
      </c>
      <c r="F22390" s="2">
        <v>2</v>
      </c>
      <c r="G22390" s="2">
        <v>0</v>
      </c>
      <c r="H22390" s="1" t="s">
        <v>0</v>
      </c>
      <c r="I22390" s="2">
        <v>0</v>
      </c>
      <c r="J22390" s="1">
        <v>45957.538865740738</v>
      </c>
    </row>
    <row r="22391" spans="1:10" x14ac:dyDescent="0.2">
      <c r="A22391" s="4" t="s">
        <v>1</v>
      </c>
      <c r="B223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91" s="3" t="str">
        <f>HYPERLINK("https://otsuka-europe-crm.veevavault.com/ui/#object/sent_email__v/VBL000000002032", "SE-001378562")</f>
        <v>SE-001378562</v>
      </c>
      <c r="D22391" s="1" t="s">
        <v>0</v>
      </c>
      <c r="E22391" s="2">
        <v>0</v>
      </c>
      <c r="F22391" s="2">
        <v>0</v>
      </c>
      <c r="G22391" s="2">
        <v>0</v>
      </c>
      <c r="H22391" s="1" t="s">
        <v>0</v>
      </c>
      <c r="I22391" s="2">
        <v>0</v>
      </c>
      <c r="J22391" s="1">
        <v>45957.538935185185</v>
      </c>
    </row>
    <row r="22392" spans="1:10" x14ac:dyDescent="0.2">
      <c r="A22392" s="4" t="s">
        <v>1</v>
      </c>
      <c r="B223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92" s="3" t="str">
        <f>HYPERLINK("https://otsuka-europe-crm.veevavault.com/ui/#object/sent_email__v/VBL000000002033", "SE-001378563")</f>
        <v>SE-001378563</v>
      </c>
      <c r="D22392" s="1" t="s">
        <v>0</v>
      </c>
      <c r="E22392" s="2">
        <v>0</v>
      </c>
      <c r="F22392" s="2">
        <v>0</v>
      </c>
      <c r="G22392" s="2">
        <v>0</v>
      </c>
      <c r="H22392" s="1" t="s">
        <v>0</v>
      </c>
      <c r="I22392" s="2">
        <v>0</v>
      </c>
      <c r="J22392" s="1">
        <v>45957.539004629631</v>
      </c>
    </row>
    <row r="22393" spans="1:10" x14ac:dyDescent="0.2">
      <c r="A22393" s="4" t="s">
        <v>1</v>
      </c>
      <c r="B223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93" s="3" t="str">
        <f>HYPERLINK("https://otsuka-europe-crm.veevavault.com/ui/#object/sent_email__v/VBL000000002034", "SE-001378564")</f>
        <v>SE-001378564</v>
      </c>
      <c r="D22393" s="1">
        <v>45957.546712962961</v>
      </c>
      <c r="E22393" s="2">
        <v>1</v>
      </c>
      <c r="F22393" s="2">
        <v>1</v>
      </c>
      <c r="G22393" s="2">
        <v>1</v>
      </c>
      <c r="H22393" s="1">
        <v>45957.558020833334</v>
      </c>
      <c r="I22393" s="2">
        <v>3</v>
      </c>
      <c r="J22393" s="1">
        <v>45957.539074074077</v>
      </c>
    </row>
    <row r="22394" spans="1:10" x14ac:dyDescent="0.2">
      <c r="A22394" s="4" t="s">
        <v>1</v>
      </c>
      <c r="B223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94" s="3" t="str">
        <f>HYPERLINK("https://otsuka-europe-crm.veevavault.com/ui/#object/sent_email__v/VBL000000002035", "SE-001378565")</f>
        <v>SE-001378565</v>
      </c>
      <c r="D22394" s="1" t="s">
        <v>0</v>
      </c>
      <c r="E22394" s="2">
        <v>0</v>
      </c>
      <c r="F22394" s="2">
        <v>0</v>
      </c>
      <c r="G22394" s="2">
        <v>0</v>
      </c>
      <c r="H22394" s="1" t="s">
        <v>0</v>
      </c>
      <c r="I22394" s="2">
        <v>0</v>
      </c>
      <c r="J22394" s="1">
        <v>45957.539143518516</v>
      </c>
    </row>
    <row r="22395" spans="1:10" x14ac:dyDescent="0.2">
      <c r="A22395" s="4" t="s">
        <v>1</v>
      </c>
      <c r="B223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95" s="3" t="str">
        <f>HYPERLINK("https://otsuka-europe-crm.veevavault.com/ui/#object/sent_email__v/VBL000000002036", "SE-001378566")</f>
        <v>SE-001378566</v>
      </c>
      <c r="D22395" s="1">
        <v>45957.611087962963</v>
      </c>
      <c r="E22395" s="2">
        <v>1</v>
      </c>
      <c r="F22395" s="2">
        <v>1</v>
      </c>
      <c r="G22395" s="2">
        <v>0</v>
      </c>
      <c r="H22395" s="1" t="s">
        <v>0</v>
      </c>
      <c r="I22395" s="2">
        <v>0</v>
      </c>
      <c r="J22395" s="1">
        <v>45957.539212962962</v>
      </c>
    </row>
    <row r="22396" spans="1:10" x14ac:dyDescent="0.2">
      <c r="A22396" s="4" t="s">
        <v>1</v>
      </c>
      <c r="B223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96" s="3" t="str">
        <f>HYPERLINK("https://otsuka-europe-crm.veevavault.com/ui/#object/sent_email__v/VBL000000002037", "SE-001378567")</f>
        <v>SE-001378567</v>
      </c>
      <c r="D22396" s="1" t="s">
        <v>0</v>
      </c>
      <c r="E22396" s="2">
        <v>0</v>
      </c>
      <c r="F22396" s="2">
        <v>0</v>
      </c>
      <c r="G22396" s="2">
        <v>0</v>
      </c>
      <c r="H22396" s="1" t="s">
        <v>0</v>
      </c>
      <c r="I22396" s="2">
        <v>0</v>
      </c>
      <c r="J22396" s="1">
        <v>45957.539282407408</v>
      </c>
    </row>
    <row r="22397" spans="1:10" x14ac:dyDescent="0.2">
      <c r="A22397" s="4" t="s">
        <v>1</v>
      </c>
      <c r="B223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97" s="3" t="str">
        <f>HYPERLINK("https://otsuka-europe-crm.veevavault.com/ui/#object/sent_email__v/VBL000000002038", "SE-001378568")</f>
        <v>SE-001378568</v>
      </c>
      <c r="D22397" s="1">
        <v>45959.941365740742</v>
      </c>
      <c r="E22397" s="2">
        <v>1</v>
      </c>
      <c r="F22397" s="2">
        <v>4</v>
      </c>
      <c r="G22397" s="2">
        <v>1</v>
      </c>
      <c r="H22397" s="1">
        <v>45959.605497685188</v>
      </c>
      <c r="I22397" s="2">
        <v>5</v>
      </c>
      <c r="J22397" s="1">
        <v>45957.539375</v>
      </c>
    </row>
    <row r="22398" spans="1:10" x14ac:dyDescent="0.2">
      <c r="A22398" s="4" t="s">
        <v>1</v>
      </c>
      <c r="B223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98" s="3" t="str">
        <f>HYPERLINK("https://otsuka-europe-crm.veevavault.com/ui/#object/sent_email__v/VBL000000001852", "SE-001378569")</f>
        <v>SE-001378569</v>
      </c>
      <c r="D22398" s="1">
        <v>45957.549062500002</v>
      </c>
      <c r="E22398" s="2">
        <v>1</v>
      </c>
      <c r="F22398" s="2">
        <v>1</v>
      </c>
      <c r="G22398" s="2">
        <v>0</v>
      </c>
      <c r="H22398" s="1" t="s">
        <v>0</v>
      </c>
      <c r="I22398" s="2">
        <v>0</v>
      </c>
      <c r="J22398" s="1">
        <v>45957.5393287037</v>
      </c>
    </row>
    <row r="22399" spans="1:10" x14ac:dyDescent="0.2">
      <c r="A22399" s="4" t="s">
        <v>1</v>
      </c>
      <c r="B223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399" s="3" t="str">
        <f>HYPERLINK("https://otsuka-europe-crm.veevavault.com/ui/#object/sent_email__v/VBL000000001853", "SE-001378570")</f>
        <v>SE-001378570</v>
      </c>
      <c r="D22399" s="1" t="s">
        <v>0</v>
      </c>
      <c r="E22399" s="2">
        <v>0</v>
      </c>
      <c r="F22399" s="2">
        <v>0</v>
      </c>
      <c r="G22399" s="2">
        <v>0</v>
      </c>
      <c r="H22399" s="1" t="s">
        <v>0</v>
      </c>
      <c r="I22399" s="2">
        <v>0</v>
      </c>
      <c r="J22399" s="1">
        <v>45957.539444444446</v>
      </c>
    </row>
    <row r="22400" spans="1:10" x14ac:dyDescent="0.2">
      <c r="A22400" s="4" t="s">
        <v>1</v>
      </c>
      <c r="B224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00" s="3" t="str">
        <f>HYPERLINK("https://otsuka-europe-crm.veevavault.com/ui/#object/sent_email__v/VBL000000001854", "SE-001378571")</f>
        <v>SE-001378571</v>
      </c>
      <c r="D22400" s="1">
        <v>45957.603402777779</v>
      </c>
      <c r="E22400" s="2">
        <v>1</v>
      </c>
      <c r="F22400" s="2">
        <v>2</v>
      </c>
      <c r="G22400" s="2">
        <v>0</v>
      </c>
      <c r="H22400" s="1" t="s">
        <v>0</v>
      </c>
      <c r="I22400" s="2">
        <v>0</v>
      </c>
      <c r="J22400" s="1">
        <v>45957.539502314816</v>
      </c>
    </row>
    <row r="22401" spans="1:10" x14ac:dyDescent="0.2">
      <c r="A22401" s="4" t="s">
        <v>1</v>
      </c>
      <c r="B224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01" s="3" t="str">
        <f>HYPERLINK("https://otsuka-europe-crm.veevavault.com/ui/#object/sent_email__v/VBL000000001855", "SE-001378572")</f>
        <v>SE-001378572</v>
      </c>
      <c r="D22401" s="1">
        <v>46076.379016203704</v>
      </c>
      <c r="E22401" s="2">
        <v>1</v>
      </c>
      <c r="F22401" s="2">
        <v>4</v>
      </c>
      <c r="G22401" s="2">
        <v>0</v>
      </c>
      <c r="H22401" s="1" t="s">
        <v>0</v>
      </c>
      <c r="I22401" s="2">
        <v>0</v>
      </c>
      <c r="J22401" s="1">
        <v>45957.539571759262</v>
      </c>
    </row>
    <row r="22402" spans="1:10" x14ac:dyDescent="0.2">
      <c r="A22402" s="4" t="s">
        <v>1</v>
      </c>
      <c r="B224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02" s="3" t="str">
        <f>HYPERLINK("https://otsuka-europe-crm.veevavault.com/ui/#object/sent_email__v/VBL000000001856", "SE-001378573")</f>
        <v>SE-001378573</v>
      </c>
      <c r="D22402" s="1">
        <v>45958.48101851852</v>
      </c>
      <c r="E22402" s="2">
        <v>1</v>
      </c>
      <c r="F22402" s="2">
        <v>2</v>
      </c>
      <c r="G22402" s="2">
        <v>0</v>
      </c>
      <c r="H22402" s="1" t="s">
        <v>0</v>
      </c>
      <c r="I22402" s="2">
        <v>0</v>
      </c>
      <c r="J22402" s="1">
        <v>45957.539641203701</v>
      </c>
    </row>
    <row r="22403" spans="1:10" x14ac:dyDescent="0.2">
      <c r="A22403" s="4" t="s">
        <v>1</v>
      </c>
      <c r="B224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03" s="3" t="str">
        <f>HYPERLINK("https://otsuka-europe-crm.veevavault.com/ui/#object/sent_email__v/VBL000000001857", "SE-001378574")</f>
        <v>SE-001378574</v>
      </c>
      <c r="D22403" s="1" t="s">
        <v>0</v>
      </c>
      <c r="E22403" s="2">
        <v>0</v>
      </c>
      <c r="F22403" s="2">
        <v>0</v>
      </c>
      <c r="G22403" s="2">
        <v>0</v>
      </c>
      <c r="H22403" s="1" t="s">
        <v>0</v>
      </c>
      <c r="I22403" s="2">
        <v>0</v>
      </c>
      <c r="J22403" s="1">
        <v>45957.539710648147</v>
      </c>
    </row>
    <row r="22404" spans="1:10" x14ac:dyDescent="0.2">
      <c r="A22404" s="4" t="s">
        <v>1</v>
      </c>
      <c r="B224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04" s="3" t="str">
        <f>HYPERLINK("https://otsuka-europe-crm.veevavault.com/ui/#object/sent_email__v/VBL000000001858", "SE-001378575")</f>
        <v>SE-001378575</v>
      </c>
      <c r="D22404" s="1">
        <v>45959.521226851852</v>
      </c>
      <c r="E22404" s="2">
        <v>1</v>
      </c>
      <c r="F22404" s="2">
        <v>3</v>
      </c>
      <c r="G22404" s="2">
        <v>0</v>
      </c>
      <c r="H22404" s="1" t="s">
        <v>0</v>
      </c>
      <c r="I22404" s="2">
        <v>0</v>
      </c>
      <c r="J22404" s="1">
        <v>45957.539780092593</v>
      </c>
    </row>
    <row r="22405" spans="1:10" x14ac:dyDescent="0.2">
      <c r="A22405" s="4" t="s">
        <v>1</v>
      </c>
      <c r="B224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05" s="3" t="str">
        <f>HYPERLINK("https://otsuka-europe-crm.veevavault.com/ui/#object/sent_email__v/VBL000000001859", "SE-001378576")</f>
        <v>SE-001378576</v>
      </c>
      <c r="D22405" s="1" t="s">
        <v>0</v>
      </c>
      <c r="E22405" s="2">
        <v>0</v>
      </c>
      <c r="F22405" s="2">
        <v>0</v>
      </c>
      <c r="G22405" s="2">
        <v>0</v>
      </c>
      <c r="H22405" s="1" t="s">
        <v>0</v>
      </c>
      <c r="I22405" s="2">
        <v>0</v>
      </c>
      <c r="J22405" s="1">
        <v>45957.539861111109</v>
      </c>
    </row>
    <row r="22406" spans="1:10" x14ac:dyDescent="0.2">
      <c r="A22406" s="4" t="s">
        <v>1</v>
      </c>
      <c r="B224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06" s="3" t="str">
        <f>HYPERLINK("https://otsuka-europe-crm.veevavault.com/ui/#object/sent_email__v/VBL000000001860", "SE-001378577")</f>
        <v>SE-001378577</v>
      </c>
      <c r="D22406" s="1">
        <v>45978.444641203707</v>
      </c>
      <c r="E22406" s="2">
        <v>1</v>
      </c>
      <c r="F22406" s="2">
        <v>3</v>
      </c>
      <c r="G22406" s="2">
        <v>0</v>
      </c>
      <c r="H22406" s="1" t="s">
        <v>0</v>
      </c>
      <c r="I22406" s="2">
        <v>0</v>
      </c>
      <c r="J22406" s="1">
        <v>45957.539965277778</v>
      </c>
    </row>
    <row r="22407" spans="1:10" x14ac:dyDescent="0.2">
      <c r="A22407" s="4" t="s">
        <v>1</v>
      </c>
      <c r="B224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07" s="3" t="str">
        <f>HYPERLINK("https://otsuka-europe-crm.veevavault.com/ui/#object/sent_email__v/VBL000000001861", "SE-001378578")</f>
        <v>SE-001378578</v>
      </c>
      <c r="D22407" s="1">
        <v>45968.020046296297</v>
      </c>
      <c r="E22407" s="2">
        <v>1</v>
      </c>
      <c r="F22407" s="2">
        <v>1</v>
      </c>
      <c r="G22407" s="2">
        <v>0</v>
      </c>
      <c r="H22407" s="1" t="s">
        <v>0</v>
      </c>
      <c r="I22407" s="2">
        <v>0</v>
      </c>
      <c r="J22407" s="1">
        <v>45957.540127314816</v>
      </c>
    </row>
    <row r="22408" spans="1:10" x14ac:dyDescent="0.2">
      <c r="A22408" s="4" t="s">
        <v>1</v>
      </c>
      <c r="B224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08" s="3" t="str">
        <f>HYPERLINK("https://otsuka-europe-crm.veevavault.com/ui/#object/sent_email__v/VBL000000001862", "SE-001378579")</f>
        <v>SE-001378579</v>
      </c>
      <c r="D22408" s="1" t="s">
        <v>0</v>
      </c>
      <c r="E22408" s="2">
        <v>0</v>
      </c>
      <c r="F22408" s="2">
        <v>0</v>
      </c>
      <c r="G22408" s="2">
        <v>0</v>
      </c>
      <c r="H22408" s="1" t="s">
        <v>0</v>
      </c>
      <c r="I22408" s="2">
        <v>0</v>
      </c>
      <c r="J22408" s="1">
        <v>45957.540046296293</v>
      </c>
    </row>
    <row r="22409" spans="1:10" x14ac:dyDescent="0.2">
      <c r="A22409" s="4" t="s">
        <v>1</v>
      </c>
      <c r="B224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09" s="3" t="str">
        <f>HYPERLINK("https://otsuka-europe-crm.veevavault.com/ui/#object/sent_email__v/VBL000000001863", "SE-001378580")</f>
        <v>SE-001378580</v>
      </c>
      <c r="D22409" s="1" t="s">
        <v>0</v>
      </c>
      <c r="E22409" s="2">
        <v>0</v>
      </c>
      <c r="F22409" s="2">
        <v>0</v>
      </c>
      <c r="G22409" s="2">
        <v>0</v>
      </c>
      <c r="H22409" s="1" t="s">
        <v>0</v>
      </c>
      <c r="I22409" s="2">
        <v>0</v>
      </c>
      <c r="J22409" s="1">
        <v>45957.540127314816</v>
      </c>
    </row>
    <row r="22410" spans="1:10" x14ac:dyDescent="0.2">
      <c r="A22410" s="4" t="s">
        <v>1</v>
      </c>
      <c r="B224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10" s="3" t="str">
        <f>HYPERLINK("https://otsuka-europe-crm.veevavault.com/ui/#object/sent_email__v/VBL000000001864", "SE-001378581")</f>
        <v>SE-001378581</v>
      </c>
      <c r="D22410" s="1">
        <v>45957.606319444443</v>
      </c>
      <c r="E22410" s="2">
        <v>1</v>
      </c>
      <c r="F22410" s="2">
        <v>2</v>
      </c>
      <c r="G22410" s="2">
        <v>1</v>
      </c>
      <c r="H22410" s="1">
        <v>45957.605462962965</v>
      </c>
      <c r="I22410" s="2">
        <v>2</v>
      </c>
      <c r="J22410" s="1">
        <v>45957.540196759262</v>
      </c>
    </row>
    <row r="22411" spans="1:10" x14ac:dyDescent="0.2">
      <c r="A22411" s="4" t="s">
        <v>1</v>
      </c>
      <c r="B224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11" s="3" t="str">
        <f>HYPERLINK("https://otsuka-europe-crm.veevavault.com/ui/#object/sent_email__v/VBL000000001865", "SE-001378582")</f>
        <v>SE-001378582</v>
      </c>
      <c r="D22411" s="1">
        <v>45957.540358796294</v>
      </c>
      <c r="E22411" s="2">
        <v>1</v>
      </c>
      <c r="F22411" s="2">
        <v>1</v>
      </c>
      <c r="G22411" s="2">
        <v>0</v>
      </c>
      <c r="H22411" s="1" t="s">
        <v>0</v>
      </c>
      <c r="I22411" s="2">
        <v>0</v>
      </c>
      <c r="J22411" s="1">
        <v>45957.540266203701</v>
      </c>
    </row>
    <row r="22412" spans="1:10" x14ac:dyDescent="0.2">
      <c r="A22412" s="4" t="s">
        <v>1</v>
      </c>
      <c r="B224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12" s="3" t="str">
        <f>HYPERLINK("https://otsuka-europe-crm.veevavault.com/ui/#object/sent_email__v/VBL000000001866", "SE-001378583")</f>
        <v>SE-001378583</v>
      </c>
      <c r="D22412" s="1">
        <v>45957.543310185189</v>
      </c>
      <c r="E22412" s="2">
        <v>1</v>
      </c>
      <c r="F22412" s="2">
        <v>1</v>
      </c>
      <c r="G22412" s="2">
        <v>1</v>
      </c>
      <c r="H22412" s="1">
        <v>45957.543541666666</v>
      </c>
      <c r="I22412" s="2">
        <v>1</v>
      </c>
      <c r="J22412" s="1">
        <v>45957.540335648147</v>
      </c>
    </row>
    <row r="22413" spans="1:10" x14ac:dyDescent="0.2">
      <c r="A22413" s="4" t="s">
        <v>1</v>
      </c>
      <c r="B224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13" s="3" t="str">
        <f>HYPERLINK("https://otsuka-europe-crm.veevavault.com/ui/#object/sent_email__v/VBL000000001867", "SE-001378584")</f>
        <v>SE-001378584</v>
      </c>
      <c r="D22413" s="1">
        <v>45957.695972222224</v>
      </c>
      <c r="E22413" s="2">
        <v>1</v>
      </c>
      <c r="F22413" s="2">
        <v>3</v>
      </c>
      <c r="G22413" s="2">
        <v>1</v>
      </c>
      <c r="H22413" s="1">
        <v>45959.901678240742</v>
      </c>
      <c r="I22413" s="2">
        <v>7</v>
      </c>
      <c r="J22413" s="1">
        <v>45957.540405092594</v>
      </c>
    </row>
    <row r="22414" spans="1:10" x14ac:dyDescent="0.2">
      <c r="A22414" s="4" t="s">
        <v>1</v>
      </c>
      <c r="B224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14" s="3" t="str">
        <f>HYPERLINK("https://otsuka-europe-crm.veevavault.com/ui/#object/sent_email__v/VBL000000001868", "SE-001378585")</f>
        <v>SE-001378585</v>
      </c>
      <c r="D22414" s="1">
        <v>45959.981469907405</v>
      </c>
      <c r="E22414" s="2">
        <v>1</v>
      </c>
      <c r="F22414" s="2">
        <v>2</v>
      </c>
      <c r="G22414" s="2">
        <v>0</v>
      </c>
      <c r="H22414" s="1" t="s">
        <v>0</v>
      </c>
      <c r="I22414" s="2">
        <v>0</v>
      </c>
      <c r="J22414" s="1">
        <v>45957.54047453704</v>
      </c>
    </row>
    <row r="22415" spans="1:10" x14ac:dyDescent="0.2">
      <c r="A22415" s="4" t="s">
        <v>1</v>
      </c>
      <c r="B224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15" s="3" t="str">
        <f>HYPERLINK("https://otsuka-europe-crm.veevavault.com/ui/#object/sent_email__v/VBL000000001869", "SE-001378586")</f>
        <v>SE-001378586</v>
      </c>
      <c r="D22415" s="1">
        <v>45980.919502314813</v>
      </c>
      <c r="E22415" s="2">
        <v>1</v>
      </c>
      <c r="F22415" s="2">
        <v>2</v>
      </c>
      <c r="G22415" s="2">
        <v>0</v>
      </c>
      <c r="H22415" s="1" t="s">
        <v>0</v>
      </c>
      <c r="I22415" s="2">
        <v>0</v>
      </c>
      <c r="J22415" s="1">
        <v>45957.540543981479</v>
      </c>
    </row>
    <row r="22416" spans="1:10" x14ac:dyDescent="0.2">
      <c r="A22416" s="4" t="s">
        <v>1</v>
      </c>
      <c r="B224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16" s="3" t="str">
        <f>HYPERLINK("https://otsuka-europe-crm.veevavault.com/ui/#object/sent_email__v/VBL000000001870", "SE-001378587")</f>
        <v>SE-001378587</v>
      </c>
      <c r="D22416" s="1">
        <v>45958.848437499997</v>
      </c>
      <c r="E22416" s="2">
        <v>1</v>
      </c>
      <c r="F22416" s="2">
        <v>2</v>
      </c>
      <c r="G22416" s="2">
        <v>0</v>
      </c>
      <c r="H22416" s="1" t="s">
        <v>0</v>
      </c>
      <c r="I22416" s="2">
        <v>0</v>
      </c>
      <c r="J22416" s="1">
        <v>45957.540636574071</v>
      </c>
    </row>
    <row r="22417" spans="1:10" x14ac:dyDescent="0.2">
      <c r="A22417" s="4" t="s">
        <v>1</v>
      </c>
      <c r="B224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17" s="3" t="str">
        <f>HYPERLINK("https://otsuka-europe-crm.veevavault.com/ui/#object/sent_email__v/VBL000000001871", "SE-001378588")</f>
        <v>SE-001378588</v>
      </c>
      <c r="D22417" s="1" t="s">
        <v>0</v>
      </c>
      <c r="E22417" s="2">
        <v>0</v>
      </c>
      <c r="F22417" s="2">
        <v>0</v>
      </c>
      <c r="G22417" s="2">
        <v>0</v>
      </c>
      <c r="H22417" s="1" t="s">
        <v>0</v>
      </c>
      <c r="I22417" s="2">
        <v>0</v>
      </c>
      <c r="J22417" s="1">
        <v>45957.540682870371</v>
      </c>
    </row>
    <row r="22418" spans="1:10" x14ac:dyDescent="0.2">
      <c r="A22418" s="4" t="s">
        <v>1</v>
      </c>
      <c r="B224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18" s="3" t="str">
        <f>HYPERLINK("https://otsuka-europe-crm.veevavault.com/ui/#object/sent_email__v/VBL000000002039", "SE-001378589")</f>
        <v>SE-001378589</v>
      </c>
      <c r="D22418" s="1" t="s">
        <v>0</v>
      </c>
      <c r="E22418" s="2">
        <v>0</v>
      </c>
      <c r="F22418" s="2">
        <v>0</v>
      </c>
      <c r="G22418" s="2">
        <v>0</v>
      </c>
      <c r="H22418" s="1" t="s">
        <v>0</v>
      </c>
      <c r="I22418" s="2">
        <v>0</v>
      </c>
      <c r="J22418" s="1">
        <v>45957.54146990741</v>
      </c>
    </row>
    <row r="22419" spans="1:10" x14ac:dyDescent="0.2">
      <c r="A22419" s="4" t="s">
        <v>1</v>
      </c>
      <c r="B224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19" s="3" t="str">
        <f>HYPERLINK("https://otsuka-europe-crm.veevavault.com/ui/#object/sent_email__v/VBL000000002040", "SE-001378590")</f>
        <v>SE-001378590</v>
      </c>
      <c r="D22419" s="1" t="s">
        <v>0</v>
      </c>
      <c r="E22419" s="2">
        <v>0</v>
      </c>
      <c r="F22419" s="2">
        <v>0</v>
      </c>
      <c r="G22419" s="2">
        <v>0</v>
      </c>
      <c r="H22419" s="1" t="s">
        <v>0</v>
      </c>
      <c r="I22419" s="2">
        <v>0</v>
      </c>
      <c r="J22419" s="1">
        <v>45957.541550925926</v>
      </c>
    </row>
    <row r="22420" spans="1:10" x14ac:dyDescent="0.2">
      <c r="A22420" s="4" t="s">
        <v>1</v>
      </c>
      <c r="B224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20" s="3" t="str">
        <f>HYPERLINK("https://otsuka-europe-crm.veevavault.com/ui/#object/sent_email__v/VBL000000002041", "SE-001378591")</f>
        <v>SE-001378591</v>
      </c>
      <c r="D22420" s="1">
        <v>45957.732638888891</v>
      </c>
      <c r="E22420" s="2">
        <v>1</v>
      </c>
      <c r="F22420" s="2">
        <v>2</v>
      </c>
      <c r="G22420" s="2">
        <v>0</v>
      </c>
      <c r="H22420" s="1" t="s">
        <v>0</v>
      </c>
      <c r="I22420" s="2">
        <v>0</v>
      </c>
      <c r="J22420" s="1">
        <v>45957.541620370372</v>
      </c>
    </row>
    <row r="22421" spans="1:10" x14ac:dyDescent="0.2">
      <c r="A22421" s="4" t="s">
        <v>1</v>
      </c>
      <c r="B224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21" s="3" t="str">
        <f>HYPERLINK("https://otsuka-europe-crm.veevavault.com/ui/#object/sent_email__v/VBL000000002042", "SE-001378592")</f>
        <v>SE-001378592</v>
      </c>
      <c r="D22421" s="1">
        <v>45957.597650462965</v>
      </c>
      <c r="E22421" s="2">
        <v>1</v>
      </c>
      <c r="F22421" s="2">
        <v>1</v>
      </c>
      <c r="G22421" s="2">
        <v>1</v>
      </c>
      <c r="H22421" s="1">
        <v>45957.597766203704</v>
      </c>
      <c r="I22421" s="2">
        <v>1</v>
      </c>
      <c r="J22421" s="1">
        <v>45957.544918981483</v>
      </c>
    </row>
    <row r="22422" spans="1:10" x14ac:dyDescent="0.2">
      <c r="A22422" s="4" t="s">
        <v>1</v>
      </c>
      <c r="B224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22" s="3" t="str">
        <f>HYPERLINK("https://otsuka-europe-crm.veevavault.com/ui/#object/sent_email__v/VBL000000002043", "SE-001378593")</f>
        <v>SE-001378593</v>
      </c>
      <c r="D22422" s="1">
        <v>45964.972488425927</v>
      </c>
      <c r="E22422" s="2">
        <v>1</v>
      </c>
      <c r="F22422" s="2">
        <v>2</v>
      </c>
      <c r="G22422" s="2">
        <v>0</v>
      </c>
      <c r="H22422" s="1" t="s">
        <v>0</v>
      </c>
      <c r="I22422" s="2">
        <v>0</v>
      </c>
      <c r="J22422" s="1">
        <v>45957.544999999998</v>
      </c>
    </row>
    <row r="22423" spans="1:10" x14ac:dyDescent="0.2">
      <c r="A22423" s="4" t="s">
        <v>1</v>
      </c>
      <c r="B224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23" s="3" t="str">
        <f>HYPERLINK("https://otsuka-europe-crm.veevavault.com/ui/#object/sent_email__v/VBL000000002044", "SE-001378594")</f>
        <v>SE-001378594</v>
      </c>
      <c r="D22423" s="1" t="s">
        <v>0</v>
      </c>
      <c r="E22423" s="2">
        <v>0</v>
      </c>
      <c r="F22423" s="2">
        <v>0</v>
      </c>
      <c r="G22423" s="2">
        <v>0</v>
      </c>
      <c r="H22423" s="1" t="s">
        <v>0</v>
      </c>
      <c r="I22423" s="2">
        <v>0</v>
      </c>
      <c r="J22423" s="1">
        <v>45957.545069444444</v>
      </c>
    </row>
    <row r="22424" spans="1:10" x14ac:dyDescent="0.2">
      <c r="A22424" s="4" t="s">
        <v>1</v>
      </c>
      <c r="B224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24" s="3" t="str">
        <f>HYPERLINK("https://otsuka-europe-crm.veevavault.com/ui/#object/sent_email__v/VBL000000002045", "SE-001378595")</f>
        <v>SE-001378595</v>
      </c>
      <c r="D22424" s="1" t="s">
        <v>0</v>
      </c>
      <c r="E22424" s="2">
        <v>0</v>
      </c>
      <c r="F22424" s="2">
        <v>0</v>
      </c>
      <c r="G22424" s="2">
        <v>0</v>
      </c>
      <c r="H22424" s="1" t="s">
        <v>0</v>
      </c>
      <c r="I22424" s="2">
        <v>0</v>
      </c>
      <c r="J22424" s="1">
        <v>45957.545138888891</v>
      </c>
    </row>
    <row r="22425" spans="1:10" x14ac:dyDescent="0.2">
      <c r="A22425" s="4" t="s">
        <v>1</v>
      </c>
      <c r="B224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25" s="3" t="str">
        <f>HYPERLINK("https://otsuka-europe-crm.veevavault.com/ui/#object/sent_email__v/VBL000000002046", "SE-001378596")</f>
        <v>SE-001378596</v>
      </c>
      <c r="D22425" s="1">
        <v>45958.104525462964</v>
      </c>
      <c r="E22425" s="2">
        <v>1</v>
      </c>
      <c r="F22425" s="2">
        <v>1</v>
      </c>
      <c r="G22425" s="2">
        <v>0</v>
      </c>
      <c r="H22425" s="1" t="s">
        <v>0</v>
      </c>
      <c r="I22425" s="2">
        <v>0</v>
      </c>
      <c r="J22425" s="1">
        <v>45957.545208333337</v>
      </c>
    </row>
    <row r="22426" spans="1:10" x14ac:dyDescent="0.2">
      <c r="A22426" s="4" t="s">
        <v>1</v>
      </c>
      <c r="B224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26" s="3" t="str">
        <f>HYPERLINK("https://otsuka-europe-crm.veevavault.com/ui/#object/sent_email__v/VBL000000002047", "SE-001378597")</f>
        <v>SE-001378597</v>
      </c>
      <c r="D22426" s="1" t="s">
        <v>0</v>
      </c>
      <c r="E22426" s="2">
        <v>0</v>
      </c>
      <c r="F22426" s="2">
        <v>0</v>
      </c>
      <c r="G22426" s="2">
        <v>0</v>
      </c>
      <c r="H22426" s="1" t="s">
        <v>0</v>
      </c>
      <c r="I22426" s="2">
        <v>0</v>
      </c>
      <c r="J22426" s="1">
        <v>45957.545243055552</v>
      </c>
    </row>
    <row r="22427" spans="1:10" x14ac:dyDescent="0.2">
      <c r="A22427" s="4" t="s">
        <v>1</v>
      </c>
      <c r="B224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27" s="3" t="str">
        <f>HYPERLINK("https://otsuka-europe-crm.veevavault.com/ui/#object/sent_email__v/VBL000000002048", "SE-001378598")</f>
        <v>SE-001378598</v>
      </c>
      <c r="D22427" s="1">
        <v>45957.62641203704</v>
      </c>
      <c r="E22427" s="2">
        <v>1</v>
      </c>
      <c r="F22427" s="2">
        <v>11</v>
      </c>
      <c r="G22427" s="2">
        <v>0</v>
      </c>
      <c r="H22427" s="1" t="s">
        <v>0</v>
      </c>
      <c r="I22427" s="2">
        <v>0</v>
      </c>
      <c r="J22427" s="1">
        <v>45957.545289351852</v>
      </c>
    </row>
    <row r="22428" spans="1:10" x14ac:dyDescent="0.2">
      <c r="A22428" s="4" t="s">
        <v>1</v>
      </c>
      <c r="B224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28" s="3" t="str">
        <f>HYPERLINK("https://otsuka-europe-crm.veevavault.com/ui/#object/sent_email__v/VBL000000002049", "SE-001378599")</f>
        <v>SE-001378599</v>
      </c>
      <c r="D22428" s="1">
        <v>45957.66265046296</v>
      </c>
      <c r="E22428" s="2">
        <v>1</v>
      </c>
      <c r="F22428" s="2">
        <v>1</v>
      </c>
      <c r="G22428" s="2">
        <v>0</v>
      </c>
      <c r="H22428" s="1" t="s">
        <v>0</v>
      </c>
      <c r="I22428" s="2">
        <v>0</v>
      </c>
      <c r="J22428" s="1">
        <v>45957.545335648145</v>
      </c>
    </row>
    <row r="22429" spans="1:10" x14ac:dyDescent="0.2">
      <c r="A22429" s="4" t="s">
        <v>1</v>
      </c>
      <c r="B224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29" s="3" t="str">
        <f>HYPERLINK("https://otsuka-europe-crm.veevavault.com/ui/#object/sent_email__v/VBL000000002050", "SE-001378600")</f>
        <v>SE-001378600</v>
      </c>
      <c r="D22429" s="1" t="s">
        <v>0</v>
      </c>
      <c r="E22429" s="2">
        <v>0</v>
      </c>
      <c r="F22429" s="2">
        <v>0</v>
      </c>
      <c r="G22429" s="2">
        <v>0</v>
      </c>
      <c r="H22429" s="1" t="s">
        <v>0</v>
      </c>
      <c r="I22429" s="2">
        <v>0</v>
      </c>
      <c r="J22429" s="1">
        <v>45957.545393518521</v>
      </c>
    </row>
    <row r="22430" spans="1:10" x14ac:dyDescent="0.2">
      <c r="A22430" s="4" t="s">
        <v>1</v>
      </c>
      <c r="B224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30" s="3" t="str">
        <f>HYPERLINK("https://otsuka-europe-crm.veevavault.com/ui/#object/sent_email__v/VBL000000002051", "SE-001378601")</f>
        <v>SE-001378601</v>
      </c>
      <c r="D22430" s="1" t="s">
        <v>0</v>
      </c>
      <c r="E22430" s="2">
        <v>0</v>
      </c>
      <c r="F22430" s="2">
        <v>0</v>
      </c>
      <c r="G22430" s="2">
        <v>0</v>
      </c>
      <c r="H22430" s="1" t="s">
        <v>0</v>
      </c>
      <c r="I22430" s="2">
        <v>0</v>
      </c>
      <c r="J22430" s="1">
        <v>45957.545428240737</v>
      </c>
    </row>
    <row r="22431" spans="1:10" x14ac:dyDescent="0.2">
      <c r="A22431" s="4" t="s">
        <v>1</v>
      </c>
      <c r="B224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31" s="3" t="str">
        <f>HYPERLINK("https://otsuka-europe-crm.veevavault.com/ui/#object/sent_email__v/VBL000000002052", "SE-001378602")</f>
        <v>SE-001378602</v>
      </c>
      <c r="D22431" s="1" t="s">
        <v>0</v>
      </c>
      <c r="E22431" s="2">
        <v>0</v>
      </c>
      <c r="F22431" s="2">
        <v>0</v>
      </c>
      <c r="G22431" s="2">
        <v>0</v>
      </c>
      <c r="H22431" s="1" t="s">
        <v>0</v>
      </c>
      <c r="I22431" s="2">
        <v>0</v>
      </c>
      <c r="J22431" s="1">
        <v>45957.54546296296</v>
      </c>
    </row>
    <row r="22432" spans="1:10" x14ac:dyDescent="0.2">
      <c r="A22432" s="4" t="s">
        <v>1</v>
      </c>
      <c r="B224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32" s="3" t="str">
        <f>HYPERLINK("https://otsuka-europe-crm.veevavault.com/ui/#object/sent_email__v/VBL000000002053", "SE-001378603")</f>
        <v>SE-001378603</v>
      </c>
      <c r="D22432" s="1">
        <v>45958.91196759259</v>
      </c>
      <c r="E22432" s="2">
        <v>1</v>
      </c>
      <c r="F22432" s="2">
        <v>2</v>
      </c>
      <c r="G22432" s="2">
        <v>0</v>
      </c>
      <c r="H22432" s="1" t="s">
        <v>0</v>
      </c>
      <c r="I22432" s="2">
        <v>0</v>
      </c>
      <c r="J22432" s="1">
        <v>45957.545532407406</v>
      </c>
    </row>
    <row r="22433" spans="1:10" x14ac:dyDescent="0.2">
      <c r="A22433" s="4" t="s">
        <v>1</v>
      </c>
      <c r="B224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33" s="3" t="str">
        <f>HYPERLINK("https://otsuka-europe-crm.veevavault.com/ui/#object/sent_email__v/VBL000000002054", "SE-001378604")</f>
        <v>SE-001378604</v>
      </c>
      <c r="D22433" s="1">
        <v>45983.788900462961</v>
      </c>
      <c r="E22433" s="2">
        <v>1</v>
      </c>
      <c r="F22433" s="2">
        <v>2</v>
      </c>
      <c r="G22433" s="2">
        <v>0</v>
      </c>
      <c r="H22433" s="1" t="s">
        <v>0</v>
      </c>
      <c r="I22433" s="2">
        <v>0</v>
      </c>
      <c r="J22433" s="1">
        <v>45957.545601851853</v>
      </c>
    </row>
    <row r="22434" spans="1:10" x14ac:dyDescent="0.2">
      <c r="A22434" s="4" t="s">
        <v>1</v>
      </c>
      <c r="B224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34" s="3" t="str">
        <f>HYPERLINK("https://otsuka-europe-crm.veevavault.com/ui/#object/sent_email__v/VBL000000002055", "SE-001378605")</f>
        <v>SE-001378605</v>
      </c>
      <c r="D22434" s="1" t="s">
        <v>0</v>
      </c>
      <c r="E22434" s="2">
        <v>0</v>
      </c>
      <c r="F22434" s="2">
        <v>0</v>
      </c>
      <c r="G22434" s="2">
        <v>0</v>
      </c>
      <c r="H22434" s="1" t="s">
        <v>0</v>
      </c>
      <c r="I22434" s="2">
        <v>0</v>
      </c>
      <c r="J22434" s="1">
        <v>45957.545671296299</v>
      </c>
    </row>
    <row r="22435" spans="1:10" x14ac:dyDescent="0.2">
      <c r="A22435" s="4" t="s">
        <v>1</v>
      </c>
      <c r="B224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35" s="3" t="str">
        <f>HYPERLINK("https://otsuka-europe-crm.veevavault.com/ui/#object/sent_email__v/VBL000000002056", "SE-001378606")</f>
        <v>SE-001378606</v>
      </c>
      <c r="D22435" s="1" t="s">
        <v>0</v>
      </c>
      <c r="E22435" s="2">
        <v>0</v>
      </c>
      <c r="F22435" s="2">
        <v>0</v>
      </c>
      <c r="G22435" s="2">
        <v>0</v>
      </c>
      <c r="H22435" s="1" t="s">
        <v>0</v>
      </c>
      <c r="I22435" s="2">
        <v>0</v>
      </c>
      <c r="J22435" s="1">
        <v>45957.545740740738</v>
      </c>
    </row>
    <row r="22436" spans="1:10" x14ac:dyDescent="0.2">
      <c r="A22436" s="4" t="s">
        <v>1</v>
      </c>
      <c r="B224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36" s="3" t="str">
        <f>HYPERLINK("https://otsuka-europe-crm.veevavault.com/ui/#object/sent_email__v/VBL000000002057", "SE-001378607")</f>
        <v>SE-001378607</v>
      </c>
      <c r="D22436" s="1">
        <v>45957.605613425927</v>
      </c>
      <c r="E22436" s="2">
        <v>1</v>
      </c>
      <c r="F22436" s="2">
        <v>3</v>
      </c>
      <c r="G22436" s="2">
        <v>0</v>
      </c>
      <c r="H22436" s="1" t="s">
        <v>0</v>
      </c>
      <c r="I22436" s="2">
        <v>0</v>
      </c>
      <c r="J22436" s="1">
        <v>45957.545810185184</v>
      </c>
    </row>
    <row r="22437" spans="1:10" x14ac:dyDescent="0.2">
      <c r="A22437" s="4" t="s">
        <v>1</v>
      </c>
      <c r="B224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37" s="3" t="str">
        <f>HYPERLINK("https://otsuka-europe-crm.veevavault.com/ui/#object/sent_email__v/VBL000000002058", "SE-001378608")</f>
        <v>SE-001378608</v>
      </c>
      <c r="D22437" s="1" t="s">
        <v>0</v>
      </c>
      <c r="E22437" s="2">
        <v>0</v>
      </c>
      <c r="F22437" s="2">
        <v>0</v>
      </c>
      <c r="G22437" s="2">
        <v>0</v>
      </c>
      <c r="H22437" s="1" t="s">
        <v>0</v>
      </c>
      <c r="I22437" s="2">
        <v>0</v>
      </c>
      <c r="J22437" s="1">
        <v>45957.54587962963</v>
      </c>
    </row>
    <row r="22438" spans="1:10" x14ac:dyDescent="0.2">
      <c r="A22438" s="4" t="s">
        <v>1</v>
      </c>
      <c r="B224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38" s="3" t="str">
        <f>HYPERLINK("https://otsuka-europe-crm.veevavault.com/ui/#object/sent_email__v/VBL000000002059", "SE-001378609")</f>
        <v>SE-001378609</v>
      </c>
      <c r="D22438" s="1">
        <v>45957.713634259257</v>
      </c>
      <c r="E22438" s="2">
        <v>1</v>
      </c>
      <c r="F22438" s="2">
        <v>1</v>
      </c>
      <c r="G22438" s="2">
        <v>0</v>
      </c>
      <c r="H22438" s="1" t="s">
        <v>0</v>
      </c>
      <c r="I22438" s="2">
        <v>0</v>
      </c>
      <c r="J22438" s="1">
        <v>45957.545949074076</v>
      </c>
    </row>
    <row r="22439" spans="1:10" x14ac:dyDescent="0.2">
      <c r="A22439" s="4" t="s">
        <v>1</v>
      </c>
      <c r="B224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39" s="3" t="str">
        <f>HYPERLINK("https://otsuka-europe-crm.veevavault.com/ui/#object/sent_email__v/VBL000000002060", "SE-001378610")</f>
        <v>SE-001378610</v>
      </c>
      <c r="D22439" s="1">
        <v>45957.723460648151</v>
      </c>
      <c r="E22439" s="2">
        <v>1</v>
      </c>
      <c r="F22439" s="2">
        <v>1</v>
      </c>
      <c r="G22439" s="2">
        <v>0</v>
      </c>
      <c r="H22439" s="1" t="s">
        <v>0</v>
      </c>
      <c r="I22439" s="2">
        <v>0</v>
      </c>
      <c r="J22439" s="1">
        <v>45957.546018518522</v>
      </c>
    </row>
    <row r="22440" spans="1:10" x14ac:dyDescent="0.2">
      <c r="A22440" s="4" t="s">
        <v>1</v>
      </c>
      <c r="B224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40" s="3" t="str">
        <f>HYPERLINK("https://otsuka-europe-crm.veevavault.com/ui/#object/sent_email__v/VBL000000002061", "SE-001378611")</f>
        <v>SE-001378611</v>
      </c>
      <c r="D22440" s="1">
        <v>45957.989340277774</v>
      </c>
      <c r="E22440" s="2">
        <v>1</v>
      </c>
      <c r="F22440" s="2">
        <v>1</v>
      </c>
      <c r="G22440" s="2">
        <v>0</v>
      </c>
      <c r="H22440" s="1" t="s">
        <v>0</v>
      </c>
      <c r="I22440" s="2">
        <v>0</v>
      </c>
      <c r="J22440" s="1">
        <v>45957.546087962961</v>
      </c>
    </row>
    <row r="22441" spans="1:10" x14ac:dyDescent="0.2">
      <c r="A22441" s="4" t="s">
        <v>1</v>
      </c>
      <c r="B224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41" s="3" t="str">
        <f>HYPERLINK("https://otsuka-europe-crm.veevavault.com/ui/#object/sent_email__v/VBL000000002062", "SE-001378612")</f>
        <v>SE-001378612</v>
      </c>
      <c r="D22441" s="1">
        <v>45957.825428240743</v>
      </c>
      <c r="E22441" s="2">
        <v>1</v>
      </c>
      <c r="F22441" s="2">
        <v>1</v>
      </c>
      <c r="G22441" s="2">
        <v>0</v>
      </c>
      <c r="H22441" s="1" t="s">
        <v>0</v>
      </c>
      <c r="I22441" s="2">
        <v>0</v>
      </c>
      <c r="J22441" s="1">
        <v>45957.546157407407</v>
      </c>
    </row>
    <row r="22442" spans="1:10" x14ac:dyDescent="0.2">
      <c r="A22442" s="4" t="s">
        <v>1</v>
      </c>
      <c r="B224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42" s="3" t="str">
        <f>HYPERLINK("https://otsuka-europe-crm.veevavault.com/ui/#object/sent_email__v/VBL000000002063", "SE-001378613")</f>
        <v>SE-001378613</v>
      </c>
      <c r="D22442" s="1">
        <v>45968.722951388889</v>
      </c>
      <c r="E22442" s="2">
        <v>1</v>
      </c>
      <c r="F22442" s="2">
        <v>2</v>
      </c>
      <c r="G22442" s="2">
        <v>0</v>
      </c>
      <c r="H22442" s="1" t="s">
        <v>0</v>
      </c>
      <c r="I22442" s="2">
        <v>0</v>
      </c>
      <c r="J22442" s="1">
        <v>45957.546226851853</v>
      </c>
    </row>
    <row r="22443" spans="1:10" x14ac:dyDescent="0.2">
      <c r="A22443" s="4" t="s">
        <v>1</v>
      </c>
      <c r="B224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43" s="3" t="str">
        <f>HYPERLINK("https://otsuka-europe-crm.veevavault.com/ui/#object/sent_email__v/VBL000000002064", "SE-001378614")</f>
        <v>SE-001378614</v>
      </c>
      <c r="D22443" s="1" t="s">
        <v>0</v>
      </c>
      <c r="E22443" s="2">
        <v>0</v>
      </c>
      <c r="F22443" s="2">
        <v>0</v>
      </c>
      <c r="G22443" s="2">
        <v>0</v>
      </c>
      <c r="H22443" s="1" t="s">
        <v>0</v>
      </c>
      <c r="I22443" s="2">
        <v>0</v>
      </c>
      <c r="J22443" s="1">
        <v>45957.546296296299</v>
      </c>
    </row>
    <row r="22444" spans="1:10" x14ac:dyDescent="0.2">
      <c r="A22444" s="4" t="s">
        <v>1</v>
      </c>
      <c r="B224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44" s="3" t="str">
        <f>HYPERLINK("https://otsuka-europe-crm.veevavault.com/ui/#object/sent_email__v/VBL000000002065", "SE-001378615")</f>
        <v>SE-001378615</v>
      </c>
      <c r="D22444" s="1" t="s">
        <v>0</v>
      </c>
      <c r="E22444" s="2">
        <v>0</v>
      </c>
      <c r="F22444" s="2">
        <v>0</v>
      </c>
      <c r="G22444" s="2">
        <v>0</v>
      </c>
      <c r="H22444" s="1" t="s">
        <v>0</v>
      </c>
      <c r="I22444" s="2">
        <v>0</v>
      </c>
      <c r="J22444" s="1">
        <v>45957.546365740738</v>
      </c>
    </row>
    <row r="22445" spans="1:10" x14ac:dyDescent="0.2">
      <c r="A22445" s="4" t="s">
        <v>1</v>
      </c>
      <c r="B224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45" s="3" t="str">
        <f>HYPERLINK("https://otsuka-europe-crm.veevavault.com/ui/#object/sent_email__v/VBL000000002066", "SE-001378616")</f>
        <v>SE-001378616</v>
      </c>
      <c r="D22445" s="1" t="s">
        <v>0</v>
      </c>
      <c r="E22445" s="2">
        <v>0</v>
      </c>
      <c r="F22445" s="2">
        <v>0</v>
      </c>
      <c r="G22445" s="2">
        <v>0</v>
      </c>
      <c r="H22445" s="1" t="s">
        <v>0</v>
      </c>
      <c r="I22445" s="2">
        <v>0</v>
      </c>
      <c r="J22445" s="1">
        <v>45957.546435185184</v>
      </c>
    </row>
    <row r="22446" spans="1:10" x14ac:dyDescent="0.2">
      <c r="A22446" s="4" t="s">
        <v>1</v>
      </c>
      <c r="B224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46" s="3" t="str">
        <f>HYPERLINK("https://otsuka-europe-crm.veevavault.com/ui/#object/sent_email__v/VBL000000002067", "SE-001378617")</f>
        <v>SE-001378617</v>
      </c>
      <c r="D22446" s="1">
        <v>45957.547974537039</v>
      </c>
      <c r="E22446" s="2">
        <v>1</v>
      </c>
      <c r="F22446" s="2">
        <v>1</v>
      </c>
      <c r="G22446" s="2">
        <v>0</v>
      </c>
      <c r="H22446" s="1" t="s">
        <v>0</v>
      </c>
      <c r="I22446" s="2">
        <v>0</v>
      </c>
      <c r="J22446" s="1">
        <v>45957.54650462963</v>
      </c>
    </row>
    <row r="22447" spans="1:10" x14ac:dyDescent="0.2">
      <c r="A22447" s="4" t="s">
        <v>1</v>
      </c>
      <c r="B224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47" s="3" t="str">
        <f>HYPERLINK("https://otsuka-europe-crm.veevavault.com/ui/#object/sent_email__v/VBL000000002068", "SE-001378618")</f>
        <v>SE-001378618</v>
      </c>
      <c r="D22447" s="1" t="s">
        <v>0</v>
      </c>
      <c r="E22447" s="2">
        <v>0</v>
      </c>
      <c r="F22447" s="2">
        <v>0</v>
      </c>
      <c r="G22447" s="2">
        <v>0</v>
      </c>
      <c r="H22447" s="1" t="s">
        <v>0</v>
      </c>
      <c r="I22447" s="2">
        <v>0</v>
      </c>
      <c r="J22447" s="1">
        <v>45957.546574074076</v>
      </c>
    </row>
    <row r="22448" spans="1:10" x14ac:dyDescent="0.2">
      <c r="A22448" s="4" t="s">
        <v>1</v>
      </c>
      <c r="B224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48" s="3" t="str">
        <f>HYPERLINK("https://otsuka-europe-crm.veevavault.com/ui/#object/sent_email__v/VBL000000002069", "SE-001378619")</f>
        <v>SE-001378619</v>
      </c>
      <c r="D22448" s="1" t="s">
        <v>0</v>
      </c>
      <c r="E22448" s="2">
        <v>0</v>
      </c>
      <c r="F22448" s="2">
        <v>0</v>
      </c>
      <c r="G22448" s="2">
        <v>0</v>
      </c>
      <c r="H22448" s="1" t="s">
        <v>0</v>
      </c>
      <c r="I22448" s="2">
        <v>0</v>
      </c>
      <c r="J22448" s="1">
        <v>45957.546655092592</v>
      </c>
    </row>
    <row r="22449" spans="1:10" x14ac:dyDescent="0.2">
      <c r="A22449" s="4" t="s">
        <v>1</v>
      </c>
      <c r="B224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49" s="3" t="str">
        <f>HYPERLINK("https://otsuka-europe-crm.veevavault.com/ui/#object/sent_email__v/VBL000000002070", "SE-001378620")</f>
        <v>SE-001378620</v>
      </c>
      <c r="D22449" s="1">
        <v>45957.552754629629</v>
      </c>
      <c r="E22449" s="2">
        <v>1</v>
      </c>
      <c r="F22449" s="2">
        <v>1</v>
      </c>
      <c r="G22449" s="2">
        <v>0</v>
      </c>
      <c r="H22449" s="1" t="s">
        <v>0</v>
      </c>
      <c r="I22449" s="2">
        <v>0</v>
      </c>
      <c r="J22449" s="1">
        <v>45957.546736111108</v>
      </c>
    </row>
    <row r="22450" spans="1:10" x14ac:dyDescent="0.2">
      <c r="A22450" s="4" t="s">
        <v>1</v>
      </c>
      <c r="B224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50" s="3" t="str">
        <f>HYPERLINK("https://otsuka-europe-crm.veevavault.com/ui/#object/sent_email__v/VBL000000002071", "SE-001378621")</f>
        <v>SE-001378621</v>
      </c>
      <c r="D22450" s="1">
        <v>45957.554629629631</v>
      </c>
      <c r="E22450" s="2">
        <v>1</v>
      </c>
      <c r="F22450" s="2">
        <v>1</v>
      </c>
      <c r="G22450" s="2">
        <v>0</v>
      </c>
      <c r="H22450" s="1" t="s">
        <v>0</v>
      </c>
      <c r="I22450" s="2">
        <v>0</v>
      </c>
      <c r="J22450" s="1">
        <v>45957.546793981484</v>
      </c>
    </row>
    <row r="22451" spans="1:10" x14ac:dyDescent="0.2">
      <c r="A22451" s="4" t="s">
        <v>1</v>
      </c>
      <c r="B224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51" s="3" t="str">
        <f>HYPERLINK("https://otsuka-europe-crm.veevavault.com/ui/#object/sent_email__v/VBL000000002072", "SE-001378622")</f>
        <v>SE-001378622</v>
      </c>
      <c r="D22451" s="1">
        <v>45957.853229166663</v>
      </c>
      <c r="E22451" s="2">
        <v>1</v>
      </c>
      <c r="F22451" s="2">
        <v>1</v>
      </c>
      <c r="G22451" s="2">
        <v>0</v>
      </c>
      <c r="H22451" s="1" t="s">
        <v>0</v>
      </c>
      <c r="I22451" s="2">
        <v>0</v>
      </c>
      <c r="J22451" s="1">
        <v>45957.546863425923</v>
      </c>
    </row>
    <row r="22452" spans="1:10" x14ac:dyDescent="0.2">
      <c r="A22452" s="4" t="s">
        <v>1</v>
      </c>
      <c r="B224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52" s="3" t="str">
        <f>HYPERLINK("https://otsuka-europe-crm.veevavault.com/ui/#object/sent_email__v/VBL000000002073", "SE-001378623")</f>
        <v>SE-001378623</v>
      </c>
      <c r="D22452" s="1" t="s">
        <v>0</v>
      </c>
      <c r="E22452" s="2">
        <v>0</v>
      </c>
      <c r="F22452" s="2">
        <v>0</v>
      </c>
      <c r="G22452" s="2">
        <v>0</v>
      </c>
      <c r="H22452" s="1" t="s">
        <v>0</v>
      </c>
      <c r="I22452" s="2">
        <v>0</v>
      </c>
      <c r="J22452" s="1">
        <v>45957.546932870369</v>
      </c>
    </row>
    <row r="22453" spans="1:10" x14ac:dyDescent="0.2">
      <c r="A22453" s="4" t="s">
        <v>1</v>
      </c>
      <c r="B224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53" s="3" t="str">
        <f>HYPERLINK("https://otsuka-europe-crm.veevavault.com/ui/#object/sent_email__v/VBL000000002074", "SE-001378624")</f>
        <v>SE-001378624</v>
      </c>
      <c r="D22453" s="1">
        <v>45957.922800925924</v>
      </c>
      <c r="E22453" s="2">
        <v>1</v>
      </c>
      <c r="F22453" s="2">
        <v>3</v>
      </c>
      <c r="G22453" s="2">
        <v>0</v>
      </c>
      <c r="H22453" s="1" t="s">
        <v>0</v>
      </c>
      <c r="I22453" s="2">
        <v>0</v>
      </c>
      <c r="J22453" s="1">
        <v>45957.547002314815</v>
      </c>
    </row>
    <row r="22454" spans="1:10" x14ac:dyDescent="0.2">
      <c r="A22454" s="4" t="s">
        <v>1</v>
      </c>
      <c r="B224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54" s="3" t="str">
        <f>HYPERLINK("https://otsuka-europe-crm.veevavault.com/ui/#object/sent_email__v/VBL000000002075", "SE-001378625")</f>
        <v>SE-001378625</v>
      </c>
      <c r="D22454" s="1" t="s">
        <v>0</v>
      </c>
      <c r="E22454" s="2">
        <v>0</v>
      </c>
      <c r="F22454" s="2">
        <v>0</v>
      </c>
      <c r="G22454" s="2">
        <v>0</v>
      </c>
      <c r="H22454" s="1" t="s">
        <v>0</v>
      </c>
      <c r="I22454" s="2">
        <v>0</v>
      </c>
      <c r="J22454" s="1">
        <v>45957.547071759262</v>
      </c>
    </row>
    <row r="22455" spans="1:10" x14ac:dyDescent="0.2">
      <c r="A22455" s="4" t="s">
        <v>1</v>
      </c>
      <c r="B224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55" s="3" t="str">
        <f>HYPERLINK("https://otsuka-europe-crm.veevavault.com/ui/#object/sent_email__v/VBL000000002076", "SE-001378626")</f>
        <v>SE-001378626</v>
      </c>
      <c r="D22455" s="1" t="s">
        <v>0</v>
      </c>
      <c r="E22455" s="2">
        <v>0</v>
      </c>
      <c r="F22455" s="2">
        <v>0</v>
      </c>
      <c r="G22455" s="2">
        <v>0</v>
      </c>
      <c r="H22455" s="1" t="s">
        <v>0</v>
      </c>
      <c r="I22455" s="2">
        <v>0</v>
      </c>
      <c r="J22455" s="1">
        <v>45957.5471412037</v>
      </c>
    </row>
    <row r="22456" spans="1:10" x14ac:dyDescent="0.2">
      <c r="A22456" s="4" t="s">
        <v>1</v>
      </c>
      <c r="B224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56" s="3" t="str">
        <f>HYPERLINK("https://otsuka-europe-crm.veevavault.com/ui/#object/sent_email__v/VBL000000002077", "SE-001378627")</f>
        <v>SE-001378627</v>
      </c>
      <c r="D22456" s="1">
        <v>45957.940011574072</v>
      </c>
      <c r="E22456" s="2">
        <v>1</v>
      </c>
      <c r="F22456" s="2">
        <v>1</v>
      </c>
      <c r="G22456" s="2">
        <v>0</v>
      </c>
      <c r="H22456" s="1" t="s">
        <v>0</v>
      </c>
      <c r="I22456" s="2">
        <v>0</v>
      </c>
      <c r="J22456" s="1">
        <v>45957.547210648147</v>
      </c>
    </row>
    <row r="22457" spans="1:10" x14ac:dyDescent="0.2">
      <c r="A22457" s="4" t="s">
        <v>1</v>
      </c>
      <c r="B224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57" s="3" t="str">
        <f>HYPERLINK("https://otsuka-europe-crm.veevavault.com/ui/#object/sent_email__v/VBL000000002078", "SE-001378628")</f>
        <v>SE-001378628</v>
      </c>
      <c r="D22457" s="1">
        <v>45957.559444444443</v>
      </c>
      <c r="E22457" s="2">
        <v>1</v>
      </c>
      <c r="F22457" s="2">
        <v>1</v>
      </c>
      <c r="G22457" s="2">
        <v>0</v>
      </c>
      <c r="H22457" s="1" t="s">
        <v>0</v>
      </c>
      <c r="I22457" s="2">
        <v>0</v>
      </c>
      <c r="J22457" s="1">
        <v>45957.547280092593</v>
      </c>
    </row>
    <row r="22458" spans="1:10" x14ac:dyDescent="0.2">
      <c r="A22458" s="4" t="s">
        <v>1</v>
      </c>
      <c r="B224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58" s="3" t="str">
        <f>HYPERLINK("https://otsuka-europe-crm.veevavault.com/ui/#object/sent_email__v/VBL000000002079", "SE-001378629")</f>
        <v>SE-001378629</v>
      </c>
      <c r="D22458" s="1" t="s">
        <v>0</v>
      </c>
      <c r="E22458" s="2">
        <v>0</v>
      </c>
      <c r="F22458" s="2">
        <v>0</v>
      </c>
      <c r="G22458" s="2">
        <v>0</v>
      </c>
      <c r="H22458" s="1" t="s">
        <v>0</v>
      </c>
      <c r="I22458" s="2">
        <v>0</v>
      </c>
      <c r="J22458" s="1">
        <v>45957.547337962962</v>
      </c>
    </row>
    <row r="22459" spans="1:10" x14ac:dyDescent="0.2">
      <c r="A22459" s="4" t="s">
        <v>1</v>
      </c>
      <c r="B224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59" s="3" t="str">
        <f>HYPERLINK("https://otsuka-europe-crm.veevavault.com/ui/#object/sent_email__v/VBL000000002080", "SE-001378630")</f>
        <v>SE-001378630</v>
      </c>
      <c r="D22459" s="1">
        <v>45957.897002314814</v>
      </c>
      <c r="E22459" s="2">
        <v>1</v>
      </c>
      <c r="F22459" s="2">
        <v>1</v>
      </c>
      <c r="G22459" s="2">
        <v>0</v>
      </c>
      <c r="H22459" s="1" t="s">
        <v>0</v>
      </c>
      <c r="I22459" s="2">
        <v>0</v>
      </c>
      <c r="J22459" s="1">
        <v>45957.547407407408</v>
      </c>
    </row>
    <row r="22460" spans="1:10" x14ac:dyDescent="0.2">
      <c r="A22460" s="4" t="s">
        <v>1</v>
      </c>
      <c r="B224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60" s="3" t="str">
        <f>HYPERLINK("https://otsuka-europe-crm.veevavault.com/ui/#object/sent_email__v/VBL000000002081", "SE-001378631")</f>
        <v>SE-001378631</v>
      </c>
      <c r="D22460" s="1">
        <v>45957.757789351854</v>
      </c>
      <c r="E22460" s="2">
        <v>1</v>
      </c>
      <c r="F22460" s="2">
        <v>1</v>
      </c>
      <c r="G22460" s="2">
        <v>1</v>
      </c>
      <c r="H22460" s="1">
        <v>45957.840405092589</v>
      </c>
      <c r="I22460" s="2">
        <v>1</v>
      </c>
      <c r="J22460" s="1">
        <v>45957.547488425924</v>
      </c>
    </row>
    <row r="22461" spans="1:10" x14ac:dyDescent="0.2">
      <c r="A22461" s="4" t="s">
        <v>1</v>
      </c>
      <c r="B224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61" s="3" t="str">
        <f>HYPERLINK("https://otsuka-europe-crm.veevavault.com/ui/#object/sent_email__v/VBL000000002082", "SE-001378632")</f>
        <v>SE-001378632</v>
      </c>
      <c r="D22461" s="1">
        <v>45957.896944444445</v>
      </c>
      <c r="E22461" s="2">
        <v>1</v>
      </c>
      <c r="F22461" s="2">
        <v>2</v>
      </c>
      <c r="G22461" s="2">
        <v>0</v>
      </c>
      <c r="H22461" s="1" t="s">
        <v>0</v>
      </c>
      <c r="I22461" s="2">
        <v>0</v>
      </c>
      <c r="J22461" s="1">
        <v>45957.547569444447</v>
      </c>
    </row>
    <row r="22462" spans="1:10" x14ac:dyDescent="0.2">
      <c r="A22462" s="4" t="s">
        <v>1</v>
      </c>
      <c r="B224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62" s="3" t="str">
        <f>HYPERLINK("https://otsuka-europe-crm.veevavault.com/ui/#object/sent_email__v/VBL000000002083", "SE-001378633")</f>
        <v>SE-001378633</v>
      </c>
      <c r="D22462" s="1">
        <v>45958.322071759256</v>
      </c>
      <c r="E22462" s="2">
        <v>1</v>
      </c>
      <c r="F22462" s="2">
        <v>4</v>
      </c>
      <c r="G22462" s="2">
        <v>0</v>
      </c>
      <c r="H22462" s="1" t="s">
        <v>0</v>
      </c>
      <c r="I22462" s="2">
        <v>0</v>
      </c>
      <c r="J22462" s="1">
        <v>45957.547627314816</v>
      </c>
    </row>
    <row r="22463" spans="1:10" x14ac:dyDescent="0.2">
      <c r="A22463" s="4" t="s">
        <v>1</v>
      </c>
      <c r="B224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63" s="3" t="str">
        <f>HYPERLINK("https://otsuka-europe-crm.veevavault.com/ui/#object/sent_email__v/VBL000000002084", "SE-001378634")</f>
        <v>SE-001378634</v>
      </c>
      <c r="D22463" s="1" t="s">
        <v>0</v>
      </c>
      <c r="E22463" s="2">
        <v>0</v>
      </c>
      <c r="F22463" s="2">
        <v>0</v>
      </c>
      <c r="G22463" s="2">
        <v>0</v>
      </c>
      <c r="H22463" s="1" t="s">
        <v>0</v>
      </c>
      <c r="I22463" s="2">
        <v>0</v>
      </c>
      <c r="J22463" s="1">
        <v>45957.547708333332</v>
      </c>
    </row>
    <row r="22464" spans="1:10" x14ac:dyDescent="0.2">
      <c r="A22464" s="4" t="s">
        <v>1</v>
      </c>
      <c r="B224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64" s="3" t="str">
        <f>HYPERLINK("https://otsuka-europe-crm.veevavault.com/ui/#object/sent_email__v/VBL000000002085", "SE-001378635")</f>
        <v>SE-001378635</v>
      </c>
      <c r="D22464" s="1" t="s">
        <v>0</v>
      </c>
      <c r="E22464" s="2">
        <v>0</v>
      </c>
      <c r="F22464" s="2">
        <v>0</v>
      </c>
      <c r="G22464" s="2">
        <v>0</v>
      </c>
      <c r="H22464" s="1" t="s">
        <v>0</v>
      </c>
      <c r="I22464" s="2">
        <v>0</v>
      </c>
      <c r="J22464" s="1">
        <v>45957.547777777778</v>
      </c>
    </row>
    <row r="22465" spans="1:10" x14ac:dyDescent="0.2">
      <c r="A22465" s="4" t="s">
        <v>1</v>
      </c>
      <c r="B224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65" s="3" t="str">
        <f>HYPERLINK("https://otsuka-europe-crm.veevavault.com/ui/#object/sent_email__v/VBL000000002086", "SE-001378636")</f>
        <v>SE-001378636</v>
      </c>
      <c r="D22465" s="1">
        <v>45957.867476851854</v>
      </c>
      <c r="E22465" s="2">
        <v>1</v>
      </c>
      <c r="F22465" s="2">
        <v>3</v>
      </c>
      <c r="G22465" s="2">
        <v>0</v>
      </c>
      <c r="H22465" s="1" t="s">
        <v>0</v>
      </c>
      <c r="I22465" s="2">
        <v>0</v>
      </c>
      <c r="J22465" s="1">
        <v>45957.547847222224</v>
      </c>
    </row>
    <row r="22466" spans="1:10" x14ac:dyDescent="0.2">
      <c r="A22466" s="4" t="s">
        <v>1</v>
      </c>
      <c r="B224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66" s="3" t="str">
        <f>HYPERLINK("https://otsuka-europe-crm.veevavault.com/ui/#object/sent_email__v/VBL000000002087", "SE-001378637")</f>
        <v>SE-001378637</v>
      </c>
      <c r="D22466" s="1" t="s">
        <v>0</v>
      </c>
      <c r="E22466" s="2">
        <v>0</v>
      </c>
      <c r="F22466" s="2">
        <v>0</v>
      </c>
      <c r="G22466" s="2">
        <v>0</v>
      </c>
      <c r="H22466" s="1" t="s">
        <v>0</v>
      </c>
      <c r="I22466" s="2">
        <v>0</v>
      </c>
      <c r="J22466" s="1">
        <v>45957.54791666667</v>
      </c>
    </row>
    <row r="22467" spans="1:10" x14ac:dyDescent="0.2">
      <c r="A22467" s="4" t="s">
        <v>1</v>
      </c>
      <c r="B224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67" s="3" t="str">
        <f>HYPERLINK("https://otsuka-europe-crm.veevavault.com/ui/#object/sent_email__v/VBL000000002088", "SE-001378638")</f>
        <v>SE-001378638</v>
      </c>
      <c r="D22467" s="1" t="s">
        <v>0</v>
      </c>
      <c r="E22467" s="2">
        <v>0</v>
      </c>
      <c r="F22467" s="2">
        <v>0</v>
      </c>
      <c r="G22467" s="2">
        <v>0</v>
      </c>
      <c r="H22467" s="1" t="s">
        <v>0</v>
      </c>
      <c r="I22467" s="2">
        <v>0</v>
      </c>
      <c r="J22467" s="1">
        <v>45957.547986111109</v>
      </c>
    </row>
    <row r="22468" spans="1:10" x14ac:dyDescent="0.2">
      <c r="A22468" s="4" t="s">
        <v>1</v>
      </c>
      <c r="B224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68" s="3" t="str">
        <f>HYPERLINK("https://otsuka-europe-crm.veevavault.com/ui/#object/sent_email__v/VBL000000002089", "SE-001378639")</f>
        <v>SE-001378639</v>
      </c>
      <c r="D22468" s="1" t="s">
        <v>0</v>
      </c>
      <c r="E22468" s="2">
        <v>0</v>
      </c>
      <c r="F22468" s="2">
        <v>0</v>
      </c>
      <c r="G22468" s="2">
        <v>0</v>
      </c>
      <c r="H22468" s="1" t="s">
        <v>0</v>
      </c>
      <c r="I22468" s="2">
        <v>0</v>
      </c>
      <c r="J22468" s="1">
        <v>45957.548078703701</v>
      </c>
    </row>
    <row r="22469" spans="1:10" x14ac:dyDescent="0.2">
      <c r="A22469" s="4" t="s">
        <v>1</v>
      </c>
      <c r="B224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69" s="3" t="str">
        <f>HYPERLINK("https://otsuka-europe-crm.veevavault.com/ui/#object/sent_email__v/VBL000000002090", "SE-001378640")</f>
        <v>SE-001378640</v>
      </c>
      <c r="D22469" s="1">
        <v>45981.888541666667</v>
      </c>
      <c r="E22469" s="2">
        <v>1</v>
      </c>
      <c r="F22469" s="2">
        <v>2</v>
      </c>
      <c r="G22469" s="2">
        <v>0</v>
      </c>
      <c r="H22469" s="1" t="s">
        <v>0</v>
      </c>
      <c r="I22469" s="2">
        <v>0</v>
      </c>
      <c r="J22469" s="1">
        <v>45957.548148148147</v>
      </c>
    </row>
    <row r="22470" spans="1:10" x14ac:dyDescent="0.2">
      <c r="A22470" s="4" t="s">
        <v>1</v>
      </c>
      <c r="B224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70" s="3" t="str">
        <f>HYPERLINK("https://otsuka-europe-crm.veevavault.com/ui/#object/sent_email__v/VBL000000002091", "SE-001378641")</f>
        <v>SE-001378641</v>
      </c>
      <c r="D22470" s="1" t="s">
        <v>0</v>
      </c>
      <c r="E22470" s="2">
        <v>0</v>
      </c>
      <c r="F22470" s="2">
        <v>0</v>
      </c>
      <c r="G22470" s="2">
        <v>0</v>
      </c>
      <c r="H22470" s="1" t="s">
        <v>0</v>
      </c>
      <c r="I22470" s="2">
        <v>0</v>
      </c>
      <c r="J22470" s="1">
        <v>45957.548217592594</v>
      </c>
    </row>
    <row r="22471" spans="1:10" x14ac:dyDescent="0.2">
      <c r="A22471" s="4" t="s">
        <v>1</v>
      </c>
      <c r="B224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71" s="3" t="str">
        <f>HYPERLINK("https://otsuka-europe-crm.veevavault.com/ui/#object/sent_email__v/VBL000000002092", "SE-001378642")</f>
        <v>SE-001378642</v>
      </c>
      <c r="D22471" s="1">
        <v>45957.625902777778</v>
      </c>
      <c r="E22471" s="2">
        <v>1</v>
      </c>
      <c r="F22471" s="2">
        <v>1</v>
      </c>
      <c r="G22471" s="2">
        <v>0</v>
      </c>
      <c r="H22471" s="1" t="s">
        <v>0</v>
      </c>
      <c r="I22471" s="2">
        <v>0</v>
      </c>
      <c r="J22471" s="1">
        <v>45957.54828703704</v>
      </c>
    </row>
    <row r="22472" spans="1:10" x14ac:dyDescent="0.2">
      <c r="A22472" s="4" t="s">
        <v>1</v>
      </c>
      <c r="B224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72" s="3" t="str">
        <f>HYPERLINK("https://otsuka-europe-crm.veevavault.com/ui/#object/sent_email__v/VBL000000002093", "SE-001378643")</f>
        <v>SE-001378643</v>
      </c>
      <c r="D22472" s="1" t="s">
        <v>0</v>
      </c>
      <c r="E22472" s="2">
        <v>0</v>
      </c>
      <c r="F22472" s="2">
        <v>0</v>
      </c>
      <c r="G22472" s="2">
        <v>0</v>
      </c>
      <c r="H22472" s="1" t="s">
        <v>0</v>
      </c>
      <c r="I22472" s="2">
        <v>0</v>
      </c>
      <c r="J22472" s="1">
        <v>45957.548356481479</v>
      </c>
    </row>
    <row r="22473" spans="1:10" x14ac:dyDescent="0.2">
      <c r="A22473" s="4" t="s">
        <v>1</v>
      </c>
      <c r="B224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73" s="3" t="str">
        <f>HYPERLINK("https://otsuka-europe-crm.veevavault.com/ui/#object/sent_email__v/VBL000000002094", "SE-001378644")</f>
        <v>SE-001378644</v>
      </c>
      <c r="D22473" s="1">
        <v>45957.557974537034</v>
      </c>
      <c r="E22473" s="2">
        <v>1</v>
      </c>
      <c r="F22473" s="2">
        <v>1</v>
      </c>
      <c r="G22473" s="2">
        <v>0</v>
      </c>
      <c r="H22473" s="1" t="s">
        <v>0</v>
      </c>
      <c r="I22473" s="2">
        <v>0</v>
      </c>
      <c r="J22473" s="1">
        <v>45957.548437500001</v>
      </c>
    </row>
    <row r="22474" spans="1:10" x14ac:dyDescent="0.2">
      <c r="A22474" s="4" t="s">
        <v>1</v>
      </c>
      <c r="B224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74" s="3" t="str">
        <f>HYPERLINK("https://otsuka-europe-crm.veevavault.com/ui/#object/sent_email__v/VBL000000002095", "SE-001378645")</f>
        <v>SE-001378645</v>
      </c>
      <c r="D22474" s="1" t="s">
        <v>0</v>
      </c>
      <c r="E22474" s="2">
        <v>0</v>
      </c>
      <c r="F22474" s="2">
        <v>0</v>
      </c>
      <c r="G22474" s="2">
        <v>0</v>
      </c>
      <c r="H22474" s="1" t="s">
        <v>0</v>
      </c>
      <c r="I22474" s="2">
        <v>0</v>
      </c>
      <c r="J22474" s="1">
        <v>45957.548506944448</v>
      </c>
    </row>
    <row r="22475" spans="1:10" x14ac:dyDescent="0.2">
      <c r="A22475" s="4" t="s">
        <v>1</v>
      </c>
      <c r="B224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75" s="3" t="str">
        <f>HYPERLINK("https://otsuka-europe-crm.veevavault.com/ui/#object/sent_email__v/VBL000000002096", "SE-001378646")</f>
        <v>SE-001378646</v>
      </c>
      <c r="D22475" s="1" t="s">
        <v>0</v>
      </c>
      <c r="E22475" s="2">
        <v>0</v>
      </c>
      <c r="F22475" s="2">
        <v>0</v>
      </c>
      <c r="G22475" s="2">
        <v>0</v>
      </c>
      <c r="H22475" s="1" t="s">
        <v>0</v>
      </c>
      <c r="I22475" s="2">
        <v>0</v>
      </c>
      <c r="J22475" s="1">
        <v>45957.548576388886</v>
      </c>
    </row>
    <row r="22476" spans="1:10" x14ac:dyDescent="0.2">
      <c r="A22476" s="4" t="s">
        <v>1</v>
      </c>
      <c r="B224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76" s="3" t="str">
        <f>HYPERLINK("https://otsuka-europe-crm.veevavault.com/ui/#object/sent_email__v/VBL000000002097", "SE-001378647")</f>
        <v>SE-001378647</v>
      </c>
      <c r="D22476" s="1" t="s">
        <v>0</v>
      </c>
      <c r="E22476" s="2">
        <v>0</v>
      </c>
      <c r="F22476" s="2">
        <v>0</v>
      </c>
      <c r="G22476" s="2">
        <v>0</v>
      </c>
      <c r="H22476" s="1" t="s">
        <v>0</v>
      </c>
      <c r="I22476" s="2">
        <v>0</v>
      </c>
      <c r="J22476" s="1">
        <v>45957.548622685186</v>
      </c>
    </row>
    <row r="22477" spans="1:10" x14ac:dyDescent="0.2">
      <c r="A22477" s="4" t="s">
        <v>1</v>
      </c>
      <c r="B224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77" s="3" t="str">
        <f>HYPERLINK("https://otsuka-europe-crm.veevavault.com/ui/#object/sent_email__v/VBL000000002098", "SE-001378648")</f>
        <v>SE-001378648</v>
      </c>
      <c r="D22477" s="1">
        <v>45957.980011574073</v>
      </c>
      <c r="E22477" s="2">
        <v>1</v>
      </c>
      <c r="F22477" s="2">
        <v>1</v>
      </c>
      <c r="G22477" s="2">
        <v>0</v>
      </c>
      <c r="H22477" s="1" t="s">
        <v>0</v>
      </c>
      <c r="I22477" s="2">
        <v>0</v>
      </c>
      <c r="J22477" s="1">
        <v>45957.548668981479</v>
      </c>
    </row>
    <row r="22478" spans="1:10" x14ac:dyDescent="0.2">
      <c r="A22478" s="4" t="s">
        <v>1</v>
      </c>
      <c r="B224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78" s="3" t="str">
        <f>HYPERLINK("https://otsuka-europe-crm.veevavault.com/ui/#object/sent_email__v/VBL000000002099", "SE-001378649")</f>
        <v>SE-001378649</v>
      </c>
      <c r="D22478" s="1" t="s">
        <v>0</v>
      </c>
      <c r="E22478" s="2">
        <v>0</v>
      </c>
      <c r="F22478" s="2">
        <v>0</v>
      </c>
      <c r="G22478" s="2">
        <v>0</v>
      </c>
      <c r="H22478" s="1" t="s">
        <v>0</v>
      </c>
      <c r="I22478" s="2">
        <v>0</v>
      </c>
      <c r="J22478" s="1">
        <v>45957.548715277779</v>
      </c>
    </row>
    <row r="22479" spans="1:10" x14ac:dyDescent="0.2">
      <c r="A22479" s="4" t="s">
        <v>1</v>
      </c>
      <c r="B224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79" s="3" t="str">
        <f>HYPERLINK("https://otsuka-europe-crm.veevavault.com/ui/#object/sent_email__v/VBL000000002100", "SE-001378650")</f>
        <v>SE-001378650</v>
      </c>
      <c r="D22479" s="1" t="s">
        <v>0</v>
      </c>
      <c r="E22479" s="2">
        <v>0</v>
      </c>
      <c r="F22479" s="2">
        <v>0</v>
      </c>
      <c r="G22479" s="2">
        <v>0</v>
      </c>
      <c r="H22479" s="1" t="s">
        <v>0</v>
      </c>
      <c r="I22479" s="2">
        <v>0</v>
      </c>
      <c r="J22479" s="1">
        <v>45957.548761574071</v>
      </c>
    </row>
    <row r="22480" spans="1:10" x14ac:dyDescent="0.2">
      <c r="A22480" s="4" t="s">
        <v>1</v>
      </c>
      <c r="B224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80" s="3" t="str">
        <f>HYPERLINK("https://otsuka-europe-crm.veevavault.com/ui/#object/sent_email__v/VBL000000002101", "SE-001378651")</f>
        <v>SE-001378651</v>
      </c>
      <c r="D22480" s="1">
        <v>45957.666064814817</v>
      </c>
      <c r="E22480" s="2">
        <v>1</v>
      </c>
      <c r="F22480" s="2">
        <v>2</v>
      </c>
      <c r="G22480" s="2">
        <v>0</v>
      </c>
      <c r="H22480" s="1" t="s">
        <v>0</v>
      </c>
      <c r="I22480" s="2">
        <v>0</v>
      </c>
      <c r="J22480" s="1">
        <v>45957.548807870371</v>
      </c>
    </row>
    <row r="22481" spans="1:10" x14ac:dyDescent="0.2">
      <c r="A22481" s="4" t="s">
        <v>1</v>
      </c>
      <c r="B224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81" s="3" t="str">
        <f>HYPERLINK("https://otsuka-europe-crm.veevavault.com/ui/#object/sent_email__v/VBL000000002102", "SE-001378652")</f>
        <v>SE-001378652</v>
      </c>
      <c r="D22481" s="1" t="s">
        <v>0</v>
      </c>
      <c r="E22481" s="2">
        <v>0</v>
      </c>
      <c r="F22481" s="2">
        <v>0</v>
      </c>
      <c r="G22481" s="2">
        <v>0</v>
      </c>
      <c r="H22481" s="1" t="s">
        <v>0</v>
      </c>
      <c r="I22481" s="2">
        <v>0</v>
      </c>
      <c r="J22481" s="1">
        <v>45957.548854166664</v>
      </c>
    </row>
    <row r="22482" spans="1:10" x14ac:dyDescent="0.2">
      <c r="A22482" s="4" t="s">
        <v>1</v>
      </c>
      <c r="B224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82" s="3" t="str">
        <f>HYPERLINK("https://otsuka-europe-crm.veevavault.com/ui/#object/sent_email__v/VBL000000002103", "SE-001378653")</f>
        <v>SE-001378653</v>
      </c>
      <c r="D22482" s="1" t="s">
        <v>0</v>
      </c>
      <c r="E22482" s="2">
        <v>0</v>
      </c>
      <c r="F22482" s="2">
        <v>0</v>
      </c>
      <c r="G22482" s="2">
        <v>0</v>
      </c>
      <c r="H22482" s="1" t="s">
        <v>0</v>
      </c>
      <c r="I22482" s="2">
        <v>0</v>
      </c>
      <c r="J22482" s="1">
        <v>45957.54891203704</v>
      </c>
    </row>
    <row r="22483" spans="1:10" x14ac:dyDescent="0.2">
      <c r="A22483" s="4" t="s">
        <v>1</v>
      </c>
      <c r="B224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83" s="3" t="str">
        <f>HYPERLINK("https://otsuka-europe-crm.veevavault.com/ui/#object/sent_email__v/VBL000000002104", "SE-001378654")</f>
        <v>SE-001378654</v>
      </c>
      <c r="D22483" s="1">
        <v>45957.913773148146</v>
      </c>
      <c r="E22483" s="2">
        <v>1</v>
      </c>
      <c r="F22483" s="2">
        <v>1</v>
      </c>
      <c r="G22483" s="2">
        <v>0</v>
      </c>
      <c r="H22483" s="1" t="s">
        <v>0</v>
      </c>
      <c r="I22483" s="2">
        <v>0</v>
      </c>
      <c r="J22483" s="1">
        <v>45957.548981481479</v>
      </c>
    </row>
    <row r="22484" spans="1:10" x14ac:dyDescent="0.2">
      <c r="A22484" s="4" t="s">
        <v>1</v>
      </c>
      <c r="B224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84" s="3" t="str">
        <f>HYPERLINK("https://otsuka-europe-crm.veevavault.com/ui/#object/sent_email__v/VBL000000002105", "SE-001378655")</f>
        <v>SE-001378655</v>
      </c>
      <c r="D22484" s="1" t="s">
        <v>0</v>
      </c>
      <c r="E22484" s="2">
        <v>0</v>
      </c>
      <c r="F22484" s="2">
        <v>0</v>
      </c>
      <c r="G22484" s="2">
        <v>0</v>
      </c>
      <c r="H22484" s="1" t="s">
        <v>0</v>
      </c>
      <c r="I22484" s="2">
        <v>0</v>
      </c>
      <c r="J22484" s="1">
        <v>45957.549050925925</v>
      </c>
    </row>
    <row r="22485" spans="1:10" x14ac:dyDescent="0.2">
      <c r="A22485" s="4" t="s">
        <v>1</v>
      </c>
      <c r="B224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85" s="3" t="str">
        <f>HYPERLINK("https://otsuka-europe-crm.veevavault.com/ui/#object/sent_email__v/VBL000000002106", "SE-001378656")</f>
        <v>SE-001378656</v>
      </c>
      <c r="D22485" s="1" t="s">
        <v>0</v>
      </c>
      <c r="E22485" s="2">
        <v>0</v>
      </c>
      <c r="F22485" s="2">
        <v>0</v>
      </c>
      <c r="G22485" s="2">
        <v>0</v>
      </c>
      <c r="H22485" s="1" t="s">
        <v>0</v>
      </c>
      <c r="I22485" s="2">
        <v>0</v>
      </c>
      <c r="J22485" s="1">
        <v>45957.549131944441</v>
      </c>
    </row>
    <row r="22486" spans="1:10" x14ac:dyDescent="0.2">
      <c r="A22486" s="4" t="s">
        <v>1</v>
      </c>
      <c r="B224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86" s="3" t="str">
        <f>HYPERLINK("https://otsuka-europe-crm.veevavault.com/ui/#object/sent_email__v/VBL000000002107", "SE-001378657")</f>
        <v>SE-001378657</v>
      </c>
      <c r="D22486" s="1">
        <v>45957.707916666666</v>
      </c>
      <c r="E22486" s="2">
        <v>1</v>
      </c>
      <c r="F22486" s="2">
        <v>1</v>
      </c>
      <c r="G22486" s="2">
        <v>0</v>
      </c>
      <c r="H22486" s="1" t="s">
        <v>0</v>
      </c>
      <c r="I22486" s="2">
        <v>0</v>
      </c>
      <c r="J22486" s="1">
        <v>45957.549201388887</v>
      </c>
    </row>
    <row r="22487" spans="1:10" x14ac:dyDescent="0.2">
      <c r="A22487" s="4" t="s">
        <v>1</v>
      </c>
      <c r="B224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87" s="3" t="str">
        <f>HYPERLINK("https://otsuka-europe-crm.veevavault.com/ui/#object/sent_email__v/VBL000000002108", "SE-001378658")</f>
        <v>SE-001378658</v>
      </c>
      <c r="D22487" s="1" t="s">
        <v>0</v>
      </c>
      <c r="E22487" s="2">
        <v>0</v>
      </c>
      <c r="F22487" s="2">
        <v>0</v>
      </c>
      <c r="G22487" s="2">
        <v>0</v>
      </c>
      <c r="H22487" s="1" t="s">
        <v>0</v>
      </c>
      <c r="I22487" s="2">
        <v>0</v>
      </c>
      <c r="J22487" s="1">
        <v>45957.549270833333</v>
      </c>
    </row>
    <row r="22488" spans="1:10" x14ac:dyDescent="0.2">
      <c r="A22488" s="4" t="s">
        <v>1</v>
      </c>
      <c r="B224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88" s="3" t="str">
        <f>HYPERLINK("https://otsuka-europe-crm.veevavault.com/ui/#object/sent_email__v/VBL000000001872", "SE-001378660")</f>
        <v>SE-001378660</v>
      </c>
      <c r="D22488" s="1" t="s">
        <v>0</v>
      </c>
      <c r="E22488" s="2">
        <v>0</v>
      </c>
      <c r="F22488" s="2">
        <v>0</v>
      </c>
      <c r="G22488" s="2">
        <v>0</v>
      </c>
      <c r="H22488" s="1" t="s">
        <v>0</v>
      </c>
      <c r="I22488" s="2">
        <v>0</v>
      </c>
      <c r="J22488" s="1">
        <v>45957.623877314814</v>
      </c>
    </row>
    <row r="22489" spans="1:10" x14ac:dyDescent="0.2">
      <c r="A22489" s="4" t="s">
        <v>1</v>
      </c>
      <c r="B224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89" s="3" t="str">
        <f>HYPERLINK("https://otsuka-europe-crm.veevavault.com/ui/#object/sent_email__v/VBL000000001873", "SE-001378661")</f>
        <v>SE-001378661</v>
      </c>
      <c r="D22489" s="1">
        <v>45957.662268518521</v>
      </c>
      <c r="E22489" s="2">
        <v>1</v>
      </c>
      <c r="F22489" s="2">
        <v>1</v>
      </c>
      <c r="G22489" s="2">
        <v>0</v>
      </c>
      <c r="H22489" s="1" t="s">
        <v>0</v>
      </c>
      <c r="I22489" s="2">
        <v>0</v>
      </c>
      <c r="J22489" s="1">
        <v>45957.624027777776</v>
      </c>
    </row>
    <row r="22490" spans="1:10" x14ac:dyDescent="0.2">
      <c r="A22490" s="4" t="s">
        <v>1</v>
      </c>
      <c r="B224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90" s="3" t="str">
        <f>HYPERLINK("https://otsuka-europe-crm.veevavault.com/ui/#object/sent_email__v/VBL000000001875", "SE-001378663")</f>
        <v>SE-001378663</v>
      </c>
      <c r="D22490" s="1">
        <v>45957.624641203707</v>
      </c>
      <c r="E22490" s="2">
        <v>1</v>
      </c>
      <c r="F22490" s="2">
        <v>3</v>
      </c>
      <c r="G22490" s="2">
        <v>1</v>
      </c>
      <c r="H22490" s="1">
        <v>45957.624618055554</v>
      </c>
      <c r="I22490" s="2">
        <v>10</v>
      </c>
      <c r="J22490" s="1">
        <v>45957.624259259261</v>
      </c>
    </row>
    <row r="22491" spans="1:10" x14ac:dyDescent="0.2">
      <c r="A22491" s="4" t="s">
        <v>1</v>
      </c>
      <c r="B224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91" s="3" t="str">
        <f>HYPERLINK("https://otsuka-europe-crm.veevavault.com/ui/#object/sent_email__v/VBL000000001876", "SE-001378664")</f>
        <v>SE-001378664</v>
      </c>
      <c r="D22491" s="1">
        <v>45957.630555555559</v>
      </c>
      <c r="E22491" s="2">
        <v>1</v>
      </c>
      <c r="F22491" s="2">
        <v>2</v>
      </c>
      <c r="G22491" s="2">
        <v>0</v>
      </c>
      <c r="H22491" s="1" t="s">
        <v>0</v>
      </c>
      <c r="I22491" s="2">
        <v>0</v>
      </c>
      <c r="J22491" s="1">
        <v>45957.624710648146</v>
      </c>
    </row>
    <row r="22492" spans="1:10" x14ac:dyDescent="0.2">
      <c r="A22492" s="4" t="s">
        <v>1</v>
      </c>
      <c r="B224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92" s="3" t="str">
        <f>HYPERLINK("https://otsuka-europe-crm.veevavault.com/ui/#object/sent_email__v/VBL000000001877", "SE-001378665")</f>
        <v>SE-001378665</v>
      </c>
      <c r="D22492" s="1">
        <v>45961.937407407408</v>
      </c>
      <c r="E22492" s="2">
        <v>1</v>
      </c>
      <c r="F22492" s="2">
        <v>1</v>
      </c>
      <c r="G22492" s="2">
        <v>0</v>
      </c>
      <c r="H22492" s="1" t="s">
        <v>0</v>
      </c>
      <c r="I22492" s="2">
        <v>0</v>
      </c>
      <c r="J22492" s="1">
        <v>45957.624895833331</v>
      </c>
    </row>
    <row r="22493" spans="1:10" x14ac:dyDescent="0.2">
      <c r="A22493" s="4" t="s">
        <v>1</v>
      </c>
      <c r="B224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93" s="3" t="str">
        <f>HYPERLINK("https://otsuka-europe-crm.veevavault.com/ui/#object/sent_email__v/VBL000000002319", "SE-001378908")</f>
        <v>SE-001378908</v>
      </c>
      <c r="D22493" s="1">
        <v>45958.582106481481</v>
      </c>
      <c r="E22493" s="2">
        <v>1</v>
      </c>
      <c r="F22493" s="2">
        <v>2</v>
      </c>
      <c r="G22493" s="2">
        <v>1</v>
      </c>
      <c r="H22493" s="1">
        <v>45958.415347222224</v>
      </c>
      <c r="I22493" s="2">
        <v>2</v>
      </c>
      <c r="J22493" s="1">
        <v>45958.414456018516</v>
      </c>
    </row>
    <row r="22494" spans="1:10" x14ac:dyDescent="0.2">
      <c r="A22494" s="4" t="s">
        <v>1</v>
      </c>
      <c r="B224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94" s="3" t="str">
        <f>HYPERLINK("https://otsuka-europe-crm.veevavault.com/ui/#object/sent_email__v/VBL000000003056", "SE-001379073")</f>
        <v>SE-001379073</v>
      </c>
      <c r="D22494" s="1">
        <v>45958.780173611114</v>
      </c>
      <c r="E22494" s="2">
        <v>1</v>
      </c>
      <c r="F22494" s="2">
        <v>1</v>
      </c>
      <c r="G22494" s="2">
        <v>0</v>
      </c>
      <c r="H22494" s="1" t="s">
        <v>0</v>
      </c>
      <c r="I22494" s="2">
        <v>0</v>
      </c>
      <c r="J22494" s="1">
        <v>45958.729386574072</v>
      </c>
    </row>
    <row r="22495" spans="1:10" x14ac:dyDescent="0.2">
      <c r="A22495" s="4" t="s">
        <v>1</v>
      </c>
      <c r="B224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95" s="3" t="str">
        <f>HYPERLINK("https://otsuka-europe-crm.veevavault.com/ui/#object/sent_email__v/VBL000000003057", "SE-001379074")</f>
        <v>SE-001379074</v>
      </c>
      <c r="D22495" s="1">
        <v>45958.911238425928</v>
      </c>
      <c r="E22495" s="2">
        <v>1</v>
      </c>
      <c r="F22495" s="2">
        <v>1</v>
      </c>
      <c r="G22495" s="2">
        <v>0</v>
      </c>
      <c r="H22495" s="1" t="s">
        <v>0</v>
      </c>
      <c r="I22495" s="2">
        <v>0</v>
      </c>
      <c r="J22495" s="1">
        <v>45958.729432870372</v>
      </c>
    </row>
    <row r="22496" spans="1:10" x14ac:dyDescent="0.2">
      <c r="A22496" s="4" t="s">
        <v>1</v>
      </c>
      <c r="B224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96" s="3" t="str">
        <f>HYPERLINK("https://otsuka-europe-crm.veevavault.com/ui/#object/sent_email__v/VBL000000003058", "SE-001379075")</f>
        <v>SE-001379075</v>
      </c>
      <c r="D22496" s="1" t="s">
        <v>0</v>
      </c>
      <c r="E22496" s="2">
        <v>0</v>
      </c>
      <c r="F22496" s="2">
        <v>0</v>
      </c>
      <c r="G22496" s="2">
        <v>0</v>
      </c>
      <c r="H22496" s="1" t="s">
        <v>0</v>
      </c>
      <c r="I22496" s="2">
        <v>0</v>
      </c>
      <c r="J22496" s="1">
        <v>45958.729456018518</v>
      </c>
    </row>
    <row r="22497" spans="1:10" x14ac:dyDescent="0.2">
      <c r="A22497" s="4" t="s">
        <v>1</v>
      </c>
      <c r="B224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97" s="3" t="str">
        <f>HYPERLINK("https://otsuka-europe-crm.veevavault.com/ui/#object/sent_email__v/VBL000000003059", "SE-001379076")</f>
        <v>SE-001379076</v>
      </c>
      <c r="D22497" s="1">
        <v>45962.366388888891</v>
      </c>
      <c r="E22497" s="2">
        <v>1</v>
      </c>
      <c r="F22497" s="2">
        <v>2</v>
      </c>
      <c r="G22497" s="2">
        <v>0</v>
      </c>
      <c r="H22497" s="1" t="s">
        <v>0</v>
      </c>
      <c r="I22497" s="2">
        <v>0</v>
      </c>
      <c r="J22497" s="1">
        <v>45958.729490740741</v>
      </c>
    </row>
    <row r="22498" spans="1:10" x14ac:dyDescent="0.2">
      <c r="A22498" s="4" t="s">
        <v>1</v>
      </c>
      <c r="B224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98" s="3" t="str">
        <f>HYPERLINK("https://otsuka-europe-crm.veevavault.com/ui/#object/sent_email__v/VBL000000003060", "SE-001379077")</f>
        <v>SE-001379077</v>
      </c>
      <c r="D22498" s="1">
        <v>45958.750567129631</v>
      </c>
      <c r="E22498" s="2">
        <v>1</v>
      </c>
      <c r="F22498" s="2">
        <v>1</v>
      </c>
      <c r="G22498" s="2">
        <v>0</v>
      </c>
      <c r="H22498" s="1" t="s">
        <v>0</v>
      </c>
      <c r="I22498" s="2">
        <v>0</v>
      </c>
      <c r="J22498" s="1">
        <v>45958.729537037034</v>
      </c>
    </row>
    <row r="22499" spans="1:10" x14ac:dyDescent="0.2">
      <c r="A22499" s="4" t="s">
        <v>1</v>
      </c>
      <c r="B224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499" s="3" t="str">
        <f>HYPERLINK("https://otsuka-europe-crm.veevavault.com/ui/#object/sent_email__v/VBL000000003061", "SE-001379078")</f>
        <v>SE-001379078</v>
      </c>
      <c r="D22499" s="1">
        <v>45959.313564814816</v>
      </c>
      <c r="E22499" s="2">
        <v>1</v>
      </c>
      <c r="F22499" s="2">
        <v>1</v>
      </c>
      <c r="G22499" s="2">
        <v>0</v>
      </c>
      <c r="H22499" s="1" t="s">
        <v>0</v>
      </c>
      <c r="I22499" s="2">
        <v>0</v>
      </c>
      <c r="J22499" s="1">
        <v>45958.729583333334</v>
      </c>
    </row>
    <row r="22500" spans="1:10" x14ac:dyDescent="0.2">
      <c r="A22500" s="4" t="s">
        <v>1</v>
      </c>
      <c r="B225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00" s="3" t="str">
        <f>HYPERLINK("https://otsuka-europe-crm.veevavault.com/ui/#object/sent_email__v/VBL000000003062", "SE-001379079")</f>
        <v>SE-001379079</v>
      </c>
      <c r="D22500" s="1" t="s">
        <v>0</v>
      </c>
      <c r="E22500" s="2">
        <v>0</v>
      </c>
      <c r="F22500" s="2">
        <v>0</v>
      </c>
      <c r="G22500" s="2">
        <v>0</v>
      </c>
      <c r="H22500" s="1" t="s">
        <v>0</v>
      </c>
      <c r="I22500" s="2">
        <v>0</v>
      </c>
      <c r="J22500" s="1">
        <v>45958.729618055557</v>
      </c>
    </row>
    <row r="22501" spans="1:10" x14ac:dyDescent="0.2">
      <c r="A22501" s="4" t="s">
        <v>1</v>
      </c>
      <c r="B225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01" s="3" t="str">
        <f>HYPERLINK("https://otsuka-europe-crm.veevavault.com/ui/#object/sent_email__v/VBL000000003063", "SE-001379080")</f>
        <v>SE-001379080</v>
      </c>
      <c r="D22501" s="1">
        <v>45960.958877314813</v>
      </c>
      <c r="E22501" s="2">
        <v>1</v>
      </c>
      <c r="F22501" s="2">
        <v>4</v>
      </c>
      <c r="G22501" s="2">
        <v>0</v>
      </c>
      <c r="H22501" s="1" t="s">
        <v>0</v>
      </c>
      <c r="I22501" s="2">
        <v>0</v>
      </c>
      <c r="J22501" s="1">
        <v>45958.72965277778</v>
      </c>
    </row>
    <row r="22502" spans="1:10" x14ac:dyDescent="0.2">
      <c r="A22502" s="4" t="s">
        <v>1</v>
      </c>
      <c r="B225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02" s="3" t="str">
        <f>HYPERLINK("https://otsuka-europe-crm.veevavault.com/ui/#object/sent_email__v/VBL000000003064", "SE-001379081")</f>
        <v>SE-001379081</v>
      </c>
      <c r="D22502" s="1" t="s">
        <v>0</v>
      </c>
      <c r="E22502" s="2">
        <v>0</v>
      </c>
      <c r="F22502" s="2">
        <v>0</v>
      </c>
      <c r="G22502" s="2">
        <v>0</v>
      </c>
      <c r="H22502" s="1" t="s">
        <v>0</v>
      </c>
      <c r="I22502" s="2">
        <v>0</v>
      </c>
      <c r="J22502" s="1">
        <v>45958.729687500003</v>
      </c>
    </row>
    <row r="22503" spans="1:10" x14ac:dyDescent="0.2">
      <c r="A22503" s="4" t="s">
        <v>1</v>
      </c>
      <c r="B225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03" s="3" t="str">
        <f>HYPERLINK("https://otsuka-europe-crm.veevavault.com/ui/#object/sent_email__v/VBL000000003065", "SE-001379082")</f>
        <v>SE-001379082</v>
      </c>
      <c r="D22503" s="1">
        <v>45958.847557870373</v>
      </c>
      <c r="E22503" s="2">
        <v>1</v>
      </c>
      <c r="F22503" s="2">
        <v>1</v>
      </c>
      <c r="G22503" s="2">
        <v>0</v>
      </c>
      <c r="H22503" s="1" t="s">
        <v>0</v>
      </c>
      <c r="I22503" s="2">
        <v>0</v>
      </c>
      <c r="J22503" s="1">
        <v>45958.729733796295</v>
      </c>
    </row>
    <row r="22504" spans="1:10" x14ac:dyDescent="0.2">
      <c r="A22504" s="4" t="s">
        <v>1</v>
      </c>
      <c r="B225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04" s="3" t="str">
        <f>HYPERLINK("https://otsuka-europe-crm.veevavault.com/ui/#object/sent_email__v/VBL000000003066", "SE-001379083")</f>
        <v>SE-001379083</v>
      </c>
      <c r="D22504" s="1" t="s">
        <v>0</v>
      </c>
      <c r="E22504" s="2">
        <v>0</v>
      </c>
      <c r="F22504" s="2">
        <v>0</v>
      </c>
      <c r="G22504" s="2">
        <v>0</v>
      </c>
      <c r="H22504" s="1" t="s">
        <v>0</v>
      </c>
      <c r="I22504" s="2">
        <v>0</v>
      </c>
      <c r="J22504" s="1">
        <v>45958.729768518519</v>
      </c>
    </row>
    <row r="22505" spans="1:10" x14ac:dyDescent="0.2">
      <c r="A22505" s="4" t="s">
        <v>1</v>
      </c>
      <c r="B225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05" s="3" t="str">
        <f>HYPERLINK("https://otsuka-europe-crm.veevavault.com/ui/#object/sent_email__v/VBL000000003067", "SE-001379084")</f>
        <v>SE-001379084</v>
      </c>
      <c r="D22505" s="1" t="s">
        <v>0</v>
      </c>
      <c r="E22505" s="2">
        <v>0</v>
      </c>
      <c r="F22505" s="2">
        <v>0</v>
      </c>
      <c r="G22505" s="2">
        <v>0</v>
      </c>
      <c r="H22505" s="1" t="s">
        <v>0</v>
      </c>
      <c r="I22505" s="2">
        <v>0</v>
      </c>
      <c r="J22505" s="1">
        <v>45958.729803240742</v>
      </c>
    </row>
    <row r="22506" spans="1:10" x14ac:dyDescent="0.2">
      <c r="A22506" s="4" t="s">
        <v>1</v>
      </c>
      <c r="B225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06" s="3" t="str">
        <f>HYPERLINK("https://otsuka-europe-crm.veevavault.com/ui/#object/sent_email__v/VBL000000003068", "SE-001379085")</f>
        <v>SE-001379085</v>
      </c>
      <c r="D22506" s="1" t="s">
        <v>0</v>
      </c>
      <c r="E22506" s="2">
        <v>0</v>
      </c>
      <c r="F22506" s="2">
        <v>0</v>
      </c>
      <c r="G22506" s="2">
        <v>0</v>
      </c>
      <c r="H22506" s="1" t="s">
        <v>0</v>
      </c>
      <c r="I22506" s="2">
        <v>0</v>
      </c>
      <c r="J22506" s="1">
        <v>45958.729849537034</v>
      </c>
    </row>
    <row r="22507" spans="1:10" x14ac:dyDescent="0.2">
      <c r="A22507" s="4" t="s">
        <v>1</v>
      </c>
      <c r="B225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07" s="3" t="str">
        <f>HYPERLINK("https://otsuka-europe-crm.veevavault.com/ui/#object/sent_email__v/VBL000000003069", "SE-001379086")</f>
        <v>SE-001379086</v>
      </c>
      <c r="D22507" s="1">
        <v>45975.706469907411</v>
      </c>
      <c r="E22507" s="2">
        <v>1</v>
      </c>
      <c r="F22507" s="2">
        <v>2</v>
      </c>
      <c r="G22507" s="2">
        <v>0</v>
      </c>
      <c r="H22507" s="1" t="s">
        <v>0</v>
      </c>
      <c r="I22507" s="2">
        <v>0</v>
      </c>
      <c r="J22507" s="1">
        <v>45958.729895833334</v>
      </c>
    </row>
    <row r="22508" spans="1:10" x14ac:dyDescent="0.2">
      <c r="A22508" s="4" t="s">
        <v>1</v>
      </c>
      <c r="B225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08" s="3" t="str">
        <f>HYPERLINK("https://otsuka-europe-crm.veevavault.com/ui/#object/sent_email__v/VBL000000003070", "SE-001379087")</f>
        <v>SE-001379087</v>
      </c>
      <c r="D22508" s="1">
        <v>45960.974629629629</v>
      </c>
      <c r="E22508" s="2">
        <v>1</v>
      </c>
      <c r="F22508" s="2">
        <v>1</v>
      </c>
      <c r="G22508" s="2">
        <v>0</v>
      </c>
      <c r="H22508" s="1" t="s">
        <v>0</v>
      </c>
      <c r="I22508" s="2">
        <v>0</v>
      </c>
      <c r="J22508" s="1">
        <v>45958.729930555557</v>
      </c>
    </row>
    <row r="22509" spans="1:10" x14ac:dyDescent="0.2">
      <c r="A22509" s="4" t="s">
        <v>1</v>
      </c>
      <c r="B225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09" s="3" t="str">
        <f>HYPERLINK("https://otsuka-europe-crm.veevavault.com/ui/#object/sent_email__v/VBL000000003071", "SE-001379088")</f>
        <v>SE-001379088</v>
      </c>
      <c r="D22509" s="1" t="s">
        <v>0</v>
      </c>
      <c r="E22509" s="2">
        <v>0</v>
      </c>
      <c r="F22509" s="2">
        <v>0</v>
      </c>
      <c r="G22509" s="2">
        <v>0</v>
      </c>
      <c r="H22509" s="1" t="s">
        <v>0</v>
      </c>
      <c r="I22509" s="2">
        <v>0</v>
      </c>
      <c r="J22509" s="1">
        <v>45958.72996527778</v>
      </c>
    </row>
    <row r="22510" spans="1:10" x14ac:dyDescent="0.2">
      <c r="A22510" s="4" t="s">
        <v>1</v>
      </c>
      <c r="B225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10" s="3" t="str">
        <f>HYPERLINK("https://otsuka-europe-crm.veevavault.com/ui/#object/sent_email__v/VBL000000003072", "SE-001379089")</f>
        <v>SE-001379089</v>
      </c>
      <c r="D22510" s="1" t="s">
        <v>0</v>
      </c>
      <c r="E22510" s="2">
        <v>0</v>
      </c>
      <c r="F22510" s="2">
        <v>0</v>
      </c>
      <c r="G22510" s="2">
        <v>0</v>
      </c>
      <c r="H22510" s="1" t="s">
        <v>0</v>
      </c>
      <c r="I22510" s="2">
        <v>0</v>
      </c>
      <c r="J22510" s="1">
        <v>45958.730011574073</v>
      </c>
    </row>
    <row r="22511" spans="1:10" x14ac:dyDescent="0.2">
      <c r="A22511" s="4" t="s">
        <v>1</v>
      </c>
      <c r="B225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11" s="3" t="str">
        <f>HYPERLINK("https://otsuka-europe-crm.veevavault.com/ui/#object/sent_email__v/VBL000000003073", "SE-001379090")</f>
        <v>SE-001379090</v>
      </c>
      <c r="D22511" s="1">
        <v>45959.74013888889</v>
      </c>
      <c r="E22511" s="2">
        <v>1</v>
      </c>
      <c r="F22511" s="2">
        <v>4</v>
      </c>
      <c r="G22511" s="2">
        <v>0</v>
      </c>
      <c r="H22511" s="1" t="s">
        <v>0</v>
      </c>
      <c r="I22511" s="2">
        <v>0</v>
      </c>
      <c r="J22511" s="1">
        <v>45958.730046296296</v>
      </c>
    </row>
    <row r="22512" spans="1:10" x14ac:dyDescent="0.2">
      <c r="A22512" s="4" t="s">
        <v>1</v>
      </c>
      <c r="B225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12" s="3" t="str">
        <f>HYPERLINK("https://otsuka-europe-crm.veevavault.com/ui/#object/sent_email__v/VBL000000003074", "SE-001379091")</f>
        <v>SE-001379091</v>
      </c>
      <c r="D22512" s="1">
        <v>45960.382708333331</v>
      </c>
      <c r="E22512" s="2">
        <v>1</v>
      </c>
      <c r="F22512" s="2">
        <v>2</v>
      </c>
      <c r="G22512" s="2">
        <v>0</v>
      </c>
      <c r="H22512" s="1" t="s">
        <v>0</v>
      </c>
      <c r="I22512" s="2">
        <v>0</v>
      </c>
      <c r="J22512" s="1">
        <v>45958.730092592596</v>
      </c>
    </row>
    <row r="22513" spans="1:10" x14ac:dyDescent="0.2">
      <c r="A22513" s="4" t="s">
        <v>1</v>
      </c>
      <c r="B225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13" s="3" t="str">
        <f>HYPERLINK("https://otsuka-europe-crm.veevavault.com/ui/#object/sent_email__v/VBL000000003075", "SE-001379092")</f>
        <v>SE-001379092</v>
      </c>
      <c r="D22513" s="1" t="s">
        <v>0</v>
      </c>
      <c r="E22513" s="2">
        <v>0</v>
      </c>
      <c r="F22513" s="2">
        <v>0</v>
      </c>
      <c r="G22513" s="2">
        <v>0</v>
      </c>
      <c r="H22513" s="1" t="s">
        <v>0</v>
      </c>
      <c r="I22513" s="2">
        <v>0</v>
      </c>
      <c r="J22513" s="1">
        <v>45958.730138888888</v>
      </c>
    </row>
    <row r="22514" spans="1:10" x14ac:dyDescent="0.2">
      <c r="A22514" s="4" t="s">
        <v>1</v>
      </c>
      <c r="B225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14" s="3" t="str">
        <f>HYPERLINK("https://otsuka-europe-crm.veevavault.com/ui/#object/sent_email__v/VBL000000003076", "SE-001379093")</f>
        <v>SE-001379093</v>
      </c>
      <c r="D22514" s="1">
        <v>46077.734027777777</v>
      </c>
      <c r="E22514" s="2">
        <v>1</v>
      </c>
      <c r="F22514" s="2">
        <v>2</v>
      </c>
      <c r="G22514" s="2">
        <v>0</v>
      </c>
      <c r="H22514" s="1" t="s">
        <v>0</v>
      </c>
      <c r="I22514" s="2">
        <v>0</v>
      </c>
      <c r="J22514" s="1">
        <v>45958.730173611111</v>
      </c>
    </row>
    <row r="22515" spans="1:10" x14ac:dyDescent="0.2">
      <c r="A22515" s="4" t="s">
        <v>1</v>
      </c>
      <c r="B225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15" s="3" t="str">
        <f>HYPERLINK("https://otsuka-europe-crm.veevavault.com/ui/#object/sent_email__v/VBL000000003077", "SE-001379094")</f>
        <v>SE-001379094</v>
      </c>
      <c r="D22515" s="1">
        <v>45958.738587962966</v>
      </c>
      <c r="E22515" s="2">
        <v>1</v>
      </c>
      <c r="F22515" s="2">
        <v>1</v>
      </c>
      <c r="G22515" s="2">
        <v>0</v>
      </c>
      <c r="H22515" s="1" t="s">
        <v>0</v>
      </c>
      <c r="I22515" s="2">
        <v>0</v>
      </c>
      <c r="J22515" s="1">
        <v>45958.730219907404</v>
      </c>
    </row>
    <row r="22516" spans="1:10" x14ac:dyDescent="0.2">
      <c r="A22516" s="4" t="s">
        <v>1</v>
      </c>
      <c r="B225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16" s="3" t="str">
        <f>HYPERLINK("https://otsuka-europe-crm.veevavault.com/ui/#object/sent_email__v/VBL000000003078", "SE-001379095")</f>
        <v>SE-001379095</v>
      </c>
      <c r="D22516" s="1">
        <v>45958.867372685185</v>
      </c>
      <c r="E22516" s="2">
        <v>1</v>
      </c>
      <c r="F22516" s="2">
        <v>1</v>
      </c>
      <c r="G22516" s="2">
        <v>0</v>
      </c>
      <c r="H22516" s="1" t="s">
        <v>0</v>
      </c>
      <c r="I22516" s="2">
        <v>0</v>
      </c>
      <c r="J22516" s="1">
        <v>45958.730254629627</v>
      </c>
    </row>
    <row r="22517" spans="1:10" x14ac:dyDescent="0.2">
      <c r="A22517" s="4" t="s">
        <v>1</v>
      </c>
      <c r="B225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17" s="3" t="str">
        <f>HYPERLINK("https://otsuka-europe-crm.veevavault.com/ui/#object/sent_email__v/VBL000000003079", "SE-001379096")</f>
        <v>SE-001379096</v>
      </c>
      <c r="D22517" s="1">
        <v>45959.699374999997</v>
      </c>
      <c r="E22517" s="2">
        <v>1</v>
      </c>
      <c r="F22517" s="2">
        <v>4</v>
      </c>
      <c r="G22517" s="2">
        <v>0</v>
      </c>
      <c r="H22517" s="1" t="s">
        <v>0</v>
      </c>
      <c r="I22517" s="2">
        <v>0</v>
      </c>
      <c r="J22517" s="1">
        <v>45958.730300925927</v>
      </c>
    </row>
    <row r="22518" spans="1:10" x14ac:dyDescent="0.2">
      <c r="A22518" s="4" t="s">
        <v>1</v>
      </c>
      <c r="B225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18" s="3" t="str">
        <f>HYPERLINK("https://otsuka-europe-crm.veevavault.com/ui/#object/sent_email__v/VBL000000003080", "SE-001379097")</f>
        <v>SE-001379097</v>
      </c>
      <c r="D22518" s="1">
        <v>45958.755462962959</v>
      </c>
      <c r="E22518" s="2">
        <v>1</v>
      </c>
      <c r="F22518" s="2">
        <v>1</v>
      </c>
      <c r="G22518" s="2">
        <v>0</v>
      </c>
      <c r="H22518" s="1" t="s">
        <v>0</v>
      </c>
      <c r="I22518" s="2">
        <v>0</v>
      </c>
      <c r="J22518" s="1">
        <v>45958.73033564815</v>
      </c>
    </row>
    <row r="22519" spans="1:10" x14ac:dyDescent="0.2">
      <c r="A22519" s="4" t="s">
        <v>1</v>
      </c>
      <c r="B225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19" s="3" t="str">
        <f>HYPERLINK("https://otsuka-europe-crm.veevavault.com/ui/#object/sent_email__v/VBL000000003081", "SE-001379098")</f>
        <v>SE-001379098</v>
      </c>
      <c r="D22519" s="1">
        <v>45958.730833333335</v>
      </c>
      <c r="E22519" s="2">
        <v>1</v>
      </c>
      <c r="F22519" s="2">
        <v>2</v>
      </c>
      <c r="G22519" s="2">
        <v>1</v>
      </c>
      <c r="H22519" s="1">
        <v>45958.730810185189</v>
      </c>
      <c r="I22519" s="2">
        <v>10</v>
      </c>
      <c r="J22519" s="1">
        <v>45958.730381944442</v>
      </c>
    </row>
    <row r="22520" spans="1:10" x14ac:dyDescent="0.2">
      <c r="A22520" s="4" t="s">
        <v>1</v>
      </c>
      <c r="B225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20" s="3" t="str">
        <f>HYPERLINK("https://otsuka-europe-crm.veevavault.com/ui/#object/sent_email__v/VBL000000003082", "SE-001379099")</f>
        <v>SE-001379099</v>
      </c>
      <c r="D22520" s="1" t="s">
        <v>0</v>
      </c>
      <c r="E22520" s="2">
        <v>0</v>
      </c>
      <c r="F22520" s="2">
        <v>0</v>
      </c>
      <c r="G22520" s="2">
        <v>0</v>
      </c>
      <c r="H22520" s="1" t="s">
        <v>0</v>
      </c>
      <c r="I22520" s="2">
        <v>0</v>
      </c>
      <c r="J22520" s="1">
        <v>45958.730428240742</v>
      </c>
    </row>
    <row r="22521" spans="1:10" x14ac:dyDescent="0.2">
      <c r="A22521" s="4" t="s">
        <v>1</v>
      </c>
      <c r="B225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21" s="3" t="str">
        <f>HYPERLINK("https://otsuka-europe-crm.veevavault.com/ui/#object/sent_email__v/VBL000000003083", "SE-001379100")</f>
        <v>SE-001379100</v>
      </c>
      <c r="D22521" s="1">
        <v>45966.045520833337</v>
      </c>
      <c r="E22521" s="2">
        <v>1</v>
      </c>
      <c r="F22521" s="2">
        <v>2</v>
      </c>
      <c r="G22521" s="2">
        <v>0</v>
      </c>
      <c r="H22521" s="1" t="s">
        <v>0</v>
      </c>
      <c r="I22521" s="2">
        <v>0</v>
      </c>
      <c r="J22521" s="1">
        <v>45958.730462962965</v>
      </c>
    </row>
    <row r="22522" spans="1:10" x14ac:dyDescent="0.2">
      <c r="A22522" s="4" t="s">
        <v>1</v>
      </c>
      <c r="B225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22" s="3" t="str">
        <f>HYPERLINK("https://otsuka-europe-crm.veevavault.com/ui/#object/sent_email__v/VBL000000003084", "SE-001379101")</f>
        <v>SE-001379101</v>
      </c>
      <c r="D22522" s="1" t="s">
        <v>0</v>
      </c>
      <c r="E22522" s="2">
        <v>0</v>
      </c>
      <c r="F22522" s="2">
        <v>0</v>
      </c>
      <c r="G22522" s="2">
        <v>0</v>
      </c>
      <c r="H22522" s="1" t="s">
        <v>0</v>
      </c>
      <c r="I22522" s="2">
        <v>0</v>
      </c>
      <c r="J22522" s="1">
        <v>45958.730497685188</v>
      </c>
    </row>
    <row r="22523" spans="1:10" x14ac:dyDescent="0.2">
      <c r="A22523" s="4" t="s">
        <v>1</v>
      </c>
      <c r="B225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23" s="3" t="str">
        <f>HYPERLINK("https://otsuka-europe-crm.veevavault.com/ui/#object/sent_email__v/VBL000000003085", "SE-001379102")</f>
        <v>SE-001379102</v>
      </c>
      <c r="D22523" s="1">
        <v>45960.742268518516</v>
      </c>
      <c r="E22523" s="2">
        <v>1</v>
      </c>
      <c r="F22523" s="2">
        <v>2</v>
      </c>
      <c r="G22523" s="2">
        <v>0</v>
      </c>
      <c r="H22523" s="1" t="s">
        <v>0</v>
      </c>
      <c r="I22523" s="2">
        <v>0</v>
      </c>
      <c r="J22523" s="1">
        <v>45958.730543981481</v>
      </c>
    </row>
    <row r="22524" spans="1:10" x14ac:dyDescent="0.2">
      <c r="A22524" s="4" t="s">
        <v>1</v>
      </c>
      <c r="B225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24" s="3" t="str">
        <f>HYPERLINK("https://otsuka-europe-crm.veevavault.com/ui/#object/sent_email__v/VBL000000003086", "SE-001379103")</f>
        <v>SE-001379103</v>
      </c>
      <c r="D22524" s="1" t="s">
        <v>0</v>
      </c>
      <c r="E22524" s="2">
        <v>0</v>
      </c>
      <c r="F22524" s="2">
        <v>0</v>
      </c>
      <c r="G22524" s="2">
        <v>0</v>
      </c>
      <c r="H22524" s="1" t="s">
        <v>0</v>
      </c>
      <c r="I22524" s="2">
        <v>0</v>
      </c>
      <c r="J22524" s="1">
        <v>45958.730578703704</v>
      </c>
    </row>
    <row r="22525" spans="1:10" x14ac:dyDescent="0.2">
      <c r="A22525" s="4" t="s">
        <v>1</v>
      </c>
      <c r="B225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25" s="3" t="str">
        <f>HYPERLINK("https://otsuka-europe-crm.veevavault.com/ui/#object/sent_email__v/VBL000000003087", "SE-001379104")</f>
        <v>SE-001379104</v>
      </c>
      <c r="D22525" s="1">
        <v>45963.295416666668</v>
      </c>
      <c r="E22525" s="2">
        <v>1</v>
      </c>
      <c r="F22525" s="2">
        <v>2</v>
      </c>
      <c r="G22525" s="2">
        <v>0</v>
      </c>
      <c r="H22525" s="1" t="s">
        <v>0</v>
      </c>
      <c r="I22525" s="2">
        <v>0</v>
      </c>
      <c r="J22525" s="1">
        <v>45958.730624999997</v>
      </c>
    </row>
    <row r="22526" spans="1:10" x14ac:dyDescent="0.2">
      <c r="A22526" s="4" t="s">
        <v>1</v>
      </c>
      <c r="B225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26" s="3" t="str">
        <f>HYPERLINK("https://otsuka-europe-crm.veevavault.com/ui/#object/sent_email__v/VBL000000003088", "SE-001379105")</f>
        <v>SE-001379105</v>
      </c>
      <c r="D22526" s="1" t="s">
        <v>0</v>
      </c>
      <c r="E22526" s="2">
        <v>0</v>
      </c>
      <c r="F22526" s="2">
        <v>0</v>
      </c>
      <c r="G22526" s="2">
        <v>0</v>
      </c>
      <c r="H22526" s="1" t="s">
        <v>0</v>
      </c>
      <c r="I22526" s="2">
        <v>0</v>
      </c>
      <c r="J22526" s="1">
        <v>45958.730671296296</v>
      </c>
    </row>
    <row r="22527" spans="1:10" x14ac:dyDescent="0.2">
      <c r="A22527" s="4" t="s">
        <v>1</v>
      </c>
      <c r="B225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27" s="3" t="str">
        <f>HYPERLINK("https://otsuka-europe-crm.veevavault.com/ui/#object/sent_email__v/VBL000000003089", "SE-001379106")</f>
        <v>SE-001379106</v>
      </c>
      <c r="D22527" s="1" t="s">
        <v>0</v>
      </c>
      <c r="E22527" s="2">
        <v>0</v>
      </c>
      <c r="F22527" s="2">
        <v>0</v>
      </c>
      <c r="G22527" s="2">
        <v>0</v>
      </c>
      <c r="H22527" s="1" t="s">
        <v>0</v>
      </c>
      <c r="I22527" s="2">
        <v>0</v>
      </c>
      <c r="J22527" s="1">
        <v>45958.730706018519</v>
      </c>
    </row>
    <row r="22528" spans="1:10" x14ac:dyDescent="0.2">
      <c r="A22528" s="4" t="s">
        <v>1</v>
      </c>
      <c r="B225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28" s="3" t="str">
        <f>HYPERLINK("https://otsuka-europe-crm.veevavault.com/ui/#object/sent_email__v/VBL000000003090", "SE-001379107")</f>
        <v>SE-001379107</v>
      </c>
      <c r="D22528" s="1" t="s">
        <v>0</v>
      </c>
      <c r="E22528" s="2">
        <v>0</v>
      </c>
      <c r="F22528" s="2">
        <v>0</v>
      </c>
      <c r="G22528" s="2">
        <v>0</v>
      </c>
      <c r="H22528" s="1" t="s">
        <v>0</v>
      </c>
      <c r="I22528" s="2">
        <v>0</v>
      </c>
      <c r="J22528" s="1">
        <v>45958.730752314812</v>
      </c>
    </row>
    <row r="22529" spans="1:10" x14ac:dyDescent="0.2">
      <c r="A22529" s="4" t="s">
        <v>1</v>
      </c>
      <c r="B225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29" s="3" t="str">
        <f>HYPERLINK("https://otsuka-europe-crm.veevavault.com/ui/#object/sent_email__v/VBL000000003091", "SE-001379108")</f>
        <v>SE-001379108</v>
      </c>
      <c r="D22529" s="1">
        <v>45958.745300925926</v>
      </c>
      <c r="E22529" s="2">
        <v>1</v>
      </c>
      <c r="F22529" s="2">
        <v>1</v>
      </c>
      <c r="G22529" s="2">
        <v>0</v>
      </c>
      <c r="H22529" s="1" t="s">
        <v>0</v>
      </c>
      <c r="I22529" s="2">
        <v>0</v>
      </c>
      <c r="J22529" s="1">
        <v>45958.730787037035</v>
      </c>
    </row>
    <row r="22530" spans="1:10" x14ac:dyDescent="0.2">
      <c r="A22530" s="4" t="s">
        <v>1</v>
      </c>
      <c r="B225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30" s="3" t="str">
        <f>HYPERLINK("https://otsuka-europe-crm.veevavault.com/ui/#object/sent_email__v/VBL000000003092", "SE-001379109")</f>
        <v>SE-001379109</v>
      </c>
      <c r="D22530" s="1" t="s">
        <v>0</v>
      </c>
      <c r="E22530" s="2">
        <v>0</v>
      </c>
      <c r="F22530" s="2">
        <v>0</v>
      </c>
      <c r="G22530" s="2">
        <v>0</v>
      </c>
      <c r="H22530" s="1" t="s">
        <v>0</v>
      </c>
      <c r="I22530" s="2">
        <v>0</v>
      </c>
      <c r="J22530" s="1">
        <v>45958.730833333335</v>
      </c>
    </row>
    <row r="22531" spans="1:10" x14ac:dyDescent="0.2">
      <c r="A22531" s="4" t="s">
        <v>1</v>
      </c>
      <c r="B225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31" s="3" t="str">
        <f>HYPERLINK("https://otsuka-europe-crm.veevavault.com/ui/#object/sent_email__v/VBL000000003093", "SE-001379110")</f>
        <v>SE-001379110</v>
      </c>
      <c r="D22531" s="1">
        <v>45959.007951388892</v>
      </c>
      <c r="E22531" s="2">
        <v>1</v>
      </c>
      <c r="F22531" s="2">
        <v>2</v>
      </c>
      <c r="G22531" s="2">
        <v>0</v>
      </c>
      <c r="H22531" s="1" t="s">
        <v>0</v>
      </c>
      <c r="I22531" s="2">
        <v>0</v>
      </c>
      <c r="J22531" s="1">
        <v>45958.730879629627</v>
      </c>
    </row>
    <row r="22532" spans="1:10" x14ac:dyDescent="0.2">
      <c r="A22532" s="4" t="s">
        <v>1</v>
      </c>
      <c r="B225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32" s="3" t="str">
        <f>HYPERLINK("https://otsuka-europe-crm.veevavault.com/ui/#object/sent_email__v/VBL000000003094", "SE-001379111")</f>
        <v>SE-001379111</v>
      </c>
      <c r="D22532" s="1">
        <v>45959.75576388889</v>
      </c>
      <c r="E22532" s="2">
        <v>1</v>
      </c>
      <c r="F22532" s="2">
        <v>12</v>
      </c>
      <c r="G22532" s="2">
        <v>0</v>
      </c>
      <c r="H22532" s="1" t="s">
        <v>0</v>
      </c>
      <c r="I22532" s="2">
        <v>0</v>
      </c>
      <c r="J22532" s="1">
        <v>45958.730925925927</v>
      </c>
    </row>
    <row r="22533" spans="1:10" x14ac:dyDescent="0.2">
      <c r="A22533" s="4" t="s">
        <v>1</v>
      </c>
      <c r="B225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33" s="3" t="str">
        <f>HYPERLINK("https://otsuka-europe-crm.veevavault.com/ui/#object/sent_email__v/VBL000000003095", "SE-001379112")</f>
        <v>SE-001379112</v>
      </c>
      <c r="D22533" s="1">
        <v>45958.823993055557</v>
      </c>
      <c r="E22533" s="2">
        <v>1</v>
      </c>
      <c r="F22533" s="2">
        <v>1</v>
      </c>
      <c r="G22533" s="2">
        <v>0</v>
      </c>
      <c r="H22533" s="1" t="s">
        <v>0</v>
      </c>
      <c r="I22533" s="2">
        <v>0</v>
      </c>
      <c r="J22533" s="1">
        <v>45958.73096064815</v>
      </c>
    </row>
    <row r="22534" spans="1:10" x14ac:dyDescent="0.2">
      <c r="A22534" s="4" t="s">
        <v>1</v>
      </c>
      <c r="B225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34" s="3" t="str">
        <f>HYPERLINK("https://otsuka-europe-crm.veevavault.com/ui/#object/sent_email__v/VBL000000003096", "SE-001379113")</f>
        <v>SE-001379113</v>
      </c>
      <c r="D22534" s="1" t="s">
        <v>0</v>
      </c>
      <c r="E22534" s="2">
        <v>0</v>
      </c>
      <c r="F22534" s="2">
        <v>0</v>
      </c>
      <c r="G22534" s="2">
        <v>0</v>
      </c>
      <c r="H22534" s="1" t="s">
        <v>0</v>
      </c>
      <c r="I22534" s="2">
        <v>0</v>
      </c>
      <c r="J22534" s="1">
        <v>45958.730995370373</v>
      </c>
    </row>
    <row r="22535" spans="1:10" x14ac:dyDescent="0.2">
      <c r="A22535" s="4" t="s">
        <v>1</v>
      </c>
      <c r="B225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35" s="3" t="str">
        <f>HYPERLINK("https://otsuka-europe-crm.veevavault.com/ui/#object/sent_email__v/VBL000000003097", "SE-001379114")</f>
        <v>SE-001379114</v>
      </c>
      <c r="D22535" s="1">
        <v>45958.819895833331</v>
      </c>
      <c r="E22535" s="2">
        <v>1</v>
      </c>
      <c r="F22535" s="2">
        <v>1</v>
      </c>
      <c r="G22535" s="2">
        <v>0</v>
      </c>
      <c r="H22535" s="1" t="s">
        <v>0</v>
      </c>
      <c r="I22535" s="2">
        <v>0</v>
      </c>
      <c r="J22535" s="1">
        <v>45958.731030092589</v>
      </c>
    </row>
    <row r="22536" spans="1:10" x14ac:dyDescent="0.2">
      <c r="A22536" s="4" t="s">
        <v>1</v>
      </c>
      <c r="B225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36" s="3" t="str">
        <f>HYPERLINK("https://otsuka-europe-crm.veevavault.com/ui/#object/sent_email__v/VBL000000003098", "SE-001379115")</f>
        <v>SE-001379115</v>
      </c>
      <c r="D22536" s="1">
        <v>45979.148680555554</v>
      </c>
      <c r="E22536" s="2">
        <v>1</v>
      </c>
      <c r="F22536" s="2">
        <v>3</v>
      </c>
      <c r="G22536" s="2">
        <v>0</v>
      </c>
      <c r="H22536" s="1" t="s">
        <v>0</v>
      </c>
      <c r="I22536" s="2">
        <v>0</v>
      </c>
      <c r="J22536" s="1">
        <v>45958.731076388889</v>
      </c>
    </row>
    <row r="22537" spans="1:10" x14ac:dyDescent="0.2">
      <c r="A22537" s="4" t="s">
        <v>1</v>
      </c>
      <c r="B225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37" s="3" t="str">
        <f>HYPERLINK("https://otsuka-europe-crm.veevavault.com/ui/#object/sent_email__v/VBL000000003099", "SE-001379116")</f>
        <v>SE-001379116</v>
      </c>
      <c r="D22537" s="1" t="s">
        <v>0</v>
      </c>
      <c r="E22537" s="2">
        <v>0</v>
      </c>
      <c r="F22537" s="2">
        <v>0</v>
      </c>
      <c r="G22537" s="2">
        <v>0</v>
      </c>
      <c r="H22537" s="1" t="s">
        <v>0</v>
      </c>
      <c r="I22537" s="2">
        <v>0</v>
      </c>
      <c r="J22537" s="1">
        <v>45958.731111111112</v>
      </c>
    </row>
    <row r="22538" spans="1:10" x14ac:dyDescent="0.2">
      <c r="A22538" s="4" t="s">
        <v>1</v>
      </c>
      <c r="B225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38" s="3" t="str">
        <f>HYPERLINK("https://otsuka-europe-crm.veevavault.com/ui/#object/sent_email__v/VBL000000003100", "SE-001379117")</f>
        <v>SE-001379117</v>
      </c>
      <c r="D22538" s="1" t="s">
        <v>0</v>
      </c>
      <c r="E22538" s="2">
        <v>0</v>
      </c>
      <c r="F22538" s="2">
        <v>0</v>
      </c>
      <c r="G22538" s="2">
        <v>0</v>
      </c>
      <c r="H22538" s="1" t="s">
        <v>0</v>
      </c>
      <c r="I22538" s="2">
        <v>0</v>
      </c>
      <c r="J22538" s="1">
        <v>45958.731145833335</v>
      </c>
    </row>
    <row r="22539" spans="1:10" x14ac:dyDescent="0.2">
      <c r="A22539" s="4" t="s">
        <v>1</v>
      </c>
      <c r="B225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39" s="3" t="str">
        <f>HYPERLINK("https://otsuka-europe-crm.veevavault.com/ui/#object/sent_email__v/VBL000000003101", "SE-001379118")</f>
        <v>SE-001379118</v>
      </c>
      <c r="D22539" s="1" t="s">
        <v>0</v>
      </c>
      <c r="E22539" s="2">
        <v>0</v>
      </c>
      <c r="F22539" s="2">
        <v>0</v>
      </c>
      <c r="G22539" s="2">
        <v>0</v>
      </c>
      <c r="H22539" s="1" t="s">
        <v>0</v>
      </c>
      <c r="I22539" s="2">
        <v>0</v>
      </c>
      <c r="J22539" s="1">
        <v>45958.731192129628</v>
      </c>
    </row>
    <row r="22540" spans="1:10" x14ac:dyDescent="0.2">
      <c r="A22540" s="4" t="s">
        <v>1</v>
      </c>
      <c r="B225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40" s="3" t="str">
        <f>HYPERLINK("https://otsuka-europe-crm.veevavault.com/ui/#object/sent_email__v/VBL000000003102", "SE-001379119")</f>
        <v>SE-001379119</v>
      </c>
      <c r="D22540" s="1" t="s">
        <v>0</v>
      </c>
      <c r="E22540" s="2">
        <v>0</v>
      </c>
      <c r="F22540" s="2">
        <v>0</v>
      </c>
      <c r="G22540" s="2">
        <v>0</v>
      </c>
      <c r="H22540" s="1" t="s">
        <v>0</v>
      </c>
      <c r="I22540" s="2">
        <v>0</v>
      </c>
      <c r="J22540" s="1">
        <v>45958.731226851851</v>
      </c>
    </row>
    <row r="22541" spans="1:10" x14ac:dyDescent="0.2">
      <c r="A22541" s="4" t="s">
        <v>1</v>
      </c>
      <c r="B225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41" s="3" t="str">
        <f>HYPERLINK("https://otsuka-europe-crm.veevavault.com/ui/#object/sent_email__v/VBL000000003103", "SE-001379120")</f>
        <v>SE-001379120</v>
      </c>
      <c r="D22541" s="1" t="s">
        <v>0</v>
      </c>
      <c r="E22541" s="2">
        <v>0</v>
      </c>
      <c r="F22541" s="2">
        <v>0</v>
      </c>
      <c r="G22541" s="2">
        <v>0</v>
      </c>
      <c r="H22541" s="1" t="s">
        <v>0</v>
      </c>
      <c r="I22541" s="2">
        <v>0</v>
      </c>
      <c r="J22541" s="1">
        <v>45958.731273148151</v>
      </c>
    </row>
    <row r="22542" spans="1:10" x14ac:dyDescent="0.2">
      <c r="A22542" s="4" t="s">
        <v>1</v>
      </c>
      <c r="B225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42" s="3" t="str">
        <f>HYPERLINK("https://otsuka-europe-crm.veevavault.com/ui/#object/sent_email__v/VBL000000003104", "SE-001379121")</f>
        <v>SE-001379121</v>
      </c>
      <c r="D22542" s="1">
        <v>45962.750358796293</v>
      </c>
      <c r="E22542" s="2">
        <v>1</v>
      </c>
      <c r="F22542" s="2">
        <v>1</v>
      </c>
      <c r="G22542" s="2">
        <v>0</v>
      </c>
      <c r="H22542" s="1" t="s">
        <v>0</v>
      </c>
      <c r="I22542" s="2">
        <v>0</v>
      </c>
      <c r="J22542" s="1">
        <v>45958.731307870374</v>
      </c>
    </row>
    <row r="22543" spans="1:10" x14ac:dyDescent="0.2">
      <c r="A22543" s="4" t="s">
        <v>1</v>
      </c>
      <c r="B225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43" s="3" t="str">
        <f>HYPERLINK("https://otsuka-europe-crm.veevavault.com/ui/#object/sent_email__v/VBL000000003105", "SE-001379122")</f>
        <v>SE-001379122</v>
      </c>
      <c r="D22543" s="1">
        <v>45959.530370370368</v>
      </c>
      <c r="E22543" s="2">
        <v>1</v>
      </c>
      <c r="F22543" s="2">
        <v>1</v>
      </c>
      <c r="G22543" s="2">
        <v>0</v>
      </c>
      <c r="H22543" s="1" t="s">
        <v>0</v>
      </c>
      <c r="I22543" s="2">
        <v>0</v>
      </c>
      <c r="J22543" s="1">
        <v>45958.731342592589</v>
      </c>
    </row>
    <row r="22544" spans="1:10" x14ac:dyDescent="0.2">
      <c r="A22544" s="4" t="s">
        <v>1</v>
      </c>
      <c r="B225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44" s="3" t="str">
        <f>HYPERLINK("https://otsuka-europe-crm.veevavault.com/ui/#object/sent_email__v/VBL000000003106", "SE-001379123")</f>
        <v>SE-001379123</v>
      </c>
      <c r="D22544" s="1" t="s">
        <v>0</v>
      </c>
      <c r="E22544" s="2">
        <v>0</v>
      </c>
      <c r="F22544" s="2">
        <v>0</v>
      </c>
      <c r="G22544" s="2">
        <v>0</v>
      </c>
      <c r="H22544" s="1" t="s">
        <v>0</v>
      </c>
      <c r="I22544" s="2">
        <v>0</v>
      </c>
      <c r="J22544" s="1">
        <v>45958.731388888889</v>
      </c>
    </row>
    <row r="22545" spans="1:10" x14ac:dyDescent="0.2">
      <c r="A22545" s="4" t="s">
        <v>1</v>
      </c>
      <c r="B225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45" s="3" t="str">
        <f>HYPERLINK("https://otsuka-europe-crm.veevavault.com/ui/#object/sent_email__v/VBL000000003107", "SE-001379124")</f>
        <v>SE-001379124</v>
      </c>
      <c r="D22545" s="1" t="s">
        <v>0</v>
      </c>
      <c r="E22545" s="2">
        <v>0</v>
      </c>
      <c r="F22545" s="2">
        <v>0</v>
      </c>
      <c r="G22545" s="2">
        <v>0</v>
      </c>
      <c r="H22545" s="1" t="s">
        <v>0</v>
      </c>
      <c r="I22545" s="2">
        <v>0</v>
      </c>
      <c r="J22545" s="1">
        <v>45958.731423611112</v>
      </c>
    </row>
    <row r="22546" spans="1:10" x14ac:dyDescent="0.2">
      <c r="A22546" s="4" t="s">
        <v>1</v>
      </c>
      <c r="B225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46" s="3" t="str">
        <f>HYPERLINK("https://otsuka-europe-crm.veevavault.com/ui/#object/sent_email__v/VBL000000003108", "SE-001379125")</f>
        <v>SE-001379125</v>
      </c>
      <c r="D22546" s="1" t="s">
        <v>0</v>
      </c>
      <c r="E22546" s="2">
        <v>0</v>
      </c>
      <c r="F22546" s="2">
        <v>0</v>
      </c>
      <c r="G22546" s="2">
        <v>0</v>
      </c>
      <c r="H22546" s="1" t="s">
        <v>0</v>
      </c>
      <c r="I22546" s="2">
        <v>0</v>
      </c>
      <c r="J22546" s="1">
        <v>45958.731458333335</v>
      </c>
    </row>
    <row r="22547" spans="1:10" x14ac:dyDescent="0.2">
      <c r="A22547" s="4" t="s">
        <v>1</v>
      </c>
      <c r="B225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47" s="3" t="str">
        <f>HYPERLINK("https://otsuka-europe-crm.veevavault.com/ui/#object/sent_email__v/VBL000000003109", "SE-001379126")</f>
        <v>SE-001379126</v>
      </c>
      <c r="D22547" s="1">
        <v>45958.891284722224</v>
      </c>
      <c r="E22547" s="2">
        <v>1</v>
      </c>
      <c r="F22547" s="2">
        <v>1</v>
      </c>
      <c r="G22547" s="2">
        <v>0</v>
      </c>
      <c r="H22547" s="1" t="s">
        <v>0</v>
      </c>
      <c r="I22547" s="2">
        <v>0</v>
      </c>
      <c r="J22547" s="1">
        <v>45958.731504629628</v>
      </c>
    </row>
    <row r="22548" spans="1:10" x14ac:dyDescent="0.2">
      <c r="A22548" s="4" t="s">
        <v>1</v>
      </c>
      <c r="B225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48" s="3" t="str">
        <f>HYPERLINK("https://otsuka-europe-crm.veevavault.com/ui/#object/sent_email__v/VBL000000003110", "SE-001379127")</f>
        <v>SE-001379127</v>
      </c>
      <c r="D22548" s="1" t="s">
        <v>0</v>
      </c>
      <c r="E22548" s="2">
        <v>0</v>
      </c>
      <c r="F22548" s="2">
        <v>0</v>
      </c>
      <c r="G22548" s="2">
        <v>0</v>
      </c>
      <c r="H22548" s="1" t="s">
        <v>0</v>
      </c>
      <c r="I22548" s="2">
        <v>0</v>
      </c>
      <c r="J22548" s="1">
        <v>45958.731539351851</v>
      </c>
    </row>
    <row r="22549" spans="1:10" x14ac:dyDescent="0.2">
      <c r="A22549" s="4" t="s">
        <v>1</v>
      </c>
      <c r="B225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49" s="3" t="str">
        <f>HYPERLINK("https://otsuka-europe-crm.veevavault.com/ui/#object/sent_email__v/VBL000000003111", "SE-001379128")</f>
        <v>SE-001379128</v>
      </c>
      <c r="D22549" s="1" t="s">
        <v>0</v>
      </c>
      <c r="E22549" s="2">
        <v>0</v>
      </c>
      <c r="F22549" s="2">
        <v>0</v>
      </c>
      <c r="G22549" s="2">
        <v>0</v>
      </c>
      <c r="H22549" s="1" t="s">
        <v>0</v>
      </c>
      <c r="I22549" s="2">
        <v>0</v>
      </c>
      <c r="J22549" s="1">
        <v>45958.731585648151</v>
      </c>
    </row>
    <row r="22550" spans="1:10" x14ac:dyDescent="0.2">
      <c r="A22550" s="4" t="s">
        <v>1</v>
      </c>
      <c r="B225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50" s="3" t="str">
        <f>HYPERLINK("https://otsuka-europe-crm.veevavault.com/ui/#object/sent_email__v/VBL000000003112", "SE-001379129")</f>
        <v>SE-001379129</v>
      </c>
      <c r="D22550" s="1" t="s">
        <v>0</v>
      </c>
      <c r="E22550" s="2">
        <v>0</v>
      </c>
      <c r="F22550" s="2">
        <v>0</v>
      </c>
      <c r="G22550" s="2">
        <v>0</v>
      </c>
      <c r="H22550" s="1" t="s">
        <v>0</v>
      </c>
      <c r="I22550" s="2">
        <v>0</v>
      </c>
      <c r="J22550" s="1">
        <v>45958.731631944444</v>
      </c>
    </row>
    <row r="22551" spans="1:10" x14ac:dyDescent="0.2">
      <c r="A22551" s="4" t="s">
        <v>1</v>
      </c>
      <c r="B225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51" s="3" t="str">
        <f>HYPERLINK("https://otsuka-europe-crm.veevavault.com/ui/#object/sent_email__v/VBL000000003113", "SE-001379130")</f>
        <v>SE-001379130</v>
      </c>
      <c r="D22551" s="1">
        <v>45963.924907407411</v>
      </c>
      <c r="E22551" s="2">
        <v>1</v>
      </c>
      <c r="F22551" s="2">
        <v>2</v>
      </c>
      <c r="G22551" s="2">
        <v>1</v>
      </c>
      <c r="H22551" s="1">
        <v>45958.732303240744</v>
      </c>
      <c r="I22551" s="2">
        <v>1</v>
      </c>
      <c r="J22551" s="1">
        <v>45958.731666666667</v>
      </c>
    </row>
    <row r="22552" spans="1:10" x14ac:dyDescent="0.2">
      <c r="A22552" s="4" t="s">
        <v>1</v>
      </c>
      <c r="B225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52" s="3" t="str">
        <f>HYPERLINK("https://otsuka-europe-crm.veevavault.com/ui/#object/sent_email__v/VBL000000003114", "SE-001379131")</f>
        <v>SE-001379131</v>
      </c>
      <c r="D22552" s="1">
        <v>45958.745763888888</v>
      </c>
      <c r="E22552" s="2">
        <v>1</v>
      </c>
      <c r="F22552" s="2">
        <v>2</v>
      </c>
      <c r="G22552" s="2">
        <v>0</v>
      </c>
      <c r="H22552" s="1" t="s">
        <v>0</v>
      </c>
      <c r="I22552" s="2">
        <v>0</v>
      </c>
      <c r="J22552" s="1">
        <v>45958.73170138889</v>
      </c>
    </row>
    <row r="22553" spans="1:10" x14ac:dyDescent="0.2">
      <c r="A22553" s="4" t="s">
        <v>1</v>
      </c>
      <c r="B225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53" s="3" t="str">
        <f>HYPERLINK("https://otsuka-europe-crm.veevavault.com/ui/#object/sent_email__v/VBL000000003115", "SE-001379132")</f>
        <v>SE-001379132</v>
      </c>
      <c r="D22553" s="1">
        <v>45958.964699074073</v>
      </c>
      <c r="E22553" s="2">
        <v>1</v>
      </c>
      <c r="F22553" s="2">
        <v>1</v>
      </c>
      <c r="G22553" s="2">
        <v>0</v>
      </c>
      <c r="H22553" s="1" t="s">
        <v>0</v>
      </c>
      <c r="I22553" s="2">
        <v>0</v>
      </c>
      <c r="J22553" s="1">
        <v>45958.731747685182</v>
      </c>
    </row>
    <row r="22554" spans="1:10" x14ac:dyDescent="0.2">
      <c r="A22554" s="4" t="s">
        <v>1</v>
      </c>
      <c r="B225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54" s="3" t="str">
        <f>HYPERLINK("https://otsuka-europe-crm.veevavault.com/ui/#object/sent_email__v/VBL000000003116", "SE-001379133")</f>
        <v>SE-001379133</v>
      </c>
      <c r="D22554" s="1">
        <v>45958.930960648147</v>
      </c>
      <c r="E22554" s="2">
        <v>1</v>
      </c>
      <c r="F22554" s="2">
        <v>1</v>
      </c>
      <c r="G22554" s="2">
        <v>0</v>
      </c>
      <c r="H22554" s="1" t="s">
        <v>0</v>
      </c>
      <c r="I22554" s="2">
        <v>0</v>
      </c>
      <c r="J22554" s="1">
        <v>45958.731782407405</v>
      </c>
    </row>
    <row r="22555" spans="1:10" x14ac:dyDescent="0.2">
      <c r="A22555" s="4" t="s">
        <v>1</v>
      </c>
      <c r="B225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55" s="3" t="str">
        <f>HYPERLINK("https://otsuka-europe-crm.veevavault.com/ui/#object/sent_email__v/VBL000000003117", "SE-001379134")</f>
        <v>SE-001379134</v>
      </c>
      <c r="D22555" s="1">
        <v>45958.775358796294</v>
      </c>
      <c r="E22555" s="2">
        <v>1</v>
      </c>
      <c r="F22555" s="2">
        <v>1</v>
      </c>
      <c r="G22555" s="2">
        <v>0</v>
      </c>
      <c r="H22555" s="1" t="s">
        <v>0</v>
      </c>
      <c r="I22555" s="2">
        <v>0</v>
      </c>
      <c r="J22555" s="1">
        <v>45958.731828703705</v>
      </c>
    </row>
    <row r="22556" spans="1:10" x14ac:dyDescent="0.2">
      <c r="A22556" s="4" t="s">
        <v>1</v>
      </c>
      <c r="B225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56" s="3" t="str">
        <f>HYPERLINK("https://otsuka-europe-crm.veevavault.com/ui/#object/sent_email__v/VBL000000003118", "SE-001379135")</f>
        <v>SE-001379135</v>
      </c>
      <c r="D22556" s="1" t="s">
        <v>0</v>
      </c>
      <c r="E22556" s="2">
        <v>0</v>
      </c>
      <c r="F22556" s="2">
        <v>0</v>
      </c>
      <c r="G22556" s="2">
        <v>0</v>
      </c>
      <c r="H22556" s="1" t="s">
        <v>0</v>
      </c>
      <c r="I22556" s="2">
        <v>0</v>
      </c>
      <c r="J22556" s="1">
        <v>45958.731863425928</v>
      </c>
    </row>
    <row r="22557" spans="1:10" x14ac:dyDescent="0.2">
      <c r="A22557" s="4" t="s">
        <v>1</v>
      </c>
      <c r="B225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57" s="3" t="str">
        <f>HYPERLINK("https://otsuka-europe-crm.veevavault.com/ui/#object/sent_email__v/VBL000000003119", "SE-001379136")</f>
        <v>SE-001379136</v>
      </c>
      <c r="D22557" s="1">
        <v>45958.732118055559</v>
      </c>
      <c r="E22557" s="2">
        <v>1</v>
      </c>
      <c r="F22557" s="2">
        <v>3</v>
      </c>
      <c r="G22557" s="2">
        <v>1</v>
      </c>
      <c r="H22557" s="1">
        <v>45958.732106481482</v>
      </c>
      <c r="I22557" s="2">
        <v>10</v>
      </c>
      <c r="J22557" s="1">
        <v>45958.731909722221</v>
      </c>
    </row>
    <row r="22558" spans="1:10" x14ac:dyDescent="0.2">
      <c r="A22558" s="4" t="s">
        <v>1</v>
      </c>
      <c r="B225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58" s="3" t="str">
        <f>HYPERLINK("https://otsuka-europe-crm.veevavault.com/ui/#object/sent_email__v/VBL000000003120", "SE-001379137")</f>
        <v>SE-001379137</v>
      </c>
      <c r="D22558" s="1" t="s">
        <v>0</v>
      </c>
      <c r="E22558" s="2">
        <v>0</v>
      </c>
      <c r="F22558" s="2">
        <v>0</v>
      </c>
      <c r="G22558" s="2">
        <v>0</v>
      </c>
      <c r="H22558" s="1" t="s">
        <v>0</v>
      </c>
      <c r="I22558" s="2">
        <v>0</v>
      </c>
      <c r="J22558" s="1">
        <v>45958.731944444444</v>
      </c>
    </row>
    <row r="22559" spans="1:10" x14ac:dyDescent="0.2">
      <c r="A22559" s="4" t="s">
        <v>1</v>
      </c>
      <c r="B225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59" s="3" t="str">
        <f>HYPERLINK("https://otsuka-europe-crm.veevavault.com/ui/#object/sent_email__v/VBL000000003121", "SE-001379138")</f>
        <v>SE-001379138</v>
      </c>
      <c r="D22559" s="1">
        <v>45960.740034722221</v>
      </c>
      <c r="E22559" s="2">
        <v>1</v>
      </c>
      <c r="F22559" s="2">
        <v>3</v>
      </c>
      <c r="G22559" s="2">
        <v>0</v>
      </c>
      <c r="H22559" s="1" t="s">
        <v>0</v>
      </c>
      <c r="I22559" s="2">
        <v>0</v>
      </c>
      <c r="J22559" s="1">
        <v>45958.731979166667</v>
      </c>
    </row>
    <row r="22560" spans="1:10" x14ac:dyDescent="0.2">
      <c r="A22560" s="4" t="s">
        <v>1</v>
      </c>
      <c r="B225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60" s="3" t="str">
        <f>HYPERLINK("https://otsuka-europe-crm.veevavault.com/ui/#object/sent_email__v/VBL000000003122", "SE-001379139")</f>
        <v>SE-001379139</v>
      </c>
      <c r="D22560" s="1" t="s">
        <v>0</v>
      </c>
      <c r="E22560" s="2">
        <v>0</v>
      </c>
      <c r="F22560" s="2">
        <v>0</v>
      </c>
      <c r="G22560" s="2">
        <v>0</v>
      </c>
      <c r="H22560" s="1" t="s">
        <v>0</v>
      </c>
      <c r="I22560" s="2">
        <v>0</v>
      </c>
      <c r="J22560" s="1">
        <v>45958.732025462959</v>
      </c>
    </row>
    <row r="22561" spans="1:10" x14ac:dyDescent="0.2">
      <c r="A22561" s="4" t="s">
        <v>1</v>
      </c>
      <c r="B225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61" s="3" t="str">
        <f>HYPERLINK("https://otsuka-europe-crm.veevavault.com/ui/#object/sent_email__v/VBL000000003123", "SE-001379140")</f>
        <v>SE-001379140</v>
      </c>
      <c r="D22561" s="1">
        <v>45958.735011574077</v>
      </c>
      <c r="E22561" s="2">
        <v>1</v>
      </c>
      <c r="F22561" s="2">
        <v>2</v>
      </c>
      <c r="G22561" s="2">
        <v>0</v>
      </c>
      <c r="H22561" s="1" t="s">
        <v>0</v>
      </c>
      <c r="I22561" s="2">
        <v>0</v>
      </c>
      <c r="J22561" s="1">
        <v>45958.732071759259</v>
      </c>
    </row>
    <row r="22562" spans="1:10" x14ac:dyDescent="0.2">
      <c r="A22562" s="4" t="s">
        <v>1</v>
      </c>
      <c r="B225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62" s="3" t="str">
        <f>HYPERLINK("https://otsuka-europe-crm.veevavault.com/ui/#object/sent_email__v/VBL000000003124", "SE-001379141")</f>
        <v>SE-001379141</v>
      </c>
      <c r="D22562" s="1" t="s">
        <v>0</v>
      </c>
      <c r="E22562" s="2">
        <v>0</v>
      </c>
      <c r="F22562" s="2">
        <v>0</v>
      </c>
      <c r="G22562" s="2">
        <v>0</v>
      </c>
      <c r="H22562" s="1" t="s">
        <v>0</v>
      </c>
      <c r="I22562" s="2">
        <v>0</v>
      </c>
      <c r="J22562" s="1">
        <v>45958.732106481482</v>
      </c>
    </row>
    <row r="22563" spans="1:10" x14ac:dyDescent="0.2">
      <c r="A22563" s="4" t="s">
        <v>1</v>
      </c>
      <c r="B225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63" s="3" t="str">
        <f>HYPERLINK("https://otsuka-europe-crm.veevavault.com/ui/#object/sent_email__v/VBL000000003125", "SE-001379142")</f>
        <v>SE-001379142</v>
      </c>
      <c r="D22563" s="1" t="s">
        <v>0</v>
      </c>
      <c r="E22563" s="2">
        <v>0</v>
      </c>
      <c r="F22563" s="2">
        <v>0</v>
      </c>
      <c r="G22563" s="2">
        <v>0</v>
      </c>
      <c r="H22563" s="1" t="s">
        <v>0</v>
      </c>
      <c r="I22563" s="2">
        <v>0</v>
      </c>
      <c r="J22563" s="1">
        <v>45958.732164351852</v>
      </c>
    </row>
    <row r="22564" spans="1:10" x14ac:dyDescent="0.2">
      <c r="A22564" s="4" t="s">
        <v>1</v>
      </c>
      <c r="B225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64" s="3" t="str">
        <f>HYPERLINK("https://otsuka-europe-crm.veevavault.com/ui/#object/sent_email__v/VBL000000003126", "SE-001379143")</f>
        <v>SE-001379143</v>
      </c>
      <c r="D22564" s="1" t="s">
        <v>0</v>
      </c>
      <c r="E22564" s="2">
        <v>0</v>
      </c>
      <c r="F22564" s="2">
        <v>0</v>
      </c>
      <c r="G22564" s="2">
        <v>0</v>
      </c>
      <c r="H22564" s="1" t="s">
        <v>0</v>
      </c>
      <c r="I22564" s="2">
        <v>0</v>
      </c>
      <c r="J22564" s="1">
        <v>45958.732199074075</v>
      </c>
    </row>
    <row r="22565" spans="1:10" x14ac:dyDescent="0.2">
      <c r="A22565" s="4" t="s">
        <v>1</v>
      </c>
      <c r="B225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65" s="3" t="str">
        <f>HYPERLINK("https://otsuka-europe-crm.veevavault.com/ui/#object/sent_email__v/VBL000000003127", "SE-001379144")</f>
        <v>SE-001379144</v>
      </c>
      <c r="D22565" s="1">
        <v>45976.511134259257</v>
      </c>
      <c r="E22565" s="2">
        <v>1</v>
      </c>
      <c r="F22565" s="2">
        <v>4</v>
      </c>
      <c r="G22565" s="2">
        <v>0</v>
      </c>
      <c r="H22565" s="1" t="s">
        <v>0</v>
      </c>
      <c r="I22565" s="2">
        <v>0</v>
      </c>
      <c r="J22565" s="1">
        <v>45958.732245370367</v>
      </c>
    </row>
    <row r="22566" spans="1:10" x14ac:dyDescent="0.2">
      <c r="A22566" s="4" t="s">
        <v>1</v>
      </c>
      <c r="B225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66" s="3" t="str">
        <f>HYPERLINK("https://otsuka-europe-crm.veevavault.com/ui/#object/sent_email__v/VBL000000003128", "SE-001379145")</f>
        <v>SE-001379145</v>
      </c>
      <c r="D22566" s="1" t="s">
        <v>0</v>
      </c>
      <c r="E22566" s="2">
        <v>0</v>
      </c>
      <c r="F22566" s="2">
        <v>0</v>
      </c>
      <c r="G22566" s="2">
        <v>0</v>
      </c>
      <c r="H22566" s="1" t="s">
        <v>0</v>
      </c>
      <c r="I22566" s="2">
        <v>0</v>
      </c>
      <c r="J22566" s="1">
        <v>45958.73228009259</v>
      </c>
    </row>
    <row r="22567" spans="1:10" x14ac:dyDescent="0.2">
      <c r="A22567" s="4" t="s">
        <v>1</v>
      </c>
      <c r="B225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67" s="3" t="str">
        <f>HYPERLINK("https://otsuka-europe-crm.veevavault.com/ui/#object/sent_email__v/VBL000000003129", "SE-001379146")</f>
        <v>SE-001379146</v>
      </c>
      <c r="D22567" s="1" t="s">
        <v>0</v>
      </c>
      <c r="E22567" s="2">
        <v>0</v>
      </c>
      <c r="F22567" s="2">
        <v>0</v>
      </c>
      <c r="G22567" s="2">
        <v>0</v>
      </c>
      <c r="H22567" s="1" t="s">
        <v>0</v>
      </c>
      <c r="I22567" s="2">
        <v>0</v>
      </c>
      <c r="J22567" s="1">
        <v>45958.73232638889</v>
      </c>
    </row>
    <row r="22568" spans="1:10" x14ac:dyDescent="0.2">
      <c r="A22568" s="4" t="s">
        <v>1</v>
      </c>
      <c r="B225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68" s="3" t="str">
        <f>HYPERLINK("https://otsuka-europe-crm.veevavault.com/ui/#object/sent_email__v/VBL000000003130", "SE-001379147")</f>
        <v>SE-001379147</v>
      </c>
      <c r="D22568" s="1" t="s">
        <v>0</v>
      </c>
      <c r="E22568" s="2">
        <v>0</v>
      </c>
      <c r="F22568" s="2">
        <v>0</v>
      </c>
      <c r="G22568" s="2">
        <v>0</v>
      </c>
      <c r="H22568" s="1" t="s">
        <v>0</v>
      </c>
      <c r="I22568" s="2">
        <v>0</v>
      </c>
      <c r="J22568" s="1">
        <v>45958.732372685183</v>
      </c>
    </row>
    <row r="22569" spans="1:10" x14ac:dyDescent="0.2">
      <c r="A22569" s="4" t="s">
        <v>1</v>
      </c>
      <c r="B225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69" s="3" t="str">
        <f>HYPERLINK("https://otsuka-europe-crm.veevavault.com/ui/#object/sent_email__v/VBL000000003131", "SE-001379148")</f>
        <v>SE-001379148</v>
      </c>
      <c r="D22569" s="1">
        <v>45963.821527777778</v>
      </c>
      <c r="E22569" s="2">
        <v>1</v>
      </c>
      <c r="F22569" s="2">
        <v>2</v>
      </c>
      <c r="G22569" s="2">
        <v>0</v>
      </c>
      <c r="H22569" s="1" t="s">
        <v>0</v>
      </c>
      <c r="I22569" s="2">
        <v>0</v>
      </c>
      <c r="J22569" s="1">
        <v>45958.732395833336</v>
      </c>
    </row>
    <row r="22570" spans="1:10" x14ac:dyDescent="0.2">
      <c r="A22570" s="4" t="s">
        <v>1</v>
      </c>
      <c r="B225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70" s="3" t="str">
        <f>HYPERLINK("https://otsuka-europe-crm.veevavault.com/ui/#object/sent_email__v/VBL000000003132", "SE-001379149")</f>
        <v>SE-001379149</v>
      </c>
      <c r="D22570" s="1" t="s">
        <v>0</v>
      </c>
      <c r="E22570" s="2">
        <v>0</v>
      </c>
      <c r="F22570" s="2">
        <v>0</v>
      </c>
      <c r="G22570" s="2">
        <v>0</v>
      </c>
      <c r="H22570" s="1" t="s">
        <v>0</v>
      </c>
      <c r="I22570" s="2">
        <v>0</v>
      </c>
      <c r="J22570" s="1">
        <v>45958.732453703706</v>
      </c>
    </row>
    <row r="22571" spans="1:10" x14ac:dyDescent="0.2">
      <c r="A22571" s="4" t="s">
        <v>1</v>
      </c>
      <c r="B225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71" s="3" t="str">
        <f>HYPERLINK("https://otsuka-europe-crm.veevavault.com/ui/#object/sent_email__v/VBL000000003133", "SE-001379150")</f>
        <v>SE-001379150</v>
      </c>
      <c r="D22571" s="1">
        <v>45958.735532407409</v>
      </c>
      <c r="E22571" s="2">
        <v>1</v>
      </c>
      <c r="F22571" s="2">
        <v>1</v>
      </c>
      <c r="G22571" s="2">
        <v>0</v>
      </c>
      <c r="H22571" s="1" t="s">
        <v>0</v>
      </c>
      <c r="I22571" s="2">
        <v>0</v>
      </c>
      <c r="J22571" s="1">
        <v>45958.732488425929</v>
      </c>
    </row>
    <row r="22572" spans="1:10" x14ac:dyDescent="0.2">
      <c r="A22572" s="4" t="s">
        <v>1</v>
      </c>
      <c r="B225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72" s="3" t="str">
        <f>HYPERLINK("https://otsuka-europe-crm.veevavault.com/ui/#object/sent_email__v/VBL000000003134", "SE-001379151")</f>
        <v>SE-001379151</v>
      </c>
      <c r="D22572" s="1">
        <v>45958.875358796293</v>
      </c>
      <c r="E22572" s="2">
        <v>1</v>
      </c>
      <c r="F22572" s="2">
        <v>1</v>
      </c>
      <c r="G22572" s="2">
        <v>0</v>
      </c>
      <c r="H22572" s="1" t="s">
        <v>0</v>
      </c>
      <c r="I22572" s="2">
        <v>0</v>
      </c>
      <c r="J22572" s="1">
        <v>45958.732523148145</v>
      </c>
    </row>
    <row r="22573" spans="1:10" x14ac:dyDescent="0.2">
      <c r="A22573" s="4" t="s">
        <v>1</v>
      </c>
      <c r="B225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73" s="3" t="str">
        <f>HYPERLINK("https://otsuka-europe-crm.veevavault.com/ui/#object/sent_email__v/VBL000000003135", "SE-001379152")</f>
        <v>SE-001379152</v>
      </c>
      <c r="D22573" s="1" t="s">
        <v>0</v>
      </c>
      <c r="E22573" s="2">
        <v>0</v>
      </c>
      <c r="F22573" s="2">
        <v>0</v>
      </c>
      <c r="G22573" s="2">
        <v>0</v>
      </c>
      <c r="H22573" s="1" t="s">
        <v>0</v>
      </c>
      <c r="I22573" s="2">
        <v>0</v>
      </c>
      <c r="J22573" s="1">
        <v>45958.732569444444</v>
      </c>
    </row>
    <row r="22574" spans="1:10" x14ac:dyDescent="0.2">
      <c r="A22574" s="4" t="s">
        <v>1</v>
      </c>
      <c r="B225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74" s="3" t="str">
        <f>HYPERLINK("https://otsuka-europe-crm.veevavault.com/ui/#object/sent_email__v/VBL000000003136", "SE-001379153")</f>
        <v>SE-001379153</v>
      </c>
      <c r="D22574" s="1">
        <v>45975.240902777776</v>
      </c>
      <c r="E22574" s="2">
        <v>1</v>
      </c>
      <c r="F22574" s="2">
        <v>2</v>
      </c>
      <c r="G22574" s="2">
        <v>0</v>
      </c>
      <c r="H22574" s="1" t="s">
        <v>0</v>
      </c>
      <c r="I22574" s="2">
        <v>0</v>
      </c>
      <c r="J22574" s="1">
        <v>45958.732604166667</v>
      </c>
    </row>
    <row r="22575" spans="1:10" x14ac:dyDescent="0.2">
      <c r="A22575" s="4" t="s">
        <v>1</v>
      </c>
      <c r="B225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75" s="3" t="str">
        <f>HYPERLINK("https://otsuka-europe-crm.veevavault.com/ui/#object/sent_email__v/VBL000000003137", "SE-001379154")</f>
        <v>SE-001379154</v>
      </c>
      <c r="D22575" s="1">
        <v>45958.741886574076</v>
      </c>
      <c r="E22575" s="2">
        <v>1</v>
      </c>
      <c r="F22575" s="2">
        <v>1</v>
      </c>
      <c r="G22575" s="2">
        <v>0</v>
      </c>
      <c r="H22575" s="1" t="s">
        <v>0</v>
      </c>
      <c r="I22575" s="2">
        <v>0</v>
      </c>
      <c r="J22575" s="1">
        <v>45958.73265046296</v>
      </c>
    </row>
    <row r="22576" spans="1:10" x14ac:dyDescent="0.2">
      <c r="A22576" s="4" t="s">
        <v>1</v>
      </c>
      <c r="B225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76" s="3" t="str">
        <f>HYPERLINK("https://otsuka-europe-crm.veevavault.com/ui/#object/sent_email__v/VBL000000003138", "SE-001379155")</f>
        <v>SE-001379155</v>
      </c>
      <c r="D22576" s="1">
        <v>45959.923634259256</v>
      </c>
      <c r="E22576" s="2">
        <v>1</v>
      </c>
      <c r="F22576" s="2">
        <v>1</v>
      </c>
      <c r="G22576" s="2">
        <v>0</v>
      </c>
      <c r="H22576" s="1" t="s">
        <v>0</v>
      </c>
      <c r="I22576" s="2">
        <v>0</v>
      </c>
      <c r="J22576" s="1">
        <v>45958.73269675926</v>
      </c>
    </row>
    <row r="22577" spans="1:10" x14ac:dyDescent="0.2">
      <c r="A22577" s="4" t="s">
        <v>1</v>
      </c>
      <c r="B225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77" s="3" t="str">
        <f>HYPERLINK("https://otsuka-europe-crm.veevavault.com/ui/#object/sent_email__v/VBL000000003139", "SE-001379156")</f>
        <v>SE-001379156</v>
      </c>
      <c r="D22577" s="1">
        <v>45973.774456018517</v>
      </c>
      <c r="E22577" s="2">
        <v>1</v>
      </c>
      <c r="F22577" s="2">
        <v>3</v>
      </c>
      <c r="G22577" s="2">
        <v>0</v>
      </c>
      <c r="H22577" s="1" t="s">
        <v>0</v>
      </c>
      <c r="I22577" s="2">
        <v>0</v>
      </c>
      <c r="J22577" s="1">
        <v>45958.732731481483</v>
      </c>
    </row>
    <row r="22578" spans="1:10" x14ac:dyDescent="0.2">
      <c r="A22578" s="4" t="s">
        <v>1</v>
      </c>
      <c r="B225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78" s="3" t="str">
        <f>HYPERLINK("https://otsuka-europe-crm.veevavault.com/ui/#object/sent_email__v/VBL000000003140", "SE-001379157")</f>
        <v>SE-001379157</v>
      </c>
      <c r="D22578" s="1">
        <v>45967.812615740739</v>
      </c>
      <c r="E22578" s="2">
        <v>1</v>
      </c>
      <c r="F22578" s="2">
        <v>1</v>
      </c>
      <c r="G22578" s="2">
        <v>0</v>
      </c>
      <c r="H22578" s="1" t="s">
        <v>0</v>
      </c>
      <c r="I22578" s="2">
        <v>0</v>
      </c>
      <c r="J22578" s="1">
        <v>45958.732766203706</v>
      </c>
    </row>
    <row r="22579" spans="1:10" x14ac:dyDescent="0.2">
      <c r="A22579" s="4" t="s">
        <v>1</v>
      </c>
      <c r="B225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79" s="3" t="str">
        <f>HYPERLINK("https://otsuka-europe-crm.veevavault.com/ui/#object/sent_email__v/VBL000000003141", "SE-001379158")</f>
        <v>SE-001379158</v>
      </c>
      <c r="D22579" s="1">
        <v>45959.855185185188</v>
      </c>
      <c r="E22579" s="2">
        <v>1</v>
      </c>
      <c r="F22579" s="2">
        <v>1</v>
      </c>
      <c r="G22579" s="2">
        <v>0</v>
      </c>
      <c r="H22579" s="1" t="s">
        <v>0</v>
      </c>
      <c r="I22579" s="2">
        <v>0</v>
      </c>
      <c r="J22579" s="1">
        <v>45958.732812499999</v>
      </c>
    </row>
    <row r="22580" spans="1:10" x14ac:dyDescent="0.2">
      <c r="A22580" s="4" t="s">
        <v>1</v>
      </c>
      <c r="B225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80" s="3" t="str">
        <f>HYPERLINK("https://otsuka-europe-crm.veevavault.com/ui/#object/sent_email__v/VBL000000003142", "SE-001379159")</f>
        <v>SE-001379159</v>
      </c>
      <c r="D22580" s="1">
        <v>45959.129166666666</v>
      </c>
      <c r="E22580" s="2">
        <v>1</v>
      </c>
      <c r="F22580" s="2">
        <v>2</v>
      </c>
      <c r="G22580" s="2">
        <v>0</v>
      </c>
      <c r="H22580" s="1" t="s">
        <v>0</v>
      </c>
      <c r="I22580" s="2">
        <v>0</v>
      </c>
      <c r="J22580" s="1">
        <v>45958.732847222222</v>
      </c>
    </row>
    <row r="22581" spans="1:10" x14ac:dyDescent="0.2">
      <c r="A22581" s="4" t="s">
        <v>1</v>
      </c>
      <c r="B225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81" s="3" t="str">
        <f>HYPERLINK("https://otsuka-europe-crm.veevavault.com/ui/#object/sent_email__v/VBL000000003143", "SE-001379160")</f>
        <v>SE-001379160</v>
      </c>
      <c r="D22581" s="1">
        <v>45976.696099537039</v>
      </c>
      <c r="E22581" s="2">
        <v>1</v>
      </c>
      <c r="F22581" s="2">
        <v>4</v>
      </c>
      <c r="G22581" s="2">
        <v>0</v>
      </c>
      <c r="H22581" s="1" t="s">
        <v>0</v>
      </c>
      <c r="I22581" s="2">
        <v>0</v>
      </c>
      <c r="J22581" s="1">
        <v>45958.732893518521</v>
      </c>
    </row>
    <row r="22582" spans="1:10" x14ac:dyDescent="0.2">
      <c r="A22582" s="4" t="s">
        <v>1</v>
      </c>
      <c r="B225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82" s="3" t="str">
        <f>HYPERLINK("https://otsuka-europe-crm.veevavault.com/ui/#object/sent_email__v/VBL000000003144", "SE-001379161")</f>
        <v>SE-001379161</v>
      </c>
      <c r="D22582" s="1" t="s">
        <v>0</v>
      </c>
      <c r="E22582" s="2">
        <v>0</v>
      </c>
      <c r="F22582" s="2">
        <v>0</v>
      </c>
      <c r="G22582" s="2">
        <v>0</v>
      </c>
      <c r="H22582" s="1" t="s">
        <v>0</v>
      </c>
      <c r="I22582" s="2">
        <v>0</v>
      </c>
      <c r="J22582" s="1">
        <v>45958.732939814814</v>
      </c>
    </row>
    <row r="22583" spans="1:10" x14ac:dyDescent="0.2">
      <c r="A22583" s="4" t="s">
        <v>1</v>
      </c>
      <c r="B225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83" s="3" t="str">
        <f>HYPERLINK("https://otsuka-europe-crm.veevavault.com/ui/#object/sent_email__v/VBL000000003145", "SE-001379162")</f>
        <v>SE-001379162</v>
      </c>
      <c r="D22583" s="1">
        <v>45965.451215277775</v>
      </c>
      <c r="E22583" s="2">
        <v>1</v>
      </c>
      <c r="F22583" s="2">
        <v>1</v>
      </c>
      <c r="G22583" s="2">
        <v>0</v>
      </c>
      <c r="H22583" s="1" t="s">
        <v>0</v>
      </c>
      <c r="I22583" s="2">
        <v>0</v>
      </c>
      <c r="J22583" s="1">
        <v>45958.732986111114</v>
      </c>
    </row>
    <row r="22584" spans="1:10" x14ac:dyDescent="0.2">
      <c r="A22584" s="4" t="s">
        <v>1</v>
      </c>
      <c r="B225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84" s="3" t="str">
        <f>HYPERLINK("https://otsuka-europe-crm.veevavault.com/ui/#object/sent_email__v/VBL000000003146", "SE-001379163")</f>
        <v>SE-001379163</v>
      </c>
      <c r="D22584" s="1">
        <v>45958.833090277774</v>
      </c>
      <c r="E22584" s="2">
        <v>1</v>
      </c>
      <c r="F22584" s="2">
        <v>1</v>
      </c>
      <c r="G22584" s="2">
        <v>0</v>
      </c>
      <c r="H22584" s="1" t="s">
        <v>0</v>
      </c>
      <c r="I22584" s="2">
        <v>0</v>
      </c>
      <c r="J22584" s="1">
        <v>45958.733020833337</v>
      </c>
    </row>
    <row r="22585" spans="1:10" x14ac:dyDescent="0.2">
      <c r="A22585" s="4" t="s">
        <v>1</v>
      </c>
      <c r="B225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85" s="3" t="str">
        <f>HYPERLINK("https://otsuka-europe-crm.veevavault.com/ui/#object/sent_email__v/VBL000000003147", "SE-001379164")</f>
        <v>SE-001379164</v>
      </c>
      <c r="D22585" s="1">
        <v>45959.658888888887</v>
      </c>
      <c r="E22585" s="2">
        <v>1</v>
      </c>
      <c r="F22585" s="2">
        <v>1</v>
      </c>
      <c r="G22585" s="2">
        <v>0</v>
      </c>
      <c r="H22585" s="1" t="s">
        <v>0</v>
      </c>
      <c r="I22585" s="2">
        <v>0</v>
      </c>
      <c r="J22585" s="1">
        <v>45958.733067129629</v>
      </c>
    </row>
    <row r="22586" spans="1:10" x14ac:dyDescent="0.2">
      <c r="A22586" s="4" t="s">
        <v>1</v>
      </c>
      <c r="B225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86" s="3" t="str">
        <f>HYPERLINK("https://otsuka-europe-crm.veevavault.com/ui/#object/sent_email__v/VBL000000003148", "SE-001379165")</f>
        <v>SE-001379165</v>
      </c>
      <c r="D22586" s="1">
        <v>45958.733217592591</v>
      </c>
      <c r="E22586" s="2">
        <v>1</v>
      </c>
      <c r="F22586" s="2">
        <v>1</v>
      </c>
      <c r="G22586" s="2">
        <v>0</v>
      </c>
      <c r="H22586" s="1" t="s">
        <v>0</v>
      </c>
      <c r="I22586" s="2">
        <v>0</v>
      </c>
      <c r="J22586" s="1">
        <v>45958.733113425929</v>
      </c>
    </row>
    <row r="22587" spans="1:10" x14ac:dyDescent="0.2">
      <c r="A22587" s="4" t="s">
        <v>1</v>
      </c>
      <c r="B225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87" s="3" t="str">
        <f>HYPERLINK("https://otsuka-europe-crm.veevavault.com/ui/#object/sent_email__v/VBL000000003149", "SE-001379166")</f>
        <v>SE-001379166</v>
      </c>
      <c r="D22587" s="1" t="s">
        <v>0</v>
      </c>
      <c r="E22587" s="2">
        <v>0</v>
      </c>
      <c r="F22587" s="2">
        <v>0</v>
      </c>
      <c r="G22587" s="2">
        <v>0</v>
      </c>
      <c r="H22587" s="1" t="s">
        <v>0</v>
      </c>
      <c r="I22587" s="2">
        <v>0</v>
      </c>
      <c r="J22587" s="1">
        <v>45958.733136574076</v>
      </c>
    </row>
    <row r="22588" spans="1:10" x14ac:dyDescent="0.2">
      <c r="A22588" s="4" t="s">
        <v>1</v>
      </c>
      <c r="B225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88" s="3" t="str">
        <f>HYPERLINK("https://otsuka-europe-crm.veevavault.com/ui/#object/sent_email__v/VBL000000003150", "SE-001379167")</f>
        <v>SE-001379167</v>
      </c>
      <c r="D22588" s="1" t="s">
        <v>0</v>
      </c>
      <c r="E22588" s="2">
        <v>0</v>
      </c>
      <c r="F22588" s="2">
        <v>0</v>
      </c>
      <c r="G22588" s="2">
        <v>0</v>
      </c>
      <c r="H22588" s="1" t="s">
        <v>0</v>
      </c>
      <c r="I22588" s="2">
        <v>0</v>
      </c>
      <c r="J22588" s="1">
        <v>45958.733182870368</v>
      </c>
    </row>
    <row r="22589" spans="1:10" x14ac:dyDescent="0.2">
      <c r="A22589" s="4" t="s">
        <v>1</v>
      </c>
      <c r="B225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89" s="3" t="str">
        <f>HYPERLINK("https://otsuka-europe-crm.veevavault.com/ui/#object/sent_email__v/VBL000000003151", "SE-001379168")</f>
        <v>SE-001379168</v>
      </c>
      <c r="D22589" s="1" t="s">
        <v>0</v>
      </c>
      <c r="E22589" s="2">
        <v>0</v>
      </c>
      <c r="F22589" s="2">
        <v>0</v>
      </c>
      <c r="G22589" s="2">
        <v>0</v>
      </c>
      <c r="H22589" s="1" t="s">
        <v>0</v>
      </c>
      <c r="I22589" s="2">
        <v>0</v>
      </c>
      <c r="J22589" s="1">
        <v>45958.733229166668</v>
      </c>
    </row>
    <row r="22590" spans="1:10" x14ac:dyDescent="0.2">
      <c r="A22590" s="4" t="s">
        <v>1</v>
      </c>
      <c r="B225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90" s="3" t="str">
        <f>HYPERLINK("https://otsuka-europe-crm.veevavault.com/ui/#object/sent_email__v/VBL000000003152", "SE-001379169")</f>
        <v>SE-001379169</v>
      </c>
      <c r="D22590" s="1" t="s">
        <v>0</v>
      </c>
      <c r="E22590" s="2">
        <v>0</v>
      </c>
      <c r="F22590" s="2">
        <v>0</v>
      </c>
      <c r="G22590" s="2">
        <v>0</v>
      </c>
      <c r="H22590" s="1" t="s">
        <v>0</v>
      </c>
      <c r="I22590" s="2">
        <v>0</v>
      </c>
      <c r="J22590" s="1">
        <v>45958.733275462961</v>
      </c>
    </row>
    <row r="22591" spans="1:10" x14ac:dyDescent="0.2">
      <c r="A22591" s="4" t="s">
        <v>1</v>
      </c>
      <c r="B225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91" s="3" t="str">
        <f>HYPERLINK("https://otsuka-europe-crm.veevavault.com/ui/#object/sent_email__v/VBL000000003153", "SE-001379170")</f>
        <v>SE-001379170</v>
      </c>
      <c r="D22591" s="1" t="s">
        <v>0</v>
      </c>
      <c r="E22591" s="2">
        <v>0</v>
      </c>
      <c r="F22591" s="2">
        <v>0</v>
      </c>
      <c r="G22591" s="2">
        <v>0</v>
      </c>
      <c r="H22591" s="1" t="s">
        <v>0</v>
      </c>
      <c r="I22591" s="2">
        <v>0</v>
      </c>
      <c r="J22591" s="1">
        <v>45958.733298611114</v>
      </c>
    </row>
    <row r="22592" spans="1:10" x14ac:dyDescent="0.2">
      <c r="A22592" s="4" t="s">
        <v>1</v>
      </c>
      <c r="B225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92" s="3" t="str">
        <f>HYPERLINK("https://otsuka-europe-crm.veevavault.com/ui/#object/sent_email__v/VBL000000003154", "SE-001379171")</f>
        <v>SE-001379171</v>
      </c>
      <c r="D22592" s="1" t="s">
        <v>0</v>
      </c>
      <c r="E22592" s="2">
        <v>0</v>
      </c>
      <c r="F22592" s="2">
        <v>0</v>
      </c>
      <c r="G22592" s="2">
        <v>0</v>
      </c>
      <c r="H22592" s="1" t="s">
        <v>0</v>
      </c>
      <c r="I22592" s="2">
        <v>0</v>
      </c>
      <c r="J22592" s="1">
        <v>45958.733344907407</v>
      </c>
    </row>
    <row r="22593" spans="1:10" x14ac:dyDescent="0.2">
      <c r="A22593" s="4" t="s">
        <v>1</v>
      </c>
      <c r="B225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93" s="3" t="str">
        <f>HYPERLINK("https://otsuka-europe-crm.veevavault.com/ui/#object/sent_email__v/VBL000000003155", "SE-001379172")</f>
        <v>SE-001379172</v>
      </c>
      <c r="D22593" s="1">
        <v>45958.778321759259</v>
      </c>
      <c r="E22593" s="2">
        <v>1</v>
      </c>
      <c r="F22593" s="2">
        <v>1</v>
      </c>
      <c r="G22593" s="2">
        <v>0</v>
      </c>
      <c r="H22593" s="1" t="s">
        <v>0</v>
      </c>
      <c r="I22593" s="2">
        <v>0</v>
      </c>
      <c r="J22593" s="1">
        <v>45958.733391203707</v>
      </c>
    </row>
    <row r="22594" spans="1:10" x14ac:dyDescent="0.2">
      <c r="A22594" s="4" t="s">
        <v>1</v>
      </c>
      <c r="B225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94" s="3" t="str">
        <f>HYPERLINK("https://otsuka-europe-crm.veevavault.com/ui/#object/sent_email__v/VBL000000003156", "SE-001379173")</f>
        <v>SE-001379173</v>
      </c>
      <c r="D22594" s="1" t="s">
        <v>0</v>
      </c>
      <c r="E22594" s="2">
        <v>0</v>
      </c>
      <c r="F22594" s="2">
        <v>0</v>
      </c>
      <c r="G22594" s="2">
        <v>0</v>
      </c>
      <c r="H22594" s="1" t="s">
        <v>0</v>
      </c>
      <c r="I22594" s="2">
        <v>0</v>
      </c>
      <c r="J22594" s="1">
        <v>45958.733425925922</v>
      </c>
    </row>
    <row r="22595" spans="1:10" x14ac:dyDescent="0.2">
      <c r="A22595" s="4" t="s">
        <v>1</v>
      </c>
      <c r="B225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95" s="3" t="str">
        <f>HYPERLINK("https://otsuka-europe-crm.veevavault.com/ui/#object/sent_email__v/VBL000000003157", "SE-001379174")</f>
        <v>SE-001379174</v>
      </c>
      <c r="D22595" s="1">
        <v>45958.793576388889</v>
      </c>
      <c r="E22595" s="2">
        <v>1</v>
      </c>
      <c r="F22595" s="2">
        <v>1</v>
      </c>
      <c r="G22595" s="2">
        <v>0</v>
      </c>
      <c r="H22595" s="1" t="s">
        <v>0</v>
      </c>
      <c r="I22595" s="2">
        <v>0</v>
      </c>
      <c r="J22595" s="1">
        <v>45958.733472222222</v>
      </c>
    </row>
    <row r="22596" spans="1:10" x14ac:dyDescent="0.2">
      <c r="A22596" s="4" t="s">
        <v>1</v>
      </c>
      <c r="B225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96" s="3" t="str">
        <f>HYPERLINK("https://otsuka-europe-crm.veevavault.com/ui/#object/sent_email__v/VBL000000003158", "SE-001379175")</f>
        <v>SE-001379175</v>
      </c>
      <c r="D22596" s="1" t="s">
        <v>0</v>
      </c>
      <c r="E22596" s="2">
        <v>0</v>
      </c>
      <c r="F22596" s="2">
        <v>0</v>
      </c>
      <c r="G22596" s="2">
        <v>0</v>
      </c>
      <c r="H22596" s="1" t="s">
        <v>0</v>
      </c>
      <c r="I22596" s="2">
        <v>0</v>
      </c>
      <c r="J22596" s="1">
        <v>45958.733518518522</v>
      </c>
    </row>
    <row r="22597" spans="1:10" x14ac:dyDescent="0.2">
      <c r="A22597" s="4" t="s">
        <v>1</v>
      </c>
      <c r="B225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97" s="3" t="str">
        <f>HYPERLINK("https://otsuka-europe-crm.veevavault.com/ui/#object/sent_email__v/VBL000000003159", "SE-001379176")</f>
        <v>SE-001379176</v>
      </c>
      <c r="D22597" s="1">
        <v>45959.007326388892</v>
      </c>
      <c r="E22597" s="2">
        <v>1</v>
      </c>
      <c r="F22597" s="2">
        <v>1</v>
      </c>
      <c r="G22597" s="2">
        <v>0</v>
      </c>
      <c r="H22597" s="1" t="s">
        <v>0</v>
      </c>
      <c r="I22597" s="2">
        <v>0</v>
      </c>
      <c r="J22597" s="1">
        <v>45958.733553240738</v>
      </c>
    </row>
    <row r="22598" spans="1:10" x14ac:dyDescent="0.2">
      <c r="A22598" s="4" t="s">
        <v>1</v>
      </c>
      <c r="B225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98" s="3" t="str">
        <f>HYPERLINK("https://otsuka-europe-crm.veevavault.com/ui/#object/sent_email__v/VBL000000003160", "SE-001379177")</f>
        <v>SE-001379177</v>
      </c>
      <c r="D22598" s="1">
        <v>45958.763680555552</v>
      </c>
      <c r="E22598" s="2">
        <v>1</v>
      </c>
      <c r="F22598" s="2">
        <v>2</v>
      </c>
      <c r="G22598" s="2">
        <v>0</v>
      </c>
      <c r="H22598" s="1" t="s">
        <v>0</v>
      </c>
      <c r="I22598" s="2">
        <v>0</v>
      </c>
      <c r="J22598" s="1">
        <v>45958.733599537038</v>
      </c>
    </row>
    <row r="22599" spans="1:10" x14ac:dyDescent="0.2">
      <c r="A22599" s="4" t="s">
        <v>1</v>
      </c>
      <c r="B225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599" s="3" t="str">
        <f>HYPERLINK("https://otsuka-europe-crm.veevavault.com/ui/#object/sent_email__v/VBL000000003161", "SE-001379178")</f>
        <v>SE-001379178</v>
      </c>
      <c r="D22599" s="1" t="s">
        <v>0</v>
      </c>
      <c r="E22599" s="2">
        <v>0</v>
      </c>
      <c r="F22599" s="2">
        <v>0</v>
      </c>
      <c r="G22599" s="2">
        <v>0</v>
      </c>
      <c r="H22599" s="1" t="s">
        <v>0</v>
      </c>
      <c r="I22599" s="2">
        <v>0</v>
      </c>
      <c r="J22599" s="1">
        <v>45958.733634259261</v>
      </c>
    </row>
    <row r="22600" spans="1:10" x14ac:dyDescent="0.2">
      <c r="A22600" s="4" t="s">
        <v>1</v>
      </c>
      <c r="B226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00" s="3" t="str">
        <f>HYPERLINK("https://otsuka-europe-crm.veevavault.com/ui/#object/sent_email__v/VBL000000003162", "SE-001379179")</f>
        <v>SE-001379179</v>
      </c>
      <c r="D22600" s="1" t="s">
        <v>0</v>
      </c>
      <c r="E22600" s="2">
        <v>0</v>
      </c>
      <c r="F22600" s="2">
        <v>0</v>
      </c>
      <c r="G22600" s="2">
        <v>0</v>
      </c>
      <c r="H22600" s="1" t="s">
        <v>0</v>
      </c>
      <c r="I22600" s="2">
        <v>0</v>
      </c>
      <c r="J22600" s="1">
        <v>45958.733680555553</v>
      </c>
    </row>
    <row r="22601" spans="1:10" x14ac:dyDescent="0.2">
      <c r="A22601" s="4" t="s">
        <v>1</v>
      </c>
      <c r="B226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01" s="3" t="str">
        <f>HYPERLINK("https://otsuka-europe-crm.veevavault.com/ui/#object/sent_email__v/VBL000000003163", "SE-001379180")</f>
        <v>SE-001379180</v>
      </c>
      <c r="D22601" s="1">
        <v>45960.746041666665</v>
      </c>
      <c r="E22601" s="2">
        <v>1</v>
      </c>
      <c r="F22601" s="2">
        <v>4</v>
      </c>
      <c r="G22601" s="2">
        <v>1</v>
      </c>
      <c r="H22601" s="1">
        <v>45960.753194444442</v>
      </c>
      <c r="I22601" s="2">
        <v>8</v>
      </c>
      <c r="J22601" s="1">
        <v>45958.733726851853</v>
      </c>
    </row>
    <row r="22602" spans="1:10" x14ac:dyDescent="0.2">
      <c r="A22602" s="4" t="s">
        <v>1</v>
      </c>
      <c r="B226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02" s="3" t="str">
        <f>HYPERLINK("https://otsuka-europe-crm.veevavault.com/ui/#object/sent_email__v/VBL000000003164", "SE-001379181")</f>
        <v>SE-001379181</v>
      </c>
      <c r="D22602" s="1" t="s">
        <v>0</v>
      </c>
      <c r="E22602" s="2">
        <v>0</v>
      </c>
      <c r="F22602" s="2">
        <v>0</v>
      </c>
      <c r="G22602" s="2">
        <v>0</v>
      </c>
      <c r="H22602" s="1" t="s">
        <v>0</v>
      </c>
      <c r="I22602" s="2">
        <v>0</v>
      </c>
      <c r="J22602" s="1">
        <v>45958.733773148146</v>
      </c>
    </row>
    <row r="22603" spans="1:10" x14ac:dyDescent="0.2">
      <c r="A22603" s="4" t="s">
        <v>1</v>
      </c>
      <c r="B226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03" s="3" t="str">
        <f>HYPERLINK("https://otsuka-europe-crm.veevavault.com/ui/#object/sent_email__v/VBL000000003165", "SE-001379182")</f>
        <v>SE-001379182</v>
      </c>
      <c r="D22603" s="1">
        <v>45958.761261574073</v>
      </c>
      <c r="E22603" s="2">
        <v>1</v>
      </c>
      <c r="F22603" s="2">
        <v>1</v>
      </c>
      <c r="G22603" s="2">
        <v>0</v>
      </c>
      <c r="H22603" s="1" t="s">
        <v>0</v>
      </c>
      <c r="I22603" s="2">
        <v>0</v>
      </c>
      <c r="J22603" s="1">
        <v>45958.733819444446</v>
      </c>
    </row>
    <row r="22604" spans="1:10" x14ac:dyDescent="0.2">
      <c r="A22604" s="4" t="s">
        <v>1</v>
      </c>
      <c r="B226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04" s="3" t="str">
        <f>HYPERLINK("https://otsuka-europe-crm.veevavault.com/ui/#object/sent_email__v/VBL000000003166", "SE-001379183")</f>
        <v>SE-001379183</v>
      </c>
      <c r="D22604" s="1" t="s">
        <v>0</v>
      </c>
      <c r="E22604" s="2">
        <v>0</v>
      </c>
      <c r="F22604" s="2">
        <v>0</v>
      </c>
      <c r="G22604" s="2">
        <v>0</v>
      </c>
      <c r="H22604" s="1" t="s">
        <v>0</v>
      </c>
      <c r="I22604" s="2">
        <v>0</v>
      </c>
      <c r="J22604" s="1">
        <v>45958.733854166669</v>
      </c>
    </row>
    <row r="22605" spans="1:10" x14ac:dyDescent="0.2">
      <c r="A22605" s="4" t="s">
        <v>1</v>
      </c>
      <c r="B226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05" s="3" t="str">
        <f>HYPERLINK("https://otsuka-europe-crm.veevavault.com/ui/#object/sent_email__v/VBL000000003167", "SE-001379184")</f>
        <v>SE-001379184</v>
      </c>
      <c r="D22605" s="1">
        <v>46052.637465277781</v>
      </c>
      <c r="E22605" s="2">
        <v>1</v>
      </c>
      <c r="F22605" s="2">
        <v>2</v>
      </c>
      <c r="G22605" s="2">
        <v>0</v>
      </c>
      <c r="H22605" s="1" t="s">
        <v>0</v>
      </c>
      <c r="I22605" s="2">
        <v>0</v>
      </c>
      <c r="J22605" s="1">
        <v>45958.733900462961</v>
      </c>
    </row>
    <row r="22606" spans="1:10" x14ac:dyDescent="0.2">
      <c r="A22606" s="4" t="s">
        <v>1</v>
      </c>
      <c r="B226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06" s="3" t="str">
        <f>HYPERLINK("https://otsuka-europe-crm.veevavault.com/ui/#object/sent_email__v/VBL000000003168", "SE-001379185")</f>
        <v>SE-001379185</v>
      </c>
      <c r="D22606" s="1" t="s">
        <v>0</v>
      </c>
      <c r="E22606" s="2">
        <v>0</v>
      </c>
      <c r="F22606" s="2">
        <v>0</v>
      </c>
      <c r="G22606" s="2">
        <v>0</v>
      </c>
      <c r="H22606" s="1" t="s">
        <v>0</v>
      </c>
      <c r="I22606" s="2">
        <v>0</v>
      </c>
      <c r="J22606" s="1">
        <v>45958.733935185184</v>
      </c>
    </row>
    <row r="22607" spans="1:10" x14ac:dyDescent="0.2">
      <c r="A22607" s="4" t="s">
        <v>1</v>
      </c>
      <c r="B226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07" s="3" t="str">
        <f>HYPERLINK("https://otsuka-europe-crm.veevavault.com/ui/#object/sent_email__v/VBL000000003169", "SE-001379186")</f>
        <v>SE-001379186</v>
      </c>
      <c r="D22607" s="1" t="s">
        <v>0</v>
      </c>
      <c r="E22607" s="2">
        <v>0</v>
      </c>
      <c r="F22607" s="2">
        <v>0</v>
      </c>
      <c r="G22607" s="2">
        <v>0</v>
      </c>
      <c r="H22607" s="1" t="s">
        <v>0</v>
      </c>
      <c r="I22607" s="2">
        <v>0</v>
      </c>
      <c r="J22607" s="1">
        <v>45958.733981481484</v>
      </c>
    </row>
    <row r="22608" spans="1:10" x14ac:dyDescent="0.2">
      <c r="A22608" s="4" t="s">
        <v>1</v>
      </c>
      <c r="B226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08" s="3" t="str">
        <f>HYPERLINK("https://otsuka-europe-crm.veevavault.com/ui/#object/sent_email__v/VBL000000003170", "SE-001379187")</f>
        <v>SE-001379187</v>
      </c>
      <c r="D22608" s="1">
        <v>45966.527048611111</v>
      </c>
      <c r="E22608" s="2">
        <v>1</v>
      </c>
      <c r="F22608" s="2">
        <v>2</v>
      </c>
      <c r="G22608" s="2">
        <v>0</v>
      </c>
      <c r="H22608" s="1" t="s">
        <v>0</v>
      </c>
      <c r="I22608" s="2">
        <v>0</v>
      </c>
      <c r="J22608" s="1">
        <v>45958.734027777777</v>
      </c>
    </row>
    <row r="22609" spans="1:10" x14ac:dyDescent="0.2">
      <c r="A22609" s="4" t="s">
        <v>1</v>
      </c>
      <c r="B226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09" s="3" t="str">
        <f>HYPERLINK("https://otsuka-europe-crm.veevavault.com/ui/#object/sent_email__v/VBL000000003358", "SE-001379362")</f>
        <v>SE-001379362</v>
      </c>
      <c r="D22609" s="1" t="s">
        <v>0</v>
      </c>
      <c r="E22609" s="2">
        <v>0</v>
      </c>
      <c r="F22609" s="2">
        <v>0</v>
      </c>
      <c r="G22609" s="2">
        <v>0</v>
      </c>
      <c r="H22609" s="1" t="s">
        <v>0</v>
      </c>
      <c r="I22609" s="2">
        <v>0</v>
      </c>
      <c r="J22609" s="1">
        <v>45960.340162037035</v>
      </c>
    </row>
    <row r="22610" spans="1:10" x14ac:dyDescent="0.2">
      <c r="A22610" s="4" t="s">
        <v>1</v>
      </c>
      <c r="B226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10" s="3" t="str">
        <f>HYPERLINK("https://otsuka-europe-crm.veevavault.com/ui/#object/sent_email__v/VBL000000003359", "SE-001379363")</f>
        <v>SE-001379363</v>
      </c>
      <c r="D22610" s="1">
        <v>45974.931863425925</v>
      </c>
      <c r="E22610" s="2">
        <v>1</v>
      </c>
      <c r="F22610" s="2">
        <v>2</v>
      </c>
      <c r="G22610" s="2">
        <v>0</v>
      </c>
      <c r="H22610" s="1" t="s">
        <v>0</v>
      </c>
      <c r="I22610" s="2">
        <v>0</v>
      </c>
      <c r="J22610" s="1">
        <v>45960.340243055558</v>
      </c>
    </row>
    <row r="22611" spans="1:10" x14ac:dyDescent="0.2">
      <c r="A22611" s="4" t="s">
        <v>1</v>
      </c>
      <c r="B226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11" s="3" t="str">
        <f>HYPERLINK("https://otsuka-europe-crm.veevavault.com/ui/#object/sent_email__v/VBL000000003360", "SE-001379364")</f>
        <v>SE-001379364</v>
      </c>
      <c r="D22611" s="1">
        <v>45960.80369212963</v>
      </c>
      <c r="E22611" s="2">
        <v>1</v>
      </c>
      <c r="F22611" s="2">
        <v>1</v>
      </c>
      <c r="G22611" s="2">
        <v>0</v>
      </c>
      <c r="H22611" s="1" t="s">
        <v>0</v>
      </c>
      <c r="I22611" s="2">
        <v>0</v>
      </c>
      <c r="J22611" s="1">
        <v>45960.340289351851</v>
      </c>
    </row>
    <row r="22612" spans="1:10" x14ac:dyDescent="0.2">
      <c r="A22612" s="4" t="s">
        <v>1</v>
      </c>
      <c r="B226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12" s="3" t="str">
        <f>HYPERLINK("https://otsuka-europe-crm.veevavault.com/ui/#object/sent_email__v/VBL000000003361", "SE-001379365")</f>
        <v>SE-001379365</v>
      </c>
      <c r="D22612" s="1">
        <v>45960.380243055559</v>
      </c>
      <c r="E22612" s="2">
        <v>1</v>
      </c>
      <c r="F22612" s="2">
        <v>1</v>
      </c>
      <c r="G22612" s="2">
        <v>0</v>
      </c>
      <c r="H22612" s="1" t="s">
        <v>0</v>
      </c>
      <c r="I22612" s="2">
        <v>0</v>
      </c>
      <c r="J22612" s="1">
        <v>45960.34033564815</v>
      </c>
    </row>
    <row r="22613" spans="1:10" x14ac:dyDescent="0.2">
      <c r="A22613" s="4" t="s">
        <v>1</v>
      </c>
      <c r="B226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13" s="3" t="str">
        <f>HYPERLINK("https://otsuka-europe-crm.veevavault.com/ui/#object/sent_email__v/VBL000000003362", "SE-001379366")</f>
        <v>SE-001379366</v>
      </c>
      <c r="D22613" s="1" t="s">
        <v>0</v>
      </c>
      <c r="E22613" s="2">
        <v>0</v>
      </c>
      <c r="F22613" s="2">
        <v>0</v>
      </c>
      <c r="G22613" s="2">
        <v>0</v>
      </c>
      <c r="H22613" s="1" t="s">
        <v>0</v>
      </c>
      <c r="I22613" s="2">
        <v>0</v>
      </c>
      <c r="J22613" s="1">
        <v>45960.340370370373</v>
      </c>
    </row>
    <row r="22614" spans="1:10" x14ac:dyDescent="0.2">
      <c r="A22614" s="4" t="s">
        <v>1</v>
      </c>
      <c r="B226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14" s="3" t="str">
        <f>HYPERLINK("https://otsuka-europe-crm.veevavault.com/ui/#object/sent_email__v/VBL000000003363", "SE-001379367")</f>
        <v>SE-001379367</v>
      </c>
      <c r="D22614" s="1" t="s">
        <v>0</v>
      </c>
      <c r="E22614" s="2">
        <v>0</v>
      </c>
      <c r="F22614" s="2">
        <v>0</v>
      </c>
      <c r="G22614" s="2">
        <v>0</v>
      </c>
      <c r="H22614" s="1" t="s">
        <v>0</v>
      </c>
      <c r="I22614" s="2">
        <v>0</v>
      </c>
      <c r="J22614" s="1">
        <v>45960.340416666666</v>
      </c>
    </row>
    <row r="22615" spans="1:10" x14ac:dyDescent="0.2">
      <c r="A22615" s="4" t="s">
        <v>1</v>
      </c>
      <c r="B226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15" s="3" t="str">
        <f>HYPERLINK("https://otsuka-europe-crm.veevavault.com/ui/#object/sent_email__v/VBL000000003364", "SE-001379368")</f>
        <v>SE-001379368</v>
      </c>
      <c r="D22615" s="1" t="s">
        <v>0</v>
      </c>
      <c r="E22615" s="2">
        <v>0</v>
      </c>
      <c r="F22615" s="2">
        <v>0</v>
      </c>
      <c r="G22615" s="2">
        <v>0</v>
      </c>
      <c r="H22615" s="1" t="s">
        <v>0</v>
      </c>
      <c r="I22615" s="2">
        <v>0</v>
      </c>
      <c r="J22615" s="1">
        <v>45960.340462962966</v>
      </c>
    </row>
    <row r="22616" spans="1:10" x14ac:dyDescent="0.2">
      <c r="A22616" s="4" t="s">
        <v>1</v>
      </c>
      <c r="B226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16" s="3" t="str">
        <f>HYPERLINK("https://otsuka-europe-crm.veevavault.com/ui/#object/sent_email__v/VBL000000003365", "SE-001379369")</f>
        <v>SE-001379369</v>
      </c>
      <c r="D22616" s="1">
        <v>45960.584039351852</v>
      </c>
      <c r="E22616" s="2">
        <v>1</v>
      </c>
      <c r="F22616" s="2">
        <v>1</v>
      </c>
      <c r="G22616" s="2">
        <v>1</v>
      </c>
      <c r="H22616" s="1">
        <v>45960.587604166663</v>
      </c>
      <c r="I22616" s="2">
        <v>2</v>
      </c>
      <c r="J22616" s="1">
        <v>45960.340555555558</v>
      </c>
    </row>
    <row r="22617" spans="1:10" x14ac:dyDescent="0.2">
      <c r="A22617" s="4" t="s">
        <v>1</v>
      </c>
      <c r="B226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17" s="3" t="str">
        <f>HYPERLINK("https://otsuka-europe-crm.veevavault.com/ui/#object/sent_email__v/VBL000000003366", "SE-001379370")</f>
        <v>SE-001379370</v>
      </c>
      <c r="D22617" s="1" t="s">
        <v>0</v>
      </c>
      <c r="E22617" s="2">
        <v>0</v>
      </c>
      <c r="F22617" s="2">
        <v>0</v>
      </c>
      <c r="G22617" s="2">
        <v>0</v>
      </c>
      <c r="H22617" s="1" t="s">
        <v>0</v>
      </c>
      <c r="I22617" s="2">
        <v>0</v>
      </c>
      <c r="J22617" s="1">
        <v>45960.340555555558</v>
      </c>
    </row>
    <row r="22618" spans="1:10" x14ac:dyDescent="0.2">
      <c r="A22618" s="4" t="s">
        <v>1</v>
      </c>
      <c r="B226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18" s="3" t="str">
        <f>HYPERLINK("https://otsuka-europe-crm.veevavault.com/ui/#object/sent_email__v/VBL000000003367", "SE-001379371")</f>
        <v>SE-001379371</v>
      </c>
      <c r="D22618" s="1" t="s">
        <v>0</v>
      </c>
      <c r="E22618" s="2">
        <v>0</v>
      </c>
      <c r="F22618" s="2">
        <v>0</v>
      </c>
      <c r="G22618" s="2">
        <v>0</v>
      </c>
      <c r="H22618" s="1" t="s">
        <v>0</v>
      </c>
      <c r="I22618" s="2">
        <v>0</v>
      </c>
      <c r="J22618" s="1">
        <v>45960.340590277781</v>
      </c>
    </row>
    <row r="22619" spans="1:10" x14ac:dyDescent="0.2">
      <c r="A22619" s="4" t="s">
        <v>1</v>
      </c>
      <c r="B226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19" s="3" t="str">
        <f>HYPERLINK("https://otsuka-europe-crm.veevavault.com/ui/#object/sent_email__v/VBL000000003368", "SE-001379372")</f>
        <v>SE-001379372</v>
      </c>
      <c r="D22619" s="1">
        <v>45965.611770833333</v>
      </c>
      <c r="E22619" s="2">
        <v>1</v>
      </c>
      <c r="F22619" s="2">
        <v>2</v>
      </c>
      <c r="G22619" s="2">
        <v>0</v>
      </c>
      <c r="H22619" s="1" t="s">
        <v>0</v>
      </c>
      <c r="I22619" s="2">
        <v>0</v>
      </c>
      <c r="J22619" s="1">
        <v>45960.340648148151</v>
      </c>
    </row>
    <row r="22620" spans="1:10" x14ac:dyDescent="0.2">
      <c r="A22620" s="4" t="s">
        <v>1</v>
      </c>
      <c r="B226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20" s="3" t="str">
        <f>HYPERLINK("https://otsuka-europe-crm.veevavault.com/ui/#object/sent_email__v/VBL000000003369", "SE-001379373")</f>
        <v>SE-001379373</v>
      </c>
      <c r="D22620" s="1" t="s">
        <v>0</v>
      </c>
      <c r="E22620" s="2">
        <v>0</v>
      </c>
      <c r="F22620" s="2">
        <v>0</v>
      </c>
      <c r="G22620" s="2">
        <v>0</v>
      </c>
      <c r="H22620" s="1" t="s">
        <v>0</v>
      </c>
      <c r="I22620" s="2">
        <v>0</v>
      </c>
      <c r="J22620" s="1">
        <v>45960.340682870374</v>
      </c>
    </row>
    <row r="22621" spans="1:10" x14ac:dyDescent="0.2">
      <c r="A22621" s="4" t="s">
        <v>1</v>
      </c>
      <c r="B226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21" s="3" t="str">
        <f>HYPERLINK("https://otsuka-europe-crm.veevavault.com/ui/#object/sent_email__v/VBL000000003370", "SE-001379374")</f>
        <v>SE-001379374</v>
      </c>
      <c r="D22621" s="1">
        <v>45960.561388888891</v>
      </c>
      <c r="E22621" s="2">
        <v>1</v>
      </c>
      <c r="F22621" s="2">
        <v>1</v>
      </c>
      <c r="G22621" s="2">
        <v>0</v>
      </c>
      <c r="H22621" s="1" t="s">
        <v>0</v>
      </c>
      <c r="I22621" s="2">
        <v>0</v>
      </c>
      <c r="J22621" s="1">
        <v>45960.340729166666</v>
      </c>
    </row>
    <row r="22622" spans="1:10" x14ac:dyDescent="0.2">
      <c r="A22622" s="4" t="s">
        <v>1</v>
      </c>
      <c r="B226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22" s="3" t="str">
        <f>HYPERLINK("https://otsuka-europe-crm.veevavault.com/ui/#object/sent_email__v/VBL000000003371", "SE-001379375")</f>
        <v>SE-001379375</v>
      </c>
      <c r="D22622" s="1">
        <v>46011.413032407407</v>
      </c>
      <c r="E22622" s="2">
        <v>1</v>
      </c>
      <c r="F22622" s="2">
        <v>5</v>
      </c>
      <c r="G22622" s="2">
        <v>1</v>
      </c>
      <c r="H22622" s="1">
        <v>45960.77103009259</v>
      </c>
      <c r="I22622" s="2">
        <v>3</v>
      </c>
      <c r="J22622" s="1">
        <v>45960.340775462966</v>
      </c>
    </row>
    <row r="22623" spans="1:10" x14ac:dyDescent="0.2">
      <c r="A22623" s="4" t="s">
        <v>1</v>
      </c>
      <c r="B226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23" s="3" t="str">
        <f>HYPERLINK("https://otsuka-europe-crm.veevavault.com/ui/#object/sent_email__v/VBL000000003372", "SE-001379376")</f>
        <v>SE-001379376</v>
      </c>
      <c r="D22623" s="1">
        <v>45960.74454861111</v>
      </c>
      <c r="E22623" s="2">
        <v>1</v>
      </c>
      <c r="F22623" s="2">
        <v>1</v>
      </c>
      <c r="G22623" s="2">
        <v>0</v>
      </c>
      <c r="H22623" s="1" t="s">
        <v>0</v>
      </c>
      <c r="I22623" s="2">
        <v>0</v>
      </c>
      <c r="J22623" s="1">
        <v>45960.340821759259</v>
      </c>
    </row>
    <row r="22624" spans="1:10" x14ac:dyDescent="0.2">
      <c r="A22624" s="4" t="s">
        <v>1</v>
      </c>
      <c r="B226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24" s="3" t="str">
        <f>HYPERLINK("https://otsuka-europe-crm.veevavault.com/ui/#object/sent_email__v/VBL000000003373", "SE-001379377")</f>
        <v>SE-001379377</v>
      </c>
      <c r="D22624" s="1" t="s">
        <v>0</v>
      </c>
      <c r="E22624" s="2">
        <v>0</v>
      </c>
      <c r="F22624" s="2">
        <v>0</v>
      </c>
      <c r="G22624" s="2">
        <v>0</v>
      </c>
      <c r="H22624" s="1" t="s">
        <v>0</v>
      </c>
      <c r="I22624" s="2">
        <v>0</v>
      </c>
      <c r="J22624" s="1">
        <v>45960.340868055559</v>
      </c>
    </row>
    <row r="22625" spans="1:10" x14ac:dyDescent="0.2">
      <c r="A22625" s="4" t="s">
        <v>1</v>
      </c>
      <c r="B226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25" s="3" t="str">
        <f>HYPERLINK("https://otsuka-europe-crm.veevavault.com/ui/#object/sent_email__v/VBL000000003374", "SE-001379378")</f>
        <v>SE-001379378</v>
      </c>
      <c r="D22625" s="1" t="s">
        <v>0</v>
      </c>
      <c r="E22625" s="2">
        <v>0</v>
      </c>
      <c r="F22625" s="2">
        <v>0</v>
      </c>
      <c r="G22625" s="2">
        <v>0</v>
      </c>
      <c r="H22625" s="1" t="s">
        <v>0</v>
      </c>
      <c r="I22625" s="2">
        <v>0</v>
      </c>
      <c r="J22625" s="1">
        <v>45960.340937499997</v>
      </c>
    </row>
    <row r="22626" spans="1:10" x14ac:dyDescent="0.2">
      <c r="A22626" s="4" t="s">
        <v>1</v>
      </c>
      <c r="B226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26" s="3" t="str">
        <f>HYPERLINK("https://otsuka-europe-crm.veevavault.com/ui/#object/sent_email__v/VBL000000003375", "SE-001379379")</f>
        <v>SE-001379379</v>
      </c>
      <c r="D22626" s="1" t="s">
        <v>0</v>
      </c>
      <c r="E22626" s="2">
        <v>0</v>
      </c>
      <c r="F22626" s="2">
        <v>0</v>
      </c>
      <c r="G22626" s="2">
        <v>0</v>
      </c>
      <c r="H22626" s="1" t="s">
        <v>0</v>
      </c>
      <c r="I22626" s="2">
        <v>0</v>
      </c>
      <c r="J22626" s="1">
        <v>45960.341006944444</v>
      </c>
    </row>
    <row r="22627" spans="1:10" x14ac:dyDescent="0.2">
      <c r="A22627" s="4" t="s">
        <v>1</v>
      </c>
      <c r="B226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27" s="3" t="str">
        <f>HYPERLINK("https://otsuka-europe-crm.veevavault.com/ui/#object/sent_email__v/VBL000000003376", "SE-001379380")</f>
        <v>SE-001379380</v>
      </c>
      <c r="D22627" s="1">
        <v>45960.394907407404</v>
      </c>
      <c r="E22627" s="2">
        <v>1</v>
      </c>
      <c r="F22627" s="2">
        <v>1</v>
      </c>
      <c r="G22627" s="2">
        <v>0</v>
      </c>
      <c r="H22627" s="1" t="s">
        <v>0</v>
      </c>
      <c r="I22627" s="2">
        <v>0</v>
      </c>
      <c r="J22627" s="1">
        <v>45960.341087962966</v>
      </c>
    </row>
    <row r="22628" spans="1:10" x14ac:dyDescent="0.2">
      <c r="A22628" s="4" t="s">
        <v>1</v>
      </c>
      <c r="B226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28" s="3" t="str">
        <f>HYPERLINK("https://otsuka-europe-crm.veevavault.com/ui/#object/sent_email__v/VBL000000003377", "SE-001379381")</f>
        <v>SE-001379381</v>
      </c>
      <c r="D22628" s="1" t="s">
        <v>0</v>
      </c>
      <c r="E22628" s="2">
        <v>0</v>
      </c>
      <c r="F22628" s="2">
        <v>0</v>
      </c>
      <c r="G22628" s="2">
        <v>0</v>
      </c>
      <c r="H22628" s="1" t="s">
        <v>0</v>
      </c>
      <c r="I22628" s="2">
        <v>0</v>
      </c>
      <c r="J22628" s="1">
        <v>45960.341157407405</v>
      </c>
    </row>
    <row r="22629" spans="1:10" x14ac:dyDescent="0.2">
      <c r="A22629" s="4" t="s">
        <v>1</v>
      </c>
      <c r="B226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29" s="3" t="str">
        <f>HYPERLINK("https://otsuka-europe-crm.veevavault.com/ui/#object/sent_email__v/VBL000000003378", "SE-001379382")</f>
        <v>SE-001379382</v>
      </c>
      <c r="D22629" s="1" t="s">
        <v>0</v>
      </c>
      <c r="E22629" s="2">
        <v>0</v>
      </c>
      <c r="F22629" s="2">
        <v>0</v>
      </c>
      <c r="G22629" s="2">
        <v>0</v>
      </c>
      <c r="H22629" s="1" t="s">
        <v>0</v>
      </c>
      <c r="I22629" s="2">
        <v>0</v>
      </c>
      <c r="J22629" s="1">
        <v>45960.341226851851</v>
      </c>
    </row>
    <row r="22630" spans="1:10" x14ac:dyDescent="0.2">
      <c r="A22630" s="4" t="s">
        <v>1</v>
      </c>
      <c r="B226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30" s="3" t="str">
        <f>HYPERLINK("https://otsuka-europe-crm.veevavault.com/ui/#object/sent_email__v/VBL000000003379", "SE-001379383")</f>
        <v>SE-001379383</v>
      </c>
      <c r="D22630" s="1">
        <v>45965.902928240743</v>
      </c>
      <c r="E22630" s="2">
        <v>1</v>
      </c>
      <c r="F22630" s="2">
        <v>3</v>
      </c>
      <c r="G22630" s="2">
        <v>0</v>
      </c>
      <c r="H22630" s="1" t="s">
        <v>0</v>
      </c>
      <c r="I22630" s="2">
        <v>0</v>
      </c>
      <c r="J22630" s="1">
        <v>45960.340567129628</v>
      </c>
    </row>
    <row r="22631" spans="1:10" x14ac:dyDescent="0.2">
      <c r="A22631" s="4" t="s">
        <v>1</v>
      </c>
      <c r="B226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31" s="3" t="str">
        <f>HYPERLINK("https://otsuka-europe-crm.veevavault.com/ui/#object/sent_email__v/VBL000000003380", "SE-001379384")</f>
        <v>SE-001379384</v>
      </c>
      <c r="D22631" s="1">
        <v>45961.412939814814</v>
      </c>
      <c r="E22631" s="2">
        <v>1</v>
      </c>
      <c r="F22631" s="2">
        <v>1</v>
      </c>
      <c r="G22631" s="2">
        <v>0</v>
      </c>
      <c r="H22631" s="1" t="s">
        <v>0</v>
      </c>
      <c r="I22631" s="2">
        <v>0</v>
      </c>
      <c r="J22631" s="1">
        <v>45960.340601851851</v>
      </c>
    </row>
    <row r="22632" spans="1:10" x14ac:dyDescent="0.2">
      <c r="A22632" s="4" t="s">
        <v>1</v>
      </c>
      <c r="B226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32" s="3" t="str">
        <f>HYPERLINK("https://otsuka-europe-crm.veevavault.com/ui/#object/sent_email__v/VBL000000003381", "SE-001379385")</f>
        <v>SE-001379385</v>
      </c>
      <c r="D22632" s="1">
        <v>45960.926828703705</v>
      </c>
      <c r="E22632" s="2">
        <v>1</v>
      </c>
      <c r="F22632" s="2">
        <v>1</v>
      </c>
      <c r="G22632" s="2">
        <v>0</v>
      </c>
      <c r="H22632" s="1" t="s">
        <v>0</v>
      </c>
      <c r="I22632" s="2">
        <v>0</v>
      </c>
      <c r="J22632" s="1">
        <v>45960.34065972222</v>
      </c>
    </row>
    <row r="22633" spans="1:10" x14ac:dyDescent="0.2">
      <c r="A22633" s="4" t="s">
        <v>1</v>
      </c>
      <c r="B226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33" s="3" t="str">
        <f>HYPERLINK("https://otsuka-europe-crm.veevavault.com/ui/#object/sent_email__v/VBL000000003382", "SE-001379386")</f>
        <v>SE-001379386</v>
      </c>
      <c r="D22633" s="1" t="s">
        <v>0</v>
      </c>
      <c r="E22633" s="2">
        <v>0</v>
      </c>
      <c r="F22633" s="2">
        <v>0</v>
      </c>
      <c r="G22633" s="2">
        <v>0</v>
      </c>
      <c r="H22633" s="1" t="s">
        <v>0</v>
      </c>
      <c r="I22633" s="2">
        <v>0</v>
      </c>
      <c r="J22633" s="1">
        <v>45960.340694444443</v>
      </c>
    </row>
    <row r="22634" spans="1:10" x14ac:dyDescent="0.2">
      <c r="A22634" s="4" t="s">
        <v>1</v>
      </c>
      <c r="B226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34" s="3" t="str">
        <f>HYPERLINK("https://otsuka-europe-crm.veevavault.com/ui/#object/sent_email__v/VBL000000003383", "SE-001379387")</f>
        <v>SE-001379387</v>
      </c>
      <c r="D22634" s="1" t="s">
        <v>0</v>
      </c>
      <c r="E22634" s="2">
        <v>0</v>
      </c>
      <c r="F22634" s="2">
        <v>0</v>
      </c>
      <c r="G22634" s="2">
        <v>0</v>
      </c>
      <c r="H22634" s="1" t="s">
        <v>0</v>
      </c>
      <c r="I22634" s="2">
        <v>0</v>
      </c>
      <c r="J22634" s="1">
        <v>45960.340740740743</v>
      </c>
    </row>
    <row r="22635" spans="1:10" x14ac:dyDescent="0.2">
      <c r="A22635" s="4" t="s">
        <v>1</v>
      </c>
      <c r="B226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35" s="3" t="str">
        <f>HYPERLINK("https://otsuka-europe-crm.veevavault.com/ui/#object/sent_email__v/VBL000000003384", "SE-001379388")</f>
        <v>SE-001379388</v>
      </c>
      <c r="D22635" s="1">
        <v>45961.013368055559</v>
      </c>
      <c r="E22635" s="2">
        <v>1</v>
      </c>
      <c r="F22635" s="2">
        <v>1</v>
      </c>
      <c r="G22635" s="2">
        <v>0</v>
      </c>
      <c r="H22635" s="1" t="s">
        <v>0</v>
      </c>
      <c r="I22635" s="2">
        <v>0</v>
      </c>
      <c r="J22635" s="1">
        <v>45960.340787037036</v>
      </c>
    </row>
    <row r="22636" spans="1:10" x14ac:dyDescent="0.2">
      <c r="A22636" s="4" t="s">
        <v>1</v>
      </c>
      <c r="B226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36" s="3" t="str">
        <f>HYPERLINK("https://otsuka-europe-crm.veevavault.com/ui/#object/sent_email__v/VBL000000003385", "SE-001379389")</f>
        <v>SE-001379389</v>
      </c>
      <c r="D22636" s="1">
        <v>45960.609131944446</v>
      </c>
      <c r="E22636" s="2">
        <v>1</v>
      </c>
      <c r="F22636" s="2">
        <v>1</v>
      </c>
      <c r="G22636" s="2">
        <v>0</v>
      </c>
      <c r="H22636" s="1" t="s">
        <v>0</v>
      </c>
      <c r="I22636" s="2">
        <v>0</v>
      </c>
      <c r="J22636" s="1">
        <v>45960.340844907405</v>
      </c>
    </row>
    <row r="22637" spans="1:10" x14ac:dyDescent="0.2">
      <c r="A22637" s="4" t="s">
        <v>1</v>
      </c>
      <c r="B226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37" s="3" t="str">
        <f>HYPERLINK("https://otsuka-europe-crm.veevavault.com/ui/#object/sent_email__v/VBL000000003386", "SE-001379390")</f>
        <v>SE-001379390</v>
      </c>
      <c r="D22637" s="1" t="s">
        <v>0</v>
      </c>
      <c r="E22637" s="2">
        <v>0</v>
      </c>
      <c r="F22637" s="2">
        <v>0</v>
      </c>
      <c r="G22637" s="2">
        <v>0</v>
      </c>
      <c r="H22637" s="1" t="s">
        <v>0</v>
      </c>
      <c r="I22637" s="2">
        <v>0</v>
      </c>
      <c r="J22637" s="1">
        <v>45960.340879629628</v>
      </c>
    </row>
    <row r="22638" spans="1:10" x14ac:dyDescent="0.2">
      <c r="A22638" s="4" t="s">
        <v>1</v>
      </c>
      <c r="B226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38" s="3" t="str">
        <f>HYPERLINK("https://otsuka-europe-crm.veevavault.com/ui/#object/sent_email__v/VBL000000003387", "SE-001379391")</f>
        <v>SE-001379391</v>
      </c>
      <c r="D22638" s="1" t="s">
        <v>0</v>
      </c>
      <c r="E22638" s="2">
        <v>0</v>
      </c>
      <c r="F22638" s="2">
        <v>0</v>
      </c>
      <c r="G22638" s="2">
        <v>0</v>
      </c>
      <c r="H22638" s="1" t="s">
        <v>0</v>
      </c>
      <c r="I22638" s="2">
        <v>0</v>
      </c>
      <c r="J22638" s="1">
        <v>45960.340960648151</v>
      </c>
    </row>
    <row r="22639" spans="1:10" x14ac:dyDescent="0.2">
      <c r="A22639" s="4" t="s">
        <v>1</v>
      </c>
      <c r="B226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39" s="3" t="str">
        <f>HYPERLINK("https://otsuka-europe-crm.veevavault.com/ui/#object/sent_email__v/VBL000000003388", "SE-001379392")</f>
        <v>SE-001379392</v>
      </c>
      <c r="D22639" s="1" t="s">
        <v>0</v>
      </c>
      <c r="E22639" s="2">
        <v>0</v>
      </c>
      <c r="F22639" s="2">
        <v>0</v>
      </c>
      <c r="G22639" s="2">
        <v>0</v>
      </c>
      <c r="H22639" s="1" t="s">
        <v>0</v>
      </c>
      <c r="I22639" s="2">
        <v>0</v>
      </c>
      <c r="J22639" s="1">
        <v>45960.34103009259</v>
      </c>
    </row>
    <row r="22640" spans="1:10" x14ac:dyDescent="0.2">
      <c r="A22640" s="4" t="s">
        <v>1</v>
      </c>
      <c r="B226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40" s="3" t="str">
        <f>HYPERLINK("https://otsuka-europe-crm.veevavault.com/ui/#object/sent_email__v/VBL000000003389", "SE-001379393")</f>
        <v>SE-001379393</v>
      </c>
      <c r="D22640" s="1">
        <v>45960.35050925926</v>
      </c>
      <c r="E22640" s="2">
        <v>1</v>
      </c>
      <c r="F22640" s="2">
        <v>1</v>
      </c>
      <c r="G22640" s="2">
        <v>0</v>
      </c>
      <c r="H22640" s="1" t="s">
        <v>0</v>
      </c>
      <c r="I22640" s="2">
        <v>0</v>
      </c>
      <c r="J22640" s="1">
        <v>45960.341111111113</v>
      </c>
    </row>
    <row r="22641" spans="1:10" x14ac:dyDescent="0.2">
      <c r="A22641" s="4" t="s">
        <v>1</v>
      </c>
      <c r="B226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41" s="3" t="str">
        <f>HYPERLINK("https://otsuka-europe-crm.veevavault.com/ui/#object/sent_email__v/VBL000000003390", "SE-001379394")</f>
        <v>SE-001379394</v>
      </c>
      <c r="D22641" s="1">
        <v>45960.620289351849</v>
      </c>
      <c r="E22641" s="2">
        <v>1</v>
      </c>
      <c r="F22641" s="2">
        <v>1</v>
      </c>
      <c r="G22641" s="2">
        <v>0</v>
      </c>
      <c r="H22641" s="1" t="s">
        <v>0</v>
      </c>
      <c r="I22641" s="2">
        <v>0</v>
      </c>
      <c r="J22641" s="1">
        <v>45960.341180555559</v>
      </c>
    </row>
    <row r="22642" spans="1:10" x14ac:dyDescent="0.2">
      <c r="A22642" s="4" t="s">
        <v>1</v>
      </c>
      <c r="B226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42" s="3" t="str">
        <f>HYPERLINK("https://otsuka-europe-crm.veevavault.com/ui/#object/sent_email__v/VBL000000003391", "SE-001379395")</f>
        <v>SE-001379395</v>
      </c>
      <c r="D22642" s="1" t="s">
        <v>0</v>
      </c>
      <c r="E22642" s="2">
        <v>0</v>
      </c>
      <c r="F22642" s="2">
        <v>0</v>
      </c>
      <c r="G22642" s="2">
        <v>0</v>
      </c>
      <c r="H22642" s="1" t="s">
        <v>0</v>
      </c>
      <c r="I22642" s="2">
        <v>0</v>
      </c>
      <c r="J22642" s="1">
        <v>45960.341249999998</v>
      </c>
    </row>
    <row r="22643" spans="1:10" x14ac:dyDescent="0.2">
      <c r="A22643" s="4" t="s">
        <v>1</v>
      </c>
      <c r="B226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43" s="3" t="str">
        <f>HYPERLINK("https://otsuka-europe-crm.veevavault.com/ui/#object/sent_email__v/VBL000000003392", "SE-001379396")</f>
        <v>SE-001379396</v>
      </c>
      <c r="D22643" s="1">
        <v>46005.494027777779</v>
      </c>
      <c r="E22643" s="2">
        <v>1</v>
      </c>
      <c r="F22643" s="2">
        <v>3</v>
      </c>
      <c r="G22643" s="2">
        <v>0</v>
      </c>
      <c r="H22643" s="1" t="s">
        <v>0</v>
      </c>
      <c r="I22643" s="2">
        <v>0</v>
      </c>
      <c r="J22643" s="1">
        <v>45960.341319444444</v>
      </c>
    </row>
    <row r="22644" spans="1:10" x14ac:dyDescent="0.2">
      <c r="A22644" s="4" t="s">
        <v>1</v>
      </c>
      <c r="B226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44" s="3" t="str">
        <f>HYPERLINK("https://otsuka-europe-crm.veevavault.com/ui/#object/sent_email__v/VBL000000003393", "SE-001379397")</f>
        <v>SE-001379397</v>
      </c>
      <c r="D22644" s="1" t="s">
        <v>0</v>
      </c>
      <c r="E22644" s="2">
        <v>0</v>
      </c>
      <c r="F22644" s="2">
        <v>0</v>
      </c>
      <c r="G22644" s="2">
        <v>0</v>
      </c>
      <c r="H22644" s="1" t="s">
        <v>0</v>
      </c>
      <c r="I22644" s="2">
        <v>0</v>
      </c>
      <c r="J22644" s="1">
        <v>45960.34138888889</v>
      </c>
    </row>
    <row r="22645" spans="1:10" x14ac:dyDescent="0.2">
      <c r="A22645" s="4" t="s">
        <v>1</v>
      </c>
      <c r="B226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45" s="3" t="str">
        <f>HYPERLINK("https://otsuka-europe-crm.veevavault.com/ui/#object/sent_email__v/VBL000000003394", "SE-001379398")</f>
        <v>SE-001379398</v>
      </c>
      <c r="D22645" s="1" t="s">
        <v>0</v>
      </c>
      <c r="E22645" s="2">
        <v>0</v>
      </c>
      <c r="F22645" s="2">
        <v>0</v>
      </c>
      <c r="G22645" s="2">
        <v>0</v>
      </c>
      <c r="H22645" s="1" t="s">
        <v>0</v>
      </c>
      <c r="I22645" s="2">
        <v>0</v>
      </c>
      <c r="J22645" s="1">
        <v>45960.341458333336</v>
      </c>
    </row>
    <row r="22646" spans="1:10" x14ac:dyDescent="0.2">
      <c r="A22646" s="4" t="s">
        <v>1</v>
      </c>
      <c r="B226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46" s="3" t="str">
        <f>HYPERLINK("https://otsuka-europe-crm.veevavault.com/ui/#object/sent_email__v/VBL000000003395", "SE-001379399")</f>
        <v>SE-001379399</v>
      </c>
      <c r="D22646" s="1" t="s">
        <v>0</v>
      </c>
      <c r="E22646" s="2">
        <v>0</v>
      </c>
      <c r="F22646" s="2">
        <v>0</v>
      </c>
      <c r="G22646" s="2">
        <v>0</v>
      </c>
      <c r="H22646" s="1" t="s">
        <v>0</v>
      </c>
      <c r="I22646" s="2">
        <v>0</v>
      </c>
      <c r="J22646" s="1">
        <v>45960.341527777775</v>
      </c>
    </row>
    <row r="22647" spans="1:10" x14ac:dyDescent="0.2">
      <c r="A22647" s="4" t="s">
        <v>1</v>
      </c>
      <c r="B226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47" s="3" t="str">
        <f>HYPERLINK("https://otsuka-europe-crm.veevavault.com/ui/#object/sent_email__v/VBL000000003396", "SE-001379400")</f>
        <v>SE-001379400</v>
      </c>
      <c r="D22647" s="1">
        <v>45960.969282407408</v>
      </c>
      <c r="E22647" s="2">
        <v>1</v>
      </c>
      <c r="F22647" s="2">
        <v>1</v>
      </c>
      <c r="G22647" s="2">
        <v>0</v>
      </c>
      <c r="H22647" s="1" t="s">
        <v>0</v>
      </c>
      <c r="I22647" s="2">
        <v>0</v>
      </c>
      <c r="J22647" s="1">
        <v>45960.341597222221</v>
      </c>
    </row>
    <row r="22648" spans="1:10" x14ac:dyDescent="0.2">
      <c r="A22648" s="4" t="s">
        <v>1</v>
      </c>
      <c r="B226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48" s="3" t="str">
        <f>HYPERLINK("https://otsuka-europe-crm.veevavault.com/ui/#object/sent_email__v/VBL000000003397", "SE-001379401")</f>
        <v>SE-001379401</v>
      </c>
      <c r="D22648" s="1">
        <v>45960.980185185188</v>
      </c>
      <c r="E22648" s="2">
        <v>1</v>
      </c>
      <c r="F22648" s="2">
        <v>1</v>
      </c>
      <c r="G22648" s="2">
        <v>0</v>
      </c>
      <c r="H22648" s="1" t="s">
        <v>0</v>
      </c>
      <c r="I22648" s="2">
        <v>0</v>
      </c>
      <c r="J22648" s="1">
        <v>45960.341666666667</v>
      </c>
    </row>
    <row r="22649" spans="1:10" x14ac:dyDescent="0.2">
      <c r="A22649" s="4" t="s">
        <v>1</v>
      </c>
      <c r="B226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49" s="3" t="str">
        <f>HYPERLINK("https://otsuka-europe-crm.veevavault.com/ui/#object/sent_email__v/VBL000000003398", "SE-001379402")</f>
        <v>SE-001379402</v>
      </c>
      <c r="D22649" s="1" t="s">
        <v>0</v>
      </c>
      <c r="E22649" s="2">
        <v>0</v>
      </c>
      <c r="F22649" s="2">
        <v>0</v>
      </c>
      <c r="G22649" s="2">
        <v>0</v>
      </c>
      <c r="H22649" s="1" t="s">
        <v>0</v>
      </c>
      <c r="I22649" s="2">
        <v>0</v>
      </c>
      <c r="J22649" s="1">
        <v>45960.341747685183</v>
      </c>
    </row>
    <row r="22650" spans="1:10" x14ac:dyDescent="0.2">
      <c r="A22650" s="4" t="s">
        <v>1</v>
      </c>
      <c r="B226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50" s="3" t="str">
        <f>HYPERLINK("https://otsuka-europe-crm.veevavault.com/ui/#object/sent_email__v/VBL000000003399", "SE-001379403")</f>
        <v>SE-001379403</v>
      </c>
      <c r="D22650" s="1" t="s">
        <v>0</v>
      </c>
      <c r="E22650" s="2">
        <v>0</v>
      </c>
      <c r="F22650" s="2">
        <v>0</v>
      </c>
      <c r="G22650" s="2">
        <v>0</v>
      </c>
      <c r="H22650" s="1" t="s">
        <v>0</v>
      </c>
      <c r="I22650" s="2">
        <v>0</v>
      </c>
      <c r="J22650" s="1">
        <v>45960.341805555552</v>
      </c>
    </row>
    <row r="22651" spans="1:10" x14ac:dyDescent="0.2">
      <c r="A22651" s="4" t="s">
        <v>1</v>
      </c>
      <c r="B226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51" s="3" t="str">
        <f>HYPERLINK("https://otsuka-europe-crm.veevavault.com/ui/#object/sent_email__v/VBL000000003400", "SE-001379404")</f>
        <v>SE-001379404</v>
      </c>
      <c r="D22651" s="1" t="s">
        <v>0</v>
      </c>
      <c r="E22651" s="2">
        <v>0</v>
      </c>
      <c r="F22651" s="2">
        <v>0</v>
      </c>
      <c r="G22651" s="2">
        <v>0</v>
      </c>
      <c r="H22651" s="1" t="s">
        <v>0</v>
      </c>
      <c r="I22651" s="2">
        <v>0</v>
      </c>
      <c r="J22651" s="1">
        <v>45960.341874999998</v>
      </c>
    </row>
    <row r="22652" spans="1:10" x14ac:dyDescent="0.2">
      <c r="A22652" s="4" t="s">
        <v>1</v>
      </c>
      <c r="B226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52" s="3" t="str">
        <f>HYPERLINK("https://otsuka-europe-crm.veevavault.com/ui/#object/sent_email__v/VBL000000003401", "SE-001379405")</f>
        <v>SE-001379405</v>
      </c>
      <c r="D22652" s="1" t="s">
        <v>0</v>
      </c>
      <c r="E22652" s="2">
        <v>0</v>
      </c>
      <c r="F22652" s="2">
        <v>0</v>
      </c>
      <c r="G22652" s="2">
        <v>0</v>
      </c>
      <c r="H22652" s="1" t="s">
        <v>0</v>
      </c>
      <c r="I22652" s="2">
        <v>0</v>
      </c>
      <c r="J22652" s="1">
        <v>45960.341944444444</v>
      </c>
    </row>
    <row r="22653" spans="1:10" x14ac:dyDescent="0.2">
      <c r="A22653" s="4" t="s">
        <v>1</v>
      </c>
      <c r="B226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53" s="3" t="str">
        <f>HYPERLINK("https://otsuka-europe-crm.veevavault.com/ui/#object/sent_email__v/VBL000000003402", "SE-001379406")</f>
        <v>SE-001379406</v>
      </c>
      <c r="D22653" s="1" t="s">
        <v>0</v>
      </c>
      <c r="E22653" s="2">
        <v>0</v>
      </c>
      <c r="F22653" s="2">
        <v>0</v>
      </c>
      <c r="G22653" s="2">
        <v>0</v>
      </c>
      <c r="H22653" s="1" t="s">
        <v>0</v>
      </c>
      <c r="I22653" s="2">
        <v>0</v>
      </c>
      <c r="J22653" s="1">
        <v>45960.342048611114</v>
      </c>
    </row>
    <row r="22654" spans="1:10" x14ac:dyDescent="0.2">
      <c r="A22654" s="4" t="s">
        <v>1</v>
      </c>
      <c r="B226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54" s="3" t="str">
        <f>HYPERLINK("https://otsuka-europe-crm.veevavault.com/ui/#object/sent_email__v/VBL000000003403", "SE-001379407")</f>
        <v>SE-001379407</v>
      </c>
      <c r="D22654" s="1" t="s">
        <v>0</v>
      </c>
      <c r="E22654" s="2">
        <v>0</v>
      </c>
      <c r="F22654" s="2">
        <v>0</v>
      </c>
      <c r="G22654" s="2">
        <v>0</v>
      </c>
      <c r="H22654" s="1" t="s">
        <v>0</v>
      </c>
      <c r="I22654" s="2">
        <v>0</v>
      </c>
      <c r="J22654" s="1">
        <v>45960.342094907406</v>
      </c>
    </row>
    <row r="22655" spans="1:10" x14ac:dyDescent="0.2">
      <c r="A22655" s="4" t="s">
        <v>1</v>
      </c>
      <c r="B226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55" s="3" t="str">
        <f>HYPERLINK("https://otsuka-europe-crm.veevavault.com/ui/#object/sent_email__v/VBL000000003404", "SE-001379408")</f>
        <v>SE-001379408</v>
      </c>
      <c r="D22655" s="1" t="s">
        <v>0</v>
      </c>
      <c r="E22655" s="2">
        <v>0</v>
      </c>
      <c r="F22655" s="2">
        <v>0</v>
      </c>
      <c r="G22655" s="2">
        <v>0</v>
      </c>
      <c r="H22655" s="1" t="s">
        <v>0</v>
      </c>
      <c r="I22655" s="2">
        <v>0</v>
      </c>
      <c r="J22655" s="1">
        <v>45960.342164351852</v>
      </c>
    </row>
    <row r="22656" spans="1:10" x14ac:dyDescent="0.2">
      <c r="A22656" s="4" t="s">
        <v>1</v>
      </c>
      <c r="B226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56" s="3" t="str">
        <f>HYPERLINK("https://otsuka-europe-crm.veevavault.com/ui/#object/sent_email__v/VBL000000003405", "SE-001379409")</f>
        <v>SE-001379409</v>
      </c>
      <c r="D22656" s="1" t="s">
        <v>0</v>
      </c>
      <c r="E22656" s="2">
        <v>0</v>
      </c>
      <c r="F22656" s="2">
        <v>0</v>
      </c>
      <c r="G22656" s="2">
        <v>0</v>
      </c>
      <c r="H22656" s="1" t="s">
        <v>0</v>
      </c>
      <c r="I22656" s="2">
        <v>0</v>
      </c>
      <c r="J22656" s="1">
        <v>45960.342222222222</v>
      </c>
    </row>
    <row r="22657" spans="1:10" x14ac:dyDescent="0.2">
      <c r="A22657" s="4" t="s">
        <v>1</v>
      </c>
      <c r="B226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57" s="3" t="str">
        <f>HYPERLINK("https://otsuka-europe-crm.veevavault.com/ui/#object/sent_email__v/VBL000000003406", "SE-001379410")</f>
        <v>SE-001379410</v>
      </c>
      <c r="D22657" s="1">
        <v>45961.367013888892</v>
      </c>
      <c r="E22657" s="2">
        <v>1</v>
      </c>
      <c r="F22657" s="2">
        <v>1</v>
      </c>
      <c r="G22657" s="2">
        <v>0</v>
      </c>
      <c r="H22657" s="1" t="s">
        <v>0</v>
      </c>
      <c r="I22657" s="2">
        <v>0</v>
      </c>
      <c r="J22657" s="1">
        <v>45960.342291666668</v>
      </c>
    </row>
    <row r="22658" spans="1:10" x14ac:dyDescent="0.2">
      <c r="A22658" s="4" t="s">
        <v>1</v>
      </c>
      <c r="B226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58" s="3" t="str">
        <f>HYPERLINK("https://otsuka-europe-crm.veevavault.com/ui/#object/sent_email__v/VBL000000003407", "SE-001379411")</f>
        <v>SE-001379411</v>
      </c>
      <c r="D22658" s="1" t="s">
        <v>0</v>
      </c>
      <c r="E22658" s="2">
        <v>0</v>
      </c>
      <c r="F22658" s="2">
        <v>0</v>
      </c>
      <c r="G22658" s="2">
        <v>0</v>
      </c>
      <c r="H22658" s="1" t="s">
        <v>0</v>
      </c>
      <c r="I22658" s="2">
        <v>0</v>
      </c>
      <c r="J22658" s="1">
        <v>45960.342372685183</v>
      </c>
    </row>
    <row r="22659" spans="1:10" x14ac:dyDescent="0.2">
      <c r="A22659" s="4" t="s">
        <v>1</v>
      </c>
      <c r="B226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59" s="3" t="str">
        <f>HYPERLINK("https://otsuka-europe-crm.veevavault.com/ui/#object/sent_email__v/VBL000000003408", "SE-001379412")</f>
        <v>SE-001379412</v>
      </c>
      <c r="D22659" s="1" t="s">
        <v>0</v>
      </c>
      <c r="E22659" s="2">
        <v>0</v>
      </c>
      <c r="F22659" s="2">
        <v>0</v>
      </c>
      <c r="G22659" s="2">
        <v>0</v>
      </c>
      <c r="H22659" s="1" t="s">
        <v>0</v>
      </c>
      <c r="I22659" s="2">
        <v>0</v>
      </c>
      <c r="J22659" s="1">
        <v>45960.342442129629</v>
      </c>
    </row>
    <row r="22660" spans="1:10" x14ac:dyDescent="0.2">
      <c r="A22660" s="4" t="s">
        <v>1</v>
      </c>
      <c r="B226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60" s="3" t="str">
        <f>HYPERLINK("https://otsuka-europe-crm.veevavault.com/ui/#object/sent_email__v/VBL000000003409", "SE-001379413")</f>
        <v>SE-001379413</v>
      </c>
      <c r="D22660" s="1">
        <v>45960.963807870372</v>
      </c>
      <c r="E22660" s="2">
        <v>1</v>
      </c>
      <c r="F22660" s="2">
        <v>1</v>
      </c>
      <c r="G22660" s="2">
        <v>0</v>
      </c>
      <c r="H22660" s="1" t="s">
        <v>0</v>
      </c>
      <c r="I22660" s="2">
        <v>0</v>
      </c>
      <c r="J22660" s="1">
        <v>45960.342499999999</v>
      </c>
    </row>
    <row r="22661" spans="1:10" x14ac:dyDescent="0.2">
      <c r="A22661" s="4" t="s">
        <v>1</v>
      </c>
      <c r="B226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61" s="3" t="str">
        <f>HYPERLINK("https://otsuka-europe-crm.veevavault.com/ui/#object/sent_email__v/VBL000000003410", "SE-001379414")</f>
        <v>SE-001379414</v>
      </c>
      <c r="D22661" s="1" t="s">
        <v>0</v>
      </c>
      <c r="E22661" s="2">
        <v>0</v>
      </c>
      <c r="F22661" s="2">
        <v>0</v>
      </c>
      <c r="G22661" s="2">
        <v>0</v>
      </c>
      <c r="H22661" s="1" t="s">
        <v>0</v>
      </c>
      <c r="I22661" s="2">
        <v>0</v>
      </c>
      <c r="J22661" s="1">
        <v>45960.342581018522</v>
      </c>
    </row>
    <row r="22662" spans="1:10" x14ac:dyDescent="0.2">
      <c r="A22662" s="4" t="s">
        <v>1</v>
      </c>
      <c r="B226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62" s="3" t="str">
        <f>HYPERLINK("https://otsuka-europe-crm.veevavault.com/ui/#object/sent_email__v/VBL000000003411", "SE-001379415")</f>
        <v>SE-001379415</v>
      </c>
      <c r="D22662" s="1">
        <v>45961.526342592595</v>
      </c>
      <c r="E22662" s="2">
        <v>1</v>
      </c>
      <c r="F22662" s="2">
        <v>3</v>
      </c>
      <c r="G22662" s="2">
        <v>0</v>
      </c>
      <c r="H22662" s="1" t="s">
        <v>0</v>
      </c>
      <c r="I22662" s="2">
        <v>0</v>
      </c>
      <c r="J22662" s="1">
        <v>45960.341006944444</v>
      </c>
    </row>
    <row r="22663" spans="1:10" x14ac:dyDescent="0.2">
      <c r="A22663" s="4" t="s">
        <v>1</v>
      </c>
      <c r="B226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63" s="3" t="str">
        <f>HYPERLINK("https://otsuka-europe-crm.veevavault.com/ui/#object/sent_email__v/VBL000000003412", "SE-001379416")</f>
        <v>SE-001379416</v>
      </c>
      <c r="D22663" s="1" t="s">
        <v>0</v>
      </c>
      <c r="E22663" s="2">
        <v>0</v>
      </c>
      <c r="F22663" s="2">
        <v>0</v>
      </c>
      <c r="G22663" s="2">
        <v>0</v>
      </c>
      <c r="H22663" s="1" t="s">
        <v>0</v>
      </c>
      <c r="I22663" s="2">
        <v>0</v>
      </c>
      <c r="J22663" s="1">
        <v>45960.341087962966</v>
      </c>
    </row>
    <row r="22664" spans="1:10" x14ac:dyDescent="0.2">
      <c r="A22664" s="4" t="s">
        <v>1</v>
      </c>
      <c r="B226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64" s="3" t="str">
        <f>HYPERLINK("https://otsuka-europe-crm.veevavault.com/ui/#object/sent_email__v/VBL000000003413", "SE-001379417")</f>
        <v>SE-001379417</v>
      </c>
      <c r="D22664" s="1" t="s">
        <v>0</v>
      </c>
      <c r="E22664" s="2">
        <v>0</v>
      </c>
      <c r="F22664" s="2">
        <v>0</v>
      </c>
      <c r="G22664" s="2">
        <v>0</v>
      </c>
      <c r="H22664" s="1" t="s">
        <v>0</v>
      </c>
      <c r="I22664" s="2">
        <v>0</v>
      </c>
      <c r="J22664" s="1">
        <v>45960.341157407405</v>
      </c>
    </row>
    <row r="22665" spans="1:10" x14ac:dyDescent="0.2">
      <c r="A22665" s="4" t="s">
        <v>1</v>
      </c>
      <c r="B226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65" s="3" t="str">
        <f>HYPERLINK("https://otsuka-europe-crm.veevavault.com/ui/#object/sent_email__v/VBL000000003414", "SE-001379418")</f>
        <v>SE-001379418</v>
      </c>
      <c r="D22665" s="1" t="s">
        <v>0</v>
      </c>
      <c r="E22665" s="2">
        <v>0</v>
      </c>
      <c r="F22665" s="2">
        <v>0</v>
      </c>
      <c r="G22665" s="2">
        <v>0</v>
      </c>
      <c r="H22665" s="1" t="s">
        <v>0</v>
      </c>
      <c r="I22665" s="2">
        <v>0</v>
      </c>
      <c r="J22665" s="1">
        <v>45960.341226851851</v>
      </c>
    </row>
    <row r="22666" spans="1:10" x14ac:dyDescent="0.2">
      <c r="A22666" s="4" t="s">
        <v>1</v>
      </c>
      <c r="B226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66" s="3" t="str">
        <f>HYPERLINK("https://otsuka-europe-crm.veevavault.com/ui/#object/sent_email__v/VBL000000003415", "SE-001379419")</f>
        <v>SE-001379419</v>
      </c>
      <c r="D22666" s="1">
        <v>45963.989722222221</v>
      </c>
      <c r="E22666" s="2">
        <v>1</v>
      </c>
      <c r="F22666" s="2">
        <v>1</v>
      </c>
      <c r="G22666" s="2">
        <v>0</v>
      </c>
      <c r="H22666" s="1" t="s">
        <v>0</v>
      </c>
      <c r="I22666" s="2">
        <v>0</v>
      </c>
      <c r="J22666" s="1">
        <v>45960.341296296298</v>
      </c>
    </row>
    <row r="22667" spans="1:10" x14ac:dyDescent="0.2">
      <c r="A22667" s="4" t="s">
        <v>1</v>
      </c>
      <c r="B226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67" s="3" t="str">
        <f>HYPERLINK("https://otsuka-europe-crm.veevavault.com/ui/#object/sent_email__v/VBL000000003416", "SE-001379420")</f>
        <v>SE-001379420</v>
      </c>
      <c r="D22667" s="1">
        <v>45960.356365740743</v>
      </c>
      <c r="E22667" s="2">
        <v>1</v>
      </c>
      <c r="F22667" s="2">
        <v>1</v>
      </c>
      <c r="G22667" s="2">
        <v>0</v>
      </c>
      <c r="H22667" s="1" t="s">
        <v>0</v>
      </c>
      <c r="I22667" s="2">
        <v>0</v>
      </c>
      <c r="J22667" s="1">
        <v>45960.341365740744</v>
      </c>
    </row>
    <row r="22668" spans="1:10" x14ac:dyDescent="0.2">
      <c r="A22668" s="4" t="s">
        <v>1</v>
      </c>
      <c r="B226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68" s="3" t="str">
        <f>HYPERLINK("https://otsuka-europe-crm.veevavault.com/ui/#object/sent_email__v/VBL000000003417", "SE-001379421")</f>
        <v>SE-001379421</v>
      </c>
      <c r="D22668" s="1">
        <v>45978.64671296296</v>
      </c>
      <c r="E22668" s="2">
        <v>1</v>
      </c>
      <c r="F22668" s="2">
        <v>2</v>
      </c>
      <c r="G22668" s="2">
        <v>0</v>
      </c>
      <c r="H22668" s="1" t="s">
        <v>0</v>
      </c>
      <c r="I22668" s="2">
        <v>0</v>
      </c>
      <c r="J22668" s="1">
        <v>45960.341435185182</v>
      </c>
    </row>
    <row r="22669" spans="1:10" x14ac:dyDescent="0.2">
      <c r="A22669" s="4" t="s">
        <v>1</v>
      </c>
      <c r="B226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69" s="3" t="str">
        <f>HYPERLINK("https://otsuka-europe-crm.veevavault.com/ui/#object/sent_email__v/VBL000000003418", "SE-001379422")</f>
        <v>SE-001379422</v>
      </c>
      <c r="D22669" s="1">
        <v>45960.809351851851</v>
      </c>
      <c r="E22669" s="2">
        <v>1</v>
      </c>
      <c r="F22669" s="2">
        <v>1</v>
      </c>
      <c r="G22669" s="2">
        <v>0</v>
      </c>
      <c r="H22669" s="1" t="s">
        <v>0</v>
      </c>
      <c r="I22669" s="2">
        <v>0</v>
      </c>
      <c r="J22669" s="1">
        <v>45960.341516203705</v>
      </c>
    </row>
    <row r="22670" spans="1:10" x14ac:dyDescent="0.2">
      <c r="A22670" s="4" t="s">
        <v>1</v>
      </c>
      <c r="B226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70" s="3" t="str">
        <f>HYPERLINK("https://otsuka-europe-crm.veevavault.com/ui/#object/sent_email__v/VBL000000003419", "SE-001379423")</f>
        <v>SE-001379423</v>
      </c>
      <c r="D22670" s="1" t="s">
        <v>0</v>
      </c>
      <c r="E22670" s="2">
        <v>0</v>
      </c>
      <c r="F22670" s="2">
        <v>0</v>
      </c>
      <c r="G22670" s="2">
        <v>0</v>
      </c>
      <c r="H22670" s="1" t="s">
        <v>0</v>
      </c>
      <c r="I22670" s="2">
        <v>0</v>
      </c>
      <c r="J22670" s="1">
        <v>45960.341585648152</v>
      </c>
    </row>
    <row r="22671" spans="1:10" x14ac:dyDescent="0.2">
      <c r="A22671" s="4" t="s">
        <v>1</v>
      </c>
      <c r="B226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71" s="3" t="str">
        <f>HYPERLINK("https://otsuka-europe-crm.veevavault.com/ui/#object/sent_email__v/VBL000000003420", "SE-001379424")</f>
        <v>SE-001379424</v>
      </c>
      <c r="D22671" s="1">
        <v>45960.356215277781</v>
      </c>
      <c r="E22671" s="2">
        <v>1</v>
      </c>
      <c r="F22671" s="2">
        <v>1</v>
      </c>
      <c r="G22671" s="2">
        <v>0</v>
      </c>
      <c r="H22671" s="1" t="s">
        <v>0</v>
      </c>
      <c r="I22671" s="2">
        <v>0</v>
      </c>
      <c r="J22671" s="1">
        <v>45960.34165509259</v>
      </c>
    </row>
    <row r="22672" spans="1:10" x14ac:dyDescent="0.2">
      <c r="A22672" s="4" t="s">
        <v>1</v>
      </c>
      <c r="B226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72" s="3" t="str">
        <f>HYPERLINK("https://otsuka-europe-crm.veevavault.com/ui/#object/sent_email__v/VBL000000003421", "SE-001379425")</f>
        <v>SE-001379425</v>
      </c>
      <c r="D22672" s="1" t="s">
        <v>0</v>
      </c>
      <c r="E22672" s="2">
        <v>0</v>
      </c>
      <c r="F22672" s="2">
        <v>0</v>
      </c>
      <c r="G22672" s="2">
        <v>0</v>
      </c>
      <c r="H22672" s="1" t="s">
        <v>0</v>
      </c>
      <c r="I22672" s="2">
        <v>0</v>
      </c>
      <c r="J22672" s="1">
        <v>45960.341724537036</v>
      </c>
    </row>
    <row r="22673" spans="1:10" x14ac:dyDescent="0.2">
      <c r="A22673" s="4" t="s">
        <v>1</v>
      </c>
      <c r="B226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73" s="3" t="str">
        <f>HYPERLINK("https://otsuka-europe-crm.veevavault.com/ui/#object/sent_email__v/VBL000000003422", "SE-001379426")</f>
        <v>SE-001379426</v>
      </c>
      <c r="D22673" s="1" t="s">
        <v>0</v>
      </c>
      <c r="E22673" s="2">
        <v>0</v>
      </c>
      <c r="F22673" s="2">
        <v>0</v>
      </c>
      <c r="G22673" s="2">
        <v>0</v>
      </c>
      <c r="H22673" s="1" t="s">
        <v>0</v>
      </c>
      <c r="I22673" s="2">
        <v>0</v>
      </c>
      <c r="J22673" s="1">
        <v>45960.341793981483</v>
      </c>
    </row>
    <row r="22674" spans="1:10" x14ac:dyDescent="0.2">
      <c r="A22674" s="4" t="s">
        <v>1</v>
      </c>
      <c r="B226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74" s="3" t="str">
        <f>HYPERLINK("https://otsuka-europe-crm.veevavault.com/ui/#object/sent_email__v/VBL000000003423", "SE-001379427")</f>
        <v>SE-001379427</v>
      </c>
      <c r="D22674" s="1" t="s">
        <v>0</v>
      </c>
      <c r="E22674" s="2">
        <v>0</v>
      </c>
      <c r="F22674" s="2">
        <v>0</v>
      </c>
      <c r="G22674" s="2">
        <v>0</v>
      </c>
      <c r="H22674" s="1" t="s">
        <v>0</v>
      </c>
      <c r="I22674" s="2">
        <v>0</v>
      </c>
      <c r="J22674" s="1">
        <v>45960.341851851852</v>
      </c>
    </row>
    <row r="22675" spans="1:10" x14ac:dyDescent="0.2">
      <c r="A22675" s="4" t="s">
        <v>1</v>
      </c>
      <c r="B226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75" s="3" t="str">
        <f>HYPERLINK("https://otsuka-europe-crm.veevavault.com/ui/#object/sent_email__v/VBL000000003424", "SE-001379428")</f>
        <v>SE-001379428</v>
      </c>
      <c r="D22675" s="1" t="s">
        <v>0</v>
      </c>
      <c r="E22675" s="2">
        <v>0</v>
      </c>
      <c r="F22675" s="2">
        <v>0</v>
      </c>
      <c r="G22675" s="2">
        <v>0</v>
      </c>
      <c r="H22675" s="1" t="s">
        <v>0</v>
      </c>
      <c r="I22675" s="2">
        <v>0</v>
      </c>
      <c r="J22675" s="1">
        <v>45960.341921296298</v>
      </c>
    </row>
    <row r="22676" spans="1:10" x14ac:dyDescent="0.2">
      <c r="A22676" s="4" t="s">
        <v>1</v>
      </c>
      <c r="B226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76" s="3" t="str">
        <f>HYPERLINK("https://otsuka-europe-crm.veevavault.com/ui/#object/sent_email__v/VBL000000003425", "SE-001379429")</f>
        <v>SE-001379429</v>
      </c>
      <c r="D22676" s="1" t="s">
        <v>0</v>
      </c>
      <c r="E22676" s="2">
        <v>0</v>
      </c>
      <c r="F22676" s="2">
        <v>0</v>
      </c>
      <c r="G22676" s="2">
        <v>0</v>
      </c>
      <c r="H22676" s="1" t="s">
        <v>0</v>
      </c>
      <c r="I22676" s="2">
        <v>0</v>
      </c>
      <c r="J22676" s="1">
        <v>45960.342037037037</v>
      </c>
    </row>
    <row r="22677" spans="1:10" x14ac:dyDescent="0.2">
      <c r="A22677" s="4" t="s">
        <v>1</v>
      </c>
      <c r="B226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77" s="3" t="str">
        <f>HYPERLINK("https://otsuka-europe-crm.veevavault.com/ui/#object/sent_email__v/VBL000000003426", "SE-001379430")</f>
        <v>SE-001379430</v>
      </c>
      <c r="D22677" s="1">
        <v>45987.866238425922</v>
      </c>
      <c r="E22677" s="2">
        <v>1</v>
      </c>
      <c r="F22677" s="2">
        <v>3</v>
      </c>
      <c r="G22677" s="2">
        <v>0</v>
      </c>
      <c r="H22677" s="1" t="s">
        <v>0</v>
      </c>
      <c r="I22677" s="2">
        <v>0</v>
      </c>
      <c r="J22677" s="1">
        <v>45960.342083333337</v>
      </c>
    </row>
    <row r="22678" spans="1:10" x14ac:dyDescent="0.2">
      <c r="A22678" s="4" t="s">
        <v>1</v>
      </c>
      <c r="B226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78" s="3" t="str">
        <f>HYPERLINK("https://otsuka-europe-crm.veevavault.com/ui/#object/sent_email__v/VBL000000002511", "SE-001379434")</f>
        <v>SE-001379434</v>
      </c>
      <c r="D22678" s="1">
        <v>45960.613333333335</v>
      </c>
      <c r="E22678" s="2">
        <v>1</v>
      </c>
      <c r="F22678" s="2">
        <v>1</v>
      </c>
      <c r="G22678" s="2">
        <v>0</v>
      </c>
      <c r="H22678" s="1" t="s">
        <v>0</v>
      </c>
      <c r="I22678" s="2">
        <v>0</v>
      </c>
      <c r="J22678" s="1">
        <v>45960.364548611113</v>
      </c>
    </row>
    <row r="22679" spans="1:10" x14ac:dyDescent="0.2">
      <c r="A22679" s="4" t="s">
        <v>1</v>
      </c>
      <c r="B226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79" s="3" t="str">
        <f>HYPERLINK("https://otsuka-europe-crm.veevavault.com/ui/#object/sent_email__v/VBL000000003429", "SE-001379436")</f>
        <v>SE-001379436</v>
      </c>
      <c r="D22679" s="1" t="s">
        <v>0</v>
      </c>
      <c r="E22679" s="2">
        <v>0</v>
      </c>
      <c r="F22679" s="2">
        <v>0</v>
      </c>
      <c r="G22679" s="2">
        <v>0</v>
      </c>
      <c r="H22679" s="1" t="s">
        <v>0</v>
      </c>
      <c r="I22679" s="2">
        <v>0</v>
      </c>
      <c r="J22679" s="1">
        <v>45960.385034722225</v>
      </c>
    </row>
    <row r="22680" spans="1:10" x14ac:dyDescent="0.2">
      <c r="A22680" s="4" t="s">
        <v>1</v>
      </c>
      <c r="B226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80" s="3" t="str">
        <f>HYPERLINK("https://otsuka-europe-crm.veevavault.com/ui/#object/sent_email__v/VBL000000003430", "SE-001379437")</f>
        <v>SE-001379437</v>
      </c>
      <c r="D22680" s="1">
        <v>45960.400902777779</v>
      </c>
      <c r="E22680" s="2">
        <v>1</v>
      </c>
      <c r="F22680" s="2">
        <v>2</v>
      </c>
      <c r="G22680" s="2">
        <v>0</v>
      </c>
      <c r="H22680" s="1" t="s">
        <v>0</v>
      </c>
      <c r="I22680" s="2">
        <v>0</v>
      </c>
      <c r="J22680" s="1">
        <v>45960.385069444441</v>
      </c>
    </row>
    <row r="22681" spans="1:10" x14ac:dyDescent="0.2">
      <c r="A22681" s="4" t="s">
        <v>1</v>
      </c>
      <c r="B226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81" s="3" t="str">
        <f>HYPERLINK("https://otsuka-europe-crm.veevavault.com/ui/#object/sent_email__v/VBL000000003431", "SE-001379438")</f>
        <v>SE-001379438</v>
      </c>
      <c r="D22681" s="1">
        <v>45960.589178240742</v>
      </c>
      <c r="E22681" s="2">
        <v>1</v>
      </c>
      <c r="F22681" s="2">
        <v>3</v>
      </c>
      <c r="G22681" s="2">
        <v>0</v>
      </c>
      <c r="H22681" s="1" t="s">
        <v>0</v>
      </c>
      <c r="I22681" s="2">
        <v>0</v>
      </c>
      <c r="J22681" s="1">
        <v>45960.385115740741</v>
      </c>
    </row>
    <row r="22682" spans="1:10" x14ac:dyDescent="0.2">
      <c r="A22682" s="4" t="s">
        <v>1</v>
      </c>
      <c r="B226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82" s="3" t="str">
        <f>HYPERLINK("https://otsuka-europe-crm.veevavault.com/ui/#object/sent_email__v/VBL000000003432", "SE-001379439")</f>
        <v>SE-001379439</v>
      </c>
      <c r="D22682" s="1">
        <v>45960.460925925923</v>
      </c>
      <c r="E22682" s="2">
        <v>1</v>
      </c>
      <c r="F22682" s="2">
        <v>1</v>
      </c>
      <c r="G22682" s="2">
        <v>0</v>
      </c>
      <c r="H22682" s="1" t="s">
        <v>0</v>
      </c>
      <c r="I22682" s="2">
        <v>0</v>
      </c>
      <c r="J22682" s="1">
        <v>45960.385150462964</v>
      </c>
    </row>
    <row r="22683" spans="1:10" x14ac:dyDescent="0.2">
      <c r="A22683" s="4" t="s">
        <v>1</v>
      </c>
      <c r="B226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83" s="3" t="str">
        <f>HYPERLINK("https://otsuka-europe-crm.veevavault.com/ui/#object/sent_email__v/VBL000000003433", "SE-001379440")</f>
        <v>SE-001379440</v>
      </c>
      <c r="D22683" s="1" t="s">
        <v>0</v>
      </c>
      <c r="E22683" s="2">
        <v>0</v>
      </c>
      <c r="F22683" s="2">
        <v>0</v>
      </c>
      <c r="G22683" s="2">
        <v>0</v>
      </c>
      <c r="H22683" s="1" t="s">
        <v>0</v>
      </c>
      <c r="I22683" s="2">
        <v>0</v>
      </c>
      <c r="J22683" s="1">
        <v>45960.385196759256</v>
      </c>
    </row>
    <row r="22684" spans="1:10" x14ac:dyDescent="0.2">
      <c r="A22684" s="4" t="s">
        <v>1</v>
      </c>
      <c r="B226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84" s="3" t="str">
        <f>HYPERLINK("https://otsuka-europe-crm.veevavault.com/ui/#object/sent_email__v/VBL000000003434", "SE-001379441")</f>
        <v>SE-001379441</v>
      </c>
      <c r="D22684" s="1">
        <v>45989.922731481478</v>
      </c>
      <c r="E22684" s="2">
        <v>1</v>
      </c>
      <c r="F22684" s="2">
        <v>2</v>
      </c>
      <c r="G22684" s="2">
        <v>0</v>
      </c>
      <c r="H22684" s="1" t="s">
        <v>0</v>
      </c>
      <c r="I22684" s="2">
        <v>0</v>
      </c>
      <c r="J22684" s="1">
        <v>45960.385243055556</v>
      </c>
    </row>
    <row r="22685" spans="1:10" x14ac:dyDescent="0.2">
      <c r="A22685" s="4" t="s">
        <v>1</v>
      </c>
      <c r="B226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85" s="3" t="str">
        <f>HYPERLINK("https://otsuka-europe-crm.veevavault.com/ui/#object/sent_email__v/VBL000000003435", "SE-001379442")</f>
        <v>SE-001379442</v>
      </c>
      <c r="D22685" s="1" t="s">
        <v>0</v>
      </c>
      <c r="E22685" s="2">
        <v>0</v>
      </c>
      <c r="F22685" s="2">
        <v>0</v>
      </c>
      <c r="G22685" s="2">
        <v>0</v>
      </c>
      <c r="H22685" s="1" t="s">
        <v>0</v>
      </c>
      <c r="I22685" s="2">
        <v>0</v>
      </c>
      <c r="J22685" s="1">
        <v>45960.386689814812</v>
      </c>
    </row>
    <row r="22686" spans="1:10" x14ac:dyDescent="0.2">
      <c r="A22686" s="4" t="s">
        <v>1</v>
      </c>
      <c r="B226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86" s="3" t="str">
        <f>HYPERLINK("https://otsuka-europe-crm.veevavault.com/ui/#object/sent_email__v/VBL000000003436", "SE-001379443")</f>
        <v>SE-001379443</v>
      </c>
      <c r="D22686" s="1">
        <v>45989.640925925924</v>
      </c>
      <c r="E22686" s="2">
        <v>1</v>
      </c>
      <c r="F22686" s="2">
        <v>2</v>
      </c>
      <c r="G22686" s="2">
        <v>0</v>
      </c>
      <c r="H22686" s="1" t="s">
        <v>0</v>
      </c>
      <c r="I22686" s="2">
        <v>0</v>
      </c>
      <c r="J22686" s="1">
        <v>45960.38894675926</v>
      </c>
    </row>
    <row r="22687" spans="1:10" x14ac:dyDescent="0.2">
      <c r="A22687" s="4" t="s">
        <v>1</v>
      </c>
      <c r="B226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87" s="3" t="str">
        <f>HYPERLINK("https://otsuka-europe-crm.veevavault.com/ui/#object/sent_email__v/VBL000000003437", "SE-001379444")</f>
        <v>SE-001379444</v>
      </c>
      <c r="D22687" s="1">
        <v>45960.714849537035</v>
      </c>
      <c r="E22687" s="2">
        <v>1</v>
      </c>
      <c r="F22687" s="2">
        <v>2</v>
      </c>
      <c r="G22687" s="2">
        <v>0</v>
      </c>
      <c r="H22687" s="1" t="s">
        <v>0</v>
      </c>
      <c r="I22687" s="2">
        <v>0</v>
      </c>
      <c r="J22687" s="1">
        <v>45960.422581018516</v>
      </c>
    </row>
    <row r="22688" spans="1:10" x14ac:dyDescent="0.2">
      <c r="A22688" s="4" t="s">
        <v>1</v>
      </c>
      <c r="B226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88" s="3" t="str">
        <f>HYPERLINK("https://otsuka-europe-crm.veevavault.com/ui/#object/sent_email__v/VBL000000003438", "SE-001379445")</f>
        <v>SE-001379445</v>
      </c>
      <c r="D22688" s="1">
        <v>45961.307939814818</v>
      </c>
      <c r="E22688" s="2">
        <v>1</v>
      </c>
      <c r="F22688" s="2">
        <v>3</v>
      </c>
      <c r="G22688" s="2">
        <v>0</v>
      </c>
      <c r="H22688" s="1" t="s">
        <v>0</v>
      </c>
      <c r="I22688" s="2">
        <v>0</v>
      </c>
      <c r="J22688" s="1">
        <v>45960.422638888886</v>
      </c>
    </row>
    <row r="22689" spans="1:10" x14ac:dyDescent="0.2">
      <c r="A22689" s="4" t="s">
        <v>1</v>
      </c>
      <c r="B226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89" s="3" t="str">
        <f>HYPERLINK("https://otsuka-europe-crm.veevavault.com/ui/#object/sent_email__v/VBL000000003439", "SE-001379446")</f>
        <v>SE-001379446</v>
      </c>
      <c r="D22689" s="1" t="s">
        <v>0</v>
      </c>
      <c r="E22689" s="2">
        <v>0</v>
      </c>
      <c r="F22689" s="2">
        <v>0</v>
      </c>
      <c r="G22689" s="2">
        <v>0</v>
      </c>
      <c r="H22689" s="1" t="s">
        <v>0</v>
      </c>
      <c r="I22689" s="2">
        <v>0</v>
      </c>
      <c r="J22689" s="1">
        <v>45960.422719907408</v>
      </c>
    </row>
    <row r="22690" spans="1:10" x14ac:dyDescent="0.2">
      <c r="A22690" s="4" t="s">
        <v>1</v>
      </c>
      <c r="B226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90" s="3" t="str">
        <f>HYPERLINK("https://otsuka-europe-crm.veevavault.com/ui/#object/sent_email__v/VBL000000003440", "SE-001379447")</f>
        <v>SE-001379447</v>
      </c>
      <c r="D22690" s="1" t="s">
        <v>0</v>
      </c>
      <c r="E22690" s="2">
        <v>0</v>
      </c>
      <c r="F22690" s="2">
        <v>0</v>
      </c>
      <c r="G22690" s="2">
        <v>0</v>
      </c>
      <c r="H22690" s="1" t="s">
        <v>0</v>
      </c>
      <c r="I22690" s="2">
        <v>0</v>
      </c>
      <c r="J22690" s="1">
        <v>45960.422789351855</v>
      </c>
    </row>
    <row r="22691" spans="1:10" x14ac:dyDescent="0.2">
      <c r="A22691" s="4" t="s">
        <v>1</v>
      </c>
      <c r="B226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91" s="3" t="str">
        <f>HYPERLINK("https://otsuka-europe-crm.veevavault.com/ui/#object/sent_email__v/VBL000000003441", "SE-001379448")</f>
        <v>SE-001379448</v>
      </c>
      <c r="D22691" s="1" t="s">
        <v>0</v>
      </c>
      <c r="E22691" s="2">
        <v>0</v>
      </c>
      <c r="F22691" s="2">
        <v>0</v>
      </c>
      <c r="G22691" s="2">
        <v>0</v>
      </c>
      <c r="H22691" s="1" t="s">
        <v>0</v>
      </c>
      <c r="I22691" s="2">
        <v>0</v>
      </c>
      <c r="J22691" s="1">
        <v>45960.422858796293</v>
      </c>
    </row>
    <row r="22692" spans="1:10" x14ac:dyDescent="0.2">
      <c r="A22692" s="4" t="s">
        <v>1</v>
      </c>
      <c r="B226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92" s="3" t="str">
        <f>HYPERLINK("https://otsuka-europe-crm.veevavault.com/ui/#object/sent_email__v/VBL000000003442", "SE-001379449")</f>
        <v>SE-001379449</v>
      </c>
      <c r="D22692" s="1">
        <v>45963.686296296299</v>
      </c>
      <c r="E22692" s="2">
        <v>1</v>
      </c>
      <c r="F22692" s="2">
        <v>2</v>
      </c>
      <c r="G22692" s="2">
        <v>0</v>
      </c>
      <c r="H22692" s="1" t="s">
        <v>0</v>
      </c>
      <c r="I22692" s="2">
        <v>0</v>
      </c>
      <c r="J22692" s="1">
        <v>45960.422986111109</v>
      </c>
    </row>
    <row r="22693" spans="1:10" x14ac:dyDescent="0.2">
      <c r="A22693" s="4" t="s">
        <v>1</v>
      </c>
      <c r="B226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93" s="3" t="str">
        <f>HYPERLINK("https://otsuka-europe-crm.veevavault.com/ui/#object/sent_email__v/VBL000000003443", "SE-001379450")</f>
        <v>SE-001379450</v>
      </c>
      <c r="D22693" s="1">
        <v>45960.823518518519</v>
      </c>
      <c r="E22693" s="2">
        <v>1</v>
      </c>
      <c r="F22693" s="2">
        <v>2</v>
      </c>
      <c r="G22693" s="2">
        <v>0</v>
      </c>
      <c r="H22693" s="1" t="s">
        <v>0</v>
      </c>
      <c r="I22693" s="2">
        <v>0</v>
      </c>
      <c r="J22693" s="1">
        <v>45960.423055555555</v>
      </c>
    </row>
    <row r="22694" spans="1:10" x14ac:dyDescent="0.2">
      <c r="A22694" s="4" t="s">
        <v>1</v>
      </c>
      <c r="B226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94" s="3" t="str">
        <f>HYPERLINK("https://otsuka-europe-crm.veevavault.com/ui/#object/sent_email__v/VBL000000003444", "SE-001379451")</f>
        <v>SE-001379451</v>
      </c>
      <c r="D22694" s="1" t="s">
        <v>0</v>
      </c>
      <c r="E22694" s="2">
        <v>0</v>
      </c>
      <c r="F22694" s="2">
        <v>0</v>
      </c>
      <c r="G22694" s="2">
        <v>0</v>
      </c>
      <c r="H22694" s="1" t="s">
        <v>0</v>
      </c>
      <c r="I22694" s="2">
        <v>0</v>
      </c>
      <c r="J22694" s="1">
        <v>45960.423113425924</v>
      </c>
    </row>
    <row r="22695" spans="1:10" x14ac:dyDescent="0.2">
      <c r="A22695" s="4" t="s">
        <v>1</v>
      </c>
      <c r="B226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95" s="3" t="str">
        <f>HYPERLINK("https://otsuka-europe-crm.veevavault.com/ui/#object/sent_email__v/VBL000000003445", "SE-001379452")</f>
        <v>SE-001379452</v>
      </c>
      <c r="D22695" s="1">
        <v>45960.887523148151</v>
      </c>
      <c r="E22695" s="2">
        <v>1</v>
      </c>
      <c r="F22695" s="2">
        <v>1</v>
      </c>
      <c r="G22695" s="2">
        <v>0</v>
      </c>
      <c r="H22695" s="1" t="s">
        <v>0</v>
      </c>
      <c r="I22695" s="2">
        <v>0</v>
      </c>
      <c r="J22695" s="1">
        <v>45960.423182870371</v>
      </c>
    </row>
    <row r="22696" spans="1:10" x14ac:dyDescent="0.2">
      <c r="A22696" s="4" t="s">
        <v>1</v>
      </c>
      <c r="B226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96" s="3" t="str">
        <f>HYPERLINK("https://otsuka-europe-crm.veevavault.com/ui/#object/sent_email__v/VBL000000003446", "SE-001379453")</f>
        <v>SE-001379453</v>
      </c>
      <c r="D22696" s="1">
        <v>45960.645624999997</v>
      </c>
      <c r="E22696" s="2">
        <v>1</v>
      </c>
      <c r="F22696" s="2">
        <v>1</v>
      </c>
      <c r="G22696" s="2">
        <v>0</v>
      </c>
      <c r="H22696" s="1" t="s">
        <v>0</v>
      </c>
      <c r="I22696" s="2">
        <v>0</v>
      </c>
      <c r="J22696" s="1">
        <v>45960.42324074074</v>
      </c>
    </row>
    <row r="22697" spans="1:10" x14ac:dyDescent="0.2">
      <c r="A22697" s="4" t="s">
        <v>1</v>
      </c>
      <c r="B226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97" s="3" t="str">
        <f>HYPERLINK("https://otsuka-europe-crm.veevavault.com/ui/#object/sent_email__v/VBL000000003447", "SE-001379454")</f>
        <v>SE-001379454</v>
      </c>
      <c r="D22697" s="1" t="s">
        <v>0</v>
      </c>
      <c r="E22697" s="2">
        <v>0</v>
      </c>
      <c r="F22697" s="2">
        <v>0</v>
      </c>
      <c r="G22697" s="2">
        <v>0</v>
      </c>
      <c r="H22697" s="1" t="s">
        <v>0</v>
      </c>
      <c r="I22697" s="2">
        <v>0</v>
      </c>
      <c r="J22697" s="1">
        <v>45960.423321759263</v>
      </c>
    </row>
    <row r="22698" spans="1:10" x14ac:dyDescent="0.2">
      <c r="A22698" s="4" t="s">
        <v>1</v>
      </c>
      <c r="B226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98" s="3" t="str">
        <f>HYPERLINK("https://otsuka-europe-crm.veevavault.com/ui/#object/sent_email__v/VBL000000003448", "SE-001379455")</f>
        <v>SE-001379455</v>
      </c>
      <c r="D22698" s="1">
        <v>45962.702349537038</v>
      </c>
      <c r="E22698" s="2">
        <v>1</v>
      </c>
      <c r="F22698" s="2">
        <v>1</v>
      </c>
      <c r="G22698" s="2">
        <v>0</v>
      </c>
      <c r="H22698" s="1" t="s">
        <v>0</v>
      </c>
      <c r="I22698" s="2">
        <v>0</v>
      </c>
      <c r="J22698" s="1">
        <v>45960.423391203702</v>
      </c>
    </row>
    <row r="22699" spans="1:10" x14ac:dyDescent="0.2">
      <c r="A22699" s="4" t="s">
        <v>1</v>
      </c>
      <c r="B226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699" s="3" t="str">
        <f>HYPERLINK("https://otsuka-europe-crm.veevavault.com/ui/#object/sent_email__v/VBL000000003449", "SE-001379456")</f>
        <v>SE-001379456</v>
      </c>
      <c r="D22699" s="1">
        <v>45960.802685185183</v>
      </c>
      <c r="E22699" s="2">
        <v>1</v>
      </c>
      <c r="F22699" s="2">
        <v>2</v>
      </c>
      <c r="G22699" s="2">
        <v>0</v>
      </c>
      <c r="H22699" s="1" t="s">
        <v>0</v>
      </c>
      <c r="I22699" s="2">
        <v>0</v>
      </c>
      <c r="J22699" s="1">
        <v>45960.423460648148</v>
      </c>
    </row>
    <row r="22700" spans="1:10" x14ac:dyDescent="0.2">
      <c r="A22700" s="4" t="s">
        <v>1</v>
      </c>
      <c r="B227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00" s="3" t="str">
        <f>HYPERLINK("https://otsuka-europe-crm.veevavault.com/ui/#object/sent_email__v/VBL000000003450", "SE-001379457")</f>
        <v>SE-001379457</v>
      </c>
      <c r="D22700" s="1" t="s">
        <v>0</v>
      </c>
      <c r="E22700" s="2">
        <v>0</v>
      </c>
      <c r="F22700" s="2">
        <v>0</v>
      </c>
      <c r="G22700" s="2">
        <v>0</v>
      </c>
      <c r="H22700" s="1" t="s">
        <v>0</v>
      </c>
      <c r="I22700" s="2">
        <v>0</v>
      </c>
      <c r="J22700" s="1">
        <v>45960.423530092594</v>
      </c>
    </row>
    <row r="22701" spans="1:10" x14ac:dyDescent="0.2">
      <c r="A22701" s="4" t="s">
        <v>1</v>
      </c>
      <c r="B227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01" s="3" t="str">
        <f>HYPERLINK("https://otsuka-europe-crm.veevavault.com/ui/#object/sent_email__v/VBL000000003451", "SE-001379458")</f>
        <v>SE-001379458</v>
      </c>
      <c r="D22701" s="1">
        <v>45960.786087962966</v>
      </c>
      <c r="E22701" s="2">
        <v>1</v>
      </c>
      <c r="F22701" s="2">
        <v>2</v>
      </c>
      <c r="G22701" s="2">
        <v>0</v>
      </c>
      <c r="H22701" s="1" t="s">
        <v>0</v>
      </c>
      <c r="I22701" s="2">
        <v>0</v>
      </c>
      <c r="J22701" s="1">
        <v>45960.42359953704</v>
      </c>
    </row>
    <row r="22702" spans="1:10" x14ac:dyDescent="0.2">
      <c r="A22702" s="4" t="s">
        <v>1</v>
      </c>
      <c r="B227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02" s="3" t="str">
        <f>HYPERLINK("https://otsuka-europe-crm.veevavault.com/ui/#object/sent_email__v/VBL000000003452", "SE-001379459")</f>
        <v>SE-001379459</v>
      </c>
      <c r="D22702" s="1">
        <v>45960.4372337963</v>
      </c>
      <c r="E22702" s="2">
        <v>1</v>
      </c>
      <c r="F22702" s="2">
        <v>1</v>
      </c>
      <c r="G22702" s="2">
        <v>0</v>
      </c>
      <c r="H22702" s="1" t="s">
        <v>0</v>
      </c>
      <c r="I22702" s="2">
        <v>0</v>
      </c>
      <c r="J22702" s="1">
        <v>45960.423657407409</v>
      </c>
    </row>
    <row r="22703" spans="1:10" x14ac:dyDescent="0.2">
      <c r="A22703" s="4" t="s">
        <v>1</v>
      </c>
      <c r="B227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03" s="3" t="str">
        <f>HYPERLINK("https://otsuka-europe-crm.veevavault.com/ui/#object/sent_email__v/VBL000000003453", "SE-001379460")</f>
        <v>SE-001379460</v>
      </c>
      <c r="D22703" s="1">
        <v>45960.595856481479</v>
      </c>
      <c r="E22703" s="2">
        <v>1</v>
      </c>
      <c r="F22703" s="2">
        <v>2</v>
      </c>
      <c r="G22703" s="2">
        <v>0</v>
      </c>
      <c r="H22703" s="1" t="s">
        <v>0</v>
      </c>
      <c r="I22703" s="2">
        <v>0</v>
      </c>
      <c r="J22703" s="1">
        <v>45960.423703703702</v>
      </c>
    </row>
    <row r="22704" spans="1:10" x14ac:dyDescent="0.2">
      <c r="A22704" s="4" t="s">
        <v>1</v>
      </c>
      <c r="B227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04" s="3" t="str">
        <f>HYPERLINK("https://otsuka-europe-crm.veevavault.com/ui/#object/sent_email__v/VBL000000003454", "SE-001379461")</f>
        <v>SE-001379461</v>
      </c>
      <c r="D22704" s="1" t="s">
        <v>0</v>
      </c>
      <c r="E22704" s="2">
        <v>0</v>
      </c>
      <c r="F22704" s="2">
        <v>0</v>
      </c>
      <c r="G22704" s="2">
        <v>0</v>
      </c>
      <c r="H22704" s="1" t="s">
        <v>0</v>
      </c>
      <c r="I22704" s="2">
        <v>0</v>
      </c>
      <c r="J22704" s="1">
        <v>45960.423750000002</v>
      </c>
    </row>
    <row r="22705" spans="1:10" x14ac:dyDescent="0.2">
      <c r="A22705" s="4" t="s">
        <v>1</v>
      </c>
      <c r="B227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05" s="3" t="str">
        <f>HYPERLINK("https://otsuka-europe-crm.veevavault.com/ui/#object/sent_email__v/VBL000000003455", "SE-001379462")</f>
        <v>SE-001379462</v>
      </c>
      <c r="D22705" s="1" t="s">
        <v>0</v>
      </c>
      <c r="E22705" s="2">
        <v>0</v>
      </c>
      <c r="F22705" s="2">
        <v>0</v>
      </c>
      <c r="G22705" s="2">
        <v>0</v>
      </c>
      <c r="H22705" s="1" t="s">
        <v>0</v>
      </c>
      <c r="I22705" s="2">
        <v>0</v>
      </c>
      <c r="J22705" s="1">
        <v>45960.423784722225</v>
      </c>
    </row>
    <row r="22706" spans="1:10" x14ac:dyDescent="0.2">
      <c r="A22706" s="4" t="s">
        <v>1</v>
      </c>
      <c r="B227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06" s="3" t="str">
        <f>HYPERLINK("https://otsuka-europe-crm.veevavault.com/ui/#object/sent_email__v/VBL000000003456", "SE-001379463")</f>
        <v>SE-001379463</v>
      </c>
      <c r="D22706" s="1" t="s">
        <v>0</v>
      </c>
      <c r="E22706" s="2">
        <v>0</v>
      </c>
      <c r="F22706" s="2">
        <v>0</v>
      </c>
      <c r="G22706" s="2">
        <v>0</v>
      </c>
      <c r="H22706" s="1" t="s">
        <v>0</v>
      </c>
      <c r="I22706" s="2">
        <v>0</v>
      </c>
      <c r="J22706" s="1">
        <v>45960.423831018517</v>
      </c>
    </row>
    <row r="22707" spans="1:10" x14ac:dyDescent="0.2">
      <c r="A22707" s="4" t="s">
        <v>1</v>
      </c>
      <c r="B227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07" s="3" t="str">
        <f>HYPERLINK("https://otsuka-europe-crm.veevavault.com/ui/#object/sent_email__v/VBL000000003457", "SE-001379464")</f>
        <v>SE-001379464</v>
      </c>
      <c r="D22707" s="1" t="s">
        <v>0</v>
      </c>
      <c r="E22707" s="2">
        <v>0</v>
      </c>
      <c r="F22707" s="2">
        <v>0</v>
      </c>
      <c r="G22707" s="2">
        <v>0</v>
      </c>
      <c r="H22707" s="1" t="s">
        <v>0</v>
      </c>
      <c r="I22707" s="2">
        <v>0</v>
      </c>
      <c r="J22707" s="1">
        <v>45960.42392361111</v>
      </c>
    </row>
    <row r="22708" spans="1:10" x14ac:dyDescent="0.2">
      <c r="A22708" s="4" t="s">
        <v>1</v>
      </c>
      <c r="B227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08" s="3" t="str">
        <f>HYPERLINK("https://otsuka-europe-crm.veevavault.com/ui/#object/sent_email__v/VBL000000003458", "SE-001379465")</f>
        <v>SE-001379465</v>
      </c>
      <c r="D22708" s="1">
        <v>45960.425312500003</v>
      </c>
      <c r="E22708" s="2">
        <v>1</v>
      </c>
      <c r="F22708" s="2">
        <v>1</v>
      </c>
      <c r="G22708" s="2">
        <v>0</v>
      </c>
      <c r="H22708" s="1" t="s">
        <v>0</v>
      </c>
      <c r="I22708" s="2">
        <v>0</v>
      </c>
      <c r="J22708" s="1">
        <v>45960.42396990741</v>
      </c>
    </row>
    <row r="22709" spans="1:10" x14ac:dyDescent="0.2">
      <c r="A22709" s="4" t="s">
        <v>1</v>
      </c>
      <c r="B227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09" s="3" t="str">
        <f>HYPERLINK("https://otsuka-europe-crm.veevavault.com/ui/#object/sent_email__v/VBL000000003459", "SE-001379466")</f>
        <v>SE-001379466</v>
      </c>
      <c r="D22709" s="1" t="s">
        <v>0</v>
      </c>
      <c r="E22709" s="2">
        <v>0</v>
      </c>
      <c r="F22709" s="2">
        <v>0</v>
      </c>
      <c r="G22709" s="2">
        <v>0</v>
      </c>
      <c r="H22709" s="1" t="s">
        <v>0</v>
      </c>
      <c r="I22709" s="2">
        <v>0</v>
      </c>
      <c r="J22709" s="1">
        <v>45960.423981481479</v>
      </c>
    </row>
    <row r="22710" spans="1:10" x14ac:dyDescent="0.2">
      <c r="A22710" s="4" t="s">
        <v>1</v>
      </c>
      <c r="B227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10" s="3" t="str">
        <f>HYPERLINK("https://otsuka-europe-crm.veevavault.com/ui/#object/sent_email__v/VBL000000003460", "SE-001379467")</f>
        <v>SE-001379467</v>
      </c>
      <c r="D22710" s="1">
        <v>45960.485590277778</v>
      </c>
      <c r="E22710" s="2">
        <v>1</v>
      </c>
      <c r="F22710" s="2">
        <v>1</v>
      </c>
      <c r="G22710" s="2">
        <v>0</v>
      </c>
      <c r="H22710" s="1" t="s">
        <v>0</v>
      </c>
      <c r="I22710" s="2">
        <v>0</v>
      </c>
      <c r="J22710" s="1">
        <v>45960.424050925925</v>
      </c>
    </row>
    <row r="22711" spans="1:10" x14ac:dyDescent="0.2">
      <c r="A22711" s="4" t="s">
        <v>1</v>
      </c>
      <c r="B227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11" s="3" t="str">
        <f>HYPERLINK("https://otsuka-europe-crm.veevavault.com/ui/#object/sent_email__v/VBL000000003461", "SE-001379468")</f>
        <v>SE-001379468</v>
      </c>
      <c r="D22711" s="1" t="s">
        <v>0</v>
      </c>
      <c r="E22711" s="2">
        <v>0</v>
      </c>
      <c r="F22711" s="2">
        <v>0</v>
      </c>
      <c r="G22711" s="2">
        <v>0</v>
      </c>
      <c r="H22711" s="1" t="s">
        <v>0</v>
      </c>
      <c r="I22711" s="2">
        <v>0</v>
      </c>
      <c r="J22711" s="1">
        <v>45960.424062500002</v>
      </c>
    </row>
    <row r="22712" spans="1:10" x14ac:dyDescent="0.2">
      <c r="A22712" s="4" t="s">
        <v>1</v>
      </c>
      <c r="B227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12" s="3" t="str">
        <f>HYPERLINK("https://otsuka-europe-crm.veevavault.com/ui/#object/sent_email__v/VBL000000003462", "SE-001379469")</f>
        <v>SE-001379469</v>
      </c>
      <c r="D22712" s="1" t="s">
        <v>0</v>
      </c>
      <c r="E22712" s="2">
        <v>0</v>
      </c>
      <c r="F22712" s="2">
        <v>0</v>
      </c>
      <c r="G22712" s="2">
        <v>0</v>
      </c>
      <c r="H22712" s="1" t="s">
        <v>0</v>
      </c>
      <c r="I22712" s="2">
        <v>0</v>
      </c>
      <c r="J22712" s="1">
        <v>45960.424120370371</v>
      </c>
    </row>
    <row r="22713" spans="1:10" x14ac:dyDescent="0.2">
      <c r="A22713" s="4" t="s">
        <v>1</v>
      </c>
      <c r="B227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13" s="3" t="str">
        <f>HYPERLINK("https://otsuka-europe-crm.veevavault.com/ui/#object/sent_email__v/VBL000000003463", "SE-001379470")</f>
        <v>SE-001379470</v>
      </c>
      <c r="D22713" s="1" t="s">
        <v>0</v>
      </c>
      <c r="E22713" s="2">
        <v>0</v>
      </c>
      <c r="F22713" s="2">
        <v>0</v>
      </c>
      <c r="G22713" s="2">
        <v>0</v>
      </c>
      <c r="H22713" s="1" t="s">
        <v>0</v>
      </c>
      <c r="I22713" s="2">
        <v>0</v>
      </c>
      <c r="J22713" s="1">
        <v>45960.424155092594</v>
      </c>
    </row>
    <row r="22714" spans="1:10" x14ac:dyDescent="0.2">
      <c r="A22714" s="4" t="s">
        <v>1</v>
      </c>
      <c r="B227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14" s="3" t="str">
        <f>HYPERLINK("https://otsuka-europe-crm.veevavault.com/ui/#object/sent_email__v/VBL000000003464", "SE-001379471")</f>
        <v>SE-001379471</v>
      </c>
      <c r="D22714" s="1" t="s">
        <v>0</v>
      </c>
      <c r="E22714" s="2">
        <v>0</v>
      </c>
      <c r="F22714" s="2">
        <v>0</v>
      </c>
      <c r="G22714" s="2">
        <v>0</v>
      </c>
      <c r="H22714" s="1" t="s">
        <v>0</v>
      </c>
      <c r="I22714" s="2">
        <v>0</v>
      </c>
      <c r="J22714" s="1">
        <v>45960.424201388887</v>
      </c>
    </row>
    <row r="22715" spans="1:10" x14ac:dyDescent="0.2">
      <c r="A22715" s="4" t="s">
        <v>1</v>
      </c>
      <c r="B227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15" s="3" t="str">
        <f>HYPERLINK("https://otsuka-europe-crm.veevavault.com/ui/#object/sent_email__v/VBL000000003465", "SE-001379472")</f>
        <v>SE-001379472</v>
      </c>
      <c r="D22715" s="1">
        <v>45960.790509259263</v>
      </c>
      <c r="E22715" s="2">
        <v>1</v>
      </c>
      <c r="F22715" s="2">
        <v>2</v>
      </c>
      <c r="G22715" s="2">
        <v>0</v>
      </c>
      <c r="H22715" s="1" t="s">
        <v>0</v>
      </c>
      <c r="I22715" s="2">
        <v>0</v>
      </c>
      <c r="J22715" s="1">
        <v>45960.424247685187</v>
      </c>
    </row>
    <row r="22716" spans="1:10" x14ac:dyDescent="0.2">
      <c r="A22716" s="4" t="s">
        <v>1</v>
      </c>
      <c r="B227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16" s="3" t="str">
        <f>HYPERLINK("https://otsuka-europe-crm.veevavault.com/ui/#object/sent_email__v/VBL000000003466", "SE-001379473")</f>
        <v>SE-001379473</v>
      </c>
      <c r="D22716" s="1">
        <v>45968.764374999999</v>
      </c>
      <c r="E22716" s="2">
        <v>1</v>
      </c>
      <c r="F22716" s="2">
        <v>2</v>
      </c>
      <c r="G22716" s="2">
        <v>1</v>
      </c>
      <c r="H22716" s="1">
        <v>45960.471678240741</v>
      </c>
      <c r="I22716" s="2">
        <v>1</v>
      </c>
      <c r="J22716" s="1">
        <v>45960.42428240741</v>
      </c>
    </row>
    <row r="22717" spans="1:10" x14ac:dyDescent="0.2">
      <c r="A22717" s="4" t="s">
        <v>1</v>
      </c>
      <c r="B227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17" s="3" t="str">
        <f>HYPERLINK("https://otsuka-europe-crm.veevavault.com/ui/#object/sent_email__v/VBL000000003467", "SE-001379474")</f>
        <v>SE-001379474</v>
      </c>
      <c r="D22717" s="1">
        <v>45960.921249999999</v>
      </c>
      <c r="E22717" s="2">
        <v>1</v>
      </c>
      <c r="F22717" s="2">
        <v>1</v>
      </c>
      <c r="G22717" s="2">
        <v>0</v>
      </c>
      <c r="H22717" s="1" t="s">
        <v>0</v>
      </c>
      <c r="I22717" s="2">
        <v>0</v>
      </c>
      <c r="J22717" s="1">
        <v>45960.424328703702</v>
      </c>
    </row>
    <row r="22718" spans="1:10" x14ac:dyDescent="0.2">
      <c r="A22718" s="4" t="s">
        <v>1</v>
      </c>
      <c r="B227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18" s="3" t="str">
        <f>HYPERLINK("https://otsuka-europe-crm.veevavault.com/ui/#object/sent_email__v/VBL000000003468", "SE-001379475")</f>
        <v>SE-001379475</v>
      </c>
      <c r="D22718" s="1">
        <v>45966.746111111112</v>
      </c>
      <c r="E22718" s="2">
        <v>1</v>
      </c>
      <c r="F22718" s="2">
        <v>1</v>
      </c>
      <c r="G22718" s="2">
        <v>0</v>
      </c>
      <c r="H22718" s="1" t="s">
        <v>0</v>
      </c>
      <c r="I22718" s="2">
        <v>0</v>
      </c>
      <c r="J22718" s="1">
        <v>45960.424363425926</v>
      </c>
    </row>
    <row r="22719" spans="1:10" x14ac:dyDescent="0.2">
      <c r="A22719" s="4" t="s">
        <v>1</v>
      </c>
      <c r="B227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19" s="3" t="str">
        <f>HYPERLINK("https://otsuka-europe-crm.veevavault.com/ui/#object/sent_email__v/VBL000000003469", "SE-001379476")</f>
        <v>SE-001379476</v>
      </c>
      <c r="D22719" s="1">
        <v>45961.713645833333</v>
      </c>
      <c r="E22719" s="2">
        <v>1</v>
      </c>
      <c r="F22719" s="2">
        <v>1</v>
      </c>
      <c r="G22719" s="2">
        <v>0</v>
      </c>
      <c r="H22719" s="1" t="s">
        <v>0</v>
      </c>
      <c r="I22719" s="2">
        <v>0</v>
      </c>
      <c r="J22719" s="1">
        <v>45960.424421296295</v>
      </c>
    </row>
    <row r="22720" spans="1:10" x14ac:dyDescent="0.2">
      <c r="A22720" s="4" t="s">
        <v>1</v>
      </c>
      <c r="B227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20" s="3" t="str">
        <f>HYPERLINK("https://otsuka-europe-crm.veevavault.com/ui/#object/sent_email__v/VBL000000003470", "SE-001379477")</f>
        <v>SE-001379477</v>
      </c>
      <c r="D22720" s="1">
        <v>45960.958761574075</v>
      </c>
      <c r="E22720" s="2">
        <v>1</v>
      </c>
      <c r="F22720" s="2">
        <v>2</v>
      </c>
      <c r="G22720" s="2">
        <v>0</v>
      </c>
      <c r="H22720" s="1" t="s">
        <v>0</v>
      </c>
      <c r="I22720" s="2">
        <v>0</v>
      </c>
      <c r="J22720" s="1">
        <v>45960.424456018518</v>
      </c>
    </row>
    <row r="22721" spans="1:10" x14ac:dyDescent="0.2">
      <c r="A22721" s="4" t="s">
        <v>1</v>
      </c>
      <c r="B227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21" s="3" t="str">
        <f>HYPERLINK("https://otsuka-europe-crm.veevavault.com/ui/#object/sent_email__v/VBL000000003471", "SE-001379478")</f>
        <v>SE-001379478</v>
      </c>
      <c r="D22721" s="1">
        <v>46019.395891203705</v>
      </c>
      <c r="E22721" s="2">
        <v>1</v>
      </c>
      <c r="F22721" s="2">
        <v>2</v>
      </c>
      <c r="G22721" s="2">
        <v>0</v>
      </c>
      <c r="H22721" s="1" t="s">
        <v>0</v>
      </c>
      <c r="I22721" s="2">
        <v>0</v>
      </c>
      <c r="J22721" s="1">
        <v>45960.424490740741</v>
      </c>
    </row>
    <row r="22722" spans="1:10" x14ac:dyDescent="0.2">
      <c r="A22722" s="4" t="s">
        <v>1</v>
      </c>
      <c r="B227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22" s="3" t="str">
        <f>HYPERLINK("https://otsuka-europe-crm.veevavault.com/ui/#object/sent_email__v/VBL000000003472", "SE-001379479")</f>
        <v>SE-001379479</v>
      </c>
      <c r="D22722" s="1">
        <v>45960.424733796295</v>
      </c>
      <c r="E22722" s="2">
        <v>1</v>
      </c>
      <c r="F22722" s="2">
        <v>1</v>
      </c>
      <c r="G22722" s="2">
        <v>0</v>
      </c>
      <c r="H22722" s="1" t="s">
        <v>0</v>
      </c>
      <c r="I22722" s="2">
        <v>0</v>
      </c>
      <c r="J22722" s="1">
        <v>45960.424537037034</v>
      </c>
    </row>
    <row r="22723" spans="1:10" x14ac:dyDescent="0.2">
      <c r="A22723" s="4" t="s">
        <v>1</v>
      </c>
      <c r="B227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23" s="3" t="str">
        <f>HYPERLINK("https://otsuka-europe-crm.veevavault.com/ui/#object/sent_email__v/VBL000000003473", "SE-001379480")</f>
        <v>SE-001379480</v>
      </c>
      <c r="D22723" s="1" t="s">
        <v>0</v>
      </c>
      <c r="E22723" s="2">
        <v>0</v>
      </c>
      <c r="F22723" s="2">
        <v>0</v>
      </c>
      <c r="G22723" s="2">
        <v>0</v>
      </c>
      <c r="H22723" s="1" t="s">
        <v>0</v>
      </c>
      <c r="I22723" s="2">
        <v>0</v>
      </c>
      <c r="J22723" s="1">
        <v>45960.424583333333</v>
      </c>
    </row>
    <row r="22724" spans="1:10" x14ac:dyDescent="0.2">
      <c r="A22724" s="4" t="s">
        <v>1</v>
      </c>
      <c r="B227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24" s="3" t="str">
        <f>HYPERLINK("https://otsuka-europe-crm.veevavault.com/ui/#object/sent_email__v/VBL000000003474", "SE-001379481")</f>
        <v>SE-001379481</v>
      </c>
      <c r="D22724" s="1" t="s">
        <v>0</v>
      </c>
      <c r="E22724" s="2">
        <v>0</v>
      </c>
      <c r="F22724" s="2">
        <v>0</v>
      </c>
      <c r="G22724" s="2">
        <v>0</v>
      </c>
      <c r="H22724" s="1" t="s">
        <v>0</v>
      </c>
      <c r="I22724" s="2">
        <v>0</v>
      </c>
      <c r="J22724" s="1">
        <v>45960.424618055556</v>
      </c>
    </row>
    <row r="22725" spans="1:10" x14ac:dyDescent="0.2">
      <c r="A22725" s="4" t="s">
        <v>1</v>
      </c>
      <c r="B227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25" s="3" t="str">
        <f>HYPERLINK("https://otsuka-europe-crm.veevavault.com/ui/#object/sent_email__v/VBL000000003475", "SE-001379482")</f>
        <v>SE-001379482</v>
      </c>
      <c r="D22725" s="1" t="s">
        <v>0</v>
      </c>
      <c r="E22725" s="2">
        <v>0</v>
      </c>
      <c r="F22725" s="2">
        <v>0</v>
      </c>
      <c r="G22725" s="2">
        <v>0</v>
      </c>
      <c r="H22725" s="1" t="s">
        <v>0</v>
      </c>
      <c r="I22725" s="2">
        <v>0</v>
      </c>
      <c r="J22725" s="1">
        <v>45960.42465277778</v>
      </c>
    </row>
    <row r="22726" spans="1:10" x14ac:dyDescent="0.2">
      <c r="A22726" s="4" t="s">
        <v>1</v>
      </c>
      <c r="B227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26" s="3" t="str">
        <f>HYPERLINK("https://otsuka-europe-crm.veevavault.com/ui/#object/sent_email__v/VBL000000003476", "SE-001379483")</f>
        <v>SE-001379483</v>
      </c>
      <c r="D22726" s="1" t="s">
        <v>0</v>
      </c>
      <c r="E22726" s="2">
        <v>0</v>
      </c>
      <c r="F22726" s="2">
        <v>0</v>
      </c>
      <c r="G22726" s="2">
        <v>0</v>
      </c>
      <c r="H22726" s="1" t="s">
        <v>0</v>
      </c>
      <c r="I22726" s="2">
        <v>0</v>
      </c>
      <c r="J22726" s="1">
        <v>45960.424699074072</v>
      </c>
    </row>
    <row r="22727" spans="1:10" x14ac:dyDescent="0.2">
      <c r="A22727" s="4" t="s">
        <v>1</v>
      </c>
      <c r="B227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27" s="3" t="str">
        <f>HYPERLINK("https://otsuka-europe-crm.veevavault.com/ui/#object/sent_email__v/VBL000000003477", "SE-001379484")</f>
        <v>SE-001379484</v>
      </c>
      <c r="D22727" s="1" t="s">
        <v>0</v>
      </c>
      <c r="E22727" s="2">
        <v>0</v>
      </c>
      <c r="F22727" s="2">
        <v>0</v>
      </c>
      <c r="G22727" s="2">
        <v>0</v>
      </c>
      <c r="H22727" s="1" t="s">
        <v>0</v>
      </c>
      <c r="I22727" s="2">
        <v>0</v>
      </c>
      <c r="J22727" s="1">
        <v>45960.424733796295</v>
      </c>
    </row>
    <row r="22728" spans="1:10" x14ac:dyDescent="0.2">
      <c r="A22728" s="4" t="s">
        <v>1</v>
      </c>
      <c r="B227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28" s="3" t="str">
        <f>HYPERLINK("https://otsuka-europe-crm.veevavault.com/ui/#object/sent_email__v/VBL000000003478", "SE-001379485")</f>
        <v>SE-001379485</v>
      </c>
      <c r="D22728" s="1" t="s">
        <v>0</v>
      </c>
      <c r="E22728" s="2">
        <v>0</v>
      </c>
      <c r="F22728" s="2">
        <v>0</v>
      </c>
      <c r="G22728" s="2">
        <v>0</v>
      </c>
      <c r="H22728" s="1" t="s">
        <v>0</v>
      </c>
      <c r="I22728" s="2">
        <v>0</v>
      </c>
      <c r="J22728" s="1">
        <v>45960.424780092595</v>
      </c>
    </row>
    <row r="22729" spans="1:10" x14ac:dyDescent="0.2">
      <c r="A22729" s="4" t="s">
        <v>1</v>
      </c>
      <c r="B227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29" s="3" t="str">
        <f>HYPERLINK("https://otsuka-europe-crm.veevavault.com/ui/#object/sent_email__v/VBL000000003479", "SE-001379486")</f>
        <v>SE-001379486</v>
      </c>
      <c r="D22729" s="1" t="s">
        <v>0</v>
      </c>
      <c r="E22729" s="2">
        <v>0</v>
      </c>
      <c r="F22729" s="2">
        <v>0</v>
      </c>
      <c r="G22729" s="2">
        <v>0</v>
      </c>
      <c r="H22729" s="1" t="s">
        <v>0</v>
      </c>
      <c r="I22729" s="2">
        <v>0</v>
      </c>
      <c r="J22729" s="1">
        <v>45960.424826388888</v>
      </c>
    </row>
    <row r="22730" spans="1:10" x14ac:dyDescent="0.2">
      <c r="A22730" s="4" t="s">
        <v>1</v>
      </c>
      <c r="B227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30" s="3" t="str">
        <f>HYPERLINK("https://otsuka-europe-crm.veevavault.com/ui/#object/sent_email__v/VBL000000003480", "SE-001379487")</f>
        <v>SE-001379487</v>
      </c>
      <c r="D22730" s="1" t="s">
        <v>0</v>
      </c>
      <c r="E22730" s="2">
        <v>0</v>
      </c>
      <c r="F22730" s="2">
        <v>0</v>
      </c>
      <c r="G22730" s="2">
        <v>0</v>
      </c>
      <c r="H22730" s="1" t="s">
        <v>0</v>
      </c>
      <c r="I22730" s="2">
        <v>0</v>
      </c>
      <c r="J22730" s="1">
        <v>45960.424872685187</v>
      </c>
    </row>
    <row r="22731" spans="1:10" x14ac:dyDescent="0.2">
      <c r="A22731" s="4" t="s">
        <v>1</v>
      </c>
      <c r="B227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31" s="3" t="str">
        <f>HYPERLINK("https://otsuka-europe-crm.veevavault.com/ui/#object/sent_email__v/VBL000000003481", "SE-001379488")</f>
        <v>SE-001379488</v>
      </c>
      <c r="D22731" s="1" t="s">
        <v>0</v>
      </c>
      <c r="E22731" s="2">
        <v>0</v>
      </c>
      <c r="F22731" s="2">
        <v>0</v>
      </c>
      <c r="G22731" s="2">
        <v>0</v>
      </c>
      <c r="H22731" s="1" t="s">
        <v>0</v>
      </c>
      <c r="I22731" s="2">
        <v>0</v>
      </c>
      <c r="J22731" s="1">
        <v>45960.424907407411</v>
      </c>
    </row>
    <row r="22732" spans="1:10" x14ac:dyDescent="0.2">
      <c r="A22732" s="4" t="s">
        <v>1</v>
      </c>
      <c r="B227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32" s="3" t="str">
        <f>HYPERLINK("https://otsuka-europe-crm.veevavault.com/ui/#object/sent_email__v/VBL000000003482", "SE-001379489")</f>
        <v>SE-001379489</v>
      </c>
      <c r="D22732" s="1" t="s">
        <v>0</v>
      </c>
      <c r="E22732" s="2">
        <v>0</v>
      </c>
      <c r="F22732" s="2">
        <v>0</v>
      </c>
      <c r="G22732" s="2">
        <v>0</v>
      </c>
      <c r="H22732" s="1" t="s">
        <v>0</v>
      </c>
      <c r="I22732" s="2">
        <v>0</v>
      </c>
      <c r="J22732" s="1">
        <v>45960.424942129626</v>
      </c>
    </row>
    <row r="22733" spans="1:10" x14ac:dyDescent="0.2">
      <c r="A22733" s="4" t="s">
        <v>1</v>
      </c>
      <c r="B227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33" s="3" t="str">
        <f>HYPERLINK("https://otsuka-europe-crm.veevavault.com/ui/#object/sent_email__v/VBL000000003483", "SE-001379490")</f>
        <v>SE-001379490</v>
      </c>
      <c r="D22733" s="1" t="s">
        <v>0</v>
      </c>
      <c r="E22733" s="2">
        <v>0</v>
      </c>
      <c r="F22733" s="2">
        <v>0</v>
      </c>
      <c r="G22733" s="2">
        <v>0</v>
      </c>
      <c r="H22733" s="1" t="s">
        <v>0</v>
      </c>
      <c r="I22733" s="2">
        <v>0</v>
      </c>
      <c r="J22733" s="1">
        <v>45960.424988425926</v>
      </c>
    </row>
    <row r="22734" spans="1:10" x14ac:dyDescent="0.2">
      <c r="A22734" s="4" t="s">
        <v>1</v>
      </c>
      <c r="B227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34" s="3" t="str">
        <f>HYPERLINK("https://otsuka-europe-crm.veevavault.com/ui/#object/sent_email__v/VBL000000003484", "SE-001379491")</f>
        <v>SE-001379491</v>
      </c>
      <c r="D22734" s="1" t="s">
        <v>0</v>
      </c>
      <c r="E22734" s="2">
        <v>0</v>
      </c>
      <c r="F22734" s="2">
        <v>0</v>
      </c>
      <c r="G22734" s="2">
        <v>0</v>
      </c>
      <c r="H22734" s="1" t="s">
        <v>0</v>
      </c>
      <c r="I22734" s="2">
        <v>0</v>
      </c>
      <c r="J22734" s="1">
        <v>45960.425046296295</v>
      </c>
    </row>
    <row r="22735" spans="1:10" x14ac:dyDescent="0.2">
      <c r="A22735" s="4" t="s">
        <v>1</v>
      </c>
      <c r="B227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35" s="3" t="str">
        <f>HYPERLINK("https://otsuka-europe-crm.veevavault.com/ui/#object/sent_email__v/VBL000000003485", "SE-001379492")</f>
        <v>SE-001379492</v>
      </c>
      <c r="D22735" s="1" t="s">
        <v>0</v>
      </c>
      <c r="E22735" s="2">
        <v>0</v>
      </c>
      <c r="F22735" s="2">
        <v>0</v>
      </c>
      <c r="G22735" s="2">
        <v>0</v>
      </c>
      <c r="H22735" s="1" t="s">
        <v>0</v>
      </c>
      <c r="I22735" s="2">
        <v>0</v>
      </c>
      <c r="J22735" s="1">
        <v>45960.425081018519</v>
      </c>
    </row>
    <row r="22736" spans="1:10" x14ac:dyDescent="0.2">
      <c r="A22736" s="4" t="s">
        <v>1</v>
      </c>
      <c r="B227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36" s="3" t="str">
        <f>HYPERLINK("https://otsuka-europe-crm.veevavault.com/ui/#object/sent_email__v/VBL000000003486", "SE-001379493")</f>
        <v>SE-001379493</v>
      </c>
      <c r="D22736" s="1" t="s">
        <v>0</v>
      </c>
      <c r="E22736" s="2">
        <v>0</v>
      </c>
      <c r="F22736" s="2">
        <v>0</v>
      </c>
      <c r="G22736" s="2">
        <v>0</v>
      </c>
      <c r="H22736" s="1" t="s">
        <v>0</v>
      </c>
      <c r="I22736" s="2">
        <v>0</v>
      </c>
      <c r="J22736" s="1">
        <v>45960.425115740742</v>
      </c>
    </row>
    <row r="22737" spans="1:10" x14ac:dyDescent="0.2">
      <c r="A22737" s="4" t="s">
        <v>1</v>
      </c>
      <c r="B227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37" s="3" t="str">
        <f>HYPERLINK("https://otsuka-europe-crm.veevavault.com/ui/#object/sent_email__v/VBL000000003487", "SE-001379494")</f>
        <v>SE-001379494</v>
      </c>
      <c r="D22737" s="1">
        <v>45963.917523148149</v>
      </c>
      <c r="E22737" s="2">
        <v>1</v>
      </c>
      <c r="F22737" s="2">
        <v>1</v>
      </c>
      <c r="G22737" s="2">
        <v>0</v>
      </c>
      <c r="H22737" s="1" t="s">
        <v>0</v>
      </c>
      <c r="I22737" s="2">
        <v>0</v>
      </c>
      <c r="J22737" s="1">
        <v>45960.425150462965</v>
      </c>
    </row>
    <row r="22738" spans="1:10" x14ac:dyDescent="0.2">
      <c r="A22738" s="4" t="s">
        <v>1</v>
      </c>
      <c r="B2273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38" s="3" t="str">
        <f>HYPERLINK("https://otsuka-europe-crm.veevavault.com/ui/#object/sent_email__v/VBL000000003488", "SE-001379495")</f>
        <v>SE-001379495</v>
      </c>
      <c r="D22738" s="1">
        <v>45961.37395833333</v>
      </c>
      <c r="E22738" s="2">
        <v>1</v>
      </c>
      <c r="F22738" s="2">
        <v>1</v>
      </c>
      <c r="G22738" s="2">
        <v>0</v>
      </c>
      <c r="H22738" s="1" t="s">
        <v>0</v>
      </c>
      <c r="I22738" s="2">
        <v>0</v>
      </c>
      <c r="J22738" s="1">
        <v>45960.425196759257</v>
      </c>
    </row>
    <row r="22739" spans="1:10" x14ac:dyDescent="0.2">
      <c r="A22739" s="4" t="s">
        <v>1</v>
      </c>
      <c r="B2273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39" s="3" t="str">
        <f>HYPERLINK("https://otsuka-europe-crm.veevavault.com/ui/#object/sent_email__v/VBL000000003489", "SE-001379496")</f>
        <v>SE-001379496</v>
      </c>
      <c r="D22739" s="1">
        <v>45964.758217592593</v>
      </c>
      <c r="E22739" s="2">
        <v>1</v>
      </c>
      <c r="F22739" s="2">
        <v>4</v>
      </c>
      <c r="G22739" s="2">
        <v>0</v>
      </c>
      <c r="H22739" s="1" t="s">
        <v>0</v>
      </c>
      <c r="I22739" s="2">
        <v>0</v>
      </c>
      <c r="J22739" s="1">
        <v>45960.425243055557</v>
      </c>
    </row>
    <row r="22740" spans="1:10" x14ac:dyDescent="0.2">
      <c r="A22740" s="4" t="s">
        <v>1</v>
      </c>
      <c r="B2274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40" s="3" t="str">
        <f>HYPERLINK("https://otsuka-europe-crm.veevavault.com/ui/#object/sent_email__v/VBL000000003490", "SE-001379497")</f>
        <v>SE-001379497</v>
      </c>
      <c r="D22740" s="1" t="s">
        <v>0</v>
      </c>
      <c r="E22740" s="2">
        <v>0</v>
      </c>
      <c r="F22740" s="2">
        <v>0</v>
      </c>
      <c r="G22740" s="2">
        <v>0</v>
      </c>
      <c r="H22740" s="1" t="s">
        <v>0</v>
      </c>
      <c r="I22740" s="2">
        <v>0</v>
      </c>
      <c r="J22740" s="1">
        <v>45960.425451388888</v>
      </c>
    </row>
    <row r="22741" spans="1:10" x14ac:dyDescent="0.2">
      <c r="A22741" s="4" t="s">
        <v>1</v>
      </c>
      <c r="B2274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41" s="3" t="str">
        <f>HYPERLINK("https://otsuka-europe-crm.veevavault.com/ui/#object/sent_email__v/VBL000000003491", "SE-001379498")</f>
        <v>SE-001379498</v>
      </c>
      <c r="D22741" s="1">
        <v>45970.540868055556</v>
      </c>
      <c r="E22741" s="2">
        <v>1</v>
      </c>
      <c r="F22741" s="2">
        <v>2</v>
      </c>
      <c r="G22741" s="2">
        <v>0</v>
      </c>
      <c r="H22741" s="1" t="s">
        <v>0</v>
      </c>
      <c r="I22741" s="2">
        <v>0</v>
      </c>
      <c r="J22741" s="1">
        <v>45960.425416666665</v>
      </c>
    </row>
    <row r="22742" spans="1:10" x14ac:dyDescent="0.2">
      <c r="A22742" s="4" t="s">
        <v>1</v>
      </c>
      <c r="B2274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42" s="3" t="str">
        <f>HYPERLINK("https://otsuka-europe-crm.veevavault.com/ui/#object/sent_email__v/VBL000000003492", "SE-001379499")</f>
        <v>SE-001379499</v>
      </c>
      <c r="D22742" s="1" t="s">
        <v>0</v>
      </c>
      <c r="E22742" s="2">
        <v>0</v>
      </c>
      <c r="F22742" s="2">
        <v>0</v>
      </c>
      <c r="G22742" s="2">
        <v>0</v>
      </c>
      <c r="H22742" s="1" t="s">
        <v>0</v>
      </c>
      <c r="I22742" s="2">
        <v>0</v>
      </c>
      <c r="J22742" s="1">
        <v>45960.425486111111</v>
      </c>
    </row>
    <row r="22743" spans="1:10" x14ac:dyDescent="0.2">
      <c r="A22743" s="4" t="s">
        <v>1</v>
      </c>
      <c r="B2274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43" s="3" t="str">
        <f>HYPERLINK("https://otsuka-europe-crm.veevavault.com/ui/#object/sent_email__v/VBL000000003493", "SE-001379500")</f>
        <v>SE-001379500</v>
      </c>
      <c r="D22743" s="1" t="s">
        <v>0</v>
      </c>
      <c r="E22743" s="2">
        <v>0</v>
      </c>
      <c r="F22743" s="2">
        <v>0</v>
      </c>
      <c r="G22743" s="2">
        <v>0</v>
      </c>
      <c r="H22743" s="1" t="s">
        <v>0</v>
      </c>
      <c r="I22743" s="2">
        <v>0</v>
      </c>
      <c r="J22743" s="1">
        <v>45960.425567129627</v>
      </c>
    </row>
    <row r="22744" spans="1:10" x14ac:dyDescent="0.2">
      <c r="A22744" s="4" t="s">
        <v>1</v>
      </c>
      <c r="B2274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44" s="3" t="str">
        <f>HYPERLINK("https://otsuka-europe-crm.veevavault.com/ui/#object/sent_email__v/VBL000000003494", "SE-001379501")</f>
        <v>SE-001379501</v>
      </c>
      <c r="D22744" s="1">
        <v>45977.860810185186</v>
      </c>
      <c r="E22744" s="2">
        <v>1</v>
      </c>
      <c r="F22744" s="2">
        <v>2</v>
      </c>
      <c r="G22744" s="2">
        <v>1</v>
      </c>
      <c r="H22744" s="1">
        <v>45960.440335648149</v>
      </c>
      <c r="I22744" s="2">
        <v>1</v>
      </c>
      <c r="J22744" s="1">
        <v>45960.425636574073</v>
      </c>
    </row>
    <row r="22745" spans="1:10" x14ac:dyDescent="0.2">
      <c r="A22745" s="4" t="s">
        <v>1</v>
      </c>
      <c r="B2274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45" s="3" t="str">
        <f>HYPERLINK("https://otsuka-europe-crm.veevavault.com/ui/#object/sent_email__v/VBL000000003495", "SE-001379502")</f>
        <v>SE-001379502</v>
      </c>
      <c r="D22745" s="1" t="s">
        <v>0</v>
      </c>
      <c r="E22745" s="2">
        <v>0</v>
      </c>
      <c r="F22745" s="2">
        <v>0</v>
      </c>
      <c r="G22745" s="2">
        <v>0</v>
      </c>
      <c r="H22745" s="1" t="s">
        <v>0</v>
      </c>
      <c r="I22745" s="2">
        <v>0</v>
      </c>
      <c r="J22745" s="1">
        <v>45960.425694444442</v>
      </c>
    </row>
    <row r="22746" spans="1:10" x14ac:dyDescent="0.2">
      <c r="A22746" s="4" t="s">
        <v>1</v>
      </c>
      <c r="B2274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46" s="3" t="str">
        <f>HYPERLINK("https://otsuka-europe-crm.veevavault.com/ui/#object/sent_email__v/VBL000000003496", "SE-001379503")</f>
        <v>SE-001379503</v>
      </c>
      <c r="D22746" s="1" t="s">
        <v>0</v>
      </c>
      <c r="E22746" s="2">
        <v>0</v>
      </c>
      <c r="F22746" s="2">
        <v>0</v>
      </c>
      <c r="G22746" s="2">
        <v>0</v>
      </c>
      <c r="H22746" s="1" t="s">
        <v>0</v>
      </c>
      <c r="I22746" s="2">
        <v>0</v>
      </c>
      <c r="J22746" s="1">
        <v>45960.425763888888</v>
      </c>
    </row>
    <row r="22747" spans="1:10" x14ac:dyDescent="0.2">
      <c r="A22747" s="4" t="s">
        <v>1</v>
      </c>
      <c r="B2274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47" s="3" t="str">
        <f>HYPERLINK("https://otsuka-europe-crm.veevavault.com/ui/#object/sent_email__v/VBL000000003497", "SE-001379504")</f>
        <v>SE-001379504</v>
      </c>
      <c r="D22747" s="1" t="s">
        <v>0</v>
      </c>
      <c r="E22747" s="2">
        <v>0</v>
      </c>
      <c r="F22747" s="2">
        <v>0</v>
      </c>
      <c r="G22747" s="2">
        <v>0</v>
      </c>
      <c r="H22747" s="1" t="s">
        <v>0</v>
      </c>
      <c r="I22747" s="2">
        <v>0</v>
      </c>
      <c r="J22747" s="1">
        <v>45960.425833333335</v>
      </c>
    </row>
    <row r="22748" spans="1:10" x14ac:dyDescent="0.2">
      <c r="A22748" s="4" t="s">
        <v>1</v>
      </c>
      <c r="B2274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48" s="3" t="str">
        <f>HYPERLINK("https://otsuka-europe-crm.veevavault.com/ui/#object/sent_email__v/VBL000000003498", "SE-001379505")</f>
        <v>SE-001379505</v>
      </c>
      <c r="D22748" s="1" t="s">
        <v>0</v>
      </c>
      <c r="E22748" s="2">
        <v>0</v>
      </c>
      <c r="F22748" s="2">
        <v>0</v>
      </c>
      <c r="G22748" s="2">
        <v>0</v>
      </c>
      <c r="H22748" s="1" t="s">
        <v>0</v>
      </c>
      <c r="I22748" s="2">
        <v>0</v>
      </c>
      <c r="J22748" s="1">
        <v>45960.42591435185</v>
      </c>
    </row>
    <row r="22749" spans="1:10" x14ac:dyDescent="0.2">
      <c r="A22749" s="4" t="s">
        <v>1</v>
      </c>
      <c r="B2274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49" s="3" t="str">
        <f>HYPERLINK("https://otsuka-europe-crm.veevavault.com/ui/#object/sent_email__v/VBL000000003499", "SE-001379506")</f>
        <v>SE-001379506</v>
      </c>
      <c r="D22749" s="1">
        <v>45960.428912037038</v>
      </c>
      <c r="E22749" s="2">
        <v>1</v>
      </c>
      <c r="F22749" s="2">
        <v>2</v>
      </c>
      <c r="G22749" s="2">
        <v>0</v>
      </c>
      <c r="H22749" s="1" t="s">
        <v>0</v>
      </c>
      <c r="I22749" s="2">
        <v>0</v>
      </c>
      <c r="J22749" s="1">
        <v>45960.425983796296</v>
      </c>
    </row>
    <row r="22750" spans="1:10" x14ac:dyDescent="0.2">
      <c r="A22750" s="4" t="s">
        <v>1</v>
      </c>
      <c r="B2275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50" s="3" t="str">
        <f>HYPERLINK("https://otsuka-europe-crm.veevavault.com/ui/#object/sent_email__v/VBL000000003500", "SE-001379507")</f>
        <v>SE-001379507</v>
      </c>
      <c r="D22750" s="1" t="s">
        <v>0</v>
      </c>
      <c r="E22750" s="2">
        <v>0</v>
      </c>
      <c r="F22750" s="2">
        <v>0</v>
      </c>
      <c r="G22750" s="2">
        <v>0</v>
      </c>
      <c r="H22750" s="1" t="s">
        <v>0</v>
      </c>
      <c r="I22750" s="2">
        <v>0</v>
      </c>
      <c r="J22750" s="1">
        <v>45960.426053240742</v>
      </c>
    </row>
    <row r="22751" spans="1:10" x14ac:dyDescent="0.2">
      <c r="A22751" s="4" t="s">
        <v>1</v>
      </c>
      <c r="B2275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51" s="3" t="str">
        <f>HYPERLINK("https://otsuka-europe-crm.veevavault.com/ui/#object/sent_email__v/VBL000000003501", "SE-001379508")</f>
        <v>SE-001379508</v>
      </c>
      <c r="D22751" s="1">
        <v>45960.627986111111</v>
      </c>
      <c r="E22751" s="2">
        <v>1</v>
      </c>
      <c r="F22751" s="2">
        <v>1</v>
      </c>
      <c r="G22751" s="2">
        <v>0</v>
      </c>
      <c r="H22751" s="1" t="s">
        <v>0</v>
      </c>
      <c r="I22751" s="2">
        <v>0</v>
      </c>
      <c r="J22751" s="1">
        <v>45960.426122685189</v>
      </c>
    </row>
    <row r="22752" spans="1:10" x14ac:dyDescent="0.2">
      <c r="A22752" s="4" t="s">
        <v>1</v>
      </c>
      <c r="B2275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52" s="3" t="str">
        <f>HYPERLINK("https://otsuka-europe-crm.veevavault.com/ui/#object/sent_email__v/VBL000000003502", "SE-001379509")</f>
        <v>SE-001379509</v>
      </c>
      <c r="D22752" s="1">
        <v>45964.62777777778</v>
      </c>
      <c r="E22752" s="2">
        <v>1</v>
      </c>
      <c r="F22752" s="2">
        <v>2</v>
      </c>
      <c r="G22752" s="2">
        <v>0</v>
      </c>
      <c r="H22752" s="1" t="s">
        <v>0</v>
      </c>
      <c r="I22752" s="2">
        <v>0</v>
      </c>
      <c r="J22752" s="1">
        <v>45960.426192129627</v>
      </c>
    </row>
    <row r="22753" spans="1:10" x14ac:dyDescent="0.2">
      <c r="A22753" s="4" t="s">
        <v>1</v>
      </c>
      <c r="B2275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53" s="3" t="str">
        <f>HYPERLINK("https://otsuka-europe-crm.veevavault.com/ui/#object/sent_email__v/VBL000000003503", "SE-001379510")</f>
        <v>SE-001379510</v>
      </c>
      <c r="D22753" s="1" t="s">
        <v>0</v>
      </c>
      <c r="E22753" s="2">
        <v>0</v>
      </c>
      <c r="F22753" s="2">
        <v>0</v>
      </c>
      <c r="G22753" s="2">
        <v>0</v>
      </c>
      <c r="H22753" s="1" t="s">
        <v>0</v>
      </c>
      <c r="I22753" s="2">
        <v>0</v>
      </c>
      <c r="J22753" s="1">
        <v>45960.42627314815</v>
      </c>
    </row>
    <row r="22754" spans="1:10" x14ac:dyDescent="0.2">
      <c r="A22754" s="4" t="s">
        <v>1</v>
      </c>
      <c r="B2275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54" s="3" t="str">
        <f>HYPERLINK("https://otsuka-europe-crm.veevavault.com/ui/#object/sent_email__v/VBL000000003504", "SE-001379511")</f>
        <v>SE-001379511</v>
      </c>
      <c r="D22754" s="1" t="s">
        <v>0</v>
      </c>
      <c r="E22754" s="2">
        <v>0</v>
      </c>
      <c r="F22754" s="2">
        <v>0</v>
      </c>
      <c r="G22754" s="2">
        <v>0</v>
      </c>
      <c r="H22754" s="1" t="s">
        <v>0</v>
      </c>
      <c r="I22754" s="2">
        <v>0</v>
      </c>
      <c r="J22754" s="1">
        <v>45960.426342592589</v>
      </c>
    </row>
    <row r="22755" spans="1:10" x14ac:dyDescent="0.2">
      <c r="A22755" s="4" t="s">
        <v>1</v>
      </c>
      <c r="B2275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55" s="3" t="str">
        <f>HYPERLINK("https://otsuka-europe-crm.veevavault.com/ui/#object/sent_email__v/VBL000000003505", "SE-001379512")</f>
        <v>SE-001379512</v>
      </c>
      <c r="D22755" s="1">
        <v>45962.779849537037</v>
      </c>
      <c r="E22755" s="2">
        <v>1</v>
      </c>
      <c r="F22755" s="2">
        <v>4</v>
      </c>
      <c r="G22755" s="2">
        <v>0</v>
      </c>
      <c r="H22755" s="1" t="s">
        <v>0</v>
      </c>
      <c r="I22755" s="2">
        <v>0</v>
      </c>
      <c r="J22755" s="1">
        <v>45960.426412037035</v>
      </c>
    </row>
    <row r="22756" spans="1:10" x14ac:dyDescent="0.2">
      <c r="A22756" s="4" t="s">
        <v>1</v>
      </c>
      <c r="B2275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56" s="3" t="str">
        <f>HYPERLINK("https://otsuka-europe-crm.veevavault.com/ui/#object/sent_email__v/VBL000000003506", "SE-001379513")</f>
        <v>SE-001379513</v>
      </c>
      <c r="D22756" s="1" t="s">
        <v>0</v>
      </c>
      <c r="E22756" s="2">
        <v>0</v>
      </c>
      <c r="F22756" s="2">
        <v>0</v>
      </c>
      <c r="G22756" s="2">
        <v>0</v>
      </c>
      <c r="H22756" s="1" t="s">
        <v>0</v>
      </c>
      <c r="I22756" s="2">
        <v>0</v>
      </c>
      <c r="J22756" s="1">
        <v>45960.426481481481</v>
      </c>
    </row>
    <row r="22757" spans="1:10" x14ac:dyDescent="0.2">
      <c r="A22757" s="4" t="s">
        <v>1</v>
      </c>
      <c r="B2275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57" s="3" t="str">
        <f>HYPERLINK("https://otsuka-europe-crm.veevavault.com/ui/#object/sent_email__v/VBL000000003507", "SE-001379514")</f>
        <v>SE-001379514</v>
      </c>
      <c r="D22757" s="1">
        <v>45964.084143518521</v>
      </c>
      <c r="E22757" s="2">
        <v>1</v>
      </c>
      <c r="F22757" s="2">
        <v>1</v>
      </c>
      <c r="G22757" s="2">
        <v>0</v>
      </c>
      <c r="H22757" s="1" t="s">
        <v>0</v>
      </c>
      <c r="I22757" s="2">
        <v>0</v>
      </c>
      <c r="J22757" s="1">
        <v>45960.426550925928</v>
      </c>
    </row>
    <row r="22758" spans="1:10" x14ac:dyDescent="0.2">
      <c r="A22758" s="4" t="s">
        <v>1</v>
      </c>
      <c r="B2275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58" s="3" t="str">
        <f>HYPERLINK("https://otsuka-europe-crm.veevavault.com/ui/#object/sent_email__v/VBL000000003508", "SE-001379515")</f>
        <v>SE-001379515</v>
      </c>
      <c r="D22758" s="1" t="s">
        <v>0</v>
      </c>
      <c r="E22758" s="2">
        <v>0</v>
      </c>
      <c r="F22758" s="2">
        <v>0</v>
      </c>
      <c r="G22758" s="2">
        <v>0</v>
      </c>
      <c r="H22758" s="1" t="s">
        <v>0</v>
      </c>
      <c r="I22758" s="2">
        <v>0</v>
      </c>
      <c r="J22758" s="1">
        <v>45960.426631944443</v>
      </c>
    </row>
    <row r="22759" spans="1:10" x14ac:dyDescent="0.2">
      <c r="A22759" s="4" t="s">
        <v>1</v>
      </c>
      <c r="B2275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59" s="3" t="str">
        <f>HYPERLINK("https://otsuka-europe-crm.veevavault.com/ui/#object/sent_email__v/VBL000000003509", "SE-001379516")</f>
        <v>SE-001379516</v>
      </c>
      <c r="D22759" s="1">
        <v>45960.969270833331</v>
      </c>
      <c r="E22759" s="2">
        <v>1</v>
      </c>
      <c r="F22759" s="2">
        <v>1</v>
      </c>
      <c r="G22759" s="2">
        <v>0</v>
      </c>
      <c r="H22759" s="1" t="s">
        <v>0</v>
      </c>
      <c r="I22759" s="2">
        <v>0</v>
      </c>
      <c r="J22759" s="1">
        <v>45960.426712962966</v>
      </c>
    </row>
    <row r="22760" spans="1:10" x14ac:dyDescent="0.2">
      <c r="A22760" s="4" t="s">
        <v>1</v>
      </c>
      <c r="B2276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60" s="3" t="str">
        <f>HYPERLINK("https://otsuka-europe-crm.veevavault.com/ui/#object/sent_email__v/VBL000000003510", "SE-001379517")</f>
        <v>SE-001379517</v>
      </c>
      <c r="D22760" s="1" t="s">
        <v>0</v>
      </c>
      <c r="E22760" s="2">
        <v>0</v>
      </c>
      <c r="F22760" s="2">
        <v>0</v>
      </c>
      <c r="G22760" s="2">
        <v>0</v>
      </c>
      <c r="H22760" s="1" t="s">
        <v>0</v>
      </c>
      <c r="I22760" s="2">
        <v>0</v>
      </c>
      <c r="J22760" s="1">
        <v>45960.426782407405</v>
      </c>
    </row>
    <row r="22761" spans="1:10" x14ac:dyDescent="0.2">
      <c r="A22761" s="4" t="s">
        <v>1</v>
      </c>
      <c r="B2276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61" s="3" t="str">
        <f>HYPERLINK("https://otsuka-europe-crm.veevavault.com/ui/#object/sent_email__v/VBL000000003511", "SE-001379518")</f>
        <v>SE-001379518</v>
      </c>
      <c r="D22761" s="1">
        <v>45965.352442129632</v>
      </c>
      <c r="E22761" s="2">
        <v>1</v>
      </c>
      <c r="F22761" s="2">
        <v>3</v>
      </c>
      <c r="G22761" s="2">
        <v>0</v>
      </c>
      <c r="H22761" s="1" t="s">
        <v>0</v>
      </c>
      <c r="I22761" s="2">
        <v>0</v>
      </c>
      <c r="J22761" s="1">
        <v>45960.426851851851</v>
      </c>
    </row>
    <row r="22762" spans="1:10" x14ac:dyDescent="0.2">
      <c r="A22762" s="4" t="s">
        <v>1</v>
      </c>
      <c r="B2276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62" s="3" t="str">
        <f>HYPERLINK("https://otsuka-europe-crm.veevavault.com/ui/#object/sent_email__v/VBL000000003512", "SE-001379519")</f>
        <v>SE-001379519</v>
      </c>
      <c r="D22762" s="1">
        <v>45961.284745370373</v>
      </c>
      <c r="E22762" s="2">
        <v>1</v>
      </c>
      <c r="F22762" s="2">
        <v>1</v>
      </c>
      <c r="G22762" s="2">
        <v>0</v>
      </c>
      <c r="H22762" s="1" t="s">
        <v>0</v>
      </c>
      <c r="I22762" s="2">
        <v>0</v>
      </c>
      <c r="J22762" s="1">
        <v>45960.426921296297</v>
      </c>
    </row>
    <row r="22763" spans="1:10" x14ac:dyDescent="0.2">
      <c r="A22763" s="4" t="s">
        <v>1</v>
      </c>
      <c r="B2276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63" s="3" t="str">
        <f>HYPERLINK("https://otsuka-europe-crm.veevavault.com/ui/#object/sent_email__v/VBL000000003513", "SE-001379520")</f>
        <v>SE-001379520</v>
      </c>
      <c r="D22763" s="1" t="s">
        <v>0</v>
      </c>
      <c r="E22763" s="2">
        <v>0</v>
      </c>
      <c r="F22763" s="2">
        <v>0</v>
      </c>
      <c r="G22763" s="2">
        <v>0</v>
      </c>
      <c r="H22763" s="1" t="s">
        <v>0</v>
      </c>
      <c r="I22763" s="2">
        <v>0</v>
      </c>
      <c r="J22763" s="1">
        <v>45960.426979166667</v>
      </c>
    </row>
    <row r="22764" spans="1:10" x14ac:dyDescent="0.2">
      <c r="A22764" s="4" t="s">
        <v>1</v>
      </c>
      <c r="B2276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64" s="3" t="str">
        <f>HYPERLINK("https://otsuka-europe-crm.veevavault.com/ui/#object/sent_email__v/VBL000000003514", "SE-001379521")</f>
        <v>SE-001379521</v>
      </c>
      <c r="D22764" s="1">
        <v>45963.727037037039</v>
      </c>
      <c r="E22764" s="2">
        <v>1</v>
      </c>
      <c r="F22764" s="2">
        <v>2</v>
      </c>
      <c r="G22764" s="2">
        <v>0</v>
      </c>
      <c r="H22764" s="1" t="s">
        <v>0</v>
      </c>
      <c r="I22764" s="2">
        <v>0</v>
      </c>
      <c r="J22764" s="1">
        <v>45960.427060185182</v>
      </c>
    </row>
    <row r="22765" spans="1:10" x14ac:dyDescent="0.2">
      <c r="A22765" s="4" t="s">
        <v>1</v>
      </c>
      <c r="B2276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65" s="3" t="str">
        <f>HYPERLINK("https://otsuka-europe-crm.veevavault.com/ui/#object/sent_email__v/VBL000000003515", "SE-001379522")</f>
        <v>SE-001379522</v>
      </c>
      <c r="D22765" s="1">
        <v>45960.471365740741</v>
      </c>
      <c r="E22765" s="2">
        <v>1</v>
      </c>
      <c r="F22765" s="2">
        <v>1</v>
      </c>
      <c r="G22765" s="2">
        <v>0</v>
      </c>
      <c r="H22765" s="1" t="s">
        <v>0</v>
      </c>
      <c r="I22765" s="2">
        <v>0</v>
      </c>
      <c r="J22765" s="1">
        <v>45960.427106481482</v>
      </c>
    </row>
    <row r="22766" spans="1:10" x14ac:dyDescent="0.2">
      <c r="A22766" s="4" t="s">
        <v>1</v>
      </c>
      <c r="B2276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66" s="3" t="str">
        <f>HYPERLINK("https://otsuka-europe-crm.veevavault.com/ui/#object/sent_email__v/VBL000000003516", "SE-001379523")</f>
        <v>SE-001379523</v>
      </c>
      <c r="D22766" s="1" t="s">
        <v>0</v>
      </c>
      <c r="E22766" s="2">
        <v>0</v>
      </c>
      <c r="F22766" s="2">
        <v>0</v>
      </c>
      <c r="G22766" s="2">
        <v>0</v>
      </c>
      <c r="H22766" s="1" t="s">
        <v>0</v>
      </c>
      <c r="I22766" s="2">
        <v>0</v>
      </c>
      <c r="J22766" s="1">
        <v>45960.427152777775</v>
      </c>
    </row>
    <row r="22767" spans="1:10" x14ac:dyDescent="0.2">
      <c r="A22767" s="4" t="s">
        <v>1</v>
      </c>
      <c r="B2276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67" s="3" t="str">
        <f>HYPERLINK("https://otsuka-europe-crm.veevavault.com/ui/#object/sent_email__v/VBL000000003517", "SE-001379524")</f>
        <v>SE-001379524</v>
      </c>
      <c r="D22767" s="1">
        <v>45960.620300925926</v>
      </c>
      <c r="E22767" s="2">
        <v>1</v>
      </c>
      <c r="F22767" s="2">
        <v>1</v>
      </c>
      <c r="G22767" s="2">
        <v>0</v>
      </c>
      <c r="H22767" s="1" t="s">
        <v>0</v>
      </c>
      <c r="I22767" s="2">
        <v>0</v>
      </c>
      <c r="J22767" s="1">
        <v>45960.427187499998</v>
      </c>
    </row>
    <row r="22768" spans="1:10" x14ac:dyDescent="0.2">
      <c r="A22768" s="4" t="s">
        <v>1</v>
      </c>
      <c r="B2276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68" s="3" t="str">
        <f>HYPERLINK("https://otsuka-europe-crm.veevavault.com/ui/#object/sent_email__v/VBL000000003518", "SE-001379525")</f>
        <v>SE-001379525</v>
      </c>
      <c r="D22768" s="1" t="s">
        <v>0</v>
      </c>
      <c r="E22768" s="2">
        <v>0</v>
      </c>
      <c r="F22768" s="2">
        <v>0</v>
      </c>
      <c r="G22768" s="2">
        <v>0</v>
      </c>
      <c r="H22768" s="1" t="s">
        <v>0</v>
      </c>
      <c r="I22768" s="2">
        <v>0</v>
      </c>
      <c r="J22768" s="1">
        <v>45960.427222222221</v>
      </c>
    </row>
    <row r="22769" spans="1:10" x14ac:dyDescent="0.2">
      <c r="A22769" s="4" t="s">
        <v>1</v>
      </c>
      <c r="B2276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69" s="3" t="str">
        <f>HYPERLINK("https://otsuka-europe-crm.veevavault.com/ui/#object/sent_email__v/VBL000000003519", "SE-001379526")</f>
        <v>SE-001379526</v>
      </c>
      <c r="D22769" s="1">
        <v>45960.621041666665</v>
      </c>
      <c r="E22769" s="2">
        <v>1</v>
      </c>
      <c r="F22769" s="2">
        <v>2</v>
      </c>
      <c r="G22769" s="2">
        <v>0</v>
      </c>
      <c r="H22769" s="1" t="s">
        <v>0</v>
      </c>
      <c r="I22769" s="2">
        <v>0</v>
      </c>
      <c r="J22769" s="1">
        <v>45960.427268518521</v>
      </c>
    </row>
    <row r="22770" spans="1:10" x14ac:dyDescent="0.2">
      <c r="A22770" s="4" t="s">
        <v>1</v>
      </c>
      <c r="B2277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70" s="3" t="str">
        <f>HYPERLINK("https://otsuka-europe-crm.veevavault.com/ui/#object/sent_email__v/VBL000000003520", "SE-001379527")</f>
        <v>SE-001379527</v>
      </c>
      <c r="D22770" s="1">
        <v>45960.435798611114</v>
      </c>
      <c r="E22770" s="2">
        <v>1</v>
      </c>
      <c r="F22770" s="2">
        <v>1</v>
      </c>
      <c r="G22770" s="2">
        <v>0</v>
      </c>
      <c r="H22770" s="1" t="s">
        <v>0</v>
      </c>
      <c r="I22770" s="2">
        <v>0</v>
      </c>
      <c r="J22770" s="1">
        <v>45960.427303240744</v>
      </c>
    </row>
    <row r="22771" spans="1:10" x14ac:dyDescent="0.2">
      <c r="A22771" s="4" t="s">
        <v>1</v>
      </c>
      <c r="B2277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71" s="3" t="str">
        <f>HYPERLINK("https://otsuka-europe-crm.veevavault.com/ui/#object/sent_email__v/VBL000000003521", "SE-001379528")</f>
        <v>SE-001379528</v>
      </c>
      <c r="D22771" s="1">
        <v>45960.438321759262</v>
      </c>
      <c r="E22771" s="2">
        <v>1</v>
      </c>
      <c r="F22771" s="2">
        <v>1</v>
      </c>
      <c r="G22771" s="2">
        <v>0</v>
      </c>
      <c r="H22771" s="1" t="s">
        <v>0</v>
      </c>
      <c r="I22771" s="2">
        <v>0</v>
      </c>
      <c r="J22771" s="1">
        <v>45960.427349537036</v>
      </c>
    </row>
    <row r="22772" spans="1:10" x14ac:dyDescent="0.2">
      <c r="A22772" s="4" t="s">
        <v>1</v>
      </c>
      <c r="B2277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72" s="3" t="str">
        <f>HYPERLINK("https://otsuka-europe-crm.veevavault.com/ui/#object/sent_email__v/VBL000000003522", "SE-001379529")</f>
        <v>SE-001379529</v>
      </c>
      <c r="D22772" s="1">
        <v>45962.852430555555</v>
      </c>
      <c r="E22772" s="2">
        <v>1</v>
      </c>
      <c r="F22772" s="2">
        <v>6</v>
      </c>
      <c r="G22772" s="2">
        <v>0</v>
      </c>
      <c r="H22772" s="1" t="s">
        <v>0</v>
      </c>
      <c r="I22772" s="2">
        <v>0</v>
      </c>
      <c r="J22772" s="1">
        <v>45960.427395833336</v>
      </c>
    </row>
    <row r="22773" spans="1:10" x14ac:dyDescent="0.2">
      <c r="A22773" s="4" t="s">
        <v>1</v>
      </c>
      <c r="B2277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73" s="3" t="str">
        <f>HYPERLINK("https://otsuka-europe-crm.veevavault.com/ui/#object/sent_email__v/VBL000000003570", "SE-001379667")</f>
        <v>SE-001379667</v>
      </c>
      <c r="D22773" s="1" t="s">
        <v>0</v>
      </c>
      <c r="E22773" s="2">
        <v>0</v>
      </c>
      <c r="F22773" s="2">
        <v>0</v>
      </c>
      <c r="G22773" s="2">
        <v>0</v>
      </c>
      <c r="H22773" s="1" t="s">
        <v>0</v>
      </c>
      <c r="I22773" s="2">
        <v>0</v>
      </c>
      <c r="J22773" s="1">
        <v>45960.448460648149</v>
      </c>
    </row>
    <row r="22774" spans="1:10" x14ac:dyDescent="0.2">
      <c r="A22774" s="4" t="s">
        <v>1</v>
      </c>
      <c r="B2277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74" s="3" t="str">
        <f>HYPERLINK("https://otsuka-europe-crm.veevavault.com/ui/#object/sent_email__v/VBL000000002609", "SE-001379684")</f>
        <v>SE-001379684</v>
      </c>
      <c r="D22774" s="1">
        <v>45960.590138888889</v>
      </c>
      <c r="E22774" s="2">
        <v>1</v>
      </c>
      <c r="F22774" s="2">
        <v>1</v>
      </c>
      <c r="G22774" s="2">
        <v>0</v>
      </c>
      <c r="H22774" s="1" t="s">
        <v>0</v>
      </c>
      <c r="I22774" s="2">
        <v>0</v>
      </c>
      <c r="J22774" s="1">
        <v>45960.485335648147</v>
      </c>
    </row>
    <row r="22775" spans="1:10" x14ac:dyDescent="0.2">
      <c r="A22775" s="4" t="s">
        <v>1</v>
      </c>
      <c r="B2277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75" s="3" t="str">
        <f>HYPERLINK("https://otsuka-europe-crm.veevavault.com/ui/#object/sent_email__v/VBL000000002610", "SE-001379685")</f>
        <v>SE-001379685</v>
      </c>
      <c r="D22775" s="1">
        <v>45963.898726851854</v>
      </c>
      <c r="E22775" s="2">
        <v>1</v>
      </c>
      <c r="F22775" s="2">
        <v>2</v>
      </c>
      <c r="G22775" s="2">
        <v>0</v>
      </c>
      <c r="H22775" s="1" t="s">
        <v>0</v>
      </c>
      <c r="I22775" s="2">
        <v>0</v>
      </c>
      <c r="J22775" s="1">
        <v>45960.48537037037</v>
      </c>
    </row>
    <row r="22776" spans="1:10" x14ac:dyDescent="0.2">
      <c r="A22776" s="4" t="s">
        <v>1</v>
      </c>
      <c r="B2277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76" s="3" t="str">
        <f>HYPERLINK("https://otsuka-europe-crm.veevavault.com/ui/#object/sent_email__v/VBL000000002611", "SE-001379686")</f>
        <v>SE-001379686</v>
      </c>
      <c r="D22776" s="1">
        <v>45962.324201388888</v>
      </c>
      <c r="E22776" s="2">
        <v>1</v>
      </c>
      <c r="F22776" s="2">
        <v>1</v>
      </c>
      <c r="G22776" s="2">
        <v>0</v>
      </c>
      <c r="H22776" s="1" t="s">
        <v>0</v>
      </c>
      <c r="I22776" s="2">
        <v>0</v>
      </c>
      <c r="J22776" s="1">
        <v>45960.485405092593</v>
      </c>
    </row>
    <row r="22777" spans="1:10" x14ac:dyDescent="0.2">
      <c r="A22777" s="4" t="s">
        <v>1</v>
      </c>
      <c r="B2277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77" s="3" t="str">
        <f>HYPERLINK("https://otsuka-europe-crm.veevavault.com/ui/#object/sent_email__v/VBL000000002612", "SE-001379687")</f>
        <v>SE-001379687</v>
      </c>
      <c r="D22777" s="1" t="s">
        <v>0</v>
      </c>
      <c r="E22777" s="2">
        <v>0</v>
      </c>
      <c r="F22777" s="2">
        <v>0</v>
      </c>
      <c r="G22777" s="2">
        <v>0</v>
      </c>
      <c r="H22777" s="1" t="s">
        <v>0</v>
      </c>
      <c r="I22777" s="2">
        <v>0</v>
      </c>
      <c r="J22777" s="1">
        <v>45960.485439814816</v>
      </c>
    </row>
    <row r="22778" spans="1:10" x14ac:dyDescent="0.2">
      <c r="A22778" s="4" t="s">
        <v>1</v>
      </c>
      <c r="B2277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78" s="3" t="str">
        <f>HYPERLINK("https://otsuka-europe-crm.veevavault.com/ui/#object/sent_email__v/VBL000000002613", "SE-001379688")</f>
        <v>SE-001379688</v>
      </c>
      <c r="D22778" s="1" t="s">
        <v>0</v>
      </c>
      <c r="E22778" s="2">
        <v>0</v>
      </c>
      <c r="F22778" s="2">
        <v>0</v>
      </c>
      <c r="G22778" s="2">
        <v>0</v>
      </c>
      <c r="H22778" s="1" t="s">
        <v>0</v>
      </c>
      <c r="I22778" s="2">
        <v>0</v>
      </c>
      <c r="J22778" s="1">
        <v>45960.485497685186</v>
      </c>
    </row>
    <row r="22779" spans="1:10" x14ac:dyDescent="0.2">
      <c r="A22779" s="4" t="s">
        <v>1</v>
      </c>
      <c r="B2277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79" s="3" t="str">
        <f>HYPERLINK("https://otsuka-europe-crm.veevavault.com/ui/#object/sent_email__v/VBL000000002614", "SE-001379689")</f>
        <v>SE-001379689</v>
      </c>
      <c r="D22779" s="1">
        <v>45960.999236111114</v>
      </c>
      <c r="E22779" s="2">
        <v>1</v>
      </c>
      <c r="F22779" s="2">
        <v>1</v>
      </c>
      <c r="G22779" s="2">
        <v>0</v>
      </c>
      <c r="H22779" s="1" t="s">
        <v>0</v>
      </c>
      <c r="I22779" s="2">
        <v>0</v>
      </c>
      <c r="J22779" s="1">
        <v>45960.485520833332</v>
      </c>
    </row>
    <row r="22780" spans="1:10" x14ac:dyDescent="0.2">
      <c r="A22780" s="4" t="s">
        <v>1</v>
      </c>
      <c r="B2278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80" s="3" t="str">
        <f>HYPERLINK("https://otsuka-europe-crm.veevavault.com/ui/#object/sent_email__v/VBL000000002615", "SE-001379690")</f>
        <v>SE-001379690</v>
      </c>
      <c r="D22780" s="1" t="s">
        <v>0</v>
      </c>
      <c r="E22780" s="2">
        <v>0</v>
      </c>
      <c r="F22780" s="2">
        <v>0</v>
      </c>
      <c r="G22780" s="2">
        <v>0</v>
      </c>
      <c r="H22780" s="1" t="s">
        <v>0</v>
      </c>
      <c r="I22780" s="2">
        <v>0</v>
      </c>
      <c r="J22780" s="1">
        <v>45960.485555555555</v>
      </c>
    </row>
    <row r="22781" spans="1:10" x14ac:dyDescent="0.2">
      <c r="A22781" s="4" t="s">
        <v>1</v>
      </c>
      <c r="B2278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81" s="3" t="str">
        <f>HYPERLINK("https://otsuka-europe-crm.veevavault.com/ui/#object/sent_email__v/VBL000000002616", "SE-001379691")</f>
        <v>SE-001379691</v>
      </c>
      <c r="D22781" s="1" t="s">
        <v>0</v>
      </c>
      <c r="E22781" s="2">
        <v>0</v>
      </c>
      <c r="F22781" s="2">
        <v>0</v>
      </c>
      <c r="G22781" s="2">
        <v>0</v>
      </c>
      <c r="H22781" s="1" t="s">
        <v>0</v>
      </c>
      <c r="I22781" s="2">
        <v>0</v>
      </c>
      <c r="J22781" s="1">
        <v>45960.485601851855</v>
      </c>
    </row>
    <row r="22782" spans="1:10" x14ac:dyDescent="0.2">
      <c r="A22782" s="4" t="s">
        <v>1</v>
      </c>
      <c r="B2278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82" s="3" t="str">
        <f>HYPERLINK("https://otsuka-europe-crm.veevavault.com/ui/#object/sent_email__v/VBL000000002617", "SE-001379692")</f>
        <v>SE-001379692</v>
      </c>
      <c r="D22782" s="1">
        <v>45960.486006944448</v>
      </c>
      <c r="E22782" s="2">
        <v>1</v>
      </c>
      <c r="F22782" s="2">
        <v>3</v>
      </c>
      <c r="G22782" s="2">
        <v>1</v>
      </c>
      <c r="H22782" s="1">
        <v>45960.485983796294</v>
      </c>
      <c r="I22782" s="2">
        <v>10</v>
      </c>
      <c r="J22782" s="1">
        <v>45960.485648148147</v>
      </c>
    </row>
    <row r="22783" spans="1:10" x14ac:dyDescent="0.2">
      <c r="A22783" s="4" t="s">
        <v>1</v>
      </c>
      <c r="B2278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83" s="3" t="str">
        <f>HYPERLINK("https://otsuka-europe-crm.veevavault.com/ui/#object/sent_email__v/VBL000000002618", "SE-001379693")</f>
        <v>SE-001379693</v>
      </c>
      <c r="D22783" s="1">
        <v>45964.935590277775</v>
      </c>
      <c r="E22783" s="2">
        <v>1</v>
      </c>
      <c r="F22783" s="2">
        <v>4</v>
      </c>
      <c r="G22783" s="2">
        <v>0</v>
      </c>
      <c r="H22783" s="1" t="s">
        <v>0</v>
      </c>
      <c r="I22783" s="2">
        <v>0</v>
      </c>
      <c r="J22783" s="1">
        <v>45960.485682870371</v>
      </c>
    </row>
    <row r="22784" spans="1:10" x14ac:dyDescent="0.2">
      <c r="A22784" s="4" t="s">
        <v>1</v>
      </c>
      <c r="B2278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84" s="3" t="str">
        <f>HYPERLINK("https://otsuka-europe-crm.veevavault.com/ui/#object/sent_email__v/VBL000000002619", "SE-001379694")</f>
        <v>SE-001379694</v>
      </c>
      <c r="D22784" s="1" t="s">
        <v>0</v>
      </c>
      <c r="E22784" s="2">
        <v>0</v>
      </c>
      <c r="F22784" s="2">
        <v>0</v>
      </c>
      <c r="G22784" s="2">
        <v>0</v>
      </c>
      <c r="H22784" s="1" t="s">
        <v>0</v>
      </c>
      <c r="I22784" s="2">
        <v>0</v>
      </c>
      <c r="J22784" s="1">
        <v>45960.485729166663</v>
      </c>
    </row>
    <row r="22785" spans="1:10" x14ac:dyDescent="0.2">
      <c r="A22785" s="4" t="s">
        <v>1</v>
      </c>
      <c r="B2278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85" s="3" t="str">
        <f>HYPERLINK("https://otsuka-europe-crm.veevavault.com/ui/#object/sent_email__v/VBL000000002620", "SE-001379695")</f>
        <v>SE-001379695</v>
      </c>
      <c r="D22785" s="1" t="s">
        <v>0</v>
      </c>
      <c r="E22785" s="2">
        <v>0</v>
      </c>
      <c r="F22785" s="2">
        <v>0</v>
      </c>
      <c r="G22785" s="2">
        <v>0</v>
      </c>
      <c r="H22785" s="1" t="s">
        <v>0</v>
      </c>
      <c r="I22785" s="2">
        <v>0</v>
      </c>
      <c r="J22785" s="1">
        <v>45960.485763888886</v>
      </c>
    </row>
    <row r="22786" spans="1:10" x14ac:dyDescent="0.2">
      <c r="A22786" s="4" t="s">
        <v>1</v>
      </c>
      <c r="B2278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86" s="3" t="str">
        <f>HYPERLINK("https://otsuka-europe-crm.veevavault.com/ui/#object/sent_email__v/VBL000000002621", "SE-001379696")</f>
        <v>SE-001379696</v>
      </c>
      <c r="D22786" s="1">
        <v>45960.498935185184</v>
      </c>
      <c r="E22786" s="2">
        <v>1</v>
      </c>
      <c r="F22786" s="2">
        <v>1</v>
      </c>
      <c r="G22786" s="2">
        <v>0</v>
      </c>
      <c r="H22786" s="1" t="s">
        <v>0</v>
      </c>
      <c r="I22786" s="2">
        <v>0</v>
      </c>
      <c r="J22786" s="1">
        <v>45960.485798611109</v>
      </c>
    </row>
    <row r="22787" spans="1:10" x14ac:dyDescent="0.2">
      <c r="A22787" s="4" t="s">
        <v>1</v>
      </c>
      <c r="B2278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87" s="3" t="str">
        <f>HYPERLINK("https://otsuka-europe-crm.veevavault.com/ui/#object/sent_email__v/VBL000000002622", "SE-001379697")</f>
        <v>SE-001379697</v>
      </c>
      <c r="D22787" s="1">
        <v>45961.778634259259</v>
      </c>
      <c r="E22787" s="2">
        <v>1</v>
      </c>
      <c r="F22787" s="2">
        <v>1</v>
      </c>
      <c r="G22787" s="2">
        <v>0</v>
      </c>
      <c r="H22787" s="1" t="s">
        <v>0</v>
      </c>
      <c r="I22787" s="2">
        <v>0</v>
      </c>
      <c r="J22787" s="1">
        <v>45960.485844907409</v>
      </c>
    </row>
    <row r="22788" spans="1:10" x14ac:dyDescent="0.2">
      <c r="A22788" s="4" t="s">
        <v>1</v>
      </c>
      <c r="B2278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88" s="3" t="str">
        <f>HYPERLINK("https://otsuka-europe-crm.veevavault.com/ui/#object/sent_email__v/VBL000000002623", "SE-001379698")</f>
        <v>SE-001379698</v>
      </c>
      <c r="D22788" s="1" t="s">
        <v>0</v>
      </c>
      <c r="E22788" s="2">
        <v>0</v>
      </c>
      <c r="F22788" s="2">
        <v>0</v>
      </c>
      <c r="G22788" s="2">
        <v>0</v>
      </c>
      <c r="H22788" s="1" t="s">
        <v>0</v>
      </c>
      <c r="I22788" s="2">
        <v>0</v>
      </c>
      <c r="J22788" s="1">
        <v>45960.485891203702</v>
      </c>
    </row>
    <row r="22789" spans="1:10" x14ac:dyDescent="0.2">
      <c r="A22789" s="4" t="s">
        <v>1</v>
      </c>
      <c r="B2278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89" s="3" t="str">
        <f>HYPERLINK("https://otsuka-europe-crm.veevavault.com/ui/#object/sent_email__v/VBL000000002624", "SE-001379699")</f>
        <v>SE-001379699</v>
      </c>
      <c r="D22789" s="1">
        <v>45960.491863425923</v>
      </c>
      <c r="E22789" s="2">
        <v>1</v>
      </c>
      <c r="F22789" s="2">
        <v>1</v>
      </c>
      <c r="G22789" s="2">
        <v>0</v>
      </c>
      <c r="H22789" s="1" t="s">
        <v>0</v>
      </c>
      <c r="I22789" s="2">
        <v>0</v>
      </c>
      <c r="J22789" s="1">
        <v>45960.485925925925</v>
      </c>
    </row>
    <row r="22790" spans="1:10" x14ac:dyDescent="0.2">
      <c r="A22790" s="4" t="s">
        <v>1</v>
      </c>
      <c r="B2279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90" s="3" t="str">
        <f>HYPERLINK("https://otsuka-europe-crm.veevavault.com/ui/#object/sent_email__v/VBL000000002625", "SE-001379700")</f>
        <v>SE-001379700</v>
      </c>
      <c r="D22790" s="1" t="s">
        <v>0</v>
      </c>
      <c r="E22790" s="2">
        <v>0</v>
      </c>
      <c r="F22790" s="2">
        <v>0</v>
      </c>
      <c r="G22790" s="2">
        <v>0</v>
      </c>
      <c r="H22790" s="1" t="s">
        <v>0</v>
      </c>
      <c r="I22790" s="2">
        <v>0</v>
      </c>
      <c r="J22790" s="1">
        <v>45960.485960648148</v>
      </c>
    </row>
    <row r="22791" spans="1:10" x14ac:dyDescent="0.2">
      <c r="A22791" s="4" t="s">
        <v>1</v>
      </c>
      <c r="B2279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91" s="3" t="str">
        <f>HYPERLINK("https://otsuka-europe-crm.veevavault.com/ui/#object/sent_email__v/VBL000000002626", "SE-001379701")</f>
        <v>SE-001379701</v>
      </c>
      <c r="D22791" s="1" t="s">
        <v>0</v>
      </c>
      <c r="E22791" s="2">
        <v>0</v>
      </c>
      <c r="F22791" s="2">
        <v>0</v>
      </c>
      <c r="G22791" s="2">
        <v>0</v>
      </c>
      <c r="H22791" s="1" t="s">
        <v>0</v>
      </c>
      <c r="I22791" s="2">
        <v>0</v>
      </c>
      <c r="J22791" s="1">
        <v>45960.485995370371</v>
      </c>
    </row>
    <row r="22792" spans="1:10" x14ac:dyDescent="0.2">
      <c r="A22792" s="4" t="s">
        <v>1</v>
      </c>
      <c r="B2279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92" s="3" t="str">
        <f>HYPERLINK("https://otsuka-europe-crm.veevavault.com/ui/#object/sent_email__v/VBL000000002627", "SE-001379702")</f>
        <v>SE-001379702</v>
      </c>
      <c r="D22792" s="1">
        <v>45960.603692129633</v>
      </c>
      <c r="E22792" s="2">
        <v>1</v>
      </c>
      <c r="F22792" s="2">
        <v>1</v>
      </c>
      <c r="G22792" s="2">
        <v>0</v>
      </c>
      <c r="H22792" s="1" t="s">
        <v>0</v>
      </c>
      <c r="I22792" s="2">
        <v>0</v>
      </c>
      <c r="J22792" s="1">
        <v>45960.486041666663</v>
      </c>
    </row>
    <row r="22793" spans="1:10" x14ac:dyDescent="0.2">
      <c r="A22793" s="4" t="s">
        <v>1</v>
      </c>
      <c r="B2279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93" s="3" t="str">
        <f>HYPERLINK("https://otsuka-europe-crm.veevavault.com/ui/#object/sent_email__v/VBL000000002628", "SE-001379703")</f>
        <v>SE-001379703</v>
      </c>
      <c r="D22793" s="1">
        <v>45960.731157407405</v>
      </c>
      <c r="E22793" s="2">
        <v>1</v>
      </c>
      <c r="F22793" s="2">
        <v>1</v>
      </c>
      <c r="G22793" s="2">
        <v>0</v>
      </c>
      <c r="H22793" s="1" t="s">
        <v>0</v>
      </c>
      <c r="I22793" s="2">
        <v>0</v>
      </c>
      <c r="J22793" s="1">
        <v>45960.486076388886</v>
      </c>
    </row>
    <row r="22794" spans="1:10" x14ac:dyDescent="0.2">
      <c r="A22794" s="4" t="s">
        <v>1</v>
      </c>
      <c r="B2279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94" s="3" t="str">
        <f>HYPERLINK("https://otsuka-europe-crm.veevavault.com/ui/#object/sent_email__v/VBL000000002629", "SE-001379704")</f>
        <v>SE-001379704</v>
      </c>
      <c r="D22794" s="1">
        <v>45960.498761574076</v>
      </c>
      <c r="E22794" s="2">
        <v>1</v>
      </c>
      <c r="F22794" s="2">
        <v>1</v>
      </c>
      <c r="G22794" s="2">
        <v>0</v>
      </c>
      <c r="H22794" s="1" t="s">
        <v>0</v>
      </c>
      <c r="I22794" s="2">
        <v>0</v>
      </c>
      <c r="J22794" s="1">
        <v>45960.486122685186</v>
      </c>
    </row>
    <row r="22795" spans="1:10" x14ac:dyDescent="0.2">
      <c r="A22795" s="4" t="s">
        <v>1</v>
      </c>
      <c r="B2279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95" s="3" t="str">
        <f>HYPERLINK("https://otsuka-europe-crm.veevavault.com/ui/#object/sent_email__v/VBL000000002630", "SE-001379705")</f>
        <v>SE-001379705</v>
      </c>
      <c r="D22795" s="1">
        <v>45960.603055555555</v>
      </c>
      <c r="E22795" s="2">
        <v>1</v>
      </c>
      <c r="F22795" s="2">
        <v>1</v>
      </c>
      <c r="G22795" s="2">
        <v>0</v>
      </c>
      <c r="H22795" s="1" t="s">
        <v>0</v>
      </c>
      <c r="I22795" s="2">
        <v>0</v>
      </c>
      <c r="J22795" s="1">
        <v>45960.486157407409</v>
      </c>
    </row>
    <row r="22796" spans="1:10" x14ac:dyDescent="0.2">
      <c r="A22796" s="4" t="s">
        <v>1</v>
      </c>
      <c r="B2279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96" s="3" t="str">
        <f>HYPERLINK("https://otsuka-europe-crm.veevavault.com/ui/#object/sent_email__v/VBL000000002631", "SE-001379706")</f>
        <v>SE-001379706</v>
      </c>
      <c r="D22796" s="1" t="s">
        <v>0</v>
      </c>
      <c r="E22796" s="2">
        <v>0</v>
      </c>
      <c r="F22796" s="2">
        <v>0</v>
      </c>
      <c r="G22796" s="2">
        <v>0</v>
      </c>
      <c r="H22796" s="1" t="s">
        <v>0</v>
      </c>
      <c r="I22796" s="2">
        <v>0</v>
      </c>
      <c r="J22796" s="1">
        <v>45960.486203703702</v>
      </c>
    </row>
    <row r="22797" spans="1:10" x14ac:dyDescent="0.2">
      <c r="A22797" s="4" t="s">
        <v>1</v>
      </c>
      <c r="B2279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97" s="3" t="str">
        <f>HYPERLINK("https://otsuka-europe-crm.veevavault.com/ui/#object/sent_email__v/VBL000000002632", "SE-001379707")</f>
        <v>SE-001379707</v>
      </c>
      <c r="D22797" s="1">
        <v>45961.937222222223</v>
      </c>
      <c r="E22797" s="2">
        <v>1</v>
      </c>
      <c r="F22797" s="2">
        <v>1</v>
      </c>
      <c r="G22797" s="2">
        <v>0</v>
      </c>
      <c r="H22797" s="1" t="s">
        <v>0</v>
      </c>
      <c r="I22797" s="2">
        <v>0</v>
      </c>
      <c r="J22797" s="1">
        <v>45960.486238425925</v>
      </c>
    </row>
    <row r="22798" spans="1:10" x14ac:dyDescent="0.2">
      <c r="A22798" s="4" t="s">
        <v>1</v>
      </c>
      <c r="B2279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98" s="3" t="str">
        <f>HYPERLINK("https://otsuka-europe-crm.veevavault.com/ui/#object/sent_email__v/VBL000000002633", "SE-001379708")</f>
        <v>SE-001379708</v>
      </c>
      <c r="D22798" s="1">
        <v>45962.806932870371</v>
      </c>
      <c r="E22798" s="2">
        <v>1</v>
      </c>
      <c r="F22798" s="2">
        <v>4</v>
      </c>
      <c r="G22798" s="2">
        <v>0</v>
      </c>
      <c r="H22798" s="1" t="s">
        <v>0</v>
      </c>
      <c r="I22798" s="2">
        <v>0</v>
      </c>
      <c r="J22798" s="1">
        <v>45960.486284722225</v>
      </c>
    </row>
    <row r="22799" spans="1:10" x14ac:dyDescent="0.2">
      <c r="A22799" s="4" t="s">
        <v>1</v>
      </c>
      <c r="B2279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799" s="3" t="str">
        <f>HYPERLINK("https://otsuka-europe-crm.veevavault.com/ui/#object/sent_email__v/VBL000000002634", "SE-001379709")</f>
        <v>SE-001379709</v>
      </c>
      <c r="D22799" s="1" t="s">
        <v>0</v>
      </c>
      <c r="E22799" s="2">
        <v>0</v>
      </c>
      <c r="F22799" s="2">
        <v>0</v>
      </c>
      <c r="G22799" s="2">
        <v>0</v>
      </c>
      <c r="H22799" s="1" t="s">
        <v>0</v>
      </c>
      <c r="I22799" s="2">
        <v>0</v>
      </c>
      <c r="J22799" s="1">
        <v>45960.486342592594</v>
      </c>
    </row>
    <row r="22800" spans="1:10" x14ac:dyDescent="0.2">
      <c r="A22800" s="4" t="s">
        <v>1</v>
      </c>
      <c r="B2280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00" s="3" t="str">
        <f>HYPERLINK("https://otsuka-europe-crm.veevavault.com/ui/#object/sent_email__v/VBL000000002635", "SE-001379710")</f>
        <v>SE-001379710</v>
      </c>
      <c r="D22800" s="1">
        <v>45960.705474537041</v>
      </c>
      <c r="E22800" s="2">
        <v>1</v>
      </c>
      <c r="F22800" s="2">
        <v>1</v>
      </c>
      <c r="G22800" s="2">
        <v>0</v>
      </c>
      <c r="H22800" s="1" t="s">
        <v>0</v>
      </c>
      <c r="I22800" s="2">
        <v>0</v>
      </c>
      <c r="J22800" s="1">
        <v>45960.486388888887</v>
      </c>
    </row>
    <row r="22801" spans="1:10" x14ac:dyDescent="0.2">
      <c r="A22801" s="4" t="s">
        <v>1</v>
      </c>
      <c r="B2280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01" s="3" t="str">
        <f>HYPERLINK("https://otsuka-europe-crm.veevavault.com/ui/#object/sent_email__v/VBL000000002636", "SE-001379711")</f>
        <v>SE-001379711</v>
      </c>
      <c r="D22801" s="1" t="s">
        <v>0</v>
      </c>
      <c r="E22801" s="2">
        <v>0</v>
      </c>
      <c r="F22801" s="2">
        <v>0</v>
      </c>
      <c r="G22801" s="2">
        <v>0</v>
      </c>
      <c r="H22801" s="1" t="s">
        <v>0</v>
      </c>
      <c r="I22801" s="2">
        <v>0</v>
      </c>
      <c r="J22801" s="1">
        <v>45960.48642361111</v>
      </c>
    </row>
    <row r="22802" spans="1:10" x14ac:dyDescent="0.2">
      <c r="A22802" s="4" t="s">
        <v>1</v>
      </c>
      <c r="B2280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02" s="3" t="str">
        <f>HYPERLINK("https://otsuka-europe-crm.veevavault.com/ui/#object/sent_email__v/VBL000000002637", "SE-001379712")</f>
        <v>SE-001379712</v>
      </c>
      <c r="D22802" s="1">
        <v>45960.698449074072</v>
      </c>
      <c r="E22802" s="2">
        <v>1</v>
      </c>
      <c r="F22802" s="2">
        <v>3</v>
      </c>
      <c r="G22802" s="2">
        <v>0</v>
      </c>
      <c r="H22802" s="1" t="s">
        <v>0</v>
      </c>
      <c r="I22802" s="2">
        <v>0</v>
      </c>
      <c r="J22802" s="1">
        <v>45960.48646990741</v>
      </c>
    </row>
    <row r="22803" spans="1:10" x14ac:dyDescent="0.2">
      <c r="A22803" s="4" t="s">
        <v>1</v>
      </c>
      <c r="B2280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03" s="3" t="str">
        <f>HYPERLINK("https://otsuka-europe-crm.veevavault.com/ui/#object/sent_email__v/VBL000000002638", "SE-001379713")</f>
        <v>SE-001379713</v>
      </c>
      <c r="D22803" s="1">
        <v>45960.98814814815</v>
      </c>
      <c r="E22803" s="2">
        <v>1</v>
      </c>
      <c r="F22803" s="2">
        <v>1</v>
      </c>
      <c r="G22803" s="2">
        <v>0</v>
      </c>
      <c r="H22803" s="1" t="s">
        <v>0</v>
      </c>
      <c r="I22803" s="2">
        <v>0</v>
      </c>
      <c r="J22803" s="1">
        <v>45960.486516203702</v>
      </c>
    </row>
    <row r="22804" spans="1:10" x14ac:dyDescent="0.2">
      <c r="A22804" s="4" t="s">
        <v>1</v>
      </c>
      <c r="B2280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04" s="3" t="str">
        <f>HYPERLINK("https://otsuka-europe-crm.veevavault.com/ui/#object/sent_email__v/VBL000000002639", "SE-001379714")</f>
        <v>SE-001379714</v>
      </c>
      <c r="D22804" s="1" t="s">
        <v>0</v>
      </c>
      <c r="E22804" s="2">
        <v>0</v>
      </c>
      <c r="F22804" s="2">
        <v>0</v>
      </c>
      <c r="G22804" s="2">
        <v>0</v>
      </c>
      <c r="H22804" s="1" t="s">
        <v>0</v>
      </c>
      <c r="I22804" s="2">
        <v>0</v>
      </c>
      <c r="J22804" s="1">
        <v>45960.486539351848</v>
      </c>
    </row>
    <row r="22805" spans="1:10" x14ac:dyDescent="0.2">
      <c r="A22805" s="4" t="s">
        <v>1</v>
      </c>
      <c r="B2280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05" s="3" t="str">
        <f>HYPERLINK("https://otsuka-europe-crm.veevavault.com/ui/#object/sent_email__v/VBL000000002640", "SE-001379715")</f>
        <v>SE-001379715</v>
      </c>
      <c r="D22805" s="1">
        <v>45962.871944444443</v>
      </c>
      <c r="E22805" s="2">
        <v>1</v>
      </c>
      <c r="F22805" s="2">
        <v>4</v>
      </c>
      <c r="G22805" s="2">
        <v>0</v>
      </c>
      <c r="H22805" s="1" t="s">
        <v>0</v>
      </c>
      <c r="I22805" s="2">
        <v>0</v>
      </c>
      <c r="J22805" s="1">
        <v>45960.486585648148</v>
      </c>
    </row>
    <row r="22806" spans="1:10" x14ac:dyDescent="0.2">
      <c r="A22806" s="4" t="s">
        <v>1</v>
      </c>
      <c r="B2280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06" s="3" t="str">
        <f>HYPERLINK("https://otsuka-europe-crm.veevavault.com/ui/#object/sent_email__v/VBL000000002641", "SE-001379716")</f>
        <v>SE-001379716</v>
      </c>
      <c r="D22806" s="1">
        <v>45961.241956018515</v>
      </c>
      <c r="E22806" s="2">
        <v>1</v>
      </c>
      <c r="F22806" s="2">
        <v>4</v>
      </c>
      <c r="G22806" s="2">
        <v>0</v>
      </c>
      <c r="H22806" s="1" t="s">
        <v>0</v>
      </c>
      <c r="I22806" s="2">
        <v>0</v>
      </c>
      <c r="J22806" s="1">
        <v>45960.486620370371</v>
      </c>
    </row>
    <row r="22807" spans="1:10" x14ac:dyDescent="0.2">
      <c r="A22807" s="4" t="s">
        <v>1</v>
      </c>
      <c r="B2280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07" s="3" t="str">
        <f>HYPERLINK("https://otsuka-europe-crm.veevavault.com/ui/#object/sent_email__v/VBL000000002642", "SE-001379717")</f>
        <v>SE-001379717</v>
      </c>
      <c r="D22807" s="1">
        <v>45965.82408564815</v>
      </c>
      <c r="E22807" s="2">
        <v>1</v>
      </c>
      <c r="F22807" s="2">
        <v>2</v>
      </c>
      <c r="G22807" s="2">
        <v>0</v>
      </c>
      <c r="H22807" s="1" t="s">
        <v>0</v>
      </c>
      <c r="I22807" s="2">
        <v>0</v>
      </c>
      <c r="J22807" s="1">
        <v>45960.486666666664</v>
      </c>
    </row>
    <row r="22808" spans="1:10" x14ac:dyDescent="0.2">
      <c r="A22808" s="4" t="s">
        <v>1</v>
      </c>
      <c r="B2280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08" s="3" t="str">
        <f>HYPERLINK("https://otsuka-europe-crm.veevavault.com/ui/#object/sent_email__v/VBL000000002643", "SE-001379718")</f>
        <v>SE-001379718</v>
      </c>
      <c r="D22808" s="1">
        <v>45965.522106481483</v>
      </c>
      <c r="E22808" s="2">
        <v>1</v>
      </c>
      <c r="F22808" s="2">
        <v>2</v>
      </c>
      <c r="G22808" s="2">
        <v>0</v>
      </c>
      <c r="H22808" s="1" t="s">
        <v>0</v>
      </c>
      <c r="I22808" s="2">
        <v>0</v>
      </c>
      <c r="J22808" s="1">
        <v>45960.486701388887</v>
      </c>
    </row>
    <row r="22809" spans="1:10" x14ac:dyDescent="0.2">
      <c r="A22809" s="4" t="s">
        <v>1</v>
      </c>
      <c r="B2280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09" s="3" t="str">
        <f>HYPERLINK("https://otsuka-europe-crm.veevavault.com/ui/#object/sent_email__v/VBL000000002644", "SE-001379719")</f>
        <v>SE-001379719</v>
      </c>
      <c r="D22809" s="1" t="s">
        <v>0</v>
      </c>
      <c r="E22809" s="2">
        <v>0</v>
      </c>
      <c r="F22809" s="2">
        <v>0</v>
      </c>
      <c r="G22809" s="2">
        <v>0</v>
      </c>
      <c r="H22809" s="1" t="s">
        <v>0</v>
      </c>
      <c r="I22809" s="2">
        <v>0</v>
      </c>
      <c r="J22809" s="1">
        <v>45960.486747685187</v>
      </c>
    </row>
    <row r="22810" spans="1:10" x14ac:dyDescent="0.2">
      <c r="A22810" s="4" t="s">
        <v>1</v>
      </c>
      <c r="B2281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10" s="3" t="str">
        <f>HYPERLINK("https://otsuka-europe-crm.veevavault.com/ui/#object/sent_email__v/VBL000000002645", "SE-001379720")</f>
        <v>SE-001379720</v>
      </c>
      <c r="D22810" s="1">
        <v>45964.37195601852</v>
      </c>
      <c r="E22810" s="2">
        <v>1</v>
      </c>
      <c r="F22810" s="2">
        <v>1</v>
      </c>
      <c r="G22810" s="2">
        <v>0</v>
      </c>
      <c r="H22810" s="1" t="s">
        <v>0</v>
      </c>
      <c r="I22810" s="2">
        <v>0</v>
      </c>
      <c r="J22810" s="1">
        <v>45960.48678240741</v>
      </c>
    </row>
    <row r="22811" spans="1:10" x14ac:dyDescent="0.2">
      <c r="A22811" s="4" t="s">
        <v>1</v>
      </c>
      <c r="B2281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11" s="3" t="str">
        <f>HYPERLINK("https://otsuka-europe-crm.veevavault.com/ui/#object/sent_email__v/VBL000000002646", "SE-001379721")</f>
        <v>SE-001379721</v>
      </c>
      <c r="D22811" s="1" t="s">
        <v>0</v>
      </c>
      <c r="E22811" s="2">
        <v>0</v>
      </c>
      <c r="F22811" s="2">
        <v>0</v>
      </c>
      <c r="G22811" s="2">
        <v>0</v>
      </c>
      <c r="H22811" s="1" t="s">
        <v>0</v>
      </c>
      <c r="I22811" s="2">
        <v>0</v>
      </c>
      <c r="J22811" s="1">
        <v>45960.486828703702</v>
      </c>
    </row>
    <row r="22812" spans="1:10" x14ac:dyDescent="0.2">
      <c r="A22812" s="4" t="s">
        <v>1</v>
      </c>
      <c r="B2281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12" s="3" t="str">
        <f>HYPERLINK("https://otsuka-europe-crm.veevavault.com/ui/#object/sent_email__v/VBL000000002647", "SE-001379722")</f>
        <v>SE-001379722</v>
      </c>
      <c r="D22812" s="1">
        <v>45965.768726851849</v>
      </c>
      <c r="E22812" s="2">
        <v>1</v>
      </c>
      <c r="F22812" s="2">
        <v>2</v>
      </c>
      <c r="G22812" s="2">
        <v>0</v>
      </c>
      <c r="H22812" s="1" t="s">
        <v>0</v>
      </c>
      <c r="I22812" s="2">
        <v>0</v>
      </c>
      <c r="J22812" s="1">
        <v>45960.486863425926</v>
      </c>
    </row>
    <row r="22813" spans="1:10" x14ac:dyDescent="0.2">
      <c r="A22813" s="4" t="s">
        <v>1</v>
      </c>
      <c r="B2281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13" s="3" t="str">
        <f>HYPERLINK("https://otsuka-europe-crm.veevavault.com/ui/#object/sent_email__v/VBL000000002648", "SE-001379723")</f>
        <v>SE-001379723</v>
      </c>
      <c r="D22813" s="1" t="s">
        <v>0</v>
      </c>
      <c r="E22813" s="2">
        <v>0</v>
      </c>
      <c r="F22813" s="2">
        <v>0</v>
      </c>
      <c r="G22813" s="2">
        <v>0</v>
      </c>
      <c r="H22813" s="1" t="s">
        <v>0</v>
      </c>
      <c r="I22813" s="2">
        <v>0</v>
      </c>
      <c r="J22813" s="1">
        <v>45960.486921296295</v>
      </c>
    </row>
    <row r="22814" spans="1:10" x14ac:dyDescent="0.2">
      <c r="A22814" s="4" t="s">
        <v>1</v>
      </c>
      <c r="B2281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14" s="3" t="str">
        <f>HYPERLINK("https://otsuka-europe-crm.veevavault.com/ui/#object/sent_email__v/VBL000000002649", "SE-001379724")</f>
        <v>SE-001379724</v>
      </c>
      <c r="D22814" s="1" t="s">
        <v>0</v>
      </c>
      <c r="E22814" s="2">
        <v>0</v>
      </c>
      <c r="F22814" s="2">
        <v>0</v>
      </c>
      <c r="G22814" s="2">
        <v>0</v>
      </c>
      <c r="H22814" s="1" t="s">
        <v>0</v>
      </c>
      <c r="I22814" s="2">
        <v>0</v>
      </c>
      <c r="J22814" s="1">
        <v>45960.486944444441</v>
      </c>
    </row>
    <row r="22815" spans="1:10" x14ac:dyDescent="0.2">
      <c r="A22815" s="4" t="s">
        <v>1</v>
      </c>
      <c r="B2281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15" s="3" t="str">
        <f>HYPERLINK("https://otsuka-europe-crm.veevavault.com/ui/#object/sent_email__v/VBL000000002650", "SE-001379725")</f>
        <v>SE-001379725</v>
      </c>
      <c r="D22815" s="1">
        <v>45988.625879629632</v>
      </c>
      <c r="E22815" s="2">
        <v>1</v>
      </c>
      <c r="F22815" s="2">
        <v>3</v>
      </c>
      <c r="G22815" s="2">
        <v>0</v>
      </c>
      <c r="H22815" s="1" t="s">
        <v>0</v>
      </c>
      <c r="I22815" s="2">
        <v>0</v>
      </c>
      <c r="J22815" s="1">
        <v>45960.486979166664</v>
      </c>
    </row>
    <row r="22816" spans="1:10" x14ac:dyDescent="0.2">
      <c r="A22816" s="4" t="s">
        <v>1</v>
      </c>
      <c r="B2281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16" s="3" t="str">
        <f>HYPERLINK("https://otsuka-europe-crm.veevavault.com/ui/#object/sent_email__v/VBL000000002651", "SE-001379726")</f>
        <v>SE-001379726</v>
      </c>
      <c r="D22816" s="1">
        <v>45960.564722222225</v>
      </c>
      <c r="E22816" s="2">
        <v>1</v>
      </c>
      <c r="F22816" s="2">
        <v>1</v>
      </c>
      <c r="G22816" s="2">
        <v>1</v>
      </c>
      <c r="H22816" s="1">
        <v>45960.564722222225</v>
      </c>
      <c r="I22816" s="2">
        <v>1</v>
      </c>
      <c r="J22816" s="1">
        <v>45960.487025462964</v>
      </c>
    </row>
    <row r="22817" spans="1:10" x14ac:dyDescent="0.2">
      <c r="A22817" s="4" t="s">
        <v>1</v>
      </c>
      <c r="B2281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17" s="3" t="str">
        <f>HYPERLINK("https://otsuka-europe-crm.veevavault.com/ui/#object/sent_email__v/VBL000000002652", "SE-001379727")</f>
        <v>SE-001379727</v>
      </c>
      <c r="D22817" s="1" t="s">
        <v>0</v>
      </c>
      <c r="E22817" s="2">
        <v>0</v>
      </c>
      <c r="F22817" s="2">
        <v>0</v>
      </c>
      <c r="G22817" s="2">
        <v>0</v>
      </c>
      <c r="H22817" s="1" t="s">
        <v>0</v>
      </c>
      <c r="I22817" s="2">
        <v>0</v>
      </c>
      <c r="J22817" s="1">
        <v>45960.487060185187</v>
      </c>
    </row>
    <row r="22818" spans="1:10" x14ac:dyDescent="0.2">
      <c r="A22818" s="4" t="s">
        <v>1</v>
      </c>
      <c r="B2281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18" s="3" t="str">
        <f>HYPERLINK("https://otsuka-europe-crm.veevavault.com/ui/#object/sent_email__v/VBL000000002653", "SE-001379728")</f>
        <v>SE-001379728</v>
      </c>
      <c r="D22818" s="1" t="s">
        <v>0</v>
      </c>
      <c r="E22818" s="2">
        <v>0</v>
      </c>
      <c r="F22818" s="2">
        <v>0</v>
      </c>
      <c r="G22818" s="2">
        <v>0</v>
      </c>
      <c r="H22818" s="1" t="s">
        <v>0</v>
      </c>
      <c r="I22818" s="2">
        <v>0</v>
      </c>
      <c r="J22818" s="1">
        <v>45960.48710648148</v>
      </c>
    </row>
    <row r="22819" spans="1:10" x14ac:dyDescent="0.2">
      <c r="A22819" s="4" t="s">
        <v>1</v>
      </c>
      <c r="B2281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19" s="3" t="str">
        <f>HYPERLINK("https://otsuka-europe-crm.veevavault.com/ui/#object/sent_email__v/VBL000000002654", "SE-001379729")</f>
        <v>SE-001379729</v>
      </c>
      <c r="D22819" s="1">
        <v>45961.974027777775</v>
      </c>
      <c r="E22819" s="2">
        <v>1</v>
      </c>
      <c r="F22819" s="2">
        <v>2</v>
      </c>
      <c r="G22819" s="2">
        <v>0</v>
      </c>
      <c r="H22819" s="1" t="s">
        <v>0</v>
      </c>
      <c r="I22819" s="2">
        <v>0</v>
      </c>
      <c r="J22819" s="1">
        <v>45960.48715277778</v>
      </c>
    </row>
    <row r="22820" spans="1:10" x14ac:dyDescent="0.2">
      <c r="A22820" s="4" t="s">
        <v>1</v>
      </c>
      <c r="B2282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20" s="3" t="str">
        <f>HYPERLINK("https://otsuka-europe-crm.veevavault.com/ui/#object/sent_email__v/VBL000000002655", "SE-001379730")</f>
        <v>SE-001379730</v>
      </c>
      <c r="D22820" s="1" t="s">
        <v>0</v>
      </c>
      <c r="E22820" s="2">
        <v>0</v>
      </c>
      <c r="F22820" s="2">
        <v>0</v>
      </c>
      <c r="G22820" s="2">
        <v>0</v>
      </c>
      <c r="H22820" s="1" t="s">
        <v>0</v>
      </c>
      <c r="I22820" s="2">
        <v>0</v>
      </c>
      <c r="J22820" s="1">
        <v>45960.487187500003</v>
      </c>
    </row>
    <row r="22821" spans="1:10" x14ac:dyDescent="0.2">
      <c r="A22821" s="4" t="s">
        <v>1</v>
      </c>
      <c r="B2282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21" s="3" t="str">
        <f>HYPERLINK("https://otsuka-europe-crm.veevavault.com/ui/#object/sent_email__v/VBL000000002656", "SE-001379731")</f>
        <v>SE-001379731</v>
      </c>
      <c r="D22821" s="1">
        <v>45960.487430555557</v>
      </c>
      <c r="E22821" s="2">
        <v>1</v>
      </c>
      <c r="F22821" s="2">
        <v>2</v>
      </c>
      <c r="G22821" s="2">
        <v>1</v>
      </c>
      <c r="H22821" s="1">
        <v>45960.487407407411</v>
      </c>
      <c r="I22821" s="2">
        <v>10</v>
      </c>
      <c r="J22821" s="1">
        <v>45960.487233796295</v>
      </c>
    </row>
    <row r="22822" spans="1:10" x14ac:dyDescent="0.2">
      <c r="A22822" s="4" t="s">
        <v>1</v>
      </c>
      <c r="B2282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22" s="3" t="str">
        <f>HYPERLINK("https://otsuka-europe-crm.veevavault.com/ui/#object/sent_email__v/VBL000000002657", "SE-001379732")</f>
        <v>SE-001379732</v>
      </c>
      <c r="D22822" s="1" t="s">
        <v>0</v>
      </c>
      <c r="E22822" s="2">
        <v>0</v>
      </c>
      <c r="F22822" s="2">
        <v>0</v>
      </c>
      <c r="G22822" s="2">
        <v>0</v>
      </c>
      <c r="H22822" s="1" t="s">
        <v>0</v>
      </c>
      <c r="I22822" s="2">
        <v>0</v>
      </c>
      <c r="J22822" s="1">
        <v>45960.487268518518</v>
      </c>
    </row>
    <row r="22823" spans="1:10" x14ac:dyDescent="0.2">
      <c r="A22823" s="4" t="s">
        <v>1</v>
      </c>
      <c r="B2282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23" s="3" t="str">
        <f>HYPERLINK("https://otsuka-europe-crm.veevavault.com/ui/#object/sent_email__v/VBL000000002658", "SE-001379733")</f>
        <v>SE-001379733</v>
      </c>
      <c r="D22823" s="1" t="s">
        <v>0</v>
      </c>
      <c r="E22823" s="2">
        <v>0</v>
      </c>
      <c r="F22823" s="2">
        <v>0</v>
      </c>
      <c r="G22823" s="2">
        <v>0</v>
      </c>
      <c r="H22823" s="1" t="s">
        <v>0</v>
      </c>
      <c r="I22823" s="2">
        <v>0</v>
      </c>
      <c r="J22823" s="1">
        <v>45960.487303240741</v>
      </c>
    </row>
    <row r="22824" spans="1:10" x14ac:dyDescent="0.2">
      <c r="A22824" s="4" t="s">
        <v>1</v>
      </c>
      <c r="B2282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24" s="3" t="str">
        <f>HYPERLINK("https://otsuka-europe-crm.veevavault.com/ui/#object/sent_email__v/VBL000000002659", "SE-001379734")</f>
        <v>SE-001379734</v>
      </c>
      <c r="D22824" s="1">
        <v>45961.520995370367</v>
      </c>
      <c r="E22824" s="2">
        <v>1</v>
      </c>
      <c r="F22824" s="2">
        <v>2</v>
      </c>
      <c r="G22824" s="2">
        <v>0</v>
      </c>
      <c r="H22824" s="1" t="s">
        <v>0</v>
      </c>
      <c r="I22824" s="2">
        <v>0</v>
      </c>
      <c r="J22824" s="1">
        <v>45960.487349537034</v>
      </c>
    </row>
    <row r="22825" spans="1:10" x14ac:dyDescent="0.2">
      <c r="A22825" s="4" t="s">
        <v>1</v>
      </c>
      <c r="B2282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25" s="3" t="str">
        <f>HYPERLINK("https://otsuka-europe-crm.veevavault.com/ui/#object/sent_email__v/VBL000000002660", "SE-001379735")</f>
        <v>SE-001379735</v>
      </c>
      <c r="D22825" s="1">
        <v>45960.709351851852</v>
      </c>
      <c r="E22825" s="2">
        <v>1</v>
      </c>
      <c r="F22825" s="2">
        <v>1</v>
      </c>
      <c r="G22825" s="2">
        <v>0</v>
      </c>
      <c r="H22825" s="1" t="s">
        <v>0</v>
      </c>
      <c r="I22825" s="2">
        <v>0</v>
      </c>
      <c r="J22825" s="1">
        <v>45960.487384259257</v>
      </c>
    </row>
    <row r="22826" spans="1:10" x14ac:dyDescent="0.2">
      <c r="A22826" s="4" t="s">
        <v>1</v>
      </c>
      <c r="B2282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26" s="3" t="str">
        <f>HYPERLINK("https://otsuka-europe-crm.veevavault.com/ui/#object/sent_email__v/VBL000000002661", "SE-001379736")</f>
        <v>SE-001379736</v>
      </c>
      <c r="D22826" s="1">
        <v>45961.354722222219</v>
      </c>
      <c r="E22826" s="2">
        <v>1</v>
      </c>
      <c r="F22826" s="2">
        <v>2</v>
      </c>
      <c r="G22826" s="2">
        <v>0</v>
      </c>
      <c r="H22826" s="1" t="s">
        <v>0</v>
      </c>
      <c r="I22826" s="2">
        <v>0</v>
      </c>
      <c r="J22826" s="1">
        <v>45960.48741898148</v>
      </c>
    </row>
    <row r="22827" spans="1:10" x14ac:dyDescent="0.2">
      <c r="A22827" s="4" t="s">
        <v>1</v>
      </c>
      <c r="B2282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27" s="3" t="str">
        <f>HYPERLINK("https://otsuka-europe-crm.veevavault.com/ui/#object/sent_email__v/VBL000000002662", "SE-001379737")</f>
        <v>SE-001379737</v>
      </c>
      <c r="D22827" s="1">
        <v>45960.627824074072</v>
      </c>
      <c r="E22827" s="2">
        <v>1</v>
      </c>
      <c r="F22827" s="2">
        <v>1</v>
      </c>
      <c r="G22827" s="2">
        <v>0</v>
      </c>
      <c r="H22827" s="1" t="s">
        <v>0</v>
      </c>
      <c r="I22827" s="2">
        <v>0</v>
      </c>
      <c r="J22827" s="1">
        <v>45960.48746527778</v>
      </c>
    </row>
    <row r="22828" spans="1:10" x14ac:dyDescent="0.2">
      <c r="A22828" s="4" t="s">
        <v>1</v>
      </c>
      <c r="B22828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28" s="3" t="str">
        <f>HYPERLINK("https://otsuka-europe-crm.veevavault.com/ui/#object/sent_email__v/VBL000000002663", "SE-001379738")</f>
        <v>SE-001379738</v>
      </c>
      <c r="D22828" s="1">
        <v>45960.995486111111</v>
      </c>
      <c r="E22828" s="2">
        <v>1</v>
      </c>
      <c r="F22828" s="2">
        <v>1</v>
      </c>
      <c r="G22828" s="2">
        <v>0</v>
      </c>
      <c r="H22828" s="1" t="s">
        <v>0</v>
      </c>
      <c r="I22828" s="2">
        <v>0</v>
      </c>
      <c r="J22828" s="1">
        <v>45960.487500000003</v>
      </c>
    </row>
    <row r="22829" spans="1:10" x14ac:dyDescent="0.2">
      <c r="A22829" s="4" t="s">
        <v>1</v>
      </c>
      <c r="B22829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29" s="3" t="str">
        <f>HYPERLINK("https://otsuka-europe-crm.veevavault.com/ui/#object/sent_email__v/VBL000000002664", "SE-001379739")</f>
        <v>SE-001379739</v>
      </c>
      <c r="D22829" s="1" t="s">
        <v>0</v>
      </c>
      <c r="E22829" s="2">
        <v>0</v>
      </c>
      <c r="F22829" s="2">
        <v>0</v>
      </c>
      <c r="G22829" s="2">
        <v>0</v>
      </c>
      <c r="H22829" s="1" t="s">
        <v>0</v>
      </c>
      <c r="I22829" s="2">
        <v>0</v>
      </c>
      <c r="J22829" s="1">
        <v>45960.487546296295</v>
      </c>
    </row>
    <row r="22830" spans="1:10" x14ac:dyDescent="0.2">
      <c r="A22830" s="4" t="s">
        <v>1</v>
      </c>
      <c r="B22830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30" s="3" t="str">
        <f>HYPERLINK("https://otsuka-europe-crm.veevavault.com/ui/#object/sent_email__v/VBL000000002665", "SE-001379740")</f>
        <v>SE-001379740</v>
      </c>
      <c r="D22830" s="1">
        <v>45965.702199074076</v>
      </c>
      <c r="E22830" s="2">
        <v>1</v>
      </c>
      <c r="F22830" s="2">
        <v>3</v>
      </c>
      <c r="G22830" s="2">
        <v>0</v>
      </c>
      <c r="H22830" s="1" t="s">
        <v>0</v>
      </c>
      <c r="I22830" s="2">
        <v>0</v>
      </c>
      <c r="J22830" s="1">
        <v>45960.487581018519</v>
      </c>
    </row>
    <row r="22831" spans="1:10" x14ac:dyDescent="0.2">
      <c r="A22831" s="4" t="s">
        <v>1</v>
      </c>
      <c r="B22831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31" s="3" t="str">
        <f>HYPERLINK("https://otsuka-europe-crm.veevavault.com/ui/#object/sent_email__v/VBL000000002666", "SE-001379741")</f>
        <v>SE-001379741</v>
      </c>
      <c r="D22831" s="1">
        <v>45960.487800925926</v>
      </c>
      <c r="E22831" s="2">
        <v>1</v>
      </c>
      <c r="F22831" s="2">
        <v>3</v>
      </c>
      <c r="G22831" s="2">
        <v>1</v>
      </c>
      <c r="H22831" s="1">
        <v>45960.48778935185</v>
      </c>
      <c r="I22831" s="2">
        <v>10</v>
      </c>
      <c r="J22831" s="1">
        <v>45960.487627314818</v>
      </c>
    </row>
    <row r="22832" spans="1:10" x14ac:dyDescent="0.2">
      <c r="A22832" s="4" t="s">
        <v>1</v>
      </c>
      <c r="B22832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32" s="3" t="str">
        <f>HYPERLINK("https://otsuka-europe-crm.veevavault.com/ui/#object/sent_email__v/VBL000000002667", "SE-001379742")</f>
        <v>SE-001379742</v>
      </c>
      <c r="D22832" s="1">
        <v>45960.648344907408</v>
      </c>
      <c r="E22832" s="2">
        <v>1</v>
      </c>
      <c r="F22832" s="2">
        <v>1</v>
      </c>
      <c r="G22832" s="2">
        <v>0</v>
      </c>
      <c r="H22832" s="1" t="s">
        <v>0</v>
      </c>
      <c r="I22832" s="2">
        <v>0</v>
      </c>
      <c r="J22832" s="1">
        <v>45960.487662037034</v>
      </c>
    </row>
    <row r="22833" spans="1:10" x14ac:dyDescent="0.2">
      <c r="A22833" s="4" t="s">
        <v>1</v>
      </c>
      <c r="B22833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33" s="3" t="str">
        <f>HYPERLINK("https://otsuka-europe-crm.veevavault.com/ui/#object/sent_email__v/VBL000000002668", "SE-001379743")</f>
        <v>SE-001379743</v>
      </c>
      <c r="D22833" s="1">
        <v>45988.781273148146</v>
      </c>
      <c r="E22833" s="2">
        <v>1</v>
      </c>
      <c r="F22833" s="2">
        <v>3</v>
      </c>
      <c r="G22833" s="2">
        <v>0</v>
      </c>
      <c r="H22833" s="1" t="s">
        <v>0</v>
      </c>
      <c r="I22833" s="2">
        <v>0</v>
      </c>
      <c r="J22833" s="1">
        <v>45960.487719907411</v>
      </c>
    </row>
    <row r="22834" spans="1:10" x14ac:dyDescent="0.2">
      <c r="A22834" s="4" t="s">
        <v>1</v>
      </c>
      <c r="B22834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34" s="3" t="str">
        <f>HYPERLINK("https://otsuka-europe-crm.veevavault.com/ui/#object/sent_email__v/VBL000000002669", "SE-001379744")</f>
        <v>SE-001379744</v>
      </c>
      <c r="D22834" s="1">
        <v>45960.487824074073</v>
      </c>
      <c r="E22834" s="2">
        <v>1</v>
      </c>
      <c r="F22834" s="2">
        <v>1</v>
      </c>
      <c r="G22834" s="2">
        <v>0</v>
      </c>
      <c r="H22834" s="1" t="s">
        <v>0</v>
      </c>
      <c r="I22834" s="2">
        <v>0</v>
      </c>
      <c r="J22834" s="1">
        <v>45960.487743055557</v>
      </c>
    </row>
    <row r="22835" spans="1:10" x14ac:dyDescent="0.2">
      <c r="A22835" s="4" t="s">
        <v>1</v>
      </c>
      <c r="B22835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35" s="3" t="str">
        <f>HYPERLINK("https://otsuka-europe-crm.veevavault.com/ui/#object/sent_email__v/VBL000000002670", "SE-001379745")</f>
        <v>SE-001379745</v>
      </c>
      <c r="D22835" s="1">
        <v>45983.0778125</v>
      </c>
      <c r="E22835" s="2">
        <v>1</v>
      </c>
      <c r="F22835" s="2">
        <v>2</v>
      </c>
      <c r="G22835" s="2">
        <v>0</v>
      </c>
      <c r="H22835" s="1" t="s">
        <v>0</v>
      </c>
      <c r="I22835" s="2">
        <v>0</v>
      </c>
      <c r="J22835" s="1">
        <v>45960.48777777778</v>
      </c>
    </row>
    <row r="22836" spans="1:10" x14ac:dyDescent="0.2">
      <c r="A22836" s="4" t="s">
        <v>1</v>
      </c>
      <c r="B22836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36" s="3" t="str">
        <f>HYPERLINK("https://otsuka-europe-crm.veevavault.com/ui/#object/sent_email__v/VBL000000002671", "SE-001379746")</f>
        <v>SE-001379746</v>
      </c>
      <c r="D22836" s="1">
        <v>45960.659583333334</v>
      </c>
      <c r="E22836" s="2">
        <v>1</v>
      </c>
      <c r="F22836" s="2">
        <v>1</v>
      </c>
      <c r="G22836" s="2">
        <v>0</v>
      </c>
      <c r="H22836" s="1" t="s">
        <v>0</v>
      </c>
      <c r="I22836" s="2">
        <v>0</v>
      </c>
      <c r="J22836" s="1">
        <v>45960.487870370373</v>
      </c>
    </row>
    <row r="22837" spans="1:10" x14ac:dyDescent="0.2">
      <c r="A22837" s="4" t="s">
        <v>1</v>
      </c>
      <c r="B22837" s="3" t="str">
        <f>HYPERLINK("https://otsuka-europe-crm.veevavault.com/ui/#object/approved_document__v/V5OZ025E82TMV96", "RXULTI - Programa webinar Neurocienas Lanzamiento Indicación adolescente")</f>
        <v>RXULTI - Programa webinar Neurocienas Lanzamiento Indicación adolescente</v>
      </c>
      <c r="C22837" s="3" t="str">
        <f>HYPERLINK("https://otsuka-europe-crm.veevavault.com/ui/#object/sent_email__v/VBL000000002672", "SE-001379747")</f>
        <v>SE-001379747</v>
      </c>
      <c r="D22837" s="1">
        <v>45987.310254629629</v>
      </c>
      <c r="E22837" s="2">
        <v>1</v>
      </c>
      <c r="F22837" s="2">
        <v>3</v>
      </c>
      <c r="G22837" s="2">
        <v>0</v>
      </c>
      <c r="H22837" s="1" t="s">
        <v>0</v>
      </c>
      <c r="I22837" s="2">
        <v>0</v>
      </c>
      <c r="J22837" s="1">
        <v>45960.487928240742</v>
      </c>
    </row>
    <row r="22838" spans="1:10" x14ac:dyDescent="0.2">
      <c r="A22838" s="4" t="s">
        <v>1</v>
      </c>
      <c r="B2283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38" s="3" t="str">
        <f>HYPERLINK("https://otsuka-europe-crm.veevavault.com/ui/#object/sent_email__v/VBL000000002507", "SE-001379285")</f>
        <v>SE-001379285</v>
      </c>
      <c r="D22838" s="1" t="s">
        <v>0</v>
      </c>
      <c r="E22838" s="2">
        <v>0</v>
      </c>
      <c r="F22838" s="2">
        <v>0</v>
      </c>
      <c r="G22838" s="2">
        <v>0</v>
      </c>
      <c r="H22838" s="1" t="s">
        <v>0</v>
      </c>
      <c r="I22838" s="2">
        <v>0</v>
      </c>
      <c r="J22838" s="1">
        <v>45960.299097222225</v>
      </c>
    </row>
    <row r="22839" spans="1:10" x14ac:dyDescent="0.2">
      <c r="A22839" s="4" t="s">
        <v>1</v>
      </c>
      <c r="B2283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39" s="3" t="str">
        <f>HYPERLINK("https://otsuka-europe-crm.veevavault.com/ui/#object/sent_email__v/VBL000000002509", "SE-001379431")</f>
        <v>SE-001379431</v>
      </c>
      <c r="D22839" s="1" t="s">
        <v>0</v>
      </c>
      <c r="E22839" s="2">
        <v>0</v>
      </c>
      <c r="F22839" s="2">
        <v>0</v>
      </c>
      <c r="G22839" s="2">
        <v>0</v>
      </c>
      <c r="H22839" s="1" t="s">
        <v>0</v>
      </c>
      <c r="I22839" s="2">
        <v>0</v>
      </c>
      <c r="J22839" s="1">
        <v>45960.347199074073</v>
      </c>
    </row>
    <row r="22840" spans="1:10" x14ac:dyDescent="0.2">
      <c r="A22840" s="4" t="s">
        <v>1</v>
      </c>
      <c r="B2284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40" s="3" t="str">
        <f>HYPERLINK("https://otsuka-europe-crm.veevavault.com/ui/#object/sent_email__v/VBL000000003523", "SE-001379530")</f>
        <v>SE-001379530</v>
      </c>
      <c r="D22840" s="1" t="s">
        <v>0</v>
      </c>
      <c r="E22840" s="2">
        <v>0</v>
      </c>
      <c r="F22840" s="2">
        <v>0</v>
      </c>
      <c r="G22840" s="2">
        <v>0</v>
      </c>
      <c r="H22840" s="1" t="s">
        <v>0</v>
      </c>
      <c r="I22840" s="2">
        <v>0</v>
      </c>
      <c r="J22840" s="1">
        <v>45960.433217592596</v>
      </c>
    </row>
    <row r="22841" spans="1:10" x14ac:dyDescent="0.2">
      <c r="A22841" s="4" t="s">
        <v>1</v>
      </c>
      <c r="B2284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41" s="3" t="str">
        <f>HYPERLINK("https://otsuka-europe-crm.veevavault.com/ui/#object/sent_email__v/VBL000000003524", "SE-001379531")</f>
        <v>SE-001379531</v>
      </c>
      <c r="D22841" s="1" t="s">
        <v>0</v>
      </c>
      <c r="E22841" s="2">
        <v>0</v>
      </c>
      <c r="F22841" s="2">
        <v>0</v>
      </c>
      <c r="G22841" s="2">
        <v>0</v>
      </c>
      <c r="H22841" s="1" t="s">
        <v>0</v>
      </c>
      <c r="I22841" s="2">
        <v>0</v>
      </c>
      <c r="J22841" s="1">
        <v>45960.433229166665</v>
      </c>
    </row>
    <row r="22842" spans="1:10" x14ac:dyDescent="0.2">
      <c r="A22842" s="4" t="s">
        <v>1</v>
      </c>
      <c r="B2284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42" s="3" t="str">
        <f>HYPERLINK("https://otsuka-europe-crm.veevavault.com/ui/#object/sent_email__v/VBL000000003525", "SE-001379532")</f>
        <v>SE-001379532</v>
      </c>
      <c r="D22842" s="1" t="s">
        <v>0</v>
      </c>
      <c r="E22842" s="2">
        <v>0</v>
      </c>
      <c r="F22842" s="2">
        <v>0</v>
      </c>
      <c r="G22842" s="2">
        <v>0</v>
      </c>
      <c r="H22842" s="1" t="s">
        <v>0</v>
      </c>
      <c r="I22842" s="2">
        <v>0</v>
      </c>
      <c r="J22842" s="1">
        <v>45960.433240740742</v>
      </c>
    </row>
    <row r="22843" spans="1:10" x14ac:dyDescent="0.2">
      <c r="A22843" s="4" t="s">
        <v>1</v>
      </c>
      <c r="B2284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43" s="3" t="str">
        <f>HYPERLINK("https://otsuka-europe-crm.veevavault.com/ui/#object/sent_email__v/VBL000000003526", "SE-001379533")</f>
        <v>SE-001379533</v>
      </c>
      <c r="D22843" s="1" t="s">
        <v>0</v>
      </c>
      <c r="E22843" s="2">
        <v>0</v>
      </c>
      <c r="F22843" s="2">
        <v>0</v>
      </c>
      <c r="G22843" s="2">
        <v>0</v>
      </c>
      <c r="H22843" s="1" t="s">
        <v>0</v>
      </c>
      <c r="I22843" s="2">
        <v>0</v>
      </c>
      <c r="J22843" s="1">
        <v>45960.433217592596</v>
      </c>
    </row>
    <row r="22844" spans="1:10" x14ac:dyDescent="0.2">
      <c r="A22844" s="4" t="s">
        <v>1</v>
      </c>
      <c r="B2284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44" s="3" t="str">
        <f>HYPERLINK("https://otsuka-europe-crm.veevavault.com/ui/#object/sent_email__v/VBL000000003527", "SE-001379534")</f>
        <v>SE-001379534</v>
      </c>
      <c r="D22844" s="1" t="s">
        <v>0</v>
      </c>
      <c r="E22844" s="2">
        <v>0</v>
      </c>
      <c r="F22844" s="2">
        <v>0</v>
      </c>
      <c r="G22844" s="2">
        <v>0</v>
      </c>
      <c r="H22844" s="1" t="s">
        <v>0</v>
      </c>
      <c r="I22844" s="2">
        <v>0</v>
      </c>
      <c r="J22844" s="1">
        <v>45960.433217592596</v>
      </c>
    </row>
    <row r="22845" spans="1:10" x14ac:dyDescent="0.2">
      <c r="A22845" s="4" t="s">
        <v>1</v>
      </c>
      <c r="B2284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45" s="3" t="str">
        <f>HYPERLINK("https://otsuka-europe-crm.veevavault.com/ui/#object/sent_email__v/VBL000000003528", "SE-001379535")</f>
        <v>SE-001379535</v>
      </c>
      <c r="D22845" s="1" t="s">
        <v>0</v>
      </c>
      <c r="E22845" s="2">
        <v>0</v>
      </c>
      <c r="F22845" s="2">
        <v>0</v>
      </c>
      <c r="G22845" s="2">
        <v>0</v>
      </c>
      <c r="H22845" s="1" t="s">
        <v>0</v>
      </c>
      <c r="I22845" s="2">
        <v>0</v>
      </c>
      <c r="J22845" s="1">
        <v>45960.433217592596</v>
      </c>
    </row>
    <row r="22846" spans="1:10" x14ac:dyDescent="0.2">
      <c r="A22846" s="4" t="s">
        <v>1</v>
      </c>
      <c r="B2284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46" s="3" t="str">
        <f>HYPERLINK("https://otsuka-europe-crm.veevavault.com/ui/#object/sent_email__v/VBL000000003529", "SE-001379536")</f>
        <v>SE-001379536</v>
      </c>
      <c r="D22846" s="1" t="s">
        <v>0</v>
      </c>
      <c r="E22846" s="2">
        <v>0</v>
      </c>
      <c r="F22846" s="2">
        <v>0</v>
      </c>
      <c r="G22846" s="2">
        <v>0</v>
      </c>
      <c r="H22846" s="1" t="s">
        <v>0</v>
      </c>
      <c r="I22846" s="2">
        <v>0</v>
      </c>
      <c r="J22846" s="1">
        <v>45960.433229166665</v>
      </c>
    </row>
    <row r="22847" spans="1:10" x14ac:dyDescent="0.2">
      <c r="A22847" s="4" t="s">
        <v>1</v>
      </c>
      <c r="B2284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47" s="3" t="str">
        <f>HYPERLINK("https://otsuka-europe-crm.veevavault.com/ui/#object/sent_email__v/VBL000000003530", "SE-001379537")</f>
        <v>SE-001379537</v>
      </c>
      <c r="D22847" s="1" t="s">
        <v>0</v>
      </c>
      <c r="E22847" s="2">
        <v>0</v>
      </c>
      <c r="F22847" s="2">
        <v>0</v>
      </c>
      <c r="G22847" s="2">
        <v>0</v>
      </c>
      <c r="H22847" s="1" t="s">
        <v>0</v>
      </c>
      <c r="I22847" s="2">
        <v>0</v>
      </c>
      <c r="J22847" s="1">
        <v>45960.433240740742</v>
      </c>
    </row>
    <row r="22848" spans="1:10" x14ac:dyDescent="0.2">
      <c r="A22848" s="4" t="s">
        <v>1</v>
      </c>
      <c r="B2284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48" s="3" t="str">
        <f>HYPERLINK("https://otsuka-europe-crm.veevavault.com/ui/#object/sent_email__v/VBL000000003531", "SE-001379538")</f>
        <v>SE-001379538</v>
      </c>
      <c r="D22848" s="1" t="s">
        <v>0</v>
      </c>
      <c r="E22848" s="2">
        <v>0</v>
      </c>
      <c r="F22848" s="2">
        <v>0</v>
      </c>
      <c r="G22848" s="2">
        <v>0</v>
      </c>
      <c r="H22848" s="1" t="s">
        <v>0</v>
      </c>
      <c r="I22848" s="2">
        <v>0</v>
      </c>
      <c r="J22848" s="1">
        <v>45960.433217592596</v>
      </c>
    </row>
    <row r="22849" spans="1:10" x14ac:dyDescent="0.2">
      <c r="A22849" s="4" t="s">
        <v>1</v>
      </c>
      <c r="B2284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49" s="3" t="str">
        <f>HYPERLINK("https://otsuka-europe-crm.veevavault.com/ui/#object/sent_email__v/VBL000000003532", "SE-001379539")</f>
        <v>SE-001379539</v>
      </c>
      <c r="D22849" s="1" t="s">
        <v>0</v>
      </c>
      <c r="E22849" s="2">
        <v>0</v>
      </c>
      <c r="F22849" s="2">
        <v>0</v>
      </c>
      <c r="G22849" s="2">
        <v>0</v>
      </c>
      <c r="H22849" s="1" t="s">
        <v>0</v>
      </c>
      <c r="I22849" s="2">
        <v>0</v>
      </c>
      <c r="J22849" s="1">
        <v>45960.433240740742</v>
      </c>
    </row>
    <row r="22850" spans="1:10" x14ac:dyDescent="0.2">
      <c r="A22850" s="4" t="s">
        <v>1</v>
      </c>
      <c r="B2285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50" s="3" t="str">
        <f>HYPERLINK("https://otsuka-europe-crm.veevavault.com/ui/#object/sent_email__v/VBL000000003533", "SE-001379540")</f>
        <v>SE-001379540</v>
      </c>
      <c r="D22850" s="1" t="s">
        <v>0</v>
      </c>
      <c r="E22850" s="2">
        <v>0</v>
      </c>
      <c r="F22850" s="2">
        <v>0</v>
      </c>
      <c r="G22850" s="2">
        <v>0</v>
      </c>
      <c r="H22850" s="1" t="s">
        <v>0</v>
      </c>
      <c r="I22850" s="2">
        <v>0</v>
      </c>
      <c r="J22850" s="1">
        <v>45960.433217592596</v>
      </c>
    </row>
    <row r="22851" spans="1:10" x14ac:dyDescent="0.2">
      <c r="A22851" s="4" t="s">
        <v>1</v>
      </c>
      <c r="B2285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51" s="3" t="str">
        <f>HYPERLINK("https://otsuka-europe-crm.veevavault.com/ui/#object/sent_email__v/VBL000000003534", "SE-001379541")</f>
        <v>SE-001379541</v>
      </c>
      <c r="D22851" s="1" t="s">
        <v>0</v>
      </c>
      <c r="E22851" s="2">
        <v>0</v>
      </c>
      <c r="F22851" s="2">
        <v>0</v>
      </c>
      <c r="G22851" s="2">
        <v>0</v>
      </c>
      <c r="H22851" s="1" t="s">
        <v>0</v>
      </c>
      <c r="I22851" s="2">
        <v>0</v>
      </c>
      <c r="J22851" s="1">
        <v>45960.433229166665</v>
      </c>
    </row>
    <row r="22852" spans="1:10" x14ac:dyDescent="0.2">
      <c r="A22852" s="4" t="s">
        <v>1</v>
      </c>
      <c r="B2285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52" s="3" t="str">
        <f>HYPERLINK("https://otsuka-europe-crm.veevavault.com/ui/#object/sent_email__v/VBL000000003535", "SE-001379542")</f>
        <v>SE-001379542</v>
      </c>
      <c r="D22852" s="1" t="s">
        <v>0</v>
      </c>
      <c r="E22852" s="2">
        <v>0</v>
      </c>
      <c r="F22852" s="2">
        <v>0</v>
      </c>
      <c r="G22852" s="2">
        <v>0</v>
      </c>
      <c r="H22852" s="1" t="s">
        <v>0</v>
      </c>
      <c r="I22852" s="2">
        <v>0</v>
      </c>
      <c r="J22852" s="1">
        <v>45960.433240740742</v>
      </c>
    </row>
    <row r="22853" spans="1:10" x14ac:dyDescent="0.2">
      <c r="A22853" s="4" t="s">
        <v>1</v>
      </c>
      <c r="B2285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53" s="3" t="str">
        <f>HYPERLINK("https://otsuka-europe-crm.veevavault.com/ui/#object/sent_email__v/VBL000000003536", "SE-001379543")</f>
        <v>SE-001379543</v>
      </c>
      <c r="D22853" s="1" t="s">
        <v>0</v>
      </c>
      <c r="E22853" s="2">
        <v>0</v>
      </c>
      <c r="F22853" s="2">
        <v>0</v>
      </c>
      <c r="G22853" s="2">
        <v>0</v>
      </c>
      <c r="H22853" s="1" t="s">
        <v>0</v>
      </c>
      <c r="I22853" s="2">
        <v>0</v>
      </c>
      <c r="J22853" s="1">
        <v>45960.433229166665</v>
      </c>
    </row>
    <row r="22854" spans="1:10" x14ac:dyDescent="0.2">
      <c r="A22854" s="4" t="s">
        <v>1</v>
      </c>
      <c r="B2285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54" s="3" t="str">
        <f>HYPERLINK("https://otsuka-europe-crm.veevavault.com/ui/#object/sent_email__v/VBL000000003537", "SE-001379544")</f>
        <v>SE-001379544</v>
      </c>
      <c r="D22854" s="1" t="s">
        <v>0</v>
      </c>
      <c r="E22854" s="2">
        <v>0</v>
      </c>
      <c r="F22854" s="2">
        <v>0</v>
      </c>
      <c r="G22854" s="2">
        <v>0</v>
      </c>
      <c r="H22854" s="1" t="s">
        <v>0</v>
      </c>
      <c r="I22854" s="2">
        <v>0</v>
      </c>
      <c r="J22854" s="1">
        <v>45960.433240740742</v>
      </c>
    </row>
    <row r="22855" spans="1:10" x14ac:dyDescent="0.2">
      <c r="A22855" s="4" t="s">
        <v>1</v>
      </c>
      <c r="B2285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55" s="3" t="str">
        <f>HYPERLINK("https://otsuka-europe-crm.veevavault.com/ui/#object/sent_email__v/VBL000000003538", "SE-001379545")</f>
        <v>SE-001379545</v>
      </c>
      <c r="D22855" s="1" t="s">
        <v>0</v>
      </c>
      <c r="E22855" s="2">
        <v>0</v>
      </c>
      <c r="F22855" s="2">
        <v>0</v>
      </c>
      <c r="G22855" s="2">
        <v>0</v>
      </c>
      <c r="H22855" s="1" t="s">
        <v>0</v>
      </c>
      <c r="I22855" s="2">
        <v>0</v>
      </c>
      <c r="J22855" s="1">
        <v>45960.433229166665</v>
      </c>
    </row>
    <row r="22856" spans="1:10" x14ac:dyDescent="0.2">
      <c r="A22856" s="4" t="s">
        <v>1</v>
      </c>
      <c r="B2285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56" s="3" t="str">
        <f>HYPERLINK("https://otsuka-europe-crm.veevavault.com/ui/#object/sent_email__v/VBL000000003539", "SE-001379546")</f>
        <v>SE-001379546</v>
      </c>
      <c r="D22856" s="1" t="s">
        <v>0</v>
      </c>
      <c r="E22856" s="2">
        <v>0</v>
      </c>
      <c r="F22856" s="2">
        <v>0</v>
      </c>
      <c r="G22856" s="2">
        <v>0</v>
      </c>
      <c r="H22856" s="1" t="s">
        <v>0</v>
      </c>
      <c r="I22856" s="2">
        <v>0</v>
      </c>
      <c r="J22856" s="1">
        <v>45960.433229166665</v>
      </c>
    </row>
    <row r="22857" spans="1:10" x14ac:dyDescent="0.2">
      <c r="A22857" s="4" t="s">
        <v>1</v>
      </c>
      <c r="B2285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57" s="3" t="str">
        <f>HYPERLINK("https://otsuka-europe-crm.veevavault.com/ui/#object/sent_email__v/VBL000000003540", "SE-001379547")</f>
        <v>SE-001379547</v>
      </c>
      <c r="D22857" s="1" t="s">
        <v>0</v>
      </c>
      <c r="E22857" s="2">
        <v>0</v>
      </c>
      <c r="F22857" s="2">
        <v>0</v>
      </c>
      <c r="G22857" s="2">
        <v>0</v>
      </c>
      <c r="H22857" s="1" t="s">
        <v>0</v>
      </c>
      <c r="I22857" s="2">
        <v>0</v>
      </c>
      <c r="J22857" s="1">
        <v>45960.433240740742</v>
      </c>
    </row>
    <row r="22858" spans="1:10" x14ac:dyDescent="0.2">
      <c r="A22858" s="4" t="s">
        <v>1</v>
      </c>
      <c r="B2285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58" s="3" t="str">
        <f>HYPERLINK("https://otsuka-europe-crm.veevavault.com/ui/#object/sent_email__v/VBL000000003541", "SE-001379548")</f>
        <v>SE-001379548</v>
      </c>
      <c r="D22858" s="1" t="s">
        <v>0</v>
      </c>
      <c r="E22858" s="2">
        <v>0</v>
      </c>
      <c r="F22858" s="2">
        <v>0</v>
      </c>
      <c r="G22858" s="2">
        <v>0</v>
      </c>
      <c r="H22858" s="1" t="s">
        <v>0</v>
      </c>
      <c r="I22858" s="2">
        <v>0</v>
      </c>
      <c r="J22858" s="1">
        <v>45960.433229166665</v>
      </c>
    </row>
    <row r="22859" spans="1:10" x14ac:dyDescent="0.2">
      <c r="A22859" s="4" t="s">
        <v>1</v>
      </c>
      <c r="B2285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59" s="3" t="str">
        <f>HYPERLINK("https://otsuka-europe-crm.veevavault.com/ui/#object/sent_email__v/VBL000000003542", "SE-001379549")</f>
        <v>SE-001379549</v>
      </c>
      <c r="D22859" s="1" t="s">
        <v>0</v>
      </c>
      <c r="E22859" s="2">
        <v>0</v>
      </c>
      <c r="F22859" s="2">
        <v>0</v>
      </c>
      <c r="G22859" s="2">
        <v>0</v>
      </c>
      <c r="H22859" s="1" t="s">
        <v>0</v>
      </c>
      <c r="I22859" s="2">
        <v>0</v>
      </c>
      <c r="J22859" s="1">
        <v>45960.433240740742</v>
      </c>
    </row>
    <row r="22860" spans="1:10" x14ac:dyDescent="0.2">
      <c r="A22860" s="4" t="s">
        <v>1</v>
      </c>
      <c r="B2286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60" s="3" t="str">
        <f>HYPERLINK("https://otsuka-europe-crm.veevavault.com/ui/#object/sent_email__v/VBL000000003543", "SE-001379550")</f>
        <v>SE-001379550</v>
      </c>
      <c r="D22860" s="1" t="s">
        <v>0</v>
      </c>
      <c r="E22860" s="2">
        <v>0</v>
      </c>
      <c r="F22860" s="2">
        <v>0</v>
      </c>
      <c r="G22860" s="2">
        <v>0</v>
      </c>
      <c r="H22860" s="1" t="s">
        <v>0</v>
      </c>
      <c r="I22860" s="2">
        <v>0</v>
      </c>
      <c r="J22860" s="1">
        <v>45960.433240740742</v>
      </c>
    </row>
    <row r="22861" spans="1:10" x14ac:dyDescent="0.2">
      <c r="A22861" s="4" t="s">
        <v>1</v>
      </c>
      <c r="B2286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61" s="3" t="str">
        <f>HYPERLINK("https://otsuka-europe-crm.veevavault.com/ui/#object/sent_email__v/VBL000000003544", "SE-001379551")</f>
        <v>SE-001379551</v>
      </c>
      <c r="D22861" s="1" t="s">
        <v>0</v>
      </c>
      <c r="E22861" s="2">
        <v>0</v>
      </c>
      <c r="F22861" s="2">
        <v>0</v>
      </c>
      <c r="G22861" s="2">
        <v>0</v>
      </c>
      <c r="H22861" s="1" t="s">
        <v>0</v>
      </c>
      <c r="I22861" s="2">
        <v>0</v>
      </c>
      <c r="J22861" s="1">
        <v>45960.433240740742</v>
      </c>
    </row>
    <row r="22862" spans="1:10" x14ac:dyDescent="0.2">
      <c r="A22862" s="4" t="s">
        <v>1</v>
      </c>
      <c r="B2286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62" s="3" t="str">
        <f>HYPERLINK("https://otsuka-europe-crm.veevavault.com/ui/#object/sent_email__v/VBL000000003545", "SE-001379552")</f>
        <v>SE-001379552</v>
      </c>
      <c r="D22862" s="1" t="s">
        <v>0</v>
      </c>
      <c r="E22862" s="2">
        <v>0</v>
      </c>
      <c r="F22862" s="2">
        <v>0</v>
      </c>
      <c r="G22862" s="2">
        <v>0</v>
      </c>
      <c r="H22862" s="1" t="s">
        <v>0</v>
      </c>
      <c r="I22862" s="2">
        <v>0</v>
      </c>
      <c r="J22862" s="1">
        <v>45960.433240740742</v>
      </c>
    </row>
    <row r="22863" spans="1:10" x14ac:dyDescent="0.2">
      <c r="A22863" s="4" t="s">
        <v>1</v>
      </c>
      <c r="B2286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63" s="3" t="str">
        <f>HYPERLINK("https://otsuka-europe-crm.veevavault.com/ui/#object/sent_email__v/VBL000000003546", "SE-001379553")</f>
        <v>SE-001379553</v>
      </c>
      <c r="D22863" s="1" t="s">
        <v>0</v>
      </c>
      <c r="E22863" s="2">
        <v>0</v>
      </c>
      <c r="F22863" s="2">
        <v>0</v>
      </c>
      <c r="G22863" s="2">
        <v>0</v>
      </c>
      <c r="H22863" s="1" t="s">
        <v>0</v>
      </c>
      <c r="I22863" s="2">
        <v>0</v>
      </c>
      <c r="J22863" s="1">
        <v>45960.433229166665</v>
      </c>
    </row>
    <row r="22864" spans="1:10" x14ac:dyDescent="0.2">
      <c r="A22864" s="4" t="s">
        <v>1</v>
      </c>
      <c r="B2286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64" s="3" t="str">
        <f>HYPERLINK("https://otsuka-europe-crm.veevavault.com/ui/#object/sent_email__v/VBL000000003547", "SE-001379554")</f>
        <v>SE-001379554</v>
      </c>
      <c r="D22864" s="1" t="s">
        <v>0</v>
      </c>
      <c r="E22864" s="2">
        <v>0</v>
      </c>
      <c r="F22864" s="2">
        <v>0</v>
      </c>
      <c r="G22864" s="2">
        <v>0</v>
      </c>
      <c r="H22864" s="1" t="s">
        <v>0</v>
      </c>
      <c r="I22864" s="2">
        <v>0</v>
      </c>
      <c r="J22864" s="1">
        <v>45960.433240740742</v>
      </c>
    </row>
    <row r="22865" spans="1:10" x14ac:dyDescent="0.2">
      <c r="A22865" s="4" t="s">
        <v>1</v>
      </c>
      <c r="B2286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65" s="3" t="str">
        <f>HYPERLINK("https://otsuka-europe-crm.veevavault.com/ui/#object/sent_email__v/VBL000000003548", "SE-001379555")</f>
        <v>SE-001379555</v>
      </c>
      <c r="D22865" s="1" t="s">
        <v>0</v>
      </c>
      <c r="E22865" s="2">
        <v>0</v>
      </c>
      <c r="F22865" s="2">
        <v>0</v>
      </c>
      <c r="G22865" s="2">
        <v>0</v>
      </c>
      <c r="H22865" s="1" t="s">
        <v>0</v>
      </c>
      <c r="I22865" s="2">
        <v>0</v>
      </c>
      <c r="J22865" s="1">
        <v>45960.433240740742</v>
      </c>
    </row>
    <row r="22866" spans="1:10" x14ac:dyDescent="0.2">
      <c r="A22866" s="4" t="s">
        <v>1</v>
      </c>
      <c r="B2286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66" s="3" t="str">
        <f>HYPERLINK("https://otsuka-europe-crm.veevavault.com/ui/#object/sent_email__v/VBL000000003549", "SE-001379556")</f>
        <v>SE-001379556</v>
      </c>
      <c r="D22866" s="1" t="s">
        <v>0</v>
      </c>
      <c r="E22866" s="2">
        <v>0</v>
      </c>
      <c r="F22866" s="2">
        <v>0</v>
      </c>
      <c r="G22866" s="2">
        <v>0</v>
      </c>
      <c r="H22866" s="1" t="s">
        <v>0</v>
      </c>
      <c r="I22866" s="2">
        <v>0</v>
      </c>
      <c r="J22866" s="1">
        <v>45960.433240740742</v>
      </c>
    </row>
    <row r="22867" spans="1:10" x14ac:dyDescent="0.2">
      <c r="A22867" s="4" t="s">
        <v>1</v>
      </c>
      <c r="B2286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67" s="3" t="str">
        <f>HYPERLINK("https://otsuka-europe-crm.veevavault.com/ui/#object/sent_email__v/VBL000000003550", "SE-001379557")</f>
        <v>SE-001379557</v>
      </c>
      <c r="D22867" s="1" t="s">
        <v>0</v>
      </c>
      <c r="E22867" s="2">
        <v>0</v>
      </c>
      <c r="F22867" s="2">
        <v>0</v>
      </c>
      <c r="G22867" s="2">
        <v>0</v>
      </c>
      <c r="H22867" s="1" t="s">
        <v>0</v>
      </c>
      <c r="I22867" s="2">
        <v>0</v>
      </c>
      <c r="J22867" s="1">
        <v>45960.433240740742</v>
      </c>
    </row>
    <row r="22868" spans="1:10" x14ac:dyDescent="0.2">
      <c r="A22868" s="4" t="s">
        <v>1</v>
      </c>
      <c r="B2286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68" s="3" t="str">
        <f>HYPERLINK("https://otsuka-europe-crm.veevavault.com/ui/#object/sent_email__v/VBL000000003551", "SE-001379558")</f>
        <v>SE-001379558</v>
      </c>
      <c r="D22868" s="1" t="s">
        <v>0</v>
      </c>
      <c r="E22868" s="2">
        <v>0</v>
      </c>
      <c r="F22868" s="2">
        <v>0</v>
      </c>
      <c r="G22868" s="2">
        <v>0</v>
      </c>
      <c r="H22868" s="1" t="s">
        <v>0</v>
      </c>
      <c r="I22868" s="2">
        <v>0</v>
      </c>
      <c r="J22868" s="1">
        <v>45960.433240740742</v>
      </c>
    </row>
    <row r="22869" spans="1:10" x14ac:dyDescent="0.2">
      <c r="A22869" s="4" t="s">
        <v>1</v>
      </c>
      <c r="B2286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69" s="3" t="str">
        <f>HYPERLINK("https://otsuka-europe-crm.veevavault.com/ui/#object/sent_email__v/VBL000000003552", "SE-001379559")</f>
        <v>SE-001379559</v>
      </c>
      <c r="D22869" s="1" t="s">
        <v>0</v>
      </c>
      <c r="E22869" s="2">
        <v>0</v>
      </c>
      <c r="F22869" s="2">
        <v>0</v>
      </c>
      <c r="G22869" s="2">
        <v>0</v>
      </c>
      <c r="H22869" s="1" t="s">
        <v>0</v>
      </c>
      <c r="I22869" s="2">
        <v>0</v>
      </c>
      <c r="J22869" s="1">
        <v>45960.433240740742</v>
      </c>
    </row>
    <row r="22870" spans="1:10" x14ac:dyDescent="0.2">
      <c r="A22870" s="4" t="s">
        <v>1</v>
      </c>
      <c r="B2287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70" s="3" t="str">
        <f>HYPERLINK("https://otsuka-europe-crm.veevavault.com/ui/#object/sent_email__v/VBL000000003553", "SE-001379560")</f>
        <v>SE-001379560</v>
      </c>
      <c r="D22870" s="1" t="s">
        <v>0</v>
      </c>
      <c r="E22870" s="2">
        <v>0</v>
      </c>
      <c r="F22870" s="2">
        <v>0</v>
      </c>
      <c r="G22870" s="2">
        <v>0</v>
      </c>
      <c r="H22870" s="1" t="s">
        <v>0</v>
      </c>
      <c r="I22870" s="2">
        <v>0</v>
      </c>
      <c r="J22870" s="1">
        <v>45960.433240740742</v>
      </c>
    </row>
    <row r="22871" spans="1:10" x14ac:dyDescent="0.2">
      <c r="A22871" s="4" t="s">
        <v>1</v>
      </c>
      <c r="B2287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71" s="3" t="str">
        <f>HYPERLINK("https://otsuka-europe-crm.veevavault.com/ui/#object/sent_email__v/VBL000000003554", "SE-001379561")</f>
        <v>SE-001379561</v>
      </c>
      <c r="D22871" s="1" t="s">
        <v>0</v>
      </c>
      <c r="E22871" s="2">
        <v>0</v>
      </c>
      <c r="F22871" s="2">
        <v>0</v>
      </c>
      <c r="G22871" s="2">
        <v>0</v>
      </c>
      <c r="H22871" s="1" t="s">
        <v>0</v>
      </c>
      <c r="I22871" s="2">
        <v>0</v>
      </c>
      <c r="J22871" s="1">
        <v>45960.433240740742</v>
      </c>
    </row>
    <row r="22872" spans="1:10" x14ac:dyDescent="0.2">
      <c r="A22872" s="4" t="s">
        <v>1</v>
      </c>
      <c r="B2287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72" s="3" t="str">
        <f>HYPERLINK("https://otsuka-europe-crm.veevavault.com/ui/#object/sent_email__v/VBL000000003555", "SE-001379562")</f>
        <v>SE-001379562</v>
      </c>
      <c r="D22872" s="1" t="s">
        <v>0</v>
      </c>
      <c r="E22872" s="2">
        <v>0</v>
      </c>
      <c r="F22872" s="2">
        <v>0</v>
      </c>
      <c r="G22872" s="2">
        <v>0</v>
      </c>
      <c r="H22872" s="1" t="s">
        <v>0</v>
      </c>
      <c r="I22872" s="2">
        <v>0</v>
      </c>
      <c r="J22872" s="1">
        <v>45960.433240740742</v>
      </c>
    </row>
    <row r="22873" spans="1:10" x14ac:dyDescent="0.2">
      <c r="A22873" s="4" t="s">
        <v>1</v>
      </c>
      <c r="B2287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73" s="3" t="str">
        <f>HYPERLINK("https://otsuka-europe-crm.veevavault.com/ui/#object/sent_email__v/VBL000000003556", "SE-001379563")</f>
        <v>SE-001379563</v>
      </c>
      <c r="D22873" s="1" t="s">
        <v>0</v>
      </c>
      <c r="E22873" s="2">
        <v>0</v>
      </c>
      <c r="F22873" s="2">
        <v>0</v>
      </c>
      <c r="G22873" s="2">
        <v>0</v>
      </c>
      <c r="H22873" s="1" t="s">
        <v>0</v>
      </c>
      <c r="I22873" s="2">
        <v>0</v>
      </c>
      <c r="J22873" s="1">
        <v>45960.433252314811</v>
      </c>
    </row>
    <row r="22874" spans="1:10" x14ac:dyDescent="0.2">
      <c r="A22874" s="4" t="s">
        <v>1</v>
      </c>
      <c r="B2287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74" s="3" t="str">
        <f>HYPERLINK("https://otsuka-europe-crm.veevavault.com/ui/#object/sent_email__v/VBL000000003557", "SE-001379564")</f>
        <v>SE-001379564</v>
      </c>
      <c r="D22874" s="1" t="s">
        <v>0</v>
      </c>
      <c r="E22874" s="2">
        <v>0</v>
      </c>
      <c r="F22874" s="2">
        <v>0</v>
      </c>
      <c r="G22874" s="2">
        <v>0</v>
      </c>
      <c r="H22874" s="1" t="s">
        <v>0</v>
      </c>
      <c r="I22874" s="2">
        <v>0</v>
      </c>
      <c r="J22874" s="1">
        <v>45960.433252314811</v>
      </c>
    </row>
    <row r="22875" spans="1:10" x14ac:dyDescent="0.2">
      <c r="A22875" s="4" t="s">
        <v>1</v>
      </c>
      <c r="B2287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75" s="3" t="str">
        <f>HYPERLINK("https://otsuka-europe-crm.veevavault.com/ui/#object/sent_email__v/VBL000000003558", "SE-001379565")</f>
        <v>SE-001379565</v>
      </c>
      <c r="D22875" s="1" t="s">
        <v>0</v>
      </c>
      <c r="E22875" s="2">
        <v>0</v>
      </c>
      <c r="F22875" s="2">
        <v>0</v>
      </c>
      <c r="G22875" s="2">
        <v>0</v>
      </c>
      <c r="H22875" s="1" t="s">
        <v>0</v>
      </c>
      <c r="I22875" s="2">
        <v>0</v>
      </c>
      <c r="J22875" s="1">
        <v>45960.433252314811</v>
      </c>
    </row>
    <row r="22876" spans="1:10" x14ac:dyDescent="0.2">
      <c r="A22876" s="4" t="s">
        <v>1</v>
      </c>
      <c r="B2287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76" s="3" t="str">
        <f>HYPERLINK("https://otsuka-europe-crm.veevavault.com/ui/#object/sent_email__v/VBL000000003559", "SE-001379566")</f>
        <v>SE-001379566</v>
      </c>
      <c r="D22876" s="1" t="s">
        <v>0</v>
      </c>
      <c r="E22876" s="2">
        <v>0</v>
      </c>
      <c r="F22876" s="2">
        <v>0</v>
      </c>
      <c r="G22876" s="2">
        <v>0</v>
      </c>
      <c r="H22876" s="1" t="s">
        <v>0</v>
      </c>
      <c r="I22876" s="2">
        <v>0</v>
      </c>
      <c r="J22876" s="1">
        <v>45960.433252314811</v>
      </c>
    </row>
    <row r="22877" spans="1:10" x14ac:dyDescent="0.2">
      <c r="A22877" s="4" t="s">
        <v>1</v>
      </c>
      <c r="B2287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77" s="3" t="str">
        <f>HYPERLINK("https://otsuka-europe-crm.veevavault.com/ui/#object/sent_email__v/VBL000000003560", "SE-001379567")</f>
        <v>SE-001379567</v>
      </c>
      <c r="D22877" s="1" t="s">
        <v>0</v>
      </c>
      <c r="E22877" s="2">
        <v>0</v>
      </c>
      <c r="F22877" s="2">
        <v>0</v>
      </c>
      <c r="G22877" s="2">
        <v>0</v>
      </c>
      <c r="H22877" s="1" t="s">
        <v>0</v>
      </c>
      <c r="I22877" s="2">
        <v>0</v>
      </c>
      <c r="J22877" s="1">
        <v>45960.433252314811</v>
      </c>
    </row>
    <row r="22878" spans="1:10" x14ac:dyDescent="0.2">
      <c r="A22878" s="4" t="s">
        <v>1</v>
      </c>
      <c r="B2287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78" s="3" t="str">
        <f>HYPERLINK("https://otsuka-europe-crm.veevavault.com/ui/#object/sent_email__v/VBL000000003561", "SE-001379568")</f>
        <v>SE-001379568</v>
      </c>
      <c r="D22878" s="1" t="s">
        <v>0</v>
      </c>
      <c r="E22878" s="2">
        <v>0</v>
      </c>
      <c r="F22878" s="2">
        <v>0</v>
      </c>
      <c r="G22878" s="2">
        <v>0</v>
      </c>
      <c r="H22878" s="1" t="s">
        <v>0</v>
      </c>
      <c r="I22878" s="2">
        <v>0</v>
      </c>
      <c r="J22878" s="1">
        <v>45960.433252314811</v>
      </c>
    </row>
    <row r="22879" spans="1:10" x14ac:dyDescent="0.2">
      <c r="A22879" s="4" t="s">
        <v>1</v>
      </c>
      <c r="B2287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79" s="3" t="str">
        <f>HYPERLINK("https://otsuka-europe-crm.veevavault.com/ui/#object/sent_email__v/VBL000000003562", "SE-001379569")</f>
        <v>SE-001379569</v>
      </c>
      <c r="D22879" s="1" t="s">
        <v>0</v>
      </c>
      <c r="E22879" s="2">
        <v>0</v>
      </c>
      <c r="F22879" s="2">
        <v>0</v>
      </c>
      <c r="G22879" s="2">
        <v>0</v>
      </c>
      <c r="H22879" s="1" t="s">
        <v>0</v>
      </c>
      <c r="I22879" s="2">
        <v>0</v>
      </c>
      <c r="J22879" s="1">
        <v>45960.433252314811</v>
      </c>
    </row>
    <row r="22880" spans="1:10" x14ac:dyDescent="0.2">
      <c r="A22880" s="4" t="s">
        <v>1</v>
      </c>
      <c r="B2288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80" s="3" t="str">
        <f>HYPERLINK("https://otsuka-europe-crm.veevavault.com/ui/#object/sent_email__v/VBL000000002512", "SE-001379572")</f>
        <v>SE-001379572</v>
      </c>
      <c r="D22880" s="1" t="s">
        <v>0</v>
      </c>
      <c r="E22880" s="2">
        <v>0</v>
      </c>
      <c r="F22880" s="2">
        <v>0</v>
      </c>
      <c r="G22880" s="2">
        <v>0</v>
      </c>
      <c r="H22880" s="1" t="s">
        <v>0</v>
      </c>
      <c r="I22880" s="2">
        <v>0</v>
      </c>
      <c r="J22880" s="1">
        <v>45960.434120370373</v>
      </c>
    </row>
    <row r="22881" spans="1:10" x14ac:dyDescent="0.2">
      <c r="A22881" s="4" t="s">
        <v>1</v>
      </c>
      <c r="B2288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81" s="3" t="str">
        <f>HYPERLINK("https://otsuka-europe-crm.veevavault.com/ui/#object/sent_email__v/VBL000000002513", "SE-001379573")</f>
        <v>SE-001379573</v>
      </c>
      <c r="D22881" s="1" t="s">
        <v>0</v>
      </c>
      <c r="E22881" s="2">
        <v>0</v>
      </c>
      <c r="F22881" s="2">
        <v>0</v>
      </c>
      <c r="G22881" s="2">
        <v>0</v>
      </c>
      <c r="H22881" s="1" t="s">
        <v>0</v>
      </c>
      <c r="I22881" s="2">
        <v>0</v>
      </c>
      <c r="J22881" s="1">
        <v>45960.434120370373</v>
      </c>
    </row>
    <row r="22882" spans="1:10" x14ac:dyDescent="0.2">
      <c r="A22882" s="4" t="s">
        <v>1</v>
      </c>
      <c r="B2288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82" s="3" t="str">
        <f>HYPERLINK("https://otsuka-europe-crm.veevavault.com/ui/#object/sent_email__v/VBL000000002514", "SE-001379574")</f>
        <v>SE-001379574</v>
      </c>
      <c r="D22882" s="1" t="s">
        <v>0</v>
      </c>
      <c r="E22882" s="2">
        <v>0</v>
      </c>
      <c r="F22882" s="2">
        <v>0</v>
      </c>
      <c r="G22882" s="2">
        <v>0</v>
      </c>
      <c r="H22882" s="1" t="s">
        <v>0</v>
      </c>
      <c r="I22882" s="2">
        <v>0</v>
      </c>
      <c r="J22882" s="1">
        <v>45960.434131944443</v>
      </c>
    </row>
    <row r="22883" spans="1:10" x14ac:dyDescent="0.2">
      <c r="A22883" s="4" t="s">
        <v>1</v>
      </c>
      <c r="B2288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83" s="3" t="str">
        <f>HYPERLINK("https://otsuka-europe-crm.veevavault.com/ui/#object/sent_email__v/VBL000000002515", "SE-001379575")</f>
        <v>SE-001379575</v>
      </c>
      <c r="D22883" s="1" t="s">
        <v>0</v>
      </c>
      <c r="E22883" s="2">
        <v>0</v>
      </c>
      <c r="F22883" s="2">
        <v>0</v>
      </c>
      <c r="G22883" s="2">
        <v>0</v>
      </c>
      <c r="H22883" s="1" t="s">
        <v>0</v>
      </c>
      <c r="I22883" s="2">
        <v>0</v>
      </c>
      <c r="J22883" s="1">
        <v>45960.43414351852</v>
      </c>
    </row>
    <row r="22884" spans="1:10" x14ac:dyDescent="0.2">
      <c r="A22884" s="4" t="s">
        <v>1</v>
      </c>
      <c r="B2288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84" s="3" t="str">
        <f>HYPERLINK("https://otsuka-europe-crm.veevavault.com/ui/#object/sent_email__v/VBL000000002516", "SE-001379576")</f>
        <v>SE-001379576</v>
      </c>
      <c r="D22884" s="1" t="s">
        <v>0</v>
      </c>
      <c r="E22884" s="2">
        <v>0</v>
      </c>
      <c r="F22884" s="2">
        <v>0</v>
      </c>
      <c r="G22884" s="2">
        <v>0</v>
      </c>
      <c r="H22884" s="1" t="s">
        <v>0</v>
      </c>
      <c r="I22884" s="2">
        <v>0</v>
      </c>
      <c r="J22884" s="1">
        <v>45960.434131944443</v>
      </c>
    </row>
    <row r="22885" spans="1:10" x14ac:dyDescent="0.2">
      <c r="A22885" s="4" t="s">
        <v>1</v>
      </c>
      <c r="B2288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85" s="3" t="str">
        <f>HYPERLINK("https://otsuka-europe-crm.veevavault.com/ui/#object/sent_email__v/VBL000000002517", "SE-001379577")</f>
        <v>SE-001379577</v>
      </c>
      <c r="D22885" s="1" t="s">
        <v>0</v>
      </c>
      <c r="E22885" s="2">
        <v>0</v>
      </c>
      <c r="F22885" s="2">
        <v>0</v>
      </c>
      <c r="G22885" s="2">
        <v>0</v>
      </c>
      <c r="H22885" s="1" t="s">
        <v>0</v>
      </c>
      <c r="I22885" s="2">
        <v>0</v>
      </c>
      <c r="J22885" s="1">
        <v>45960.434131944443</v>
      </c>
    </row>
    <row r="22886" spans="1:10" x14ac:dyDescent="0.2">
      <c r="A22886" s="4" t="s">
        <v>1</v>
      </c>
      <c r="B2288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86" s="3" t="str">
        <f>HYPERLINK("https://otsuka-europe-crm.veevavault.com/ui/#object/sent_email__v/VBL000000002518", "SE-001379578")</f>
        <v>SE-001379578</v>
      </c>
      <c r="D22886" s="1" t="s">
        <v>0</v>
      </c>
      <c r="E22886" s="2">
        <v>0</v>
      </c>
      <c r="F22886" s="2">
        <v>0</v>
      </c>
      <c r="G22886" s="2">
        <v>0</v>
      </c>
      <c r="H22886" s="1" t="s">
        <v>0</v>
      </c>
      <c r="I22886" s="2">
        <v>0</v>
      </c>
      <c r="J22886" s="1">
        <v>45960.434131944443</v>
      </c>
    </row>
    <row r="22887" spans="1:10" x14ac:dyDescent="0.2">
      <c r="A22887" s="4" t="s">
        <v>1</v>
      </c>
      <c r="B2288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87" s="3" t="str">
        <f>HYPERLINK("https://otsuka-europe-crm.veevavault.com/ui/#object/sent_email__v/VBL000000002519", "SE-001379579")</f>
        <v>SE-001379579</v>
      </c>
      <c r="D22887" s="1" t="s">
        <v>0</v>
      </c>
      <c r="E22887" s="2">
        <v>0</v>
      </c>
      <c r="F22887" s="2">
        <v>0</v>
      </c>
      <c r="G22887" s="2">
        <v>0</v>
      </c>
      <c r="H22887" s="1" t="s">
        <v>0</v>
      </c>
      <c r="I22887" s="2">
        <v>0</v>
      </c>
      <c r="J22887" s="1">
        <v>45960.43414351852</v>
      </c>
    </row>
    <row r="22888" spans="1:10" x14ac:dyDescent="0.2">
      <c r="A22888" s="4" t="s">
        <v>1</v>
      </c>
      <c r="B2288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88" s="3" t="str">
        <f>HYPERLINK("https://otsuka-europe-crm.veevavault.com/ui/#object/sent_email__v/VBL000000002520", "SE-001379580")</f>
        <v>SE-001379580</v>
      </c>
      <c r="D22888" s="1" t="s">
        <v>0</v>
      </c>
      <c r="E22888" s="2">
        <v>0</v>
      </c>
      <c r="F22888" s="2">
        <v>0</v>
      </c>
      <c r="G22888" s="2">
        <v>0</v>
      </c>
      <c r="H22888" s="1" t="s">
        <v>0</v>
      </c>
      <c r="I22888" s="2">
        <v>0</v>
      </c>
      <c r="J22888" s="1">
        <v>45960.434131944443</v>
      </c>
    </row>
    <row r="22889" spans="1:10" x14ac:dyDescent="0.2">
      <c r="A22889" s="4" t="s">
        <v>1</v>
      </c>
      <c r="B2288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89" s="3" t="str">
        <f>HYPERLINK("https://otsuka-europe-crm.veevavault.com/ui/#object/sent_email__v/VBL000000002521", "SE-001379581")</f>
        <v>SE-001379581</v>
      </c>
      <c r="D22889" s="1" t="s">
        <v>0</v>
      </c>
      <c r="E22889" s="2">
        <v>0</v>
      </c>
      <c r="F22889" s="2">
        <v>0</v>
      </c>
      <c r="G22889" s="2">
        <v>0</v>
      </c>
      <c r="H22889" s="1" t="s">
        <v>0</v>
      </c>
      <c r="I22889" s="2">
        <v>0</v>
      </c>
      <c r="J22889" s="1">
        <v>45960.43414351852</v>
      </c>
    </row>
    <row r="22890" spans="1:10" x14ac:dyDescent="0.2">
      <c r="A22890" s="4" t="s">
        <v>1</v>
      </c>
      <c r="B2289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90" s="3" t="str">
        <f>HYPERLINK("https://otsuka-europe-crm.veevavault.com/ui/#object/sent_email__v/VBL000000002522", "SE-001379582")</f>
        <v>SE-001379582</v>
      </c>
      <c r="D22890" s="1" t="s">
        <v>0</v>
      </c>
      <c r="E22890" s="2">
        <v>0</v>
      </c>
      <c r="F22890" s="2">
        <v>0</v>
      </c>
      <c r="G22890" s="2">
        <v>0</v>
      </c>
      <c r="H22890" s="1" t="s">
        <v>0</v>
      </c>
      <c r="I22890" s="2">
        <v>0</v>
      </c>
      <c r="J22890" s="1">
        <v>45960.43414351852</v>
      </c>
    </row>
    <row r="22891" spans="1:10" x14ac:dyDescent="0.2">
      <c r="A22891" s="4" t="s">
        <v>1</v>
      </c>
      <c r="B2289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91" s="3" t="str">
        <f>HYPERLINK("https://otsuka-europe-crm.veevavault.com/ui/#object/sent_email__v/VBL000000002523", "SE-001379583")</f>
        <v>SE-001379583</v>
      </c>
      <c r="D22891" s="1" t="s">
        <v>0</v>
      </c>
      <c r="E22891" s="2">
        <v>0</v>
      </c>
      <c r="F22891" s="2">
        <v>0</v>
      </c>
      <c r="G22891" s="2">
        <v>0</v>
      </c>
      <c r="H22891" s="1" t="s">
        <v>0</v>
      </c>
      <c r="I22891" s="2">
        <v>0</v>
      </c>
      <c r="J22891" s="1">
        <v>45960.434131944443</v>
      </c>
    </row>
    <row r="22892" spans="1:10" x14ac:dyDescent="0.2">
      <c r="A22892" s="4" t="s">
        <v>1</v>
      </c>
      <c r="B2289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92" s="3" t="str">
        <f>HYPERLINK("https://otsuka-europe-crm.veevavault.com/ui/#object/sent_email__v/VBL000000002524", "SE-001379584")</f>
        <v>SE-001379584</v>
      </c>
      <c r="D22892" s="1" t="s">
        <v>0</v>
      </c>
      <c r="E22892" s="2">
        <v>0</v>
      </c>
      <c r="F22892" s="2">
        <v>0</v>
      </c>
      <c r="G22892" s="2">
        <v>0</v>
      </c>
      <c r="H22892" s="1" t="s">
        <v>0</v>
      </c>
      <c r="I22892" s="2">
        <v>0</v>
      </c>
      <c r="J22892" s="1">
        <v>45960.43414351852</v>
      </c>
    </row>
    <row r="22893" spans="1:10" x14ac:dyDescent="0.2">
      <c r="A22893" s="4" t="s">
        <v>1</v>
      </c>
      <c r="B2289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93" s="3" t="str">
        <f>HYPERLINK("https://otsuka-europe-crm.veevavault.com/ui/#object/sent_email__v/VBL000000002525", "SE-001379585")</f>
        <v>SE-001379585</v>
      </c>
      <c r="D22893" s="1" t="s">
        <v>0</v>
      </c>
      <c r="E22893" s="2">
        <v>0</v>
      </c>
      <c r="F22893" s="2">
        <v>0</v>
      </c>
      <c r="G22893" s="2">
        <v>0</v>
      </c>
      <c r="H22893" s="1" t="s">
        <v>0</v>
      </c>
      <c r="I22893" s="2">
        <v>0</v>
      </c>
      <c r="J22893" s="1">
        <v>45960.43414351852</v>
      </c>
    </row>
    <row r="22894" spans="1:10" x14ac:dyDescent="0.2">
      <c r="A22894" s="4" t="s">
        <v>1</v>
      </c>
      <c r="B2289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94" s="3" t="str">
        <f>HYPERLINK("https://otsuka-europe-crm.veevavault.com/ui/#object/sent_email__v/VBL000000002526", "SE-001379586")</f>
        <v>SE-001379586</v>
      </c>
      <c r="D22894" s="1" t="s">
        <v>0</v>
      </c>
      <c r="E22894" s="2">
        <v>0</v>
      </c>
      <c r="F22894" s="2">
        <v>0</v>
      </c>
      <c r="G22894" s="2">
        <v>0</v>
      </c>
      <c r="H22894" s="1" t="s">
        <v>0</v>
      </c>
      <c r="I22894" s="2">
        <v>0</v>
      </c>
      <c r="J22894" s="1">
        <v>45960.43414351852</v>
      </c>
    </row>
    <row r="22895" spans="1:10" x14ac:dyDescent="0.2">
      <c r="A22895" s="4" t="s">
        <v>1</v>
      </c>
      <c r="B2289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95" s="3" t="str">
        <f>HYPERLINK("https://otsuka-europe-crm.veevavault.com/ui/#object/sent_email__v/VBL000000002527", "SE-001379587")</f>
        <v>SE-001379587</v>
      </c>
      <c r="D22895" s="1" t="s">
        <v>0</v>
      </c>
      <c r="E22895" s="2">
        <v>0</v>
      </c>
      <c r="F22895" s="2">
        <v>0</v>
      </c>
      <c r="G22895" s="2">
        <v>0</v>
      </c>
      <c r="H22895" s="1" t="s">
        <v>0</v>
      </c>
      <c r="I22895" s="2">
        <v>0</v>
      </c>
      <c r="J22895" s="1">
        <v>45960.43414351852</v>
      </c>
    </row>
    <row r="22896" spans="1:10" x14ac:dyDescent="0.2">
      <c r="A22896" s="4" t="s">
        <v>1</v>
      </c>
      <c r="B2289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96" s="3" t="str">
        <f>HYPERLINK("https://otsuka-europe-crm.veevavault.com/ui/#object/sent_email__v/VBL000000002528", "SE-001379588")</f>
        <v>SE-001379588</v>
      </c>
      <c r="D22896" s="1" t="s">
        <v>0</v>
      </c>
      <c r="E22896" s="2">
        <v>0</v>
      </c>
      <c r="F22896" s="2">
        <v>0</v>
      </c>
      <c r="G22896" s="2">
        <v>0</v>
      </c>
      <c r="H22896" s="1" t="s">
        <v>0</v>
      </c>
      <c r="I22896" s="2">
        <v>0</v>
      </c>
      <c r="J22896" s="1">
        <v>45960.43414351852</v>
      </c>
    </row>
    <row r="22897" spans="1:10" x14ac:dyDescent="0.2">
      <c r="A22897" s="4" t="s">
        <v>1</v>
      </c>
      <c r="B2289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97" s="3" t="str">
        <f>HYPERLINK("https://otsuka-europe-crm.veevavault.com/ui/#object/sent_email__v/VBL000000002529", "SE-001379589")</f>
        <v>SE-001379589</v>
      </c>
      <c r="D22897" s="1" t="s">
        <v>0</v>
      </c>
      <c r="E22897" s="2">
        <v>0</v>
      </c>
      <c r="F22897" s="2">
        <v>0</v>
      </c>
      <c r="G22897" s="2">
        <v>0</v>
      </c>
      <c r="H22897" s="1" t="s">
        <v>0</v>
      </c>
      <c r="I22897" s="2">
        <v>0</v>
      </c>
      <c r="J22897" s="1">
        <v>45960.43414351852</v>
      </c>
    </row>
    <row r="22898" spans="1:10" x14ac:dyDescent="0.2">
      <c r="A22898" s="4" t="s">
        <v>1</v>
      </c>
      <c r="B2289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98" s="3" t="str">
        <f>HYPERLINK("https://otsuka-europe-crm.veevavault.com/ui/#object/sent_email__v/VBL000000002530", "SE-001379590")</f>
        <v>SE-001379590</v>
      </c>
      <c r="D22898" s="1" t="s">
        <v>0</v>
      </c>
      <c r="E22898" s="2">
        <v>0</v>
      </c>
      <c r="F22898" s="2">
        <v>0</v>
      </c>
      <c r="G22898" s="2">
        <v>0</v>
      </c>
      <c r="H22898" s="1" t="s">
        <v>0</v>
      </c>
      <c r="I22898" s="2">
        <v>0</v>
      </c>
      <c r="J22898" s="1">
        <v>45960.43414351852</v>
      </c>
    </row>
    <row r="22899" spans="1:10" x14ac:dyDescent="0.2">
      <c r="A22899" s="4" t="s">
        <v>1</v>
      </c>
      <c r="B2289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899" s="3" t="str">
        <f>HYPERLINK("https://otsuka-europe-crm.veevavault.com/ui/#object/sent_email__v/VBL000000002531", "SE-001379591")</f>
        <v>SE-001379591</v>
      </c>
      <c r="D22899" s="1" t="s">
        <v>0</v>
      </c>
      <c r="E22899" s="2">
        <v>0</v>
      </c>
      <c r="F22899" s="2">
        <v>0</v>
      </c>
      <c r="G22899" s="2">
        <v>0</v>
      </c>
      <c r="H22899" s="1" t="s">
        <v>0</v>
      </c>
      <c r="I22899" s="2">
        <v>0</v>
      </c>
      <c r="J22899" s="1">
        <v>45960.43414351852</v>
      </c>
    </row>
    <row r="22900" spans="1:10" x14ac:dyDescent="0.2">
      <c r="A22900" s="4" t="s">
        <v>1</v>
      </c>
      <c r="B2290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00" s="3" t="str">
        <f>HYPERLINK("https://otsuka-europe-crm.veevavault.com/ui/#object/sent_email__v/VBL000000002532", "SE-001379592")</f>
        <v>SE-001379592</v>
      </c>
      <c r="D22900" s="1" t="s">
        <v>0</v>
      </c>
      <c r="E22900" s="2">
        <v>0</v>
      </c>
      <c r="F22900" s="2">
        <v>0</v>
      </c>
      <c r="G22900" s="2">
        <v>0</v>
      </c>
      <c r="H22900" s="1" t="s">
        <v>0</v>
      </c>
      <c r="I22900" s="2">
        <v>0</v>
      </c>
      <c r="J22900" s="1">
        <v>45960.43414351852</v>
      </c>
    </row>
    <row r="22901" spans="1:10" x14ac:dyDescent="0.2">
      <c r="A22901" s="4" t="s">
        <v>1</v>
      </c>
      <c r="B2290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01" s="3" t="str">
        <f>HYPERLINK("https://otsuka-europe-crm.veevavault.com/ui/#object/sent_email__v/VBL000000002533", "SE-001379593")</f>
        <v>SE-001379593</v>
      </c>
      <c r="D22901" s="1" t="s">
        <v>0</v>
      </c>
      <c r="E22901" s="2">
        <v>0</v>
      </c>
      <c r="F22901" s="2">
        <v>0</v>
      </c>
      <c r="G22901" s="2">
        <v>0</v>
      </c>
      <c r="H22901" s="1" t="s">
        <v>0</v>
      </c>
      <c r="I22901" s="2">
        <v>0</v>
      </c>
      <c r="J22901" s="1">
        <v>45960.43414351852</v>
      </c>
    </row>
    <row r="22902" spans="1:10" x14ac:dyDescent="0.2">
      <c r="A22902" s="4" t="s">
        <v>1</v>
      </c>
      <c r="B2290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02" s="3" t="str">
        <f>HYPERLINK("https://otsuka-europe-crm.veevavault.com/ui/#object/sent_email__v/VBL000000002534", "SE-001379594")</f>
        <v>SE-001379594</v>
      </c>
      <c r="D22902" s="1" t="s">
        <v>0</v>
      </c>
      <c r="E22902" s="2">
        <v>0</v>
      </c>
      <c r="F22902" s="2">
        <v>0</v>
      </c>
      <c r="G22902" s="2">
        <v>0</v>
      </c>
      <c r="H22902" s="1" t="s">
        <v>0</v>
      </c>
      <c r="I22902" s="2">
        <v>0</v>
      </c>
      <c r="J22902" s="1">
        <v>45960.43414351852</v>
      </c>
    </row>
    <row r="22903" spans="1:10" x14ac:dyDescent="0.2">
      <c r="A22903" s="4" t="s">
        <v>1</v>
      </c>
      <c r="B2290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03" s="3" t="str">
        <f>HYPERLINK("https://otsuka-europe-crm.veevavault.com/ui/#object/sent_email__v/VBL000000002535", "SE-001379595")</f>
        <v>SE-001379595</v>
      </c>
      <c r="D22903" s="1" t="s">
        <v>0</v>
      </c>
      <c r="E22903" s="2">
        <v>0</v>
      </c>
      <c r="F22903" s="2">
        <v>0</v>
      </c>
      <c r="G22903" s="2">
        <v>0</v>
      </c>
      <c r="H22903" s="1" t="s">
        <v>0</v>
      </c>
      <c r="I22903" s="2">
        <v>0</v>
      </c>
      <c r="J22903" s="1">
        <v>45960.43414351852</v>
      </c>
    </row>
    <row r="22904" spans="1:10" x14ac:dyDescent="0.2">
      <c r="A22904" s="4" t="s">
        <v>1</v>
      </c>
      <c r="B2290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04" s="3" t="str">
        <f>HYPERLINK("https://otsuka-europe-crm.veevavault.com/ui/#object/sent_email__v/VBL000000002536", "SE-001379596")</f>
        <v>SE-001379596</v>
      </c>
      <c r="D22904" s="1" t="s">
        <v>0</v>
      </c>
      <c r="E22904" s="2">
        <v>0</v>
      </c>
      <c r="F22904" s="2">
        <v>0</v>
      </c>
      <c r="G22904" s="2">
        <v>0</v>
      </c>
      <c r="H22904" s="1" t="s">
        <v>0</v>
      </c>
      <c r="I22904" s="2">
        <v>0</v>
      </c>
      <c r="J22904" s="1">
        <v>45960.434155092589</v>
      </c>
    </row>
    <row r="22905" spans="1:10" x14ac:dyDescent="0.2">
      <c r="A22905" s="4" t="s">
        <v>1</v>
      </c>
      <c r="B2290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05" s="3" t="str">
        <f>HYPERLINK("https://otsuka-europe-crm.veevavault.com/ui/#object/sent_email__v/VBL000000002537", "SE-001379597")</f>
        <v>SE-001379597</v>
      </c>
      <c r="D22905" s="1" t="s">
        <v>0</v>
      </c>
      <c r="E22905" s="2">
        <v>0</v>
      </c>
      <c r="F22905" s="2">
        <v>0</v>
      </c>
      <c r="G22905" s="2">
        <v>0</v>
      </c>
      <c r="H22905" s="1" t="s">
        <v>0</v>
      </c>
      <c r="I22905" s="2">
        <v>0</v>
      </c>
      <c r="J22905" s="1">
        <v>45960.434155092589</v>
      </c>
    </row>
    <row r="22906" spans="1:10" x14ac:dyDescent="0.2">
      <c r="A22906" s="4" t="s">
        <v>1</v>
      </c>
      <c r="B2290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06" s="3" t="str">
        <f>HYPERLINK("https://otsuka-europe-crm.veevavault.com/ui/#object/sent_email__v/VBL000000002538", "SE-001379598")</f>
        <v>SE-001379598</v>
      </c>
      <c r="D22906" s="1" t="s">
        <v>0</v>
      </c>
      <c r="E22906" s="2">
        <v>0</v>
      </c>
      <c r="F22906" s="2">
        <v>0</v>
      </c>
      <c r="G22906" s="2">
        <v>0</v>
      </c>
      <c r="H22906" s="1" t="s">
        <v>0</v>
      </c>
      <c r="I22906" s="2">
        <v>0</v>
      </c>
      <c r="J22906" s="1">
        <v>45960.434155092589</v>
      </c>
    </row>
    <row r="22907" spans="1:10" x14ac:dyDescent="0.2">
      <c r="A22907" s="4" t="s">
        <v>1</v>
      </c>
      <c r="B2290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07" s="3" t="str">
        <f>HYPERLINK("https://otsuka-europe-crm.veevavault.com/ui/#object/sent_email__v/VBL000000002539", "SE-001379599")</f>
        <v>SE-001379599</v>
      </c>
      <c r="D22907" s="1" t="s">
        <v>0</v>
      </c>
      <c r="E22907" s="2">
        <v>0</v>
      </c>
      <c r="F22907" s="2">
        <v>0</v>
      </c>
      <c r="G22907" s="2">
        <v>0</v>
      </c>
      <c r="H22907" s="1" t="s">
        <v>0</v>
      </c>
      <c r="I22907" s="2">
        <v>0</v>
      </c>
      <c r="J22907" s="1">
        <v>45960.434155092589</v>
      </c>
    </row>
    <row r="22908" spans="1:10" x14ac:dyDescent="0.2">
      <c r="A22908" s="4" t="s">
        <v>1</v>
      </c>
      <c r="B2290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08" s="3" t="str">
        <f>HYPERLINK("https://otsuka-europe-crm.veevavault.com/ui/#object/sent_email__v/VBL000000002540", "SE-001379600")</f>
        <v>SE-001379600</v>
      </c>
      <c r="D22908" s="1" t="s">
        <v>0</v>
      </c>
      <c r="E22908" s="2">
        <v>0</v>
      </c>
      <c r="F22908" s="2">
        <v>0</v>
      </c>
      <c r="G22908" s="2">
        <v>0</v>
      </c>
      <c r="H22908" s="1" t="s">
        <v>0</v>
      </c>
      <c r="I22908" s="2">
        <v>0</v>
      </c>
      <c r="J22908" s="1">
        <v>45960.434155092589</v>
      </c>
    </row>
    <row r="22909" spans="1:10" x14ac:dyDescent="0.2">
      <c r="A22909" s="4" t="s">
        <v>1</v>
      </c>
      <c r="B2290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09" s="3" t="str">
        <f>HYPERLINK("https://otsuka-europe-crm.veevavault.com/ui/#object/sent_email__v/VBL000000002541", "SE-001379601")</f>
        <v>SE-001379601</v>
      </c>
      <c r="D22909" s="1" t="s">
        <v>0</v>
      </c>
      <c r="E22909" s="2">
        <v>0</v>
      </c>
      <c r="F22909" s="2">
        <v>0</v>
      </c>
      <c r="G22909" s="2">
        <v>0</v>
      </c>
      <c r="H22909" s="1" t="s">
        <v>0</v>
      </c>
      <c r="I22909" s="2">
        <v>0</v>
      </c>
      <c r="J22909" s="1">
        <v>45960.434155092589</v>
      </c>
    </row>
    <row r="22910" spans="1:10" x14ac:dyDescent="0.2">
      <c r="A22910" s="4" t="s">
        <v>1</v>
      </c>
      <c r="B2291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10" s="3" t="str">
        <f>HYPERLINK("https://otsuka-europe-crm.veevavault.com/ui/#object/sent_email__v/VBL000000002542", "SE-001379602")</f>
        <v>SE-001379602</v>
      </c>
      <c r="D22910" s="1" t="s">
        <v>0</v>
      </c>
      <c r="E22910" s="2">
        <v>0</v>
      </c>
      <c r="F22910" s="2">
        <v>0</v>
      </c>
      <c r="G22910" s="2">
        <v>0</v>
      </c>
      <c r="H22910" s="1" t="s">
        <v>0</v>
      </c>
      <c r="I22910" s="2">
        <v>0</v>
      </c>
      <c r="J22910" s="1">
        <v>45960.434155092589</v>
      </c>
    </row>
    <row r="22911" spans="1:10" x14ac:dyDescent="0.2">
      <c r="A22911" s="4" t="s">
        <v>1</v>
      </c>
      <c r="B2291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11" s="3" t="str">
        <f>HYPERLINK("https://otsuka-europe-crm.veevavault.com/ui/#object/sent_email__v/VBL000000002543", "SE-001379603")</f>
        <v>SE-001379603</v>
      </c>
      <c r="D22911" s="1" t="s">
        <v>0</v>
      </c>
      <c r="E22911" s="2">
        <v>0</v>
      </c>
      <c r="F22911" s="2">
        <v>0</v>
      </c>
      <c r="G22911" s="2">
        <v>0</v>
      </c>
      <c r="H22911" s="1" t="s">
        <v>0</v>
      </c>
      <c r="I22911" s="2">
        <v>0</v>
      </c>
      <c r="J22911" s="1">
        <v>45960.434155092589</v>
      </c>
    </row>
    <row r="22912" spans="1:10" x14ac:dyDescent="0.2">
      <c r="A22912" s="4" t="s">
        <v>1</v>
      </c>
      <c r="B2291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12" s="3" t="str">
        <f>HYPERLINK("https://otsuka-europe-crm.veevavault.com/ui/#object/sent_email__v/VBL000000002544", "SE-001379604")</f>
        <v>SE-001379604</v>
      </c>
      <c r="D22912" s="1" t="s">
        <v>0</v>
      </c>
      <c r="E22912" s="2">
        <v>0</v>
      </c>
      <c r="F22912" s="2">
        <v>0</v>
      </c>
      <c r="G22912" s="2">
        <v>0</v>
      </c>
      <c r="H22912" s="1" t="s">
        <v>0</v>
      </c>
      <c r="I22912" s="2">
        <v>0</v>
      </c>
      <c r="J22912" s="1">
        <v>45960.434155092589</v>
      </c>
    </row>
    <row r="22913" spans="1:10" x14ac:dyDescent="0.2">
      <c r="A22913" s="4" t="s">
        <v>1</v>
      </c>
      <c r="B2291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13" s="3" t="str">
        <f>HYPERLINK("https://otsuka-europe-crm.veevavault.com/ui/#object/sent_email__v/VBL000000002545", "SE-001379605")</f>
        <v>SE-001379605</v>
      </c>
      <c r="D22913" s="1" t="s">
        <v>0</v>
      </c>
      <c r="E22913" s="2">
        <v>0</v>
      </c>
      <c r="F22913" s="2">
        <v>0</v>
      </c>
      <c r="G22913" s="2">
        <v>0</v>
      </c>
      <c r="H22913" s="1" t="s">
        <v>0</v>
      </c>
      <c r="I22913" s="2">
        <v>0</v>
      </c>
      <c r="J22913" s="1">
        <v>45960.434166666666</v>
      </c>
    </row>
    <row r="22914" spans="1:10" x14ac:dyDescent="0.2">
      <c r="A22914" s="4" t="s">
        <v>1</v>
      </c>
      <c r="B2291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14" s="3" t="str">
        <f>HYPERLINK("https://otsuka-europe-crm.veevavault.com/ui/#object/sent_email__v/VBL000000002546", "SE-001379606")</f>
        <v>SE-001379606</v>
      </c>
      <c r="D22914" s="1" t="s">
        <v>0</v>
      </c>
      <c r="E22914" s="2">
        <v>0</v>
      </c>
      <c r="F22914" s="2">
        <v>0</v>
      </c>
      <c r="G22914" s="2">
        <v>0</v>
      </c>
      <c r="H22914" s="1" t="s">
        <v>0</v>
      </c>
      <c r="I22914" s="2">
        <v>0</v>
      </c>
      <c r="J22914" s="1">
        <v>45960.434166666666</v>
      </c>
    </row>
    <row r="22915" spans="1:10" x14ac:dyDescent="0.2">
      <c r="A22915" s="4" t="s">
        <v>1</v>
      </c>
      <c r="B2291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15" s="3" t="str">
        <f>HYPERLINK("https://otsuka-europe-crm.veevavault.com/ui/#object/sent_email__v/VBL000000002547", "SE-001379607")</f>
        <v>SE-001379607</v>
      </c>
      <c r="D22915" s="1" t="s">
        <v>0</v>
      </c>
      <c r="E22915" s="2">
        <v>0</v>
      </c>
      <c r="F22915" s="2">
        <v>0</v>
      </c>
      <c r="G22915" s="2">
        <v>0</v>
      </c>
      <c r="H22915" s="1" t="s">
        <v>0</v>
      </c>
      <c r="I22915" s="2">
        <v>0</v>
      </c>
      <c r="J22915" s="1">
        <v>45960.434166666666</v>
      </c>
    </row>
    <row r="22916" spans="1:10" x14ac:dyDescent="0.2">
      <c r="A22916" s="4" t="s">
        <v>1</v>
      </c>
      <c r="B2291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16" s="3" t="str">
        <f>HYPERLINK("https://otsuka-europe-crm.veevavault.com/ui/#object/sent_email__v/VBL000000002548", "SE-001379608")</f>
        <v>SE-001379608</v>
      </c>
      <c r="D22916" s="1" t="s">
        <v>0</v>
      </c>
      <c r="E22916" s="2">
        <v>0</v>
      </c>
      <c r="F22916" s="2">
        <v>0</v>
      </c>
      <c r="G22916" s="2">
        <v>0</v>
      </c>
      <c r="H22916" s="1" t="s">
        <v>0</v>
      </c>
      <c r="I22916" s="2">
        <v>0</v>
      </c>
      <c r="J22916" s="1">
        <v>45960.434166666666</v>
      </c>
    </row>
    <row r="22917" spans="1:10" x14ac:dyDescent="0.2">
      <c r="A22917" s="4" t="s">
        <v>1</v>
      </c>
      <c r="B2291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17" s="3" t="str">
        <f>HYPERLINK("https://otsuka-europe-crm.veevavault.com/ui/#object/sent_email__v/VBL000000002549", "SE-001379609")</f>
        <v>SE-001379609</v>
      </c>
      <c r="D22917" s="1" t="s">
        <v>0</v>
      </c>
      <c r="E22917" s="2">
        <v>0</v>
      </c>
      <c r="F22917" s="2">
        <v>0</v>
      </c>
      <c r="G22917" s="2">
        <v>0</v>
      </c>
      <c r="H22917" s="1" t="s">
        <v>0</v>
      </c>
      <c r="I22917" s="2">
        <v>0</v>
      </c>
      <c r="J22917" s="1">
        <v>45960.434166666666</v>
      </c>
    </row>
    <row r="22918" spans="1:10" x14ac:dyDescent="0.2">
      <c r="A22918" s="4" t="s">
        <v>1</v>
      </c>
      <c r="B2291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18" s="3" t="str">
        <f>HYPERLINK("https://otsuka-europe-crm.veevavault.com/ui/#object/sent_email__v/VBL000000002550", "SE-001379610")</f>
        <v>SE-001379610</v>
      </c>
      <c r="D22918" s="1" t="s">
        <v>0</v>
      </c>
      <c r="E22918" s="2">
        <v>0</v>
      </c>
      <c r="F22918" s="2">
        <v>0</v>
      </c>
      <c r="G22918" s="2">
        <v>0</v>
      </c>
      <c r="H22918" s="1" t="s">
        <v>0</v>
      </c>
      <c r="I22918" s="2">
        <v>0</v>
      </c>
      <c r="J22918" s="1">
        <v>45960.434166666666</v>
      </c>
    </row>
    <row r="22919" spans="1:10" x14ac:dyDescent="0.2">
      <c r="A22919" s="4" t="s">
        <v>1</v>
      </c>
      <c r="B2291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19" s="3" t="str">
        <f>HYPERLINK("https://otsuka-europe-crm.veevavault.com/ui/#object/sent_email__v/VBL000000002551", "SE-001379611")</f>
        <v>SE-001379611</v>
      </c>
      <c r="D22919" s="1" t="s">
        <v>0</v>
      </c>
      <c r="E22919" s="2">
        <v>0</v>
      </c>
      <c r="F22919" s="2">
        <v>0</v>
      </c>
      <c r="G22919" s="2">
        <v>0</v>
      </c>
      <c r="H22919" s="1" t="s">
        <v>0</v>
      </c>
      <c r="I22919" s="2">
        <v>0</v>
      </c>
      <c r="J22919" s="1">
        <v>45960.434166666666</v>
      </c>
    </row>
    <row r="22920" spans="1:10" x14ac:dyDescent="0.2">
      <c r="A22920" s="4" t="s">
        <v>1</v>
      </c>
      <c r="B2292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20" s="3" t="str">
        <f>HYPERLINK("https://otsuka-europe-crm.veevavault.com/ui/#object/sent_email__v/VBL000000002552", "SE-001379612")</f>
        <v>SE-001379612</v>
      </c>
      <c r="D22920" s="1" t="s">
        <v>0</v>
      </c>
      <c r="E22920" s="2">
        <v>0</v>
      </c>
      <c r="F22920" s="2">
        <v>0</v>
      </c>
      <c r="G22920" s="2">
        <v>0</v>
      </c>
      <c r="H22920" s="1" t="s">
        <v>0</v>
      </c>
      <c r="I22920" s="2">
        <v>0</v>
      </c>
      <c r="J22920" s="1">
        <v>45960.434166666666</v>
      </c>
    </row>
    <row r="22921" spans="1:10" x14ac:dyDescent="0.2">
      <c r="A22921" s="4" t="s">
        <v>1</v>
      </c>
      <c r="B2292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21" s="3" t="str">
        <f>HYPERLINK("https://otsuka-europe-crm.veevavault.com/ui/#object/sent_email__v/VBL000000002553", "SE-001379613")</f>
        <v>SE-001379613</v>
      </c>
      <c r="D22921" s="1" t="s">
        <v>0</v>
      </c>
      <c r="E22921" s="2">
        <v>0</v>
      </c>
      <c r="F22921" s="2">
        <v>0</v>
      </c>
      <c r="G22921" s="2">
        <v>0</v>
      </c>
      <c r="H22921" s="1" t="s">
        <v>0</v>
      </c>
      <c r="I22921" s="2">
        <v>0</v>
      </c>
      <c r="J22921" s="1">
        <v>45960.434166666666</v>
      </c>
    </row>
    <row r="22922" spans="1:10" x14ac:dyDescent="0.2">
      <c r="A22922" s="4" t="s">
        <v>1</v>
      </c>
      <c r="B2292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22" s="3" t="str">
        <f>HYPERLINK("https://otsuka-europe-crm.veevavault.com/ui/#object/sent_email__v/VBL000000002554", "SE-001379614")</f>
        <v>SE-001379614</v>
      </c>
      <c r="D22922" s="1" t="s">
        <v>0</v>
      </c>
      <c r="E22922" s="2">
        <v>0</v>
      </c>
      <c r="F22922" s="2">
        <v>0</v>
      </c>
      <c r="G22922" s="2">
        <v>0</v>
      </c>
      <c r="H22922" s="1" t="s">
        <v>0</v>
      </c>
      <c r="I22922" s="2">
        <v>0</v>
      </c>
      <c r="J22922" s="1">
        <v>45960.434166666666</v>
      </c>
    </row>
    <row r="22923" spans="1:10" x14ac:dyDescent="0.2">
      <c r="A22923" s="4" t="s">
        <v>1</v>
      </c>
      <c r="B2292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23" s="3" t="str">
        <f>HYPERLINK("https://otsuka-europe-crm.veevavault.com/ui/#object/sent_email__v/VBL000000002555", "SE-001379615")</f>
        <v>SE-001379615</v>
      </c>
      <c r="D22923" s="1" t="s">
        <v>0</v>
      </c>
      <c r="E22923" s="2">
        <v>0</v>
      </c>
      <c r="F22923" s="2">
        <v>0</v>
      </c>
      <c r="G22923" s="2">
        <v>0</v>
      </c>
      <c r="H22923" s="1" t="s">
        <v>0</v>
      </c>
      <c r="I22923" s="2">
        <v>0</v>
      </c>
      <c r="J22923" s="1">
        <v>45960.434166666666</v>
      </c>
    </row>
    <row r="22924" spans="1:10" x14ac:dyDescent="0.2">
      <c r="A22924" s="4" t="s">
        <v>1</v>
      </c>
      <c r="B2292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24" s="3" t="str">
        <f>HYPERLINK("https://otsuka-europe-crm.veevavault.com/ui/#object/sent_email__v/VBL000000002556", "SE-001379616")</f>
        <v>SE-001379616</v>
      </c>
      <c r="D22924" s="1" t="s">
        <v>0</v>
      </c>
      <c r="E22924" s="2">
        <v>0</v>
      </c>
      <c r="F22924" s="2">
        <v>0</v>
      </c>
      <c r="G22924" s="2">
        <v>0</v>
      </c>
      <c r="H22924" s="1" t="s">
        <v>0</v>
      </c>
      <c r="I22924" s="2">
        <v>0</v>
      </c>
      <c r="J22924" s="1">
        <v>45960.434178240743</v>
      </c>
    </row>
    <row r="22925" spans="1:10" x14ac:dyDescent="0.2">
      <c r="A22925" s="4" t="s">
        <v>1</v>
      </c>
      <c r="B2292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25" s="3" t="str">
        <f>HYPERLINK("https://otsuka-europe-crm.veevavault.com/ui/#object/sent_email__v/VBL000000002557", "SE-001379617")</f>
        <v>SE-001379617</v>
      </c>
      <c r="D22925" s="1" t="s">
        <v>0</v>
      </c>
      <c r="E22925" s="2">
        <v>0</v>
      </c>
      <c r="F22925" s="2">
        <v>0</v>
      </c>
      <c r="G22925" s="2">
        <v>0</v>
      </c>
      <c r="H22925" s="1" t="s">
        <v>0</v>
      </c>
      <c r="I22925" s="2">
        <v>0</v>
      </c>
      <c r="J22925" s="1">
        <v>45960.434178240743</v>
      </c>
    </row>
    <row r="22926" spans="1:10" x14ac:dyDescent="0.2">
      <c r="A22926" s="4" t="s">
        <v>1</v>
      </c>
      <c r="B2292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26" s="3" t="str">
        <f>HYPERLINK("https://otsuka-europe-crm.veevavault.com/ui/#object/sent_email__v/VBL000000002558", "SE-001379618")</f>
        <v>SE-001379618</v>
      </c>
      <c r="D22926" s="1" t="s">
        <v>0</v>
      </c>
      <c r="E22926" s="2">
        <v>0</v>
      </c>
      <c r="F22926" s="2">
        <v>0</v>
      </c>
      <c r="G22926" s="2">
        <v>0</v>
      </c>
      <c r="H22926" s="1" t="s">
        <v>0</v>
      </c>
      <c r="I22926" s="2">
        <v>0</v>
      </c>
      <c r="J22926" s="1">
        <v>45960.434178240743</v>
      </c>
    </row>
    <row r="22927" spans="1:10" x14ac:dyDescent="0.2">
      <c r="A22927" s="4" t="s">
        <v>1</v>
      </c>
      <c r="B2292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27" s="3" t="str">
        <f>HYPERLINK("https://otsuka-europe-crm.veevavault.com/ui/#object/sent_email__v/VBL000000002560", "SE-001379621")</f>
        <v>SE-001379621</v>
      </c>
      <c r="D22927" s="1" t="s">
        <v>0</v>
      </c>
      <c r="E22927" s="2">
        <v>0</v>
      </c>
      <c r="F22927" s="2">
        <v>0</v>
      </c>
      <c r="G22927" s="2">
        <v>0</v>
      </c>
      <c r="H22927" s="1" t="s">
        <v>0</v>
      </c>
      <c r="I22927" s="2">
        <v>0</v>
      </c>
      <c r="J22927" s="1">
        <v>45960.435196759259</v>
      </c>
    </row>
    <row r="22928" spans="1:10" x14ac:dyDescent="0.2">
      <c r="A22928" s="4" t="s">
        <v>1</v>
      </c>
      <c r="B2292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28" s="3" t="str">
        <f>HYPERLINK("https://otsuka-europe-crm.veevavault.com/ui/#object/sent_email__v/VBL000000002561", "SE-001379622")</f>
        <v>SE-001379622</v>
      </c>
      <c r="D22928" s="1" t="s">
        <v>0</v>
      </c>
      <c r="E22928" s="2">
        <v>0</v>
      </c>
      <c r="F22928" s="2">
        <v>0</v>
      </c>
      <c r="G22928" s="2">
        <v>0</v>
      </c>
      <c r="H22928" s="1" t="s">
        <v>0</v>
      </c>
      <c r="I22928" s="2">
        <v>0</v>
      </c>
      <c r="J22928" s="1">
        <v>45960.435208333336</v>
      </c>
    </row>
    <row r="22929" spans="1:10" x14ac:dyDescent="0.2">
      <c r="A22929" s="4" t="s">
        <v>1</v>
      </c>
      <c r="B2292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29" s="3" t="str">
        <f>HYPERLINK("https://otsuka-europe-crm.veevavault.com/ui/#object/sent_email__v/VBL000000002562", "SE-001379623")</f>
        <v>SE-001379623</v>
      </c>
      <c r="D22929" s="1" t="s">
        <v>0</v>
      </c>
      <c r="E22929" s="2">
        <v>0</v>
      </c>
      <c r="F22929" s="2">
        <v>0</v>
      </c>
      <c r="G22929" s="2">
        <v>0</v>
      </c>
      <c r="H22929" s="1" t="s">
        <v>0</v>
      </c>
      <c r="I22929" s="2">
        <v>0</v>
      </c>
      <c r="J22929" s="1">
        <v>45960.435208333336</v>
      </c>
    </row>
    <row r="22930" spans="1:10" x14ac:dyDescent="0.2">
      <c r="A22930" s="4" t="s">
        <v>1</v>
      </c>
      <c r="B2293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30" s="3" t="str">
        <f>HYPERLINK("https://otsuka-europe-crm.veevavault.com/ui/#object/sent_email__v/VBL000000002563", "SE-001379624")</f>
        <v>SE-001379624</v>
      </c>
      <c r="D22930" s="1" t="s">
        <v>0</v>
      </c>
      <c r="E22930" s="2">
        <v>0</v>
      </c>
      <c r="F22930" s="2">
        <v>0</v>
      </c>
      <c r="G22930" s="2">
        <v>0</v>
      </c>
      <c r="H22930" s="1" t="s">
        <v>0</v>
      </c>
      <c r="I22930" s="2">
        <v>0</v>
      </c>
      <c r="J22930" s="1">
        <v>45960.435196759259</v>
      </c>
    </row>
    <row r="22931" spans="1:10" x14ac:dyDescent="0.2">
      <c r="A22931" s="4" t="s">
        <v>1</v>
      </c>
      <c r="B2293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31" s="3" t="str">
        <f>HYPERLINK("https://otsuka-europe-crm.veevavault.com/ui/#object/sent_email__v/VBL000000002564", "SE-001379625")</f>
        <v>SE-001379625</v>
      </c>
      <c r="D22931" s="1" t="s">
        <v>0</v>
      </c>
      <c r="E22931" s="2">
        <v>0</v>
      </c>
      <c r="F22931" s="2">
        <v>0</v>
      </c>
      <c r="G22931" s="2">
        <v>0</v>
      </c>
      <c r="H22931" s="1" t="s">
        <v>0</v>
      </c>
      <c r="I22931" s="2">
        <v>0</v>
      </c>
      <c r="J22931" s="1">
        <v>45960.435208333336</v>
      </c>
    </row>
    <row r="22932" spans="1:10" x14ac:dyDescent="0.2">
      <c r="A22932" s="4" t="s">
        <v>1</v>
      </c>
      <c r="B2293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32" s="3" t="str">
        <f>HYPERLINK("https://otsuka-europe-crm.veevavault.com/ui/#object/sent_email__v/VBL000000002565", "SE-001379626")</f>
        <v>SE-001379626</v>
      </c>
      <c r="D22932" s="1" t="s">
        <v>0</v>
      </c>
      <c r="E22932" s="2">
        <v>0</v>
      </c>
      <c r="F22932" s="2">
        <v>0</v>
      </c>
      <c r="G22932" s="2">
        <v>0</v>
      </c>
      <c r="H22932" s="1" t="s">
        <v>0</v>
      </c>
      <c r="I22932" s="2">
        <v>0</v>
      </c>
      <c r="J22932" s="1">
        <v>45960.435208333336</v>
      </c>
    </row>
    <row r="22933" spans="1:10" x14ac:dyDescent="0.2">
      <c r="A22933" s="4" t="s">
        <v>1</v>
      </c>
      <c r="B2293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33" s="3" t="str">
        <f>HYPERLINK("https://otsuka-europe-crm.veevavault.com/ui/#object/sent_email__v/VBL000000002566", "SE-001379627")</f>
        <v>SE-001379627</v>
      </c>
      <c r="D22933" s="1" t="s">
        <v>0</v>
      </c>
      <c r="E22933" s="2">
        <v>0</v>
      </c>
      <c r="F22933" s="2">
        <v>0</v>
      </c>
      <c r="G22933" s="2">
        <v>0</v>
      </c>
      <c r="H22933" s="1" t="s">
        <v>0</v>
      </c>
      <c r="I22933" s="2">
        <v>0</v>
      </c>
      <c r="J22933" s="1">
        <v>45960.435208333336</v>
      </c>
    </row>
    <row r="22934" spans="1:10" x14ac:dyDescent="0.2">
      <c r="A22934" s="4" t="s">
        <v>1</v>
      </c>
      <c r="B2293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34" s="3" t="str">
        <f>HYPERLINK("https://otsuka-europe-crm.veevavault.com/ui/#object/sent_email__v/VBL000000002567", "SE-001379628")</f>
        <v>SE-001379628</v>
      </c>
      <c r="D22934" s="1" t="s">
        <v>0</v>
      </c>
      <c r="E22934" s="2">
        <v>0</v>
      </c>
      <c r="F22934" s="2">
        <v>0</v>
      </c>
      <c r="G22934" s="2">
        <v>0</v>
      </c>
      <c r="H22934" s="1" t="s">
        <v>0</v>
      </c>
      <c r="I22934" s="2">
        <v>0</v>
      </c>
      <c r="J22934" s="1">
        <v>45960.435208333336</v>
      </c>
    </row>
    <row r="22935" spans="1:10" x14ac:dyDescent="0.2">
      <c r="A22935" s="4" t="s">
        <v>1</v>
      </c>
      <c r="B2293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35" s="3" t="str">
        <f>HYPERLINK("https://otsuka-europe-crm.veevavault.com/ui/#object/sent_email__v/VBL000000002568", "SE-001379629")</f>
        <v>SE-001379629</v>
      </c>
      <c r="D22935" s="1" t="s">
        <v>0</v>
      </c>
      <c r="E22935" s="2">
        <v>0</v>
      </c>
      <c r="F22935" s="2">
        <v>0</v>
      </c>
      <c r="G22935" s="2">
        <v>0</v>
      </c>
      <c r="H22935" s="1" t="s">
        <v>0</v>
      </c>
      <c r="I22935" s="2">
        <v>0</v>
      </c>
      <c r="J22935" s="1">
        <v>45960.435208333336</v>
      </c>
    </row>
    <row r="22936" spans="1:10" x14ac:dyDescent="0.2">
      <c r="A22936" s="4" t="s">
        <v>1</v>
      </c>
      <c r="B2293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36" s="3" t="str">
        <f>HYPERLINK("https://otsuka-europe-crm.veevavault.com/ui/#object/sent_email__v/VBL000000002569", "SE-001379630")</f>
        <v>SE-001379630</v>
      </c>
      <c r="D22936" s="1" t="s">
        <v>0</v>
      </c>
      <c r="E22936" s="2">
        <v>0</v>
      </c>
      <c r="F22936" s="2">
        <v>0</v>
      </c>
      <c r="G22936" s="2">
        <v>0</v>
      </c>
      <c r="H22936" s="1" t="s">
        <v>0</v>
      </c>
      <c r="I22936" s="2">
        <v>0</v>
      </c>
      <c r="J22936" s="1">
        <v>45960.435219907406</v>
      </c>
    </row>
    <row r="22937" spans="1:10" x14ac:dyDescent="0.2">
      <c r="A22937" s="4" t="s">
        <v>1</v>
      </c>
      <c r="B2293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37" s="3" t="str">
        <f>HYPERLINK("https://otsuka-europe-crm.veevavault.com/ui/#object/sent_email__v/VBL000000002570", "SE-001379631")</f>
        <v>SE-001379631</v>
      </c>
      <c r="D22937" s="1" t="s">
        <v>0</v>
      </c>
      <c r="E22937" s="2">
        <v>0</v>
      </c>
      <c r="F22937" s="2">
        <v>0</v>
      </c>
      <c r="G22937" s="2">
        <v>0</v>
      </c>
      <c r="H22937" s="1" t="s">
        <v>0</v>
      </c>
      <c r="I22937" s="2">
        <v>0</v>
      </c>
      <c r="J22937" s="1">
        <v>45960.435208333336</v>
      </c>
    </row>
    <row r="22938" spans="1:10" x14ac:dyDescent="0.2">
      <c r="A22938" s="4" t="s">
        <v>1</v>
      </c>
      <c r="B2293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38" s="3" t="str">
        <f>HYPERLINK("https://otsuka-europe-crm.veevavault.com/ui/#object/sent_email__v/VBL000000002571", "SE-001379632")</f>
        <v>SE-001379632</v>
      </c>
      <c r="D22938" s="1" t="s">
        <v>0</v>
      </c>
      <c r="E22938" s="2">
        <v>0</v>
      </c>
      <c r="F22938" s="2">
        <v>0</v>
      </c>
      <c r="G22938" s="2">
        <v>0</v>
      </c>
      <c r="H22938" s="1" t="s">
        <v>0</v>
      </c>
      <c r="I22938" s="2">
        <v>0</v>
      </c>
      <c r="J22938" s="1">
        <v>45960.435208333336</v>
      </c>
    </row>
    <row r="22939" spans="1:10" x14ac:dyDescent="0.2">
      <c r="A22939" s="4" t="s">
        <v>1</v>
      </c>
      <c r="B2293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39" s="3" t="str">
        <f>HYPERLINK("https://otsuka-europe-crm.veevavault.com/ui/#object/sent_email__v/VBL000000002572", "SE-001379633")</f>
        <v>SE-001379633</v>
      </c>
      <c r="D22939" s="1" t="s">
        <v>0</v>
      </c>
      <c r="E22939" s="2">
        <v>0</v>
      </c>
      <c r="F22939" s="2">
        <v>0</v>
      </c>
      <c r="G22939" s="2">
        <v>0</v>
      </c>
      <c r="H22939" s="1" t="s">
        <v>0</v>
      </c>
      <c r="I22939" s="2">
        <v>0</v>
      </c>
      <c r="J22939" s="1">
        <v>45960.435208333336</v>
      </c>
    </row>
    <row r="22940" spans="1:10" x14ac:dyDescent="0.2">
      <c r="A22940" s="4" t="s">
        <v>1</v>
      </c>
      <c r="B2294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40" s="3" t="str">
        <f>HYPERLINK("https://otsuka-europe-crm.veevavault.com/ui/#object/sent_email__v/VBL000000002573", "SE-001379634")</f>
        <v>SE-001379634</v>
      </c>
      <c r="D22940" s="1" t="s">
        <v>0</v>
      </c>
      <c r="E22940" s="2">
        <v>0</v>
      </c>
      <c r="F22940" s="2">
        <v>0</v>
      </c>
      <c r="G22940" s="2">
        <v>0</v>
      </c>
      <c r="H22940" s="1" t="s">
        <v>0</v>
      </c>
      <c r="I22940" s="2">
        <v>0</v>
      </c>
      <c r="J22940" s="1">
        <v>45960.435208333336</v>
      </c>
    </row>
    <row r="22941" spans="1:10" x14ac:dyDescent="0.2">
      <c r="A22941" s="4" t="s">
        <v>1</v>
      </c>
      <c r="B2294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41" s="3" t="str">
        <f>HYPERLINK("https://otsuka-europe-crm.veevavault.com/ui/#object/sent_email__v/VBL000000002574", "SE-001379635")</f>
        <v>SE-001379635</v>
      </c>
      <c r="D22941" s="1" t="s">
        <v>0</v>
      </c>
      <c r="E22941" s="2">
        <v>0</v>
      </c>
      <c r="F22941" s="2">
        <v>0</v>
      </c>
      <c r="G22941" s="2">
        <v>0</v>
      </c>
      <c r="H22941" s="1" t="s">
        <v>0</v>
      </c>
      <c r="I22941" s="2">
        <v>0</v>
      </c>
      <c r="J22941" s="1">
        <v>45960.435219907406</v>
      </c>
    </row>
    <row r="22942" spans="1:10" x14ac:dyDescent="0.2">
      <c r="A22942" s="4" t="s">
        <v>1</v>
      </c>
      <c r="B2294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42" s="3" t="str">
        <f>HYPERLINK("https://otsuka-europe-crm.veevavault.com/ui/#object/sent_email__v/VBL000000002575", "SE-001379636")</f>
        <v>SE-001379636</v>
      </c>
      <c r="D22942" s="1" t="s">
        <v>0</v>
      </c>
      <c r="E22942" s="2">
        <v>0</v>
      </c>
      <c r="F22942" s="2">
        <v>0</v>
      </c>
      <c r="G22942" s="2">
        <v>0</v>
      </c>
      <c r="H22942" s="1" t="s">
        <v>0</v>
      </c>
      <c r="I22942" s="2">
        <v>0</v>
      </c>
      <c r="J22942" s="1">
        <v>45960.435208333336</v>
      </c>
    </row>
    <row r="22943" spans="1:10" x14ac:dyDescent="0.2">
      <c r="A22943" s="4" t="s">
        <v>1</v>
      </c>
      <c r="B2294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43" s="3" t="str">
        <f>HYPERLINK("https://otsuka-europe-crm.veevavault.com/ui/#object/sent_email__v/VBL000000002576", "SE-001379637")</f>
        <v>SE-001379637</v>
      </c>
      <c r="D22943" s="1" t="s">
        <v>0</v>
      </c>
      <c r="E22943" s="2">
        <v>0</v>
      </c>
      <c r="F22943" s="2">
        <v>0</v>
      </c>
      <c r="G22943" s="2">
        <v>0</v>
      </c>
      <c r="H22943" s="1" t="s">
        <v>0</v>
      </c>
      <c r="I22943" s="2">
        <v>0</v>
      </c>
      <c r="J22943" s="1">
        <v>45960.435219907406</v>
      </c>
    </row>
    <row r="22944" spans="1:10" x14ac:dyDescent="0.2">
      <c r="A22944" s="4" t="s">
        <v>1</v>
      </c>
      <c r="B2294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44" s="3" t="str">
        <f>HYPERLINK("https://otsuka-europe-crm.veevavault.com/ui/#object/sent_email__v/VBL000000002577", "SE-001379638")</f>
        <v>SE-001379638</v>
      </c>
      <c r="D22944" s="1" t="s">
        <v>0</v>
      </c>
      <c r="E22944" s="2">
        <v>0</v>
      </c>
      <c r="F22944" s="2">
        <v>0</v>
      </c>
      <c r="G22944" s="2">
        <v>0</v>
      </c>
      <c r="H22944" s="1" t="s">
        <v>0</v>
      </c>
      <c r="I22944" s="2">
        <v>0</v>
      </c>
      <c r="J22944" s="1">
        <v>45960.435219907406</v>
      </c>
    </row>
    <row r="22945" spans="1:10" x14ac:dyDescent="0.2">
      <c r="A22945" s="4" t="s">
        <v>1</v>
      </c>
      <c r="B2294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45" s="3" t="str">
        <f>HYPERLINK("https://otsuka-europe-crm.veevavault.com/ui/#object/sent_email__v/VBL000000002578", "SE-001379639")</f>
        <v>SE-001379639</v>
      </c>
      <c r="D22945" s="1" t="s">
        <v>0</v>
      </c>
      <c r="E22945" s="2">
        <v>0</v>
      </c>
      <c r="F22945" s="2">
        <v>0</v>
      </c>
      <c r="G22945" s="2">
        <v>0</v>
      </c>
      <c r="H22945" s="1" t="s">
        <v>0</v>
      </c>
      <c r="I22945" s="2">
        <v>0</v>
      </c>
      <c r="J22945" s="1">
        <v>45960.435219907406</v>
      </c>
    </row>
    <row r="22946" spans="1:10" x14ac:dyDescent="0.2">
      <c r="A22946" s="4" t="s">
        <v>1</v>
      </c>
      <c r="B2294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46" s="3" t="str">
        <f>HYPERLINK("https://otsuka-europe-crm.veevavault.com/ui/#object/sent_email__v/VBL000000002579", "SE-001379640")</f>
        <v>SE-001379640</v>
      </c>
      <c r="D22946" s="1" t="s">
        <v>0</v>
      </c>
      <c r="E22946" s="2">
        <v>0</v>
      </c>
      <c r="F22946" s="2">
        <v>0</v>
      </c>
      <c r="G22946" s="2">
        <v>0</v>
      </c>
      <c r="H22946" s="1" t="s">
        <v>0</v>
      </c>
      <c r="I22946" s="2">
        <v>0</v>
      </c>
      <c r="J22946" s="1">
        <v>45960.435219907406</v>
      </c>
    </row>
    <row r="22947" spans="1:10" x14ac:dyDescent="0.2">
      <c r="A22947" s="4" t="s">
        <v>1</v>
      </c>
      <c r="B2294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47" s="3" t="str">
        <f>HYPERLINK("https://otsuka-europe-crm.veevavault.com/ui/#object/sent_email__v/VBL000000002580", "SE-001379641")</f>
        <v>SE-001379641</v>
      </c>
      <c r="D22947" s="1" t="s">
        <v>0</v>
      </c>
      <c r="E22947" s="2">
        <v>0</v>
      </c>
      <c r="F22947" s="2">
        <v>0</v>
      </c>
      <c r="G22947" s="2">
        <v>0</v>
      </c>
      <c r="H22947" s="1" t="s">
        <v>0</v>
      </c>
      <c r="I22947" s="2">
        <v>0</v>
      </c>
      <c r="J22947" s="1">
        <v>45960.435219907406</v>
      </c>
    </row>
    <row r="22948" spans="1:10" x14ac:dyDescent="0.2">
      <c r="A22948" s="4" t="s">
        <v>1</v>
      </c>
      <c r="B2294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48" s="3" t="str">
        <f>HYPERLINK("https://otsuka-europe-crm.veevavault.com/ui/#object/sent_email__v/VBL000000002581", "SE-001379642")</f>
        <v>SE-001379642</v>
      </c>
      <c r="D22948" s="1" t="s">
        <v>0</v>
      </c>
      <c r="E22948" s="2">
        <v>0</v>
      </c>
      <c r="F22948" s="2">
        <v>0</v>
      </c>
      <c r="G22948" s="2">
        <v>0</v>
      </c>
      <c r="H22948" s="1" t="s">
        <v>0</v>
      </c>
      <c r="I22948" s="2">
        <v>0</v>
      </c>
      <c r="J22948" s="1">
        <v>45960.435219907406</v>
      </c>
    </row>
    <row r="22949" spans="1:10" x14ac:dyDescent="0.2">
      <c r="A22949" s="4" t="s">
        <v>1</v>
      </c>
      <c r="B2294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49" s="3" t="str">
        <f>HYPERLINK("https://otsuka-europe-crm.veevavault.com/ui/#object/sent_email__v/VBL000000002582", "SE-001379643")</f>
        <v>SE-001379643</v>
      </c>
      <c r="D22949" s="1" t="s">
        <v>0</v>
      </c>
      <c r="E22949" s="2">
        <v>0</v>
      </c>
      <c r="F22949" s="2">
        <v>0</v>
      </c>
      <c r="G22949" s="2">
        <v>0</v>
      </c>
      <c r="H22949" s="1" t="s">
        <v>0</v>
      </c>
      <c r="I22949" s="2">
        <v>0</v>
      </c>
      <c r="J22949" s="1">
        <v>45960.435219907406</v>
      </c>
    </row>
    <row r="22950" spans="1:10" x14ac:dyDescent="0.2">
      <c r="A22950" s="4" t="s">
        <v>1</v>
      </c>
      <c r="B2295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50" s="3" t="str">
        <f>HYPERLINK("https://otsuka-europe-crm.veevavault.com/ui/#object/sent_email__v/VBL000000002583", "SE-001379644")</f>
        <v>SE-001379644</v>
      </c>
      <c r="D22950" s="1" t="s">
        <v>0</v>
      </c>
      <c r="E22950" s="2">
        <v>0</v>
      </c>
      <c r="F22950" s="2">
        <v>0</v>
      </c>
      <c r="G22950" s="2">
        <v>0</v>
      </c>
      <c r="H22950" s="1" t="s">
        <v>0</v>
      </c>
      <c r="I22950" s="2">
        <v>0</v>
      </c>
      <c r="J22950" s="1">
        <v>45960.435219907406</v>
      </c>
    </row>
    <row r="22951" spans="1:10" x14ac:dyDescent="0.2">
      <c r="A22951" s="4" t="s">
        <v>1</v>
      </c>
      <c r="B2295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51" s="3" t="str">
        <f>HYPERLINK("https://otsuka-europe-crm.veevavault.com/ui/#object/sent_email__v/VBL000000002584", "SE-001379645")</f>
        <v>SE-001379645</v>
      </c>
      <c r="D22951" s="1" t="s">
        <v>0</v>
      </c>
      <c r="E22951" s="2">
        <v>0</v>
      </c>
      <c r="F22951" s="2">
        <v>0</v>
      </c>
      <c r="G22951" s="2">
        <v>0</v>
      </c>
      <c r="H22951" s="1" t="s">
        <v>0</v>
      </c>
      <c r="I22951" s="2">
        <v>0</v>
      </c>
      <c r="J22951" s="1">
        <v>45960.435219907406</v>
      </c>
    </row>
    <row r="22952" spans="1:10" x14ac:dyDescent="0.2">
      <c r="A22952" s="4" t="s">
        <v>1</v>
      </c>
      <c r="B2295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52" s="3" t="str">
        <f>HYPERLINK("https://otsuka-europe-crm.veevavault.com/ui/#object/sent_email__v/VBL000000002585", "SE-001379646")</f>
        <v>SE-001379646</v>
      </c>
      <c r="D22952" s="1" t="s">
        <v>0</v>
      </c>
      <c r="E22952" s="2">
        <v>0</v>
      </c>
      <c r="F22952" s="2">
        <v>0</v>
      </c>
      <c r="G22952" s="2">
        <v>0</v>
      </c>
      <c r="H22952" s="1" t="s">
        <v>0</v>
      </c>
      <c r="I22952" s="2">
        <v>0</v>
      </c>
      <c r="J22952" s="1">
        <v>45960.435219907406</v>
      </c>
    </row>
    <row r="22953" spans="1:10" x14ac:dyDescent="0.2">
      <c r="A22953" s="4" t="s">
        <v>1</v>
      </c>
      <c r="B2295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53" s="3" t="str">
        <f>HYPERLINK("https://otsuka-europe-crm.veevavault.com/ui/#object/sent_email__v/VBL000000002586", "SE-001379647")</f>
        <v>SE-001379647</v>
      </c>
      <c r="D22953" s="1" t="s">
        <v>0</v>
      </c>
      <c r="E22953" s="2">
        <v>0</v>
      </c>
      <c r="F22953" s="2">
        <v>0</v>
      </c>
      <c r="G22953" s="2">
        <v>0</v>
      </c>
      <c r="H22953" s="1" t="s">
        <v>0</v>
      </c>
      <c r="I22953" s="2">
        <v>0</v>
      </c>
      <c r="J22953" s="1">
        <v>45960.435231481482</v>
      </c>
    </row>
    <row r="22954" spans="1:10" x14ac:dyDescent="0.2">
      <c r="A22954" s="4" t="s">
        <v>1</v>
      </c>
      <c r="B2295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54" s="3" t="str">
        <f>HYPERLINK("https://otsuka-europe-crm.veevavault.com/ui/#object/sent_email__v/VBL000000002587", "SE-001379648")</f>
        <v>SE-001379648</v>
      </c>
      <c r="D22954" s="1" t="s">
        <v>0</v>
      </c>
      <c r="E22954" s="2">
        <v>0</v>
      </c>
      <c r="F22954" s="2">
        <v>0</v>
      </c>
      <c r="G22954" s="2">
        <v>0</v>
      </c>
      <c r="H22954" s="1" t="s">
        <v>0</v>
      </c>
      <c r="I22954" s="2">
        <v>0</v>
      </c>
      <c r="J22954" s="1">
        <v>45960.435231481482</v>
      </c>
    </row>
    <row r="22955" spans="1:10" x14ac:dyDescent="0.2">
      <c r="A22955" s="4" t="s">
        <v>1</v>
      </c>
      <c r="B22955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55" s="3" t="str">
        <f>HYPERLINK("https://otsuka-europe-crm.veevavault.com/ui/#object/sent_email__v/VBL000000002588", "SE-001379649")</f>
        <v>SE-001379649</v>
      </c>
      <c r="D22955" s="1" t="s">
        <v>0</v>
      </c>
      <c r="E22955" s="2">
        <v>0</v>
      </c>
      <c r="F22955" s="2">
        <v>0</v>
      </c>
      <c r="G22955" s="2">
        <v>0</v>
      </c>
      <c r="H22955" s="1" t="s">
        <v>0</v>
      </c>
      <c r="I22955" s="2">
        <v>0</v>
      </c>
      <c r="J22955" s="1">
        <v>45960.435231481482</v>
      </c>
    </row>
    <row r="22956" spans="1:10" x14ac:dyDescent="0.2">
      <c r="A22956" s="4" t="s">
        <v>1</v>
      </c>
      <c r="B22956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56" s="3" t="str">
        <f>HYPERLINK("https://otsuka-europe-crm.veevavault.com/ui/#object/sent_email__v/VBL000000002589", "SE-001379650")</f>
        <v>SE-001379650</v>
      </c>
      <c r="D22956" s="1" t="s">
        <v>0</v>
      </c>
      <c r="E22956" s="2">
        <v>0</v>
      </c>
      <c r="F22956" s="2">
        <v>0</v>
      </c>
      <c r="G22956" s="2">
        <v>0</v>
      </c>
      <c r="H22956" s="1" t="s">
        <v>0</v>
      </c>
      <c r="I22956" s="2">
        <v>0</v>
      </c>
      <c r="J22956" s="1">
        <v>45960.435231481482</v>
      </c>
    </row>
    <row r="22957" spans="1:10" x14ac:dyDescent="0.2">
      <c r="A22957" s="4" t="s">
        <v>1</v>
      </c>
      <c r="B22957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57" s="3" t="str">
        <f>HYPERLINK("https://otsuka-europe-crm.veevavault.com/ui/#object/sent_email__v/VBL000000002590", "SE-001379651")</f>
        <v>SE-001379651</v>
      </c>
      <c r="D22957" s="1" t="s">
        <v>0</v>
      </c>
      <c r="E22957" s="2">
        <v>0</v>
      </c>
      <c r="F22957" s="2">
        <v>0</v>
      </c>
      <c r="G22957" s="2">
        <v>0</v>
      </c>
      <c r="H22957" s="1" t="s">
        <v>0</v>
      </c>
      <c r="I22957" s="2">
        <v>0</v>
      </c>
      <c r="J22957" s="1">
        <v>45960.435231481482</v>
      </c>
    </row>
    <row r="22958" spans="1:10" x14ac:dyDescent="0.2">
      <c r="A22958" s="4" t="s">
        <v>1</v>
      </c>
      <c r="B22958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58" s="3" t="str">
        <f>HYPERLINK("https://otsuka-europe-crm.veevavault.com/ui/#object/sent_email__v/VBL000000002591", "SE-001379652")</f>
        <v>SE-001379652</v>
      </c>
      <c r="D22958" s="1" t="s">
        <v>0</v>
      </c>
      <c r="E22958" s="2">
        <v>0</v>
      </c>
      <c r="F22958" s="2">
        <v>0</v>
      </c>
      <c r="G22958" s="2">
        <v>0</v>
      </c>
      <c r="H22958" s="1" t="s">
        <v>0</v>
      </c>
      <c r="I22958" s="2">
        <v>0</v>
      </c>
      <c r="J22958" s="1">
        <v>45960.435231481482</v>
      </c>
    </row>
    <row r="22959" spans="1:10" x14ac:dyDescent="0.2">
      <c r="A22959" s="4" t="s">
        <v>1</v>
      </c>
      <c r="B22959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59" s="3" t="str">
        <f>HYPERLINK("https://otsuka-europe-crm.veevavault.com/ui/#object/sent_email__v/VBL000000002592", "SE-001379653")</f>
        <v>SE-001379653</v>
      </c>
      <c r="D22959" s="1" t="s">
        <v>0</v>
      </c>
      <c r="E22959" s="2">
        <v>0</v>
      </c>
      <c r="F22959" s="2">
        <v>0</v>
      </c>
      <c r="G22959" s="2">
        <v>0</v>
      </c>
      <c r="H22959" s="1" t="s">
        <v>0</v>
      </c>
      <c r="I22959" s="2">
        <v>0</v>
      </c>
      <c r="J22959" s="1">
        <v>45960.435231481482</v>
      </c>
    </row>
    <row r="22960" spans="1:10" x14ac:dyDescent="0.2">
      <c r="A22960" s="4" t="s">
        <v>1</v>
      </c>
      <c r="B22960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60" s="3" t="str">
        <f>HYPERLINK("https://otsuka-europe-crm.veevavault.com/ui/#object/sent_email__v/VBL000000002593", "SE-001379654")</f>
        <v>SE-001379654</v>
      </c>
      <c r="D22960" s="1" t="s">
        <v>0</v>
      </c>
      <c r="E22960" s="2">
        <v>0</v>
      </c>
      <c r="F22960" s="2">
        <v>0</v>
      </c>
      <c r="G22960" s="2">
        <v>0</v>
      </c>
      <c r="H22960" s="1" t="s">
        <v>0</v>
      </c>
      <c r="I22960" s="2">
        <v>0</v>
      </c>
      <c r="J22960" s="1">
        <v>45960.435231481482</v>
      </c>
    </row>
    <row r="22961" spans="1:10" x14ac:dyDescent="0.2">
      <c r="A22961" s="4" t="s">
        <v>1</v>
      </c>
      <c r="B22961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61" s="3" t="str">
        <f>HYPERLINK("https://otsuka-europe-crm.veevavault.com/ui/#object/sent_email__v/VBL000000002594", "SE-001379655")</f>
        <v>SE-001379655</v>
      </c>
      <c r="D22961" s="1" t="s">
        <v>0</v>
      </c>
      <c r="E22961" s="2">
        <v>0</v>
      </c>
      <c r="F22961" s="2">
        <v>0</v>
      </c>
      <c r="G22961" s="2">
        <v>0</v>
      </c>
      <c r="H22961" s="1" t="s">
        <v>0</v>
      </c>
      <c r="I22961" s="2">
        <v>0</v>
      </c>
      <c r="J22961" s="1">
        <v>45960.435231481482</v>
      </c>
    </row>
    <row r="22962" spans="1:10" x14ac:dyDescent="0.2">
      <c r="A22962" s="4" t="s">
        <v>1</v>
      </c>
      <c r="B22962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62" s="3" t="str">
        <f>HYPERLINK("https://otsuka-europe-crm.veevavault.com/ui/#object/sent_email__v/VBL000000002595", "SE-001379656")</f>
        <v>SE-001379656</v>
      </c>
      <c r="D22962" s="1" t="s">
        <v>0</v>
      </c>
      <c r="E22962" s="2">
        <v>0</v>
      </c>
      <c r="F22962" s="2">
        <v>0</v>
      </c>
      <c r="G22962" s="2">
        <v>0</v>
      </c>
      <c r="H22962" s="1" t="s">
        <v>0</v>
      </c>
      <c r="I22962" s="2">
        <v>0</v>
      </c>
      <c r="J22962" s="1">
        <v>45960.435243055559</v>
      </c>
    </row>
    <row r="22963" spans="1:10" x14ac:dyDescent="0.2">
      <c r="A22963" s="4" t="s">
        <v>1</v>
      </c>
      <c r="B22963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63" s="3" t="str">
        <f>HYPERLINK("https://otsuka-europe-crm.veevavault.com/ui/#object/sent_email__v/VBL000000003576", "SE-001379675")</f>
        <v>SE-001379675</v>
      </c>
      <c r="D22963" s="1" t="s">
        <v>0</v>
      </c>
      <c r="E22963" s="2">
        <v>0</v>
      </c>
      <c r="F22963" s="2">
        <v>0</v>
      </c>
      <c r="G22963" s="2">
        <v>0</v>
      </c>
      <c r="H22963" s="1" t="s">
        <v>0</v>
      </c>
      <c r="I22963" s="2">
        <v>0</v>
      </c>
      <c r="J22963" s="1">
        <v>45960.459791666668</v>
      </c>
    </row>
    <row r="22964" spans="1:10" x14ac:dyDescent="0.2">
      <c r="A22964" s="4" t="s">
        <v>1</v>
      </c>
      <c r="B22964" s="3" t="str">
        <f>HYPERLINK("https://otsuka-europe-crm.veevavault.com/ui/#object/approved_document__v/V5O000000001011", "RXULTI - Recordatorio webinar Neurociencias lanzamiento indicación adolescente")</f>
        <v>RXULTI - Recordatorio webinar Neurociencias lanzamiento indicación adolescente</v>
      </c>
      <c r="C22964" s="3" t="str">
        <f>HYPERLINK("https://otsuka-europe-crm.veevavault.com/ui/#object/sent_email__v/VBL000000002604", "SE-001379677")</f>
        <v>SE-001379677</v>
      </c>
      <c r="D22964" s="1" t="s">
        <v>0</v>
      </c>
      <c r="E22964" s="2">
        <v>0</v>
      </c>
      <c r="F22964" s="2">
        <v>0</v>
      </c>
      <c r="G22964" s="2">
        <v>0</v>
      </c>
      <c r="H22964" s="1" t="s">
        <v>0</v>
      </c>
      <c r="I22964" s="2">
        <v>0</v>
      </c>
      <c r="J22964" s="1">
        <v>45960.460613425923</v>
      </c>
    </row>
    <row r="22965" spans="1:10" x14ac:dyDescent="0.2">
      <c r="A22965" s="4" t="s">
        <v>1</v>
      </c>
      <c r="B22965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65" s="3" t="str">
        <f>HYPERLINK("https://otsuka-europe-crm.veevavault.com/ui/#object/sent_email__v/VBL00000000O251", "SE-001390727")</f>
        <v>SE-001390727</v>
      </c>
      <c r="D22965" s="1" t="s">
        <v>0</v>
      </c>
      <c r="E22965" s="2">
        <v>0</v>
      </c>
      <c r="F22965" s="2">
        <v>0</v>
      </c>
      <c r="G22965" s="2">
        <v>0</v>
      </c>
      <c r="H22965" s="1" t="s">
        <v>0</v>
      </c>
      <c r="I22965" s="2">
        <v>0</v>
      </c>
      <c r="J22965" s="1">
        <v>45978.429178240738</v>
      </c>
    </row>
    <row r="22966" spans="1:10" x14ac:dyDescent="0.2">
      <c r="A22966" s="4" t="s">
        <v>1</v>
      </c>
      <c r="B22966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66" s="3" t="str">
        <f>HYPERLINK("https://otsuka-europe-crm.veevavault.com/ui/#object/sent_email__v/VBL00000000P129", "SE-001391445")</f>
        <v>SE-001391445</v>
      </c>
      <c r="D22966" s="1" t="s">
        <v>0</v>
      </c>
      <c r="E22966" s="2">
        <v>0</v>
      </c>
      <c r="F22966" s="2">
        <v>0</v>
      </c>
      <c r="G22966" s="2">
        <v>0</v>
      </c>
      <c r="H22966" s="1" t="s">
        <v>0</v>
      </c>
      <c r="I22966" s="2">
        <v>0</v>
      </c>
      <c r="J22966" s="1">
        <v>45981.728912037041</v>
      </c>
    </row>
    <row r="22967" spans="1:10" x14ac:dyDescent="0.2">
      <c r="A22967" s="4" t="s">
        <v>1</v>
      </c>
      <c r="B22967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67" s="3" t="str">
        <f>HYPERLINK("https://otsuka-europe-crm.veevavault.com/ui/#object/sent_email__v/VBL00000000P130", "SE-001391446")</f>
        <v>SE-001391446</v>
      </c>
      <c r="D22967" s="1" t="s">
        <v>0</v>
      </c>
      <c r="E22967" s="2">
        <v>0</v>
      </c>
      <c r="F22967" s="2">
        <v>0</v>
      </c>
      <c r="G22967" s="2">
        <v>0</v>
      </c>
      <c r="H22967" s="1" t="s">
        <v>0</v>
      </c>
      <c r="I22967" s="2">
        <v>0</v>
      </c>
      <c r="J22967" s="1">
        <v>45981.728946759256</v>
      </c>
    </row>
    <row r="22968" spans="1:10" x14ac:dyDescent="0.2">
      <c r="A22968" s="4" t="s">
        <v>1</v>
      </c>
      <c r="B22968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68" s="3" t="str">
        <f>HYPERLINK("https://otsuka-europe-crm.veevavault.com/ui/#object/sent_email__v/VBL00000000P131", "SE-001391447")</f>
        <v>SE-001391447</v>
      </c>
      <c r="D22968" s="1">
        <v>45988.828530092593</v>
      </c>
      <c r="E22968" s="2">
        <v>1</v>
      </c>
      <c r="F22968" s="2">
        <v>2</v>
      </c>
      <c r="G22968" s="2">
        <v>1</v>
      </c>
      <c r="H22968" s="1">
        <v>45986.567974537036</v>
      </c>
      <c r="I22968" s="2">
        <v>1</v>
      </c>
      <c r="J22968" s="1">
        <v>45981.728993055556</v>
      </c>
    </row>
    <row r="22969" spans="1:10" x14ac:dyDescent="0.2">
      <c r="A22969" s="4" t="s">
        <v>1</v>
      </c>
      <c r="B22969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69" s="3" t="str">
        <f>HYPERLINK("https://otsuka-europe-crm.veevavault.com/ui/#object/sent_email__v/VBL00000000P132", "SE-001391448")</f>
        <v>SE-001391448</v>
      </c>
      <c r="D22969" s="1" t="s">
        <v>0</v>
      </c>
      <c r="E22969" s="2">
        <v>0</v>
      </c>
      <c r="F22969" s="2">
        <v>0</v>
      </c>
      <c r="G22969" s="2">
        <v>0</v>
      </c>
      <c r="H22969" s="1" t="s">
        <v>0</v>
      </c>
      <c r="I22969" s="2">
        <v>0</v>
      </c>
      <c r="J22969" s="1">
        <v>45981.73</v>
      </c>
    </row>
    <row r="22970" spans="1:10" x14ac:dyDescent="0.2">
      <c r="A22970" s="4" t="s">
        <v>1</v>
      </c>
      <c r="B22970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70" s="3" t="str">
        <f>HYPERLINK("https://otsuka-europe-crm.veevavault.com/ui/#object/sent_email__v/VBL00000000P133", "SE-001391449")</f>
        <v>SE-001391449</v>
      </c>
      <c r="D22970" s="1">
        <v>45982.956932870373</v>
      </c>
      <c r="E22970" s="2">
        <v>1</v>
      </c>
      <c r="F22970" s="2">
        <v>1</v>
      </c>
      <c r="G22970" s="2">
        <v>0</v>
      </c>
      <c r="H22970" s="1" t="s">
        <v>0</v>
      </c>
      <c r="I22970" s="2">
        <v>0</v>
      </c>
      <c r="J22970" s="1">
        <v>45981.730023148149</v>
      </c>
    </row>
    <row r="22971" spans="1:10" x14ac:dyDescent="0.2">
      <c r="A22971" s="4" t="s">
        <v>1</v>
      </c>
      <c r="B22971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71" s="3" t="str">
        <f>HYPERLINK("https://otsuka-europe-crm.veevavault.com/ui/#object/sent_email__v/VBL00000000P134", "SE-001391450")</f>
        <v>SE-001391450</v>
      </c>
      <c r="D22971" s="1" t="s">
        <v>0</v>
      </c>
      <c r="E22971" s="2">
        <v>0</v>
      </c>
      <c r="F22971" s="2">
        <v>0</v>
      </c>
      <c r="G22971" s="2">
        <v>0</v>
      </c>
      <c r="H22971" s="1" t="s">
        <v>0</v>
      </c>
      <c r="I22971" s="2">
        <v>0</v>
      </c>
      <c r="J22971" s="1">
        <v>45981.730057870373</v>
      </c>
    </row>
    <row r="22972" spans="1:10" x14ac:dyDescent="0.2">
      <c r="A22972" s="4" t="s">
        <v>1</v>
      </c>
      <c r="B22972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72" s="3" t="str">
        <f>HYPERLINK("https://otsuka-europe-crm.veevavault.com/ui/#object/sent_email__v/VBL00000000P135", "SE-001391451")</f>
        <v>SE-001391451</v>
      </c>
      <c r="D22972" s="1">
        <v>45981.887094907404</v>
      </c>
      <c r="E22972" s="2">
        <v>1</v>
      </c>
      <c r="F22972" s="2">
        <v>1</v>
      </c>
      <c r="G22972" s="2">
        <v>0</v>
      </c>
      <c r="H22972" s="1" t="s">
        <v>0</v>
      </c>
      <c r="I22972" s="2">
        <v>0</v>
      </c>
      <c r="J22972" s="1">
        <v>45981.730104166665</v>
      </c>
    </row>
    <row r="22973" spans="1:10" x14ac:dyDescent="0.2">
      <c r="A22973" s="4" t="s">
        <v>1</v>
      </c>
      <c r="B22973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73" s="3" t="str">
        <f>HYPERLINK("https://otsuka-europe-crm.veevavault.com/ui/#object/sent_email__v/VBL00000000P136", "SE-001391452")</f>
        <v>SE-001391452</v>
      </c>
      <c r="D22973" s="1" t="s">
        <v>0</v>
      </c>
      <c r="E22973" s="2">
        <v>0</v>
      </c>
      <c r="F22973" s="2">
        <v>0</v>
      </c>
      <c r="G22973" s="2">
        <v>0</v>
      </c>
      <c r="H22973" s="1" t="s">
        <v>0</v>
      </c>
      <c r="I22973" s="2">
        <v>0</v>
      </c>
      <c r="J22973" s="1">
        <v>45981.730173611111</v>
      </c>
    </row>
    <row r="22974" spans="1:10" x14ac:dyDescent="0.2">
      <c r="A22974" s="4" t="s">
        <v>1</v>
      </c>
      <c r="B22974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74" s="3" t="str">
        <f>HYPERLINK("https://otsuka-europe-crm.veevavault.com/ui/#object/sent_email__v/VBL00000000P137", "SE-001391453")</f>
        <v>SE-001391453</v>
      </c>
      <c r="D22974" s="1">
        <v>45985.430462962962</v>
      </c>
      <c r="E22974" s="2">
        <v>1</v>
      </c>
      <c r="F22974" s="2">
        <v>1</v>
      </c>
      <c r="G22974" s="2">
        <v>0</v>
      </c>
      <c r="H22974" s="1" t="s">
        <v>0</v>
      </c>
      <c r="I22974" s="2">
        <v>0</v>
      </c>
      <c r="J22974" s="1">
        <v>45981.730185185188</v>
      </c>
    </row>
    <row r="22975" spans="1:10" x14ac:dyDescent="0.2">
      <c r="A22975" s="4" t="s">
        <v>1</v>
      </c>
      <c r="B22975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75" s="3" t="str">
        <f>HYPERLINK("https://otsuka-europe-crm.veevavault.com/ui/#object/sent_email__v/VBL00000000P138", "SE-001391454")</f>
        <v>SE-001391454</v>
      </c>
      <c r="D22975" s="1" t="s">
        <v>0</v>
      </c>
      <c r="E22975" s="2">
        <v>0</v>
      </c>
      <c r="F22975" s="2">
        <v>0</v>
      </c>
      <c r="G22975" s="2">
        <v>0</v>
      </c>
      <c r="H22975" s="1" t="s">
        <v>0</v>
      </c>
      <c r="I22975" s="2">
        <v>0</v>
      </c>
      <c r="J22975" s="1">
        <v>45981.730231481481</v>
      </c>
    </row>
    <row r="22976" spans="1:10" x14ac:dyDescent="0.2">
      <c r="A22976" s="4" t="s">
        <v>1</v>
      </c>
      <c r="B22976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76" s="3" t="str">
        <f>HYPERLINK("https://otsuka-europe-crm.veevavault.com/ui/#object/sent_email__v/VBL00000000P139", "SE-001391455")</f>
        <v>SE-001391455</v>
      </c>
      <c r="D22976" s="1">
        <v>45982.003460648149</v>
      </c>
      <c r="E22976" s="2">
        <v>1</v>
      </c>
      <c r="F22976" s="2">
        <v>1</v>
      </c>
      <c r="G22976" s="2">
        <v>0</v>
      </c>
      <c r="H22976" s="1" t="s">
        <v>0</v>
      </c>
      <c r="I22976" s="2">
        <v>0</v>
      </c>
      <c r="J22976" s="1">
        <v>45981.73064814815</v>
      </c>
    </row>
    <row r="22977" spans="1:10" x14ac:dyDescent="0.2">
      <c r="A22977" s="4" t="s">
        <v>1</v>
      </c>
      <c r="B22977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77" s="3" t="str">
        <f>HYPERLINK("https://otsuka-europe-crm.veevavault.com/ui/#object/sent_email__v/VBL00000000P140", "SE-001391456")</f>
        <v>SE-001391456</v>
      </c>
      <c r="D22977" s="1" t="s">
        <v>0</v>
      </c>
      <c r="E22977" s="2">
        <v>0</v>
      </c>
      <c r="F22977" s="2">
        <v>0</v>
      </c>
      <c r="G22977" s="2">
        <v>0</v>
      </c>
      <c r="H22977" s="1" t="s">
        <v>0</v>
      </c>
      <c r="I22977" s="2">
        <v>0</v>
      </c>
      <c r="J22977" s="1">
        <v>45981.730694444443</v>
      </c>
    </row>
    <row r="22978" spans="1:10" x14ac:dyDescent="0.2">
      <c r="A22978" s="4" t="s">
        <v>1</v>
      </c>
      <c r="B22978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78" s="3" t="str">
        <f>HYPERLINK("https://otsuka-europe-crm.veevavault.com/ui/#object/sent_email__v/VBL00000000P141", "SE-001391457")</f>
        <v>SE-001391457</v>
      </c>
      <c r="D22978" s="1">
        <v>45981.791574074072</v>
      </c>
      <c r="E22978" s="2">
        <v>1</v>
      </c>
      <c r="F22978" s="2">
        <v>1</v>
      </c>
      <c r="G22978" s="2">
        <v>0</v>
      </c>
      <c r="H22978" s="1" t="s">
        <v>0</v>
      </c>
      <c r="I22978" s="2">
        <v>0</v>
      </c>
      <c r="J22978" s="1">
        <v>45981.73170138889</v>
      </c>
    </row>
    <row r="22979" spans="1:10" x14ac:dyDescent="0.2">
      <c r="A22979" s="4" t="s">
        <v>1</v>
      </c>
      <c r="B22979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79" s="3" t="str">
        <f>HYPERLINK("https://otsuka-europe-crm.veevavault.com/ui/#object/sent_email__v/VBL00000000P142", "SE-001391458")</f>
        <v>SE-001391458</v>
      </c>
      <c r="D22979" s="1">
        <v>45985.837280092594</v>
      </c>
      <c r="E22979" s="2">
        <v>1</v>
      </c>
      <c r="F22979" s="2">
        <v>4</v>
      </c>
      <c r="G22979" s="2">
        <v>1</v>
      </c>
      <c r="H22979" s="1">
        <v>45981.775821759256</v>
      </c>
      <c r="I22979" s="2">
        <v>1</v>
      </c>
      <c r="J22979" s="1">
        <v>45981.731736111113</v>
      </c>
    </row>
    <row r="22980" spans="1:10" x14ac:dyDescent="0.2">
      <c r="A22980" s="4" t="s">
        <v>1</v>
      </c>
      <c r="B22980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80" s="3" t="str">
        <f>HYPERLINK("https://otsuka-europe-crm.veevavault.com/ui/#object/sent_email__v/VBL00000000P143", "SE-001391459")</f>
        <v>SE-001391459</v>
      </c>
      <c r="D22980" s="1" t="s">
        <v>0</v>
      </c>
      <c r="E22980" s="2">
        <v>0</v>
      </c>
      <c r="F22980" s="2">
        <v>0</v>
      </c>
      <c r="G22980" s="2">
        <v>0</v>
      </c>
      <c r="H22980" s="1" t="s">
        <v>0</v>
      </c>
      <c r="I22980" s="2">
        <v>0</v>
      </c>
      <c r="J22980" s="1">
        <v>45981.731770833336</v>
      </c>
    </row>
    <row r="22981" spans="1:10" x14ac:dyDescent="0.2">
      <c r="A22981" s="4" t="s">
        <v>1</v>
      </c>
      <c r="B22981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81" s="3" t="str">
        <f>HYPERLINK("https://otsuka-europe-crm.veevavault.com/ui/#object/sent_email__v/VBL00000000P144", "SE-001391460")</f>
        <v>SE-001391460</v>
      </c>
      <c r="D22981" s="1">
        <v>45981.790173611109</v>
      </c>
      <c r="E22981" s="2">
        <v>1</v>
      </c>
      <c r="F22981" s="2">
        <v>1</v>
      </c>
      <c r="G22981" s="2">
        <v>1</v>
      </c>
      <c r="H22981" s="1">
        <v>45981.790277777778</v>
      </c>
      <c r="I22981" s="2">
        <v>1</v>
      </c>
      <c r="J22981" s="1">
        <v>45981.731817129628</v>
      </c>
    </row>
    <row r="22982" spans="1:10" x14ac:dyDescent="0.2">
      <c r="A22982" s="4" t="s">
        <v>1</v>
      </c>
      <c r="B22982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82" s="3" t="str">
        <f>HYPERLINK("https://otsuka-europe-crm.veevavault.com/ui/#object/sent_email__v/VBL00000000P145", "SE-001391461")</f>
        <v>SE-001391461</v>
      </c>
      <c r="D22982" s="1">
        <v>45986.492581018516</v>
      </c>
      <c r="E22982" s="2">
        <v>1</v>
      </c>
      <c r="F22982" s="2">
        <v>3</v>
      </c>
      <c r="G22982" s="2">
        <v>1</v>
      </c>
      <c r="H22982" s="1">
        <v>45986.492928240739</v>
      </c>
      <c r="I22982" s="2">
        <v>1</v>
      </c>
      <c r="J22982" s="1">
        <v>45981.731863425928</v>
      </c>
    </row>
    <row r="22983" spans="1:10" x14ac:dyDescent="0.2">
      <c r="A22983" s="4" t="s">
        <v>1</v>
      </c>
      <c r="B22983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83" s="3" t="str">
        <f>HYPERLINK("https://otsuka-europe-crm.veevavault.com/ui/#object/sent_email__v/VBL00000000P146", "SE-001391462")</f>
        <v>SE-001391462</v>
      </c>
      <c r="D22983" s="1">
        <v>45983.059756944444</v>
      </c>
      <c r="E22983" s="2">
        <v>1</v>
      </c>
      <c r="F22983" s="2">
        <v>1</v>
      </c>
      <c r="G22983" s="2">
        <v>0</v>
      </c>
      <c r="H22983" s="1" t="s">
        <v>0</v>
      </c>
      <c r="I22983" s="2">
        <v>0</v>
      </c>
      <c r="J22983" s="1">
        <v>45981.731898148151</v>
      </c>
    </row>
    <row r="22984" spans="1:10" x14ac:dyDescent="0.2">
      <c r="A22984" s="4" t="s">
        <v>1</v>
      </c>
      <c r="B22984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84" s="3" t="str">
        <f>HYPERLINK("https://otsuka-europe-crm.veevavault.com/ui/#object/sent_email__v/VBL00000000P147", "SE-001391463")</f>
        <v>SE-001391463</v>
      </c>
      <c r="D22984" s="1">
        <v>45981.792048611111</v>
      </c>
      <c r="E22984" s="2">
        <v>1</v>
      </c>
      <c r="F22984" s="2">
        <v>2</v>
      </c>
      <c r="G22984" s="2">
        <v>0</v>
      </c>
      <c r="H22984" s="1" t="s">
        <v>0</v>
      </c>
      <c r="I22984" s="2">
        <v>0</v>
      </c>
      <c r="J22984" s="1">
        <v>45981.732002314813</v>
      </c>
    </row>
    <row r="22985" spans="1:10" x14ac:dyDescent="0.2">
      <c r="A22985" s="4" t="s">
        <v>1</v>
      </c>
      <c r="B22985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85" s="3" t="str">
        <f>HYPERLINK("https://otsuka-europe-crm.veevavault.com/ui/#object/sent_email__v/VBL00000000P148", "SE-001391464")</f>
        <v>SE-001391464</v>
      </c>
      <c r="D22985" s="1">
        <v>45983.059756944444</v>
      </c>
      <c r="E22985" s="2">
        <v>1</v>
      </c>
      <c r="F22985" s="2">
        <v>1</v>
      </c>
      <c r="G22985" s="2">
        <v>0</v>
      </c>
      <c r="H22985" s="1" t="s">
        <v>0</v>
      </c>
      <c r="I22985" s="2">
        <v>0</v>
      </c>
      <c r="J22985" s="1">
        <v>45981.732048611113</v>
      </c>
    </row>
    <row r="22986" spans="1:10" x14ac:dyDescent="0.2">
      <c r="A22986" s="4" t="s">
        <v>1</v>
      </c>
      <c r="B22986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86" s="3" t="str">
        <f>HYPERLINK("https://otsuka-europe-crm.veevavault.com/ui/#object/sent_email__v/VBL00000000P149", "SE-001391465")</f>
        <v>SE-001391465</v>
      </c>
      <c r="D22986" s="1" t="s">
        <v>0</v>
      </c>
      <c r="E22986" s="2">
        <v>0</v>
      </c>
      <c r="F22986" s="2">
        <v>0</v>
      </c>
      <c r="G22986" s="2">
        <v>0</v>
      </c>
      <c r="H22986" s="1" t="s">
        <v>0</v>
      </c>
      <c r="I22986" s="2">
        <v>0</v>
      </c>
      <c r="J22986" s="1">
        <v>45981.732094907406</v>
      </c>
    </row>
    <row r="22987" spans="1:10" x14ac:dyDescent="0.2">
      <c r="A22987" s="4" t="s">
        <v>1</v>
      </c>
      <c r="B22987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87" s="3" t="str">
        <f>HYPERLINK("https://otsuka-europe-crm.veevavault.com/ui/#object/sent_email__v/VBL00000000P150", "SE-001391466")</f>
        <v>SE-001391466</v>
      </c>
      <c r="D22987" s="1">
        <v>45986.492581018516</v>
      </c>
      <c r="E22987" s="2">
        <v>1</v>
      </c>
      <c r="F22987" s="2">
        <v>3</v>
      </c>
      <c r="G22987" s="2">
        <v>0</v>
      </c>
      <c r="H22987" s="1" t="s">
        <v>0</v>
      </c>
      <c r="I22987" s="2">
        <v>0</v>
      </c>
      <c r="J22987" s="1">
        <v>45981.732141203705</v>
      </c>
    </row>
    <row r="22988" spans="1:10" x14ac:dyDescent="0.2">
      <c r="A22988" s="4" t="s">
        <v>1</v>
      </c>
      <c r="B22988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88" s="3" t="str">
        <f>HYPERLINK("https://otsuka-europe-crm.veevavault.com/ui/#object/sent_email__v/VBL00000000P151", "SE-001391467")</f>
        <v>SE-001391467</v>
      </c>
      <c r="D22988" s="1">
        <v>45985.837280092594</v>
      </c>
      <c r="E22988" s="2">
        <v>1</v>
      </c>
      <c r="F22988" s="2">
        <v>4</v>
      </c>
      <c r="G22988" s="2">
        <v>0</v>
      </c>
      <c r="H22988" s="1" t="s">
        <v>0</v>
      </c>
      <c r="I22988" s="2">
        <v>0</v>
      </c>
      <c r="J22988" s="1">
        <v>45981.732175925928</v>
      </c>
    </row>
    <row r="22989" spans="1:10" x14ac:dyDescent="0.2">
      <c r="A22989" s="4" t="s">
        <v>1</v>
      </c>
      <c r="B22989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89" s="3" t="str">
        <f>HYPERLINK("https://otsuka-europe-crm.veevavault.com/ui/#object/sent_email__v/VBL00000000P152", "SE-001391468")</f>
        <v>SE-001391468</v>
      </c>
      <c r="D22989" s="1" t="s">
        <v>0</v>
      </c>
      <c r="E22989" s="2">
        <v>0</v>
      </c>
      <c r="F22989" s="2">
        <v>0</v>
      </c>
      <c r="G22989" s="2">
        <v>0</v>
      </c>
      <c r="H22989" s="1" t="s">
        <v>0</v>
      </c>
      <c r="I22989" s="2">
        <v>0</v>
      </c>
      <c r="J22989" s="1">
        <v>45981.732222222221</v>
      </c>
    </row>
    <row r="22990" spans="1:10" x14ac:dyDescent="0.2">
      <c r="A22990" s="4" t="s">
        <v>1</v>
      </c>
      <c r="B22990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90" s="3" t="str">
        <f>HYPERLINK("https://otsuka-europe-crm.veevavault.com/ui/#object/sent_email__v/VBL00000000R035", "SE-001391591")</f>
        <v>SE-001391591</v>
      </c>
      <c r="D22990" s="1">
        <v>45985.434479166666</v>
      </c>
      <c r="E22990" s="2">
        <v>1</v>
      </c>
      <c r="F22990" s="2">
        <v>1</v>
      </c>
      <c r="G22990" s="2">
        <v>0</v>
      </c>
      <c r="H22990" s="1" t="s">
        <v>0</v>
      </c>
      <c r="I22990" s="2">
        <v>0</v>
      </c>
      <c r="J22990" s="1">
        <v>45985.334930555553</v>
      </c>
    </row>
    <row r="22991" spans="1:10" x14ac:dyDescent="0.2">
      <c r="A22991" s="4" t="s">
        <v>1</v>
      </c>
      <c r="B22991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91" s="3" t="str">
        <f>HYPERLINK("https://otsuka-europe-crm.veevavault.com/ui/#object/sent_email__v/VBL00000000R036", "SE-001391592")</f>
        <v>SE-001391592</v>
      </c>
      <c r="D22991" s="1">
        <v>45985.636273148149</v>
      </c>
      <c r="E22991" s="2">
        <v>1</v>
      </c>
      <c r="F22991" s="2">
        <v>4</v>
      </c>
      <c r="G22991" s="2">
        <v>0</v>
      </c>
      <c r="H22991" s="1" t="s">
        <v>0</v>
      </c>
      <c r="I22991" s="2">
        <v>0</v>
      </c>
      <c r="J22991" s="1">
        <v>45985.334999999999</v>
      </c>
    </row>
    <row r="22992" spans="1:10" x14ac:dyDescent="0.2">
      <c r="A22992" s="4" t="s">
        <v>1</v>
      </c>
      <c r="B22992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92" s="3" t="str">
        <f>HYPERLINK("https://otsuka-europe-crm.veevavault.com/ui/#object/sent_email__v/VBL00000000R037", "SE-001391593")</f>
        <v>SE-001391593</v>
      </c>
      <c r="D22992" s="1" t="s">
        <v>0</v>
      </c>
      <c r="E22992" s="2">
        <v>0</v>
      </c>
      <c r="F22992" s="2">
        <v>0</v>
      </c>
      <c r="G22992" s="2">
        <v>0</v>
      </c>
      <c r="H22992" s="1" t="s">
        <v>0</v>
      </c>
      <c r="I22992" s="2">
        <v>0</v>
      </c>
      <c r="J22992" s="1">
        <v>45985.335034722222</v>
      </c>
    </row>
    <row r="22993" spans="1:10" x14ac:dyDescent="0.2">
      <c r="A22993" s="4" t="s">
        <v>1</v>
      </c>
      <c r="B22993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93" s="3" t="str">
        <f>HYPERLINK("https://otsuka-europe-crm.veevavault.com/ui/#object/sent_email__v/VBL00000000R038", "SE-001391594")</f>
        <v>SE-001391594</v>
      </c>
      <c r="D22993" s="1" t="s">
        <v>0</v>
      </c>
      <c r="E22993" s="2">
        <v>0</v>
      </c>
      <c r="F22993" s="2">
        <v>0</v>
      </c>
      <c r="G22993" s="2">
        <v>0</v>
      </c>
      <c r="H22993" s="1" t="s">
        <v>0</v>
      </c>
      <c r="I22993" s="2">
        <v>0</v>
      </c>
      <c r="J22993" s="1">
        <v>45985.335069444445</v>
      </c>
    </row>
    <row r="22994" spans="1:10" x14ac:dyDescent="0.2">
      <c r="A22994" s="4" t="s">
        <v>1</v>
      </c>
      <c r="B22994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94" s="3" t="str">
        <f>HYPERLINK("https://otsuka-europe-crm.veevavault.com/ui/#object/sent_email__v/VBL00000000R039", "SE-001391595")</f>
        <v>SE-001391595</v>
      </c>
      <c r="D22994" s="1" t="s">
        <v>0</v>
      </c>
      <c r="E22994" s="2">
        <v>0</v>
      </c>
      <c r="F22994" s="2">
        <v>0</v>
      </c>
      <c r="G22994" s="2">
        <v>0</v>
      </c>
      <c r="H22994" s="1" t="s">
        <v>0</v>
      </c>
      <c r="I22994" s="2">
        <v>0</v>
      </c>
      <c r="J22994" s="1">
        <v>45985.335115740738</v>
      </c>
    </row>
    <row r="22995" spans="1:10" x14ac:dyDescent="0.2">
      <c r="A22995" s="4" t="s">
        <v>1</v>
      </c>
      <c r="B22995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95" s="3" t="str">
        <f>HYPERLINK("https://otsuka-europe-crm.veevavault.com/ui/#object/sent_email__v/VBL00000000R040", "SE-001391596")</f>
        <v>SE-001391596</v>
      </c>
      <c r="D22995" s="1">
        <v>45985.749212962961</v>
      </c>
      <c r="E22995" s="2">
        <v>1</v>
      </c>
      <c r="F22995" s="2">
        <v>1</v>
      </c>
      <c r="G22995" s="2">
        <v>0</v>
      </c>
      <c r="H22995" s="1" t="s">
        <v>0</v>
      </c>
      <c r="I22995" s="2">
        <v>0</v>
      </c>
      <c r="J22995" s="1">
        <v>45985.335150462961</v>
      </c>
    </row>
    <row r="22996" spans="1:10" x14ac:dyDescent="0.2">
      <c r="A22996" s="4" t="s">
        <v>1</v>
      </c>
      <c r="B22996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96" s="3" t="str">
        <f>HYPERLINK("https://otsuka-europe-crm.veevavault.com/ui/#object/sent_email__v/VBL00000000R041", "SE-001391597")</f>
        <v>SE-001391597</v>
      </c>
      <c r="D22996" s="1">
        <v>45985.382824074077</v>
      </c>
      <c r="E22996" s="2">
        <v>1</v>
      </c>
      <c r="F22996" s="2">
        <v>1</v>
      </c>
      <c r="G22996" s="2">
        <v>0</v>
      </c>
      <c r="H22996" s="1" t="s">
        <v>0</v>
      </c>
      <c r="I22996" s="2">
        <v>0</v>
      </c>
      <c r="J22996" s="1">
        <v>45985.335196759261</v>
      </c>
    </row>
    <row r="22997" spans="1:10" x14ac:dyDescent="0.2">
      <c r="A22997" s="4" t="s">
        <v>1</v>
      </c>
      <c r="B22997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97" s="3" t="str">
        <f>HYPERLINK("https://otsuka-europe-crm.veevavault.com/ui/#object/sent_email__v/VBL00000000R042", "SE-001391598")</f>
        <v>SE-001391598</v>
      </c>
      <c r="D22997" s="1" t="s">
        <v>0</v>
      </c>
      <c r="E22997" s="2">
        <v>0</v>
      </c>
      <c r="F22997" s="2">
        <v>0</v>
      </c>
      <c r="G22997" s="2">
        <v>0</v>
      </c>
      <c r="H22997" s="1" t="s">
        <v>0</v>
      </c>
      <c r="I22997" s="2">
        <v>0</v>
      </c>
      <c r="J22997" s="1">
        <v>45985.335231481484</v>
      </c>
    </row>
    <row r="22998" spans="1:10" x14ac:dyDescent="0.2">
      <c r="A22998" s="4" t="s">
        <v>1</v>
      </c>
      <c r="B22998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98" s="3" t="str">
        <f>HYPERLINK("https://otsuka-europe-crm.veevavault.com/ui/#object/sent_email__v/VBL00000000R043", "SE-001391599")</f>
        <v>SE-001391599</v>
      </c>
      <c r="D22998" s="1">
        <v>45985.974421296298</v>
      </c>
      <c r="E22998" s="2">
        <v>1</v>
      </c>
      <c r="F22998" s="2">
        <v>1</v>
      </c>
      <c r="G22998" s="2">
        <v>0</v>
      </c>
      <c r="H22998" s="1" t="s">
        <v>0</v>
      </c>
      <c r="I22998" s="2">
        <v>0</v>
      </c>
      <c r="J22998" s="1">
        <v>45985.335277777776</v>
      </c>
    </row>
    <row r="22999" spans="1:10" x14ac:dyDescent="0.2">
      <c r="A22999" s="4" t="s">
        <v>1</v>
      </c>
      <c r="B22999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2999" s="3" t="str">
        <f>HYPERLINK("https://otsuka-europe-crm.veevavault.com/ui/#object/sent_email__v/VBL00000000R044", "SE-001391600")</f>
        <v>SE-001391600</v>
      </c>
      <c r="D22999" s="1" t="s">
        <v>0</v>
      </c>
      <c r="E22999" s="2">
        <v>0</v>
      </c>
      <c r="F22999" s="2">
        <v>0</v>
      </c>
      <c r="G22999" s="2">
        <v>0</v>
      </c>
      <c r="H22999" s="1" t="s">
        <v>0</v>
      </c>
      <c r="I22999" s="2">
        <v>0</v>
      </c>
      <c r="J22999" s="1">
        <v>45985.335312499999</v>
      </c>
    </row>
    <row r="23000" spans="1:10" x14ac:dyDescent="0.2">
      <c r="A23000" s="4" t="s">
        <v>1</v>
      </c>
      <c r="B23000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00" s="3" t="str">
        <f>HYPERLINK("https://otsuka-europe-crm.veevavault.com/ui/#object/sent_email__v/VBL00000000R045", "SE-001391601")</f>
        <v>SE-001391601</v>
      </c>
      <c r="D23000" s="1">
        <v>45985.612951388888</v>
      </c>
      <c r="E23000" s="2">
        <v>1</v>
      </c>
      <c r="F23000" s="2">
        <v>1</v>
      </c>
      <c r="G23000" s="2">
        <v>1</v>
      </c>
      <c r="H23000" s="1">
        <v>45985.613113425927</v>
      </c>
      <c r="I23000" s="2">
        <v>1</v>
      </c>
      <c r="J23000" s="1">
        <v>45985.335358796299</v>
      </c>
    </row>
    <row r="23001" spans="1:10" x14ac:dyDescent="0.2">
      <c r="A23001" s="4" t="s">
        <v>1</v>
      </c>
      <c r="B23001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01" s="3" t="str">
        <f>HYPERLINK("https://otsuka-europe-crm.veevavault.com/ui/#object/sent_email__v/VBL00000000R046", "SE-001391602")</f>
        <v>SE-001391602</v>
      </c>
      <c r="D23001" s="1">
        <v>45985.359317129631</v>
      </c>
      <c r="E23001" s="2">
        <v>1</v>
      </c>
      <c r="F23001" s="2">
        <v>2</v>
      </c>
      <c r="G23001" s="2">
        <v>0</v>
      </c>
      <c r="H23001" s="1" t="s">
        <v>0</v>
      </c>
      <c r="I23001" s="2">
        <v>0</v>
      </c>
      <c r="J23001" s="1">
        <v>45985.335405092592</v>
      </c>
    </row>
    <row r="23002" spans="1:10" x14ac:dyDescent="0.2">
      <c r="A23002" s="4" t="s">
        <v>1</v>
      </c>
      <c r="B23002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02" s="3" t="str">
        <f>HYPERLINK("https://otsuka-europe-crm.veevavault.com/ui/#object/sent_email__v/VBL00000000R047", "SE-001391603")</f>
        <v>SE-001391603</v>
      </c>
      <c r="D23002" s="1">
        <v>45985.336770833332</v>
      </c>
      <c r="E23002" s="2">
        <v>1</v>
      </c>
      <c r="F23002" s="2">
        <v>1</v>
      </c>
      <c r="G23002" s="2">
        <v>0</v>
      </c>
      <c r="H23002" s="1" t="s">
        <v>0</v>
      </c>
      <c r="I23002" s="2">
        <v>0</v>
      </c>
      <c r="J23002" s="1">
        <v>45985.335439814815</v>
      </c>
    </row>
    <row r="23003" spans="1:10" x14ac:dyDescent="0.2">
      <c r="A23003" s="4" t="s">
        <v>1</v>
      </c>
      <c r="B23003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03" s="3" t="str">
        <f>HYPERLINK("https://otsuka-europe-crm.veevavault.com/ui/#object/sent_email__v/VBL00000000R048", "SE-001391604")</f>
        <v>SE-001391604</v>
      </c>
      <c r="D23003" s="1">
        <v>45994.571122685185</v>
      </c>
      <c r="E23003" s="2">
        <v>1</v>
      </c>
      <c r="F23003" s="2">
        <v>5</v>
      </c>
      <c r="G23003" s="2">
        <v>1</v>
      </c>
      <c r="H23003" s="1">
        <v>45994.571250000001</v>
      </c>
      <c r="I23003" s="2">
        <v>1</v>
      </c>
      <c r="J23003" s="1">
        <v>45985.335486111115</v>
      </c>
    </row>
    <row r="23004" spans="1:10" x14ac:dyDescent="0.2">
      <c r="A23004" s="4" t="s">
        <v>1</v>
      </c>
      <c r="B23004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04" s="3" t="str">
        <f>HYPERLINK("https://otsuka-europe-crm.veevavault.com/ui/#object/sent_email__v/VBL00000000R049", "SE-001391605")</f>
        <v>SE-001391605</v>
      </c>
      <c r="D23004" s="1" t="s">
        <v>0</v>
      </c>
      <c r="E23004" s="2">
        <v>0</v>
      </c>
      <c r="F23004" s="2">
        <v>0</v>
      </c>
      <c r="G23004" s="2">
        <v>0</v>
      </c>
      <c r="H23004" s="1" t="s">
        <v>0</v>
      </c>
      <c r="I23004" s="2">
        <v>0</v>
      </c>
      <c r="J23004" s="1">
        <v>45985.335532407407</v>
      </c>
    </row>
    <row r="23005" spans="1:10" x14ac:dyDescent="0.2">
      <c r="A23005" s="4" t="s">
        <v>1</v>
      </c>
      <c r="B23005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05" s="3" t="str">
        <f>HYPERLINK("https://otsuka-europe-crm.veevavault.com/ui/#object/sent_email__v/VBL00000000R050", "SE-001391606")</f>
        <v>SE-001391606</v>
      </c>
      <c r="D23005" s="1" t="s">
        <v>0</v>
      </c>
      <c r="E23005" s="2">
        <v>0</v>
      </c>
      <c r="F23005" s="2">
        <v>0</v>
      </c>
      <c r="G23005" s="2">
        <v>0</v>
      </c>
      <c r="H23005" s="1" t="s">
        <v>0</v>
      </c>
      <c r="I23005" s="2">
        <v>0</v>
      </c>
      <c r="J23005" s="1">
        <v>45985.33556712963</v>
      </c>
    </row>
    <row r="23006" spans="1:10" x14ac:dyDescent="0.2">
      <c r="A23006" s="4" t="s">
        <v>1</v>
      </c>
      <c r="B23006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06" s="3" t="str">
        <f>HYPERLINK("https://otsuka-europe-crm.veevavault.com/ui/#object/sent_email__v/VBL00000000R051", "SE-001391607")</f>
        <v>SE-001391607</v>
      </c>
      <c r="D23006" s="1" t="s">
        <v>0</v>
      </c>
      <c r="E23006" s="2">
        <v>0</v>
      </c>
      <c r="F23006" s="2">
        <v>0</v>
      </c>
      <c r="G23006" s="2">
        <v>0</v>
      </c>
      <c r="H23006" s="1" t="s">
        <v>0</v>
      </c>
      <c r="I23006" s="2">
        <v>0</v>
      </c>
      <c r="J23006" s="1">
        <v>45985.338078703702</v>
      </c>
    </row>
    <row r="23007" spans="1:10" x14ac:dyDescent="0.2">
      <c r="A23007" s="4" t="s">
        <v>1</v>
      </c>
      <c r="B23007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07" s="3" t="str">
        <f>HYPERLINK("https://otsuka-europe-crm.veevavault.com/ui/#object/sent_email__v/VBL00000000R052", "SE-001391608")</f>
        <v>SE-001391608</v>
      </c>
      <c r="D23007" s="1" t="s">
        <v>0</v>
      </c>
      <c r="E23007" s="2">
        <v>0</v>
      </c>
      <c r="F23007" s="2">
        <v>0</v>
      </c>
      <c r="G23007" s="2">
        <v>0</v>
      </c>
      <c r="H23007" s="1" t="s">
        <v>0</v>
      </c>
      <c r="I23007" s="2">
        <v>0</v>
      </c>
      <c r="J23007" s="1">
        <v>45985.338136574072</v>
      </c>
    </row>
    <row r="23008" spans="1:10" x14ac:dyDescent="0.2">
      <c r="A23008" s="4" t="s">
        <v>1</v>
      </c>
      <c r="B23008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08" s="3" t="str">
        <f>HYPERLINK("https://otsuka-europe-crm.veevavault.com/ui/#object/sent_email__v/VBL00000000R053", "SE-001391609")</f>
        <v>SE-001391609</v>
      </c>
      <c r="D23008" s="1">
        <v>45985.641296296293</v>
      </c>
      <c r="E23008" s="2">
        <v>1</v>
      </c>
      <c r="F23008" s="2">
        <v>1</v>
      </c>
      <c r="G23008" s="2">
        <v>0</v>
      </c>
      <c r="H23008" s="1" t="s">
        <v>0</v>
      </c>
      <c r="I23008" s="2">
        <v>0</v>
      </c>
      <c r="J23008" s="1">
        <v>45985.338171296295</v>
      </c>
    </row>
    <row r="23009" spans="1:10" x14ac:dyDescent="0.2">
      <c r="A23009" s="4" t="s">
        <v>1</v>
      </c>
      <c r="B23009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09" s="3" t="str">
        <f>HYPERLINK("https://otsuka-europe-crm.veevavault.com/ui/#object/sent_email__v/VBL00000000R054", "SE-001391610")</f>
        <v>SE-001391610</v>
      </c>
      <c r="D23009" s="1" t="s">
        <v>0</v>
      </c>
      <c r="E23009" s="2">
        <v>0</v>
      </c>
      <c r="F23009" s="2">
        <v>0</v>
      </c>
      <c r="G23009" s="2">
        <v>0</v>
      </c>
      <c r="H23009" s="1" t="s">
        <v>0</v>
      </c>
      <c r="I23009" s="2">
        <v>0</v>
      </c>
      <c r="J23009" s="1">
        <v>45985.338252314818</v>
      </c>
    </row>
    <row r="23010" spans="1:10" x14ac:dyDescent="0.2">
      <c r="A23010" s="4" t="s">
        <v>1</v>
      </c>
      <c r="B23010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10" s="3" t="str">
        <f>HYPERLINK("https://otsuka-europe-crm.veevavault.com/ui/#object/sent_email__v/VBL00000000R055", "SE-001391611")</f>
        <v>SE-001391611</v>
      </c>
      <c r="D23010" s="1">
        <v>45985.505995370368</v>
      </c>
      <c r="E23010" s="2">
        <v>1</v>
      </c>
      <c r="F23010" s="2">
        <v>4</v>
      </c>
      <c r="G23010" s="2">
        <v>1</v>
      </c>
      <c r="H23010" s="1">
        <v>45985.506203703706</v>
      </c>
      <c r="I23010" s="2">
        <v>1</v>
      </c>
      <c r="J23010" s="1">
        <v>45985.338333333333</v>
      </c>
    </row>
    <row r="23011" spans="1:10" x14ac:dyDescent="0.2">
      <c r="A23011" s="4" t="s">
        <v>1</v>
      </c>
      <c r="B23011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11" s="3" t="str">
        <f>HYPERLINK("https://otsuka-europe-crm.veevavault.com/ui/#object/sent_email__v/VBL00000000R056", "SE-001391612")</f>
        <v>SE-001391612</v>
      </c>
      <c r="D23011" s="1">
        <v>45986.593842592592</v>
      </c>
      <c r="E23011" s="2">
        <v>1</v>
      </c>
      <c r="F23011" s="2">
        <v>2</v>
      </c>
      <c r="G23011" s="2">
        <v>0</v>
      </c>
      <c r="H23011" s="1" t="s">
        <v>0</v>
      </c>
      <c r="I23011" s="2">
        <v>0</v>
      </c>
      <c r="J23011" s="1">
        <v>45985.338391203702</v>
      </c>
    </row>
    <row r="23012" spans="1:10" x14ac:dyDescent="0.2">
      <c r="A23012" s="4" t="s">
        <v>1</v>
      </c>
      <c r="B23012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12" s="3" t="str">
        <f>HYPERLINK("https://otsuka-europe-crm.veevavault.com/ui/#object/sent_email__v/VBL00000000R057", "SE-001391613")</f>
        <v>SE-001391613</v>
      </c>
      <c r="D23012" s="1">
        <v>45989.302662037036</v>
      </c>
      <c r="E23012" s="2">
        <v>1</v>
      </c>
      <c r="F23012" s="2">
        <v>2</v>
      </c>
      <c r="G23012" s="2">
        <v>0</v>
      </c>
      <c r="H23012" s="1" t="s">
        <v>0</v>
      </c>
      <c r="I23012" s="2">
        <v>0</v>
      </c>
      <c r="J23012" s="1">
        <v>45985.338460648149</v>
      </c>
    </row>
    <row r="23013" spans="1:10" x14ac:dyDescent="0.2">
      <c r="A23013" s="4" t="s">
        <v>1</v>
      </c>
      <c r="B23013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13" s="3" t="str">
        <f>HYPERLINK("https://otsuka-europe-crm.veevavault.com/ui/#object/sent_email__v/VBL00000000R058", "SE-001391614")</f>
        <v>SE-001391614</v>
      </c>
      <c r="D23013" s="1" t="s">
        <v>0</v>
      </c>
      <c r="E23013" s="2">
        <v>0</v>
      </c>
      <c r="F23013" s="2">
        <v>0</v>
      </c>
      <c r="G23013" s="2">
        <v>0</v>
      </c>
      <c r="H23013" s="1" t="s">
        <v>0</v>
      </c>
      <c r="I23013" s="2">
        <v>0</v>
      </c>
      <c r="J23013" s="1">
        <v>45985.338541666664</v>
      </c>
    </row>
    <row r="23014" spans="1:10" x14ac:dyDescent="0.2">
      <c r="A23014" s="4" t="s">
        <v>1</v>
      </c>
      <c r="B23014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14" s="3" t="str">
        <f>HYPERLINK("https://otsuka-europe-crm.veevavault.com/ui/#object/sent_email__v/VBL00000000R059", "SE-001391615")</f>
        <v>SE-001391615</v>
      </c>
      <c r="D23014" s="1" t="s">
        <v>0</v>
      </c>
      <c r="E23014" s="2">
        <v>0</v>
      </c>
      <c r="F23014" s="2">
        <v>0</v>
      </c>
      <c r="G23014" s="2">
        <v>0</v>
      </c>
      <c r="H23014" s="1" t="s">
        <v>0</v>
      </c>
      <c r="I23014" s="2">
        <v>0</v>
      </c>
      <c r="J23014" s="1">
        <v>45985.33861111111</v>
      </c>
    </row>
    <row r="23015" spans="1:10" x14ac:dyDescent="0.2">
      <c r="A23015" s="4" t="s">
        <v>1</v>
      </c>
      <c r="B23015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15" s="3" t="str">
        <f>HYPERLINK("https://otsuka-europe-crm.veevavault.com/ui/#object/sent_email__v/VBL00000000R060", "SE-001391616")</f>
        <v>SE-001391616</v>
      </c>
      <c r="D23015" s="1">
        <v>45986.435810185183</v>
      </c>
      <c r="E23015" s="2">
        <v>1</v>
      </c>
      <c r="F23015" s="2">
        <v>2</v>
      </c>
      <c r="G23015" s="2">
        <v>0</v>
      </c>
      <c r="H23015" s="1" t="s">
        <v>0</v>
      </c>
      <c r="I23015" s="2">
        <v>0</v>
      </c>
      <c r="J23015" s="1">
        <v>45985.338680555556</v>
      </c>
    </row>
    <row r="23016" spans="1:10" x14ac:dyDescent="0.2">
      <c r="A23016" s="4" t="s">
        <v>1</v>
      </c>
      <c r="B23016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16" s="3" t="str">
        <f>HYPERLINK("https://otsuka-europe-crm.veevavault.com/ui/#object/sent_email__v/VBL00000000R061", "SE-001391617")</f>
        <v>SE-001391617</v>
      </c>
      <c r="D23016" s="1">
        <v>45985.557789351849</v>
      </c>
      <c r="E23016" s="2">
        <v>1</v>
      </c>
      <c r="F23016" s="2">
        <v>1</v>
      </c>
      <c r="G23016" s="2">
        <v>1</v>
      </c>
      <c r="H23016" s="1">
        <v>45985.557916666665</v>
      </c>
      <c r="I23016" s="2">
        <v>1</v>
      </c>
      <c r="J23016" s="1">
        <v>45985.338750000003</v>
      </c>
    </row>
    <row r="23017" spans="1:10" x14ac:dyDescent="0.2">
      <c r="A23017" s="4" t="s">
        <v>1</v>
      </c>
      <c r="B23017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17" s="3" t="str">
        <f>HYPERLINK("https://otsuka-europe-crm.veevavault.com/ui/#object/sent_email__v/VBL00000000R062", "SE-001391618")</f>
        <v>SE-001391618</v>
      </c>
      <c r="D23017" s="1">
        <v>45986.725358796299</v>
      </c>
      <c r="E23017" s="2">
        <v>1</v>
      </c>
      <c r="F23017" s="2">
        <v>2</v>
      </c>
      <c r="G23017" s="2">
        <v>0</v>
      </c>
      <c r="H23017" s="1" t="s">
        <v>0</v>
      </c>
      <c r="I23017" s="2">
        <v>0</v>
      </c>
      <c r="J23017" s="1">
        <v>45985.338819444441</v>
      </c>
    </row>
    <row r="23018" spans="1:10" x14ac:dyDescent="0.2">
      <c r="A23018" s="4" t="s">
        <v>1</v>
      </c>
      <c r="B23018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18" s="3" t="str">
        <f>HYPERLINK("https://otsuka-europe-crm.veevavault.com/ui/#object/sent_email__v/VBL00000000R063", "SE-001391619")</f>
        <v>SE-001391619</v>
      </c>
      <c r="D23018" s="1">
        <v>46008.845636574071</v>
      </c>
      <c r="E23018" s="2">
        <v>1</v>
      </c>
      <c r="F23018" s="2">
        <v>2</v>
      </c>
      <c r="G23018" s="2">
        <v>0</v>
      </c>
      <c r="H23018" s="1" t="s">
        <v>0</v>
      </c>
      <c r="I23018" s="2">
        <v>0</v>
      </c>
      <c r="J23018" s="1">
        <v>45985.338888888888</v>
      </c>
    </row>
    <row r="23019" spans="1:10" x14ac:dyDescent="0.2">
      <c r="A23019" s="4" t="s">
        <v>1</v>
      </c>
      <c r="B23019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19" s="3" t="str">
        <f>HYPERLINK("https://otsuka-europe-crm.veevavault.com/ui/#object/sent_email__v/VBL00000000R064", "SE-001391620")</f>
        <v>SE-001391620</v>
      </c>
      <c r="D23019" s="1">
        <v>45985.976365740738</v>
      </c>
      <c r="E23019" s="2">
        <v>1</v>
      </c>
      <c r="F23019" s="2">
        <v>1</v>
      </c>
      <c r="G23019" s="2">
        <v>0</v>
      </c>
      <c r="H23019" s="1" t="s">
        <v>0</v>
      </c>
      <c r="I23019" s="2">
        <v>0</v>
      </c>
      <c r="J23019" s="1">
        <v>45985.338969907411</v>
      </c>
    </row>
    <row r="23020" spans="1:10" x14ac:dyDescent="0.2">
      <c r="A23020" s="4" t="s">
        <v>1</v>
      </c>
      <c r="B23020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20" s="3" t="str">
        <f>HYPERLINK("https://otsuka-europe-crm.veevavault.com/ui/#object/sent_email__v/VBL00000000R065", "SE-001391621")</f>
        <v>SE-001391621</v>
      </c>
      <c r="D23020" s="1">
        <v>45985.552893518521</v>
      </c>
      <c r="E23020" s="2">
        <v>1</v>
      </c>
      <c r="F23020" s="2">
        <v>2</v>
      </c>
      <c r="G23020" s="2">
        <v>1</v>
      </c>
      <c r="H23020" s="1">
        <v>45985.359942129631</v>
      </c>
      <c r="I23020" s="2">
        <v>1</v>
      </c>
      <c r="J23020" s="1">
        <v>45985.339050925926</v>
      </c>
    </row>
    <row r="23021" spans="1:10" x14ac:dyDescent="0.2">
      <c r="A23021" s="4" t="s">
        <v>1</v>
      </c>
      <c r="B23021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21" s="3" t="str">
        <f>HYPERLINK("https://otsuka-europe-crm.veevavault.com/ui/#object/sent_email__v/VBL00000000R066", "SE-001391622")</f>
        <v>SE-001391622</v>
      </c>
      <c r="D23021" s="1">
        <v>45985.579687500001</v>
      </c>
      <c r="E23021" s="2">
        <v>1</v>
      </c>
      <c r="F23021" s="2">
        <v>7</v>
      </c>
      <c r="G23021" s="2">
        <v>1</v>
      </c>
      <c r="H23021" s="1">
        <v>45985.468738425923</v>
      </c>
      <c r="I23021" s="2">
        <v>1</v>
      </c>
      <c r="J23021" s="1">
        <v>45985.339108796295</v>
      </c>
    </row>
    <row r="23022" spans="1:10" x14ac:dyDescent="0.2">
      <c r="A23022" s="4" t="s">
        <v>1</v>
      </c>
      <c r="B23022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22" s="3" t="str">
        <f>HYPERLINK("https://otsuka-europe-crm.veevavault.com/ui/#object/sent_email__v/VBL00000000R067", "SE-001391623")</f>
        <v>SE-001391623</v>
      </c>
      <c r="D23022" s="1">
        <v>45985.462071759262</v>
      </c>
      <c r="E23022" s="2">
        <v>1</v>
      </c>
      <c r="F23022" s="2">
        <v>1</v>
      </c>
      <c r="G23022" s="2">
        <v>1</v>
      </c>
      <c r="H23022" s="1">
        <v>45986.588136574072</v>
      </c>
      <c r="I23022" s="2">
        <v>5</v>
      </c>
      <c r="J23022" s="1">
        <v>45985.339189814818</v>
      </c>
    </row>
    <row r="23023" spans="1:10" x14ac:dyDescent="0.2">
      <c r="A23023" s="4" t="s">
        <v>1</v>
      </c>
      <c r="B23023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23" s="3" t="str">
        <f>HYPERLINK("https://otsuka-europe-crm.veevavault.com/ui/#object/sent_email__v/VBL00000000R068", "SE-001391624")</f>
        <v>SE-001391624</v>
      </c>
      <c r="D23023" s="1" t="s">
        <v>0</v>
      </c>
      <c r="E23023" s="2">
        <v>0</v>
      </c>
      <c r="F23023" s="2">
        <v>0</v>
      </c>
      <c r="G23023" s="2">
        <v>0</v>
      </c>
      <c r="H23023" s="1" t="s">
        <v>0</v>
      </c>
      <c r="I23023" s="2">
        <v>0</v>
      </c>
      <c r="J23023" s="1">
        <v>45985.339270833334</v>
      </c>
    </row>
    <row r="23024" spans="1:10" x14ac:dyDescent="0.2">
      <c r="A23024" s="4" t="s">
        <v>1</v>
      </c>
      <c r="B23024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24" s="3" t="str">
        <f>HYPERLINK("https://otsuka-europe-crm.veevavault.com/ui/#object/sent_email__v/VBL00000000R069", "SE-001391625")</f>
        <v>SE-001391625</v>
      </c>
      <c r="D23024" s="1">
        <v>45985.404583333337</v>
      </c>
      <c r="E23024" s="2">
        <v>1</v>
      </c>
      <c r="F23024" s="2">
        <v>1</v>
      </c>
      <c r="G23024" s="2">
        <v>0</v>
      </c>
      <c r="H23024" s="1" t="s">
        <v>0</v>
      </c>
      <c r="I23024" s="2">
        <v>0</v>
      </c>
      <c r="J23024" s="1">
        <v>45985.33935185185</v>
      </c>
    </row>
    <row r="23025" spans="1:10" x14ac:dyDescent="0.2">
      <c r="A23025" s="4" t="s">
        <v>1</v>
      </c>
      <c r="B23025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25" s="3" t="str">
        <f>HYPERLINK("https://otsuka-europe-crm.veevavault.com/ui/#object/sent_email__v/VBL00000000R070", "SE-001391626")</f>
        <v>SE-001391626</v>
      </c>
      <c r="D23025" s="1" t="s">
        <v>0</v>
      </c>
      <c r="E23025" s="2">
        <v>0</v>
      </c>
      <c r="F23025" s="2">
        <v>0</v>
      </c>
      <c r="G23025" s="2">
        <v>0</v>
      </c>
      <c r="H23025" s="1" t="s">
        <v>0</v>
      </c>
      <c r="I23025" s="2">
        <v>0</v>
      </c>
      <c r="J23025" s="1">
        <v>45985.339409722219</v>
      </c>
    </row>
    <row r="23026" spans="1:10" x14ac:dyDescent="0.2">
      <c r="A23026" s="4" t="s">
        <v>1</v>
      </c>
      <c r="B23026" s="3" t="str">
        <f>HYPERLINK("https://otsuka-europe-crm.veevavault.com/ui/#object/approved_document__v/V5O000000007005", "RXULTI - Reunión Madrid Hotel Príncipe Vergara 25 noviembre")</f>
        <v>RXULTI - Reunión Madrid Hotel Príncipe Vergara 25 noviembre</v>
      </c>
      <c r="C23026" s="3" t="str">
        <f>HYPERLINK("https://otsuka-europe-crm.veevavault.com/ui/#object/sent_email__v/VBL00000000R071", "SE-001391627")</f>
        <v>SE-001391627</v>
      </c>
      <c r="D23026" s="1">
        <v>45985.394467592596</v>
      </c>
      <c r="E23026" s="2">
        <v>1</v>
      </c>
      <c r="F23026" s="2">
        <v>1</v>
      </c>
      <c r="G23026" s="2">
        <v>1</v>
      </c>
      <c r="H23026" s="1">
        <v>45985.394548611112</v>
      </c>
      <c r="I23026" s="2">
        <v>1</v>
      </c>
      <c r="J23026" s="1">
        <v>45985.340405092589</v>
      </c>
    </row>
    <row r="23027" spans="1:10" x14ac:dyDescent="0.2">
      <c r="A23027" s="4" t="s">
        <v>1</v>
      </c>
      <c r="B23027" s="3" t="str">
        <f>HYPERLINK("https://otsuka-europe-crm.veevavault.com/ui/#object/approved_document__v/V5O00000000A064", "RXULTI - Vídeo Carmen Moreno - Retos y necesidades de la esquizofrenia infantojuvenil")</f>
        <v>RXULTI - Vídeo Carmen Moreno - Retos y necesidades de la esquizofrenia infantojuvenil</v>
      </c>
      <c r="C23027" s="3" t="str">
        <f>HYPERLINK("https://otsuka-europe-crm.veevavault.com/ui/#object/sent_email__v/VBL00000000U151", "SE-001394551")</f>
        <v>SE-001394551</v>
      </c>
      <c r="D23027" s="1" t="s">
        <v>0</v>
      </c>
      <c r="E23027" s="2">
        <v>0</v>
      </c>
      <c r="F23027" s="2">
        <v>0</v>
      </c>
      <c r="G23027" s="2">
        <v>0</v>
      </c>
      <c r="H23027" s="1" t="s">
        <v>0</v>
      </c>
      <c r="I23027" s="2">
        <v>0</v>
      </c>
      <c r="J23027" s="1">
        <v>45993.351145833331</v>
      </c>
    </row>
    <row r="23028" spans="1:10" x14ac:dyDescent="0.2">
      <c r="A23028" s="4" t="s">
        <v>1</v>
      </c>
      <c r="B23028" s="3" t="str">
        <f>HYPERLINK("https://otsuka-europe-crm.veevavault.com/ui/#object/approved_document__v/V5O00000000A064", "RXULTI - Vídeo Carmen Moreno - Retos y necesidades de la esquizofrenia infantojuvenil")</f>
        <v>RXULTI - Vídeo Carmen Moreno - Retos y necesidades de la esquizofrenia infantojuvenil</v>
      </c>
      <c r="C23028" s="3" t="str">
        <f>HYPERLINK("https://otsuka-europe-crm.veevavault.com/ui/#object/sent_email__v/VBL00000001C389", "SE-001403717")</f>
        <v>SE-001403717</v>
      </c>
      <c r="D23028" s="1" t="s">
        <v>0</v>
      </c>
      <c r="E23028" s="2">
        <v>0</v>
      </c>
      <c r="F23028" s="2">
        <v>0</v>
      </c>
      <c r="G23028" s="2">
        <v>0</v>
      </c>
      <c r="H23028" s="1" t="s">
        <v>0</v>
      </c>
      <c r="I23028" s="2">
        <v>0</v>
      </c>
      <c r="J23028" s="1">
        <v>46064.471261574072</v>
      </c>
    </row>
    <row r="23029" spans="1:10" x14ac:dyDescent="0.2">
      <c r="A23029" s="4" t="s">
        <v>1</v>
      </c>
      <c r="B23029" s="3" t="str">
        <f>HYPERLINK("https://otsuka-europe-crm.veevavault.com/ui/#object/approved_document__v/V5O00000000A064", "RXULTI - Vídeo Carmen Moreno - Retos y necesidades de la esquizofrenia infantojuvenil")</f>
        <v>RXULTI - Vídeo Carmen Moreno - Retos y necesidades de la esquizofrenia infantojuvenil</v>
      </c>
      <c r="C23029" s="3" t="str">
        <f>HYPERLINK("https://otsuka-europe-crm.veevavault.com/ui/#object/sent_email__v/VBL00000001D598", "SE-001404998")</f>
        <v>SE-001404998</v>
      </c>
      <c r="D23029" s="1">
        <v>46072.454745370371</v>
      </c>
      <c r="E23029" s="2">
        <v>1</v>
      </c>
      <c r="F23029" s="2">
        <v>1</v>
      </c>
      <c r="G23029" s="2">
        <v>0</v>
      </c>
      <c r="H23029" s="1" t="s">
        <v>0</v>
      </c>
      <c r="I23029" s="2">
        <v>0</v>
      </c>
      <c r="J23029" s="1">
        <v>46072.427835648145</v>
      </c>
    </row>
    <row r="23030" spans="1:10" x14ac:dyDescent="0.2">
      <c r="A23030" s="4" t="s">
        <v>1</v>
      </c>
      <c r="B2303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30" s="3" t="str">
        <f>HYPERLINK("https://otsuka-europe-crm.veevavault.com/ui/#object/sent_email__v/VBL00000000U152", "SE-001394552")</f>
        <v>SE-001394552</v>
      </c>
      <c r="D23030" s="1" t="s">
        <v>0</v>
      </c>
      <c r="E23030" s="2">
        <v>0</v>
      </c>
      <c r="F23030" s="2">
        <v>0</v>
      </c>
      <c r="G23030" s="2">
        <v>0</v>
      </c>
      <c r="H23030" s="1" t="s">
        <v>0</v>
      </c>
      <c r="I23030" s="2">
        <v>0</v>
      </c>
      <c r="J23030" s="1">
        <v>45993.351388888892</v>
      </c>
    </row>
    <row r="23031" spans="1:10" x14ac:dyDescent="0.2">
      <c r="A23031" s="4" t="s">
        <v>1</v>
      </c>
      <c r="B2303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31" s="3" t="str">
        <f>HYPERLINK("https://otsuka-europe-crm.veevavault.com/ui/#object/sent_email__v/VBL00000000U196", "SE-001394606")</f>
        <v>SE-001394606</v>
      </c>
      <c r="D23031" s="1">
        <v>45993.499861111108</v>
      </c>
      <c r="E23031" s="2">
        <v>1</v>
      </c>
      <c r="F23031" s="2">
        <v>1</v>
      </c>
      <c r="G23031" s="2">
        <v>0</v>
      </c>
      <c r="H23031" s="1" t="s">
        <v>0</v>
      </c>
      <c r="I23031" s="2">
        <v>0</v>
      </c>
      <c r="J23031" s="1">
        <v>45993.434340277781</v>
      </c>
    </row>
    <row r="23032" spans="1:10" x14ac:dyDescent="0.2">
      <c r="A23032" s="4" t="s">
        <v>1</v>
      </c>
      <c r="B2303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32" s="3" t="str">
        <f>HYPERLINK("https://otsuka-europe-crm.veevavault.com/ui/#object/sent_email__v/VBL00000000U197", "SE-001394607")</f>
        <v>SE-001394607</v>
      </c>
      <c r="D23032" s="1">
        <v>46000.728402777779</v>
      </c>
      <c r="E23032" s="2">
        <v>1</v>
      </c>
      <c r="F23032" s="2">
        <v>1</v>
      </c>
      <c r="G23032" s="2">
        <v>0</v>
      </c>
      <c r="H23032" s="1" t="s">
        <v>0</v>
      </c>
      <c r="I23032" s="2">
        <v>0</v>
      </c>
      <c r="J23032" s="1">
        <v>45993.434374999997</v>
      </c>
    </row>
    <row r="23033" spans="1:10" x14ac:dyDescent="0.2">
      <c r="A23033" s="4" t="s">
        <v>1</v>
      </c>
      <c r="B2303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33" s="3" t="str">
        <f>HYPERLINK("https://otsuka-europe-crm.veevavault.com/ui/#object/sent_email__v/VBL00000000U198", "SE-001394608")</f>
        <v>SE-001394608</v>
      </c>
      <c r="D23033" s="1" t="s">
        <v>0</v>
      </c>
      <c r="E23033" s="2">
        <v>0</v>
      </c>
      <c r="F23033" s="2">
        <v>0</v>
      </c>
      <c r="G23033" s="2">
        <v>0</v>
      </c>
      <c r="H23033" s="1" t="s">
        <v>0</v>
      </c>
      <c r="I23033" s="2">
        <v>0</v>
      </c>
      <c r="J23033" s="1">
        <v>45993.43440972222</v>
      </c>
    </row>
    <row r="23034" spans="1:10" x14ac:dyDescent="0.2">
      <c r="A23034" s="4" t="s">
        <v>1</v>
      </c>
      <c r="B2303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34" s="3" t="str">
        <f>HYPERLINK("https://otsuka-europe-crm.veevavault.com/ui/#object/sent_email__v/VBL00000000U199", "SE-001394609")</f>
        <v>SE-001394609</v>
      </c>
      <c r="D23034" s="1" t="s">
        <v>0</v>
      </c>
      <c r="E23034" s="2">
        <v>0</v>
      </c>
      <c r="F23034" s="2">
        <v>0</v>
      </c>
      <c r="G23034" s="2">
        <v>0</v>
      </c>
      <c r="H23034" s="1" t="s">
        <v>0</v>
      </c>
      <c r="I23034" s="2">
        <v>0</v>
      </c>
      <c r="J23034" s="1">
        <v>45993.43445601852</v>
      </c>
    </row>
    <row r="23035" spans="1:10" x14ac:dyDescent="0.2">
      <c r="A23035" s="4" t="s">
        <v>1</v>
      </c>
      <c r="B2303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35" s="3" t="str">
        <f>HYPERLINK("https://otsuka-europe-crm.veevavault.com/ui/#object/sent_email__v/VBL00000000U200", "SE-001394610")</f>
        <v>SE-001394610</v>
      </c>
      <c r="D23035" s="1">
        <v>45993.440578703703</v>
      </c>
      <c r="E23035" s="2">
        <v>1</v>
      </c>
      <c r="F23035" s="2">
        <v>2</v>
      </c>
      <c r="G23035" s="2">
        <v>0</v>
      </c>
      <c r="H23035" s="1" t="s">
        <v>0</v>
      </c>
      <c r="I23035" s="2">
        <v>0</v>
      </c>
      <c r="J23035" s="1">
        <v>45993.434502314813</v>
      </c>
    </row>
    <row r="23036" spans="1:10" x14ac:dyDescent="0.2">
      <c r="A23036" s="4" t="s">
        <v>1</v>
      </c>
      <c r="B2303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36" s="3" t="str">
        <f>HYPERLINK("https://otsuka-europe-crm.veevavault.com/ui/#object/sent_email__v/VBL00000000U201", "SE-001394611")</f>
        <v>SE-001394611</v>
      </c>
      <c r="D23036" s="1">
        <v>45993.580347222225</v>
      </c>
      <c r="E23036" s="2">
        <v>1</v>
      </c>
      <c r="F23036" s="2">
        <v>1</v>
      </c>
      <c r="G23036" s="2">
        <v>0</v>
      </c>
      <c r="H23036" s="1" t="s">
        <v>0</v>
      </c>
      <c r="I23036" s="2">
        <v>0</v>
      </c>
      <c r="J23036" s="1">
        <v>45993.434548611112</v>
      </c>
    </row>
    <row r="23037" spans="1:10" x14ac:dyDescent="0.2">
      <c r="A23037" s="4" t="s">
        <v>1</v>
      </c>
      <c r="B2303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37" s="3" t="str">
        <f>HYPERLINK("https://otsuka-europe-crm.veevavault.com/ui/#object/sent_email__v/VBL00000000U202", "SE-001394612")</f>
        <v>SE-001394612</v>
      </c>
      <c r="D23037" s="1" t="s">
        <v>0</v>
      </c>
      <c r="E23037" s="2">
        <v>0</v>
      </c>
      <c r="F23037" s="2">
        <v>0</v>
      </c>
      <c r="G23037" s="2">
        <v>0</v>
      </c>
      <c r="H23037" s="1" t="s">
        <v>0</v>
      </c>
      <c r="I23037" s="2">
        <v>0</v>
      </c>
      <c r="J23037" s="1">
        <v>45993.434583333335</v>
      </c>
    </row>
    <row r="23038" spans="1:10" x14ac:dyDescent="0.2">
      <c r="A23038" s="4" t="s">
        <v>1</v>
      </c>
      <c r="B2303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38" s="3" t="str">
        <f>HYPERLINK("https://otsuka-europe-crm.veevavault.com/ui/#object/sent_email__v/VBL00000000U203", "SE-001394613")</f>
        <v>SE-001394613</v>
      </c>
      <c r="D23038" s="1">
        <v>45993.450462962966</v>
      </c>
      <c r="E23038" s="2">
        <v>1</v>
      </c>
      <c r="F23038" s="2">
        <v>1</v>
      </c>
      <c r="G23038" s="2">
        <v>0</v>
      </c>
      <c r="H23038" s="1" t="s">
        <v>0</v>
      </c>
      <c r="I23038" s="2">
        <v>0</v>
      </c>
      <c r="J23038" s="1">
        <v>45993.434618055559</v>
      </c>
    </row>
    <row r="23039" spans="1:10" x14ac:dyDescent="0.2">
      <c r="A23039" s="4" t="s">
        <v>1</v>
      </c>
      <c r="B2303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39" s="3" t="str">
        <f>HYPERLINK("https://otsuka-europe-crm.veevavault.com/ui/#object/sent_email__v/VBL00000000U204", "SE-001394614")</f>
        <v>SE-001394614</v>
      </c>
      <c r="D23039" s="1" t="s">
        <v>0</v>
      </c>
      <c r="E23039" s="2">
        <v>0</v>
      </c>
      <c r="F23039" s="2">
        <v>0</v>
      </c>
      <c r="G23039" s="2">
        <v>0</v>
      </c>
      <c r="H23039" s="1" t="s">
        <v>0</v>
      </c>
      <c r="I23039" s="2">
        <v>0</v>
      </c>
      <c r="J23039" s="1">
        <v>45993.434664351851</v>
      </c>
    </row>
    <row r="23040" spans="1:10" x14ac:dyDescent="0.2">
      <c r="A23040" s="4" t="s">
        <v>1</v>
      </c>
      <c r="B2304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40" s="3" t="str">
        <f>HYPERLINK("https://otsuka-europe-crm.veevavault.com/ui/#object/sent_email__v/VBL00000000U523", "SE-001395088")</f>
        <v>SE-001395088</v>
      </c>
      <c r="D23040" s="1">
        <v>45996.440324074072</v>
      </c>
      <c r="E23040" s="2">
        <v>1</v>
      </c>
      <c r="F23040" s="2">
        <v>1</v>
      </c>
      <c r="G23040" s="2">
        <v>0</v>
      </c>
      <c r="H23040" s="1" t="s">
        <v>0</v>
      </c>
      <c r="I23040" s="2">
        <v>0</v>
      </c>
      <c r="J23040" s="1">
        <v>45995.435844907406</v>
      </c>
    </row>
    <row r="23041" spans="1:10" x14ac:dyDescent="0.2">
      <c r="A23041" s="4" t="s">
        <v>1</v>
      </c>
      <c r="B2304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41" s="3" t="str">
        <f>HYPERLINK("https://otsuka-europe-crm.veevavault.com/ui/#object/sent_email__v/VBL00000000U524", "SE-001395089")</f>
        <v>SE-001395089</v>
      </c>
      <c r="D23041" s="1" t="s">
        <v>0</v>
      </c>
      <c r="E23041" s="2">
        <v>0</v>
      </c>
      <c r="F23041" s="2">
        <v>0</v>
      </c>
      <c r="G23041" s="2">
        <v>0</v>
      </c>
      <c r="H23041" s="1" t="s">
        <v>0</v>
      </c>
      <c r="I23041" s="2">
        <v>0</v>
      </c>
      <c r="J23041" s="1">
        <v>45995.435868055552</v>
      </c>
    </row>
    <row r="23042" spans="1:10" x14ac:dyDescent="0.2">
      <c r="A23042" s="4" t="s">
        <v>1</v>
      </c>
      <c r="B2304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42" s="3" t="str">
        <f>HYPERLINK("https://otsuka-europe-crm.veevavault.com/ui/#object/sent_email__v/VBL00000000U525", "SE-001395090")</f>
        <v>SE-001395090</v>
      </c>
      <c r="D23042" s="1">
        <v>45995.443067129629</v>
      </c>
      <c r="E23042" s="2">
        <v>1</v>
      </c>
      <c r="F23042" s="2">
        <v>1</v>
      </c>
      <c r="G23042" s="2">
        <v>0</v>
      </c>
      <c r="H23042" s="1" t="s">
        <v>0</v>
      </c>
      <c r="I23042" s="2">
        <v>0</v>
      </c>
      <c r="J23042" s="1">
        <v>45995.435925925929</v>
      </c>
    </row>
    <row r="23043" spans="1:10" x14ac:dyDescent="0.2">
      <c r="A23043" s="4" t="s">
        <v>1</v>
      </c>
      <c r="B2304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43" s="3" t="str">
        <f>HYPERLINK("https://otsuka-europe-crm.veevavault.com/ui/#object/sent_email__v/VBL00000000U526", "SE-001395091")</f>
        <v>SE-001395091</v>
      </c>
      <c r="D23043" s="1" t="s">
        <v>0</v>
      </c>
      <c r="E23043" s="2">
        <v>0</v>
      </c>
      <c r="F23043" s="2">
        <v>0</v>
      </c>
      <c r="G23043" s="2">
        <v>0</v>
      </c>
      <c r="H23043" s="1" t="s">
        <v>0</v>
      </c>
      <c r="I23043" s="2">
        <v>0</v>
      </c>
      <c r="J23043" s="1">
        <v>45995.435949074075</v>
      </c>
    </row>
    <row r="23044" spans="1:10" x14ac:dyDescent="0.2">
      <c r="A23044" s="4" t="s">
        <v>1</v>
      </c>
      <c r="B2304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44" s="3" t="str">
        <f>HYPERLINK("https://otsuka-europe-crm.veevavault.com/ui/#object/sent_email__v/VBL00000000U527", "SE-001395092")</f>
        <v>SE-001395092</v>
      </c>
      <c r="D23044" s="1" t="s">
        <v>0</v>
      </c>
      <c r="E23044" s="2">
        <v>0</v>
      </c>
      <c r="F23044" s="2">
        <v>0</v>
      </c>
      <c r="G23044" s="2">
        <v>0</v>
      </c>
      <c r="H23044" s="1" t="s">
        <v>0</v>
      </c>
      <c r="I23044" s="2">
        <v>0</v>
      </c>
      <c r="J23044" s="1">
        <v>45995.435983796298</v>
      </c>
    </row>
    <row r="23045" spans="1:10" x14ac:dyDescent="0.2">
      <c r="A23045" s="4" t="s">
        <v>1</v>
      </c>
      <c r="B2304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45" s="3" t="str">
        <f>HYPERLINK("https://otsuka-europe-crm.veevavault.com/ui/#object/sent_email__v/VBL00000000U528", "SE-001395093")</f>
        <v>SE-001395093</v>
      </c>
      <c r="D23045" s="1">
        <v>45996.31659722222</v>
      </c>
      <c r="E23045" s="2">
        <v>1</v>
      </c>
      <c r="F23045" s="2">
        <v>2</v>
      </c>
      <c r="G23045" s="2">
        <v>0</v>
      </c>
      <c r="H23045" s="1" t="s">
        <v>0</v>
      </c>
      <c r="I23045" s="2">
        <v>0</v>
      </c>
      <c r="J23045" s="1">
        <v>45995.436018518521</v>
      </c>
    </row>
    <row r="23046" spans="1:10" x14ac:dyDescent="0.2">
      <c r="A23046" s="4" t="s">
        <v>1</v>
      </c>
      <c r="B2304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46" s="3" t="str">
        <f>HYPERLINK("https://otsuka-europe-crm.veevavault.com/ui/#object/sent_email__v/VBL00000000U529", "SE-001395094")</f>
        <v>SE-001395094</v>
      </c>
      <c r="D23046" s="1" t="s">
        <v>0</v>
      </c>
      <c r="E23046" s="2">
        <v>0</v>
      </c>
      <c r="F23046" s="2">
        <v>0</v>
      </c>
      <c r="G23046" s="2">
        <v>0</v>
      </c>
      <c r="H23046" s="1" t="s">
        <v>0</v>
      </c>
      <c r="I23046" s="2">
        <v>0</v>
      </c>
      <c r="J23046" s="1">
        <v>45995.436064814814</v>
      </c>
    </row>
    <row r="23047" spans="1:10" x14ac:dyDescent="0.2">
      <c r="A23047" s="4" t="s">
        <v>1</v>
      </c>
      <c r="B2304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47" s="3" t="str">
        <f>HYPERLINK("https://otsuka-europe-crm.veevavault.com/ui/#object/sent_email__v/VBL00000000U530", "SE-001395095")</f>
        <v>SE-001395095</v>
      </c>
      <c r="D23047" s="1" t="s">
        <v>0</v>
      </c>
      <c r="E23047" s="2">
        <v>0</v>
      </c>
      <c r="F23047" s="2">
        <v>0</v>
      </c>
      <c r="G23047" s="2">
        <v>0</v>
      </c>
      <c r="H23047" s="1" t="s">
        <v>0</v>
      </c>
      <c r="I23047" s="2">
        <v>0</v>
      </c>
      <c r="J23047" s="1">
        <v>45995.43608796296</v>
      </c>
    </row>
    <row r="23048" spans="1:10" x14ac:dyDescent="0.2">
      <c r="A23048" s="4" t="s">
        <v>1</v>
      </c>
      <c r="B2304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48" s="3" t="str">
        <f>HYPERLINK("https://otsuka-europe-crm.veevavault.com/ui/#object/sent_email__v/VBL00000000U531", "SE-001395096")</f>
        <v>SE-001395096</v>
      </c>
      <c r="D23048" s="1" t="s">
        <v>0</v>
      </c>
      <c r="E23048" s="2">
        <v>0</v>
      </c>
      <c r="F23048" s="2">
        <v>0</v>
      </c>
      <c r="G23048" s="2">
        <v>0</v>
      </c>
      <c r="H23048" s="1" t="s">
        <v>0</v>
      </c>
      <c r="I23048" s="2">
        <v>0</v>
      </c>
      <c r="J23048" s="1">
        <v>45995.436122685183</v>
      </c>
    </row>
    <row r="23049" spans="1:10" x14ac:dyDescent="0.2">
      <c r="A23049" s="4" t="s">
        <v>1</v>
      </c>
      <c r="B2304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49" s="3" t="str">
        <f>HYPERLINK("https://otsuka-europe-crm.veevavault.com/ui/#object/sent_email__v/VBL00000000U532", "SE-001395097")</f>
        <v>SE-001395097</v>
      </c>
      <c r="D23049" s="1" t="s">
        <v>0</v>
      </c>
      <c r="E23049" s="2">
        <v>0</v>
      </c>
      <c r="F23049" s="2">
        <v>0</v>
      </c>
      <c r="G23049" s="2">
        <v>0</v>
      </c>
      <c r="H23049" s="1" t="s">
        <v>0</v>
      </c>
      <c r="I23049" s="2">
        <v>0</v>
      </c>
      <c r="J23049" s="1">
        <v>45995.436157407406</v>
      </c>
    </row>
    <row r="23050" spans="1:10" x14ac:dyDescent="0.2">
      <c r="A23050" s="4" t="s">
        <v>1</v>
      </c>
      <c r="B2305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50" s="3" t="str">
        <f>HYPERLINK("https://otsuka-europe-crm.veevavault.com/ui/#object/sent_email__v/VBL00000000U533", "SE-001395098")</f>
        <v>SE-001395098</v>
      </c>
      <c r="D23050" s="1">
        <v>46010.514560185184</v>
      </c>
      <c r="E23050" s="2">
        <v>1</v>
      </c>
      <c r="F23050" s="2">
        <v>7</v>
      </c>
      <c r="G23050" s="2">
        <v>0</v>
      </c>
      <c r="H23050" s="1" t="s">
        <v>0</v>
      </c>
      <c r="I23050" s="2">
        <v>0</v>
      </c>
      <c r="J23050" s="1">
        <v>45995.436203703706</v>
      </c>
    </row>
    <row r="23051" spans="1:10" x14ac:dyDescent="0.2">
      <c r="A23051" s="4" t="s">
        <v>1</v>
      </c>
      <c r="B2305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51" s="3" t="str">
        <f>HYPERLINK("https://otsuka-europe-crm.veevavault.com/ui/#object/sent_email__v/VBL00000000U534", "SE-001395099")</f>
        <v>SE-001395099</v>
      </c>
      <c r="D23051" s="1" t="s">
        <v>0</v>
      </c>
      <c r="E23051" s="2">
        <v>0</v>
      </c>
      <c r="F23051" s="2">
        <v>0</v>
      </c>
      <c r="G23051" s="2">
        <v>0</v>
      </c>
      <c r="H23051" s="1" t="s">
        <v>0</v>
      </c>
      <c r="I23051" s="2">
        <v>0</v>
      </c>
      <c r="J23051" s="1">
        <v>45995.436238425929</v>
      </c>
    </row>
    <row r="23052" spans="1:10" x14ac:dyDescent="0.2">
      <c r="A23052" s="4" t="s">
        <v>1</v>
      </c>
      <c r="B2305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52" s="3" t="str">
        <f>HYPERLINK("https://otsuka-europe-crm.veevavault.com/ui/#object/sent_email__v/VBL00000000U535", "SE-001395100")</f>
        <v>SE-001395100</v>
      </c>
      <c r="D23052" s="1" t="s">
        <v>0</v>
      </c>
      <c r="E23052" s="2">
        <v>0</v>
      </c>
      <c r="F23052" s="2">
        <v>0</v>
      </c>
      <c r="G23052" s="2">
        <v>0</v>
      </c>
      <c r="H23052" s="1" t="s">
        <v>0</v>
      </c>
      <c r="I23052" s="2">
        <v>0</v>
      </c>
      <c r="J23052" s="1">
        <v>45995.436284722222</v>
      </c>
    </row>
    <row r="23053" spans="1:10" x14ac:dyDescent="0.2">
      <c r="A23053" s="4" t="s">
        <v>1</v>
      </c>
      <c r="B2305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53" s="3" t="str">
        <f>HYPERLINK("https://otsuka-europe-crm.veevavault.com/ui/#object/sent_email__v/VBL00000000U536", "SE-001395101")</f>
        <v>SE-001395101</v>
      </c>
      <c r="D23053" s="1">
        <v>45996.636678240742</v>
      </c>
      <c r="E23053" s="2">
        <v>1</v>
      </c>
      <c r="F23053" s="2">
        <v>1</v>
      </c>
      <c r="G23053" s="2">
        <v>0</v>
      </c>
      <c r="H23053" s="1" t="s">
        <v>0</v>
      </c>
      <c r="I23053" s="2">
        <v>0</v>
      </c>
      <c r="J23053" s="1">
        <v>45995.436307870368</v>
      </c>
    </row>
    <row r="23054" spans="1:10" x14ac:dyDescent="0.2">
      <c r="A23054" s="4" t="s">
        <v>1</v>
      </c>
      <c r="B2305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54" s="3" t="str">
        <f>HYPERLINK("https://otsuka-europe-crm.veevavault.com/ui/#object/sent_email__v/VBL00000000U537", "SE-001395102")</f>
        <v>SE-001395102</v>
      </c>
      <c r="D23054" s="1" t="s">
        <v>0</v>
      </c>
      <c r="E23054" s="2">
        <v>0</v>
      </c>
      <c r="F23054" s="2">
        <v>0</v>
      </c>
      <c r="G23054" s="2">
        <v>0</v>
      </c>
      <c r="H23054" s="1" t="s">
        <v>0</v>
      </c>
      <c r="I23054" s="2">
        <v>0</v>
      </c>
      <c r="J23054" s="1">
        <v>45995.436342592591</v>
      </c>
    </row>
    <row r="23055" spans="1:10" x14ac:dyDescent="0.2">
      <c r="A23055" s="4" t="s">
        <v>1</v>
      </c>
      <c r="B2305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55" s="3" t="str">
        <f>HYPERLINK("https://otsuka-europe-crm.veevavault.com/ui/#object/sent_email__v/VBL00000000U538", "SE-001395103")</f>
        <v>SE-001395103</v>
      </c>
      <c r="D23055" s="1" t="s">
        <v>0</v>
      </c>
      <c r="E23055" s="2">
        <v>0</v>
      </c>
      <c r="F23055" s="2">
        <v>0</v>
      </c>
      <c r="G23055" s="2">
        <v>0</v>
      </c>
      <c r="H23055" s="1" t="s">
        <v>0</v>
      </c>
      <c r="I23055" s="2">
        <v>0</v>
      </c>
      <c r="J23055" s="1">
        <v>45995.436377314814</v>
      </c>
    </row>
    <row r="23056" spans="1:10" x14ac:dyDescent="0.2">
      <c r="A23056" s="4" t="s">
        <v>1</v>
      </c>
      <c r="B2305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56" s="3" t="str">
        <f>HYPERLINK("https://otsuka-europe-crm.veevavault.com/ui/#object/sent_email__v/VBL00000000U539", "SE-001395104")</f>
        <v>SE-001395104</v>
      </c>
      <c r="D23056" s="1" t="s">
        <v>0</v>
      </c>
      <c r="E23056" s="2">
        <v>0</v>
      </c>
      <c r="F23056" s="2">
        <v>0</v>
      </c>
      <c r="G23056" s="2">
        <v>0</v>
      </c>
      <c r="H23056" s="1" t="s">
        <v>0</v>
      </c>
      <c r="I23056" s="2">
        <v>0</v>
      </c>
      <c r="J23056" s="1">
        <v>45995.436412037037</v>
      </c>
    </row>
    <row r="23057" spans="1:10" x14ac:dyDescent="0.2">
      <c r="A23057" s="4" t="s">
        <v>1</v>
      </c>
      <c r="B2305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57" s="3" t="str">
        <f>HYPERLINK("https://otsuka-europe-crm.veevavault.com/ui/#object/sent_email__v/VBL00000000U540", "SE-001395105")</f>
        <v>SE-001395105</v>
      </c>
      <c r="D23057" s="1">
        <v>45996.811342592591</v>
      </c>
      <c r="E23057" s="2">
        <v>1</v>
      </c>
      <c r="F23057" s="2">
        <v>2</v>
      </c>
      <c r="G23057" s="2">
        <v>0</v>
      </c>
      <c r="H23057" s="1" t="s">
        <v>0</v>
      </c>
      <c r="I23057" s="2">
        <v>0</v>
      </c>
      <c r="J23057" s="1">
        <v>45995.43644675926</v>
      </c>
    </row>
    <row r="23058" spans="1:10" x14ac:dyDescent="0.2">
      <c r="A23058" s="4" t="s">
        <v>1</v>
      </c>
      <c r="B2305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58" s="3" t="str">
        <f>HYPERLINK("https://otsuka-europe-crm.veevavault.com/ui/#object/sent_email__v/VBL00000000U541", "SE-001395106")</f>
        <v>SE-001395106</v>
      </c>
      <c r="D23058" s="1" t="s">
        <v>0</v>
      </c>
      <c r="E23058" s="2">
        <v>0</v>
      </c>
      <c r="F23058" s="2">
        <v>0</v>
      </c>
      <c r="G23058" s="2">
        <v>0</v>
      </c>
      <c r="H23058" s="1" t="s">
        <v>0</v>
      </c>
      <c r="I23058" s="2">
        <v>0</v>
      </c>
      <c r="J23058" s="1">
        <v>45995.436481481483</v>
      </c>
    </row>
    <row r="23059" spans="1:10" x14ac:dyDescent="0.2">
      <c r="A23059" s="4" t="s">
        <v>1</v>
      </c>
      <c r="B2305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59" s="3" t="str">
        <f>HYPERLINK("https://otsuka-europe-crm.veevavault.com/ui/#object/sent_email__v/VBL00000000U542", "SE-001395107")</f>
        <v>SE-001395107</v>
      </c>
      <c r="D23059" s="1">
        <v>45995.445625</v>
      </c>
      <c r="E23059" s="2">
        <v>1</v>
      </c>
      <c r="F23059" s="2">
        <v>1</v>
      </c>
      <c r="G23059" s="2">
        <v>0</v>
      </c>
      <c r="H23059" s="1" t="s">
        <v>0</v>
      </c>
      <c r="I23059" s="2">
        <v>0</v>
      </c>
      <c r="J23059" s="1">
        <v>45995.436516203707</v>
      </c>
    </row>
    <row r="23060" spans="1:10" x14ac:dyDescent="0.2">
      <c r="A23060" s="4" t="s">
        <v>1</v>
      </c>
      <c r="B2306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60" s="3" t="str">
        <f>HYPERLINK("https://otsuka-europe-crm.veevavault.com/ui/#object/sent_email__v/VBL00000000U543", "SE-001395108")</f>
        <v>SE-001395108</v>
      </c>
      <c r="D23060" s="1" t="s">
        <v>0</v>
      </c>
      <c r="E23060" s="2">
        <v>0</v>
      </c>
      <c r="F23060" s="2">
        <v>0</v>
      </c>
      <c r="G23060" s="2">
        <v>0</v>
      </c>
      <c r="H23060" s="1" t="s">
        <v>0</v>
      </c>
      <c r="I23060" s="2">
        <v>0</v>
      </c>
      <c r="J23060" s="1">
        <v>45995.436550925922</v>
      </c>
    </row>
    <row r="23061" spans="1:10" x14ac:dyDescent="0.2">
      <c r="A23061" s="4" t="s">
        <v>1</v>
      </c>
      <c r="B2306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61" s="3" t="str">
        <f>HYPERLINK("https://otsuka-europe-crm.veevavault.com/ui/#object/sent_email__v/VBL00000000U544", "SE-001395109")</f>
        <v>SE-001395109</v>
      </c>
      <c r="D23061" s="1">
        <v>45995.758923611109</v>
      </c>
      <c r="E23061" s="2">
        <v>1</v>
      </c>
      <c r="F23061" s="2">
        <v>6</v>
      </c>
      <c r="G23061" s="2">
        <v>1</v>
      </c>
      <c r="H23061" s="1">
        <v>45995.579918981479</v>
      </c>
      <c r="I23061" s="2">
        <v>1</v>
      </c>
      <c r="J23061" s="1">
        <v>45995.436585648145</v>
      </c>
    </row>
    <row r="23062" spans="1:10" x14ac:dyDescent="0.2">
      <c r="A23062" s="4" t="s">
        <v>1</v>
      </c>
      <c r="B2306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62" s="3" t="str">
        <f>HYPERLINK("https://otsuka-europe-crm.veevavault.com/ui/#object/sent_email__v/VBL00000000U545", "SE-001395110")</f>
        <v>SE-001395110</v>
      </c>
      <c r="D23062" s="1">
        <v>46003.381828703707</v>
      </c>
      <c r="E23062" s="2">
        <v>1</v>
      </c>
      <c r="F23062" s="2">
        <v>4</v>
      </c>
      <c r="G23062" s="2">
        <v>0</v>
      </c>
      <c r="H23062" s="1" t="s">
        <v>0</v>
      </c>
      <c r="I23062" s="2">
        <v>0</v>
      </c>
      <c r="J23062" s="1">
        <v>45995.436631944445</v>
      </c>
    </row>
    <row r="23063" spans="1:10" x14ac:dyDescent="0.2">
      <c r="A23063" s="4" t="s">
        <v>1</v>
      </c>
      <c r="B2306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63" s="3" t="str">
        <f>HYPERLINK("https://otsuka-europe-crm.veevavault.com/ui/#object/sent_email__v/VBL00000000U546", "SE-001395111")</f>
        <v>SE-001395111</v>
      </c>
      <c r="D23063" s="1">
        <v>45995.610659722224</v>
      </c>
      <c r="E23063" s="2">
        <v>1</v>
      </c>
      <c r="F23063" s="2">
        <v>2</v>
      </c>
      <c r="G23063" s="2">
        <v>0</v>
      </c>
      <c r="H23063" s="1" t="s">
        <v>0</v>
      </c>
      <c r="I23063" s="2">
        <v>0</v>
      </c>
      <c r="J23063" s="1">
        <v>45995.436655092592</v>
      </c>
    </row>
    <row r="23064" spans="1:10" x14ac:dyDescent="0.2">
      <c r="A23064" s="4" t="s">
        <v>1</v>
      </c>
      <c r="B2306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64" s="3" t="str">
        <f>HYPERLINK("https://otsuka-europe-crm.veevavault.com/ui/#object/sent_email__v/VBL00000000U547", "SE-001395112")</f>
        <v>SE-001395112</v>
      </c>
      <c r="D23064" s="1" t="s">
        <v>0</v>
      </c>
      <c r="E23064" s="2">
        <v>0</v>
      </c>
      <c r="F23064" s="2">
        <v>0</v>
      </c>
      <c r="G23064" s="2">
        <v>0</v>
      </c>
      <c r="H23064" s="1" t="s">
        <v>0</v>
      </c>
      <c r="I23064" s="2">
        <v>0</v>
      </c>
      <c r="J23064" s="1">
        <v>45995.436689814815</v>
      </c>
    </row>
    <row r="23065" spans="1:10" x14ac:dyDescent="0.2">
      <c r="A23065" s="4" t="s">
        <v>1</v>
      </c>
      <c r="B2306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65" s="3" t="str">
        <f>HYPERLINK("https://otsuka-europe-crm.veevavault.com/ui/#object/sent_email__v/VBL00000000U548", "SE-001395113")</f>
        <v>SE-001395113</v>
      </c>
      <c r="D23065" s="1">
        <v>45995.492326388892</v>
      </c>
      <c r="E23065" s="2">
        <v>1</v>
      </c>
      <c r="F23065" s="2">
        <v>1</v>
      </c>
      <c r="G23065" s="2">
        <v>0</v>
      </c>
      <c r="H23065" s="1" t="s">
        <v>0</v>
      </c>
      <c r="I23065" s="2">
        <v>0</v>
      </c>
      <c r="J23065" s="1">
        <v>45995.436736111114</v>
      </c>
    </row>
    <row r="23066" spans="1:10" x14ac:dyDescent="0.2">
      <c r="A23066" s="4" t="s">
        <v>1</v>
      </c>
      <c r="B2306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66" s="3" t="str">
        <f>HYPERLINK("https://otsuka-europe-crm.veevavault.com/ui/#object/sent_email__v/VBL00000000U549", "SE-001395114")</f>
        <v>SE-001395114</v>
      </c>
      <c r="D23066" s="1" t="s">
        <v>0</v>
      </c>
      <c r="E23066" s="2">
        <v>0</v>
      </c>
      <c r="F23066" s="2">
        <v>0</v>
      </c>
      <c r="G23066" s="2">
        <v>0</v>
      </c>
      <c r="H23066" s="1" t="s">
        <v>0</v>
      </c>
      <c r="I23066" s="2">
        <v>0</v>
      </c>
      <c r="J23066" s="1">
        <v>45995.436759259261</v>
      </c>
    </row>
    <row r="23067" spans="1:10" x14ac:dyDescent="0.2">
      <c r="A23067" s="4" t="s">
        <v>1</v>
      </c>
      <c r="B2306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67" s="3" t="str">
        <f>HYPERLINK("https://otsuka-europe-crm.veevavault.com/ui/#object/sent_email__v/VBL00000000U550", "SE-001395115")</f>
        <v>SE-001395115</v>
      </c>
      <c r="D23067" s="1" t="s">
        <v>0</v>
      </c>
      <c r="E23067" s="2">
        <v>0</v>
      </c>
      <c r="F23067" s="2">
        <v>0</v>
      </c>
      <c r="G23067" s="2">
        <v>0</v>
      </c>
      <c r="H23067" s="1" t="s">
        <v>0</v>
      </c>
      <c r="I23067" s="2">
        <v>0</v>
      </c>
      <c r="J23067" s="1">
        <v>45995.436793981484</v>
      </c>
    </row>
    <row r="23068" spans="1:10" x14ac:dyDescent="0.2">
      <c r="A23068" s="4" t="s">
        <v>1</v>
      </c>
      <c r="B2306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68" s="3" t="str">
        <f>HYPERLINK("https://otsuka-europe-crm.veevavault.com/ui/#object/sent_email__v/VBL00000000U551", "SE-001395116")</f>
        <v>SE-001395116</v>
      </c>
      <c r="D23068" s="1">
        <v>45995.968159722222</v>
      </c>
      <c r="E23068" s="2">
        <v>1</v>
      </c>
      <c r="F23068" s="2">
        <v>1</v>
      </c>
      <c r="G23068" s="2">
        <v>0</v>
      </c>
      <c r="H23068" s="1" t="s">
        <v>0</v>
      </c>
      <c r="I23068" s="2">
        <v>0</v>
      </c>
      <c r="J23068" s="1">
        <v>45995.436828703707</v>
      </c>
    </row>
    <row r="23069" spans="1:10" x14ac:dyDescent="0.2">
      <c r="A23069" s="4" t="s">
        <v>1</v>
      </c>
      <c r="B2306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69" s="3" t="str">
        <f>HYPERLINK("https://otsuka-europe-crm.veevavault.com/ui/#object/sent_email__v/VBL00000000U552", "SE-001395117")</f>
        <v>SE-001395117</v>
      </c>
      <c r="D23069" s="1">
        <v>45995.496458333335</v>
      </c>
      <c r="E23069" s="2">
        <v>1</v>
      </c>
      <c r="F23069" s="2">
        <v>2</v>
      </c>
      <c r="G23069" s="2">
        <v>0</v>
      </c>
      <c r="H23069" s="1" t="s">
        <v>0</v>
      </c>
      <c r="I23069" s="2">
        <v>0</v>
      </c>
      <c r="J23069" s="1">
        <v>45995.436874999999</v>
      </c>
    </row>
    <row r="23070" spans="1:10" x14ac:dyDescent="0.2">
      <c r="A23070" s="4" t="s">
        <v>1</v>
      </c>
      <c r="B2307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70" s="3" t="str">
        <f>HYPERLINK("https://otsuka-europe-crm.veevavault.com/ui/#object/sent_email__v/VBL00000000U553", "SE-001395118")</f>
        <v>SE-001395118</v>
      </c>
      <c r="D23070" s="1">
        <v>45995.80127314815</v>
      </c>
      <c r="E23070" s="2">
        <v>1</v>
      </c>
      <c r="F23070" s="2">
        <v>1</v>
      </c>
      <c r="G23070" s="2">
        <v>0</v>
      </c>
      <c r="H23070" s="1" t="s">
        <v>0</v>
      </c>
      <c r="I23070" s="2">
        <v>0</v>
      </c>
      <c r="J23070" s="1">
        <v>45995.436909722222</v>
      </c>
    </row>
    <row r="23071" spans="1:10" x14ac:dyDescent="0.2">
      <c r="A23071" s="4" t="s">
        <v>1</v>
      </c>
      <c r="B2307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71" s="3" t="str">
        <f>HYPERLINK("https://otsuka-europe-crm.veevavault.com/ui/#object/sent_email__v/VBL00000000U554", "SE-001395119")</f>
        <v>SE-001395119</v>
      </c>
      <c r="D23071" s="1">
        <v>46001.365740740737</v>
      </c>
      <c r="E23071" s="2">
        <v>1</v>
      </c>
      <c r="F23071" s="2">
        <v>1</v>
      </c>
      <c r="G23071" s="2">
        <v>0</v>
      </c>
      <c r="H23071" s="1" t="s">
        <v>0</v>
      </c>
      <c r="I23071" s="2">
        <v>0</v>
      </c>
      <c r="J23071" s="1">
        <v>45995.436944444446</v>
      </c>
    </row>
    <row r="23072" spans="1:10" x14ac:dyDescent="0.2">
      <c r="A23072" s="4" t="s">
        <v>1</v>
      </c>
      <c r="B2307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72" s="3" t="str">
        <f>HYPERLINK("https://otsuka-europe-crm.veevavault.com/ui/#object/sent_email__v/VBL00000000U555", "SE-001395120")</f>
        <v>SE-001395120</v>
      </c>
      <c r="D23072" s="1">
        <v>45995.69222222222</v>
      </c>
      <c r="E23072" s="2">
        <v>1</v>
      </c>
      <c r="F23072" s="2">
        <v>1</v>
      </c>
      <c r="G23072" s="2">
        <v>0</v>
      </c>
      <c r="H23072" s="1" t="s">
        <v>0</v>
      </c>
      <c r="I23072" s="2">
        <v>0</v>
      </c>
      <c r="J23072" s="1">
        <v>45995.436979166669</v>
      </c>
    </row>
    <row r="23073" spans="1:10" x14ac:dyDescent="0.2">
      <c r="A23073" s="4" t="s">
        <v>1</v>
      </c>
      <c r="B2307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73" s="3" t="str">
        <f>HYPERLINK("https://otsuka-europe-crm.veevavault.com/ui/#object/sent_email__v/VBL00000000U556", "SE-001395121")</f>
        <v>SE-001395121</v>
      </c>
      <c r="D23073" s="1">
        <v>45998.357685185183</v>
      </c>
      <c r="E23073" s="2">
        <v>1</v>
      </c>
      <c r="F23073" s="2">
        <v>2</v>
      </c>
      <c r="G23073" s="2">
        <v>0</v>
      </c>
      <c r="H23073" s="1" t="s">
        <v>0</v>
      </c>
      <c r="I23073" s="2">
        <v>0</v>
      </c>
      <c r="J23073" s="1">
        <v>45995.437025462961</v>
      </c>
    </row>
    <row r="23074" spans="1:10" x14ac:dyDescent="0.2">
      <c r="A23074" s="4" t="s">
        <v>1</v>
      </c>
      <c r="B2307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74" s="3" t="str">
        <f>HYPERLINK("https://otsuka-europe-crm.veevavault.com/ui/#object/sent_email__v/VBL00000000U557", "SE-001395122")</f>
        <v>SE-001395122</v>
      </c>
      <c r="D23074" s="1">
        <v>46005.462592592594</v>
      </c>
      <c r="E23074" s="2">
        <v>1</v>
      </c>
      <c r="F23074" s="2">
        <v>2</v>
      </c>
      <c r="G23074" s="2">
        <v>0</v>
      </c>
      <c r="H23074" s="1" t="s">
        <v>0</v>
      </c>
      <c r="I23074" s="2">
        <v>0</v>
      </c>
      <c r="J23074" s="1">
        <v>45995.437048611115</v>
      </c>
    </row>
    <row r="23075" spans="1:10" x14ac:dyDescent="0.2">
      <c r="A23075" s="4" t="s">
        <v>1</v>
      </c>
      <c r="B2307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75" s="3" t="str">
        <f>HYPERLINK("https://otsuka-europe-crm.veevavault.com/ui/#object/sent_email__v/VBL00000000U558", "SE-001395123")</f>
        <v>SE-001395123</v>
      </c>
      <c r="D23075" s="1">
        <v>45996.047395833331</v>
      </c>
      <c r="E23075" s="2">
        <v>1</v>
      </c>
      <c r="F23075" s="2">
        <v>2</v>
      </c>
      <c r="G23075" s="2">
        <v>0</v>
      </c>
      <c r="H23075" s="1" t="s">
        <v>0</v>
      </c>
      <c r="I23075" s="2">
        <v>0</v>
      </c>
      <c r="J23075" s="1">
        <v>45995.437094907407</v>
      </c>
    </row>
    <row r="23076" spans="1:10" x14ac:dyDescent="0.2">
      <c r="A23076" s="4" t="s">
        <v>1</v>
      </c>
      <c r="B2307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76" s="3" t="str">
        <f>HYPERLINK("https://otsuka-europe-crm.veevavault.com/ui/#object/sent_email__v/VBL00000000U559", "SE-001395124")</f>
        <v>SE-001395124</v>
      </c>
      <c r="D23076" s="1" t="s">
        <v>0</v>
      </c>
      <c r="E23076" s="2">
        <v>0</v>
      </c>
      <c r="F23076" s="2">
        <v>0</v>
      </c>
      <c r="G23076" s="2">
        <v>0</v>
      </c>
      <c r="H23076" s="1" t="s">
        <v>0</v>
      </c>
      <c r="I23076" s="2">
        <v>0</v>
      </c>
      <c r="J23076" s="1">
        <v>45995.437118055554</v>
      </c>
    </row>
    <row r="23077" spans="1:10" x14ac:dyDescent="0.2">
      <c r="A23077" s="4" t="s">
        <v>1</v>
      </c>
      <c r="B2307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77" s="3" t="str">
        <f>HYPERLINK("https://otsuka-europe-crm.veevavault.com/ui/#object/sent_email__v/VBL00000000U560", "SE-001395125")</f>
        <v>SE-001395125</v>
      </c>
      <c r="D23077" s="1" t="s">
        <v>0</v>
      </c>
      <c r="E23077" s="2">
        <v>0</v>
      </c>
      <c r="F23077" s="2">
        <v>0</v>
      </c>
      <c r="G23077" s="2">
        <v>0</v>
      </c>
      <c r="H23077" s="1" t="s">
        <v>0</v>
      </c>
      <c r="I23077" s="2">
        <v>0</v>
      </c>
      <c r="J23077" s="1">
        <v>45995.437164351853</v>
      </c>
    </row>
    <row r="23078" spans="1:10" x14ac:dyDescent="0.2">
      <c r="A23078" s="4" t="s">
        <v>1</v>
      </c>
      <c r="B2307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78" s="3" t="str">
        <f>HYPERLINK("https://otsuka-europe-crm.veevavault.com/ui/#object/sent_email__v/VBL00000000U561", "SE-001395126")</f>
        <v>SE-001395126</v>
      </c>
      <c r="D23078" s="1">
        <v>45995.533125000002</v>
      </c>
      <c r="E23078" s="2">
        <v>1</v>
      </c>
      <c r="F23078" s="2">
        <v>1</v>
      </c>
      <c r="G23078" s="2">
        <v>0</v>
      </c>
      <c r="H23078" s="1" t="s">
        <v>0</v>
      </c>
      <c r="I23078" s="2">
        <v>0</v>
      </c>
      <c r="J23078" s="1">
        <v>45995.437199074076</v>
      </c>
    </row>
    <row r="23079" spans="1:10" x14ac:dyDescent="0.2">
      <c r="A23079" s="4" t="s">
        <v>1</v>
      </c>
      <c r="B2307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79" s="3" t="str">
        <f>HYPERLINK("https://otsuka-europe-crm.veevavault.com/ui/#object/sent_email__v/VBL00000000U562", "SE-001395127")</f>
        <v>SE-001395127</v>
      </c>
      <c r="D23079" s="1">
        <v>45995.977453703701</v>
      </c>
      <c r="E23079" s="2">
        <v>1</v>
      </c>
      <c r="F23079" s="2">
        <v>1</v>
      </c>
      <c r="G23079" s="2">
        <v>0</v>
      </c>
      <c r="H23079" s="1" t="s">
        <v>0</v>
      </c>
      <c r="I23079" s="2">
        <v>0</v>
      </c>
      <c r="J23079" s="1">
        <v>45995.437222222223</v>
      </c>
    </row>
    <row r="23080" spans="1:10" x14ac:dyDescent="0.2">
      <c r="A23080" s="4" t="s">
        <v>1</v>
      </c>
      <c r="B2308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80" s="3" t="str">
        <f>HYPERLINK("https://otsuka-europe-crm.veevavault.com/ui/#object/sent_email__v/VBL00000000U563", "SE-001395128")</f>
        <v>SE-001395128</v>
      </c>
      <c r="D23080" s="1" t="s">
        <v>0</v>
      </c>
      <c r="E23080" s="2">
        <v>0</v>
      </c>
      <c r="F23080" s="2">
        <v>0</v>
      </c>
      <c r="G23080" s="2">
        <v>0</v>
      </c>
      <c r="H23080" s="1" t="s">
        <v>0</v>
      </c>
      <c r="I23080" s="2">
        <v>0</v>
      </c>
      <c r="J23080" s="1">
        <v>45995.437256944446</v>
      </c>
    </row>
    <row r="23081" spans="1:10" x14ac:dyDescent="0.2">
      <c r="A23081" s="4" t="s">
        <v>1</v>
      </c>
      <c r="B2308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81" s="3" t="str">
        <f>HYPERLINK("https://otsuka-europe-crm.veevavault.com/ui/#object/sent_email__v/VBL00000000U564", "SE-001395129")</f>
        <v>SE-001395129</v>
      </c>
      <c r="D23081" s="1" t="s">
        <v>0</v>
      </c>
      <c r="E23081" s="2">
        <v>0</v>
      </c>
      <c r="F23081" s="2">
        <v>0</v>
      </c>
      <c r="G23081" s="2">
        <v>0</v>
      </c>
      <c r="H23081" s="1" t="s">
        <v>0</v>
      </c>
      <c r="I23081" s="2">
        <v>0</v>
      </c>
      <c r="J23081" s="1">
        <v>45995.437291666669</v>
      </c>
    </row>
    <row r="23082" spans="1:10" x14ac:dyDescent="0.2">
      <c r="A23082" s="4" t="s">
        <v>1</v>
      </c>
      <c r="B2308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82" s="3" t="str">
        <f>HYPERLINK("https://otsuka-europe-crm.veevavault.com/ui/#object/sent_email__v/VBL00000000U565", "SE-001395130")</f>
        <v>SE-001395130</v>
      </c>
      <c r="D23082" s="1">
        <v>45996.314895833333</v>
      </c>
      <c r="E23082" s="2">
        <v>1</v>
      </c>
      <c r="F23082" s="2">
        <v>2</v>
      </c>
      <c r="G23082" s="2">
        <v>0</v>
      </c>
      <c r="H23082" s="1" t="s">
        <v>0</v>
      </c>
      <c r="I23082" s="2">
        <v>0</v>
      </c>
      <c r="J23082" s="1">
        <v>45995.437361111108</v>
      </c>
    </row>
    <row r="23083" spans="1:10" x14ac:dyDescent="0.2">
      <c r="A23083" s="4" t="s">
        <v>1</v>
      </c>
      <c r="B2308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83" s="3" t="str">
        <f>HYPERLINK("https://otsuka-europe-crm.veevavault.com/ui/#object/sent_email__v/VBL00000000U566", "SE-001395131")</f>
        <v>SE-001395131</v>
      </c>
      <c r="D23083" s="1" t="s">
        <v>0</v>
      </c>
      <c r="E23083" s="2">
        <v>0</v>
      </c>
      <c r="F23083" s="2">
        <v>0</v>
      </c>
      <c r="G23083" s="2">
        <v>0</v>
      </c>
      <c r="H23083" s="1" t="s">
        <v>0</v>
      </c>
      <c r="I23083" s="2">
        <v>0</v>
      </c>
      <c r="J23083" s="1">
        <v>45995.437384259261</v>
      </c>
    </row>
    <row r="23084" spans="1:10" x14ac:dyDescent="0.2">
      <c r="A23084" s="4" t="s">
        <v>1</v>
      </c>
      <c r="B2308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84" s="3" t="str">
        <f>HYPERLINK("https://otsuka-europe-crm.veevavault.com/ui/#object/sent_email__v/VBL00000000U567", "SE-001395132")</f>
        <v>SE-001395132</v>
      </c>
      <c r="D23084" s="1" t="s">
        <v>0</v>
      </c>
      <c r="E23084" s="2">
        <v>0</v>
      </c>
      <c r="F23084" s="2">
        <v>0</v>
      </c>
      <c r="G23084" s="2">
        <v>0</v>
      </c>
      <c r="H23084" s="1" t="s">
        <v>0</v>
      </c>
      <c r="I23084" s="2">
        <v>0</v>
      </c>
      <c r="J23084" s="1">
        <v>45995.437418981484</v>
      </c>
    </row>
    <row r="23085" spans="1:10" x14ac:dyDescent="0.2">
      <c r="A23085" s="4" t="s">
        <v>1</v>
      </c>
      <c r="B2308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85" s="3" t="str">
        <f>HYPERLINK("https://otsuka-europe-crm.veevavault.com/ui/#object/sent_email__v/VBL00000000U568", "SE-001395133")</f>
        <v>SE-001395133</v>
      </c>
      <c r="D23085" s="1" t="s">
        <v>0</v>
      </c>
      <c r="E23085" s="2">
        <v>0</v>
      </c>
      <c r="F23085" s="2">
        <v>0</v>
      </c>
      <c r="G23085" s="2">
        <v>0</v>
      </c>
      <c r="H23085" s="1" t="s">
        <v>0</v>
      </c>
      <c r="I23085" s="2">
        <v>0</v>
      </c>
      <c r="J23085" s="1">
        <v>45995.437465277777</v>
      </c>
    </row>
    <row r="23086" spans="1:10" x14ac:dyDescent="0.2">
      <c r="A23086" s="4" t="s">
        <v>1</v>
      </c>
      <c r="B2308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86" s="3" t="str">
        <f>HYPERLINK("https://otsuka-europe-crm.veevavault.com/ui/#object/sent_email__v/VBL00000000U569", "SE-001395134")</f>
        <v>SE-001395134</v>
      </c>
      <c r="D23086" s="1" t="s">
        <v>0</v>
      </c>
      <c r="E23086" s="2">
        <v>0</v>
      </c>
      <c r="F23086" s="2">
        <v>0</v>
      </c>
      <c r="G23086" s="2">
        <v>0</v>
      </c>
      <c r="H23086" s="1" t="s">
        <v>0</v>
      </c>
      <c r="I23086" s="2">
        <v>0</v>
      </c>
      <c r="J23086" s="1">
        <v>45995.4375</v>
      </c>
    </row>
    <row r="23087" spans="1:10" x14ac:dyDescent="0.2">
      <c r="A23087" s="4" t="s">
        <v>1</v>
      </c>
      <c r="B2308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87" s="3" t="str">
        <f>HYPERLINK("https://otsuka-europe-crm.veevavault.com/ui/#object/sent_email__v/VBL00000000U570", "SE-001395135")</f>
        <v>SE-001395135</v>
      </c>
      <c r="D23087" s="1">
        <v>45995.62060185185</v>
      </c>
      <c r="E23087" s="2">
        <v>1</v>
      </c>
      <c r="F23087" s="2">
        <v>4</v>
      </c>
      <c r="G23087" s="2">
        <v>0</v>
      </c>
      <c r="H23087" s="1" t="s">
        <v>0</v>
      </c>
      <c r="I23087" s="2">
        <v>0</v>
      </c>
      <c r="J23087" s="1">
        <v>45995.437534722223</v>
      </c>
    </row>
    <row r="23088" spans="1:10" x14ac:dyDescent="0.2">
      <c r="A23088" s="4" t="s">
        <v>1</v>
      </c>
      <c r="B2308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88" s="3" t="str">
        <f>HYPERLINK("https://otsuka-europe-crm.veevavault.com/ui/#object/sent_email__v/VBL00000000U571", "SE-001395136")</f>
        <v>SE-001395136</v>
      </c>
      <c r="D23088" s="1" t="s">
        <v>0</v>
      </c>
      <c r="E23088" s="2">
        <v>0</v>
      </c>
      <c r="F23088" s="2">
        <v>0</v>
      </c>
      <c r="G23088" s="2">
        <v>0</v>
      </c>
      <c r="H23088" s="1" t="s">
        <v>0</v>
      </c>
      <c r="I23088" s="2">
        <v>0</v>
      </c>
      <c r="J23088" s="1">
        <v>45995.437569444446</v>
      </c>
    </row>
    <row r="23089" spans="1:10" x14ac:dyDescent="0.2">
      <c r="A23089" s="4" t="s">
        <v>1</v>
      </c>
      <c r="B2308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89" s="3" t="str">
        <f>HYPERLINK("https://otsuka-europe-crm.veevavault.com/ui/#object/sent_email__v/VBL00000000U572", "SE-001395137")</f>
        <v>SE-001395137</v>
      </c>
      <c r="D23089" s="1" t="s">
        <v>0</v>
      </c>
      <c r="E23089" s="2">
        <v>0</v>
      </c>
      <c r="F23089" s="2">
        <v>0</v>
      </c>
      <c r="G23089" s="2">
        <v>0</v>
      </c>
      <c r="H23089" s="1" t="s">
        <v>0</v>
      </c>
      <c r="I23089" s="2">
        <v>0</v>
      </c>
      <c r="J23089" s="1">
        <v>45995.437627314815</v>
      </c>
    </row>
    <row r="23090" spans="1:10" x14ac:dyDescent="0.2">
      <c r="A23090" s="4" t="s">
        <v>1</v>
      </c>
      <c r="B2309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90" s="3" t="str">
        <f>HYPERLINK("https://otsuka-europe-crm.veevavault.com/ui/#object/sent_email__v/VBL00000000U573", "SE-001395138")</f>
        <v>SE-001395138</v>
      </c>
      <c r="D23090" s="1">
        <v>45995.785555555558</v>
      </c>
      <c r="E23090" s="2">
        <v>1</v>
      </c>
      <c r="F23090" s="2">
        <v>1</v>
      </c>
      <c r="G23090" s="2">
        <v>0</v>
      </c>
      <c r="H23090" s="1" t="s">
        <v>0</v>
      </c>
      <c r="I23090" s="2">
        <v>0</v>
      </c>
      <c r="J23090" s="1">
        <v>45995.437662037039</v>
      </c>
    </row>
    <row r="23091" spans="1:10" x14ac:dyDescent="0.2">
      <c r="A23091" s="4" t="s">
        <v>1</v>
      </c>
      <c r="B2309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91" s="3" t="str">
        <f>HYPERLINK("https://otsuka-europe-crm.veevavault.com/ui/#object/sent_email__v/VBL00000000U574", "SE-001395139")</f>
        <v>SE-001395139</v>
      </c>
      <c r="D23091" s="1" t="s">
        <v>0</v>
      </c>
      <c r="E23091" s="2">
        <v>0</v>
      </c>
      <c r="F23091" s="2">
        <v>0</v>
      </c>
      <c r="G23091" s="2">
        <v>0</v>
      </c>
      <c r="H23091" s="1" t="s">
        <v>0</v>
      </c>
      <c r="I23091" s="2">
        <v>0</v>
      </c>
      <c r="J23091" s="1">
        <v>45995.437696759262</v>
      </c>
    </row>
    <row r="23092" spans="1:10" x14ac:dyDescent="0.2">
      <c r="A23092" s="4" t="s">
        <v>1</v>
      </c>
      <c r="B2309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92" s="3" t="str">
        <f>HYPERLINK("https://otsuka-europe-crm.veevavault.com/ui/#object/sent_email__v/VBL00000000U575", "SE-001395140")</f>
        <v>SE-001395140</v>
      </c>
      <c r="D23092" s="1" t="s">
        <v>0</v>
      </c>
      <c r="E23092" s="2">
        <v>0</v>
      </c>
      <c r="F23092" s="2">
        <v>0</v>
      </c>
      <c r="G23092" s="2">
        <v>0</v>
      </c>
      <c r="H23092" s="1" t="s">
        <v>0</v>
      </c>
      <c r="I23092" s="2">
        <v>0</v>
      </c>
      <c r="J23092" s="1">
        <v>45995.437731481485</v>
      </c>
    </row>
    <row r="23093" spans="1:10" x14ac:dyDescent="0.2">
      <c r="A23093" s="4" t="s">
        <v>1</v>
      </c>
      <c r="B2309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93" s="3" t="str">
        <f>HYPERLINK("https://otsuka-europe-crm.veevavault.com/ui/#object/sent_email__v/VBL00000000U576", "SE-001395141")</f>
        <v>SE-001395141</v>
      </c>
      <c r="D23093" s="1" t="s">
        <v>0</v>
      </c>
      <c r="E23093" s="2">
        <v>0</v>
      </c>
      <c r="F23093" s="2">
        <v>0</v>
      </c>
      <c r="G23093" s="2">
        <v>0</v>
      </c>
      <c r="H23093" s="1" t="s">
        <v>0</v>
      </c>
      <c r="I23093" s="2">
        <v>0</v>
      </c>
      <c r="J23093" s="1">
        <v>45995.437789351854</v>
      </c>
    </row>
    <row r="23094" spans="1:10" x14ac:dyDescent="0.2">
      <c r="A23094" s="4" t="s">
        <v>1</v>
      </c>
      <c r="B2309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94" s="3" t="str">
        <f>HYPERLINK("https://otsuka-europe-crm.veevavault.com/ui/#object/sent_email__v/VBL00000000U577", "SE-001395142")</f>
        <v>SE-001395142</v>
      </c>
      <c r="D23094" s="1">
        <v>46013.988171296296</v>
      </c>
      <c r="E23094" s="2">
        <v>1</v>
      </c>
      <c r="F23094" s="2">
        <v>1</v>
      </c>
      <c r="G23094" s="2">
        <v>0</v>
      </c>
      <c r="H23094" s="1" t="s">
        <v>0</v>
      </c>
      <c r="I23094" s="2">
        <v>0</v>
      </c>
      <c r="J23094" s="1">
        <v>45995.437824074077</v>
      </c>
    </row>
    <row r="23095" spans="1:10" x14ac:dyDescent="0.2">
      <c r="A23095" s="4" t="s">
        <v>1</v>
      </c>
      <c r="B2309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95" s="3" t="str">
        <f>HYPERLINK("https://otsuka-europe-crm.veevavault.com/ui/#object/sent_email__v/VBL00000000U578", "SE-001395143")</f>
        <v>SE-001395143</v>
      </c>
      <c r="D23095" s="1" t="s">
        <v>0</v>
      </c>
      <c r="E23095" s="2">
        <v>0</v>
      </c>
      <c r="F23095" s="2">
        <v>0</v>
      </c>
      <c r="G23095" s="2">
        <v>0</v>
      </c>
      <c r="H23095" s="1" t="s">
        <v>0</v>
      </c>
      <c r="I23095" s="2">
        <v>0</v>
      </c>
      <c r="J23095" s="1">
        <v>45995.437858796293</v>
      </c>
    </row>
    <row r="23096" spans="1:10" x14ac:dyDescent="0.2">
      <c r="A23096" s="4" t="s">
        <v>1</v>
      </c>
      <c r="B2309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96" s="3" t="str">
        <f>HYPERLINK("https://otsuka-europe-crm.veevavault.com/ui/#object/sent_email__v/VBL00000000U579", "SE-001395144")</f>
        <v>SE-001395144</v>
      </c>
      <c r="D23096" s="1" t="s">
        <v>0</v>
      </c>
      <c r="E23096" s="2">
        <v>0</v>
      </c>
      <c r="F23096" s="2">
        <v>0</v>
      </c>
      <c r="G23096" s="2">
        <v>0</v>
      </c>
      <c r="H23096" s="1" t="s">
        <v>0</v>
      </c>
      <c r="I23096" s="2">
        <v>0</v>
      </c>
      <c r="J23096" s="1">
        <v>45995.437893518516</v>
      </c>
    </row>
    <row r="23097" spans="1:10" x14ac:dyDescent="0.2">
      <c r="A23097" s="4" t="s">
        <v>1</v>
      </c>
      <c r="B2309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97" s="3" t="str">
        <f>HYPERLINK("https://otsuka-europe-crm.veevavault.com/ui/#object/sent_email__v/VBL00000000U580", "SE-001395145")</f>
        <v>SE-001395145</v>
      </c>
      <c r="D23097" s="1">
        <v>45998.717870370368</v>
      </c>
      <c r="E23097" s="2">
        <v>1</v>
      </c>
      <c r="F23097" s="2">
        <v>2</v>
      </c>
      <c r="G23097" s="2">
        <v>0</v>
      </c>
      <c r="H23097" s="1" t="s">
        <v>0</v>
      </c>
      <c r="I23097" s="2">
        <v>0</v>
      </c>
      <c r="J23097" s="1">
        <v>45995.437928240739</v>
      </c>
    </row>
    <row r="23098" spans="1:10" x14ac:dyDescent="0.2">
      <c r="A23098" s="4" t="s">
        <v>1</v>
      </c>
      <c r="B2309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98" s="3" t="str">
        <f>HYPERLINK("https://otsuka-europe-crm.veevavault.com/ui/#object/sent_email__v/VBL00000000U581", "SE-001395146")</f>
        <v>SE-001395146</v>
      </c>
      <c r="D23098" s="1" t="s">
        <v>0</v>
      </c>
      <c r="E23098" s="2">
        <v>0</v>
      </c>
      <c r="F23098" s="2">
        <v>0</v>
      </c>
      <c r="G23098" s="2">
        <v>0</v>
      </c>
      <c r="H23098" s="1" t="s">
        <v>0</v>
      </c>
      <c r="I23098" s="2">
        <v>0</v>
      </c>
      <c r="J23098" s="1">
        <v>45995.437962962962</v>
      </c>
    </row>
    <row r="23099" spans="1:10" x14ac:dyDescent="0.2">
      <c r="A23099" s="4" t="s">
        <v>1</v>
      </c>
      <c r="B2309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099" s="3" t="str">
        <f>HYPERLINK("https://otsuka-europe-crm.veevavault.com/ui/#object/sent_email__v/VBL00000000U582", "SE-001395147")</f>
        <v>SE-001395147</v>
      </c>
      <c r="D23099" s="1" t="s">
        <v>0</v>
      </c>
      <c r="E23099" s="2">
        <v>0</v>
      </c>
      <c r="F23099" s="2">
        <v>0</v>
      </c>
      <c r="G23099" s="2">
        <v>0</v>
      </c>
      <c r="H23099" s="1" t="s">
        <v>0</v>
      </c>
      <c r="I23099" s="2">
        <v>0</v>
      </c>
      <c r="J23099" s="1">
        <v>45995.437997685185</v>
      </c>
    </row>
    <row r="23100" spans="1:10" x14ac:dyDescent="0.2">
      <c r="A23100" s="4" t="s">
        <v>1</v>
      </c>
      <c r="B2310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00" s="3" t="str">
        <f>HYPERLINK("https://otsuka-europe-crm.veevavault.com/ui/#object/sent_email__v/VBL00000000U583", "SE-001395148")</f>
        <v>SE-001395148</v>
      </c>
      <c r="D23100" s="1" t="s">
        <v>0</v>
      </c>
      <c r="E23100" s="2">
        <v>0</v>
      </c>
      <c r="F23100" s="2">
        <v>0</v>
      </c>
      <c r="G23100" s="2">
        <v>0</v>
      </c>
      <c r="H23100" s="1" t="s">
        <v>0</v>
      </c>
      <c r="I23100" s="2">
        <v>0</v>
      </c>
      <c r="J23100" s="1">
        <v>45995.438032407408</v>
      </c>
    </row>
    <row r="23101" spans="1:10" x14ac:dyDescent="0.2">
      <c r="A23101" s="4" t="s">
        <v>1</v>
      </c>
      <c r="B2310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01" s="3" t="str">
        <f>HYPERLINK("https://otsuka-europe-crm.veevavault.com/ui/#object/sent_email__v/VBL00000000U584", "SE-001395149")</f>
        <v>SE-001395149</v>
      </c>
      <c r="D23101" s="1">
        <v>46001.963067129633</v>
      </c>
      <c r="E23101" s="2">
        <v>1</v>
      </c>
      <c r="F23101" s="2">
        <v>2</v>
      </c>
      <c r="G23101" s="2">
        <v>0</v>
      </c>
      <c r="H23101" s="1" t="s">
        <v>0</v>
      </c>
      <c r="I23101" s="2">
        <v>0</v>
      </c>
      <c r="J23101" s="1">
        <v>45995.438067129631</v>
      </c>
    </row>
    <row r="23102" spans="1:10" x14ac:dyDescent="0.2">
      <c r="A23102" s="4" t="s">
        <v>1</v>
      </c>
      <c r="B2310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02" s="3" t="str">
        <f>HYPERLINK("https://otsuka-europe-crm.veevavault.com/ui/#object/sent_email__v/VBL00000000U585", "SE-001395150")</f>
        <v>SE-001395150</v>
      </c>
      <c r="D23102" s="1" t="s">
        <v>0</v>
      </c>
      <c r="E23102" s="2">
        <v>0</v>
      </c>
      <c r="F23102" s="2">
        <v>0</v>
      </c>
      <c r="G23102" s="2">
        <v>0</v>
      </c>
      <c r="H23102" s="1" t="s">
        <v>0</v>
      </c>
      <c r="I23102" s="2">
        <v>0</v>
      </c>
      <c r="J23102" s="1">
        <v>45995.438101851854</v>
      </c>
    </row>
    <row r="23103" spans="1:10" x14ac:dyDescent="0.2">
      <c r="A23103" s="4" t="s">
        <v>1</v>
      </c>
      <c r="B2310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03" s="3" t="str">
        <f>HYPERLINK("https://otsuka-europe-crm.veevavault.com/ui/#object/sent_email__v/VBL00000000U586", "SE-001395151")</f>
        <v>SE-001395151</v>
      </c>
      <c r="D23103" s="1">
        <v>45995.512048611112</v>
      </c>
      <c r="E23103" s="2">
        <v>1</v>
      </c>
      <c r="F23103" s="2">
        <v>1</v>
      </c>
      <c r="G23103" s="2">
        <v>0</v>
      </c>
      <c r="H23103" s="1" t="s">
        <v>0</v>
      </c>
      <c r="I23103" s="2">
        <v>0</v>
      </c>
      <c r="J23103" s="1">
        <v>45995.438148148147</v>
      </c>
    </row>
    <row r="23104" spans="1:10" x14ac:dyDescent="0.2">
      <c r="A23104" s="4" t="s">
        <v>1</v>
      </c>
      <c r="B2310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04" s="3" t="str">
        <f>HYPERLINK("https://otsuka-europe-crm.veevavault.com/ui/#object/sent_email__v/VBL00000000U587", "SE-001395152")</f>
        <v>SE-001395152</v>
      </c>
      <c r="D23104" s="1" t="s">
        <v>0</v>
      </c>
      <c r="E23104" s="2">
        <v>0</v>
      </c>
      <c r="F23104" s="2">
        <v>0</v>
      </c>
      <c r="G23104" s="2">
        <v>0</v>
      </c>
      <c r="H23104" s="1" t="s">
        <v>0</v>
      </c>
      <c r="I23104" s="2">
        <v>0</v>
      </c>
      <c r="J23104" s="1">
        <v>45995.43818287037</v>
      </c>
    </row>
    <row r="23105" spans="1:10" x14ac:dyDescent="0.2">
      <c r="A23105" s="4" t="s">
        <v>1</v>
      </c>
      <c r="B2310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05" s="3" t="str">
        <f>HYPERLINK("https://otsuka-europe-crm.veevavault.com/ui/#object/sent_email__v/VBL00000000U588", "SE-001395153")</f>
        <v>SE-001395153</v>
      </c>
      <c r="D23105" s="1">
        <v>45996.141122685185</v>
      </c>
      <c r="E23105" s="2">
        <v>1</v>
      </c>
      <c r="F23105" s="2">
        <v>2</v>
      </c>
      <c r="G23105" s="2">
        <v>0</v>
      </c>
      <c r="H23105" s="1" t="s">
        <v>0</v>
      </c>
      <c r="I23105" s="2">
        <v>0</v>
      </c>
      <c r="J23105" s="1">
        <v>45995.438206018516</v>
      </c>
    </row>
    <row r="23106" spans="1:10" x14ac:dyDescent="0.2">
      <c r="A23106" s="4" t="s">
        <v>1</v>
      </c>
      <c r="B2310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06" s="3" t="str">
        <f>HYPERLINK("https://otsuka-europe-crm.veevavault.com/ui/#object/sent_email__v/VBL00000000U589", "SE-001395154")</f>
        <v>SE-001395154</v>
      </c>
      <c r="D23106" s="1" t="s">
        <v>0</v>
      </c>
      <c r="E23106" s="2">
        <v>0</v>
      </c>
      <c r="F23106" s="2">
        <v>0</v>
      </c>
      <c r="G23106" s="2">
        <v>0</v>
      </c>
      <c r="H23106" s="1" t="s">
        <v>0</v>
      </c>
      <c r="I23106" s="2">
        <v>0</v>
      </c>
      <c r="J23106" s="1">
        <v>45995.438240740739</v>
      </c>
    </row>
    <row r="23107" spans="1:10" x14ac:dyDescent="0.2">
      <c r="A23107" s="4" t="s">
        <v>1</v>
      </c>
      <c r="B2310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07" s="3" t="str">
        <f>HYPERLINK("https://otsuka-europe-crm.veevavault.com/ui/#object/sent_email__v/VBL00000000U590", "SE-001395155")</f>
        <v>SE-001395155</v>
      </c>
      <c r="D23107" s="1">
        <v>45995.44358796296</v>
      </c>
      <c r="E23107" s="2">
        <v>1</v>
      </c>
      <c r="F23107" s="2">
        <v>1</v>
      </c>
      <c r="G23107" s="2">
        <v>0</v>
      </c>
      <c r="H23107" s="1" t="s">
        <v>0</v>
      </c>
      <c r="I23107" s="2">
        <v>0</v>
      </c>
      <c r="J23107" s="1">
        <v>45995.438275462962</v>
      </c>
    </row>
    <row r="23108" spans="1:10" x14ac:dyDescent="0.2">
      <c r="A23108" s="4" t="s">
        <v>1</v>
      </c>
      <c r="B2310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08" s="3" t="str">
        <f>HYPERLINK("https://otsuka-europe-crm.veevavault.com/ui/#object/sent_email__v/VBL00000000U591", "SE-001395156")</f>
        <v>SE-001395156</v>
      </c>
      <c r="D23108" s="1" t="s">
        <v>0</v>
      </c>
      <c r="E23108" s="2">
        <v>0</v>
      </c>
      <c r="F23108" s="2">
        <v>0</v>
      </c>
      <c r="G23108" s="2">
        <v>0</v>
      </c>
      <c r="H23108" s="1" t="s">
        <v>0</v>
      </c>
      <c r="I23108" s="2">
        <v>0</v>
      </c>
      <c r="J23108" s="1">
        <v>45995.438310185185</v>
      </c>
    </row>
    <row r="23109" spans="1:10" x14ac:dyDescent="0.2">
      <c r="A23109" s="4" t="s">
        <v>1</v>
      </c>
      <c r="B2310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09" s="3" t="str">
        <f>HYPERLINK("https://otsuka-europe-crm.veevavault.com/ui/#object/sent_email__v/VBL00000000U592", "SE-001395157")</f>
        <v>SE-001395157</v>
      </c>
      <c r="D23109" s="1">
        <v>45996.304305555554</v>
      </c>
      <c r="E23109" s="2">
        <v>1</v>
      </c>
      <c r="F23109" s="2">
        <v>1</v>
      </c>
      <c r="G23109" s="2">
        <v>0</v>
      </c>
      <c r="H23109" s="1" t="s">
        <v>0</v>
      </c>
      <c r="I23109" s="2">
        <v>0</v>
      </c>
      <c r="J23109" s="1">
        <v>45995.438344907408</v>
      </c>
    </row>
    <row r="23110" spans="1:10" x14ac:dyDescent="0.2">
      <c r="A23110" s="4" t="s">
        <v>1</v>
      </c>
      <c r="B2311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10" s="3" t="str">
        <f>HYPERLINK("https://otsuka-europe-crm.veevavault.com/ui/#object/sent_email__v/VBL00000000U593", "SE-001395158")</f>
        <v>SE-001395158</v>
      </c>
      <c r="D23110" s="1">
        <v>45995.547719907408</v>
      </c>
      <c r="E23110" s="2">
        <v>1</v>
      </c>
      <c r="F23110" s="2">
        <v>1</v>
      </c>
      <c r="G23110" s="2">
        <v>0</v>
      </c>
      <c r="H23110" s="1" t="s">
        <v>0</v>
      </c>
      <c r="I23110" s="2">
        <v>0</v>
      </c>
      <c r="J23110" s="1">
        <v>45995.438379629632</v>
      </c>
    </row>
    <row r="23111" spans="1:10" x14ac:dyDescent="0.2">
      <c r="A23111" s="4" t="s">
        <v>1</v>
      </c>
      <c r="B2311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11" s="3" t="str">
        <f>HYPERLINK("https://otsuka-europe-crm.veevavault.com/ui/#object/sent_email__v/VBL00000000U594", "SE-001395159")</f>
        <v>SE-001395159</v>
      </c>
      <c r="D23111" s="1" t="s">
        <v>0</v>
      </c>
      <c r="E23111" s="2">
        <v>0</v>
      </c>
      <c r="F23111" s="2">
        <v>0</v>
      </c>
      <c r="G23111" s="2">
        <v>0</v>
      </c>
      <c r="H23111" s="1" t="s">
        <v>0</v>
      </c>
      <c r="I23111" s="2">
        <v>0</v>
      </c>
      <c r="J23111" s="1">
        <v>45995.438414351855</v>
      </c>
    </row>
    <row r="23112" spans="1:10" x14ac:dyDescent="0.2">
      <c r="A23112" s="4" t="s">
        <v>1</v>
      </c>
      <c r="B2311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12" s="3" t="str">
        <f>HYPERLINK("https://otsuka-europe-crm.veevavault.com/ui/#object/sent_email__v/VBL00000000U595", "SE-001395160")</f>
        <v>SE-001395160</v>
      </c>
      <c r="D23112" s="1">
        <v>46022.762766203705</v>
      </c>
      <c r="E23112" s="2">
        <v>1</v>
      </c>
      <c r="F23112" s="2">
        <v>1</v>
      </c>
      <c r="G23112" s="2">
        <v>0</v>
      </c>
      <c r="H23112" s="1" t="s">
        <v>0</v>
      </c>
      <c r="I23112" s="2">
        <v>0</v>
      </c>
      <c r="J23112" s="1">
        <v>45995.438449074078</v>
      </c>
    </row>
    <row r="23113" spans="1:10" x14ac:dyDescent="0.2">
      <c r="A23113" s="4" t="s">
        <v>1</v>
      </c>
      <c r="B2311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13" s="3" t="str">
        <f>HYPERLINK("https://otsuka-europe-crm.veevavault.com/ui/#object/sent_email__v/VBL00000000U596", "SE-001395161")</f>
        <v>SE-001395161</v>
      </c>
      <c r="D23113" s="1">
        <v>45995.455474537041</v>
      </c>
      <c r="E23113" s="2">
        <v>1</v>
      </c>
      <c r="F23113" s="2">
        <v>1</v>
      </c>
      <c r="G23113" s="2">
        <v>0</v>
      </c>
      <c r="H23113" s="1" t="s">
        <v>0</v>
      </c>
      <c r="I23113" s="2">
        <v>0</v>
      </c>
      <c r="J23113" s="1">
        <v>45995.438483796293</v>
      </c>
    </row>
    <row r="23114" spans="1:10" x14ac:dyDescent="0.2">
      <c r="A23114" s="4" t="s">
        <v>1</v>
      </c>
      <c r="B2311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14" s="3" t="str">
        <f>HYPERLINK("https://otsuka-europe-crm.veevavault.com/ui/#object/sent_email__v/VBL00000000U597", "SE-001395162")</f>
        <v>SE-001395162</v>
      </c>
      <c r="D23114" s="1">
        <v>45995.528252314813</v>
      </c>
      <c r="E23114" s="2">
        <v>1</v>
      </c>
      <c r="F23114" s="2">
        <v>1</v>
      </c>
      <c r="G23114" s="2">
        <v>0</v>
      </c>
      <c r="H23114" s="1" t="s">
        <v>0</v>
      </c>
      <c r="I23114" s="2">
        <v>0</v>
      </c>
      <c r="J23114" s="1">
        <v>45995.438518518517</v>
      </c>
    </row>
    <row r="23115" spans="1:10" x14ac:dyDescent="0.2">
      <c r="A23115" s="4" t="s">
        <v>1</v>
      </c>
      <c r="B2311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15" s="3" t="str">
        <f>HYPERLINK("https://otsuka-europe-crm.veevavault.com/ui/#object/sent_email__v/VBL00000000U598", "SE-001395163")</f>
        <v>SE-001395163</v>
      </c>
      <c r="D23115" s="1" t="s">
        <v>0</v>
      </c>
      <c r="E23115" s="2">
        <v>0</v>
      </c>
      <c r="F23115" s="2">
        <v>0</v>
      </c>
      <c r="G23115" s="2">
        <v>0</v>
      </c>
      <c r="H23115" s="1" t="s">
        <v>0</v>
      </c>
      <c r="I23115" s="2">
        <v>0</v>
      </c>
      <c r="J23115" s="1">
        <v>45995.43855324074</v>
      </c>
    </row>
    <row r="23116" spans="1:10" x14ac:dyDescent="0.2">
      <c r="A23116" s="4" t="s">
        <v>1</v>
      </c>
      <c r="B2311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16" s="3" t="str">
        <f>HYPERLINK("https://otsuka-europe-crm.veevavault.com/ui/#object/sent_email__v/VBL00000000U599", "SE-001395164")</f>
        <v>SE-001395164</v>
      </c>
      <c r="D23116" s="1" t="s">
        <v>0</v>
      </c>
      <c r="E23116" s="2">
        <v>0</v>
      </c>
      <c r="F23116" s="2">
        <v>0</v>
      </c>
      <c r="G23116" s="2">
        <v>0</v>
      </c>
      <c r="H23116" s="1" t="s">
        <v>0</v>
      </c>
      <c r="I23116" s="2">
        <v>0</v>
      </c>
      <c r="J23116" s="1">
        <v>45995.438587962963</v>
      </c>
    </row>
    <row r="23117" spans="1:10" x14ac:dyDescent="0.2">
      <c r="A23117" s="4" t="s">
        <v>1</v>
      </c>
      <c r="B2311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17" s="3" t="str">
        <f>HYPERLINK("https://otsuka-europe-crm.veevavault.com/ui/#object/sent_email__v/VBL00000000U600", "SE-001395165")</f>
        <v>SE-001395165</v>
      </c>
      <c r="D23117" s="1" t="s">
        <v>0</v>
      </c>
      <c r="E23117" s="2">
        <v>0</v>
      </c>
      <c r="F23117" s="2">
        <v>0</v>
      </c>
      <c r="G23117" s="2">
        <v>0</v>
      </c>
      <c r="H23117" s="1" t="s">
        <v>0</v>
      </c>
      <c r="I23117" s="2">
        <v>0</v>
      </c>
      <c r="J23117" s="1">
        <v>45995.438634259262</v>
      </c>
    </row>
    <row r="23118" spans="1:10" x14ac:dyDescent="0.2">
      <c r="A23118" s="4" t="s">
        <v>1</v>
      </c>
      <c r="B2311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18" s="3" t="str">
        <f>HYPERLINK("https://otsuka-europe-crm.veevavault.com/ui/#object/sent_email__v/VBL00000000U601", "SE-001395166")</f>
        <v>SE-001395166</v>
      </c>
      <c r="D23118" s="1">
        <v>46008.801689814813</v>
      </c>
      <c r="E23118" s="2">
        <v>1</v>
      </c>
      <c r="F23118" s="2">
        <v>1</v>
      </c>
      <c r="G23118" s="2">
        <v>0</v>
      </c>
      <c r="H23118" s="1" t="s">
        <v>0</v>
      </c>
      <c r="I23118" s="2">
        <v>0</v>
      </c>
      <c r="J23118" s="1">
        <v>45995.438668981478</v>
      </c>
    </row>
    <row r="23119" spans="1:10" x14ac:dyDescent="0.2">
      <c r="A23119" s="4" t="s">
        <v>1</v>
      </c>
      <c r="B2311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19" s="3" t="str">
        <f>HYPERLINK("https://otsuka-europe-crm.veevavault.com/ui/#object/sent_email__v/VBL00000000U602", "SE-001395167")</f>
        <v>SE-001395167</v>
      </c>
      <c r="D23119" s="1">
        <v>45995.931944444441</v>
      </c>
      <c r="E23119" s="2">
        <v>1</v>
      </c>
      <c r="F23119" s="2">
        <v>1</v>
      </c>
      <c r="G23119" s="2">
        <v>0</v>
      </c>
      <c r="H23119" s="1" t="s">
        <v>0</v>
      </c>
      <c r="I23119" s="2">
        <v>0</v>
      </c>
      <c r="J23119" s="1">
        <v>45995.438703703701</v>
      </c>
    </row>
    <row r="23120" spans="1:10" x14ac:dyDescent="0.2">
      <c r="A23120" s="4" t="s">
        <v>1</v>
      </c>
      <c r="B2312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20" s="3" t="str">
        <f>HYPERLINK("https://otsuka-europe-crm.veevavault.com/ui/#object/sent_email__v/VBL00000000U603", "SE-001395168")</f>
        <v>SE-001395168</v>
      </c>
      <c r="D23120" s="1" t="s">
        <v>0</v>
      </c>
      <c r="E23120" s="2">
        <v>0</v>
      </c>
      <c r="F23120" s="2">
        <v>0</v>
      </c>
      <c r="G23120" s="2">
        <v>0</v>
      </c>
      <c r="H23120" s="1" t="s">
        <v>0</v>
      </c>
      <c r="I23120" s="2">
        <v>0</v>
      </c>
      <c r="J23120" s="1">
        <v>45995.438738425924</v>
      </c>
    </row>
    <row r="23121" spans="1:10" x14ac:dyDescent="0.2">
      <c r="A23121" s="4" t="s">
        <v>1</v>
      </c>
      <c r="B2312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21" s="3" t="str">
        <f>HYPERLINK("https://otsuka-europe-crm.veevavault.com/ui/#object/sent_email__v/VBL00000000U604", "SE-001395169")</f>
        <v>SE-001395169</v>
      </c>
      <c r="D23121" s="1" t="s">
        <v>0</v>
      </c>
      <c r="E23121" s="2">
        <v>0</v>
      </c>
      <c r="F23121" s="2">
        <v>0</v>
      </c>
      <c r="G23121" s="2">
        <v>0</v>
      </c>
      <c r="H23121" s="1" t="s">
        <v>0</v>
      </c>
      <c r="I23121" s="2">
        <v>0</v>
      </c>
      <c r="J23121" s="1">
        <v>45995.438784722224</v>
      </c>
    </row>
    <row r="23122" spans="1:10" x14ac:dyDescent="0.2">
      <c r="A23122" s="4" t="s">
        <v>1</v>
      </c>
      <c r="B2312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22" s="3" t="str">
        <f>HYPERLINK("https://otsuka-europe-crm.veevavault.com/ui/#object/sent_email__v/VBL00000000U605", "SE-001395170")</f>
        <v>SE-001395170</v>
      </c>
      <c r="D23122" s="1" t="s">
        <v>0</v>
      </c>
      <c r="E23122" s="2">
        <v>0</v>
      </c>
      <c r="F23122" s="2">
        <v>0</v>
      </c>
      <c r="G23122" s="2">
        <v>0</v>
      </c>
      <c r="H23122" s="1" t="s">
        <v>0</v>
      </c>
      <c r="I23122" s="2">
        <v>0</v>
      </c>
      <c r="J23122" s="1">
        <v>45995.438807870371</v>
      </c>
    </row>
    <row r="23123" spans="1:10" x14ac:dyDescent="0.2">
      <c r="A23123" s="4" t="s">
        <v>1</v>
      </c>
      <c r="B2312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23" s="3" t="str">
        <f>HYPERLINK("https://otsuka-europe-crm.veevavault.com/ui/#object/sent_email__v/VBL00000000U606", "SE-001395171")</f>
        <v>SE-001395171</v>
      </c>
      <c r="D23123" s="1" t="s">
        <v>0</v>
      </c>
      <c r="E23123" s="2">
        <v>0</v>
      </c>
      <c r="F23123" s="2">
        <v>0</v>
      </c>
      <c r="G23123" s="2">
        <v>0</v>
      </c>
      <c r="H23123" s="1" t="s">
        <v>0</v>
      </c>
      <c r="I23123" s="2">
        <v>0</v>
      </c>
      <c r="J23123" s="1">
        <v>45995.438854166663</v>
      </c>
    </row>
    <row r="23124" spans="1:10" x14ac:dyDescent="0.2">
      <c r="A23124" s="4" t="s">
        <v>1</v>
      </c>
      <c r="B2312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24" s="3" t="str">
        <f>HYPERLINK("https://otsuka-europe-crm.veevavault.com/ui/#object/sent_email__v/VBL00000000U607", "SE-001395172")</f>
        <v>SE-001395172</v>
      </c>
      <c r="D23124" s="1" t="s">
        <v>0</v>
      </c>
      <c r="E23124" s="2">
        <v>0</v>
      </c>
      <c r="F23124" s="2">
        <v>0</v>
      </c>
      <c r="G23124" s="2">
        <v>0</v>
      </c>
      <c r="H23124" s="1" t="s">
        <v>0</v>
      </c>
      <c r="I23124" s="2">
        <v>0</v>
      </c>
      <c r="J23124" s="1">
        <v>45995.43891203704</v>
      </c>
    </row>
    <row r="23125" spans="1:10" x14ac:dyDescent="0.2">
      <c r="A23125" s="4" t="s">
        <v>1</v>
      </c>
      <c r="B2312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25" s="3" t="str">
        <f>HYPERLINK("https://otsuka-europe-crm.veevavault.com/ui/#object/sent_email__v/VBL00000000U608", "SE-001395173")</f>
        <v>SE-001395173</v>
      </c>
      <c r="D23125" s="1" t="s">
        <v>0</v>
      </c>
      <c r="E23125" s="2">
        <v>0</v>
      </c>
      <c r="F23125" s="2">
        <v>0</v>
      </c>
      <c r="G23125" s="2">
        <v>0</v>
      </c>
      <c r="H23125" s="1" t="s">
        <v>0</v>
      </c>
      <c r="I23125" s="2">
        <v>0</v>
      </c>
      <c r="J23125" s="1">
        <v>45995.438993055555</v>
      </c>
    </row>
    <row r="23126" spans="1:10" x14ac:dyDescent="0.2">
      <c r="A23126" s="4" t="s">
        <v>1</v>
      </c>
      <c r="B2312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26" s="3" t="str">
        <f>HYPERLINK("https://otsuka-europe-crm.veevavault.com/ui/#object/sent_email__v/VBL00000000U609", "SE-001395174")</f>
        <v>SE-001395174</v>
      </c>
      <c r="D23126" s="1" t="s">
        <v>0</v>
      </c>
      <c r="E23126" s="2">
        <v>0</v>
      </c>
      <c r="F23126" s="2">
        <v>0</v>
      </c>
      <c r="G23126" s="2">
        <v>0</v>
      </c>
      <c r="H23126" s="1" t="s">
        <v>0</v>
      </c>
      <c r="I23126" s="2">
        <v>0</v>
      </c>
      <c r="J23126" s="1">
        <v>45995.439050925925</v>
      </c>
    </row>
    <row r="23127" spans="1:10" x14ac:dyDescent="0.2">
      <c r="A23127" s="4" t="s">
        <v>1</v>
      </c>
      <c r="B2312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27" s="3" t="str">
        <f>HYPERLINK("https://otsuka-europe-crm.veevavault.com/ui/#object/sent_email__v/VBL00000000U610", "SE-001395175")</f>
        <v>SE-001395175</v>
      </c>
      <c r="D23127" s="1" t="s">
        <v>0</v>
      </c>
      <c r="E23127" s="2">
        <v>0</v>
      </c>
      <c r="F23127" s="2">
        <v>0</v>
      </c>
      <c r="G23127" s="2">
        <v>0</v>
      </c>
      <c r="H23127" s="1" t="s">
        <v>0</v>
      </c>
      <c r="I23127" s="2">
        <v>0</v>
      </c>
      <c r="J23127" s="1">
        <v>45995.439108796294</v>
      </c>
    </row>
    <row r="23128" spans="1:10" x14ac:dyDescent="0.2">
      <c r="A23128" s="4" t="s">
        <v>1</v>
      </c>
      <c r="B2312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28" s="3" t="str">
        <f>HYPERLINK("https://otsuka-europe-crm.veevavault.com/ui/#object/sent_email__v/VBL00000000U611", "SE-001395176")</f>
        <v>SE-001395176</v>
      </c>
      <c r="D23128" s="1">
        <v>45995.58902777778</v>
      </c>
      <c r="E23128" s="2">
        <v>1</v>
      </c>
      <c r="F23128" s="2">
        <v>1</v>
      </c>
      <c r="G23128" s="2">
        <v>1</v>
      </c>
      <c r="H23128" s="1">
        <v>45995.589143518519</v>
      </c>
      <c r="I23128" s="2">
        <v>1</v>
      </c>
      <c r="J23128" s="1">
        <v>45995.439189814817</v>
      </c>
    </row>
    <row r="23129" spans="1:10" x14ac:dyDescent="0.2">
      <c r="A23129" s="4" t="s">
        <v>1</v>
      </c>
      <c r="B2312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29" s="3" t="str">
        <f>HYPERLINK("https://otsuka-europe-crm.veevavault.com/ui/#object/sent_email__v/VBL00000000U612", "SE-001395177")</f>
        <v>SE-001395177</v>
      </c>
      <c r="D23129" s="1" t="s">
        <v>0</v>
      </c>
      <c r="E23129" s="2">
        <v>0</v>
      </c>
      <c r="F23129" s="2">
        <v>0</v>
      </c>
      <c r="G23129" s="2">
        <v>0</v>
      </c>
      <c r="H23129" s="1" t="s">
        <v>0</v>
      </c>
      <c r="I23129" s="2">
        <v>0</v>
      </c>
      <c r="J23129" s="1">
        <v>45995.439247685186</v>
      </c>
    </row>
    <row r="23130" spans="1:10" x14ac:dyDescent="0.2">
      <c r="A23130" s="4" t="s">
        <v>1</v>
      </c>
      <c r="B2313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30" s="3" t="str">
        <f>HYPERLINK("https://otsuka-europe-crm.veevavault.com/ui/#object/sent_email__v/VBL00000000U613", "SE-001395178")</f>
        <v>SE-001395178</v>
      </c>
      <c r="D23130" s="1">
        <v>45995.928622685184</v>
      </c>
      <c r="E23130" s="2">
        <v>1</v>
      </c>
      <c r="F23130" s="2">
        <v>1</v>
      </c>
      <c r="G23130" s="2">
        <v>0</v>
      </c>
      <c r="H23130" s="1" t="s">
        <v>0</v>
      </c>
      <c r="I23130" s="2">
        <v>0</v>
      </c>
      <c r="J23130" s="1">
        <v>45995.439317129632</v>
      </c>
    </row>
    <row r="23131" spans="1:10" x14ac:dyDescent="0.2">
      <c r="A23131" s="4" t="s">
        <v>1</v>
      </c>
      <c r="B2313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31" s="3" t="str">
        <f>HYPERLINK("https://otsuka-europe-crm.veevavault.com/ui/#object/sent_email__v/VBL00000000U614", "SE-001395179")</f>
        <v>SE-001395179</v>
      </c>
      <c r="D23131" s="1" t="s">
        <v>0</v>
      </c>
      <c r="E23131" s="2">
        <v>0</v>
      </c>
      <c r="F23131" s="2">
        <v>0</v>
      </c>
      <c r="G23131" s="2">
        <v>0</v>
      </c>
      <c r="H23131" s="1" t="s">
        <v>0</v>
      </c>
      <c r="I23131" s="2">
        <v>0</v>
      </c>
      <c r="J23131" s="1">
        <v>45995.439398148148</v>
      </c>
    </row>
    <row r="23132" spans="1:10" x14ac:dyDescent="0.2">
      <c r="A23132" s="4" t="s">
        <v>1</v>
      </c>
      <c r="B2313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32" s="3" t="str">
        <f>HYPERLINK("https://otsuka-europe-crm.veevavault.com/ui/#object/sent_email__v/VBL00000000U615", "SE-001395180")</f>
        <v>SE-001395180</v>
      </c>
      <c r="D23132" s="1" t="s">
        <v>0</v>
      </c>
      <c r="E23132" s="2">
        <v>0</v>
      </c>
      <c r="F23132" s="2">
        <v>0</v>
      </c>
      <c r="G23132" s="2">
        <v>0</v>
      </c>
      <c r="H23132" s="1" t="s">
        <v>0</v>
      </c>
      <c r="I23132" s="2">
        <v>0</v>
      </c>
      <c r="J23132" s="1">
        <v>45995.439444444448</v>
      </c>
    </row>
    <row r="23133" spans="1:10" x14ac:dyDescent="0.2">
      <c r="A23133" s="4" t="s">
        <v>1</v>
      </c>
      <c r="B2313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33" s="3" t="str">
        <f>HYPERLINK("https://otsuka-europe-crm.veevavault.com/ui/#object/sent_email__v/VBL00000000U616", "SE-001395181")</f>
        <v>SE-001395181</v>
      </c>
      <c r="D23133" s="1">
        <v>45996.792592592596</v>
      </c>
      <c r="E23133" s="2">
        <v>1</v>
      </c>
      <c r="F23133" s="2">
        <v>4</v>
      </c>
      <c r="G23133" s="2">
        <v>0</v>
      </c>
      <c r="H23133" s="1" t="s">
        <v>0</v>
      </c>
      <c r="I23133" s="2">
        <v>0</v>
      </c>
      <c r="J23133" s="1">
        <v>45995.439513888887</v>
      </c>
    </row>
    <row r="23134" spans="1:10" x14ac:dyDescent="0.2">
      <c r="A23134" s="4" t="s">
        <v>1</v>
      </c>
      <c r="B2313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34" s="3" t="str">
        <f>HYPERLINK("https://otsuka-europe-crm.veevavault.com/ui/#object/sent_email__v/VBL00000000U617", "SE-001395182")</f>
        <v>SE-001395182</v>
      </c>
      <c r="D23134" s="1" t="s">
        <v>0</v>
      </c>
      <c r="E23134" s="2">
        <v>0</v>
      </c>
      <c r="F23134" s="2">
        <v>0</v>
      </c>
      <c r="G23134" s="2">
        <v>0</v>
      </c>
      <c r="H23134" s="1" t="s">
        <v>0</v>
      </c>
      <c r="I23134" s="2">
        <v>0</v>
      </c>
      <c r="J23134" s="1">
        <v>45995.439583333333</v>
      </c>
    </row>
    <row r="23135" spans="1:10" x14ac:dyDescent="0.2">
      <c r="A23135" s="4" t="s">
        <v>1</v>
      </c>
      <c r="B2313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35" s="3" t="str">
        <f>HYPERLINK("https://otsuka-europe-crm.veevavault.com/ui/#object/sent_email__v/VBL00000000U618", "SE-001395183")</f>
        <v>SE-001395183</v>
      </c>
      <c r="D23135" s="1">
        <v>45996.003437500003</v>
      </c>
      <c r="E23135" s="2">
        <v>1</v>
      </c>
      <c r="F23135" s="2">
        <v>1</v>
      </c>
      <c r="G23135" s="2">
        <v>0</v>
      </c>
      <c r="H23135" s="1" t="s">
        <v>0</v>
      </c>
      <c r="I23135" s="2">
        <v>0</v>
      </c>
      <c r="J23135" s="1">
        <v>45995.439652777779</v>
      </c>
    </row>
    <row r="23136" spans="1:10" x14ac:dyDescent="0.2">
      <c r="A23136" s="4" t="s">
        <v>1</v>
      </c>
      <c r="B2313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36" s="3" t="str">
        <f>HYPERLINK("https://otsuka-europe-crm.veevavault.com/ui/#object/sent_email__v/VBL00000000U619", "SE-001395184")</f>
        <v>SE-001395184</v>
      </c>
      <c r="D23136" s="1">
        <v>45995.537905092591</v>
      </c>
      <c r="E23136" s="2">
        <v>1</v>
      </c>
      <c r="F23136" s="2">
        <v>2</v>
      </c>
      <c r="G23136" s="2">
        <v>0</v>
      </c>
      <c r="H23136" s="1" t="s">
        <v>0</v>
      </c>
      <c r="I23136" s="2">
        <v>0</v>
      </c>
      <c r="J23136" s="1">
        <v>45995.439710648148</v>
      </c>
    </row>
    <row r="23137" spans="1:10" x14ac:dyDescent="0.2">
      <c r="A23137" s="4" t="s">
        <v>1</v>
      </c>
      <c r="B2313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37" s="3" t="str">
        <f>HYPERLINK("https://otsuka-europe-crm.veevavault.com/ui/#object/sent_email__v/VBL00000000U620", "SE-001395185")</f>
        <v>SE-001395185</v>
      </c>
      <c r="D23137" s="1" t="s">
        <v>0</v>
      </c>
      <c r="E23137" s="2">
        <v>0</v>
      </c>
      <c r="F23137" s="2">
        <v>0</v>
      </c>
      <c r="G23137" s="2">
        <v>0</v>
      </c>
      <c r="H23137" s="1" t="s">
        <v>0</v>
      </c>
      <c r="I23137" s="2">
        <v>0</v>
      </c>
      <c r="J23137" s="1">
        <v>45995.439780092594</v>
      </c>
    </row>
    <row r="23138" spans="1:10" x14ac:dyDescent="0.2">
      <c r="A23138" s="4" t="s">
        <v>1</v>
      </c>
      <c r="B2313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38" s="3" t="str">
        <f>HYPERLINK("https://otsuka-europe-crm.veevavault.com/ui/#object/sent_email__v/VBL00000000U621", "SE-001395186")</f>
        <v>SE-001395186</v>
      </c>
      <c r="D23138" s="1" t="s">
        <v>0</v>
      </c>
      <c r="E23138" s="2">
        <v>0</v>
      </c>
      <c r="F23138" s="2">
        <v>0</v>
      </c>
      <c r="G23138" s="2">
        <v>0</v>
      </c>
      <c r="H23138" s="1" t="s">
        <v>0</v>
      </c>
      <c r="I23138" s="2">
        <v>0</v>
      </c>
      <c r="J23138" s="1">
        <v>45995.439849537041</v>
      </c>
    </row>
    <row r="23139" spans="1:10" x14ac:dyDescent="0.2">
      <c r="A23139" s="4" t="s">
        <v>1</v>
      </c>
      <c r="B2313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39" s="3" t="str">
        <f>HYPERLINK("https://otsuka-europe-crm.veevavault.com/ui/#object/sent_email__v/VBL00000000U622", "SE-001395187")</f>
        <v>SE-001395187</v>
      </c>
      <c r="D23139" s="1">
        <v>45995.606412037036</v>
      </c>
      <c r="E23139" s="2">
        <v>1</v>
      </c>
      <c r="F23139" s="2">
        <v>2</v>
      </c>
      <c r="G23139" s="2">
        <v>0</v>
      </c>
      <c r="H23139" s="1" t="s">
        <v>0</v>
      </c>
      <c r="I23139" s="2">
        <v>0</v>
      </c>
      <c r="J23139" s="1">
        <v>45995.439918981479</v>
      </c>
    </row>
    <row r="23140" spans="1:10" x14ac:dyDescent="0.2">
      <c r="A23140" s="4" t="s">
        <v>1</v>
      </c>
      <c r="B2314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40" s="3" t="str">
        <f>HYPERLINK("https://otsuka-europe-crm.veevavault.com/ui/#object/sent_email__v/VBL00000000U623", "SE-001395188")</f>
        <v>SE-001395188</v>
      </c>
      <c r="D23140" s="1" t="s">
        <v>0</v>
      </c>
      <c r="E23140" s="2">
        <v>0</v>
      </c>
      <c r="F23140" s="2">
        <v>0</v>
      </c>
      <c r="G23140" s="2">
        <v>0</v>
      </c>
      <c r="H23140" s="1" t="s">
        <v>0</v>
      </c>
      <c r="I23140" s="2">
        <v>0</v>
      </c>
      <c r="J23140" s="1">
        <v>45995.439988425926</v>
      </c>
    </row>
    <row r="23141" spans="1:10" x14ac:dyDescent="0.2">
      <c r="A23141" s="4" t="s">
        <v>1</v>
      </c>
      <c r="B2314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41" s="3" t="str">
        <f>HYPERLINK("https://otsuka-europe-crm.veevavault.com/ui/#object/sent_email__v/VBL00000000U624", "SE-001395189")</f>
        <v>SE-001395189</v>
      </c>
      <c r="D23141" s="1" t="s">
        <v>0</v>
      </c>
      <c r="E23141" s="2">
        <v>0</v>
      </c>
      <c r="F23141" s="2">
        <v>0</v>
      </c>
      <c r="G23141" s="2">
        <v>0</v>
      </c>
      <c r="H23141" s="1" t="s">
        <v>0</v>
      </c>
      <c r="I23141" s="2">
        <v>0</v>
      </c>
      <c r="J23141" s="1">
        <v>45995.440046296295</v>
      </c>
    </row>
    <row r="23142" spans="1:10" x14ac:dyDescent="0.2">
      <c r="A23142" s="4" t="s">
        <v>1</v>
      </c>
      <c r="B2314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42" s="3" t="str">
        <f>HYPERLINK("https://otsuka-europe-crm.veevavault.com/ui/#object/sent_email__v/VBL00000000U625", "SE-001395190")</f>
        <v>SE-001395190</v>
      </c>
      <c r="D23142" s="1" t="s">
        <v>0</v>
      </c>
      <c r="E23142" s="2">
        <v>0</v>
      </c>
      <c r="F23142" s="2">
        <v>0</v>
      </c>
      <c r="G23142" s="2">
        <v>0</v>
      </c>
      <c r="H23142" s="1" t="s">
        <v>0</v>
      </c>
      <c r="I23142" s="2">
        <v>0</v>
      </c>
      <c r="J23142" s="1">
        <v>45995.440104166664</v>
      </c>
    </row>
    <row r="23143" spans="1:10" x14ac:dyDescent="0.2">
      <c r="A23143" s="4" t="s">
        <v>1</v>
      </c>
      <c r="B2314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43" s="3" t="str">
        <f>HYPERLINK("https://otsuka-europe-crm.veevavault.com/ui/#object/sent_email__v/VBL00000000U626", "SE-001395191")</f>
        <v>SE-001395191</v>
      </c>
      <c r="D23143" s="1" t="s">
        <v>0</v>
      </c>
      <c r="E23143" s="2">
        <v>0</v>
      </c>
      <c r="F23143" s="2">
        <v>0</v>
      </c>
      <c r="G23143" s="2">
        <v>0</v>
      </c>
      <c r="H23143" s="1" t="s">
        <v>0</v>
      </c>
      <c r="I23143" s="2">
        <v>0</v>
      </c>
      <c r="J23143" s="1">
        <v>45995.44017361111</v>
      </c>
    </row>
    <row r="23144" spans="1:10" x14ac:dyDescent="0.2">
      <c r="A23144" s="4" t="s">
        <v>1</v>
      </c>
      <c r="B2314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44" s="3" t="str">
        <f>HYPERLINK("https://otsuka-europe-crm.veevavault.com/ui/#object/sent_email__v/VBL00000000U627", "SE-001395192")</f>
        <v>SE-001395192</v>
      </c>
      <c r="D23144" s="1">
        <v>46001.526053240741</v>
      </c>
      <c r="E23144" s="2">
        <v>1</v>
      </c>
      <c r="F23144" s="2">
        <v>1</v>
      </c>
      <c r="G23144" s="2">
        <v>0</v>
      </c>
      <c r="H23144" s="1" t="s">
        <v>0</v>
      </c>
      <c r="I23144" s="2">
        <v>0</v>
      </c>
      <c r="J23144" s="1">
        <v>45995.440243055556</v>
      </c>
    </row>
    <row r="23145" spans="1:10" x14ac:dyDescent="0.2">
      <c r="A23145" s="4" t="s">
        <v>1</v>
      </c>
      <c r="B2314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45" s="3" t="str">
        <f>HYPERLINK("https://otsuka-europe-crm.veevavault.com/ui/#object/sent_email__v/VBL00000000U628", "SE-001395193")</f>
        <v>SE-001395193</v>
      </c>
      <c r="D23145" s="1" t="s">
        <v>0</v>
      </c>
      <c r="E23145" s="2">
        <v>0</v>
      </c>
      <c r="F23145" s="2">
        <v>0</v>
      </c>
      <c r="G23145" s="2">
        <v>0</v>
      </c>
      <c r="H23145" s="1" t="s">
        <v>0</v>
      </c>
      <c r="I23145" s="2">
        <v>0</v>
      </c>
      <c r="J23145" s="1">
        <v>45995.440300925926</v>
      </c>
    </row>
    <row r="23146" spans="1:10" x14ac:dyDescent="0.2">
      <c r="A23146" s="4" t="s">
        <v>1</v>
      </c>
      <c r="B2314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46" s="3" t="str">
        <f>HYPERLINK("https://otsuka-europe-crm.veevavault.com/ui/#object/sent_email__v/VBL00000000U629", "SE-001395194")</f>
        <v>SE-001395194</v>
      </c>
      <c r="D23146" s="1" t="s">
        <v>0</v>
      </c>
      <c r="E23146" s="2">
        <v>0</v>
      </c>
      <c r="F23146" s="2">
        <v>0</v>
      </c>
      <c r="G23146" s="2">
        <v>0</v>
      </c>
      <c r="H23146" s="1" t="s">
        <v>0</v>
      </c>
      <c r="I23146" s="2">
        <v>0</v>
      </c>
      <c r="J23146" s="1">
        <v>45995.440358796295</v>
      </c>
    </row>
    <row r="23147" spans="1:10" x14ac:dyDescent="0.2">
      <c r="A23147" s="4" t="s">
        <v>1</v>
      </c>
      <c r="B2314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47" s="3" t="str">
        <f>HYPERLINK("https://otsuka-europe-crm.veevavault.com/ui/#object/sent_email__v/VBL00000000U630", "SE-001395195")</f>
        <v>SE-001395195</v>
      </c>
      <c r="D23147" s="1" t="s">
        <v>0</v>
      </c>
      <c r="E23147" s="2">
        <v>0</v>
      </c>
      <c r="F23147" s="2">
        <v>0</v>
      </c>
      <c r="G23147" s="2">
        <v>0</v>
      </c>
      <c r="H23147" s="1" t="s">
        <v>0</v>
      </c>
      <c r="I23147" s="2">
        <v>0</v>
      </c>
      <c r="J23147" s="1">
        <v>45995.440439814818</v>
      </c>
    </row>
    <row r="23148" spans="1:10" x14ac:dyDescent="0.2">
      <c r="A23148" s="4" t="s">
        <v>1</v>
      </c>
      <c r="B2314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48" s="3" t="str">
        <f>HYPERLINK("https://otsuka-europe-crm.veevavault.com/ui/#object/sent_email__v/VBL00000000U631", "SE-001395196")</f>
        <v>SE-001395196</v>
      </c>
      <c r="D23148" s="1">
        <v>45995.644942129627</v>
      </c>
      <c r="E23148" s="2">
        <v>1</v>
      </c>
      <c r="F23148" s="2">
        <v>1</v>
      </c>
      <c r="G23148" s="2">
        <v>0</v>
      </c>
      <c r="H23148" s="1" t="s">
        <v>0</v>
      </c>
      <c r="I23148" s="2">
        <v>0</v>
      </c>
      <c r="J23148" s="1">
        <v>45995.440497685187</v>
      </c>
    </row>
    <row r="23149" spans="1:10" x14ac:dyDescent="0.2">
      <c r="A23149" s="4" t="s">
        <v>1</v>
      </c>
      <c r="B2314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49" s="3" t="str">
        <f>HYPERLINK("https://otsuka-europe-crm.veevavault.com/ui/#object/sent_email__v/VBL00000000U632", "SE-001395197")</f>
        <v>SE-001395197</v>
      </c>
      <c r="D23149" s="1" t="s">
        <v>0</v>
      </c>
      <c r="E23149" s="2">
        <v>0</v>
      </c>
      <c r="F23149" s="2">
        <v>0</v>
      </c>
      <c r="G23149" s="2">
        <v>0</v>
      </c>
      <c r="H23149" s="1" t="s">
        <v>0</v>
      </c>
      <c r="I23149" s="2">
        <v>0</v>
      </c>
      <c r="J23149" s="1">
        <v>45995.440567129626</v>
      </c>
    </row>
    <row r="23150" spans="1:10" x14ac:dyDescent="0.2">
      <c r="A23150" s="4" t="s">
        <v>1</v>
      </c>
      <c r="B2315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50" s="3" t="str">
        <f>HYPERLINK("https://otsuka-europe-crm.veevavault.com/ui/#object/sent_email__v/VBL00000000U633", "SE-001395198")</f>
        <v>SE-001395198</v>
      </c>
      <c r="D23150" s="1" t="s">
        <v>0</v>
      </c>
      <c r="E23150" s="2">
        <v>0</v>
      </c>
      <c r="F23150" s="2">
        <v>0</v>
      </c>
      <c r="G23150" s="2">
        <v>0</v>
      </c>
      <c r="H23150" s="1" t="s">
        <v>0</v>
      </c>
      <c r="I23150" s="2">
        <v>0</v>
      </c>
      <c r="J23150" s="1">
        <v>45995.440625000003</v>
      </c>
    </row>
    <row r="23151" spans="1:10" x14ac:dyDescent="0.2">
      <c r="A23151" s="4" t="s">
        <v>1</v>
      </c>
      <c r="B2315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51" s="3" t="str">
        <f>HYPERLINK("https://otsuka-europe-crm.veevavault.com/ui/#object/sent_email__v/VBL00000000U634", "SE-001395199")</f>
        <v>SE-001395199</v>
      </c>
      <c r="D23151" s="1" t="s">
        <v>0</v>
      </c>
      <c r="E23151" s="2">
        <v>0</v>
      </c>
      <c r="F23151" s="2">
        <v>0</v>
      </c>
      <c r="G23151" s="2">
        <v>0</v>
      </c>
      <c r="H23151" s="1" t="s">
        <v>0</v>
      </c>
      <c r="I23151" s="2">
        <v>0</v>
      </c>
      <c r="J23151" s="1">
        <v>45995.440694444442</v>
      </c>
    </row>
    <row r="23152" spans="1:10" x14ac:dyDescent="0.2">
      <c r="A23152" s="4" t="s">
        <v>1</v>
      </c>
      <c r="B2315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52" s="3" t="str">
        <f>HYPERLINK("https://otsuka-europe-crm.veevavault.com/ui/#object/sent_email__v/VBL00000000U635", "SE-001395200")</f>
        <v>SE-001395200</v>
      </c>
      <c r="D23152" s="1" t="s">
        <v>0</v>
      </c>
      <c r="E23152" s="2">
        <v>0</v>
      </c>
      <c r="F23152" s="2">
        <v>0</v>
      </c>
      <c r="G23152" s="2">
        <v>0</v>
      </c>
      <c r="H23152" s="1" t="s">
        <v>0</v>
      </c>
      <c r="I23152" s="2">
        <v>0</v>
      </c>
      <c r="J23152" s="1">
        <v>45995.440752314818</v>
      </c>
    </row>
    <row r="23153" spans="1:10" x14ac:dyDescent="0.2">
      <c r="A23153" s="4" t="s">
        <v>1</v>
      </c>
      <c r="B2315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53" s="3" t="str">
        <f>HYPERLINK("https://otsuka-europe-crm.veevavault.com/ui/#object/sent_email__v/VBL00000000U636", "SE-001395201")</f>
        <v>SE-001395201</v>
      </c>
      <c r="D23153" s="1">
        <v>45995.455439814818</v>
      </c>
      <c r="E23153" s="2">
        <v>1</v>
      </c>
      <c r="F23153" s="2">
        <v>1</v>
      </c>
      <c r="G23153" s="2">
        <v>0</v>
      </c>
      <c r="H23153" s="1" t="s">
        <v>0</v>
      </c>
      <c r="I23153" s="2">
        <v>0</v>
      </c>
      <c r="J23153" s="1">
        <v>45995.440810185188</v>
      </c>
    </row>
    <row r="23154" spans="1:10" x14ac:dyDescent="0.2">
      <c r="A23154" s="4" t="s">
        <v>1</v>
      </c>
      <c r="B2315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54" s="3" t="str">
        <f>HYPERLINK("https://otsuka-europe-crm.veevavault.com/ui/#object/sent_email__v/VBL00000000U637", "SE-001395202")</f>
        <v>SE-001395202</v>
      </c>
      <c r="D23154" s="1" t="s">
        <v>0</v>
      </c>
      <c r="E23154" s="2">
        <v>0</v>
      </c>
      <c r="F23154" s="2">
        <v>0</v>
      </c>
      <c r="G23154" s="2">
        <v>0</v>
      </c>
      <c r="H23154" s="1" t="s">
        <v>0</v>
      </c>
      <c r="I23154" s="2">
        <v>0</v>
      </c>
      <c r="J23154" s="1">
        <v>45995.440879629627</v>
      </c>
    </row>
    <row r="23155" spans="1:10" x14ac:dyDescent="0.2">
      <c r="A23155" s="4" t="s">
        <v>1</v>
      </c>
      <c r="B2315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55" s="3" t="str">
        <f>HYPERLINK("https://otsuka-europe-crm.veevavault.com/ui/#object/sent_email__v/VBL00000000U638", "SE-001395203")</f>
        <v>SE-001395203</v>
      </c>
      <c r="D23155" s="1">
        <v>45996.308865740742</v>
      </c>
      <c r="E23155" s="2">
        <v>1</v>
      </c>
      <c r="F23155" s="2">
        <v>1</v>
      </c>
      <c r="G23155" s="2">
        <v>0</v>
      </c>
      <c r="H23155" s="1" t="s">
        <v>0</v>
      </c>
      <c r="I23155" s="2">
        <v>0</v>
      </c>
      <c r="J23155" s="1">
        <v>45995.440937500003</v>
      </c>
    </row>
    <row r="23156" spans="1:10" x14ac:dyDescent="0.2">
      <c r="A23156" s="4" t="s">
        <v>1</v>
      </c>
      <c r="B2315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56" s="3" t="str">
        <f>HYPERLINK("https://otsuka-europe-crm.veevavault.com/ui/#object/sent_email__v/VBL00000000U639", "SE-001395204")</f>
        <v>SE-001395204</v>
      </c>
      <c r="D23156" s="1">
        <v>45998.857627314814</v>
      </c>
      <c r="E23156" s="2">
        <v>1</v>
      </c>
      <c r="F23156" s="2">
        <v>1</v>
      </c>
      <c r="G23156" s="2">
        <v>0</v>
      </c>
      <c r="H23156" s="1" t="s">
        <v>0</v>
      </c>
      <c r="I23156" s="2">
        <v>0</v>
      </c>
      <c r="J23156" s="1">
        <v>45995.440983796296</v>
      </c>
    </row>
    <row r="23157" spans="1:10" x14ac:dyDescent="0.2">
      <c r="A23157" s="4" t="s">
        <v>1</v>
      </c>
      <c r="B2315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57" s="3" t="str">
        <f>HYPERLINK("https://otsuka-europe-crm.veevavault.com/ui/#object/sent_email__v/VBL00000000U640", "SE-001395205")</f>
        <v>SE-001395205</v>
      </c>
      <c r="D23157" s="1">
        <v>45995.512071759258</v>
      </c>
      <c r="E23157" s="2">
        <v>1</v>
      </c>
      <c r="F23157" s="2">
        <v>2</v>
      </c>
      <c r="G23157" s="2">
        <v>0</v>
      </c>
      <c r="H23157" s="1" t="s">
        <v>0</v>
      </c>
      <c r="I23157" s="2">
        <v>0</v>
      </c>
      <c r="J23157" s="1">
        <v>45995.441006944442</v>
      </c>
    </row>
    <row r="23158" spans="1:10" x14ac:dyDescent="0.2">
      <c r="A23158" s="4" t="s">
        <v>1</v>
      </c>
      <c r="B2315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58" s="3" t="str">
        <f>HYPERLINK("https://otsuka-europe-crm.veevavault.com/ui/#object/sent_email__v/VBL00000000U641", "SE-001395206")</f>
        <v>SE-001395206</v>
      </c>
      <c r="D23158" s="1" t="s">
        <v>0</v>
      </c>
      <c r="E23158" s="2">
        <v>0</v>
      </c>
      <c r="F23158" s="2">
        <v>0</v>
      </c>
      <c r="G23158" s="2">
        <v>0</v>
      </c>
      <c r="H23158" s="1" t="s">
        <v>0</v>
      </c>
      <c r="I23158" s="2">
        <v>0</v>
      </c>
      <c r="J23158" s="1">
        <v>45995.441053240742</v>
      </c>
    </row>
    <row r="23159" spans="1:10" x14ac:dyDescent="0.2">
      <c r="A23159" s="4" t="s">
        <v>1</v>
      </c>
      <c r="B2315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59" s="3" t="str">
        <f>HYPERLINK("https://otsuka-europe-crm.veevavault.com/ui/#object/sent_email__v/VBL00000000U642", "SE-001395207")</f>
        <v>SE-001395207</v>
      </c>
      <c r="D23159" s="1" t="s">
        <v>0</v>
      </c>
      <c r="E23159" s="2">
        <v>0</v>
      </c>
      <c r="F23159" s="2">
        <v>0</v>
      </c>
      <c r="G23159" s="2">
        <v>0</v>
      </c>
      <c r="H23159" s="1" t="s">
        <v>0</v>
      </c>
      <c r="I23159" s="2">
        <v>0</v>
      </c>
      <c r="J23159" s="1">
        <v>45995.441087962965</v>
      </c>
    </row>
    <row r="23160" spans="1:10" x14ac:dyDescent="0.2">
      <c r="A23160" s="4" t="s">
        <v>1</v>
      </c>
      <c r="B2316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60" s="3" t="str">
        <f>HYPERLINK("https://otsuka-europe-crm.veevavault.com/ui/#object/sent_email__v/VBL00000000W351", "SE-001396193")</f>
        <v>SE-001396193</v>
      </c>
      <c r="D23160" s="1" t="s">
        <v>0</v>
      </c>
      <c r="E23160" s="2">
        <v>0</v>
      </c>
      <c r="F23160" s="2">
        <v>0</v>
      </c>
      <c r="G23160" s="2">
        <v>0</v>
      </c>
      <c r="H23160" s="1" t="s">
        <v>0</v>
      </c>
      <c r="I23160" s="2">
        <v>0</v>
      </c>
      <c r="J23160" s="1">
        <v>46002.553900462961</v>
      </c>
    </row>
    <row r="23161" spans="1:10" x14ac:dyDescent="0.2">
      <c r="A23161" s="4" t="s">
        <v>1</v>
      </c>
      <c r="B2316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61" s="3" t="str">
        <f>HYPERLINK("https://otsuka-europe-crm.veevavault.com/ui/#object/sent_email__v/VBL00000000W352", "SE-001396194")</f>
        <v>SE-001396194</v>
      </c>
      <c r="D23161" s="1" t="s">
        <v>0</v>
      </c>
      <c r="E23161" s="2">
        <v>0</v>
      </c>
      <c r="F23161" s="2">
        <v>0</v>
      </c>
      <c r="G23161" s="2">
        <v>0</v>
      </c>
      <c r="H23161" s="1" t="s">
        <v>0</v>
      </c>
      <c r="I23161" s="2">
        <v>0</v>
      </c>
      <c r="J23161" s="1">
        <v>46002.553900462961</v>
      </c>
    </row>
    <row r="23162" spans="1:10" x14ac:dyDescent="0.2">
      <c r="A23162" s="4" t="s">
        <v>1</v>
      </c>
      <c r="B2316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62" s="3" t="str">
        <f>HYPERLINK("https://otsuka-europe-crm.veevavault.com/ui/#object/sent_email__v/VBL00000000W353", "SE-001396195")</f>
        <v>SE-001396195</v>
      </c>
      <c r="D23162" s="1" t="s">
        <v>0</v>
      </c>
      <c r="E23162" s="2">
        <v>0</v>
      </c>
      <c r="F23162" s="2">
        <v>0</v>
      </c>
      <c r="G23162" s="2">
        <v>0</v>
      </c>
      <c r="H23162" s="1" t="s">
        <v>0</v>
      </c>
      <c r="I23162" s="2">
        <v>0</v>
      </c>
      <c r="J23162" s="1">
        <v>46002.553900462961</v>
      </c>
    </row>
    <row r="23163" spans="1:10" x14ac:dyDescent="0.2">
      <c r="A23163" s="4" t="s">
        <v>1</v>
      </c>
      <c r="B2316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63" s="3" t="str">
        <f>HYPERLINK("https://otsuka-europe-crm.veevavault.com/ui/#object/sent_email__v/VBL00000000W354", "SE-001396196")</f>
        <v>SE-001396196</v>
      </c>
      <c r="D23163" s="1" t="s">
        <v>0</v>
      </c>
      <c r="E23163" s="2">
        <v>0</v>
      </c>
      <c r="F23163" s="2">
        <v>0</v>
      </c>
      <c r="G23163" s="2">
        <v>0</v>
      </c>
      <c r="H23163" s="1" t="s">
        <v>0</v>
      </c>
      <c r="I23163" s="2">
        <v>0</v>
      </c>
      <c r="J23163" s="1">
        <v>46002.553900462961</v>
      </c>
    </row>
    <row r="23164" spans="1:10" x14ac:dyDescent="0.2">
      <c r="A23164" s="4" t="s">
        <v>1</v>
      </c>
      <c r="B2316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64" s="3" t="str">
        <f>HYPERLINK("https://otsuka-europe-crm.veevavault.com/ui/#object/sent_email__v/VBL00000000W355", "SE-001396197")</f>
        <v>SE-001396197</v>
      </c>
      <c r="D23164" s="1" t="s">
        <v>0</v>
      </c>
      <c r="E23164" s="2">
        <v>0</v>
      </c>
      <c r="F23164" s="2">
        <v>0</v>
      </c>
      <c r="G23164" s="2">
        <v>0</v>
      </c>
      <c r="H23164" s="1" t="s">
        <v>0</v>
      </c>
      <c r="I23164" s="2">
        <v>0</v>
      </c>
      <c r="J23164" s="1">
        <v>46002.553912037038</v>
      </c>
    </row>
    <row r="23165" spans="1:10" x14ac:dyDescent="0.2">
      <c r="A23165" s="4" t="s">
        <v>1</v>
      </c>
      <c r="B2316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65" s="3" t="str">
        <f>HYPERLINK("https://otsuka-europe-crm.veevavault.com/ui/#object/sent_email__v/VBL00000000W356", "SE-001396198")</f>
        <v>SE-001396198</v>
      </c>
      <c r="D23165" s="1" t="s">
        <v>0</v>
      </c>
      <c r="E23165" s="2">
        <v>0</v>
      </c>
      <c r="F23165" s="2">
        <v>0</v>
      </c>
      <c r="G23165" s="2">
        <v>0</v>
      </c>
      <c r="H23165" s="1" t="s">
        <v>0</v>
      </c>
      <c r="I23165" s="2">
        <v>0</v>
      </c>
      <c r="J23165" s="1">
        <v>46002.553900462961</v>
      </c>
    </row>
    <row r="23166" spans="1:10" x14ac:dyDescent="0.2">
      <c r="A23166" s="4" t="s">
        <v>1</v>
      </c>
      <c r="B2316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66" s="3" t="str">
        <f>HYPERLINK("https://otsuka-europe-crm.veevavault.com/ui/#object/sent_email__v/VBL00000000W357", "SE-001396199")</f>
        <v>SE-001396199</v>
      </c>
      <c r="D23166" s="1" t="s">
        <v>0</v>
      </c>
      <c r="E23166" s="2">
        <v>0</v>
      </c>
      <c r="F23166" s="2">
        <v>0</v>
      </c>
      <c r="G23166" s="2">
        <v>0</v>
      </c>
      <c r="H23166" s="1" t="s">
        <v>0</v>
      </c>
      <c r="I23166" s="2">
        <v>0</v>
      </c>
      <c r="J23166" s="1">
        <v>46002.553900462961</v>
      </c>
    </row>
    <row r="23167" spans="1:10" x14ac:dyDescent="0.2">
      <c r="A23167" s="4" t="s">
        <v>1</v>
      </c>
      <c r="B2316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67" s="3" t="str">
        <f>HYPERLINK("https://otsuka-europe-crm.veevavault.com/ui/#object/sent_email__v/VBL00000000W358", "SE-001396200")</f>
        <v>SE-001396200</v>
      </c>
      <c r="D23167" s="1" t="s">
        <v>0</v>
      </c>
      <c r="E23167" s="2">
        <v>0</v>
      </c>
      <c r="F23167" s="2">
        <v>0</v>
      </c>
      <c r="G23167" s="2">
        <v>0</v>
      </c>
      <c r="H23167" s="1" t="s">
        <v>0</v>
      </c>
      <c r="I23167" s="2">
        <v>0</v>
      </c>
      <c r="J23167" s="1">
        <v>46002.553900462961</v>
      </c>
    </row>
    <row r="23168" spans="1:10" x14ac:dyDescent="0.2">
      <c r="A23168" s="4" t="s">
        <v>1</v>
      </c>
      <c r="B2316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68" s="3" t="str">
        <f>HYPERLINK("https://otsuka-europe-crm.veevavault.com/ui/#object/sent_email__v/VBL00000000W359", "SE-001396201")</f>
        <v>SE-001396201</v>
      </c>
      <c r="D23168" s="1" t="s">
        <v>0</v>
      </c>
      <c r="E23168" s="2">
        <v>0</v>
      </c>
      <c r="F23168" s="2">
        <v>0</v>
      </c>
      <c r="G23168" s="2">
        <v>0</v>
      </c>
      <c r="H23168" s="1" t="s">
        <v>0</v>
      </c>
      <c r="I23168" s="2">
        <v>0</v>
      </c>
      <c r="J23168" s="1">
        <v>46002.553900462961</v>
      </c>
    </row>
    <row r="23169" spans="1:10" x14ac:dyDescent="0.2">
      <c r="A23169" s="4" t="s">
        <v>1</v>
      </c>
      <c r="B2316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69" s="3" t="str">
        <f>HYPERLINK("https://otsuka-europe-crm.veevavault.com/ui/#object/sent_email__v/VBL00000000W360", "SE-001396202")</f>
        <v>SE-001396202</v>
      </c>
      <c r="D23169" s="1" t="s">
        <v>0</v>
      </c>
      <c r="E23169" s="2">
        <v>0</v>
      </c>
      <c r="F23169" s="2">
        <v>0</v>
      </c>
      <c r="G23169" s="2">
        <v>0</v>
      </c>
      <c r="H23169" s="1" t="s">
        <v>0</v>
      </c>
      <c r="I23169" s="2">
        <v>0</v>
      </c>
      <c r="J23169" s="1">
        <v>46002.553900462961</v>
      </c>
    </row>
    <row r="23170" spans="1:10" x14ac:dyDescent="0.2">
      <c r="A23170" s="4" t="s">
        <v>1</v>
      </c>
      <c r="B2317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70" s="3" t="str">
        <f>HYPERLINK("https://otsuka-europe-crm.veevavault.com/ui/#object/sent_email__v/VBL00000000W361", "SE-001396203")</f>
        <v>SE-001396203</v>
      </c>
      <c r="D23170" s="1" t="s">
        <v>0</v>
      </c>
      <c r="E23170" s="2">
        <v>0</v>
      </c>
      <c r="F23170" s="2">
        <v>0</v>
      </c>
      <c r="G23170" s="2">
        <v>0</v>
      </c>
      <c r="H23170" s="1" t="s">
        <v>0</v>
      </c>
      <c r="I23170" s="2">
        <v>0</v>
      </c>
      <c r="J23170" s="1">
        <v>46002.553900462961</v>
      </c>
    </row>
    <row r="23171" spans="1:10" x14ac:dyDescent="0.2">
      <c r="A23171" s="4" t="s">
        <v>1</v>
      </c>
      <c r="B2317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71" s="3" t="str">
        <f>HYPERLINK("https://otsuka-europe-crm.veevavault.com/ui/#object/sent_email__v/VBL00000000W362", "SE-001396204")</f>
        <v>SE-001396204</v>
      </c>
      <c r="D23171" s="1" t="s">
        <v>0</v>
      </c>
      <c r="E23171" s="2">
        <v>0</v>
      </c>
      <c r="F23171" s="2">
        <v>0</v>
      </c>
      <c r="G23171" s="2">
        <v>0</v>
      </c>
      <c r="H23171" s="1" t="s">
        <v>0</v>
      </c>
      <c r="I23171" s="2">
        <v>0</v>
      </c>
      <c r="J23171" s="1">
        <v>46002.553923611114</v>
      </c>
    </row>
    <row r="23172" spans="1:10" x14ac:dyDescent="0.2">
      <c r="A23172" s="4" t="s">
        <v>1</v>
      </c>
      <c r="B2317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72" s="3" t="str">
        <f>HYPERLINK("https://otsuka-europe-crm.veevavault.com/ui/#object/sent_email__v/VBL00000000W363", "SE-001396205")</f>
        <v>SE-001396205</v>
      </c>
      <c r="D23172" s="1" t="s">
        <v>0</v>
      </c>
      <c r="E23172" s="2">
        <v>0</v>
      </c>
      <c r="F23172" s="2">
        <v>0</v>
      </c>
      <c r="G23172" s="2">
        <v>0</v>
      </c>
      <c r="H23172" s="1" t="s">
        <v>0</v>
      </c>
      <c r="I23172" s="2">
        <v>0</v>
      </c>
      <c r="J23172" s="1">
        <v>46002.553923611114</v>
      </c>
    </row>
    <row r="23173" spans="1:10" x14ac:dyDescent="0.2">
      <c r="A23173" s="4" t="s">
        <v>1</v>
      </c>
      <c r="B2317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73" s="3" t="str">
        <f>HYPERLINK("https://otsuka-europe-crm.veevavault.com/ui/#object/sent_email__v/VBL00000000W364", "SE-001396206")</f>
        <v>SE-001396206</v>
      </c>
      <c r="D23173" s="1" t="s">
        <v>0</v>
      </c>
      <c r="E23173" s="2">
        <v>0</v>
      </c>
      <c r="F23173" s="2">
        <v>0</v>
      </c>
      <c r="G23173" s="2">
        <v>0</v>
      </c>
      <c r="H23173" s="1" t="s">
        <v>0</v>
      </c>
      <c r="I23173" s="2">
        <v>0</v>
      </c>
      <c r="J23173" s="1">
        <v>46002.553923611114</v>
      </c>
    </row>
    <row r="23174" spans="1:10" x14ac:dyDescent="0.2">
      <c r="A23174" s="4" t="s">
        <v>1</v>
      </c>
      <c r="B2317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74" s="3" t="str">
        <f>HYPERLINK("https://otsuka-europe-crm.veevavault.com/ui/#object/sent_email__v/VBL00000000W365", "SE-001396207")</f>
        <v>SE-001396207</v>
      </c>
      <c r="D23174" s="1" t="s">
        <v>0</v>
      </c>
      <c r="E23174" s="2">
        <v>0</v>
      </c>
      <c r="F23174" s="2">
        <v>0</v>
      </c>
      <c r="G23174" s="2">
        <v>0</v>
      </c>
      <c r="H23174" s="1" t="s">
        <v>0</v>
      </c>
      <c r="I23174" s="2">
        <v>0</v>
      </c>
      <c r="J23174" s="1">
        <v>46002.553923611114</v>
      </c>
    </row>
    <row r="23175" spans="1:10" x14ac:dyDescent="0.2">
      <c r="A23175" s="4" t="s">
        <v>1</v>
      </c>
      <c r="B2317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75" s="3" t="str">
        <f>HYPERLINK("https://otsuka-europe-crm.veevavault.com/ui/#object/sent_email__v/VBL00000000W366", "SE-001396208")</f>
        <v>SE-001396208</v>
      </c>
      <c r="D23175" s="1" t="s">
        <v>0</v>
      </c>
      <c r="E23175" s="2">
        <v>0</v>
      </c>
      <c r="F23175" s="2">
        <v>0</v>
      </c>
      <c r="G23175" s="2">
        <v>0</v>
      </c>
      <c r="H23175" s="1" t="s">
        <v>0</v>
      </c>
      <c r="I23175" s="2">
        <v>0</v>
      </c>
      <c r="J23175" s="1">
        <v>46002.553923611114</v>
      </c>
    </row>
    <row r="23176" spans="1:10" x14ac:dyDescent="0.2">
      <c r="A23176" s="4" t="s">
        <v>1</v>
      </c>
      <c r="B2317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76" s="3" t="str">
        <f>HYPERLINK("https://otsuka-europe-crm.veevavault.com/ui/#object/sent_email__v/VBL00000000W367", "SE-001396209")</f>
        <v>SE-001396209</v>
      </c>
      <c r="D23176" s="1" t="s">
        <v>0</v>
      </c>
      <c r="E23176" s="2">
        <v>0</v>
      </c>
      <c r="F23176" s="2">
        <v>0</v>
      </c>
      <c r="G23176" s="2">
        <v>0</v>
      </c>
      <c r="H23176" s="1" t="s">
        <v>0</v>
      </c>
      <c r="I23176" s="2">
        <v>0</v>
      </c>
      <c r="J23176" s="1">
        <v>46002.553923611114</v>
      </c>
    </row>
    <row r="23177" spans="1:10" x14ac:dyDescent="0.2">
      <c r="A23177" s="4" t="s">
        <v>1</v>
      </c>
      <c r="B2317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77" s="3" t="str">
        <f>HYPERLINK("https://otsuka-europe-crm.veevavault.com/ui/#object/sent_email__v/VBL00000000W368", "SE-001396210")</f>
        <v>SE-001396210</v>
      </c>
      <c r="D23177" s="1" t="s">
        <v>0</v>
      </c>
      <c r="E23177" s="2">
        <v>0</v>
      </c>
      <c r="F23177" s="2">
        <v>0</v>
      </c>
      <c r="G23177" s="2">
        <v>0</v>
      </c>
      <c r="H23177" s="1" t="s">
        <v>0</v>
      </c>
      <c r="I23177" s="2">
        <v>0</v>
      </c>
      <c r="J23177" s="1">
        <v>46002.553923611114</v>
      </c>
    </row>
    <row r="23178" spans="1:10" x14ac:dyDescent="0.2">
      <c r="A23178" s="4" t="s">
        <v>1</v>
      </c>
      <c r="B2317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78" s="3" t="str">
        <f>HYPERLINK("https://otsuka-europe-crm.veevavault.com/ui/#object/sent_email__v/VBL00000000W369", "SE-001396211")</f>
        <v>SE-001396211</v>
      </c>
      <c r="D23178" s="1" t="s">
        <v>0</v>
      </c>
      <c r="E23178" s="2">
        <v>0</v>
      </c>
      <c r="F23178" s="2">
        <v>0</v>
      </c>
      <c r="G23178" s="2">
        <v>0</v>
      </c>
      <c r="H23178" s="1" t="s">
        <v>0</v>
      </c>
      <c r="I23178" s="2">
        <v>0</v>
      </c>
      <c r="J23178" s="1">
        <v>46002.553923611114</v>
      </c>
    </row>
    <row r="23179" spans="1:10" x14ac:dyDescent="0.2">
      <c r="A23179" s="4" t="s">
        <v>1</v>
      </c>
      <c r="B2317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79" s="3" t="str">
        <f>HYPERLINK("https://otsuka-europe-crm.veevavault.com/ui/#object/sent_email__v/VBL00000000W370", "SE-001396212")</f>
        <v>SE-001396212</v>
      </c>
      <c r="D23179" s="1" t="s">
        <v>0</v>
      </c>
      <c r="E23179" s="2">
        <v>0</v>
      </c>
      <c r="F23179" s="2">
        <v>0</v>
      </c>
      <c r="G23179" s="2">
        <v>0</v>
      </c>
      <c r="H23179" s="1" t="s">
        <v>0</v>
      </c>
      <c r="I23179" s="2">
        <v>0</v>
      </c>
      <c r="J23179" s="1">
        <v>46002.553923611114</v>
      </c>
    </row>
    <row r="23180" spans="1:10" x14ac:dyDescent="0.2">
      <c r="A23180" s="4" t="s">
        <v>1</v>
      </c>
      <c r="B2318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80" s="3" t="str">
        <f>HYPERLINK("https://otsuka-europe-crm.veevavault.com/ui/#object/sent_email__v/VBL00000000W371", "SE-001396213")</f>
        <v>SE-001396213</v>
      </c>
      <c r="D23180" s="1" t="s">
        <v>0</v>
      </c>
      <c r="E23180" s="2">
        <v>0</v>
      </c>
      <c r="F23180" s="2">
        <v>0</v>
      </c>
      <c r="G23180" s="2">
        <v>0</v>
      </c>
      <c r="H23180" s="1" t="s">
        <v>0</v>
      </c>
      <c r="I23180" s="2">
        <v>0</v>
      </c>
      <c r="J23180" s="1">
        <v>46002.553923611114</v>
      </c>
    </row>
    <row r="23181" spans="1:10" x14ac:dyDescent="0.2">
      <c r="A23181" s="4" t="s">
        <v>1</v>
      </c>
      <c r="B2318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81" s="3" t="str">
        <f>HYPERLINK("https://otsuka-europe-crm.veevavault.com/ui/#object/sent_email__v/VBL00000000W372", "SE-001396214")</f>
        <v>SE-001396214</v>
      </c>
      <c r="D23181" s="1" t="s">
        <v>0</v>
      </c>
      <c r="E23181" s="2">
        <v>0</v>
      </c>
      <c r="F23181" s="2">
        <v>0</v>
      </c>
      <c r="G23181" s="2">
        <v>0</v>
      </c>
      <c r="H23181" s="1" t="s">
        <v>0</v>
      </c>
      <c r="I23181" s="2">
        <v>0</v>
      </c>
      <c r="J23181" s="1">
        <v>46002.553923611114</v>
      </c>
    </row>
    <row r="23182" spans="1:10" x14ac:dyDescent="0.2">
      <c r="A23182" s="4" t="s">
        <v>1</v>
      </c>
      <c r="B2318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82" s="3" t="str">
        <f>HYPERLINK("https://otsuka-europe-crm.veevavault.com/ui/#object/sent_email__v/VBL00000000W373", "SE-001396215")</f>
        <v>SE-001396215</v>
      </c>
      <c r="D23182" s="1" t="s">
        <v>0</v>
      </c>
      <c r="E23182" s="2">
        <v>0</v>
      </c>
      <c r="F23182" s="2">
        <v>0</v>
      </c>
      <c r="G23182" s="2">
        <v>0</v>
      </c>
      <c r="H23182" s="1" t="s">
        <v>0</v>
      </c>
      <c r="I23182" s="2">
        <v>0</v>
      </c>
      <c r="J23182" s="1">
        <v>46002.553923611114</v>
      </c>
    </row>
    <row r="23183" spans="1:10" x14ac:dyDescent="0.2">
      <c r="A23183" s="4" t="s">
        <v>1</v>
      </c>
      <c r="B2318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83" s="3" t="str">
        <f>HYPERLINK("https://otsuka-europe-crm.veevavault.com/ui/#object/sent_email__v/VBL00000000W374", "SE-001396216")</f>
        <v>SE-001396216</v>
      </c>
      <c r="D23183" s="1" t="s">
        <v>0</v>
      </c>
      <c r="E23183" s="2">
        <v>0</v>
      </c>
      <c r="F23183" s="2">
        <v>0</v>
      </c>
      <c r="G23183" s="2">
        <v>0</v>
      </c>
      <c r="H23183" s="1" t="s">
        <v>0</v>
      </c>
      <c r="I23183" s="2">
        <v>0</v>
      </c>
      <c r="J23183" s="1">
        <v>46002.553923611114</v>
      </c>
    </row>
    <row r="23184" spans="1:10" x14ac:dyDescent="0.2">
      <c r="A23184" s="4" t="s">
        <v>1</v>
      </c>
      <c r="B2318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84" s="3" t="str">
        <f>HYPERLINK("https://otsuka-europe-crm.veevavault.com/ui/#object/sent_email__v/VBL00000000W375", "SE-001396217")</f>
        <v>SE-001396217</v>
      </c>
      <c r="D23184" s="1" t="s">
        <v>0</v>
      </c>
      <c r="E23184" s="2">
        <v>0</v>
      </c>
      <c r="F23184" s="2">
        <v>0</v>
      </c>
      <c r="G23184" s="2">
        <v>0</v>
      </c>
      <c r="H23184" s="1" t="s">
        <v>0</v>
      </c>
      <c r="I23184" s="2">
        <v>0</v>
      </c>
      <c r="J23184" s="1">
        <v>46002.553923611114</v>
      </c>
    </row>
    <row r="23185" spans="1:10" x14ac:dyDescent="0.2">
      <c r="A23185" s="4" t="s">
        <v>1</v>
      </c>
      <c r="B2318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85" s="3" t="str">
        <f>HYPERLINK("https://otsuka-europe-crm.veevavault.com/ui/#object/sent_email__v/VBL00000000W376", "SE-001396218")</f>
        <v>SE-001396218</v>
      </c>
      <c r="D23185" s="1" t="s">
        <v>0</v>
      </c>
      <c r="E23185" s="2">
        <v>0</v>
      </c>
      <c r="F23185" s="2">
        <v>0</v>
      </c>
      <c r="G23185" s="2">
        <v>0</v>
      </c>
      <c r="H23185" s="1" t="s">
        <v>0</v>
      </c>
      <c r="I23185" s="2">
        <v>0</v>
      </c>
      <c r="J23185" s="1">
        <v>46002.553923611114</v>
      </c>
    </row>
    <row r="23186" spans="1:10" x14ac:dyDescent="0.2">
      <c r="A23186" s="4" t="s">
        <v>1</v>
      </c>
      <c r="B2318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86" s="3" t="str">
        <f>HYPERLINK("https://otsuka-europe-crm.veevavault.com/ui/#object/sent_email__v/VBL00000000W377", "SE-001396219")</f>
        <v>SE-001396219</v>
      </c>
      <c r="D23186" s="1" t="s">
        <v>0</v>
      </c>
      <c r="E23186" s="2">
        <v>0</v>
      </c>
      <c r="F23186" s="2">
        <v>0</v>
      </c>
      <c r="G23186" s="2">
        <v>0</v>
      </c>
      <c r="H23186" s="1" t="s">
        <v>0</v>
      </c>
      <c r="I23186" s="2">
        <v>0</v>
      </c>
      <c r="J23186" s="1">
        <v>46002.553923611114</v>
      </c>
    </row>
    <row r="23187" spans="1:10" x14ac:dyDescent="0.2">
      <c r="A23187" s="4" t="s">
        <v>1</v>
      </c>
      <c r="B2318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87" s="3" t="str">
        <f>HYPERLINK("https://otsuka-europe-crm.veevavault.com/ui/#object/sent_email__v/VBL00000000W378", "SE-001396220")</f>
        <v>SE-001396220</v>
      </c>
      <c r="D23187" s="1" t="s">
        <v>0</v>
      </c>
      <c r="E23187" s="2">
        <v>0</v>
      </c>
      <c r="F23187" s="2">
        <v>0</v>
      </c>
      <c r="G23187" s="2">
        <v>0</v>
      </c>
      <c r="H23187" s="1" t="s">
        <v>0</v>
      </c>
      <c r="I23187" s="2">
        <v>0</v>
      </c>
      <c r="J23187" s="1">
        <v>46002.553923611114</v>
      </c>
    </row>
    <row r="23188" spans="1:10" x14ac:dyDescent="0.2">
      <c r="A23188" s="4" t="s">
        <v>1</v>
      </c>
      <c r="B2318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88" s="3" t="str">
        <f>HYPERLINK("https://otsuka-europe-crm.veevavault.com/ui/#object/sent_email__v/VBL00000000W379", "SE-001396221")</f>
        <v>SE-001396221</v>
      </c>
      <c r="D23188" s="1" t="s">
        <v>0</v>
      </c>
      <c r="E23188" s="2">
        <v>0</v>
      </c>
      <c r="F23188" s="2">
        <v>0</v>
      </c>
      <c r="G23188" s="2">
        <v>0</v>
      </c>
      <c r="H23188" s="1" t="s">
        <v>0</v>
      </c>
      <c r="I23188" s="2">
        <v>0</v>
      </c>
      <c r="J23188" s="1">
        <v>46002.553923611114</v>
      </c>
    </row>
    <row r="23189" spans="1:10" x14ac:dyDescent="0.2">
      <c r="A23189" s="4" t="s">
        <v>1</v>
      </c>
      <c r="B2318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89" s="3" t="str">
        <f>HYPERLINK("https://otsuka-europe-crm.veevavault.com/ui/#object/sent_email__v/VBL00000000W380", "SE-001396222")</f>
        <v>SE-001396222</v>
      </c>
      <c r="D23189" s="1" t="s">
        <v>0</v>
      </c>
      <c r="E23189" s="2">
        <v>0</v>
      </c>
      <c r="F23189" s="2">
        <v>0</v>
      </c>
      <c r="G23189" s="2">
        <v>0</v>
      </c>
      <c r="H23189" s="1" t="s">
        <v>0</v>
      </c>
      <c r="I23189" s="2">
        <v>0</v>
      </c>
      <c r="J23189" s="1">
        <v>46002.553935185184</v>
      </c>
    </row>
    <row r="23190" spans="1:10" x14ac:dyDescent="0.2">
      <c r="A23190" s="4" t="s">
        <v>1</v>
      </c>
      <c r="B2319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90" s="3" t="str">
        <f>HYPERLINK("https://otsuka-europe-crm.veevavault.com/ui/#object/sent_email__v/VBL00000000W381", "SE-001396223")</f>
        <v>SE-001396223</v>
      </c>
      <c r="D23190" s="1" t="s">
        <v>0</v>
      </c>
      <c r="E23190" s="2">
        <v>0</v>
      </c>
      <c r="F23190" s="2">
        <v>0</v>
      </c>
      <c r="G23190" s="2">
        <v>0</v>
      </c>
      <c r="H23190" s="1" t="s">
        <v>0</v>
      </c>
      <c r="I23190" s="2">
        <v>0</v>
      </c>
      <c r="J23190" s="1">
        <v>46002.553923611114</v>
      </c>
    </row>
    <row r="23191" spans="1:10" x14ac:dyDescent="0.2">
      <c r="A23191" s="4" t="s">
        <v>1</v>
      </c>
      <c r="B2319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91" s="3" t="str">
        <f>HYPERLINK("https://otsuka-europe-crm.veevavault.com/ui/#object/sent_email__v/VBL00000000W382", "SE-001396224")</f>
        <v>SE-001396224</v>
      </c>
      <c r="D23191" s="1" t="s">
        <v>0</v>
      </c>
      <c r="E23191" s="2">
        <v>0</v>
      </c>
      <c r="F23191" s="2">
        <v>0</v>
      </c>
      <c r="G23191" s="2">
        <v>0</v>
      </c>
      <c r="H23191" s="1" t="s">
        <v>0</v>
      </c>
      <c r="I23191" s="2">
        <v>0</v>
      </c>
      <c r="J23191" s="1">
        <v>46002.553923611114</v>
      </c>
    </row>
    <row r="23192" spans="1:10" x14ac:dyDescent="0.2">
      <c r="A23192" s="4" t="s">
        <v>1</v>
      </c>
      <c r="B2319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92" s="3" t="str">
        <f>HYPERLINK("https://otsuka-europe-crm.veevavault.com/ui/#object/sent_email__v/VBL00000000W383", "SE-001396225")</f>
        <v>SE-001396225</v>
      </c>
      <c r="D23192" s="1" t="s">
        <v>0</v>
      </c>
      <c r="E23192" s="2">
        <v>0</v>
      </c>
      <c r="F23192" s="2">
        <v>0</v>
      </c>
      <c r="G23192" s="2">
        <v>0</v>
      </c>
      <c r="H23192" s="1" t="s">
        <v>0</v>
      </c>
      <c r="I23192" s="2">
        <v>0</v>
      </c>
      <c r="J23192" s="1">
        <v>46002.553935185184</v>
      </c>
    </row>
    <row r="23193" spans="1:10" x14ac:dyDescent="0.2">
      <c r="A23193" s="4" t="s">
        <v>1</v>
      </c>
      <c r="B2319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93" s="3" t="str">
        <f>HYPERLINK("https://otsuka-europe-crm.veevavault.com/ui/#object/sent_email__v/VBL00000000W384", "SE-001396226")</f>
        <v>SE-001396226</v>
      </c>
      <c r="D23193" s="1" t="s">
        <v>0</v>
      </c>
      <c r="E23193" s="2">
        <v>0</v>
      </c>
      <c r="F23193" s="2">
        <v>0</v>
      </c>
      <c r="G23193" s="2">
        <v>0</v>
      </c>
      <c r="H23193" s="1" t="s">
        <v>0</v>
      </c>
      <c r="I23193" s="2">
        <v>0</v>
      </c>
      <c r="J23193" s="1">
        <v>46002.553935185184</v>
      </c>
    </row>
    <row r="23194" spans="1:10" x14ac:dyDescent="0.2">
      <c r="A23194" s="4" t="s">
        <v>1</v>
      </c>
      <c r="B2319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94" s="3" t="str">
        <f>HYPERLINK("https://otsuka-europe-crm.veevavault.com/ui/#object/sent_email__v/VBL00000000W385", "SE-001396227")</f>
        <v>SE-001396227</v>
      </c>
      <c r="D23194" s="1" t="s">
        <v>0</v>
      </c>
      <c r="E23194" s="2">
        <v>0</v>
      </c>
      <c r="F23194" s="2">
        <v>0</v>
      </c>
      <c r="G23194" s="2">
        <v>0</v>
      </c>
      <c r="H23194" s="1" t="s">
        <v>0</v>
      </c>
      <c r="I23194" s="2">
        <v>0</v>
      </c>
      <c r="J23194" s="1">
        <v>46002.553935185184</v>
      </c>
    </row>
    <row r="23195" spans="1:10" x14ac:dyDescent="0.2">
      <c r="A23195" s="4" t="s">
        <v>1</v>
      </c>
      <c r="B2319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95" s="3" t="str">
        <f>HYPERLINK("https://otsuka-europe-crm.veevavault.com/ui/#object/sent_email__v/VBL00000000W386", "SE-001396228")</f>
        <v>SE-001396228</v>
      </c>
      <c r="D23195" s="1" t="s">
        <v>0</v>
      </c>
      <c r="E23195" s="2">
        <v>0</v>
      </c>
      <c r="F23195" s="2">
        <v>0</v>
      </c>
      <c r="G23195" s="2">
        <v>0</v>
      </c>
      <c r="H23195" s="1" t="s">
        <v>0</v>
      </c>
      <c r="I23195" s="2">
        <v>0</v>
      </c>
      <c r="J23195" s="1">
        <v>46002.553935185184</v>
      </c>
    </row>
    <row r="23196" spans="1:10" x14ac:dyDescent="0.2">
      <c r="A23196" s="4" t="s">
        <v>1</v>
      </c>
      <c r="B2319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96" s="3" t="str">
        <f>HYPERLINK("https://otsuka-europe-crm.veevavault.com/ui/#object/sent_email__v/VBL00000000W387", "SE-001396229")</f>
        <v>SE-001396229</v>
      </c>
      <c r="D23196" s="1" t="s">
        <v>0</v>
      </c>
      <c r="E23196" s="2">
        <v>0</v>
      </c>
      <c r="F23196" s="2">
        <v>0</v>
      </c>
      <c r="G23196" s="2">
        <v>0</v>
      </c>
      <c r="H23196" s="1" t="s">
        <v>0</v>
      </c>
      <c r="I23196" s="2">
        <v>0</v>
      </c>
      <c r="J23196" s="1">
        <v>46002.553935185184</v>
      </c>
    </row>
    <row r="23197" spans="1:10" x14ac:dyDescent="0.2">
      <c r="A23197" s="4" t="s">
        <v>1</v>
      </c>
      <c r="B2319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97" s="3" t="str">
        <f>HYPERLINK("https://otsuka-europe-crm.veevavault.com/ui/#object/sent_email__v/VBL00000000W388", "SE-001396230")</f>
        <v>SE-001396230</v>
      </c>
      <c r="D23197" s="1" t="s">
        <v>0</v>
      </c>
      <c r="E23197" s="2">
        <v>0</v>
      </c>
      <c r="F23197" s="2">
        <v>0</v>
      </c>
      <c r="G23197" s="2">
        <v>0</v>
      </c>
      <c r="H23197" s="1" t="s">
        <v>0</v>
      </c>
      <c r="I23197" s="2">
        <v>0</v>
      </c>
      <c r="J23197" s="1">
        <v>46002.553935185184</v>
      </c>
    </row>
    <row r="23198" spans="1:10" x14ac:dyDescent="0.2">
      <c r="A23198" s="4" t="s">
        <v>1</v>
      </c>
      <c r="B2319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98" s="3" t="str">
        <f>HYPERLINK("https://otsuka-europe-crm.veevavault.com/ui/#object/sent_email__v/VBL00000000W389", "SE-001396231")</f>
        <v>SE-001396231</v>
      </c>
      <c r="D23198" s="1" t="s">
        <v>0</v>
      </c>
      <c r="E23198" s="2">
        <v>0</v>
      </c>
      <c r="F23198" s="2">
        <v>0</v>
      </c>
      <c r="G23198" s="2">
        <v>0</v>
      </c>
      <c r="H23198" s="1" t="s">
        <v>0</v>
      </c>
      <c r="I23198" s="2">
        <v>0</v>
      </c>
      <c r="J23198" s="1">
        <v>46002.553935185184</v>
      </c>
    </row>
    <row r="23199" spans="1:10" x14ac:dyDescent="0.2">
      <c r="A23199" s="4" t="s">
        <v>1</v>
      </c>
      <c r="B2319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199" s="3" t="str">
        <f>HYPERLINK("https://otsuka-europe-crm.veevavault.com/ui/#object/sent_email__v/VBL00000000W390", "SE-001396232")</f>
        <v>SE-001396232</v>
      </c>
      <c r="D23199" s="1" t="s">
        <v>0</v>
      </c>
      <c r="E23199" s="2">
        <v>0</v>
      </c>
      <c r="F23199" s="2">
        <v>0</v>
      </c>
      <c r="G23199" s="2">
        <v>0</v>
      </c>
      <c r="H23199" s="1" t="s">
        <v>0</v>
      </c>
      <c r="I23199" s="2">
        <v>0</v>
      </c>
      <c r="J23199" s="1">
        <v>46002.553935185184</v>
      </c>
    </row>
    <row r="23200" spans="1:10" x14ac:dyDescent="0.2">
      <c r="A23200" s="4" t="s">
        <v>1</v>
      </c>
      <c r="B2320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00" s="3" t="str">
        <f>HYPERLINK("https://otsuka-europe-crm.veevavault.com/ui/#object/sent_email__v/VBL00000000W391", "SE-001396233")</f>
        <v>SE-001396233</v>
      </c>
      <c r="D23200" s="1" t="s">
        <v>0</v>
      </c>
      <c r="E23200" s="2">
        <v>0</v>
      </c>
      <c r="F23200" s="2">
        <v>0</v>
      </c>
      <c r="G23200" s="2">
        <v>0</v>
      </c>
      <c r="H23200" s="1" t="s">
        <v>0</v>
      </c>
      <c r="I23200" s="2">
        <v>0</v>
      </c>
      <c r="J23200" s="1">
        <v>46002.553935185184</v>
      </c>
    </row>
    <row r="23201" spans="1:10" x14ac:dyDescent="0.2">
      <c r="A23201" s="4" t="s">
        <v>1</v>
      </c>
      <c r="B2320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01" s="3" t="str">
        <f>HYPERLINK("https://otsuka-europe-crm.veevavault.com/ui/#object/sent_email__v/VBL00000000W392", "SE-001396234")</f>
        <v>SE-001396234</v>
      </c>
      <c r="D23201" s="1" t="s">
        <v>0</v>
      </c>
      <c r="E23201" s="2">
        <v>0</v>
      </c>
      <c r="F23201" s="2">
        <v>0</v>
      </c>
      <c r="G23201" s="2">
        <v>0</v>
      </c>
      <c r="H23201" s="1" t="s">
        <v>0</v>
      </c>
      <c r="I23201" s="2">
        <v>0</v>
      </c>
      <c r="J23201" s="1">
        <v>46002.553946759261</v>
      </c>
    </row>
    <row r="23202" spans="1:10" x14ac:dyDescent="0.2">
      <c r="A23202" s="4" t="s">
        <v>1</v>
      </c>
      <c r="B2320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02" s="3" t="str">
        <f>HYPERLINK("https://otsuka-europe-crm.veevavault.com/ui/#object/sent_email__v/VBL00000000W393", "SE-001396235")</f>
        <v>SE-001396235</v>
      </c>
      <c r="D23202" s="1" t="s">
        <v>0</v>
      </c>
      <c r="E23202" s="2">
        <v>0</v>
      </c>
      <c r="F23202" s="2">
        <v>0</v>
      </c>
      <c r="G23202" s="2">
        <v>0</v>
      </c>
      <c r="H23202" s="1" t="s">
        <v>0</v>
      </c>
      <c r="I23202" s="2">
        <v>0</v>
      </c>
      <c r="J23202" s="1">
        <v>46002.553946759261</v>
      </c>
    </row>
    <row r="23203" spans="1:10" x14ac:dyDescent="0.2">
      <c r="A23203" s="4" t="s">
        <v>1</v>
      </c>
      <c r="B2320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03" s="3" t="str">
        <f>HYPERLINK("https://otsuka-europe-crm.veevavault.com/ui/#object/sent_email__v/VBL00000000W394", "SE-001396236")</f>
        <v>SE-001396236</v>
      </c>
      <c r="D23203" s="1" t="s">
        <v>0</v>
      </c>
      <c r="E23203" s="2">
        <v>0</v>
      </c>
      <c r="F23203" s="2">
        <v>0</v>
      </c>
      <c r="G23203" s="2">
        <v>0</v>
      </c>
      <c r="H23203" s="1" t="s">
        <v>0</v>
      </c>
      <c r="I23203" s="2">
        <v>0</v>
      </c>
      <c r="J23203" s="1">
        <v>46002.553946759261</v>
      </c>
    </row>
    <row r="23204" spans="1:10" x14ac:dyDescent="0.2">
      <c r="A23204" s="4" t="s">
        <v>1</v>
      </c>
      <c r="B2320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04" s="3" t="str">
        <f>HYPERLINK("https://otsuka-europe-crm.veevavault.com/ui/#object/sent_email__v/VBL00000000X383", "SE-001396239")</f>
        <v>SE-001396239</v>
      </c>
      <c r="D23204" s="1" t="s">
        <v>0</v>
      </c>
      <c r="E23204" s="2">
        <v>0</v>
      </c>
      <c r="F23204" s="2">
        <v>0</v>
      </c>
      <c r="G23204" s="2">
        <v>0</v>
      </c>
      <c r="H23204" s="1" t="s">
        <v>0</v>
      </c>
      <c r="I23204" s="2">
        <v>0</v>
      </c>
      <c r="J23204" s="1">
        <v>46002.555289351854</v>
      </c>
    </row>
    <row r="23205" spans="1:10" x14ac:dyDescent="0.2">
      <c r="A23205" s="4" t="s">
        <v>1</v>
      </c>
      <c r="B2320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05" s="3" t="str">
        <f>HYPERLINK("https://otsuka-europe-crm.veevavault.com/ui/#object/sent_email__v/VBL00000000X384", "SE-001396240")</f>
        <v>SE-001396240</v>
      </c>
      <c r="D23205" s="1" t="s">
        <v>0</v>
      </c>
      <c r="E23205" s="2">
        <v>0</v>
      </c>
      <c r="F23205" s="2">
        <v>0</v>
      </c>
      <c r="G23205" s="2">
        <v>0</v>
      </c>
      <c r="H23205" s="1" t="s">
        <v>0</v>
      </c>
      <c r="I23205" s="2">
        <v>0</v>
      </c>
      <c r="J23205" s="1">
        <v>46002.555289351854</v>
      </c>
    </row>
    <row r="23206" spans="1:10" x14ac:dyDescent="0.2">
      <c r="A23206" s="4" t="s">
        <v>1</v>
      </c>
      <c r="B2320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06" s="3" t="str">
        <f>HYPERLINK("https://otsuka-europe-crm.veevavault.com/ui/#object/sent_email__v/VBL00000000X385", "SE-001396241")</f>
        <v>SE-001396241</v>
      </c>
      <c r="D23206" s="1" t="s">
        <v>0</v>
      </c>
      <c r="E23206" s="2">
        <v>0</v>
      </c>
      <c r="F23206" s="2">
        <v>0</v>
      </c>
      <c r="G23206" s="2">
        <v>0</v>
      </c>
      <c r="H23206" s="1" t="s">
        <v>0</v>
      </c>
      <c r="I23206" s="2">
        <v>0</v>
      </c>
      <c r="J23206" s="1">
        <v>46002.555289351854</v>
      </c>
    </row>
    <row r="23207" spans="1:10" x14ac:dyDescent="0.2">
      <c r="A23207" s="4" t="s">
        <v>1</v>
      </c>
      <c r="B2320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07" s="3" t="str">
        <f>HYPERLINK("https://otsuka-europe-crm.veevavault.com/ui/#object/sent_email__v/VBL00000000X386", "SE-001396242")</f>
        <v>SE-001396242</v>
      </c>
      <c r="D23207" s="1" t="s">
        <v>0</v>
      </c>
      <c r="E23207" s="2">
        <v>0</v>
      </c>
      <c r="F23207" s="2">
        <v>0</v>
      </c>
      <c r="G23207" s="2">
        <v>0</v>
      </c>
      <c r="H23207" s="1" t="s">
        <v>0</v>
      </c>
      <c r="I23207" s="2">
        <v>0</v>
      </c>
      <c r="J23207" s="1">
        <v>46002.555289351854</v>
      </c>
    </row>
    <row r="23208" spans="1:10" x14ac:dyDescent="0.2">
      <c r="A23208" s="4" t="s">
        <v>1</v>
      </c>
      <c r="B2320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08" s="3" t="str">
        <f>HYPERLINK("https://otsuka-europe-crm.veevavault.com/ui/#object/sent_email__v/VBL00000000X387", "SE-001396243")</f>
        <v>SE-001396243</v>
      </c>
      <c r="D23208" s="1" t="s">
        <v>0</v>
      </c>
      <c r="E23208" s="2">
        <v>0</v>
      </c>
      <c r="F23208" s="2">
        <v>0</v>
      </c>
      <c r="G23208" s="2">
        <v>0</v>
      </c>
      <c r="H23208" s="1" t="s">
        <v>0</v>
      </c>
      <c r="I23208" s="2">
        <v>0</v>
      </c>
      <c r="J23208" s="1">
        <v>46002.555289351854</v>
      </c>
    </row>
    <row r="23209" spans="1:10" x14ac:dyDescent="0.2">
      <c r="A23209" s="4" t="s">
        <v>1</v>
      </c>
      <c r="B2320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09" s="3" t="str">
        <f>HYPERLINK("https://otsuka-europe-crm.veevavault.com/ui/#object/sent_email__v/VBL00000000X388", "SE-001396244")</f>
        <v>SE-001396244</v>
      </c>
      <c r="D23209" s="1" t="s">
        <v>0</v>
      </c>
      <c r="E23209" s="2">
        <v>0</v>
      </c>
      <c r="F23209" s="2">
        <v>0</v>
      </c>
      <c r="G23209" s="2">
        <v>0</v>
      </c>
      <c r="H23209" s="1" t="s">
        <v>0</v>
      </c>
      <c r="I23209" s="2">
        <v>0</v>
      </c>
      <c r="J23209" s="1">
        <v>46002.555300925924</v>
      </c>
    </row>
    <row r="23210" spans="1:10" x14ac:dyDescent="0.2">
      <c r="A23210" s="4" t="s">
        <v>1</v>
      </c>
      <c r="B2321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10" s="3" t="str">
        <f>HYPERLINK("https://otsuka-europe-crm.veevavault.com/ui/#object/sent_email__v/VBL00000000X389", "SE-001396245")</f>
        <v>SE-001396245</v>
      </c>
      <c r="D23210" s="1" t="s">
        <v>0</v>
      </c>
      <c r="E23210" s="2">
        <v>0</v>
      </c>
      <c r="F23210" s="2">
        <v>0</v>
      </c>
      <c r="G23210" s="2">
        <v>0</v>
      </c>
      <c r="H23210" s="1" t="s">
        <v>0</v>
      </c>
      <c r="I23210" s="2">
        <v>0</v>
      </c>
      <c r="J23210" s="1">
        <v>46002.555289351854</v>
      </c>
    </row>
    <row r="23211" spans="1:10" x14ac:dyDescent="0.2">
      <c r="A23211" s="4" t="s">
        <v>1</v>
      </c>
      <c r="B2321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11" s="3" t="str">
        <f>HYPERLINK("https://otsuka-europe-crm.veevavault.com/ui/#object/sent_email__v/VBL00000000X390", "SE-001396246")</f>
        <v>SE-001396246</v>
      </c>
      <c r="D23211" s="1" t="s">
        <v>0</v>
      </c>
      <c r="E23211" s="2">
        <v>0</v>
      </c>
      <c r="F23211" s="2">
        <v>0</v>
      </c>
      <c r="G23211" s="2">
        <v>0</v>
      </c>
      <c r="H23211" s="1" t="s">
        <v>0</v>
      </c>
      <c r="I23211" s="2">
        <v>0</v>
      </c>
      <c r="J23211" s="1">
        <v>46002.555300925924</v>
      </c>
    </row>
    <row r="23212" spans="1:10" x14ac:dyDescent="0.2">
      <c r="A23212" s="4" t="s">
        <v>1</v>
      </c>
      <c r="B2321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12" s="3" t="str">
        <f>HYPERLINK("https://otsuka-europe-crm.veevavault.com/ui/#object/sent_email__v/VBL00000000X391", "SE-001396247")</f>
        <v>SE-001396247</v>
      </c>
      <c r="D23212" s="1" t="s">
        <v>0</v>
      </c>
      <c r="E23212" s="2">
        <v>0</v>
      </c>
      <c r="F23212" s="2">
        <v>0</v>
      </c>
      <c r="G23212" s="2">
        <v>0</v>
      </c>
      <c r="H23212" s="1" t="s">
        <v>0</v>
      </c>
      <c r="I23212" s="2">
        <v>0</v>
      </c>
      <c r="J23212" s="1">
        <v>46002.555300925924</v>
      </c>
    </row>
    <row r="23213" spans="1:10" x14ac:dyDescent="0.2">
      <c r="A23213" s="4" t="s">
        <v>1</v>
      </c>
      <c r="B2321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13" s="3" t="str">
        <f>HYPERLINK("https://otsuka-europe-crm.veevavault.com/ui/#object/sent_email__v/VBL00000000X392", "SE-001396248")</f>
        <v>SE-001396248</v>
      </c>
      <c r="D23213" s="1" t="s">
        <v>0</v>
      </c>
      <c r="E23213" s="2">
        <v>0</v>
      </c>
      <c r="F23213" s="2">
        <v>0</v>
      </c>
      <c r="G23213" s="2">
        <v>0</v>
      </c>
      <c r="H23213" s="1" t="s">
        <v>0</v>
      </c>
      <c r="I23213" s="2">
        <v>0</v>
      </c>
      <c r="J23213" s="1">
        <v>46002.555300925924</v>
      </c>
    </row>
    <row r="23214" spans="1:10" x14ac:dyDescent="0.2">
      <c r="A23214" s="4" t="s">
        <v>1</v>
      </c>
      <c r="B2321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14" s="3" t="str">
        <f>HYPERLINK("https://otsuka-europe-crm.veevavault.com/ui/#object/sent_email__v/VBL00000000X393", "SE-001396249")</f>
        <v>SE-001396249</v>
      </c>
      <c r="D23214" s="1" t="s">
        <v>0</v>
      </c>
      <c r="E23214" s="2">
        <v>0</v>
      </c>
      <c r="F23214" s="2">
        <v>0</v>
      </c>
      <c r="G23214" s="2">
        <v>0</v>
      </c>
      <c r="H23214" s="1" t="s">
        <v>0</v>
      </c>
      <c r="I23214" s="2">
        <v>0</v>
      </c>
      <c r="J23214" s="1">
        <v>46002.555300925924</v>
      </c>
    </row>
    <row r="23215" spans="1:10" x14ac:dyDescent="0.2">
      <c r="A23215" s="4" t="s">
        <v>1</v>
      </c>
      <c r="B2321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15" s="3" t="str">
        <f>HYPERLINK("https://otsuka-europe-crm.veevavault.com/ui/#object/sent_email__v/VBL00000000X394", "SE-001396250")</f>
        <v>SE-001396250</v>
      </c>
      <c r="D23215" s="1" t="s">
        <v>0</v>
      </c>
      <c r="E23215" s="2">
        <v>0</v>
      </c>
      <c r="F23215" s="2">
        <v>0</v>
      </c>
      <c r="G23215" s="2">
        <v>0</v>
      </c>
      <c r="H23215" s="1" t="s">
        <v>0</v>
      </c>
      <c r="I23215" s="2">
        <v>0</v>
      </c>
      <c r="J23215" s="1">
        <v>46002.555300925924</v>
      </c>
    </row>
    <row r="23216" spans="1:10" x14ac:dyDescent="0.2">
      <c r="A23216" s="4" t="s">
        <v>1</v>
      </c>
      <c r="B2321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16" s="3" t="str">
        <f>HYPERLINK("https://otsuka-europe-crm.veevavault.com/ui/#object/sent_email__v/VBL00000000X395", "SE-001396251")</f>
        <v>SE-001396251</v>
      </c>
      <c r="D23216" s="1" t="s">
        <v>0</v>
      </c>
      <c r="E23216" s="2">
        <v>0</v>
      </c>
      <c r="F23216" s="2">
        <v>0</v>
      </c>
      <c r="G23216" s="2">
        <v>0</v>
      </c>
      <c r="H23216" s="1" t="s">
        <v>0</v>
      </c>
      <c r="I23216" s="2">
        <v>0</v>
      </c>
      <c r="J23216" s="1">
        <v>46002.555300925924</v>
      </c>
    </row>
    <row r="23217" spans="1:10" x14ac:dyDescent="0.2">
      <c r="A23217" s="4" t="s">
        <v>1</v>
      </c>
      <c r="B2321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17" s="3" t="str">
        <f>HYPERLINK("https://otsuka-europe-crm.veevavault.com/ui/#object/sent_email__v/VBL00000000X396", "SE-001396252")</f>
        <v>SE-001396252</v>
      </c>
      <c r="D23217" s="1" t="s">
        <v>0</v>
      </c>
      <c r="E23217" s="2">
        <v>0</v>
      </c>
      <c r="F23217" s="2">
        <v>0</v>
      </c>
      <c r="G23217" s="2">
        <v>0</v>
      </c>
      <c r="H23217" s="1" t="s">
        <v>0</v>
      </c>
      <c r="I23217" s="2">
        <v>0</v>
      </c>
      <c r="J23217" s="1">
        <v>46002.555300925924</v>
      </c>
    </row>
    <row r="23218" spans="1:10" x14ac:dyDescent="0.2">
      <c r="A23218" s="4" t="s">
        <v>1</v>
      </c>
      <c r="B2321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18" s="3" t="str">
        <f>HYPERLINK("https://otsuka-europe-crm.veevavault.com/ui/#object/sent_email__v/VBL00000000X397", "SE-001396253")</f>
        <v>SE-001396253</v>
      </c>
      <c r="D23218" s="1" t="s">
        <v>0</v>
      </c>
      <c r="E23218" s="2">
        <v>0</v>
      </c>
      <c r="F23218" s="2">
        <v>0</v>
      </c>
      <c r="G23218" s="2">
        <v>0</v>
      </c>
      <c r="H23218" s="1" t="s">
        <v>0</v>
      </c>
      <c r="I23218" s="2">
        <v>0</v>
      </c>
      <c r="J23218" s="1">
        <v>46002.555300925924</v>
      </c>
    </row>
    <row r="23219" spans="1:10" x14ac:dyDescent="0.2">
      <c r="A23219" s="4" t="s">
        <v>1</v>
      </c>
      <c r="B2321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19" s="3" t="str">
        <f>HYPERLINK("https://otsuka-europe-crm.veevavault.com/ui/#object/sent_email__v/VBL00000000X398", "SE-001396254")</f>
        <v>SE-001396254</v>
      </c>
      <c r="D23219" s="1" t="s">
        <v>0</v>
      </c>
      <c r="E23219" s="2">
        <v>0</v>
      </c>
      <c r="F23219" s="2">
        <v>0</v>
      </c>
      <c r="G23219" s="2">
        <v>0</v>
      </c>
      <c r="H23219" s="1" t="s">
        <v>0</v>
      </c>
      <c r="I23219" s="2">
        <v>0</v>
      </c>
      <c r="J23219" s="1">
        <v>46002.555312500001</v>
      </c>
    </row>
    <row r="23220" spans="1:10" x14ac:dyDescent="0.2">
      <c r="A23220" s="4" t="s">
        <v>1</v>
      </c>
      <c r="B2322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20" s="3" t="str">
        <f>HYPERLINK("https://otsuka-europe-crm.veevavault.com/ui/#object/sent_email__v/VBL00000000X399", "SE-001396255")</f>
        <v>SE-001396255</v>
      </c>
      <c r="D23220" s="1" t="s">
        <v>0</v>
      </c>
      <c r="E23220" s="2">
        <v>0</v>
      </c>
      <c r="F23220" s="2">
        <v>0</v>
      </c>
      <c r="G23220" s="2">
        <v>0</v>
      </c>
      <c r="H23220" s="1" t="s">
        <v>0</v>
      </c>
      <c r="I23220" s="2">
        <v>0</v>
      </c>
      <c r="J23220" s="1">
        <v>46002.555312500001</v>
      </c>
    </row>
    <row r="23221" spans="1:10" x14ac:dyDescent="0.2">
      <c r="A23221" s="4" t="s">
        <v>1</v>
      </c>
      <c r="B2322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21" s="3" t="str">
        <f>HYPERLINK("https://otsuka-europe-crm.veevavault.com/ui/#object/sent_email__v/VBL00000000X400", "SE-001396256")</f>
        <v>SE-001396256</v>
      </c>
      <c r="D23221" s="1" t="s">
        <v>0</v>
      </c>
      <c r="E23221" s="2">
        <v>0</v>
      </c>
      <c r="F23221" s="2">
        <v>0</v>
      </c>
      <c r="G23221" s="2">
        <v>0</v>
      </c>
      <c r="H23221" s="1" t="s">
        <v>0</v>
      </c>
      <c r="I23221" s="2">
        <v>0</v>
      </c>
      <c r="J23221" s="1">
        <v>46002.555312500001</v>
      </c>
    </row>
    <row r="23222" spans="1:10" x14ac:dyDescent="0.2">
      <c r="A23222" s="4" t="s">
        <v>1</v>
      </c>
      <c r="B2322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22" s="3" t="str">
        <f>HYPERLINK("https://otsuka-europe-crm.veevavault.com/ui/#object/sent_email__v/VBL00000000X401", "SE-001396257")</f>
        <v>SE-001396257</v>
      </c>
      <c r="D23222" s="1" t="s">
        <v>0</v>
      </c>
      <c r="E23222" s="2">
        <v>0</v>
      </c>
      <c r="F23222" s="2">
        <v>0</v>
      </c>
      <c r="G23222" s="2">
        <v>0</v>
      </c>
      <c r="H23222" s="1" t="s">
        <v>0</v>
      </c>
      <c r="I23222" s="2">
        <v>0</v>
      </c>
      <c r="J23222" s="1">
        <v>46002.555312500001</v>
      </c>
    </row>
    <row r="23223" spans="1:10" x14ac:dyDescent="0.2">
      <c r="A23223" s="4" t="s">
        <v>1</v>
      </c>
      <c r="B2322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23" s="3" t="str">
        <f>HYPERLINK("https://otsuka-europe-crm.veevavault.com/ui/#object/sent_email__v/VBL00000000X402", "SE-001396258")</f>
        <v>SE-001396258</v>
      </c>
      <c r="D23223" s="1" t="s">
        <v>0</v>
      </c>
      <c r="E23223" s="2">
        <v>0</v>
      </c>
      <c r="F23223" s="2">
        <v>0</v>
      </c>
      <c r="G23223" s="2">
        <v>0</v>
      </c>
      <c r="H23223" s="1" t="s">
        <v>0</v>
      </c>
      <c r="I23223" s="2">
        <v>0</v>
      </c>
      <c r="J23223" s="1">
        <v>46002.555312500001</v>
      </c>
    </row>
    <row r="23224" spans="1:10" x14ac:dyDescent="0.2">
      <c r="A23224" s="4" t="s">
        <v>1</v>
      </c>
      <c r="B2322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24" s="3" t="str">
        <f>HYPERLINK("https://otsuka-europe-crm.veevavault.com/ui/#object/sent_email__v/VBL00000000X403", "SE-001396259")</f>
        <v>SE-001396259</v>
      </c>
      <c r="D23224" s="1" t="s">
        <v>0</v>
      </c>
      <c r="E23224" s="2">
        <v>0</v>
      </c>
      <c r="F23224" s="2">
        <v>0</v>
      </c>
      <c r="G23224" s="2">
        <v>0</v>
      </c>
      <c r="H23224" s="1" t="s">
        <v>0</v>
      </c>
      <c r="I23224" s="2">
        <v>0</v>
      </c>
      <c r="J23224" s="1">
        <v>46002.555312500001</v>
      </c>
    </row>
    <row r="23225" spans="1:10" x14ac:dyDescent="0.2">
      <c r="A23225" s="4" t="s">
        <v>1</v>
      </c>
      <c r="B2322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25" s="3" t="str">
        <f>HYPERLINK("https://otsuka-europe-crm.veevavault.com/ui/#object/sent_email__v/VBL00000000X404", "SE-001396260")</f>
        <v>SE-001396260</v>
      </c>
      <c r="D23225" s="1" t="s">
        <v>0</v>
      </c>
      <c r="E23225" s="2">
        <v>0</v>
      </c>
      <c r="F23225" s="2">
        <v>0</v>
      </c>
      <c r="G23225" s="2">
        <v>0</v>
      </c>
      <c r="H23225" s="1" t="s">
        <v>0</v>
      </c>
      <c r="I23225" s="2">
        <v>0</v>
      </c>
      <c r="J23225" s="1">
        <v>46002.555312500001</v>
      </c>
    </row>
    <row r="23226" spans="1:10" x14ac:dyDescent="0.2">
      <c r="A23226" s="4" t="s">
        <v>1</v>
      </c>
      <c r="B2322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26" s="3" t="str">
        <f>HYPERLINK("https://otsuka-europe-crm.veevavault.com/ui/#object/sent_email__v/VBL00000000X405", "SE-001396261")</f>
        <v>SE-001396261</v>
      </c>
      <c r="D23226" s="1" t="s">
        <v>0</v>
      </c>
      <c r="E23226" s="2">
        <v>0</v>
      </c>
      <c r="F23226" s="2">
        <v>0</v>
      </c>
      <c r="G23226" s="2">
        <v>0</v>
      </c>
      <c r="H23226" s="1" t="s">
        <v>0</v>
      </c>
      <c r="I23226" s="2">
        <v>0</v>
      </c>
      <c r="J23226" s="1">
        <v>46002.555312500001</v>
      </c>
    </row>
    <row r="23227" spans="1:10" x14ac:dyDescent="0.2">
      <c r="A23227" s="4" t="s">
        <v>1</v>
      </c>
      <c r="B2322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27" s="3" t="str">
        <f>HYPERLINK("https://otsuka-europe-crm.veevavault.com/ui/#object/sent_email__v/VBL00000000X406", "SE-001396262")</f>
        <v>SE-001396262</v>
      </c>
      <c r="D23227" s="1" t="s">
        <v>0</v>
      </c>
      <c r="E23227" s="2">
        <v>0</v>
      </c>
      <c r="F23227" s="2">
        <v>0</v>
      </c>
      <c r="G23227" s="2">
        <v>0</v>
      </c>
      <c r="H23227" s="1" t="s">
        <v>0</v>
      </c>
      <c r="I23227" s="2">
        <v>0</v>
      </c>
      <c r="J23227" s="1">
        <v>46002.555312500001</v>
      </c>
    </row>
    <row r="23228" spans="1:10" x14ac:dyDescent="0.2">
      <c r="A23228" s="4" t="s">
        <v>1</v>
      </c>
      <c r="B2322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28" s="3" t="str">
        <f>HYPERLINK("https://otsuka-europe-crm.veevavault.com/ui/#object/sent_email__v/VBL00000000X407", "SE-001396263")</f>
        <v>SE-001396263</v>
      </c>
      <c r="D23228" s="1" t="s">
        <v>0</v>
      </c>
      <c r="E23228" s="2">
        <v>0</v>
      </c>
      <c r="F23228" s="2">
        <v>0</v>
      </c>
      <c r="G23228" s="2">
        <v>0</v>
      </c>
      <c r="H23228" s="1" t="s">
        <v>0</v>
      </c>
      <c r="I23228" s="2">
        <v>0</v>
      </c>
      <c r="J23228" s="1">
        <v>46002.555312500001</v>
      </c>
    </row>
    <row r="23229" spans="1:10" x14ac:dyDescent="0.2">
      <c r="A23229" s="4" t="s">
        <v>1</v>
      </c>
      <c r="B2322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29" s="3" t="str">
        <f>HYPERLINK("https://otsuka-europe-crm.veevavault.com/ui/#object/sent_email__v/VBL00000000X408", "SE-001396264")</f>
        <v>SE-001396264</v>
      </c>
      <c r="D23229" s="1" t="s">
        <v>0</v>
      </c>
      <c r="E23229" s="2">
        <v>0</v>
      </c>
      <c r="F23229" s="2">
        <v>0</v>
      </c>
      <c r="G23229" s="2">
        <v>0</v>
      </c>
      <c r="H23229" s="1" t="s">
        <v>0</v>
      </c>
      <c r="I23229" s="2">
        <v>0</v>
      </c>
      <c r="J23229" s="1">
        <v>46002.555324074077</v>
      </c>
    </row>
    <row r="23230" spans="1:10" x14ac:dyDescent="0.2">
      <c r="A23230" s="4" t="s">
        <v>1</v>
      </c>
      <c r="B2323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30" s="3" t="str">
        <f>HYPERLINK("https://otsuka-europe-crm.veevavault.com/ui/#object/sent_email__v/VBL00000000X409", "SE-001396265")</f>
        <v>SE-001396265</v>
      </c>
      <c r="D23230" s="1" t="s">
        <v>0</v>
      </c>
      <c r="E23230" s="2">
        <v>0</v>
      </c>
      <c r="F23230" s="2">
        <v>0</v>
      </c>
      <c r="G23230" s="2">
        <v>0</v>
      </c>
      <c r="H23230" s="1" t="s">
        <v>0</v>
      </c>
      <c r="I23230" s="2">
        <v>0</v>
      </c>
      <c r="J23230" s="1">
        <v>46002.555312500001</v>
      </c>
    </row>
    <row r="23231" spans="1:10" x14ac:dyDescent="0.2">
      <c r="A23231" s="4" t="s">
        <v>1</v>
      </c>
      <c r="B2323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31" s="3" t="str">
        <f>HYPERLINK("https://otsuka-europe-crm.veevavault.com/ui/#object/sent_email__v/VBL00000000X410", "SE-001396266")</f>
        <v>SE-001396266</v>
      </c>
      <c r="D23231" s="1" t="s">
        <v>0</v>
      </c>
      <c r="E23231" s="2">
        <v>0</v>
      </c>
      <c r="F23231" s="2">
        <v>0</v>
      </c>
      <c r="G23231" s="2">
        <v>0</v>
      </c>
      <c r="H23231" s="1" t="s">
        <v>0</v>
      </c>
      <c r="I23231" s="2">
        <v>0</v>
      </c>
      <c r="J23231" s="1">
        <v>46002.555312500001</v>
      </c>
    </row>
    <row r="23232" spans="1:10" x14ac:dyDescent="0.2">
      <c r="A23232" s="4" t="s">
        <v>1</v>
      </c>
      <c r="B2323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32" s="3" t="str">
        <f>HYPERLINK("https://otsuka-europe-crm.veevavault.com/ui/#object/sent_email__v/VBL00000000X411", "SE-001396267")</f>
        <v>SE-001396267</v>
      </c>
      <c r="D23232" s="1" t="s">
        <v>0</v>
      </c>
      <c r="E23232" s="2">
        <v>0</v>
      </c>
      <c r="F23232" s="2">
        <v>0</v>
      </c>
      <c r="G23232" s="2">
        <v>0</v>
      </c>
      <c r="H23232" s="1" t="s">
        <v>0</v>
      </c>
      <c r="I23232" s="2">
        <v>0</v>
      </c>
      <c r="J23232" s="1">
        <v>46002.555324074077</v>
      </c>
    </row>
    <row r="23233" spans="1:10" x14ac:dyDescent="0.2">
      <c r="A23233" s="4" t="s">
        <v>1</v>
      </c>
      <c r="B2323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33" s="3" t="str">
        <f>HYPERLINK("https://otsuka-europe-crm.veevavault.com/ui/#object/sent_email__v/VBL00000000X412", "SE-001396268")</f>
        <v>SE-001396268</v>
      </c>
      <c r="D23233" s="1" t="s">
        <v>0</v>
      </c>
      <c r="E23233" s="2">
        <v>0</v>
      </c>
      <c r="F23233" s="2">
        <v>0</v>
      </c>
      <c r="G23233" s="2">
        <v>0</v>
      </c>
      <c r="H23233" s="1" t="s">
        <v>0</v>
      </c>
      <c r="I23233" s="2">
        <v>0</v>
      </c>
      <c r="J23233" s="1">
        <v>46002.555324074077</v>
      </c>
    </row>
    <row r="23234" spans="1:10" x14ac:dyDescent="0.2">
      <c r="A23234" s="4" t="s">
        <v>1</v>
      </c>
      <c r="B2323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34" s="3" t="str">
        <f>HYPERLINK("https://otsuka-europe-crm.veevavault.com/ui/#object/sent_email__v/VBL00000000X413", "SE-001396269")</f>
        <v>SE-001396269</v>
      </c>
      <c r="D23234" s="1" t="s">
        <v>0</v>
      </c>
      <c r="E23234" s="2">
        <v>0</v>
      </c>
      <c r="F23234" s="2">
        <v>0</v>
      </c>
      <c r="G23234" s="2">
        <v>0</v>
      </c>
      <c r="H23234" s="1" t="s">
        <v>0</v>
      </c>
      <c r="I23234" s="2">
        <v>0</v>
      </c>
      <c r="J23234" s="1">
        <v>46002.555324074077</v>
      </c>
    </row>
    <row r="23235" spans="1:10" x14ac:dyDescent="0.2">
      <c r="A23235" s="4" t="s">
        <v>1</v>
      </c>
      <c r="B2323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35" s="3" t="str">
        <f>HYPERLINK("https://otsuka-europe-crm.veevavault.com/ui/#object/sent_email__v/VBL00000000X414", "SE-001396270")</f>
        <v>SE-001396270</v>
      </c>
      <c r="D23235" s="1" t="s">
        <v>0</v>
      </c>
      <c r="E23235" s="2">
        <v>0</v>
      </c>
      <c r="F23235" s="2">
        <v>0</v>
      </c>
      <c r="G23235" s="2">
        <v>0</v>
      </c>
      <c r="H23235" s="1" t="s">
        <v>0</v>
      </c>
      <c r="I23235" s="2">
        <v>0</v>
      </c>
      <c r="J23235" s="1">
        <v>46002.555324074077</v>
      </c>
    </row>
    <row r="23236" spans="1:10" x14ac:dyDescent="0.2">
      <c r="A23236" s="4" t="s">
        <v>1</v>
      </c>
      <c r="B2323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36" s="3" t="str">
        <f>HYPERLINK("https://otsuka-europe-crm.veevavault.com/ui/#object/sent_email__v/VBL00000000X415", "SE-001396271")</f>
        <v>SE-001396271</v>
      </c>
      <c r="D23236" s="1" t="s">
        <v>0</v>
      </c>
      <c r="E23236" s="2">
        <v>0</v>
      </c>
      <c r="F23236" s="2">
        <v>0</v>
      </c>
      <c r="G23236" s="2">
        <v>0</v>
      </c>
      <c r="H23236" s="1" t="s">
        <v>0</v>
      </c>
      <c r="I23236" s="2">
        <v>0</v>
      </c>
      <c r="J23236" s="1">
        <v>46002.555324074077</v>
      </c>
    </row>
    <row r="23237" spans="1:10" x14ac:dyDescent="0.2">
      <c r="A23237" s="4" t="s">
        <v>1</v>
      </c>
      <c r="B2323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37" s="3" t="str">
        <f>HYPERLINK("https://otsuka-europe-crm.veevavault.com/ui/#object/sent_email__v/VBL00000000X416", "SE-001396272")</f>
        <v>SE-001396272</v>
      </c>
      <c r="D23237" s="1" t="s">
        <v>0</v>
      </c>
      <c r="E23237" s="2">
        <v>0</v>
      </c>
      <c r="F23237" s="2">
        <v>0</v>
      </c>
      <c r="G23237" s="2">
        <v>0</v>
      </c>
      <c r="H23237" s="1" t="s">
        <v>0</v>
      </c>
      <c r="I23237" s="2">
        <v>0</v>
      </c>
      <c r="J23237" s="1">
        <v>46002.555324074077</v>
      </c>
    </row>
    <row r="23238" spans="1:10" x14ac:dyDescent="0.2">
      <c r="A23238" s="4" t="s">
        <v>1</v>
      </c>
      <c r="B2323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38" s="3" t="str">
        <f>HYPERLINK("https://otsuka-europe-crm.veevavault.com/ui/#object/sent_email__v/VBL00000000X417", "SE-001396273")</f>
        <v>SE-001396273</v>
      </c>
      <c r="D23238" s="1" t="s">
        <v>0</v>
      </c>
      <c r="E23238" s="2">
        <v>0</v>
      </c>
      <c r="F23238" s="2">
        <v>0</v>
      </c>
      <c r="G23238" s="2">
        <v>0</v>
      </c>
      <c r="H23238" s="1" t="s">
        <v>0</v>
      </c>
      <c r="I23238" s="2">
        <v>0</v>
      </c>
      <c r="J23238" s="1">
        <v>46002.555324074077</v>
      </c>
    </row>
    <row r="23239" spans="1:10" x14ac:dyDescent="0.2">
      <c r="A23239" s="4" t="s">
        <v>1</v>
      </c>
      <c r="B2323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39" s="3" t="str">
        <f>HYPERLINK("https://otsuka-europe-crm.veevavault.com/ui/#object/sent_email__v/VBL00000000X418", "SE-001396274")</f>
        <v>SE-001396274</v>
      </c>
      <c r="D23239" s="1" t="s">
        <v>0</v>
      </c>
      <c r="E23239" s="2">
        <v>0</v>
      </c>
      <c r="F23239" s="2">
        <v>0</v>
      </c>
      <c r="G23239" s="2">
        <v>0</v>
      </c>
      <c r="H23239" s="1" t="s">
        <v>0</v>
      </c>
      <c r="I23239" s="2">
        <v>0</v>
      </c>
      <c r="J23239" s="1">
        <v>46002.555324074077</v>
      </c>
    </row>
    <row r="23240" spans="1:10" x14ac:dyDescent="0.2">
      <c r="A23240" s="4" t="s">
        <v>1</v>
      </c>
      <c r="B2324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40" s="3" t="str">
        <f>HYPERLINK("https://otsuka-europe-crm.veevavault.com/ui/#object/sent_email__v/VBL00000000X419", "SE-001396275")</f>
        <v>SE-001396275</v>
      </c>
      <c r="D23240" s="1" t="s">
        <v>0</v>
      </c>
      <c r="E23240" s="2">
        <v>0</v>
      </c>
      <c r="F23240" s="2">
        <v>0</v>
      </c>
      <c r="G23240" s="2">
        <v>0</v>
      </c>
      <c r="H23240" s="1" t="s">
        <v>0</v>
      </c>
      <c r="I23240" s="2">
        <v>0</v>
      </c>
      <c r="J23240" s="1">
        <v>46002.555335648147</v>
      </c>
    </row>
    <row r="23241" spans="1:10" x14ac:dyDescent="0.2">
      <c r="A23241" s="4" t="s">
        <v>1</v>
      </c>
      <c r="B2324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41" s="3" t="str">
        <f>HYPERLINK("https://otsuka-europe-crm.veevavault.com/ui/#object/sent_email__v/VBL00000000X420", "SE-001396276")</f>
        <v>SE-001396276</v>
      </c>
      <c r="D23241" s="1" t="s">
        <v>0</v>
      </c>
      <c r="E23241" s="2">
        <v>0</v>
      </c>
      <c r="F23241" s="2">
        <v>0</v>
      </c>
      <c r="G23241" s="2">
        <v>0</v>
      </c>
      <c r="H23241" s="1" t="s">
        <v>0</v>
      </c>
      <c r="I23241" s="2">
        <v>0</v>
      </c>
      <c r="J23241" s="1">
        <v>46002.555335648147</v>
      </c>
    </row>
    <row r="23242" spans="1:10" x14ac:dyDescent="0.2">
      <c r="A23242" s="4" t="s">
        <v>1</v>
      </c>
      <c r="B2324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42" s="3" t="str">
        <f>HYPERLINK("https://otsuka-europe-crm.veevavault.com/ui/#object/sent_email__v/VBL00000000X421", "SE-001396277")</f>
        <v>SE-001396277</v>
      </c>
      <c r="D23242" s="1" t="s">
        <v>0</v>
      </c>
      <c r="E23242" s="2">
        <v>0</v>
      </c>
      <c r="F23242" s="2">
        <v>0</v>
      </c>
      <c r="G23242" s="2">
        <v>0</v>
      </c>
      <c r="H23242" s="1" t="s">
        <v>0</v>
      </c>
      <c r="I23242" s="2">
        <v>0</v>
      </c>
      <c r="J23242" s="1">
        <v>46002.555335648147</v>
      </c>
    </row>
    <row r="23243" spans="1:10" x14ac:dyDescent="0.2">
      <c r="A23243" s="4" t="s">
        <v>1</v>
      </c>
      <c r="B2324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43" s="3" t="str">
        <f>HYPERLINK("https://otsuka-europe-crm.veevavault.com/ui/#object/sent_email__v/VBL00000000X422", "SE-001396278")</f>
        <v>SE-001396278</v>
      </c>
      <c r="D23243" s="1" t="s">
        <v>0</v>
      </c>
      <c r="E23243" s="2">
        <v>0</v>
      </c>
      <c r="F23243" s="2">
        <v>0</v>
      </c>
      <c r="G23243" s="2">
        <v>0</v>
      </c>
      <c r="H23243" s="1" t="s">
        <v>0</v>
      </c>
      <c r="I23243" s="2">
        <v>0</v>
      </c>
      <c r="J23243" s="1">
        <v>46002.555335648147</v>
      </c>
    </row>
    <row r="23244" spans="1:10" x14ac:dyDescent="0.2">
      <c r="A23244" s="4" t="s">
        <v>1</v>
      </c>
      <c r="B2324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44" s="3" t="str">
        <f>HYPERLINK("https://otsuka-europe-crm.veevavault.com/ui/#object/sent_email__v/VBL00000000X423", "SE-001396279")</f>
        <v>SE-001396279</v>
      </c>
      <c r="D23244" s="1" t="s">
        <v>0</v>
      </c>
      <c r="E23244" s="2">
        <v>0</v>
      </c>
      <c r="F23244" s="2">
        <v>0</v>
      </c>
      <c r="G23244" s="2">
        <v>0</v>
      </c>
      <c r="H23244" s="1" t="s">
        <v>0</v>
      </c>
      <c r="I23244" s="2">
        <v>0</v>
      </c>
      <c r="J23244" s="1">
        <v>46002.555335648147</v>
      </c>
    </row>
    <row r="23245" spans="1:10" x14ac:dyDescent="0.2">
      <c r="A23245" s="4" t="s">
        <v>1</v>
      </c>
      <c r="B2324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45" s="3" t="str">
        <f>HYPERLINK("https://otsuka-europe-crm.veevavault.com/ui/#object/sent_email__v/VBL00000000X424", "SE-001396280")</f>
        <v>SE-001396280</v>
      </c>
      <c r="D23245" s="1" t="s">
        <v>0</v>
      </c>
      <c r="E23245" s="2">
        <v>0</v>
      </c>
      <c r="F23245" s="2">
        <v>0</v>
      </c>
      <c r="G23245" s="2">
        <v>0</v>
      </c>
      <c r="H23245" s="1" t="s">
        <v>0</v>
      </c>
      <c r="I23245" s="2">
        <v>0</v>
      </c>
      <c r="J23245" s="1">
        <v>46002.555335648147</v>
      </c>
    </row>
    <row r="23246" spans="1:10" x14ac:dyDescent="0.2">
      <c r="A23246" s="4" t="s">
        <v>1</v>
      </c>
      <c r="B2324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46" s="3" t="str">
        <f>HYPERLINK("https://otsuka-europe-crm.veevavault.com/ui/#object/sent_email__v/VBL00000000X425", "SE-001396281")</f>
        <v>SE-001396281</v>
      </c>
      <c r="D23246" s="1" t="s">
        <v>0</v>
      </c>
      <c r="E23246" s="2">
        <v>0</v>
      </c>
      <c r="F23246" s="2">
        <v>0</v>
      </c>
      <c r="G23246" s="2">
        <v>0</v>
      </c>
      <c r="H23246" s="1" t="s">
        <v>0</v>
      </c>
      <c r="I23246" s="2">
        <v>0</v>
      </c>
      <c r="J23246" s="1">
        <v>46002.555335648147</v>
      </c>
    </row>
    <row r="23247" spans="1:10" x14ac:dyDescent="0.2">
      <c r="A23247" s="4" t="s">
        <v>1</v>
      </c>
      <c r="B2324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47" s="3" t="str">
        <f>HYPERLINK("https://otsuka-europe-crm.veevavault.com/ui/#object/sent_email__v/VBL00000000X426", "SE-001396282")</f>
        <v>SE-001396282</v>
      </c>
      <c r="D23247" s="1" t="s">
        <v>0</v>
      </c>
      <c r="E23247" s="2">
        <v>0</v>
      </c>
      <c r="F23247" s="2">
        <v>0</v>
      </c>
      <c r="G23247" s="2">
        <v>0</v>
      </c>
      <c r="H23247" s="1" t="s">
        <v>0</v>
      </c>
      <c r="I23247" s="2">
        <v>0</v>
      </c>
      <c r="J23247" s="1">
        <v>46002.555335648147</v>
      </c>
    </row>
    <row r="23248" spans="1:10" x14ac:dyDescent="0.2">
      <c r="A23248" s="4" t="s">
        <v>1</v>
      </c>
      <c r="B2324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48" s="3" t="str">
        <f>HYPERLINK("https://otsuka-europe-crm.veevavault.com/ui/#object/sent_email__v/VBL00000000X427", "SE-001396283")</f>
        <v>SE-001396283</v>
      </c>
      <c r="D23248" s="1" t="s">
        <v>0</v>
      </c>
      <c r="E23248" s="2">
        <v>0</v>
      </c>
      <c r="F23248" s="2">
        <v>0</v>
      </c>
      <c r="G23248" s="2">
        <v>0</v>
      </c>
      <c r="H23248" s="1" t="s">
        <v>0</v>
      </c>
      <c r="I23248" s="2">
        <v>0</v>
      </c>
      <c r="J23248" s="1">
        <v>46002.555335648147</v>
      </c>
    </row>
    <row r="23249" spans="1:10" x14ac:dyDescent="0.2">
      <c r="A23249" s="4" t="s">
        <v>1</v>
      </c>
      <c r="B2324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49" s="3" t="str">
        <f>HYPERLINK("https://otsuka-europe-crm.veevavault.com/ui/#object/sent_email__v/VBL00000000X428", "SE-001396284")</f>
        <v>SE-001396284</v>
      </c>
      <c r="D23249" s="1" t="s">
        <v>0</v>
      </c>
      <c r="E23249" s="2">
        <v>0</v>
      </c>
      <c r="F23249" s="2">
        <v>0</v>
      </c>
      <c r="G23249" s="2">
        <v>0</v>
      </c>
      <c r="H23249" s="1" t="s">
        <v>0</v>
      </c>
      <c r="I23249" s="2">
        <v>0</v>
      </c>
      <c r="J23249" s="1">
        <v>46002.555347222224</v>
      </c>
    </row>
    <row r="23250" spans="1:10" x14ac:dyDescent="0.2">
      <c r="A23250" s="4" t="s">
        <v>1</v>
      </c>
      <c r="B2325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50" s="3" t="str">
        <f>HYPERLINK("https://otsuka-europe-crm.veevavault.com/ui/#object/sent_email__v/VBL00000000X429", "SE-001396285")</f>
        <v>SE-001396285</v>
      </c>
      <c r="D23250" s="1" t="s">
        <v>0</v>
      </c>
      <c r="E23250" s="2">
        <v>0</v>
      </c>
      <c r="F23250" s="2">
        <v>0</v>
      </c>
      <c r="G23250" s="2">
        <v>0</v>
      </c>
      <c r="H23250" s="1" t="s">
        <v>0</v>
      </c>
      <c r="I23250" s="2">
        <v>0</v>
      </c>
      <c r="J23250" s="1">
        <v>46002.555347222224</v>
      </c>
    </row>
    <row r="23251" spans="1:10" x14ac:dyDescent="0.2">
      <c r="A23251" s="4" t="s">
        <v>1</v>
      </c>
      <c r="B2325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51" s="3" t="str">
        <f>HYPERLINK("https://otsuka-europe-crm.veevavault.com/ui/#object/sent_email__v/VBL00000000X430", "SE-001396286")</f>
        <v>SE-001396286</v>
      </c>
      <c r="D23251" s="1" t="s">
        <v>0</v>
      </c>
      <c r="E23251" s="2">
        <v>0</v>
      </c>
      <c r="F23251" s="2">
        <v>0</v>
      </c>
      <c r="G23251" s="2">
        <v>0</v>
      </c>
      <c r="H23251" s="1" t="s">
        <v>0</v>
      </c>
      <c r="I23251" s="2">
        <v>0</v>
      </c>
      <c r="J23251" s="1">
        <v>46002.555347222224</v>
      </c>
    </row>
    <row r="23252" spans="1:10" x14ac:dyDescent="0.2">
      <c r="A23252" s="4" t="s">
        <v>1</v>
      </c>
      <c r="B2325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52" s="3" t="str">
        <f>HYPERLINK("https://otsuka-europe-crm.veevavault.com/ui/#object/sent_email__v/VBL00000000X431", "SE-001396287")</f>
        <v>SE-001396287</v>
      </c>
      <c r="D23252" s="1" t="s">
        <v>0</v>
      </c>
      <c r="E23252" s="2">
        <v>0</v>
      </c>
      <c r="F23252" s="2">
        <v>0</v>
      </c>
      <c r="G23252" s="2">
        <v>0</v>
      </c>
      <c r="H23252" s="1" t="s">
        <v>0</v>
      </c>
      <c r="I23252" s="2">
        <v>0</v>
      </c>
      <c r="J23252" s="1">
        <v>46002.555347222224</v>
      </c>
    </row>
    <row r="23253" spans="1:10" x14ac:dyDescent="0.2">
      <c r="A23253" s="4" t="s">
        <v>1</v>
      </c>
      <c r="B2325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53" s="3" t="str">
        <f>HYPERLINK("https://otsuka-europe-crm.veevavault.com/ui/#object/sent_email__v/VBL00000000X432", "SE-001396288")</f>
        <v>SE-001396288</v>
      </c>
      <c r="D23253" s="1" t="s">
        <v>0</v>
      </c>
      <c r="E23253" s="2">
        <v>0</v>
      </c>
      <c r="F23253" s="2">
        <v>0</v>
      </c>
      <c r="G23253" s="2">
        <v>0</v>
      </c>
      <c r="H23253" s="1" t="s">
        <v>0</v>
      </c>
      <c r="I23253" s="2">
        <v>0</v>
      </c>
      <c r="J23253" s="1">
        <v>46002.555347222224</v>
      </c>
    </row>
    <row r="23254" spans="1:10" x14ac:dyDescent="0.2">
      <c r="A23254" s="4" t="s">
        <v>1</v>
      </c>
      <c r="B2325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54" s="3" t="str">
        <f>HYPERLINK("https://otsuka-europe-crm.veevavault.com/ui/#object/sent_email__v/VBL00000000X433", "SE-001396289")</f>
        <v>SE-001396289</v>
      </c>
      <c r="D23254" s="1" t="s">
        <v>0</v>
      </c>
      <c r="E23254" s="2">
        <v>0</v>
      </c>
      <c r="F23254" s="2">
        <v>0</v>
      </c>
      <c r="G23254" s="2">
        <v>0</v>
      </c>
      <c r="H23254" s="1" t="s">
        <v>0</v>
      </c>
      <c r="I23254" s="2">
        <v>0</v>
      </c>
      <c r="J23254" s="1">
        <v>46002.555347222224</v>
      </c>
    </row>
    <row r="23255" spans="1:10" x14ac:dyDescent="0.2">
      <c r="A23255" s="4" t="s">
        <v>1</v>
      </c>
      <c r="B2325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55" s="3" t="str">
        <f>HYPERLINK("https://otsuka-europe-crm.veevavault.com/ui/#object/sent_email__v/VBL00000000X434", "SE-001396290")</f>
        <v>SE-001396290</v>
      </c>
      <c r="D23255" s="1" t="s">
        <v>0</v>
      </c>
      <c r="E23255" s="2">
        <v>0</v>
      </c>
      <c r="F23255" s="2">
        <v>0</v>
      </c>
      <c r="G23255" s="2">
        <v>0</v>
      </c>
      <c r="H23255" s="1" t="s">
        <v>0</v>
      </c>
      <c r="I23255" s="2">
        <v>0</v>
      </c>
      <c r="J23255" s="1">
        <v>46002.555347222224</v>
      </c>
    </row>
    <row r="23256" spans="1:10" x14ac:dyDescent="0.2">
      <c r="A23256" s="4" t="s">
        <v>1</v>
      </c>
      <c r="B2325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56" s="3" t="str">
        <f>HYPERLINK("https://otsuka-europe-crm.veevavault.com/ui/#object/sent_email__v/VBL00000000X435", "SE-001396291")</f>
        <v>SE-001396291</v>
      </c>
      <c r="D23256" s="1" t="s">
        <v>0</v>
      </c>
      <c r="E23256" s="2">
        <v>0</v>
      </c>
      <c r="F23256" s="2">
        <v>0</v>
      </c>
      <c r="G23256" s="2">
        <v>0</v>
      </c>
      <c r="H23256" s="1" t="s">
        <v>0</v>
      </c>
      <c r="I23256" s="2">
        <v>0</v>
      </c>
      <c r="J23256" s="1">
        <v>46002.555347222224</v>
      </c>
    </row>
    <row r="23257" spans="1:10" x14ac:dyDescent="0.2">
      <c r="A23257" s="4" t="s">
        <v>1</v>
      </c>
      <c r="B2325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57" s="3" t="str">
        <f>HYPERLINK("https://otsuka-europe-crm.veevavault.com/ui/#object/sent_email__v/VBL00000000X436", "SE-001396292")</f>
        <v>SE-001396292</v>
      </c>
      <c r="D23257" s="1" t="s">
        <v>0</v>
      </c>
      <c r="E23257" s="2">
        <v>0</v>
      </c>
      <c r="F23257" s="2">
        <v>0</v>
      </c>
      <c r="G23257" s="2">
        <v>0</v>
      </c>
      <c r="H23257" s="1" t="s">
        <v>0</v>
      </c>
      <c r="I23257" s="2">
        <v>0</v>
      </c>
      <c r="J23257" s="1">
        <v>46002.555347222224</v>
      </c>
    </row>
    <row r="23258" spans="1:10" x14ac:dyDescent="0.2">
      <c r="A23258" s="4" t="s">
        <v>1</v>
      </c>
      <c r="B2325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58" s="3" t="str">
        <f>HYPERLINK("https://otsuka-europe-crm.veevavault.com/ui/#object/sent_email__v/VBL00000000X437", "SE-001396293")</f>
        <v>SE-001396293</v>
      </c>
      <c r="D23258" s="1" t="s">
        <v>0</v>
      </c>
      <c r="E23258" s="2">
        <v>0</v>
      </c>
      <c r="F23258" s="2">
        <v>0</v>
      </c>
      <c r="G23258" s="2">
        <v>0</v>
      </c>
      <c r="H23258" s="1" t="s">
        <v>0</v>
      </c>
      <c r="I23258" s="2">
        <v>0</v>
      </c>
      <c r="J23258" s="1">
        <v>46002.555358796293</v>
      </c>
    </row>
    <row r="23259" spans="1:10" x14ac:dyDescent="0.2">
      <c r="A23259" s="4" t="s">
        <v>1</v>
      </c>
      <c r="B2325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59" s="3" t="str">
        <f>HYPERLINK("https://otsuka-europe-crm.veevavault.com/ui/#object/sent_email__v/VBL00000000X438", "SE-001396294")</f>
        <v>SE-001396294</v>
      </c>
      <c r="D23259" s="1" t="s">
        <v>0</v>
      </c>
      <c r="E23259" s="2">
        <v>0</v>
      </c>
      <c r="F23259" s="2">
        <v>0</v>
      </c>
      <c r="G23259" s="2">
        <v>0</v>
      </c>
      <c r="H23259" s="1" t="s">
        <v>0</v>
      </c>
      <c r="I23259" s="2">
        <v>0</v>
      </c>
      <c r="J23259" s="1">
        <v>46002.555358796293</v>
      </c>
    </row>
    <row r="23260" spans="1:10" x14ac:dyDescent="0.2">
      <c r="A23260" s="4" t="s">
        <v>1</v>
      </c>
      <c r="B2326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60" s="3" t="str">
        <f>HYPERLINK("https://otsuka-europe-crm.veevavault.com/ui/#object/sent_email__v/VBL00000000X439", "SE-001396295")</f>
        <v>SE-001396295</v>
      </c>
      <c r="D23260" s="1" t="s">
        <v>0</v>
      </c>
      <c r="E23260" s="2">
        <v>0</v>
      </c>
      <c r="F23260" s="2">
        <v>0</v>
      </c>
      <c r="G23260" s="2">
        <v>0</v>
      </c>
      <c r="H23260" s="1" t="s">
        <v>0</v>
      </c>
      <c r="I23260" s="2">
        <v>0</v>
      </c>
      <c r="J23260" s="1">
        <v>46002.555358796293</v>
      </c>
    </row>
    <row r="23261" spans="1:10" x14ac:dyDescent="0.2">
      <c r="A23261" s="4" t="s">
        <v>1</v>
      </c>
      <c r="B2326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61" s="3" t="str">
        <f>HYPERLINK("https://otsuka-europe-crm.veevavault.com/ui/#object/sent_email__v/VBL000000011702", "SE-001397496")</f>
        <v>SE-001397496</v>
      </c>
      <c r="D23261" s="1">
        <v>46008.537152777775</v>
      </c>
      <c r="E23261" s="2">
        <v>1</v>
      </c>
      <c r="F23261" s="2">
        <v>1</v>
      </c>
      <c r="G23261" s="2">
        <v>0</v>
      </c>
      <c r="H23261" s="1" t="s">
        <v>0</v>
      </c>
      <c r="I23261" s="2">
        <v>0</v>
      </c>
      <c r="J23261" s="1">
        <v>46008.535381944443</v>
      </c>
    </row>
    <row r="23262" spans="1:10" x14ac:dyDescent="0.2">
      <c r="A23262" s="4" t="s">
        <v>1</v>
      </c>
      <c r="B2326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62" s="3" t="str">
        <f>HYPERLINK("https://otsuka-europe-crm.veevavault.com/ui/#object/sent_email__v/VBL000000011703", "SE-001397497")</f>
        <v>SE-001397497</v>
      </c>
      <c r="D23262" s="1">
        <v>46008.55096064815</v>
      </c>
      <c r="E23262" s="2">
        <v>1</v>
      </c>
      <c r="F23262" s="2">
        <v>2</v>
      </c>
      <c r="G23262" s="2">
        <v>0</v>
      </c>
      <c r="H23262" s="1" t="s">
        <v>0</v>
      </c>
      <c r="I23262" s="2">
        <v>0</v>
      </c>
      <c r="J23262" s="1">
        <v>46008.535405092596</v>
      </c>
    </row>
    <row r="23263" spans="1:10" x14ac:dyDescent="0.2">
      <c r="A23263" s="4" t="s">
        <v>1</v>
      </c>
      <c r="B23263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63" s="3" t="str">
        <f>HYPERLINK("https://otsuka-europe-crm.veevavault.com/ui/#object/sent_email__v/VBL000000011704", "SE-001397498")</f>
        <v>SE-001397498</v>
      </c>
      <c r="D23263" s="1" t="s">
        <v>0</v>
      </c>
      <c r="E23263" s="2">
        <v>0</v>
      </c>
      <c r="F23263" s="2">
        <v>0</v>
      </c>
      <c r="G23263" s="2">
        <v>0</v>
      </c>
      <c r="H23263" s="1" t="s">
        <v>0</v>
      </c>
      <c r="I23263" s="2">
        <v>0</v>
      </c>
      <c r="J23263" s="1">
        <v>46008.535439814812</v>
      </c>
    </row>
    <row r="23264" spans="1:10" x14ac:dyDescent="0.2">
      <c r="A23264" s="4" t="s">
        <v>1</v>
      </c>
      <c r="B23264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64" s="3" t="str">
        <f>HYPERLINK("https://otsuka-europe-crm.veevavault.com/ui/#object/sent_email__v/VBL000000011705", "SE-001397499")</f>
        <v>SE-001397499</v>
      </c>
      <c r="D23264" s="1" t="s">
        <v>0</v>
      </c>
      <c r="E23264" s="2">
        <v>0</v>
      </c>
      <c r="F23264" s="2">
        <v>0</v>
      </c>
      <c r="G23264" s="2">
        <v>0</v>
      </c>
      <c r="H23264" s="1" t="s">
        <v>0</v>
      </c>
      <c r="I23264" s="2">
        <v>0</v>
      </c>
      <c r="J23264" s="1">
        <v>46008.535474537035</v>
      </c>
    </row>
    <row r="23265" spans="1:10" x14ac:dyDescent="0.2">
      <c r="A23265" s="4" t="s">
        <v>1</v>
      </c>
      <c r="B23265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65" s="3" t="str">
        <f>HYPERLINK("https://otsuka-europe-crm.veevavault.com/ui/#object/sent_email__v/VBL000000011706", "SE-001397500")</f>
        <v>SE-001397500</v>
      </c>
      <c r="D23265" s="1" t="s">
        <v>0</v>
      </c>
      <c r="E23265" s="2">
        <v>0</v>
      </c>
      <c r="F23265" s="2">
        <v>0</v>
      </c>
      <c r="G23265" s="2">
        <v>0</v>
      </c>
      <c r="H23265" s="1" t="s">
        <v>0</v>
      </c>
      <c r="I23265" s="2">
        <v>0</v>
      </c>
      <c r="J23265" s="1">
        <v>46008.535520833335</v>
      </c>
    </row>
    <row r="23266" spans="1:10" x14ac:dyDescent="0.2">
      <c r="A23266" s="4" t="s">
        <v>1</v>
      </c>
      <c r="B23266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66" s="3" t="str">
        <f>HYPERLINK("https://otsuka-europe-crm.veevavault.com/ui/#object/sent_email__v/VBL000000011707", "SE-001397501")</f>
        <v>SE-001397501</v>
      </c>
      <c r="D23266" s="1">
        <v>46008.652997685182</v>
      </c>
      <c r="E23266" s="2">
        <v>1</v>
      </c>
      <c r="F23266" s="2">
        <v>1</v>
      </c>
      <c r="G23266" s="2">
        <v>0</v>
      </c>
      <c r="H23266" s="1" t="s">
        <v>0</v>
      </c>
      <c r="I23266" s="2">
        <v>0</v>
      </c>
      <c r="J23266" s="1">
        <v>46008.535567129627</v>
      </c>
    </row>
    <row r="23267" spans="1:10" x14ac:dyDescent="0.2">
      <c r="A23267" s="4" t="s">
        <v>1</v>
      </c>
      <c r="B23267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67" s="3" t="str">
        <f>HYPERLINK("https://otsuka-europe-crm.veevavault.com/ui/#object/sent_email__v/VBL000000011708", "SE-001397502")</f>
        <v>SE-001397502</v>
      </c>
      <c r="D23267" s="1" t="s">
        <v>0</v>
      </c>
      <c r="E23267" s="2">
        <v>0</v>
      </c>
      <c r="F23267" s="2">
        <v>0</v>
      </c>
      <c r="G23267" s="2">
        <v>0</v>
      </c>
      <c r="H23267" s="1" t="s">
        <v>0</v>
      </c>
      <c r="I23267" s="2">
        <v>0</v>
      </c>
      <c r="J23267" s="1">
        <v>46008.535636574074</v>
      </c>
    </row>
    <row r="23268" spans="1:10" x14ac:dyDescent="0.2">
      <c r="A23268" s="4" t="s">
        <v>1</v>
      </c>
      <c r="B23268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68" s="3" t="str">
        <f>HYPERLINK("https://otsuka-europe-crm.veevavault.com/ui/#object/sent_email__v/VBL000000011709", "SE-001397503")</f>
        <v>SE-001397503</v>
      </c>
      <c r="D23268" s="1">
        <v>46037.888090277775</v>
      </c>
      <c r="E23268" s="2">
        <v>1</v>
      </c>
      <c r="F23268" s="2">
        <v>1</v>
      </c>
      <c r="G23268" s="2">
        <v>0</v>
      </c>
      <c r="H23268" s="1" t="s">
        <v>0</v>
      </c>
      <c r="I23268" s="2">
        <v>0</v>
      </c>
      <c r="J23268" s="1">
        <v>46008.53564814815</v>
      </c>
    </row>
    <row r="23269" spans="1:10" x14ac:dyDescent="0.2">
      <c r="A23269" s="4" t="s">
        <v>1</v>
      </c>
      <c r="B23269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69" s="3" t="str">
        <f>HYPERLINK("https://otsuka-europe-crm.veevavault.com/ui/#object/sent_email__v/VBL000000011710", "SE-001397504")</f>
        <v>SE-001397504</v>
      </c>
      <c r="D23269" s="1">
        <v>46008.980925925927</v>
      </c>
      <c r="E23269" s="2">
        <v>1</v>
      </c>
      <c r="F23269" s="2">
        <v>3</v>
      </c>
      <c r="G23269" s="2">
        <v>0</v>
      </c>
      <c r="H23269" s="1" t="s">
        <v>0</v>
      </c>
      <c r="I23269" s="2">
        <v>0</v>
      </c>
      <c r="J23269" s="1">
        <v>46008.535694444443</v>
      </c>
    </row>
    <row r="23270" spans="1:10" x14ac:dyDescent="0.2">
      <c r="A23270" s="4" t="s">
        <v>1</v>
      </c>
      <c r="B23270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70" s="3" t="str">
        <f>HYPERLINK("https://otsuka-europe-crm.veevavault.com/ui/#object/sent_email__v/VBL000000011711", "SE-001397505")</f>
        <v>SE-001397505</v>
      </c>
      <c r="D23270" s="1" t="s">
        <v>0</v>
      </c>
      <c r="E23270" s="2">
        <v>0</v>
      </c>
      <c r="F23270" s="2">
        <v>0</v>
      </c>
      <c r="G23270" s="2">
        <v>0</v>
      </c>
      <c r="H23270" s="1" t="s">
        <v>0</v>
      </c>
      <c r="I23270" s="2">
        <v>0</v>
      </c>
      <c r="J23270" s="1">
        <v>46008.535729166666</v>
      </c>
    </row>
    <row r="23271" spans="1:10" x14ac:dyDescent="0.2">
      <c r="A23271" s="4" t="s">
        <v>1</v>
      </c>
      <c r="B23271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71" s="3" t="str">
        <f>HYPERLINK("https://otsuka-europe-crm.veevavault.com/ui/#object/sent_email__v/VBL00000001C387", "SE-001403715")</f>
        <v>SE-001403715</v>
      </c>
      <c r="D23271" s="1" t="s">
        <v>0</v>
      </c>
      <c r="E23271" s="2">
        <v>0</v>
      </c>
      <c r="F23271" s="2">
        <v>0</v>
      </c>
      <c r="G23271" s="2">
        <v>0</v>
      </c>
      <c r="H23271" s="1" t="s">
        <v>0</v>
      </c>
      <c r="I23271" s="2">
        <v>0</v>
      </c>
      <c r="J23271" s="1">
        <v>46064.47115740741</v>
      </c>
    </row>
    <row r="23272" spans="1:10" x14ac:dyDescent="0.2">
      <c r="A23272" s="4" t="s">
        <v>1</v>
      </c>
      <c r="B23272" s="3" t="str">
        <f>HYPERLINK("https://otsuka-europe-crm.veevavault.com/ui/#object/approved_document__v/V5O00000000A066", "RXULTI - Vídeo Isabel Hernández - RXULTI, nueva alternativa para adolescentes con esquizofrenia")</f>
        <v>RXULTI - Vídeo Isabel Hernández - RXULTI, nueva alternativa para adolescentes con esquizofrenia</v>
      </c>
      <c r="C23272" s="3" t="str">
        <f>HYPERLINK("https://otsuka-europe-crm.veevavault.com/ui/#object/sent_email__v/VBL00000001D597", "SE-001404997")</f>
        <v>SE-001404997</v>
      </c>
      <c r="D23272" s="1" t="s">
        <v>0</v>
      </c>
      <c r="E23272" s="2">
        <v>0</v>
      </c>
      <c r="F23272" s="2">
        <v>0</v>
      </c>
      <c r="G23272" s="2">
        <v>0</v>
      </c>
      <c r="H23272" s="1" t="s">
        <v>0</v>
      </c>
      <c r="I23272" s="2">
        <v>0</v>
      </c>
      <c r="J23272" s="1">
        <v>46072.427824074075</v>
      </c>
    </row>
    <row r="23273" spans="1:10" x14ac:dyDescent="0.2">
      <c r="A23273" s="4" t="s">
        <v>1</v>
      </c>
      <c r="B23273" s="3" t="str">
        <f>HYPERLINK("https://otsuka-europe-crm.veevavault.com/ui/#object/approved_document__v/V5O00000000G034", "RXULTI - Webinar 30 octubre Madrid lanzamiento indicación adolescente")</f>
        <v>RXULTI - Webinar 30 octubre Madrid lanzamiento indicación adolescente</v>
      </c>
      <c r="C23273" s="3" t="str">
        <f>HYPERLINK("https://otsuka-europe-crm.veevavault.com/ui/#object/sent_email__v/VBL000000010032", "SE-001396661")</f>
        <v>SE-001396661</v>
      </c>
      <c r="D23273" s="1" t="s">
        <v>0</v>
      </c>
      <c r="E23273" s="2">
        <v>0</v>
      </c>
      <c r="F23273" s="2">
        <v>0</v>
      </c>
      <c r="G23273" s="2">
        <v>0</v>
      </c>
      <c r="H23273" s="1" t="s">
        <v>0</v>
      </c>
      <c r="I23273" s="2">
        <v>0</v>
      </c>
      <c r="J23273" s="1">
        <v>46006.498831018522</v>
      </c>
    </row>
    <row r="23274" spans="1:10" x14ac:dyDescent="0.2">
      <c r="A23274" s="4" t="s">
        <v>1</v>
      </c>
      <c r="B23274" s="3" t="str">
        <f>HYPERLINK("https://otsuka-europe-crm.veevavault.com/ui/#object/approved_document__v/V5O00000000G034", "RXULTI - Webinar 30 octubre Madrid lanzamiento indicación adolescente")</f>
        <v>RXULTI - Webinar 30 octubre Madrid lanzamiento indicación adolescente</v>
      </c>
      <c r="C23274" s="3" t="str">
        <f>HYPERLINK("https://otsuka-europe-crm.veevavault.com/ui/#object/sent_email__v/VBL000000010199", "SE-001397506")</f>
        <v>SE-001397506</v>
      </c>
      <c r="D23274" s="1">
        <v>46008.537106481483</v>
      </c>
      <c r="E23274" s="2">
        <v>1</v>
      </c>
      <c r="F23274" s="2">
        <v>1</v>
      </c>
      <c r="G23274" s="2">
        <v>0</v>
      </c>
      <c r="H23274" s="1" t="s">
        <v>0</v>
      </c>
      <c r="I23274" s="2">
        <v>0</v>
      </c>
      <c r="J23274" s="1">
        <v>46008.535439814812</v>
      </c>
    </row>
    <row r="23275" spans="1:10" x14ac:dyDescent="0.2">
      <c r="A23275" s="4" t="s">
        <v>1</v>
      </c>
      <c r="B23275" s="3" t="str">
        <f>HYPERLINK("https://otsuka-europe-crm.veevavault.com/ui/#object/approved_document__v/V5O00000000G034", "RXULTI - Webinar 30 octubre Madrid lanzamiento indicación adolescente")</f>
        <v>RXULTI - Webinar 30 octubre Madrid lanzamiento indicación adolescente</v>
      </c>
      <c r="C23275" s="3" t="str">
        <f>HYPERLINK("https://otsuka-europe-crm.veevavault.com/ui/#object/sent_email__v/VBL000000010200", "SE-001397507")</f>
        <v>SE-001397507</v>
      </c>
      <c r="D23275" s="1" t="s">
        <v>0</v>
      </c>
      <c r="E23275" s="2">
        <v>0</v>
      </c>
      <c r="F23275" s="2">
        <v>0</v>
      </c>
      <c r="G23275" s="2">
        <v>0</v>
      </c>
      <c r="H23275" s="1" t="s">
        <v>0</v>
      </c>
      <c r="I23275" s="2">
        <v>0</v>
      </c>
      <c r="J23275" s="1">
        <v>46008.535474537035</v>
      </c>
    </row>
    <row r="23276" spans="1:10" x14ac:dyDescent="0.2">
      <c r="A23276" s="4" t="s">
        <v>1</v>
      </c>
      <c r="B23276" s="3" t="str">
        <f>HYPERLINK("https://otsuka-europe-crm.veevavault.com/ui/#object/approved_document__v/V5O00000000G034", "RXULTI - Webinar 30 octubre Madrid lanzamiento indicación adolescente")</f>
        <v>RXULTI - Webinar 30 octubre Madrid lanzamiento indicación adolescente</v>
      </c>
      <c r="C23276" s="3" t="str">
        <f>HYPERLINK("https://otsuka-europe-crm.veevavault.com/ui/#object/sent_email__v/VBL000000010201", "SE-001397508")</f>
        <v>SE-001397508</v>
      </c>
      <c r="D23276" s="1" t="s">
        <v>0</v>
      </c>
      <c r="E23276" s="2">
        <v>0</v>
      </c>
      <c r="F23276" s="2">
        <v>0</v>
      </c>
      <c r="G23276" s="2">
        <v>0</v>
      </c>
      <c r="H23276" s="1" t="s">
        <v>0</v>
      </c>
      <c r="I23276" s="2">
        <v>0</v>
      </c>
      <c r="J23276" s="1">
        <v>46008.535520833335</v>
      </c>
    </row>
    <row r="23277" spans="1:10" x14ac:dyDescent="0.2">
      <c r="A23277" s="4" t="s">
        <v>1</v>
      </c>
      <c r="B23277" s="3" t="str">
        <f>HYPERLINK("https://otsuka-europe-crm.veevavault.com/ui/#object/approved_document__v/V5O00000000G034", "RXULTI - Webinar 30 octubre Madrid lanzamiento indicación adolescente")</f>
        <v>RXULTI - Webinar 30 octubre Madrid lanzamiento indicación adolescente</v>
      </c>
      <c r="C23277" s="3" t="str">
        <f>HYPERLINK("https://otsuka-europe-crm.veevavault.com/ui/#object/sent_email__v/VBL000000010202", "SE-001397509")</f>
        <v>SE-001397509</v>
      </c>
      <c r="D23277" s="1" t="s">
        <v>0</v>
      </c>
      <c r="E23277" s="2">
        <v>0</v>
      </c>
      <c r="F23277" s="2">
        <v>0</v>
      </c>
      <c r="G23277" s="2">
        <v>0</v>
      </c>
      <c r="H23277" s="1" t="s">
        <v>0</v>
      </c>
      <c r="I23277" s="2">
        <v>0</v>
      </c>
      <c r="J23277" s="1">
        <v>46008.535567129627</v>
      </c>
    </row>
    <row r="23278" spans="1:10" x14ac:dyDescent="0.2">
      <c r="A23278" s="4" t="s">
        <v>1</v>
      </c>
      <c r="B23278" s="3" t="str">
        <f>HYPERLINK("https://otsuka-europe-crm.veevavault.com/ui/#object/approved_document__v/V5O00000000G034", "RXULTI - Webinar 30 octubre Madrid lanzamiento indicación adolescente")</f>
        <v>RXULTI - Webinar 30 octubre Madrid lanzamiento indicación adolescente</v>
      </c>
      <c r="C23278" s="3" t="str">
        <f>HYPERLINK("https://otsuka-europe-crm.veevavault.com/ui/#object/sent_email__v/VBL000000010203", "SE-001397510")</f>
        <v>SE-001397510</v>
      </c>
      <c r="D23278" s="1">
        <v>46008.550798611112</v>
      </c>
      <c r="E23278" s="2">
        <v>1</v>
      </c>
      <c r="F23278" s="2">
        <v>2</v>
      </c>
      <c r="G23278" s="2">
        <v>0</v>
      </c>
      <c r="H23278" s="1" t="s">
        <v>0</v>
      </c>
      <c r="I23278" s="2">
        <v>0</v>
      </c>
      <c r="J23278" s="1">
        <v>46008.535636574074</v>
      </c>
    </row>
    <row r="23279" spans="1:10" x14ac:dyDescent="0.2">
      <c r="A23279" s="4" t="s">
        <v>1</v>
      </c>
      <c r="B23279" s="3" t="str">
        <f>HYPERLINK("https://otsuka-europe-crm.veevavault.com/ui/#object/approved_document__v/V5O00000000G034", "RXULTI - Webinar 30 octubre Madrid lanzamiento indicación adolescente")</f>
        <v>RXULTI - Webinar 30 octubre Madrid lanzamiento indicación adolescente</v>
      </c>
      <c r="C23279" s="3" t="str">
        <f>HYPERLINK("https://otsuka-europe-crm.veevavault.com/ui/#object/sent_email__v/VBL000000010204", "SE-001397511")</f>
        <v>SE-001397511</v>
      </c>
      <c r="D23279" s="1">
        <v>46008.98097222222</v>
      </c>
      <c r="E23279" s="2">
        <v>1</v>
      </c>
      <c r="F23279" s="2">
        <v>3</v>
      </c>
      <c r="G23279" s="2">
        <v>0</v>
      </c>
      <c r="H23279" s="1" t="s">
        <v>0</v>
      </c>
      <c r="I23279" s="2">
        <v>0</v>
      </c>
      <c r="J23279" s="1">
        <v>46008.53564814815</v>
      </c>
    </row>
    <row r="23280" spans="1:10" x14ac:dyDescent="0.2">
      <c r="A23280" s="4" t="s">
        <v>1</v>
      </c>
      <c r="B23280" s="3" t="str">
        <f>HYPERLINK("https://otsuka-europe-crm.veevavault.com/ui/#object/approved_document__v/V5O00000000G034", "RXULTI - Webinar 30 octubre Madrid lanzamiento indicación adolescente")</f>
        <v>RXULTI - Webinar 30 octubre Madrid lanzamiento indicación adolescente</v>
      </c>
      <c r="C23280" s="3" t="str">
        <f>HYPERLINK("https://otsuka-europe-crm.veevavault.com/ui/#object/sent_email__v/VBL000000010205", "SE-001397512")</f>
        <v>SE-001397512</v>
      </c>
      <c r="D23280" s="1" t="s">
        <v>0</v>
      </c>
      <c r="E23280" s="2">
        <v>0</v>
      </c>
      <c r="F23280" s="2">
        <v>0</v>
      </c>
      <c r="G23280" s="2">
        <v>0</v>
      </c>
      <c r="H23280" s="1" t="s">
        <v>0</v>
      </c>
      <c r="I23280" s="2">
        <v>0</v>
      </c>
      <c r="J23280" s="1">
        <v>46008.535694444443</v>
      </c>
    </row>
    <row r="23281" spans="1:10" x14ac:dyDescent="0.2">
      <c r="A23281" s="4" t="s">
        <v>1</v>
      </c>
      <c r="B23281" s="3" t="str">
        <f>HYPERLINK("https://otsuka-europe-crm.veevavault.com/ui/#object/approved_document__v/V5O00000000G034", "RXULTI - Webinar 30 octubre Madrid lanzamiento indicación adolescente")</f>
        <v>RXULTI - Webinar 30 octubre Madrid lanzamiento indicación adolescente</v>
      </c>
      <c r="C23281" s="3" t="str">
        <f>HYPERLINK("https://otsuka-europe-crm.veevavault.com/ui/#object/sent_email__v/VBL000000010206", "SE-001397513")</f>
        <v>SE-001397513</v>
      </c>
      <c r="D23281" s="1" t="s">
        <v>0</v>
      </c>
      <c r="E23281" s="2">
        <v>0</v>
      </c>
      <c r="F23281" s="2">
        <v>0</v>
      </c>
      <c r="G23281" s="2">
        <v>0</v>
      </c>
      <c r="H23281" s="1" t="s">
        <v>0</v>
      </c>
      <c r="I23281" s="2">
        <v>0</v>
      </c>
      <c r="J23281" s="1">
        <v>46008.535729166666</v>
      </c>
    </row>
    <row r="23282" spans="1:10" x14ac:dyDescent="0.2">
      <c r="A23282" s="4" t="s">
        <v>1</v>
      </c>
      <c r="B23282" s="3" t="str">
        <f>HYPERLINK("https://otsuka-europe-crm.veevavault.com/ui/#object/approved_document__v/V5O00000000G034", "RXULTI - Webinar 30 octubre Madrid lanzamiento indicación adolescente")</f>
        <v>RXULTI - Webinar 30 octubre Madrid lanzamiento indicación adolescente</v>
      </c>
      <c r="C23282" s="3" t="str">
        <f>HYPERLINK("https://otsuka-europe-crm.veevavault.com/ui/#object/sent_email__v/VBL000000010207", "SE-001397514")</f>
        <v>SE-001397514</v>
      </c>
      <c r="D23282" s="1">
        <v>46008.652986111112</v>
      </c>
      <c r="E23282" s="2">
        <v>1</v>
      </c>
      <c r="F23282" s="2">
        <v>1</v>
      </c>
      <c r="G23282" s="2">
        <v>0</v>
      </c>
      <c r="H23282" s="1" t="s">
        <v>0</v>
      </c>
      <c r="I23282" s="2">
        <v>0</v>
      </c>
      <c r="J23282" s="1">
        <v>46008.535763888889</v>
      </c>
    </row>
    <row r="23283" spans="1:10" x14ac:dyDescent="0.2">
      <c r="A23283" s="4" t="s">
        <v>1</v>
      </c>
      <c r="B23283" s="3" t="str">
        <f>HYPERLINK("https://otsuka-europe-crm.veevavault.com/ui/#object/approved_document__v/V5O00000000G034", "RXULTI - Webinar 30 octubre Madrid lanzamiento indicación adolescente")</f>
        <v>RXULTI - Webinar 30 octubre Madrid lanzamiento indicación adolescente</v>
      </c>
      <c r="C23283" s="3" t="str">
        <f>HYPERLINK("https://otsuka-europe-crm.veevavault.com/ui/#object/sent_email__v/VBL000000010208", "SE-001397515")</f>
        <v>SE-001397515</v>
      </c>
      <c r="D23283" s="1">
        <v>46037.888090277775</v>
      </c>
      <c r="E23283" s="2">
        <v>1</v>
      </c>
      <c r="F23283" s="2">
        <v>1</v>
      </c>
      <c r="G23283" s="2">
        <v>0</v>
      </c>
      <c r="H23283" s="1" t="s">
        <v>0</v>
      </c>
      <c r="I23283" s="2">
        <v>0</v>
      </c>
      <c r="J23283" s="1">
        <v>46008.535798611112</v>
      </c>
    </row>
    <row r="23284" spans="1:10" x14ac:dyDescent="0.2">
      <c r="A23284" s="4" t="s">
        <v>1</v>
      </c>
      <c r="B23284" s="3" t="str">
        <f>HYPERLINK("https://otsuka-europe-crm.veevavault.com/ui/#object/approved_document__v/V5OZ025E827V1L2", "RXULTI: Mecanismo de acción único")</f>
        <v>RXULTI: Mecanismo de acción único</v>
      </c>
      <c r="C23284" s="3" t="str">
        <f>HYPERLINK("https://otsuka-europe-crm.veevavault.com/ui/#object/sent_email__v/VBLZ025E82GHWEH", "SE-000255542")</f>
        <v>SE-000255542</v>
      </c>
      <c r="D23284" s="1">
        <v>45992.785601851851</v>
      </c>
      <c r="E23284" s="2">
        <v>1</v>
      </c>
      <c r="F23284" s="2">
        <v>1</v>
      </c>
      <c r="G23284" s="2">
        <v>0</v>
      </c>
      <c r="H23284" s="1" t="s">
        <v>0</v>
      </c>
      <c r="I23284" s="2">
        <v>0</v>
      </c>
      <c r="J23284" s="1">
        <v>45908.662118055552</v>
      </c>
    </row>
    <row r="23285" spans="1:10" x14ac:dyDescent="0.2">
      <c r="A23285" s="4" t="s">
        <v>1</v>
      </c>
      <c r="B23285" s="3" t="str">
        <f>HYPERLINK("https://otsuka-europe-crm.veevavault.com/ui/#object/approved_document__v/V5OZ025E827V1L2", "RXULTI: Mecanismo de acción único")</f>
        <v>RXULTI: Mecanismo de acción único</v>
      </c>
      <c r="C23285" s="3" t="str">
        <f>HYPERLINK("https://otsuka-europe-crm.veevavault.com/ui/#object/sent_email__v/VBLZ025E82GVI29", "SE-000279467")</f>
        <v>SE-000279467</v>
      </c>
      <c r="D23285" s="1" t="s">
        <v>0</v>
      </c>
      <c r="E23285" s="2">
        <v>0</v>
      </c>
      <c r="F23285" s="2">
        <v>0</v>
      </c>
      <c r="G23285" s="2">
        <v>0</v>
      </c>
      <c r="H23285" s="1" t="s">
        <v>0</v>
      </c>
      <c r="I23285" s="2">
        <v>0</v>
      </c>
      <c r="J23285" s="1">
        <v>45922.317939814813</v>
      </c>
    </row>
    <row r="23286" spans="1:10" x14ac:dyDescent="0.2">
      <c r="A23286" s="4" t="s">
        <v>1</v>
      </c>
      <c r="B23286" s="3" t="str">
        <f>HYPERLINK("https://otsuka-europe-crm.veevavault.com/ui/#object/approved_document__v/V5O00000000P011", "RXULTIP Dr. Crespo - RXULTI paciente privada")</f>
        <v>RXULTIP Dr. Crespo - RXULTI paciente privada</v>
      </c>
      <c r="C23286" s="3" t="str">
        <f>HYPERLINK("https://otsuka-europe-crm.veevavault.com/ui/#object/sent_email__v/VBL00000001C406", "SE-001403751")</f>
        <v>SE-001403751</v>
      </c>
      <c r="D23286" s="1" t="s">
        <v>0</v>
      </c>
      <c r="E23286" s="2">
        <v>0</v>
      </c>
      <c r="F23286" s="2">
        <v>0</v>
      </c>
      <c r="G23286" s="2">
        <v>0</v>
      </c>
      <c r="H23286" s="1" t="s">
        <v>0</v>
      </c>
      <c r="I23286" s="2">
        <v>0</v>
      </c>
      <c r="J23286" s="1">
        <v>46064.509502314817</v>
      </c>
    </row>
    <row r="23287" spans="1:10" x14ac:dyDescent="0.2">
      <c r="A23287" s="4" t="s">
        <v>1</v>
      </c>
      <c r="B23287" s="3" t="str">
        <f>HYPERLINK("https://otsuka-europe-crm.veevavault.com/ui/#object/approved_document__v/V5O00000000P011", "RXULTIP Dr. Crespo - RXULTI paciente privada")</f>
        <v>RXULTIP Dr. Crespo - RXULTI paciente privada</v>
      </c>
      <c r="C23287" s="3" t="str">
        <f>HYPERLINK("https://otsuka-europe-crm.veevavault.com/ui/#object/sent_email__v/VBL00000001G544", "SE-001406195")</f>
        <v>SE-001406195</v>
      </c>
      <c r="D23287" s="1" t="s">
        <v>0</v>
      </c>
      <c r="E23287" s="2">
        <v>0</v>
      </c>
      <c r="F23287" s="2">
        <v>0</v>
      </c>
      <c r="G23287" s="2">
        <v>0</v>
      </c>
      <c r="H23287" s="1" t="s">
        <v>0</v>
      </c>
      <c r="I23287" s="2">
        <v>0</v>
      </c>
      <c r="J23287" s="1">
        <v>46077.720902777779</v>
      </c>
    </row>
    <row r="23288" spans="1:10" x14ac:dyDescent="0.2">
      <c r="A23288" s="4" t="s">
        <v>1</v>
      </c>
      <c r="B23288" s="3" t="str">
        <f>HYPERLINK("https://otsuka-europe-crm.veevavault.com/ui/#object/approved_document__v/V5O00000000P011", "RXULTIP Dr. Crespo - RXULTI paciente privada")</f>
        <v>RXULTIP Dr. Crespo - RXULTI paciente privada</v>
      </c>
      <c r="C23288" s="3" t="str">
        <f>HYPERLINK("https://otsuka-europe-crm.veevavault.com/ui/#object/sent_email__v/VBL00000001G545", "SE-001406196")</f>
        <v>SE-001406196</v>
      </c>
      <c r="D23288" s="1">
        <v>46078.768067129633</v>
      </c>
      <c r="E23288" s="2">
        <v>1</v>
      </c>
      <c r="F23288" s="2">
        <v>1</v>
      </c>
      <c r="G23288" s="2">
        <v>0</v>
      </c>
      <c r="H23288" s="1" t="s">
        <v>0</v>
      </c>
      <c r="I23288" s="2">
        <v>0</v>
      </c>
      <c r="J23288" s="1">
        <v>46077.721018518518</v>
      </c>
    </row>
    <row r="23289" spans="1:10" x14ac:dyDescent="0.2">
      <c r="A23289" s="4" t="s">
        <v>1</v>
      </c>
      <c r="B23289" s="3" t="str">
        <f>HYPERLINK("https://otsuka-europe-crm.veevavault.com/ui/#object/approved_document__v/V5O00000000P011", "RXULTIP Dr. Crespo - RXULTI paciente privada")</f>
        <v>RXULTIP Dr. Crespo - RXULTI paciente privada</v>
      </c>
      <c r="C23289" s="3" t="str">
        <f>HYPERLINK("https://otsuka-europe-crm.veevavault.com/ui/#object/sent_email__v/VBL00000001G546", "SE-001406197")</f>
        <v>SE-001406197</v>
      </c>
      <c r="D23289" s="1" t="s">
        <v>0</v>
      </c>
      <c r="E23289" s="2">
        <v>0</v>
      </c>
      <c r="F23289" s="2">
        <v>0</v>
      </c>
      <c r="G23289" s="2">
        <v>0</v>
      </c>
      <c r="H23289" s="1" t="s">
        <v>0</v>
      </c>
      <c r="I23289" s="2">
        <v>0</v>
      </c>
      <c r="J23289" s="1">
        <v>46077.721180555556</v>
      </c>
    </row>
    <row r="23290" spans="1:10" x14ac:dyDescent="0.2">
      <c r="A23290" s="4" t="s">
        <v>1</v>
      </c>
      <c r="B23290" s="3" t="str">
        <f>HYPERLINK("https://otsuka-europe-crm.veevavault.com/ui/#object/approved_document__v/V5O00000000P011", "RXULTIP Dr. Crespo - RXULTI paciente privada")</f>
        <v>RXULTIP Dr. Crespo - RXULTI paciente privada</v>
      </c>
      <c r="C23290" s="3" t="str">
        <f>HYPERLINK("https://otsuka-europe-crm.veevavault.com/ui/#object/sent_email__v/VBL00000001G547", "SE-001406198")</f>
        <v>SE-001406198</v>
      </c>
      <c r="D23290" s="1">
        <v>46077.958807870367</v>
      </c>
      <c r="E23290" s="2">
        <v>1</v>
      </c>
      <c r="F23290" s="2">
        <v>1</v>
      </c>
      <c r="G23290" s="2">
        <v>0</v>
      </c>
      <c r="H23290" s="1" t="s">
        <v>0</v>
      </c>
      <c r="I23290" s="2">
        <v>0</v>
      </c>
      <c r="J23290" s="1">
        <v>46077.72142361111</v>
      </c>
    </row>
    <row r="23291" spans="1:10" x14ac:dyDescent="0.2">
      <c r="A23291" s="4" t="s">
        <v>1</v>
      </c>
      <c r="B23291" s="3" t="str">
        <f>HYPERLINK("https://otsuka-europe-crm.veevavault.com/ui/#object/approved_document__v/V5O00000000P011", "RXULTIP Dr. Crespo - RXULTI paciente privada")</f>
        <v>RXULTIP Dr. Crespo - RXULTI paciente privada</v>
      </c>
      <c r="C23291" s="3" t="str">
        <f>HYPERLINK("https://otsuka-europe-crm.veevavault.com/ui/#object/sent_email__v/VBL00000001G548", "SE-001406199")</f>
        <v>SE-001406199</v>
      </c>
      <c r="D23291" s="1">
        <v>46077.918923611112</v>
      </c>
      <c r="E23291" s="2">
        <v>1</v>
      </c>
      <c r="F23291" s="2">
        <v>2</v>
      </c>
      <c r="G23291" s="2">
        <v>0</v>
      </c>
      <c r="H23291" s="1" t="s">
        <v>0</v>
      </c>
      <c r="I23291" s="2">
        <v>0</v>
      </c>
      <c r="J23291" s="1">
        <v>46077.721689814818</v>
      </c>
    </row>
    <row r="23292" spans="1:10" x14ac:dyDescent="0.2">
      <c r="A23292" s="4" t="s">
        <v>1</v>
      </c>
      <c r="B23292" s="3" t="str">
        <f>HYPERLINK("https://otsuka-europe-crm.veevavault.com/ui/#object/approved_document__v/V5O00000000P011", "RXULTIP Dr. Crespo - RXULTI paciente privada")</f>
        <v>RXULTIP Dr. Crespo - RXULTI paciente privada</v>
      </c>
      <c r="C23292" s="3" t="str">
        <f>HYPERLINK("https://otsuka-europe-crm.veevavault.com/ui/#object/sent_email__v/VBL00000001G549", "SE-001406200")</f>
        <v>SE-001406200</v>
      </c>
      <c r="D23292" s="1" t="s">
        <v>0</v>
      </c>
      <c r="E23292" s="2">
        <v>0</v>
      </c>
      <c r="F23292" s="2">
        <v>0</v>
      </c>
      <c r="G23292" s="2">
        <v>0</v>
      </c>
      <c r="H23292" s="1" t="s">
        <v>0</v>
      </c>
      <c r="I23292" s="2">
        <v>0</v>
      </c>
      <c r="J23292" s="1">
        <v>46077.721944444442</v>
      </c>
    </row>
    <row r="23293" spans="1:10" x14ac:dyDescent="0.2">
      <c r="A23293" s="4" t="s">
        <v>1</v>
      </c>
      <c r="B23293" s="3" t="str">
        <f>HYPERLINK("https://otsuka-europe-crm.veevavault.com/ui/#object/approved_document__v/V5O00000000P011", "RXULTIP Dr. Crespo - RXULTI paciente privada")</f>
        <v>RXULTIP Dr. Crespo - RXULTI paciente privada</v>
      </c>
      <c r="C23293" s="3" t="str">
        <f>HYPERLINK("https://otsuka-europe-crm.veevavault.com/ui/#object/sent_email__v/VBL00000001G550", "SE-001406201")</f>
        <v>SE-001406201</v>
      </c>
      <c r="D23293" s="1" t="s">
        <v>0</v>
      </c>
      <c r="E23293" s="2">
        <v>0</v>
      </c>
      <c r="F23293" s="2">
        <v>0</v>
      </c>
      <c r="G23293" s="2">
        <v>0</v>
      </c>
      <c r="H23293" s="1" t="s">
        <v>0</v>
      </c>
      <c r="I23293" s="2">
        <v>0</v>
      </c>
      <c r="J23293" s="1">
        <v>46077.722187500003</v>
      </c>
    </row>
    <row r="23294" spans="1:10" x14ac:dyDescent="0.2">
      <c r="A23294" s="4" t="s">
        <v>1</v>
      </c>
      <c r="B23294" s="3" t="str">
        <f>HYPERLINK("https://otsuka-europe-crm.veevavault.com/ui/#object/approved_document__v/V5O00000000P011", "RXULTIP Dr. Crespo - RXULTI paciente privada")</f>
        <v>RXULTIP Dr. Crespo - RXULTI paciente privada</v>
      </c>
      <c r="C23294" s="3" t="str">
        <f>HYPERLINK("https://otsuka-europe-crm.veevavault.com/ui/#object/sent_email__v/VBL00000001G551", "SE-001406202")</f>
        <v>SE-001406202</v>
      </c>
      <c r="D23294" s="1" t="s">
        <v>0</v>
      </c>
      <c r="E23294" s="2">
        <v>0</v>
      </c>
      <c r="F23294" s="2">
        <v>0</v>
      </c>
      <c r="G23294" s="2">
        <v>0</v>
      </c>
      <c r="H23294" s="1" t="s">
        <v>0</v>
      </c>
      <c r="I23294" s="2">
        <v>0</v>
      </c>
      <c r="J23294" s="1">
        <v>46077.722384259258</v>
      </c>
    </row>
    <row r="23295" spans="1:10" x14ac:dyDescent="0.2">
      <c r="A23295" s="4" t="s">
        <v>1</v>
      </c>
      <c r="B23295" s="3" t="str">
        <f>HYPERLINK("https://otsuka-europe-crm.veevavault.com/ui/#object/approved_document__v/V5O00000000P011", "RXULTIP Dr. Crespo - RXULTI paciente privada")</f>
        <v>RXULTIP Dr. Crespo - RXULTI paciente privada</v>
      </c>
      <c r="C23295" s="3" t="str">
        <f>HYPERLINK("https://otsuka-europe-crm.veevavault.com/ui/#object/sent_email__v/VBL00000001G552", "SE-001406203")</f>
        <v>SE-001406203</v>
      </c>
      <c r="D23295" s="1" t="s">
        <v>0</v>
      </c>
      <c r="E23295" s="2">
        <v>0</v>
      </c>
      <c r="F23295" s="2">
        <v>0</v>
      </c>
      <c r="G23295" s="2">
        <v>0</v>
      </c>
      <c r="H23295" s="1" t="s">
        <v>0</v>
      </c>
      <c r="I23295" s="2">
        <v>0</v>
      </c>
      <c r="J23295" s="1">
        <v>46077.722534722219</v>
      </c>
    </row>
    <row r="23296" spans="1:10" x14ac:dyDescent="0.2">
      <c r="A23296" s="4" t="s">
        <v>1</v>
      </c>
      <c r="B23296" s="3" t="str">
        <f>HYPERLINK("https://otsuka-europe-crm.veevavault.com/ui/#object/approved_document__v/V5O00000000P011", "RXULTIP Dr. Crespo - RXULTI paciente privada")</f>
        <v>RXULTIP Dr. Crespo - RXULTI paciente privada</v>
      </c>
      <c r="C23296" s="3" t="str">
        <f>HYPERLINK("https://otsuka-europe-crm.veevavault.com/ui/#object/sent_email__v/VBL00000001G553", "SE-001406204")</f>
        <v>SE-001406204</v>
      </c>
      <c r="D23296" s="1">
        <v>46077.848136574074</v>
      </c>
      <c r="E23296" s="2">
        <v>1</v>
      </c>
      <c r="F23296" s="2">
        <v>1</v>
      </c>
      <c r="G23296" s="2">
        <v>0</v>
      </c>
      <c r="H23296" s="1" t="s">
        <v>0</v>
      </c>
      <c r="I23296" s="2">
        <v>0</v>
      </c>
      <c r="J23296" s="1">
        <v>46077.722708333335</v>
      </c>
    </row>
    <row r="23297" spans="1:10" x14ac:dyDescent="0.2">
      <c r="A23297" s="4" t="s">
        <v>1</v>
      </c>
      <c r="B23297" s="3" t="str">
        <f>HYPERLINK("https://otsuka-europe-crm.veevavault.com/ui/#object/approved_document__v/V5O00000000P011", "RXULTIP Dr. Crespo - RXULTI paciente privada")</f>
        <v>RXULTIP Dr. Crespo - RXULTI paciente privada</v>
      </c>
      <c r="C23297" s="3" t="str">
        <f>HYPERLINK("https://otsuka-europe-crm.veevavault.com/ui/#object/sent_email__v/VBL00000001G554", "SE-001406205")</f>
        <v>SE-001406205</v>
      </c>
      <c r="D23297" s="1" t="s">
        <v>0</v>
      </c>
      <c r="E23297" s="2">
        <v>0</v>
      </c>
      <c r="F23297" s="2">
        <v>0</v>
      </c>
      <c r="G23297" s="2">
        <v>0</v>
      </c>
      <c r="H23297" s="1" t="s">
        <v>0</v>
      </c>
      <c r="I23297" s="2">
        <v>0</v>
      </c>
      <c r="J23297" s="1">
        <v>46077.722870370373</v>
      </c>
    </row>
    <row r="23298" spans="1:10" x14ac:dyDescent="0.2">
      <c r="A23298" s="4" t="s">
        <v>1</v>
      </c>
      <c r="B23298" s="3" t="str">
        <f>HYPERLINK("https://otsuka-europe-crm.veevavault.com/ui/#object/approved_document__v/V5O00000000P011", "RXULTIP Dr. Crespo - RXULTI paciente privada")</f>
        <v>RXULTIP Dr. Crespo - RXULTI paciente privada</v>
      </c>
      <c r="C23298" s="3" t="str">
        <f>HYPERLINK("https://otsuka-europe-crm.veevavault.com/ui/#object/sent_email__v/VBL00000001G555", "SE-001406206")</f>
        <v>SE-001406206</v>
      </c>
      <c r="D23298" s="1" t="s">
        <v>0</v>
      </c>
      <c r="E23298" s="2">
        <v>0</v>
      </c>
      <c r="F23298" s="2">
        <v>0</v>
      </c>
      <c r="G23298" s="2">
        <v>0</v>
      </c>
      <c r="H23298" s="1" t="s">
        <v>0</v>
      </c>
      <c r="I23298" s="2">
        <v>0</v>
      </c>
      <c r="J23298" s="1">
        <v>46077.723043981481</v>
      </c>
    </row>
    <row r="23299" spans="1:10" x14ac:dyDescent="0.2">
      <c r="A23299" s="4" t="s">
        <v>1</v>
      </c>
      <c r="B23299" s="3" t="str">
        <f>HYPERLINK("https://otsuka-europe-crm.veevavault.com/ui/#object/approved_document__v/V5O00000000P011", "RXULTIP Dr. Crespo - RXULTI paciente privada")</f>
        <v>RXULTIP Dr. Crespo - RXULTI paciente privada</v>
      </c>
      <c r="C23299" s="3" t="str">
        <f>HYPERLINK("https://otsuka-europe-crm.veevavault.com/ui/#object/sent_email__v/VBL00000001G556", "SE-001406207")</f>
        <v>SE-001406207</v>
      </c>
      <c r="D23299" s="1" t="s">
        <v>0</v>
      </c>
      <c r="E23299" s="2">
        <v>0</v>
      </c>
      <c r="F23299" s="2">
        <v>0</v>
      </c>
      <c r="G23299" s="2">
        <v>0</v>
      </c>
      <c r="H23299" s="1" t="s">
        <v>0</v>
      </c>
      <c r="I23299" s="2">
        <v>0</v>
      </c>
      <c r="J23299" s="1">
        <v>46077.72320601852</v>
      </c>
    </row>
    <row r="23300" spans="1:10" x14ac:dyDescent="0.2">
      <c r="A23300" s="4" t="s">
        <v>1</v>
      </c>
      <c r="B23300" s="3" t="str">
        <f>HYPERLINK("https://otsuka-europe-crm.veevavault.com/ui/#object/approved_document__v/V5O00000000P011", "RXULTIP Dr. Crespo - RXULTI paciente privada")</f>
        <v>RXULTIP Dr. Crespo - RXULTI paciente privada</v>
      </c>
      <c r="C23300" s="3" t="str">
        <f>HYPERLINK("https://otsuka-europe-crm.veevavault.com/ui/#object/sent_email__v/VBL00000001G557", "SE-001406208")</f>
        <v>SE-001406208</v>
      </c>
      <c r="D23300" s="1" t="s">
        <v>0</v>
      </c>
      <c r="E23300" s="2">
        <v>0</v>
      </c>
      <c r="F23300" s="2">
        <v>0</v>
      </c>
      <c r="G23300" s="2">
        <v>0</v>
      </c>
      <c r="H23300" s="1" t="s">
        <v>0</v>
      </c>
      <c r="I23300" s="2">
        <v>0</v>
      </c>
      <c r="J23300" s="1">
        <v>46077.723449074074</v>
      </c>
    </row>
    <row r="23301" spans="1:10" x14ac:dyDescent="0.2">
      <c r="A23301" s="4" t="s">
        <v>1</v>
      </c>
      <c r="B23301" s="3" t="str">
        <f>HYPERLINK("https://otsuka-europe-crm.veevavault.com/ui/#object/approved_document__v/V5O00000000P011", "RXULTIP Dr. Crespo - RXULTI paciente privada")</f>
        <v>RXULTIP Dr. Crespo - RXULTI paciente privada</v>
      </c>
      <c r="C23301" s="3" t="str">
        <f>HYPERLINK("https://otsuka-europe-crm.veevavault.com/ui/#object/sent_email__v/VBL00000001G558", "SE-001406209")</f>
        <v>SE-001406209</v>
      </c>
      <c r="D23301" s="1" t="s">
        <v>0</v>
      </c>
      <c r="E23301" s="2">
        <v>0</v>
      </c>
      <c r="F23301" s="2">
        <v>0</v>
      </c>
      <c r="G23301" s="2">
        <v>0</v>
      </c>
      <c r="H23301" s="1" t="s">
        <v>0</v>
      </c>
      <c r="I23301" s="2">
        <v>0</v>
      </c>
      <c r="J23301" s="1">
        <v>46077.723692129628</v>
      </c>
    </row>
    <row r="23302" spans="1:10" x14ac:dyDescent="0.2">
      <c r="A23302" s="4" t="s">
        <v>1</v>
      </c>
      <c r="B23302" s="3" t="str">
        <f>HYPERLINK("https://otsuka-europe-crm.veevavault.com/ui/#object/approved_document__v/V5O00000000P011", "RXULTIP Dr. Crespo - RXULTI paciente privada")</f>
        <v>RXULTIP Dr. Crespo - RXULTI paciente privada</v>
      </c>
      <c r="C23302" s="3" t="str">
        <f>HYPERLINK("https://otsuka-europe-crm.veevavault.com/ui/#object/sent_email__v/VBL00000001G559", "SE-001406210")</f>
        <v>SE-001406210</v>
      </c>
      <c r="D23302" s="1" t="s">
        <v>0</v>
      </c>
      <c r="E23302" s="2">
        <v>0</v>
      </c>
      <c r="F23302" s="2">
        <v>0</v>
      </c>
      <c r="G23302" s="2">
        <v>0</v>
      </c>
      <c r="H23302" s="1" t="s">
        <v>0</v>
      </c>
      <c r="I23302" s="2">
        <v>0</v>
      </c>
      <c r="J23302" s="1">
        <v>46077.723912037036</v>
      </c>
    </row>
    <row r="23303" spans="1:10" x14ac:dyDescent="0.2">
      <c r="A23303" s="4" t="s">
        <v>1</v>
      </c>
      <c r="B23303" s="3" t="str">
        <f>HYPERLINK("https://otsuka-europe-crm.veevavault.com/ui/#object/approved_document__v/V5O00000000P011", "RXULTIP Dr. Crespo - RXULTI paciente privada")</f>
        <v>RXULTIP Dr. Crespo - RXULTI paciente privada</v>
      </c>
      <c r="C23303" s="3" t="str">
        <f>HYPERLINK("https://otsuka-europe-crm.veevavault.com/ui/#object/sent_email__v/VBL00000001G560", "SE-001406211")</f>
        <v>SE-001406211</v>
      </c>
      <c r="D23303" s="1" t="s">
        <v>0</v>
      </c>
      <c r="E23303" s="2">
        <v>0</v>
      </c>
      <c r="F23303" s="2">
        <v>0</v>
      </c>
      <c r="G23303" s="2">
        <v>0</v>
      </c>
      <c r="H23303" s="1" t="s">
        <v>0</v>
      </c>
      <c r="I23303" s="2">
        <v>0</v>
      </c>
      <c r="J23303" s="1">
        <v>46077.724178240744</v>
      </c>
    </row>
    <row r="23304" spans="1:10" x14ac:dyDescent="0.2">
      <c r="A23304" s="4" t="s">
        <v>1</v>
      </c>
      <c r="B23304" s="3" t="str">
        <f>HYPERLINK("https://otsuka-europe-crm.veevavault.com/ui/#object/approved_document__v/V5O00000000P011", "RXULTIP Dr. Crespo - RXULTI paciente privada")</f>
        <v>RXULTIP Dr. Crespo - RXULTI paciente privada</v>
      </c>
      <c r="C23304" s="3" t="str">
        <f>HYPERLINK("https://otsuka-europe-crm.veevavault.com/ui/#object/sent_email__v/VBL00000001G561", "SE-001406212")</f>
        <v>SE-001406212</v>
      </c>
      <c r="D23304" s="1" t="s">
        <v>0</v>
      </c>
      <c r="E23304" s="2">
        <v>0</v>
      </c>
      <c r="F23304" s="2">
        <v>0</v>
      </c>
      <c r="G23304" s="2">
        <v>0</v>
      </c>
      <c r="H23304" s="1" t="s">
        <v>0</v>
      </c>
      <c r="I23304" s="2">
        <v>0</v>
      </c>
      <c r="J23304" s="1">
        <v>46077.724421296298</v>
      </c>
    </row>
    <row r="23305" spans="1:10" x14ac:dyDescent="0.2">
      <c r="A23305" s="4" t="s">
        <v>1</v>
      </c>
      <c r="B23305" s="3" t="str">
        <f>HYPERLINK("https://otsuka-europe-crm.veevavault.com/ui/#object/approved_document__v/V5O00000000P011", "RXULTIP Dr. Crespo - RXULTI paciente privada")</f>
        <v>RXULTIP Dr. Crespo - RXULTI paciente privada</v>
      </c>
      <c r="C23305" s="3" t="str">
        <f>HYPERLINK("https://otsuka-europe-crm.veevavault.com/ui/#object/sent_email__v/VBL00000001G562", "SE-001406213")</f>
        <v>SE-001406213</v>
      </c>
      <c r="D23305" s="1">
        <v>46077.982465277775</v>
      </c>
      <c r="E23305" s="2">
        <v>1</v>
      </c>
      <c r="F23305" s="2">
        <v>1</v>
      </c>
      <c r="G23305" s="2">
        <v>0</v>
      </c>
      <c r="H23305" s="1" t="s">
        <v>0</v>
      </c>
      <c r="I23305" s="2">
        <v>0</v>
      </c>
      <c r="J23305" s="1">
        <v>46077.724652777775</v>
      </c>
    </row>
    <row r="23306" spans="1:10" x14ac:dyDescent="0.2">
      <c r="A23306" s="4" t="s">
        <v>1</v>
      </c>
      <c r="B23306" s="3" t="str">
        <f>HYPERLINK("https://otsuka-europe-crm.veevavault.com/ui/#object/approved_document__v/V5O00000000P011", "RXULTIP Dr. Crespo - RXULTI paciente privada")</f>
        <v>RXULTIP Dr. Crespo - RXULTI paciente privada</v>
      </c>
      <c r="C23306" s="3" t="str">
        <f>HYPERLINK("https://otsuka-europe-crm.veevavault.com/ui/#object/sent_email__v/VBL00000001G563", "SE-001406214")</f>
        <v>SE-001406214</v>
      </c>
      <c r="D23306" s="1" t="s">
        <v>0</v>
      </c>
      <c r="E23306" s="2">
        <v>0</v>
      </c>
      <c r="F23306" s="2">
        <v>0</v>
      </c>
      <c r="G23306" s="2">
        <v>0</v>
      </c>
      <c r="H23306" s="1" t="s">
        <v>0</v>
      </c>
      <c r="I23306" s="2">
        <v>0</v>
      </c>
      <c r="J23306" s="1">
        <v>46077.724907407406</v>
      </c>
    </row>
    <row r="23307" spans="1:10" x14ac:dyDescent="0.2">
      <c r="A23307" s="4" t="s">
        <v>1</v>
      </c>
      <c r="B23307" s="3" t="str">
        <f>HYPERLINK("https://otsuka-europe-crm.veevavault.com/ui/#object/approved_document__v/V5O00000000P011", "RXULTIP Dr. Crespo - RXULTI paciente privada")</f>
        <v>RXULTIP Dr. Crespo - RXULTI paciente privada</v>
      </c>
      <c r="C23307" s="3" t="str">
        <f>HYPERLINK("https://otsuka-europe-crm.veevavault.com/ui/#object/sent_email__v/VBL00000001G564", "SE-001406215")</f>
        <v>SE-001406215</v>
      </c>
      <c r="D23307" s="1">
        <v>46078.538668981484</v>
      </c>
      <c r="E23307" s="2">
        <v>1</v>
      </c>
      <c r="F23307" s="2">
        <v>2</v>
      </c>
      <c r="G23307" s="2">
        <v>0</v>
      </c>
      <c r="H23307" s="1" t="s">
        <v>0</v>
      </c>
      <c r="I23307" s="2">
        <v>0</v>
      </c>
      <c r="J23307" s="1">
        <v>46077.725173611114</v>
      </c>
    </row>
    <row r="23308" spans="1:10" x14ac:dyDescent="0.2">
      <c r="A23308" s="4" t="s">
        <v>1</v>
      </c>
      <c r="B23308" s="3" t="str">
        <f>HYPERLINK("https://otsuka-europe-crm.veevavault.com/ui/#object/approved_document__v/V5O00000000P011", "RXULTIP Dr. Crespo - RXULTI paciente privada")</f>
        <v>RXULTIP Dr. Crespo - RXULTI paciente privada</v>
      </c>
      <c r="C23308" s="3" t="str">
        <f>HYPERLINK("https://otsuka-europe-crm.veevavault.com/ui/#object/sent_email__v/VBL00000001G565", "SE-001406216")</f>
        <v>SE-001406216</v>
      </c>
      <c r="D23308" s="1" t="s">
        <v>0</v>
      </c>
      <c r="E23308" s="2">
        <v>0</v>
      </c>
      <c r="F23308" s="2">
        <v>0</v>
      </c>
      <c r="G23308" s="2">
        <v>0</v>
      </c>
      <c r="H23308" s="1" t="s">
        <v>0</v>
      </c>
      <c r="I23308" s="2">
        <v>0</v>
      </c>
      <c r="J23308" s="1">
        <v>46077.725405092591</v>
      </c>
    </row>
    <row r="23309" spans="1:10" x14ac:dyDescent="0.2">
      <c r="A23309" s="4" t="s">
        <v>1</v>
      </c>
      <c r="B23309" s="3" t="str">
        <f>HYPERLINK("https://otsuka-europe-crm.veevavault.com/ui/#object/approved_document__v/V5O00000000P011", "RXULTIP Dr. Crespo - RXULTI paciente privada")</f>
        <v>RXULTIP Dr. Crespo - RXULTI paciente privada</v>
      </c>
      <c r="C23309" s="3" t="str">
        <f>HYPERLINK("https://otsuka-europe-crm.veevavault.com/ui/#object/sent_email__v/VBL00000001G566", "SE-001406217")</f>
        <v>SE-001406217</v>
      </c>
      <c r="D23309" s="1">
        <v>46077.746828703705</v>
      </c>
      <c r="E23309" s="2">
        <v>1</v>
      </c>
      <c r="F23309" s="2">
        <v>1</v>
      </c>
      <c r="G23309" s="2">
        <v>0</v>
      </c>
      <c r="H23309" s="1" t="s">
        <v>0</v>
      </c>
      <c r="I23309" s="2">
        <v>0</v>
      </c>
      <c r="J23309" s="1">
        <v>46077.725648148145</v>
      </c>
    </row>
    <row r="23310" spans="1:10" x14ac:dyDescent="0.2">
      <c r="A23310" s="4" t="s">
        <v>1</v>
      </c>
      <c r="B23310" s="3" t="str">
        <f>HYPERLINK("https://otsuka-europe-crm.veevavault.com/ui/#object/approved_document__v/V5O00000000P011", "RXULTIP Dr. Crespo - RXULTI paciente privada")</f>
        <v>RXULTIP Dr. Crespo - RXULTI paciente privada</v>
      </c>
      <c r="C23310" s="3" t="str">
        <f>HYPERLINK("https://otsuka-europe-crm.veevavault.com/ui/#object/sent_email__v/VBL00000001G567", "SE-001406218")</f>
        <v>SE-001406218</v>
      </c>
      <c r="D23310" s="1" t="s">
        <v>0</v>
      </c>
      <c r="E23310" s="2">
        <v>0</v>
      </c>
      <c r="F23310" s="2">
        <v>0</v>
      </c>
      <c r="G23310" s="2">
        <v>0</v>
      </c>
      <c r="H23310" s="1" t="s">
        <v>0</v>
      </c>
      <c r="I23310" s="2">
        <v>0</v>
      </c>
      <c r="J23310" s="1">
        <v>46077.725844907407</v>
      </c>
    </row>
    <row r="23311" spans="1:10" x14ac:dyDescent="0.2">
      <c r="A23311" s="4" t="s">
        <v>1</v>
      </c>
      <c r="B23311" s="3" t="str">
        <f>HYPERLINK("https://otsuka-europe-crm.veevavault.com/ui/#object/approved_document__v/V5O00000000P011", "RXULTIP Dr. Crespo - RXULTI paciente privada")</f>
        <v>RXULTIP Dr. Crespo - RXULTI paciente privada</v>
      </c>
      <c r="C23311" s="3" t="str">
        <f>HYPERLINK("https://otsuka-europe-crm.veevavault.com/ui/#object/sent_email__v/VBL00000001G568", "SE-001406219")</f>
        <v>SE-001406219</v>
      </c>
      <c r="D23311" s="1" t="s">
        <v>0</v>
      </c>
      <c r="E23311" s="2">
        <v>0</v>
      </c>
      <c r="F23311" s="2">
        <v>0</v>
      </c>
      <c r="G23311" s="2">
        <v>0</v>
      </c>
      <c r="H23311" s="1" t="s">
        <v>0</v>
      </c>
      <c r="I23311" s="2">
        <v>0</v>
      </c>
      <c r="J23311" s="1">
        <v>46077.726006944446</v>
      </c>
    </row>
    <row r="23312" spans="1:10" x14ac:dyDescent="0.2">
      <c r="A23312" s="4" t="s">
        <v>1</v>
      </c>
      <c r="B23312" s="3" t="str">
        <f>HYPERLINK("https://otsuka-europe-crm.veevavault.com/ui/#object/approved_document__v/V5O00000000P011", "RXULTIP Dr. Crespo - RXULTI paciente privada")</f>
        <v>RXULTIP Dr. Crespo - RXULTI paciente privada</v>
      </c>
      <c r="C23312" s="3" t="str">
        <f>HYPERLINK("https://otsuka-europe-crm.veevavault.com/ui/#object/sent_email__v/VBL00000001G569", "SE-001406220")</f>
        <v>SE-001406220</v>
      </c>
      <c r="D23312" s="1" t="s">
        <v>0</v>
      </c>
      <c r="E23312" s="2">
        <v>0</v>
      </c>
      <c r="F23312" s="2">
        <v>0</v>
      </c>
      <c r="G23312" s="2">
        <v>0</v>
      </c>
      <c r="H23312" s="1" t="s">
        <v>0</v>
      </c>
      <c r="I23312" s="2">
        <v>0</v>
      </c>
      <c r="J23312" s="1">
        <v>46077.726168981484</v>
      </c>
    </row>
    <row r="23313" spans="1:10" x14ac:dyDescent="0.2">
      <c r="A23313" s="4" t="s">
        <v>1</v>
      </c>
      <c r="B23313" s="3" t="str">
        <f>HYPERLINK("https://otsuka-europe-crm.veevavault.com/ui/#object/approved_document__v/V5O00000000P011", "RXULTIP Dr. Crespo - RXULTI paciente privada")</f>
        <v>RXULTIP Dr. Crespo - RXULTI paciente privada</v>
      </c>
      <c r="C23313" s="3" t="str">
        <f>HYPERLINK("https://otsuka-europe-crm.veevavault.com/ui/#object/sent_email__v/VBL00000001G570", "SE-001406221")</f>
        <v>SE-001406221</v>
      </c>
      <c r="D23313" s="1" t="s">
        <v>0</v>
      </c>
      <c r="E23313" s="2">
        <v>0</v>
      </c>
      <c r="F23313" s="2">
        <v>0</v>
      </c>
      <c r="G23313" s="2">
        <v>0</v>
      </c>
      <c r="H23313" s="1" t="s">
        <v>0</v>
      </c>
      <c r="I23313" s="2">
        <v>0</v>
      </c>
      <c r="J23313" s="1">
        <v>46077.726342592592</v>
      </c>
    </row>
    <row r="23314" spans="1:10" x14ac:dyDescent="0.2">
      <c r="A23314" s="4" t="s">
        <v>1</v>
      </c>
      <c r="B23314" s="3" t="str">
        <f>HYPERLINK("https://otsuka-europe-crm.veevavault.com/ui/#object/approved_document__v/V5O00000000P011", "RXULTIP Dr. Crespo - RXULTI paciente privada")</f>
        <v>RXULTIP Dr. Crespo - RXULTI paciente privada</v>
      </c>
      <c r="C23314" s="3" t="str">
        <f>HYPERLINK("https://otsuka-europe-crm.veevavault.com/ui/#object/sent_email__v/VBL00000001G571", "SE-001406222")</f>
        <v>SE-001406222</v>
      </c>
      <c r="D23314" s="1" t="s">
        <v>0</v>
      </c>
      <c r="E23314" s="2">
        <v>0</v>
      </c>
      <c r="F23314" s="2">
        <v>0</v>
      </c>
      <c r="G23314" s="2">
        <v>0</v>
      </c>
      <c r="H23314" s="1" t="s">
        <v>0</v>
      </c>
      <c r="I23314" s="2">
        <v>0</v>
      </c>
      <c r="J23314" s="1">
        <v>46077.726504629631</v>
      </c>
    </row>
    <row r="23315" spans="1:10" x14ac:dyDescent="0.2">
      <c r="A23315" s="4" t="s">
        <v>1</v>
      </c>
      <c r="B23315" s="3" t="str">
        <f>HYPERLINK("https://otsuka-europe-crm.veevavault.com/ui/#object/approved_document__v/V5O00000000P011", "RXULTIP Dr. Crespo - RXULTI paciente privada")</f>
        <v>RXULTIP Dr. Crespo - RXULTI paciente privada</v>
      </c>
      <c r="C23315" s="3" t="str">
        <f>HYPERLINK("https://otsuka-europe-crm.veevavault.com/ui/#object/sent_email__v/VBL00000001G572", "SE-001406223")</f>
        <v>SE-001406223</v>
      </c>
      <c r="D23315" s="1" t="s">
        <v>0</v>
      </c>
      <c r="E23315" s="2">
        <v>0</v>
      </c>
      <c r="F23315" s="2">
        <v>0</v>
      </c>
      <c r="G23315" s="2">
        <v>0</v>
      </c>
      <c r="H23315" s="1" t="s">
        <v>0</v>
      </c>
      <c r="I23315" s="2">
        <v>0</v>
      </c>
      <c r="J23315" s="1">
        <v>46077.726666666669</v>
      </c>
    </row>
    <row r="23316" spans="1:10" x14ac:dyDescent="0.2">
      <c r="A23316" s="4" t="s">
        <v>1</v>
      </c>
      <c r="B23316" s="3" t="str">
        <f>HYPERLINK("https://otsuka-europe-crm.veevavault.com/ui/#object/approved_document__v/V5O00000000P011", "RXULTIP Dr. Crespo - RXULTI paciente privada")</f>
        <v>RXULTIP Dr. Crespo - RXULTI paciente privada</v>
      </c>
      <c r="C23316" s="3" t="str">
        <f>HYPERLINK("https://otsuka-europe-crm.veevavault.com/ui/#object/sent_email__v/VBL00000001G573", "SE-001406224")</f>
        <v>SE-001406224</v>
      </c>
      <c r="D23316" s="1" t="s">
        <v>0</v>
      </c>
      <c r="E23316" s="2">
        <v>0</v>
      </c>
      <c r="F23316" s="2">
        <v>0</v>
      </c>
      <c r="G23316" s="2">
        <v>0</v>
      </c>
      <c r="H23316" s="1" t="s">
        <v>0</v>
      </c>
      <c r="I23316" s="2">
        <v>0</v>
      </c>
      <c r="J23316" s="1">
        <v>46077.7268287037</v>
      </c>
    </row>
    <row r="23317" spans="1:10" x14ac:dyDescent="0.2">
      <c r="A23317" s="4" t="s">
        <v>1</v>
      </c>
      <c r="B23317" s="3" t="str">
        <f>HYPERLINK("https://otsuka-europe-crm.veevavault.com/ui/#object/approved_document__v/V5O00000000P011", "RXULTIP Dr. Crespo - RXULTI paciente privada")</f>
        <v>RXULTIP Dr. Crespo - RXULTI paciente privada</v>
      </c>
      <c r="C23317" s="3" t="str">
        <f>HYPERLINK("https://otsuka-europe-crm.veevavault.com/ui/#object/sent_email__v/VBL00000001G574", "SE-001406225")</f>
        <v>SE-001406225</v>
      </c>
      <c r="D23317" s="1" t="s">
        <v>0</v>
      </c>
      <c r="E23317" s="2">
        <v>0</v>
      </c>
      <c r="F23317" s="2">
        <v>0</v>
      </c>
      <c r="G23317" s="2">
        <v>0</v>
      </c>
      <c r="H23317" s="1" t="s">
        <v>0</v>
      </c>
      <c r="I23317" s="2">
        <v>0</v>
      </c>
      <c r="J23317" s="1">
        <v>46077.727002314816</v>
      </c>
    </row>
    <row r="23318" spans="1:10" x14ac:dyDescent="0.2">
      <c r="A23318" s="4" t="s">
        <v>1</v>
      </c>
      <c r="B23318" s="3" t="str">
        <f>HYPERLINK("https://otsuka-europe-crm.veevavault.com/ui/#object/approved_document__v/V5O00000000P011", "RXULTIP Dr. Crespo - RXULTI paciente privada")</f>
        <v>RXULTIP Dr. Crespo - RXULTI paciente privada</v>
      </c>
      <c r="C23318" s="3" t="str">
        <f>HYPERLINK("https://otsuka-europe-crm.veevavault.com/ui/#object/sent_email__v/VBL00000001G575", "SE-001406226")</f>
        <v>SE-001406226</v>
      </c>
      <c r="D23318" s="1">
        <v>46078.342210648145</v>
      </c>
      <c r="E23318" s="2">
        <v>1</v>
      </c>
      <c r="F23318" s="2">
        <v>1</v>
      </c>
      <c r="G23318" s="2">
        <v>0</v>
      </c>
      <c r="H23318" s="1" t="s">
        <v>0</v>
      </c>
      <c r="I23318" s="2">
        <v>0</v>
      </c>
      <c r="J23318" s="1">
        <v>46077.727175925924</v>
      </c>
    </row>
    <row r="23319" spans="1:10" x14ac:dyDescent="0.2">
      <c r="A23319" s="4" t="s">
        <v>1</v>
      </c>
      <c r="B23319" s="3" t="str">
        <f>HYPERLINK("https://otsuka-europe-crm.veevavault.com/ui/#object/approved_document__v/V5O00000000P011", "RXULTIP Dr. Crespo - RXULTI paciente privada")</f>
        <v>RXULTIP Dr. Crespo - RXULTI paciente privada</v>
      </c>
      <c r="C23319" s="3" t="str">
        <f>HYPERLINK("https://otsuka-europe-crm.veevavault.com/ui/#object/sent_email__v/VBL00000001G576", "SE-001406227")</f>
        <v>SE-001406227</v>
      </c>
      <c r="D23319" s="1" t="s">
        <v>0</v>
      </c>
      <c r="E23319" s="2">
        <v>0</v>
      </c>
      <c r="F23319" s="2">
        <v>0</v>
      </c>
      <c r="G23319" s="2">
        <v>0</v>
      </c>
      <c r="H23319" s="1" t="s">
        <v>0</v>
      </c>
      <c r="I23319" s="2">
        <v>0</v>
      </c>
      <c r="J23319" s="1">
        <v>46077.727326388886</v>
      </c>
    </row>
    <row r="23320" spans="1:10" x14ac:dyDescent="0.2">
      <c r="A23320" s="4" t="s">
        <v>1</v>
      </c>
      <c r="B23320" s="3" t="str">
        <f>HYPERLINK("https://otsuka-europe-crm.veevavault.com/ui/#object/approved_document__v/V5O00000000P011", "RXULTIP Dr. Crespo - RXULTI paciente privada")</f>
        <v>RXULTIP Dr. Crespo - RXULTI paciente privada</v>
      </c>
      <c r="C23320" s="3" t="str">
        <f>HYPERLINK("https://otsuka-europe-crm.veevavault.com/ui/#object/sent_email__v/VBL00000001G577", "SE-001406228")</f>
        <v>SE-001406228</v>
      </c>
      <c r="D23320" s="1">
        <v>46077.867708333331</v>
      </c>
      <c r="E23320" s="2">
        <v>1</v>
      </c>
      <c r="F23320" s="2">
        <v>3</v>
      </c>
      <c r="G23320" s="2">
        <v>0</v>
      </c>
      <c r="H23320" s="1" t="s">
        <v>0</v>
      </c>
      <c r="I23320" s="2">
        <v>0</v>
      </c>
      <c r="J23320" s="1">
        <v>46077.727500000001</v>
      </c>
    </row>
    <row r="23321" spans="1:10" x14ac:dyDescent="0.2">
      <c r="A23321" s="4" t="s">
        <v>1</v>
      </c>
      <c r="B23321" s="3" t="str">
        <f>HYPERLINK("https://otsuka-europe-crm.veevavault.com/ui/#object/approved_document__v/V5O00000000P011", "RXULTIP Dr. Crespo - RXULTI paciente privada")</f>
        <v>RXULTIP Dr. Crespo - RXULTI paciente privada</v>
      </c>
      <c r="C23321" s="3" t="str">
        <f>HYPERLINK("https://otsuka-europe-crm.veevavault.com/ui/#object/sent_email__v/VBL00000001G578", "SE-001406229")</f>
        <v>SE-001406229</v>
      </c>
      <c r="D23321" s="1">
        <v>46078.980763888889</v>
      </c>
      <c r="E23321" s="2">
        <v>1</v>
      </c>
      <c r="F23321" s="2">
        <v>1</v>
      </c>
      <c r="G23321" s="2">
        <v>0</v>
      </c>
      <c r="H23321" s="1" t="s">
        <v>0</v>
      </c>
      <c r="I23321" s="2">
        <v>0</v>
      </c>
      <c r="J23321" s="1">
        <v>46077.727662037039</v>
      </c>
    </row>
    <row r="23322" spans="1:10" x14ac:dyDescent="0.2">
      <c r="A23322" s="4" t="s">
        <v>1</v>
      </c>
      <c r="B23322" s="3" t="str">
        <f>HYPERLINK("https://otsuka-europe-crm.veevavault.com/ui/#object/approved_document__v/V5O00000000P011", "RXULTIP Dr. Crespo - RXULTI paciente privada")</f>
        <v>RXULTIP Dr. Crespo - RXULTI paciente privada</v>
      </c>
      <c r="C23322" s="3" t="str">
        <f>HYPERLINK("https://otsuka-europe-crm.veevavault.com/ui/#object/sent_email__v/VBL00000001G579", "SE-001406230")</f>
        <v>SE-001406230</v>
      </c>
      <c r="D23322" s="1">
        <v>46077.779942129629</v>
      </c>
      <c r="E23322" s="2">
        <v>1</v>
      </c>
      <c r="F23322" s="2">
        <v>1</v>
      </c>
      <c r="G23322" s="2">
        <v>0</v>
      </c>
      <c r="H23322" s="1" t="s">
        <v>0</v>
      </c>
      <c r="I23322" s="2">
        <v>0</v>
      </c>
      <c r="J23322" s="1">
        <v>46077.727824074071</v>
      </c>
    </row>
    <row r="23323" spans="1:10" x14ac:dyDescent="0.2">
      <c r="A23323" s="4" t="s">
        <v>1</v>
      </c>
      <c r="B23323" s="3" t="str">
        <f>HYPERLINK("https://otsuka-europe-crm.veevavault.com/ui/#object/approved_document__v/V5O00000000P011", "RXULTIP Dr. Crespo - RXULTI paciente privada")</f>
        <v>RXULTIP Dr. Crespo - RXULTI paciente privada</v>
      </c>
      <c r="C23323" s="3" t="str">
        <f>HYPERLINK("https://otsuka-europe-crm.veevavault.com/ui/#object/sent_email__v/VBL00000001G580", "SE-001406231")</f>
        <v>SE-001406231</v>
      </c>
      <c r="D23323" s="1">
        <v>46078.926504629628</v>
      </c>
      <c r="E23323" s="2">
        <v>1</v>
      </c>
      <c r="F23323" s="2">
        <v>2</v>
      </c>
      <c r="G23323" s="2">
        <v>0</v>
      </c>
      <c r="H23323" s="1" t="s">
        <v>0</v>
      </c>
      <c r="I23323" s="2">
        <v>0</v>
      </c>
      <c r="J23323" s="1">
        <v>46077.727997685186</v>
      </c>
    </row>
    <row r="23324" spans="1:10" x14ac:dyDescent="0.2">
      <c r="A23324" s="4" t="s">
        <v>1</v>
      </c>
      <c r="B23324" s="3" t="str">
        <f>HYPERLINK("https://otsuka-europe-crm.veevavault.com/ui/#object/approved_document__v/V5O00000000P011", "RXULTIP Dr. Crespo - RXULTI paciente privada")</f>
        <v>RXULTIP Dr. Crespo - RXULTI paciente privada</v>
      </c>
      <c r="C23324" s="3" t="str">
        <f>HYPERLINK("https://otsuka-europe-crm.veevavault.com/ui/#object/sent_email__v/VBL00000001G581", "SE-001406232")</f>
        <v>SE-001406232</v>
      </c>
      <c r="D23324" s="1" t="s">
        <v>0</v>
      </c>
      <c r="E23324" s="2">
        <v>0</v>
      </c>
      <c r="F23324" s="2">
        <v>0</v>
      </c>
      <c r="G23324" s="2">
        <v>0</v>
      </c>
      <c r="H23324" s="1" t="s">
        <v>0</v>
      </c>
      <c r="I23324" s="2">
        <v>0</v>
      </c>
      <c r="J23324" s="1">
        <v>46077.728159722225</v>
      </c>
    </row>
    <row r="23325" spans="1:10" x14ac:dyDescent="0.2">
      <c r="A23325" s="4" t="s">
        <v>1</v>
      </c>
      <c r="B23325" s="3" t="str">
        <f>HYPERLINK("https://otsuka-europe-crm.veevavault.com/ui/#object/approved_document__v/V5O00000000P011", "RXULTIP Dr. Crespo - RXULTI paciente privada")</f>
        <v>RXULTIP Dr. Crespo - RXULTI paciente privada</v>
      </c>
      <c r="C23325" s="3" t="str">
        <f>HYPERLINK("https://otsuka-europe-crm.veevavault.com/ui/#object/sent_email__v/VBL00000001G582", "SE-001406233")</f>
        <v>SE-001406233</v>
      </c>
      <c r="D23325" s="1">
        <v>46077.742430555554</v>
      </c>
      <c r="E23325" s="2">
        <v>1</v>
      </c>
      <c r="F23325" s="2">
        <v>3</v>
      </c>
      <c r="G23325" s="2">
        <v>0</v>
      </c>
      <c r="H23325" s="1" t="s">
        <v>0</v>
      </c>
      <c r="I23325" s="2">
        <v>0</v>
      </c>
      <c r="J23325" s="1">
        <v>46077.728333333333</v>
      </c>
    </row>
    <row r="23326" spans="1:10" x14ac:dyDescent="0.2">
      <c r="A23326" s="4" t="s">
        <v>1</v>
      </c>
      <c r="B23326" s="3" t="str">
        <f>HYPERLINK("https://otsuka-europe-crm.veevavault.com/ui/#object/approved_document__v/V5O00000000P011", "RXULTIP Dr. Crespo - RXULTI paciente privada")</f>
        <v>RXULTIP Dr. Crespo - RXULTI paciente privada</v>
      </c>
      <c r="C23326" s="3" t="str">
        <f>HYPERLINK("https://otsuka-europe-crm.veevavault.com/ui/#object/sent_email__v/VBL00000001G583", "SE-001406234")</f>
        <v>SE-001406234</v>
      </c>
      <c r="D23326" s="1">
        <v>46078.030393518522</v>
      </c>
      <c r="E23326" s="2">
        <v>1</v>
      </c>
      <c r="F23326" s="2">
        <v>1</v>
      </c>
      <c r="G23326" s="2">
        <v>0</v>
      </c>
      <c r="H23326" s="1" t="s">
        <v>0</v>
      </c>
      <c r="I23326" s="2">
        <v>0</v>
      </c>
      <c r="J23326" s="1">
        <v>46077.728495370371</v>
      </c>
    </row>
    <row r="23327" spans="1:10" x14ac:dyDescent="0.2">
      <c r="A23327" s="4" t="s">
        <v>1</v>
      </c>
      <c r="B23327" s="3" t="str">
        <f>HYPERLINK("https://otsuka-europe-crm.veevavault.com/ui/#object/approved_document__v/V5O00000000P011", "RXULTIP Dr. Crespo - RXULTI paciente privada")</f>
        <v>RXULTIP Dr. Crespo - RXULTI paciente privada</v>
      </c>
      <c r="C23327" s="3" t="str">
        <f>HYPERLINK("https://otsuka-europe-crm.veevavault.com/ui/#object/sent_email__v/VBL00000001G584", "SE-001406235")</f>
        <v>SE-001406235</v>
      </c>
      <c r="D23327" s="1">
        <v>46077.848414351851</v>
      </c>
      <c r="E23327" s="2">
        <v>1</v>
      </c>
      <c r="F23327" s="2">
        <v>2</v>
      </c>
      <c r="G23327" s="2">
        <v>0</v>
      </c>
      <c r="H23327" s="1" t="s">
        <v>0</v>
      </c>
      <c r="I23327" s="2">
        <v>0</v>
      </c>
      <c r="J23327" s="1">
        <v>46077.728668981479</v>
      </c>
    </row>
    <row r="23328" spans="1:10" x14ac:dyDescent="0.2">
      <c r="A23328" s="4" t="s">
        <v>1</v>
      </c>
      <c r="B23328" s="3" t="str">
        <f>HYPERLINK("https://otsuka-europe-crm.veevavault.com/ui/#object/approved_document__v/V5O00000000P011", "RXULTIP Dr. Crespo - RXULTI paciente privada")</f>
        <v>RXULTIP Dr. Crespo - RXULTI paciente privada</v>
      </c>
      <c r="C23328" s="3" t="str">
        <f>HYPERLINK("https://otsuka-europe-crm.veevavault.com/ui/#object/sent_email__v/VBL00000001G585", "SE-001406236")</f>
        <v>SE-001406236</v>
      </c>
      <c r="D23328" s="1" t="s">
        <v>0</v>
      </c>
      <c r="E23328" s="2">
        <v>0</v>
      </c>
      <c r="F23328" s="2">
        <v>0</v>
      </c>
      <c r="G23328" s="2">
        <v>0</v>
      </c>
      <c r="H23328" s="1" t="s">
        <v>0</v>
      </c>
      <c r="I23328" s="2">
        <v>0</v>
      </c>
      <c r="J23328" s="1">
        <v>46077.728819444441</v>
      </c>
    </row>
    <row r="23329" spans="1:10" x14ac:dyDescent="0.2">
      <c r="A23329" s="4" t="s">
        <v>1</v>
      </c>
      <c r="B23329" s="3" t="str">
        <f>HYPERLINK("https://otsuka-europe-crm.veevavault.com/ui/#object/approved_document__v/V5O00000000P011", "RXULTIP Dr. Crespo - RXULTI paciente privada")</f>
        <v>RXULTIP Dr. Crespo - RXULTI paciente privada</v>
      </c>
      <c r="C23329" s="3" t="str">
        <f>HYPERLINK("https://otsuka-europe-crm.veevavault.com/ui/#object/sent_email__v/VBL00000001G586", "SE-001406237")</f>
        <v>SE-001406237</v>
      </c>
      <c r="D23329" s="1">
        <v>46077.905868055554</v>
      </c>
      <c r="E23329" s="2">
        <v>1</v>
      </c>
      <c r="F23329" s="2">
        <v>4</v>
      </c>
      <c r="G23329" s="2">
        <v>0</v>
      </c>
      <c r="H23329" s="1" t="s">
        <v>0</v>
      </c>
      <c r="I23329" s="2">
        <v>0</v>
      </c>
      <c r="J23329" s="1">
        <v>46077.728993055556</v>
      </c>
    </row>
    <row r="23330" spans="1:10" x14ac:dyDescent="0.2">
      <c r="A23330" s="4" t="s">
        <v>1</v>
      </c>
      <c r="B23330" s="3" t="str">
        <f>HYPERLINK("https://otsuka-europe-crm.veevavault.com/ui/#object/approved_document__v/V5O00000000P011", "RXULTIP Dr. Crespo - RXULTI paciente privada")</f>
        <v>RXULTIP Dr. Crespo - RXULTI paciente privada</v>
      </c>
      <c r="C23330" s="3" t="str">
        <f>HYPERLINK("https://otsuka-europe-crm.veevavault.com/ui/#object/sent_email__v/VBL00000001G587", "SE-001406238")</f>
        <v>SE-001406238</v>
      </c>
      <c r="D23330" s="1" t="s">
        <v>0</v>
      </c>
      <c r="E23330" s="2">
        <v>0</v>
      </c>
      <c r="F23330" s="2">
        <v>0</v>
      </c>
      <c r="G23330" s="2">
        <v>0</v>
      </c>
      <c r="H23330" s="1" t="s">
        <v>0</v>
      </c>
      <c r="I23330" s="2">
        <v>0</v>
      </c>
      <c r="J23330" s="1">
        <v>46077.729155092595</v>
      </c>
    </row>
    <row r="23331" spans="1:10" x14ac:dyDescent="0.2">
      <c r="A23331" s="4" t="s">
        <v>1</v>
      </c>
      <c r="B23331" s="3" t="str">
        <f>HYPERLINK("https://otsuka-europe-crm.veevavault.com/ui/#object/approved_document__v/V5O00000000P011", "RXULTIP Dr. Crespo - RXULTI paciente privada")</f>
        <v>RXULTIP Dr. Crespo - RXULTI paciente privada</v>
      </c>
      <c r="C23331" s="3" t="str">
        <f>HYPERLINK("https://otsuka-europe-crm.veevavault.com/ui/#object/sent_email__v/VBL00000001G588", "SE-001406239")</f>
        <v>SE-001406239</v>
      </c>
      <c r="D23331" s="1" t="s">
        <v>0</v>
      </c>
      <c r="E23331" s="2">
        <v>0</v>
      </c>
      <c r="F23331" s="2">
        <v>0</v>
      </c>
      <c r="G23331" s="2">
        <v>0</v>
      </c>
      <c r="H23331" s="1" t="s">
        <v>0</v>
      </c>
      <c r="I23331" s="2">
        <v>0</v>
      </c>
      <c r="J23331" s="1">
        <v>46077.729328703703</v>
      </c>
    </row>
    <row r="23332" spans="1:10" x14ac:dyDescent="0.2">
      <c r="A23332" s="4" t="s">
        <v>1</v>
      </c>
      <c r="B23332" s="3" t="str">
        <f>HYPERLINK("https://otsuka-europe-crm.veevavault.com/ui/#object/approved_document__v/V5O00000000P011", "RXULTIP Dr. Crespo - RXULTI paciente privada")</f>
        <v>RXULTIP Dr. Crespo - RXULTI paciente privada</v>
      </c>
      <c r="C23332" s="3" t="str">
        <f>HYPERLINK("https://otsuka-europe-crm.veevavault.com/ui/#object/sent_email__v/VBL00000001G589", "SE-001406240")</f>
        <v>SE-001406240</v>
      </c>
      <c r="D23332" s="1">
        <v>46077.729548611111</v>
      </c>
      <c r="E23332" s="2">
        <v>1</v>
      </c>
      <c r="F23332" s="2">
        <v>1</v>
      </c>
      <c r="G23332" s="2">
        <v>0</v>
      </c>
      <c r="H23332" s="1" t="s">
        <v>0</v>
      </c>
      <c r="I23332" s="2">
        <v>0</v>
      </c>
      <c r="J23332" s="1">
        <v>46077.729479166665</v>
      </c>
    </row>
    <row r="23333" spans="1:10" x14ac:dyDescent="0.2">
      <c r="A23333" s="4" t="s">
        <v>1</v>
      </c>
      <c r="B23333" s="3" t="str">
        <f>HYPERLINK("https://otsuka-europe-crm.veevavault.com/ui/#object/approved_document__v/V5O00000000P011", "RXULTIP Dr. Crespo - RXULTI paciente privada")</f>
        <v>RXULTIP Dr. Crespo - RXULTI paciente privada</v>
      </c>
      <c r="C23333" s="3" t="str">
        <f>HYPERLINK("https://otsuka-europe-crm.veevavault.com/ui/#object/sent_email__v/VBL00000001G590", "SE-001406241")</f>
        <v>SE-001406241</v>
      </c>
      <c r="D23333" s="1">
        <v>46078.407280092593</v>
      </c>
      <c r="E23333" s="2">
        <v>1</v>
      </c>
      <c r="F23333" s="2">
        <v>2</v>
      </c>
      <c r="G23333" s="2">
        <v>0</v>
      </c>
      <c r="H23333" s="1" t="s">
        <v>0</v>
      </c>
      <c r="I23333" s="2">
        <v>0</v>
      </c>
      <c r="J23333" s="1">
        <v>46077.72965277778</v>
      </c>
    </row>
    <row r="23334" spans="1:10" x14ac:dyDescent="0.2">
      <c r="A23334" s="4" t="s">
        <v>1</v>
      </c>
      <c r="B23334" s="3" t="str">
        <f>HYPERLINK("https://otsuka-europe-crm.veevavault.com/ui/#object/approved_document__v/V5O00000000P011", "RXULTIP Dr. Crespo - RXULTI paciente privada")</f>
        <v>RXULTIP Dr. Crespo - RXULTI paciente privada</v>
      </c>
      <c r="C23334" s="3" t="str">
        <f>HYPERLINK("https://otsuka-europe-crm.veevavault.com/ui/#object/sent_email__v/VBL00000001G591", "SE-001406242")</f>
        <v>SE-001406242</v>
      </c>
      <c r="D23334" s="1" t="s">
        <v>0</v>
      </c>
      <c r="E23334" s="2">
        <v>0</v>
      </c>
      <c r="F23334" s="2">
        <v>0</v>
      </c>
      <c r="G23334" s="2">
        <v>0</v>
      </c>
      <c r="H23334" s="1" t="s">
        <v>0</v>
      </c>
      <c r="I23334" s="2">
        <v>0</v>
      </c>
      <c r="J23334" s="1">
        <v>46077.729814814818</v>
      </c>
    </row>
    <row r="23335" spans="1:10" x14ac:dyDescent="0.2">
      <c r="A23335" s="4" t="s">
        <v>1</v>
      </c>
      <c r="B23335" s="3" t="str">
        <f>HYPERLINK("https://otsuka-europe-crm.veevavault.com/ui/#object/approved_document__v/V5O00000000P011", "RXULTIP Dr. Crespo - RXULTI paciente privada")</f>
        <v>RXULTIP Dr. Crespo - RXULTI paciente privada</v>
      </c>
      <c r="C23335" s="3" t="str">
        <f>HYPERLINK("https://otsuka-europe-crm.veevavault.com/ui/#object/sent_email__v/VBL00000001G592", "SE-001406243")</f>
        <v>SE-001406243</v>
      </c>
      <c r="D23335" s="1">
        <v>46077.792233796295</v>
      </c>
      <c r="E23335" s="2">
        <v>1</v>
      </c>
      <c r="F23335" s="2">
        <v>2</v>
      </c>
      <c r="G23335" s="2">
        <v>0</v>
      </c>
      <c r="H23335" s="1" t="s">
        <v>0</v>
      </c>
      <c r="I23335" s="2">
        <v>0</v>
      </c>
      <c r="J23335" s="1">
        <v>46077.72997685185</v>
      </c>
    </row>
    <row r="23336" spans="1:10" x14ac:dyDescent="0.2">
      <c r="A23336" s="4" t="s">
        <v>1</v>
      </c>
      <c r="B23336" s="3" t="str">
        <f>HYPERLINK("https://otsuka-europe-crm.veevavault.com/ui/#object/approved_document__v/V5O00000000P011", "RXULTIP Dr. Crespo - RXULTI paciente privada")</f>
        <v>RXULTIP Dr. Crespo - RXULTI paciente privada</v>
      </c>
      <c r="C23336" s="3" t="str">
        <f>HYPERLINK("https://otsuka-europe-crm.veevavault.com/ui/#object/sent_email__v/VBL00000001G593", "SE-001406244")</f>
        <v>SE-001406244</v>
      </c>
      <c r="D23336" s="1" t="s">
        <v>0</v>
      </c>
      <c r="E23336" s="2">
        <v>0</v>
      </c>
      <c r="F23336" s="2">
        <v>0</v>
      </c>
      <c r="G23336" s="2">
        <v>0</v>
      </c>
      <c r="H23336" s="1" t="s">
        <v>0</v>
      </c>
      <c r="I23336" s="2">
        <v>0</v>
      </c>
      <c r="J23336" s="1">
        <v>46077.730150462965</v>
      </c>
    </row>
    <row r="23337" spans="1:10" x14ac:dyDescent="0.2">
      <c r="A23337" s="4" t="s">
        <v>1</v>
      </c>
      <c r="B23337" s="3" t="str">
        <f>HYPERLINK("https://otsuka-europe-crm.veevavault.com/ui/#object/approved_document__v/V5O00000000P011", "RXULTIP Dr. Crespo - RXULTI paciente privada")</f>
        <v>RXULTIP Dr. Crespo - RXULTI paciente privada</v>
      </c>
      <c r="C23337" s="3" t="str">
        <f>HYPERLINK("https://otsuka-europe-crm.veevavault.com/ui/#object/sent_email__v/VBL00000001G594", "SE-001406245")</f>
        <v>SE-001406245</v>
      </c>
      <c r="D23337" s="1" t="s">
        <v>0</v>
      </c>
      <c r="E23337" s="2">
        <v>0</v>
      </c>
      <c r="F23337" s="2">
        <v>0</v>
      </c>
      <c r="G23337" s="2">
        <v>0</v>
      </c>
      <c r="H23337" s="1" t="s">
        <v>0</v>
      </c>
      <c r="I23337" s="2">
        <v>0</v>
      </c>
      <c r="J23337" s="1">
        <v>46077.730324074073</v>
      </c>
    </row>
    <row r="23338" spans="1:10" x14ac:dyDescent="0.2">
      <c r="A23338" s="4" t="s">
        <v>1</v>
      </c>
      <c r="B23338" s="3" t="str">
        <f>HYPERLINK("https://otsuka-europe-crm.veevavault.com/ui/#object/approved_document__v/V5O00000000P011", "RXULTIP Dr. Crespo - RXULTI paciente privada")</f>
        <v>RXULTIP Dr. Crespo - RXULTI paciente privada</v>
      </c>
      <c r="C23338" s="3" t="str">
        <f>HYPERLINK("https://otsuka-europe-crm.veevavault.com/ui/#object/sent_email__v/VBL00000001G595", "SE-001406246")</f>
        <v>SE-001406246</v>
      </c>
      <c r="D23338" s="1" t="s">
        <v>0</v>
      </c>
      <c r="E23338" s="2">
        <v>0</v>
      </c>
      <c r="F23338" s="2">
        <v>0</v>
      </c>
      <c r="G23338" s="2">
        <v>0</v>
      </c>
      <c r="H23338" s="1" t="s">
        <v>0</v>
      </c>
      <c r="I23338" s="2">
        <v>0</v>
      </c>
      <c r="J23338" s="1">
        <v>46077.730486111112</v>
      </c>
    </row>
    <row r="23339" spans="1:10" x14ac:dyDescent="0.2">
      <c r="A23339" s="4" t="s">
        <v>1</v>
      </c>
      <c r="B23339" s="3" t="str">
        <f>HYPERLINK("https://otsuka-europe-crm.veevavault.com/ui/#object/approved_document__v/V5O00000000P011", "RXULTIP Dr. Crespo - RXULTI paciente privada")</f>
        <v>RXULTIP Dr. Crespo - RXULTI paciente privada</v>
      </c>
      <c r="C23339" s="3" t="str">
        <f>HYPERLINK("https://otsuka-europe-crm.veevavault.com/ui/#object/sent_email__v/VBL00000001G596", "SE-001406247")</f>
        <v>SE-001406247</v>
      </c>
      <c r="D23339" s="1" t="s">
        <v>0</v>
      </c>
      <c r="E23339" s="2">
        <v>0</v>
      </c>
      <c r="F23339" s="2">
        <v>0</v>
      </c>
      <c r="G23339" s="2">
        <v>0</v>
      </c>
      <c r="H23339" s="1" t="s">
        <v>0</v>
      </c>
      <c r="I23339" s="2">
        <v>0</v>
      </c>
      <c r="J23339" s="1">
        <v>46077.73064814815</v>
      </c>
    </row>
    <row r="23340" spans="1:10" x14ac:dyDescent="0.2">
      <c r="A23340" s="4" t="s">
        <v>1</v>
      </c>
      <c r="B23340" s="3" t="str">
        <f>HYPERLINK("https://otsuka-europe-crm.veevavault.com/ui/#object/approved_document__v/V5O00000000P011", "RXULTIP Dr. Crespo - RXULTI paciente privada")</f>
        <v>RXULTIP Dr. Crespo - RXULTI paciente privada</v>
      </c>
      <c r="C23340" s="3" t="str">
        <f>HYPERLINK("https://otsuka-europe-crm.veevavault.com/ui/#object/sent_email__v/VBL00000001G597", "SE-001406248")</f>
        <v>SE-001406248</v>
      </c>
      <c r="D23340" s="1" t="s">
        <v>0</v>
      </c>
      <c r="E23340" s="2">
        <v>0</v>
      </c>
      <c r="F23340" s="2">
        <v>0</v>
      </c>
      <c r="G23340" s="2">
        <v>0</v>
      </c>
      <c r="H23340" s="1" t="s">
        <v>0</v>
      </c>
      <c r="I23340" s="2">
        <v>0</v>
      </c>
      <c r="J23340" s="1">
        <v>46077.730810185189</v>
      </c>
    </row>
    <row r="23341" spans="1:10" x14ac:dyDescent="0.2">
      <c r="A23341" s="4" t="s">
        <v>1</v>
      </c>
      <c r="B23341" s="3" t="str">
        <f>HYPERLINK("https://otsuka-europe-crm.veevavault.com/ui/#object/approved_document__v/V5O00000000P011", "RXULTIP Dr. Crespo - RXULTI paciente privada")</f>
        <v>RXULTIP Dr. Crespo - RXULTI paciente privada</v>
      </c>
      <c r="C23341" s="3" t="str">
        <f>HYPERLINK("https://otsuka-europe-crm.veevavault.com/ui/#object/sent_email__v/VBL00000001G598", "SE-001406249")</f>
        <v>SE-001406249</v>
      </c>
      <c r="D23341" s="1">
        <v>46077.831655092596</v>
      </c>
      <c r="E23341" s="2">
        <v>1</v>
      </c>
      <c r="F23341" s="2">
        <v>1</v>
      </c>
      <c r="G23341" s="2">
        <v>0</v>
      </c>
      <c r="H23341" s="1" t="s">
        <v>0</v>
      </c>
      <c r="I23341" s="2">
        <v>0</v>
      </c>
      <c r="J23341" s="1">
        <v>46077.73097222222</v>
      </c>
    </row>
    <row r="23342" spans="1:10" x14ac:dyDescent="0.2">
      <c r="A23342" s="4" t="s">
        <v>1</v>
      </c>
      <c r="B23342" s="3" t="str">
        <f>HYPERLINK("https://otsuka-europe-crm.veevavault.com/ui/#object/approved_document__v/V5O00000000P011", "RXULTIP Dr. Crespo - RXULTI paciente privada")</f>
        <v>RXULTIP Dr. Crespo - RXULTI paciente privada</v>
      </c>
      <c r="C23342" s="3" t="str">
        <f>HYPERLINK("https://otsuka-europe-crm.veevavault.com/ui/#object/sent_email__v/VBL00000001G599", "SE-001406250")</f>
        <v>SE-001406250</v>
      </c>
      <c r="D23342" s="1">
        <v>46078.796284722222</v>
      </c>
      <c r="E23342" s="2">
        <v>1</v>
      </c>
      <c r="F23342" s="2">
        <v>2</v>
      </c>
      <c r="G23342" s="2">
        <v>0</v>
      </c>
      <c r="H23342" s="1" t="s">
        <v>0</v>
      </c>
      <c r="I23342" s="2">
        <v>0</v>
      </c>
      <c r="J23342" s="1">
        <v>46077.731134259258</v>
      </c>
    </row>
    <row r="23343" spans="1:10" x14ac:dyDescent="0.2">
      <c r="A23343" s="4" t="s">
        <v>1</v>
      </c>
      <c r="B23343" s="3" t="str">
        <f>HYPERLINK("https://otsuka-europe-crm.veevavault.com/ui/#object/approved_document__v/V5O00000000P011", "RXULTIP Dr. Crespo - RXULTI paciente privada")</f>
        <v>RXULTIP Dr. Crespo - RXULTI paciente privada</v>
      </c>
      <c r="C23343" s="3" t="str">
        <f>HYPERLINK("https://otsuka-europe-crm.veevavault.com/ui/#object/sent_email__v/VBL00000001G600", "SE-001406251")</f>
        <v>SE-001406251</v>
      </c>
      <c r="D23343" s="1">
        <v>46078.703275462962</v>
      </c>
      <c r="E23343" s="2">
        <v>1</v>
      </c>
      <c r="F23343" s="2">
        <v>1</v>
      </c>
      <c r="G23343" s="2">
        <v>0</v>
      </c>
      <c r="H23343" s="1" t="s">
        <v>0</v>
      </c>
      <c r="I23343" s="2">
        <v>0</v>
      </c>
      <c r="J23343" s="1">
        <v>46077.731307870374</v>
      </c>
    </row>
    <row r="23344" spans="1:10" x14ac:dyDescent="0.2">
      <c r="A23344" s="4" t="s">
        <v>1</v>
      </c>
      <c r="B23344" s="3" t="str">
        <f>HYPERLINK("https://otsuka-europe-crm.veevavault.com/ui/#object/approved_document__v/V5O00000000P011", "RXULTIP Dr. Crespo - RXULTI paciente privada")</f>
        <v>RXULTIP Dr. Crespo - RXULTI paciente privada</v>
      </c>
      <c r="C23344" s="3" t="str">
        <f>HYPERLINK("https://otsuka-europe-crm.veevavault.com/ui/#object/sent_email__v/VBL00000001G601", "SE-001406252")</f>
        <v>SE-001406252</v>
      </c>
      <c r="D23344" s="1" t="s">
        <v>0</v>
      </c>
      <c r="E23344" s="2">
        <v>0</v>
      </c>
      <c r="F23344" s="2">
        <v>0</v>
      </c>
      <c r="G23344" s="2">
        <v>0</v>
      </c>
      <c r="H23344" s="1" t="s">
        <v>0</v>
      </c>
      <c r="I23344" s="2">
        <v>0</v>
      </c>
      <c r="J23344" s="1">
        <v>46077.731504629628</v>
      </c>
    </row>
    <row r="23345" spans="1:10" x14ac:dyDescent="0.2">
      <c r="A23345" s="4" t="s">
        <v>1</v>
      </c>
      <c r="B23345" s="3" t="str">
        <f>HYPERLINK("https://otsuka-europe-crm.veevavault.com/ui/#object/approved_document__v/V5O00000000P011", "RXULTIP Dr. Crespo - RXULTI paciente privada")</f>
        <v>RXULTIP Dr. Crespo - RXULTI paciente privada</v>
      </c>
      <c r="C23345" s="3" t="str">
        <f>HYPERLINK("https://otsuka-europe-crm.veevavault.com/ui/#object/sent_email__v/VBL00000001G602", "SE-001406253")</f>
        <v>SE-001406253</v>
      </c>
      <c r="D23345" s="1" t="s">
        <v>0</v>
      </c>
      <c r="E23345" s="2">
        <v>0</v>
      </c>
      <c r="F23345" s="2">
        <v>0</v>
      </c>
      <c r="G23345" s="2">
        <v>0</v>
      </c>
      <c r="H23345" s="1" t="s">
        <v>0</v>
      </c>
      <c r="I23345" s="2">
        <v>0</v>
      </c>
      <c r="J23345" s="1">
        <v>46077.731759259259</v>
      </c>
    </row>
    <row r="23346" spans="1:10" x14ac:dyDescent="0.2">
      <c r="A23346" s="4" t="s">
        <v>1</v>
      </c>
      <c r="B23346" s="3" t="str">
        <f>HYPERLINK("https://otsuka-europe-crm.veevavault.com/ui/#object/approved_document__v/V5O00000000P011", "RXULTIP Dr. Crespo - RXULTI paciente privada")</f>
        <v>RXULTIP Dr. Crespo - RXULTI paciente privada</v>
      </c>
      <c r="C23346" s="3" t="str">
        <f>HYPERLINK("https://otsuka-europe-crm.veevavault.com/ui/#object/sent_email__v/VBL00000001G603", "SE-001406254")</f>
        <v>SE-001406254</v>
      </c>
      <c r="D23346" s="1">
        <v>46078.329953703702</v>
      </c>
      <c r="E23346" s="2">
        <v>1</v>
      </c>
      <c r="F23346" s="2">
        <v>1</v>
      </c>
      <c r="G23346" s="2">
        <v>0</v>
      </c>
      <c r="H23346" s="1" t="s">
        <v>0</v>
      </c>
      <c r="I23346" s="2">
        <v>0</v>
      </c>
      <c r="J23346" s="1">
        <v>46077.73201388889</v>
      </c>
    </row>
    <row r="23347" spans="1:10" x14ac:dyDescent="0.2">
      <c r="A23347" s="4" t="s">
        <v>1</v>
      </c>
      <c r="B23347" s="3" t="str">
        <f>HYPERLINK("https://otsuka-europe-crm.veevavault.com/ui/#object/approved_document__v/V5O00000000P011", "RXULTIP Dr. Crespo - RXULTI paciente privada")</f>
        <v>RXULTIP Dr. Crespo - RXULTI paciente privada</v>
      </c>
      <c r="C23347" s="3" t="str">
        <f>HYPERLINK("https://otsuka-europe-crm.veevavault.com/ui/#object/sent_email__v/VBL00000001G604", "SE-001406255")</f>
        <v>SE-001406255</v>
      </c>
      <c r="D23347" s="1">
        <v>46078.820613425924</v>
      </c>
      <c r="E23347" s="2">
        <v>1</v>
      </c>
      <c r="F23347" s="2">
        <v>2</v>
      </c>
      <c r="G23347" s="2">
        <v>1</v>
      </c>
      <c r="H23347" s="1">
        <v>46077.732638888891</v>
      </c>
      <c r="I23347" s="2">
        <v>2</v>
      </c>
      <c r="J23347" s="1">
        <v>46077.732256944444</v>
      </c>
    </row>
    <row r="23348" spans="1:10" x14ac:dyDescent="0.2">
      <c r="A23348" s="4" t="s">
        <v>1</v>
      </c>
      <c r="B23348" s="3" t="str">
        <f>HYPERLINK("https://otsuka-europe-crm.veevavault.com/ui/#object/approved_document__v/V5O00000000P011", "RXULTIP Dr. Crespo - RXULTI paciente privada")</f>
        <v>RXULTIP Dr. Crespo - RXULTI paciente privada</v>
      </c>
      <c r="C23348" s="3" t="str">
        <f>HYPERLINK("https://otsuka-europe-crm.veevavault.com/ui/#object/sent_email__v/VBL00000001G605", "SE-001406256")</f>
        <v>SE-001406256</v>
      </c>
      <c r="D23348" s="1" t="s">
        <v>0</v>
      </c>
      <c r="E23348" s="2">
        <v>0</v>
      </c>
      <c r="F23348" s="2">
        <v>0</v>
      </c>
      <c r="G23348" s="2">
        <v>0</v>
      </c>
      <c r="H23348" s="1" t="s">
        <v>0</v>
      </c>
      <c r="I23348" s="2">
        <v>0</v>
      </c>
      <c r="J23348" s="1">
        <v>46077.732534722221</v>
      </c>
    </row>
    <row r="23349" spans="1:10" x14ac:dyDescent="0.2">
      <c r="A23349" s="4" t="s">
        <v>1</v>
      </c>
      <c r="B23349" s="3" t="str">
        <f>HYPERLINK("https://otsuka-europe-crm.veevavault.com/ui/#object/approved_document__v/V5O00000000P011", "RXULTIP Dr. Crespo - RXULTI paciente privada")</f>
        <v>RXULTIP Dr. Crespo - RXULTI paciente privada</v>
      </c>
      <c r="C23349" s="3" t="str">
        <f>HYPERLINK("https://otsuka-europe-crm.veevavault.com/ui/#object/sent_email__v/VBL00000001G606", "SE-001406257")</f>
        <v>SE-001406257</v>
      </c>
      <c r="D23349" s="1">
        <v>46077.822326388887</v>
      </c>
      <c r="E23349" s="2">
        <v>1</v>
      </c>
      <c r="F23349" s="2">
        <v>1</v>
      </c>
      <c r="G23349" s="2">
        <v>0</v>
      </c>
      <c r="H23349" s="1" t="s">
        <v>0</v>
      </c>
      <c r="I23349" s="2">
        <v>0</v>
      </c>
      <c r="J23349" s="1">
        <v>46077.732719907406</v>
      </c>
    </row>
    <row r="23350" spans="1:10" x14ac:dyDescent="0.2">
      <c r="A23350" s="4" t="s">
        <v>1</v>
      </c>
      <c r="B23350" s="3" t="str">
        <f>HYPERLINK("https://otsuka-europe-crm.veevavault.com/ui/#object/approved_document__v/V5O00000000P011", "RXULTIP Dr. Crespo - RXULTI paciente privada")</f>
        <v>RXULTIP Dr. Crespo - RXULTI paciente privada</v>
      </c>
      <c r="C23350" s="3" t="str">
        <f>HYPERLINK("https://otsuka-europe-crm.veevavault.com/ui/#object/sent_email__v/VBL00000001G607", "SE-001406258")</f>
        <v>SE-001406258</v>
      </c>
      <c r="D23350" s="1" t="s">
        <v>0</v>
      </c>
      <c r="E23350" s="2">
        <v>0</v>
      </c>
      <c r="F23350" s="2">
        <v>0</v>
      </c>
      <c r="G23350" s="2">
        <v>0</v>
      </c>
      <c r="H23350" s="1" t="s">
        <v>0</v>
      </c>
      <c r="I23350" s="2">
        <v>0</v>
      </c>
      <c r="J23350" s="1">
        <v>46077.732893518521</v>
      </c>
    </row>
    <row r="23351" spans="1:10" x14ac:dyDescent="0.2">
      <c r="A23351" s="4" t="s">
        <v>1</v>
      </c>
      <c r="B23351" s="3" t="str">
        <f>HYPERLINK("https://otsuka-europe-crm.veevavault.com/ui/#object/approved_document__v/V5O00000000P011", "RXULTIP Dr. Crespo - RXULTI paciente privada")</f>
        <v>RXULTIP Dr. Crespo - RXULTI paciente privada</v>
      </c>
      <c r="C23351" s="3" t="str">
        <f>HYPERLINK("https://otsuka-europe-crm.veevavault.com/ui/#object/sent_email__v/VBL00000001G608", "SE-001406259")</f>
        <v>SE-001406259</v>
      </c>
      <c r="D23351" s="1">
        <v>46078.796273148146</v>
      </c>
      <c r="E23351" s="2">
        <v>1</v>
      </c>
      <c r="F23351" s="2">
        <v>3</v>
      </c>
      <c r="G23351" s="2">
        <v>0</v>
      </c>
      <c r="H23351" s="1" t="s">
        <v>0</v>
      </c>
      <c r="I23351" s="2">
        <v>0</v>
      </c>
      <c r="J23351" s="1">
        <v>46077.733055555553</v>
      </c>
    </row>
    <row r="23352" spans="1:10" x14ac:dyDescent="0.2">
      <c r="A23352" s="4" t="s">
        <v>1</v>
      </c>
      <c r="B23352" s="3" t="str">
        <f>HYPERLINK("https://otsuka-europe-crm.veevavault.com/ui/#object/approved_document__v/V5O00000000P011", "RXULTIP Dr. Crespo - RXULTI paciente privada")</f>
        <v>RXULTIP Dr. Crespo - RXULTI paciente privada</v>
      </c>
      <c r="C23352" s="3" t="str">
        <f>HYPERLINK("https://otsuka-europe-crm.veevavault.com/ui/#object/sent_email__v/VBL00000001G609", "SE-001406260")</f>
        <v>SE-001406260</v>
      </c>
      <c r="D23352" s="1" t="s">
        <v>0</v>
      </c>
      <c r="E23352" s="2">
        <v>0</v>
      </c>
      <c r="F23352" s="2">
        <v>0</v>
      </c>
      <c r="G23352" s="2">
        <v>0</v>
      </c>
      <c r="H23352" s="1" t="s">
        <v>0</v>
      </c>
      <c r="I23352" s="2">
        <v>0</v>
      </c>
      <c r="J23352" s="1">
        <v>46077.733217592591</v>
      </c>
    </row>
    <row r="23353" spans="1:10" x14ac:dyDescent="0.2">
      <c r="A23353" s="4" t="s">
        <v>1</v>
      </c>
      <c r="B23353" s="3" t="str">
        <f>HYPERLINK("https://otsuka-europe-crm.veevavault.com/ui/#object/approved_document__v/V5O00000000P011", "RXULTIP Dr. Crespo - RXULTI paciente privada")</f>
        <v>RXULTIP Dr. Crespo - RXULTI paciente privada</v>
      </c>
      <c r="C23353" s="3" t="str">
        <f>HYPERLINK("https://otsuka-europe-crm.veevavault.com/ui/#object/sent_email__v/VBL00000001G610", "SE-001406261")</f>
        <v>SE-001406261</v>
      </c>
      <c r="D23353" s="1" t="s">
        <v>0</v>
      </c>
      <c r="E23353" s="2">
        <v>0</v>
      </c>
      <c r="F23353" s="2">
        <v>0</v>
      </c>
      <c r="G23353" s="2">
        <v>0</v>
      </c>
      <c r="H23353" s="1" t="s">
        <v>0</v>
      </c>
      <c r="I23353" s="2">
        <v>0</v>
      </c>
      <c r="J23353" s="1">
        <v>46077.733368055553</v>
      </c>
    </row>
    <row r="23354" spans="1:10" x14ac:dyDescent="0.2">
      <c r="A23354" s="4" t="s">
        <v>1</v>
      </c>
      <c r="B23354" s="3" t="str">
        <f>HYPERLINK("https://otsuka-europe-crm.veevavault.com/ui/#object/approved_document__v/V5O00000000P011", "RXULTIP Dr. Crespo - RXULTI paciente privada")</f>
        <v>RXULTIP Dr. Crespo - RXULTI paciente privada</v>
      </c>
      <c r="C23354" s="3" t="str">
        <f>HYPERLINK("https://otsuka-europe-crm.veevavault.com/ui/#object/sent_email__v/VBL00000001G611", "SE-001406262")</f>
        <v>SE-001406262</v>
      </c>
      <c r="D23354" s="1" t="s">
        <v>0</v>
      </c>
      <c r="E23354" s="2">
        <v>0</v>
      </c>
      <c r="F23354" s="2">
        <v>0</v>
      </c>
      <c r="G23354" s="2">
        <v>0</v>
      </c>
      <c r="H23354" s="1" t="s">
        <v>0</v>
      </c>
      <c r="I23354" s="2">
        <v>0</v>
      </c>
      <c r="J23354" s="1">
        <v>46077.733541666668</v>
      </c>
    </row>
    <row r="23355" spans="1:10" x14ac:dyDescent="0.2">
      <c r="A23355" s="4" t="s">
        <v>1</v>
      </c>
      <c r="B23355" s="3" t="str">
        <f>HYPERLINK("https://otsuka-europe-crm.veevavault.com/ui/#object/approved_document__v/V5O00000000P011", "RXULTIP Dr. Crespo - RXULTI paciente privada")</f>
        <v>RXULTIP Dr. Crespo - RXULTI paciente privada</v>
      </c>
      <c r="C23355" s="3" t="str">
        <f>HYPERLINK("https://otsuka-europe-crm.veevavault.com/ui/#object/sent_email__v/VBL00000001G612", "SE-001406263")</f>
        <v>SE-001406263</v>
      </c>
      <c r="D23355" s="1" t="s">
        <v>0</v>
      </c>
      <c r="E23355" s="2">
        <v>0</v>
      </c>
      <c r="F23355" s="2">
        <v>0</v>
      </c>
      <c r="G23355" s="2">
        <v>0</v>
      </c>
      <c r="H23355" s="1" t="s">
        <v>0</v>
      </c>
      <c r="I23355" s="2">
        <v>0</v>
      </c>
      <c r="J23355" s="1">
        <v>46077.733715277776</v>
      </c>
    </row>
    <row r="23356" spans="1:10" x14ac:dyDescent="0.2">
      <c r="A23356" s="4" t="s">
        <v>1</v>
      </c>
      <c r="B23356" s="3" t="str">
        <f>HYPERLINK("https://otsuka-europe-crm.veevavault.com/ui/#object/approved_document__v/V5O00000000P011", "RXULTIP Dr. Crespo - RXULTI paciente privada")</f>
        <v>RXULTIP Dr. Crespo - RXULTI paciente privada</v>
      </c>
      <c r="C23356" s="3" t="str">
        <f>HYPERLINK("https://otsuka-europe-crm.veevavault.com/ui/#object/sent_email__v/VBL00000001G613", "SE-001406264")</f>
        <v>SE-001406264</v>
      </c>
      <c r="D23356" s="1" t="s">
        <v>0</v>
      </c>
      <c r="E23356" s="2">
        <v>0</v>
      </c>
      <c r="F23356" s="2">
        <v>0</v>
      </c>
      <c r="G23356" s="2">
        <v>0</v>
      </c>
      <c r="H23356" s="1" t="s">
        <v>0</v>
      </c>
      <c r="I23356" s="2">
        <v>0</v>
      </c>
      <c r="J23356" s="1">
        <v>46077.733888888892</v>
      </c>
    </row>
    <row r="23357" spans="1:10" x14ac:dyDescent="0.2">
      <c r="A23357" s="4" t="s">
        <v>1</v>
      </c>
      <c r="B23357" s="3" t="str">
        <f>HYPERLINK("https://otsuka-europe-crm.veevavault.com/ui/#object/approved_document__v/V5O00000000P011", "RXULTIP Dr. Crespo - RXULTI paciente privada")</f>
        <v>RXULTIP Dr. Crespo - RXULTI paciente privada</v>
      </c>
      <c r="C23357" s="3" t="str">
        <f>HYPERLINK("https://otsuka-europe-crm.veevavault.com/ui/#object/sent_email__v/VBL00000001G614", "SE-001406265")</f>
        <v>SE-001406265</v>
      </c>
      <c r="D23357" s="1" t="s">
        <v>0</v>
      </c>
      <c r="E23357" s="2">
        <v>0</v>
      </c>
      <c r="F23357" s="2">
        <v>0</v>
      </c>
      <c r="G23357" s="2">
        <v>0</v>
      </c>
      <c r="H23357" s="1" t="s">
        <v>0</v>
      </c>
      <c r="I23357" s="2">
        <v>0</v>
      </c>
      <c r="J23357" s="1">
        <v>46077.734039351853</v>
      </c>
    </row>
    <row r="23358" spans="1:10" x14ac:dyDescent="0.2">
      <c r="A23358" s="4" t="s">
        <v>1</v>
      </c>
      <c r="B23358" s="3" t="str">
        <f>HYPERLINK("https://otsuka-europe-crm.veevavault.com/ui/#object/approved_document__v/V5O00000000P011", "RXULTIP Dr. Crespo - RXULTI paciente privada")</f>
        <v>RXULTIP Dr. Crespo - RXULTI paciente privada</v>
      </c>
      <c r="C23358" s="3" t="str">
        <f>HYPERLINK("https://otsuka-europe-crm.veevavault.com/ui/#object/sent_email__v/VBL00000001G615", "SE-001406266")</f>
        <v>SE-001406266</v>
      </c>
      <c r="D23358" s="1" t="s">
        <v>0</v>
      </c>
      <c r="E23358" s="2">
        <v>0</v>
      </c>
      <c r="F23358" s="2">
        <v>0</v>
      </c>
      <c r="G23358" s="2">
        <v>0</v>
      </c>
      <c r="H23358" s="1" t="s">
        <v>0</v>
      </c>
      <c r="I23358" s="2">
        <v>0</v>
      </c>
      <c r="J23358" s="1">
        <v>46077.734212962961</v>
      </c>
    </row>
    <row r="23359" spans="1:10" x14ac:dyDescent="0.2">
      <c r="A23359" s="4" t="s">
        <v>1</v>
      </c>
      <c r="B23359" s="3" t="str">
        <f>HYPERLINK("https://otsuka-europe-crm.veevavault.com/ui/#object/approved_document__v/V5O00000000P011", "RXULTIP Dr. Crespo - RXULTI paciente privada")</f>
        <v>RXULTIP Dr. Crespo - RXULTI paciente privada</v>
      </c>
      <c r="C23359" s="3" t="str">
        <f>HYPERLINK("https://otsuka-europe-crm.veevavault.com/ui/#object/sent_email__v/VBL00000001G616", "SE-001406267")</f>
        <v>SE-001406267</v>
      </c>
      <c r="D23359" s="1" t="s">
        <v>0</v>
      </c>
      <c r="E23359" s="2">
        <v>0</v>
      </c>
      <c r="F23359" s="2">
        <v>0</v>
      </c>
      <c r="G23359" s="2">
        <v>0</v>
      </c>
      <c r="H23359" s="1" t="s">
        <v>0</v>
      </c>
      <c r="I23359" s="2">
        <v>0</v>
      </c>
      <c r="J23359" s="1">
        <v>46077.734375</v>
      </c>
    </row>
    <row r="23360" spans="1:10" x14ac:dyDescent="0.2">
      <c r="A23360" s="4" t="s">
        <v>1</v>
      </c>
      <c r="B23360" s="3" t="str">
        <f>HYPERLINK("https://otsuka-europe-crm.veevavault.com/ui/#object/approved_document__v/V5O00000000P011", "RXULTIP Dr. Crespo - RXULTI paciente privada")</f>
        <v>RXULTIP Dr. Crespo - RXULTI paciente privada</v>
      </c>
      <c r="C23360" s="3" t="str">
        <f>HYPERLINK("https://otsuka-europe-crm.veevavault.com/ui/#object/sent_email__v/VBL00000001G617", "SE-001406268")</f>
        <v>SE-001406268</v>
      </c>
      <c r="D23360" s="1" t="s">
        <v>0</v>
      </c>
      <c r="E23360" s="2">
        <v>0</v>
      </c>
      <c r="F23360" s="2">
        <v>0</v>
      </c>
      <c r="G23360" s="2">
        <v>0</v>
      </c>
      <c r="H23360" s="1" t="s">
        <v>0</v>
      </c>
      <c r="I23360" s="2">
        <v>0</v>
      </c>
      <c r="J23360" s="1">
        <v>46077.734618055554</v>
      </c>
    </row>
    <row r="23361" spans="1:10" x14ac:dyDescent="0.2">
      <c r="A23361" s="4" t="s">
        <v>1</v>
      </c>
      <c r="B23361" s="3" t="str">
        <f>HYPERLINK("https://otsuka-europe-crm.veevavault.com/ui/#object/approved_document__v/V5O00000000P011", "RXULTIP Dr. Crespo - RXULTI paciente privada")</f>
        <v>RXULTIP Dr. Crespo - RXULTI paciente privada</v>
      </c>
      <c r="C23361" s="3" t="str">
        <f>HYPERLINK("https://otsuka-europe-crm.veevavault.com/ui/#object/sent_email__v/VBL00000001G618", "SE-001406269")</f>
        <v>SE-001406269</v>
      </c>
      <c r="D23361" s="1">
        <v>46078.675717592596</v>
      </c>
      <c r="E23361" s="2">
        <v>1</v>
      </c>
      <c r="F23361" s="2">
        <v>1</v>
      </c>
      <c r="G23361" s="2">
        <v>0</v>
      </c>
      <c r="H23361" s="1" t="s">
        <v>0</v>
      </c>
      <c r="I23361" s="2">
        <v>0</v>
      </c>
      <c r="J23361" s="1">
        <v>46077.734861111108</v>
      </c>
    </row>
    <row r="23362" spans="1:10" x14ac:dyDescent="0.2">
      <c r="A23362" s="4" t="s">
        <v>1</v>
      </c>
      <c r="B23362" s="3" t="str">
        <f>HYPERLINK("https://otsuka-europe-crm.veevavault.com/ui/#object/approved_document__v/V5O00000000P011", "RXULTIP Dr. Crespo - RXULTI paciente privada")</f>
        <v>RXULTIP Dr. Crespo - RXULTI paciente privada</v>
      </c>
      <c r="C23362" s="3" t="str">
        <f>HYPERLINK("https://otsuka-europe-crm.veevavault.com/ui/#object/sent_email__v/VBL00000001G619", "SE-001406270")</f>
        <v>SE-001406270</v>
      </c>
      <c r="D23362" s="1" t="s">
        <v>0</v>
      </c>
      <c r="E23362" s="2">
        <v>0</v>
      </c>
      <c r="F23362" s="2">
        <v>0</v>
      </c>
      <c r="G23362" s="2">
        <v>0</v>
      </c>
      <c r="H23362" s="1" t="s">
        <v>0</v>
      </c>
      <c r="I23362" s="2">
        <v>0</v>
      </c>
      <c r="J23362" s="1">
        <v>46077.73510416667</v>
      </c>
    </row>
    <row r="23363" spans="1:10" x14ac:dyDescent="0.2">
      <c r="A23363" s="4" t="s">
        <v>1</v>
      </c>
      <c r="B23363" s="3" t="str">
        <f>HYPERLINK("https://otsuka-europe-crm.veevavault.com/ui/#object/approved_document__v/V5O00000000P011", "RXULTIP Dr. Crespo - RXULTI paciente privada")</f>
        <v>RXULTIP Dr. Crespo - RXULTI paciente privada</v>
      </c>
      <c r="C23363" s="3" t="str">
        <f>HYPERLINK("https://otsuka-europe-crm.veevavault.com/ui/#object/sent_email__v/VBL00000001G620", "SE-001406271")</f>
        <v>SE-001406271</v>
      </c>
      <c r="D23363" s="1" t="s">
        <v>0</v>
      </c>
      <c r="E23363" s="2">
        <v>0</v>
      </c>
      <c r="F23363" s="2">
        <v>0</v>
      </c>
      <c r="G23363" s="2">
        <v>0</v>
      </c>
      <c r="H23363" s="1" t="s">
        <v>0</v>
      </c>
      <c r="I23363" s="2">
        <v>0</v>
      </c>
      <c r="J23363" s="1">
        <v>46077.73537037037</v>
      </c>
    </row>
    <row r="23364" spans="1:10" x14ac:dyDescent="0.2">
      <c r="A23364" s="4" t="s">
        <v>1</v>
      </c>
      <c r="B23364" s="3" t="str">
        <f>HYPERLINK("https://otsuka-europe-crm.veevavault.com/ui/#object/approved_document__v/V5O00000000P011", "RXULTIP Dr. Crespo - RXULTI paciente privada")</f>
        <v>RXULTIP Dr. Crespo - RXULTI paciente privada</v>
      </c>
      <c r="C23364" s="3" t="str">
        <f>HYPERLINK("https://otsuka-europe-crm.veevavault.com/ui/#object/sent_email__v/VBL00000001G621", "SE-001406272")</f>
        <v>SE-001406272</v>
      </c>
      <c r="D23364" s="1">
        <v>46077.938298611109</v>
      </c>
      <c r="E23364" s="2">
        <v>1</v>
      </c>
      <c r="F23364" s="2">
        <v>2</v>
      </c>
      <c r="G23364" s="2">
        <v>0</v>
      </c>
      <c r="H23364" s="1" t="s">
        <v>0</v>
      </c>
      <c r="I23364" s="2">
        <v>0</v>
      </c>
      <c r="J23364" s="1">
        <v>46077.735613425924</v>
      </c>
    </row>
    <row r="23365" spans="1:10" x14ac:dyDescent="0.2">
      <c r="A23365" s="4" t="s">
        <v>1</v>
      </c>
      <c r="B23365" s="3" t="str">
        <f>HYPERLINK("https://otsuka-europe-crm.veevavault.com/ui/#object/approved_document__v/V5O00000000P011", "RXULTIP Dr. Crespo - RXULTI paciente privada")</f>
        <v>RXULTIP Dr. Crespo - RXULTI paciente privada</v>
      </c>
      <c r="C23365" s="3" t="str">
        <f>HYPERLINK("https://otsuka-europe-crm.veevavault.com/ui/#object/sent_email__v/VBL00000001G622", "SE-001406273")</f>
        <v>SE-001406273</v>
      </c>
      <c r="D23365" s="1" t="s">
        <v>0</v>
      </c>
      <c r="E23365" s="2">
        <v>0</v>
      </c>
      <c r="F23365" s="2">
        <v>0</v>
      </c>
      <c r="G23365" s="2">
        <v>0</v>
      </c>
      <c r="H23365" s="1" t="s">
        <v>0</v>
      </c>
      <c r="I23365" s="2">
        <v>0</v>
      </c>
      <c r="J23365" s="1">
        <v>46077.735868055555</v>
      </c>
    </row>
    <row r="23366" spans="1:10" x14ac:dyDescent="0.2">
      <c r="A23366" s="4" t="s">
        <v>1</v>
      </c>
      <c r="B23366" s="3" t="str">
        <f>HYPERLINK("https://otsuka-europe-crm.veevavault.com/ui/#object/approved_document__v/V5O00000000P011", "RXULTIP Dr. Crespo - RXULTI paciente privada")</f>
        <v>RXULTIP Dr. Crespo - RXULTI paciente privada</v>
      </c>
      <c r="C23366" s="3" t="str">
        <f>HYPERLINK("https://otsuka-europe-crm.veevavault.com/ui/#object/sent_email__v/VBL00000001G623", "SE-001406274")</f>
        <v>SE-001406274</v>
      </c>
      <c r="D23366" s="1">
        <v>46077.751574074071</v>
      </c>
      <c r="E23366" s="2">
        <v>1</v>
      </c>
      <c r="F23366" s="2">
        <v>1</v>
      </c>
      <c r="G23366" s="2">
        <v>0</v>
      </c>
      <c r="H23366" s="1" t="s">
        <v>0</v>
      </c>
      <c r="I23366" s="2">
        <v>0</v>
      </c>
      <c r="J23366" s="1">
        <v>46077.736111111109</v>
      </c>
    </row>
    <row r="23367" spans="1:10" x14ac:dyDescent="0.2">
      <c r="A23367" s="4" t="s">
        <v>1</v>
      </c>
      <c r="B23367" s="3" t="str">
        <f>HYPERLINK("https://otsuka-europe-crm.veevavault.com/ui/#object/approved_document__v/V5O00000000P011", "RXULTIP Dr. Crespo - RXULTI paciente privada")</f>
        <v>RXULTIP Dr. Crespo - RXULTI paciente privada</v>
      </c>
      <c r="C23367" s="3" t="str">
        <f>HYPERLINK("https://otsuka-europe-crm.veevavault.com/ui/#object/sent_email__v/VBL00000001G624", "SE-001406275")</f>
        <v>SE-001406275</v>
      </c>
      <c r="D23367" s="1">
        <v>46077.807974537034</v>
      </c>
      <c r="E23367" s="2">
        <v>1</v>
      </c>
      <c r="F23367" s="2">
        <v>1</v>
      </c>
      <c r="G23367" s="2">
        <v>0</v>
      </c>
      <c r="H23367" s="1" t="s">
        <v>0</v>
      </c>
      <c r="I23367" s="2">
        <v>0</v>
      </c>
      <c r="J23367" s="1">
        <v>46077.736296296294</v>
      </c>
    </row>
    <row r="23368" spans="1:10" x14ac:dyDescent="0.2">
      <c r="A23368" s="4" t="s">
        <v>1</v>
      </c>
      <c r="B23368" s="3" t="str">
        <f>HYPERLINK("https://otsuka-europe-crm.veevavault.com/ui/#object/approved_document__v/V5O00000000P011", "RXULTIP Dr. Crespo - RXULTI paciente privada")</f>
        <v>RXULTIP Dr. Crespo - RXULTI paciente privada</v>
      </c>
      <c r="C23368" s="3" t="str">
        <f>HYPERLINK("https://otsuka-europe-crm.veevavault.com/ui/#object/sent_email__v/VBL00000001G625", "SE-001406276")</f>
        <v>SE-001406276</v>
      </c>
      <c r="D23368" s="1">
        <v>46078.64366898148</v>
      </c>
      <c r="E23368" s="2">
        <v>1</v>
      </c>
      <c r="F23368" s="2">
        <v>1</v>
      </c>
      <c r="G23368" s="2">
        <v>0</v>
      </c>
      <c r="H23368" s="1" t="s">
        <v>0</v>
      </c>
      <c r="I23368" s="2">
        <v>0</v>
      </c>
      <c r="J23368" s="1">
        <v>46077.736446759256</v>
      </c>
    </row>
    <row r="23369" spans="1:10" x14ac:dyDescent="0.2">
      <c r="A23369" s="4" t="s">
        <v>1</v>
      </c>
      <c r="B23369" s="3" t="str">
        <f>HYPERLINK("https://otsuka-europe-crm.veevavault.com/ui/#object/approved_document__v/V5O00000000P011", "RXULTIP Dr. Crespo - RXULTI paciente privada")</f>
        <v>RXULTIP Dr. Crespo - RXULTI paciente privada</v>
      </c>
      <c r="C23369" s="3" t="str">
        <f>HYPERLINK("https://otsuka-europe-crm.veevavault.com/ui/#object/sent_email__v/VBL00000001G626", "SE-001406277")</f>
        <v>SE-001406277</v>
      </c>
      <c r="D23369" s="1">
        <v>46077.743969907409</v>
      </c>
      <c r="E23369" s="2">
        <v>1</v>
      </c>
      <c r="F23369" s="2">
        <v>2</v>
      </c>
      <c r="G23369" s="2">
        <v>0</v>
      </c>
      <c r="H23369" s="1" t="s">
        <v>0</v>
      </c>
      <c r="I23369" s="2">
        <v>0</v>
      </c>
      <c r="J23369" s="1">
        <v>46077.736620370371</v>
      </c>
    </row>
    <row r="23370" spans="1:10" x14ac:dyDescent="0.2">
      <c r="A23370" s="4" t="s">
        <v>1</v>
      </c>
      <c r="B23370" s="3" t="str">
        <f>HYPERLINK("https://otsuka-europe-crm.veevavault.com/ui/#object/approved_document__v/V5O00000000P011", "RXULTIP Dr. Crespo - RXULTI paciente privada")</f>
        <v>RXULTIP Dr. Crespo - RXULTI paciente privada</v>
      </c>
      <c r="C23370" s="3" t="str">
        <f>HYPERLINK("https://otsuka-europe-crm.veevavault.com/ui/#object/sent_email__v/VBL00000001G627", "SE-001406278")</f>
        <v>SE-001406278</v>
      </c>
      <c r="D23370" s="1" t="s">
        <v>0</v>
      </c>
      <c r="E23370" s="2">
        <v>0</v>
      </c>
      <c r="F23370" s="2">
        <v>0</v>
      </c>
      <c r="G23370" s="2">
        <v>0</v>
      </c>
      <c r="H23370" s="1" t="s">
        <v>0</v>
      </c>
      <c r="I23370" s="2">
        <v>0</v>
      </c>
      <c r="J23370" s="1">
        <v>46077.736793981479</v>
      </c>
    </row>
    <row r="23371" spans="1:10" x14ac:dyDescent="0.2">
      <c r="A23371" s="4" t="s">
        <v>1</v>
      </c>
      <c r="B23371" s="3" t="str">
        <f>HYPERLINK("https://otsuka-europe-crm.veevavault.com/ui/#object/approved_document__v/V5O00000000P011", "RXULTIP Dr. Crespo - RXULTI paciente privada")</f>
        <v>RXULTIP Dr. Crespo - RXULTI paciente privada</v>
      </c>
      <c r="C23371" s="3" t="str">
        <f>HYPERLINK("https://otsuka-europe-crm.veevavault.com/ui/#object/sent_email__v/VBL00000001G628", "SE-001406279")</f>
        <v>SE-001406279</v>
      </c>
      <c r="D23371" s="1">
        <v>46077.840173611112</v>
      </c>
      <c r="E23371" s="2">
        <v>1</v>
      </c>
      <c r="F23371" s="2">
        <v>2</v>
      </c>
      <c r="G23371" s="2">
        <v>0</v>
      </c>
      <c r="H23371" s="1" t="s">
        <v>0</v>
      </c>
      <c r="I23371" s="2">
        <v>0</v>
      </c>
      <c r="J23371" s="1">
        <v>46077.736944444441</v>
      </c>
    </row>
    <row r="23372" spans="1:10" x14ac:dyDescent="0.2">
      <c r="A23372" s="4" t="s">
        <v>1</v>
      </c>
      <c r="B23372" s="3" t="str">
        <f>HYPERLINK("https://otsuka-europe-crm.veevavault.com/ui/#object/approved_document__v/V5O00000000P011", "RXULTIP Dr. Crespo - RXULTI paciente privada")</f>
        <v>RXULTIP Dr. Crespo - RXULTI paciente privada</v>
      </c>
      <c r="C23372" s="3" t="str">
        <f>HYPERLINK("https://otsuka-europe-crm.veevavault.com/ui/#object/sent_email__v/VBL00000001G629", "SE-001406280")</f>
        <v>SE-001406280</v>
      </c>
      <c r="D23372" s="1">
        <v>46078.472592592596</v>
      </c>
      <c r="E23372" s="2">
        <v>1</v>
      </c>
      <c r="F23372" s="2">
        <v>2</v>
      </c>
      <c r="G23372" s="2">
        <v>0</v>
      </c>
      <c r="H23372" s="1" t="s">
        <v>0</v>
      </c>
      <c r="I23372" s="2">
        <v>0</v>
      </c>
      <c r="J23372" s="1">
        <v>46077.737129629626</v>
      </c>
    </row>
    <row r="23373" spans="1:10" x14ac:dyDescent="0.2">
      <c r="A23373" s="4" t="s">
        <v>1</v>
      </c>
      <c r="B23373" s="3" t="str">
        <f>HYPERLINK("https://otsuka-europe-crm.veevavault.com/ui/#object/approved_document__v/V5O00000000P011", "RXULTIP Dr. Crespo - RXULTI paciente privada")</f>
        <v>RXULTIP Dr. Crespo - RXULTI paciente privada</v>
      </c>
      <c r="C23373" s="3" t="str">
        <f>HYPERLINK("https://otsuka-europe-crm.veevavault.com/ui/#object/sent_email__v/VBL00000001G630", "SE-001406281")</f>
        <v>SE-001406281</v>
      </c>
      <c r="D23373" s="1">
        <v>46078.334918981483</v>
      </c>
      <c r="E23373" s="2">
        <v>1</v>
      </c>
      <c r="F23373" s="2">
        <v>2</v>
      </c>
      <c r="G23373" s="2">
        <v>1</v>
      </c>
      <c r="H23373" s="1">
        <v>46078.335011574076</v>
      </c>
      <c r="I23373" s="2">
        <v>1</v>
      </c>
      <c r="J23373" s="1">
        <v>46077.737291666665</v>
      </c>
    </row>
    <row r="23374" spans="1:10" x14ac:dyDescent="0.2">
      <c r="A23374" s="4" t="s">
        <v>1</v>
      </c>
      <c r="B23374" s="3" t="str">
        <f>HYPERLINK("https://otsuka-europe-crm.veevavault.com/ui/#object/approved_document__v/V5O00000000P011", "RXULTIP Dr. Crespo - RXULTI paciente privada")</f>
        <v>RXULTIP Dr. Crespo - RXULTI paciente privada</v>
      </c>
      <c r="C23374" s="3" t="str">
        <f>HYPERLINK("https://otsuka-europe-crm.veevavault.com/ui/#object/sent_email__v/VBL00000001G631", "SE-001406282")</f>
        <v>SE-001406282</v>
      </c>
      <c r="D23374" s="1" t="s">
        <v>0</v>
      </c>
      <c r="E23374" s="2">
        <v>0</v>
      </c>
      <c r="F23374" s="2">
        <v>0</v>
      </c>
      <c r="G23374" s="2">
        <v>0</v>
      </c>
      <c r="H23374" s="1" t="s">
        <v>0</v>
      </c>
      <c r="I23374" s="2">
        <v>0</v>
      </c>
      <c r="J23374" s="1">
        <v>46077.737442129626</v>
      </c>
    </row>
    <row r="23375" spans="1:10" x14ac:dyDescent="0.2">
      <c r="A23375" s="4" t="s">
        <v>1</v>
      </c>
      <c r="B23375" s="3" t="str">
        <f>HYPERLINK("https://otsuka-europe-crm.veevavault.com/ui/#object/approved_document__v/V5O00000000P011", "RXULTIP Dr. Crespo - RXULTI paciente privada")</f>
        <v>RXULTIP Dr. Crespo - RXULTI paciente privada</v>
      </c>
      <c r="C23375" s="3" t="str">
        <f>HYPERLINK("https://otsuka-europe-crm.veevavault.com/ui/#object/sent_email__v/VBL00000001G632", "SE-001406283")</f>
        <v>SE-001406283</v>
      </c>
      <c r="D23375" s="1" t="s">
        <v>0</v>
      </c>
      <c r="E23375" s="2">
        <v>0</v>
      </c>
      <c r="F23375" s="2">
        <v>0</v>
      </c>
      <c r="G23375" s="2">
        <v>0</v>
      </c>
      <c r="H23375" s="1" t="s">
        <v>0</v>
      </c>
      <c r="I23375" s="2">
        <v>0</v>
      </c>
      <c r="J23375" s="1">
        <v>46077.737615740742</v>
      </c>
    </row>
    <row r="23376" spans="1:10" x14ac:dyDescent="0.2">
      <c r="A23376" s="4" t="s">
        <v>1</v>
      </c>
      <c r="B23376" s="3" t="str">
        <f>HYPERLINK("https://otsuka-europe-crm.veevavault.com/ui/#object/approved_document__v/V5O00000000P011", "RXULTIP Dr. Crespo - RXULTI paciente privada")</f>
        <v>RXULTIP Dr. Crespo - RXULTI paciente privada</v>
      </c>
      <c r="C23376" s="3" t="str">
        <f>HYPERLINK("https://otsuka-europe-crm.veevavault.com/ui/#object/sent_email__v/VBL00000001G633", "SE-001406284")</f>
        <v>SE-001406284</v>
      </c>
      <c r="D23376" s="1">
        <v>46077.967013888891</v>
      </c>
      <c r="E23376" s="2">
        <v>1</v>
      </c>
      <c r="F23376" s="2">
        <v>1</v>
      </c>
      <c r="G23376" s="2">
        <v>0</v>
      </c>
      <c r="H23376" s="1" t="s">
        <v>0</v>
      </c>
      <c r="I23376" s="2">
        <v>0</v>
      </c>
      <c r="J23376" s="1">
        <v>46077.73777777778</v>
      </c>
    </row>
    <row r="23377" spans="1:10" x14ac:dyDescent="0.2">
      <c r="A23377" s="4" t="s">
        <v>1</v>
      </c>
      <c r="B23377" s="3" t="str">
        <f>HYPERLINK("https://otsuka-europe-crm.veevavault.com/ui/#object/approved_document__v/V5O00000000P011", "RXULTIP Dr. Crespo - RXULTI paciente privada")</f>
        <v>RXULTIP Dr. Crespo - RXULTI paciente privada</v>
      </c>
      <c r="C23377" s="3" t="str">
        <f>HYPERLINK("https://otsuka-europe-crm.veevavault.com/ui/#object/sent_email__v/VBL00000001G634", "SE-001406285")</f>
        <v>SE-001406285</v>
      </c>
      <c r="D23377" s="1" t="s">
        <v>0</v>
      </c>
      <c r="E23377" s="2">
        <v>0</v>
      </c>
      <c r="F23377" s="2">
        <v>0</v>
      </c>
      <c r="G23377" s="2">
        <v>0</v>
      </c>
      <c r="H23377" s="1" t="s">
        <v>0</v>
      </c>
      <c r="I23377" s="2">
        <v>0</v>
      </c>
      <c r="J23377" s="1">
        <v>46077.737939814811</v>
      </c>
    </row>
    <row r="23378" spans="1:10" x14ac:dyDescent="0.2">
      <c r="A23378" s="4" t="s">
        <v>1</v>
      </c>
      <c r="B23378" s="3" t="str">
        <f>HYPERLINK("https://otsuka-europe-crm.veevavault.com/ui/#object/approved_document__v/V5O00000000P011", "RXULTIP Dr. Crespo - RXULTI paciente privada")</f>
        <v>RXULTIP Dr. Crespo - RXULTI paciente privada</v>
      </c>
      <c r="C23378" s="3" t="str">
        <f>HYPERLINK("https://otsuka-europe-crm.veevavault.com/ui/#object/sent_email__v/VBL00000001G635", "SE-001406286")</f>
        <v>SE-001406286</v>
      </c>
      <c r="D23378" s="1" t="s">
        <v>0</v>
      </c>
      <c r="E23378" s="2">
        <v>0</v>
      </c>
      <c r="F23378" s="2">
        <v>0</v>
      </c>
      <c r="G23378" s="2">
        <v>0</v>
      </c>
      <c r="H23378" s="1" t="s">
        <v>0</v>
      </c>
      <c r="I23378" s="2">
        <v>0</v>
      </c>
      <c r="J23378" s="1">
        <v>46077.738113425927</v>
      </c>
    </row>
    <row r="23379" spans="1:10" x14ac:dyDescent="0.2">
      <c r="A23379" s="4" t="s">
        <v>1</v>
      </c>
      <c r="B23379" s="3" t="str">
        <f>HYPERLINK("https://otsuka-europe-crm.veevavault.com/ui/#object/approved_document__v/V5O00000000P011", "RXULTIP Dr. Crespo - RXULTI paciente privada")</f>
        <v>RXULTIP Dr. Crespo - RXULTI paciente privada</v>
      </c>
      <c r="C23379" s="3" t="str">
        <f>HYPERLINK("https://otsuka-europe-crm.veevavault.com/ui/#object/sent_email__v/VBL00000001G636", "SE-001406287")</f>
        <v>SE-001406287</v>
      </c>
      <c r="D23379" s="1" t="s">
        <v>0</v>
      </c>
      <c r="E23379" s="2">
        <v>0</v>
      </c>
      <c r="F23379" s="2">
        <v>0</v>
      </c>
      <c r="G23379" s="2">
        <v>0</v>
      </c>
      <c r="H23379" s="1" t="s">
        <v>0</v>
      </c>
      <c r="I23379" s="2">
        <v>0</v>
      </c>
      <c r="J23379" s="1">
        <v>46077.738275462965</v>
      </c>
    </row>
    <row r="23380" spans="1:10" x14ac:dyDescent="0.2">
      <c r="A23380" s="4" t="s">
        <v>1</v>
      </c>
      <c r="B23380" s="3" t="str">
        <f>HYPERLINK("https://otsuka-europe-crm.veevavault.com/ui/#object/approved_document__v/V5O00000000P011", "RXULTIP Dr. Crespo - RXULTI paciente privada")</f>
        <v>RXULTIP Dr. Crespo - RXULTI paciente privada</v>
      </c>
      <c r="C23380" s="3" t="str">
        <f>HYPERLINK("https://otsuka-europe-crm.veevavault.com/ui/#object/sent_email__v/VBL00000001G637", "SE-001406288")</f>
        <v>SE-001406288</v>
      </c>
      <c r="D23380" s="1">
        <v>46078.233032407406</v>
      </c>
      <c r="E23380" s="2">
        <v>1</v>
      </c>
      <c r="F23380" s="2">
        <v>2</v>
      </c>
      <c r="G23380" s="2">
        <v>0</v>
      </c>
      <c r="H23380" s="1" t="s">
        <v>0</v>
      </c>
      <c r="I23380" s="2">
        <v>0</v>
      </c>
      <c r="J23380" s="1">
        <v>46077.738437499997</v>
      </c>
    </row>
    <row r="23381" spans="1:10" x14ac:dyDescent="0.2">
      <c r="A23381" s="4" t="s">
        <v>1</v>
      </c>
      <c r="B23381" s="3" t="str">
        <f>HYPERLINK("https://otsuka-europe-crm.veevavault.com/ui/#object/approved_document__v/V5O00000000P011", "RXULTIP Dr. Crespo - RXULTI paciente privada")</f>
        <v>RXULTIP Dr. Crespo - RXULTI paciente privada</v>
      </c>
      <c r="C23381" s="3" t="str">
        <f>HYPERLINK("https://otsuka-europe-crm.veevavault.com/ui/#object/sent_email__v/VBL00000001G638", "SE-001406289")</f>
        <v>SE-001406289</v>
      </c>
      <c r="D23381" s="1">
        <v>46078.31354166667</v>
      </c>
      <c r="E23381" s="2">
        <v>1</v>
      </c>
      <c r="F23381" s="2">
        <v>1</v>
      </c>
      <c r="G23381" s="2">
        <v>0</v>
      </c>
      <c r="H23381" s="1" t="s">
        <v>0</v>
      </c>
      <c r="I23381" s="2">
        <v>0</v>
      </c>
      <c r="J23381" s="1">
        <v>46077.738611111112</v>
      </c>
    </row>
    <row r="23382" spans="1:10" x14ac:dyDescent="0.2">
      <c r="A23382" s="4" t="s">
        <v>1</v>
      </c>
      <c r="B23382" s="3" t="str">
        <f>HYPERLINK("https://otsuka-europe-crm.veevavault.com/ui/#object/approved_document__v/V5O00000000P011", "RXULTIP Dr. Crespo - RXULTI paciente privada")</f>
        <v>RXULTIP Dr. Crespo - RXULTI paciente privada</v>
      </c>
      <c r="C23382" s="3" t="str">
        <f>HYPERLINK("https://otsuka-europe-crm.veevavault.com/ui/#object/sent_email__v/VBL00000001G639", "SE-001406290")</f>
        <v>SE-001406290</v>
      </c>
      <c r="D23382" s="1" t="s">
        <v>0</v>
      </c>
      <c r="E23382" s="2">
        <v>0</v>
      </c>
      <c r="F23382" s="2">
        <v>0</v>
      </c>
      <c r="G23382" s="2">
        <v>0</v>
      </c>
      <c r="H23382" s="1" t="s">
        <v>0</v>
      </c>
      <c r="I23382" s="2">
        <v>0</v>
      </c>
      <c r="J23382" s="1">
        <v>46077.73878472222</v>
      </c>
    </row>
    <row r="23383" spans="1:10" x14ac:dyDescent="0.2">
      <c r="A23383" s="4" t="s">
        <v>1</v>
      </c>
      <c r="B23383" s="3" t="str">
        <f>HYPERLINK("https://otsuka-europe-crm.veevavault.com/ui/#object/approved_document__v/V5O00000000P011", "RXULTIP Dr. Crespo - RXULTI paciente privada")</f>
        <v>RXULTIP Dr. Crespo - RXULTI paciente privada</v>
      </c>
      <c r="C23383" s="3" t="str">
        <f>HYPERLINK("https://otsuka-europe-crm.veevavault.com/ui/#object/sent_email__v/VBL00000001G640", "SE-001406291")</f>
        <v>SE-001406291</v>
      </c>
      <c r="D23383" s="1">
        <v>46078.579872685186</v>
      </c>
      <c r="E23383" s="2">
        <v>1</v>
      </c>
      <c r="F23383" s="2">
        <v>2</v>
      </c>
      <c r="G23383" s="2">
        <v>0</v>
      </c>
      <c r="H23383" s="1" t="s">
        <v>0</v>
      </c>
      <c r="I23383" s="2">
        <v>0</v>
      </c>
      <c r="J23383" s="1">
        <v>46077.738958333335</v>
      </c>
    </row>
    <row r="23384" spans="1:10" x14ac:dyDescent="0.2">
      <c r="A23384" s="4" t="s">
        <v>1</v>
      </c>
      <c r="B23384" s="3" t="str">
        <f>HYPERLINK("https://otsuka-europe-crm.veevavault.com/ui/#object/approved_document__v/V5O00000000P011", "RXULTIP Dr. Crespo - RXULTI paciente privada")</f>
        <v>RXULTIP Dr. Crespo - RXULTI paciente privada</v>
      </c>
      <c r="C23384" s="3" t="str">
        <f>HYPERLINK("https://otsuka-europe-crm.veevavault.com/ui/#object/sent_email__v/VBL00000001G641", "SE-001406292")</f>
        <v>SE-001406292</v>
      </c>
      <c r="D23384" s="1">
        <v>46077.79047453704</v>
      </c>
      <c r="E23384" s="2">
        <v>1</v>
      </c>
      <c r="F23384" s="2">
        <v>1</v>
      </c>
      <c r="G23384" s="2">
        <v>1</v>
      </c>
      <c r="H23384" s="1">
        <v>46077.927893518521</v>
      </c>
      <c r="I23384" s="2">
        <v>1</v>
      </c>
      <c r="J23384" s="1">
        <v>46077.739120370374</v>
      </c>
    </row>
    <row r="23385" spans="1:10" x14ac:dyDescent="0.2">
      <c r="A23385" s="4" t="s">
        <v>1</v>
      </c>
      <c r="B23385" s="3" t="str">
        <f>HYPERLINK("https://otsuka-europe-crm.veevavault.com/ui/#object/approved_document__v/V5O00000000P011", "RXULTIP Dr. Crespo - RXULTI paciente privada")</f>
        <v>RXULTIP Dr. Crespo - RXULTI paciente privada</v>
      </c>
      <c r="C23385" s="3" t="str">
        <f>HYPERLINK("https://otsuka-europe-crm.veevavault.com/ui/#object/sent_email__v/VBL00000001G642", "SE-001406293")</f>
        <v>SE-001406293</v>
      </c>
      <c r="D23385" s="1">
        <v>46078.361828703702</v>
      </c>
      <c r="E23385" s="2">
        <v>1</v>
      </c>
      <c r="F23385" s="2">
        <v>1</v>
      </c>
      <c r="G23385" s="2">
        <v>0</v>
      </c>
      <c r="H23385" s="1" t="s">
        <v>0</v>
      </c>
      <c r="I23385" s="2">
        <v>0</v>
      </c>
      <c r="J23385" s="1">
        <v>46077.739282407405</v>
      </c>
    </row>
    <row r="23386" spans="1:10" x14ac:dyDescent="0.2">
      <c r="A23386" s="4" t="s">
        <v>1</v>
      </c>
      <c r="B23386" s="3" t="str">
        <f>HYPERLINK("https://otsuka-europe-crm.veevavault.com/ui/#object/approved_document__v/V5O00000000P011", "RXULTIP Dr. Crespo - RXULTI paciente privada")</f>
        <v>RXULTIP Dr. Crespo - RXULTI paciente privada</v>
      </c>
      <c r="C23386" s="3" t="str">
        <f>HYPERLINK("https://otsuka-europe-crm.veevavault.com/ui/#object/sent_email__v/VBL00000001G643", "SE-001406294")</f>
        <v>SE-001406294</v>
      </c>
      <c r="D23386" s="1">
        <v>46077.769803240742</v>
      </c>
      <c r="E23386" s="2">
        <v>1</v>
      </c>
      <c r="F23386" s="2">
        <v>1</v>
      </c>
      <c r="G23386" s="2">
        <v>1</v>
      </c>
      <c r="H23386" s="1">
        <v>46077.770138888889</v>
      </c>
      <c r="I23386" s="2">
        <v>2</v>
      </c>
      <c r="J23386" s="1">
        <v>46077.739502314813</v>
      </c>
    </row>
    <row r="23387" spans="1:10" x14ac:dyDescent="0.2">
      <c r="A23387" s="4" t="s">
        <v>1</v>
      </c>
      <c r="B23387" s="3" t="str">
        <f>HYPERLINK("https://otsuka-europe-crm.veevavault.com/ui/#object/approved_document__v/V5O00000000P011", "RXULTIP Dr. Crespo - RXULTI paciente privada")</f>
        <v>RXULTIP Dr. Crespo - RXULTI paciente privada</v>
      </c>
      <c r="C23387" s="3" t="str">
        <f>HYPERLINK("https://otsuka-europe-crm.veevavault.com/ui/#object/sent_email__v/VBL00000001G644", "SE-001406295")</f>
        <v>SE-001406295</v>
      </c>
      <c r="D23387" s="1">
        <v>46079.407349537039</v>
      </c>
      <c r="E23387" s="2">
        <v>1</v>
      </c>
      <c r="F23387" s="2">
        <v>3</v>
      </c>
      <c r="G23387" s="2">
        <v>0</v>
      </c>
      <c r="H23387" s="1" t="s">
        <v>0</v>
      </c>
      <c r="I23387" s="2">
        <v>0</v>
      </c>
      <c r="J23387" s="1">
        <v>46077.739710648151</v>
      </c>
    </row>
    <row r="23388" spans="1:10" x14ac:dyDescent="0.2">
      <c r="A23388" s="4" t="s">
        <v>1</v>
      </c>
      <c r="B23388" s="3" t="str">
        <f>HYPERLINK("https://otsuka-europe-crm.veevavault.com/ui/#object/approved_document__v/V5O00000000P011", "RXULTIP Dr. Crespo - RXULTI paciente privada")</f>
        <v>RXULTIP Dr. Crespo - RXULTI paciente privada</v>
      </c>
      <c r="C23388" s="3" t="str">
        <f>HYPERLINK("https://otsuka-europe-crm.veevavault.com/ui/#object/sent_email__v/VBL00000001G645", "SE-001406296")</f>
        <v>SE-001406296</v>
      </c>
      <c r="D23388" s="1" t="s">
        <v>0</v>
      </c>
      <c r="E23388" s="2">
        <v>0</v>
      </c>
      <c r="F23388" s="2">
        <v>0</v>
      </c>
      <c r="G23388" s="2">
        <v>0</v>
      </c>
      <c r="H23388" s="1" t="s">
        <v>0</v>
      </c>
      <c r="I23388" s="2">
        <v>0</v>
      </c>
      <c r="J23388" s="1">
        <v>46077.739872685182</v>
      </c>
    </row>
    <row r="23389" spans="1:10" x14ac:dyDescent="0.2">
      <c r="A23389" s="4" t="s">
        <v>1</v>
      </c>
      <c r="B23389" s="3" t="str">
        <f>HYPERLINK("https://otsuka-europe-crm.veevavault.com/ui/#object/approved_document__v/V5O00000000P011", "RXULTIP Dr. Crespo - RXULTI paciente privada")</f>
        <v>RXULTIP Dr. Crespo - RXULTI paciente privada</v>
      </c>
      <c r="C23389" s="3" t="str">
        <f>HYPERLINK("https://otsuka-europe-crm.veevavault.com/ui/#object/sent_email__v/VBL00000001G646", "SE-001406297")</f>
        <v>SE-001406297</v>
      </c>
      <c r="D23389" s="1">
        <v>46078.888483796298</v>
      </c>
      <c r="E23389" s="2">
        <v>1</v>
      </c>
      <c r="F23389" s="2">
        <v>2</v>
      </c>
      <c r="G23389" s="2">
        <v>1</v>
      </c>
      <c r="H23389" s="1">
        <v>46078.888483796298</v>
      </c>
      <c r="I23389" s="2">
        <v>1</v>
      </c>
      <c r="J23389" s="1">
        <v>46077.740034722221</v>
      </c>
    </row>
    <row r="23390" spans="1:10" x14ac:dyDescent="0.2">
      <c r="A23390" s="4" t="s">
        <v>1</v>
      </c>
      <c r="B23390" s="3" t="str">
        <f>HYPERLINK("https://otsuka-europe-crm.veevavault.com/ui/#object/approved_document__v/V5O00000000P011", "RXULTIP Dr. Crespo - RXULTI paciente privada")</f>
        <v>RXULTIP Dr. Crespo - RXULTI paciente privada</v>
      </c>
      <c r="C23390" s="3" t="str">
        <f>HYPERLINK("https://otsuka-europe-crm.veevavault.com/ui/#object/sent_email__v/VBL00000001G647", "SE-001406298")</f>
        <v>SE-001406298</v>
      </c>
      <c r="D23390" s="1" t="s">
        <v>0</v>
      </c>
      <c r="E23390" s="2">
        <v>0</v>
      </c>
      <c r="F23390" s="2">
        <v>0</v>
      </c>
      <c r="G23390" s="2">
        <v>0</v>
      </c>
      <c r="H23390" s="1" t="s">
        <v>0</v>
      </c>
      <c r="I23390" s="2">
        <v>0</v>
      </c>
      <c r="J23390" s="1">
        <v>46077.74019675926</v>
      </c>
    </row>
    <row r="23391" spans="1:10" x14ac:dyDescent="0.2">
      <c r="A23391" s="4" t="s">
        <v>1</v>
      </c>
      <c r="B23391" s="3" t="str">
        <f>HYPERLINK("https://otsuka-europe-crm.veevavault.com/ui/#object/approved_document__v/V5O00000000P011", "RXULTIP Dr. Crespo - RXULTI paciente privada")</f>
        <v>RXULTIP Dr. Crespo - RXULTI paciente privada</v>
      </c>
      <c r="C23391" s="3" t="str">
        <f>HYPERLINK("https://otsuka-europe-crm.veevavault.com/ui/#object/sent_email__v/VBL00000001G648", "SE-001406299")</f>
        <v>SE-001406299</v>
      </c>
      <c r="D23391" s="1" t="s">
        <v>0</v>
      </c>
      <c r="E23391" s="2">
        <v>0</v>
      </c>
      <c r="F23391" s="2">
        <v>0</v>
      </c>
      <c r="G23391" s="2">
        <v>0</v>
      </c>
      <c r="H23391" s="1" t="s">
        <v>0</v>
      </c>
      <c r="I23391" s="2">
        <v>0</v>
      </c>
      <c r="J23391" s="1">
        <v>46077.740370370368</v>
      </c>
    </row>
    <row r="23392" spans="1:10" x14ac:dyDescent="0.2">
      <c r="A23392" s="4" t="s">
        <v>1</v>
      </c>
      <c r="B23392" s="3" t="str">
        <f>HYPERLINK("https://otsuka-europe-crm.veevavault.com/ui/#object/approved_document__v/V5O00000000P011", "RXULTIP Dr. Crespo - RXULTI paciente privada")</f>
        <v>RXULTIP Dr. Crespo - RXULTI paciente privada</v>
      </c>
      <c r="C23392" s="3" t="str">
        <f>HYPERLINK("https://otsuka-europe-crm.veevavault.com/ui/#object/sent_email__v/VBL00000001G649", "SE-001406300")</f>
        <v>SE-001406300</v>
      </c>
      <c r="D23392" s="1">
        <v>46077.869016203702</v>
      </c>
      <c r="E23392" s="2">
        <v>1</v>
      </c>
      <c r="F23392" s="2">
        <v>1</v>
      </c>
      <c r="G23392" s="2">
        <v>0</v>
      </c>
      <c r="H23392" s="1" t="s">
        <v>0</v>
      </c>
      <c r="I23392" s="2">
        <v>0</v>
      </c>
      <c r="J23392" s="1">
        <v>46077.740532407406</v>
      </c>
    </row>
    <row r="23393" spans="1:10" x14ac:dyDescent="0.2">
      <c r="A23393" s="4" t="s">
        <v>1</v>
      </c>
      <c r="B23393" s="3" t="str">
        <f>HYPERLINK("https://otsuka-europe-crm.veevavault.com/ui/#object/approved_document__v/V5O00000000P011", "RXULTIP Dr. Crespo - RXULTI paciente privada")</f>
        <v>RXULTIP Dr. Crespo - RXULTI paciente privada</v>
      </c>
      <c r="C23393" s="3" t="str">
        <f>HYPERLINK("https://otsuka-europe-crm.veevavault.com/ui/#object/sent_email__v/VBL00000001G650", "SE-001406301")</f>
        <v>SE-001406301</v>
      </c>
      <c r="D23393" s="1" t="s">
        <v>0</v>
      </c>
      <c r="E23393" s="2">
        <v>0</v>
      </c>
      <c r="F23393" s="2">
        <v>0</v>
      </c>
      <c r="G23393" s="2">
        <v>0</v>
      </c>
      <c r="H23393" s="1" t="s">
        <v>0</v>
      </c>
      <c r="I23393" s="2">
        <v>0</v>
      </c>
      <c r="J23393" s="1">
        <v>46077.740694444445</v>
      </c>
    </row>
    <row r="23394" spans="1:10" x14ac:dyDescent="0.2">
      <c r="A23394" s="4" t="s">
        <v>1</v>
      </c>
      <c r="B23394" s="3" t="str">
        <f>HYPERLINK("https://otsuka-europe-crm.veevavault.com/ui/#object/approved_document__v/V5O00000000P011", "RXULTIP Dr. Crespo - RXULTI paciente privada")</f>
        <v>RXULTIP Dr. Crespo - RXULTI paciente privada</v>
      </c>
      <c r="C23394" s="3" t="str">
        <f>HYPERLINK("https://otsuka-europe-crm.veevavault.com/ui/#object/sent_email__v/VBL00000001G651", "SE-001406302")</f>
        <v>SE-001406302</v>
      </c>
      <c r="D23394" s="1" t="s">
        <v>0</v>
      </c>
      <c r="E23394" s="2">
        <v>0</v>
      </c>
      <c r="F23394" s="2">
        <v>0</v>
      </c>
      <c r="G23394" s="2">
        <v>0</v>
      </c>
      <c r="H23394" s="1" t="s">
        <v>0</v>
      </c>
      <c r="I23394" s="2">
        <v>0</v>
      </c>
      <c r="J23394" s="1">
        <v>46077.740868055553</v>
      </c>
    </row>
    <row r="23395" spans="1:10" x14ac:dyDescent="0.2">
      <c r="A23395" s="4" t="s">
        <v>1</v>
      </c>
      <c r="B23395" s="3" t="str">
        <f>HYPERLINK("https://otsuka-europe-crm.veevavault.com/ui/#object/approved_document__v/V5O00000000P011", "RXULTIP Dr. Crespo - RXULTI paciente privada")</f>
        <v>RXULTIP Dr. Crespo - RXULTI paciente privada</v>
      </c>
      <c r="C23395" s="3" t="str">
        <f>HYPERLINK("https://otsuka-europe-crm.veevavault.com/ui/#object/sent_email__v/VBL00000001G652", "SE-001406303")</f>
        <v>SE-001406303</v>
      </c>
      <c r="D23395" s="1" t="s">
        <v>0</v>
      </c>
      <c r="E23395" s="2">
        <v>0</v>
      </c>
      <c r="F23395" s="2">
        <v>0</v>
      </c>
      <c r="G23395" s="2">
        <v>0</v>
      </c>
      <c r="H23395" s="1" t="s">
        <v>0</v>
      </c>
      <c r="I23395" s="2">
        <v>0</v>
      </c>
      <c r="J23395" s="1">
        <v>46077.741030092591</v>
      </c>
    </row>
    <row r="23396" spans="1:10" x14ac:dyDescent="0.2">
      <c r="A23396" s="4" t="s">
        <v>1</v>
      </c>
      <c r="B23396" s="3" t="str">
        <f>HYPERLINK("https://otsuka-europe-crm.veevavault.com/ui/#object/approved_document__v/V5O00000000P011", "RXULTIP Dr. Crespo - RXULTI paciente privada")</f>
        <v>RXULTIP Dr. Crespo - RXULTI paciente privada</v>
      </c>
      <c r="C23396" s="3" t="str">
        <f>HYPERLINK("https://otsuka-europe-crm.veevavault.com/ui/#object/sent_email__v/VBL00000001G653", "SE-001406304")</f>
        <v>SE-001406304</v>
      </c>
      <c r="D23396" s="1" t="s">
        <v>0</v>
      </c>
      <c r="E23396" s="2">
        <v>0</v>
      </c>
      <c r="F23396" s="2">
        <v>0</v>
      </c>
      <c r="G23396" s="2">
        <v>0</v>
      </c>
      <c r="H23396" s="1" t="s">
        <v>0</v>
      </c>
      <c r="I23396" s="2">
        <v>0</v>
      </c>
      <c r="J23396" s="1">
        <v>46077.741203703707</v>
      </c>
    </row>
    <row r="23397" spans="1:10" x14ac:dyDescent="0.2">
      <c r="A23397" s="4" t="s">
        <v>1</v>
      </c>
      <c r="B23397" s="3" t="str">
        <f>HYPERLINK("https://otsuka-europe-crm.veevavault.com/ui/#object/approved_document__v/V5O00000000P011", "RXULTIP Dr. Crespo - RXULTI paciente privada")</f>
        <v>RXULTIP Dr. Crespo - RXULTI paciente privada</v>
      </c>
      <c r="C23397" s="3" t="str">
        <f>HYPERLINK("https://otsuka-europe-crm.veevavault.com/ui/#object/sent_email__v/VBL00000001G654", "SE-001406305")</f>
        <v>SE-001406305</v>
      </c>
      <c r="D23397" s="1" t="s">
        <v>0</v>
      </c>
      <c r="E23397" s="2">
        <v>0</v>
      </c>
      <c r="F23397" s="2">
        <v>0</v>
      </c>
      <c r="G23397" s="2">
        <v>0</v>
      </c>
      <c r="H23397" s="1" t="s">
        <v>0</v>
      </c>
      <c r="I23397" s="2">
        <v>0</v>
      </c>
      <c r="J23397" s="1">
        <v>46077.741365740738</v>
      </c>
    </row>
    <row r="23398" spans="1:10" x14ac:dyDescent="0.2">
      <c r="A23398" s="4" t="s">
        <v>1</v>
      </c>
      <c r="B23398" s="3" t="str">
        <f>HYPERLINK("https://otsuka-europe-crm.veevavault.com/ui/#object/approved_document__v/V5O00000000P011", "RXULTIP Dr. Crespo - RXULTI paciente privada")</f>
        <v>RXULTIP Dr. Crespo - RXULTI paciente privada</v>
      </c>
      <c r="C23398" s="3" t="str">
        <f>HYPERLINK("https://otsuka-europe-crm.veevavault.com/ui/#object/sent_email__v/VBL00000001G655", "SE-001406306")</f>
        <v>SE-001406306</v>
      </c>
      <c r="D23398" s="1">
        <v>46077.766423611109</v>
      </c>
      <c r="E23398" s="2">
        <v>1</v>
      </c>
      <c r="F23398" s="2">
        <v>1</v>
      </c>
      <c r="G23398" s="2">
        <v>0</v>
      </c>
      <c r="H23398" s="1" t="s">
        <v>0</v>
      </c>
      <c r="I23398" s="2">
        <v>0</v>
      </c>
      <c r="J23398" s="1">
        <v>46077.741527777776</v>
      </c>
    </row>
    <row r="23399" spans="1:10" x14ac:dyDescent="0.2">
      <c r="A23399" s="4" t="s">
        <v>1</v>
      </c>
      <c r="B23399" s="3" t="str">
        <f>HYPERLINK("https://otsuka-europe-crm.veevavault.com/ui/#object/approved_document__v/V5O00000000P011", "RXULTIP Dr. Crespo - RXULTI paciente privada")</f>
        <v>RXULTIP Dr. Crespo - RXULTI paciente privada</v>
      </c>
      <c r="C23399" s="3" t="str">
        <f>HYPERLINK("https://otsuka-europe-crm.veevavault.com/ui/#object/sent_email__v/VBL00000001G656", "SE-001406307")</f>
        <v>SE-001406307</v>
      </c>
      <c r="D23399" s="1" t="s">
        <v>0</v>
      </c>
      <c r="E23399" s="2">
        <v>0</v>
      </c>
      <c r="F23399" s="2">
        <v>0</v>
      </c>
      <c r="G23399" s="2">
        <v>0</v>
      </c>
      <c r="H23399" s="1" t="s">
        <v>0</v>
      </c>
      <c r="I23399" s="2">
        <v>0</v>
      </c>
      <c r="J23399" s="1">
        <v>46077.741701388892</v>
      </c>
    </row>
    <row r="23400" spans="1:10" x14ac:dyDescent="0.2">
      <c r="A23400" s="4" t="s">
        <v>1</v>
      </c>
      <c r="B23400" s="3" t="str">
        <f>HYPERLINK("https://otsuka-europe-crm.veevavault.com/ui/#object/approved_document__v/V5O00000000P011", "RXULTIP Dr. Crespo - RXULTI paciente privada")</f>
        <v>RXULTIP Dr. Crespo - RXULTI paciente privada</v>
      </c>
      <c r="C23400" s="3" t="str">
        <f>HYPERLINK("https://otsuka-europe-crm.veevavault.com/ui/#object/sent_email__v/VBL00000001G657", "SE-001406308")</f>
        <v>SE-001406308</v>
      </c>
      <c r="D23400" s="1">
        <v>46079.381504629629</v>
      </c>
      <c r="E23400" s="2">
        <v>1</v>
      </c>
      <c r="F23400" s="2">
        <v>1</v>
      </c>
      <c r="G23400" s="2">
        <v>0</v>
      </c>
      <c r="H23400" s="1" t="s">
        <v>0</v>
      </c>
      <c r="I23400" s="2">
        <v>0</v>
      </c>
      <c r="J23400" s="1">
        <v>46077.741909722223</v>
      </c>
    </row>
    <row r="23401" spans="1:10" x14ac:dyDescent="0.2">
      <c r="A23401" s="4" t="s">
        <v>1</v>
      </c>
      <c r="B23401" s="3" t="str">
        <f>HYPERLINK("https://otsuka-europe-crm.veevavault.com/ui/#object/approved_document__v/V5O00000000P011", "RXULTIP Dr. Crespo - RXULTI paciente privada")</f>
        <v>RXULTIP Dr. Crespo - RXULTI paciente privada</v>
      </c>
      <c r="C23401" s="3" t="str">
        <f>HYPERLINK("https://otsuka-europe-crm.veevavault.com/ui/#object/sent_email__v/VBL00000001G658", "SE-001406309")</f>
        <v>SE-001406309</v>
      </c>
      <c r="D23401" s="1" t="s">
        <v>0</v>
      </c>
      <c r="E23401" s="2">
        <v>0</v>
      </c>
      <c r="F23401" s="2">
        <v>0</v>
      </c>
      <c r="G23401" s="2">
        <v>0</v>
      </c>
      <c r="H23401" s="1" t="s">
        <v>0</v>
      </c>
      <c r="I23401" s="2">
        <v>0</v>
      </c>
      <c r="J23401" s="1">
        <v>46077.742175925923</v>
      </c>
    </row>
    <row r="23402" spans="1:10" x14ac:dyDescent="0.2">
      <c r="A23402" s="4" t="s">
        <v>1</v>
      </c>
      <c r="B23402" s="3" t="str">
        <f>HYPERLINK("https://otsuka-europe-crm.veevavault.com/ui/#object/approved_document__v/V5O00000000P011", "RXULTIP Dr. Crespo - RXULTI paciente privada")</f>
        <v>RXULTIP Dr. Crespo - RXULTI paciente privada</v>
      </c>
      <c r="C23402" s="3" t="str">
        <f>HYPERLINK("https://otsuka-europe-crm.veevavault.com/ui/#object/sent_email__v/VBL00000001G659", "SE-001406310")</f>
        <v>SE-001406310</v>
      </c>
      <c r="D23402" s="1">
        <v>46078.847245370373</v>
      </c>
      <c r="E23402" s="2">
        <v>1</v>
      </c>
      <c r="F23402" s="2">
        <v>2</v>
      </c>
      <c r="G23402" s="2">
        <v>0</v>
      </c>
      <c r="H23402" s="1" t="s">
        <v>0</v>
      </c>
      <c r="I23402" s="2">
        <v>0</v>
      </c>
      <c r="J23402" s="1">
        <v>46077.742442129631</v>
      </c>
    </row>
    <row r="23403" spans="1:10" x14ac:dyDescent="0.2">
      <c r="A23403" s="4" t="s">
        <v>1</v>
      </c>
      <c r="B23403" s="3" t="str">
        <f>HYPERLINK("https://otsuka-europe-crm.veevavault.com/ui/#object/approved_document__v/V5O00000000P011", "RXULTIP Dr. Crespo - RXULTI paciente privada")</f>
        <v>RXULTIP Dr. Crespo - RXULTI paciente privada</v>
      </c>
      <c r="C23403" s="3" t="str">
        <f>HYPERLINK("https://otsuka-europe-crm.veevavault.com/ui/#object/sent_email__v/VBL00000001G660", "SE-001406311")</f>
        <v>SE-001406311</v>
      </c>
      <c r="D23403" s="1" t="s">
        <v>0</v>
      </c>
      <c r="E23403" s="2">
        <v>0</v>
      </c>
      <c r="F23403" s="2">
        <v>0</v>
      </c>
      <c r="G23403" s="2">
        <v>0</v>
      </c>
      <c r="H23403" s="1" t="s">
        <v>0</v>
      </c>
      <c r="I23403" s="2">
        <v>0</v>
      </c>
      <c r="J23403" s="1">
        <v>46077.742685185185</v>
      </c>
    </row>
    <row r="23404" spans="1:10" x14ac:dyDescent="0.2">
      <c r="A23404" s="4" t="s">
        <v>1</v>
      </c>
      <c r="B23404" s="3" t="str">
        <f>HYPERLINK("https://otsuka-europe-crm.veevavault.com/ui/#object/approved_document__v/V5O00000000P011", "RXULTIP Dr. Crespo - RXULTI paciente privada")</f>
        <v>RXULTIP Dr. Crespo - RXULTI paciente privada</v>
      </c>
      <c r="C23404" s="3" t="str">
        <f>HYPERLINK("https://otsuka-europe-crm.veevavault.com/ui/#object/sent_email__v/VBL00000001G661", "SE-001406312")</f>
        <v>SE-001406312</v>
      </c>
      <c r="D23404" s="1">
        <v>46077.987268518518</v>
      </c>
      <c r="E23404" s="2">
        <v>1</v>
      </c>
      <c r="F23404" s="2">
        <v>2</v>
      </c>
      <c r="G23404" s="2">
        <v>0</v>
      </c>
      <c r="H23404" s="1" t="s">
        <v>0</v>
      </c>
      <c r="I23404" s="2">
        <v>0</v>
      </c>
      <c r="J23404" s="1">
        <v>46077.742951388886</v>
      </c>
    </row>
    <row r="23405" spans="1:10" x14ac:dyDescent="0.2">
      <c r="A23405" s="4" t="s">
        <v>1</v>
      </c>
      <c r="B23405" s="3" t="str">
        <f>HYPERLINK("https://otsuka-europe-crm.veevavault.com/ui/#object/approved_document__v/V5O00000000P011", "RXULTIP Dr. Crespo - RXULTI paciente privada")</f>
        <v>RXULTIP Dr. Crespo - RXULTI paciente privada</v>
      </c>
      <c r="C23405" s="3" t="str">
        <f>HYPERLINK("https://otsuka-europe-crm.veevavault.com/ui/#object/sent_email__v/VBL00000001G662", "SE-001406313")</f>
        <v>SE-001406313</v>
      </c>
      <c r="D23405" s="1" t="s">
        <v>0</v>
      </c>
      <c r="E23405" s="2">
        <v>0</v>
      </c>
      <c r="F23405" s="2">
        <v>0</v>
      </c>
      <c r="G23405" s="2">
        <v>0</v>
      </c>
      <c r="H23405" s="1" t="s">
        <v>0</v>
      </c>
      <c r="I23405" s="2">
        <v>0</v>
      </c>
      <c r="J23405" s="1">
        <v>46077.743148148147</v>
      </c>
    </row>
    <row r="23406" spans="1:10" x14ac:dyDescent="0.2">
      <c r="A23406" s="4" t="s">
        <v>1</v>
      </c>
      <c r="B23406" s="3" t="str">
        <f>HYPERLINK("https://otsuka-europe-crm.veevavault.com/ui/#object/approved_document__v/V5O00000000P011", "RXULTIP Dr. Crespo - RXULTI paciente privada")</f>
        <v>RXULTIP Dr. Crespo - RXULTI paciente privada</v>
      </c>
      <c r="C23406" s="3" t="str">
        <f>HYPERLINK("https://otsuka-europe-crm.veevavault.com/ui/#object/sent_email__v/VBL00000001G663", "SE-001406314")</f>
        <v>SE-001406314</v>
      </c>
      <c r="D23406" s="1" t="s">
        <v>0</v>
      </c>
      <c r="E23406" s="2">
        <v>0</v>
      </c>
      <c r="F23406" s="2">
        <v>0</v>
      </c>
      <c r="G23406" s="2">
        <v>0</v>
      </c>
      <c r="H23406" s="1" t="s">
        <v>0</v>
      </c>
      <c r="I23406" s="2">
        <v>0</v>
      </c>
      <c r="J23406" s="1">
        <v>46077.743333333332</v>
      </c>
    </row>
    <row r="23407" spans="1:10" x14ac:dyDescent="0.2">
      <c r="A23407" s="4" t="s">
        <v>1</v>
      </c>
      <c r="B23407" s="3" t="str">
        <f>HYPERLINK("https://otsuka-europe-crm.veevavault.com/ui/#object/approved_document__v/V5O00000000P011", "RXULTIP Dr. Crespo - RXULTI paciente privada")</f>
        <v>RXULTIP Dr. Crespo - RXULTI paciente privada</v>
      </c>
      <c r="C23407" s="3" t="str">
        <f>HYPERLINK("https://otsuka-europe-crm.veevavault.com/ui/#object/sent_email__v/VBL00000001G664", "SE-001406315")</f>
        <v>SE-001406315</v>
      </c>
      <c r="D23407" s="1" t="s">
        <v>0</v>
      </c>
      <c r="E23407" s="2">
        <v>0</v>
      </c>
      <c r="F23407" s="2">
        <v>0</v>
      </c>
      <c r="G23407" s="2">
        <v>0</v>
      </c>
      <c r="H23407" s="1" t="s">
        <v>0</v>
      </c>
      <c r="I23407" s="2">
        <v>0</v>
      </c>
      <c r="J23407" s="1">
        <v>46077.743495370371</v>
      </c>
    </row>
    <row r="23408" spans="1:10" x14ac:dyDescent="0.2">
      <c r="A23408" s="4" t="s">
        <v>1</v>
      </c>
      <c r="B23408" s="3" t="str">
        <f>HYPERLINK("https://otsuka-europe-crm.veevavault.com/ui/#object/approved_document__v/V5O00000000P011", "RXULTIP Dr. Crespo - RXULTI paciente privada")</f>
        <v>RXULTIP Dr. Crespo - RXULTI paciente privada</v>
      </c>
      <c r="C23408" s="3" t="str">
        <f>HYPERLINK("https://otsuka-europe-crm.veevavault.com/ui/#object/sent_email__v/VBL00000001G665", "SE-001406316")</f>
        <v>SE-001406316</v>
      </c>
      <c r="D23408" s="1" t="s">
        <v>0</v>
      </c>
      <c r="E23408" s="2">
        <v>0</v>
      </c>
      <c r="F23408" s="2">
        <v>0</v>
      </c>
      <c r="G23408" s="2">
        <v>0</v>
      </c>
      <c r="H23408" s="1" t="s">
        <v>0</v>
      </c>
      <c r="I23408" s="2">
        <v>0</v>
      </c>
      <c r="J23408" s="1">
        <v>46077.743668981479</v>
      </c>
    </row>
    <row r="23409" spans="1:10" x14ac:dyDescent="0.2">
      <c r="A23409" s="4" t="s">
        <v>1</v>
      </c>
      <c r="B23409" s="3" t="str">
        <f>HYPERLINK("https://otsuka-europe-crm.veevavault.com/ui/#object/approved_document__v/V5O00000000P011", "RXULTIP Dr. Crespo - RXULTI paciente privada")</f>
        <v>RXULTIP Dr. Crespo - RXULTI paciente privada</v>
      </c>
      <c r="C23409" s="3" t="str">
        <f>HYPERLINK("https://otsuka-europe-crm.veevavault.com/ui/#object/sent_email__v/VBL00000001G666", "SE-001406317")</f>
        <v>SE-001406317</v>
      </c>
      <c r="D23409" s="1">
        <v>46078.294016203705</v>
      </c>
      <c r="E23409" s="2">
        <v>1</v>
      </c>
      <c r="F23409" s="2">
        <v>2</v>
      </c>
      <c r="G23409" s="2">
        <v>0</v>
      </c>
      <c r="H23409" s="1" t="s">
        <v>0</v>
      </c>
      <c r="I23409" s="2">
        <v>0</v>
      </c>
      <c r="J23409" s="1">
        <v>46077.743819444448</v>
      </c>
    </row>
    <row r="23410" spans="1:10" x14ac:dyDescent="0.2">
      <c r="A23410" s="4" t="s">
        <v>1</v>
      </c>
      <c r="B23410" s="3" t="str">
        <f>HYPERLINK("https://otsuka-europe-crm.veevavault.com/ui/#object/approved_document__v/V5O00000000P011", "RXULTIP Dr. Crespo - RXULTI paciente privada")</f>
        <v>RXULTIP Dr. Crespo - RXULTI paciente privada</v>
      </c>
      <c r="C23410" s="3" t="str">
        <f>HYPERLINK("https://otsuka-europe-crm.veevavault.com/ui/#object/sent_email__v/VBL00000001G667", "SE-001406318")</f>
        <v>SE-001406318</v>
      </c>
      <c r="D23410" s="1" t="s">
        <v>0</v>
      </c>
      <c r="E23410" s="2">
        <v>0</v>
      </c>
      <c r="F23410" s="2">
        <v>0</v>
      </c>
      <c r="G23410" s="2">
        <v>0</v>
      </c>
      <c r="H23410" s="1" t="s">
        <v>0</v>
      </c>
      <c r="I23410" s="2">
        <v>0</v>
      </c>
      <c r="J23410" s="1">
        <v>46077.743981481479</v>
      </c>
    </row>
    <row r="23411" spans="1:10" x14ac:dyDescent="0.2">
      <c r="A23411" s="4" t="s">
        <v>1</v>
      </c>
      <c r="B23411" s="3" t="str">
        <f>HYPERLINK("https://otsuka-europe-crm.veevavault.com/ui/#object/approved_document__v/V5O00000000P011", "RXULTIP Dr. Crespo - RXULTI paciente privada")</f>
        <v>RXULTIP Dr. Crespo - RXULTI paciente privada</v>
      </c>
      <c r="C23411" s="3" t="str">
        <f>HYPERLINK("https://otsuka-europe-crm.veevavault.com/ui/#object/sent_email__v/VBL00000001G668", "SE-001406319")</f>
        <v>SE-001406319</v>
      </c>
      <c r="D23411" s="1">
        <v>46077.968912037039</v>
      </c>
      <c r="E23411" s="2">
        <v>1</v>
      </c>
      <c r="F23411" s="2">
        <v>1</v>
      </c>
      <c r="G23411" s="2">
        <v>0</v>
      </c>
      <c r="H23411" s="1" t="s">
        <v>0</v>
      </c>
      <c r="I23411" s="2">
        <v>0</v>
      </c>
      <c r="J23411" s="1">
        <v>46077.744143518517</v>
      </c>
    </row>
    <row r="23412" spans="1:10" x14ac:dyDescent="0.2">
      <c r="A23412" s="4" t="s">
        <v>1</v>
      </c>
      <c r="B23412" s="3" t="str">
        <f>HYPERLINK("https://otsuka-europe-crm.veevavault.com/ui/#object/approved_document__v/V5O00000000P011", "RXULTIP Dr. Crespo - RXULTI paciente privada")</f>
        <v>RXULTIP Dr. Crespo - RXULTI paciente privada</v>
      </c>
      <c r="C23412" s="3" t="str">
        <f>HYPERLINK("https://otsuka-europe-crm.veevavault.com/ui/#object/sent_email__v/VBL00000001G669", "SE-001406320")</f>
        <v>SE-001406320</v>
      </c>
      <c r="D23412" s="1">
        <v>46077.745185185187</v>
      </c>
      <c r="E23412" s="2">
        <v>1</v>
      </c>
      <c r="F23412" s="2">
        <v>1</v>
      </c>
      <c r="G23412" s="2">
        <v>0</v>
      </c>
      <c r="H23412" s="1" t="s">
        <v>0</v>
      </c>
      <c r="I23412" s="2">
        <v>0</v>
      </c>
      <c r="J23412" s="1">
        <v>46077.744328703702</v>
      </c>
    </row>
    <row r="23413" spans="1:10" x14ac:dyDescent="0.2">
      <c r="A23413" s="4" t="s">
        <v>1</v>
      </c>
      <c r="B23413" s="3" t="str">
        <f>HYPERLINK("https://otsuka-europe-crm.veevavault.com/ui/#object/approved_document__v/V5OZ025E82UKR5U", "SEP 2025: invitación simposio Alianza")</f>
        <v>SEP 2025: invitación simposio Alianza</v>
      </c>
      <c r="C23413" s="3" t="str">
        <f>HYPERLINK("https://otsuka-europe-crm.veevavault.com/ui/#object/sent_email__v/VBLZ025E82HHF6L", "SE-000286512")</f>
        <v>SE-000286512</v>
      </c>
      <c r="D23413" s="1">
        <v>45941.327013888891</v>
      </c>
      <c r="E23413" s="2">
        <v>1</v>
      </c>
      <c r="F23413" s="2">
        <v>4</v>
      </c>
      <c r="G23413" s="2">
        <v>1</v>
      </c>
      <c r="H23413" s="1">
        <v>45940.48170138889</v>
      </c>
      <c r="I23413" s="2">
        <v>3</v>
      </c>
      <c r="J23413" s="1">
        <v>45940.480532407404</v>
      </c>
    </row>
    <row r="23414" spans="1:10" x14ac:dyDescent="0.2">
      <c r="A23414" s="4" t="s">
        <v>1</v>
      </c>
      <c r="B23414" s="3" t="str">
        <f>HYPERLINK("https://otsuka-europe-crm.veevavault.com/ui/#object/approved_document__v/V5OZ025E82UKR5U", "SEP 2025: invitación simposio Alianza")</f>
        <v>SEP 2025: invitación simposio Alianza</v>
      </c>
      <c r="C23414" s="3" t="str">
        <f>HYPERLINK("https://otsuka-europe-crm.veevavault.com/ui/#object/sent_email__v/VBLZ025E82HPZWH", "SE-000288861")</f>
        <v>SE-000288861</v>
      </c>
      <c r="D23414" s="1" t="s">
        <v>0</v>
      </c>
      <c r="E23414" s="2">
        <v>0</v>
      </c>
      <c r="F23414" s="2">
        <v>0</v>
      </c>
      <c r="G23414" s="2">
        <v>0</v>
      </c>
      <c r="H23414" s="1" t="s">
        <v>0</v>
      </c>
      <c r="I23414" s="2">
        <v>0</v>
      </c>
      <c r="J23414" s="1">
        <v>45951.393773148149</v>
      </c>
    </row>
    <row r="23415" spans="1:10" x14ac:dyDescent="0.2">
      <c r="A23415" s="4" t="s">
        <v>1</v>
      </c>
      <c r="B23415" s="3" t="str">
        <f>HYPERLINK("https://otsuka-europe-crm.veevavault.com/ui/#object/approved_document__v/V5OZ025E82UKR5U", "SEP 2025: invitación simposio Alianza")</f>
        <v>SEP 2025: invitación simposio Alianza</v>
      </c>
      <c r="C23415" s="3" t="str">
        <f>HYPERLINK("https://otsuka-europe-crm.veevavault.com/ui/#object/sent_email__v/VBLZ025E82HPZZ9", "SE-000288862")</f>
        <v>SE-000288862</v>
      </c>
      <c r="D23415" s="1">
        <v>45951.817673611113</v>
      </c>
      <c r="E23415" s="2">
        <v>1</v>
      </c>
      <c r="F23415" s="2">
        <v>1</v>
      </c>
      <c r="G23415" s="2">
        <v>0</v>
      </c>
      <c r="H23415" s="1" t="s">
        <v>0</v>
      </c>
      <c r="I23415" s="2">
        <v>0</v>
      </c>
      <c r="J23415" s="1">
        <v>45951.39398148148</v>
      </c>
    </row>
    <row r="23416" spans="1:10" x14ac:dyDescent="0.2">
      <c r="A23416" s="4" t="s">
        <v>1</v>
      </c>
      <c r="B23416" s="3" t="str">
        <f>HYPERLINK("https://otsuka-europe-crm.veevavault.com/ui/#object/approved_document__v/V5OZ025E82UKR5U", "SEP 2025: invitación simposio Alianza")</f>
        <v>SEP 2025: invitación simposio Alianza</v>
      </c>
      <c r="C23416" s="3" t="str">
        <f>HYPERLINK("https://otsuka-europe-crm.veevavault.com/ui/#object/sent_email__v/VBLZ025E82HQ021", "SE-000288863")</f>
        <v>SE-000288863</v>
      </c>
      <c r="D23416" s="1">
        <v>45951.461840277778</v>
      </c>
      <c r="E23416" s="2">
        <v>1</v>
      </c>
      <c r="F23416" s="2">
        <v>1</v>
      </c>
      <c r="G23416" s="2">
        <v>0</v>
      </c>
      <c r="H23416" s="1" t="s">
        <v>0</v>
      </c>
      <c r="I23416" s="2">
        <v>0</v>
      </c>
      <c r="J23416" s="1">
        <v>45951.394317129627</v>
      </c>
    </row>
    <row r="23417" spans="1:10" x14ac:dyDescent="0.2">
      <c r="A23417" s="4" t="s">
        <v>1</v>
      </c>
      <c r="B23417" s="3" t="str">
        <f>HYPERLINK("https://otsuka-europe-crm.veevavault.com/ui/#object/approved_document__v/V5OZ025E82UKR5U", "SEP 2025: invitación simposio Alianza")</f>
        <v>SEP 2025: invitación simposio Alianza</v>
      </c>
      <c r="C23417" s="3" t="str">
        <f>HYPERLINK("https://otsuka-europe-crm.veevavault.com/ui/#object/sent_email__v/VBLZ025E82HQ04T", "SE-000288864")</f>
        <v>SE-000288864</v>
      </c>
      <c r="D23417" s="1">
        <v>45951.514502314814</v>
      </c>
      <c r="E23417" s="2">
        <v>1</v>
      </c>
      <c r="F23417" s="2">
        <v>3</v>
      </c>
      <c r="G23417" s="2">
        <v>0</v>
      </c>
      <c r="H23417" s="1" t="s">
        <v>0</v>
      </c>
      <c r="I23417" s="2">
        <v>0</v>
      </c>
      <c r="J23417" s="1">
        <v>45951.39466435185</v>
      </c>
    </row>
    <row r="23418" spans="1:10" x14ac:dyDescent="0.2">
      <c r="A23418" s="4" t="s">
        <v>1</v>
      </c>
      <c r="B23418" s="3" t="str">
        <f>HYPERLINK("https://otsuka-europe-crm.veevavault.com/ui/#object/approved_document__v/V5OZ025E82UKR5U", "SEP 2025: invitación simposio Alianza")</f>
        <v>SEP 2025: invitación simposio Alianza</v>
      </c>
      <c r="C23418" s="3" t="str">
        <f>HYPERLINK("https://otsuka-europe-crm.veevavault.com/ui/#object/sent_email__v/VBLZ025E82HQ0FX", "SE-000288865")</f>
        <v>SE-000288865</v>
      </c>
      <c r="D23418" s="1" t="s">
        <v>0</v>
      </c>
      <c r="E23418" s="2">
        <v>0</v>
      </c>
      <c r="F23418" s="2">
        <v>0</v>
      </c>
      <c r="G23418" s="2">
        <v>0</v>
      </c>
      <c r="H23418" s="1" t="s">
        <v>0</v>
      </c>
      <c r="I23418" s="2">
        <v>0</v>
      </c>
      <c r="J23418" s="1">
        <v>45951.395127314812</v>
      </c>
    </row>
    <row r="23419" spans="1:10" x14ac:dyDescent="0.2">
      <c r="A23419" s="4" t="s">
        <v>1</v>
      </c>
      <c r="B23419" s="3" t="str">
        <f>HYPERLINK("https://otsuka-europe-crm.veevavault.com/ui/#object/approved_document__v/V5OZ025E82UKR5U", "SEP 2025: invitación simposio Alianza")</f>
        <v>SEP 2025: invitación simposio Alianza</v>
      </c>
      <c r="C23419" s="3" t="str">
        <f>HYPERLINK("https://otsuka-europe-crm.veevavault.com/ui/#object/sent_email__v/VBLZ025E82HQ0IP", "SE-000288866")</f>
        <v>SE-000288866</v>
      </c>
      <c r="D23419" s="1">
        <v>45951.433796296296</v>
      </c>
      <c r="E23419" s="2">
        <v>1</v>
      </c>
      <c r="F23419" s="2">
        <v>1</v>
      </c>
      <c r="G23419" s="2">
        <v>0</v>
      </c>
      <c r="H23419" s="1" t="s">
        <v>0</v>
      </c>
      <c r="I23419" s="2">
        <v>0</v>
      </c>
      <c r="J23419" s="1">
        <v>45951.39565972222</v>
      </c>
    </row>
    <row r="23420" spans="1:10" x14ac:dyDescent="0.2">
      <c r="A23420" s="4" t="s">
        <v>1</v>
      </c>
      <c r="B23420" s="3" t="str">
        <f>HYPERLINK("https://otsuka-europe-crm.veevavault.com/ui/#object/approved_document__v/V5OZ025E82UKR5U", "SEP 2025: invitación simposio Alianza")</f>
        <v>SEP 2025: invitación simposio Alianza</v>
      </c>
      <c r="C23420" s="3" t="str">
        <f>HYPERLINK("https://otsuka-europe-crm.veevavault.com/ui/#object/sent_email__v/VBLZ025E82HQ0O9", "SE-000288867")</f>
        <v>SE-000288867</v>
      </c>
      <c r="D23420" s="1">
        <v>45952.374791666669</v>
      </c>
      <c r="E23420" s="2">
        <v>1</v>
      </c>
      <c r="F23420" s="2">
        <v>1</v>
      </c>
      <c r="G23420" s="2">
        <v>0</v>
      </c>
      <c r="H23420" s="1" t="s">
        <v>0</v>
      </c>
      <c r="I23420" s="2">
        <v>0</v>
      </c>
      <c r="J23420" s="1">
        <v>45951.395995370367</v>
      </c>
    </row>
    <row r="23421" spans="1:10" x14ac:dyDescent="0.2">
      <c r="A23421" s="4" t="s">
        <v>1</v>
      </c>
      <c r="B23421" s="3" t="str">
        <f>HYPERLINK("https://otsuka-europe-crm.veevavault.com/ui/#object/approved_document__v/V5OZ025E82UKR5U", "SEP 2025: invitación simposio Alianza")</f>
        <v>SEP 2025: invitación simposio Alianza</v>
      </c>
      <c r="C23421" s="3" t="str">
        <f>HYPERLINK("https://otsuka-europe-crm.veevavault.com/ui/#object/sent_email__v/VBLZ025E82HQ0WL", "SE-000288868")</f>
        <v>SE-000288868</v>
      </c>
      <c r="D23421" s="1">
        <v>45960.359270833331</v>
      </c>
      <c r="E23421" s="2">
        <v>1</v>
      </c>
      <c r="F23421" s="2">
        <v>1</v>
      </c>
      <c r="G23421" s="2">
        <v>1</v>
      </c>
      <c r="H23421" s="1">
        <v>45960.359270833331</v>
      </c>
      <c r="I23421" s="2">
        <v>1</v>
      </c>
      <c r="J23421" s="1">
        <v>45951.39640046296</v>
      </c>
    </row>
    <row r="23422" spans="1:10" x14ac:dyDescent="0.2">
      <c r="A23422" s="4" t="s">
        <v>1</v>
      </c>
      <c r="B23422" s="3" t="str">
        <f>HYPERLINK("https://otsuka-europe-crm.veevavault.com/ui/#object/approved_document__v/V5OZ025E82UKR5U", "SEP 2025: invitación simposio Alianza")</f>
        <v>SEP 2025: invitación simposio Alianza</v>
      </c>
      <c r="C23422" s="3" t="str">
        <f>HYPERLINK("https://otsuka-europe-crm.veevavault.com/ui/#object/sent_email__v/VBLZ025E82HQ0ZD", "SE-000288869")</f>
        <v>SE-000288869</v>
      </c>
      <c r="D23422" s="1">
        <v>45951.422569444447</v>
      </c>
      <c r="E23422" s="2">
        <v>1</v>
      </c>
      <c r="F23422" s="2">
        <v>1</v>
      </c>
      <c r="G23422" s="2">
        <v>1</v>
      </c>
      <c r="H23422" s="1">
        <v>45951.422673611109</v>
      </c>
      <c r="I23422" s="2">
        <v>1</v>
      </c>
      <c r="J23422" s="1">
        <v>45951.396655092591</v>
      </c>
    </row>
    <row r="23423" spans="1:10" x14ac:dyDescent="0.2">
      <c r="A23423" s="4" t="s">
        <v>1</v>
      </c>
      <c r="B23423" s="3" t="str">
        <f>HYPERLINK("https://otsuka-europe-crm.veevavault.com/ui/#object/approved_document__v/V5OZ025E82UKR5U", "SEP 2025: invitación simposio Alianza")</f>
        <v>SEP 2025: invitación simposio Alianza</v>
      </c>
      <c r="C23423" s="3" t="str">
        <f>HYPERLINK("https://otsuka-europe-crm.veevavault.com/ui/#object/sent_email__v/VBLZ025E82HQ125", "SE-000288870")</f>
        <v>SE-000288870</v>
      </c>
      <c r="D23423" s="1">
        <v>45951.490115740744</v>
      </c>
      <c r="E23423" s="2">
        <v>1</v>
      </c>
      <c r="F23423" s="2">
        <v>2</v>
      </c>
      <c r="G23423" s="2">
        <v>0</v>
      </c>
      <c r="H23423" s="1" t="s">
        <v>0</v>
      </c>
      <c r="I23423" s="2">
        <v>0</v>
      </c>
      <c r="J23423" s="1">
        <v>45951.397187499999</v>
      </c>
    </row>
    <row r="23424" spans="1:10" x14ac:dyDescent="0.2">
      <c r="A23424" s="4" t="s">
        <v>1</v>
      </c>
      <c r="B23424" s="3" t="str">
        <f>HYPERLINK("https://otsuka-europe-crm.veevavault.com/ui/#object/approved_document__v/V5OZ025E82UKR5U", "SEP 2025: invitación simposio Alianza")</f>
        <v>SEP 2025: invitación simposio Alianza</v>
      </c>
      <c r="C23424" s="3" t="str">
        <f>HYPERLINK("https://otsuka-europe-crm.veevavault.com/ui/#object/sent_email__v/VBLZ025E82HQ17P", "SE-000288871")</f>
        <v>SE-000288871</v>
      </c>
      <c r="D23424" s="1">
        <v>45951.429212962961</v>
      </c>
      <c r="E23424" s="2">
        <v>1</v>
      </c>
      <c r="F23424" s="2">
        <v>1</v>
      </c>
      <c r="G23424" s="2">
        <v>0</v>
      </c>
      <c r="H23424" s="1" t="s">
        <v>0</v>
      </c>
      <c r="I23424" s="2">
        <v>0</v>
      </c>
      <c r="J23424" s="1">
        <v>45951.39744212963</v>
      </c>
    </row>
    <row r="23425" spans="1:10" x14ac:dyDescent="0.2">
      <c r="A23425" s="4" t="s">
        <v>1</v>
      </c>
      <c r="B23425" s="3" t="str">
        <f>HYPERLINK("https://otsuka-europe-crm.veevavault.com/ui/#object/approved_document__v/V5OZ025E82UKR5U", "SEP 2025: invitación simposio Alianza")</f>
        <v>SEP 2025: invitación simposio Alianza</v>
      </c>
      <c r="C23425" s="3" t="str">
        <f>HYPERLINK("https://otsuka-europe-crm.veevavault.com/ui/#object/sent_email__v/VBLZ025E82HRCCX", "SE-000290050")</f>
        <v>SE-000290050</v>
      </c>
      <c r="D23425" s="1" t="s">
        <v>0</v>
      </c>
      <c r="E23425" s="2">
        <v>0</v>
      </c>
      <c r="F23425" s="2">
        <v>0</v>
      </c>
      <c r="G23425" s="2">
        <v>0</v>
      </c>
      <c r="H23425" s="1" t="s">
        <v>0</v>
      </c>
      <c r="I23425" s="2">
        <v>0</v>
      </c>
      <c r="J23425" s="1">
        <v>45952.50472222222</v>
      </c>
    </row>
    <row r="23426" spans="1:10" x14ac:dyDescent="0.2">
      <c r="A23426" s="4" t="s">
        <v>1</v>
      </c>
      <c r="B23426" s="3" t="str">
        <f>HYPERLINK("https://otsuka-europe-crm.veevavault.com/ui/#object/approved_document__v/V5OZ025E82UKR5U", "SEP 2025: invitación simposio Alianza")</f>
        <v>SEP 2025: invitación simposio Alianza</v>
      </c>
      <c r="C23426" s="3" t="str">
        <f>HYPERLINK("https://otsuka-europe-crm.veevavault.com/ui/#object/sent_email__v/VBLZ025E82HRCCY", "SE-000290051")</f>
        <v>SE-000290051</v>
      </c>
      <c r="D23426" s="1">
        <v>45966.711481481485</v>
      </c>
      <c r="E23426" s="2">
        <v>1</v>
      </c>
      <c r="F23426" s="2">
        <v>2</v>
      </c>
      <c r="G23426" s="2">
        <v>0</v>
      </c>
      <c r="H23426" s="1" t="s">
        <v>0</v>
      </c>
      <c r="I23426" s="2">
        <v>0</v>
      </c>
      <c r="J23426" s="1">
        <v>45952.504733796297</v>
      </c>
    </row>
    <row r="23427" spans="1:10" x14ac:dyDescent="0.2">
      <c r="A23427" s="4" t="s">
        <v>1</v>
      </c>
      <c r="B23427" s="3" t="str">
        <f>HYPERLINK("https://otsuka-europe-crm.veevavault.com/ui/#object/approved_document__v/V5OZ025E82UKR5U", "SEP 2025: invitación simposio Alianza")</f>
        <v>SEP 2025: invitación simposio Alianza</v>
      </c>
      <c r="C23427" s="3" t="str">
        <f>HYPERLINK("https://otsuka-europe-crm.veevavault.com/ui/#object/sent_email__v/VBLZ025E82HRCCZ", "SE-000290052")</f>
        <v>SE-000290052</v>
      </c>
      <c r="D23427" s="1">
        <v>45952.548645833333</v>
      </c>
      <c r="E23427" s="2">
        <v>1</v>
      </c>
      <c r="F23427" s="2">
        <v>1</v>
      </c>
      <c r="G23427" s="2">
        <v>0</v>
      </c>
      <c r="H23427" s="1" t="s">
        <v>0</v>
      </c>
      <c r="I23427" s="2">
        <v>0</v>
      </c>
      <c r="J23427" s="1">
        <v>45952.504733796297</v>
      </c>
    </row>
    <row r="23428" spans="1:10" x14ac:dyDescent="0.2">
      <c r="A23428" s="4" t="s">
        <v>1</v>
      </c>
      <c r="B23428" s="3" t="str">
        <f>HYPERLINK("https://otsuka-europe-crm.veevavault.com/ui/#object/approved_document__v/V5OZ025E82UKR5U", "SEP 2025: invitación simposio Alianza")</f>
        <v>SEP 2025: invitación simposio Alianza</v>
      </c>
      <c r="C23428" s="3" t="str">
        <f>HYPERLINK("https://otsuka-europe-crm.veevavault.com/ui/#object/sent_email__v/VBLZ025E82HRCFP", "SE-000290053")</f>
        <v>SE-000290053</v>
      </c>
      <c r="D23428" s="1">
        <v>45965.497754629629</v>
      </c>
      <c r="E23428" s="2">
        <v>1</v>
      </c>
      <c r="F23428" s="2">
        <v>2</v>
      </c>
      <c r="G23428" s="2">
        <v>0</v>
      </c>
      <c r="H23428" s="1" t="s">
        <v>0</v>
      </c>
      <c r="I23428" s="2">
        <v>0</v>
      </c>
      <c r="J23428" s="1">
        <v>45952.506990740738</v>
      </c>
    </row>
    <row r="23429" spans="1:10" x14ac:dyDescent="0.2">
      <c r="A23429" s="4" t="s">
        <v>1</v>
      </c>
      <c r="B23429" s="3" t="str">
        <f>HYPERLINK("https://otsuka-europe-crm.veevavault.com/ui/#object/approved_document__v/V5OZ025E82UKR5U", "SEP 2025: invitación simposio Alianza")</f>
        <v>SEP 2025: invitación simposio Alianza</v>
      </c>
      <c r="C23429" s="3" t="str">
        <f>HYPERLINK("https://otsuka-europe-crm.veevavault.com/ui/#object/sent_email__v/VBLZ025E82HRCFQ", "SE-000290054")</f>
        <v>SE-000290054</v>
      </c>
      <c r="D23429" s="1">
        <v>45952.803599537037</v>
      </c>
      <c r="E23429" s="2">
        <v>1</v>
      </c>
      <c r="F23429" s="2">
        <v>2</v>
      </c>
      <c r="G23429" s="2">
        <v>0</v>
      </c>
      <c r="H23429" s="1" t="s">
        <v>0</v>
      </c>
      <c r="I23429" s="2">
        <v>0</v>
      </c>
      <c r="J23429" s="1">
        <v>45952.507013888891</v>
      </c>
    </row>
    <row r="23430" spans="1:10" x14ac:dyDescent="0.2">
      <c r="A23430" s="4" t="s">
        <v>1</v>
      </c>
      <c r="B23430" s="3" t="str">
        <f>HYPERLINK("https://otsuka-europe-crm.veevavault.com/ui/#object/approved_document__v/V5OZ025E82UKR5U", "SEP 2025: invitación simposio Alianza")</f>
        <v>SEP 2025: invitación simposio Alianza</v>
      </c>
      <c r="C23430" s="3" t="str">
        <f>HYPERLINK("https://otsuka-europe-crm.veevavault.com/ui/#object/sent_email__v/VBLZ025E82HRCFR", "SE-000290055")</f>
        <v>SE-000290055</v>
      </c>
      <c r="D23430" s="1">
        <v>45953.422152777777</v>
      </c>
      <c r="E23430" s="2">
        <v>1</v>
      </c>
      <c r="F23430" s="2">
        <v>4</v>
      </c>
      <c r="G23430" s="2">
        <v>0</v>
      </c>
      <c r="H23430" s="1" t="s">
        <v>0</v>
      </c>
      <c r="I23430" s="2">
        <v>0</v>
      </c>
      <c r="J23430" s="1">
        <v>45952.507025462961</v>
      </c>
    </row>
    <row r="23431" spans="1:10" x14ac:dyDescent="0.2">
      <c r="A23431" s="4" t="s">
        <v>1</v>
      </c>
      <c r="B23431" s="3" t="str">
        <f>HYPERLINK("https://otsuka-europe-crm.veevavault.com/ui/#object/approved_document__v/V5OZ025E82UKR5U", "SEP 2025: invitación simposio Alianza")</f>
        <v>SEP 2025: invitación simposio Alianza</v>
      </c>
      <c r="C23431" s="3" t="str">
        <f>HYPERLINK("https://otsuka-europe-crm.veevavault.com/ui/#object/sent_email__v/VBLZ025E82HRCFS", "SE-000290056")</f>
        <v>SE-000290056</v>
      </c>
      <c r="D23431" s="1">
        <v>45960.379282407404</v>
      </c>
      <c r="E23431" s="2">
        <v>1</v>
      </c>
      <c r="F23431" s="2">
        <v>3</v>
      </c>
      <c r="G23431" s="2">
        <v>0</v>
      </c>
      <c r="H23431" s="1" t="s">
        <v>0</v>
      </c>
      <c r="I23431" s="2">
        <v>0</v>
      </c>
      <c r="J23431" s="1">
        <v>45952.507037037038</v>
      </c>
    </row>
    <row r="23432" spans="1:10" x14ac:dyDescent="0.2">
      <c r="A23432" s="4" t="s">
        <v>1</v>
      </c>
      <c r="B23432" s="3" t="str">
        <f>HYPERLINK("https://otsuka-europe-crm.veevavault.com/ui/#object/approved_document__v/V5OZ025E82UKR5U", "SEP 2025: invitación simposio Alianza")</f>
        <v>SEP 2025: invitación simposio Alianza</v>
      </c>
      <c r="C23432" s="3" t="str">
        <f>HYPERLINK("https://otsuka-europe-crm.veevavault.com/ui/#object/sent_email__v/VBLZ025E82HRCFT", "SE-000290057")</f>
        <v>SE-000290057</v>
      </c>
      <c r="D23432" s="1" t="s">
        <v>0</v>
      </c>
      <c r="E23432" s="2">
        <v>0</v>
      </c>
      <c r="F23432" s="2">
        <v>0</v>
      </c>
      <c r="G23432" s="2">
        <v>0</v>
      </c>
      <c r="H23432" s="1" t="s">
        <v>0</v>
      </c>
      <c r="I23432" s="2">
        <v>0</v>
      </c>
      <c r="J23432" s="1">
        <v>45952.507037037038</v>
      </c>
    </row>
    <row r="23433" spans="1:10" x14ac:dyDescent="0.2">
      <c r="A23433" s="4" t="s">
        <v>1</v>
      </c>
      <c r="B23433" s="3" t="str">
        <f>HYPERLINK("https://otsuka-europe-crm.veevavault.com/ui/#object/approved_document__v/V5OZ025E82UKR5U", "SEP 2025: invitación simposio Alianza")</f>
        <v>SEP 2025: invitación simposio Alianza</v>
      </c>
      <c r="C23433" s="3" t="str">
        <f>HYPERLINK("https://otsuka-europe-crm.veevavault.com/ui/#object/sent_email__v/VBLZ025E82HRCFU", "SE-000290058")</f>
        <v>SE-000290058</v>
      </c>
      <c r="D23433" s="1">
        <v>46051.382638888892</v>
      </c>
      <c r="E23433" s="2">
        <v>1</v>
      </c>
      <c r="F23433" s="2">
        <v>6</v>
      </c>
      <c r="G23433" s="2">
        <v>0</v>
      </c>
      <c r="H23433" s="1" t="s">
        <v>0</v>
      </c>
      <c r="I23433" s="2">
        <v>0</v>
      </c>
      <c r="J23433" s="1">
        <v>45952.507048611114</v>
      </c>
    </row>
    <row r="23434" spans="1:10" x14ac:dyDescent="0.2">
      <c r="A23434" s="4" t="s">
        <v>1</v>
      </c>
      <c r="B23434" s="3" t="str">
        <f>HYPERLINK("https://otsuka-europe-crm.veevavault.com/ui/#object/approved_document__v/V5OZ025E82UKR5U", "SEP 2025: invitación simposio Alianza")</f>
        <v>SEP 2025: invitación simposio Alianza</v>
      </c>
      <c r="C23434" s="3" t="str">
        <f>HYPERLINK("https://otsuka-europe-crm.veevavault.com/ui/#object/sent_email__v/VBLZ025E82HRCFV", "SE-000290059")</f>
        <v>SE-000290059</v>
      </c>
      <c r="D23434" s="1" t="s">
        <v>0</v>
      </c>
      <c r="E23434" s="2">
        <v>0</v>
      </c>
      <c r="F23434" s="2">
        <v>0</v>
      </c>
      <c r="G23434" s="2">
        <v>0</v>
      </c>
      <c r="H23434" s="1" t="s">
        <v>0</v>
      </c>
      <c r="I23434" s="2">
        <v>0</v>
      </c>
      <c r="J23434" s="1">
        <v>45952.507071759261</v>
      </c>
    </row>
    <row r="23435" spans="1:10" x14ac:dyDescent="0.2">
      <c r="A23435" s="4" t="s">
        <v>1</v>
      </c>
      <c r="B23435" s="3" t="str">
        <f>HYPERLINK("https://otsuka-europe-crm.veevavault.com/ui/#object/approved_document__v/V5OZ025E82UKR5U", "SEP 2025: invitación simposio Alianza")</f>
        <v>SEP 2025: invitación simposio Alianza</v>
      </c>
      <c r="C23435" s="3" t="str">
        <f>HYPERLINK("https://otsuka-europe-crm.veevavault.com/ui/#object/sent_email__v/VBLZ025E82HRCFW", "SE-000290060")</f>
        <v>SE-000290060</v>
      </c>
      <c r="D23435" s="1">
        <v>45959.776875000003</v>
      </c>
      <c r="E23435" s="2">
        <v>1</v>
      </c>
      <c r="F23435" s="2">
        <v>1</v>
      </c>
      <c r="G23435" s="2">
        <v>0</v>
      </c>
      <c r="H23435" s="1" t="s">
        <v>0</v>
      </c>
      <c r="I23435" s="2">
        <v>0</v>
      </c>
      <c r="J23435" s="1">
        <v>45952.507071759261</v>
      </c>
    </row>
    <row r="23436" spans="1:10" x14ac:dyDescent="0.2">
      <c r="A23436" s="4" t="s">
        <v>1</v>
      </c>
      <c r="B23436" s="3" t="str">
        <f>HYPERLINK("https://otsuka-europe-crm.veevavault.com/ui/#object/approved_document__v/V5OZ025E82UKR5U", "SEP 2025: invitación simposio Alianza")</f>
        <v>SEP 2025: invitación simposio Alianza</v>
      </c>
      <c r="C23436" s="3" t="str">
        <f>HYPERLINK("https://otsuka-europe-crm.veevavault.com/ui/#object/sent_email__v/VBLZ025E82HRCFX", "SE-000290061")</f>
        <v>SE-000290061</v>
      </c>
      <c r="D23436" s="1" t="s">
        <v>0</v>
      </c>
      <c r="E23436" s="2">
        <v>0</v>
      </c>
      <c r="F23436" s="2">
        <v>0</v>
      </c>
      <c r="G23436" s="2">
        <v>0</v>
      </c>
      <c r="H23436" s="1" t="s">
        <v>0</v>
      </c>
      <c r="I23436" s="2">
        <v>0</v>
      </c>
      <c r="J23436" s="1">
        <v>45952.507071759261</v>
      </c>
    </row>
    <row r="23437" spans="1:10" x14ac:dyDescent="0.2">
      <c r="A23437" s="4" t="s">
        <v>1</v>
      </c>
      <c r="B23437" s="3" t="str">
        <f>HYPERLINK("https://otsuka-europe-crm.veevavault.com/ui/#object/approved_document__v/V5OZ025E82UKR5U", "SEP 2025: invitación simposio Alianza")</f>
        <v>SEP 2025: invitación simposio Alianza</v>
      </c>
      <c r="C23437" s="3" t="str">
        <f>HYPERLINK("https://otsuka-europe-crm.veevavault.com/ui/#object/sent_email__v/VBLZ025E82HRCFY", "SE-000290062")</f>
        <v>SE-000290062</v>
      </c>
      <c r="D23437" s="1" t="s">
        <v>0</v>
      </c>
      <c r="E23437" s="2">
        <v>0</v>
      </c>
      <c r="F23437" s="2">
        <v>0</v>
      </c>
      <c r="G23437" s="2">
        <v>0</v>
      </c>
      <c r="H23437" s="1" t="s">
        <v>0</v>
      </c>
      <c r="I23437" s="2">
        <v>0</v>
      </c>
      <c r="J23437" s="1">
        <v>45952.50708333333</v>
      </c>
    </row>
    <row r="23438" spans="1:10" x14ac:dyDescent="0.2">
      <c r="A23438" s="4" t="s">
        <v>1</v>
      </c>
      <c r="B23438" s="3" t="str">
        <f>HYPERLINK("https://otsuka-europe-crm.veevavault.com/ui/#object/approved_document__v/V5OZ025E82UKR5U", "SEP 2025: invitación simposio Alianza")</f>
        <v>SEP 2025: invitación simposio Alianza</v>
      </c>
      <c r="C23438" s="3" t="str">
        <f>HYPERLINK("https://otsuka-europe-crm.veevavault.com/ui/#object/sent_email__v/VBLZ025E82HRCFZ", "SE-000290063")</f>
        <v>SE-000290063</v>
      </c>
      <c r="D23438" s="1" t="s">
        <v>0</v>
      </c>
      <c r="E23438" s="2">
        <v>0</v>
      </c>
      <c r="F23438" s="2">
        <v>0</v>
      </c>
      <c r="G23438" s="2">
        <v>0</v>
      </c>
      <c r="H23438" s="1" t="s">
        <v>0</v>
      </c>
      <c r="I23438" s="2">
        <v>0</v>
      </c>
      <c r="J23438" s="1">
        <v>45952.507094907407</v>
      </c>
    </row>
    <row r="23439" spans="1:10" x14ac:dyDescent="0.2">
      <c r="A23439" s="4" t="s">
        <v>1</v>
      </c>
      <c r="B23439" s="3" t="str">
        <f>HYPERLINK("https://otsuka-europe-crm.veevavault.com/ui/#object/approved_document__v/V5OZ025E82UKR5U", "SEP 2025: invitación simposio Alianza")</f>
        <v>SEP 2025: invitación simposio Alianza</v>
      </c>
      <c r="C23439" s="3" t="str">
        <f>HYPERLINK("https://otsuka-europe-crm.veevavault.com/ui/#object/sent_email__v/VBLZ025E82HRCG0", "SE-000290064")</f>
        <v>SE-000290064</v>
      </c>
      <c r="D23439" s="1">
        <v>45967.027037037034</v>
      </c>
      <c r="E23439" s="2">
        <v>1</v>
      </c>
      <c r="F23439" s="2">
        <v>2</v>
      </c>
      <c r="G23439" s="2">
        <v>0</v>
      </c>
      <c r="H23439" s="1" t="s">
        <v>0</v>
      </c>
      <c r="I23439" s="2">
        <v>0</v>
      </c>
      <c r="J23439" s="1">
        <v>45952.507094907407</v>
      </c>
    </row>
    <row r="23440" spans="1:10" x14ac:dyDescent="0.2">
      <c r="A23440" s="4" t="s">
        <v>1</v>
      </c>
      <c r="B23440" s="3" t="str">
        <f>HYPERLINK("https://otsuka-europe-crm.veevavault.com/ui/#object/approved_document__v/V5OZ025E82UKR5U", "SEP 2025: invitación simposio Alianza")</f>
        <v>SEP 2025: invitación simposio Alianza</v>
      </c>
      <c r="C23440" s="3" t="str">
        <f>HYPERLINK("https://otsuka-europe-crm.veevavault.com/ui/#object/sent_email__v/VBLZ025E82HRCL9", "SE-000290065")</f>
        <v>SE-000290065</v>
      </c>
      <c r="D23440" s="1" t="s">
        <v>0</v>
      </c>
      <c r="E23440" s="2">
        <v>0</v>
      </c>
      <c r="F23440" s="2">
        <v>0</v>
      </c>
      <c r="G23440" s="2">
        <v>0</v>
      </c>
      <c r="H23440" s="1" t="s">
        <v>0</v>
      </c>
      <c r="I23440" s="2">
        <v>0</v>
      </c>
      <c r="J23440" s="1">
        <v>45952.509456018517</v>
      </c>
    </row>
    <row r="23441" spans="1:10" x14ac:dyDescent="0.2">
      <c r="A23441" s="4" t="s">
        <v>1</v>
      </c>
      <c r="B23441" s="3" t="str">
        <f>HYPERLINK("https://otsuka-europe-crm.veevavault.com/ui/#object/approved_document__v/V5OZ025E82UKR5U", "SEP 2025: invitación simposio Alianza")</f>
        <v>SEP 2025: invitación simposio Alianza</v>
      </c>
      <c r="C23441" s="3" t="str">
        <f>HYPERLINK("https://otsuka-europe-crm.veevavault.com/ui/#object/sent_email__v/VBLZ025E82HRCLA", "SE-000290066")</f>
        <v>SE-000290066</v>
      </c>
      <c r="D23441" s="1">
        <v>45952.703993055555</v>
      </c>
      <c r="E23441" s="2">
        <v>1</v>
      </c>
      <c r="F23441" s="2">
        <v>1</v>
      </c>
      <c r="G23441" s="2">
        <v>0</v>
      </c>
      <c r="H23441" s="1" t="s">
        <v>0</v>
      </c>
      <c r="I23441" s="2">
        <v>0</v>
      </c>
      <c r="J23441" s="1">
        <v>45952.509456018517</v>
      </c>
    </row>
    <row r="23442" spans="1:10" x14ac:dyDescent="0.2">
      <c r="A23442" s="4" t="s">
        <v>1</v>
      </c>
      <c r="B23442" s="3" t="str">
        <f>HYPERLINK("https://otsuka-europe-crm.veevavault.com/ui/#object/approved_document__v/V5OZ025E82UKR5U", "SEP 2025: invitación simposio Alianza")</f>
        <v>SEP 2025: invitación simposio Alianza</v>
      </c>
      <c r="C23442" s="3" t="str">
        <f>HYPERLINK("https://otsuka-europe-crm.veevavault.com/ui/#object/sent_email__v/VBLZ025E82HRCLB", "SE-000290067")</f>
        <v>SE-000290067</v>
      </c>
      <c r="D23442" s="1">
        <v>45952.711724537039</v>
      </c>
      <c r="E23442" s="2">
        <v>1</v>
      </c>
      <c r="F23442" s="2">
        <v>1</v>
      </c>
      <c r="G23442" s="2">
        <v>0</v>
      </c>
      <c r="H23442" s="1" t="s">
        <v>0</v>
      </c>
      <c r="I23442" s="2">
        <v>0</v>
      </c>
      <c r="J23442" s="1">
        <v>45952.509479166663</v>
      </c>
    </row>
    <row r="23443" spans="1:10" x14ac:dyDescent="0.2">
      <c r="A23443" s="4" t="s">
        <v>1</v>
      </c>
      <c r="B23443" s="3" t="str">
        <f>HYPERLINK("https://otsuka-europe-crm.veevavault.com/ui/#object/approved_document__v/V5OZ025E82UKR5U", "SEP 2025: invitación simposio Alianza")</f>
        <v>SEP 2025: invitación simposio Alianza</v>
      </c>
      <c r="C23443" s="3" t="str">
        <f>HYPERLINK("https://otsuka-europe-crm.veevavault.com/ui/#object/sent_email__v/VBLZ025E82HRCLC", "SE-000290068")</f>
        <v>SE-000290068</v>
      </c>
      <c r="D23443" s="1">
        <v>45959.43408564815</v>
      </c>
      <c r="E23443" s="2">
        <v>1</v>
      </c>
      <c r="F23443" s="2">
        <v>3</v>
      </c>
      <c r="G23443" s="2">
        <v>0</v>
      </c>
      <c r="H23443" s="1" t="s">
        <v>0</v>
      </c>
      <c r="I23443" s="2">
        <v>0</v>
      </c>
      <c r="J23443" s="1">
        <v>45952.509479166663</v>
      </c>
    </row>
    <row r="23444" spans="1:10" x14ac:dyDescent="0.2">
      <c r="A23444" s="4" t="s">
        <v>1</v>
      </c>
      <c r="B23444" s="3" t="str">
        <f>HYPERLINK("https://otsuka-europe-crm.veevavault.com/ui/#object/approved_document__v/V5OZ025E82UKR5U", "SEP 2025: invitación simposio Alianza")</f>
        <v>SEP 2025: invitación simposio Alianza</v>
      </c>
      <c r="C23444" s="3" t="str">
        <f>HYPERLINK("https://otsuka-europe-crm.veevavault.com/ui/#object/sent_email__v/VBLZ025E82HRCQT", "SE-000290069")</f>
        <v>SE-000290069</v>
      </c>
      <c r="D23444" s="1" t="s">
        <v>0</v>
      </c>
      <c r="E23444" s="2">
        <v>0</v>
      </c>
      <c r="F23444" s="2">
        <v>0</v>
      </c>
      <c r="G23444" s="2">
        <v>0</v>
      </c>
      <c r="H23444" s="1" t="s">
        <v>0</v>
      </c>
      <c r="I23444" s="2">
        <v>0</v>
      </c>
      <c r="J23444" s="1">
        <v>45952.511203703703</v>
      </c>
    </row>
    <row r="23445" spans="1:10" x14ac:dyDescent="0.2">
      <c r="A23445" s="4" t="s">
        <v>1</v>
      </c>
      <c r="B23445" s="3" t="str">
        <f>HYPERLINK("https://otsuka-europe-crm.veevavault.com/ui/#object/approved_document__v/V5OZ025E82UKR5U", "SEP 2025: invitación simposio Alianza")</f>
        <v>SEP 2025: invitación simposio Alianza</v>
      </c>
      <c r="C23445" s="3" t="str">
        <f>HYPERLINK("https://otsuka-europe-crm.veevavault.com/ui/#object/sent_email__v/VBLZ025E82HRCQU", "SE-000290070")</f>
        <v>SE-000290070</v>
      </c>
      <c r="D23445" s="1">
        <v>45952.618310185186</v>
      </c>
      <c r="E23445" s="2">
        <v>1</v>
      </c>
      <c r="F23445" s="2">
        <v>1</v>
      </c>
      <c r="G23445" s="2">
        <v>0</v>
      </c>
      <c r="H23445" s="1" t="s">
        <v>0</v>
      </c>
      <c r="I23445" s="2">
        <v>0</v>
      </c>
      <c r="J23445" s="1">
        <v>45952.514432870368</v>
      </c>
    </row>
    <row r="23446" spans="1:10" x14ac:dyDescent="0.2">
      <c r="A23446" s="4" t="s">
        <v>1</v>
      </c>
      <c r="B23446" s="3" t="str">
        <f>HYPERLINK("https://otsuka-europe-crm.veevavault.com/ui/#object/approved_document__v/V5OZ025E82UKR5U", "SEP 2025: invitación simposio Alianza")</f>
        <v>SEP 2025: invitación simposio Alianza</v>
      </c>
      <c r="C23446" s="3" t="str">
        <f>HYPERLINK("https://otsuka-europe-crm.veevavault.com/ui/#object/sent_email__v/VBLZ025E82HRCQV", "SE-000290071")</f>
        <v>SE-000290071</v>
      </c>
      <c r="D23446" s="1">
        <v>45952.786550925928</v>
      </c>
      <c r="E23446" s="2">
        <v>1</v>
      </c>
      <c r="F23446" s="2">
        <v>2</v>
      </c>
      <c r="G23446" s="2">
        <v>0</v>
      </c>
      <c r="H23446" s="1" t="s">
        <v>0</v>
      </c>
      <c r="I23446" s="2">
        <v>0</v>
      </c>
      <c r="J23446" s="1">
        <v>45952.51121527778</v>
      </c>
    </row>
    <row r="23447" spans="1:10" x14ac:dyDescent="0.2">
      <c r="A23447" s="4" t="s">
        <v>1</v>
      </c>
      <c r="B23447" s="3" t="str">
        <f>HYPERLINK("https://otsuka-europe-crm.veevavault.com/ui/#object/approved_document__v/V5OZ025E82UKR5U", "SEP 2025: invitación simposio Alianza")</f>
        <v>SEP 2025: invitación simposio Alianza</v>
      </c>
      <c r="C23447" s="3" t="str">
        <f>HYPERLINK("https://otsuka-europe-crm.veevavault.com/ui/#object/sent_email__v/VBLZ025E82HRCQW", "SE-000290072")</f>
        <v>SE-000290072</v>
      </c>
      <c r="D23447" s="1">
        <v>45957.851273148146</v>
      </c>
      <c r="E23447" s="2">
        <v>1</v>
      </c>
      <c r="F23447" s="2">
        <v>2</v>
      </c>
      <c r="G23447" s="2">
        <v>0</v>
      </c>
      <c r="H23447" s="1" t="s">
        <v>0</v>
      </c>
      <c r="I23447" s="2">
        <v>0</v>
      </c>
      <c r="J23447" s="1">
        <v>45952.51121527778</v>
      </c>
    </row>
    <row r="23448" spans="1:10" x14ac:dyDescent="0.2">
      <c r="A23448" s="4" t="s">
        <v>1</v>
      </c>
      <c r="B23448" s="3" t="str">
        <f>HYPERLINK("https://otsuka-europe-crm.veevavault.com/ui/#object/approved_document__v/V5OZ025E82UKR5U", "SEP 2025: invitación simposio Alianza")</f>
        <v>SEP 2025: invitación simposio Alianza</v>
      </c>
      <c r="C23448" s="3" t="str">
        <f>HYPERLINK("https://otsuka-europe-crm.veevavault.com/ui/#object/sent_email__v/VBL000000001909", "SE-001378905")</f>
        <v>SE-001378905</v>
      </c>
      <c r="D23448" s="1" t="s">
        <v>0</v>
      </c>
      <c r="E23448" s="2">
        <v>0</v>
      </c>
      <c r="F23448" s="2">
        <v>0</v>
      </c>
      <c r="G23448" s="2">
        <v>0</v>
      </c>
      <c r="H23448" s="1" t="s">
        <v>0</v>
      </c>
      <c r="I23448" s="2">
        <v>0</v>
      </c>
      <c r="J23448" s="1">
        <v>45958.383634259262</v>
      </c>
    </row>
    <row r="23449" spans="1:10" x14ac:dyDescent="0.2">
      <c r="A23449" s="4" t="s">
        <v>1</v>
      </c>
      <c r="B23449" s="3" t="str">
        <f>HYPERLINK("https://otsuka-europe-crm.veevavault.com/ui/#object/approved_document__v/V5OZ025E82UKR5U", "SEP 2025: invitación simposio Alianza")</f>
        <v>SEP 2025: invitación simposio Alianza</v>
      </c>
      <c r="C23449" s="3" t="str">
        <f>HYPERLINK("https://otsuka-europe-crm.veevavault.com/ui/#object/sent_email__v/VBL000000005379", "SE-001380256")</f>
        <v>SE-001380256</v>
      </c>
      <c r="D23449" s="1">
        <v>45964.407592592594</v>
      </c>
      <c r="E23449" s="2">
        <v>1</v>
      </c>
      <c r="F23449" s="2">
        <v>1</v>
      </c>
      <c r="G23449" s="2">
        <v>0</v>
      </c>
      <c r="H23449" s="1" t="s">
        <v>0</v>
      </c>
      <c r="I23449" s="2">
        <v>0</v>
      </c>
      <c r="J23449" s="1">
        <v>45964.321192129632</v>
      </c>
    </row>
    <row r="23450" spans="1:10" x14ac:dyDescent="0.2">
      <c r="A23450" s="4" t="s">
        <v>1</v>
      </c>
      <c r="B23450" s="3" t="str">
        <f>HYPERLINK("https://otsuka-europe-crm.veevavault.com/ui/#object/approved_document__v/V5OZ025E82UKR5U", "SEP 2025: invitación simposio Alianza")</f>
        <v>SEP 2025: invitación simposio Alianza</v>
      </c>
      <c r="C23450" s="3" t="str">
        <f>HYPERLINK("https://otsuka-europe-crm.veevavault.com/ui/#object/sent_email__v/VBL000000005380", "SE-001380257")</f>
        <v>SE-001380257</v>
      </c>
      <c r="D23450" s="1" t="s">
        <v>0</v>
      </c>
      <c r="E23450" s="2">
        <v>0</v>
      </c>
      <c r="F23450" s="2">
        <v>0</v>
      </c>
      <c r="G23450" s="2">
        <v>0</v>
      </c>
      <c r="H23450" s="1" t="s">
        <v>0</v>
      </c>
      <c r="I23450" s="2">
        <v>0</v>
      </c>
      <c r="J23450" s="1">
        <v>45964.322210648148</v>
      </c>
    </row>
    <row r="23451" spans="1:10" x14ac:dyDescent="0.2">
      <c r="A23451" s="4" t="s">
        <v>1</v>
      </c>
      <c r="B23451" s="3" t="str">
        <f>HYPERLINK("https://otsuka-europe-crm.veevavault.com/ui/#object/approved_document__v/V5OZ025E82UKR5U", "SEP 2025: invitación simposio Alianza")</f>
        <v>SEP 2025: invitación simposio Alianza</v>
      </c>
      <c r="C23451" s="3" t="str">
        <f>HYPERLINK("https://otsuka-europe-crm.veevavault.com/ui/#object/sent_email__v/VBL000000004204", "SE-001380258")</f>
        <v>SE-001380258</v>
      </c>
      <c r="D23451" s="1">
        <v>45964.756354166668</v>
      </c>
      <c r="E23451" s="2">
        <v>1</v>
      </c>
      <c r="F23451" s="2">
        <v>5</v>
      </c>
      <c r="G23451" s="2">
        <v>1</v>
      </c>
      <c r="H23451" s="1">
        <v>45964.471990740742</v>
      </c>
      <c r="I23451" s="2">
        <v>1</v>
      </c>
      <c r="J23451" s="1">
        <v>45964.322488425925</v>
      </c>
    </row>
    <row r="23452" spans="1:10" x14ac:dyDescent="0.2">
      <c r="A23452" s="4" t="s">
        <v>1</v>
      </c>
      <c r="B23452" s="3" t="str">
        <f>HYPERLINK("https://otsuka-europe-crm.veevavault.com/ui/#object/approved_document__v/V5OZ025E82UKR5U", "SEP 2025: invitación simposio Alianza")</f>
        <v>SEP 2025: invitación simposio Alianza</v>
      </c>
      <c r="C23452" s="3" t="str">
        <f>HYPERLINK("https://otsuka-europe-crm.veevavault.com/ui/#object/sent_email__v/VBL000000005381", "SE-001380259")</f>
        <v>SE-001380259</v>
      </c>
      <c r="D23452" s="1" t="s">
        <v>0</v>
      </c>
      <c r="E23452" s="2">
        <v>0</v>
      </c>
      <c r="F23452" s="2">
        <v>0</v>
      </c>
      <c r="G23452" s="2">
        <v>0</v>
      </c>
      <c r="H23452" s="1" t="s">
        <v>0</v>
      </c>
      <c r="I23452" s="2">
        <v>0</v>
      </c>
      <c r="J23452" s="1">
        <v>45964.322766203702</v>
      </c>
    </row>
    <row r="23453" spans="1:10" x14ac:dyDescent="0.2">
      <c r="A23453" s="4" t="s">
        <v>1</v>
      </c>
      <c r="B23453" s="3" t="str">
        <f>HYPERLINK("https://otsuka-europe-crm.veevavault.com/ui/#object/approved_document__v/V5OZ025E82UKR5U", "SEP 2025: invitación simposio Alianza")</f>
        <v>SEP 2025: invitación simposio Alianza</v>
      </c>
      <c r="C23453" s="3" t="str">
        <f>HYPERLINK("https://otsuka-europe-crm.veevavault.com/ui/#object/sent_email__v/VBL000000005382", "SE-001380260")</f>
        <v>SE-001380260</v>
      </c>
      <c r="D23453" s="1">
        <v>45980.942708333336</v>
      </c>
      <c r="E23453" s="2">
        <v>1</v>
      </c>
      <c r="F23453" s="2">
        <v>3</v>
      </c>
      <c r="G23453" s="2">
        <v>0</v>
      </c>
      <c r="H23453" s="1" t="s">
        <v>0</v>
      </c>
      <c r="I23453" s="2">
        <v>0</v>
      </c>
      <c r="J23453" s="1">
        <v>45964.323020833333</v>
      </c>
    </row>
    <row r="23454" spans="1:10" x14ac:dyDescent="0.2">
      <c r="A23454" s="4" t="s">
        <v>1</v>
      </c>
      <c r="B23454" s="3" t="str">
        <f>HYPERLINK("https://otsuka-europe-crm.veevavault.com/ui/#object/approved_document__v/V5OZ025E82UKR5U", "SEP 2025: invitación simposio Alianza")</f>
        <v>SEP 2025: invitación simposio Alianza</v>
      </c>
      <c r="C23454" s="3" t="str">
        <f>HYPERLINK("https://otsuka-europe-crm.veevavault.com/ui/#object/sent_email__v/VBL000000004205", "SE-001380261")</f>
        <v>SE-001380261</v>
      </c>
      <c r="D23454" s="1">
        <v>45964.339004629626</v>
      </c>
      <c r="E23454" s="2">
        <v>1</v>
      </c>
      <c r="F23454" s="2">
        <v>2</v>
      </c>
      <c r="G23454" s="2">
        <v>0</v>
      </c>
      <c r="H23454" s="1" t="s">
        <v>0</v>
      </c>
      <c r="I23454" s="2">
        <v>0</v>
      </c>
      <c r="J23454" s="1">
        <v>45964.323206018518</v>
      </c>
    </row>
    <row r="23455" spans="1:10" x14ac:dyDescent="0.2">
      <c r="A23455" s="4" t="s">
        <v>1</v>
      </c>
      <c r="B23455" s="3" t="str">
        <f>HYPERLINK("https://otsuka-europe-crm.veevavault.com/ui/#object/approved_document__v/V5OZ025E82UKR5U", "SEP 2025: invitación simposio Alianza")</f>
        <v>SEP 2025: invitación simposio Alianza</v>
      </c>
      <c r="C23455" s="3" t="str">
        <f>HYPERLINK("https://otsuka-europe-crm.veevavault.com/ui/#object/sent_email__v/VBL000000004206", "SE-001380262")</f>
        <v>SE-001380262</v>
      </c>
      <c r="D23455" s="1" t="s">
        <v>0</v>
      </c>
      <c r="E23455" s="2">
        <v>0</v>
      </c>
      <c r="F23455" s="2">
        <v>0</v>
      </c>
      <c r="G23455" s="2">
        <v>0</v>
      </c>
      <c r="H23455" s="1" t="s">
        <v>0</v>
      </c>
      <c r="I23455" s="2">
        <v>0</v>
      </c>
      <c r="J23455" s="1">
        <v>45964.323553240742</v>
      </c>
    </row>
    <row r="23456" spans="1:10" x14ac:dyDescent="0.2">
      <c r="A23456" s="4" t="s">
        <v>1</v>
      </c>
      <c r="B23456" s="3" t="str">
        <f>HYPERLINK("https://otsuka-europe-crm.veevavault.com/ui/#object/approved_document__v/V5OZ025E82UKR5U", "SEP 2025: invitación simposio Alianza")</f>
        <v>SEP 2025: invitación simposio Alianza</v>
      </c>
      <c r="C23456" s="3" t="str">
        <f>HYPERLINK("https://otsuka-europe-crm.veevavault.com/ui/#object/sent_email__v/VBL000000005383", "SE-001380263")</f>
        <v>SE-001380263</v>
      </c>
      <c r="D23456" s="1">
        <v>45964.326620370368</v>
      </c>
      <c r="E23456" s="2">
        <v>1</v>
      </c>
      <c r="F23456" s="2">
        <v>1</v>
      </c>
      <c r="G23456" s="2">
        <v>0</v>
      </c>
      <c r="H23456" s="1" t="s">
        <v>0</v>
      </c>
      <c r="I23456" s="2">
        <v>0</v>
      </c>
      <c r="J23456" s="1">
        <v>45964.323888888888</v>
      </c>
    </row>
    <row r="23457" spans="1:10" x14ac:dyDescent="0.2">
      <c r="A23457" s="4" t="s">
        <v>1</v>
      </c>
      <c r="B23457" s="3" t="str">
        <f>HYPERLINK("https://otsuka-europe-crm.veevavault.com/ui/#object/approved_document__v/V5OZ025E82UKR5U", "SEP 2025: invitación simposio Alianza")</f>
        <v>SEP 2025: invitación simposio Alianza</v>
      </c>
      <c r="C23457" s="3" t="str">
        <f>HYPERLINK("https://otsuka-europe-crm.veevavault.com/ui/#object/sent_email__v/VBL000000005387", "SE-001380270")</f>
        <v>SE-001380270</v>
      </c>
      <c r="D23457" s="1" t="s">
        <v>0</v>
      </c>
      <c r="E23457" s="2">
        <v>0</v>
      </c>
      <c r="F23457" s="2">
        <v>0</v>
      </c>
      <c r="G23457" s="2">
        <v>0</v>
      </c>
      <c r="H23457" s="1" t="s">
        <v>0</v>
      </c>
      <c r="I23457" s="2">
        <v>0</v>
      </c>
      <c r="J23457" s="1">
        <v>45964.415266203701</v>
      </c>
    </row>
    <row r="23458" spans="1:10" x14ac:dyDescent="0.2">
      <c r="A23458" s="4" t="s">
        <v>1</v>
      </c>
      <c r="B23458" s="3" t="str">
        <f>HYPERLINK("https://otsuka-europe-crm.veevavault.com/ui/#object/approved_document__v/V5OZ025E82UKR5U", "SEP 2025: invitación simposio Alianza")</f>
        <v>SEP 2025: invitación simposio Alianza</v>
      </c>
      <c r="C23458" s="3" t="str">
        <f>HYPERLINK("https://otsuka-europe-crm.veevavault.com/ui/#object/sent_email__v/VBL000000005388", "SE-001380271")</f>
        <v>SE-001380271</v>
      </c>
      <c r="D23458" s="1" t="s">
        <v>0</v>
      </c>
      <c r="E23458" s="2">
        <v>0</v>
      </c>
      <c r="F23458" s="2">
        <v>0</v>
      </c>
      <c r="G23458" s="2">
        <v>0</v>
      </c>
      <c r="H23458" s="1" t="s">
        <v>0</v>
      </c>
      <c r="I23458" s="2">
        <v>0</v>
      </c>
      <c r="J23458" s="1">
        <v>45964.415370370371</v>
      </c>
    </row>
    <row r="23459" spans="1:10" x14ac:dyDescent="0.2">
      <c r="A23459" s="4" t="s">
        <v>1</v>
      </c>
      <c r="B23459" s="3" t="str">
        <f>HYPERLINK("https://otsuka-europe-crm.veevavault.com/ui/#object/approved_document__v/V5OZ025E82UKR5U", "SEP 2025: invitación simposio Alianza")</f>
        <v>SEP 2025: invitación simposio Alianza</v>
      </c>
      <c r="C23459" s="3" t="str">
        <f>HYPERLINK("https://otsuka-europe-crm.veevavault.com/ui/#object/sent_email__v/VBL000000005389", "SE-001380272")</f>
        <v>SE-001380272</v>
      </c>
      <c r="D23459" s="1">
        <v>45971.797708333332</v>
      </c>
      <c r="E23459" s="2">
        <v>1</v>
      </c>
      <c r="F23459" s="2">
        <v>2</v>
      </c>
      <c r="G23459" s="2">
        <v>0</v>
      </c>
      <c r="H23459" s="1" t="s">
        <v>0</v>
      </c>
      <c r="I23459" s="2">
        <v>0</v>
      </c>
      <c r="J23459" s="1">
        <v>45964.415416666663</v>
      </c>
    </row>
    <row r="23460" spans="1:10" x14ac:dyDescent="0.2">
      <c r="A23460" s="4" t="s">
        <v>1</v>
      </c>
      <c r="B23460" s="3" t="str">
        <f>HYPERLINK("https://otsuka-europe-crm.veevavault.com/ui/#object/approved_document__v/V5OZ025E82UKR5U", "SEP 2025: invitación simposio Alianza")</f>
        <v>SEP 2025: invitación simposio Alianza</v>
      </c>
      <c r="C23460" s="3" t="str">
        <f>HYPERLINK("https://otsuka-europe-crm.veevavault.com/ui/#object/sent_email__v/VBL000000005390", "SE-001380273")</f>
        <v>SE-001380273</v>
      </c>
      <c r="D23460" s="1" t="s">
        <v>0</v>
      </c>
      <c r="E23460" s="2">
        <v>0</v>
      </c>
      <c r="F23460" s="2">
        <v>0</v>
      </c>
      <c r="G23460" s="2">
        <v>0</v>
      </c>
      <c r="H23460" s="1" t="s">
        <v>0</v>
      </c>
      <c r="I23460" s="2">
        <v>0</v>
      </c>
      <c r="J23460" s="1">
        <v>45964.415486111109</v>
      </c>
    </row>
    <row r="23461" spans="1:10" x14ac:dyDescent="0.2">
      <c r="A23461" s="4" t="s">
        <v>1</v>
      </c>
      <c r="B23461" s="3" t="str">
        <f>HYPERLINK("https://otsuka-europe-crm.veevavault.com/ui/#object/approved_document__v/V5OZ025E82UKR5U", "SEP 2025: invitación simposio Alianza")</f>
        <v>SEP 2025: invitación simposio Alianza</v>
      </c>
      <c r="C23461" s="3" t="str">
        <f>HYPERLINK("https://otsuka-europe-crm.veevavault.com/ui/#object/sent_email__v/VBL000000005391", "SE-001380274")</f>
        <v>SE-001380274</v>
      </c>
      <c r="D23461" s="1" t="s">
        <v>0</v>
      </c>
      <c r="E23461" s="2">
        <v>0</v>
      </c>
      <c r="F23461" s="2">
        <v>0</v>
      </c>
      <c r="G23461" s="2">
        <v>0</v>
      </c>
      <c r="H23461" s="1" t="s">
        <v>0</v>
      </c>
      <c r="I23461" s="2">
        <v>0</v>
      </c>
      <c r="J23461" s="1">
        <v>45964.415555555555</v>
      </c>
    </row>
    <row r="23462" spans="1:10" x14ac:dyDescent="0.2">
      <c r="A23462" s="4" t="s">
        <v>1</v>
      </c>
      <c r="B23462" s="3" t="str">
        <f>HYPERLINK("https://otsuka-europe-crm.veevavault.com/ui/#object/approved_document__v/V5OZ025E82UKR5U", "SEP 2025: invitación simposio Alianza")</f>
        <v>SEP 2025: invitación simposio Alianza</v>
      </c>
      <c r="C23462" s="3" t="str">
        <f>HYPERLINK("https://otsuka-europe-crm.veevavault.com/ui/#object/sent_email__v/VBL000000005392", "SE-001380275")</f>
        <v>SE-001380275</v>
      </c>
      <c r="D23462" s="1" t="s">
        <v>0</v>
      </c>
      <c r="E23462" s="2">
        <v>0</v>
      </c>
      <c r="F23462" s="2">
        <v>0</v>
      </c>
      <c r="G23462" s="2">
        <v>0</v>
      </c>
      <c r="H23462" s="1" t="s">
        <v>0</v>
      </c>
      <c r="I23462" s="2">
        <v>0</v>
      </c>
      <c r="J23462" s="1">
        <v>45964.415625000001</v>
      </c>
    </row>
    <row r="23463" spans="1:10" x14ac:dyDescent="0.2">
      <c r="A23463" s="4" t="s">
        <v>1</v>
      </c>
      <c r="B23463" s="3" t="str">
        <f>HYPERLINK("https://otsuka-europe-crm.veevavault.com/ui/#object/approved_document__v/V5OZ025E82UKR5U", "SEP 2025: invitación simposio Alianza")</f>
        <v>SEP 2025: invitación simposio Alianza</v>
      </c>
      <c r="C23463" s="3" t="str">
        <f>HYPERLINK("https://otsuka-europe-crm.veevavault.com/ui/#object/sent_email__v/VBL000000005393", "SE-001380276")</f>
        <v>SE-001380276</v>
      </c>
      <c r="D23463" s="1">
        <v>45964.505613425928</v>
      </c>
      <c r="E23463" s="2">
        <v>1</v>
      </c>
      <c r="F23463" s="2">
        <v>1</v>
      </c>
      <c r="G23463" s="2">
        <v>0</v>
      </c>
      <c r="H23463" s="1" t="s">
        <v>0</v>
      </c>
      <c r="I23463" s="2">
        <v>0</v>
      </c>
      <c r="J23463" s="1">
        <v>45964.41574074074</v>
      </c>
    </row>
    <row r="23464" spans="1:10" x14ac:dyDescent="0.2">
      <c r="A23464" s="4" t="s">
        <v>1</v>
      </c>
      <c r="B23464" s="3" t="str">
        <f>HYPERLINK("https://otsuka-europe-crm.veevavault.com/ui/#object/approved_document__v/V5OZ025E82UKR5U", "SEP 2025: invitación simposio Alianza")</f>
        <v>SEP 2025: invitación simposio Alianza</v>
      </c>
      <c r="C23464" s="3" t="str">
        <f>HYPERLINK("https://otsuka-europe-crm.veevavault.com/ui/#object/sent_email__v/VBL000000005394", "SE-001380277")</f>
        <v>SE-001380277</v>
      </c>
      <c r="D23464" s="1" t="s">
        <v>0</v>
      </c>
      <c r="E23464" s="2">
        <v>0</v>
      </c>
      <c r="F23464" s="2">
        <v>0</v>
      </c>
      <c r="G23464" s="2">
        <v>0</v>
      </c>
      <c r="H23464" s="1" t="s">
        <v>0</v>
      </c>
      <c r="I23464" s="2">
        <v>0</v>
      </c>
      <c r="J23464" s="1">
        <v>45964.415763888886</v>
      </c>
    </row>
    <row r="23465" spans="1:10" x14ac:dyDescent="0.2">
      <c r="A23465" s="4" t="s">
        <v>1</v>
      </c>
      <c r="B23465" s="3" t="str">
        <f>HYPERLINK("https://otsuka-europe-crm.veevavault.com/ui/#object/approved_document__v/V5OZ025E82UKR5U", "SEP 2025: invitación simposio Alianza")</f>
        <v>SEP 2025: invitación simposio Alianza</v>
      </c>
      <c r="C23465" s="3" t="str">
        <f>HYPERLINK("https://otsuka-europe-crm.veevavault.com/ui/#object/sent_email__v/VBL000000005395", "SE-001380278")</f>
        <v>SE-001380278</v>
      </c>
      <c r="D23465" s="1">
        <v>45965.421643518515</v>
      </c>
      <c r="E23465" s="2">
        <v>1</v>
      </c>
      <c r="F23465" s="2">
        <v>1</v>
      </c>
      <c r="G23465" s="2">
        <v>0</v>
      </c>
      <c r="H23465" s="1" t="s">
        <v>0</v>
      </c>
      <c r="I23465" s="2">
        <v>0</v>
      </c>
      <c r="J23465" s="1">
        <v>45964.415833333333</v>
      </c>
    </row>
    <row r="23466" spans="1:10" x14ac:dyDescent="0.2">
      <c r="A23466" s="4" t="s">
        <v>1</v>
      </c>
      <c r="B23466" s="3" t="str">
        <f>HYPERLINK("https://otsuka-europe-crm.veevavault.com/ui/#object/approved_document__v/V5OZ025E82UKR5U", "SEP 2025: invitación simposio Alianza")</f>
        <v>SEP 2025: invitación simposio Alianza</v>
      </c>
      <c r="C23466" s="3" t="str">
        <f>HYPERLINK("https://otsuka-europe-crm.veevavault.com/ui/#object/sent_email__v/VBL000000005396", "SE-001380279")</f>
        <v>SE-001380279</v>
      </c>
      <c r="D23466" s="1">
        <v>45964.984467592592</v>
      </c>
      <c r="E23466" s="2">
        <v>1</v>
      </c>
      <c r="F23466" s="2">
        <v>1</v>
      </c>
      <c r="G23466" s="2">
        <v>0</v>
      </c>
      <c r="H23466" s="1" t="s">
        <v>0</v>
      </c>
      <c r="I23466" s="2">
        <v>0</v>
      </c>
      <c r="J23466" s="1">
        <v>45964.415902777779</v>
      </c>
    </row>
    <row r="23467" spans="1:10" x14ac:dyDescent="0.2">
      <c r="A23467" s="4" t="s">
        <v>1</v>
      </c>
      <c r="B23467" s="3" t="str">
        <f>HYPERLINK("https://otsuka-europe-crm.veevavault.com/ui/#object/approved_document__v/V5OZ025E82UKR5U", "SEP 2025: invitación simposio Alianza")</f>
        <v>SEP 2025: invitación simposio Alianza</v>
      </c>
      <c r="C23467" s="3" t="str">
        <f>HYPERLINK("https://otsuka-europe-crm.veevavault.com/ui/#object/sent_email__v/VBL000000005397", "SE-001380280")</f>
        <v>SE-001380280</v>
      </c>
      <c r="D23467" s="1" t="s">
        <v>0</v>
      </c>
      <c r="E23467" s="2">
        <v>0</v>
      </c>
      <c r="F23467" s="2">
        <v>0</v>
      </c>
      <c r="G23467" s="2">
        <v>0</v>
      </c>
      <c r="H23467" s="1" t="s">
        <v>0</v>
      </c>
      <c r="I23467" s="2">
        <v>0</v>
      </c>
      <c r="J23467" s="1">
        <v>45964.415972222225</v>
      </c>
    </row>
    <row r="23468" spans="1:10" x14ac:dyDescent="0.2">
      <c r="A23468" s="4" t="s">
        <v>1</v>
      </c>
      <c r="B23468" s="3" t="str">
        <f>HYPERLINK("https://otsuka-europe-crm.veevavault.com/ui/#object/approved_document__v/V5OZ025E82UKR5U", "SEP 2025: invitación simposio Alianza")</f>
        <v>SEP 2025: invitación simposio Alianza</v>
      </c>
      <c r="C23468" s="3" t="str">
        <f>HYPERLINK("https://otsuka-europe-crm.veevavault.com/ui/#object/sent_email__v/VBL000000005398", "SE-001380281")</f>
        <v>SE-001380281</v>
      </c>
      <c r="D23468" s="1" t="s">
        <v>0</v>
      </c>
      <c r="E23468" s="2">
        <v>0</v>
      </c>
      <c r="F23468" s="2">
        <v>0</v>
      </c>
      <c r="G23468" s="2">
        <v>0</v>
      </c>
      <c r="H23468" s="1" t="s">
        <v>0</v>
      </c>
      <c r="I23468" s="2">
        <v>0</v>
      </c>
      <c r="J23468" s="1">
        <v>45964.41605324074</v>
      </c>
    </row>
    <row r="23469" spans="1:10" x14ac:dyDescent="0.2">
      <c r="A23469" s="4" t="s">
        <v>1</v>
      </c>
      <c r="B23469" s="3" t="str">
        <f>HYPERLINK("https://otsuka-europe-crm.veevavault.com/ui/#object/approved_document__v/V5OZ025E82UKR5U", "SEP 2025: invitación simposio Alianza")</f>
        <v>SEP 2025: invitación simposio Alianza</v>
      </c>
      <c r="C23469" s="3" t="str">
        <f>HYPERLINK("https://otsuka-europe-crm.veevavault.com/ui/#object/sent_email__v/VBL000000005399", "SE-001380282")</f>
        <v>SE-001380282</v>
      </c>
      <c r="D23469" s="1" t="s">
        <v>0</v>
      </c>
      <c r="E23469" s="2">
        <v>0</v>
      </c>
      <c r="F23469" s="2">
        <v>0</v>
      </c>
      <c r="G23469" s="2">
        <v>0</v>
      </c>
      <c r="H23469" s="1" t="s">
        <v>0</v>
      </c>
      <c r="I23469" s="2">
        <v>0</v>
      </c>
      <c r="J23469" s="1">
        <v>45964.416122685187</v>
      </c>
    </row>
    <row r="23470" spans="1:10" x14ac:dyDescent="0.2">
      <c r="A23470" s="4" t="s">
        <v>1</v>
      </c>
      <c r="B23470" s="3" t="str">
        <f>HYPERLINK("https://otsuka-europe-crm.veevavault.com/ui/#object/approved_document__v/V5OZ025E82UKR5U", "SEP 2025: invitación simposio Alianza")</f>
        <v>SEP 2025: invitación simposio Alianza</v>
      </c>
      <c r="C23470" s="3" t="str">
        <f>HYPERLINK("https://otsuka-europe-crm.veevavault.com/ui/#object/sent_email__v/VBL000000005400", "SE-001380283")</f>
        <v>SE-001380283</v>
      </c>
      <c r="D23470" s="1">
        <v>45965.624537037038</v>
      </c>
      <c r="E23470" s="2">
        <v>1</v>
      </c>
      <c r="F23470" s="2">
        <v>1</v>
      </c>
      <c r="G23470" s="2">
        <v>0</v>
      </c>
      <c r="H23470" s="1" t="s">
        <v>0</v>
      </c>
      <c r="I23470" s="2">
        <v>0</v>
      </c>
      <c r="J23470" s="1">
        <v>45964.416203703702</v>
      </c>
    </row>
    <row r="23471" spans="1:10" x14ac:dyDescent="0.2">
      <c r="A23471" s="4" t="s">
        <v>1</v>
      </c>
      <c r="B23471" s="3" t="str">
        <f>HYPERLINK("https://otsuka-europe-crm.veevavault.com/ui/#object/approved_document__v/V5OZ025E82UKR5U", "SEP 2025: invitación simposio Alianza")</f>
        <v>SEP 2025: invitación simposio Alianza</v>
      </c>
      <c r="C23471" s="3" t="str">
        <f>HYPERLINK("https://otsuka-europe-crm.veevavault.com/ui/#object/sent_email__v/VBL000000005401", "SE-001380284")</f>
        <v>SE-001380284</v>
      </c>
      <c r="D23471" s="1" t="s">
        <v>0</v>
      </c>
      <c r="E23471" s="2">
        <v>0</v>
      </c>
      <c r="F23471" s="2">
        <v>0</v>
      </c>
      <c r="G23471" s="2">
        <v>0</v>
      </c>
      <c r="H23471" s="1" t="s">
        <v>0</v>
      </c>
      <c r="I23471" s="2">
        <v>0</v>
      </c>
      <c r="J23471" s="1">
        <v>45964.416261574072</v>
      </c>
    </row>
    <row r="23472" spans="1:10" x14ac:dyDescent="0.2">
      <c r="A23472" s="4" t="s">
        <v>1</v>
      </c>
      <c r="B23472" s="3" t="str">
        <f>HYPERLINK("https://otsuka-europe-crm.veevavault.com/ui/#object/approved_document__v/V5OZ025E82UKR5U", "SEP 2025: invitación simposio Alianza")</f>
        <v>SEP 2025: invitación simposio Alianza</v>
      </c>
      <c r="C23472" s="3" t="str">
        <f>HYPERLINK("https://otsuka-europe-crm.veevavault.com/ui/#object/sent_email__v/VBL000000005402", "SE-001380285")</f>
        <v>SE-001380285</v>
      </c>
      <c r="D23472" s="1">
        <v>45964.937337962961</v>
      </c>
      <c r="E23472" s="2">
        <v>1</v>
      </c>
      <c r="F23472" s="2">
        <v>5</v>
      </c>
      <c r="G23472" s="2">
        <v>0</v>
      </c>
      <c r="H23472" s="1" t="s">
        <v>0</v>
      </c>
      <c r="I23472" s="2">
        <v>0</v>
      </c>
      <c r="J23472" s="1">
        <v>45964.416331018518</v>
      </c>
    </row>
    <row r="23473" spans="1:10" x14ac:dyDescent="0.2">
      <c r="A23473" s="4" t="s">
        <v>1</v>
      </c>
      <c r="B23473" s="3" t="str">
        <f>HYPERLINK("https://otsuka-europe-crm.veevavault.com/ui/#object/approved_document__v/V5OZ025E82UKR5U", "SEP 2025: invitación simposio Alianza")</f>
        <v>SEP 2025: invitación simposio Alianza</v>
      </c>
      <c r="C23473" s="3" t="str">
        <f>HYPERLINK("https://otsuka-europe-crm.veevavault.com/ui/#object/sent_email__v/VBL000000005403", "SE-001380286")</f>
        <v>SE-001380286</v>
      </c>
      <c r="D23473" s="1" t="s">
        <v>0</v>
      </c>
      <c r="E23473" s="2">
        <v>0</v>
      </c>
      <c r="F23473" s="2">
        <v>0</v>
      </c>
      <c r="G23473" s="2">
        <v>0</v>
      </c>
      <c r="H23473" s="1" t="s">
        <v>0</v>
      </c>
      <c r="I23473" s="2">
        <v>0</v>
      </c>
      <c r="J23473" s="1">
        <v>45964.416400462964</v>
      </c>
    </row>
    <row r="23474" spans="1:10" x14ac:dyDescent="0.2">
      <c r="A23474" s="4" t="s">
        <v>1</v>
      </c>
      <c r="B23474" s="3" t="str">
        <f>HYPERLINK("https://otsuka-europe-crm.veevavault.com/ui/#object/approved_document__v/V5OZ025E82UKR5U", "SEP 2025: invitación simposio Alianza")</f>
        <v>SEP 2025: invitación simposio Alianza</v>
      </c>
      <c r="C23474" s="3" t="str">
        <f>HYPERLINK("https://otsuka-europe-crm.veevavault.com/ui/#object/sent_email__v/VBL000000005404", "SE-001380287")</f>
        <v>SE-001380287</v>
      </c>
      <c r="D23474" s="1">
        <v>45968.320474537039</v>
      </c>
      <c r="E23474" s="2">
        <v>1</v>
      </c>
      <c r="F23474" s="2">
        <v>1</v>
      </c>
      <c r="G23474" s="2">
        <v>0</v>
      </c>
      <c r="H23474" s="1" t="s">
        <v>0</v>
      </c>
      <c r="I23474" s="2">
        <v>0</v>
      </c>
      <c r="J23474" s="1">
        <v>45964.41646990741</v>
      </c>
    </row>
    <row r="23475" spans="1:10" x14ac:dyDescent="0.2">
      <c r="A23475" s="4" t="s">
        <v>1</v>
      </c>
      <c r="B23475" s="3" t="str">
        <f>HYPERLINK("https://otsuka-europe-crm.veevavault.com/ui/#object/approved_document__v/V5OZ025E82UKR5U", "SEP 2025: invitación simposio Alianza")</f>
        <v>SEP 2025: invitación simposio Alianza</v>
      </c>
      <c r="C23475" s="3" t="str">
        <f>HYPERLINK("https://otsuka-europe-crm.veevavault.com/ui/#object/sent_email__v/VBL000000005405", "SE-001380288")</f>
        <v>SE-001380288</v>
      </c>
      <c r="D23475" s="1">
        <v>45996.875821759262</v>
      </c>
      <c r="E23475" s="2">
        <v>1</v>
      </c>
      <c r="F23475" s="2">
        <v>1</v>
      </c>
      <c r="G23475" s="2">
        <v>0</v>
      </c>
      <c r="H23475" s="1" t="s">
        <v>0</v>
      </c>
      <c r="I23475" s="2">
        <v>0</v>
      </c>
      <c r="J23475" s="1">
        <v>45964.416539351849</v>
      </c>
    </row>
    <row r="23476" spans="1:10" x14ac:dyDescent="0.2">
      <c r="A23476" s="4" t="s">
        <v>1</v>
      </c>
      <c r="B23476" s="3" t="str">
        <f>HYPERLINK("https://otsuka-europe-crm.veevavault.com/ui/#object/approved_document__v/V5OZ025E82UKR5U", "SEP 2025: invitación simposio Alianza")</f>
        <v>SEP 2025: invitación simposio Alianza</v>
      </c>
      <c r="C23476" s="3" t="str">
        <f>HYPERLINK("https://otsuka-europe-crm.veevavault.com/ui/#object/sent_email__v/VBL000000005406", "SE-001380289")</f>
        <v>SE-001380289</v>
      </c>
      <c r="D23476" s="1" t="s">
        <v>0</v>
      </c>
      <c r="E23476" s="2">
        <v>0</v>
      </c>
      <c r="F23476" s="2">
        <v>0</v>
      </c>
      <c r="G23476" s="2">
        <v>0</v>
      </c>
      <c r="H23476" s="1" t="s">
        <v>0</v>
      </c>
      <c r="I23476" s="2">
        <v>0</v>
      </c>
      <c r="J23476" s="1">
        <v>45964.416608796295</v>
      </c>
    </row>
    <row r="23477" spans="1:10" x14ac:dyDescent="0.2">
      <c r="A23477" s="4" t="s">
        <v>1</v>
      </c>
      <c r="B23477" s="3" t="str">
        <f>HYPERLINK("https://otsuka-europe-crm.veevavault.com/ui/#object/approved_document__v/V5OZ025E82UKR5U", "SEP 2025: invitación simposio Alianza")</f>
        <v>SEP 2025: invitación simposio Alianza</v>
      </c>
      <c r="C23477" s="3" t="str">
        <f>HYPERLINK("https://otsuka-europe-crm.veevavault.com/ui/#object/sent_email__v/VBL000000005407", "SE-001380290")</f>
        <v>SE-001380290</v>
      </c>
      <c r="D23477" s="1" t="s">
        <v>0</v>
      </c>
      <c r="E23477" s="2">
        <v>0</v>
      </c>
      <c r="F23477" s="2">
        <v>0</v>
      </c>
      <c r="G23477" s="2">
        <v>0</v>
      </c>
      <c r="H23477" s="1" t="s">
        <v>0</v>
      </c>
      <c r="I23477" s="2">
        <v>0</v>
      </c>
      <c r="J23477" s="1">
        <v>45964.416666666664</v>
      </c>
    </row>
    <row r="23478" spans="1:10" x14ac:dyDescent="0.2">
      <c r="A23478" s="4" t="s">
        <v>1</v>
      </c>
      <c r="B23478" s="3" t="str">
        <f>HYPERLINK("https://otsuka-europe-crm.veevavault.com/ui/#object/approved_document__v/V5OZ025E82UKR5U", "SEP 2025: invitación simposio Alianza")</f>
        <v>SEP 2025: invitación simposio Alianza</v>
      </c>
      <c r="C23478" s="3" t="str">
        <f>HYPERLINK("https://otsuka-europe-crm.veevavault.com/ui/#object/sent_email__v/VBL000000005408", "SE-001380291")</f>
        <v>SE-001380291</v>
      </c>
      <c r="D23478" s="1" t="s">
        <v>0</v>
      </c>
      <c r="E23478" s="2">
        <v>0</v>
      </c>
      <c r="F23478" s="2">
        <v>0</v>
      </c>
      <c r="G23478" s="2">
        <v>0</v>
      </c>
      <c r="H23478" s="1" t="s">
        <v>0</v>
      </c>
      <c r="I23478" s="2">
        <v>0</v>
      </c>
      <c r="J23478" s="1">
        <v>45964.416712962964</v>
      </c>
    </row>
    <row r="23479" spans="1:10" x14ac:dyDescent="0.2">
      <c r="A23479" s="4" t="s">
        <v>1</v>
      </c>
      <c r="B23479" s="3" t="str">
        <f>HYPERLINK("https://otsuka-europe-crm.veevavault.com/ui/#object/approved_document__v/V5OZ025E82UKR5U", "SEP 2025: invitación simposio Alianza")</f>
        <v>SEP 2025: invitación simposio Alianza</v>
      </c>
      <c r="C23479" s="3" t="str">
        <f>HYPERLINK("https://otsuka-europe-crm.veevavault.com/ui/#object/sent_email__v/VBL000000005409", "SE-001380292")</f>
        <v>SE-001380292</v>
      </c>
      <c r="D23479" s="1" t="s">
        <v>0</v>
      </c>
      <c r="E23479" s="2">
        <v>0</v>
      </c>
      <c r="F23479" s="2">
        <v>0</v>
      </c>
      <c r="G23479" s="2">
        <v>0</v>
      </c>
      <c r="H23479" s="1" t="s">
        <v>0</v>
      </c>
      <c r="I23479" s="2">
        <v>0</v>
      </c>
      <c r="J23479" s="1">
        <v>45964.416759259257</v>
      </c>
    </row>
    <row r="23480" spans="1:10" x14ac:dyDescent="0.2">
      <c r="A23480" s="4" t="s">
        <v>1</v>
      </c>
      <c r="B23480" s="3" t="str">
        <f>HYPERLINK("https://otsuka-europe-crm.veevavault.com/ui/#object/approved_document__v/V5OZ025E82UKR5U", "SEP 2025: invitación simposio Alianza")</f>
        <v>SEP 2025: invitación simposio Alianza</v>
      </c>
      <c r="C23480" s="3" t="str">
        <f>HYPERLINK("https://otsuka-europe-crm.veevavault.com/ui/#object/sent_email__v/VBL000000005410", "SE-001380293")</f>
        <v>SE-001380293</v>
      </c>
      <c r="D23480" s="1">
        <v>45966.436655092592</v>
      </c>
      <c r="E23480" s="2">
        <v>1</v>
      </c>
      <c r="F23480" s="2">
        <v>1</v>
      </c>
      <c r="G23480" s="2">
        <v>0</v>
      </c>
      <c r="H23480" s="1" t="s">
        <v>0</v>
      </c>
      <c r="I23480" s="2">
        <v>0</v>
      </c>
      <c r="J23480" s="1">
        <v>45964.41679398148</v>
      </c>
    </row>
    <row r="23481" spans="1:10" x14ac:dyDescent="0.2">
      <c r="A23481" s="4" t="s">
        <v>1</v>
      </c>
      <c r="B23481" s="3" t="str">
        <f>HYPERLINK("https://otsuka-europe-crm.veevavault.com/ui/#object/approved_document__v/V5OZ025E82UKR5U", "SEP 2025: invitación simposio Alianza")</f>
        <v>SEP 2025: invitación simposio Alianza</v>
      </c>
      <c r="C23481" s="3" t="str">
        <f>HYPERLINK("https://otsuka-europe-crm.veevavault.com/ui/#object/sent_email__v/VBL000000005411", "SE-001380294")</f>
        <v>SE-001380294</v>
      </c>
      <c r="D23481" s="1">
        <v>45965.021481481483</v>
      </c>
      <c r="E23481" s="2">
        <v>1</v>
      </c>
      <c r="F23481" s="2">
        <v>2</v>
      </c>
      <c r="G23481" s="2">
        <v>0</v>
      </c>
      <c r="H23481" s="1" t="s">
        <v>0</v>
      </c>
      <c r="I23481" s="2">
        <v>0</v>
      </c>
      <c r="J23481" s="1">
        <v>45964.41684027778</v>
      </c>
    </row>
    <row r="23482" spans="1:10" x14ac:dyDescent="0.2">
      <c r="A23482" s="4" t="s">
        <v>1</v>
      </c>
      <c r="B23482" s="3" t="str">
        <f>HYPERLINK("https://otsuka-europe-crm.veevavault.com/ui/#object/approved_document__v/V5OZ025E82UKR5U", "SEP 2025: invitación simposio Alianza")</f>
        <v>SEP 2025: invitación simposio Alianza</v>
      </c>
      <c r="C23482" s="3" t="str">
        <f>HYPERLINK("https://otsuka-europe-crm.veevavault.com/ui/#object/sent_email__v/VBL000000005412", "SE-001380295")</f>
        <v>SE-001380295</v>
      </c>
      <c r="D23482" s="1" t="s">
        <v>0</v>
      </c>
      <c r="E23482" s="2">
        <v>0</v>
      </c>
      <c r="F23482" s="2">
        <v>0</v>
      </c>
      <c r="G23482" s="2">
        <v>0</v>
      </c>
      <c r="H23482" s="1" t="s">
        <v>0</v>
      </c>
      <c r="I23482" s="2">
        <v>0</v>
      </c>
      <c r="J23482" s="1">
        <v>45964.416886574072</v>
      </c>
    </row>
    <row r="23483" spans="1:10" x14ac:dyDescent="0.2">
      <c r="A23483" s="4" t="s">
        <v>1</v>
      </c>
      <c r="B23483" s="3" t="str">
        <f>HYPERLINK("https://otsuka-europe-crm.veevavault.com/ui/#object/approved_document__v/V5OZ025E82UKR5U", "SEP 2025: invitación simposio Alianza")</f>
        <v>SEP 2025: invitación simposio Alianza</v>
      </c>
      <c r="C23483" s="3" t="str">
        <f>HYPERLINK("https://otsuka-europe-crm.veevavault.com/ui/#object/sent_email__v/VBL000000005413", "SE-001380296")</f>
        <v>SE-001380296</v>
      </c>
      <c r="D23483" s="1" t="s">
        <v>0</v>
      </c>
      <c r="E23483" s="2">
        <v>0</v>
      </c>
      <c r="F23483" s="2">
        <v>0</v>
      </c>
      <c r="G23483" s="2">
        <v>0</v>
      </c>
      <c r="H23483" s="1" t="s">
        <v>0</v>
      </c>
      <c r="I23483" s="2">
        <v>0</v>
      </c>
      <c r="J23483" s="1">
        <v>45964.416909722226</v>
      </c>
    </row>
    <row r="23484" spans="1:10" x14ac:dyDescent="0.2">
      <c r="A23484" s="4" t="s">
        <v>1</v>
      </c>
      <c r="B23484" s="3" t="str">
        <f>HYPERLINK("https://otsuka-europe-crm.veevavault.com/ui/#object/approved_document__v/V5OZ025E82UKR5U", "SEP 2025: invitación simposio Alianza")</f>
        <v>SEP 2025: invitación simposio Alianza</v>
      </c>
      <c r="C23484" s="3" t="str">
        <f>HYPERLINK("https://otsuka-europe-crm.veevavault.com/ui/#object/sent_email__v/VBL000000005414", "SE-001380297")</f>
        <v>SE-001380297</v>
      </c>
      <c r="D23484" s="1" t="s">
        <v>0</v>
      </c>
      <c r="E23484" s="2">
        <v>0</v>
      </c>
      <c r="F23484" s="2">
        <v>0</v>
      </c>
      <c r="G23484" s="2">
        <v>0</v>
      </c>
      <c r="H23484" s="1" t="s">
        <v>0</v>
      </c>
      <c r="I23484" s="2">
        <v>0</v>
      </c>
      <c r="J23484" s="1">
        <v>45964.416956018518</v>
      </c>
    </row>
    <row r="23485" spans="1:10" x14ac:dyDescent="0.2">
      <c r="A23485" s="4" t="s">
        <v>1</v>
      </c>
      <c r="B23485" s="3" t="str">
        <f>HYPERLINK("https://otsuka-europe-crm.veevavault.com/ui/#object/approved_document__v/V5OZ025E82UKR5U", "SEP 2025: invitación simposio Alianza")</f>
        <v>SEP 2025: invitación simposio Alianza</v>
      </c>
      <c r="C23485" s="3" t="str">
        <f>HYPERLINK("https://otsuka-europe-crm.veevavault.com/ui/#object/sent_email__v/VBL000000005415", "SE-001380298")</f>
        <v>SE-001380298</v>
      </c>
      <c r="D23485" s="1">
        <v>45964.417060185187</v>
      </c>
      <c r="E23485" s="2">
        <v>1</v>
      </c>
      <c r="F23485" s="2">
        <v>1</v>
      </c>
      <c r="G23485" s="2">
        <v>0</v>
      </c>
      <c r="H23485" s="1" t="s">
        <v>0</v>
      </c>
      <c r="I23485" s="2">
        <v>0</v>
      </c>
      <c r="J23485" s="1">
        <v>45964.416990740741</v>
      </c>
    </row>
    <row r="23486" spans="1:10" x14ac:dyDescent="0.2">
      <c r="A23486" s="4" t="s">
        <v>1</v>
      </c>
      <c r="B23486" s="3" t="str">
        <f>HYPERLINK("https://otsuka-europe-crm.veevavault.com/ui/#object/approved_document__v/V5OZ025E82UKR5U", "SEP 2025: invitación simposio Alianza")</f>
        <v>SEP 2025: invitación simposio Alianza</v>
      </c>
      <c r="C23486" s="3" t="str">
        <f>HYPERLINK("https://otsuka-europe-crm.veevavault.com/ui/#object/sent_email__v/VBL000000005416", "SE-001380299")</f>
        <v>SE-001380299</v>
      </c>
      <c r="D23486" s="1">
        <v>45969.927384259259</v>
      </c>
      <c r="E23486" s="2">
        <v>1</v>
      </c>
      <c r="F23486" s="2">
        <v>1</v>
      </c>
      <c r="G23486" s="2">
        <v>0</v>
      </c>
      <c r="H23486" s="1" t="s">
        <v>0</v>
      </c>
      <c r="I23486" s="2">
        <v>0</v>
      </c>
      <c r="J23486" s="1">
        <v>45964.417037037034</v>
      </c>
    </row>
    <row r="23487" spans="1:10" x14ac:dyDescent="0.2">
      <c r="A23487" s="4" t="s">
        <v>1</v>
      </c>
      <c r="B23487" s="3" t="str">
        <f>HYPERLINK("https://otsuka-europe-crm.veevavault.com/ui/#object/approved_document__v/V5OZ025E82UKR5U", "SEP 2025: invitación simposio Alianza")</f>
        <v>SEP 2025: invitación simposio Alianza</v>
      </c>
      <c r="C23487" s="3" t="str">
        <f>HYPERLINK("https://otsuka-europe-crm.veevavault.com/ui/#object/sent_email__v/VBL000000005417", "SE-001380300")</f>
        <v>SE-001380300</v>
      </c>
      <c r="D23487" s="1" t="s">
        <v>0</v>
      </c>
      <c r="E23487" s="2">
        <v>0</v>
      </c>
      <c r="F23487" s="2">
        <v>0</v>
      </c>
      <c r="G23487" s="2">
        <v>0</v>
      </c>
      <c r="H23487" s="1" t="s">
        <v>0</v>
      </c>
      <c r="I23487" s="2">
        <v>0</v>
      </c>
      <c r="J23487" s="1">
        <v>45964.417071759257</v>
      </c>
    </row>
    <row r="23488" spans="1:10" x14ac:dyDescent="0.2">
      <c r="A23488" s="4" t="s">
        <v>1</v>
      </c>
      <c r="B23488" s="3" t="str">
        <f>HYPERLINK("https://otsuka-europe-crm.veevavault.com/ui/#object/approved_document__v/V5OZ025E82UKR5U", "SEP 2025: invitación simposio Alianza")</f>
        <v>SEP 2025: invitación simposio Alianza</v>
      </c>
      <c r="C23488" s="3" t="str">
        <f>HYPERLINK("https://otsuka-europe-crm.veevavault.com/ui/#object/sent_email__v/VBL000000005418", "SE-001380301")</f>
        <v>SE-001380301</v>
      </c>
      <c r="D23488" s="1" t="s">
        <v>0</v>
      </c>
      <c r="E23488" s="2">
        <v>0</v>
      </c>
      <c r="F23488" s="2">
        <v>0</v>
      </c>
      <c r="G23488" s="2">
        <v>0</v>
      </c>
      <c r="H23488" s="1" t="s">
        <v>0</v>
      </c>
      <c r="I23488" s="2">
        <v>0</v>
      </c>
      <c r="J23488" s="1">
        <v>45964.417118055557</v>
      </c>
    </row>
    <row r="23489" spans="1:10" x14ac:dyDescent="0.2">
      <c r="A23489" s="4" t="s">
        <v>1</v>
      </c>
      <c r="B23489" s="3" t="str">
        <f>HYPERLINK("https://otsuka-europe-crm.veevavault.com/ui/#object/approved_document__v/V5OZ025E82UKR5U", "SEP 2025: invitación simposio Alianza")</f>
        <v>SEP 2025: invitación simposio Alianza</v>
      </c>
      <c r="C23489" s="3" t="str">
        <f>HYPERLINK("https://otsuka-europe-crm.veevavault.com/ui/#object/sent_email__v/VBL000000005419", "SE-001380302")</f>
        <v>SE-001380302</v>
      </c>
      <c r="D23489" s="1" t="s">
        <v>0</v>
      </c>
      <c r="E23489" s="2">
        <v>0</v>
      </c>
      <c r="F23489" s="2">
        <v>0</v>
      </c>
      <c r="G23489" s="2">
        <v>0</v>
      </c>
      <c r="H23489" s="1" t="s">
        <v>0</v>
      </c>
      <c r="I23489" s="2">
        <v>0</v>
      </c>
      <c r="J23489" s="1">
        <v>45964.41715277778</v>
      </c>
    </row>
    <row r="23490" spans="1:10" x14ac:dyDescent="0.2">
      <c r="A23490" s="4" t="s">
        <v>1</v>
      </c>
      <c r="B23490" s="3" t="str">
        <f>HYPERLINK("https://otsuka-europe-crm.veevavault.com/ui/#object/approved_document__v/V5OZ025E82UKR5U", "SEP 2025: invitación simposio Alianza")</f>
        <v>SEP 2025: invitación simposio Alianza</v>
      </c>
      <c r="C23490" s="3" t="str">
        <f>HYPERLINK("https://otsuka-europe-crm.veevavault.com/ui/#object/sent_email__v/VBL000000005420", "SE-001380303")</f>
        <v>SE-001380303</v>
      </c>
      <c r="D23490" s="1">
        <v>45970.019525462965</v>
      </c>
      <c r="E23490" s="2">
        <v>1</v>
      </c>
      <c r="F23490" s="2">
        <v>1</v>
      </c>
      <c r="G23490" s="2">
        <v>0</v>
      </c>
      <c r="H23490" s="1" t="s">
        <v>0</v>
      </c>
      <c r="I23490" s="2">
        <v>0</v>
      </c>
      <c r="J23490" s="1">
        <v>45964.417199074072</v>
      </c>
    </row>
    <row r="23491" spans="1:10" x14ac:dyDescent="0.2">
      <c r="A23491" s="4" t="s">
        <v>1</v>
      </c>
      <c r="B23491" s="3" t="str">
        <f>HYPERLINK("https://otsuka-europe-crm.veevavault.com/ui/#object/approved_document__v/V5OZ025E82UKR5U", "SEP 2025: invitación simposio Alianza")</f>
        <v>SEP 2025: invitación simposio Alianza</v>
      </c>
      <c r="C23491" s="3" t="str">
        <f>HYPERLINK("https://otsuka-europe-crm.veevavault.com/ui/#object/sent_email__v/VBL000000005421", "SE-001380304")</f>
        <v>SE-001380304</v>
      </c>
      <c r="D23491" s="1">
        <v>45965.637708333335</v>
      </c>
      <c r="E23491" s="2">
        <v>1</v>
      </c>
      <c r="F23491" s="2">
        <v>1</v>
      </c>
      <c r="G23491" s="2">
        <v>0</v>
      </c>
      <c r="H23491" s="1" t="s">
        <v>0</v>
      </c>
      <c r="I23491" s="2">
        <v>0</v>
      </c>
      <c r="J23491" s="1">
        <v>45964.417233796295</v>
      </c>
    </row>
    <row r="23492" spans="1:10" x14ac:dyDescent="0.2">
      <c r="A23492" s="4" t="s">
        <v>1</v>
      </c>
      <c r="B23492" s="3" t="str">
        <f>HYPERLINK("https://otsuka-europe-crm.veevavault.com/ui/#object/approved_document__v/V5OZ025E82UKR5U", "SEP 2025: invitación simposio Alianza")</f>
        <v>SEP 2025: invitación simposio Alianza</v>
      </c>
      <c r="C23492" s="3" t="str">
        <f>HYPERLINK("https://otsuka-europe-crm.veevavault.com/ui/#object/sent_email__v/VBL000000005422", "SE-001380305")</f>
        <v>SE-001380305</v>
      </c>
      <c r="D23492" s="1" t="s">
        <v>0</v>
      </c>
      <c r="E23492" s="2">
        <v>0</v>
      </c>
      <c r="F23492" s="2">
        <v>0</v>
      </c>
      <c r="G23492" s="2">
        <v>0</v>
      </c>
      <c r="H23492" s="1" t="s">
        <v>0</v>
      </c>
      <c r="I23492" s="2">
        <v>0</v>
      </c>
      <c r="J23492" s="1">
        <v>45964.417280092595</v>
      </c>
    </row>
    <row r="23493" spans="1:10" x14ac:dyDescent="0.2">
      <c r="A23493" s="4" t="s">
        <v>1</v>
      </c>
      <c r="B23493" s="3" t="str">
        <f>HYPERLINK("https://otsuka-europe-crm.veevavault.com/ui/#object/approved_document__v/V5OZ025E82UKR5U", "SEP 2025: invitación simposio Alianza")</f>
        <v>SEP 2025: invitación simposio Alianza</v>
      </c>
      <c r="C23493" s="3" t="str">
        <f>HYPERLINK("https://otsuka-europe-crm.veevavault.com/ui/#object/sent_email__v/VBL000000005423", "SE-001380306")</f>
        <v>SE-001380306</v>
      </c>
      <c r="D23493" s="1" t="s">
        <v>0</v>
      </c>
      <c r="E23493" s="2">
        <v>0</v>
      </c>
      <c r="F23493" s="2">
        <v>0</v>
      </c>
      <c r="G23493" s="2">
        <v>0</v>
      </c>
      <c r="H23493" s="1" t="s">
        <v>0</v>
      </c>
      <c r="I23493" s="2">
        <v>0</v>
      </c>
      <c r="J23493" s="1">
        <v>45964.417314814818</v>
      </c>
    </row>
    <row r="23494" spans="1:10" x14ac:dyDescent="0.2">
      <c r="A23494" s="4" t="s">
        <v>1</v>
      </c>
      <c r="B23494" s="3" t="str">
        <f>HYPERLINK("https://otsuka-europe-crm.veevavault.com/ui/#object/approved_document__v/V5OZ025E82UKR5U", "SEP 2025: invitación simposio Alianza")</f>
        <v>SEP 2025: invitación simposio Alianza</v>
      </c>
      <c r="C23494" s="3" t="str">
        <f>HYPERLINK("https://otsuka-europe-crm.veevavault.com/ui/#object/sent_email__v/VBL000000005424", "SE-001380307")</f>
        <v>SE-001380307</v>
      </c>
      <c r="D23494" s="1" t="s">
        <v>0</v>
      </c>
      <c r="E23494" s="2">
        <v>0</v>
      </c>
      <c r="F23494" s="2">
        <v>0</v>
      </c>
      <c r="G23494" s="2">
        <v>0</v>
      </c>
      <c r="H23494" s="1" t="s">
        <v>0</v>
      </c>
      <c r="I23494" s="2">
        <v>0</v>
      </c>
      <c r="J23494" s="1">
        <v>45964.417361111111</v>
      </c>
    </row>
    <row r="23495" spans="1:10" x14ac:dyDescent="0.2">
      <c r="A23495" s="4" t="s">
        <v>1</v>
      </c>
      <c r="B23495" s="3" t="str">
        <f>HYPERLINK("https://otsuka-europe-crm.veevavault.com/ui/#object/approved_document__v/V5OZ025E82UKR5U", "SEP 2025: invitación simposio Alianza")</f>
        <v>SEP 2025: invitación simposio Alianza</v>
      </c>
      <c r="C23495" s="3" t="str">
        <f>HYPERLINK("https://otsuka-europe-crm.veevavault.com/ui/#object/sent_email__v/VBL000000005425", "SE-001380308")</f>
        <v>SE-001380308</v>
      </c>
      <c r="D23495" s="1" t="s">
        <v>0</v>
      </c>
      <c r="E23495" s="2">
        <v>0</v>
      </c>
      <c r="F23495" s="2">
        <v>0</v>
      </c>
      <c r="G23495" s="2">
        <v>0</v>
      </c>
      <c r="H23495" s="1" t="s">
        <v>0</v>
      </c>
      <c r="I23495" s="2">
        <v>0</v>
      </c>
      <c r="J23495" s="1">
        <v>45964.417407407411</v>
      </c>
    </row>
    <row r="23496" spans="1:10" x14ac:dyDescent="0.2">
      <c r="A23496" s="4" t="s">
        <v>1</v>
      </c>
      <c r="B23496" s="3" t="str">
        <f>HYPERLINK("https://otsuka-europe-crm.veevavault.com/ui/#object/approved_document__v/V5OZ025E82UKR5U", "SEP 2025: invitación simposio Alianza")</f>
        <v>SEP 2025: invitación simposio Alianza</v>
      </c>
      <c r="C23496" s="3" t="str">
        <f>HYPERLINK("https://otsuka-europe-crm.veevavault.com/ui/#object/sent_email__v/VBL000000005426", "SE-001380309")</f>
        <v>SE-001380309</v>
      </c>
      <c r="D23496" s="1">
        <v>45964.574421296296</v>
      </c>
      <c r="E23496" s="2">
        <v>1</v>
      </c>
      <c r="F23496" s="2">
        <v>1</v>
      </c>
      <c r="G23496" s="2">
        <v>0</v>
      </c>
      <c r="H23496" s="1" t="s">
        <v>0</v>
      </c>
      <c r="I23496" s="2">
        <v>0</v>
      </c>
      <c r="J23496" s="1">
        <v>45964.417453703703</v>
      </c>
    </row>
    <row r="23497" spans="1:10" x14ac:dyDescent="0.2">
      <c r="A23497" s="4" t="s">
        <v>1</v>
      </c>
      <c r="B23497" s="3" t="str">
        <f>HYPERLINK("https://otsuka-europe-crm.veevavault.com/ui/#object/approved_document__v/V5OZ025E82UKR5U", "SEP 2025: invitación simposio Alianza")</f>
        <v>SEP 2025: invitación simposio Alianza</v>
      </c>
      <c r="C23497" s="3" t="str">
        <f>HYPERLINK("https://otsuka-europe-crm.veevavault.com/ui/#object/sent_email__v/VBL000000005427", "SE-001380310")</f>
        <v>SE-001380310</v>
      </c>
      <c r="D23497" s="1">
        <v>45966.238402777781</v>
      </c>
      <c r="E23497" s="2">
        <v>1</v>
      </c>
      <c r="F23497" s="2">
        <v>1</v>
      </c>
      <c r="G23497" s="2">
        <v>0</v>
      </c>
      <c r="H23497" s="1" t="s">
        <v>0</v>
      </c>
      <c r="I23497" s="2">
        <v>0</v>
      </c>
      <c r="J23497" s="1">
        <v>45964.417500000003</v>
      </c>
    </row>
    <row r="23498" spans="1:10" x14ac:dyDescent="0.2">
      <c r="A23498" s="4" t="s">
        <v>1</v>
      </c>
      <c r="B23498" s="3" t="str">
        <f>HYPERLINK("https://otsuka-europe-crm.veevavault.com/ui/#object/approved_document__v/V5OZ025E82UKR5U", "SEP 2025: invitación simposio Alianza")</f>
        <v>SEP 2025: invitación simposio Alianza</v>
      </c>
      <c r="C23498" s="3" t="str">
        <f>HYPERLINK("https://otsuka-europe-crm.veevavault.com/ui/#object/sent_email__v/VBL000000005428", "SE-001380311")</f>
        <v>SE-001380311</v>
      </c>
      <c r="D23498" s="1">
        <v>45964.970034722224</v>
      </c>
      <c r="E23498" s="2">
        <v>1</v>
      </c>
      <c r="F23498" s="2">
        <v>1</v>
      </c>
      <c r="G23498" s="2">
        <v>0</v>
      </c>
      <c r="H23498" s="1" t="s">
        <v>0</v>
      </c>
      <c r="I23498" s="2">
        <v>0</v>
      </c>
      <c r="J23498" s="1">
        <v>45964.417534722219</v>
      </c>
    </row>
    <row r="23499" spans="1:10" x14ac:dyDescent="0.2">
      <c r="A23499" s="4" t="s">
        <v>1</v>
      </c>
      <c r="B23499" s="3" t="str">
        <f>HYPERLINK("https://otsuka-europe-crm.veevavault.com/ui/#object/approved_document__v/V5OZ025E82UKR5U", "SEP 2025: invitación simposio Alianza")</f>
        <v>SEP 2025: invitación simposio Alianza</v>
      </c>
      <c r="C23499" s="3" t="str">
        <f>HYPERLINK("https://otsuka-europe-crm.veevavault.com/ui/#object/sent_email__v/VBL000000005429", "SE-001380312")</f>
        <v>SE-001380312</v>
      </c>
      <c r="D23499" s="1">
        <v>45965.570833333331</v>
      </c>
      <c r="E23499" s="2">
        <v>1</v>
      </c>
      <c r="F23499" s="2">
        <v>1</v>
      </c>
      <c r="G23499" s="2">
        <v>0</v>
      </c>
      <c r="H23499" s="1" t="s">
        <v>0</v>
      </c>
      <c r="I23499" s="2">
        <v>0</v>
      </c>
      <c r="J23499" s="1">
        <v>45964.417581018519</v>
      </c>
    </row>
    <row r="23500" spans="1:10" x14ac:dyDescent="0.2">
      <c r="A23500" s="4" t="s">
        <v>1</v>
      </c>
      <c r="B23500" s="3" t="str">
        <f>HYPERLINK("https://otsuka-europe-crm.veevavault.com/ui/#object/approved_document__v/V5OZ025E82UKR5U", "SEP 2025: invitación simposio Alianza")</f>
        <v>SEP 2025: invitación simposio Alianza</v>
      </c>
      <c r="C23500" s="3" t="str">
        <f>HYPERLINK("https://otsuka-europe-crm.veevavault.com/ui/#object/sent_email__v/VBL000000005430", "SE-001380313")</f>
        <v>SE-001380313</v>
      </c>
      <c r="D23500" s="1" t="s">
        <v>0</v>
      </c>
      <c r="E23500" s="2">
        <v>0</v>
      </c>
      <c r="F23500" s="2">
        <v>0</v>
      </c>
      <c r="G23500" s="2">
        <v>0</v>
      </c>
      <c r="H23500" s="1" t="s">
        <v>0</v>
      </c>
      <c r="I23500" s="2">
        <v>0</v>
      </c>
      <c r="J23500" s="1">
        <v>45964.417615740742</v>
      </c>
    </row>
    <row r="23501" spans="1:10" x14ac:dyDescent="0.2">
      <c r="A23501" s="4" t="s">
        <v>1</v>
      </c>
      <c r="B23501" s="3" t="str">
        <f>HYPERLINK("https://otsuka-europe-crm.veevavault.com/ui/#object/approved_document__v/V5OZ025E82UKR5U", "SEP 2025: invitación simposio Alianza")</f>
        <v>SEP 2025: invitación simposio Alianza</v>
      </c>
      <c r="C23501" s="3" t="str">
        <f>HYPERLINK("https://otsuka-europe-crm.veevavault.com/ui/#object/sent_email__v/VBL000000005431", "SE-001380314")</f>
        <v>SE-001380314</v>
      </c>
      <c r="D23501" s="1">
        <v>45986.796516203707</v>
      </c>
      <c r="E23501" s="2">
        <v>1</v>
      </c>
      <c r="F23501" s="2">
        <v>2</v>
      </c>
      <c r="G23501" s="2">
        <v>0</v>
      </c>
      <c r="H23501" s="1" t="s">
        <v>0</v>
      </c>
      <c r="I23501" s="2">
        <v>0</v>
      </c>
      <c r="J23501" s="1">
        <v>45964.417662037034</v>
      </c>
    </row>
    <row r="23502" spans="1:10" x14ac:dyDescent="0.2">
      <c r="A23502" s="4" t="s">
        <v>1</v>
      </c>
      <c r="B23502" s="3" t="str">
        <f>HYPERLINK("https://otsuka-europe-crm.veevavault.com/ui/#object/approved_document__v/V5OZ025E82UKR5U", "SEP 2025: invitación simposio Alianza")</f>
        <v>SEP 2025: invitación simposio Alianza</v>
      </c>
      <c r="C23502" s="3" t="str">
        <f>HYPERLINK("https://otsuka-europe-crm.veevavault.com/ui/#object/sent_email__v/VBL000000005432", "SE-001380315")</f>
        <v>SE-001380315</v>
      </c>
      <c r="D23502" s="1">
        <v>45964.539143518516</v>
      </c>
      <c r="E23502" s="2">
        <v>1</v>
      </c>
      <c r="F23502" s="2">
        <v>1</v>
      </c>
      <c r="G23502" s="2">
        <v>1</v>
      </c>
      <c r="H23502" s="1">
        <v>45964.539143518516</v>
      </c>
      <c r="I23502" s="2">
        <v>1</v>
      </c>
      <c r="J23502" s="1">
        <v>45964.417696759258</v>
      </c>
    </row>
    <row r="23503" spans="1:10" x14ac:dyDescent="0.2">
      <c r="A23503" s="4" t="s">
        <v>1</v>
      </c>
      <c r="B23503" s="3" t="str">
        <f>HYPERLINK("https://otsuka-europe-crm.veevavault.com/ui/#object/approved_document__v/V5OZ025E82UKR5U", "SEP 2025: invitación simposio Alianza")</f>
        <v>SEP 2025: invitación simposio Alianza</v>
      </c>
      <c r="C23503" s="3" t="str">
        <f>HYPERLINK("https://otsuka-europe-crm.veevavault.com/ui/#object/sent_email__v/VBL000000005433", "SE-001380316")</f>
        <v>SE-001380316</v>
      </c>
      <c r="D23503" s="1">
        <v>45964.488078703704</v>
      </c>
      <c r="E23503" s="2">
        <v>1</v>
      </c>
      <c r="F23503" s="2">
        <v>1</v>
      </c>
      <c r="G23503" s="2">
        <v>0</v>
      </c>
      <c r="H23503" s="1" t="s">
        <v>0</v>
      </c>
      <c r="I23503" s="2">
        <v>0</v>
      </c>
      <c r="J23503" s="1">
        <v>45964.417743055557</v>
      </c>
    </row>
    <row r="23504" spans="1:10" x14ac:dyDescent="0.2">
      <c r="A23504" s="4" t="s">
        <v>1</v>
      </c>
      <c r="B23504" s="3" t="str">
        <f>HYPERLINK("https://otsuka-europe-crm.veevavault.com/ui/#object/approved_document__v/V5OZ025E82UKR5U", "SEP 2025: invitación simposio Alianza")</f>
        <v>SEP 2025: invitación simposio Alianza</v>
      </c>
      <c r="C23504" s="3" t="str">
        <f>HYPERLINK("https://otsuka-europe-crm.veevavault.com/ui/#object/sent_email__v/VBL000000005434", "SE-001380317")</f>
        <v>SE-001380317</v>
      </c>
      <c r="D23504" s="1" t="s">
        <v>0</v>
      </c>
      <c r="E23504" s="2">
        <v>0</v>
      </c>
      <c r="F23504" s="2">
        <v>0</v>
      </c>
      <c r="G23504" s="2">
        <v>0</v>
      </c>
      <c r="H23504" s="1" t="s">
        <v>0</v>
      </c>
      <c r="I23504" s="2">
        <v>0</v>
      </c>
      <c r="J23504" s="1">
        <v>45964.417800925927</v>
      </c>
    </row>
    <row r="23505" spans="1:10" x14ac:dyDescent="0.2">
      <c r="A23505" s="4" t="s">
        <v>1</v>
      </c>
      <c r="B23505" s="3" t="str">
        <f>HYPERLINK("https://otsuka-europe-crm.veevavault.com/ui/#object/approved_document__v/V5OZ025E82UKR5U", "SEP 2025: invitación simposio Alianza")</f>
        <v>SEP 2025: invitación simposio Alianza</v>
      </c>
      <c r="C23505" s="3" t="str">
        <f>HYPERLINK("https://otsuka-europe-crm.veevavault.com/ui/#object/sent_email__v/VBL000000005435", "SE-001380318")</f>
        <v>SE-001380318</v>
      </c>
      <c r="D23505" s="1">
        <v>45964.483229166668</v>
      </c>
      <c r="E23505" s="2">
        <v>1</v>
      </c>
      <c r="F23505" s="2">
        <v>2</v>
      </c>
      <c r="G23505" s="2">
        <v>0</v>
      </c>
      <c r="H23505" s="1" t="s">
        <v>0</v>
      </c>
      <c r="I23505" s="2">
        <v>0</v>
      </c>
      <c r="J23505" s="1">
        <v>45964.417824074073</v>
      </c>
    </row>
    <row r="23506" spans="1:10" x14ac:dyDescent="0.2">
      <c r="A23506" s="4" t="s">
        <v>1</v>
      </c>
      <c r="B23506" s="3" t="str">
        <f>HYPERLINK("https://otsuka-europe-crm.veevavault.com/ui/#object/approved_document__v/V5OZ025E82UKR5U", "SEP 2025: invitación simposio Alianza")</f>
        <v>SEP 2025: invitación simposio Alianza</v>
      </c>
      <c r="C23506" s="3" t="str">
        <f>HYPERLINK("https://otsuka-europe-crm.veevavault.com/ui/#object/sent_email__v/VBL000000005436", "SE-001380319")</f>
        <v>SE-001380319</v>
      </c>
      <c r="D23506" s="1" t="s">
        <v>0</v>
      </c>
      <c r="E23506" s="2">
        <v>0</v>
      </c>
      <c r="F23506" s="2">
        <v>0</v>
      </c>
      <c r="G23506" s="2">
        <v>0</v>
      </c>
      <c r="H23506" s="1" t="s">
        <v>0</v>
      </c>
      <c r="I23506" s="2">
        <v>0</v>
      </c>
      <c r="J23506" s="1">
        <v>45964.417870370373</v>
      </c>
    </row>
    <row r="23507" spans="1:10" x14ac:dyDescent="0.2">
      <c r="A23507" s="4" t="s">
        <v>1</v>
      </c>
      <c r="B23507" s="3" t="str">
        <f>HYPERLINK("https://otsuka-europe-crm.veevavault.com/ui/#object/approved_document__v/V5OZ025E82UKR5U", "SEP 2025: invitación simposio Alianza")</f>
        <v>SEP 2025: invitación simposio Alianza</v>
      </c>
      <c r="C23507" s="3" t="str">
        <f>HYPERLINK("https://otsuka-europe-crm.veevavault.com/ui/#object/sent_email__v/VBL000000005437", "SE-001380320")</f>
        <v>SE-001380320</v>
      </c>
      <c r="D23507" s="1">
        <v>45964.961747685185</v>
      </c>
      <c r="E23507" s="2">
        <v>1</v>
      </c>
      <c r="F23507" s="2">
        <v>1</v>
      </c>
      <c r="G23507" s="2">
        <v>0</v>
      </c>
      <c r="H23507" s="1" t="s">
        <v>0</v>
      </c>
      <c r="I23507" s="2">
        <v>0</v>
      </c>
      <c r="J23507" s="1">
        <v>45964.417916666665</v>
      </c>
    </row>
    <row r="23508" spans="1:10" x14ac:dyDescent="0.2">
      <c r="A23508" s="4" t="s">
        <v>1</v>
      </c>
      <c r="B23508" s="3" t="str">
        <f>HYPERLINK("https://otsuka-europe-crm.veevavault.com/ui/#object/approved_document__v/V5OZ025E82UKR5U", "SEP 2025: invitación simposio Alianza")</f>
        <v>SEP 2025: invitación simposio Alianza</v>
      </c>
      <c r="C23508" s="3" t="str">
        <f>HYPERLINK("https://otsuka-europe-crm.veevavault.com/ui/#object/sent_email__v/VBL000000005438", "SE-001380321")</f>
        <v>SE-001380321</v>
      </c>
      <c r="D23508" s="1">
        <v>45968.006493055553</v>
      </c>
      <c r="E23508" s="2">
        <v>1</v>
      </c>
      <c r="F23508" s="2">
        <v>1</v>
      </c>
      <c r="G23508" s="2">
        <v>0</v>
      </c>
      <c r="H23508" s="1" t="s">
        <v>0</v>
      </c>
      <c r="I23508" s="2">
        <v>0</v>
      </c>
      <c r="J23508" s="1">
        <v>45964.417951388888</v>
      </c>
    </row>
    <row r="23509" spans="1:10" x14ac:dyDescent="0.2">
      <c r="A23509" s="4" t="s">
        <v>1</v>
      </c>
      <c r="B23509" s="3" t="str">
        <f>HYPERLINK("https://otsuka-europe-crm.veevavault.com/ui/#object/approved_document__v/V5OZ025E82UKR5U", "SEP 2025: invitación simposio Alianza")</f>
        <v>SEP 2025: invitación simposio Alianza</v>
      </c>
      <c r="C23509" s="3" t="str">
        <f>HYPERLINK("https://otsuka-europe-crm.veevavault.com/ui/#object/sent_email__v/VBL000000005439", "SE-001380322")</f>
        <v>SE-001380322</v>
      </c>
      <c r="D23509" s="1">
        <v>45964.468414351853</v>
      </c>
      <c r="E23509" s="2">
        <v>1</v>
      </c>
      <c r="F23509" s="2">
        <v>1</v>
      </c>
      <c r="G23509" s="2">
        <v>0</v>
      </c>
      <c r="H23509" s="1" t="s">
        <v>0</v>
      </c>
      <c r="I23509" s="2">
        <v>0</v>
      </c>
      <c r="J23509" s="1">
        <v>45964.417997685188</v>
      </c>
    </row>
    <row r="23510" spans="1:10" x14ac:dyDescent="0.2">
      <c r="A23510" s="4" t="s">
        <v>1</v>
      </c>
      <c r="B23510" s="3" t="str">
        <f>HYPERLINK("https://otsuka-europe-crm.veevavault.com/ui/#object/approved_document__v/V5OZ025E82UKR5U", "SEP 2025: invitación simposio Alianza")</f>
        <v>SEP 2025: invitación simposio Alianza</v>
      </c>
      <c r="C23510" s="3" t="str">
        <f>HYPERLINK("https://otsuka-europe-crm.veevavault.com/ui/#object/sent_email__v/VBL000000005440", "SE-001380323")</f>
        <v>SE-001380323</v>
      </c>
      <c r="D23510" s="1" t="s">
        <v>0</v>
      </c>
      <c r="E23510" s="2">
        <v>0</v>
      </c>
      <c r="F23510" s="2">
        <v>0</v>
      </c>
      <c r="G23510" s="2">
        <v>0</v>
      </c>
      <c r="H23510" s="1" t="s">
        <v>0</v>
      </c>
      <c r="I23510" s="2">
        <v>0</v>
      </c>
      <c r="J23510" s="1">
        <v>45964.418032407404</v>
      </c>
    </row>
    <row r="23511" spans="1:10" x14ac:dyDescent="0.2">
      <c r="A23511" s="4" t="s">
        <v>1</v>
      </c>
      <c r="B23511" s="3" t="str">
        <f>HYPERLINK("https://otsuka-europe-crm.veevavault.com/ui/#object/approved_document__v/V5OZ025E82UKR5U", "SEP 2025: invitación simposio Alianza")</f>
        <v>SEP 2025: invitación simposio Alianza</v>
      </c>
      <c r="C23511" s="3" t="str">
        <f>HYPERLINK("https://otsuka-europe-crm.veevavault.com/ui/#object/sent_email__v/VBL000000005441", "SE-001380324")</f>
        <v>SE-001380324</v>
      </c>
      <c r="D23511" s="1">
        <v>45967.021898148145</v>
      </c>
      <c r="E23511" s="2">
        <v>1</v>
      </c>
      <c r="F23511" s="2">
        <v>1</v>
      </c>
      <c r="G23511" s="2">
        <v>0</v>
      </c>
      <c r="H23511" s="1" t="s">
        <v>0</v>
      </c>
      <c r="I23511" s="2">
        <v>0</v>
      </c>
      <c r="J23511" s="1">
        <v>45964.418078703704</v>
      </c>
    </row>
    <row r="23512" spans="1:10" x14ac:dyDescent="0.2">
      <c r="A23512" s="4" t="s">
        <v>1</v>
      </c>
      <c r="B23512" s="3" t="str">
        <f>HYPERLINK("https://otsuka-europe-crm.veevavault.com/ui/#object/approved_document__v/V5OZ025E82UKR5U", "SEP 2025: invitación simposio Alianza")</f>
        <v>SEP 2025: invitación simposio Alianza</v>
      </c>
      <c r="C23512" s="3" t="str">
        <f>HYPERLINK("https://otsuka-europe-crm.veevavault.com/ui/#object/sent_email__v/VBL000000005442", "SE-001380325")</f>
        <v>SE-001380325</v>
      </c>
      <c r="D23512" s="1" t="s">
        <v>0</v>
      </c>
      <c r="E23512" s="2">
        <v>0</v>
      </c>
      <c r="F23512" s="2">
        <v>0</v>
      </c>
      <c r="G23512" s="2">
        <v>0</v>
      </c>
      <c r="H23512" s="1" t="s">
        <v>0</v>
      </c>
      <c r="I23512" s="2">
        <v>0</v>
      </c>
      <c r="J23512" s="1">
        <v>45964.418113425927</v>
      </c>
    </row>
    <row r="23513" spans="1:10" x14ac:dyDescent="0.2">
      <c r="A23513" s="4" t="s">
        <v>1</v>
      </c>
      <c r="B23513" s="3" t="str">
        <f>HYPERLINK("https://otsuka-europe-crm.veevavault.com/ui/#object/approved_document__v/V5OZ025E82UKR5U", "SEP 2025: invitación simposio Alianza")</f>
        <v>SEP 2025: invitación simposio Alianza</v>
      </c>
      <c r="C23513" s="3" t="str">
        <f>HYPERLINK("https://otsuka-europe-crm.veevavault.com/ui/#object/sent_email__v/VBL000000005443", "SE-001380326")</f>
        <v>SE-001380326</v>
      </c>
      <c r="D23513" s="1" t="s">
        <v>0</v>
      </c>
      <c r="E23513" s="2">
        <v>0</v>
      </c>
      <c r="F23513" s="2">
        <v>0</v>
      </c>
      <c r="G23513" s="2">
        <v>0</v>
      </c>
      <c r="H23513" s="1" t="s">
        <v>0</v>
      </c>
      <c r="I23513" s="2">
        <v>0</v>
      </c>
      <c r="J23513" s="1">
        <v>45964.41815972222</v>
      </c>
    </row>
    <row r="23514" spans="1:10" x14ac:dyDescent="0.2">
      <c r="A23514" s="4" t="s">
        <v>1</v>
      </c>
      <c r="B23514" s="3" t="str">
        <f>HYPERLINK("https://otsuka-europe-crm.veevavault.com/ui/#object/approved_document__v/V5OZ025E82UKR5U", "SEP 2025: invitación simposio Alianza")</f>
        <v>SEP 2025: invitación simposio Alianza</v>
      </c>
      <c r="C23514" s="3" t="str">
        <f>HYPERLINK("https://otsuka-europe-crm.veevavault.com/ui/#object/sent_email__v/VBL000000005444", "SE-001380327")</f>
        <v>SE-001380327</v>
      </c>
      <c r="D23514" s="1">
        <v>45965.405624999999</v>
      </c>
      <c r="E23514" s="2">
        <v>1</v>
      </c>
      <c r="F23514" s="2">
        <v>1</v>
      </c>
      <c r="G23514" s="2">
        <v>0</v>
      </c>
      <c r="H23514" s="1" t="s">
        <v>0</v>
      </c>
      <c r="I23514" s="2">
        <v>0</v>
      </c>
      <c r="J23514" s="1">
        <v>45964.418206018519</v>
      </c>
    </row>
    <row r="23515" spans="1:10" x14ac:dyDescent="0.2">
      <c r="A23515" s="4" t="s">
        <v>1</v>
      </c>
      <c r="B23515" s="3" t="str">
        <f>HYPERLINK("https://otsuka-europe-crm.veevavault.com/ui/#object/approved_document__v/V5OZ025E82UKR5U", "SEP 2025: invitación simposio Alianza")</f>
        <v>SEP 2025: invitación simposio Alianza</v>
      </c>
      <c r="C23515" s="3" t="str">
        <f>HYPERLINK("https://otsuka-europe-crm.veevavault.com/ui/#object/sent_email__v/VBL000000005445", "SE-001380328")</f>
        <v>SE-001380328</v>
      </c>
      <c r="D23515" s="1" t="s">
        <v>0</v>
      </c>
      <c r="E23515" s="2">
        <v>0</v>
      </c>
      <c r="F23515" s="2">
        <v>0</v>
      </c>
      <c r="G23515" s="2">
        <v>0</v>
      </c>
      <c r="H23515" s="1" t="s">
        <v>0</v>
      </c>
      <c r="I23515" s="2">
        <v>0</v>
      </c>
      <c r="J23515" s="1">
        <v>45964.418240740742</v>
      </c>
    </row>
    <row r="23516" spans="1:10" x14ac:dyDescent="0.2">
      <c r="A23516" s="4" t="s">
        <v>1</v>
      </c>
      <c r="B23516" s="3" t="str">
        <f>HYPERLINK("https://otsuka-europe-crm.veevavault.com/ui/#object/approved_document__v/V5OZ025E82UKR5U", "SEP 2025: invitación simposio Alianza")</f>
        <v>SEP 2025: invitación simposio Alianza</v>
      </c>
      <c r="C23516" s="3" t="str">
        <f>HYPERLINK("https://otsuka-europe-crm.veevavault.com/ui/#object/sent_email__v/VBL000000005446", "SE-001380329")</f>
        <v>SE-001380329</v>
      </c>
      <c r="D23516" s="1">
        <v>45964.466238425928</v>
      </c>
      <c r="E23516" s="2">
        <v>1</v>
      </c>
      <c r="F23516" s="2">
        <v>1</v>
      </c>
      <c r="G23516" s="2">
        <v>0</v>
      </c>
      <c r="H23516" s="1" t="s">
        <v>0</v>
      </c>
      <c r="I23516" s="2">
        <v>0</v>
      </c>
      <c r="J23516" s="1">
        <v>45964.418275462966</v>
      </c>
    </row>
    <row r="23517" spans="1:10" x14ac:dyDescent="0.2">
      <c r="A23517" s="4" t="s">
        <v>1</v>
      </c>
      <c r="B23517" s="3" t="str">
        <f>HYPERLINK("https://otsuka-europe-crm.veevavault.com/ui/#object/approved_document__v/V5OZ025E82UKR5U", "SEP 2025: invitación simposio Alianza")</f>
        <v>SEP 2025: invitación simposio Alianza</v>
      </c>
      <c r="C23517" s="3" t="str">
        <f>HYPERLINK("https://otsuka-europe-crm.veevavault.com/ui/#object/sent_email__v/VBL000000005447", "SE-001380330")</f>
        <v>SE-001380330</v>
      </c>
      <c r="D23517" s="1">
        <v>45964.418576388889</v>
      </c>
      <c r="E23517" s="2">
        <v>1</v>
      </c>
      <c r="F23517" s="2">
        <v>2</v>
      </c>
      <c r="G23517" s="2">
        <v>0</v>
      </c>
      <c r="H23517" s="1" t="s">
        <v>0</v>
      </c>
      <c r="I23517" s="2">
        <v>0</v>
      </c>
      <c r="J23517" s="1">
        <v>45964.418321759258</v>
      </c>
    </row>
    <row r="23518" spans="1:10" x14ac:dyDescent="0.2">
      <c r="A23518" s="4" t="s">
        <v>1</v>
      </c>
      <c r="B23518" s="3" t="str">
        <f>HYPERLINK("https://otsuka-europe-crm.veevavault.com/ui/#object/approved_document__v/V5OZ025E82UKR5U", "SEP 2025: invitación simposio Alianza")</f>
        <v>SEP 2025: invitación simposio Alianza</v>
      </c>
      <c r="C23518" s="3" t="str">
        <f>HYPERLINK("https://otsuka-europe-crm.veevavault.com/ui/#object/sent_email__v/VBL000000005448", "SE-001380331")</f>
        <v>SE-001380331</v>
      </c>
      <c r="D23518" s="1" t="s">
        <v>0</v>
      </c>
      <c r="E23518" s="2">
        <v>0</v>
      </c>
      <c r="F23518" s="2">
        <v>0</v>
      </c>
      <c r="G23518" s="2">
        <v>0</v>
      </c>
      <c r="H23518" s="1" t="s">
        <v>0</v>
      </c>
      <c r="I23518" s="2">
        <v>0</v>
      </c>
      <c r="J23518" s="1">
        <v>45964.418356481481</v>
      </c>
    </row>
    <row r="23519" spans="1:10" x14ac:dyDescent="0.2">
      <c r="A23519" s="4" t="s">
        <v>1</v>
      </c>
      <c r="B23519" s="3" t="str">
        <f>HYPERLINK("https://otsuka-europe-crm.veevavault.com/ui/#object/approved_document__v/V5OZ025E82UKR5U", "SEP 2025: invitación simposio Alianza")</f>
        <v>SEP 2025: invitación simposio Alianza</v>
      </c>
      <c r="C23519" s="3" t="str">
        <f>HYPERLINK("https://otsuka-europe-crm.veevavault.com/ui/#object/sent_email__v/VBL000000005449", "SE-001380332")</f>
        <v>SE-001380332</v>
      </c>
      <c r="D23519" s="1" t="s">
        <v>0</v>
      </c>
      <c r="E23519" s="2">
        <v>0</v>
      </c>
      <c r="F23519" s="2">
        <v>0</v>
      </c>
      <c r="G23519" s="2">
        <v>0</v>
      </c>
      <c r="H23519" s="1" t="s">
        <v>0</v>
      </c>
      <c r="I23519" s="2">
        <v>0</v>
      </c>
      <c r="J23519" s="1">
        <v>45964.418391203704</v>
      </c>
    </row>
    <row r="23520" spans="1:10" x14ac:dyDescent="0.2">
      <c r="A23520" s="4" t="s">
        <v>1</v>
      </c>
      <c r="B23520" s="3" t="str">
        <f>HYPERLINK("https://otsuka-europe-crm.veevavault.com/ui/#object/approved_document__v/V5OZ025E82UKR5U", "SEP 2025: invitación simposio Alianza")</f>
        <v>SEP 2025: invitación simposio Alianza</v>
      </c>
      <c r="C23520" s="3" t="str">
        <f>HYPERLINK("https://otsuka-europe-crm.veevavault.com/ui/#object/sent_email__v/VBL000000005450", "SE-001380333")</f>
        <v>SE-001380333</v>
      </c>
      <c r="D23520" s="1">
        <v>45964.501516203702</v>
      </c>
      <c r="E23520" s="2">
        <v>1</v>
      </c>
      <c r="F23520" s="2">
        <v>1</v>
      </c>
      <c r="G23520" s="2">
        <v>0</v>
      </c>
      <c r="H23520" s="1" t="s">
        <v>0</v>
      </c>
      <c r="I23520" s="2">
        <v>0</v>
      </c>
      <c r="J23520" s="1">
        <v>45964.418437499997</v>
      </c>
    </row>
    <row r="23521" spans="1:10" x14ac:dyDescent="0.2">
      <c r="A23521" s="4" t="s">
        <v>1</v>
      </c>
      <c r="B23521" s="3" t="str">
        <f>HYPERLINK("https://otsuka-europe-crm.veevavault.com/ui/#object/approved_document__v/V5OZ025E82UKR5U", "SEP 2025: invitación simposio Alianza")</f>
        <v>SEP 2025: invitación simposio Alianza</v>
      </c>
      <c r="C23521" s="3" t="str">
        <f>HYPERLINK("https://otsuka-europe-crm.veevavault.com/ui/#object/sent_email__v/VBL000000005451", "SE-001380334")</f>
        <v>SE-001380334</v>
      </c>
      <c r="D23521" s="1" t="s">
        <v>0</v>
      </c>
      <c r="E23521" s="2">
        <v>0</v>
      </c>
      <c r="F23521" s="2">
        <v>0</v>
      </c>
      <c r="G23521" s="2">
        <v>0</v>
      </c>
      <c r="H23521" s="1" t="s">
        <v>0</v>
      </c>
      <c r="I23521" s="2">
        <v>0</v>
      </c>
      <c r="J23521" s="1">
        <v>45964.41847222222</v>
      </c>
    </row>
    <row r="23522" spans="1:10" x14ac:dyDescent="0.2">
      <c r="A23522" s="4" t="s">
        <v>1</v>
      </c>
      <c r="B23522" s="3" t="str">
        <f>HYPERLINK("https://otsuka-europe-crm.veevavault.com/ui/#object/approved_document__v/V5OZ025E82UKR5U", "SEP 2025: invitación simposio Alianza")</f>
        <v>SEP 2025: invitación simposio Alianza</v>
      </c>
      <c r="C23522" s="3" t="str">
        <f>HYPERLINK("https://otsuka-europe-crm.veevavault.com/ui/#object/sent_email__v/VBL000000005452", "SE-001380335")</f>
        <v>SE-001380335</v>
      </c>
      <c r="D23522" s="1">
        <v>45967.867407407408</v>
      </c>
      <c r="E23522" s="2">
        <v>1</v>
      </c>
      <c r="F23522" s="2">
        <v>2</v>
      </c>
      <c r="G23522" s="2">
        <v>0</v>
      </c>
      <c r="H23522" s="1" t="s">
        <v>0</v>
      </c>
      <c r="I23522" s="2">
        <v>0</v>
      </c>
      <c r="J23522" s="1">
        <v>45964.418530092589</v>
      </c>
    </row>
    <row r="23523" spans="1:10" x14ac:dyDescent="0.2">
      <c r="A23523" s="4" t="s">
        <v>1</v>
      </c>
      <c r="B23523" s="3" t="str">
        <f>HYPERLINK("https://otsuka-europe-crm.veevavault.com/ui/#object/approved_document__v/V5OZ025E82UKR5U", "SEP 2025: invitación simposio Alianza")</f>
        <v>SEP 2025: invitación simposio Alianza</v>
      </c>
      <c r="C23523" s="3" t="str">
        <f>HYPERLINK("https://otsuka-europe-crm.veevavault.com/ui/#object/sent_email__v/VBL000000005453", "SE-001380336")</f>
        <v>SE-001380336</v>
      </c>
      <c r="D23523" s="1">
        <v>45964.462557870371</v>
      </c>
      <c r="E23523" s="2">
        <v>1</v>
      </c>
      <c r="F23523" s="2">
        <v>1</v>
      </c>
      <c r="G23523" s="2">
        <v>0</v>
      </c>
      <c r="H23523" s="1" t="s">
        <v>0</v>
      </c>
      <c r="I23523" s="2">
        <v>0</v>
      </c>
      <c r="J23523" s="1">
        <v>45964.418564814812</v>
      </c>
    </row>
    <row r="23524" spans="1:10" x14ac:dyDescent="0.2">
      <c r="A23524" s="4" t="s">
        <v>1</v>
      </c>
      <c r="B23524" s="3" t="str">
        <f>HYPERLINK("https://otsuka-europe-crm.veevavault.com/ui/#object/approved_document__v/V5OZ025E82UKR5U", "SEP 2025: invitación simposio Alianza")</f>
        <v>SEP 2025: invitación simposio Alianza</v>
      </c>
      <c r="C23524" s="3" t="str">
        <f>HYPERLINK("https://otsuka-europe-crm.veevavault.com/ui/#object/sent_email__v/VBL000000005454", "SE-001380337")</f>
        <v>SE-001380337</v>
      </c>
      <c r="D23524" s="1" t="s">
        <v>0</v>
      </c>
      <c r="E23524" s="2">
        <v>0</v>
      </c>
      <c r="F23524" s="2">
        <v>0</v>
      </c>
      <c r="G23524" s="2">
        <v>0</v>
      </c>
      <c r="H23524" s="1" t="s">
        <v>0</v>
      </c>
      <c r="I23524" s="2">
        <v>0</v>
      </c>
      <c r="J23524" s="1">
        <v>45964.418599537035</v>
      </c>
    </row>
    <row r="23525" spans="1:10" x14ac:dyDescent="0.2">
      <c r="A23525" s="4" t="s">
        <v>1</v>
      </c>
      <c r="B23525" s="3" t="str">
        <f>HYPERLINK("https://otsuka-europe-crm.veevavault.com/ui/#object/approved_document__v/V5OZ025E82UKR5U", "SEP 2025: invitación simposio Alianza")</f>
        <v>SEP 2025: invitación simposio Alianza</v>
      </c>
      <c r="C23525" s="3" t="str">
        <f>HYPERLINK("https://otsuka-europe-crm.veevavault.com/ui/#object/sent_email__v/VBL000000005455", "SE-001380338")</f>
        <v>SE-001380338</v>
      </c>
      <c r="D23525" s="1" t="s">
        <v>0</v>
      </c>
      <c r="E23525" s="2">
        <v>0</v>
      </c>
      <c r="F23525" s="2">
        <v>0</v>
      </c>
      <c r="G23525" s="2">
        <v>0</v>
      </c>
      <c r="H23525" s="1" t="s">
        <v>0</v>
      </c>
      <c r="I23525" s="2">
        <v>0</v>
      </c>
      <c r="J23525" s="1">
        <v>45964.418634259258</v>
      </c>
    </row>
    <row r="23526" spans="1:10" x14ac:dyDescent="0.2">
      <c r="A23526" s="4" t="s">
        <v>1</v>
      </c>
      <c r="B23526" s="3" t="str">
        <f>HYPERLINK("https://otsuka-europe-crm.veevavault.com/ui/#object/approved_document__v/V5OZ025E82UKR5U", "SEP 2025: invitación simposio Alianza")</f>
        <v>SEP 2025: invitación simposio Alianza</v>
      </c>
      <c r="C23526" s="3" t="str">
        <f>HYPERLINK("https://otsuka-europe-crm.veevavault.com/ui/#object/sent_email__v/VBL000000005456", "SE-001380339")</f>
        <v>SE-001380339</v>
      </c>
      <c r="D23526" s="1">
        <v>45967.818842592591</v>
      </c>
      <c r="E23526" s="2">
        <v>1</v>
      </c>
      <c r="F23526" s="2">
        <v>1</v>
      </c>
      <c r="G23526" s="2">
        <v>0</v>
      </c>
      <c r="H23526" s="1" t="s">
        <v>0</v>
      </c>
      <c r="I23526" s="2">
        <v>0</v>
      </c>
      <c r="J23526" s="1">
        <v>45964.418680555558</v>
      </c>
    </row>
    <row r="23527" spans="1:10" x14ac:dyDescent="0.2">
      <c r="A23527" s="4" t="s">
        <v>1</v>
      </c>
      <c r="B23527" s="3" t="str">
        <f>HYPERLINK("https://otsuka-europe-crm.veevavault.com/ui/#object/approved_document__v/V5OZ025E82UKR5U", "SEP 2025: invitación simposio Alianza")</f>
        <v>SEP 2025: invitación simposio Alianza</v>
      </c>
      <c r="C23527" s="3" t="str">
        <f>HYPERLINK("https://otsuka-europe-crm.veevavault.com/ui/#object/sent_email__v/VBL000000005457", "SE-001380340")</f>
        <v>SE-001380340</v>
      </c>
      <c r="D23527" s="1" t="s">
        <v>0</v>
      </c>
      <c r="E23527" s="2">
        <v>0</v>
      </c>
      <c r="F23527" s="2">
        <v>0</v>
      </c>
      <c r="G23527" s="2">
        <v>0</v>
      </c>
      <c r="H23527" s="1" t="s">
        <v>0</v>
      </c>
      <c r="I23527" s="2">
        <v>0</v>
      </c>
      <c r="J23527" s="1">
        <v>45964.418715277781</v>
      </c>
    </row>
    <row r="23528" spans="1:10" x14ac:dyDescent="0.2">
      <c r="A23528" s="4" t="s">
        <v>1</v>
      </c>
      <c r="B23528" s="3" t="str">
        <f>HYPERLINK("https://otsuka-europe-crm.veevavault.com/ui/#object/approved_document__v/V5OZ025E82UKR5U", "SEP 2025: invitación simposio Alianza")</f>
        <v>SEP 2025: invitación simposio Alianza</v>
      </c>
      <c r="C23528" s="3" t="str">
        <f>HYPERLINK("https://otsuka-europe-crm.veevavault.com/ui/#object/sent_email__v/VBL000000005458", "SE-001380341")</f>
        <v>SE-001380341</v>
      </c>
      <c r="D23528" s="1" t="s">
        <v>0</v>
      </c>
      <c r="E23528" s="2">
        <v>0</v>
      </c>
      <c r="F23528" s="2">
        <v>0</v>
      </c>
      <c r="G23528" s="2">
        <v>0</v>
      </c>
      <c r="H23528" s="1" t="s">
        <v>0</v>
      </c>
      <c r="I23528" s="2">
        <v>0</v>
      </c>
      <c r="J23528" s="1">
        <v>45964.418761574074</v>
      </c>
    </row>
    <row r="23529" spans="1:10" x14ac:dyDescent="0.2">
      <c r="A23529" s="4" t="s">
        <v>1</v>
      </c>
      <c r="B23529" s="3" t="str">
        <f>HYPERLINK("https://otsuka-europe-crm.veevavault.com/ui/#object/approved_document__v/V5OZ025E82UKR5U", "SEP 2025: invitación simposio Alianza")</f>
        <v>SEP 2025: invitación simposio Alianza</v>
      </c>
      <c r="C23529" s="3" t="str">
        <f>HYPERLINK("https://otsuka-europe-crm.veevavault.com/ui/#object/sent_email__v/VBL000000005459", "SE-001380342")</f>
        <v>SE-001380342</v>
      </c>
      <c r="D23529" s="1">
        <v>45964.690682870372</v>
      </c>
      <c r="E23529" s="2">
        <v>1</v>
      </c>
      <c r="F23529" s="2">
        <v>1</v>
      </c>
      <c r="G23529" s="2">
        <v>1</v>
      </c>
      <c r="H23529" s="1">
        <v>45964.690729166665</v>
      </c>
      <c r="I23529" s="2">
        <v>1</v>
      </c>
      <c r="J23529" s="1">
        <v>45964.418796296297</v>
      </c>
    </row>
    <row r="23530" spans="1:10" x14ac:dyDescent="0.2">
      <c r="A23530" s="4" t="s">
        <v>1</v>
      </c>
      <c r="B23530" s="3" t="str">
        <f>HYPERLINK("https://otsuka-europe-crm.veevavault.com/ui/#object/approved_document__v/V5OZ025E82UKR5U", "SEP 2025: invitación simposio Alianza")</f>
        <v>SEP 2025: invitación simposio Alianza</v>
      </c>
      <c r="C23530" s="3" t="str">
        <f>HYPERLINK("https://otsuka-europe-crm.veevavault.com/ui/#object/sent_email__v/VBL000000005460", "SE-001380343")</f>
        <v>SE-001380343</v>
      </c>
      <c r="D23530" s="1">
        <v>45965.642766203702</v>
      </c>
      <c r="E23530" s="2">
        <v>1</v>
      </c>
      <c r="F23530" s="2">
        <v>3</v>
      </c>
      <c r="G23530" s="2">
        <v>0</v>
      </c>
      <c r="H23530" s="1" t="s">
        <v>0</v>
      </c>
      <c r="I23530" s="2">
        <v>0</v>
      </c>
      <c r="J23530" s="1">
        <v>45964.41883101852</v>
      </c>
    </row>
    <row r="23531" spans="1:10" x14ac:dyDescent="0.2">
      <c r="A23531" s="4" t="s">
        <v>1</v>
      </c>
      <c r="B23531" s="3" t="str">
        <f>HYPERLINK("https://otsuka-europe-crm.veevavault.com/ui/#object/approved_document__v/V5OZ025E82UKR5U", "SEP 2025: invitación simposio Alianza")</f>
        <v>SEP 2025: invitación simposio Alianza</v>
      </c>
      <c r="C23531" s="3" t="str">
        <f>HYPERLINK("https://otsuka-europe-crm.veevavault.com/ui/#object/sent_email__v/VBL000000005461", "SE-001380344")</f>
        <v>SE-001380344</v>
      </c>
      <c r="D23531" s="1" t="s">
        <v>0</v>
      </c>
      <c r="E23531" s="2">
        <v>0</v>
      </c>
      <c r="F23531" s="2">
        <v>0</v>
      </c>
      <c r="G23531" s="2">
        <v>0</v>
      </c>
      <c r="H23531" s="1" t="s">
        <v>0</v>
      </c>
      <c r="I23531" s="2">
        <v>0</v>
      </c>
      <c r="J23531" s="1">
        <v>45964.418877314813</v>
      </c>
    </row>
    <row r="23532" spans="1:10" x14ac:dyDescent="0.2">
      <c r="A23532" s="4" t="s">
        <v>1</v>
      </c>
      <c r="B23532" s="3" t="str">
        <f>HYPERLINK("https://otsuka-europe-crm.veevavault.com/ui/#object/approved_document__v/V5OZ025E82UKR5U", "SEP 2025: invitación simposio Alianza")</f>
        <v>SEP 2025: invitación simposio Alianza</v>
      </c>
      <c r="C23532" s="3" t="str">
        <f>HYPERLINK("https://otsuka-europe-crm.veevavault.com/ui/#object/sent_email__v/VBL000000005462", "SE-001380345")</f>
        <v>SE-001380345</v>
      </c>
      <c r="D23532" s="1">
        <v>45969.662083333336</v>
      </c>
      <c r="E23532" s="2">
        <v>1</v>
      </c>
      <c r="F23532" s="2">
        <v>2</v>
      </c>
      <c r="G23532" s="2">
        <v>0</v>
      </c>
      <c r="H23532" s="1" t="s">
        <v>0</v>
      </c>
      <c r="I23532" s="2">
        <v>0</v>
      </c>
      <c r="J23532" s="1">
        <v>45964.418923611112</v>
      </c>
    </row>
    <row r="23533" spans="1:10" x14ac:dyDescent="0.2">
      <c r="A23533" s="4" t="s">
        <v>1</v>
      </c>
      <c r="B23533" s="3" t="str">
        <f>HYPERLINK("https://otsuka-europe-crm.veevavault.com/ui/#object/approved_document__v/V5OZ025E82UKR5U", "SEP 2025: invitación simposio Alianza")</f>
        <v>SEP 2025: invitación simposio Alianza</v>
      </c>
      <c r="C23533" s="3" t="str">
        <f>HYPERLINK("https://otsuka-europe-crm.veevavault.com/ui/#object/sent_email__v/VBL000000005463", "SE-001380346")</f>
        <v>SE-001380346</v>
      </c>
      <c r="D23533" s="1" t="s">
        <v>0</v>
      </c>
      <c r="E23533" s="2">
        <v>0</v>
      </c>
      <c r="F23533" s="2">
        <v>0</v>
      </c>
      <c r="G23533" s="2">
        <v>0</v>
      </c>
      <c r="H23533" s="1" t="s">
        <v>0</v>
      </c>
      <c r="I23533" s="2">
        <v>0</v>
      </c>
      <c r="J23533" s="1">
        <v>45964.418946759259</v>
      </c>
    </row>
    <row r="23534" spans="1:10" x14ac:dyDescent="0.2">
      <c r="A23534" s="4" t="s">
        <v>1</v>
      </c>
      <c r="B23534" s="3" t="str">
        <f>HYPERLINK("https://otsuka-europe-crm.veevavault.com/ui/#object/approved_document__v/V5OZ025E82UKR5U", "SEP 2025: invitación simposio Alianza")</f>
        <v>SEP 2025: invitación simposio Alianza</v>
      </c>
      <c r="C23534" s="3" t="str">
        <f>HYPERLINK("https://otsuka-europe-crm.veevavault.com/ui/#object/sent_email__v/VBL000000005464", "SE-001380347")</f>
        <v>SE-001380347</v>
      </c>
      <c r="D23534" s="1">
        <v>45964.560428240744</v>
      </c>
      <c r="E23534" s="2">
        <v>1</v>
      </c>
      <c r="F23534" s="2">
        <v>2</v>
      </c>
      <c r="G23534" s="2">
        <v>0</v>
      </c>
      <c r="H23534" s="1" t="s">
        <v>0</v>
      </c>
      <c r="I23534" s="2">
        <v>0</v>
      </c>
      <c r="J23534" s="1">
        <v>45964.418993055559</v>
      </c>
    </row>
    <row r="23535" spans="1:10" x14ac:dyDescent="0.2">
      <c r="A23535" s="4" t="s">
        <v>1</v>
      </c>
      <c r="B23535" s="3" t="str">
        <f>HYPERLINK("https://otsuka-europe-crm.veevavault.com/ui/#object/approved_document__v/V5OZ025E82UKR5U", "SEP 2025: invitación simposio Alianza")</f>
        <v>SEP 2025: invitación simposio Alianza</v>
      </c>
      <c r="C23535" s="3" t="str">
        <f>HYPERLINK("https://otsuka-europe-crm.veevavault.com/ui/#object/sent_email__v/VBL000000005465", "SE-001380348")</f>
        <v>SE-001380348</v>
      </c>
      <c r="D23535" s="1">
        <v>45965.465590277781</v>
      </c>
      <c r="E23535" s="2">
        <v>1</v>
      </c>
      <c r="F23535" s="2">
        <v>1</v>
      </c>
      <c r="G23535" s="2">
        <v>1</v>
      </c>
      <c r="H23535" s="1">
        <v>45965.465833333335</v>
      </c>
      <c r="I23535" s="2">
        <v>2</v>
      </c>
      <c r="J23535" s="1">
        <v>45964.419027777774</v>
      </c>
    </row>
    <row r="23536" spans="1:10" x14ac:dyDescent="0.2">
      <c r="A23536" s="4" t="s">
        <v>1</v>
      </c>
      <c r="B23536" s="3" t="str">
        <f>HYPERLINK("https://otsuka-europe-crm.veevavault.com/ui/#object/approved_document__v/V5OZ025E82UKR5U", "SEP 2025: invitación simposio Alianza")</f>
        <v>SEP 2025: invitación simposio Alianza</v>
      </c>
      <c r="C23536" s="3" t="str">
        <f>HYPERLINK("https://otsuka-europe-crm.veevavault.com/ui/#object/sent_email__v/VBL000000005466", "SE-001380349")</f>
        <v>SE-001380349</v>
      </c>
      <c r="D23536" s="1" t="s">
        <v>0</v>
      </c>
      <c r="E23536" s="2">
        <v>0</v>
      </c>
      <c r="F23536" s="2">
        <v>0</v>
      </c>
      <c r="G23536" s="2">
        <v>0</v>
      </c>
      <c r="H23536" s="1" t="s">
        <v>0</v>
      </c>
      <c r="I23536" s="2">
        <v>0</v>
      </c>
      <c r="J23536" s="1">
        <v>45964.419062499997</v>
      </c>
    </row>
    <row r="23537" spans="1:10" x14ac:dyDescent="0.2">
      <c r="A23537" s="4" t="s">
        <v>1</v>
      </c>
      <c r="B23537" s="3" t="str">
        <f>HYPERLINK("https://otsuka-europe-crm.veevavault.com/ui/#object/approved_document__v/V5OZ025E82UKR5U", "SEP 2025: invitación simposio Alianza")</f>
        <v>SEP 2025: invitación simposio Alianza</v>
      </c>
      <c r="C23537" s="3" t="str">
        <f>HYPERLINK("https://otsuka-europe-crm.veevavault.com/ui/#object/sent_email__v/VBL000000005467", "SE-001380350")</f>
        <v>SE-001380350</v>
      </c>
      <c r="D23537" s="1" t="s">
        <v>0</v>
      </c>
      <c r="E23537" s="2">
        <v>0</v>
      </c>
      <c r="F23537" s="2">
        <v>0</v>
      </c>
      <c r="G23537" s="2">
        <v>0</v>
      </c>
      <c r="H23537" s="1" t="s">
        <v>0</v>
      </c>
      <c r="I23537" s="2">
        <v>0</v>
      </c>
      <c r="J23537" s="1">
        <v>45964.419108796297</v>
      </c>
    </row>
    <row r="23538" spans="1:10" x14ac:dyDescent="0.2">
      <c r="A23538" s="4" t="s">
        <v>1</v>
      </c>
      <c r="B23538" s="3" t="str">
        <f>HYPERLINK("https://otsuka-europe-crm.veevavault.com/ui/#object/approved_document__v/V5OZ025E82UKR5U", "SEP 2025: invitación simposio Alianza")</f>
        <v>SEP 2025: invitación simposio Alianza</v>
      </c>
      <c r="C23538" s="3" t="str">
        <f>HYPERLINK("https://otsuka-europe-crm.veevavault.com/ui/#object/sent_email__v/VBL000000005468", "SE-001380351")</f>
        <v>SE-001380351</v>
      </c>
      <c r="D23538" s="1" t="s">
        <v>0</v>
      </c>
      <c r="E23538" s="2">
        <v>0</v>
      </c>
      <c r="F23538" s="2">
        <v>0</v>
      </c>
      <c r="G23538" s="2">
        <v>0</v>
      </c>
      <c r="H23538" s="1" t="s">
        <v>0</v>
      </c>
      <c r="I23538" s="2">
        <v>0</v>
      </c>
      <c r="J23538" s="1">
        <v>45964.41914351852</v>
      </c>
    </row>
    <row r="23539" spans="1:10" x14ac:dyDescent="0.2">
      <c r="A23539" s="4" t="s">
        <v>1</v>
      </c>
      <c r="B23539" s="3" t="str">
        <f>HYPERLINK("https://otsuka-europe-crm.veevavault.com/ui/#object/approved_document__v/V5OZ025E82UKR5U", "SEP 2025: invitación simposio Alianza")</f>
        <v>SEP 2025: invitación simposio Alianza</v>
      </c>
      <c r="C23539" s="3" t="str">
        <f>HYPERLINK("https://otsuka-europe-crm.veevavault.com/ui/#object/sent_email__v/VBL000000005469", "SE-001380352")</f>
        <v>SE-001380352</v>
      </c>
      <c r="D23539" s="1" t="s">
        <v>0</v>
      </c>
      <c r="E23539" s="2">
        <v>0</v>
      </c>
      <c r="F23539" s="2">
        <v>0</v>
      </c>
      <c r="G23539" s="2">
        <v>0</v>
      </c>
      <c r="H23539" s="1" t="s">
        <v>0</v>
      </c>
      <c r="I23539" s="2">
        <v>0</v>
      </c>
      <c r="J23539" s="1">
        <v>45964.419189814813</v>
      </c>
    </row>
    <row r="23540" spans="1:10" x14ac:dyDescent="0.2">
      <c r="A23540" s="4" t="s">
        <v>1</v>
      </c>
      <c r="B23540" s="3" t="str">
        <f>HYPERLINK("https://otsuka-europe-crm.veevavault.com/ui/#object/approved_document__v/V5OZ025E82UKR5U", "SEP 2025: invitación simposio Alianza")</f>
        <v>SEP 2025: invitación simposio Alianza</v>
      </c>
      <c r="C23540" s="3" t="str">
        <f>HYPERLINK("https://otsuka-europe-crm.veevavault.com/ui/#object/sent_email__v/VBL000000005470", "SE-001380353")</f>
        <v>SE-001380353</v>
      </c>
      <c r="D23540" s="1" t="s">
        <v>0</v>
      </c>
      <c r="E23540" s="2">
        <v>0</v>
      </c>
      <c r="F23540" s="2">
        <v>0</v>
      </c>
      <c r="G23540" s="2">
        <v>0</v>
      </c>
      <c r="H23540" s="1" t="s">
        <v>0</v>
      </c>
      <c r="I23540" s="2">
        <v>0</v>
      </c>
      <c r="J23540" s="1">
        <v>45964.419259259259</v>
      </c>
    </row>
    <row r="23541" spans="1:10" x14ac:dyDescent="0.2">
      <c r="A23541" s="4" t="s">
        <v>1</v>
      </c>
      <c r="B23541" s="3" t="str">
        <f>HYPERLINK("https://otsuka-europe-crm.veevavault.com/ui/#object/approved_document__v/V5OZ025E82UKR5U", "SEP 2025: invitación simposio Alianza")</f>
        <v>SEP 2025: invitación simposio Alianza</v>
      </c>
      <c r="C23541" s="3" t="str">
        <f>HYPERLINK("https://otsuka-europe-crm.veevavault.com/ui/#object/sent_email__v/VBL000000005471", "SE-001380354")</f>
        <v>SE-001380354</v>
      </c>
      <c r="D23541" s="1" t="s">
        <v>0</v>
      </c>
      <c r="E23541" s="2">
        <v>0</v>
      </c>
      <c r="F23541" s="2">
        <v>0</v>
      </c>
      <c r="G23541" s="2">
        <v>0</v>
      </c>
      <c r="H23541" s="1" t="s">
        <v>0</v>
      </c>
      <c r="I23541" s="2">
        <v>0</v>
      </c>
      <c r="J23541" s="1">
        <v>45964.419328703705</v>
      </c>
    </row>
    <row r="23542" spans="1:10" x14ac:dyDescent="0.2">
      <c r="A23542" s="4" t="s">
        <v>1</v>
      </c>
      <c r="B23542" s="3" t="str">
        <f>HYPERLINK("https://otsuka-europe-crm.veevavault.com/ui/#object/approved_document__v/V5OZ025E82UKR5U", "SEP 2025: invitación simposio Alianza")</f>
        <v>SEP 2025: invitación simposio Alianza</v>
      </c>
      <c r="C23542" s="3" t="str">
        <f>HYPERLINK("https://otsuka-europe-crm.veevavault.com/ui/#object/sent_email__v/VBL000000005472", "SE-001380355")</f>
        <v>SE-001380355</v>
      </c>
      <c r="D23542" s="1" t="s">
        <v>0</v>
      </c>
      <c r="E23542" s="2">
        <v>0</v>
      </c>
      <c r="F23542" s="2">
        <v>0</v>
      </c>
      <c r="G23542" s="2">
        <v>0</v>
      </c>
      <c r="H23542" s="1" t="s">
        <v>0</v>
      </c>
      <c r="I23542" s="2">
        <v>0</v>
      </c>
      <c r="J23542" s="1">
        <v>45964.419398148151</v>
      </c>
    </row>
    <row r="23543" spans="1:10" x14ac:dyDescent="0.2">
      <c r="A23543" s="4" t="s">
        <v>1</v>
      </c>
      <c r="B23543" s="3" t="str">
        <f>HYPERLINK("https://otsuka-europe-crm.veevavault.com/ui/#object/approved_document__v/V5OZ025E82UKR5U", "SEP 2025: invitación simposio Alianza")</f>
        <v>SEP 2025: invitación simposio Alianza</v>
      </c>
      <c r="C23543" s="3" t="str">
        <f>HYPERLINK("https://otsuka-europe-crm.veevavault.com/ui/#object/sent_email__v/VBL000000005473", "SE-001380356")</f>
        <v>SE-001380356</v>
      </c>
      <c r="D23543" s="1">
        <v>45964.443449074075</v>
      </c>
      <c r="E23543" s="2">
        <v>1</v>
      </c>
      <c r="F23543" s="2">
        <v>1</v>
      </c>
      <c r="G23543" s="2">
        <v>0</v>
      </c>
      <c r="H23543" s="1" t="s">
        <v>0</v>
      </c>
      <c r="I23543" s="2">
        <v>0</v>
      </c>
      <c r="J23543" s="1">
        <v>45964.41946759259</v>
      </c>
    </row>
    <row r="23544" spans="1:10" x14ac:dyDescent="0.2">
      <c r="A23544" s="4" t="s">
        <v>1</v>
      </c>
      <c r="B23544" s="3" t="str">
        <f>HYPERLINK("https://otsuka-europe-crm.veevavault.com/ui/#object/approved_document__v/V5OZ025E82UKR5U", "SEP 2025: invitación simposio Alianza")</f>
        <v>SEP 2025: invitación simposio Alianza</v>
      </c>
      <c r="C23544" s="3" t="str">
        <f>HYPERLINK("https://otsuka-europe-crm.veevavault.com/ui/#object/sent_email__v/VBL000000005474", "SE-001380357")</f>
        <v>SE-001380357</v>
      </c>
      <c r="D23544" s="1">
        <v>45965.622893518521</v>
      </c>
      <c r="E23544" s="2">
        <v>1</v>
      </c>
      <c r="F23544" s="2">
        <v>2</v>
      </c>
      <c r="G23544" s="2">
        <v>0</v>
      </c>
      <c r="H23544" s="1" t="s">
        <v>0</v>
      </c>
      <c r="I23544" s="2">
        <v>0</v>
      </c>
      <c r="J23544" s="1">
        <v>45964.419548611113</v>
      </c>
    </row>
    <row r="23545" spans="1:10" x14ac:dyDescent="0.2">
      <c r="A23545" s="4" t="s">
        <v>1</v>
      </c>
      <c r="B23545" s="3" t="str">
        <f>HYPERLINK("https://otsuka-europe-crm.veevavault.com/ui/#object/approved_document__v/V5OZ025E82UKR5U", "SEP 2025: invitación simposio Alianza")</f>
        <v>SEP 2025: invitación simposio Alianza</v>
      </c>
      <c r="C23545" s="3" t="str">
        <f>HYPERLINK("https://otsuka-europe-crm.veevavault.com/ui/#object/sent_email__v/VBL000000005475", "SE-001380358")</f>
        <v>SE-001380358</v>
      </c>
      <c r="D23545" s="1">
        <v>45964.517465277779</v>
      </c>
      <c r="E23545" s="2">
        <v>1</v>
      </c>
      <c r="F23545" s="2">
        <v>2</v>
      </c>
      <c r="G23545" s="2">
        <v>0</v>
      </c>
      <c r="H23545" s="1" t="s">
        <v>0</v>
      </c>
      <c r="I23545" s="2">
        <v>0</v>
      </c>
      <c r="J23545" s="1">
        <v>45964.419606481482</v>
      </c>
    </row>
    <row r="23546" spans="1:10" x14ac:dyDescent="0.2">
      <c r="A23546" s="4" t="s">
        <v>1</v>
      </c>
      <c r="B23546" s="3" t="str">
        <f>HYPERLINK("https://otsuka-europe-crm.veevavault.com/ui/#object/approved_document__v/V5OZ025E82UKR5U", "SEP 2025: invitación simposio Alianza")</f>
        <v>SEP 2025: invitación simposio Alianza</v>
      </c>
      <c r="C23546" s="3" t="str">
        <f>HYPERLINK("https://otsuka-europe-crm.veevavault.com/ui/#object/sent_email__v/VBL000000005476", "SE-001380359")</f>
        <v>SE-001380359</v>
      </c>
      <c r="D23546" s="1" t="s">
        <v>0</v>
      </c>
      <c r="E23546" s="2">
        <v>0</v>
      </c>
      <c r="F23546" s="2">
        <v>0</v>
      </c>
      <c r="G23546" s="2">
        <v>0</v>
      </c>
      <c r="H23546" s="1" t="s">
        <v>0</v>
      </c>
      <c r="I23546" s="2">
        <v>0</v>
      </c>
      <c r="J23546" s="1">
        <v>45964.419687499998</v>
      </c>
    </row>
    <row r="23547" spans="1:10" x14ac:dyDescent="0.2">
      <c r="A23547" s="4" t="s">
        <v>1</v>
      </c>
      <c r="B23547" s="3" t="str">
        <f>HYPERLINK("https://otsuka-europe-crm.veevavault.com/ui/#object/approved_document__v/V5OZ025E82UKR5U", "SEP 2025: invitación simposio Alianza")</f>
        <v>SEP 2025: invitación simposio Alianza</v>
      </c>
      <c r="C23547" s="3" t="str">
        <f>HYPERLINK("https://otsuka-europe-crm.veevavault.com/ui/#object/sent_email__v/VBL000000005477", "SE-001380360")</f>
        <v>SE-001380360</v>
      </c>
      <c r="D23547" s="1" t="s">
        <v>0</v>
      </c>
      <c r="E23547" s="2">
        <v>0</v>
      </c>
      <c r="F23547" s="2">
        <v>0</v>
      </c>
      <c r="G23547" s="2">
        <v>0</v>
      </c>
      <c r="H23547" s="1" t="s">
        <v>0</v>
      </c>
      <c r="I23547" s="2">
        <v>0</v>
      </c>
      <c r="J23547" s="1">
        <v>45964.419756944444</v>
      </c>
    </row>
    <row r="23548" spans="1:10" x14ac:dyDescent="0.2">
      <c r="A23548" s="4" t="s">
        <v>1</v>
      </c>
      <c r="B23548" s="3" t="str">
        <f>HYPERLINK("https://otsuka-europe-crm.veevavault.com/ui/#object/approved_document__v/V5OZ025E82UKR5U", "SEP 2025: invitación simposio Alianza")</f>
        <v>SEP 2025: invitación simposio Alianza</v>
      </c>
      <c r="C23548" s="3" t="str">
        <f>HYPERLINK("https://otsuka-europe-crm.veevavault.com/ui/#object/sent_email__v/VBL000000005478", "SE-001380361")</f>
        <v>SE-001380361</v>
      </c>
      <c r="D23548" s="1" t="s">
        <v>0</v>
      </c>
      <c r="E23548" s="2">
        <v>0</v>
      </c>
      <c r="F23548" s="2">
        <v>0</v>
      </c>
      <c r="G23548" s="2">
        <v>0</v>
      </c>
      <c r="H23548" s="1" t="s">
        <v>0</v>
      </c>
      <c r="I23548" s="2">
        <v>0</v>
      </c>
      <c r="J23548" s="1">
        <v>45964.41982638889</v>
      </c>
    </row>
    <row r="23549" spans="1:10" x14ac:dyDescent="0.2">
      <c r="A23549" s="4" t="s">
        <v>1</v>
      </c>
      <c r="B23549" s="3" t="str">
        <f>HYPERLINK("https://otsuka-europe-crm.veevavault.com/ui/#object/approved_document__v/V5OZ025E82UKR5U", "SEP 2025: invitación simposio Alianza")</f>
        <v>SEP 2025: invitación simposio Alianza</v>
      </c>
      <c r="C23549" s="3" t="str">
        <f>HYPERLINK("https://otsuka-europe-crm.veevavault.com/ui/#object/sent_email__v/VBL000000005479", "SE-001380362")</f>
        <v>SE-001380362</v>
      </c>
      <c r="D23549" s="1" t="s">
        <v>0</v>
      </c>
      <c r="E23549" s="2">
        <v>0</v>
      </c>
      <c r="F23549" s="2">
        <v>0</v>
      </c>
      <c r="G23549" s="2">
        <v>0</v>
      </c>
      <c r="H23549" s="1" t="s">
        <v>0</v>
      </c>
      <c r="I23549" s="2">
        <v>0</v>
      </c>
      <c r="J23549" s="1">
        <v>45964.419895833336</v>
      </c>
    </row>
    <row r="23550" spans="1:10" x14ac:dyDescent="0.2">
      <c r="A23550" s="4" t="s">
        <v>1</v>
      </c>
      <c r="B23550" s="3" t="str">
        <f>HYPERLINK("https://otsuka-europe-crm.veevavault.com/ui/#object/approved_document__v/V5OZ025E82UKR5U", "SEP 2025: invitación simposio Alianza")</f>
        <v>SEP 2025: invitación simposio Alianza</v>
      </c>
      <c r="C23550" s="3" t="str">
        <f>HYPERLINK("https://otsuka-europe-crm.veevavault.com/ui/#object/sent_email__v/VBL000000005480", "SE-001380363")</f>
        <v>SE-001380363</v>
      </c>
      <c r="D23550" s="1" t="s">
        <v>0</v>
      </c>
      <c r="E23550" s="2">
        <v>0</v>
      </c>
      <c r="F23550" s="2">
        <v>0</v>
      </c>
      <c r="G23550" s="2">
        <v>0</v>
      </c>
      <c r="H23550" s="1" t="s">
        <v>0</v>
      </c>
      <c r="I23550" s="2">
        <v>0</v>
      </c>
      <c r="J23550" s="1">
        <v>45964.419965277775</v>
      </c>
    </row>
    <row r="23551" spans="1:10" x14ac:dyDescent="0.2">
      <c r="A23551" s="4" t="s">
        <v>1</v>
      </c>
      <c r="B23551" s="3" t="str">
        <f>HYPERLINK("https://otsuka-europe-crm.veevavault.com/ui/#object/approved_document__v/V5OZ025E82UKR5U", "SEP 2025: invitación simposio Alianza")</f>
        <v>SEP 2025: invitación simposio Alianza</v>
      </c>
      <c r="C23551" s="3" t="str">
        <f>HYPERLINK("https://otsuka-europe-crm.veevavault.com/ui/#object/sent_email__v/VBL000000005481", "SE-001380364")</f>
        <v>SE-001380364</v>
      </c>
      <c r="D23551" s="1" t="s">
        <v>0</v>
      </c>
      <c r="E23551" s="2">
        <v>0</v>
      </c>
      <c r="F23551" s="2">
        <v>0</v>
      </c>
      <c r="G23551" s="2">
        <v>0</v>
      </c>
      <c r="H23551" s="1" t="s">
        <v>0</v>
      </c>
      <c r="I23551" s="2">
        <v>0</v>
      </c>
      <c r="J23551" s="1">
        <v>45964.420034722221</v>
      </c>
    </row>
    <row r="23552" spans="1:10" x14ac:dyDescent="0.2">
      <c r="A23552" s="4" t="s">
        <v>1</v>
      </c>
      <c r="B23552" s="3" t="str">
        <f>HYPERLINK("https://otsuka-europe-crm.veevavault.com/ui/#object/approved_document__v/V5OZ025E82UKR5U", "SEP 2025: invitación simposio Alianza")</f>
        <v>SEP 2025: invitación simposio Alianza</v>
      </c>
      <c r="C23552" s="3" t="str">
        <f>HYPERLINK("https://otsuka-europe-crm.veevavault.com/ui/#object/sent_email__v/VBL000000005482", "SE-001380365")</f>
        <v>SE-001380365</v>
      </c>
      <c r="D23552" s="1" t="s">
        <v>0</v>
      </c>
      <c r="E23552" s="2">
        <v>0</v>
      </c>
      <c r="F23552" s="2">
        <v>0</v>
      </c>
      <c r="G23552" s="2">
        <v>0</v>
      </c>
      <c r="H23552" s="1" t="s">
        <v>0</v>
      </c>
      <c r="I23552" s="2">
        <v>0</v>
      </c>
      <c r="J23552" s="1">
        <v>45964.420115740744</v>
      </c>
    </row>
    <row r="23553" spans="1:10" x14ac:dyDescent="0.2">
      <c r="A23553" s="4" t="s">
        <v>1</v>
      </c>
      <c r="B23553" s="3" t="str">
        <f>HYPERLINK("https://otsuka-europe-crm.veevavault.com/ui/#object/approved_document__v/V5OZ025E82UKR5U", "SEP 2025: invitación simposio Alianza")</f>
        <v>SEP 2025: invitación simposio Alianza</v>
      </c>
      <c r="C23553" s="3" t="str">
        <f>HYPERLINK("https://otsuka-europe-crm.veevavault.com/ui/#object/sent_email__v/VBL000000005483", "SE-001380366")</f>
        <v>SE-001380366</v>
      </c>
      <c r="D23553" s="1" t="s">
        <v>0</v>
      </c>
      <c r="E23553" s="2">
        <v>0</v>
      </c>
      <c r="F23553" s="2">
        <v>0</v>
      </c>
      <c r="G23553" s="2">
        <v>0</v>
      </c>
      <c r="H23553" s="1" t="s">
        <v>0</v>
      </c>
      <c r="I23553" s="2">
        <v>0</v>
      </c>
      <c r="J23553" s="1">
        <v>45964.42015046296</v>
      </c>
    </row>
    <row r="23554" spans="1:10" x14ac:dyDescent="0.2">
      <c r="A23554" s="4" t="s">
        <v>1</v>
      </c>
      <c r="B23554" s="3" t="str">
        <f>HYPERLINK("https://otsuka-europe-crm.veevavault.com/ui/#object/approved_document__v/V5OZ025E82UKR5U", "SEP 2025: invitación simposio Alianza")</f>
        <v>SEP 2025: invitación simposio Alianza</v>
      </c>
      <c r="C23554" s="3" t="str">
        <f>HYPERLINK("https://otsuka-europe-crm.veevavault.com/ui/#object/sent_email__v/VBL000000005484", "SE-001380367")</f>
        <v>SE-001380367</v>
      </c>
      <c r="D23554" s="1" t="s">
        <v>0</v>
      </c>
      <c r="E23554" s="2">
        <v>0</v>
      </c>
      <c r="F23554" s="2">
        <v>0</v>
      </c>
      <c r="G23554" s="2">
        <v>0</v>
      </c>
      <c r="H23554" s="1" t="s">
        <v>0</v>
      </c>
      <c r="I23554" s="2">
        <v>0</v>
      </c>
      <c r="J23554" s="1">
        <v>45964.42019675926</v>
      </c>
    </row>
    <row r="23555" spans="1:10" x14ac:dyDescent="0.2">
      <c r="A23555" s="4" t="s">
        <v>1</v>
      </c>
      <c r="B23555" s="3" t="str">
        <f>HYPERLINK("https://otsuka-europe-crm.veevavault.com/ui/#object/approved_document__v/V5OZ025E82UKR5U", "SEP 2025: invitación simposio Alianza")</f>
        <v>SEP 2025: invitación simposio Alianza</v>
      </c>
      <c r="C23555" s="3" t="str">
        <f>HYPERLINK("https://otsuka-europe-crm.veevavault.com/ui/#object/sent_email__v/VBL000000005485", "SE-001380368")</f>
        <v>SE-001380368</v>
      </c>
      <c r="D23555" s="1">
        <v>45967.488402777781</v>
      </c>
      <c r="E23555" s="2">
        <v>1</v>
      </c>
      <c r="F23555" s="2">
        <v>3</v>
      </c>
      <c r="G23555" s="2">
        <v>0</v>
      </c>
      <c r="H23555" s="1" t="s">
        <v>0</v>
      </c>
      <c r="I23555" s="2">
        <v>0</v>
      </c>
      <c r="J23555" s="1">
        <v>45964.420243055552</v>
      </c>
    </row>
    <row r="23556" spans="1:10" x14ac:dyDescent="0.2">
      <c r="A23556" s="4" t="s">
        <v>1</v>
      </c>
      <c r="B23556" s="3" t="str">
        <f>HYPERLINK("https://otsuka-europe-crm.veevavault.com/ui/#object/approved_document__v/V5OZ025E82UKR5U", "SEP 2025: invitación simposio Alianza")</f>
        <v>SEP 2025: invitación simposio Alianza</v>
      </c>
      <c r="C23556" s="3" t="str">
        <f>HYPERLINK("https://otsuka-europe-crm.veevavault.com/ui/#object/sent_email__v/VBL000000005486", "SE-001380369")</f>
        <v>SE-001380369</v>
      </c>
      <c r="D23556" s="1">
        <v>45964.683125000003</v>
      </c>
      <c r="E23556" s="2">
        <v>1</v>
      </c>
      <c r="F23556" s="2">
        <v>1</v>
      </c>
      <c r="G23556" s="2">
        <v>0</v>
      </c>
      <c r="H23556" s="1" t="s">
        <v>0</v>
      </c>
      <c r="I23556" s="2">
        <v>0</v>
      </c>
      <c r="J23556" s="1">
        <v>45964.420289351852</v>
      </c>
    </row>
    <row r="23557" spans="1:10" x14ac:dyDescent="0.2">
      <c r="A23557" s="4" t="s">
        <v>1</v>
      </c>
      <c r="B23557" s="3" t="str">
        <f>HYPERLINK("https://otsuka-europe-crm.veevavault.com/ui/#object/approved_document__v/V5OZ025E82UKR5U", "SEP 2025: invitación simposio Alianza")</f>
        <v>SEP 2025: invitación simposio Alianza</v>
      </c>
      <c r="C23557" s="3" t="str">
        <f>HYPERLINK("https://otsuka-europe-crm.veevavault.com/ui/#object/sent_email__v/VBL000000005487", "SE-001380370")</f>
        <v>SE-001380370</v>
      </c>
      <c r="D23557" s="1" t="s">
        <v>0</v>
      </c>
      <c r="E23557" s="2">
        <v>0</v>
      </c>
      <c r="F23557" s="2">
        <v>0</v>
      </c>
      <c r="G23557" s="2">
        <v>0</v>
      </c>
      <c r="H23557" s="1" t="s">
        <v>0</v>
      </c>
      <c r="I23557" s="2">
        <v>0</v>
      </c>
      <c r="J23557" s="1">
        <v>45964.420335648145</v>
      </c>
    </row>
    <row r="23558" spans="1:10" x14ac:dyDescent="0.2">
      <c r="A23558" s="4" t="s">
        <v>1</v>
      </c>
      <c r="B23558" s="3" t="str">
        <f>HYPERLINK("https://otsuka-europe-crm.veevavault.com/ui/#object/approved_document__v/V5OZ025E82UKR5U", "SEP 2025: invitación simposio Alianza")</f>
        <v>SEP 2025: invitación simposio Alianza</v>
      </c>
      <c r="C23558" s="3" t="str">
        <f>HYPERLINK("https://otsuka-europe-crm.veevavault.com/ui/#object/sent_email__v/VBL000000005488", "SE-001380371")</f>
        <v>SE-001380371</v>
      </c>
      <c r="D23558" s="1" t="s">
        <v>0</v>
      </c>
      <c r="E23558" s="2">
        <v>0</v>
      </c>
      <c r="F23558" s="2">
        <v>0</v>
      </c>
      <c r="G23558" s="2">
        <v>0</v>
      </c>
      <c r="H23558" s="1" t="s">
        <v>0</v>
      </c>
      <c r="I23558" s="2">
        <v>0</v>
      </c>
      <c r="J23558" s="1">
        <v>45964.420370370368</v>
      </c>
    </row>
    <row r="23559" spans="1:10" x14ac:dyDescent="0.2">
      <c r="A23559" s="4" t="s">
        <v>1</v>
      </c>
      <c r="B23559" s="3" t="str">
        <f>HYPERLINK("https://otsuka-europe-crm.veevavault.com/ui/#object/approved_document__v/V5OZ025E82UKR5U", "SEP 2025: invitación simposio Alianza")</f>
        <v>SEP 2025: invitación simposio Alianza</v>
      </c>
      <c r="C23559" s="3" t="str">
        <f>HYPERLINK("https://otsuka-europe-crm.veevavault.com/ui/#object/sent_email__v/VBL000000005489", "SE-001380372")</f>
        <v>SE-001380372</v>
      </c>
      <c r="D23559" s="1">
        <v>45964.484282407408</v>
      </c>
      <c r="E23559" s="2">
        <v>1</v>
      </c>
      <c r="F23559" s="2">
        <v>2</v>
      </c>
      <c r="G23559" s="2">
        <v>0</v>
      </c>
      <c r="H23559" s="1" t="s">
        <v>0</v>
      </c>
      <c r="I23559" s="2">
        <v>0</v>
      </c>
      <c r="J23559" s="1">
        <v>45964.420416666668</v>
      </c>
    </row>
    <row r="23560" spans="1:10" x14ac:dyDescent="0.2">
      <c r="A23560" s="4" t="s">
        <v>1</v>
      </c>
      <c r="B23560" s="3" t="str">
        <f>HYPERLINK("https://otsuka-europe-crm.veevavault.com/ui/#object/approved_document__v/V5OZ025E82UKR5U", "SEP 2025: invitación simposio Alianza")</f>
        <v>SEP 2025: invitación simposio Alianza</v>
      </c>
      <c r="C23560" s="3" t="str">
        <f>HYPERLINK("https://otsuka-europe-crm.veevavault.com/ui/#object/sent_email__v/VBL000000005490", "SE-001380373")</f>
        <v>SE-001380373</v>
      </c>
      <c r="D23560" s="1">
        <v>45964.544166666667</v>
      </c>
      <c r="E23560" s="2">
        <v>1</v>
      </c>
      <c r="F23560" s="2">
        <v>1</v>
      </c>
      <c r="G23560" s="2">
        <v>0</v>
      </c>
      <c r="H23560" s="1" t="s">
        <v>0</v>
      </c>
      <c r="I23560" s="2">
        <v>0</v>
      </c>
      <c r="J23560" s="1">
        <v>45964.42046296296</v>
      </c>
    </row>
    <row r="23561" spans="1:10" x14ac:dyDescent="0.2">
      <c r="A23561" s="4" t="s">
        <v>1</v>
      </c>
      <c r="B23561" s="3" t="str">
        <f>HYPERLINK("https://otsuka-europe-crm.veevavault.com/ui/#object/approved_document__v/V5OZ025E82UKR5U", "SEP 2025: invitación simposio Alianza")</f>
        <v>SEP 2025: invitación simposio Alianza</v>
      </c>
      <c r="C23561" s="3" t="str">
        <f>HYPERLINK("https://otsuka-europe-crm.veevavault.com/ui/#object/sent_email__v/VBL000000005491", "SE-001380374")</f>
        <v>SE-001380374</v>
      </c>
      <c r="D23561" s="1" t="s">
        <v>0</v>
      </c>
      <c r="E23561" s="2">
        <v>0</v>
      </c>
      <c r="F23561" s="2">
        <v>0</v>
      </c>
      <c r="G23561" s="2">
        <v>0</v>
      </c>
      <c r="H23561" s="1" t="s">
        <v>0</v>
      </c>
      <c r="I23561" s="2">
        <v>0</v>
      </c>
      <c r="J23561" s="1">
        <v>45964.420497685183</v>
      </c>
    </row>
    <row r="23562" spans="1:10" x14ac:dyDescent="0.2">
      <c r="A23562" s="4" t="s">
        <v>1</v>
      </c>
      <c r="B23562" s="3" t="str">
        <f>HYPERLINK("https://otsuka-europe-crm.veevavault.com/ui/#object/approved_document__v/V5OZ025E82UKR5U", "SEP 2025: invitación simposio Alianza")</f>
        <v>SEP 2025: invitación simposio Alianza</v>
      </c>
      <c r="C23562" s="3" t="str">
        <f>HYPERLINK("https://otsuka-europe-crm.veevavault.com/ui/#object/sent_email__v/VBL000000005492", "SE-001380375")</f>
        <v>SE-001380375</v>
      </c>
      <c r="D23562" s="1">
        <v>45965.276342592595</v>
      </c>
      <c r="E23562" s="2">
        <v>1</v>
      </c>
      <c r="F23562" s="2">
        <v>2</v>
      </c>
      <c r="G23562" s="2">
        <v>0</v>
      </c>
      <c r="H23562" s="1" t="s">
        <v>0</v>
      </c>
      <c r="I23562" s="2">
        <v>0</v>
      </c>
      <c r="J23562" s="1">
        <v>45964.420543981483</v>
      </c>
    </row>
    <row r="23563" spans="1:10" x14ac:dyDescent="0.2">
      <c r="A23563" s="4" t="s">
        <v>1</v>
      </c>
      <c r="B23563" s="3" t="str">
        <f>HYPERLINK("https://otsuka-europe-crm.veevavault.com/ui/#object/approved_document__v/V5OZ025E82UKR5U", "SEP 2025: invitación simposio Alianza")</f>
        <v>SEP 2025: invitación simposio Alianza</v>
      </c>
      <c r="C23563" s="3" t="str">
        <f>HYPERLINK("https://otsuka-europe-crm.veevavault.com/ui/#object/sent_email__v/VBL000000005493", "SE-001380376")</f>
        <v>SE-001380376</v>
      </c>
      <c r="D23563" s="1">
        <v>45965.507731481484</v>
      </c>
      <c r="E23563" s="2">
        <v>1</v>
      </c>
      <c r="F23563" s="2">
        <v>1</v>
      </c>
      <c r="G23563" s="2">
        <v>0</v>
      </c>
      <c r="H23563" s="1" t="s">
        <v>0</v>
      </c>
      <c r="I23563" s="2">
        <v>0</v>
      </c>
      <c r="J23563" s="1">
        <v>45964.420590277776</v>
      </c>
    </row>
    <row r="23564" spans="1:10" x14ac:dyDescent="0.2">
      <c r="A23564" s="4" t="s">
        <v>1</v>
      </c>
      <c r="B23564" s="3" t="str">
        <f>HYPERLINK("https://otsuka-europe-crm.veevavault.com/ui/#object/approved_document__v/V5OZ025E82UKR5U", "SEP 2025: invitación simposio Alianza")</f>
        <v>SEP 2025: invitación simposio Alianza</v>
      </c>
      <c r="C23564" s="3" t="str">
        <f>HYPERLINK("https://otsuka-europe-crm.veevavault.com/ui/#object/sent_email__v/VBL000000005494", "SE-001380377")</f>
        <v>SE-001380377</v>
      </c>
      <c r="D23564" s="1" t="s">
        <v>0</v>
      </c>
      <c r="E23564" s="2">
        <v>0</v>
      </c>
      <c r="F23564" s="2">
        <v>0</v>
      </c>
      <c r="G23564" s="2">
        <v>0</v>
      </c>
      <c r="H23564" s="1" t="s">
        <v>0</v>
      </c>
      <c r="I23564" s="2">
        <v>0</v>
      </c>
      <c r="J23564" s="1">
        <v>45964.420624999999</v>
      </c>
    </row>
    <row r="23565" spans="1:10" x14ac:dyDescent="0.2">
      <c r="A23565" s="4" t="s">
        <v>1</v>
      </c>
      <c r="B23565" s="3" t="str">
        <f>HYPERLINK("https://otsuka-europe-crm.veevavault.com/ui/#object/approved_document__v/V5OZ025E82UKR5U", "SEP 2025: invitación simposio Alianza")</f>
        <v>SEP 2025: invitación simposio Alianza</v>
      </c>
      <c r="C23565" s="3" t="str">
        <f>HYPERLINK("https://otsuka-europe-crm.veevavault.com/ui/#object/sent_email__v/VBL000000005495", "SE-001380378")</f>
        <v>SE-001380378</v>
      </c>
      <c r="D23565" s="1">
        <v>45967.336747685185</v>
      </c>
      <c r="E23565" s="2">
        <v>1</v>
      </c>
      <c r="F23565" s="2">
        <v>2</v>
      </c>
      <c r="G23565" s="2">
        <v>0</v>
      </c>
      <c r="H23565" s="1" t="s">
        <v>0</v>
      </c>
      <c r="I23565" s="2">
        <v>0</v>
      </c>
      <c r="J23565" s="1">
        <v>45964.420659722222</v>
      </c>
    </row>
    <row r="23566" spans="1:10" x14ac:dyDescent="0.2">
      <c r="A23566" s="4" t="s">
        <v>1</v>
      </c>
      <c r="B23566" s="3" t="str">
        <f>HYPERLINK("https://otsuka-europe-crm.veevavault.com/ui/#object/approved_document__v/V5OZ025E82UKR5U", "SEP 2025: invitación simposio Alianza")</f>
        <v>SEP 2025: invitación simposio Alianza</v>
      </c>
      <c r="C23566" s="3" t="str">
        <f>HYPERLINK("https://otsuka-europe-crm.veevavault.com/ui/#object/sent_email__v/VBL000000005496", "SE-001380379")</f>
        <v>SE-001380379</v>
      </c>
      <c r="D23566" s="1">
        <v>45964.507199074076</v>
      </c>
      <c r="E23566" s="2">
        <v>1</v>
      </c>
      <c r="F23566" s="2">
        <v>1</v>
      </c>
      <c r="G23566" s="2">
        <v>0</v>
      </c>
      <c r="H23566" s="1" t="s">
        <v>0</v>
      </c>
      <c r="I23566" s="2">
        <v>0</v>
      </c>
      <c r="J23566" s="1">
        <v>45964.420706018522</v>
      </c>
    </row>
    <row r="23567" spans="1:10" x14ac:dyDescent="0.2">
      <c r="A23567" s="4" t="s">
        <v>1</v>
      </c>
      <c r="B23567" s="3" t="str">
        <f>HYPERLINK("https://otsuka-europe-crm.veevavault.com/ui/#object/approved_document__v/V5OZ025E82UKR5U", "SEP 2025: invitación simposio Alianza")</f>
        <v>SEP 2025: invitación simposio Alianza</v>
      </c>
      <c r="C23567" s="3" t="str">
        <f>HYPERLINK("https://otsuka-europe-crm.veevavault.com/ui/#object/sent_email__v/VBL000000005497", "SE-001380380")</f>
        <v>SE-001380380</v>
      </c>
      <c r="D23567" s="1">
        <v>45964.94494212963</v>
      </c>
      <c r="E23567" s="2">
        <v>1</v>
      </c>
      <c r="F23567" s="2">
        <v>1</v>
      </c>
      <c r="G23567" s="2">
        <v>0</v>
      </c>
      <c r="H23567" s="1" t="s">
        <v>0</v>
      </c>
      <c r="I23567" s="2">
        <v>0</v>
      </c>
      <c r="J23567" s="1">
        <v>45964.420752314814</v>
      </c>
    </row>
    <row r="23568" spans="1:10" x14ac:dyDescent="0.2">
      <c r="A23568" s="4" t="s">
        <v>1</v>
      </c>
      <c r="B23568" s="3" t="str">
        <f>HYPERLINK("https://otsuka-europe-crm.veevavault.com/ui/#object/approved_document__v/V5OZ025E82UKR5U", "SEP 2025: invitación simposio Alianza")</f>
        <v>SEP 2025: invitación simposio Alianza</v>
      </c>
      <c r="C23568" s="3" t="str">
        <f>HYPERLINK("https://otsuka-europe-crm.veevavault.com/ui/#object/sent_email__v/VBL000000005498", "SE-001380381")</f>
        <v>SE-001380381</v>
      </c>
      <c r="D23568" s="1">
        <v>45972.848009259258</v>
      </c>
      <c r="E23568" s="2">
        <v>1</v>
      </c>
      <c r="F23568" s="2">
        <v>3</v>
      </c>
      <c r="G23568" s="2">
        <v>0</v>
      </c>
      <c r="H23568" s="1" t="s">
        <v>0</v>
      </c>
      <c r="I23568" s="2">
        <v>0</v>
      </c>
      <c r="J23568" s="1">
        <v>45964.420787037037</v>
      </c>
    </row>
    <row r="23569" spans="1:10" x14ac:dyDescent="0.2">
      <c r="A23569" s="4" t="s">
        <v>1</v>
      </c>
      <c r="B23569" s="3" t="str">
        <f>HYPERLINK("https://otsuka-europe-crm.veevavault.com/ui/#object/approved_document__v/V5OZ025E82UKR5U", "SEP 2025: invitación simposio Alianza")</f>
        <v>SEP 2025: invitación simposio Alianza</v>
      </c>
      <c r="C23569" s="3" t="str">
        <f>HYPERLINK("https://otsuka-europe-crm.veevavault.com/ui/#object/sent_email__v/VBL000000005499", "SE-001380382")</f>
        <v>SE-001380382</v>
      </c>
      <c r="D23569" s="1" t="s">
        <v>0</v>
      </c>
      <c r="E23569" s="2">
        <v>0</v>
      </c>
      <c r="F23569" s="2">
        <v>0</v>
      </c>
      <c r="G23569" s="2">
        <v>0</v>
      </c>
      <c r="H23569" s="1" t="s">
        <v>0</v>
      </c>
      <c r="I23569" s="2">
        <v>0</v>
      </c>
      <c r="J23569" s="1">
        <v>45964.420844907407</v>
      </c>
    </row>
    <row r="23570" spans="1:10" x14ac:dyDescent="0.2">
      <c r="A23570" s="4" t="s">
        <v>1</v>
      </c>
      <c r="B23570" s="3" t="str">
        <f>HYPERLINK("https://otsuka-europe-crm.veevavault.com/ui/#object/approved_document__v/V5OZ025E82UKR5U", "SEP 2025: invitación simposio Alianza")</f>
        <v>SEP 2025: invitación simposio Alianza</v>
      </c>
      <c r="C23570" s="3" t="str">
        <f>HYPERLINK("https://otsuka-europe-crm.veevavault.com/ui/#object/sent_email__v/VBL000000005500", "SE-001380383")</f>
        <v>SE-001380383</v>
      </c>
      <c r="D23570" s="1" t="s">
        <v>0</v>
      </c>
      <c r="E23570" s="2">
        <v>0</v>
      </c>
      <c r="F23570" s="2">
        <v>0</v>
      </c>
      <c r="G23570" s="2">
        <v>0</v>
      </c>
      <c r="H23570" s="1" t="s">
        <v>0</v>
      </c>
      <c r="I23570" s="2">
        <v>0</v>
      </c>
      <c r="J23570" s="1">
        <v>45964.42087962963</v>
      </c>
    </row>
    <row r="23571" spans="1:10" x14ac:dyDescent="0.2">
      <c r="A23571" s="4" t="s">
        <v>1</v>
      </c>
      <c r="B23571" s="3" t="str">
        <f>HYPERLINK("https://otsuka-europe-crm.veevavault.com/ui/#object/approved_document__v/V5OZ025E82UKR5U", "SEP 2025: invitación simposio Alianza")</f>
        <v>SEP 2025: invitación simposio Alianza</v>
      </c>
      <c r="C23571" s="3" t="str">
        <f>HYPERLINK("https://otsuka-europe-crm.veevavault.com/ui/#object/sent_email__v/VBL000000005501", "SE-001380384")</f>
        <v>SE-001380384</v>
      </c>
      <c r="D23571" s="1">
        <v>45964.957118055558</v>
      </c>
      <c r="E23571" s="2">
        <v>1</v>
      </c>
      <c r="F23571" s="2">
        <v>1</v>
      </c>
      <c r="G23571" s="2">
        <v>0</v>
      </c>
      <c r="H23571" s="1" t="s">
        <v>0</v>
      </c>
      <c r="I23571" s="2">
        <v>0</v>
      </c>
      <c r="J23571" s="1">
        <v>45964.420949074076</v>
      </c>
    </row>
    <row r="23572" spans="1:10" x14ac:dyDescent="0.2">
      <c r="A23572" s="4" t="s">
        <v>1</v>
      </c>
      <c r="B23572" s="3" t="str">
        <f>HYPERLINK("https://otsuka-europe-crm.veevavault.com/ui/#object/approved_document__v/V5OZ025E82UKR5U", "SEP 2025: invitación simposio Alianza")</f>
        <v>SEP 2025: invitación simposio Alianza</v>
      </c>
      <c r="C23572" s="3" t="str">
        <f>HYPERLINK("https://otsuka-europe-crm.veevavault.com/ui/#object/sent_email__v/VBL000000005502", "SE-001380385")</f>
        <v>SE-001380385</v>
      </c>
      <c r="D23572" s="1">
        <v>45964.791446759256</v>
      </c>
      <c r="E23572" s="2">
        <v>1</v>
      </c>
      <c r="F23572" s="2">
        <v>3</v>
      </c>
      <c r="G23572" s="2">
        <v>0</v>
      </c>
      <c r="H23572" s="1" t="s">
        <v>0</v>
      </c>
      <c r="I23572" s="2">
        <v>0</v>
      </c>
      <c r="J23572" s="1">
        <v>45964.420960648145</v>
      </c>
    </row>
    <row r="23573" spans="1:10" x14ac:dyDescent="0.2">
      <c r="A23573" s="4" t="s">
        <v>1</v>
      </c>
      <c r="B23573" s="3" t="str">
        <f>HYPERLINK("https://otsuka-europe-crm.veevavault.com/ui/#object/approved_document__v/V5OZ025E82UKR5U", "SEP 2025: invitación simposio Alianza")</f>
        <v>SEP 2025: invitación simposio Alianza</v>
      </c>
      <c r="C23573" s="3" t="str">
        <f>HYPERLINK("https://otsuka-europe-crm.veevavault.com/ui/#object/sent_email__v/VBL000000005503", "SE-001380386")</f>
        <v>SE-001380386</v>
      </c>
      <c r="D23573" s="1" t="s">
        <v>0</v>
      </c>
      <c r="E23573" s="2">
        <v>0</v>
      </c>
      <c r="F23573" s="2">
        <v>0</v>
      </c>
      <c r="G23573" s="2">
        <v>0</v>
      </c>
      <c r="H23573" s="1" t="s">
        <v>0</v>
      </c>
      <c r="I23573" s="2">
        <v>0</v>
      </c>
      <c r="J23573" s="1">
        <v>45964.421006944445</v>
      </c>
    </row>
    <row r="23574" spans="1:10" x14ac:dyDescent="0.2">
      <c r="A23574" s="4" t="s">
        <v>1</v>
      </c>
      <c r="B23574" s="3" t="str">
        <f>HYPERLINK("https://otsuka-europe-crm.veevavault.com/ui/#object/approved_document__v/V5OZ025E82UKR5U", "SEP 2025: invitación simposio Alianza")</f>
        <v>SEP 2025: invitación simposio Alianza</v>
      </c>
      <c r="C23574" s="3" t="str">
        <f>HYPERLINK("https://otsuka-europe-crm.veevavault.com/ui/#object/sent_email__v/VBL000000005504", "SE-001380387")</f>
        <v>SE-001380387</v>
      </c>
      <c r="D23574" s="1" t="s">
        <v>0</v>
      </c>
      <c r="E23574" s="2">
        <v>0</v>
      </c>
      <c r="F23574" s="2">
        <v>0</v>
      </c>
      <c r="G23574" s="2">
        <v>0</v>
      </c>
      <c r="H23574" s="1" t="s">
        <v>0</v>
      </c>
      <c r="I23574" s="2">
        <v>0</v>
      </c>
      <c r="J23574" s="1">
        <v>45964.421053240738</v>
      </c>
    </row>
    <row r="23575" spans="1:10" x14ac:dyDescent="0.2">
      <c r="A23575" s="4" t="s">
        <v>1</v>
      </c>
      <c r="B23575" s="3" t="str">
        <f>HYPERLINK("https://otsuka-europe-crm.veevavault.com/ui/#object/approved_document__v/V5OZ025E82UKR5U", "SEP 2025: invitación simposio Alianza")</f>
        <v>SEP 2025: invitación simposio Alianza</v>
      </c>
      <c r="C23575" s="3" t="str">
        <f>HYPERLINK("https://otsuka-europe-crm.veevavault.com/ui/#object/sent_email__v/VBL000000005505", "SE-001380388")</f>
        <v>SE-001380388</v>
      </c>
      <c r="D23575" s="1" t="s">
        <v>0</v>
      </c>
      <c r="E23575" s="2">
        <v>0</v>
      </c>
      <c r="F23575" s="2">
        <v>0</v>
      </c>
      <c r="G23575" s="2">
        <v>0</v>
      </c>
      <c r="H23575" s="1" t="s">
        <v>0</v>
      </c>
      <c r="I23575" s="2">
        <v>0</v>
      </c>
      <c r="J23575" s="1">
        <v>45964.421087962961</v>
      </c>
    </row>
    <row r="23576" spans="1:10" x14ac:dyDescent="0.2">
      <c r="A23576" s="4" t="s">
        <v>1</v>
      </c>
      <c r="B23576" s="3" t="str">
        <f>HYPERLINK("https://otsuka-europe-crm.veevavault.com/ui/#object/approved_document__v/V5OZ025E82UKR5U", "SEP 2025: invitación simposio Alianza")</f>
        <v>SEP 2025: invitación simposio Alianza</v>
      </c>
      <c r="C23576" s="3" t="str">
        <f>HYPERLINK("https://otsuka-europe-crm.veevavault.com/ui/#object/sent_email__v/VBL000000005506", "SE-001380389")</f>
        <v>SE-001380389</v>
      </c>
      <c r="D23576" s="1">
        <v>45964.546886574077</v>
      </c>
      <c r="E23576" s="2">
        <v>1</v>
      </c>
      <c r="F23576" s="2">
        <v>1</v>
      </c>
      <c r="G23576" s="2">
        <v>0</v>
      </c>
      <c r="H23576" s="1" t="s">
        <v>0</v>
      </c>
      <c r="I23576" s="2">
        <v>0</v>
      </c>
      <c r="J23576" s="1">
        <v>45964.421122685184</v>
      </c>
    </row>
    <row r="23577" spans="1:10" x14ac:dyDescent="0.2">
      <c r="A23577" s="4" t="s">
        <v>1</v>
      </c>
      <c r="B23577" s="3" t="str">
        <f>HYPERLINK("https://otsuka-europe-crm.veevavault.com/ui/#object/approved_document__v/V5OZ025E82UKR5U", "SEP 2025: invitación simposio Alianza")</f>
        <v>SEP 2025: invitación simposio Alianza</v>
      </c>
      <c r="C23577" s="3" t="str">
        <f>HYPERLINK("https://otsuka-europe-crm.veevavault.com/ui/#object/sent_email__v/VBL000000005507", "SE-001380390")</f>
        <v>SE-001380390</v>
      </c>
      <c r="D23577" s="1" t="s">
        <v>0</v>
      </c>
      <c r="E23577" s="2">
        <v>0</v>
      </c>
      <c r="F23577" s="2">
        <v>0</v>
      </c>
      <c r="G23577" s="2">
        <v>0</v>
      </c>
      <c r="H23577" s="1" t="s">
        <v>0</v>
      </c>
      <c r="I23577" s="2">
        <v>0</v>
      </c>
      <c r="J23577" s="1">
        <v>45964.421180555553</v>
      </c>
    </row>
    <row r="23578" spans="1:10" x14ac:dyDescent="0.2">
      <c r="A23578" s="4" t="s">
        <v>1</v>
      </c>
      <c r="B23578" s="3" t="str">
        <f>HYPERLINK("https://otsuka-europe-crm.veevavault.com/ui/#object/approved_document__v/V5OZ025E82UKR5U", "SEP 2025: invitación simposio Alianza")</f>
        <v>SEP 2025: invitación simposio Alianza</v>
      </c>
      <c r="C23578" s="3" t="str">
        <f>HYPERLINK("https://otsuka-europe-crm.veevavault.com/ui/#object/sent_email__v/VBL000000005508", "SE-001380391")</f>
        <v>SE-001380391</v>
      </c>
      <c r="D23578" s="1">
        <v>45969.588599537034</v>
      </c>
      <c r="E23578" s="2">
        <v>1</v>
      </c>
      <c r="F23578" s="2">
        <v>2</v>
      </c>
      <c r="G23578" s="2">
        <v>0</v>
      </c>
      <c r="H23578" s="1" t="s">
        <v>0</v>
      </c>
      <c r="I23578" s="2">
        <v>0</v>
      </c>
      <c r="J23578" s="1">
        <v>45964.421203703707</v>
      </c>
    </row>
    <row r="23579" spans="1:10" x14ac:dyDescent="0.2">
      <c r="A23579" s="4" t="s">
        <v>1</v>
      </c>
      <c r="B23579" s="3" t="str">
        <f>HYPERLINK("https://otsuka-europe-crm.veevavault.com/ui/#object/approved_document__v/V5OZ025E82UKR5U", "SEP 2025: invitación simposio Alianza")</f>
        <v>SEP 2025: invitación simposio Alianza</v>
      </c>
      <c r="C23579" s="3" t="str">
        <f>HYPERLINK("https://otsuka-europe-crm.veevavault.com/ui/#object/sent_email__v/VBL000000005509", "SE-001380392")</f>
        <v>SE-001380392</v>
      </c>
      <c r="D23579" s="1">
        <v>45964.419432870367</v>
      </c>
      <c r="E23579" s="2">
        <v>1</v>
      </c>
      <c r="F23579" s="2">
        <v>1</v>
      </c>
      <c r="G23579" s="2">
        <v>0</v>
      </c>
      <c r="H23579" s="1" t="s">
        <v>0</v>
      </c>
      <c r="I23579" s="2">
        <v>0</v>
      </c>
      <c r="J23579" s="1">
        <v>45964.416990740741</v>
      </c>
    </row>
    <row r="23580" spans="1:10" x14ac:dyDescent="0.2">
      <c r="A23580" s="4" t="s">
        <v>1</v>
      </c>
      <c r="B23580" s="3" t="str">
        <f>HYPERLINK("https://otsuka-europe-crm.veevavault.com/ui/#object/approved_document__v/V5OZ025E82UKR5U", "SEP 2025: invitación simposio Alianza")</f>
        <v>SEP 2025: invitación simposio Alianza</v>
      </c>
      <c r="C23580" s="3" t="str">
        <f>HYPERLINK("https://otsuka-europe-crm.veevavault.com/ui/#object/sent_email__v/VBL000000005510", "SE-001380393")</f>
        <v>SE-001380393</v>
      </c>
      <c r="D23580" s="1">
        <v>45964.959699074076</v>
      </c>
      <c r="E23580" s="2">
        <v>1</v>
      </c>
      <c r="F23580" s="2">
        <v>1</v>
      </c>
      <c r="G23580" s="2">
        <v>0</v>
      </c>
      <c r="H23580" s="1" t="s">
        <v>0</v>
      </c>
      <c r="I23580" s="2">
        <v>0</v>
      </c>
      <c r="J23580" s="1">
        <v>45964.417013888888</v>
      </c>
    </row>
    <row r="23581" spans="1:10" x14ac:dyDescent="0.2">
      <c r="A23581" s="4" t="s">
        <v>1</v>
      </c>
      <c r="B23581" s="3" t="str">
        <f>HYPERLINK("https://otsuka-europe-crm.veevavault.com/ui/#object/approved_document__v/V5OZ025E82UKR5U", "SEP 2025: invitación simposio Alianza")</f>
        <v>SEP 2025: invitación simposio Alianza</v>
      </c>
      <c r="C23581" s="3" t="str">
        <f>HYPERLINK("https://otsuka-europe-crm.veevavault.com/ui/#object/sent_email__v/VBL000000005511", "SE-001380394")</f>
        <v>SE-001380394</v>
      </c>
      <c r="D23581" s="1">
        <v>45965.604201388887</v>
      </c>
      <c r="E23581" s="2">
        <v>1</v>
      </c>
      <c r="F23581" s="2">
        <v>2</v>
      </c>
      <c r="G23581" s="2">
        <v>0</v>
      </c>
      <c r="H23581" s="1" t="s">
        <v>0</v>
      </c>
      <c r="I23581" s="2">
        <v>0</v>
      </c>
      <c r="J23581" s="1">
        <v>45964.417071759257</v>
      </c>
    </row>
    <row r="23582" spans="1:10" x14ac:dyDescent="0.2">
      <c r="A23582" s="4" t="s">
        <v>1</v>
      </c>
      <c r="B23582" s="3" t="str">
        <f>HYPERLINK("https://otsuka-europe-crm.veevavault.com/ui/#object/approved_document__v/V5OZ025E82UKR5U", "SEP 2025: invitación simposio Alianza")</f>
        <v>SEP 2025: invitación simposio Alianza</v>
      </c>
      <c r="C23582" s="3" t="str">
        <f>HYPERLINK("https://otsuka-europe-crm.veevavault.com/ui/#object/sent_email__v/VBL000000005512", "SE-001380395")</f>
        <v>SE-001380395</v>
      </c>
      <c r="D23582" s="1" t="s">
        <v>0</v>
      </c>
      <c r="E23582" s="2">
        <v>0</v>
      </c>
      <c r="F23582" s="2">
        <v>0</v>
      </c>
      <c r="G23582" s="2">
        <v>0</v>
      </c>
      <c r="H23582" s="1" t="s">
        <v>0</v>
      </c>
      <c r="I23582" s="2">
        <v>0</v>
      </c>
      <c r="J23582" s="1">
        <v>45964.41710648148</v>
      </c>
    </row>
    <row r="23583" spans="1:10" x14ac:dyDescent="0.2">
      <c r="A23583" s="4" t="s">
        <v>1</v>
      </c>
      <c r="B23583" s="3" t="str">
        <f>HYPERLINK("https://otsuka-europe-crm.veevavault.com/ui/#object/approved_document__v/V5OZ025E82UKR5U", "SEP 2025: invitación simposio Alianza")</f>
        <v>SEP 2025: invitación simposio Alianza</v>
      </c>
      <c r="C23583" s="3" t="str">
        <f>HYPERLINK("https://otsuka-europe-crm.veevavault.com/ui/#object/sent_email__v/VBL000000005513", "SE-001380396")</f>
        <v>SE-001380396</v>
      </c>
      <c r="D23583" s="1">
        <v>46029.911226851851</v>
      </c>
      <c r="E23583" s="2">
        <v>1</v>
      </c>
      <c r="F23583" s="2">
        <v>8</v>
      </c>
      <c r="G23583" s="2">
        <v>0</v>
      </c>
      <c r="H23583" s="1" t="s">
        <v>0</v>
      </c>
      <c r="I23583" s="2">
        <v>0</v>
      </c>
      <c r="J23583" s="1">
        <v>45964.41715277778</v>
      </c>
    </row>
    <row r="23584" spans="1:10" x14ac:dyDescent="0.2">
      <c r="A23584" s="4" t="s">
        <v>1</v>
      </c>
      <c r="B23584" s="3" t="str">
        <f>HYPERLINK("https://otsuka-europe-crm.veevavault.com/ui/#object/approved_document__v/V5OZ025E82UKR5U", "SEP 2025: invitación simposio Alianza")</f>
        <v>SEP 2025: invitación simposio Alianza</v>
      </c>
      <c r="C23584" s="3" t="str">
        <f>HYPERLINK("https://otsuka-europe-crm.veevavault.com/ui/#object/sent_email__v/VBL000000005514", "SE-001380397")</f>
        <v>SE-001380397</v>
      </c>
      <c r="D23584" s="1" t="s">
        <v>0</v>
      </c>
      <c r="E23584" s="2">
        <v>0</v>
      </c>
      <c r="F23584" s="2">
        <v>0</v>
      </c>
      <c r="G23584" s="2">
        <v>0</v>
      </c>
      <c r="H23584" s="1" t="s">
        <v>0</v>
      </c>
      <c r="I23584" s="2">
        <v>0</v>
      </c>
      <c r="J23584" s="1">
        <v>45964.417199074072</v>
      </c>
    </row>
    <row r="23585" spans="1:10" x14ac:dyDescent="0.2">
      <c r="A23585" s="4" t="s">
        <v>1</v>
      </c>
      <c r="B23585" s="3" t="str">
        <f>HYPERLINK("https://otsuka-europe-crm.veevavault.com/ui/#object/approved_document__v/V5OZ025E82UKR5U", "SEP 2025: invitación simposio Alianza")</f>
        <v>SEP 2025: invitación simposio Alianza</v>
      </c>
      <c r="C23585" s="3" t="str">
        <f>HYPERLINK("https://otsuka-europe-crm.veevavault.com/ui/#object/sent_email__v/VBL000000005515", "SE-001380398")</f>
        <v>SE-001380398</v>
      </c>
      <c r="D23585" s="1" t="s">
        <v>0</v>
      </c>
      <c r="E23585" s="2">
        <v>0</v>
      </c>
      <c r="F23585" s="2">
        <v>0</v>
      </c>
      <c r="G23585" s="2">
        <v>0</v>
      </c>
      <c r="H23585" s="1" t="s">
        <v>0</v>
      </c>
      <c r="I23585" s="2">
        <v>0</v>
      </c>
      <c r="J23585" s="1">
        <v>45964.417245370372</v>
      </c>
    </row>
    <row r="23586" spans="1:10" x14ac:dyDescent="0.2">
      <c r="A23586" s="4" t="s">
        <v>1</v>
      </c>
      <c r="B23586" s="3" t="str">
        <f>HYPERLINK("https://otsuka-europe-crm.veevavault.com/ui/#object/approved_document__v/V5OZ025E82UKR5U", "SEP 2025: invitación simposio Alianza")</f>
        <v>SEP 2025: invitación simposio Alianza</v>
      </c>
      <c r="C23586" s="3" t="str">
        <f>HYPERLINK("https://otsuka-europe-crm.veevavault.com/ui/#object/sent_email__v/VBL000000005516", "SE-001380399")</f>
        <v>SE-001380399</v>
      </c>
      <c r="D23586" s="1" t="s">
        <v>0</v>
      </c>
      <c r="E23586" s="2">
        <v>0</v>
      </c>
      <c r="F23586" s="2">
        <v>0</v>
      </c>
      <c r="G23586" s="2">
        <v>0</v>
      </c>
      <c r="H23586" s="1" t="s">
        <v>0</v>
      </c>
      <c r="I23586" s="2">
        <v>0</v>
      </c>
      <c r="J23586" s="1">
        <v>45964.417280092595</v>
      </c>
    </row>
    <row r="23587" spans="1:10" x14ac:dyDescent="0.2">
      <c r="A23587" s="4" t="s">
        <v>1</v>
      </c>
      <c r="B23587" s="3" t="str">
        <f>HYPERLINK("https://otsuka-europe-crm.veevavault.com/ui/#object/approved_document__v/V5OZ025E82UKR5U", "SEP 2025: invitación simposio Alianza")</f>
        <v>SEP 2025: invitación simposio Alianza</v>
      </c>
      <c r="C23587" s="3" t="str">
        <f>HYPERLINK("https://otsuka-europe-crm.veevavault.com/ui/#object/sent_email__v/VBL000000005517", "SE-001380400")</f>
        <v>SE-001380400</v>
      </c>
      <c r="D23587" s="1" t="s">
        <v>0</v>
      </c>
      <c r="E23587" s="2">
        <v>0</v>
      </c>
      <c r="F23587" s="2">
        <v>0</v>
      </c>
      <c r="G23587" s="2">
        <v>0</v>
      </c>
      <c r="H23587" s="1" t="s">
        <v>0</v>
      </c>
      <c r="I23587" s="2">
        <v>0</v>
      </c>
      <c r="J23587" s="1">
        <v>45964.417314814818</v>
      </c>
    </row>
    <row r="23588" spans="1:10" x14ac:dyDescent="0.2">
      <c r="A23588" s="4" t="s">
        <v>1</v>
      </c>
      <c r="B23588" s="3" t="str">
        <f>HYPERLINK("https://otsuka-europe-crm.veevavault.com/ui/#object/approved_document__v/V5OZ025E82UKR5U", "SEP 2025: invitación simposio Alianza")</f>
        <v>SEP 2025: invitación simposio Alianza</v>
      </c>
      <c r="C23588" s="3" t="str">
        <f>HYPERLINK("https://otsuka-europe-crm.veevavault.com/ui/#object/sent_email__v/VBL000000005518", "SE-001380401")</f>
        <v>SE-001380401</v>
      </c>
      <c r="D23588" s="1" t="s">
        <v>0</v>
      </c>
      <c r="E23588" s="2">
        <v>0</v>
      </c>
      <c r="F23588" s="2">
        <v>0</v>
      </c>
      <c r="G23588" s="2">
        <v>0</v>
      </c>
      <c r="H23588" s="1" t="s">
        <v>0</v>
      </c>
      <c r="I23588" s="2">
        <v>0</v>
      </c>
      <c r="J23588" s="1">
        <v>45964.417361111111</v>
      </c>
    </row>
    <row r="23589" spans="1:10" x14ac:dyDescent="0.2">
      <c r="A23589" s="4" t="s">
        <v>1</v>
      </c>
      <c r="B23589" s="3" t="str">
        <f>HYPERLINK("https://otsuka-europe-crm.veevavault.com/ui/#object/approved_document__v/V5OZ025E82UKR5U", "SEP 2025: invitación simposio Alianza")</f>
        <v>SEP 2025: invitación simposio Alianza</v>
      </c>
      <c r="C23589" s="3" t="str">
        <f>HYPERLINK("https://otsuka-europe-crm.veevavault.com/ui/#object/sent_email__v/VBL000000005519", "SE-001380402")</f>
        <v>SE-001380402</v>
      </c>
      <c r="D23589" s="1">
        <v>45964.8828125</v>
      </c>
      <c r="E23589" s="2">
        <v>1</v>
      </c>
      <c r="F23589" s="2">
        <v>1</v>
      </c>
      <c r="G23589" s="2">
        <v>1</v>
      </c>
      <c r="H23589" s="1">
        <v>45964.882939814815</v>
      </c>
      <c r="I23589" s="2">
        <v>1</v>
      </c>
      <c r="J23589" s="1">
        <v>45964.417407407411</v>
      </c>
    </row>
    <row r="23590" spans="1:10" x14ac:dyDescent="0.2">
      <c r="A23590" s="4" t="s">
        <v>1</v>
      </c>
      <c r="B23590" s="3" t="str">
        <f>HYPERLINK("https://otsuka-europe-crm.veevavault.com/ui/#object/approved_document__v/V5OZ025E82UKR5U", "SEP 2025: invitación simposio Alianza")</f>
        <v>SEP 2025: invitación simposio Alianza</v>
      </c>
      <c r="C23590" s="3" t="str">
        <f>HYPERLINK("https://otsuka-europe-crm.veevavault.com/ui/#object/sent_email__v/VBL000000005520", "SE-001380403")</f>
        <v>SE-001380403</v>
      </c>
      <c r="D23590" s="1" t="s">
        <v>0</v>
      </c>
      <c r="E23590" s="2">
        <v>0</v>
      </c>
      <c r="F23590" s="2">
        <v>0</v>
      </c>
      <c r="G23590" s="2">
        <v>0</v>
      </c>
      <c r="H23590" s="1" t="s">
        <v>0</v>
      </c>
      <c r="I23590" s="2">
        <v>0</v>
      </c>
      <c r="J23590" s="1">
        <v>45964.417453703703</v>
      </c>
    </row>
    <row r="23591" spans="1:10" x14ac:dyDescent="0.2">
      <c r="A23591" s="4" t="s">
        <v>1</v>
      </c>
      <c r="B23591" s="3" t="str">
        <f>HYPERLINK("https://otsuka-europe-crm.veevavault.com/ui/#object/approved_document__v/V5OZ025E82UKR5U", "SEP 2025: invitación simposio Alianza")</f>
        <v>SEP 2025: invitación simposio Alianza</v>
      </c>
      <c r="C23591" s="3" t="str">
        <f>HYPERLINK("https://otsuka-europe-crm.veevavault.com/ui/#object/sent_email__v/VBL000000005521", "SE-001380404")</f>
        <v>SE-001380404</v>
      </c>
      <c r="D23591" s="1">
        <v>45970.405543981484</v>
      </c>
      <c r="E23591" s="2">
        <v>1</v>
      </c>
      <c r="F23591" s="2">
        <v>2</v>
      </c>
      <c r="G23591" s="2">
        <v>0</v>
      </c>
      <c r="H23591" s="1" t="s">
        <v>0</v>
      </c>
      <c r="I23591" s="2">
        <v>0</v>
      </c>
      <c r="J23591" s="1">
        <v>45964.417500000003</v>
      </c>
    </row>
    <row r="23592" spans="1:10" x14ac:dyDescent="0.2">
      <c r="A23592" s="4" t="s">
        <v>1</v>
      </c>
      <c r="B23592" s="3" t="str">
        <f>HYPERLINK("https://otsuka-europe-crm.veevavault.com/ui/#object/approved_document__v/V5OZ025E82UKR5U", "SEP 2025: invitación simposio Alianza")</f>
        <v>SEP 2025: invitación simposio Alianza</v>
      </c>
      <c r="C23592" s="3" t="str">
        <f>HYPERLINK("https://otsuka-europe-crm.veevavault.com/ui/#object/sent_email__v/VBL000000005522", "SE-001380405")</f>
        <v>SE-001380405</v>
      </c>
      <c r="D23592" s="1">
        <v>45967.386840277781</v>
      </c>
      <c r="E23592" s="2">
        <v>1</v>
      </c>
      <c r="F23592" s="2">
        <v>7</v>
      </c>
      <c r="G23592" s="2">
        <v>0</v>
      </c>
      <c r="H23592" s="1" t="s">
        <v>0</v>
      </c>
      <c r="I23592" s="2">
        <v>0</v>
      </c>
      <c r="J23592" s="1">
        <v>45964.417534722219</v>
      </c>
    </row>
    <row r="23593" spans="1:10" x14ac:dyDescent="0.2">
      <c r="A23593" s="4" t="s">
        <v>1</v>
      </c>
      <c r="B23593" s="3" t="str">
        <f>HYPERLINK("https://otsuka-europe-crm.veevavault.com/ui/#object/approved_document__v/V5OZ025E82UKR5U", "SEP 2025: invitación simposio Alianza")</f>
        <v>SEP 2025: invitación simposio Alianza</v>
      </c>
      <c r="C23593" s="3" t="str">
        <f>HYPERLINK("https://otsuka-europe-crm.veevavault.com/ui/#object/sent_email__v/VBL000000005523", "SE-001380406")</f>
        <v>SE-001380406</v>
      </c>
      <c r="D23593" s="1" t="s">
        <v>0</v>
      </c>
      <c r="E23593" s="2">
        <v>0</v>
      </c>
      <c r="F23593" s="2">
        <v>0</v>
      </c>
      <c r="G23593" s="2">
        <v>0</v>
      </c>
      <c r="H23593" s="1" t="s">
        <v>0</v>
      </c>
      <c r="I23593" s="2">
        <v>0</v>
      </c>
      <c r="J23593" s="1">
        <v>45964.417569444442</v>
      </c>
    </row>
    <row r="23594" spans="1:10" x14ac:dyDescent="0.2">
      <c r="A23594" s="4" t="s">
        <v>1</v>
      </c>
      <c r="B23594" s="3" t="str">
        <f>HYPERLINK("https://otsuka-europe-crm.veevavault.com/ui/#object/approved_document__v/V5OZ025E82UKR5U", "SEP 2025: invitación simposio Alianza")</f>
        <v>SEP 2025: invitación simposio Alianza</v>
      </c>
      <c r="C23594" s="3" t="str">
        <f>HYPERLINK("https://otsuka-europe-crm.veevavault.com/ui/#object/sent_email__v/VBL000000005524", "SE-001380407")</f>
        <v>SE-001380407</v>
      </c>
      <c r="D23594" s="1">
        <v>45964.810034722221</v>
      </c>
      <c r="E23594" s="2">
        <v>1</v>
      </c>
      <c r="F23594" s="2">
        <v>1</v>
      </c>
      <c r="G23594" s="2">
        <v>1</v>
      </c>
      <c r="H23594" s="1">
        <v>45964.810034722221</v>
      </c>
      <c r="I23594" s="2">
        <v>1</v>
      </c>
      <c r="J23594" s="1">
        <v>45964.417615740742</v>
      </c>
    </row>
    <row r="23595" spans="1:10" x14ac:dyDescent="0.2">
      <c r="A23595" s="4" t="s">
        <v>1</v>
      </c>
      <c r="B23595" s="3" t="str">
        <f>HYPERLINK("https://otsuka-europe-crm.veevavault.com/ui/#object/approved_document__v/V5OZ025E82UKR5U", "SEP 2025: invitación simposio Alianza")</f>
        <v>SEP 2025: invitación simposio Alianza</v>
      </c>
      <c r="C23595" s="3" t="str">
        <f>HYPERLINK("https://otsuka-europe-crm.veevavault.com/ui/#object/sent_email__v/VBL000000005525", "SE-001380408")</f>
        <v>SE-001380408</v>
      </c>
      <c r="D23595" s="1" t="s">
        <v>0</v>
      </c>
      <c r="E23595" s="2">
        <v>0</v>
      </c>
      <c r="F23595" s="2">
        <v>0</v>
      </c>
      <c r="G23595" s="2">
        <v>0</v>
      </c>
      <c r="H23595" s="1" t="s">
        <v>0</v>
      </c>
      <c r="I23595" s="2">
        <v>0</v>
      </c>
      <c r="J23595" s="1">
        <v>45964.417662037034</v>
      </c>
    </row>
    <row r="23596" spans="1:10" x14ac:dyDescent="0.2">
      <c r="A23596" s="4" t="s">
        <v>1</v>
      </c>
      <c r="B23596" s="3" t="str">
        <f>HYPERLINK("https://otsuka-europe-crm.veevavault.com/ui/#object/approved_document__v/V5OZ025E82UKR5U", "SEP 2025: invitación simposio Alianza")</f>
        <v>SEP 2025: invitación simposio Alianza</v>
      </c>
      <c r="C23596" s="3" t="str">
        <f>HYPERLINK("https://otsuka-europe-crm.veevavault.com/ui/#object/sent_email__v/VBL000000005526", "SE-001380409")</f>
        <v>SE-001380409</v>
      </c>
      <c r="D23596" s="1" t="s">
        <v>0</v>
      </c>
      <c r="E23596" s="2">
        <v>0</v>
      </c>
      <c r="F23596" s="2">
        <v>0</v>
      </c>
      <c r="G23596" s="2">
        <v>0</v>
      </c>
      <c r="H23596" s="1" t="s">
        <v>0</v>
      </c>
      <c r="I23596" s="2">
        <v>0</v>
      </c>
      <c r="J23596" s="1">
        <v>45964.417696759258</v>
      </c>
    </row>
    <row r="23597" spans="1:10" x14ac:dyDescent="0.2">
      <c r="A23597" s="4" t="s">
        <v>1</v>
      </c>
      <c r="B23597" s="3" t="str">
        <f>HYPERLINK("https://otsuka-europe-crm.veevavault.com/ui/#object/approved_document__v/V5OZ025E82UKR5U", "SEP 2025: invitación simposio Alianza")</f>
        <v>SEP 2025: invitación simposio Alianza</v>
      </c>
      <c r="C23597" s="3" t="str">
        <f>HYPERLINK("https://otsuka-europe-crm.veevavault.com/ui/#object/sent_email__v/VBL000000005527", "SE-001380410")</f>
        <v>SE-001380410</v>
      </c>
      <c r="D23597" s="1">
        <v>45971.239618055559</v>
      </c>
      <c r="E23597" s="2">
        <v>1</v>
      </c>
      <c r="F23597" s="2">
        <v>3</v>
      </c>
      <c r="G23597" s="2">
        <v>0</v>
      </c>
      <c r="H23597" s="1" t="s">
        <v>0</v>
      </c>
      <c r="I23597" s="2">
        <v>0</v>
      </c>
      <c r="J23597" s="1">
        <v>45964.417731481481</v>
      </c>
    </row>
    <row r="23598" spans="1:10" x14ac:dyDescent="0.2">
      <c r="A23598" s="4" t="s">
        <v>1</v>
      </c>
      <c r="B23598" s="3" t="str">
        <f>HYPERLINK("https://otsuka-europe-crm.veevavault.com/ui/#object/approved_document__v/V5OZ025E82UKR5U", "SEP 2025: invitación simposio Alianza")</f>
        <v>SEP 2025: invitación simposio Alianza</v>
      </c>
      <c r="C23598" s="3" t="str">
        <f>HYPERLINK("https://otsuka-europe-crm.veevavault.com/ui/#object/sent_email__v/VBL000000005528", "SE-001380411")</f>
        <v>SE-001380411</v>
      </c>
      <c r="D23598" s="1">
        <v>45964.889814814815</v>
      </c>
      <c r="E23598" s="2">
        <v>1</v>
      </c>
      <c r="F23598" s="2">
        <v>1</v>
      </c>
      <c r="G23598" s="2">
        <v>0</v>
      </c>
      <c r="H23598" s="1" t="s">
        <v>0</v>
      </c>
      <c r="I23598" s="2">
        <v>0</v>
      </c>
      <c r="J23598" s="1">
        <v>45964.41777777778</v>
      </c>
    </row>
    <row r="23599" spans="1:10" x14ac:dyDescent="0.2">
      <c r="A23599" s="4" t="s">
        <v>1</v>
      </c>
      <c r="B23599" s="3" t="str">
        <f>HYPERLINK("https://otsuka-europe-crm.veevavault.com/ui/#object/approved_document__v/V5OZ025E82UKR5U", "SEP 2025: invitación simposio Alianza")</f>
        <v>SEP 2025: invitación simposio Alianza</v>
      </c>
      <c r="C23599" s="3" t="str">
        <f>HYPERLINK("https://otsuka-europe-crm.veevavault.com/ui/#object/sent_email__v/VBL000000005529", "SE-001380412")</f>
        <v>SE-001380412</v>
      </c>
      <c r="D23599" s="1">
        <v>45964.593564814815</v>
      </c>
      <c r="E23599" s="2">
        <v>1</v>
      </c>
      <c r="F23599" s="2">
        <v>1</v>
      </c>
      <c r="G23599" s="2">
        <v>0</v>
      </c>
      <c r="H23599" s="1" t="s">
        <v>0</v>
      </c>
      <c r="I23599" s="2">
        <v>0</v>
      </c>
      <c r="J23599" s="1">
        <v>45964.417812500003</v>
      </c>
    </row>
    <row r="23600" spans="1:10" x14ac:dyDescent="0.2">
      <c r="A23600" s="4" t="s">
        <v>1</v>
      </c>
      <c r="B23600" s="3" t="str">
        <f>HYPERLINK("https://otsuka-europe-crm.veevavault.com/ui/#object/approved_document__v/V5OZ025E82UKR5U", "SEP 2025: invitación simposio Alianza")</f>
        <v>SEP 2025: invitación simposio Alianza</v>
      </c>
      <c r="C23600" s="3" t="str">
        <f>HYPERLINK("https://otsuka-europe-crm.veevavault.com/ui/#object/sent_email__v/VBL000000005530", "SE-001380413")</f>
        <v>SE-001380413</v>
      </c>
      <c r="D23600" s="1">
        <v>45966.708472222221</v>
      </c>
      <c r="E23600" s="2">
        <v>1</v>
      </c>
      <c r="F23600" s="2">
        <v>2</v>
      </c>
      <c r="G23600" s="2">
        <v>0</v>
      </c>
      <c r="H23600" s="1" t="s">
        <v>0</v>
      </c>
      <c r="I23600" s="2">
        <v>0</v>
      </c>
      <c r="J23600" s="1">
        <v>45964.417858796296</v>
      </c>
    </row>
    <row r="23601" spans="1:10" x14ac:dyDescent="0.2">
      <c r="A23601" s="4" t="s">
        <v>1</v>
      </c>
      <c r="B23601" s="3" t="str">
        <f>HYPERLINK("https://otsuka-europe-crm.veevavault.com/ui/#object/approved_document__v/V5OZ025E82UKR5U", "SEP 2025: invitación simposio Alianza")</f>
        <v>SEP 2025: invitación simposio Alianza</v>
      </c>
      <c r="C23601" s="3" t="str">
        <f>HYPERLINK("https://otsuka-europe-crm.veevavault.com/ui/#object/sent_email__v/VBL000000005531", "SE-001380414")</f>
        <v>SE-001380414</v>
      </c>
      <c r="D23601" s="1">
        <v>45966.255659722221</v>
      </c>
      <c r="E23601" s="2">
        <v>1</v>
      </c>
      <c r="F23601" s="2">
        <v>2</v>
      </c>
      <c r="G23601" s="2">
        <v>0</v>
      </c>
      <c r="H23601" s="1" t="s">
        <v>0</v>
      </c>
      <c r="I23601" s="2">
        <v>0</v>
      </c>
      <c r="J23601" s="1">
        <v>45964.417905092596</v>
      </c>
    </row>
    <row r="23602" spans="1:10" x14ac:dyDescent="0.2">
      <c r="A23602" s="4" t="s">
        <v>1</v>
      </c>
      <c r="B23602" s="3" t="str">
        <f>HYPERLINK("https://otsuka-europe-crm.veevavault.com/ui/#object/approved_document__v/V5OZ025E82UKR5U", "SEP 2025: invitación simposio Alianza")</f>
        <v>SEP 2025: invitación simposio Alianza</v>
      </c>
      <c r="C23602" s="3" t="str">
        <f>HYPERLINK("https://otsuka-europe-crm.veevavault.com/ui/#object/sent_email__v/VBL000000004210", "SE-001380415")</f>
        <v>SE-001380415</v>
      </c>
      <c r="D23602" s="1">
        <v>45980.73364583333</v>
      </c>
      <c r="E23602" s="2">
        <v>1</v>
      </c>
      <c r="F23602" s="2">
        <v>3</v>
      </c>
      <c r="G23602" s="2">
        <v>0</v>
      </c>
      <c r="H23602" s="1" t="s">
        <v>0</v>
      </c>
      <c r="I23602" s="2">
        <v>0</v>
      </c>
      <c r="J23602" s="1">
        <v>45964.419722222221</v>
      </c>
    </row>
    <row r="23603" spans="1:10" x14ac:dyDescent="0.2">
      <c r="A23603" s="4" t="s">
        <v>1</v>
      </c>
      <c r="B23603" s="3" t="str">
        <f>HYPERLINK("https://otsuka-europe-crm.veevavault.com/ui/#object/approved_document__v/V5OZ025E82UKR5U", "SEP 2025: invitación simposio Alianza")</f>
        <v>SEP 2025: invitación simposio Alianza</v>
      </c>
      <c r="C23603" s="3" t="str">
        <f>HYPERLINK("https://otsuka-europe-crm.veevavault.com/ui/#object/sent_email__v/VBL000000004211", "SE-001380416")</f>
        <v>SE-001380416</v>
      </c>
      <c r="D23603" s="1">
        <v>45964.460520833331</v>
      </c>
      <c r="E23603" s="2">
        <v>1</v>
      </c>
      <c r="F23603" s="2">
        <v>2</v>
      </c>
      <c r="G23603" s="2">
        <v>0</v>
      </c>
      <c r="H23603" s="1" t="s">
        <v>0</v>
      </c>
      <c r="I23603" s="2">
        <v>0</v>
      </c>
      <c r="J23603" s="1">
        <v>45964.419791666667</v>
      </c>
    </row>
    <row r="23604" spans="1:10" x14ac:dyDescent="0.2">
      <c r="A23604" s="4" t="s">
        <v>1</v>
      </c>
      <c r="B23604" s="3" t="str">
        <f>HYPERLINK("https://otsuka-europe-crm.veevavault.com/ui/#object/approved_document__v/V5OZ025E82UKR5U", "SEP 2025: invitación simposio Alianza")</f>
        <v>SEP 2025: invitación simposio Alianza</v>
      </c>
      <c r="C23604" s="3" t="str">
        <f>HYPERLINK("https://otsuka-europe-crm.veevavault.com/ui/#object/sent_email__v/VBL000000004212", "SE-001380417")</f>
        <v>SE-001380417</v>
      </c>
      <c r="D23604" s="1">
        <v>45965.786469907405</v>
      </c>
      <c r="E23604" s="2">
        <v>1</v>
      </c>
      <c r="F23604" s="2">
        <v>1</v>
      </c>
      <c r="G23604" s="2">
        <v>0</v>
      </c>
      <c r="H23604" s="1" t="s">
        <v>0</v>
      </c>
      <c r="I23604" s="2">
        <v>0</v>
      </c>
      <c r="J23604" s="1">
        <v>45964.419872685183</v>
      </c>
    </row>
    <row r="23605" spans="1:10" x14ac:dyDescent="0.2">
      <c r="A23605" s="4" t="s">
        <v>1</v>
      </c>
      <c r="B23605" s="3" t="str">
        <f>HYPERLINK("https://otsuka-europe-crm.veevavault.com/ui/#object/approved_document__v/V5OZ025E82UKR5U", "SEP 2025: invitación simposio Alianza")</f>
        <v>SEP 2025: invitación simposio Alianza</v>
      </c>
      <c r="C23605" s="3" t="str">
        <f>HYPERLINK("https://otsuka-europe-crm.veevavault.com/ui/#object/sent_email__v/VBL000000004213", "SE-001380418")</f>
        <v>SE-001380418</v>
      </c>
      <c r="D23605" s="1" t="s">
        <v>0</v>
      </c>
      <c r="E23605" s="2">
        <v>0</v>
      </c>
      <c r="F23605" s="2">
        <v>0</v>
      </c>
      <c r="G23605" s="2">
        <v>0</v>
      </c>
      <c r="H23605" s="1" t="s">
        <v>0</v>
      </c>
      <c r="I23605" s="2">
        <v>0</v>
      </c>
      <c r="J23605" s="1">
        <v>45964.419930555552</v>
      </c>
    </row>
    <row r="23606" spans="1:10" x14ac:dyDescent="0.2">
      <c r="A23606" s="4" t="s">
        <v>1</v>
      </c>
      <c r="B23606" s="3" t="str">
        <f>HYPERLINK("https://otsuka-europe-crm.veevavault.com/ui/#object/approved_document__v/V5OZ025E82UKR5U", "SEP 2025: invitación simposio Alianza")</f>
        <v>SEP 2025: invitación simposio Alianza</v>
      </c>
      <c r="C23606" s="3" t="str">
        <f>HYPERLINK("https://otsuka-europe-crm.veevavault.com/ui/#object/sent_email__v/VBL000000004214", "SE-001380419")</f>
        <v>SE-001380419</v>
      </c>
      <c r="D23606" s="1">
        <v>45964.422939814816</v>
      </c>
      <c r="E23606" s="2">
        <v>1</v>
      </c>
      <c r="F23606" s="2">
        <v>1</v>
      </c>
      <c r="G23606" s="2">
        <v>0</v>
      </c>
      <c r="H23606" s="1" t="s">
        <v>0</v>
      </c>
      <c r="I23606" s="2">
        <v>0</v>
      </c>
      <c r="J23606" s="1">
        <v>45964.42</v>
      </c>
    </row>
    <row r="23607" spans="1:10" x14ac:dyDescent="0.2">
      <c r="A23607" s="4" t="s">
        <v>1</v>
      </c>
      <c r="B23607" s="3" t="str">
        <f>HYPERLINK("https://otsuka-europe-crm.veevavault.com/ui/#object/approved_document__v/V5OZ025E82UKR5U", "SEP 2025: invitación simposio Alianza")</f>
        <v>SEP 2025: invitación simposio Alianza</v>
      </c>
      <c r="C23607" s="3" t="str">
        <f>HYPERLINK("https://otsuka-europe-crm.veevavault.com/ui/#object/sent_email__v/VBL000000004215", "SE-001380420")</f>
        <v>SE-001380420</v>
      </c>
      <c r="D23607" s="1">
        <v>45964.709976851853</v>
      </c>
      <c r="E23607" s="2">
        <v>1</v>
      </c>
      <c r="F23607" s="2">
        <v>2</v>
      </c>
      <c r="G23607" s="2">
        <v>0</v>
      </c>
      <c r="H23607" s="1" t="s">
        <v>0</v>
      </c>
      <c r="I23607" s="2">
        <v>0</v>
      </c>
      <c r="J23607" s="1">
        <v>45964.420081018521</v>
      </c>
    </row>
    <row r="23608" spans="1:10" x14ac:dyDescent="0.2">
      <c r="A23608" s="4" t="s">
        <v>1</v>
      </c>
      <c r="B23608" s="3" t="str">
        <f>HYPERLINK("https://otsuka-europe-crm.veevavault.com/ui/#object/approved_document__v/V5OZ025E82UKR5U", "SEP 2025: invitación simposio Alianza")</f>
        <v>SEP 2025: invitación simposio Alianza</v>
      </c>
      <c r="C23608" s="3" t="str">
        <f>HYPERLINK("https://otsuka-europe-crm.veevavault.com/ui/#object/sent_email__v/VBL000000004216", "SE-001380421")</f>
        <v>SE-001380421</v>
      </c>
      <c r="D23608" s="1">
        <v>45966.32440972222</v>
      </c>
      <c r="E23608" s="2">
        <v>1</v>
      </c>
      <c r="F23608" s="2">
        <v>2</v>
      </c>
      <c r="G23608" s="2">
        <v>0</v>
      </c>
      <c r="H23608" s="1" t="s">
        <v>0</v>
      </c>
      <c r="I23608" s="2">
        <v>0</v>
      </c>
      <c r="J23608" s="1">
        <v>45964.42015046296</v>
      </c>
    </row>
    <row r="23609" spans="1:10" x14ac:dyDescent="0.2">
      <c r="A23609" s="4" t="s">
        <v>1</v>
      </c>
      <c r="B23609" s="3" t="str">
        <f>HYPERLINK("https://otsuka-europe-crm.veevavault.com/ui/#object/approved_document__v/V5OZ025E82UKR5U", "SEP 2025: invitación simposio Alianza")</f>
        <v>SEP 2025: invitación simposio Alianza</v>
      </c>
      <c r="C23609" s="3" t="str">
        <f>HYPERLINK("https://otsuka-europe-crm.veevavault.com/ui/#object/sent_email__v/VBL000000004217", "SE-001380422")</f>
        <v>SE-001380422</v>
      </c>
      <c r="D23609" s="1">
        <v>45964.736377314817</v>
      </c>
      <c r="E23609" s="2">
        <v>1</v>
      </c>
      <c r="F23609" s="2">
        <v>1</v>
      </c>
      <c r="G23609" s="2">
        <v>0</v>
      </c>
      <c r="H23609" s="1" t="s">
        <v>0</v>
      </c>
      <c r="I23609" s="2">
        <v>0</v>
      </c>
      <c r="J23609" s="1">
        <v>45964.42019675926</v>
      </c>
    </row>
    <row r="23610" spans="1:10" x14ac:dyDescent="0.2">
      <c r="A23610" s="4" t="s">
        <v>1</v>
      </c>
      <c r="B23610" s="3" t="str">
        <f>HYPERLINK("https://otsuka-europe-crm.veevavault.com/ui/#object/approved_document__v/V5OZ025E82UKR5U", "SEP 2025: invitación simposio Alianza")</f>
        <v>SEP 2025: invitación simposio Alianza</v>
      </c>
      <c r="C23610" s="3" t="str">
        <f>HYPERLINK("https://otsuka-europe-crm.veevavault.com/ui/#object/sent_email__v/VBL000000004218", "SE-001380423")</f>
        <v>SE-001380423</v>
      </c>
      <c r="D23610" s="1">
        <v>45964.449317129627</v>
      </c>
      <c r="E23610" s="2">
        <v>1</v>
      </c>
      <c r="F23610" s="2">
        <v>2</v>
      </c>
      <c r="G23610" s="2">
        <v>0</v>
      </c>
      <c r="H23610" s="1" t="s">
        <v>0</v>
      </c>
      <c r="I23610" s="2">
        <v>0</v>
      </c>
      <c r="J23610" s="1">
        <v>45964.420243055552</v>
      </c>
    </row>
    <row r="23611" spans="1:10" x14ac:dyDescent="0.2">
      <c r="A23611" s="4" t="s">
        <v>1</v>
      </c>
      <c r="B23611" s="3" t="str">
        <f>HYPERLINK("https://otsuka-europe-crm.veevavault.com/ui/#object/approved_document__v/V5OZ025E82UKR5U", "SEP 2025: invitación simposio Alianza")</f>
        <v>SEP 2025: invitación simposio Alianza</v>
      </c>
      <c r="C23611" s="3" t="str">
        <f>HYPERLINK("https://otsuka-europe-crm.veevavault.com/ui/#object/sent_email__v/VBL000000004219", "SE-001380424")</f>
        <v>SE-001380424</v>
      </c>
      <c r="D23611" s="1" t="s">
        <v>0</v>
      </c>
      <c r="E23611" s="2">
        <v>0</v>
      </c>
      <c r="F23611" s="2">
        <v>0</v>
      </c>
      <c r="G23611" s="2">
        <v>0</v>
      </c>
      <c r="H23611" s="1" t="s">
        <v>0</v>
      </c>
      <c r="I23611" s="2">
        <v>0</v>
      </c>
      <c r="J23611" s="1">
        <v>45964.420277777775</v>
      </c>
    </row>
    <row r="23612" spans="1:10" x14ac:dyDescent="0.2">
      <c r="A23612" s="4" t="s">
        <v>1</v>
      </c>
      <c r="B23612" s="3" t="str">
        <f>HYPERLINK("https://otsuka-europe-crm.veevavault.com/ui/#object/approved_document__v/V5OZ025E82UKR5U", "SEP 2025: invitación simposio Alianza")</f>
        <v>SEP 2025: invitación simposio Alianza</v>
      </c>
      <c r="C23612" s="3" t="str">
        <f>HYPERLINK("https://otsuka-europe-crm.veevavault.com/ui/#object/sent_email__v/VBL000000004220", "SE-001380425")</f>
        <v>SE-001380425</v>
      </c>
      <c r="D23612" s="1">
        <v>45978.556145833332</v>
      </c>
      <c r="E23612" s="2">
        <v>1</v>
      </c>
      <c r="F23612" s="2">
        <v>5</v>
      </c>
      <c r="G23612" s="2">
        <v>0</v>
      </c>
      <c r="H23612" s="1" t="s">
        <v>0</v>
      </c>
      <c r="I23612" s="2">
        <v>0</v>
      </c>
      <c r="J23612" s="1">
        <v>45964.420324074075</v>
      </c>
    </row>
    <row r="23613" spans="1:10" x14ac:dyDescent="0.2">
      <c r="A23613" s="4" t="s">
        <v>1</v>
      </c>
      <c r="B23613" s="3" t="str">
        <f>HYPERLINK("https://otsuka-europe-crm.veevavault.com/ui/#object/approved_document__v/V5OZ025E82UKR5U", "SEP 2025: invitación simposio Alianza")</f>
        <v>SEP 2025: invitación simposio Alianza</v>
      </c>
      <c r="C23613" s="3" t="str">
        <f>HYPERLINK("https://otsuka-europe-crm.veevavault.com/ui/#object/sent_email__v/VBL000000004221", "SE-001380426")</f>
        <v>SE-001380426</v>
      </c>
      <c r="D23613" s="1">
        <v>45964.563576388886</v>
      </c>
      <c r="E23613" s="2">
        <v>1</v>
      </c>
      <c r="F23613" s="2">
        <v>1</v>
      </c>
      <c r="G23613" s="2">
        <v>0</v>
      </c>
      <c r="H23613" s="1" t="s">
        <v>0</v>
      </c>
      <c r="I23613" s="2">
        <v>0</v>
      </c>
      <c r="J23613" s="1">
        <v>45964.420358796298</v>
      </c>
    </row>
    <row r="23614" spans="1:10" x14ac:dyDescent="0.2">
      <c r="A23614" s="4" t="s">
        <v>1</v>
      </c>
      <c r="B23614" s="3" t="str">
        <f>HYPERLINK("https://otsuka-europe-crm.veevavault.com/ui/#object/approved_document__v/V5OZ025E82UKR5U", "SEP 2025: invitación simposio Alianza")</f>
        <v>SEP 2025: invitación simposio Alianza</v>
      </c>
      <c r="C23614" s="3" t="str">
        <f>HYPERLINK("https://otsuka-europe-crm.veevavault.com/ui/#object/sent_email__v/VBL000000004222", "SE-001380427")</f>
        <v>SE-001380427</v>
      </c>
      <c r="D23614" s="1">
        <v>45964.613379629627</v>
      </c>
      <c r="E23614" s="2">
        <v>1</v>
      </c>
      <c r="F23614" s="2">
        <v>1</v>
      </c>
      <c r="G23614" s="2">
        <v>0</v>
      </c>
      <c r="H23614" s="1" t="s">
        <v>0</v>
      </c>
      <c r="I23614" s="2">
        <v>0</v>
      </c>
      <c r="J23614" s="1">
        <v>45964.420405092591</v>
      </c>
    </row>
    <row r="23615" spans="1:10" x14ac:dyDescent="0.2">
      <c r="A23615" s="4" t="s">
        <v>1</v>
      </c>
      <c r="B23615" s="3" t="str">
        <f>HYPERLINK("https://otsuka-europe-crm.veevavault.com/ui/#object/approved_document__v/V5OZ025E82UKR5U", "SEP 2025: invitación simposio Alianza")</f>
        <v>SEP 2025: invitación simposio Alianza</v>
      </c>
      <c r="C23615" s="3" t="str">
        <f>HYPERLINK("https://otsuka-europe-crm.veevavault.com/ui/#object/sent_email__v/VBL000000004223", "SE-001380428")</f>
        <v>SE-001380428</v>
      </c>
      <c r="D23615" s="1">
        <v>45965.28738425926</v>
      </c>
      <c r="E23615" s="2">
        <v>1</v>
      </c>
      <c r="F23615" s="2">
        <v>2</v>
      </c>
      <c r="G23615" s="2">
        <v>0</v>
      </c>
      <c r="H23615" s="1" t="s">
        <v>0</v>
      </c>
      <c r="I23615" s="2">
        <v>0</v>
      </c>
      <c r="J23615" s="1">
        <v>45964.420451388891</v>
      </c>
    </row>
    <row r="23616" spans="1:10" x14ac:dyDescent="0.2">
      <c r="A23616" s="4" t="s">
        <v>1</v>
      </c>
      <c r="B23616" s="3" t="str">
        <f>HYPERLINK("https://otsuka-europe-crm.veevavault.com/ui/#object/approved_document__v/V5OZ025E82UKR5U", "SEP 2025: invitación simposio Alianza")</f>
        <v>SEP 2025: invitación simposio Alianza</v>
      </c>
      <c r="C23616" s="3" t="str">
        <f>HYPERLINK("https://otsuka-europe-crm.veevavault.com/ui/#object/sent_email__v/VBL000000004224", "SE-001380429")</f>
        <v>SE-001380429</v>
      </c>
      <c r="D23616" s="1">
        <v>45964.460856481484</v>
      </c>
      <c r="E23616" s="2">
        <v>1</v>
      </c>
      <c r="F23616" s="2">
        <v>1</v>
      </c>
      <c r="G23616" s="2">
        <v>0</v>
      </c>
      <c r="H23616" s="1" t="s">
        <v>0</v>
      </c>
      <c r="I23616" s="2">
        <v>0</v>
      </c>
      <c r="J23616" s="1">
        <v>45964.420486111114</v>
      </c>
    </row>
    <row r="23617" spans="1:10" x14ac:dyDescent="0.2">
      <c r="A23617" s="4" t="s">
        <v>1</v>
      </c>
      <c r="B23617" s="3" t="str">
        <f>HYPERLINK("https://otsuka-europe-crm.veevavault.com/ui/#object/approved_document__v/V5OZ025E82UKR5U", "SEP 2025: invitación simposio Alianza")</f>
        <v>SEP 2025: invitación simposio Alianza</v>
      </c>
      <c r="C23617" s="3" t="str">
        <f>HYPERLINK("https://otsuka-europe-crm.veevavault.com/ui/#object/sent_email__v/VBL000000004225", "SE-001380430")</f>
        <v>SE-001380430</v>
      </c>
      <c r="D23617" s="1">
        <v>45964.512141203704</v>
      </c>
      <c r="E23617" s="2">
        <v>1</v>
      </c>
      <c r="F23617" s="2">
        <v>1</v>
      </c>
      <c r="G23617" s="2">
        <v>1</v>
      </c>
      <c r="H23617" s="1">
        <v>45964.512256944443</v>
      </c>
      <c r="I23617" s="2">
        <v>1</v>
      </c>
      <c r="J23617" s="1">
        <v>45964.420532407406</v>
      </c>
    </row>
    <row r="23618" spans="1:10" x14ac:dyDescent="0.2">
      <c r="A23618" s="4" t="s">
        <v>1</v>
      </c>
      <c r="B23618" s="3" t="str">
        <f>HYPERLINK("https://otsuka-europe-crm.veevavault.com/ui/#object/approved_document__v/V5OZ025E82UKR5U", "SEP 2025: invitación simposio Alianza")</f>
        <v>SEP 2025: invitación simposio Alianza</v>
      </c>
      <c r="C23618" s="3" t="str">
        <f>HYPERLINK("https://otsuka-europe-crm.veevavault.com/ui/#object/sent_email__v/VBL000000004226", "SE-001380431")</f>
        <v>SE-001380431</v>
      </c>
      <c r="D23618" s="1">
        <v>45967.355740740742</v>
      </c>
      <c r="E23618" s="2">
        <v>1</v>
      </c>
      <c r="F23618" s="2">
        <v>6</v>
      </c>
      <c r="G23618" s="2">
        <v>1</v>
      </c>
      <c r="H23618" s="1">
        <v>45964.473171296297</v>
      </c>
      <c r="I23618" s="2">
        <v>2</v>
      </c>
      <c r="J23618" s="1">
        <v>45964.420578703706</v>
      </c>
    </row>
    <row r="23619" spans="1:10" x14ac:dyDescent="0.2">
      <c r="A23619" s="4" t="s">
        <v>1</v>
      </c>
      <c r="B23619" s="3" t="str">
        <f>HYPERLINK("https://otsuka-europe-crm.veevavault.com/ui/#object/approved_document__v/V5OZ025E82UKR5U", "SEP 2025: invitación simposio Alianza")</f>
        <v>SEP 2025: invitación simposio Alianza</v>
      </c>
      <c r="C23619" s="3" t="str">
        <f>HYPERLINK("https://otsuka-europe-crm.veevavault.com/ui/#object/sent_email__v/VBL000000004233", "SE-001380443")</f>
        <v>SE-001380443</v>
      </c>
      <c r="D23619" s="1" t="s">
        <v>0</v>
      </c>
      <c r="E23619" s="2">
        <v>0</v>
      </c>
      <c r="F23619" s="2">
        <v>0</v>
      </c>
      <c r="G23619" s="2">
        <v>0</v>
      </c>
      <c r="H23619" s="1" t="s">
        <v>0</v>
      </c>
      <c r="I23619" s="2">
        <v>0</v>
      </c>
      <c r="J23619" s="1">
        <v>45964.480057870373</v>
      </c>
    </row>
    <row r="23620" spans="1:10" x14ac:dyDescent="0.2">
      <c r="A23620" s="4" t="s">
        <v>1</v>
      </c>
      <c r="B23620" s="3" t="str">
        <f>HYPERLINK("https://otsuka-europe-crm.veevavault.com/ui/#object/approved_document__v/V5OZ025E82UKR5U", "SEP 2025: invitación simposio Alianza")</f>
        <v>SEP 2025: invitación simposio Alianza</v>
      </c>
      <c r="C23620" s="3" t="str">
        <f>HYPERLINK("https://otsuka-europe-crm.veevavault.com/ui/#object/sent_email__v/VBL000000004234", "SE-001380444")</f>
        <v>SE-001380444</v>
      </c>
      <c r="D23620" s="1">
        <v>45967.521423611113</v>
      </c>
      <c r="E23620" s="2">
        <v>1</v>
      </c>
      <c r="F23620" s="2">
        <v>2</v>
      </c>
      <c r="G23620" s="2">
        <v>0</v>
      </c>
      <c r="H23620" s="1" t="s">
        <v>0</v>
      </c>
      <c r="I23620" s="2">
        <v>0</v>
      </c>
      <c r="J23620" s="1">
        <v>45964.480069444442</v>
      </c>
    </row>
    <row r="23621" spans="1:10" x14ac:dyDescent="0.2">
      <c r="A23621" s="4" t="s">
        <v>1</v>
      </c>
      <c r="B23621" s="3" t="str">
        <f>HYPERLINK("https://otsuka-europe-crm.veevavault.com/ui/#object/approved_document__v/V5OZ025E82UKR5U", "SEP 2025: invitación simposio Alianza")</f>
        <v>SEP 2025: invitación simposio Alianza</v>
      </c>
      <c r="C23621" s="3" t="str">
        <f>HYPERLINK("https://otsuka-europe-crm.veevavault.com/ui/#object/sent_email__v/VBL000000004235", "SE-001380445")</f>
        <v>SE-001380445</v>
      </c>
      <c r="D23621" s="1">
        <v>45964.522546296299</v>
      </c>
      <c r="E23621" s="2">
        <v>1</v>
      </c>
      <c r="F23621" s="2">
        <v>2</v>
      </c>
      <c r="G23621" s="2">
        <v>0</v>
      </c>
      <c r="H23621" s="1" t="s">
        <v>0</v>
      </c>
      <c r="I23621" s="2">
        <v>0</v>
      </c>
      <c r="J23621" s="1">
        <v>45964.480173611111</v>
      </c>
    </row>
    <row r="23622" spans="1:10" x14ac:dyDescent="0.2">
      <c r="A23622" s="4" t="s">
        <v>1</v>
      </c>
      <c r="B23622" s="3" t="str">
        <f>HYPERLINK("https://otsuka-europe-crm.veevavault.com/ui/#object/approved_document__v/V5OZ025E82UKR5U", "SEP 2025: invitación simposio Alianza")</f>
        <v>SEP 2025: invitación simposio Alianza</v>
      </c>
      <c r="C23622" s="3" t="str">
        <f>HYPERLINK("https://otsuka-europe-crm.veevavault.com/ui/#object/sent_email__v/VBL000000004236", "SE-001380446")</f>
        <v>SE-001380446</v>
      </c>
      <c r="D23622" s="1" t="s">
        <v>0</v>
      </c>
      <c r="E23622" s="2">
        <v>0</v>
      </c>
      <c r="F23622" s="2">
        <v>0</v>
      </c>
      <c r="G23622" s="2">
        <v>0</v>
      </c>
      <c r="H23622" s="1" t="s">
        <v>0</v>
      </c>
      <c r="I23622" s="2">
        <v>0</v>
      </c>
      <c r="J23622" s="1">
        <v>45964.48028935185</v>
      </c>
    </row>
    <row r="23623" spans="1:10" x14ac:dyDescent="0.2">
      <c r="A23623" s="4" t="s">
        <v>1</v>
      </c>
      <c r="B23623" s="3" t="str">
        <f>HYPERLINK("https://otsuka-europe-crm.veevavault.com/ui/#object/approved_document__v/V5OZ025E82UKR5U", "SEP 2025: invitación simposio Alianza")</f>
        <v>SEP 2025: invitación simposio Alianza</v>
      </c>
      <c r="C23623" s="3" t="str">
        <f>HYPERLINK("https://otsuka-europe-crm.veevavault.com/ui/#object/sent_email__v/VBL000000004237", "SE-001380447")</f>
        <v>SE-001380447</v>
      </c>
      <c r="D23623" s="1">
        <v>45964.670717592591</v>
      </c>
      <c r="E23623" s="2">
        <v>1</v>
      </c>
      <c r="F23623" s="2">
        <v>1</v>
      </c>
      <c r="G23623" s="2">
        <v>0</v>
      </c>
      <c r="H23623" s="1" t="s">
        <v>0</v>
      </c>
      <c r="I23623" s="2">
        <v>0</v>
      </c>
      <c r="J23623" s="1">
        <v>45964.480324074073</v>
      </c>
    </row>
    <row r="23624" spans="1:10" x14ac:dyDescent="0.2">
      <c r="A23624" s="4" t="s">
        <v>1</v>
      </c>
      <c r="B23624" s="3" t="str">
        <f>HYPERLINK("https://otsuka-europe-crm.veevavault.com/ui/#object/approved_document__v/V5OZ025E82UKR5U", "SEP 2025: invitación simposio Alianza")</f>
        <v>SEP 2025: invitación simposio Alianza</v>
      </c>
      <c r="C23624" s="3" t="str">
        <f>HYPERLINK("https://otsuka-europe-crm.veevavault.com/ui/#object/sent_email__v/VBL000000005601", "SE-001380448")</f>
        <v>SE-001380448</v>
      </c>
      <c r="D23624" s="1">
        <v>45964.550416666665</v>
      </c>
      <c r="E23624" s="2">
        <v>1</v>
      </c>
      <c r="F23624" s="2">
        <v>1</v>
      </c>
      <c r="G23624" s="2">
        <v>1</v>
      </c>
      <c r="H23624" s="1">
        <v>45964.550520833334</v>
      </c>
      <c r="I23624" s="2">
        <v>1</v>
      </c>
      <c r="J23624" s="1">
        <v>45964.480520833335</v>
      </c>
    </row>
    <row r="23625" spans="1:10" x14ac:dyDescent="0.2">
      <c r="A23625" s="4" t="s">
        <v>1</v>
      </c>
      <c r="B23625" s="3" t="str">
        <f>HYPERLINK("https://otsuka-europe-crm.veevavault.com/ui/#object/approved_document__v/V5OZ025E82UKR5U", "SEP 2025: invitación simposio Alianza")</f>
        <v>SEP 2025: invitación simposio Alianza</v>
      </c>
      <c r="C23625" s="3" t="str">
        <f>HYPERLINK("https://otsuka-europe-crm.veevavault.com/ui/#object/sent_email__v/VBL000000004238", "SE-001380449")</f>
        <v>SE-001380449</v>
      </c>
      <c r="D23625" s="1" t="s">
        <v>0</v>
      </c>
      <c r="E23625" s="2">
        <v>0</v>
      </c>
      <c r="F23625" s="2">
        <v>0</v>
      </c>
      <c r="G23625" s="2">
        <v>0</v>
      </c>
      <c r="H23625" s="1" t="s">
        <v>0</v>
      </c>
      <c r="I23625" s="2">
        <v>0</v>
      </c>
      <c r="J23625" s="1">
        <v>45964.480740740742</v>
      </c>
    </row>
    <row r="23626" spans="1:10" x14ac:dyDescent="0.2">
      <c r="A23626" s="4" t="s">
        <v>1</v>
      </c>
      <c r="B23626" s="3" t="str">
        <f>HYPERLINK("https://otsuka-europe-crm.veevavault.com/ui/#object/approved_document__v/V5OZ025E82UKR5U", "SEP 2025: invitación simposio Alianza")</f>
        <v>SEP 2025: invitación simposio Alianza</v>
      </c>
      <c r="C23626" s="3" t="str">
        <f>HYPERLINK("https://otsuka-europe-crm.veevavault.com/ui/#object/sent_email__v/VBL000000004239", "SE-001380450")</f>
        <v>SE-001380450</v>
      </c>
      <c r="D23626" s="1" t="s">
        <v>0</v>
      </c>
      <c r="E23626" s="2">
        <v>0</v>
      </c>
      <c r="F23626" s="2">
        <v>0</v>
      </c>
      <c r="G23626" s="2">
        <v>0</v>
      </c>
      <c r="H23626" s="1" t="s">
        <v>0</v>
      </c>
      <c r="I23626" s="2">
        <v>0</v>
      </c>
      <c r="J23626" s="1">
        <v>45964.481099537035</v>
      </c>
    </row>
    <row r="23627" spans="1:10" x14ac:dyDescent="0.2">
      <c r="A23627" s="4" t="s">
        <v>1</v>
      </c>
      <c r="B23627" s="3" t="str">
        <f>HYPERLINK("https://otsuka-europe-crm.veevavault.com/ui/#object/approved_document__v/V5OZ025E82UKR5U", "SEP 2025: invitación simposio Alianza")</f>
        <v>SEP 2025: invitación simposio Alianza</v>
      </c>
      <c r="C23627" s="3" t="str">
        <f>HYPERLINK("https://otsuka-europe-crm.veevavault.com/ui/#object/sent_email__v/VBL000000004240", "SE-001380451")</f>
        <v>SE-001380451</v>
      </c>
      <c r="D23627" s="1">
        <v>45973.347662037035</v>
      </c>
      <c r="E23627" s="2">
        <v>1</v>
      </c>
      <c r="F23627" s="2">
        <v>3</v>
      </c>
      <c r="G23627" s="2">
        <v>0</v>
      </c>
      <c r="H23627" s="1" t="s">
        <v>0</v>
      </c>
      <c r="I23627" s="2">
        <v>0</v>
      </c>
      <c r="J23627" s="1">
        <v>45964.481134259258</v>
      </c>
    </row>
    <row r="23628" spans="1:10" x14ac:dyDescent="0.2">
      <c r="A23628" s="4" t="s">
        <v>1</v>
      </c>
      <c r="B23628" s="3" t="str">
        <f>HYPERLINK("https://otsuka-europe-crm.veevavault.com/ui/#object/approved_document__v/V5OZ025E82UKR5U", "SEP 2025: invitación simposio Alianza")</f>
        <v>SEP 2025: invitación simposio Alianza</v>
      </c>
      <c r="C23628" s="3" t="str">
        <f>HYPERLINK("https://otsuka-europe-crm.veevavault.com/ui/#object/sent_email__v/VBL000000004241", "SE-001380452")</f>
        <v>SE-001380452</v>
      </c>
      <c r="D23628" s="1">
        <v>45965.04515046296</v>
      </c>
      <c r="E23628" s="2">
        <v>1</v>
      </c>
      <c r="F23628" s="2">
        <v>1</v>
      </c>
      <c r="G23628" s="2">
        <v>0</v>
      </c>
      <c r="H23628" s="1" t="s">
        <v>0</v>
      </c>
      <c r="I23628" s="2">
        <v>0</v>
      </c>
      <c r="J23628" s="1">
        <v>45964.481215277781</v>
      </c>
    </row>
    <row r="23629" spans="1:10" x14ac:dyDescent="0.2">
      <c r="A23629" s="4" t="s">
        <v>1</v>
      </c>
      <c r="B23629" s="3" t="str">
        <f>HYPERLINK("https://otsuka-europe-crm.veevavault.com/ui/#object/approved_document__v/V5OZ025E82UKR5U", "SEP 2025: invitación simposio Alianza")</f>
        <v>SEP 2025: invitación simposio Alianza</v>
      </c>
      <c r="C23629" s="3" t="str">
        <f>HYPERLINK("https://otsuka-europe-crm.veevavault.com/ui/#object/sent_email__v/VBL000000004242", "SE-001380453")</f>
        <v>SE-001380453</v>
      </c>
      <c r="D23629" s="1" t="s">
        <v>0</v>
      </c>
      <c r="E23629" s="2">
        <v>0</v>
      </c>
      <c r="F23629" s="2">
        <v>0</v>
      </c>
      <c r="G23629" s="2">
        <v>0</v>
      </c>
      <c r="H23629" s="1" t="s">
        <v>0</v>
      </c>
      <c r="I23629" s="2">
        <v>0</v>
      </c>
      <c r="J23629" s="1">
        <v>45964.481273148151</v>
      </c>
    </row>
    <row r="23630" spans="1:10" x14ac:dyDescent="0.2">
      <c r="A23630" s="4" t="s">
        <v>1</v>
      </c>
      <c r="B23630" s="3" t="str">
        <f>HYPERLINK("https://otsuka-europe-crm.veevavault.com/ui/#object/approved_document__v/V5OZ025E82UKR5U", "SEP 2025: invitación simposio Alianza")</f>
        <v>SEP 2025: invitación simposio Alianza</v>
      </c>
      <c r="C23630" s="3" t="str">
        <f>HYPERLINK("https://otsuka-europe-crm.veevavault.com/ui/#object/sent_email__v/VBL000000004277", "SE-001380516")</f>
        <v>SE-001380516</v>
      </c>
      <c r="D23630" s="1">
        <v>45965.279282407406</v>
      </c>
      <c r="E23630" s="2">
        <v>1</v>
      </c>
      <c r="F23630" s="2">
        <v>2</v>
      </c>
      <c r="G23630" s="2">
        <v>0</v>
      </c>
      <c r="H23630" s="1" t="s">
        <v>0</v>
      </c>
      <c r="I23630" s="2">
        <v>0</v>
      </c>
      <c r="J23630" s="1">
        <v>45964.730208333334</v>
      </c>
    </row>
    <row r="23631" spans="1:10" x14ac:dyDescent="0.2">
      <c r="A23631" s="4" t="s">
        <v>1</v>
      </c>
      <c r="B23631" s="3" t="str">
        <f>HYPERLINK("https://otsuka-europe-crm.veevavault.com/ui/#object/approved_document__v/V5OZ025E82UKR5U", "SEP 2025: invitación simposio Alianza")</f>
        <v>SEP 2025: invitación simposio Alianza</v>
      </c>
      <c r="C23631" s="3" t="str">
        <f>HYPERLINK("https://otsuka-europe-crm.veevavault.com/ui/#object/sent_email__v/VBL000000004286", "SE-001380544")</f>
        <v>SE-001380544</v>
      </c>
      <c r="D23631" s="1">
        <v>45969.438530092593</v>
      </c>
      <c r="E23631" s="2">
        <v>1</v>
      </c>
      <c r="F23631" s="2">
        <v>2</v>
      </c>
      <c r="G23631" s="2">
        <v>0</v>
      </c>
      <c r="H23631" s="1" t="s">
        <v>0</v>
      </c>
      <c r="I23631" s="2">
        <v>0</v>
      </c>
      <c r="J23631" s="1">
        <v>45965.424560185187</v>
      </c>
    </row>
    <row r="23632" spans="1:10" x14ac:dyDescent="0.2">
      <c r="A23632" s="4" t="s">
        <v>1</v>
      </c>
      <c r="B23632" s="3" t="str">
        <f>HYPERLINK("https://otsuka-europe-crm.veevavault.com/ui/#object/approved_document__v/V5OZ025E82UKR5U", "SEP 2025: invitación simposio Alianza")</f>
        <v>SEP 2025: invitación simposio Alianza</v>
      </c>
      <c r="C23632" s="3" t="str">
        <f>HYPERLINK("https://otsuka-europe-crm.veevavault.com/ui/#object/sent_email__v/VBL000000004287", "SE-001380545")</f>
        <v>SE-001380545</v>
      </c>
      <c r="D23632" s="1">
        <v>45971.678680555553</v>
      </c>
      <c r="E23632" s="2">
        <v>1</v>
      </c>
      <c r="F23632" s="2">
        <v>4</v>
      </c>
      <c r="G23632" s="2">
        <v>0</v>
      </c>
      <c r="H23632" s="1" t="s">
        <v>0</v>
      </c>
      <c r="I23632" s="2">
        <v>0</v>
      </c>
      <c r="J23632" s="1">
        <v>45965.42459490741</v>
      </c>
    </row>
    <row r="23633" spans="1:10" x14ac:dyDescent="0.2">
      <c r="A23633" s="4" t="s">
        <v>1</v>
      </c>
      <c r="B23633" s="3" t="str">
        <f>HYPERLINK("https://otsuka-europe-crm.veevavault.com/ui/#object/approved_document__v/V5OZ025E82UKR5U", "SEP 2025: invitación simposio Alianza")</f>
        <v>SEP 2025: invitación simposio Alianza</v>
      </c>
      <c r="C23633" s="3" t="str">
        <f>HYPERLINK("https://otsuka-europe-crm.veevavault.com/ui/#object/sent_email__v/VBL000000004288", "SE-001380546")</f>
        <v>SE-001380546</v>
      </c>
      <c r="D23633" s="1" t="s">
        <v>0</v>
      </c>
      <c r="E23633" s="2">
        <v>0</v>
      </c>
      <c r="F23633" s="2">
        <v>0</v>
      </c>
      <c r="G23633" s="2">
        <v>0</v>
      </c>
      <c r="H23633" s="1" t="s">
        <v>0</v>
      </c>
      <c r="I23633" s="2">
        <v>0</v>
      </c>
      <c r="J23633" s="1">
        <v>45965.424675925926</v>
      </c>
    </row>
    <row r="23634" spans="1:10" x14ac:dyDescent="0.2">
      <c r="A23634" s="4" t="s">
        <v>1</v>
      </c>
      <c r="B23634" s="3" t="str">
        <f>HYPERLINK("https://otsuka-europe-crm.veevavault.com/ui/#object/approved_document__v/V5OZ025E82UKR5U", "SEP 2025: invitación simposio Alianza")</f>
        <v>SEP 2025: invitación simposio Alianza</v>
      </c>
      <c r="C23634" s="3" t="str">
        <f>HYPERLINK("https://otsuka-europe-crm.veevavault.com/ui/#object/sent_email__v/VBL000000004289", "SE-001380547")</f>
        <v>SE-001380547</v>
      </c>
      <c r="D23634" s="1">
        <v>45965.495949074073</v>
      </c>
      <c r="E23634" s="2">
        <v>1</v>
      </c>
      <c r="F23634" s="2">
        <v>1</v>
      </c>
      <c r="G23634" s="2">
        <v>0</v>
      </c>
      <c r="H23634" s="1" t="s">
        <v>0</v>
      </c>
      <c r="I23634" s="2">
        <v>0</v>
      </c>
      <c r="J23634" s="1">
        <v>45965.424664351849</v>
      </c>
    </row>
    <row r="23635" spans="1:10" x14ac:dyDescent="0.2">
      <c r="A23635" s="4" t="s">
        <v>1</v>
      </c>
      <c r="B23635" s="3" t="str">
        <f>HYPERLINK("https://otsuka-europe-crm.veevavault.com/ui/#object/approved_document__v/V5OZ025E82UKR5U", "SEP 2025: invitación simposio Alianza")</f>
        <v>SEP 2025: invitación simposio Alianza</v>
      </c>
      <c r="C23635" s="3" t="str">
        <f>HYPERLINK("https://otsuka-europe-crm.veevavault.com/ui/#object/sent_email__v/VBL000000004290", "SE-001380548")</f>
        <v>SE-001380548</v>
      </c>
      <c r="D23635" s="1">
        <v>45965.944444444445</v>
      </c>
      <c r="E23635" s="2">
        <v>1</v>
      </c>
      <c r="F23635" s="2">
        <v>1</v>
      </c>
      <c r="G23635" s="2">
        <v>1</v>
      </c>
      <c r="H23635" s="1">
        <v>45966.858124999999</v>
      </c>
      <c r="I23635" s="2">
        <v>1</v>
      </c>
      <c r="J23635" s="1">
        <v>45965.424710648149</v>
      </c>
    </row>
    <row r="23636" spans="1:10" x14ac:dyDescent="0.2">
      <c r="A23636" s="4" t="s">
        <v>1</v>
      </c>
      <c r="B23636" s="3" t="str">
        <f>HYPERLINK("https://otsuka-europe-crm.veevavault.com/ui/#object/approved_document__v/V5OZ025E82UKR5U", "SEP 2025: invitación simposio Alianza")</f>
        <v>SEP 2025: invitación simposio Alianza</v>
      </c>
      <c r="C23636" s="3" t="str">
        <f>HYPERLINK("https://otsuka-europe-crm.veevavault.com/ui/#object/sent_email__v/VBL000000004291", "SE-001380549")</f>
        <v>SE-001380549</v>
      </c>
      <c r="D23636" s="1">
        <v>45965.635914351849</v>
      </c>
      <c r="E23636" s="2">
        <v>1</v>
      </c>
      <c r="F23636" s="2">
        <v>1</v>
      </c>
      <c r="G23636" s="2">
        <v>0</v>
      </c>
      <c r="H23636" s="1" t="s">
        <v>0</v>
      </c>
      <c r="I23636" s="2">
        <v>0</v>
      </c>
      <c r="J23636" s="1">
        <v>45965.424745370372</v>
      </c>
    </row>
    <row r="23637" spans="1:10" x14ac:dyDescent="0.2">
      <c r="A23637" s="4" t="s">
        <v>1</v>
      </c>
      <c r="B23637" s="3" t="str">
        <f>HYPERLINK("https://otsuka-europe-crm.veevavault.com/ui/#object/approved_document__v/V5OZ025E82UKR5U", "SEP 2025: invitación simposio Alianza")</f>
        <v>SEP 2025: invitación simposio Alianza</v>
      </c>
      <c r="C23637" s="3" t="str">
        <f>HYPERLINK("https://otsuka-europe-crm.veevavault.com/ui/#object/sent_email__v/VBL000000004292", "SE-001380550")</f>
        <v>SE-001380550</v>
      </c>
      <c r="D23637" s="1">
        <v>45965.494629629633</v>
      </c>
      <c r="E23637" s="2">
        <v>1</v>
      </c>
      <c r="F23637" s="2">
        <v>1</v>
      </c>
      <c r="G23637" s="2">
        <v>0</v>
      </c>
      <c r="H23637" s="1" t="s">
        <v>0</v>
      </c>
      <c r="I23637" s="2">
        <v>0</v>
      </c>
      <c r="J23637" s="1">
        <v>45965.424791666665</v>
      </c>
    </row>
    <row r="23638" spans="1:10" x14ac:dyDescent="0.2">
      <c r="A23638" s="4" t="s">
        <v>1</v>
      </c>
      <c r="B23638" s="3" t="str">
        <f>HYPERLINK("https://otsuka-europe-crm.veevavault.com/ui/#object/approved_document__v/V5OZ025E82UKR5U", "SEP 2025: invitación simposio Alianza")</f>
        <v>SEP 2025: invitación simposio Alianza</v>
      </c>
      <c r="C23638" s="3" t="str">
        <f>HYPERLINK("https://otsuka-europe-crm.veevavault.com/ui/#object/sent_email__v/VBL000000004293", "SE-001380551")</f>
        <v>SE-001380551</v>
      </c>
      <c r="D23638" s="1" t="s">
        <v>0</v>
      </c>
      <c r="E23638" s="2">
        <v>0</v>
      </c>
      <c r="F23638" s="2">
        <v>0</v>
      </c>
      <c r="G23638" s="2">
        <v>0</v>
      </c>
      <c r="H23638" s="1" t="s">
        <v>0</v>
      </c>
      <c r="I23638" s="2">
        <v>0</v>
      </c>
      <c r="J23638" s="1">
        <v>45965.424837962964</v>
      </c>
    </row>
    <row r="23639" spans="1:10" x14ac:dyDescent="0.2">
      <c r="A23639" s="4" t="s">
        <v>1</v>
      </c>
      <c r="B23639" s="3" t="str">
        <f>HYPERLINK("https://otsuka-europe-crm.veevavault.com/ui/#object/approved_document__v/V5OZ025E82UKR5U", "SEP 2025: invitación simposio Alianza")</f>
        <v>SEP 2025: invitación simposio Alianza</v>
      </c>
      <c r="C23639" s="3" t="str">
        <f>HYPERLINK("https://otsuka-europe-crm.veevavault.com/ui/#object/sent_email__v/VBL000000004294", "SE-001380552")</f>
        <v>SE-001380552</v>
      </c>
      <c r="D23639" s="1" t="s">
        <v>0</v>
      </c>
      <c r="E23639" s="2">
        <v>0</v>
      </c>
      <c r="F23639" s="2">
        <v>0</v>
      </c>
      <c r="G23639" s="2">
        <v>0</v>
      </c>
      <c r="H23639" s="1" t="s">
        <v>0</v>
      </c>
      <c r="I23639" s="2">
        <v>0</v>
      </c>
      <c r="J23639" s="1">
        <v>45965.424884259257</v>
      </c>
    </row>
    <row r="23640" spans="1:10" x14ac:dyDescent="0.2">
      <c r="A23640" s="4" t="s">
        <v>1</v>
      </c>
      <c r="B23640" s="3" t="str">
        <f>HYPERLINK("https://otsuka-europe-crm.veevavault.com/ui/#object/approved_document__v/V5OZ025E82UKR5U", "SEP 2025: invitación simposio Alianza")</f>
        <v>SEP 2025: invitación simposio Alianza</v>
      </c>
      <c r="C23640" s="3" t="str">
        <f>HYPERLINK("https://otsuka-europe-crm.veevavault.com/ui/#object/sent_email__v/VBL000000004295", "SE-001380553")</f>
        <v>SE-001380553</v>
      </c>
      <c r="D23640" s="1" t="s">
        <v>0</v>
      </c>
      <c r="E23640" s="2">
        <v>0</v>
      </c>
      <c r="F23640" s="2">
        <v>0</v>
      </c>
      <c r="G23640" s="2">
        <v>0</v>
      </c>
      <c r="H23640" s="1" t="s">
        <v>0</v>
      </c>
      <c r="I23640" s="2">
        <v>0</v>
      </c>
      <c r="J23640" s="1">
        <v>45965.42491898148</v>
      </c>
    </row>
    <row r="23641" spans="1:10" x14ac:dyDescent="0.2">
      <c r="A23641" s="4" t="s">
        <v>1</v>
      </c>
      <c r="B23641" s="3" t="str">
        <f>HYPERLINK("https://otsuka-europe-crm.veevavault.com/ui/#object/approved_document__v/V5OZ025E82UKR5U", "SEP 2025: invitación simposio Alianza")</f>
        <v>SEP 2025: invitación simposio Alianza</v>
      </c>
      <c r="C23641" s="3" t="str">
        <f>HYPERLINK("https://otsuka-europe-crm.veevavault.com/ui/#object/sent_email__v/VBL000000004296", "SE-001380554")</f>
        <v>SE-001380554</v>
      </c>
      <c r="D23641" s="1">
        <v>45965.934155092589</v>
      </c>
      <c r="E23641" s="2">
        <v>1</v>
      </c>
      <c r="F23641" s="2">
        <v>1</v>
      </c>
      <c r="G23641" s="2">
        <v>1</v>
      </c>
      <c r="H23641" s="1">
        <v>45965.934155092589</v>
      </c>
      <c r="I23641" s="2">
        <v>1</v>
      </c>
      <c r="J23641" s="1">
        <v>45965.42496527778</v>
      </c>
    </row>
    <row r="23642" spans="1:10" x14ac:dyDescent="0.2">
      <c r="A23642" s="4" t="s">
        <v>1</v>
      </c>
      <c r="B23642" s="3" t="str">
        <f>HYPERLINK("https://otsuka-europe-crm.veevavault.com/ui/#object/approved_document__v/V5OZ025E82UKR5U", "SEP 2025: invitación simposio Alianza")</f>
        <v>SEP 2025: invitación simposio Alianza</v>
      </c>
      <c r="C23642" s="3" t="str">
        <f>HYPERLINK("https://otsuka-europe-crm.veevavault.com/ui/#object/sent_email__v/VBL000000004442", "SE-001380756")</f>
        <v>SE-001380756</v>
      </c>
      <c r="D23642" s="1" t="s">
        <v>0</v>
      </c>
      <c r="E23642" s="2">
        <v>0</v>
      </c>
      <c r="F23642" s="2">
        <v>0</v>
      </c>
      <c r="G23642" s="2">
        <v>0</v>
      </c>
      <c r="H23642" s="1" t="s">
        <v>0</v>
      </c>
      <c r="I23642" s="2">
        <v>0</v>
      </c>
      <c r="J23642" s="1">
        <v>45965.529861111114</v>
      </c>
    </row>
    <row r="23643" spans="1:10" x14ac:dyDescent="0.2">
      <c r="A23643" s="4" t="s">
        <v>1</v>
      </c>
      <c r="B23643" s="3" t="str">
        <f>HYPERLINK("https://otsuka-europe-crm.veevavault.com/ui/#object/approved_document__v/V5OZ025E82UKR5U", "SEP 2025: invitación simposio Alianza")</f>
        <v>SEP 2025: invitación simposio Alianza</v>
      </c>
      <c r="C23643" s="3" t="str">
        <f>HYPERLINK("https://otsuka-europe-crm.veevavault.com/ui/#object/sent_email__v/VBL000000004443", "SE-001380757")</f>
        <v>SE-001380757</v>
      </c>
      <c r="D23643" s="1">
        <v>45965.646180555559</v>
      </c>
      <c r="E23643" s="2">
        <v>1</v>
      </c>
      <c r="F23643" s="2">
        <v>3</v>
      </c>
      <c r="G23643" s="2">
        <v>0</v>
      </c>
      <c r="H23643" s="1" t="s">
        <v>0</v>
      </c>
      <c r="I23643" s="2">
        <v>0</v>
      </c>
      <c r="J23643" s="1">
        <v>45965.529895833337</v>
      </c>
    </row>
    <row r="23644" spans="1:10" x14ac:dyDescent="0.2">
      <c r="A23644" s="4" t="s">
        <v>1</v>
      </c>
      <c r="B23644" s="3" t="str">
        <f>HYPERLINK("https://otsuka-europe-crm.veevavault.com/ui/#object/approved_document__v/V5OZ025E82UKR5U", "SEP 2025: invitación simposio Alianza")</f>
        <v>SEP 2025: invitación simposio Alianza</v>
      </c>
      <c r="C23644" s="3" t="str">
        <f>HYPERLINK("https://otsuka-europe-crm.veevavault.com/ui/#object/sent_email__v/VBL000000004444", "SE-001380758")</f>
        <v>SE-001380758</v>
      </c>
      <c r="D23644" s="1">
        <v>45972.007199074076</v>
      </c>
      <c r="E23644" s="2">
        <v>1</v>
      </c>
      <c r="F23644" s="2">
        <v>4</v>
      </c>
      <c r="G23644" s="2">
        <v>0</v>
      </c>
      <c r="H23644" s="1" t="s">
        <v>0</v>
      </c>
      <c r="I23644" s="2">
        <v>0</v>
      </c>
      <c r="J23644" s="1">
        <v>45965.529918981483</v>
      </c>
    </row>
    <row r="23645" spans="1:10" x14ac:dyDescent="0.2">
      <c r="A23645" s="4" t="s">
        <v>1</v>
      </c>
      <c r="B23645" s="3" t="str">
        <f>HYPERLINK("https://otsuka-europe-crm.veevavault.com/ui/#object/approved_document__v/V5OZ025E82UKR5U", "SEP 2025: invitación simposio Alianza")</f>
        <v>SEP 2025: invitación simposio Alianza</v>
      </c>
      <c r="C23645" s="3" t="str">
        <f>HYPERLINK("https://otsuka-europe-crm.veevavault.com/ui/#object/sent_email__v/VBL000000004445", "SE-001380759")</f>
        <v>SE-001380759</v>
      </c>
      <c r="D23645" s="1">
        <v>45971.397673611114</v>
      </c>
      <c r="E23645" s="2">
        <v>1</v>
      </c>
      <c r="F23645" s="2">
        <v>15</v>
      </c>
      <c r="G23645" s="2">
        <v>0</v>
      </c>
      <c r="H23645" s="1" t="s">
        <v>0</v>
      </c>
      <c r="I23645" s="2">
        <v>0</v>
      </c>
      <c r="J23645" s="1">
        <v>45965.529965277776</v>
      </c>
    </row>
    <row r="23646" spans="1:10" x14ac:dyDescent="0.2">
      <c r="A23646" s="4" t="s">
        <v>1</v>
      </c>
      <c r="B23646" s="3" t="str">
        <f>HYPERLINK("https://otsuka-europe-crm.veevavault.com/ui/#object/approved_document__v/V5OZ025E82UKR5U", "SEP 2025: invitación simposio Alianza")</f>
        <v>SEP 2025: invitación simposio Alianza</v>
      </c>
      <c r="C23646" s="3" t="str">
        <f>HYPERLINK("https://otsuka-europe-crm.veevavault.com/ui/#object/sent_email__v/VBL000000004446", "SE-001380760")</f>
        <v>SE-001380760</v>
      </c>
      <c r="D23646" s="1" t="s">
        <v>0</v>
      </c>
      <c r="E23646" s="2">
        <v>0</v>
      </c>
      <c r="F23646" s="2">
        <v>0</v>
      </c>
      <c r="G23646" s="2">
        <v>0</v>
      </c>
      <c r="H23646" s="1" t="s">
        <v>0</v>
      </c>
      <c r="I23646" s="2">
        <v>0</v>
      </c>
      <c r="J23646" s="1">
        <v>45965.530011574076</v>
      </c>
    </row>
    <row r="23647" spans="1:10" x14ac:dyDescent="0.2">
      <c r="A23647" s="4" t="s">
        <v>1</v>
      </c>
      <c r="B23647" s="3" t="str">
        <f>HYPERLINK("https://otsuka-europe-crm.veevavault.com/ui/#object/approved_document__v/V5OZ025E82UKR5U", "SEP 2025: invitación simposio Alianza")</f>
        <v>SEP 2025: invitación simposio Alianza</v>
      </c>
      <c r="C23647" s="3" t="str">
        <f>HYPERLINK("https://otsuka-europe-crm.veevavault.com/ui/#object/sent_email__v/VBL000000004447", "SE-001380761")</f>
        <v>SE-001380761</v>
      </c>
      <c r="D23647" s="1" t="s">
        <v>0</v>
      </c>
      <c r="E23647" s="2">
        <v>0</v>
      </c>
      <c r="F23647" s="2">
        <v>0</v>
      </c>
      <c r="G23647" s="2">
        <v>0</v>
      </c>
      <c r="H23647" s="1" t="s">
        <v>0</v>
      </c>
      <c r="I23647" s="2">
        <v>0</v>
      </c>
      <c r="J23647" s="1">
        <v>45965.530046296299</v>
      </c>
    </row>
    <row r="23648" spans="1:10" x14ac:dyDescent="0.2">
      <c r="A23648" s="4" t="s">
        <v>1</v>
      </c>
      <c r="B23648" s="3" t="str">
        <f>HYPERLINK("https://otsuka-europe-crm.veevavault.com/ui/#object/approved_document__v/V5OZ025E82UKR5U", "SEP 2025: invitación simposio Alianza")</f>
        <v>SEP 2025: invitación simposio Alianza</v>
      </c>
      <c r="C23648" s="3" t="str">
        <f>HYPERLINK("https://otsuka-europe-crm.veevavault.com/ui/#object/sent_email__v/VBL000000005834", "SE-001380767")</f>
        <v>SE-001380767</v>
      </c>
      <c r="D23648" s="1" t="s">
        <v>0</v>
      </c>
      <c r="E23648" s="2">
        <v>0</v>
      </c>
      <c r="F23648" s="2">
        <v>0</v>
      </c>
      <c r="G23648" s="2">
        <v>0</v>
      </c>
      <c r="H23648" s="1" t="s">
        <v>0</v>
      </c>
      <c r="I23648" s="2">
        <v>0</v>
      </c>
      <c r="J23648" s="1">
        <v>45965.707488425927</v>
      </c>
    </row>
    <row r="23649" spans="1:10" x14ac:dyDescent="0.2">
      <c r="A23649" s="4" t="s">
        <v>1</v>
      </c>
      <c r="B23649" s="3" t="str">
        <f>HYPERLINK("https://otsuka-europe-crm.veevavault.com/ui/#object/approved_document__v/V5OZ025E82UKR5U", "SEP 2025: invitación simposio Alianza")</f>
        <v>SEP 2025: invitación simposio Alianza</v>
      </c>
      <c r="C23649" s="3" t="str">
        <f>HYPERLINK("https://otsuka-europe-crm.veevavault.com/ui/#object/sent_email__v/VBL000000005835", "SE-001380768")</f>
        <v>SE-001380768</v>
      </c>
      <c r="D23649" s="1">
        <v>45965.775196759256</v>
      </c>
      <c r="E23649" s="2">
        <v>1</v>
      </c>
      <c r="F23649" s="2">
        <v>1</v>
      </c>
      <c r="G23649" s="2">
        <v>0</v>
      </c>
      <c r="H23649" s="1" t="s">
        <v>0</v>
      </c>
      <c r="I23649" s="2">
        <v>0</v>
      </c>
      <c r="J23649" s="1">
        <v>45965.70752314815</v>
      </c>
    </row>
    <row r="23650" spans="1:10" x14ac:dyDescent="0.2">
      <c r="A23650" s="4" t="s">
        <v>1</v>
      </c>
      <c r="B23650" s="3" t="str">
        <f>HYPERLINK("https://otsuka-europe-crm.veevavault.com/ui/#object/approved_document__v/V5OZ025E82UKR5U", "SEP 2025: invitación simposio Alianza")</f>
        <v>SEP 2025: invitación simposio Alianza</v>
      </c>
      <c r="C23650" s="3" t="str">
        <f>HYPERLINK("https://otsuka-europe-crm.veevavault.com/ui/#object/sent_email__v/VBL000000005836", "SE-001380769")</f>
        <v>SE-001380769</v>
      </c>
      <c r="D23650" s="1">
        <v>45969.605208333334</v>
      </c>
      <c r="E23650" s="2">
        <v>1</v>
      </c>
      <c r="F23650" s="2">
        <v>1</v>
      </c>
      <c r="G23650" s="2">
        <v>0</v>
      </c>
      <c r="H23650" s="1" t="s">
        <v>0</v>
      </c>
      <c r="I23650" s="2">
        <v>0</v>
      </c>
      <c r="J23650" s="1">
        <v>45965.707604166666</v>
      </c>
    </row>
    <row r="23651" spans="1:10" x14ac:dyDescent="0.2">
      <c r="A23651" s="4" t="s">
        <v>1</v>
      </c>
      <c r="B23651" s="3" t="str">
        <f>HYPERLINK("https://otsuka-europe-crm.veevavault.com/ui/#object/approved_document__v/V5OZ025E82UKR5U", "SEP 2025: invitación simposio Alianza")</f>
        <v>SEP 2025: invitación simposio Alianza</v>
      </c>
      <c r="C23651" s="3" t="str">
        <f>HYPERLINK("https://otsuka-europe-crm.veevavault.com/ui/#object/sent_email__v/VBL000000005837", "SE-001380770")</f>
        <v>SE-001380770</v>
      </c>
      <c r="D23651" s="1">
        <v>45965.831388888888</v>
      </c>
      <c r="E23651" s="2">
        <v>1</v>
      </c>
      <c r="F23651" s="2">
        <v>1</v>
      </c>
      <c r="G23651" s="2">
        <v>1</v>
      </c>
      <c r="H23651" s="1">
        <v>45965.831493055557</v>
      </c>
      <c r="I23651" s="2">
        <v>1</v>
      </c>
      <c r="J23651" s="1">
        <v>45965.707615740743</v>
      </c>
    </row>
    <row r="23652" spans="1:10" x14ac:dyDescent="0.2">
      <c r="A23652" s="4" t="s">
        <v>1</v>
      </c>
      <c r="B23652" s="3" t="str">
        <f>HYPERLINK("https://otsuka-europe-crm.veevavault.com/ui/#object/approved_document__v/V5OZ025E82UKR5U", "SEP 2025: invitación simposio Alianza")</f>
        <v>SEP 2025: invitación simposio Alianza</v>
      </c>
      <c r="C23652" s="3" t="str">
        <f>HYPERLINK("https://otsuka-europe-crm.veevavault.com/ui/#object/sent_email__v/VBL000000005838", "SE-001380771")</f>
        <v>SE-001380771</v>
      </c>
      <c r="D23652" s="1">
        <v>45967.371238425927</v>
      </c>
      <c r="E23652" s="2">
        <v>1</v>
      </c>
      <c r="F23652" s="2">
        <v>4</v>
      </c>
      <c r="G23652" s="2">
        <v>0</v>
      </c>
      <c r="H23652" s="1" t="s">
        <v>0</v>
      </c>
      <c r="I23652" s="2">
        <v>0</v>
      </c>
      <c r="J23652" s="1">
        <v>45965.707662037035</v>
      </c>
    </row>
    <row r="23653" spans="1:10" x14ac:dyDescent="0.2">
      <c r="A23653" s="4" t="s">
        <v>1</v>
      </c>
      <c r="B23653" s="3" t="str">
        <f>HYPERLINK("https://otsuka-europe-crm.veevavault.com/ui/#object/approved_document__v/V5OZ025E82UKR5U", "SEP 2025: invitación simposio Alianza")</f>
        <v>SEP 2025: invitación simposio Alianza</v>
      </c>
      <c r="C23653" s="3" t="str">
        <f>HYPERLINK("https://otsuka-europe-crm.veevavault.com/ui/#object/sent_email__v/VBL000000005839", "SE-001380772")</f>
        <v>SE-001380772</v>
      </c>
      <c r="D23653" s="1">
        <v>46001.865706018521</v>
      </c>
      <c r="E23653" s="2">
        <v>1</v>
      </c>
      <c r="F23653" s="2">
        <v>3</v>
      </c>
      <c r="G23653" s="2">
        <v>1</v>
      </c>
      <c r="H23653" s="1">
        <v>45967.759282407409</v>
      </c>
      <c r="I23653" s="2">
        <v>1</v>
      </c>
      <c r="J23653" s="1">
        <v>45965.707696759258</v>
      </c>
    </row>
    <row r="23654" spans="1:10" x14ac:dyDescent="0.2">
      <c r="A23654" s="4" t="s">
        <v>1</v>
      </c>
      <c r="B23654" s="3" t="str">
        <f>HYPERLINK("https://otsuka-europe-crm.veevavault.com/ui/#object/approved_document__v/V5OZ025E82UKR5U", "SEP 2025: invitación simposio Alianza")</f>
        <v>SEP 2025: invitación simposio Alianza</v>
      </c>
      <c r="C23654" s="3" t="str">
        <f>HYPERLINK("https://otsuka-europe-crm.veevavault.com/ui/#object/sent_email__v/VBL000000005840", "SE-001380773")</f>
        <v>SE-001380773</v>
      </c>
      <c r="D23654" s="1">
        <v>45965.760648148149</v>
      </c>
      <c r="E23654" s="2">
        <v>1</v>
      </c>
      <c r="F23654" s="2">
        <v>1</v>
      </c>
      <c r="G23654" s="2">
        <v>0</v>
      </c>
      <c r="H23654" s="1" t="s">
        <v>0</v>
      </c>
      <c r="I23654" s="2">
        <v>0</v>
      </c>
      <c r="J23654" s="1">
        <v>45965.707743055558</v>
      </c>
    </row>
    <row r="23655" spans="1:10" x14ac:dyDescent="0.2">
      <c r="A23655" s="4" t="s">
        <v>1</v>
      </c>
      <c r="B23655" s="3" t="str">
        <f>HYPERLINK("https://otsuka-europe-crm.veevavault.com/ui/#object/approved_document__v/V5OZ025E82UKR5U", "SEP 2025: invitación simposio Alianza")</f>
        <v>SEP 2025: invitación simposio Alianza</v>
      </c>
      <c r="C23655" s="3" t="str">
        <f>HYPERLINK("https://otsuka-europe-crm.veevavault.com/ui/#object/sent_email__v/VBL000000005841", "SE-001380774")</f>
        <v>SE-001380774</v>
      </c>
      <c r="D23655" s="1">
        <v>45967.754513888889</v>
      </c>
      <c r="E23655" s="2">
        <v>1</v>
      </c>
      <c r="F23655" s="2">
        <v>2</v>
      </c>
      <c r="G23655" s="2">
        <v>0</v>
      </c>
      <c r="H23655" s="1" t="s">
        <v>0</v>
      </c>
      <c r="I23655" s="2">
        <v>0</v>
      </c>
      <c r="J23655" s="1">
        <v>45965.707777777781</v>
      </c>
    </row>
    <row r="23656" spans="1:10" x14ac:dyDescent="0.2">
      <c r="A23656" s="4" t="s">
        <v>1</v>
      </c>
      <c r="B23656" s="3" t="str">
        <f>HYPERLINK("https://otsuka-europe-crm.veevavault.com/ui/#object/approved_document__v/V5OZ025E82UKR5U", "SEP 2025: invitación simposio Alianza")</f>
        <v>SEP 2025: invitación simposio Alianza</v>
      </c>
      <c r="C23656" s="3" t="str">
        <f>HYPERLINK("https://otsuka-europe-crm.veevavault.com/ui/#object/sent_email__v/VBL000000005842", "SE-001380775")</f>
        <v>SE-001380775</v>
      </c>
      <c r="D23656" s="1" t="s">
        <v>0</v>
      </c>
      <c r="E23656" s="2">
        <v>0</v>
      </c>
      <c r="F23656" s="2">
        <v>0</v>
      </c>
      <c r="G23656" s="2">
        <v>0</v>
      </c>
      <c r="H23656" s="1" t="s">
        <v>0</v>
      </c>
      <c r="I23656" s="2">
        <v>0</v>
      </c>
      <c r="J23656" s="1">
        <v>45965.707824074074</v>
      </c>
    </row>
    <row r="23657" spans="1:10" x14ac:dyDescent="0.2">
      <c r="A23657" s="4" t="s">
        <v>1</v>
      </c>
      <c r="B23657" s="3" t="str">
        <f>HYPERLINK("https://otsuka-europe-crm.veevavault.com/ui/#object/approved_document__v/V5OZ025E82UKR5U", "SEP 2025: invitación simposio Alianza")</f>
        <v>SEP 2025: invitación simposio Alianza</v>
      </c>
      <c r="C23657" s="3" t="str">
        <f>HYPERLINK("https://otsuka-europe-crm.veevavault.com/ui/#object/sent_email__v/VBL000000005843", "SE-001380776")</f>
        <v>SE-001380776</v>
      </c>
      <c r="D23657" s="1">
        <v>45965.921157407407</v>
      </c>
      <c r="E23657" s="2">
        <v>1</v>
      </c>
      <c r="F23657" s="2">
        <v>2</v>
      </c>
      <c r="G23657" s="2">
        <v>0</v>
      </c>
      <c r="H23657" s="1" t="s">
        <v>0</v>
      </c>
      <c r="I23657" s="2">
        <v>0</v>
      </c>
      <c r="J23657" s="1">
        <v>45965.707870370374</v>
      </c>
    </row>
    <row r="23658" spans="1:10" x14ac:dyDescent="0.2">
      <c r="A23658" s="4" t="s">
        <v>1</v>
      </c>
      <c r="B23658" s="3" t="str">
        <f>HYPERLINK("https://otsuka-europe-crm.veevavault.com/ui/#object/approved_document__v/V5OZ025E82UKR5U", "SEP 2025: invitación simposio Alianza")</f>
        <v>SEP 2025: invitación simposio Alianza</v>
      </c>
      <c r="C23658" s="3" t="str">
        <f>HYPERLINK("https://otsuka-europe-crm.veevavault.com/ui/#object/sent_email__v/VBL000000005844", "SE-001380777")</f>
        <v>SE-001380777</v>
      </c>
      <c r="D23658" s="1" t="s">
        <v>0</v>
      </c>
      <c r="E23658" s="2">
        <v>0</v>
      </c>
      <c r="F23658" s="2">
        <v>0</v>
      </c>
      <c r="G23658" s="2">
        <v>0</v>
      </c>
      <c r="H23658" s="1" t="s">
        <v>0</v>
      </c>
      <c r="I23658" s="2">
        <v>0</v>
      </c>
      <c r="J23658" s="1">
        <v>45965.707905092589</v>
      </c>
    </row>
    <row r="23659" spans="1:10" x14ac:dyDescent="0.2">
      <c r="A23659" s="4" t="s">
        <v>1</v>
      </c>
      <c r="B23659" s="3" t="str">
        <f>HYPERLINK("https://otsuka-europe-crm.veevavault.com/ui/#object/approved_document__v/V5OZ025E82UKR5U", "SEP 2025: invitación simposio Alianza")</f>
        <v>SEP 2025: invitación simposio Alianza</v>
      </c>
      <c r="C23659" s="3" t="str">
        <f>HYPERLINK("https://otsuka-europe-crm.veevavault.com/ui/#object/sent_email__v/VBL000000005845", "SE-001380778")</f>
        <v>SE-001380778</v>
      </c>
      <c r="D23659" s="1">
        <v>45966.343148148146</v>
      </c>
      <c r="E23659" s="2">
        <v>1</v>
      </c>
      <c r="F23659" s="2">
        <v>1</v>
      </c>
      <c r="G23659" s="2">
        <v>0</v>
      </c>
      <c r="H23659" s="1" t="s">
        <v>0</v>
      </c>
      <c r="I23659" s="2">
        <v>0</v>
      </c>
      <c r="J23659" s="1">
        <v>45965.721435185187</v>
      </c>
    </row>
    <row r="23660" spans="1:10" x14ac:dyDescent="0.2">
      <c r="A23660" s="4" t="s">
        <v>1</v>
      </c>
      <c r="B23660" s="3" t="str">
        <f>HYPERLINK("https://otsuka-europe-crm.veevavault.com/ui/#object/approved_document__v/V5OZ025E82UKR5U", "SEP 2025: invitación simposio Alianza")</f>
        <v>SEP 2025: invitación simposio Alianza</v>
      </c>
      <c r="C23660" s="3" t="str">
        <f>HYPERLINK("https://otsuka-europe-crm.veevavault.com/ui/#object/sent_email__v/VBL000000005846", "SE-001380779")</f>
        <v>SE-001380779</v>
      </c>
      <c r="D23660" s="1">
        <v>46008.752326388887</v>
      </c>
      <c r="E23660" s="2">
        <v>1</v>
      </c>
      <c r="F23660" s="2">
        <v>2</v>
      </c>
      <c r="G23660" s="2">
        <v>1</v>
      </c>
      <c r="H23660" s="1">
        <v>45966.804594907408</v>
      </c>
      <c r="I23660" s="2">
        <v>3</v>
      </c>
      <c r="J23660" s="1">
        <v>45965.722511574073</v>
      </c>
    </row>
    <row r="23661" spans="1:10" x14ac:dyDescent="0.2">
      <c r="A23661" s="4" t="s">
        <v>1</v>
      </c>
      <c r="B23661" s="3" t="str">
        <f>HYPERLINK("https://otsuka-europe-crm.veevavault.com/ui/#object/approved_document__v/V5OZ025E82UKR5U", "SEP 2025: invitación simposio Alianza")</f>
        <v>SEP 2025: invitación simposio Alianza</v>
      </c>
      <c r="C23661" s="3" t="str">
        <f>HYPERLINK("https://otsuka-europe-crm.veevavault.com/ui/#object/sent_email__v/VBL000000004466", "SE-001380857")</f>
        <v>SE-001380857</v>
      </c>
      <c r="D23661" s="1">
        <v>45968.424120370371</v>
      </c>
      <c r="E23661" s="2">
        <v>1</v>
      </c>
      <c r="F23661" s="2">
        <v>1</v>
      </c>
      <c r="G23661" s="2">
        <v>0</v>
      </c>
      <c r="H23661" s="1" t="s">
        <v>0</v>
      </c>
      <c r="I23661" s="2">
        <v>0</v>
      </c>
      <c r="J23661" s="1">
        <v>45966.381516203706</v>
      </c>
    </row>
    <row r="23662" spans="1:10" x14ac:dyDescent="0.2">
      <c r="A23662" s="4" t="s">
        <v>1</v>
      </c>
      <c r="B23662" s="3" t="str">
        <f>HYPERLINK("https://otsuka-europe-crm.veevavault.com/ui/#object/approved_document__v/V5OZ025E82UKR5U", "SEP 2025: invitación simposio Alianza")</f>
        <v>SEP 2025: invitación simposio Alianza</v>
      </c>
      <c r="C23662" s="3" t="str">
        <f>HYPERLINK("https://otsuka-europe-crm.veevavault.com/ui/#object/sent_email__v/VBL000000004467", "SE-001380858")</f>
        <v>SE-001380858</v>
      </c>
      <c r="D23662" s="1" t="s">
        <v>0</v>
      </c>
      <c r="E23662" s="2">
        <v>0</v>
      </c>
      <c r="F23662" s="2">
        <v>0</v>
      </c>
      <c r="G23662" s="2">
        <v>0</v>
      </c>
      <c r="H23662" s="1" t="s">
        <v>0</v>
      </c>
      <c r="I23662" s="2">
        <v>0</v>
      </c>
      <c r="J23662" s="1">
        <v>45966.381574074076</v>
      </c>
    </row>
    <row r="23663" spans="1:10" x14ac:dyDescent="0.2">
      <c r="A23663" s="4" t="s">
        <v>1</v>
      </c>
      <c r="B23663" s="3" t="str">
        <f>HYPERLINK("https://otsuka-europe-crm.veevavault.com/ui/#object/approved_document__v/V5OZ025E82UKR5U", "SEP 2025: invitación simposio Alianza")</f>
        <v>SEP 2025: invitación simposio Alianza</v>
      </c>
      <c r="C23663" s="3" t="str">
        <f>HYPERLINK("https://otsuka-europe-crm.veevavault.com/ui/#object/sent_email__v/VBL000000005999", "SE-001380878")</f>
        <v>SE-001380878</v>
      </c>
      <c r="D23663" s="1" t="s">
        <v>0</v>
      </c>
      <c r="E23663" s="2">
        <v>0</v>
      </c>
      <c r="F23663" s="2">
        <v>0</v>
      </c>
      <c r="G23663" s="2">
        <v>0</v>
      </c>
      <c r="H23663" s="1" t="s">
        <v>0</v>
      </c>
      <c r="I23663" s="2">
        <v>0</v>
      </c>
      <c r="J23663" s="1">
        <v>45966.403819444444</v>
      </c>
    </row>
    <row r="23664" spans="1:10" x14ac:dyDescent="0.2">
      <c r="A23664" s="4" t="s">
        <v>1</v>
      </c>
      <c r="B23664" s="3" t="str">
        <f>HYPERLINK("https://otsuka-europe-crm.veevavault.com/ui/#object/approved_document__v/V5OZ025E82UKR5U", "SEP 2025: invitación simposio Alianza")</f>
        <v>SEP 2025: invitación simposio Alianza</v>
      </c>
      <c r="C23664" s="3" t="str">
        <f>HYPERLINK("https://otsuka-europe-crm.veevavault.com/ui/#object/sent_email__v/VBL000000006025", "SE-001380916")</f>
        <v>SE-001380916</v>
      </c>
      <c r="D23664" s="1">
        <v>45967.717083333337</v>
      </c>
      <c r="E23664" s="2">
        <v>1</v>
      </c>
      <c r="F23664" s="2">
        <v>2</v>
      </c>
      <c r="G23664" s="2">
        <v>1</v>
      </c>
      <c r="H23664" s="1">
        <v>45967.717187499999</v>
      </c>
      <c r="I23664" s="2">
        <v>1</v>
      </c>
      <c r="J23664" s="1">
        <v>45966.684664351851</v>
      </c>
    </row>
    <row r="23665" spans="1:10" x14ac:dyDescent="0.2">
      <c r="A23665" s="4" t="s">
        <v>1</v>
      </c>
      <c r="B23665" s="3" t="str">
        <f>HYPERLINK("https://otsuka-europe-crm.veevavault.com/ui/#object/approved_document__v/V5OZ025E82UKR5U", "SEP 2025: invitación simposio Alianza")</f>
        <v>SEP 2025: invitación simposio Alianza</v>
      </c>
      <c r="C23665" s="3" t="str">
        <f>HYPERLINK("https://otsuka-europe-crm.veevavault.com/ui/#object/sent_email__v/VBL000000006026", "SE-001380917")</f>
        <v>SE-001380917</v>
      </c>
      <c r="D23665" s="1">
        <v>45967.586585648147</v>
      </c>
      <c r="E23665" s="2">
        <v>1</v>
      </c>
      <c r="F23665" s="2">
        <v>1</v>
      </c>
      <c r="G23665" s="2">
        <v>0</v>
      </c>
      <c r="H23665" s="1" t="s">
        <v>0</v>
      </c>
      <c r="I23665" s="2">
        <v>0</v>
      </c>
      <c r="J23665" s="1">
        <v>45966.684687499997</v>
      </c>
    </row>
    <row r="23666" spans="1:10" x14ac:dyDescent="0.2">
      <c r="A23666" s="4" t="s">
        <v>1</v>
      </c>
      <c r="B23666" s="3" t="str">
        <f>HYPERLINK("https://otsuka-europe-crm.veevavault.com/ui/#object/approved_document__v/V5OZ025E82UKR5U", "SEP 2025: invitación simposio Alianza")</f>
        <v>SEP 2025: invitación simposio Alianza</v>
      </c>
      <c r="C23666" s="3" t="str">
        <f>HYPERLINK("https://otsuka-europe-crm.veevavault.com/ui/#object/sent_email__v/VBL000000006027", "SE-001380918")</f>
        <v>SE-001380918</v>
      </c>
      <c r="D23666" s="1">
        <v>45966.87091435185</v>
      </c>
      <c r="E23666" s="2">
        <v>1</v>
      </c>
      <c r="F23666" s="2">
        <v>1</v>
      </c>
      <c r="G23666" s="2">
        <v>1</v>
      </c>
      <c r="H23666" s="1">
        <v>45967.717372685183</v>
      </c>
      <c r="I23666" s="2">
        <v>1</v>
      </c>
      <c r="J23666" s="1">
        <v>45966.684733796297</v>
      </c>
    </row>
    <row r="23667" spans="1:10" x14ac:dyDescent="0.2">
      <c r="A23667" s="4" t="s">
        <v>1</v>
      </c>
      <c r="B23667" s="3" t="str">
        <f>HYPERLINK("https://otsuka-europe-crm.veevavault.com/ui/#object/approved_document__v/V5OZ025E82UKR5U", "SEP 2025: invitación simposio Alianza")</f>
        <v>SEP 2025: invitación simposio Alianza</v>
      </c>
      <c r="C23667" s="3" t="str">
        <f>HYPERLINK("https://otsuka-europe-crm.veevavault.com/ui/#object/sent_email__v/VBL000000006046", "SE-001380931")</f>
        <v>SE-001380931</v>
      </c>
      <c r="D23667" s="1">
        <v>45967.349652777775</v>
      </c>
      <c r="E23667" s="2">
        <v>1</v>
      </c>
      <c r="F23667" s="2">
        <v>1</v>
      </c>
      <c r="G23667" s="2">
        <v>1</v>
      </c>
      <c r="H23667" s="1">
        <v>45967.372650462959</v>
      </c>
      <c r="I23667" s="2">
        <v>1</v>
      </c>
      <c r="J23667" s="1">
        <v>45967.310972222222</v>
      </c>
    </row>
    <row r="23668" spans="1:10" x14ac:dyDescent="0.2">
      <c r="A23668" s="4" t="s">
        <v>1</v>
      </c>
      <c r="B23668" s="3" t="str">
        <f>HYPERLINK("https://otsuka-europe-crm.veevavault.com/ui/#object/approved_document__v/V5OZ025E82UKR5U", "SEP 2025: invitación simposio Alianza")</f>
        <v>SEP 2025: invitación simposio Alianza</v>
      </c>
      <c r="C23668" s="3" t="str">
        <f>HYPERLINK("https://otsuka-europe-crm.veevavault.com/ui/#object/sent_email__v/VBL000000006047", "SE-001380932")</f>
        <v>SE-001380932</v>
      </c>
      <c r="D23668" s="1">
        <v>45969.387974537036</v>
      </c>
      <c r="E23668" s="2">
        <v>1</v>
      </c>
      <c r="F23668" s="2">
        <v>4</v>
      </c>
      <c r="G23668" s="2">
        <v>1</v>
      </c>
      <c r="H23668" s="1">
        <v>45967.323958333334</v>
      </c>
      <c r="I23668" s="2">
        <v>1</v>
      </c>
      <c r="J23668" s="1">
        <v>45967.311064814814</v>
      </c>
    </row>
    <row r="23669" spans="1:10" x14ac:dyDescent="0.2">
      <c r="A23669" s="4" t="s">
        <v>1</v>
      </c>
      <c r="B23669" s="3" t="str">
        <f>HYPERLINK("https://otsuka-europe-crm.veevavault.com/ui/#object/approved_document__v/V5OZ025E82UKR5U", "SEP 2025: invitación simposio Alianza")</f>
        <v>SEP 2025: invitación simposio Alianza</v>
      </c>
      <c r="C23669" s="3" t="str">
        <f>HYPERLINK("https://otsuka-europe-crm.veevavault.com/ui/#object/sent_email__v/VBL000000006048", "SE-001380933")</f>
        <v>SE-001380933</v>
      </c>
      <c r="D23669" s="1">
        <v>46030.384652777779</v>
      </c>
      <c r="E23669" s="2">
        <v>1</v>
      </c>
      <c r="F23669" s="2">
        <v>2</v>
      </c>
      <c r="G23669" s="2">
        <v>1</v>
      </c>
      <c r="H23669" s="1">
        <v>45967.346261574072</v>
      </c>
      <c r="I23669" s="2">
        <v>4</v>
      </c>
      <c r="J23669" s="1">
        <v>45967.311099537037</v>
      </c>
    </row>
    <row r="23670" spans="1:10" x14ac:dyDescent="0.2">
      <c r="A23670" s="4" t="s">
        <v>1</v>
      </c>
      <c r="B23670" s="3" t="str">
        <f>HYPERLINK("https://otsuka-europe-crm.veevavault.com/ui/#object/approved_document__v/V5OZ025E82UKR5U", "SEP 2025: invitación simposio Alianza")</f>
        <v>SEP 2025: invitación simposio Alianza</v>
      </c>
      <c r="C23670" s="3" t="str">
        <f>HYPERLINK("https://otsuka-europe-crm.veevavault.com/ui/#object/sent_email__v/VBL000000006049", "SE-001380934")</f>
        <v>SE-001380934</v>
      </c>
      <c r="D23670" s="1" t="s">
        <v>0</v>
      </c>
      <c r="E23670" s="2">
        <v>0</v>
      </c>
      <c r="F23670" s="2">
        <v>0</v>
      </c>
      <c r="G23670" s="2">
        <v>0</v>
      </c>
      <c r="H23670" s="1" t="s">
        <v>0</v>
      </c>
      <c r="I23670" s="2">
        <v>0</v>
      </c>
      <c r="J23670" s="1">
        <v>45967.311157407406</v>
      </c>
    </row>
    <row r="23671" spans="1:10" x14ac:dyDescent="0.2">
      <c r="A23671" s="4" t="s">
        <v>1</v>
      </c>
      <c r="B23671" s="3" t="str">
        <f>HYPERLINK("https://otsuka-europe-crm.veevavault.com/ui/#object/approved_document__v/V5OZ025E82UKR5U", "SEP 2025: invitación simposio Alianza")</f>
        <v>SEP 2025: invitación simposio Alianza</v>
      </c>
      <c r="C23671" s="3" t="str">
        <f>HYPERLINK("https://otsuka-europe-crm.veevavault.com/ui/#object/sent_email__v/VBL000000006050", "SE-001380935")</f>
        <v>SE-001380935</v>
      </c>
      <c r="D23671" s="1">
        <v>45968.458587962959</v>
      </c>
      <c r="E23671" s="2">
        <v>1</v>
      </c>
      <c r="F23671" s="2">
        <v>1</v>
      </c>
      <c r="G23671" s="2">
        <v>0</v>
      </c>
      <c r="H23671" s="1" t="s">
        <v>0</v>
      </c>
      <c r="I23671" s="2">
        <v>0</v>
      </c>
      <c r="J23671" s="1">
        <v>45967.311238425929</v>
      </c>
    </row>
    <row r="23672" spans="1:10" x14ac:dyDescent="0.2">
      <c r="A23672" s="4" t="s">
        <v>1</v>
      </c>
      <c r="B23672" s="3" t="str">
        <f>HYPERLINK("https://otsuka-europe-crm.veevavault.com/ui/#object/approved_document__v/V5OZ025E82UKR5U", "SEP 2025: invitación simposio Alianza")</f>
        <v>SEP 2025: invitación simposio Alianza</v>
      </c>
      <c r="C23672" s="3" t="str">
        <f>HYPERLINK("https://otsuka-europe-crm.veevavault.com/ui/#object/sent_email__v/VBL000000006051", "SE-001380936")</f>
        <v>SE-001380936</v>
      </c>
      <c r="D23672" s="1" t="s">
        <v>0</v>
      </c>
      <c r="E23672" s="2">
        <v>0</v>
      </c>
      <c r="F23672" s="2">
        <v>0</v>
      </c>
      <c r="G23672" s="2">
        <v>0</v>
      </c>
      <c r="H23672" s="1" t="s">
        <v>0</v>
      </c>
      <c r="I23672" s="2">
        <v>0</v>
      </c>
      <c r="J23672" s="1">
        <v>45967.311307870368</v>
      </c>
    </row>
    <row r="23673" spans="1:10" x14ac:dyDescent="0.2">
      <c r="A23673" s="4" t="s">
        <v>1</v>
      </c>
      <c r="B23673" s="3" t="str">
        <f>HYPERLINK("https://otsuka-europe-crm.veevavault.com/ui/#object/approved_document__v/V5OZ025E82UKR5U", "SEP 2025: invitación simposio Alianza")</f>
        <v>SEP 2025: invitación simposio Alianza</v>
      </c>
      <c r="C23673" s="3" t="str">
        <f>HYPERLINK("https://otsuka-europe-crm.veevavault.com/ui/#object/sent_email__v/VBL000000006052", "SE-001380937")</f>
        <v>SE-001380937</v>
      </c>
      <c r="D23673" s="1">
        <v>45967.379548611112</v>
      </c>
      <c r="E23673" s="2">
        <v>1</v>
      </c>
      <c r="F23673" s="2">
        <v>1</v>
      </c>
      <c r="G23673" s="2">
        <v>0</v>
      </c>
      <c r="H23673" s="1" t="s">
        <v>0</v>
      </c>
      <c r="I23673" s="2">
        <v>0</v>
      </c>
      <c r="J23673" s="1">
        <v>45967.311365740738</v>
      </c>
    </row>
    <row r="23674" spans="1:10" x14ac:dyDescent="0.2">
      <c r="A23674" s="4" t="s">
        <v>1</v>
      </c>
      <c r="B23674" s="3" t="str">
        <f>HYPERLINK("https://otsuka-europe-crm.veevavault.com/ui/#object/approved_document__v/V5OZ025E82UKR5U", "SEP 2025: invitación simposio Alianza")</f>
        <v>SEP 2025: invitación simposio Alianza</v>
      </c>
      <c r="C23674" s="3" t="str">
        <f>HYPERLINK("https://otsuka-europe-crm.veevavault.com/ui/#object/sent_email__v/VBL000000004561", "SE-001380938")</f>
        <v>SE-001380938</v>
      </c>
      <c r="D23674" s="1">
        <v>45967.363391203704</v>
      </c>
      <c r="E23674" s="2">
        <v>1</v>
      </c>
      <c r="F23674" s="2">
        <v>1</v>
      </c>
      <c r="G23674" s="2">
        <v>1</v>
      </c>
      <c r="H23674" s="1">
        <v>45967.363541666666</v>
      </c>
      <c r="I23674" s="2">
        <v>1</v>
      </c>
      <c r="J23674" s="1">
        <v>45967.312650462962</v>
      </c>
    </row>
    <row r="23675" spans="1:10" x14ac:dyDescent="0.2">
      <c r="A23675" s="4" t="s">
        <v>1</v>
      </c>
      <c r="B23675" s="3" t="str">
        <f>HYPERLINK("https://otsuka-europe-crm.veevavault.com/ui/#object/approved_document__v/V5OZ025E82UKR5U", "SEP 2025: invitación simposio Alianza")</f>
        <v>SEP 2025: invitación simposio Alianza</v>
      </c>
      <c r="C23675" s="3" t="str">
        <f>HYPERLINK("https://otsuka-europe-crm.veevavault.com/ui/#object/sent_email__v/VBL000000006053", "SE-001380939")</f>
        <v>SE-001380939</v>
      </c>
      <c r="D23675" s="1">
        <v>45969.918113425927</v>
      </c>
      <c r="E23675" s="2">
        <v>1</v>
      </c>
      <c r="F23675" s="2">
        <v>2</v>
      </c>
      <c r="G23675" s="2">
        <v>0</v>
      </c>
      <c r="H23675" s="1" t="s">
        <v>0</v>
      </c>
      <c r="I23675" s="2">
        <v>0</v>
      </c>
      <c r="J23675" s="1">
        <v>45967.312997685185</v>
      </c>
    </row>
    <row r="23676" spans="1:10" x14ac:dyDescent="0.2">
      <c r="A23676" s="4" t="s">
        <v>1</v>
      </c>
      <c r="B23676" s="3" t="str">
        <f>HYPERLINK("https://otsuka-europe-crm.veevavault.com/ui/#object/approved_document__v/V5OZ025E82UKR5U", "SEP 2025: invitación simposio Alianza")</f>
        <v>SEP 2025: invitación simposio Alianza</v>
      </c>
      <c r="C23676" s="3" t="str">
        <f>HYPERLINK("https://otsuka-europe-crm.veevavault.com/ui/#object/sent_email__v/VBL000000006056", "SE-001380943")</f>
        <v>SE-001380943</v>
      </c>
      <c r="D23676" s="1" t="s">
        <v>0</v>
      </c>
      <c r="E23676" s="2">
        <v>0</v>
      </c>
      <c r="F23676" s="2">
        <v>0</v>
      </c>
      <c r="G23676" s="2">
        <v>0</v>
      </c>
      <c r="H23676" s="1" t="s">
        <v>0</v>
      </c>
      <c r="I23676" s="2">
        <v>0</v>
      </c>
      <c r="J23676" s="1">
        <v>45967.331354166665</v>
      </c>
    </row>
    <row r="23677" spans="1:10" x14ac:dyDescent="0.2">
      <c r="A23677" s="4" t="s">
        <v>1</v>
      </c>
      <c r="B23677" s="3" t="str">
        <f>HYPERLINK("https://otsuka-europe-crm.veevavault.com/ui/#object/approved_document__v/V5OZ025E82UKR5U", "SEP 2025: invitación simposio Alianza")</f>
        <v>SEP 2025: invitación simposio Alianza</v>
      </c>
      <c r="C23677" s="3" t="str">
        <f>HYPERLINK("https://otsuka-europe-crm.veevavault.com/ui/#object/sent_email__v/VBL000000006057", "SE-001380944")</f>
        <v>SE-001380944</v>
      </c>
      <c r="D23677" s="1">
        <v>45967.641747685186</v>
      </c>
      <c r="E23677" s="2">
        <v>1</v>
      </c>
      <c r="F23677" s="2">
        <v>4</v>
      </c>
      <c r="G23677" s="2">
        <v>0</v>
      </c>
      <c r="H23677" s="1" t="s">
        <v>0</v>
      </c>
      <c r="I23677" s="2">
        <v>0</v>
      </c>
      <c r="J23677" s="1">
        <v>45967.331377314818</v>
      </c>
    </row>
    <row r="23678" spans="1:10" x14ac:dyDescent="0.2">
      <c r="A23678" s="4" t="s">
        <v>1</v>
      </c>
      <c r="B23678" s="3" t="str">
        <f>HYPERLINK("https://otsuka-europe-crm.veevavault.com/ui/#object/approved_document__v/V5OZ025E82UKR5U", "SEP 2025: invitación simposio Alianza")</f>
        <v>SEP 2025: invitación simposio Alianza</v>
      </c>
      <c r="C23678" s="3" t="str">
        <f>HYPERLINK("https://otsuka-europe-crm.veevavault.com/ui/#object/sent_email__v/VBL000000004563", "SE-001380946")</f>
        <v>SE-001380946</v>
      </c>
      <c r="D23678" s="1" t="s">
        <v>0</v>
      </c>
      <c r="E23678" s="2">
        <v>0</v>
      </c>
      <c r="F23678" s="2">
        <v>0</v>
      </c>
      <c r="G23678" s="2">
        <v>0</v>
      </c>
      <c r="H23678" s="1" t="s">
        <v>0</v>
      </c>
      <c r="I23678" s="2">
        <v>0</v>
      </c>
      <c r="J23678" s="1">
        <v>45967.347500000003</v>
      </c>
    </row>
    <row r="23679" spans="1:10" x14ac:dyDescent="0.2">
      <c r="A23679" s="4" t="s">
        <v>1</v>
      </c>
      <c r="B23679" s="3" t="str">
        <f>HYPERLINK("https://otsuka-europe-crm.veevavault.com/ui/#object/approved_document__v/V5OZ025E82UKR5U", "SEP 2025: invitación simposio Alianza")</f>
        <v>SEP 2025: invitación simposio Alianza</v>
      </c>
      <c r="C23679" s="3" t="str">
        <f>HYPERLINK("https://otsuka-europe-crm.veevavault.com/ui/#object/sent_email__v/VBL000000004565", "SE-001380949")</f>
        <v>SE-001380949</v>
      </c>
      <c r="D23679" s="1">
        <v>46002.802071759259</v>
      </c>
      <c r="E23679" s="2">
        <v>1</v>
      </c>
      <c r="F23679" s="2">
        <v>5</v>
      </c>
      <c r="G23679" s="2">
        <v>0</v>
      </c>
      <c r="H23679" s="1" t="s">
        <v>0</v>
      </c>
      <c r="I23679" s="2">
        <v>0</v>
      </c>
      <c r="J23679" s="1">
        <v>45967.362916666665</v>
      </c>
    </row>
    <row r="23680" spans="1:10" x14ac:dyDescent="0.2">
      <c r="A23680" s="4" t="s">
        <v>1</v>
      </c>
      <c r="B23680" s="3" t="str">
        <f>HYPERLINK("https://otsuka-europe-crm.veevavault.com/ui/#object/approved_document__v/V5OZ025E82UKR5U", "SEP 2025: invitación simposio Alianza")</f>
        <v>SEP 2025: invitación simposio Alianza</v>
      </c>
      <c r="C23680" s="3" t="str">
        <f>HYPERLINK("https://otsuka-europe-crm.veevavault.com/ui/#object/sent_email__v/VBL000000004566", "SE-001380950")</f>
        <v>SE-001380950</v>
      </c>
      <c r="D23680" s="1">
        <v>45967.468993055554</v>
      </c>
      <c r="E23680" s="2">
        <v>1</v>
      </c>
      <c r="F23680" s="2">
        <v>1</v>
      </c>
      <c r="G23680" s="2">
        <v>0</v>
      </c>
      <c r="H23680" s="1" t="s">
        <v>0</v>
      </c>
      <c r="I23680" s="2">
        <v>0</v>
      </c>
      <c r="J23680" s="1">
        <v>45967.362974537034</v>
      </c>
    </row>
    <row r="23681" spans="1:10" x14ac:dyDescent="0.2">
      <c r="A23681" s="4" t="s">
        <v>1</v>
      </c>
      <c r="B23681" s="3" t="str">
        <f>HYPERLINK("https://otsuka-europe-crm.veevavault.com/ui/#object/approved_document__v/V5O00000000D100", "Spain - Consent Email 1 Aug 25")</f>
        <v>Spain - Consent Email 1 Aug 25</v>
      </c>
      <c r="C23681" s="3" t="str">
        <f>HYPERLINK("https://otsuka-europe-crm.veevavault.com/ui/#object/sent_email__v/VBL000000010003", "SE-001396601")</f>
        <v>SE-001396601</v>
      </c>
      <c r="D23681" s="1">
        <v>46052.442175925928</v>
      </c>
      <c r="E23681" s="2">
        <v>1</v>
      </c>
      <c r="F23681" s="2">
        <v>8</v>
      </c>
      <c r="G23681" s="2">
        <v>1</v>
      </c>
      <c r="H23681" s="1">
        <v>46006.341122685182</v>
      </c>
      <c r="I23681" s="2">
        <v>3</v>
      </c>
      <c r="J23681" s="1">
        <v>46004.4841087963</v>
      </c>
    </row>
    <row r="23682" spans="1:10" x14ac:dyDescent="0.2">
      <c r="A23682" s="4" t="s">
        <v>1</v>
      </c>
      <c r="B23682" s="3" t="str">
        <f>HYPERLINK("https://otsuka-europe-crm.veevavault.com/ui/#object/approved_document__v/V5O00000000D100", "Spain - Consent Email 1 Aug 25")</f>
        <v>Spain - Consent Email 1 Aug 25</v>
      </c>
      <c r="C23682" s="3" t="str">
        <f>HYPERLINK("https://otsuka-europe-crm.veevavault.com/ui/#object/sent_email__v/VBL000000010004", "SE-001396602")</f>
        <v>SE-001396602</v>
      </c>
      <c r="D23682" s="1">
        <v>46006.340798611112</v>
      </c>
      <c r="E23682" s="2">
        <v>1</v>
      </c>
      <c r="F23682" s="2">
        <v>6</v>
      </c>
      <c r="G23682" s="2">
        <v>1</v>
      </c>
      <c r="H23682" s="1">
        <v>46004.504270833335</v>
      </c>
      <c r="I23682" s="2">
        <v>2</v>
      </c>
      <c r="J23682" s="1">
        <v>46004.485578703701</v>
      </c>
    </row>
    <row r="23683" spans="1:10" x14ac:dyDescent="0.2">
      <c r="A23683" s="4" t="s">
        <v>1</v>
      </c>
      <c r="B23683" s="3" t="str">
        <f>HYPERLINK("https://otsuka-europe-crm.veevavault.com/ui/#object/approved_document__v/V5O00000000D100", "Spain - Consent Email 1 Aug 25")</f>
        <v>Spain - Consent Email 1 Aug 25</v>
      </c>
      <c r="C23683" s="3" t="str">
        <f>HYPERLINK("https://otsuka-europe-crm.veevavault.com/ui/#object/sent_email__v/VBL000000011002", "SE-001396604")</f>
        <v>SE-001396604</v>
      </c>
      <c r="D23683" s="1">
        <v>46005.590648148151</v>
      </c>
      <c r="E23683" s="2">
        <v>1</v>
      </c>
      <c r="F23683" s="2">
        <v>1</v>
      </c>
      <c r="G23683" s="2">
        <v>1</v>
      </c>
      <c r="H23683" s="1">
        <v>46006.29965277778</v>
      </c>
      <c r="I23683" s="2">
        <v>3</v>
      </c>
      <c r="J23683" s="1">
        <v>46004.489108796297</v>
      </c>
    </row>
    <row r="23684" spans="1:10" x14ac:dyDescent="0.2">
      <c r="A23684" s="4" t="s">
        <v>1</v>
      </c>
      <c r="B23684" s="3" t="str">
        <f>HYPERLINK("https://otsuka-europe-crm.veevavault.com/ui/#object/approved_document__v/V5O00000000D100", "Spain - Consent Email 1 Aug 25")</f>
        <v>Spain - Consent Email 1 Aug 25</v>
      </c>
      <c r="C23684" s="3" t="str">
        <f>HYPERLINK("https://otsuka-europe-crm.veevavault.com/ui/#object/sent_email__v/VBL000000011004", "SE-001396606")</f>
        <v>SE-001396606</v>
      </c>
      <c r="D23684" s="1">
        <v>46004.528449074074</v>
      </c>
      <c r="E23684" s="2">
        <v>1</v>
      </c>
      <c r="F23684" s="2">
        <v>3</v>
      </c>
      <c r="G23684" s="2">
        <v>1</v>
      </c>
      <c r="H23684" s="1">
        <v>46004.52820601852</v>
      </c>
      <c r="I23684" s="2">
        <v>2</v>
      </c>
      <c r="J23684" s="1">
        <v>46004.492604166669</v>
      </c>
    </row>
    <row r="23685" spans="1:10" x14ac:dyDescent="0.2">
      <c r="A23685" s="4" t="s">
        <v>1</v>
      </c>
      <c r="B23685" s="3" t="str">
        <f>HYPERLINK("https://otsuka-europe-crm.veevavault.com/ui/#object/approved_document__v/V5O00000000D100", "Spain - Consent Email 1 Aug 25")</f>
        <v>Spain - Consent Email 1 Aug 25</v>
      </c>
      <c r="C23685" s="3" t="str">
        <f>HYPERLINK("https://otsuka-europe-crm.veevavault.com/ui/#object/sent_email__v/VBL000000010016", "SE-001396628")</f>
        <v>SE-001396628</v>
      </c>
      <c r="D23685" s="1">
        <v>46037.417754629627</v>
      </c>
      <c r="E23685" s="2">
        <v>1</v>
      </c>
      <c r="F23685" s="2">
        <v>5</v>
      </c>
      <c r="G23685" s="2">
        <v>0</v>
      </c>
      <c r="H23685" s="1" t="s">
        <v>0</v>
      </c>
      <c r="I23685" s="2">
        <v>0</v>
      </c>
      <c r="J23685" s="1">
        <v>46006.303506944445</v>
      </c>
    </row>
    <row r="23686" spans="1:10" x14ac:dyDescent="0.2">
      <c r="A23686" s="4" t="s">
        <v>1</v>
      </c>
      <c r="B23686" s="3" t="str">
        <f>HYPERLINK("https://otsuka-europe-crm.veevavault.com/ui/#object/approved_document__v/V5O00000000D100", "Spain - Consent Email 1 Aug 25")</f>
        <v>Spain - Consent Email 1 Aug 25</v>
      </c>
      <c r="C23686" s="3" t="str">
        <f>HYPERLINK("https://otsuka-europe-crm.veevavault.com/ui/#object/sent_email__v/VBL000000010027", "SE-001396646")</f>
        <v>SE-001396646</v>
      </c>
      <c r="D23686" s="1">
        <v>46051.344652777778</v>
      </c>
      <c r="E23686" s="2">
        <v>1</v>
      </c>
      <c r="F23686" s="2">
        <v>4</v>
      </c>
      <c r="G23686" s="2">
        <v>1</v>
      </c>
      <c r="H23686" s="1">
        <v>46051.344733796293</v>
      </c>
      <c r="I23686" s="2">
        <v>1</v>
      </c>
      <c r="J23686" s="1">
        <v>46006.423784722225</v>
      </c>
    </row>
    <row r="23687" spans="1:10" x14ac:dyDescent="0.2">
      <c r="A23687" s="4" t="s">
        <v>1</v>
      </c>
      <c r="B23687" s="3" t="str">
        <f>HYPERLINK("https://otsuka-europe-crm.veevavault.com/ui/#object/approved_document__v/V5O00000000D100", "Spain - Consent Email 1 Aug 25")</f>
        <v>Spain - Consent Email 1 Aug 25</v>
      </c>
      <c r="C23687" s="3" t="str">
        <f>HYPERLINK("https://otsuka-europe-crm.veevavault.com/ui/#object/sent_email__v/VBL000000011031", "SE-001396658")</f>
        <v>SE-001396658</v>
      </c>
      <c r="D23687" s="1">
        <v>46006.57130787037</v>
      </c>
      <c r="E23687" s="2">
        <v>1</v>
      </c>
      <c r="F23687" s="2">
        <v>2</v>
      </c>
      <c r="G23687" s="2">
        <v>1</v>
      </c>
      <c r="H23687" s="1">
        <v>46006.571423611109</v>
      </c>
      <c r="I23687" s="2">
        <v>1</v>
      </c>
      <c r="J23687" s="1">
        <v>46006.49863425926</v>
      </c>
    </row>
    <row r="23688" spans="1:10" x14ac:dyDescent="0.2">
      <c r="A23688" s="4" t="s">
        <v>1</v>
      </c>
      <c r="B23688" s="3" t="str">
        <f>HYPERLINK("https://otsuka-europe-crm.veevavault.com/ui/#object/approved_document__v/V5O00000000D100", "Spain - Consent Email 1 Aug 25")</f>
        <v>Spain - Consent Email 1 Aug 25</v>
      </c>
      <c r="C23688" s="3" t="str">
        <f>HYPERLINK("https://otsuka-europe-crm.veevavault.com/ui/#object/sent_email__v/VBL000000011036", "SE-001396664")</f>
        <v>SE-001396664</v>
      </c>
      <c r="D23688" s="1">
        <v>46006.554988425924</v>
      </c>
      <c r="E23688" s="2">
        <v>1</v>
      </c>
      <c r="F23688" s="2">
        <v>1</v>
      </c>
      <c r="G23688" s="2">
        <v>1</v>
      </c>
      <c r="H23688" s="1">
        <v>46008.670868055553</v>
      </c>
      <c r="I23688" s="2">
        <v>2</v>
      </c>
      <c r="J23688" s="1">
        <v>46006.500416666669</v>
      </c>
    </row>
    <row r="23689" spans="1:10" x14ac:dyDescent="0.2">
      <c r="A23689" s="4" t="s">
        <v>1</v>
      </c>
      <c r="B23689" s="3" t="str">
        <f>HYPERLINK("https://otsuka-europe-crm.veevavault.com/ui/#object/approved_document__v/V5O00000000D100", "Spain - Consent Email 1 Aug 25")</f>
        <v>Spain - Consent Email 1 Aug 25</v>
      </c>
      <c r="C23689" s="3" t="str">
        <f>HYPERLINK("https://otsuka-europe-crm.veevavault.com/ui/#object/sent_email__v/VBL000000011038", "SE-001396666")</f>
        <v>SE-001396666</v>
      </c>
      <c r="D23689" s="1" t="s">
        <v>0</v>
      </c>
      <c r="E23689" s="2">
        <v>0</v>
      </c>
      <c r="F23689" s="2">
        <v>0</v>
      </c>
      <c r="G23689" s="2">
        <v>0</v>
      </c>
      <c r="H23689" s="1" t="s">
        <v>0</v>
      </c>
      <c r="I23689" s="2">
        <v>0</v>
      </c>
      <c r="J23689" s="1">
        <v>46006.500601851854</v>
      </c>
    </row>
    <row r="23690" spans="1:10" x14ac:dyDescent="0.2">
      <c r="A23690" s="4" t="s">
        <v>1</v>
      </c>
      <c r="B23690" s="3" t="str">
        <f>HYPERLINK("https://otsuka-europe-crm.veevavault.com/ui/#object/approved_document__v/V5O00000000D100", "Spain - Consent Email 1 Aug 25")</f>
        <v>Spain - Consent Email 1 Aug 25</v>
      </c>
      <c r="C23690" s="3" t="str">
        <f>HYPERLINK("https://otsuka-europe-crm.veevavault.com/ui/#object/sent_email__v/VBL000000011041", "SE-001396669")</f>
        <v>SE-001396669</v>
      </c>
      <c r="D23690" s="1">
        <v>46006.640763888892</v>
      </c>
      <c r="E23690" s="2">
        <v>1</v>
      </c>
      <c r="F23690" s="2">
        <v>1</v>
      </c>
      <c r="G23690" s="2">
        <v>1</v>
      </c>
      <c r="H23690" s="1">
        <v>46006.640810185185</v>
      </c>
      <c r="I23690" s="2">
        <v>1</v>
      </c>
      <c r="J23690" s="1">
        <v>46006.503078703703</v>
      </c>
    </row>
    <row r="23691" spans="1:10" x14ac:dyDescent="0.2">
      <c r="A23691" s="4" t="s">
        <v>1</v>
      </c>
      <c r="B23691" s="3" t="str">
        <f>HYPERLINK("https://otsuka-europe-crm.veevavault.com/ui/#object/approved_document__v/V5O00000000D100", "Spain - Consent Email 1 Aug 25")</f>
        <v>Spain - Consent Email 1 Aug 25</v>
      </c>
      <c r="C23691" s="3" t="str">
        <f>HYPERLINK("https://otsuka-europe-crm.veevavault.com/ui/#object/sent_email__v/VBL000000010034", "SE-001396677")</f>
        <v>SE-001396677</v>
      </c>
      <c r="D23691" s="1" t="s">
        <v>0</v>
      </c>
      <c r="E23691" s="2">
        <v>0</v>
      </c>
      <c r="F23691" s="2">
        <v>0</v>
      </c>
      <c r="G23691" s="2">
        <v>0</v>
      </c>
      <c r="H23691" s="1" t="s">
        <v>0</v>
      </c>
      <c r="I23691" s="2">
        <v>0</v>
      </c>
      <c r="J23691" s="1">
        <v>46006.508842592593</v>
      </c>
    </row>
    <row r="23692" spans="1:10" x14ac:dyDescent="0.2">
      <c r="A23692" s="4" t="s">
        <v>1</v>
      </c>
      <c r="B23692" s="3" t="str">
        <f>HYPERLINK("https://otsuka-europe-crm.veevavault.com/ui/#object/approved_document__v/V5O00000000D100", "Spain - Consent Email 1 Aug 25")</f>
        <v>Spain - Consent Email 1 Aug 25</v>
      </c>
      <c r="C23692" s="3" t="str">
        <f>HYPERLINK("https://otsuka-europe-crm.veevavault.com/ui/#object/sent_email__v/VBL000000010036", "SE-001396681")</f>
        <v>SE-001396681</v>
      </c>
      <c r="D23692" s="1">
        <v>46013.354444444441</v>
      </c>
      <c r="E23692" s="2">
        <v>1</v>
      </c>
      <c r="F23692" s="2">
        <v>1</v>
      </c>
      <c r="G23692" s="2">
        <v>0</v>
      </c>
      <c r="H23692" s="1" t="s">
        <v>0</v>
      </c>
      <c r="I23692" s="2">
        <v>0</v>
      </c>
      <c r="J23692" s="1">
        <v>46006.511180555557</v>
      </c>
    </row>
    <row r="23693" spans="1:10" x14ac:dyDescent="0.2">
      <c r="A23693" s="4" t="s">
        <v>1</v>
      </c>
      <c r="B23693" s="3" t="str">
        <f>HYPERLINK("https://otsuka-europe-crm.veevavault.com/ui/#object/approved_document__v/V5O00000000D100", "Spain - Consent Email 1 Aug 25")</f>
        <v>Spain - Consent Email 1 Aug 25</v>
      </c>
      <c r="C23693" s="3" t="str">
        <f>HYPERLINK("https://otsuka-europe-crm.veevavault.com/ui/#object/sent_email__v/VBL000000011051", "SE-001396684")</f>
        <v>SE-001396684</v>
      </c>
      <c r="D23693" s="1">
        <v>46006.571608796294</v>
      </c>
      <c r="E23693" s="2">
        <v>1</v>
      </c>
      <c r="F23693" s="2">
        <v>1</v>
      </c>
      <c r="G23693" s="2">
        <v>1</v>
      </c>
      <c r="H23693" s="1">
        <v>46006.571643518517</v>
      </c>
      <c r="I23693" s="2">
        <v>1</v>
      </c>
      <c r="J23693" s="1">
        <v>46006.512916666667</v>
      </c>
    </row>
    <row r="23694" spans="1:10" x14ac:dyDescent="0.2">
      <c r="A23694" s="4" t="s">
        <v>1</v>
      </c>
      <c r="B23694" s="3" t="str">
        <f>HYPERLINK("https://otsuka-europe-crm.veevavault.com/ui/#object/approved_document__v/V5O00000000D100", "Spain - Consent Email 1 Aug 25")</f>
        <v>Spain - Consent Email 1 Aug 25</v>
      </c>
      <c r="C23694" s="3" t="str">
        <f>HYPERLINK("https://otsuka-europe-crm.veevavault.com/ui/#object/sent_email__v/VBL000000010129", "SE-001396978")</f>
        <v>SE-001396978</v>
      </c>
      <c r="D23694" s="1">
        <v>46007.74082175926</v>
      </c>
      <c r="E23694" s="2">
        <v>1</v>
      </c>
      <c r="F23694" s="2">
        <v>1</v>
      </c>
      <c r="G23694" s="2">
        <v>1</v>
      </c>
      <c r="H23694" s="1">
        <v>46007.742060185185</v>
      </c>
      <c r="I23694" s="2">
        <v>2</v>
      </c>
      <c r="J23694" s="1">
        <v>46007.735439814816</v>
      </c>
    </row>
    <row r="23695" spans="1:10" x14ac:dyDescent="0.2">
      <c r="A23695" s="4" t="s">
        <v>1</v>
      </c>
      <c r="B23695" s="3" t="str">
        <f>HYPERLINK("https://otsuka-europe-crm.veevavault.com/ui/#object/approved_document__v/V5O00000000D100", "Spain - Consent Email 1 Aug 25")</f>
        <v>Spain - Consent Email 1 Aug 25</v>
      </c>
      <c r="C23695" s="3" t="str">
        <f>HYPERLINK("https://otsuka-europe-crm.veevavault.com/ui/#object/sent_email__v/VBL000000011293", "SE-001397053")</f>
        <v>SE-001397053</v>
      </c>
      <c r="D23695" s="1">
        <v>46008.421979166669</v>
      </c>
      <c r="E23695" s="2">
        <v>1</v>
      </c>
      <c r="F23695" s="2">
        <v>1</v>
      </c>
      <c r="G23695" s="2">
        <v>1</v>
      </c>
      <c r="H23695" s="1">
        <v>46008.422303240739</v>
      </c>
      <c r="I23695" s="2">
        <v>1</v>
      </c>
      <c r="J23695" s="1">
        <v>46008.420983796299</v>
      </c>
    </row>
    <row r="23696" spans="1:10" x14ac:dyDescent="0.2">
      <c r="A23696" s="4" t="s">
        <v>1</v>
      </c>
      <c r="B23696" s="3" t="str">
        <f>HYPERLINK("https://otsuka-europe-crm.veevavault.com/ui/#object/approved_document__v/V5O00000000D100", "Spain - Consent Email 1 Aug 25")</f>
        <v>Spain - Consent Email 1 Aug 25</v>
      </c>
      <c r="C23696" s="3" t="str">
        <f>HYPERLINK("https://otsuka-europe-crm.veevavault.com/ui/#object/sent_email__v/VBL000000012764", "SE-001399419")</f>
        <v>SE-001399419</v>
      </c>
      <c r="D23696" s="1" t="s">
        <v>0</v>
      </c>
      <c r="E23696" s="2">
        <v>0</v>
      </c>
      <c r="F23696" s="2">
        <v>0</v>
      </c>
      <c r="G23696" s="2">
        <v>0</v>
      </c>
      <c r="H23696" s="1" t="s">
        <v>0</v>
      </c>
      <c r="I23696" s="2">
        <v>0</v>
      </c>
      <c r="J23696" s="1">
        <v>46030.431192129632</v>
      </c>
    </row>
    <row r="23697" spans="1:10" x14ac:dyDescent="0.2">
      <c r="A23697" s="4" t="s">
        <v>1</v>
      </c>
      <c r="B23697" s="3" t="str">
        <f>HYPERLINK("https://otsuka-europe-crm.veevavault.com/ui/#object/approved_document__v/V5O00000000D100", "Spain - Consent Email 1 Aug 25")</f>
        <v>Spain - Consent Email 1 Aug 25</v>
      </c>
      <c r="C23697" s="3" t="str">
        <f>HYPERLINK("https://otsuka-europe-crm.veevavault.com/ui/#object/sent_email__v/VBL000000013831", "SE-001399424")</f>
        <v>SE-001399424</v>
      </c>
      <c r="D23697" s="1">
        <v>46034.792361111111</v>
      </c>
      <c r="E23697" s="2">
        <v>1</v>
      </c>
      <c r="F23697" s="2">
        <v>2</v>
      </c>
      <c r="G23697" s="2">
        <v>1</v>
      </c>
      <c r="H23697" s="1">
        <v>46031.537708333337</v>
      </c>
      <c r="I23697" s="2">
        <v>2</v>
      </c>
      <c r="J23697" s="1">
        <v>46030.432592592595</v>
      </c>
    </row>
    <row r="23698" spans="1:10" x14ac:dyDescent="0.2">
      <c r="A23698" s="4" t="s">
        <v>1</v>
      </c>
      <c r="B23698" s="3" t="str">
        <f>HYPERLINK("https://otsuka-europe-crm.veevavault.com/ui/#object/approved_document__v/V5O00000000D100", "Spain - Consent Email 1 Aug 25")</f>
        <v>Spain - Consent Email 1 Aug 25</v>
      </c>
      <c r="C23698" s="3" t="str">
        <f>HYPERLINK("https://otsuka-europe-crm.veevavault.com/ui/#object/sent_email__v/VBL000000014141", "SE-001399874")</f>
        <v>SE-001399874</v>
      </c>
      <c r="D23698" s="1">
        <v>46037.557453703703</v>
      </c>
      <c r="E23698" s="2">
        <v>1</v>
      </c>
      <c r="F23698" s="2">
        <v>1</v>
      </c>
      <c r="G23698" s="2">
        <v>1</v>
      </c>
      <c r="H23698" s="1">
        <v>46037.557453703703</v>
      </c>
      <c r="I23698" s="2">
        <v>1</v>
      </c>
      <c r="J23698" s="1">
        <v>46036.550740740742</v>
      </c>
    </row>
    <row r="23699" spans="1:10" x14ac:dyDescent="0.2">
      <c r="A23699" s="4" t="s">
        <v>1</v>
      </c>
      <c r="B23699" s="3" t="str">
        <f>HYPERLINK("https://otsuka-europe-crm.veevavault.com/ui/#object/approved_document__v/V5O00000000D100", "Spain - Consent Email 1 Aug 25")</f>
        <v>Spain - Consent Email 1 Aug 25</v>
      </c>
      <c r="C23699" s="3" t="str">
        <f>HYPERLINK("https://otsuka-europe-crm.veevavault.com/ui/#object/sent_email__v/VBL000000015129", "SE-001400239")</f>
        <v>SE-001400239</v>
      </c>
      <c r="D23699" s="1">
        <v>46043.590497685182</v>
      </c>
      <c r="E23699" s="2">
        <v>1</v>
      </c>
      <c r="F23699" s="2">
        <v>2</v>
      </c>
      <c r="G23699" s="2">
        <v>1</v>
      </c>
      <c r="H23699" s="1">
        <v>46043.59065972222</v>
      </c>
      <c r="I23699" s="2">
        <v>2</v>
      </c>
      <c r="J23699" s="1">
        <v>46042.5390625</v>
      </c>
    </row>
    <row r="23700" spans="1:10" x14ac:dyDescent="0.2">
      <c r="A23700" s="4" t="s">
        <v>1</v>
      </c>
      <c r="B23700" s="3" t="str">
        <f>HYPERLINK("https://otsuka-europe-crm.veevavault.com/ui/#object/approved_document__v/V5O00000000D100", "Spain - Consent Email 1 Aug 25")</f>
        <v>Spain - Consent Email 1 Aug 25</v>
      </c>
      <c r="C23700" s="3" t="str">
        <f>HYPERLINK("https://otsuka-europe-crm.veevavault.com/ui/#object/sent_email__v/VBL000000016219", "SE-001400443")</f>
        <v>SE-001400443</v>
      </c>
      <c r="D23700" s="1" t="s">
        <v>0</v>
      </c>
      <c r="E23700" s="2">
        <v>0</v>
      </c>
      <c r="F23700" s="2">
        <v>0</v>
      </c>
      <c r="G23700" s="2">
        <v>0</v>
      </c>
      <c r="H23700" s="1" t="s">
        <v>0</v>
      </c>
      <c r="I23700" s="2">
        <v>0</v>
      </c>
      <c r="J23700" s="1">
        <v>46043.422453703701</v>
      </c>
    </row>
    <row r="23701" spans="1:10" x14ac:dyDescent="0.2">
      <c r="A23701" s="4" t="s">
        <v>1</v>
      </c>
      <c r="B23701" s="3" t="str">
        <f>HYPERLINK("https://otsuka-europe-crm.veevavault.com/ui/#object/approved_document__v/V5O00000000D100", "Spain - Consent Email 1 Aug 25")</f>
        <v>Spain - Consent Email 1 Aug 25</v>
      </c>
      <c r="C23701" s="3" t="str">
        <f>HYPERLINK("https://otsuka-europe-crm.veevavault.com/ui/#object/sent_email__v/VBL000000015231", "SE-001400570")</f>
        <v>SE-001400570</v>
      </c>
      <c r="D23701" s="1" t="s">
        <v>0</v>
      </c>
      <c r="E23701" s="2">
        <v>0</v>
      </c>
      <c r="F23701" s="2">
        <v>0</v>
      </c>
      <c r="G23701" s="2">
        <v>0</v>
      </c>
      <c r="H23701" s="1" t="s">
        <v>0</v>
      </c>
      <c r="I23701" s="2">
        <v>0</v>
      </c>
      <c r="J23701" s="1">
        <v>46043.422037037039</v>
      </c>
    </row>
    <row r="23702" spans="1:10" x14ac:dyDescent="0.2">
      <c r="A23702" s="4" t="s">
        <v>1</v>
      </c>
      <c r="B23702" s="3" t="str">
        <f>HYPERLINK("https://otsuka-europe-crm.veevavault.com/ui/#object/approved_document__v/V5O00000000D100", "Spain - Consent Email 1 Aug 25")</f>
        <v>Spain - Consent Email 1 Aug 25</v>
      </c>
      <c r="C23702" s="3" t="str">
        <f>HYPERLINK("https://otsuka-europe-crm.veevavault.com/ui/#object/sent_email__v/VBL000000016377", "SE-001400641")</f>
        <v>SE-001400641</v>
      </c>
      <c r="D23702" s="1">
        <v>46043.745092592595</v>
      </c>
      <c r="E23702" s="2">
        <v>1</v>
      </c>
      <c r="F23702" s="2">
        <v>1</v>
      </c>
      <c r="G23702" s="2">
        <v>1</v>
      </c>
      <c r="H23702" s="1">
        <v>46043.746053240742</v>
      </c>
      <c r="I23702" s="2">
        <v>1</v>
      </c>
      <c r="J23702" s="1">
        <v>46043.470648148148</v>
      </c>
    </row>
    <row r="23703" spans="1:10" x14ac:dyDescent="0.2">
      <c r="A23703" s="4" t="s">
        <v>1</v>
      </c>
      <c r="B23703" s="3" t="str">
        <f>HYPERLINK("https://otsuka-europe-crm.veevavault.com/ui/#object/approved_document__v/V5O00000000D100", "Spain - Consent Email 1 Aug 25")</f>
        <v>Spain - Consent Email 1 Aug 25</v>
      </c>
      <c r="C23703" s="3" t="str">
        <f>HYPERLINK("https://otsuka-europe-crm.veevavault.com/ui/#object/sent_email__v/VBL000000015277", "SE-001400656")</f>
        <v>SE-001400656</v>
      </c>
      <c r="D23703" s="1">
        <v>46044.990057870367</v>
      </c>
      <c r="E23703" s="2">
        <v>1</v>
      </c>
      <c r="F23703" s="2">
        <v>1</v>
      </c>
      <c r="G23703" s="2">
        <v>1</v>
      </c>
      <c r="H23703" s="1">
        <v>46044.990057870367</v>
      </c>
      <c r="I23703" s="2">
        <v>1</v>
      </c>
      <c r="J23703" s="1">
        <v>46043.516875000001</v>
      </c>
    </row>
    <row r="23704" spans="1:10" x14ac:dyDescent="0.2">
      <c r="A23704" s="4" t="s">
        <v>1</v>
      </c>
      <c r="B23704" s="3" t="str">
        <f>HYPERLINK("https://otsuka-europe-crm.veevavault.com/ui/#object/approved_document__v/V5O00000000D100", "Spain - Consent Email 1 Aug 25")</f>
        <v>Spain - Consent Email 1 Aug 25</v>
      </c>
      <c r="C23704" s="3" t="str">
        <f>HYPERLINK("https://otsuka-europe-crm.veevavault.com/ui/#object/sent_email__v/VBL000000015283", "SE-001400736")</f>
        <v>SE-001400736</v>
      </c>
      <c r="D23704" s="1">
        <v>46043.727546296293</v>
      </c>
      <c r="E23704" s="2">
        <v>1</v>
      </c>
      <c r="F23704" s="2">
        <v>3</v>
      </c>
      <c r="G23704" s="2">
        <v>1</v>
      </c>
      <c r="H23704" s="1">
        <v>46043.729664351849</v>
      </c>
      <c r="I23704" s="2">
        <v>3</v>
      </c>
      <c r="J23704" s="1">
        <v>46043.619421296295</v>
      </c>
    </row>
    <row r="23705" spans="1:10" x14ac:dyDescent="0.2">
      <c r="A23705" s="4" t="s">
        <v>1</v>
      </c>
      <c r="B23705" s="3" t="str">
        <f>HYPERLINK("https://otsuka-europe-crm.veevavault.com/ui/#object/approved_document__v/V5O00000000D100", "Spain - Consent Email 1 Aug 25")</f>
        <v>Spain - Consent Email 1 Aug 25</v>
      </c>
      <c r="C23705" s="3" t="str">
        <f>HYPERLINK("https://otsuka-europe-crm.veevavault.com/ui/#object/sent_email__v/VBL000000016495", "SE-001400775")</f>
        <v>SE-001400775</v>
      </c>
      <c r="D23705" s="1">
        <v>46044.585104166668</v>
      </c>
      <c r="E23705" s="2">
        <v>1</v>
      </c>
      <c r="F23705" s="2">
        <v>2</v>
      </c>
      <c r="G23705" s="2">
        <v>1</v>
      </c>
      <c r="H23705" s="1">
        <v>46044.585046296299</v>
      </c>
      <c r="I23705" s="2">
        <v>2</v>
      </c>
      <c r="J23705" s="1">
        <v>46044.466539351852</v>
      </c>
    </row>
    <row r="23706" spans="1:10" x14ac:dyDescent="0.2">
      <c r="A23706" s="4" t="s">
        <v>1</v>
      </c>
      <c r="B23706" s="3" t="str">
        <f>HYPERLINK("https://otsuka-europe-crm.veevavault.com/ui/#object/approved_document__v/V5O00000000D100", "Spain - Consent Email 1 Aug 25")</f>
        <v>Spain - Consent Email 1 Aug 25</v>
      </c>
      <c r="C23706" s="3" t="str">
        <f>HYPERLINK("https://otsuka-europe-crm.veevavault.com/ui/#object/sent_email__v/VBL000000016509", "SE-001400793")</f>
        <v>SE-001400793</v>
      </c>
      <c r="D23706" s="1">
        <v>46044.510057870371</v>
      </c>
      <c r="E23706" s="2">
        <v>1</v>
      </c>
      <c r="F23706" s="2">
        <v>3</v>
      </c>
      <c r="G23706" s="2">
        <v>1</v>
      </c>
      <c r="H23706" s="1">
        <v>46044.510150462964</v>
      </c>
      <c r="I23706" s="2">
        <v>2</v>
      </c>
      <c r="J23706" s="1">
        <v>46044.508703703701</v>
      </c>
    </row>
    <row r="23707" spans="1:10" x14ac:dyDescent="0.2">
      <c r="A23707" s="4" t="s">
        <v>1</v>
      </c>
      <c r="B23707" s="3" t="str">
        <f>HYPERLINK("https://otsuka-europe-crm.veevavault.com/ui/#object/approved_document__v/V5O00000000D100", "Spain - Consent Email 1 Aug 25")</f>
        <v>Spain - Consent Email 1 Aug 25</v>
      </c>
      <c r="C23707" s="3" t="str">
        <f>HYPERLINK("https://otsuka-europe-crm.veevavault.com/ui/#object/sent_email__v/VBL000000016521", "SE-001400815")</f>
        <v>SE-001400815</v>
      </c>
      <c r="D23707" s="1">
        <v>46048.31763888889</v>
      </c>
      <c r="E23707" s="2">
        <v>1</v>
      </c>
      <c r="F23707" s="2">
        <v>1</v>
      </c>
      <c r="G23707" s="2">
        <v>1</v>
      </c>
      <c r="H23707" s="1">
        <v>46048.317858796298</v>
      </c>
      <c r="I23707" s="2">
        <v>1</v>
      </c>
      <c r="J23707" s="1">
        <v>46044.592060185183</v>
      </c>
    </row>
    <row r="23708" spans="1:10" x14ac:dyDescent="0.2">
      <c r="A23708" s="4" t="s">
        <v>1</v>
      </c>
      <c r="B23708" s="3" t="str">
        <f>HYPERLINK("https://otsuka-europe-crm.veevavault.com/ui/#object/approved_document__v/V5O00000000D100", "Spain - Consent Email 1 Aug 25")</f>
        <v>Spain - Consent Email 1 Aug 25</v>
      </c>
      <c r="C23708" s="3" t="str">
        <f>HYPERLINK("https://otsuka-europe-crm.veevavault.com/ui/#object/sent_email__v/VBL000000015311", "SE-001400821")</f>
        <v>SE-001400821</v>
      </c>
      <c r="D23708" s="1" t="s">
        <v>0</v>
      </c>
      <c r="E23708" s="2">
        <v>0</v>
      </c>
      <c r="F23708" s="2">
        <v>0</v>
      </c>
      <c r="G23708" s="2">
        <v>0</v>
      </c>
      <c r="H23708" s="1" t="s">
        <v>0</v>
      </c>
      <c r="I23708" s="2">
        <v>0</v>
      </c>
      <c r="J23708" s="1">
        <v>46044.662129629629</v>
      </c>
    </row>
    <row r="23709" spans="1:10" x14ac:dyDescent="0.2">
      <c r="A23709" s="4" t="s">
        <v>1</v>
      </c>
      <c r="B23709" s="3" t="str">
        <f>HYPERLINK("https://otsuka-europe-crm.veevavault.com/ui/#object/approved_document__v/V5O00000000D100", "Spain - Consent Email 1 Aug 25")</f>
        <v>Spain - Consent Email 1 Aug 25</v>
      </c>
      <c r="C23709" s="3" t="str">
        <f>HYPERLINK("https://otsuka-europe-crm.veevavault.com/ui/#object/sent_email__v/VBL000000016527", "SE-001400826")</f>
        <v>SE-001400826</v>
      </c>
      <c r="D23709" s="1" t="s">
        <v>0</v>
      </c>
      <c r="E23709" s="2">
        <v>0</v>
      </c>
      <c r="F23709" s="2">
        <v>0</v>
      </c>
      <c r="G23709" s="2">
        <v>0</v>
      </c>
      <c r="H23709" s="1" t="s">
        <v>0</v>
      </c>
      <c r="I23709" s="2">
        <v>0</v>
      </c>
      <c r="J23709" s="1">
        <v>46044.666018518517</v>
      </c>
    </row>
    <row r="23710" spans="1:10" x14ac:dyDescent="0.2">
      <c r="A23710" s="4" t="s">
        <v>1</v>
      </c>
      <c r="B23710" s="3" t="str">
        <f>HYPERLINK("https://otsuka-europe-crm.veevavault.com/ui/#object/approved_document__v/V5O00000000D100", "Spain - Consent Email 1 Aug 25")</f>
        <v>Spain - Consent Email 1 Aug 25</v>
      </c>
      <c r="C23710" s="3" t="str">
        <f>HYPERLINK("https://otsuka-europe-crm.veevavault.com/ui/#object/sent_email__v/VBL000000016533", "SE-001400834")</f>
        <v>SE-001400834</v>
      </c>
      <c r="D23710" s="1" t="s">
        <v>0</v>
      </c>
      <c r="E23710" s="2">
        <v>0</v>
      </c>
      <c r="F23710" s="2">
        <v>0</v>
      </c>
      <c r="G23710" s="2">
        <v>0</v>
      </c>
      <c r="H23710" s="1" t="s">
        <v>0</v>
      </c>
      <c r="I23710" s="2">
        <v>0</v>
      </c>
      <c r="J23710" s="1">
        <v>46044.903356481482</v>
      </c>
    </row>
    <row r="23711" spans="1:10" x14ac:dyDescent="0.2">
      <c r="A23711" s="4" t="s">
        <v>1</v>
      </c>
      <c r="B23711" s="3" t="str">
        <f>HYPERLINK("https://otsuka-europe-crm.veevavault.com/ui/#object/approved_document__v/V5O00000000D100", "Spain - Consent Email 1 Aug 25")</f>
        <v>Spain - Consent Email 1 Aug 25</v>
      </c>
      <c r="C23711" s="3" t="str">
        <f>HYPERLINK("https://otsuka-europe-crm.veevavault.com/ui/#object/sent_email__v/VBL000000015343", "SE-001400914")</f>
        <v>SE-001400914</v>
      </c>
      <c r="D23711" s="1" t="s">
        <v>0</v>
      </c>
      <c r="E23711" s="2">
        <v>0</v>
      </c>
      <c r="F23711" s="2">
        <v>0</v>
      </c>
      <c r="G23711" s="2">
        <v>0</v>
      </c>
      <c r="H23711" s="1" t="s">
        <v>0</v>
      </c>
      <c r="I23711" s="2">
        <v>0</v>
      </c>
      <c r="J23711" s="1">
        <v>46048.394537037035</v>
      </c>
    </row>
    <row r="23712" spans="1:10" x14ac:dyDescent="0.2">
      <c r="A23712" s="4" t="s">
        <v>1</v>
      </c>
      <c r="B23712" s="3" t="str">
        <f>HYPERLINK("https://otsuka-europe-crm.veevavault.com/ui/#object/approved_document__v/V5O00000000D100", "Spain - Consent Email 1 Aug 25")</f>
        <v>Spain - Consent Email 1 Aug 25</v>
      </c>
      <c r="C23712" s="3" t="str">
        <f>HYPERLINK("https://otsuka-europe-crm.veevavault.com/ui/#object/sent_email__v/VBL000000016597", "SE-001400917")</f>
        <v>SE-001400917</v>
      </c>
      <c r="D23712" s="1">
        <v>46048.694097222222</v>
      </c>
      <c r="E23712" s="2">
        <v>1</v>
      </c>
      <c r="F23712" s="2">
        <v>2</v>
      </c>
      <c r="G23712" s="2">
        <v>1</v>
      </c>
      <c r="H23712" s="1">
        <v>46048.694201388891</v>
      </c>
      <c r="I23712" s="2">
        <v>1</v>
      </c>
      <c r="J23712" s="1">
        <v>46048.396932870368</v>
      </c>
    </row>
    <row r="23713" spans="1:10" x14ac:dyDescent="0.2">
      <c r="A23713" s="4" t="s">
        <v>1</v>
      </c>
      <c r="B23713" s="3" t="str">
        <f>HYPERLINK("https://otsuka-europe-crm.veevavault.com/ui/#object/approved_document__v/V5O00000000D100", "Spain - Consent Email 1 Aug 25")</f>
        <v>Spain - Consent Email 1 Aug 25</v>
      </c>
      <c r="C23713" s="3" t="str">
        <f>HYPERLINK("https://otsuka-europe-crm.veevavault.com/ui/#object/sent_email__v/VBL000000015360", "SE-001400943")</f>
        <v>SE-001400943</v>
      </c>
      <c r="D23713" s="1" t="s">
        <v>0</v>
      </c>
      <c r="E23713" s="2">
        <v>0</v>
      </c>
      <c r="F23713" s="2">
        <v>0</v>
      </c>
      <c r="G23713" s="2">
        <v>0</v>
      </c>
      <c r="H23713" s="1" t="s">
        <v>0</v>
      </c>
      <c r="I23713" s="2">
        <v>0</v>
      </c>
      <c r="J23713" s="1">
        <v>46048.503495370373</v>
      </c>
    </row>
    <row r="23714" spans="1:10" x14ac:dyDescent="0.2">
      <c r="A23714" s="4" t="s">
        <v>1</v>
      </c>
      <c r="B23714" s="3" t="str">
        <f>HYPERLINK("https://otsuka-europe-crm.veevavault.com/ui/#object/approved_document__v/V5O00000000D100", "Spain - Consent Email 1 Aug 25")</f>
        <v>Spain - Consent Email 1 Aug 25</v>
      </c>
      <c r="C23714" s="3" t="str">
        <f>HYPERLINK("https://otsuka-europe-crm.veevavault.com/ui/#object/sent_email__v/VBL000000015363", "SE-001400949")</f>
        <v>SE-001400949</v>
      </c>
      <c r="D23714" s="1" t="s">
        <v>0</v>
      </c>
      <c r="E23714" s="2">
        <v>0</v>
      </c>
      <c r="F23714" s="2">
        <v>0</v>
      </c>
      <c r="G23714" s="2">
        <v>0</v>
      </c>
      <c r="H23714" s="1" t="s">
        <v>0</v>
      </c>
      <c r="I23714" s="2">
        <v>0</v>
      </c>
      <c r="J23714" s="1">
        <v>46048.560150462959</v>
      </c>
    </row>
    <row r="23715" spans="1:10" x14ac:dyDescent="0.2">
      <c r="A23715" s="4" t="s">
        <v>1</v>
      </c>
      <c r="B23715" s="3" t="str">
        <f>HYPERLINK("https://otsuka-europe-crm.veevavault.com/ui/#object/approved_document__v/V5O00000000D100", "Spain - Consent Email 1 Aug 25")</f>
        <v>Spain - Consent Email 1 Aug 25</v>
      </c>
      <c r="C23715" s="3" t="str">
        <f>HYPERLINK("https://otsuka-europe-crm.veevavault.com/ui/#object/sent_email__v/VBL000000015391", "SE-001401095")</f>
        <v>SE-001401095</v>
      </c>
      <c r="D23715" s="1">
        <v>46050.330671296295</v>
      </c>
      <c r="E23715" s="2">
        <v>1</v>
      </c>
      <c r="F23715" s="2">
        <v>4</v>
      </c>
      <c r="G23715" s="2">
        <v>0</v>
      </c>
      <c r="H23715" s="1" t="s">
        <v>0</v>
      </c>
      <c r="I23715" s="2">
        <v>0</v>
      </c>
      <c r="J23715" s="1">
        <v>46048.674791666665</v>
      </c>
    </row>
    <row r="23716" spans="1:10" x14ac:dyDescent="0.2">
      <c r="A23716" s="4" t="s">
        <v>1</v>
      </c>
      <c r="B23716" s="3" t="str">
        <f>HYPERLINK("https://otsuka-europe-crm.veevavault.com/ui/#object/approved_document__v/V5O00000000D100", "Spain - Consent Email 1 Aug 25")</f>
        <v>Spain - Consent Email 1 Aug 25</v>
      </c>
      <c r="C23716" s="3" t="str">
        <f>HYPERLINK("https://otsuka-europe-crm.veevavault.com/ui/#object/sent_email__v/VBL000000015859", "SE-001401762")</f>
        <v>SE-001401762</v>
      </c>
      <c r="D23716" s="1">
        <v>46049.513842592591</v>
      </c>
      <c r="E23716" s="2">
        <v>1</v>
      </c>
      <c r="F23716" s="2">
        <v>2</v>
      </c>
      <c r="G23716" s="2">
        <v>1</v>
      </c>
      <c r="H23716" s="1">
        <v>46049.513877314814</v>
      </c>
      <c r="I23716" s="2">
        <v>2</v>
      </c>
      <c r="J23716" s="1">
        <v>46049.445659722223</v>
      </c>
    </row>
    <row r="23717" spans="1:10" x14ac:dyDescent="0.2">
      <c r="A23717" s="4" t="s">
        <v>1</v>
      </c>
      <c r="B23717" s="3" t="str">
        <f>HYPERLINK("https://otsuka-europe-crm.veevavault.com/ui/#object/approved_document__v/V5O00000000D100", "Spain - Consent Email 1 Aug 25")</f>
        <v>Spain - Consent Email 1 Aug 25</v>
      </c>
      <c r="C23717" s="3" t="str">
        <f>HYPERLINK("https://otsuka-europe-crm.veevavault.com/ui/#object/sent_email__v/VBL000000017123", "SE-001402144")</f>
        <v>SE-001402144</v>
      </c>
      <c r="D23717" s="1">
        <v>46050.551921296297</v>
      </c>
      <c r="E23717" s="2">
        <v>1</v>
      </c>
      <c r="F23717" s="2">
        <v>2</v>
      </c>
      <c r="G23717" s="2">
        <v>1</v>
      </c>
      <c r="H23717" s="1">
        <v>46050.551655092589</v>
      </c>
      <c r="I23717" s="2">
        <v>1</v>
      </c>
      <c r="J23717" s="1">
        <v>46050.550995370373</v>
      </c>
    </row>
    <row r="23718" spans="1:10" x14ac:dyDescent="0.2">
      <c r="A23718" s="4" t="s">
        <v>1</v>
      </c>
      <c r="B23718" s="3" t="str">
        <f>HYPERLINK("https://otsuka-europe-crm.veevavault.com/ui/#object/approved_document__v/V5O00000000D100", "Spain - Consent Email 1 Aug 25")</f>
        <v>Spain - Consent Email 1 Aug 25</v>
      </c>
      <c r="C23718" s="3" t="str">
        <f>HYPERLINK("https://otsuka-europe-crm.veevavault.com/ui/#object/sent_email__v/VBL000000018081", "SE-001402164")</f>
        <v>SE-001402164</v>
      </c>
      <c r="D23718" s="1">
        <v>46050.866759259261</v>
      </c>
      <c r="E23718" s="2">
        <v>1</v>
      </c>
      <c r="F23718" s="2">
        <v>1</v>
      </c>
      <c r="G23718" s="2">
        <v>1</v>
      </c>
      <c r="H23718" s="1">
        <v>46050.866759259261</v>
      </c>
      <c r="I23718" s="2">
        <v>1</v>
      </c>
      <c r="J23718" s="1">
        <v>46050.694456018522</v>
      </c>
    </row>
    <row r="23719" spans="1:10" x14ac:dyDescent="0.2">
      <c r="A23719" s="4" t="s">
        <v>1</v>
      </c>
      <c r="B23719" s="3" t="str">
        <f>HYPERLINK("https://otsuka-europe-crm.veevavault.com/ui/#object/approved_document__v/V5O00000000D100", "Spain - Consent Email 1 Aug 25")</f>
        <v>Spain - Consent Email 1 Aug 25</v>
      </c>
      <c r="C23719" s="3" t="str">
        <f>HYPERLINK("https://otsuka-europe-crm.veevavault.com/ui/#object/sent_email__v/VBL000000018104", "SE-001402203")</f>
        <v>SE-001402203</v>
      </c>
      <c r="D23719" s="1">
        <v>46051.676712962966</v>
      </c>
      <c r="E23719" s="2">
        <v>1</v>
      </c>
      <c r="F23719" s="2">
        <v>3</v>
      </c>
      <c r="G23719" s="2">
        <v>1</v>
      </c>
      <c r="H23719" s="1">
        <v>46051.676516203705</v>
      </c>
      <c r="I23719" s="2">
        <v>1</v>
      </c>
      <c r="J23719" s="1">
        <v>46051.61519675926</v>
      </c>
    </row>
    <row r="23720" spans="1:10" x14ac:dyDescent="0.2">
      <c r="A23720" s="4" t="s">
        <v>1</v>
      </c>
      <c r="B23720" s="3" t="str">
        <f>HYPERLINK("https://otsuka-europe-crm.veevavault.com/ui/#object/approved_document__v/V5O00000000D100", "Spain - Consent Email 1 Aug 25")</f>
        <v>Spain - Consent Email 1 Aug 25</v>
      </c>
      <c r="C23720" s="3" t="str">
        <f>HYPERLINK("https://otsuka-europe-crm.veevavault.com/ui/#object/sent_email__v/VBL000000017155", "SE-001402207")</f>
        <v>SE-001402207</v>
      </c>
      <c r="D23720" s="1">
        <v>46051.907997685186</v>
      </c>
      <c r="E23720" s="2">
        <v>1</v>
      </c>
      <c r="F23720" s="2">
        <v>1</v>
      </c>
      <c r="G23720" s="2">
        <v>1</v>
      </c>
      <c r="H23720" s="1">
        <v>46051.908171296294</v>
      </c>
      <c r="I23720" s="2">
        <v>1</v>
      </c>
      <c r="J23720" s="1">
        <v>46051.620439814818</v>
      </c>
    </row>
    <row r="23721" spans="1:10" x14ac:dyDescent="0.2">
      <c r="A23721" s="4" t="s">
        <v>1</v>
      </c>
      <c r="B23721" s="3" t="str">
        <f>HYPERLINK("https://otsuka-europe-crm.veevavault.com/ui/#object/approved_document__v/V5O00000000D100", "Spain - Consent Email 1 Aug 25")</f>
        <v>Spain - Consent Email 1 Aug 25</v>
      </c>
      <c r="C23721" s="3" t="str">
        <f>HYPERLINK("https://otsuka-europe-crm.veevavault.com/ui/#object/sent_email__v/VBL000000017166", "SE-001402223")</f>
        <v>SE-001402223</v>
      </c>
      <c r="D23721" s="1" t="s">
        <v>0</v>
      </c>
      <c r="E23721" s="2">
        <v>0</v>
      </c>
      <c r="F23721" s="2">
        <v>0</v>
      </c>
      <c r="G23721" s="2">
        <v>0</v>
      </c>
      <c r="H23721" s="1" t="s">
        <v>0</v>
      </c>
      <c r="I23721" s="2">
        <v>0</v>
      </c>
      <c r="J23721" s="1">
        <v>46051.636261574073</v>
      </c>
    </row>
    <row r="23722" spans="1:10" x14ac:dyDescent="0.2">
      <c r="A23722" s="4" t="s">
        <v>1</v>
      </c>
      <c r="B23722" s="3" t="str">
        <f>HYPERLINK("https://otsuka-europe-crm.veevavault.com/ui/#object/approved_document__v/V5O00000000D100", "Spain - Consent Email 1 Aug 25")</f>
        <v>Spain - Consent Email 1 Aug 25</v>
      </c>
      <c r="C23722" s="3" t="str">
        <f>HYPERLINK("https://otsuka-europe-crm.veevavault.com/ui/#object/sent_email__v/VBL000000017172", "SE-001402231")</f>
        <v>SE-001402231</v>
      </c>
      <c r="D23722" s="1">
        <v>46051.907997685186</v>
      </c>
      <c r="E23722" s="2">
        <v>1</v>
      </c>
      <c r="F23722" s="2">
        <v>1</v>
      </c>
      <c r="G23722" s="2">
        <v>0</v>
      </c>
      <c r="H23722" s="1" t="s">
        <v>0</v>
      </c>
      <c r="I23722" s="2">
        <v>0</v>
      </c>
      <c r="J23722" s="1">
        <v>46051.654027777775</v>
      </c>
    </row>
    <row r="23723" spans="1:10" x14ac:dyDescent="0.2">
      <c r="A23723" s="4" t="s">
        <v>1</v>
      </c>
      <c r="B23723" s="3" t="str">
        <f>HYPERLINK("https://otsuka-europe-crm.veevavault.com/ui/#object/approved_document__v/V5O00000000D100", "Spain - Consent Email 1 Aug 25")</f>
        <v>Spain - Consent Email 1 Aug 25</v>
      </c>
      <c r="C23723" s="3" t="str">
        <f>HYPERLINK("https://otsuka-europe-crm.veevavault.com/ui/#object/sent_email__v/VBL00000001A053", "SE-001402350")</f>
        <v>SE-001402350</v>
      </c>
      <c r="D23723" s="1">
        <v>46062.842037037037</v>
      </c>
      <c r="E23723" s="2">
        <v>1</v>
      </c>
      <c r="F23723" s="2">
        <v>4</v>
      </c>
      <c r="G23723" s="2">
        <v>0</v>
      </c>
      <c r="H23723" s="1" t="s">
        <v>0</v>
      </c>
      <c r="I23723" s="2">
        <v>0</v>
      </c>
      <c r="J23723" s="1">
        <v>46055.39025462963</v>
      </c>
    </row>
    <row r="23724" spans="1:10" x14ac:dyDescent="0.2">
      <c r="A23724" s="4" t="s">
        <v>1</v>
      </c>
      <c r="B23724" s="3" t="str">
        <f>HYPERLINK("https://otsuka-europe-crm.veevavault.com/ui/#object/approved_document__v/V5O00000000D100", "Spain - Consent Email 1 Aug 25")</f>
        <v>Spain - Consent Email 1 Aug 25</v>
      </c>
      <c r="C23724" s="3" t="str">
        <f>HYPERLINK("https://otsuka-europe-crm.veevavault.com/ui/#object/sent_email__v/VBL000000019076", "SE-001402377")</f>
        <v>SE-001402377</v>
      </c>
      <c r="D23724" s="1">
        <v>46056.452187499999</v>
      </c>
      <c r="E23724" s="2">
        <v>1</v>
      </c>
      <c r="F23724" s="2">
        <v>3</v>
      </c>
      <c r="G23724" s="2">
        <v>1</v>
      </c>
      <c r="H23724" s="1">
        <v>46055.69866898148</v>
      </c>
      <c r="I23724" s="2">
        <v>1</v>
      </c>
      <c r="J23724" s="1">
        <v>46055.64675925926</v>
      </c>
    </row>
    <row r="23725" spans="1:10" x14ac:dyDescent="0.2">
      <c r="A23725" s="4" t="s">
        <v>1</v>
      </c>
      <c r="B23725" s="3" t="str">
        <f>HYPERLINK("https://otsuka-europe-crm.veevavault.com/ui/#object/approved_document__v/V5O00000000D100", "Spain - Consent Email 1 Aug 25")</f>
        <v>Spain - Consent Email 1 Aug 25</v>
      </c>
      <c r="C23725" s="3" t="str">
        <f>HYPERLINK("https://otsuka-europe-crm.veevavault.com/ui/#object/sent_email__v/VBL000000019080", "SE-001402381")</f>
        <v>SE-001402381</v>
      </c>
      <c r="D23725" s="1">
        <v>46055.709398148145</v>
      </c>
      <c r="E23725" s="2">
        <v>1</v>
      </c>
      <c r="F23725" s="2">
        <v>1</v>
      </c>
      <c r="G23725" s="2">
        <v>1</v>
      </c>
      <c r="H23725" s="1">
        <v>46055.709513888891</v>
      </c>
      <c r="I23725" s="2">
        <v>2</v>
      </c>
      <c r="J23725" s="1">
        <v>46055.658055555556</v>
      </c>
    </row>
    <row r="23726" spans="1:10" x14ac:dyDescent="0.2">
      <c r="A23726" s="4" t="s">
        <v>1</v>
      </c>
      <c r="B23726" s="3" t="str">
        <f>HYPERLINK("https://otsuka-europe-crm.veevavault.com/ui/#object/approved_document__v/V5O00000000D100", "Spain - Consent Email 1 Aug 25")</f>
        <v>Spain - Consent Email 1 Aug 25</v>
      </c>
      <c r="C23726" s="3" t="str">
        <f>HYPERLINK("https://otsuka-europe-crm.veevavault.com/ui/#object/sent_email__v/VBL00000001A090", "SE-001402574")</f>
        <v>SE-001402574</v>
      </c>
      <c r="D23726" s="1">
        <v>46056.724386574075</v>
      </c>
      <c r="E23726" s="2">
        <v>1</v>
      </c>
      <c r="F23726" s="2">
        <v>3</v>
      </c>
      <c r="G23726" s="2">
        <v>0</v>
      </c>
      <c r="H23726" s="1" t="s">
        <v>0</v>
      </c>
      <c r="I23726" s="2">
        <v>0</v>
      </c>
      <c r="J23726" s="1">
        <v>46056.433217592596</v>
      </c>
    </row>
    <row r="23727" spans="1:10" x14ac:dyDescent="0.2">
      <c r="A23727" s="4" t="s">
        <v>1</v>
      </c>
      <c r="B23727" s="3" t="str">
        <f>HYPERLINK("https://otsuka-europe-crm.veevavault.com/ui/#object/approved_document__v/V5O00000000D100", "Spain - Consent Email 1 Aug 25")</f>
        <v>Spain - Consent Email 1 Aug 25</v>
      </c>
      <c r="C23727" s="3" t="str">
        <f>HYPERLINK("https://otsuka-europe-crm.veevavault.com/ui/#object/sent_email__v/VBL000000019253", "SE-001402595")</f>
        <v>SE-001402595</v>
      </c>
      <c r="D23727" s="1">
        <v>46057.773136574076</v>
      </c>
      <c r="E23727" s="2">
        <v>1</v>
      </c>
      <c r="F23727" s="2">
        <v>2</v>
      </c>
      <c r="G23727" s="2">
        <v>1</v>
      </c>
      <c r="H23727" s="1">
        <v>46057.773240740738</v>
      </c>
      <c r="I23727" s="2">
        <v>3</v>
      </c>
      <c r="J23727" s="1">
        <v>46056.502858796295</v>
      </c>
    </row>
    <row r="23728" spans="1:10" x14ac:dyDescent="0.2">
      <c r="A23728" s="4" t="s">
        <v>1</v>
      </c>
      <c r="B23728" s="3" t="str">
        <f>HYPERLINK("https://otsuka-europe-crm.veevavault.com/ui/#object/approved_document__v/V5O00000000D100", "Spain - Consent Email 1 Aug 25")</f>
        <v>Spain - Consent Email 1 Aug 25</v>
      </c>
      <c r="C23728" s="3" t="str">
        <f>HYPERLINK("https://otsuka-europe-crm.veevavault.com/ui/#object/sent_email__v/VBL00000001A113", "SE-001402611")</f>
        <v>SE-001402611</v>
      </c>
      <c r="D23728" s="1">
        <v>46057.145682870374</v>
      </c>
      <c r="E23728" s="2">
        <v>1</v>
      </c>
      <c r="F23728" s="2">
        <v>2</v>
      </c>
      <c r="G23728" s="2">
        <v>1</v>
      </c>
      <c r="H23728" s="1">
        <v>46056.787719907406</v>
      </c>
      <c r="I23728" s="2">
        <v>3</v>
      </c>
      <c r="J23728" s="1">
        <v>46056.779953703706</v>
      </c>
    </row>
    <row r="23729" spans="1:10" x14ac:dyDescent="0.2">
      <c r="A23729" s="4" t="s">
        <v>1</v>
      </c>
      <c r="B23729" s="3" t="str">
        <f>HYPERLINK("https://otsuka-europe-crm.veevavault.com/ui/#object/approved_document__v/V5O00000000D100", "Spain - Consent Email 1 Aug 25")</f>
        <v>Spain - Consent Email 1 Aug 25</v>
      </c>
      <c r="C23729" s="3" t="str">
        <f>HYPERLINK("https://otsuka-europe-crm.veevavault.com/ui/#object/sent_email__v/VBL000000019324", "SE-001402725")</f>
        <v>SE-001402725</v>
      </c>
      <c r="D23729" s="1">
        <v>46058.406921296293</v>
      </c>
      <c r="E23729" s="2">
        <v>1</v>
      </c>
      <c r="F23729" s="2">
        <v>1</v>
      </c>
      <c r="G23729" s="2">
        <v>1</v>
      </c>
      <c r="H23729" s="1">
        <v>46058.406921296293</v>
      </c>
      <c r="I23729" s="2">
        <v>1</v>
      </c>
      <c r="J23729" s="1">
        <v>46058.39435185185</v>
      </c>
    </row>
    <row r="23730" spans="1:10" x14ac:dyDescent="0.2">
      <c r="A23730" s="4" t="s">
        <v>1</v>
      </c>
      <c r="B23730" s="3" t="str">
        <f>HYPERLINK("https://otsuka-europe-crm.veevavault.com/ui/#object/approved_document__v/V5O00000000D100", "Spain - Consent Email 1 Aug 25")</f>
        <v>Spain - Consent Email 1 Aug 25</v>
      </c>
      <c r="C23730" s="3" t="str">
        <f>HYPERLINK("https://otsuka-europe-crm.veevavault.com/ui/#object/sent_email__v/VBL000000019328", "SE-001402730")</f>
        <v>SE-001402730</v>
      </c>
      <c r="D23730" s="1">
        <v>46058.903541666667</v>
      </c>
      <c r="E23730" s="2">
        <v>1</v>
      </c>
      <c r="F23730" s="2">
        <v>1</v>
      </c>
      <c r="G23730" s="2">
        <v>1</v>
      </c>
      <c r="H23730" s="1">
        <v>46058.903541666667</v>
      </c>
      <c r="I23730" s="2">
        <v>1</v>
      </c>
      <c r="J23730" s="1">
        <v>46058.414502314816</v>
      </c>
    </row>
    <row r="23731" spans="1:10" x14ac:dyDescent="0.2">
      <c r="A23731" s="4" t="s">
        <v>1</v>
      </c>
      <c r="B23731" s="3" t="str">
        <f>HYPERLINK("https://otsuka-europe-crm.veevavault.com/ui/#object/approved_document__v/V5O00000000D100", "Spain - Consent Email 1 Aug 25")</f>
        <v>Spain - Consent Email 1 Aug 25</v>
      </c>
      <c r="C23731" s="3" t="str">
        <f>HYPERLINK("https://otsuka-europe-crm.veevavault.com/ui/#object/sent_email__v/VBL00000001A193", "SE-001402771")</f>
        <v>SE-001402771</v>
      </c>
      <c r="D23731" s="1">
        <v>46058.613622685189</v>
      </c>
      <c r="E23731" s="2">
        <v>1</v>
      </c>
      <c r="F23731" s="2">
        <v>1</v>
      </c>
      <c r="G23731" s="2">
        <v>1</v>
      </c>
      <c r="H23731" s="1">
        <v>46058.613622685189</v>
      </c>
      <c r="I23731" s="2">
        <v>1</v>
      </c>
      <c r="J23731" s="1">
        <v>46058.52616898148</v>
      </c>
    </row>
    <row r="23732" spans="1:10" x14ac:dyDescent="0.2">
      <c r="A23732" s="4" t="s">
        <v>1</v>
      </c>
      <c r="B23732" s="3" t="str">
        <f>HYPERLINK("https://otsuka-europe-crm.veevavault.com/ui/#object/approved_document__v/V5O00000000D100", "Spain - Consent Email 1 Aug 25")</f>
        <v>Spain - Consent Email 1 Aug 25</v>
      </c>
      <c r="C23732" s="3" t="str">
        <f>HYPERLINK("https://otsuka-europe-crm.veevavault.com/ui/#object/sent_email__v/VBL00000001B001", "SE-001402934")</f>
        <v>SE-001402934</v>
      </c>
      <c r="D23732" s="1">
        <v>46070.444525462961</v>
      </c>
      <c r="E23732" s="2">
        <v>1</v>
      </c>
      <c r="F23732" s="2">
        <v>6</v>
      </c>
      <c r="G23732" s="2">
        <v>1</v>
      </c>
      <c r="H23732" s="1">
        <v>46058.826527777775</v>
      </c>
      <c r="I23732" s="2">
        <v>2</v>
      </c>
      <c r="J23732" s="1">
        <v>46058.807812500003</v>
      </c>
    </row>
    <row r="23733" spans="1:10" x14ac:dyDescent="0.2">
      <c r="A23733" s="4" t="s">
        <v>1</v>
      </c>
      <c r="B23733" s="3" t="str">
        <f>HYPERLINK("https://otsuka-europe-crm.veevavault.com/ui/#object/approved_document__v/V5O00000000D100", "Spain - Consent Email 1 Aug 25")</f>
        <v>Spain - Consent Email 1 Aug 25</v>
      </c>
      <c r="C23733" s="3" t="str">
        <f>HYPERLINK("https://otsuka-europe-crm.veevavault.com/ui/#object/sent_email__v/VBL00000001C031", "SE-001402978")</f>
        <v>SE-001402978</v>
      </c>
      <c r="D23733" s="1">
        <v>46059.425034722219</v>
      </c>
      <c r="E23733" s="2">
        <v>1</v>
      </c>
      <c r="F23733" s="2">
        <v>1</v>
      </c>
      <c r="G23733" s="2">
        <v>1</v>
      </c>
      <c r="H23733" s="1">
        <v>46059.425081018519</v>
      </c>
      <c r="I23733" s="2">
        <v>1</v>
      </c>
      <c r="J23733" s="1">
        <v>46059.404351851852</v>
      </c>
    </row>
    <row r="23734" spans="1:10" x14ac:dyDescent="0.2">
      <c r="A23734" s="4" t="s">
        <v>1</v>
      </c>
      <c r="B23734" s="3" t="str">
        <f>HYPERLINK("https://otsuka-europe-crm.veevavault.com/ui/#object/approved_document__v/V5O00000000D100", "Spain - Consent Email 1 Aug 25")</f>
        <v>Spain - Consent Email 1 Aug 25</v>
      </c>
      <c r="C23734" s="3" t="str">
        <f>HYPERLINK("https://otsuka-europe-crm.veevavault.com/ui/#object/sent_email__v/VBL00000001C068", "SE-001403057")</f>
        <v>SE-001403057</v>
      </c>
      <c r="D23734" s="1">
        <v>46059.675208333334</v>
      </c>
      <c r="E23734" s="2">
        <v>1</v>
      </c>
      <c r="F23734" s="2">
        <v>2</v>
      </c>
      <c r="G23734" s="2">
        <v>1</v>
      </c>
      <c r="H23734" s="1">
        <v>46059.464722222219</v>
      </c>
      <c r="I23734" s="2">
        <v>1</v>
      </c>
      <c r="J23734" s="1">
        <v>46059.461168981485</v>
      </c>
    </row>
    <row r="23735" spans="1:10" x14ac:dyDescent="0.2">
      <c r="A23735" s="4" t="s">
        <v>1</v>
      </c>
      <c r="B23735" s="3" t="str">
        <f>HYPERLINK("https://otsuka-europe-crm.veevavault.com/ui/#object/approved_document__v/V5O00000000D100", "Spain - Consent Email 1 Aug 25")</f>
        <v>Spain - Consent Email 1 Aug 25</v>
      </c>
      <c r="C23735" s="3" t="str">
        <f>HYPERLINK("https://otsuka-europe-crm.veevavault.com/ui/#object/sent_email__v/VBL00000001B068", "SE-001403062")</f>
        <v>SE-001403062</v>
      </c>
      <c r="D23735" s="1">
        <v>46059.647615740738</v>
      </c>
      <c r="E23735" s="2">
        <v>1</v>
      </c>
      <c r="F23735" s="2">
        <v>2</v>
      </c>
      <c r="G23735" s="2">
        <v>0</v>
      </c>
      <c r="H23735" s="1" t="s">
        <v>0</v>
      </c>
      <c r="I23735" s="2">
        <v>0</v>
      </c>
      <c r="J23735" s="1">
        <v>46059.466932870368</v>
      </c>
    </row>
    <row r="23736" spans="1:10" x14ac:dyDescent="0.2">
      <c r="A23736" s="4" t="s">
        <v>1</v>
      </c>
      <c r="B23736" s="3" t="str">
        <f>HYPERLINK("https://otsuka-europe-crm.veevavault.com/ui/#object/approved_document__v/V5O00000000D100", "Spain - Consent Email 1 Aug 25")</f>
        <v>Spain - Consent Email 1 Aug 25</v>
      </c>
      <c r="C23736" s="3" t="str">
        <f>HYPERLINK("https://otsuka-europe-crm.veevavault.com/ui/#object/sent_email__v/VBL00000001C079", "SE-001403079")</f>
        <v>SE-001403079</v>
      </c>
      <c r="D23736" s="1">
        <v>46059.53533564815</v>
      </c>
      <c r="E23736" s="2">
        <v>1</v>
      </c>
      <c r="F23736" s="2">
        <v>1</v>
      </c>
      <c r="G23736" s="2">
        <v>1</v>
      </c>
      <c r="H23736" s="1">
        <v>46059.535497685189</v>
      </c>
      <c r="I23736" s="2">
        <v>2</v>
      </c>
      <c r="J23736" s="1">
        <v>46059.533668981479</v>
      </c>
    </row>
    <row r="23737" spans="1:10" x14ac:dyDescent="0.2">
      <c r="A23737" s="4" t="s">
        <v>1</v>
      </c>
      <c r="B23737" s="3" t="str">
        <f>HYPERLINK("https://otsuka-europe-crm.veevavault.com/ui/#object/approved_document__v/V5O00000000D100", "Spain - Consent Email 1 Aug 25")</f>
        <v>Spain - Consent Email 1 Aug 25</v>
      </c>
      <c r="C23737" s="3" t="str">
        <f>HYPERLINK("https://otsuka-europe-crm.veevavault.com/ui/#object/sent_email__v/VBL00000001C091", "SE-001403097")</f>
        <v>SE-001403097</v>
      </c>
      <c r="D23737" s="1">
        <v>46062.305833333332</v>
      </c>
      <c r="E23737" s="2">
        <v>1</v>
      </c>
      <c r="F23737" s="2">
        <v>1</v>
      </c>
      <c r="G23737" s="2">
        <v>1</v>
      </c>
      <c r="H23737" s="1">
        <v>46062.305995370371</v>
      </c>
      <c r="I23737" s="2">
        <v>2</v>
      </c>
      <c r="J23737" s="1">
        <v>46059.740127314813</v>
      </c>
    </row>
    <row r="23738" spans="1:10" x14ac:dyDescent="0.2">
      <c r="A23738" s="4" t="s">
        <v>1</v>
      </c>
      <c r="B23738" s="3" t="str">
        <f>HYPERLINK("https://otsuka-europe-crm.veevavault.com/ui/#object/approved_document__v/V5O00000000D100", "Spain - Consent Email 1 Aug 25")</f>
        <v>Spain - Consent Email 1 Aug 25</v>
      </c>
      <c r="C23738" s="3" t="str">
        <f>HYPERLINK("https://otsuka-europe-crm.veevavault.com/ui/#object/sent_email__v/VBL00000001B106", "SE-001403121")</f>
        <v>SE-001403121</v>
      </c>
      <c r="D23738" s="1">
        <v>46063.943136574075</v>
      </c>
      <c r="E23738" s="2">
        <v>1</v>
      </c>
      <c r="F23738" s="2">
        <v>2</v>
      </c>
      <c r="G23738" s="2">
        <v>1</v>
      </c>
      <c r="H23738" s="1">
        <v>46062.420983796299</v>
      </c>
      <c r="I23738" s="2">
        <v>1</v>
      </c>
      <c r="J23738" s="1">
        <v>46062.368784722225</v>
      </c>
    </row>
    <row r="23739" spans="1:10" x14ac:dyDescent="0.2">
      <c r="A23739" s="4" t="s">
        <v>1</v>
      </c>
      <c r="B23739" s="3" t="str">
        <f>HYPERLINK("https://otsuka-europe-crm.veevavault.com/ui/#object/approved_document__v/V5O00000000D100", "Spain - Consent Email 1 Aug 25")</f>
        <v>Spain - Consent Email 1 Aug 25</v>
      </c>
      <c r="C23739" s="3" t="str">
        <f>HYPERLINK("https://otsuka-europe-crm.veevavault.com/ui/#object/sent_email__v/VBL00000001C114", "SE-001403302")</f>
        <v>SE-001403302</v>
      </c>
      <c r="D23739" s="1">
        <v>46078.656944444447</v>
      </c>
      <c r="E23739" s="2">
        <v>1</v>
      </c>
      <c r="F23739" s="2">
        <v>4</v>
      </c>
      <c r="G23739" s="2">
        <v>1</v>
      </c>
      <c r="H23739" s="1">
        <v>46062.4531712963</v>
      </c>
      <c r="I23739" s="2">
        <v>1</v>
      </c>
      <c r="J23739" s="1">
        <v>46062.450092592589</v>
      </c>
    </row>
    <row r="23740" spans="1:10" x14ac:dyDescent="0.2">
      <c r="A23740" s="4" t="s">
        <v>1</v>
      </c>
      <c r="B23740" s="3" t="str">
        <f>HYPERLINK("https://otsuka-europe-crm.veevavault.com/ui/#object/approved_document__v/V5O00000000D100", "Spain - Consent Email 1 Aug 25")</f>
        <v>Spain - Consent Email 1 Aug 25</v>
      </c>
      <c r="C23740" s="3" t="str">
        <f>HYPERLINK("https://otsuka-europe-crm.veevavault.com/ui/#object/sent_email__v/VBL00000001B282", "SE-001403306")</f>
        <v>SE-001403306</v>
      </c>
      <c r="D23740" s="1" t="s">
        <v>0</v>
      </c>
      <c r="E23740" s="2">
        <v>0</v>
      </c>
      <c r="F23740" s="2">
        <v>0</v>
      </c>
      <c r="G23740" s="2">
        <v>0</v>
      </c>
      <c r="H23740" s="1" t="s">
        <v>0</v>
      </c>
      <c r="I23740" s="2">
        <v>0</v>
      </c>
      <c r="J23740" s="1">
        <v>46062.455335648148</v>
      </c>
    </row>
    <row r="23741" spans="1:10" x14ac:dyDescent="0.2">
      <c r="A23741" s="4" t="s">
        <v>1</v>
      </c>
      <c r="B23741" s="3" t="str">
        <f>HYPERLINK("https://otsuka-europe-crm.veevavault.com/ui/#object/approved_document__v/V5O00000000D100", "Spain - Consent Email 1 Aug 25")</f>
        <v>Spain - Consent Email 1 Aug 25</v>
      </c>
      <c r="C23741" s="3" t="str">
        <f>HYPERLINK("https://otsuka-europe-crm.veevavault.com/ui/#object/sent_email__v/VBL00000001B286", "SE-001403310")</f>
        <v>SE-001403310</v>
      </c>
      <c r="D23741" s="1">
        <v>46070.82104166667</v>
      </c>
      <c r="E23741" s="2">
        <v>1</v>
      </c>
      <c r="F23741" s="2">
        <v>8</v>
      </c>
      <c r="G23741" s="2">
        <v>1</v>
      </c>
      <c r="H23741" s="1">
        <v>46070.872662037036</v>
      </c>
      <c r="I23741" s="2">
        <v>2</v>
      </c>
      <c r="J23741" s="1">
        <v>46062.458564814813</v>
      </c>
    </row>
    <row r="23742" spans="1:10" x14ac:dyDescent="0.2">
      <c r="A23742" s="4" t="s">
        <v>1</v>
      </c>
      <c r="B23742" s="3" t="str">
        <f>HYPERLINK("https://otsuka-europe-crm.veevavault.com/ui/#object/approved_document__v/V5O00000000D100", "Spain - Consent Email 1 Aug 25")</f>
        <v>Spain - Consent Email 1 Aug 25</v>
      </c>
      <c r="C23742" s="3" t="str">
        <f>HYPERLINK("https://otsuka-europe-crm.veevavault.com/ui/#object/sent_email__v/VBL00000001C257", "SE-001403489")</f>
        <v>SE-001403489</v>
      </c>
      <c r="D23742" s="1">
        <v>46062.972268518519</v>
      </c>
      <c r="E23742" s="2">
        <v>1</v>
      </c>
      <c r="F23742" s="2">
        <v>3</v>
      </c>
      <c r="G23742" s="2">
        <v>1</v>
      </c>
      <c r="H23742" s="1">
        <v>46062.835405092592</v>
      </c>
      <c r="I23742" s="2">
        <v>1</v>
      </c>
      <c r="J23742" s="1">
        <v>46062.497986111113</v>
      </c>
    </row>
    <row r="23743" spans="1:10" x14ac:dyDescent="0.2">
      <c r="A23743" s="4" t="s">
        <v>1</v>
      </c>
      <c r="B23743" s="3" t="str">
        <f>HYPERLINK("https://otsuka-europe-crm.veevavault.com/ui/#object/approved_document__v/V5O00000000D100", "Spain - Consent Email 1 Aug 25")</f>
        <v>Spain - Consent Email 1 Aug 25</v>
      </c>
      <c r="C23743" s="3" t="str">
        <f>HYPERLINK("https://otsuka-europe-crm.veevavault.com/ui/#object/sent_email__v/VBL00000001C365", "SE-001403681")</f>
        <v>SE-001403681</v>
      </c>
      <c r="D23743" s="1" t="s">
        <v>0</v>
      </c>
      <c r="E23743" s="2">
        <v>0</v>
      </c>
      <c r="F23743" s="2">
        <v>0</v>
      </c>
      <c r="G23743" s="2">
        <v>0</v>
      </c>
      <c r="H23743" s="1" t="s">
        <v>0</v>
      </c>
      <c r="I23743" s="2">
        <v>0</v>
      </c>
      <c r="J23743" s="1">
        <v>46064.318912037037</v>
      </c>
    </row>
    <row r="23744" spans="1:10" x14ac:dyDescent="0.2">
      <c r="A23744" s="4" t="s">
        <v>1</v>
      </c>
      <c r="B23744" s="3" t="str">
        <f>HYPERLINK("https://otsuka-europe-crm.veevavault.com/ui/#object/approved_document__v/V5O00000000D100", "Spain - Consent Email 1 Aug 25")</f>
        <v>Spain - Consent Email 1 Aug 25</v>
      </c>
      <c r="C23744" s="3" t="str">
        <f>HYPERLINK("https://otsuka-europe-crm.veevavault.com/ui/#object/sent_email__v/VBL00000001C404", "SE-001403749")</f>
        <v>SE-001403749</v>
      </c>
      <c r="D23744" s="1">
        <v>46064.492048611108</v>
      </c>
      <c r="E23744" s="2">
        <v>1</v>
      </c>
      <c r="F23744" s="2">
        <v>1</v>
      </c>
      <c r="G23744" s="2">
        <v>1</v>
      </c>
      <c r="H23744" s="1">
        <v>46064.492048611108</v>
      </c>
      <c r="I23744" s="2">
        <v>1</v>
      </c>
      <c r="J23744" s="1">
        <v>46064.49181712963</v>
      </c>
    </row>
    <row r="23745" spans="1:10" x14ac:dyDescent="0.2">
      <c r="A23745" s="4" t="s">
        <v>1</v>
      </c>
      <c r="B23745" s="3" t="str">
        <f>HYPERLINK("https://otsuka-europe-crm.veevavault.com/ui/#object/approved_document__v/V5O00000000D100", "Spain - Consent Email 1 Aug 25")</f>
        <v>Spain - Consent Email 1 Aug 25</v>
      </c>
      <c r="C23745" s="3" t="str">
        <f>HYPERLINK("https://otsuka-europe-crm.veevavault.com/ui/#object/sent_email__v/VBL00000001B462", "SE-001403766")</f>
        <v>SE-001403766</v>
      </c>
      <c r="D23745" s="1">
        <v>46064.582638888889</v>
      </c>
      <c r="E23745" s="2">
        <v>1</v>
      </c>
      <c r="F23745" s="2">
        <v>3</v>
      </c>
      <c r="G23745" s="2">
        <v>1</v>
      </c>
      <c r="H23745" s="1">
        <v>46064.57980324074</v>
      </c>
      <c r="I23745" s="2">
        <v>1</v>
      </c>
      <c r="J23745" s="1">
        <v>46064.577824074076</v>
      </c>
    </row>
    <row r="23746" spans="1:10" x14ac:dyDescent="0.2">
      <c r="A23746" s="4" t="s">
        <v>1</v>
      </c>
      <c r="B23746" s="3" t="str">
        <f>HYPERLINK("https://otsuka-europe-crm.veevavault.com/ui/#object/approved_document__v/V5O00000000D100", "Spain - Consent Email 1 Aug 25")</f>
        <v>Spain - Consent Email 1 Aug 25</v>
      </c>
      <c r="C23746" s="3" t="str">
        <f>HYPERLINK("https://otsuka-europe-crm.veevavault.com/ui/#object/sent_email__v/VBL00000001D066", "SE-001404144")</f>
        <v>SE-001404144</v>
      </c>
      <c r="D23746" s="1">
        <v>46069.634340277778</v>
      </c>
      <c r="E23746" s="2">
        <v>1</v>
      </c>
      <c r="F23746" s="2">
        <v>2</v>
      </c>
      <c r="G23746" s="2">
        <v>1</v>
      </c>
      <c r="H23746" s="1">
        <v>46069.63449074074</v>
      </c>
      <c r="I23746" s="2">
        <v>1</v>
      </c>
      <c r="J23746" s="1">
        <v>46069.473530092589</v>
      </c>
    </row>
    <row r="23747" spans="1:10" x14ac:dyDescent="0.2">
      <c r="A23747" s="4" t="s">
        <v>1</v>
      </c>
      <c r="B23747" s="3" t="str">
        <f>HYPERLINK("https://otsuka-europe-crm.veevavault.com/ui/#object/approved_document__v/V5O00000000D100", "Spain - Consent Email 1 Aug 25")</f>
        <v>Spain - Consent Email 1 Aug 25</v>
      </c>
      <c r="C23747" s="3" t="str">
        <f>HYPERLINK("https://otsuka-europe-crm.veevavault.com/ui/#object/sent_email__v/VBL00000001E145", "SE-001404177")</f>
        <v>SE-001404177</v>
      </c>
      <c r="D23747" s="1" t="s">
        <v>0</v>
      </c>
      <c r="E23747" s="2">
        <v>0</v>
      </c>
      <c r="F23747" s="2">
        <v>0</v>
      </c>
      <c r="G23747" s="2">
        <v>0</v>
      </c>
      <c r="H23747" s="1" t="s">
        <v>0</v>
      </c>
      <c r="I23747" s="2">
        <v>0</v>
      </c>
      <c r="J23747" s="1">
        <v>46069.601840277777</v>
      </c>
    </row>
    <row r="23748" spans="1:10" x14ac:dyDescent="0.2">
      <c r="A23748" s="4" t="s">
        <v>1</v>
      </c>
      <c r="B23748" s="3" t="str">
        <f>HYPERLINK("https://otsuka-europe-crm.veevavault.com/ui/#object/approved_document__v/V5O00000000D100", "Spain - Consent Email 1 Aug 25")</f>
        <v>Spain - Consent Email 1 Aug 25</v>
      </c>
      <c r="C23748" s="3" t="str">
        <f>HYPERLINK("https://otsuka-europe-crm.veevavault.com/ui/#object/sent_email__v/VBL00000001E172", "SE-001404222")</f>
        <v>SE-001404222</v>
      </c>
      <c r="D23748" s="1" t="s">
        <v>0</v>
      </c>
      <c r="E23748" s="2">
        <v>0</v>
      </c>
      <c r="F23748" s="2">
        <v>0</v>
      </c>
      <c r="G23748" s="2">
        <v>0</v>
      </c>
      <c r="H23748" s="1" t="s">
        <v>0</v>
      </c>
      <c r="I23748" s="2">
        <v>0</v>
      </c>
      <c r="J23748" s="1">
        <v>46070.454363425924</v>
      </c>
    </row>
    <row r="23749" spans="1:10" x14ac:dyDescent="0.2">
      <c r="A23749" s="4" t="s">
        <v>1</v>
      </c>
      <c r="B23749" s="3" t="str">
        <f>HYPERLINK("https://otsuka-europe-crm.veevavault.com/ui/#object/approved_document__v/V5O00000000D100", "Spain - Consent Email 1 Aug 25")</f>
        <v>Spain - Consent Email 1 Aug 25</v>
      </c>
      <c r="C23749" s="3" t="str">
        <f>HYPERLINK("https://otsuka-europe-crm.veevavault.com/ui/#object/sent_email__v/VBL00000001D185", "SE-001404451")</f>
        <v>SE-001404451</v>
      </c>
      <c r="D23749" s="1">
        <v>46070.6641087963</v>
      </c>
      <c r="E23749" s="2">
        <v>1</v>
      </c>
      <c r="F23749" s="2">
        <v>2</v>
      </c>
      <c r="G23749" s="2">
        <v>1</v>
      </c>
      <c r="H23749" s="1">
        <v>46070.664317129631</v>
      </c>
      <c r="I23749" s="2">
        <v>1</v>
      </c>
      <c r="J23749" s="1">
        <v>46070.660578703704</v>
      </c>
    </row>
    <row r="23750" spans="1:10" x14ac:dyDescent="0.2">
      <c r="A23750" s="4" t="s">
        <v>1</v>
      </c>
      <c r="B23750" s="3" t="str">
        <f>HYPERLINK("https://otsuka-europe-crm.veevavault.com/ui/#object/approved_document__v/V5O00000000D100", "Spain - Consent Email 1 Aug 25")</f>
        <v>Spain - Consent Email 1 Aug 25</v>
      </c>
      <c r="C23750" s="3" t="str">
        <f>HYPERLINK("https://otsuka-europe-crm.veevavault.com/ui/#object/sent_email__v/VBL00000001E375", "SE-001404881")</f>
        <v>SE-001404881</v>
      </c>
      <c r="D23750" s="1">
        <v>46071.761759259258</v>
      </c>
      <c r="E23750" s="2">
        <v>1</v>
      </c>
      <c r="F23750" s="2">
        <v>1</v>
      </c>
      <c r="G23750" s="2">
        <v>1</v>
      </c>
      <c r="H23750" s="1">
        <v>46071.762013888889</v>
      </c>
      <c r="I23750" s="2">
        <v>2</v>
      </c>
      <c r="J23750" s="1">
        <v>46071.698159722226</v>
      </c>
    </row>
    <row r="23751" spans="1:10" x14ac:dyDescent="0.2">
      <c r="A23751" s="4" t="s">
        <v>1</v>
      </c>
      <c r="B23751" s="3" t="str">
        <f>HYPERLINK("https://otsuka-europe-crm.veevavault.com/ui/#object/approved_document__v/V5O00000000D100", "Spain - Consent Email 1 Aug 25")</f>
        <v>Spain - Consent Email 1 Aug 25</v>
      </c>
      <c r="C23751" s="3" t="str">
        <f>HYPERLINK("https://otsuka-europe-crm.veevavault.com/ui/#object/sent_email__v/VBL00000001D699", "SE-001405160")</f>
        <v>SE-001405160</v>
      </c>
      <c r="D23751" s="1">
        <v>46072.905231481483</v>
      </c>
      <c r="E23751" s="2">
        <v>1</v>
      </c>
      <c r="F23751" s="2">
        <v>2</v>
      </c>
      <c r="G23751" s="2">
        <v>1</v>
      </c>
      <c r="H23751" s="1">
        <v>46072.78634259259</v>
      </c>
      <c r="I23751" s="2">
        <v>1</v>
      </c>
      <c r="J23751" s="1">
        <v>46072.765787037039</v>
      </c>
    </row>
    <row r="23752" spans="1:10" x14ac:dyDescent="0.2">
      <c r="A23752" s="4" t="s">
        <v>1</v>
      </c>
      <c r="B23752" s="3" t="str">
        <f>HYPERLINK("https://otsuka-europe-crm.veevavault.com/ui/#object/approved_document__v/V5O00000000D100", "Spain - Consent Email 1 Aug 25")</f>
        <v>Spain - Consent Email 1 Aug 25</v>
      </c>
      <c r="C23752" s="3" t="str">
        <f>HYPERLINK("https://otsuka-europe-crm.veevavault.com/ui/#object/sent_email__v/VBL00000001F113", "SE-001405570")</f>
        <v>SE-001405570</v>
      </c>
      <c r="D23752" s="1">
        <v>46077.530925925923</v>
      </c>
      <c r="E23752" s="2">
        <v>1</v>
      </c>
      <c r="F23752" s="2">
        <v>1</v>
      </c>
      <c r="G23752" s="2">
        <v>0</v>
      </c>
      <c r="H23752" s="1" t="s">
        <v>0</v>
      </c>
      <c r="I23752" s="2">
        <v>0</v>
      </c>
      <c r="J23752" s="1">
        <v>46076.511620370373</v>
      </c>
    </row>
    <row r="23753" spans="1:10" x14ac:dyDescent="0.2">
      <c r="A23753" s="4" t="s">
        <v>1</v>
      </c>
      <c r="B23753" s="3" t="str">
        <f>HYPERLINK("https://otsuka-europe-crm.veevavault.com/ui/#object/approved_document__v/V5O00000000D100", "Spain - Consent Email 1 Aug 25")</f>
        <v>Spain - Consent Email 1 Aug 25</v>
      </c>
      <c r="C23753" s="3" t="str">
        <f>HYPERLINK("https://otsuka-europe-crm.veevavault.com/ui/#object/sent_email__v/VBL00000001G307", "SE-001405577")</f>
        <v>SE-001405577</v>
      </c>
      <c r="D23753" s="1">
        <v>46076.666238425925</v>
      </c>
      <c r="E23753" s="2">
        <v>1</v>
      </c>
      <c r="F23753" s="2">
        <v>2</v>
      </c>
      <c r="G23753" s="2">
        <v>1</v>
      </c>
      <c r="H23753" s="1">
        <v>46076.666261574072</v>
      </c>
      <c r="I23753" s="2">
        <v>1</v>
      </c>
      <c r="J23753" s="1">
        <v>46076.565995370373</v>
      </c>
    </row>
    <row r="23754" spans="1:10" x14ac:dyDescent="0.2">
      <c r="A23754" s="4" t="s">
        <v>1</v>
      </c>
      <c r="B23754" s="3" t="str">
        <f>HYPERLINK("https://otsuka-europe-crm.veevavault.com/ui/#object/approved_document__v/V5O00000000D100", "Spain - Consent Email 1 Aug 25")</f>
        <v>Spain - Consent Email 1 Aug 25</v>
      </c>
      <c r="C23754" s="3" t="str">
        <f>HYPERLINK("https://otsuka-europe-crm.veevavault.com/ui/#object/sent_email__v/VBL00000001F302", "SE-001405948")</f>
        <v>SE-001405948</v>
      </c>
      <c r="D23754" s="1">
        <v>46077.458611111113</v>
      </c>
      <c r="E23754" s="2">
        <v>1</v>
      </c>
      <c r="F23754" s="2">
        <v>1</v>
      </c>
      <c r="G23754" s="2">
        <v>1</v>
      </c>
      <c r="H23754" s="1">
        <v>46077.458692129629</v>
      </c>
      <c r="I23754" s="2">
        <v>1</v>
      </c>
      <c r="J23754" s="1">
        <v>46076.898657407408</v>
      </c>
    </row>
    <row r="23755" spans="1:10" x14ac:dyDescent="0.2">
      <c r="A23755" s="4" t="s">
        <v>1</v>
      </c>
      <c r="B23755" s="3" t="str">
        <f>HYPERLINK("https://otsuka-europe-crm.veevavault.com/ui/#object/approved_document__v/V5O00000000D100", "Spain - Consent Email 1 Aug 25")</f>
        <v>Spain - Consent Email 1 Aug 25</v>
      </c>
      <c r="C23755" s="3" t="str">
        <f>HYPERLINK("https://otsuka-europe-crm.veevavault.com/ui/#object/sent_email__v/VBL00000001F306", "SE-001405952")</f>
        <v>SE-001405952</v>
      </c>
      <c r="D23755" s="1">
        <v>46077.305578703701</v>
      </c>
      <c r="E23755" s="2">
        <v>1</v>
      </c>
      <c r="F23755" s="2">
        <v>1</v>
      </c>
      <c r="G23755" s="2">
        <v>0</v>
      </c>
      <c r="H23755" s="1" t="s">
        <v>0</v>
      </c>
      <c r="I23755" s="2">
        <v>0</v>
      </c>
      <c r="J23755" s="1">
        <v>46076.902303240742</v>
      </c>
    </row>
    <row r="23756" spans="1:10" x14ac:dyDescent="0.2">
      <c r="A23756" s="4" t="s">
        <v>1</v>
      </c>
      <c r="B23756" s="3" t="str">
        <f>HYPERLINK("https://otsuka-europe-crm.veevavault.com/ui/#object/approved_document__v/V5O00000000D100", "Spain - Consent Email 1 Aug 25")</f>
        <v>Spain - Consent Email 1 Aug 25</v>
      </c>
      <c r="C23756" s="3" t="str">
        <f>HYPERLINK("https://otsuka-europe-crm.veevavault.com/ui/#object/sent_email__v/VBL00000001F344", "SE-001406022")</f>
        <v>SE-001406022</v>
      </c>
      <c r="D23756" s="1">
        <v>46077.620092592595</v>
      </c>
      <c r="E23756" s="2">
        <v>1</v>
      </c>
      <c r="F23756" s="2">
        <v>1</v>
      </c>
      <c r="G23756" s="2">
        <v>1</v>
      </c>
      <c r="H23756" s="1">
        <v>46077.620185185187</v>
      </c>
      <c r="I23756" s="2">
        <v>3</v>
      </c>
      <c r="J23756" s="1">
        <v>46077.612326388888</v>
      </c>
    </row>
    <row r="23757" spans="1:10" x14ac:dyDescent="0.2">
      <c r="A23757" s="4" t="s">
        <v>1</v>
      </c>
      <c r="B23757" s="3" t="str">
        <f>HYPERLINK("https://otsuka-europe-crm.veevavault.com/ui/#object/approved_document__v/V5O00000000D100", "Spain - Consent Email 1 Aug 25")</f>
        <v>Spain - Consent Email 1 Aug 25</v>
      </c>
      <c r="C23757" s="3" t="str">
        <f>HYPERLINK("https://otsuka-europe-crm.veevavault.com/ui/#object/sent_email__v/VBL00000001G537", "SE-001406183")</f>
        <v>SE-001406183</v>
      </c>
      <c r="D23757" s="1">
        <v>46077.690601851849</v>
      </c>
      <c r="E23757" s="2">
        <v>1</v>
      </c>
      <c r="F23757" s="2">
        <v>1</v>
      </c>
      <c r="G23757" s="2">
        <v>1</v>
      </c>
      <c r="H23757" s="1">
        <v>46077.691134259258</v>
      </c>
      <c r="I23757" s="2">
        <v>2</v>
      </c>
      <c r="J23757" s="1">
        <v>46077.660138888888</v>
      </c>
    </row>
    <row r="23758" spans="1:10" x14ac:dyDescent="0.2">
      <c r="A23758" s="4" t="s">
        <v>1</v>
      </c>
      <c r="B23758" s="3" t="str">
        <f>HYPERLINK("https://otsuka-europe-crm.veevavault.com/ui/#object/approved_document__v/V5O00000000D100", "Spain - Consent Email 1 Aug 25")</f>
        <v>Spain - Consent Email 1 Aug 25</v>
      </c>
      <c r="C23758" s="3" t="str">
        <f>HYPERLINK("https://otsuka-europe-crm.veevavault.com/ui/#object/sent_email__v/VBL00000001F492", "SE-001406185")</f>
        <v>SE-001406185</v>
      </c>
      <c r="D23758" s="1">
        <v>46078.37599537037</v>
      </c>
      <c r="E23758" s="2">
        <v>1</v>
      </c>
      <c r="F23758" s="2">
        <v>3</v>
      </c>
      <c r="G23758" s="2">
        <v>1</v>
      </c>
      <c r="H23758" s="1">
        <v>46078.376273148147</v>
      </c>
      <c r="I23758" s="2">
        <v>2</v>
      </c>
      <c r="J23758" s="1">
        <v>46077.663217592592</v>
      </c>
    </row>
    <row r="23759" spans="1:10" x14ac:dyDescent="0.2">
      <c r="A23759" s="4" t="s">
        <v>1</v>
      </c>
      <c r="B23759" s="3" t="str">
        <f>HYPERLINK("https://otsuka-europe-crm.veevavault.com/ui/#object/approved_document__v/V5O00000000D100", "Spain - Consent Email 1 Aug 25")</f>
        <v>Spain - Consent Email 1 Aug 25</v>
      </c>
      <c r="C23759" s="3" t="str">
        <f>HYPERLINK("https://otsuka-europe-crm.veevavault.com/ui/#object/sent_email__v/VBL00000001G539", "SE-001406187")</f>
        <v>SE-001406187</v>
      </c>
      <c r="D23759" s="1">
        <v>46078.416875000003</v>
      </c>
      <c r="E23759" s="2">
        <v>1</v>
      </c>
      <c r="F23759" s="2">
        <v>2</v>
      </c>
      <c r="G23759" s="2">
        <v>1</v>
      </c>
      <c r="H23759" s="1">
        <v>46078.416909722226</v>
      </c>
      <c r="I23759" s="2">
        <v>1</v>
      </c>
      <c r="J23759" s="1">
        <v>46077.666597222225</v>
      </c>
    </row>
    <row r="23760" spans="1:10" x14ac:dyDescent="0.2">
      <c r="A23760" s="4" t="s">
        <v>1</v>
      </c>
      <c r="B23760" s="3" t="str">
        <f>HYPERLINK("https://otsuka-europe-crm.veevavault.com/ui/#object/approved_document__v/V5O00000000D100", "Spain - Consent Email 1 Aug 25")</f>
        <v>Spain - Consent Email 1 Aug 25</v>
      </c>
      <c r="C23760" s="3" t="str">
        <f>HYPERLINK("https://otsuka-europe-crm.veevavault.com/ui/#object/sent_email__v/VBL00000001F494", "SE-001406189")</f>
        <v>SE-001406189</v>
      </c>
      <c r="D23760" s="1" t="s">
        <v>0</v>
      </c>
      <c r="E23760" s="2">
        <v>0</v>
      </c>
      <c r="F23760" s="2">
        <v>0</v>
      </c>
      <c r="G23760" s="2">
        <v>0</v>
      </c>
      <c r="H23760" s="1" t="s">
        <v>0</v>
      </c>
      <c r="I23760" s="2">
        <v>0</v>
      </c>
      <c r="J23760" s="1">
        <v>46077.670624999999</v>
      </c>
    </row>
    <row r="23761" spans="1:10" x14ac:dyDescent="0.2">
      <c r="A23761" s="4" t="s">
        <v>1</v>
      </c>
      <c r="B23761" s="3" t="str">
        <f>HYPERLINK("https://otsuka-europe-crm.veevavault.com/ui/#object/approved_document__v/V5O00000000D100", "Spain - Consent Email 1 Aug 25")</f>
        <v>Spain - Consent Email 1 Aug 25</v>
      </c>
      <c r="C23761" s="3" t="str">
        <f>HYPERLINK("https://otsuka-europe-crm.veevavault.com/ui/#object/sent_email__v/VBL00000001G541", "SE-001406191")</f>
        <v>SE-001406191</v>
      </c>
      <c r="D23761" s="1">
        <v>46078.363738425927</v>
      </c>
      <c r="E23761" s="2">
        <v>1</v>
      </c>
      <c r="F23761" s="2">
        <v>1</v>
      </c>
      <c r="G23761" s="2">
        <v>1</v>
      </c>
      <c r="H23761" s="1">
        <v>46078.363738425927</v>
      </c>
      <c r="I23761" s="2">
        <v>1</v>
      </c>
      <c r="J23761" s="1">
        <v>46077.673310185186</v>
      </c>
    </row>
    <row r="23762" spans="1:10" x14ac:dyDescent="0.2">
      <c r="A23762" s="4" t="s">
        <v>1</v>
      </c>
      <c r="B23762" s="3" t="str">
        <f>HYPERLINK("https://otsuka-europe-crm.veevavault.com/ui/#object/approved_document__v/V5OZ025E82TFUPI", "Spain - HCP Survey Email - June 2025")</f>
        <v>Spain - HCP Survey Email - June 2025</v>
      </c>
      <c r="C23762" s="3" t="str">
        <f>HYPERLINK("https://otsuka-europe-crm.veevavault.com/ui/#object/sent_email__v/VBLZ025E82GMT6D", "SE-000266909")</f>
        <v>SE-000266909</v>
      </c>
      <c r="D23762" s="1">
        <v>45915.519317129627</v>
      </c>
      <c r="E23762" s="2">
        <v>1</v>
      </c>
      <c r="F23762" s="2">
        <v>2</v>
      </c>
      <c r="G23762" s="2">
        <v>0</v>
      </c>
      <c r="H23762" s="1" t="s">
        <v>0</v>
      </c>
      <c r="I23762" s="2">
        <v>0</v>
      </c>
      <c r="J23762" s="1">
        <v>45915.379953703705</v>
      </c>
    </row>
    <row r="23763" spans="1:10" x14ac:dyDescent="0.2">
      <c r="A23763" s="4" t="s">
        <v>1</v>
      </c>
      <c r="B23763" s="3" t="str">
        <f>HYPERLINK("https://otsuka-europe-crm.veevavault.com/ui/#object/approved_document__v/V5OZ025E82TFUPI", "Spain - HCP Survey Email - June 2025")</f>
        <v>Spain - HCP Survey Email - June 2025</v>
      </c>
      <c r="C23763" s="3" t="str">
        <f>HYPERLINK("https://otsuka-europe-crm.veevavault.com/ui/#object/sent_email__v/VBLZ025E82GMT6E", "SE-000266910")</f>
        <v>SE-000266910</v>
      </c>
      <c r="D23763" s="1">
        <v>45922.5471412037</v>
      </c>
      <c r="E23763" s="2">
        <v>1</v>
      </c>
      <c r="F23763" s="2">
        <v>3</v>
      </c>
      <c r="G23763" s="2">
        <v>0</v>
      </c>
      <c r="H23763" s="1" t="s">
        <v>0</v>
      </c>
      <c r="I23763" s="2">
        <v>0</v>
      </c>
      <c r="J23763" s="1">
        <v>45915.37740740741</v>
      </c>
    </row>
    <row r="23764" spans="1:10" x14ac:dyDescent="0.2">
      <c r="A23764" s="4" t="s">
        <v>1</v>
      </c>
      <c r="B23764" s="3" t="str">
        <f>HYPERLINK("https://otsuka-europe-crm.veevavault.com/ui/#object/approved_document__v/V5OZ025E82TFUPI", "Spain - HCP Survey Email - June 2025")</f>
        <v>Spain - HCP Survey Email - June 2025</v>
      </c>
      <c r="C23764" s="3" t="str">
        <f>HYPERLINK("https://otsuka-europe-crm.veevavault.com/ui/#object/sent_email__v/VBLZ025E82GMT6F", "SE-000266911")</f>
        <v>SE-000266911</v>
      </c>
      <c r="D23764" s="1">
        <v>45915.89130787037</v>
      </c>
      <c r="E23764" s="2">
        <v>1</v>
      </c>
      <c r="F23764" s="2">
        <v>1</v>
      </c>
      <c r="G23764" s="2">
        <v>0</v>
      </c>
      <c r="H23764" s="1" t="s">
        <v>0</v>
      </c>
      <c r="I23764" s="2">
        <v>0</v>
      </c>
      <c r="J23764" s="1">
        <v>45915.378020833334</v>
      </c>
    </row>
    <row r="23765" spans="1:10" x14ac:dyDescent="0.2">
      <c r="A23765" s="4" t="s">
        <v>1</v>
      </c>
      <c r="B23765" s="3" t="str">
        <f>HYPERLINK("https://otsuka-europe-crm.veevavault.com/ui/#object/approved_document__v/V5OZ025E82TFUPI", "Spain - HCP Survey Email - June 2025")</f>
        <v>Spain - HCP Survey Email - June 2025</v>
      </c>
      <c r="C23765" s="3" t="str">
        <f>HYPERLINK("https://otsuka-europe-crm.veevavault.com/ui/#object/sent_email__v/VBLZ025E82GMT6G", "SE-000266912")</f>
        <v>SE-000266912</v>
      </c>
      <c r="D23765" s="1" t="s">
        <v>0</v>
      </c>
      <c r="E23765" s="2">
        <v>0</v>
      </c>
      <c r="F23765" s="2">
        <v>0</v>
      </c>
      <c r="G23765" s="2">
        <v>0</v>
      </c>
      <c r="H23765" s="1" t="s">
        <v>0</v>
      </c>
      <c r="I23765" s="2">
        <v>0</v>
      </c>
      <c r="J23765" s="1">
        <v>45915.378784722219</v>
      </c>
    </row>
    <row r="23766" spans="1:10" x14ac:dyDescent="0.2">
      <c r="A23766" s="4" t="s">
        <v>1</v>
      </c>
      <c r="B23766" s="3" t="str">
        <f>HYPERLINK("https://otsuka-europe-crm.veevavault.com/ui/#object/approved_document__v/V5OZ025E82TFUPI", "Spain - HCP Survey Email - June 2025")</f>
        <v>Spain - HCP Survey Email - June 2025</v>
      </c>
      <c r="C23766" s="3" t="str">
        <f>HYPERLINK("https://otsuka-europe-crm.veevavault.com/ui/#object/sent_email__v/VBLZ025E82GMT6H", "SE-000266913")</f>
        <v>SE-000266913</v>
      </c>
      <c r="D23766" s="1" t="s">
        <v>0</v>
      </c>
      <c r="E23766" s="2">
        <v>0</v>
      </c>
      <c r="F23766" s="2">
        <v>0</v>
      </c>
      <c r="G23766" s="2">
        <v>0</v>
      </c>
      <c r="H23766" s="1" t="s">
        <v>0</v>
      </c>
      <c r="I23766" s="2">
        <v>0</v>
      </c>
      <c r="J23766" s="1">
        <v>45915.379861111112</v>
      </c>
    </row>
    <row r="23767" spans="1:10" x14ac:dyDescent="0.2">
      <c r="A23767" s="4" t="s">
        <v>1</v>
      </c>
      <c r="B23767" s="3" t="str">
        <f>HYPERLINK("https://otsuka-europe-crm.veevavault.com/ui/#object/approved_document__v/V5OZ025E82TFUPI", "Spain - HCP Survey Email - June 2025")</f>
        <v>Spain - HCP Survey Email - June 2025</v>
      </c>
      <c r="C23767" s="3" t="str">
        <f>HYPERLINK("https://otsuka-europe-crm.veevavault.com/ui/#object/sent_email__v/VBLZ025E82GMT6I", "SE-000266914")</f>
        <v>SE-000266914</v>
      </c>
      <c r="D23767" s="1" t="s">
        <v>0</v>
      </c>
      <c r="E23767" s="2">
        <v>0</v>
      </c>
      <c r="F23767" s="2">
        <v>0</v>
      </c>
      <c r="G23767" s="2">
        <v>0</v>
      </c>
      <c r="H23767" s="1" t="s">
        <v>0</v>
      </c>
      <c r="I23767" s="2">
        <v>0</v>
      </c>
      <c r="J23767" s="1">
        <v>45915.379351851851</v>
      </c>
    </row>
    <row r="23768" spans="1:10" x14ac:dyDescent="0.2">
      <c r="A23768" s="4" t="s">
        <v>1</v>
      </c>
      <c r="B23768" s="3" t="str">
        <f>HYPERLINK("https://otsuka-europe-crm.veevavault.com/ui/#object/approved_document__v/V5OZ025E82TFUPI", "Spain - HCP Survey Email - June 2025")</f>
        <v>Spain - HCP Survey Email - June 2025</v>
      </c>
      <c r="C23768" s="3" t="str">
        <f>HYPERLINK("https://otsuka-europe-crm.veevavault.com/ui/#object/sent_email__v/VBLZ025E82GMT6J", "SE-000266915")</f>
        <v>SE-000266915</v>
      </c>
      <c r="D23768" s="1" t="s">
        <v>0</v>
      </c>
      <c r="E23768" s="2">
        <v>0</v>
      </c>
      <c r="F23768" s="2">
        <v>0</v>
      </c>
      <c r="G23768" s="2">
        <v>0</v>
      </c>
      <c r="H23768" s="1" t="s">
        <v>0</v>
      </c>
      <c r="I23768" s="2">
        <v>0</v>
      </c>
      <c r="J23768" s="1">
        <v>45915.377696759257</v>
      </c>
    </row>
    <row r="23769" spans="1:10" x14ac:dyDescent="0.2">
      <c r="A23769" s="4" t="s">
        <v>1</v>
      </c>
      <c r="B23769" s="3" t="str">
        <f>HYPERLINK("https://otsuka-europe-crm.veevavault.com/ui/#object/approved_document__v/V5OZ025E82TFUPI", "Spain - HCP Survey Email - June 2025")</f>
        <v>Spain - HCP Survey Email - June 2025</v>
      </c>
      <c r="C23769" s="3" t="str">
        <f>HYPERLINK("https://otsuka-europe-crm.veevavault.com/ui/#object/sent_email__v/VBLZ025E82GMT6K", "SE-000266916")</f>
        <v>SE-000266916</v>
      </c>
      <c r="D23769" s="1">
        <v>45915.378587962965</v>
      </c>
      <c r="E23769" s="2">
        <v>1</v>
      </c>
      <c r="F23769" s="2">
        <v>1</v>
      </c>
      <c r="G23769" s="2">
        <v>0</v>
      </c>
      <c r="H23769" s="1" t="s">
        <v>0</v>
      </c>
      <c r="I23769" s="2">
        <v>0</v>
      </c>
      <c r="J23769" s="1">
        <v>45915.378506944442</v>
      </c>
    </row>
    <row r="23770" spans="1:10" x14ac:dyDescent="0.2">
      <c r="A23770" s="4" t="s">
        <v>1</v>
      </c>
      <c r="B23770" s="3" t="str">
        <f>HYPERLINK("https://otsuka-europe-crm.veevavault.com/ui/#object/approved_document__v/V5OZ025E82TFUPI", "Spain - HCP Survey Email - June 2025")</f>
        <v>Spain - HCP Survey Email - June 2025</v>
      </c>
      <c r="C23770" s="3" t="str">
        <f>HYPERLINK("https://otsuka-europe-crm.veevavault.com/ui/#object/sent_email__v/VBLZ025E82GMT6L", "SE-000266917")</f>
        <v>SE-000266917</v>
      </c>
      <c r="D23770" s="1" t="s">
        <v>0</v>
      </c>
      <c r="E23770" s="2">
        <v>0</v>
      </c>
      <c r="F23770" s="2">
        <v>0</v>
      </c>
      <c r="G23770" s="2">
        <v>0</v>
      </c>
      <c r="H23770" s="1" t="s">
        <v>0</v>
      </c>
      <c r="I23770" s="2">
        <v>0</v>
      </c>
      <c r="J23770" s="1">
        <v>45915.37804398148</v>
      </c>
    </row>
    <row r="23771" spans="1:10" x14ac:dyDescent="0.2">
      <c r="A23771" s="4" t="s">
        <v>1</v>
      </c>
      <c r="B23771" s="3" t="str">
        <f>HYPERLINK("https://otsuka-europe-crm.veevavault.com/ui/#object/approved_document__v/V5OZ025E82TFUPI", "Spain - HCP Survey Email - June 2025")</f>
        <v>Spain - HCP Survey Email - June 2025</v>
      </c>
      <c r="C23771" s="3" t="str">
        <f>HYPERLINK("https://otsuka-europe-crm.veevavault.com/ui/#object/sent_email__v/VBLZ025E82GMT6M", "SE-000266918")</f>
        <v>SE-000266918</v>
      </c>
      <c r="D23771" s="1">
        <v>45915.382962962962</v>
      </c>
      <c r="E23771" s="2">
        <v>1</v>
      </c>
      <c r="F23771" s="2">
        <v>1</v>
      </c>
      <c r="G23771" s="2">
        <v>0</v>
      </c>
      <c r="H23771" s="1" t="s">
        <v>0</v>
      </c>
      <c r="I23771" s="2">
        <v>0</v>
      </c>
      <c r="J23771" s="1">
        <v>45915.378807870373</v>
      </c>
    </row>
    <row r="23772" spans="1:10" x14ac:dyDescent="0.2">
      <c r="A23772" s="4" t="s">
        <v>1</v>
      </c>
      <c r="B23772" s="3" t="str">
        <f>HYPERLINK("https://otsuka-europe-crm.veevavault.com/ui/#object/approved_document__v/V5OZ025E82TFUPI", "Spain - HCP Survey Email - June 2025")</f>
        <v>Spain - HCP Survey Email - June 2025</v>
      </c>
      <c r="C23772" s="3" t="str">
        <f>HYPERLINK("https://otsuka-europe-crm.veevavault.com/ui/#object/sent_email__v/VBLZ025E82GMT6N", "SE-000266919")</f>
        <v>SE-000266919</v>
      </c>
      <c r="D23772" s="1">
        <v>45916.344259259262</v>
      </c>
      <c r="E23772" s="2">
        <v>1</v>
      </c>
      <c r="F23772" s="2">
        <v>1</v>
      </c>
      <c r="G23772" s="2">
        <v>1</v>
      </c>
      <c r="H23772" s="1">
        <v>45916.344363425924</v>
      </c>
      <c r="I23772" s="2">
        <v>2</v>
      </c>
      <c r="J23772" s="1">
        <v>45915.379664351851</v>
      </c>
    </row>
    <row r="23773" spans="1:10" x14ac:dyDescent="0.2">
      <c r="A23773" s="4" t="s">
        <v>1</v>
      </c>
      <c r="B23773" s="3" t="str">
        <f>HYPERLINK("https://otsuka-europe-crm.veevavault.com/ui/#object/approved_document__v/V5OZ025E82TFUPI", "Spain - HCP Survey Email - June 2025")</f>
        <v>Spain - HCP Survey Email - June 2025</v>
      </c>
      <c r="C23773" s="3" t="str">
        <f>HYPERLINK("https://otsuka-europe-crm.veevavault.com/ui/#object/sent_email__v/VBLZ025E82GMT6O", "SE-000266920")</f>
        <v>SE-000266920</v>
      </c>
      <c r="D23773" s="1" t="s">
        <v>0</v>
      </c>
      <c r="E23773" s="2">
        <v>0</v>
      </c>
      <c r="F23773" s="2">
        <v>0</v>
      </c>
      <c r="G23773" s="2">
        <v>0</v>
      </c>
      <c r="H23773" s="1" t="s">
        <v>0</v>
      </c>
      <c r="I23773" s="2">
        <v>0</v>
      </c>
      <c r="J23773" s="1">
        <v>45915.377858796295</v>
      </c>
    </row>
    <row r="23774" spans="1:10" x14ac:dyDescent="0.2">
      <c r="A23774" s="4" t="s">
        <v>1</v>
      </c>
      <c r="B23774" s="3" t="str">
        <f>HYPERLINK("https://otsuka-europe-crm.veevavault.com/ui/#object/approved_document__v/V5OZ025E82TFUPI", "Spain - HCP Survey Email - June 2025")</f>
        <v>Spain - HCP Survey Email - June 2025</v>
      </c>
      <c r="C23774" s="3" t="str">
        <f>HYPERLINK("https://otsuka-europe-crm.veevavault.com/ui/#object/sent_email__v/VBLZ025E82GMT6P", "SE-000266921")</f>
        <v>SE-000266921</v>
      </c>
      <c r="D23774" s="1">
        <v>45916.358865740738</v>
      </c>
      <c r="E23774" s="2">
        <v>1</v>
      </c>
      <c r="F23774" s="2">
        <v>1</v>
      </c>
      <c r="G23774" s="2">
        <v>1</v>
      </c>
      <c r="H23774" s="1">
        <v>45916.358865740738</v>
      </c>
      <c r="I23774" s="2">
        <v>1</v>
      </c>
      <c r="J23774" s="1">
        <v>45915.377372685187</v>
      </c>
    </row>
    <row r="23775" spans="1:10" x14ac:dyDescent="0.2">
      <c r="A23775" s="4" t="s">
        <v>1</v>
      </c>
      <c r="B23775" s="3" t="str">
        <f>HYPERLINK("https://otsuka-europe-crm.veevavault.com/ui/#object/approved_document__v/V5OZ025E82TFUPI", "Spain - HCP Survey Email - June 2025")</f>
        <v>Spain - HCP Survey Email - June 2025</v>
      </c>
      <c r="C23775" s="3" t="str">
        <f>HYPERLINK("https://otsuka-europe-crm.veevavault.com/ui/#object/sent_email__v/VBLZ025E82GMT6Q", "SE-000266922")</f>
        <v>SE-000266922</v>
      </c>
      <c r="D23775" s="1" t="s">
        <v>0</v>
      </c>
      <c r="E23775" s="2">
        <v>0</v>
      </c>
      <c r="F23775" s="2">
        <v>0</v>
      </c>
      <c r="G23775" s="2">
        <v>0</v>
      </c>
      <c r="H23775" s="1" t="s">
        <v>0</v>
      </c>
      <c r="I23775" s="2">
        <v>0</v>
      </c>
      <c r="J23775" s="1">
        <v>45915.378055555557</v>
      </c>
    </row>
    <row r="23776" spans="1:10" x14ac:dyDescent="0.2">
      <c r="A23776" s="4" t="s">
        <v>1</v>
      </c>
      <c r="B23776" s="3" t="str">
        <f>HYPERLINK("https://otsuka-europe-crm.veevavault.com/ui/#object/approved_document__v/V5OZ025E82TFUPI", "Spain - HCP Survey Email - June 2025")</f>
        <v>Spain - HCP Survey Email - June 2025</v>
      </c>
      <c r="C23776" s="3" t="str">
        <f>HYPERLINK("https://otsuka-europe-crm.veevavault.com/ui/#object/sent_email__v/VBLZ025E82GMT6R", "SE-000266923")</f>
        <v>SE-000266923</v>
      </c>
      <c r="D23776" s="1" t="s">
        <v>0</v>
      </c>
      <c r="E23776" s="2">
        <v>0</v>
      </c>
      <c r="F23776" s="2">
        <v>0</v>
      </c>
      <c r="G23776" s="2">
        <v>0</v>
      </c>
      <c r="H23776" s="1" t="s">
        <v>0</v>
      </c>
      <c r="I23776" s="2">
        <v>0</v>
      </c>
      <c r="J23776" s="1">
        <v>45915.378888888888</v>
      </c>
    </row>
    <row r="23777" spans="1:10" x14ac:dyDescent="0.2">
      <c r="A23777" s="4" t="s">
        <v>1</v>
      </c>
      <c r="B23777" s="3" t="str">
        <f>HYPERLINK("https://otsuka-europe-crm.veevavault.com/ui/#object/approved_document__v/V5OZ025E82TFUPI", "Spain - HCP Survey Email - June 2025")</f>
        <v>Spain - HCP Survey Email - June 2025</v>
      </c>
      <c r="C23777" s="3" t="str">
        <f>HYPERLINK("https://otsuka-europe-crm.veevavault.com/ui/#object/sent_email__v/VBLZ025E82GMT6S", "SE-000266924")</f>
        <v>SE-000266924</v>
      </c>
      <c r="D23777" s="1" t="s">
        <v>0</v>
      </c>
      <c r="E23777" s="2">
        <v>0</v>
      </c>
      <c r="F23777" s="2">
        <v>0</v>
      </c>
      <c r="G23777" s="2">
        <v>0</v>
      </c>
      <c r="H23777" s="1" t="s">
        <v>0</v>
      </c>
      <c r="I23777" s="2">
        <v>0</v>
      </c>
      <c r="J23777" s="1">
        <v>45915.379791666666</v>
      </c>
    </row>
    <row r="23778" spans="1:10" x14ac:dyDescent="0.2">
      <c r="A23778" s="4" t="s">
        <v>1</v>
      </c>
      <c r="B23778" s="3" t="str">
        <f>HYPERLINK("https://otsuka-europe-crm.veevavault.com/ui/#object/approved_document__v/V5OZ025E82TFUPI", "Spain - HCP Survey Email - June 2025")</f>
        <v>Spain - HCP Survey Email - June 2025</v>
      </c>
      <c r="C23778" s="3" t="str">
        <f>HYPERLINK("https://otsuka-europe-crm.veevavault.com/ui/#object/sent_email__v/VBLZ025E82GMT6T", "SE-000266925")</f>
        <v>SE-000266925</v>
      </c>
      <c r="D23778" s="1">
        <v>45915.635312500002</v>
      </c>
      <c r="E23778" s="2">
        <v>1</v>
      </c>
      <c r="F23778" s="2">
        <v>2</v>
      </c>
      <c r="G23778" s="2">
        <v>1</v>
      </c>
      <c r="H23778" s="1">
        <v>45915.645150462966</v>
      </c>
      <c r="I23778" s="2">
        <v>1</v>
      </c>
      <c r="J23778" s="1">
        <v>45915.379351851851</v>
      </c>
    </row>
    <row r="23779" spans="1:10" x14ac:dyDescent="0.2">
      <c r="A23779" s="4" t="s">
        <v>1</v>
      </c>
      <c r="B23779" s="3" t="str">
        <f>HYPERLINK("https://otsuka-europe-crm.veevavault.com/ui/#object/approved_document__v/V5OZ025E82TFUPI", "Spain - HCP Survey Email - June 2025")</f>
        <v>Spain - HCP Survey Email - June 2025</v>
      </c>
      <c r="C23779" s="3" t="str">
        <f>HYPERLINK("https://otsuka-europe-crm.veevavault.com/ui/#object/sent_email__v/VBLZ025E82GMT6U", "SE-000266926")</f>
        <v>SE-000266926</v>
      </c>
      <c r="D23779" s="1" t="s">
        <v>0</v>
      </c>
      <c r="E23779" s="2">
        <v>0</v>
      </c>
      <c r="F23779" s="2">
        <v>0</v>
      </c>
      <c r="G23779" s="2">
        <v>0</v>
      </c>
      <c r="H23779" s="1" t="s">
        <v>0</v>
      </c>
      <c r="I23779" s="2">
        <v>0</v>
      </c>
      <c r="J23779" s="1">
        <v>45915.37773148148</v>
      </c>
    </row>
    <row r="23780" spans="1:10" x14ac:dyDescent="0.2">
      <c r="A23780" s="4" t="s">
        <v>1</v>
      </c>
      <c r="B23780" s="3" t="str">
        <f>HYPERLINK("https://otsuka-europe-crm.veevavault.com/ui/#object/approved_document__v/V5OZ025E82TFUPI", "Spain - HCP Survey Email - June 2025")</f>
        <v>Spain - HCP Survey Email - June 2025</v>
      </c>
      <c r="C23780" s="3" t="str">
        <f>HYPERLINK("https://otsuka-europe-crm.veevavault.com/ui/#object/sent_email__v/VBLZ025E82GMT6V", "SE-000266927")</f>
        <v>SE-000266927</v>
      </c>
      <c r="D23780" s="1" t="s">
        <v>0</v>
      </c>
      <c r="E23780" s="2">
        <v>0</v>
      </c>
      <c r="F23780" s="2">
        <v>0</v>
      </c>
      <c r="G23780" s="2">
        <v>0</v>
      </c>
      <c r="H23780" s="1" t="s">
        <v>0</v>
      </c>
      <c r="I23780" s="2">
        <v>0</v>
      </c>
      <c r="J23780" s="1">
        <v>45915.378437500003</v>
      </c>
    </row>
    <row r="23781" spans="1:10" x14ac:dyDescent="0.2">
      <c r="A23781" s="4" t="s">
        <v>1</v>
      </c>
      <c r="B23781" s="3" t="str">
        <f>HYPERLINK("https://otsuka-europe-crm.veevavault.com/ui/#object/approved_document__v/V5OZ025E82TFUPI", "Spain - HCP Survey Email - June 2025")</f>
        <v>Spain - HCP Survey Email - June 2025</v>
      </c>
      <c r="C23781" s="3" t="str">
        <f>HYPERLINK("https://otsuka-europe-crm.veevavault.com/ui/#object/sent_email__v/VBLZ025E82GMT6W", "SE-000266928")</f>
        <v>SE-000266928</v>
      </c>
      <c r="D23781" s="1" t="s">
        <v>0</v>
      </c>
      <c r="E23781" s="2">
        <v>0</v>
      </c>
      <c r="F23781" s="2">
        <v>0</v>
      </c>
      <c r="G23781" s="2">
        <v>0</v>
      </c>
      <c r="H23781" s="1" t="s">
        <v>0</v>
      </c>
      <c r="I23781" s="2">
        <v>0</v>
      </c>
      <c r="J23781" s="1">
        <v>45915.377986111111</v>
      </c>
    </row>
    <row r="23782" spans="1:10" x14ac:dyDescent="0.2">
      <c r="A23782" s="4" t="s">
        <v>1</v>
      </c>
      <c r="B23782" s="3" t="str">
        <f>HYPERLINK("https://otsuka-europe-crm.veevavault.com/ui/#object/approved_document__v/V5OZ025E82TFUPI", "Spain - HCP Survey Email - June 2025")</f>
        <v>Spain - HCP Survey Email - June 2025</v>
      </c>
      <c r="C23782" s="3" t="str">
        <f>HYPERLINK("https://otsuka-europe-crm.veevavault.com/ui/#object/sent_email__v/VBLZ025E82GMT6X", "SE-000266929")</f>
        <v>SE-000266929</v>
      </c>
      <c r="D23782" s="1">
        <v>45917.428182870368</v>
      </c>
      <c r="E23782" s="2">
        <v>1</v>
      </c>
      <c r="F23782" s="2">
        <v>1</v>
      </c>
      <c r="G23782" s="2">
        <v>0</v>
      </c>
      <c r="H23782" s="1" t="s">
        <v>0</v>
      </c>
      <c r="I23782" s="2">
        <v>0</v>
      </c>
      <c r="J23782" s="1">
        <v>45915.378680555557</v>
      </c>
    </row>
    <row r="23783" spans="1:10" x14ac:dyDescent="0.2">
      <c r="A23783" s="4" t="s">
        <v>1</v>
      </c>
      <c r="B23783" s="3" t="str">
        <f>HYPERLINK("https://otsuka-europe-crm.veevavault.com/ui/#object/approved_document__v/V5OZ025E82TFUPI", "Spain - HCP Survey Email - June 2025")</f>
        <v>Spain - HCP Survey Email - June 2025</v>
      </c>
      <c r="C23783" s="3" t="str">
        <f>HYPERLINK("https://otsuka-europe-crm.veevavault.com/ui/#object/sent_email__v/VBLZ025E82GMT6Y", "SE-000266930")</f>
        <v>SE-000266930</v>
      </c>
      <c r="D23783" s="1">
        <v>45968.232037037036</v>
      </c>
      <c r="E23783" s="2">
        <v>1</v>
      </c>
      <c r="F23783" s="2">
        <v>4</v>
      </c>
      <c r="G23783" s="2">
        <v>0</v>
      </c>
      <c r="H23783" s="1" t="s">
        <v>0</v>
      </c>
      <c r="I23783" s="2">
        <v>0</v>
      </c>
      <c r="J23783" s="1">
        <v>45915.379745370374</v>
      </c>
    </row>
    <row r="23784" spans="1:10" x14ac:dyDescent="0.2">
      <c r="A23784" s="4" t="s">
        <v>1</v>
      </c>
      <c r="B23784" s="3" t="str">
        <f>HYPERLINK("https://otsuka-europe-crm.veevavault.com/ui/#object/approved_document__v/V5OZ025E82TFUPI", "Spain - HCP Survey Email - June 2025")</f>
        <v>Spain - HCP Survey Email - June 2025</v>
      </c>
      <c r="C23784" s="3" t="str">
        <f>HYPERLINK("https://otsuka-europe-crm.veevavault.com/ui/#object/sent_email__v/VBLZ025E82GMT6Z", "SE-000266931")</f>
        <v>SE-000266931</v>
      </c>
      <c r="D23784" s="1" t="s">
        <v>0</v>
      </c>
      <c r="E23784" s="2">
        <v>0</v>
      </c>
      <c r="F23784" s="2">
        <v>0</v>
      </c>
      <c r="G23784" s="2">
        <v>0</v>
      </c>
      <c r="H23784" s="1" t="s">
        <v>0</v>
      </c>
      <c r="I23784" s="2">
        <v>0</v>
      </c>
      <c r="J23784" s="1">
        <v>45915.377847222226</v>
      </c>
    </row>
    <row r="23785" spans="1:10" x14ac:dyDescent="0.2">
      <c r="A23785" s="4" t="s">
        <v>1</v>
      </c>
      <c r="B23785" s="3" t="str">
        <f>HYPERLINK("https://otsuka-europe-crm.veevavault.com/ui/#object/approved_document__v/V5OZ025E82TFUPI", "Spain - HCP Survey Email - June 2025")</f>
        <v>Spain - HCP Survey Email - June 2025</v>
      </c>
      <c r="C23785" s="3" t="str">
        <f>HYPERLINK("https://otsuka-europe-crm.veevavault.com/ui/#object/sent_email__v/VBLZ025E82GMT70", "SE-000266932")</f>
        <v>SE-000266932</v>
      </c>
      <c r="D23785" s="1" t="s">
        <v>0</v>
      </c>
      <c r="E23785" s="2">
        <v>0</v>
      </c>
      <c r="F23785" s="2">
        <v>0</v>
      </c>
      <c r="G23785" s="2">
        <v>0</v>
      </c>
      <c r="H23785" s="1" t="s">
        <v>0</v>
      </c>
      <c r="I23785" s="2">
        <v>0</v>
      </c>
      <c r="J23785" s="1">
        <v>45915.377442129633</v>
      </c>
    </row>
    <row r="23786" spans="1:10" x14ac:dyDescent="0.2">
      <c r="A23786" s="4" t="s">
        <v>1</v>
      </c>
      <c r="B23786" s="3" t="str">
        <f>HYPERLINK("https://otsuka-europe-crm.veevavault.com/ui/#object/approved_document__v/V5OZ025E82TFUPI", "Spain - HCP Survey Email - June 2025")</f>
        <v>Spain - HCP Survey Email - June 2025</v>
      </c>
      <c r="C23786" s="3" t="str">
        <f>HYPERLINK("https://otsuka-europe-crm.veevavault.com/ui/#object/sent_email__v/VBLZ025E82GMT71", "SE-000266933")</f>
        <v>SE-000266933</v>
      </c>
      <c r="D23786" s="1" t="s">
        <v>0</v>
      </c>
      <c r="E23786" s="2">
        <v>0</v>
      </c>
      <c r="F23786" s="2">
        <v>0</v>
      </c>
      <c r="G23786" s="2">
        <v>0</v>
      </c>
      <c r="H23786" s="1" t="s">
        <v>0</v>
      </c>
      <c r="I23786" s="2">
        <v>0</v>
      </c>
      <c r="J23786" s="1">
        <v>45915.37809027778</v>
      </c>
    </row>
    <row r="23787" spans="1:10" x14ac:dyDescent="0.2">
      <c r="A23787" s="4" t="s">
        <v>1</v>
      </c>
      <c r="B23787" s="3" t="str">
        <f>HYPERLINK("https://otsuka-europe-crm.veevavault.com/ui/#object/approved_document__v/V5OZ025E82TFUPI", "Spain - HCP Survey Email - June 2025")</f>
        <v>Spain - HCP Survey Email - June 2025</v>
      </c>
      <c r="C23787" s="3" t="str">
        <f>HYPERLINK("https://otsuka-europe-crm.veevavault.com/ui/#object/sent_email__v/VBLZ025E82GMT72", "SE-000266934")</f>
        <v>SE-000266934</v>
      </c>
      <c r="D23787" s="1">
        <v>45930.769479166665</v>
      </c>
      <c r="E23787" s="2">
        <v>1</v>
      </c>
      <c r="F23787" s="2">
        <v>4</v>
      </c>
      <c r="G23787" s="2">
        <v>0</v>
      </c>
      <c r="H23787" s="1" t="s">
        <v>0</v>
      </c>
      <c r="I23787" s="2">
        <v>0</v>
      </c>
      <c r="J23787" s="1">
        <v>45915.378888888888</v>
      </c>
    </row>
    <row r="23788" spans="1:10" x14ac:dyDescent="0.2">
      <c r="A23788" s="4" t="s">
        <v>1</v>
      </c>
      <c r="B23788" s="3" t="str">
        <f>HYPERLINK("https://otsuka-europe-crm.veevavault.com/ui/#object/approved_document__v/V5OZ025E82TFUPI", "Spain - HCP Survey Email - June 2025")</f>
        <v>Spain - HCP Survey Email - June 2025</v>
      </c>
      <c r="C23788" s="3" t="str">
        <f>HYPERLINK("https://otsuka-europe-crm.veevavault.com/ui/#object/sent_email__v/VBLZ025E82GMT73", "SE-000266935")</f>
        <v>SE-000266935</v>
      </c>
      <c r="D23788" s="1" t="s">
        <v>0</v>
      </c>
      <c r="E23788" s="2">
        <v>0</v>
      </c>
      <c r="F23788" s="2">
        <v>0</v>
      </c>
      <c r="G23788" s="2">
        <v>0</v>
      </c>
      <c r="H23788" s="1" t="s">
        <v>0</v>
      </c>
      <c r="I23788" s="2">
        <v>0</v>
      </c>
      <c r="J23788" s="1">
        <v>45915.379895833335</v>
      </c>
    </row>
    <row r="23789" spans="1:10" x14ac:dyDescent="0.2">
      <c r="A23789" s="4" t="s">
        <v>1</v>
      </c>
      <c r="B23789" s="3" t="str">
        <f>HYPERLINK("https://otsuka-europe-crm.veevavault.com/ui/#object/approved_document__v/V5OZ025E82TFUPI", "Spain - HCP Survey Email - June 2025")</f>
        <v>Spain - HCP Survey Email - June 2025</v>
      </c>
      <c r="C23789" s="3" t="str">
        <f>HYPERLINK("https://otsuka-europe-crm.veevavault.com/ui/#object/sent_email__v/VBLZ025E82GMT74", "SE-000266936")</f>
        <v>SE-000266936</v>
      </c>
      <c r="D23789" s="1" t="s">
        <v>0</v>
      </c>
      <c r="E23789" s="2">
        <v>0</v>
      </c>
      <c r="F23789" s="2">
        <v>0</v>
      </c>
      <c r="G23789" s="2">
        <v>0</v>
      </c>
      <c r="H23789" s="1" t="s">
        <v>0</v>
      </c>
      <c r="I23789" s="2">
        <v>0</v>
      </c>
      <c r="J23789" s="1">
        <v>45915.377870370372</v>
      </c>
    </row>
    <row r="23790" spans="1:10" x14ac:dyDescent="0.2">
      <c r="A23790" s="4" t="s">
        <v>1</v>
      </c>
      <c r="B23790" s="3" t="str">
        <f>HYPERLINK("https://otsuka-europe-crm.veevavault.com/ui/#object/approved_document__v/V5OZ025E82TFUPI", "Spain - HCP Survey Email - June 2025")</f>
        <v>Spain - HCP Survey Email - June 2025</v>
      </c>
      <c r="C23790" s="3" t="str">
        <f>HYPERLINK("https://otsuka-europe-crm.veevavault.com/ui/#object/sent_email__v/VBLZ025E82GMT75", "SE-000266937")</f>
        <v>SE-000266937</v>
      </c>
      <c r="D23790" s="1">
        <v>45915.766458333332</v>
      </c>
      <c r="E23790" s="2">
        <v>1</v>
      </c>
      <c r="F23790" s="2">
        <v>1</v>
      </c>
      <c r="G23790" s="2">
        <v>0</v>
      </c>
      <c r="H23790" s="1" t="s">
        <v>0</v>
      </c>
      <c r="I23790" s="2">
        <v>0</v>
      </c>
      <c r="J23790" s="1">
        <v>45915.377418981479</v>
      </c>
    </row>
    <row r="23791" spans="1:10" x14ac:dyDescent="0.2">
      <c r="A23791" s="4" t="s">
        <v>1</v>
      </c>
      <c r="B23791" s="3" t="str">
        <f>HYPERLINK("https://otsuka-europe-crm.veevavault.com/ui/#object/approved_document__v/V5OZ025E82TFUPI", "Spain - HCP Survey Email - June 2025")</f>
        <v>Spain - HCP Survey Email - June 2025</v>
      </c>
      <c r="C23791" s="3" t="str">
        <f>HYPERLINK("https://otsuka-europe-crm.veevavault.com/ui/#object/sent_email__v/VBLZ025E82GMT76", "SE-000266938")</f>
        <v>SE-000266938</v>
      </c>
      <c r="D23791" s="1">
        <v>45915.788831018515</v>
      </c>
      <c r="E23791" s="2">
        <v>1</v>
      </c>
      <c r="F23791" s="2">
        <v>2</v>
      </c>
      <c r="G23791" s="2">
        <v>1</v>
      </c>
      <c r="H23791" s="1">
        <v>45915.770416666666</v>
      </c>
      <c r="I23791" s="2">
        <v>1</v>
      </c>
      <c r="J23791" s="1">
        <v>45915.37804398148</v>
      </c>
    </row>
    <row r="23792" spans="1:10" x14ac:dyDescent="0.2">
      <c r="A23792" s="4" t="s">
        <v>1</v>
      </c>
      <c r="B23792" s="3" t="str">
        <f>HYPERLINK("https://otsuka-europe-crm.veevavault.com/ui/#object/approved_document__v/V5OZ025E82TFUPI", "Spain - HCP Survey Email - June 2025")</f>
        <v>Spain - HCP Survey Email - June 2025</v>
      </c>
      <c r="C23792" s="3" t="str">
        <f>HYPERLINK("https://otsuka-europe-crm.veevavault.com/ui/#object/sent_email__v/VBLZ025E82GMT77", "SE-000266939")</f>
        <v>SE-000266939</v>
      </c>
      <c r="D23792" s="1" t="s">
        <v>0</v>
      </c>
      <c r="E23792" s="2">
        <v>0</v>
      </c>
      <c r="F23792" s="2">
        <v>0</v>
      </c>
      <c r="G23792" s="2">
        <v>0</v>
      </c>
      <c r="H23792" s="1" t="s">
        <v>0</v>
      </c>
      <c r="I23792" s="2">
        <v>0</v>
      </c>
      <c r="J23792" s="1">
        <v>45915.378865740742</v>
      </c>
    </row>
    <row r="23793" spans="1:10" x14ac:dyDescent="0.2">
      <c r="A23793" s="4" t="s">
        <v>1</v>
      </c>
      <c r="B23793" s="3" t="str">
        <f>HYPERLINK("https://otsuka-europe-crm.veevavault.com/ui/#object/approved_document__v/V5OZ025E82TFUPI", "Spain - HCP Survey Email - June 2025")</f>
        <v>Spain - HCP Survey Email - June 2025</v>
      </c>
      <c r="C23793" s="3" t="str">
        <f>HYPERLINK("https://otsuka-europe-crm.veevavault.com/ui/#object/sent_email__v/VBLZ025E82GMT78", "SE-000266940")</f>
        <v>SE-000266940</v>
      </c>
      <c r="D23793" s="1" t="s">
        <v>0</v>
      </c>
      <c r="E23793" s="2">
        <v>0</v>
      </c>
      <c r="F23793" s="2">
        <v>0</v>
      </c>
      <c r="G23793" s="2">
        <v>0</v>
      </c>
      <c r="H23793" s="1" t="s">
        <v>0</v>
      </c>
      <c r="I23793" s="2">
        <v>0</v>
      </c>
      <c r="J23793" s="1">
        <v>45915.379930555559</v>
      </c>
    </row>
    <row r="23794" spans="1:10" x14ac:dyDescent="0.2">
      <c r="A23794" s="4" t="s">
        <v>1</v>
      </c>
      <c r="B23794" s="3" t="str">
        <f>HYPERLINK("https://otsuka-europe-crm.veevavault.com/ui/#object/approved_document__v/V5OZ025E82TFUPI", "Spain - HCP Survey Email - June 2025")</f>
        <v>Spain - HCP Survey Email - June 2025</v>
      </c>
      <c r="C23794" s="3" t="str">
        <f>HYPERLINK("https://otsuka-europe-crm.veevavault.com/ui/#object/sent_email__v/VBLZ025E82GMT79", "SE-000266941")</f>
        <v>SE-000266941</v>
      </c>
      <c r="D23794" s="1" t="s">
        <v>0</v>
      </c>
      <c r="E23794" s="2">
        <v>0</v>
      </c>
      <c r="F23794" s="2">
        <v>0</v>
      </c>
      <c r="G23794" s="2">
        <v>0</v>
      </c>
      <c r="H23794" s="1" t="s">
        <v>0</v>
      </c>
      <c r="I23794" s="2">
        <v>0</v>
      </c>
      <c r="J23794" s="1">
        <v>45915.37945601852</v>
      </c>
    </row>
    <row r="23795" spans="1:10" x14ac:dyDescent="0.2">
      <c r="A23795" s="4" t="s">
        <v>1</v>
      </c>
      <c r="B23795" s="3" t="str">
        <f>HYPERLINK("https://otsuka-europe-crm.veevavault.com/ui/#object/approved_document__v/V5OZ025E82TFUPI", "Spain - HCP Survey Email - June 2025")</f>
        <v>Spain - HCP Survey Email - June 2025</v>
      </c>
      <c r="C23795" s="3" t="str">
        <f>HYPERLINK("https://otsuka-europe-crm.veevavault.com/ui/#object/sent_email__v/VBLZ025E82GMT7A", "SE-000266942")</f>
        <v>SE-000266942</v>
      </c>
      <c r="D23795" s="1">
        <v>45915.449884259258</v>
      </c>
      <c r="E23795" s="2">
        <v>1</v>
      </c>
      <c r="F23795" s="2">
        <v>1</v>
      </c>
      <c r="G23795" s="2">
        <v>1</v>
      </c>
      <c r="H23795" s="1">
        <v>45915.449884259258</v>
      </c>
      <c r="I23795" s="2">
        <v>1</v>
      </c>
      <c r="J23795" s="1">
        <v>45915.377650462964</v>
      </c>
    </row>
    <row r="23796" spans="1:10" x14ac:dyDescent="0.2">
      <c r="A23796" s="4" t="s">
        <v>1</v>
      </c>
      <c r="B23796" s="3" t="str">
        <f>HYPERLINK("https://otsuka-europe-crm.veevavault.com/ui/#object/approved_document__v/V5OZ025E82TFUPI", "Spain - HCP Survey Email - June 2025")</f>
        <v>Spain - HCP Survey Email - June 2025</v>
      </c>
      <c r="C23796" s="3" t="str">
        <f>HYPERLINK("https://otsuka-europe-crm.veevavault.com/ui/#object/sent_email__v/VBLZ025E82GMT7B", "SE-000266943")</f>
        <v>SE-000266943</v>
      </c>
      <c r="D23796" s="1">
        <v>45924.763159722221</v>
      </c>
      <c r="E23796" s="2">
        <v>1</v>
      </c>
      <c r="F23796" s="2">
        <v>5</v>
      </c>
      <c r="G23796" s="2">
        <v>0</v>
      </c>
      <c r="H23796" s="1" t="s">
        <v>0</v>
      </c>
      <c r="I23796" s="2">
        <v>0</v>
      </c>
      <c r="J23796" s="1">
        <v>45915.37841435185</v>
      </c>
    </row>
    <row r="23797" spans="1:10" x14ac:dyDescent="0.2">
      <c r="A23797" s="4" t="s">
        <v>1</v>
      </c>
      <c r="B23797" s="3" t="str">
        <f>HYPERLINK("https://otsuka-europe-crm.veevavault.com/ui/#object/approved_document__v/V5OZ025E82TFUPI", "Spain - HCP Survey Email - June 2025")</f>
        <v>Spain - HCP Survey Email - June 2025</v>
      </c>
      <c r="C23797" s="3" t="str">
        <f>HYPERLINK("https://otsuka-europe-crm.veevavault.com/ui/#object/sent_email__v/VBLZ025E82GMT7C", "SE-000266944")</f>
        <v>SE-000266944</v>
      </c>
      <c r="D23797" s="1" t="s">
        <v>0</v>
      </c>
      <c r="E23797" s="2">
        <v>0</v>
      </c>
      <c r="F23797" s="2">
        <v>0</v>
      </c>
      <c r="G23797" s="2">
        <v>0</v>
      </c>
      <c r="H23797" s="1" t="s">
        <v>0</v>
      </c>
      <c r="I23797" s="2">
        <v>0</v>
      </c>
      <c r="J23797" s="1">
        <v>45915.378078703703</v>
      </c>
    </row>
    <row r="23798" spans="1:10" x14ac:dyDescent="0.2">
      <c r="A23798" s="4" t="s">
        <v>1</v>
      </c>
      <c r="B23798" s="3" t="str">
        <f>HYPERLINK("https://otsuka-europe-crm.veevavault.com/ui/#object/approved_document__v/V5OZ025E82TFUPI", "Spain - HCP Survey Email - June 2025")</f>
        <v>Spain - HCP Survey Email - June 2025</v>
      </c>
      <c r="C23798" s="3" t="str">
        <f>HYPERLINK("https://otsuka-europe-crm.veevavault.com/ui/#object/sent_email__v/VBLZ025E82GMT7D", "SE-000266945")</f>
        <v>SE-000266945</v>
      </c>
      <c r="D23798" s="1">
        <v>45953.74013888889</v>
      </c>
      <c r="E23798" s="2">
        <v>1</v>
      </c>
      <c r="F23798" s="2">
        <v>2</v>
      </c>
      <c r="G23798" s="2">
        <v>1</v>
      </c>
      <c r="H23798" s="1">
        <v>45918.454027777778</v>
      </c>
      <c r="I23798" s="2">
        <v>1</v>
      </c>
      <c r="J23798" s="1">
        <v>45915.378831018519</v>
      </c>
    </row>
    <row r="23799" spans="1:10" x14ac:dyDescent="0.2">
      <c r="A23799" s="4" t="s">
        <v>1</v>
      </c>
      <c r="B23799" s="3" t="str">
        <f>HYPERLINK("https://otsuka-europe-crm.veevavault.com/ui/#object/approved_document__v/V5OZ025E82TFUPI", "Spain - HCP Survey Email - June 2025")</f>
        <v>Spain - HCP Survey Email - June 2025</v>
      </c>
      <c r="C23799" s="3" t="str">
        <f>HYPERLINK("https://otsuka-europe-crm.veevavault.com/ui/#object/sent_email__v/VBLZ025E82GMT7E", "SE-000266946")</f>
        <v>SE-000266946</v>
      </c>
      <c r="D23799" s="1">
        <v>45950.737986111111</v>
      </c>
      <c r="E23799" s="2">
        <v>1</v>
      </c>
      <c r="F23799" s="2">
        <v>2</v>
      </c>
      <c r="G23799" s="2">
        <v>0</v>
      </c>
      <c r="H23799" s="1" t="s">
        <v>0</v>
      </c>
      <c r="I23799" s="2">
        <v>0</v>
      </c>
      <c r="J23799" s="1">
        <v>45915.379606481481</v>
      </c>
    </row>
    <row r="23800" spans="1:10" x14ac:dyDescent="0.2">
      <c r="A23800" s="4" t="s">
        <v>1</v>
      </c>
      <c r="B23800" s="3" t="str">
        <f>HYPERLINK("https://otsuka-europe-crm.veevavault.com/ui/#object/approved_document__v/V5OZ025E82TFUPI", "Spain - HCP Survey Email - June 2025")</f>
        <v>Spain - HCP Survey Email - June 2025</v>
      </c>
      <c r="C23800" s="3" t="str">
        <f>HYPERLINK("https://otsuka-europe-crm.veevavault.com/ui/#object/sent_email__v/VBLZ025E82GMT7F", "SE-000266947")</f>
        <v>SE-000266947</v>
      </c>
      <c r="D23800" s="1">
        <v>45915.387083333335</v>
      </c>
      <c r="E23800" s="2">
        <v>1</v>
      </c>
      <c r="F23800" s="2">
        <v>1</v>
      </c>
      <c r="G23800" s="2">
        <v>0</v>
      </c>
      <c r="H23800" s="1" t="s">
        <v>0</v>
      </c>
      <c r="I23800" s="2">
        <v>0</v>
      </c>
      <c r="J23800" s="1">
        <v>45915.37777777778</v>
      </c>
    </row>
    <row r="23801" spans="1:10" x14ac:dyDescent="0.2">
      <c r="A23801" s="4" t="s">
        <v>1</v>
      </c>
      <c r="B23801" s="3" t="str">
        <f>HYPERLINK("https://otsuka-europe-crm.veevavault.com/ui/#object/approved_document__v/V5OZ025E82TFUPI", "Spain - HCP Survey Email - June 2025")</f>
        <v>Spain - HCP Survey Email - June 2025</v>
      </c>
      <c r="C23801" s="3" t="str">
        <f>HYPERLINK("https://otsuka-europe-crm.veevavault.com/ui/#object/sent_email__v/VBLZ025E82GMT7G", "SE-000266948")</f>
        <v>SE-000266948</v>
      </c>
      <c r="D23801" s="1" t="s">
        <v>0</v>
      </c>
      <c r="E23801" s="2">
        <v>0</v>
      </c>
      <c r="F23801" s="2">
        <v>0</v>
      </c>
      <c r="G23801" s="2">
        <v>0</v>
      </c>
      <c r="H23801" s="1" t="s">
        <v>0</v>
      </c>
      <c r="I23801" s="2">
        <v>0</v>
      </c>
      <c r="J23801" s="1">
        <v>45915.377442129633</v>
      </c>
    </row>
    <row r="23802" spans="1:10" x14ac:dyDescent="0.2">
      <c r="A23802" s="4" t="s">
        <v>1</v>
      </c>
      <c r="B23802" s="3" t="str">
        <f>HYPERLINK("https://otsuka-europe-crm.veevavault.com/ui/#object/approved_document__v/V5OZ025E82TFUPI", "Spain - HCP Survey Email - June 2025")</f>
        <v>Spain - HCP Survey Email - June 2025</v>
      </c>
      <c r="C23802" s="3" t="str">
        <f>HYPERLINK("https://otsuka-europe-crm.veevavault.com/ui/#object/sent_email__v/VBLZ025E82GMT7H", "SE-000266949")</f>
        <v>SE-000266949</v>
      </c>
      <c r="D23802" s="1">
        <v>45924.573888888888</v>
      </c>
      <c r="E23802" s="2">
        <v>1</v>
      </c>
      <c r="F23802" s="2">
        <v>1</v>
      </c>
      <c r="G23802" s="2">
        <v>0</v>
      </c>
      <c r="H23802" s="1" t="s">
        <v>0</v>
      </c>
      <c r="I23802" s="2">
        <v>0</v>
      </c>
      <c r="J23802" s="1">
        <v>45915.378101851849</v>
      </c>
    </row>
    <row r="23803" spans="1:10" x14ac:dyDescent="0.2">
      <c r="A23803" s="4" t="s">
        <v>1</v>
      </c>
      <c r="B23803" s="3" t="str">
        <f>HYPERLINK("https://otsuka-europe-crm.veevavault.com/ui/#object/approved_document__v/V5OZ025E82TFUPI", "Spain - HCP Survey Email - June 2025")</f>
        <v>Spain - HCP Survey Email - June 2025</v>
      </c>
      <c r="C23803" s="3" t="str">
        <f>HYPERLINK("https://otsuka-europe-crm.veevavault.com/ui/#object/sent_email__v/VBLZ025E82GMT7I", "SE-000266950")</f>
        <v>SE-000266950</v>
      </c>
      <c r="D23803" s="1" t="s">
        <v>0</v>
      </c>
      <c r="E23803" s="2">
        <v>0</v>
      </c>
      <c r="F23803" s="2">
        <v>0</v>
      </c>
      <c r="G23803" s="2">
        <v>0</v>
      </c>
      <c r="H23803" s="1" t="s">
        <v>0</v>
      </c>
      <c r="I23803" s="2">
        <v>0</v>
      </c>
      <c r="J23803" s="1">
        <v>45915.378854166665</v>
      </c>
    </row>
    <row r="23804" spans="1:10" x14ac:dyDescent="0.2">
      <c r="A23804" s="4" t="s">
        <v>1</v>
      </c>
      <c r="B23804" s="3" t="str">
        <f>HYPERLINK("https://otsuka-europe-crm.veevavault.com/ui/#object/approved_document__v/V5OZ025E82TFUPI", "Spain - HCP Survey Email - June 2025")</f>
        <v>Spain - HCP Survey Email - June 2025</v>
      </c>
      <c r="C23804" s="3" t="str">
        <f>HYPERLINK("https://otsuka-europe-crm.veevavault.com/ui/#object/sent_email__v/VBLZ025E82GMT7J", "SE-000266951")</f>
        <v>SE-000266951</v>
      </c>
      <c r="D23804" s="1">
        <v>45915.518067129633</v>
      </c>
      <c r="E23804" s="2">
        <v>1</v>
      </c>
      <c r="F23804" s="2">
        <v>2</v>
      </c>
      <c r="G23804" s="2">
        <v>0</v>
      </c>
      <c r="H23804" s="1" t="s">
        <v>0</v>
      </c>
      <c r="I23804" s="2">
        <v>0</v>
      </c>
      <c r="J23804" s="1">
        <v>45915.379745370374</v>
      </c>
    </row>
    <row r="23805" spans="1:10" x14ac:dyDescent="0.2">
      <c r="A23805" s="4" t="s">
        <v>1</v>
      </c>
      <c r="B23805" s="3" t="str">
        <f>HYPERLINK("https://otsuka-europe-crm.veevavault.com/ui/#object/approved_document__v/V5OZ025E82TFUPI", "Spain - HCP Survey Email - June 2025")</f>
        <v>Spain - HCP Survey Email - June 2025</v>
      </c>
      <c r="C23805" s="3" t="str">
        <f>HYPERLINK("https://otsuka-europe-crm.veevavault.com/ui/#object/sent_email__v/VBLZ025E82GMT7K", "SE-000266952")</f>
        <v>SE-000266952</v>
      </c>
      <c r="D23805" s="1">
        <v>45915.712696759256</v>
      </c>
      <c r="E23805" s="2">
        <v>1</v>
      </c>
      <c r="F23805" s="2">
        <v>3</v>
      </c>
      <c r="G23805" s="2">
        <v>0</v>
      </c>
      <c r="H23805" s="1" t="s">
        <v>0</v>
      </c>
      <c r="I23805" s="2">
        <v>0</v>
      </c>
      <c r="J23805" s="1">
        <v>45915.379467592589</v>
      </c>
    </row>
    <row r="23806" spans="1:10" x14ac:dyDescent="0.2">
      <c r="A23806" s="4" t="s">
        <v>1</v>
      </c>
      <c r="B23806" s="3" t="str">
        <f>HYPERLINK("https://otsuka-europe-crm.veevavault.com/ui/#object/approved_document__v/V5OZ025E82TFUPI", "Spain - HCP Survey Email - June 2025")</f>
        <v>Spain - HCP Survey Email - June 2025</v>
      </c>
      <c r="C23806" s="3" t="str">
        <f>HYPERLINK("https://otsuka-europe-crm.veevavault.com/ui/#object/sent_email__v/VBLZ025E82GMT7L", "SE-000266953")</f>
        <v>SE-000266953</v>
      </c>
      <c r="D23806" s="1" t="s">
        <v>0</v>
      </c>
      <c r="E23806" s="2">
        <v>0</v>
      </c>
      <c r="F23806" s="2">
        <v>0</v>
      </c>
      <c r="G23806" s="2">
        <v>0</v>
      </c>
      <c r="H23806" s="1" t="s">
        <v>0</v>
      </c>
      <c r="I23806" s="2">
        <v>0</v>
      </c>
      <c r="J23806" s="1">
        <v>45915.377743055556</v>
      </c>
    </row>
    <row r="23807" spans="1:10" x14ac:dyDescent="0.2">
      <c r="A23807" s="4" t="s">
        <v>1</v>
      </c>
      <c r="B23807" s="3" t="str">
        <f>HYPERLINK("https://otsuka-europe-crm.veevavault.com/ui/#object/approved_document__v/V5OZ025E82TFUPI", "Spain - HCP Survey Email - June 2025")</f>
        <v>Spain - HCP Survey Email - June 2025</v>
      </c>
      <c r="C23807" s="3" t="str">
        <f>HYPERLINK("https://otsuka-europe-crm.veevavault.com/ui/#object/sent_email__v/VBLZ025E82GMT7M", "SE-000266954")</f>
        <v>SE-000266954</v>
      </c>
      <c r="D23807" s="1">
        <v>45916.677893518521</v>
      </c>
      <c r="E23807" s="2">
        <v>1</v>
      </c>
      <c r="F23807" s="2">
        <v>1</v>
      </c>
      <c r="G23807" s="2">
        <v>1</v>
      </c>
      <c r="H23807" s="1">
        <v>45916.67800925926</v>
      </c>
      <c r="I23807" s="2">
        <v>2</v>
      </c>
      <c r="J23807" s="1">
        <v>45915.378472222219</v>
      </c>
    </row>
    <row r="23808" spans="1:10" x14ac:dyDescent="0.2">
      <c r="A23808" s="4" t="s">
        <v>1</v>
      </c>
      <c r="B23808" s="3" t="str">
        <f>HYPERLINK("https://otsuka-europe-crm.veevavault.com/ui/#object/approved_document__v/V5OZ025E82TFUPI", "Spain - HCP Survey Email - June 2025")</f>
        <v>Spain - HCP Survey Email - June 2025</v>
      </c>
      <c r="C23808" s="3" t="str">
        <f>HYPERLINK("https://otsuka-europe-crm.veevavault.com/ui/#object/sent_email__v/VBLZ025E82GMT7N", "SE-000266955")</f>
        <v>SE-000266955</v>
      </c>
      <c r="D23808" s="1">
        <v>45915.50341435185</v>
      </c>
      <c r="E23808" s="2">
        <v>1</v>
      </c>
      <c r="F23808" s="2">
        <v>1</v>
      </c>
      <c r="G23808" s="2">
        <v>0</v>
      </c>
      <c r="H23808" s="1" t="s">
        <v>0</v>
      </c>
      <c r="I23808" s="2">
        <v>0</v>
      </c>
      <c r="J23808" s="1">
        <v>45915.378020833334</v>
      </c>
    </row>
    <row r="23809" spans="1:10" x14ac:dyDescent="0.2">
      <c r="A23809" s="4" t="s">
        <v>1</v>
      </c>
      <c r="B23809" s="3" t="str">
        <f>HYPERLINK("https://otsuka-europe-crm.veevavault.com/ui/#object/approved_document__v/V5OZ025E82TFUPI", "Spain - HCP Survey Email - June 2025")</f>
        <v>Spain - HCP Survey Email - June 2025</v>
      </c>
      <c r="C23809" s="3" t="str">
        <f>HYPERLINK("https://otsuka-europe-crm.veevavault.com/ui/#object/sent_email__v/VBLZ025E82GMT7O", "SE-000266956")</f>
        <v>SE-000266956</v>
      </c>
      <c r="D23809" s="1">
        <v>45915.411863425928</v>
      </c>
      <c r="E23809" s="2">
        <v>1</v>
      </c>
      <c r="F23809" s="2">
        <v>1</v>
      </c>
      <c r="G23809" s="2">
        <v>0</v>
      </c>
      <c r="H23809" s="1" t="s">
        <v>0</v>
      </c>
      <c r="I23809" s="2">
        <v>0</v>
      </c>
      <c r="J23809" s="1">
        <v>45915.378819444442</v>
      </c>
    </row>
    <row r="23810" spans="1:10" x14ac:dyDescent="0.2">
      <c r="A23810" s="4" t="s">
        <v>1</v>
      </c>
      <c r="B23810" s="3" t="str">
        <f>HYPERLINK("https://otsuka-europe-crm.veevavault.com/ui/#object/approved_document__v/V5OZ025E82TFUPI", "Spain - HCP Survey Email - June 2025")</f>
        <v>Spain - HCP Survey Email - June 2025</v>
      </c>
      <c r="C23810" s="3" t="str">
        <f>HYPERLINK("https://otsuka-europe-crm.veevavault.com/ui/#object/sent_email__v/VBLZ025E82GMT7P", "SE-000266957")</f>
        <v>SE-000266957</v>
      </c>
      <c r="D23810" s="1">
        <v>45915.539953703701</v>
      </c>
      <c r="E23810" s="2">
        <v>1</v>
      </c>
      <c r="F23810" s="2">
        <v>1</v>
      </c>
      <c r="G23810" s="2">
        <v>0</v>
      </c>
      <c r="H23810" s="1" t="s">
        <v>0</v>
      </c>
      <c r="I23810" s="2">
        <v>0</v>
      </c>
      <c r="J23810" s="1">
        <v>45915.379467592589</v>
      </c>
    </row>
    <row r="23811" spans="1:10" x14ac:dyDescent="0.2">
      <c r="A23811" s="4" t="s">
        <v>1</v>
      </c>
      <c r="B23811" s="3" t="str">
        <f>HYPERLINK("https://otsuka-europe-crm.veevavault.com/ui/#object/approved_document__v/V5OZ025E82TFUPI", "Spain - HCP Survey Email - June 2025")</f>
        <v>Spain - HCP Survey Email - June 2025</v>
      </c>
      <c r="C23811" s="3" t="str">
        <f>HYPERLINK("https://otsuka-europe-crm.veevavault.com/ui/#object/sent_email__v/VBLZ025E82GMT7Q", "SE-000266958")</f>
        <v>SE-000266958</v>
      </c>
      <c r="D23811" s="1" t="s">
        <v>0</v>
      </c>
      <c r="E23811" s="2">
        <v>0</v>
      </c>
      <c r="F23811" s="2">
        <v>0</v>
      </c>
      <c r="G23811" s="2">
        <v>0</v>
      </c>
      <c r="H23811" s="1" t="s">
        <v>0</v>
      </c>
      <c r="I23811" s="2">
        <v>0</v>
      </c>
      <c r="J23811" s="1">
        <v>45915.377789351849</v>
      </c>
    </row>
    <row r="23812" spans="1:10" x14ac:dyDescent="0.2">
      <c r="A23812" s="4" t="s">
        <v>1</v>
      </c>
      <c r="B23812" s="3" t="str">
        <f>HYPERLINK("https://otsuka-europe-crm.veevavault.com/ui/#object/approved_document__v/V5OZ025E82TFUPI", "Spain - HCP Survey Email - June 2025")</f>
        <v>Spain - HCP Survey Email - June 2025</v>
      </c>
      <c r="C23812" s="3" t="str">
        <f>HYPERLINK("https://otsuka-europe-crm.veevavault.com/ui/#object/sent_email__v/VBLZ025E82GMT7R", "SE-000266959")</f>
        <v>SE-000266959</v>
      </c>
      <c r="D23812" s="1" t="s">
        <v>0</v>
      </c>
      <c r="E23812" s="2">
        <v>0</v>
      </c>
      <c r="F23812" s="2">
        <v>0</v>
      </c>
      <c r="G23812" s="2">
        <v>0</v>
      </c>
      <c r="H23812" s="1" t="s">
        <v>0</v>
      </c>
      <c r="I23812" s="2">
        <v>0</v>
      </c>
      <c r="J23812" s="1">
        <v>45915.377372685187</v>
      </c>
    </row>
    <row r="23813" spans="1:10" x14ac:dyDescent="0.2">
      <c r="A23813" s="4" t="s">
        <v>1</v>
      </c>
      <c r="B23813" s="3" t="str">
        <f>HYPERLINK("https://otsuka-europe-crm.veevavault.com/ui/#object/approved_document__v/V5OZ025E82TFUPI", "Spain - HCP Survey Email - June 2025")</f>
        <v>Spain - HCP Survey Email - June 2025</v>
      </c>
      <c r="C23813" s="3" t="str">
        <f>HYPERLINK("https://otsuka-europe-crm.veevavault.com/ui/#object/sent_email__v/VBLZ025E82GMT7S", "SE-000266960")</f>
        <v>SE-000266960</v>
      </c>
      <c r="D23813" s="1">
        <v>45923.772858796299</v>
      </c>
      <c r="E23813" s="2">
        <v>1</v>
      </c>
      <c r="F23813" s="2">
        <v>4</v>
      </c>
      <c r="G23813" s="2">
        <v>0</v>
      </c>
      <c r="H23813" s="1" t="s">
        <v>0</v>
      </c>
      <c r="I23813" s="2">
        <v>0</v>
      </c>
      <c r="J23813" s="1">
        <v>45915.37809027778</v>
      </c>
    </row>
    <row r="23814" spans="1:10" x14ac:dyDescent="0.2">
      <c r="A23814" s="4" t="s">
        <v>1</v>
      </c>
      <c r="B23814" s="3" t="str">
        <f>HYPERLINK("https://otsuka-europe-crm.veevavault.com/ui/#object/approved_document__v/V5OZ025E82TFUPI", "Spain - HCP Survey Email - June 2025")</f>
        <v>Spain - HCP Survey Email - June 2025</v>
      </c>
      <c r="C23814" s="3" t="str">
        <f>HYPERLINK("https://otsuka-europe-crm.veevavault.com/ui/#object/sent_email__v/VBLZ025E82GMT7T", "SE-000266961")</f>
        <v>SE-000266961</v>
      </c>
      <c r="D23814" s="1">
        <v>45916.373136574075</v>
      </c>
      <c r="E23814" s="2">
        <v>1</v>
      </c>
      <c r="F23814" s="2">
        <v>2</v>
      </c>
      <c r="G23814" s="2">
        <v>1</v>
      </c>
      <c r="H23814" s="1">
        <v>45916.373240740744</v>
      </c>
      <c r="I23814" s="2">
        <v>1</v>
      </c>
      <c r="J23814" s="1">
        <v>45915.378888888888</v>
      </c>
    </row>
    <row r="23815" spans="1:10" x14ac:dyDescent="0.2">
      <c r="A23815" s="4" t="s">
        <v>1</v>
      </c>
      <c r="B23815" s="3" t="str">
        <f>HYPERLINK("https://otsuka-europe-crm.veevavault.com/ui/#object/approved_document__v/V5OZ025E82TFUPI", "Spain - HCP Survey Email - June 2025")</f>
        <v>Spain - HCP Survey Email - June 2025</v>
      </c>
      <c r="C23815" s="3" t="str">
        <f>HYPERLINK("https://otsuka-europe-crm.veevavault.com/ui/#object/sent_email__v/VBLZ025E82GMT7U", "SE-000266962")</f>
        <v>SE-000266962</v>
      </c>
      <c r="D23815" s="1">
        <v>45916.37909722222</v>
      </c>
      <c r="E23815" s="2">
        <v>1</v>
      </c>
      <c r="F23815" s="2">
        <v>1</v>
      </c>
      <c r="G23815" s="2">
        <v>1</v>
      </c>
      <c r="H23815" s="1">
        <v>45916.37909722222</v>
      </c>
      <c r="I23815" s="2">
        <v>1</v>
      </c>
      <c r="J23815" s="1">
        <v>45915.379884259259</v>
      </c>
    </row>
    <row r="23816" spans="1:10" x14ac:dyDescent="0.2">
      <c r="A23816" s="4" t="s">
        <v>1</v>
      </c>
      <c r="B23816" s="3" t="str">
        <f>HYPERLINK("https://otsuka-europe-crm.veevavault.com/ui/#object/approved_document__v/V5OZ025E82TFUPI", "Spain - HCP Survey Email - June 2025")</f>
        <v>Spain - HCP Survey Email - June 2025</v>
      </c>
      <c r="C23816" s="3" t="str">
        <f>HYPERLINK("https://otsuka-europe-crm.veevavault.com/ui/#object/sent_email__v/VBLZ025E82GMT7V", "SE-000266963")</f>
        <v>SE-000266963</v>
      </c>
      <c r="D23816" s="1">
        <v>45915.380555555559</v>
      </c>
      <c r="E23816" s="2">
        <v>1</v>
      </c>
      <c r="F23816" s="2">
        <v>1</v>
      </c>
      <c r="G23816" s="2">
        <v>0</v>
      </c>
      <c r="H23816" s="1" t="s">
        <v>0</v>
      </c>
      <c r="I23816" s="2">
        <v>0</v>
      </c>
      <c r="J23816" s="1">
        <v>45915.379502314812</v>
      </c>
    </row>
    <row r="23817" spans="1:10" x14ac:dyDescent="0.2">
      <c r="A23817" s="4" t="s">
        <v>1</v>
      </c>
      <c r="B23817" s="3" t="str">
        <f>HYPERLINK("https://otsuka-europe-crm.veevavault.com/ui/#object/approved_document__v/V5OZ025E82TFUPI", "Spain - HCP Survey Email - June 2025")</f>
        <v>Spain - HCP Survey Email - June 2025</v>
      </c>
      <c r="C23817" s="3" t="str">
        <f>HYPERLINK("https://otsuka-europe-crm.veevavault.com/ui/#object/sent_email__v/VBLZ025E82GMT7W", "SE-000266964")</f>
        <v>SE-000266964</v>
      </c>
      <c r="D23817" s="1" t="s">
        <v>0</v>
      </c>
      <c r="E23817" s="2">
        <v>0</v>
      </c>
      <c r="F23817" s="2">
        <v>0</v>
      </c>
      <c r="G23817" s="2">
        <v>0</v>
      </c>
      <c r="H23817" s="1" t="s">
        <v>0</v>
      </c>
      <c r="I23817" s="2">
        <v>0</v>
      </c>
      <c r="J23817" s="1">
        <v>45915.377754629626</v>
      </c>
    </row>
    <row r="23818" spans="1:10" x14ac:dyDescent="0.2">
      <c r="A23818" s="4" t="s">
        <v>1</v>
      </c>
      <c r="B23818" s="3" t="str">
        <f>HYPERLINK("https://otsuka-europe-crm.veevavault.com/ui/#object/approved_document__v/V5OZ025E82TFUPI", "Spain - HCP Survey Email - June 2025")</f>
        <v>Spain - HCP Survey Email - June 2025</v>
      </c>
      <c r="C23818" s="3" t="str">
        <f>HYPERLINK("https://otsuka-europe-crm.veevavault.com/ui/#object/sent_email__v/VBLZ025E82GMT7X", "SE-000266965")</f>
        <v>SE-000266965</v>
      </c>
      <c r="D23818" s="1" t="s">
        <v>0</v>
      </c>
      <c r="E23818" s="2">
        <v>0</v>
      </c>
      <c r="F23818" s="2">
        <v>0</v>
      </c>
      <c r="G23818" s="2">
        <v>0</v>
      </c>
      <c r="H23818" s="1" t="s">
        <v>0</v>
      </c>
      <c r="I23818" s="2">
        <v>0</v>
      </c>
      <c r="J23818" s="1">
        <v>45915.378460648149</v>
      </c>
    </row>
    <row r="23819" spans="1:10" x14ac:dyDescent="0.2">
      <c r="A23819" s="4" t="s">
        <v>1</v>
      </c>
      <c r="B23819" s="3" t="str">
        <f>HYPERLINK("https://otsuka-europe-crm.veevavault.com/ui/#object/approved_document__v/V5OZ025E82TFUPI", "Spain - HCP Survey Email - June 2025")</f>
        <v>Spain - HCP Survey Email - June 2025</v>
      </c>
      <c r="C23819" s="3" t="str">
        <f>HYPERLINK("https://otsuka-europe-crm.veevavault.com/ui/#object/sent_email__v/VBLZ025E82GMT7Y", "SE-000266966")</f>
        <v>SE-000266966</v>
      </c>
      <c r="D23819" s="1">
        <v>45915.67087962963</v>
      </c>
      <c r="E23819" s="2">
        <v>1</v>
      </c>
      <c r="F23819" s="2">
        <v>1</v>
      </c>
      <c r="G23819" s="2">
        <v>0</v>
      </c>
      <c r="H23819" s="1" t="s">
        <v>0</v>
      </c>
      <c r="I23819" s="2">
        <v>0</v>
      </c>
      <c r="J23819" s="1">
        <v>45915.378009259257</v>
      </c>
    </row>
    <row r="23820" spans="1:10" x14ac:dyDescent="0.2">
      <c r="A23820" s="4" t="s">
        <v>1</v>
      </c>
      <c r="B23820" s="3" t="str">
        <f>HYPERLINK("https://otsuka-europe-crm.veevavault.com/ui/#object/approved_document__v/V5OZ025E82TFUPI", "Spain - HCP Survey Email - June 2025")</f>
        <v>Spain - HCP Survey Email - June 2025</v>
      </c>
      <c r="C23820" s="3" t="str">
        <f>HYPERLINK("https://otsuka-europe-crm.veevavault.com/ui/#object/sent_email__v/VBLZ025E82GMT7Z", "SE-000266967")</f>
        <v>SE-000266967</v>
      </c>
      <c r="D23820" s="1">
        <v>45935.233032407406</v>
      </c>
      <c r="E23820" s="2">
        <v>1</v>
      </c>
      <c r="F23820" s="2">
        <v>2</v>
      </c>
      <c r="G23820" s="2">
        <v>0</v>
      </c>
      <c r="H23820" s="1" t="s">
        <v>0</v>
      </c>
      <c r="I23820" s="2">
        <v>0</v>
      </c>
      <c r="J23820" s="1">
        <v>45915.378900462965</v>
      </c>
    </row>
    <row r="23821" spans="1:10" x14ac:dyDescent="0.2">
      <c r="A23821" s="4" t="s">
        <v>1</v>
      </c>
      <c r="B23821" s="3" t="str">
        <f>HYPERLINK("https://otsuka-europe-crm.veevavault.com/ui/#object/approved_document__v/V5OZ025E82TFUPI", "Spain - HCP Survey Email - June 2025")</f>
        <v>Spain - HCP Survey Email - June 2025</v>
      </c>
      <c r="C23821" s="3" t="str">
        <f>HYPERLINK("https://otsuka-europe-crm.veevavault.com/ui/#object/sent_email__v/VBLZ025E82GMT80", "SE-000266968")</f>
        <v>SE-000266968</v>
      </c>
      <c r="D23821" s="1" t="s">
        <v>0</v>
      </c>
      <c r="E23821" s="2">
        <v>0</v>
      </c>
      <c r="F23821" s="2">
        <v>0</v>
      </c>
      <c r="G23821" s="2">
        <v>0</v>
      </c>
      <c r="H23821" s="1" t="s">
        <v>0</v>
      </c>
      <c r="I23821" s="2">
        <v>0</v>
      </c>
      <c r="J23821" s="1">
        <v>45915.37976851852</v>
      </c>
    </row>
    <row r="23822" spans="1:10" x14ac:dyDescent="0.2">
      <c r="A23822" s="4" t="s">
        <v>1</v>
      </c>
      <c r="B23822" s="3" t="str">
        <f>HYPERLINK("https://otsuka-europe-crm.veevavault.com/ui/#object/approved_document__v/V5OZ025E82TFUPI", "Spain - HCP Survey Email - June 2025")</f>
        <v>Spain - HCP Survey Email - June 2025</v>
      </c>
      <c r="C23822" s="3" t="str">
        <f>HYPERLINK("https://otsuka-europe-crm.veevavault.com/ui/#object/sent_email__v/VBLZ025E82GMT81", "SE-000266969")</f>
        <v>SE-000266969</v>
      </c>
      <c r="D23822" s="1">
        <v>45915.386979166666</v>
      </c>
      <c r="E23822" s="2">
        <v>1</v>
      </c>
      <c r="F23822" s="2">
        <v>1</v>
      </c>
      <c r="G23822" s="2">
        <v>1</v>
      </c>
      <c r="H23822" s="1">
        <v>45915.386979166666</v>
      </c>
      <c r="I23822" s="2">
        <v>1</v>
      </c>
      <c r="J23822" s="1">
        <v>45915.377858796295</v>
      </c>
    </row>
    <row r="23823" spans="1:10" x14ac:dyDescent="0.2">
      <c r="A23823" s="4" t="s">
        <v>1</v>
      </c>
      <c r="B23823" s="3" t="str">
        <f>HYPERLINK("https://otsuka-europe-crm.veevavault.com/ui/#object/approved_document__v/V5OZ025E82TFUPI", "Spain - HCP Survey Email - June 2025")</f>
        <v>Spain - HCP Survey Email - June 2025</v>
      </c>
      <c r="C23823" s="3" t="str">
        <f>HYPERLINK("https://otsuka-europe-crm.veevavault.com/ui/#object/sent_email__v/VBLZ025E82GMT82", "SE-000266970")</f>
        <v>SE-000266970</v>
      </c>
      <c r="D23823" s="1">
        <v>45915.895648148151</v>
      </c>
      <c r="E23823" s="2">
        <v>1</v>
      </c>
      <c r="F23823" s="2">
        <v>1</v>
      </c>
      <c r="G23823" s="2">
        <v>0</v>
      </c>
      <c r="H23823" s="1" t="s">
        <v>0</v>
      </c>
      <c r="I23823" s="2">
        <v>0</v>
      </c>
      <c r="J23823" s="1">
        <v>45915.377372685187</v>
      </c>
    </row>
    <row r="23824" spans="1:10" x14ac:dyDescent="0.2">
      <c r="A23824" s="4" t="s">
        <v>1</v>
      </c>
      <c r="B23824" s="3" t="str">
        <f>HYPERLINK("https://otsuka-europe-crm.veevavault.com/ui/#object/approved_document__v/V5OZ025E82TFUPI", "Spain - HCP Survey Email - June 2025")</f>
        <v>Spain - HCP Survey Email - June 2025</v>
      </c>
      <c r="C23824" s="3" t="str">
        <f>HYPERLINK("https://otsuka-europe-crm.veevavault.com/ui/#object/sent_email__v/VBLZ025E82GMT83", "SE-000266971")</f>
        <v>SE-000266971</v>
      </c>
      <c r="D23824" s="1" t="s">
        <v>0</v>
      </c>
      <c r="E23824" s="2">
        <v>0</v>
      </c>
      <c r="F23824" s="2">
        <v>0</v>
      </c>
      <c r="G23824" s="2">
        <v>0</v>
      </c>
      <c r="H23824" s="1" t="s">
        <v>0</v>
      </c>
      <c r="I23824" s="2">
        <v>0</v>
      </c>
      <c r="J23824" s="1">
        <v>45915.378032407411</v>
      </c>
    </row>
    <row r="23825" spans="1:10" x14ac:dyDescent="0.2">
      <c r="A23825" s="4" t="s">
        <v>1</v>
      </c>
      <c r="B23825" s="3" t="str">
        <f>HYPERLINK("https://otsuka-europe-crm.veevavault.com/ui/#object/approved_document__v/V5OZ025E82TFUPI", "Spain - HCP Survey Email - June 2025")</f>
        <v>Spain - HCP Survey Email - June 2025</v>
      </c>
      <c r="C23825" s="3" t="str">
        <f>HYPERLINK("https://otsuka-europe-crm.veevavault.com/ui/#object/sent_email__v/VBLZ025E82GMT84", "SE-000266972")</f>
        <v>SE-000266972</v>
      </c>
      <c r="D23825" s="1">
        <v>45919.87327546296</v>
      </c>
      <c r="E23825" s="2">
        <v>1</v>
      </c>
      <c r="F23825" s="2">
        <v>1</v>
      </c>
      <c r="G23825" s="2">
        <v>0</v>
      </c>
      <c r="H23825" s="1" t="s">
        <v>0</v>
      </c>
      <c r="I23825" s="2">
        <v>0</v>
      </c>
      <c r="J23825" s="1">
        <v>45915.379583333335</v>
      </c>
    </row>
    <row r="23826" spans="1:10" x14ac:dyDescent="0.2">
      <c r="A23826" s="4" t="s">
        <v>1</v>
      </c>
      <c r="B23826" s="3" t="str">
        <f>HYPERLINK("https://otsuka-europe-crm.veevavault.com/ui/#object/approved_document__v/V5OZ025E82TFUPI", "Spain - HCP Survey Email - June 2025")</f>
        <v>Spain - HCP Survey Email - June 2025</v>
      </c>
      <c r="C23826" s="3" t="str">
        <f>HYPERLINK("https://otsuka-europe-crm.veevavault.com/ui/#object/sent_email__v/VBLZ025E82GMT85", "SE-000266973")</f>
        <v>SE-000266973</v>
      </c>
      <c r="D23826" s="1">
        <v>45915.384432870371</v>
      </c>
      <c r="E23826" s="2">
        <v>1</v>
      </c>
      <c r="F23826" s="2">
        <v>1</v>
      </c>
      <c r="G23826" s="2">
        <v>0</v>
      </c>
      <c r="H23826" s="1" t="s">
        <v>0</v>
      </c>
      <c r="I23826" s="2">
        <v>0</v>
      </c>
      <c r="J23826" s="1">
        <v>45915.377835648149</v>
      </c>
    </row>
    <row r="23827" spans="1:10" x14ac:dyDescent="0.2">
      <c r="A23827" s="4" t="s">
        <v>1</v>
      </c>
      <c r="B23827" s="3" t="str">
        <f>HYPERLINK("https://otsuka-europe-crm.veevavault.com/ui/#object/approved_document__v/V5OZ025E82TFUPI", "Spain - HCP Survey Email - June 2025")</f>
        <v>Spain - HCP Survey Email - June 2025</v>
      </c>
      <c r="C23827" s="3" t="str">
        <f>HYPERLINK("https://otsuka-europe-crm.veevavault.com/ui/#object/sent_email__v/VBLZ025E82GMT86", "SE-000266974")</f>
        <v>SE-000266974</v>
      </c>
      <c r="D23827" s="1">
        <v>45915.377569444441</v>
      </c>
      <c r="E23827" s="2">
        <v>1</v>
      </c>
      <c r="F23827" s="2">
        <v>1</v>
      </c>
      <c r="G23827" s="2">
        <v>1</v>
      </c>
      <c r="H23827" s="1">
        <v>45915.378159722219</v>
      </c>
      <c r="I23827" s="2">
        <v>3</v>
      </c>
      <c r="J23827" s="1">
        <v>45915.377372685187</v>
      </c>
    </row>
    <row r="23828" spans="1:10" x14ac:dyDescent="0.2">
      <c r="A23828" s="4" t="s">
        <v>1</v>
      </c>
      <c r="B23828" s="3" t="str">
        <f>HYPERLINK("https://otsuka-europe-crm.veevavault.com/ui/#object/approved_document__v/V5OZ025E82TFUPI", "Spain - HCP Survey Email - June 2025")</f>
        <v>Spain - HCP Survey Email - June 2025</v>
      </c>
      <c r="C23828" s="3" t="str">
        <f>HYPERLINK("https://otsuka-europe-crm.veevavault.com/ui/#object/sent_email__v/VBLZ025E82GMT87", "SE-000266975")</f>
        <v>SE-000266975</v>
      </c>
      <c r="D23828" s="1" t="s">
        <v>0</v>
      </c>
      <c r="E23828" s="2">
        <v>0</v>
      </c>
      <c r="F23828" s="2">
        <v>0</v>
      </c>
      <c r="G23828" s="2">
        <v>0</v>
      </c>
      <c r="H23828" s="1" t="s">
        <v>0</v>
      </c>
      <c r="I23828" s="2">
        <v>0</v>
      </c>
      <c r="J23828" s="1">
        <v>45915.378067129626</v>
      </c>
    </row>
    <row r="23829" spans="1:10" x14ac:dyDescent="0.2">
      <c r="A23829" s="4" t="s">
        <v>1</v>
      </c>
      <c r="B23829" s="3" t="str">
        <f>HYPERLINK("https://otsuka-europe-crm.veevavault.com/ui/#object/approved_document__v/V5OZ025E82TFUPI", "Spain - HCP Survey Email - June 2025")</f>
        <v>Spain - HCP Survey Email - June 2025</v>
      </c>
      <c r="C23829" s="3" t="str">
        <f>HYPERLINK("https://otsuka-europe-crm.veevavault.com/ui/#object/sent_email__v/VBLZ025E82GMT88", "SE-000266976")</f>
        <v>SE-000266976</v>
      </c>
      <c r="D23829" s="1">
        <v>45915.385393518518</v>
      </c>
      <c r="E23829" s="2">
        <v>1</v>
      </c>
      <c r="F23829" s="2">
        <v>1</v>
      </c>
      <c r="G23829" s="2">
        <v>0</v>
      </c>
      <c r="H23829" s="1" t="s">
        <v>0</v>
      </c>
      <c r="I23829" s="2">
        <v>0</v>
      </c>
      <c r="J23829" s="1">
        <v>45915.378796296296</v>
      </c>
    </row>
    <row r="23830" spans="1:10" x14ac:dyDescent="0.2">
      <c r="A23830" s="4" t="s">
        <v>1</v>
      </c>
      <c r="B23830" s="3" t="str">
        <f>HYPERLINK("https://otsuka-europe-crm.veevavault.com/ui/#object/approved_document__v/V5OZ025E82TFUPI", "Spain - HCP Survey Email - June 2025")</f>
        <v>Spain - HCP Survey Email - June 2025</v>
      </c>
      <c r="C23830" s="3" t="str">
        <f>HYPERLINK("https://otsuka-europe-crm.veevavault.com/ui/#object/sent_email__v/VBLZ025E82GMT89", "SE-000266977")</f>
        <v>SE-000266977</v>
      </c>
      <c r="D23830" s="1">
        <v>45930.870115740741</v>
      </c>
      <c r="E23830" s="2">
        <v>1</v>
      </c>
      <c r="F23830" s="2">
        <v>2</v>
      </c>
      <c r="G23830" s="2">
        <v>0</v>
      </c>
      <c r="H23830" s="1" t="s">
        <v>0</v>
      </c>
      <c r="I23830" s="2">
        <v>0</v>
      </c>
      <c r="J23830" s="1">
        <v>45915.379791666666</v>
      </c>
    </row>
    <row r="23831" spans="1:10" x14ac:dyDescent="0.2">
      <c r="A23831" s="4" t="s">
        <v>1</v>
      </c>
      <c r="B23831" s="3" t="str">
        <f>HYPERLINK("https://otsuka-europe-crm.veevavault.com/ui/#object/approved_document__v/V5OZ025E82TFUPI", "Spain - HCP Survey Email - June 2025")</f>
        <v>Spain - HCP Survey Email - June 2025</v>
      </c>
      <c r="C23831" s="3" t="str">
        <f>HYPERLINK("https://otsuka-europe-crm.veevavault.com/ui/#object/sent_email__v/VBLZ025E82GMT8A", "SE-000266978")</f>
        <v>SE-000266978</v>
      </c>
      <c r="D23831" s="1" t="s">
        <v>0</v>
      </c>
      <c r="E23831" s="2">
        <v>0</v>
      </c>
      <c r="F23831" s="2">
        <v>0</v>
      </c>
      <c r="G23831" s="2">
        <v>0</v>
      </c>
      <c r="H23831" s="1" t="s">
        <v>0</v>
      </c>
      <c r="I23831" s="2">
        <v>0</v>
      </c>
      <c r="J23831" s="1">
        <v>45915.37945601852</v>
      </c>
    </row>
    <row r="23832" spans="1:10" x14ac:dyDescent="0.2">
      <c r="A23832" s="4" t="s">
        <v>1</v>
      </c>
      <c r="B23832" s="3" t="str">
        <f>HYPERLINK("https://otsuka-europe-crm.veevavault.com/ui/#object/approved_document__v/V5OZ025E82TFUPI", "Spain - HCP Survey Email - June 2025")</f>
        <v>Spain - HCP Survey Email - June 2025</v>
      </c>
      <c r="C23832" s="3" t="str">
        <f>HYPERLINK("https://otsuka-europe-crm.veevavault.com/ui/#object/sent_email__v/VBLZ025E82GMT8B", "SE-000266979")</f>
        <v>SE-000266979</v>
      </c>
      <c r="D23832" s="1" t="s">
        <v>0</v>
      </c>
      <c r="E23832" s="2">
        <v>0</v>
      </c>
      <c r="F23832" s="2">
        <v>0</v>
      </c>
      <c r="G23832" s="2">
        <v>0</v>
      </c>
      <c r="H23832" s="1" t="s">
        <v>0</v>
      </c>
      <c r="I23832" s="2">
        <v>0</v>
      </c>
      <c r="J23832" s="1">
        <v>45915.37773148148</v>
      </c>
    </row>
    <row r="23833" spans="1:10" x14ac:dyDescent="0.2">
      <c r="A23833" s="4" t="s">
        <v>1</v>
      </c>
      <c r="B23833" s="3" t="str">
        <f>HYPERLINK("https://otsuka-europe-crm.veevavault.com/ui/#object/approved_document__v/V5OZ025E82TFUPI", "Spain - HCP Survey Email - June 2025")</f>
        <v>Spain - HCP Survey Email - June 2025</v>
      </c>
      <c r="C23833" s="3" t="str">
        <f>HYPERLINK("https://otsuka-europe-crm.veevavault.com/ui/#object/sent_email__v/VBLZ025E82GMT8C", "SE-000266980")</f>
        <v>SE-000266980</v>
      </c>
      <c r="D23833" s="1" t="s">
        <v>0</v>
      </c>
      <c r="E23833" s="2">
        <v>0</v>
      </c>
      <c r="F23833" s="2">
        <v>0</v>
      </c>
      <c r="G23833" s="2">
        <v>0</v>
      </c>
      <c r="H23833" s="1" t="s">
        <v>0</v>
      </c>
      <c r="I23833" s="2">
        <v>0</v>
      </c>
      <c r="J23833" s="1">
        <v>45915.378449074073</v>
      </c>
    </row>
    <row r="23834" spans="1:10" x14ac:dyDescent="0.2">
      <c r="A23834" s="4" t="s">
        <v>1</v>
      </c>
      <c r="B23834" s="3" t="str">
        <f>HYPERLINK("https://otsuka-europe-crm.veevavault.com/ui/#object/approved_document__v/V5OZ025E82TFUPI", "Spain - HCP Survey Email - June 2025")</f>
        <v>Spain - HCP Survey Email - June 2025</v>
      </c>
      <c r="C23834" s="3" t="str">
        <f>HYPERLINK("https://otsuka-europe-crm.veevavault.com/ui/#object/sent_email__v/VBLZ025E82GMT8D", "SE-000266981")</f>
        <v>SE-000266981</v>
      </c>
      <c r="D23834" s="1">
        <v>45915.553784722222</v>
      </c>
      <c r="E23834" s="2">
        <v>1</v>
      </c>
      <c r="F23834" s="2">
        <v>1</v>
      </c>
      <c r="G23834" s="2">
        <v>1</v>
      </c>
      <c r="H23834" s="1">
        <v>45915.680300925924</v>
      </c>
      <c r="I23834" s="2">
        <v>6</v>
      </c>
      <c r="J23834" s="1">
        <v>45915.378020833334</v>
      </c>
    </row>
    <row r="23835" spans="1:10" x14ac:dyDescent="0.2">
      <c r="A23835" s="4" t="s">
        <v>1</v>
      </c>
      <c r="B23835" s="3" t="str">
        <f>HYPERLINK("https://otsuka-europe-crm.veevavault.com/ui/#object/approved_document__v/V5OZ025E82TFUPI", "Spain - HCP Survey Email - June 2025")</f>
        <v>Spain - HCP Survey Email - June 2025</v>
      </c>
      <c r="C23835" s="3" t="str">
        <f>HYPERLINK("https://otsuka-europe-crm.veevavault.com/ui/#object/sent_email__v/VBLZ025E82GMT8E", "SE-000266982")</f>
        <v>SE-000266982</v>
      </c>
      <c r="D23835" s="1">
        <v>45918.569305555553</v>
      </c>
      <c r="E23835" s="2">
        <v>1</v>
      </c>
      <c r="F23835" s="2">
        <v>2</v>
      </c>
      <c r="G23835" s="2">
        <v>0</v>
      </c>
      <c r="H23835" s="1" t="s">
        <v>0</v>
      </c>
      <c r="I23835" s="2">
        <v>0</v>
      </c>
      <c r="J23835" s="1">
        <v>45915.378784722219</v>
      </c>
    </row>
    <row r="23836" spans="1:10" x14ac:dyDescent="0.2">
      <c r="A23836" s="4" t="s">
        <v>1</v>
      </c>
      <c r="B23836" s="3" t="str">
        <f>HYPERLINK("https://otsuka-europe-crm.veevavault.com/ui/#object/approved_document__v/V5OZ025E82TFUPI", "Spain - HCP Survey Email - June 2025")</f>
        <v>Spain - HCP Survey Email - June 2025</v>
      </c>
      <c r="C23836" s="3" t="str">
        <f>HYPERLINK("https://otsuka-europe-crm.veevavault.com/ui/#object/sent_email__v/VBLZ025E82GMT8F", "SE-000266983")</f>
        <v>SE-000266983</v>
      </c>
      <c r="D23836" s="1" t="s">
        <v>0</v>
      </c>
      <c r="E23836" s="2">
        <v>0</v>
      </c>
      <c r="F23836" s="2">
        <v>0</v>
      </c>
      <c r="G23836" s="2">
        <v>0</v>
      </c>
      <c r="H23836" s="1" t="s">
        <v>0</v>
      </c>
      <c r="I23836" s="2">
        <v>0</v>
      </c>
      <c r="J23836" s="1">
        <v>45915.379548611112</v>
      </c>
    </row>
    <row r="23837" spans="1:10" x14ac:dyDescent="0.2">
      <c r="A23837" s="4" t="s">
        <v>1</v>
      </c>
      <c r="B23837" s="3" t="str">
        <f>HYPERLINK("https://otsuka-europe-crm.veevavault.com/ui/#object/approved_document__v/V5OZ025E82TFUPI", "Spain - HCP Survey Email - June 2025")</f>
        <v>Spain - HCP Survey Email - June 2025</v>
      </c>
      <c r="C23837" s="3" t="str">
        <f>HYPERLINK("https://otsuka-europe-crm.veevavault.com/ui/#object/sent_email__v/VBLZ025E82GMT8G", "SE-000266984")</f>
        <v>SE-000266984</v>
      </c>
      <c r="D23837" s="1" t="s">
        <v>0</v>
      </c>
      <c r="E23837" s="2">
        <v>0</v>
      </c>
      <c r="F23837" s="2">
        <v>0</v>
      </c>
      <c r="G23837" s="2">
        <v>0</v>
      </c>
      <c r="H23837" s="1" t="s">
        <v>0</v>
      </c>
      <c r="I23837" s="2">
        <v>0</v>
      </c>
      <c r="J23837" s="1">
        <v>45915.37777777778</v>
      </c>
    </row>
    <row r="23838" spans="1:10" x14ac:dyDescent="0.2">
      <c r="A23838" s="4" t="s">
        <v>1</v>
      </c>
      <c r="B23838" s="3" t="str">
        <f>HYPERLINK("https://otsuka-europe-crm.veevavault.com/ui/#object/approved_document__v/V5OZ025E82TFUPI", "Spain - HCP Survey Email - June 2025")</f>
        <v>Spain - HCP Survey Email - June 2025</v>
      </c>
      <c r="C23838" s="3" t="str">
        <f>HYPERLINK("https://otsuka-europe-crm.veevavault.com/ui/#object/sent_email__v/VBLZ025E82GMT8H", "SE-000266985")</f>
        <v>SE-000266985</v>
      </c>
      <c r="D23838" s="1">
        <v>45915.546770833331</v>
      </c>
      <c r="E23838" s="2">
        <v>1</v>
      </c>
      <c r="F23838" s="2">
        <v>1</v>
      </c>
      <c r="G23838" s="2">
        <v>0</v>
      </c>
      <c r="H23838" s="1" t="s">
        <v>0</v>
      </c>
      <c r="I23838" s="2">
        <v>0</v>
      </c>
      <c r="J23838" s="1">
        <v>45915.377372685187</v>
      </c>
    </row>
    <row r="23839" spans="1:10" x14ac:dyDescent="0.2">
      <c r="A23839" s="4" t="s">
        <v>1</v>
      </c>
      <c r="B23839" s="3" t="str">
        <f>HYPERLINK("https://otsuka-europe-crm.veevavault.com/ui/#object/approved_document__v/V5OZ025E82TFUPI", "Spain - HCP Survey Email - June 2025")</f>
        <v>Spain - HCP Survey Email - June 2025</v>
      </c>
      <c r="C23839" s="3" t="str">
        <f>HYPERLINK("https://otsuka-europe-crm.veevavault.com/ui/#object/sent_email__v/VBLZ025E82GMT8I", "SE-000266986")</f>
        <v>SE-000266986</v>
      </c>
      <c r="D23839" s="1" t="s">
        <v>0</v>
      </c>
      <c r="E23839" s="2">
        <v>0</v>
      </c>
      <c r="F23839" s="2">
        <v>0</v>
      </c>
      <c r="G23839" s="2">
        <v>0</v>
      </c>
      <c r="H23839" s="1" t="s">
        <v>0</v>
      </c>
      <c r="I23839" s="2">
        <v>0</v>
      </c>
      <c r="J23839" s="1">
        <v>45915.378078703703</v>
      </c>
    </row>
    <row r="23840" spans="1:10" x14ac:dyDescent="0.2">
      <c r="A23840" s="4" t="s">
        <v>1</v>
      </c>
      <c r="B23840" s="3" t="str">
        <f>HYPERLINK("https://otsuka-europe-crm.veevavault.com/ui/#object/approved_document__v/V5OZ025E82TFUPI", "Spain - HCP Survey Email - June 2025")</f>
        <v>Spain - HCP Survey Email - June 2025</v>
      </c>
      <c r="C23840" s="3" t="str">
        <f>HYPERLINK("https://otsuka-europe-crm.veevavault.com/ui/#object/sent_email__v/VBLZ025E82GMT8J", "SE-000266987")</f>
        <v>SE-000266987</v>
      </c>
      <c r="D23840" s="1" t="s">
        <v>0</v>
      </c>
      <c r="E23840" s="2">
        <v>0</v>
      </c>
      <c r="F23840" s="2">
        <v>0</v>
      </c>
      <c r="G23840" s="2">
        <v>0</v>
      </c>
      <c r="H23840" s="1" t="s">
        <v>0</v>
      </c>
      <c r="I23840" s="2">
        <v>0</v>
      </c>
      <c r="J23840" s="1">
        <v>45915.378854166665</v>
      </c>
    </row>
    <row r="23841" spans="1:10" x14ac:dyDescent="0.2">
      <c r="A23841" s="4" t="s">
        <v>1</v>
      </c>
      <c r="B23841" s="3" t="str">
        <f>HYPERLINK("https://otsuka-europe-crm.veevavault.com/ui/#object/approved_document__v/V5OZ025E82TFUPI", "Spain - HCP Survey Email - June 2025")</f>
        <v>Spain - HCP Survey Email - June 2025</v>
      </c>
      <c r="C23841" s="3" t="str">
        <f>HYPERLINK("https://otsuka-europe-crm.veevavault.com/ui/#object/sent_email__v/VBLZ025E82GMT8K", "SE-000266988")</f>
        <v>SE-000266988</v>
      </c>
      <c r="D23841" s="1" t="s">
        <v>0</v>
      </c>
      <c r="E23841" s="2">
        <v>0</v>
      </c>
      <c r="F23841" s="2">
        <v>0</v>
      </c>
      <c r="G23841" s="2">
        <v>0</v>
      </c>
      <c r="H23841" s="1" t="s">
        <v>0</v>
      </c>
      <c r="I23841" s="2">
        <v>0</v>
      </c>
      <c r="J23841" s="1">
        <v>45915.379895833335</v>
      </c>
    </row>
    <row r="23842" spans="1:10" x14ac:dyDescent="0.2">
      <c r="A23842" s="4" t="s">
        <v>1</v>
      </c>
      <c r="B23842" s="3" t="str">
        <f>HYPERLINK("https://otsuka-europe-crm.veevavault.com/ui/#object/approved_document__v/V5OZ025E82TFUPI", "Spain - HCP Survey Email - June 2025")</f>
        <v>Spain - HCP Survey Email - June 2025</v>
      </c>
      <c r="C23842" s="3" t="str">
        <f>HYPERLINK("https://otsuka-europe-crm.veevavault.com/ui/#object/sent_email__v/VBLZ025E82GMT8L", "SE-000266989")</f>
        <v>SE-000266989</v>
      </c>
      <c r="D23842" s="1" t="s">
        <v>0</v>
      </c>
      <c r="E23842" s="2">
        <v>0</v>
      </c>
      <c r="F23842" s="2">
        <v>0</v>
      </c>
      <c r="G23842" s="2">
        <v>0</v>
      </c>
      <c r="H23842" s="1" t="s">
        <v>0</v>
      </c>
      <c r="I23842" s="2">
        <v>0</v>
      </c>
      <c r="J23842" s="1">
        <v>45915.379479166666</v>
      </c>
    </row>
    <row r="23843" spans="1:10" x14ac:dyDescent="0.2">
      <c r="A23843" s="4" t="s">
        <v>1</v>
      </c>
      <c r="B23843" s="3" t="str">
        <f>HYPERLINK("https://otsuka-europe-crm.veevavault.com/ui/#object/approved_document__v/V5OZ025E82TFUPI", "Spain - HCP Survey Email - June 2025")</f>
        <v>Spain - HCP Survey Email - June 2025</v>
      </c>
      <c r="C23843" s="3" t="str">
        <f>HYPERLINK("https://otsuka-europe-crm.veevavault.com/ui/#object/sent_email__v/VBLZ025E82GMT8M", "SE-000266990")</f>
        <v>SE-000266990</v>
      </c>
      <c r="D23843" s="1">
        <v>45915.454571759263</v>
      </c>
      <c r="E23843" s="2">
        <v>1</v>
      </c>
      <c r="F23843" s="2">
        <v>1</v>
      </c>
      <c r="G23843" s="2">
        <v>0</v>
      </c>
      <c r="H23843" s="1" t="s">
        <v>0</v>
      </c>
      <c r="I23843" s="2">
        <v>0</v>
      </c>
      <c r="J23843" s="1">
        <v>45915.377696759257</v>
      </c>
    </row>
    <row r="23844" spans="1:10" x14ac:dyDescent="0.2">
      <c r="A23844" s="4" t="s">
        <v>1</v>
      </c>
      <c r="B23844" s="3" t="str">
        <f>HYPERLINK("https://otsuka-europe-crm.veevavault.com/ui/#object/approved_document__v/V5OZ025E82TFUPI", "Spain - HCP Survey Email - June 2025")</f>
        <v>Spain - HCP Survey Email - June 2025</v>
      </c>
      <c r="C23844" s="3" t="str">
        <f>HYPERLINK("https://otsuka-europe-crm.veevavault.com/ui/#object/sent_email__v/VBLZ025E82GMT8N", "SE-000266991")</f>
        <v>SE-000266991</v>
      </c>
      <c r="D23844" s="1" t="s">
        <v>0</v>
      </c>
      <c r="E23844" s="2">
        <v>0</v>
      </c>
      <c r="F23844" s="2">
        <v>0</v>
      </c>
      <c r="G23844" s="2">
        <v>0</v>
      </c>
      <c r="H23844" s="1" t="s">
        <v>0</v>
      </c>
      <c r="I23844" s="2">
        <v>0</v>
      </c>
      <c r="J23844" s="1">
        <v>45915.378472222219</v>
      </c>
    </row>
    <row r="23845" spans="1:10" x14ac:dyDescent="0.2">
      <c r="A23845" s="4" t="s">
        <v>1</v>
      </c>
      <c r="B23845" s="3" t="str">
        <f>HYPERLINK("https://otsuka-europe-crm.veevavault.com/ui/#object/approved_document__v/V5OZ025E82TFUPI", "Spain - HCP Survey Email - June 2025")</f>
        <v>Spain - HCP Survey Email - June 2025</v>
      </c>
      <c r="C23845" s="3" t="str">
        <f>HYPERLINK("https://otsuka-europe-crm.veevavault.com/ui/#object/sent_email__v/VBLZ025E82GMT8O", "SE-000266992")</f>
        <v>SE-000266992</v>
      </c>
      <c r="D23845" s="1" t="s">
        <v>0</v>
      </c>
      <c r="E23845" s="2">
        <v>0</v>
      </c>
      <c r="F23845" s="2">
        <v>0</v>
      </c>
      <c r="G23845" s="2">
        <v>0</v>
      </c>
      <c r="H23845" s="1" t="s">
        <v>0</v>
      </c>
      <c r="I23845" s="2">
        <v>0</v>
      </c>
      <c r="J23845" s="1">
        <v>45915.37804398148</v>
      </c>
    </row>
    <row r="23846" spans="1:10" x14ac:dyDescent="0.2">
      <c r="A23846" s="4" t="s">
        <v>1</v>
      </c>
      <c r="B23846" s="3" t="str">
        <f>HYPERLINK("https://otsuka-europe-crm.veevavault.com/ui/#object/approved_document__v/V5OZ025E82TFUPI", "Spain - HCP Survey Email - June 2025")</f>
        <v>Spain - HCP Survey Email - June 2025</v>
      </c>
      <c r="C23846" s="3" t="str">
        <f>HYPERLINK("https://otsuka-europe-crm.veevavault.com/ui/#object/sent_email__v/VBLZ025E82GMT8Q", "SE-000266994")</f>
        <v>SE-000266994</v>
      </c>
      <c r="D23846" s="1">
        <v>45915.405335648145</v>
      </c>
      <c r="E23846" s="2">
        <v>1</v>
      </c>
      <c r="F23846" s="2">
        <v>2</v>
      </c>
      <c r="G23846" s="2">
        <v>0</v>
      </c>
      <c r="H23846" s="1" t="s">
        <v>0</v>
      </c>
      <c r="I23846" s="2">
        <v>0</v>
      </c>
      <c r="J23846" s="1">
        <v>45915.379560185182</v>
      </c>
    </row>
    <row r="23847" spans="1:10" x14ac:dyDescent="0.2">
      <c r="A23847" s="4" t="s">
        <v>1</v>
      </c>
      <c r="B23847" s="3" t="str">
        <f>HYPERLINK("https://otsuka-europe-crm.veevavault.com/ui/#object/approved_document__v/V5OZ025E82TFUPI", "Spain - HCP Survey Email - June 2025")</f>
        <v>Spain - HCP Survey Email - June 2025</v>
      </c>
      <c r="C23847" s="3" t="str">
        <f>HYPERLINK("https://otsuka-europe-crm.veevavault.com/ui/#object/sent_email__v/VBLZ025E82GMT8R", "SE-000266995")</f>
        <v>SE-000266995</v>
      </c>
      <c r="D23847" s="1">
        <v>45915.481990740744</v>
      </c>
      <c r="E23847" s="2">
        <v>1</v>
      </c>
      <c r="F23847" s="2">
        <v>1</v>
      </c>
      <c r="G23847" s="2">
        <v>0</v>
      </c>
      <c r="H23847" s="1" t="s">
        <v>0</v>
      </c>
      <c r="I23847" s="2">
        <v>0</v>
      </c>
      <c r="J23847" s="1">
        <v>45915.377743055556</v>
      </c>
    </row>
    <row r="23848" spans="1:10" x14ac:dyDescent="0.2">
      <c r="A23848" s="4" t="s">
        <v>1</v>
      </c>
      <c r="B23848" s="3" t="str">
        <f>HYPERLINK("https://otsuka-europe-crm.veevavault.com/ui/#object/approved_document__v/V5OZ025E82TFUPI", "Spain - HCP Survey Email - June 2025")</f>
        <v>Spain - HCP Survey Email - June 2025</v>
      </c>
      <c r="C23848" s="3" t="str">
        <f>HYPERLINK("https://otsuka-europe-crm.veevavault.com/ui/#object/sent_email__v/VBLZ025E82GMT8S", "SE-000266996")</f>
        <v>SE-000266996</v>
      </c>
      <c r="D23848" s="1">
        <v>45915.742326388892</v>
      </c>
      <c r="E23848" s="2">
        <v>1</v>
      </c>
      <c r="F23848" s="2">
        <v>1</v>
      </c>
      <c r="G23848" s="2">
        <v>0</v>
      </c>
      <c r="H23848" s="1" t="s">
        <v>0</v>
      </c>
      <c r="I23848" s="2">
        <v>0</v>
      </c>
      <c r="J23848" s="1">
        <v>45915.377372685187</v>
      </c>
    </row>
    <row r="23849" spans="1:10" x14ac:dyDescent="0.2">
      <c r="A23849" s="4" t="s">
        <v>1</v>
      </c>
      <c r="B23849" s="3" t="str">
        <f>HYPERLINK("https://otsuka-europe-crm.veevavault.com/ui/#object/approved_document__v/V5OZ025E82TFUPI", "Spain - HCP Survey Email - June 2025")</f>
        <v>Spain - HCP Survey Email - June 2025</v>
      </c>
      <c r="C23849" s="3" t="str">
        <f>HYPERLINK("https://otsuka-europe-crm.veevavault.com/ui/#object/sent_email__v/VBLZ025E82GMT8U", "SE-000266998")</f>
        <v>SE-000266998</v>
      </c>
      <c r="D23849" s="1" t="s">
        <v>0</v>
      </c>
      <c r="E23849" s="2">
        <v>0</v>
      </c>
      <c r="F23849" s="2">
        <v>0</v>
      </c>
      <c r="G23849" s="2">
        <v>0</v>
      </c>
      <c r="H23849" s="1" t="s">
        <v>0</v>
      </c>
      <c r="I23849" s="2">
        <v>0</v>
      </c>
      <c r="J23849" s="1">
        <v>45915.378842592596</v>
      </c>
    </row>
    <row r="23850" spans="1:10" x14ac:dyDescent="0.2">
      <c r="A23850" s="4" t="s">
        <v>1</v>
      </c>
      <c r="B23850" s="3" t="str">
        <f>HYPERLINK("https://otsuka-europe-crm.veevavault.com/ui/#object/approved_document__v/V5OZ025E82TFUPI", "Spain - HCP Survey Email - June 2025")</f>
        <v>Spain - HCP Survey Email - June 2025</v>
      </c>
      <c r="C23850" s="3" t="str">
        <f>HYPERLINK("https://otsuka-europe-crm.veevavault.com/ui/#object/sent_email__v/VBLZ025E82GMT8V", "SE-000266999")</f>
        <v>SE-000266999</v>
      </c>
      <c r="D23850" s="1">
        <v>45915.652824074074</v>
      </c>
      <c r="E23850" s="2">
        <v>1</v>
      </c>
      <c r="F23850" s="2">
        <v>1</v>
      </c>
      <c r="G23850" s="2">
        <v>0</v>
      </c>
      <c r="H23850" s="1" t="s">
        <v>0</v>
      </c>
      <c r="I23850" s="2">
        <v>0</v>
      </c>
      <c r="J23850" s="1">
        <v>45915.379594907405</v>
      </c>
    </row>
    <row r="23851" spans="1:10" x14ac:dyDescent="0.2">
      <c r="A23851" s="4" t="s">
        <v>1</v>
      </c>
      <c r="B23851" s="3" t="str">
        <f>HYPERLINK("https://otsuka-europe-crm.veevavault.com/ui/#object/approved_document__v/V5OZ025E82TFUPI", "Spain - HCP Survey Email - June 2025")</f>
        <v>Spain - HCP Survey Email - June 2025</v>
      </c>
      <c r="C23851" s="3" t="str">
        <f>HYPERLINK("https://otsuka-europe-crm.veevavault.com/ui/#object/sent_email__v/VBLZ025E82GMT8W", "SE-000267000")</f>
        <v>SE-000267000</v>
      </c>
      <c r="D23851" s="1" t="s">
        <v>0</v>
      </c>
      <c r="E23851" s="2">
        <v>0</v>
      </c>
      <c r="F23851" s="2">
        <v>0</v>
      </c>
      <c r="G23851" s="2">
        <v>0</v>
      </c>
      <c r="H23851" s="1" t="s">
        <v>0</v>
      </c>
      <c r="I23851" s="2">
        <v>0</v>
      </c>
      <c r="J23851" s="1">
        <v>45915.377812500003</v>
      </c>
    </row>
    <row r="23852" spans="1:10" x14ac:dyDescent="0.2">
      <c r="A23852" s="4" t="s">
        <v>1</v>
      </c>
      <c r="B23852" s="3" t="str">
        <f>HYPERLINK("https://otsuka-europe-crm.veevavault.com/ui/#object/approved_document__v/V5OZ025E82TFUPI", "Spain - HCP Survey Email - June 2025")</f>
        <v>Spain - HCP Survey Email - June 2025</v>
      </c>
      <c r="C23852" s="3" t="str">
        <f>HYPERLINK("https://otsuka-europe-crm.veevavault.com/ui/#object/sent_email__v/VBLZ025E82GMT8X", "SE-000267001")</f>
        <v>SE-000267001</v>
      </c>
      <c r="D23852" s="1" t="s">
        <v>0</v>
      </c>
      <c r="E23852" s="2">
        <v>0</v>
      </c>
      <c r="F23852" s="2">
        <v>0</v>
      </c>
      <c r="G23852" s="2">
        <v>0</v>
      </c>
      <c r="H23852" s="1" t="s">
        <v>0</v>
      </c>
      <c r="I23852" s="2">
        <v>0</v>
      </c>
      <c r="J23852" s="1">
        <v>45915.377372685187</v>
      </c>
    </row>
    <row r="23853" spans="1:10" x14ac:dyDescent="0.2">
      <c r="A23853" s="4" t="s">
        <v>1</v>
      </c>
      <c r="B23853" s="3" t="str">
        <f>HYPERLINK("https://otsuka-europe-crm.veevavault.com/ui/#object/approved_document__v/V5OZ025E82TFUPI", "Spain - HCP Survey Email - June 2025")</f>
        <v>Spain - HCP Survey Email - June 2025</v>
      </c>
      <c r="C23853" s="3" t="str">
        <f>HYPERLINK("https://otsuka-europe-crm.veevavault.com/ui/#object/sent_email__v/VBLZ025E82GMT8Y", "SE-000267002")</f>
        <v>SE-000267002</v>
      </c>
      <c r="D23853" s="1">
        <v>45922.552361111113</v>
      </c>
      <c r="E23853" s="2">
        <v>1</v>
      </c>
      <c r="F23853" s="2">
        <v>1</v>
      </c>
      <c r="G23853" s="2">
        <v>0</v>
      </c>
      <c r="H23853" s="1" t="s">
        <v>0</v>
      </c>
      <c r="I23853" s="2">
        <v>0</v>
      </c>
      <c r="J23853" s="1">
        <v>45915.378032407411</v>
      </c>
    </row>
    <row r="23854" spans="1:10" x14ac:dyDescent="0.2">
      <c r="A23854" s="4" t="s">
        <v>1</v>
      </c>
      <c r="B23854" s="3" t="str">
        <f>HYPERLINK("https://otsuka-europe-crm.veevavault.com/ui/#object/approved_document__v/V5OZ025E82TFUPI", "Spain - HCP Survey Email - June 2025")</f>
        <v>Spain - HCP Survey Email - June 2025</v>
      </c>
      <c r="C23854" s="3" t="str">
        <f>HYPERLINK("https://otsuka-europe-crm.veevavault.com/ui/#object/sent_email__v/VBLZ025E82GMT8Z", "SE-000267003")</f>
        <v>SE-000267003</v>
      </c>
      <c r="D23854" s="1" t="s">
        <v>0</v>
      </c>
      <c r="E23854" s="2">
        <v>0</v>
      </c>
      <c r="F23854" s="2">
        <v>0</v>
      </c>
      <c r="G23854" s="2">
        <v>0</v>
      </c>
      <c r="H23854" s="1" t="s">
        <v>0</v>
      </c>
      <c r="I23854" s="2">
        <v>0</v>
      </c>
      <c r="J23854" s="1">
        <v>45915.37877314815</v>
      </c>
    </row>
    <row r="23855" spans="1:10" x14ac:dyDescent="0.2">
      <c r="A23855" s="4" t="s">
        <v>1</v>
      </c>
      <c r="B23855" s="3" t="str">
        <f>HYPERLINK("https://otsuka-europe-crm.veevavault.com/ui/#object/approved_document__v/V5OZ025E82TFUPI", "Spain - HCP Survey Email - June 2025")</f>
        <v>Spain - HCP Survey Email - June 2025</v>
      </c>
      <c r="C23855" s="3" t="str">
        <f>HYPERLINK("https://otsuka-europe-crm.veevavault.com/ui/#object/sent_email__v/VBLZ025E82GMT90", "SE-000267004")</f>
        <v>SE-000267004</v>
      </c>
      <c r="D23855" s="1" t="s">
        <v>0</v>
      </c>
      <c r="E23855" s="2">
        <v>0</v>
      </c>
      <c r="F23855" s="2">
        <v>0</v>
      </c>
      <c r="G23855" s="2">
        <v>0</v>
      </c>
      <c r="H23855" s="1" t="s">
        <v>0</v>
      </c>
      <c r="I23855" s="2">
        <v>0</v>
      </c>
      <c r="J23855" s="1">
        <v>45915.378668981481</v>
      </c>
    </row>
    <row r="23856" spans="1:10" x14ac:dyDescent="0.2">
      <c r="A23856" s="4" t="s">
        <v>1</v>
      </c>
      <c r="B23856" s="3" t="str">
        <f>HYPERLINK("https://otsuka-europe-crm.veevavault.com/ui/#object/approved_document__v/V5OZ025E82TFUPI", "Spain - HCP Survey Email - June 2025")</f>
        <v>Spain - HCP Survey Email - June 2025</v>
      </c>
      <c r="C23856" s="3" t="str">
        <f>HYPERLINK("https://otsuka-europe-crm.veevavault.com/ui/#object/sent_email__v/VBLZ025E82GMT91", "SE-000267005")</f>
        <v>SE-000267005</v>
      </c>
      <c r="D23856" s="1" t="s">
        <v>0</v>
      </c>
      <c r="E23856" s="2">
        <v>0</v>
      </c>
      <c r="F23856" s="2">
        <v>0</v>
      </c>
      <c r="G23856" s="2">
        <v>0</v>
      </c>
      <c r="H23856" s="1" t="s">
        <v>0</v>
      </c>
      <c r="I23856" s="2">
        <v>0</v>
      </c>
      <c r="J23856" s="1">
        <v>45915.37939814815</v>
      </c>
    </row>
    <row r="23857" spans="1:10" x14ac:dyDescent="0.2">
      <c r="A23857" s="4" t="s">
        <v>1</v>
      </c>
      <c r="B23857" s="3" t="str">
        <f>HYPERLINK("https://otsuka-europe-crm.veevavault.com/ui/#object/approved_document__v/V5OZ025E82TFUPI", "Spain - HCP Survey Email - June 2025")</f>
        <v>Spain - HCP Survey Email - June 2025</v>
      </c>
      <c r="C23857" s="3" t="str">
        <f>HYPERLINK("https://otsuka-europe-crm.veevavault.com/ui/#object/sent_email__v/VBLZ025E82GMT92", "SE-000267006")</f>
        <v>SE-000267006</v>
      </c>
      <c r="D23857" s="1">
        <v>45915.387094907404</v>
      </c>
      <c r="E23857" s="2">
        <v>1</v>
      </c>
      <c r="F23857" s="2">
        <v>1</v>
      </c>
      <c r="G23857" s="2">
        <v>1</v>
      </c>
      <c r="H23857" s="1">
        <v>45915.388124999998</v>
      </c>
      <c r="I23857" s="2">
        <v>2</v>
      </c>
      <c r="J23857" s="1">
        <v>45915.377696759257</v>
      </c>
    </row>
    <row r="23858" spans="1:10" x14ac:dyDescent="0.2">
      <c r="A23858" s="4" t="s">
        <v>1</v>
      </c>
      <c r="B23858" s="3" t="str">
        <f>HYPERLINK("https://otsuka-europe-crm.veevavault.com/ui/#object/approved_document__v/V5OZ025E82TFUPI", "Spain - HCP Survey Email - June 2025")</f>
        <v>Spain - HCP Survey Email - June 2025</v>
      </c>
      <c r="C23858" s="3" t="str">
        <f>HYPERLINK("https://otsuka-europe-crm.veevavault.com/ui/#object/sent_email__v/VBLZ025E82GMT93", "SE-000267007")</f>
        <v>SE-000267007</v>
      </c>
      <c r="D23858" s="1" t="s">
        <v>0</v>
      </c>
      <c r="E23858" s="2">
        <v>0</v>
      </c>
      <c r="F23858" s="2">
        <v>0</v>
      </c>
      <c r="G23858" s="2">
        <v>0</v>
      </c>
      <c r="H23858" s="1" t="s">
        <v>0</v>
      </c>
      <c r="I23858" s="2">
        <v>0</v>
      </c>
      <c r="J23858" s="1">
        <v>45915.378472222219</v>
      </c>
    </row>
    <row r="23859" spans="1:10" x14ac:dyDescent="0.2">
      <c r="A23859" s="4" t="s">
        <v>1</v>
      </c>
      <c r="B23859" s="3" t="str">
        <f>HYPERLINK("https://otsuka-europe-crm.veevavault.com/ui/#object/approved_document__v/V5OZ025E82TFUPI", "Spain - HCP Survey Email - June 2025")</f>
        <v>Spain - HCP Survey Email - June 2025</v>
      </c>
      <c r="C23859" s="3" t="str">
        <f>HYPERLINK("https://otsuka-europe-crm.veevavault.com/ui/#object/sent_email__v/VBLZ025E82GMT94", "SE-000267008")</f>
        <v>SE-000267008</v>
      </c>
      <c r="D23859" s="1" t="s">
        <v>0</v>
      </c>
      <c r="E23859" s="2">
        <v>0</v>
      </c>
      <c r="F23859" s="2">
        <v>0</v>
      </c>
      <c r="G23859" s="2">
        <v>0</v>
      </c>
      <c r="H23859" s="1" t="s">
        <v>0</v>
      </c>
      <c r="I23859" s="2">
        <v>0</v>
      </c>
      <c r="J23859" s="1">
        <v>45915.377951388888</v>
      </c>
    </row>
    <row r="23860" spans="1:10" x14ac:dyDescent="0.2">
      <c r="A23860" s="4" t="s">
        <v>1</v>
      </c>
      <c r="B23860" s="3" t="str">
        <f>HYPERLINK("https://otsuka-europe-crm.veevavault.com/ui/#object/approved_document__v/V5OZ025E82TFUPI", "Spain - HCP Survey Email - June 2025")</f>
        <v>Spain - HCP Survey Email - June 2025</v>
      </c>
      <c r="C23860" s="3" t="str">
        <f>HYPERLINK("https://otsuka-europe-crm.veevavault.com/ui/#object/sent_email__v/VBLZ025E82GMT95", "SE-000267009")</f>
        <v>SE-000267009</v>
      </c>
      <c r="D23860" s="1" t="s">
        <v>0</v>
      </c>
      <c r="E23860" s="2">
        <v>0</v>
      </c>
      <c r="F23860" s="2">
        <v>0</v>
      </c>
      <c r="G23860" s="2">
        <v>0</v>
      </c>
      <c r="H23860" s="1" t="s">
        <v>0</v>
      </c>
      <c r="I23860" s="2">
        <v>0</v>
      </c>
      <c r="J23860" s="1">
        <v>45915.378935185188</v>
      </c>
    </row>
    <row r="23861" spans="1:10" x14ac:dyDescent="0.2">
      <c r="A23861" s="4" t="s">
        <v>1</v>
      </c>
      <c r="B23861" s="3" t="str">
        <f>HYPERLINK("https://otsuka-europe-crm.veevavault.com/ui/#object/approved_document__v/V5OZ025E82TFUPI", "Spain - HCP Survey Email - June 2025")</f>
        <v>Spain - HCP Survey Email - June 2025</v>
      </c>
      <c r="C23861" s="3" t="str">
        <f>HYPERLINK("https://otsuka-europe-crm.veevavault.com/ui/#object/sent_email__v/VBLZ025E82GMT96", "SE-000267010")</f>
        <v>SE-000267010</v>
      </c>
      <c r="D23861" s="1" t="s">
        <v>0</v>
      </c>
      <c r="E23861" s="2">
        <v>0</v>
      </c>
      <c r="F23861" s="2">
        <v>0</v>
      </c>
      <c r="G23861" s="2">
        <v>0</v>
      </c>
      <c r="H23861" s="1" t="s">
        <v>0</v>
      </c>
      <c r="I23861" s="2">
        <v>0</v>
      </c>
      <c r="J23861" s="1">
        <v>45915.379618055558</v>
      </c>
    </row>
    <row r="23862" spans="1:10" x14ac:dyDescent="0.2">
      <c r="A23862" s="4" t="s">
        <v>1</v>
      </c>
      <c r="B23862" s="3" t="str">
        <f>HYPERLINK("https://otsuka-europe-crm.veevavault.com/ui/#object/approved_document__v/V5OZ025E82TFUPI", "Spain - HCP Survey Email - June 2025")</f>
        <v>Spain - HCP Survey Email - June 2025</v>
      </c>
      <c r="C23862" s="3" t="str">
        <f>HYPERLINK("https://otsuka-europe-crm.veevavault.com/ui/#object/sent_email__v/VBLZ025E82GMT97", "SE-000267011")</f>
        <v>SE-000267011</v>
      </c>
      <c r="D23862" s="1" t="s">
        <v>0</v>
      </c>
      <c r="E23862" s="2">
        <v>0</v>
      </c>
      <c r="F23862" s="2">
        <v>0</v>
      </c>
      <c r="G23862" s="2">
        <v>0</v>
      </c>
      <c r="H23862" s="1" t="s">
        <v>0</v>
      </c>
      <c r="I23862" s="2">
        <v>0</v>
      </c>
      <c r="J23862" s="1">
        <v>45915.37777777778</v>
      </c>
    </row>
    <row r="23863" spans="1:10" x14ac:dyDescent="0.2">
      <c r="A23863" s="4" t="s">
        <v>1</v>
      </c>
      <c r="B23863" s="3" t="str">
        <f>HYPERLINK("https://otsuka-europe-crm.veevavault.com/ui/#object/approved_document__v/V5OZ025E82TFUPI", "Spain - HCP Survey Email - June 2025")</f>
        <v>Spain - HCP Survey Email - June 2025</v>
      </c>
      <c r="C23863" s="3" t="str">
        <f>HYPERLINK("https://otsuka-europe-crm.veevavault.com/ui/#object/sent_email__v/VBLZ025E82GMT98", "SE-000267012")</f>
        <v>SE-000267012</v>
      </c>
      <c r="D23863" s="1" t="s">
        <v>0</v>
      </c>
      <c r="E23863" s="2">
        <v>0</v>
      </c>
      <c r="F23863" s="2">
        <v>0</v>
      </c>
      <c r="G23863" s="2">
        <v>0</v>
      </c>
      <c r="H23863" s="1" t="s">
        <v>0</v>
      </c>
      <c r="I23863" s="2">
        <v>0</v>
      </c>
      <c r="J23863" s="1">
        <v>45915.377465277779</v>
      </c>
    </row>
    <row r="23864" spans="1:10" x14ac:dyDescent="0.2">
      <c r="A23864" s="4" t="s">
        <v>1</v>
      </c>
      <c r="B23864" s="3" t="str">
        <f>HYPERLINK("https://otsuka-europe-crm.veevavault.com/ui/#object/approved_document__v/V5OZ025E82TFUPI", "Spain - HCP Survey Email - June 2025")</f>
        <v>Spain - HCP Survey Email - June 2025</v>
      </c>
      <c r="C23864" s="3" t="str">
        <f>HYPERLINK("https://otsuka-europe-crm.veevavault.com/ui/#object/sent_email__v/VBLZ025E82GMT99", "SE-000267013")</f>
        <v>SE-000267013</v>
      </c>
      <c r="D23864" s="1">
        <v>45922.830416666664</v>
      </c>
      <c r="E23864" s="2">
        <v>1</v>
      </c>
      <c r="F23864" s="2">
        <v>1</v>
      </c>
      <c r="G23864" s="2">
        <v>0</v>
      </c>
      <c r="H23864" s="1" t="s">
        <v>0</v>
      </c>
      <c r="I23864" s="2">
        <v>0</v>
      </c>
      <c r="J23864" s="1">
        <v>45915.37809027778</v>
      </c>
    </row>
    <row r="23865" spans="1:10" x14ac:dyDescent="0.2">
      <c r="A23865" s="4" t="s">
        <v>1</v>
      </c>
      <c r="B23865" s="3" t="str">
        <f>HYPERLINK("https://otsuka-europe-crm.veevavault.com/ui/#object/approved_document__v/V5OZ025E82TFUPI", "Spain - HCP Survey Email - June 2025")</f>
        <v>Spain - HCP Survey Email - June 2025</v>
      </c>
      <c r="C23865" s="3" t="str">
        <f>HYPERLINK("https://otsuka-europe-crm.veevavault.com/ui/#object/sent_email__v/VBLZ025E82GMT9A", "SE-000267014")</f>
        <v>SE-000267014</v>
      </c>
      <c r="D23865" s="1" t="s">
        <v>0</v>
      </c>
      <c r="E23865" s="2">
        <v>0</v>
      </c>
      <c r="F23865" s="2">
        <v>0</v>
      </c>
      <c r="G23865" s="2">
        <v>0</v>
      </c>
      <c r="H23865" s="1" t="s">
        <v>0</v>
      </c>
      <c r="I23865" s="2">
        <v>0</v>
      </c>
      <c r="J23865" s="1">
        <v>45915.378842592596</v>
      </c>
    </row>
    <row r="23866" spans="1:10" x14ac:dyDescent="0.2">
      <c r="A23866" s="4" t="s">
        <v>1</v>
      </c>
      <c r="B23866" s="3" t="str">
        <f>HYPERLINK("https://otsuka-europe-crm.veevavault.com/ui/#object/approved_document__v/V5OZ025E82TFUPI", "Spain - HCP Survey Email - June 2025")</f>
        <v>Spain - HCP Survey Email - June 2025</v>
      </c>
      <c r="C23866" s="3" t="str">
        <f>HYPERLINK("https://otsuka-europe-crm.veevavault.com/ui/#object/sent_email__v/VBLZ025E82GMT9B", "SE-000267015")</f>
        <v>SE-000267015</v>
      </c>
      <c r="D23866" s="1">
        <v>45915.379340277781</v>
      </c>
      <c r="E23866" s="2">
        <v>1</v>
      </c>
      <c r="F23866" s="2">
        <v>1</v>
      </c>
      <c r="G23866" s="2">
        <v>0</v>
      </c>
      <c r="H23866" s="1" t="s">
        <v>0</v>
      </c>
      <c r="I23866" s="2">
        <v>0</v>
      </c>
      <c r="J23866" s="1">
        <v>45915.378622685188</v>
      </c>
    </row>
    <row r="23867" spans="1:10" x14ac:dyDescent="0.2">
      <c r="A23867" s="4" t="s">
        <v>1</v>
      </c>
      <c r="B23867" s="3" t="str">
        <f>HYPERLINK("https://otsuka-europe-crm.veevavault.com/ui/#object/approved_document__v/V5OZ025E82TFUPI", "Spain - HCP Survey Email - June 2025")</f>
        <v>Spain - HCP Survey Email - June 2025</v>
      </c>
      <c r="C23867" s="3" t="str">
        <f>HYPERLINK("https://otsuka-europe-crm.veevavault.com/ui/#object/sent_email__v/VBLZ025E82GMT9C", "SE-000267016")</f>
        <v>SE-000267016</v>
      </c>
      <c r="D23867" s="1" t="s">
        <v>0</v>
      </c>
      <c r="E23867" s="2">
        <v>0</v>
      </c>
      <c r="F23867" s="2">
        <v>0</v>
      </c>
      <c r="G23867" s="2">
        <v>0</v>
      </c>
      <c r="H23867" s="1" t="s">
        <v>0</v>
      </c>
      <c r="I23867" s="2">
        <v>0</v>
      </c>
      <c r="J23867" s="1">
        <v>45915.37940972222</v>
      </c>
    </row>
    <row r="23868" spans="1:10" x14ac:dyDescent="0.2">
      <c r="A23868" s="4" t="s">
        <v>1</v>
      </c>
      <c r="B23868" s="3" t="str">
        <f>HYPERLINK("https://otsuka-europe-crm.veevavault.com/ui/#object/approved_document__v/V5OZ025E82TFUPI", "Spain - HCP Survey Email - June 2025")</f>
        <v>Spain - HCP Survey Email - June 2025</v>
      </c>
      <c r="C23868" s="3" t="str">
        <f>HYPERLINK("https://otsuka-europe-crm.veevavault.com/ui/#object/sent_email__v/VBLZ025E82GMT9D", "SE-000267017")</f>
        <v>SE-000267017</v>
      </c>
      <c r="D23868" s="1">
        <v>45915.491851851853</v>
      </c>
      <c r="E23868" s="2">
        <v>1</v>
      </c>
      <c r="F23868" s="2">
        <v>3</v>
      </c>
      <c r="G23868" s="2">
        <v>0</v>
      </c>
      <c r="H23868" s="1" t="s">
        <v>0</v>
      </c>
      <c r="I23868" s="2">
        <v>0</v>
      </c>
      <c r="J23868" s="1">
        <v>45915.377696759257</v>
      </c>
    </row>
    <row r="23869" spans="1:10" x14ac:dyDescent="0.2">
      <c r="A23869" s="4" t="s">
        <v>1</v>
      </c>
      <c r="B23869" s="3" t="str">
        <f>HYPERLINK("https://otsuka-europe-crm.veevavault.com/ui/#object/approved_document__v/V5OZ025E82TFUPI", "Spain - HCP Survey Email - June 2025")</f>
        <v>Spain - HCP Survey Email - June 2025</v>
      </c>
      <c r="C23869" s="3" t="str">
        <f>HYPERLINK("https://otsuka-europe-crm.veevavault.com/ui/#object/sent_email__v/VBLZ025E82GMT9E", "SE-000267018")</f>
        <v>SE-000267018</v>
      </c>
      <c r="D23869" s="1" t="s">
        <v>0</v>
      </c>
      <c r="E23869" s="2">
        <v>0</v>
      </c>
      <c r="F23869" s="2">
        <v>0</v>
      </c>
      <c r="G23869" s="2">
        <v>0</v>
      </c>
      <c r="H23869" s="1" t="s">
        <v>0</v>
      </c>
      <c r="I23869" s="2">
        <v>0</v>
      </c>
      <c r="J23869" s="1">
        <v>45915.378668981481</v>
      </c>
    </row>
    <row r="23870" spans="1:10" x14ac:dyDescent="0.2">
      <c r="A23870" s="4" t="s">
        <v>1</v>
      </c>
      <c r="B23870" s="3" t="str">
        <f>HYPERLINK("https://otsuka-europe-crm.veevavault.com/ui/#object/approved_document__v/V5OZ025E82TFUPI", "Spain - HCP Survey Email - June 2025")</f>
        <v>Spain - HCP Survey Email - June 2025</v>
      </c>
      <c r="C23870" s="3" t="str">
        <f>HYPERLINK("https://otsuka-europe-crm.veevavault.com/ui/#object/sent_email__v/VBLZ025E82GMT9F", "SE-000267019")</f>
        <v>SE-000267019</v>
      </c>
      <c r="D23870" s="1">
        <v>45915.423773148148</v>
      </c>
      <c r="E23870" s="2">
        <v>1</v>
      </c>
      <c r="F23870" s="2">
        <v>1</v>
      </c>
      <c r="G23870" s="2">
        <v>1</v>
      </c>
      <c r="H23870" s="1">
        <v>45915.424201388887</v>
      </c>
      <c r="I23870" s="2">
        <v>1</v>
      </c>
      <c r="J23870" s="1">
        <v>45915.377986111111</v>
      </c>
    </row>
    <row r="23871" spans="1:10" x14ac:dyDescent="0.2">
      <c r="A23871" s="4" t="s">
        <v>1</v>
      </c>
      <c r="B23871" s="3" t="str">
        <f>HYPERLINK("https://otsuka-europe-crm.veevavault.com/ui/#object/approved_document__v/V5OZ025E82TFUPI", "Spain - HCP Survey Email - June 2025")</f>
        <v>Spain - HCP Survey Email - June 2025</v>
      </c>
      <c r="C23871" s="3" t="str">
        <f>HYPERLINK("https://otsuka-europe-crm.veevavault.com/ui/#object/sent_email__v/VBLZ025E82GMT9G", "SE-000267020")</f>
        <v>SE-000267020</v>
      </c>
      <c r="D23871" s="1">
        <v>45915.948310185187</v>
      </c>
      <c r="E23871" s="2">
        <v>1</v>
      </c>
      <c r="F23871" s="2">
        <v>3</v>
      </c>
      <c r="G23871" s="2">
        <v>1</v>
      </c>
      <c r="H23871" s="1">
        <v>45915.441921296297</v>
      </c>
      <c r="I23871" s="2">
        <v>2</v>
      </c>
      <c r="J23871" s="1">
        <v>45915.378692129627</v>
      </c>
    </row>
    <row r="23872" spans="1:10" x14ac:dyDescent="0.2">
      <c r="A23872" s="4" t="s">
        <v>1</v>
      </c>
      <c r="B23872" s="3" t="str">
        <f>HYPERLINK("https://otsuka-europe-crm.veevavault.com/ui/#object/approved_document__v/V5OZ025E82TFUPI", "Spain - HCP Survey Email - June 2025")</f>
        <v>Spain - HCP Survey Email - June 2025</v>
      </c>
      <c r="C23872" s="3" t="str">
        <f>HYPERLINK("https://otsuka-europe-crm.veevavault.com/ui/#object/sent_email__v/VBLZ025E82GMT9H", "SE-000267021")</f>
        <v>SE-000267021</v>
      </c>
      <c r="D23872" s="1" t="s">
        <v>0</v>
      </c>
      <c r="E23872" s="2">
        <v>0</v>
      </c>
      <c r="F23872" s="2">
        <v>0</v>
      </c>
      <c r="G23872" s="2">
        <v>0</v>
      </c>
      <c r="H23872" s="1" t="s">
        <v>0</v>
      </c>
      <c r="I23872" s="2">
        <v>0</v>
      </c>
      <c r="J23872" s="1">
        <v>45915.379583333335</v>
      </c>
    </row>
    <row r="23873" spans="1:10" x14ac:dyDescent="0.2">
      <c r="A23873" s="4" t="s">
        <v>1</v>
      </c>
      <c r="B23873" s="3" t="str">
        <f>HYPERLINK("https://otsuka-europe-crm.veevavault.com/ui/#object/approved_document__v/V5OZ025E82TFUPI", "Spain - HCP Survey Email - June 2025")</f>
        <v>Spain - HCP Survey Email - June 2025</v>
      </c>
      <c r="C23873" s="3" t="str">
        <f>HYPERLINK("https://otsuka-europe-crm.veevavault.com/ui/#object/sent_email__v/VBLZ025E82GMT9I", "SE-000267022")</f>
        <v>SE-000267022</v>
      </c>
      <c r="D23873" s="1">
        <v>45915.385752314818</v>
      </c>
      <c r="E23873" s="2">
        <v>1</v>
      </c>
      <c r="F23873" s="2">
        <v>2</v>
      </c>
      <c r="G23873" s="2">
        <v>0</v>
      </c>
      <c r="H23873" s="1" t="s">
        <v>0</v>
      </c>
      <c r="I23873" s="2">
        <v>0</v>
      </c>
      <c r="J23873" s="1">
        <v>45915.37777777778</v>
      </c>
    </row>
    <row r="23874" spans="1:10" x14ac:dyDescent="0.2">
      <c r="A23874" s="4" t="s">
        <v>1</v>
      </c>
      <c r="B23874" s="3" t="str">
        <f>HYPERLINK("https://otsuka-europe-crm.veevavault.com/ui/#object/approved_document__v/V5OZ025E82TFUPI", "Spain - HCP Survey Email - June 2025")</f>
        <v>Spain - HCP Survey Email - June 2025</v>
      </c>
      <c r="C23874" s="3" t="str">
        <f>HYPERLINK("https://otsuka-europe-crm.veevavault.com/ui/#object/sent_email__v/VBLZ025E82GMT9J", "SE-000267023")</f>
        <v>SE-000267023</v>
      </c>
      <c r="D23874" s="1">
        <v>45915.378738425927</v>
      </c>
      <c r="E23874" s="2">
        <v>1</v>
      </c>
      <c r="F23874" s="2">
        <v>1</v>
      </c>
      <c r="G23874" s="2">
        <v>0</v>
      </c>
      <c r="H23874" s="1" t="s">
        <v>0</v>
      </c>
      <c r="I23874" s="2">
        <v>0</v>
      </c>
      <c r="J23874" s="1">
        <v>45915.377430555556</v>
      </c>
    </row>
    <row r="23875" spans="1:10" x14ac:dyDescent="0.2">
      <c r="A23875" s="4" t="s">
        <v>1</v>
      </c>
      <c r="B23875" s="3" t="str">
        <f>HYPERLINK("https://otsuka-europe-crm.veevavault.com/ui/#object/approved_document__v/V5OZ025E82TFUPI", "Spain - HCP Survey Email - June 2025")</f>
        <v>Spain - HCP Survey Email - June 2025</v>
      </c>
      <c r="C23875" s="3" t="str">
        <f>HYPERLINK("https://otsuka-europe-crm.veevavault.com/ui/#object/sent_email__v/VBLZ025E82GMT9K", "SE-000267024")</f>
        <v>SE-000267024</v>
      </c>
      <c r="D23875" s="1" t="s">
        <v>0</v>
      </c>
      <c r="E23875" s="2">
        <v>0</v>
      </c>
      <c r="F23875" s="2">
        <v>0</v>
      </c>
      <c r="G23875" s="2">
        <v>0</v>
      </c>
      <c r="H23875" s="1" t="s">
        <v>0</v>
      </c>
      <c r="I23875" s="2">
        <v>0</v>
      </c>
      <c r="J23875" s="1">
        <v>45915.378067129626</v>
      </c>
    </row>
    <row r="23876" spans="1:10" x14ac:dyDescent="0.2">
      <c r="A23876" s="4" t="s">
        <v>1</v>
      </c>
      <c r="B23876" s="3" t="str">
        <f>HYPERLINK("https://otsuka-europe-crm.veevavault.com/ui/#object/approved_document__v/V5OZ025E82TFUPI", "Spain - HCP Survey Email - June 2025")</f>
        <v>Spain - HCP Survey Email - June 2025</v>
      </c>
      <c r="C23876" s="3" t="str">
        <f>HYPERLINK("https://otsuka-europe-crm.veevavault.com/ui/#object/sent_email__v/VBLZ025E82GMT9L", "SE-000267025")</f>
        <v>SE-000267025</v>
      </c>
      <c r="D23876" s="1" t="s">
        <v>0</v>
      </c>
      <c r="E23876" s="2">
        <v>0</v>
      </c>
      <c r="F23876" s="2">
        <v>0</v>
      </c>
      <c r="G23876" s="2">
        <v>0</v>
      </c>
      <c r="H23876" s="1" t="s">
        <v>0</v>
      </c>
      <c r="I23876" s="2">
        <v>0</v>
      </c>
      <c r="J23876" s="1">
        <v>45915.378854166665</v>
      </c>
    </row>
    <row r="23877" spans="1:10" x14ac:dyDescent="0.2">
      <c r="A23877" s="4" t="s">
        <v>1</v>
      </c>
      <c r="B23877" s="3" t="str">
        <f>HYPERLINK("https://otsuka-europe-crm.veevavault.com/ui/#object/approved_document__v/V5OZ025E82TFUPI", "Spain - HCP Survey Email - June 2025")</f>
        <v>Spain - HCP Survey Email - June 2025</v>
      </c>
      <c r="C23877" s="3" t="str">
        <f>HYPERLINK("https://otsuka-europe-crm.veevavault.com/ui/#object/sent_email__v/VBLZ025E82GMT9M", "SE-000267026")</f>
        <v>SE-000267026</v>
      </c>
      <c r="D23877" s="1">
        <v>45915.458078703705</v>
      </c>
      <c r="E23877" s="2">
        <v>1</v>
      </c>
      <c r="F23877" s="2">
        <v>1</v>
      </c>
      <c r="G23877" s="2">
        <v>0</v>
      </c>
      <c r="H23877" s="1" t="s">
        <v>0</v>
      </c>
      <c r="I23877" s="2">
        <v>0</v>
      </c>
      <c r="J23877" s="1">
        <v>45915.379664351851</v>
      </c>
    </row>
    <row r="23878" spans="1:10" x14ac:dyDescent="0.2">
      <c r="A23878" s="4" t="s">
        <v>1</v>
      </c>
      <c r="B23878" s="3" t="str">
        <f>HYPERLINK("https://otsuka-europe-crm.veevavault.com/ui/#object/approved_document__v/V5OZ025E82TFUPI", "Spain - HCP Survey Email - June 2025")</f>
        <v>Spain - HCP Survey Email - June 2025</v>
      </c>
      <c r="C23878" s="3" t="str">
        <f>HYPERLINK("https://otsuka-europe-crm.veevavault.com/ui/#object/sent_email__v/VBLZ025E82GMT9N", "SE-000267027")</f>
        <v>SE-000267027</v>
      </c>
      <c r="D23878" s="1" t="s">
        <v>0</v>
      </c>
      <c r="E23878" s="2">
        <v>0</v>
      </c>
      <c r="F23878" s="2">
        <v>0</v>
      </c>
      <c r="G23878" s="2">
        <v>0</v>
      </c>
      <c r="H23878" s="1" t="s">
        <v>0</v>
      </c>
      <c r="I23878" s="2">
        <v>0</v>
      </c>
      <c r="J23878" s="1">
        <v>45915.379571759258</v>
      </c>
    </row>
    <row r="23879" spans="1:10" x14ac:dyDescent="0.2">
      <c r="A23879" s="4" t="s">
        <v>1</v>
      </c>
      <c r="B23879" s="3" t="str">
        <f>HYPERLINK("https://otsuka-europe-crm.veevavault.com/ui/#object/approved_document__v/V5OZ025E82TFUPI", "Spain - HCP Survey Email - June 2025")</f>
        <v>Spain - HCP Survey Email - June 2025</v>
      </c>
      <c r="C23879" s="3" t="str">
        <f>HYPERLINK("https://otsuka-europe-crm.veevavault.com/ui/#object/sent_email__v/VBLZ025E82GMT9O", "SE-000267028")</f>
        <v>SE-000267028</v>
      </c>
      <c r="D23879" s="1" t="s">
        <v>0</v>
      </c>
      <c r="E23879" s="2">
        <v>0</v>
      </c>
      <c r="F23879" s="2">
        <v>0</v>
      </c>
      <c r="G23879" s="2">
        <v>0</v>
      </c>
      <c r="H23879" s="1" t="s">
        <v>0</v>
      </c>
      <c r="I23879" s="2">
        <v>0</v>
      </c>
      <c r="J23879" s="1">
        <v>45915.37771990741</v>
      </c>
    </row>
    <row r="23880" spans="1:10" x14ac:dyDescent="0.2">
      <c r="A23880" s="4" t="s">
        <v>1</v>
      </c>
      <c r="B23880" s="3" t="str">
        <f>HYPERLINK("https://otsuka-europe-crm.veevavault.com/ui/#object/approved_document__v/V5OZ025E82TFUPI", "Spain - HCP Survey Email - June 2025")</f>
        <v>Spain - HCP Survey Email - June 2025</v>
      </c>
      <c r="C23880" s="3" t="str">
        <f>HYPERLINK("https://otsuka-europe-crm.veevavault.com/ui/#object/sent_email__v/VBLZ025E82GMT9P", "SE-000267029")</f>
        <v>SE-000267029</v>
      </c>
      <c r="D23880" s="1">
        <v>45915.476458333331</v>
      </c>
      <c r="E23880" s="2">
        <v>1</v>
      </c>
      <c r="F23880" s="2">
        <v>1</v>
      </c>
      <c r="G23880" s="2">
        <v>0</v>
      </c>
      <c r="H23880" s="1" t="s">
        <v>0</v>
      </c>
      <c r="I23880" s="2">
        <v>0</v>
      </c>
      <c r="J23880" s="1">
        <v>45915.378460648149</v>
      </c>
    </row>
    <row r="23881" spans="1:10" x14ac:dyDescent="0.2">
      <c r="A23881" s="4" t="s">
        <v>1</v>
      </c>
      <c r="B23881" s="3" t="str">
        <f>HYPERLINK("https://otsuka-europe-crm.veevavault.com/ui/#object/approved_document__v/V5OZ025E82TFUPI", "Spain - HCP Survey Email - June 2025")</f>
        <v>Spain - HCP Survey Email - June 2025</v>
      </c>
      <c r="C23881" s="3" t="str">
        <f>HYPERLINK("https://otsuka-europe-crm.veevavault.com/ui/#object/sent_email__v/VBLZ025E82GMT9Q", "SE-000267030")</f>
        <v>SE-000267030</v>
      </c>
      <c r="D23881" s="1">
        <v>45916.50984953704</v>
      </c>
      <c r="E23881" s="2">
        <v>1</v>
      </c>
      <c r="F23881" s="2">
        <v>2</v>
      </c>
      <c r="G23881" s="2">
        <v>0</v>
      </c>
      <c r="H23881" s="1" t="s">
        <v>0</v>
      </c>
      <c r="I23881" s="2">
        <v>0</v>
      </c>
      <c r="J23881" s="1">
        <v>45915.378020833334</v>
      </c>
    </row>
    <row r="23882" spans="1:10" x14ac:dyDescent="0.2">
      <c r="A23882" s="4" t="s">
        <v>1</v>
      </c>
      <c r="B23882" s="3" t="str">
        <f>HYPERLINK("https://otsuka-europe-crm.veevavault.com/ui/#object/approved_document__v/V5OZ025E82TFUPI", "Spain - HCP Survey Email - June 2025")</f>
        <v>Spain - HCP Survey Email - June 2025</v>
      </c>
      <c r="C23882" s="3" t="str">
        <f>HYPERLINK("https://otsuka-europe-crm.veevavault.com/ui/#object/sent_email__v/VBLZ025E82GMT9R", "SE-000267031")</f>
        <v>SE-000267031</v>
      </c>
      <c r="D23882" s="1">
        <v>45915.498368055552</v>
      </c>
      <c r="E23882" s="2">
        <v>1</v>
      </c>
      <c r="F23882" s="2">
        <v>1</v>
      </c>
      <c r="G23882" s="2">
        <v>0</v>
      </c>
      <c r="H23882" s="1" t="s">
        <v>0</v>
      </c>
      <c r="I23882" s="2">
        <v>0</v>
      </c>
      <c r="J23882" s="1">
        <v>45915.378796296296</v>
      </c>
    </row>
    <row r="23883" spans="1:10" x14ac:dyDescent="0.2">
      <c r="A23883" s="4" t="s">
        <v>1</v>
      </c>
      <c r="B23883" s="3" t="str">
        <f>HYPERLINK("https://otsuka-europe-crm.veevavault.com/ui/#object/approved_document__v/V5OZ025E82TFUPI", "Spain - HCP Survey Email - June 2025")</f>
        <v>Spain - HCP Survey Email - June 2025</v>
      </c>
      <c r="C23883" s="3" t="str">
        <f>HYPERLINK("https://otsuka-europe-crm.veevavault.com/ui/#object/sent_email__v/VBLZ025E82GMT9S", "SE-000267032")</f>
        <v>SE-000267032</v>
      </c>
      <c r="D23883" s="1" t="s">
        <v>0</v>
      </c>
      <c r="E23883" s="2">
        <v>0</v>
      </c>
      <c r="F23883" s="2">
        <v>0</v>
      </c>
      <c r="G23883" s="2">
        <v>0</v>
      </c>
      <c r="H23883" s="1" t="s">
        <v>0</v>
      </c>
      <c r="I23883" s="2">
        <v>0</v>
      </c>
      <c r="J23883" s="1">
        <v>45915.379513888889</v>
      </c>
    </row>
    <row r="23884" spans="1:10" x14ac:dyDescent="0.2">
      <c r="A23884" s="4" t="s">
        <v>1</v>
      </c>
      <c r="B23884" s="3" t="str">
        <f>HYPERLINK("https://otsuka-europe-crm.veevavault.com/ui/#object/approved_document__v/V5OZ025E82TFUPI", "Spain - HCP Survey Email - June 2025")</f>
        <v>Spain - HCP Survey Email - June 2025</v>
      </c>
      <c r="C23884" s="3" t="str">
        <f>HYPERLINK("https://otsuka-europe-crm.veevavault.com/ui/#object/sent_email__v/VBLZ025E82GMT9T", "SE-000267033")</f>
        <v>SE-000267033</v>
      </c>
      <c r="D23884" s="1" t="s">
        <v>0</v>
      </c>
      <c r="E23884" s="2">
        <v>0</v>
      </c>
      <c r="F23884" s="2">
        <v>0</v>
      </c>
      <c r="G23884" s="2">
        <v>0</v>
      </c>
      <c r="H23884" s="1" t="s">
        <v>0</v>
      </c>
      <c r="I23884" s="2">
        <v>0</v>
      </c>
      <c r="J23884" s="1">
        <v>45915.377754629626</v>
      </c>
    </row>
    <row r="23885" spans="1:10" x14ac:dyDescent="0.2">
      <c r="A23885" s="4" t="s">
        <v>1</v>
      </c>
      <c r="B23885" s="3" t="str">
        <f>HYPERLINK("https://otsuka-europe-crm.veevavault.com/ui/#object/approved_document__v/V5OZ025E82TFUPI", "Spain - HCP Survey Email - June 2025")</f>
        <v>Spain - HCP Survey Email - June 2025</v>
      </c>
      <c r="C23885" s="3" t="str">
        <f>HYPERLINK("https://otsuka-europe-crm.veevavault.com/ui/#object/sent_email__v/VBLZ025E82GMT9U", "SE-000267034")</f>
        <v>SE-000267034</v>
      </c>
      <c r="D23885" s="1" t="s">
        <v>0</v>
      </c>
      <c r="E23885" s="2">
        <v>0</v>
      </c>
      <c r="F23885" s="2">
        <v>0</v>
      </c>
      <c r="G23885" s="2">
        <v>0</v>
      </c>
      <c r="H23885" s="1" t="s">
        <v>0</v>
      </c>
      <c r="I23885" s="2">
        <v>0</v>
      </c>
      <c r="J23885" s="1">
        <v>45915.378009259257</v>
      </c>
    </row>
    <row r="23886" spans="1:10" x14ac:dyDescent="0.2">
      <c r="A23886" s="4" t="s">
        <v>1</v>
      </c>
      <c r="B23886" s="3" t="str">
        <f>HYPERLINK("https://otsuka-europe-crm.veevavault.com/ui/#object/approved_document__v/V5OZ025E82TFUPI", "Spain - HCP Survey Email - June 2025")</f>
        <v>Spain - HCP Survey Email - June 2025</v>
      </c>
      <c r="C23886" s="3" t="str">
        <f>HYPERLINK("https://otsuka-europe-crm.veevavault.com/ui/#object/sent_email__v/VBLZ025E82GMT9V", "SE-000267035")</f>
        <v>SE-000267035</v>
      </c>
      <c r="D23886" s="1">
        <v>45917.451967592591</v>
      </c>
      <c r="E23886" s="2">
        <v>1</v>
      </c>
      <c r="F23886" s="2">
        <v>2</v>
      </c>
      <c r="G23886" s="2">
        <v>0</v>
      </c>
      <c r="H23886" s="1" t="s">
        <v>0</v>
      </c>
      <c r="I23886" s="2">
        <v>0</v>
      </c>
      <c r="J23886" s="1">
        <v>45915.378888888888</v>
      </c>
    </row>
    <row r="23887" spans="1:10" x14ac:dyDescent="0.2">
      <c r="A23887" s="4" t="s">
        <v>1</v>
      </c>
      <c r="B23887" s="3" t="str">
        <f>HYPERLINK("https://otsuka-europe-crm.veevavault.com/ui/#object/approved_document__v/V5OZ025E82TFUPI", "Spain - HCP Survey Email - June 2025")</f>
        <v>Spain - HCP Survey Email - June 2025</v>
      </c>
      <c r="C23887" s="3" t="str">
        <f>HYPERLINK("https://otsuka-europe-crm.veevavault.com/ui/#object/sent_email__v/VBLZ025E82GMT9W", "SE-000267036")</f>
        <v>SE-000267036</v>
      </c>
      <c r="D23887" s="1">
        <v>45915.481053240743</v>
      </c>
      <c r="E23887" s="2">
        <v>1</v>
      </c>
      <c r="F23887" s="2">
        <v>1</v>
      </c>
      <c r="G23887" s="2">
        <v>0</v>
      </c>
      <c r="H23887" s="1" t="s">
        <v>0</v>
      </c>
      <c r="I23887" s="2">
        <v>0</v>
      </c>
      <c r="J23887" s="1">
        <v>45915.379537037035</v>
      </c>
    </row>
    <row r="23888" spans="1:10" x14ac:dyDescent="0.2">
      <c r="A23888" s="4" t="s">
        <v>1</v>
      </c>
      <c r="B23888" s="3" t="str">
        <f>HYPERLINK("https://otsuka-europe-crm.veevavault.com/ui/#object/approved_document__v/V5OZ025E82TFUPI", "Spain - HCP Survey Email - June 2025")</f>
        <v>Spain - HCP Survey Email - June 2025</v>
      </c>
      <c r="C23888" s="3" t="str">
        <f>HYPERLINK("https://otsuka-europe-crm.veevavault.com/ui/#object/sent_email__v/VBLZ025E82GMT9X", "SE-000267037")</f>
        <v>SE-000267037</v>
      </c>
      <c r="D23888" s="1" t="s">
        <v>0</v>
      </c>
      <c r="E23888" s="2">
        <v>0</v>
      </c>
      <c r="F23888" s="2">
        <v>0</v>
      </c>
      <c r="G23888" s="2">
        <v>0</v>
      </c>
      <c r="H23888" s="1" t="s">
        <v>0</v>
      </c>
      <c r="I23888" s="2">
        <v>0</v>
      </c>
      <c r="J23888" s="1">
        <v>45915.37777777778</v>
      </c>
    </row>
    <row r="23889" spans="1:10" x14ac:dyDescent="0.2">
      <c r="A23889" s="4" t="s">
        <v>1</v>
      </c>
      <c r="B23889" s="3" t="str">
        <f>HYPERLINK("https://otsuka-europe-crm.veevavault.com/ui/#object/approved_document__v/V5OZ025E82TFUPI", "Spain - HCP Survey Email - June 2025")</f>
        <v>Spain - HCP Survey Email - June 2025</v>
      </c>
      <c r="C23889" s="3" t="str">
        <f>HYPERLINK("https://otsuka-europe-crm.veevavault.com/ui/#object/sent_email__v/VBLZ025E82GMT9Y", "SE-000267038")</f>
        <v>SE-000267038</v>
      </c>
      <c r="D23889" s="1">
        <v>45924.409421296295</v>
      </c>
      <c r="E23889" s="2">
        <v>1</v>
      </c>
      <c r="F23889" s="2">
        <v>12</v>
      </c>
      <c r="G23889" s="2">
        <v>1</v>
      </c>
      <c r="H23889" s="1">
        <v>45924.409513888888</v>
      </c>
      <c r="I23889" s="2">
        <v>1</v>
      </c>
      <c r="J23889" s="1">
        <v>45915.377465277779</v>
      </c>
    </row>
    <row r="23890" spans="1:10" x14ac:dyDescent="0.2">
      <c r="A23890" s="4" t="s">
        <v>1</v>
      </c>
      <c r="B23890" s="3" t="str">
        <f>HYPERLINK("https://otsuka-europe-crm.veevavault.com/ui/#object/approved_document__v/V5OZ025E82TFUPI", "Spain - HCP Survey Email - June 2025")</f>
        <v>Spain - HCP Survey Email - June 2025</v>
      </c>
      <c r="C23890" s="3" t="str">
        <f>HYPERLINK("https://otsuka-europe-crm.veevavault.com/ui/#object/sent_email__v/VBLZ025E82GMT9Z", "SE-000267039")</f>
        <v>SE-000267039</v>
      </c>
      <c r="D23890" s="1">
        <v>45915.650763888887</v>
      </c>
      <c r="E23890" s="2">
        <v>1</v>
      </c>
      <c r="F23890" s="2">
        <v>2</v>
      </c>
      <c r="G23890" s="2">
        <v>0</v>
      </c>
      <c r="H23890" s="1" t="s">
        <v>0</v>
      </c>
      <c r="I23890" s="2">
        <v>0</v>
      </c>
      <c r="J23890" s="1">
        <v>45915.378067129626</v>
      </c>
    </row>
    <row r="23891" spans="1:10" x14ac:dyDescent="0.2">
      <c r="A23891" s="4" t="s">
        <v>1</v>
      </c>
      <c r="B23891" s="3" t="str">
        <f>HYPERLINK("https://otsuka-europe-crm.veevavault.com/ui/#object/approved_document__v/V5OZ025E82TFUPI", "Spain - HCP Survey Email - June 2025")</f>
        <v>Spain - HCP Survey Email - June 2025</v>
      </c>
      <c r="C23891" s="3" t="str">
        <f>HYPERLINK("https://otsuka-europe-crm.veevavault.com/ui/#object/sent_email__v/VBLZ025E82GMTA0", "SE-000267040")</f>
        <v>SE-000267040</v>
      </c>
      <c r="D23891" s="1">
        <v>45919.619687500002</v>
      </c>
      <c r="E23891" s="2">
        <v>1</v>
      </c>
      <c r="F23891" s="2">
        <v>2</v>
      </c>
      <c r="G23891" s="2">
        <v>1</v>
      </c>
      <c r="H23891" s="1">
        <v>45919.619814814818</v>
      </c>
      <c r="I23891" s="2">
        <v>1</v>
      </c>
      <c r="J23891" s="1">
        <v>45915.378831018519</v>
      </c>
    </row>
    <row r="23892" spans="1:10" x14ac:dyDescent="0.2">
      <c r="A23892" s="4" t="s">
        <v>1</v>
      </c>
      <c r="B23892" s="3" t="str">
        <f>HYPERLINK("https://otsuka-europe-crm.veevavault.com/ui/#object/approved_document__v/V5OZ025E82TFUPI", "Spain - HCP Survey Email - June 2025")</f>
        <v>Spain - HCP Survey Email - June 2025</v>
      </c>
      <c r="C23892" s="3" t="str">
        <f>HYPERLINK("https://otsuka-europe-crm.veevavault.com/ui/#object/sent_email__v/VBLZ025E82GMTA1", "SE-000267041")</f>
        <v>SE-000267041</v>
      </c>
      <c r="D23892" s="1">
        <v>45928.77684027778</v>
      </c>
      <c r="E23892" s="2">
        <v>1</v>
      </c>
      <c r="F23892" s="2">
        <v>2</v>
      </c>
      <c r="G23892" s="2">
        <v>0</v>
      </c>
      <c r="H23892" s="1" t="s">
        <v>0</v>
      </c>
      <c r="I23892" s="2">
        <v>0</v>
      </c>
      <c r="J23892" s="1">
        <v>45915.378634259258</v>
      </c>
    </row>
    <row r="23893" spans="1:10" x14ac:dyDescent="0.2">
      <c r="A23893" s="4" t="s">
        <v>1</v>
      </c>
      <c r="B23893" s="3" t="str">
        <f>HYPERLINK("https://otsuka-europe-crm.veevavault.com/ui/#object/approved_document__v/V5OZ025E82TFUPI", "Spain - HCP Survey Email - June 2025")</f>
        <v>Spain - HCP Survey Email - June 2025</v>
      </c>
      <c r="C23893" s="3" t="str">
        <f>HYPERLINK("https://otsuka-europe-crm.veevavault.com/ui/#object/sent_email__v/VBLZ025E82GMTA2", "SE-000267042")</f>
        <v>SE-000267042</v>
      </c>
      <c r="D23893" s="1">
        <v>45917.797905092593</v>
      </c>
      <c r="E23893" s="2">
        <v>1</v>
      </c>
      <c r="F23893" s="2">
        <v>3</v>
      </c>
      <c r="G23893" s="2">
        <v>0</v>
      </c>
      <c r="H23893" s="1" t="s">
        <v>0</v>
      </c>
      <c r="I23893" s="2">
        <v>0</v>
      </c>
      <c r="J23893" s="1">
        <v>45915.379467592589</v>
      </c>
    </row>
    <row r="23894" spans="1:10" x14ac:dyDescent="0.2">
      <c r="A23894" s="4" t="s">
        <v>1</v>
      </c>
      <c r="B23894" s="3" t="str">
        <f>HYPERLINK("https://otsuka-europe-crm.veevavault.com/ui/#object/approved_document__v/V5OZ025E82TFUPI", "Spain - HCP Survey Email - June 2025")</f>
        <v>Spain - HCP Survey Email - June 2025</v>
      </c>
      <c r="C23894" s="3" t="str">
        <f>HYPERLINK("https://otsuka-europe-crm.veevavault.com/ui/#object/sent_email__v/VBLZ025E82GMTA3", "SE-000267043")</f>
        <v>SE-000267043</v>
      </c>
      <c r="D23894" s="1">
        <v>45915.587500000001</v>
      </c>
      <c r="E23894" s="2">
        <v>1</v>
      </c>
      <c r="F23894" s="2">
        <v>2</v>
      </c>
      <c r="G23894" s="2">
        <v>0</v>
      </c>
      <c r="H23894" s="1" t="s">
        <v>0</v>
      </c>
      <c r="I23894" s="2">
        <v>0</v>
      </c>
      <c r="J23894" s="1">
        <v>45915.37773148148</v>
      </c>
    </row>
    <row r="23895" spans="1:10" x14ac:dyDescent="0.2">
      <c r="A23895" s="4" t="s">
        <v>1</v>
      </c>
      <c r="B23895" s="3" t="str">
        <f>HYPERLINK("https://otsuka-europe-crm.veevavault.com/ui/#object/approved_document__v/V5OZ025E82TFUPI", "Spain - HCP Survey Email - June 2025")</f>
        <v>Spain - HCP Survey Email - June 2025</v>
      </c>
      <c r="C23895" s="3" t="str">
        <f>HYPERLINK("https://otsuka-europe-crm.veevavault.com/ui/#object/sent_email__v/VBLZ025E82GMTA4", "SE-000267044")</f>
        <v>SE-000267044</v>
      </c>
      <c r="D23895" s="1" t="s">
        <v>0</v>
      </c>
      <c r="E23895" s="2">
        <v>0</v>
      </c>
      <c r="F23895" s="2">
        <v>0</v>
      </c>
      <c r="G23895" s="2">
        <v>0</v>
      </c>
      <c r="H23895" s="1" t="s">
        <v>0</v>
      </c>
      <c r="I23895" s="2">
        <v>0</v>
      </c>
      <c r="J23895" s="1">
        <v>45915.378483796296</v>
      </c>
    </row>
    <row r="23896" spans="1:10" x14ac:dyDescent="0.2">
      <c r="A23896" s="4" t="s">
        <v>1</v>
      </c>
      <c r="B23896" s="3" t="str">
        <f>HYPERLINK("https://otsuka-europe-crm.veevavault.com/ui/#object/approved_document__v/V5OZ025E82TFUPI", "Spain - HCP Survey Email - June 2025")</f>
        <v>Spain - HCP Survey Email - June 2025</v>
      </c>
      <c r="C23896" s="3" t="str">
        <f>HYPERLINK("https://otsuka-europe-crm.veevavault.com/ui/#object/sent_email__v/VBLZ025E82GMTA5", "SE-000267045")</f>
        <v>SE-000267045</v>
      </c>
      <c r="D23896" s="1" t="s">
        <v>0</v>
      </c>
      <c r="E23896" s="2">
        <v>0</v>
      </c>
      <c r="F23896" s="2">
        <v>0</v>
      </c>
      <c r="G23896" s="2">
        <v>0</v>
      </c>
      <c r="H23896" s="1" t="s">
        <v>0</v>
      </c>
      <c r="I23896" s="2">
        <v>0</v>
      </c>
      <c r="J23896" s="1">
        <v>45915.377962962964</v>
      </c>
    </row>
    <row r="23897" spans="1:10" x14ac:dyDescent="0.2">
      <c r="A23897" s="4" t="s">
        <v>1</v>
      </c>
      <c r="B23897" s="3" t="str">
        <f>HYPERLINK("https://otsuka-europe-crm.veevavault.com/ui/#object/approved_document__v/V5OZ025E82TFUPI", "Spain - HCP Survey Email - June 2025")</f>
        <v>Spain - HCP Survey Email - June 2025</v>
      </c>
      <c r="C23897" s="3" t="str">
        <f>HYPERLINK("https://otsuka-europe-crm.veevavault.com/ui/#object/sent_email__v/VBLZ025E82GMTA6", "SE-000267046")</f>
        <v>SE-000267046</v>
      </c>
      <c r="D23897" s="1" t="s">
        <v>0</v>
      </c>
      <c r="E23897" s="2">
        <v>0</v>
      </c>
      <c r="F23897" s="2">
        <v>0</v>
      </c>
      <c r="G23897" s="2">
        <v>0</v>
      </c>
      <c r="H23897" s="1" t="s">
        <v>0</v>
      </c>
      <c r="I23897" s="2">
        <v>0</v>
      </c>
      <c r="J23897" s="1">
        <v>45915.378750000003</v>
      </c>
    </row>
    <row r="23898" spans="1:10" x14ac:dyDescent="0.2">
      <c r="A23898" s="4" t="s">
        <v>1</v>
      </c>
      <c r="B23898" s="3" t="str">
        <f>HYPERLINK("https://otsuka-europe-crm.veevavault.com/ui/#object/approved_document__v/V5OZ025E82TFUPI", "Spain - HCP Survey Email - June 2025")</f>
        <v>Spain - HCP Survey Email - June 2025</v>
      </c>
      <c r="C23898" s="3" t="str">
        <f>HYPERLINK("https://otsuka-europe-crm.veevavault.com/ui/#object/sent_email__v/VBLZ025E82GMTA7", "SE-000267047")</f>
        <v>SE-000267047</v>
      </c>
      <c r="D23898" s="1">
        <v>45918.444351851853</v>
      </c>
      <c r="E23898" s="2">
        <v>1</v>
      </c>
      <c r="F23898" s="2">
        <v>1</v>
      </c>
      <c r="G23898" s="2">
        <v>1</v>
      </c>
      <c r="H23898" s="1">
        <v>45918.444351851853</v>
      </c>
      <c r="I23898" s="2">
        <v>1</v>
      </c>
      <c r="J23898" s="1">
        <v>45915.379479166666</v>
      </c>
    </row>
    <row r="23899" spans="1:10" x14ac:dyDescent="0.2">
      <c r="A23899" s="4" t="s">
        <v>1</v>
      </c>
      <c r="B23899" s="3" t="str">
        <f>HYPERLINK("https://otsuka-europe-crm.veevavault.com/ui/#object/approved_document__v/V5OZ025E82TFUPI", "Spain - HCP Survey Email - June 2025")</f>
        <v>Spain - HCP Survey Email - June 2025</v>
      </c>
      <c r="C23899" s="3" t="str">
        <f>HYPERLINK("https://otsuka-europe-crm.veevavault.com/ui/#object/sent_email__v/VBLZ025E82GMTA8", "SE-000267048")</f>
        <v>SE-000267048</v>
      </c>
      <c r="D23899" s="1" t="s">
        <v>0</v>
      </c>
      <c r="E23899" s="2">
        <v>0</v>
      </c>
      <c r="F23899" s="2">
        <v>0</v>
      </c>
      <c r="G23899" s="2">
        <v>0</v>
      </c>
      <c r="H23899" s="1" t="s">
        <v>0</v>
      </c>
      <c r="I23899" s="2">
        <v>0</v>
      </c>
      <c r="J23899" s="1">
        <v>45915.377812500003</v>
      </c>
    </row>
    <row r="23900" spans="1:10" x14ac:dyDescent="0.2">
      <c r="A23900" s="4" t="s">
        <v>1</v>
      </c>
      <c r="B23900" s="3" t="str">
        <f>HYPERLINK("https://otsuka-europe-crm.veevavault.com/ui/#object/approved_document__v/V5OZ025E82TFUPI", "Spain - HCP Survey Email - June 2025")</f>
        <v>Spain - HCP Survey Email - June 2025</v>
      </c>
      <c r="C23900" s="3" t="str">
        <f>HYPERLINK("https://otsuka-europe-crm.veevavault.com/ui/#object/sent_email__v/VBLZ025E82GMTA9", "SE-000267049")</f>
        <v>SE-000267049</v>
      </c>
      <c r="D23900" s="1" t="s">
        <v>0</v>
      </c>
      <c r="E23900" s="2">
        <v>0</v>
      </c>
      <c r="F23900" s="2">
        <v>0</v>
      </c>
      <c r="G23900" s="2">
        <v>0</v>
      </c>
      <c r="H23900" s="1" t="s">
        <v>0</v>
      </c>
      <c r="I23900" s="2">
        <v>0</v>
      </c>
      <c r="J23900" s="1">
        <v>45915.377465277779</v>
      </c>
    </row>
    <row r="23901" spans="1:10" x14ac:dyDescent="0.2">
      <c r="A23901" s="4" t="s">
        <v>1</v>
      </c>
      <c r="B23901" s="3" t="str">
        <f>HYPERLINK("https://otsuka-europe-crm.veevavault.com/ui/#object/approved_document__v/V5OZ025E82TFUPI", "Spain - HCP Survey Email - June 2025")</f>
        <v>Spain - HCP Survey Email - June 2025</v>
      </c>
      <c r="C23901" s="3" t="str">
        <f>HYPERLINK("https://otsuka-europe-crm.veevavault.com/ui/#object/sent_email__v/VBLZ025E82GMTAA", "SE-000267050")</f>
        <v>SE-000267050</v>
      </c>
      <c r="D23901" s="1" t="s">
        <v>0</v>
      </c>
      <c r="E23901" s="2">
        <v>0</v>
      </c>
      <c r="F23901" s="2">
        <v>0</v>
      </c>
      <c r="G23901" s="2">
        <v>0</v>
      </c>
      <c r="H23901" s="1" t="s">
        <v>0</v>
      </c>
      <c r="I23901" s="2">
        <v>0</v>
      </c>
      <c r="J23901" s="1">
        <v>45915.378113425926</v>
      </c>
    </row>
    <row r="23902" spans="1:10" x14ac:dyDescent="0.2">
      <c r="A23902" s="4" t="s">
        <v>1</v>
      </c>
      <c r="B23902" s="3" t="str">
        <f>HYPERLINK("https://otsuka-europe-crm.veevavault.com/ui/#object/approved_document__v/V5OZ025E82TFUPI", "Spain - HCP Survey Email - June 2025")</f>
        <v>Spain - HCP Survey Email - June 2025</v>
      </c>
      <c r="C23902" s="3" t="str">
        <f>HYPERLINK("https://otsuka-europe-crm.veevavault.com/ui/#object/sent_email__v/VBLZ025E82GMTAB", "SE-000267051")</f>
        <v>SE-000267051</v>
      </c>
      <c r="D23902" s="1" t="s">
        <v>0</v>
      </c>
      <c r="E23902" s="2">
        <v>0</v>
      </c>
      <c r="F23902" s="2">
        <v>0</v>
      </c>
      <c r="G23902" s="2">
        <v>0</v>
      </c>
      <c r="H23902" s="1" t="s">
        <v>0</v>
      </c>
      <c r="I23902" s="2">
        <v>0</v>
      </c>
      <c r="J23902" s="1">
        <v>45915.378912037035</v>
      </c>
    </row>
    <row r="23903" spans="1:10" x14ac:dyDescent="0.2">
      <c r="A23903" s="4" t="s">
        <v>1</v>
      </c>
      <c r="B23903" s="3" t="str">
        <f>HYPERLINK("https://otsuka-europe-crm.veevavault.com/ui/#object/approved_document__v/V5OZ025E82TFUPI", "Spain - HCP Survey Email - June 2025")</f>
        <v>Spain - HCP Survey Email - June 2025</v>
      </c>
      <c r="C23903" s="3" t="str">
        <f>HYPERLINK("https://otsuka-europe-crm.veevavault.com/ui/#object/sent_email__v/VBLZ025E82GMTAC", "SE-000267052")</f>
        <v>SE-000267052</v>
      </c>
      <c r="D23903" s="1">
        <v>45917.673611111109</v>
      </c>
      <c r="E23903" s="2">
        <v>1</v>
      </c>
      <c r="F23903" s="2">
        <v>1</v>
      </c>
      <c r="G23903" s="2">
        <v>0</v>
      </c>
      <c r="H23903" s="1" t="s">
        <v>0</v>
      </c>
      <c r="I23903" s="2">
        <v>0</v>
      </c>
      <c r="J23903" s="1">
        <v>45915.378622685188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Hampsey</dc:creator>
  <cp:lastModifiedBy>Matt Hampsey</cp:lastModifiedBy>
  <dcterms:created xsi:type="dcterms:W3CDTF">2026-03-25T16:50:51Z</dcterms:created>
  <dcterms:modified xsi:type="dcterms:W3CDTF">2026-03-25T16:51:02Z</dcterms:modified>
</cp:coreProperties>
</file>